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harts/chart4.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610" yWindow="1590" windowWidth="8460" windowHeight="6255" tabRatio="747" activeTab="1"/>
  </bookViews>
  <sheets>
    <sheet name="Home" sheetId="74" r:id="rId1"/>
    <sheet name="SS data PRELIM" sheetId="135" r:id="rId2"/>
    <sheet name="SS data FINAL recon" sheetId="141" r:id="rId3"/>
    <sheet name="Index_Returns" sheetId="9" r:id="rId4"/>
    <sheet name="Return Summary" sheetId="62" r:id="rId5"/>
    <sheet name="LTD Summary" sheetId="120" r:id="rId6"/>
    <sheet name="ASRS_E2" sheetId="10" r:id="rId7"/>
    <sheet name="ASRS_E7" sheetId="161" r:id="rId8"/>
    <sheet name="ASRS_E8" sheetId="162" r:id="rId9"/>
    <sheet name="Risk Factor" sheetId="167" r:id="rId10"/>
    <sheet name="AQR" sheetId="168" r:id="rId11"/>
    <sheet name="Intech" sheetId="23" r:id="rId12"/>
    <sheet name="LSV" sheetId="25" r:id="rId13"/>
    <sheet name="Well" sheetId="31" r:id="rId14"/>
    <sheet name="CRM" sheetId="71" r:id="rId15"/>
    <sheet name="ASRS_E3" sheetId="11" r:id="rId16"/>
    <sheet name="ASRS_E4" sheetId="12" r:id="rId17"/>
    <sheet name="TS" sheetId="82" r:id="rId18"/>
    <sheet name="DFA" sheetId="15" r:id="rId19"/>
    <sheet name="E6" sheetId="122" r:id="rId20"/>
    <sheet name="Champlain" sheetId="125" r:id="rId21"/>
    <sheet name="Brandes" sheetId="49" r:id="rId22"/>
    <sheet name="THOMPSON" sheetId="173" r:id="rId23"/>
    <sheet name="TRINITY" sheetId="172" r:id="rId24"/>
    <sheet name="American" sheetId="171" r:id="rId25"/>
    <sheet name="BR_EAFE" sheetId="134" r:id="rId26"/>
    <sheet name="BR_EAFE_SC" sheetId="142" r:id="rId27"/>
    <sheet name="Franklin_Templeton" sheetId="159" r:id="rId28"/>
    <sheet name="DFA_INTL" sheetId="100" r:id="rId29"/>
    <sheet name="BR_EM" sheetId="145" r:id="rId30"/>
    <sheet name="William_Blair" sheetId="146" r:id="rId31"/>
    <sheet name="LSV_EM" sheetId="147" r:id="rId32"/>
    <sheet name="Eaton_Vance" sheetId="148" r:id="rId33"/>
    <sheet name="ASRS_F2" sheetId="39" r:id="rId34"/>
    <sheet name="BGI US Debt" sheetId="170" r:id="rId35"/>
    <sheet name="BGI_GOV_CR" sheetId="129" r:id="rId36"/>
    <sheet name="Columbia" sheetId="136" r:id="rId37"/>
    <sheet name="JPM_HY" sheetId="169" r:id="rId38"/>
    <sheet name="PIMCO_EMD" sheetId="164" r:id="rId39"/>
    <sheet name="Ashmore_blend" sheetId="166" r:id="rId40"/>
    <sheet name="Gresham" sheetId="143" r:id="rId41"/>
    <sheet name="Bridge_GTAA" sheetId="72" r:id="rId42"/>
    <sheet name="Windham" sheetId="160" r:id="rId43"/>
    <sheet name="LTD_USDebt" sheetId="151" r:id="rId44"/>
    <sheet name="LTD_HY" sheetId="152" r:id="rId45"/>
    <sheet name="LTD_R1" sheetId="149" r:id="rId46"/>
    <sheet name="LTD_R2" sheetId="150" r:id="rId47"/>
    <sheet name="LTD_EAFE" sheetId="153" r:id="rId48"/>
    <sheet name="LTD_EAFE_SC" sheetId="154" r:id="rId49"/>
    <sheet name="LTD_EM" sheetId="155" r:id="rId50"/>
    <sheet name="LTD_RE" sheetId="115" r:id="rId51"/>
    <sheet name="LTD_DJUBS" sheetId="156" r:id="rId52"/>
    <sheet name="LTD_EMD" sheetId="163" r:id="rId53"/>
    <sheet name="NEPC data" sheetId="133" r:id="rId54"/>
    <sheet name="Shenkman" sheetId="137" r:id="rId55"/>
    <sheet name="PIMCO" sheetId="139" r:id="rId56"/>
    <sheet name="HGI" sheetId="98" r:id="rId57"/>
    <sheet name="Aberdeen" sheetId="157" r:id="rId58"/>
    <sheet name="Walter_Scott" sheetId="158" r:id="rId59"/>
    <sheet name="Ashmore_LC" sheetId="165" r:id="rId60"/>
    <sheet name="Cargill" sheetId="144" r:id="rId61"/>
    <sheet name="JLEM_LC" sheetId="121" r:id="rId62"/>
    <sheet name="ASRS_E1" sheetId="8" r:id="rId63"/>
    <sheet name="BR_LC_Equity" sheetId="13" r:id="rId64"/>
    <sheet name="SSGA_MC" sheetId="29" r:id="rId65"/>
    <sheet name="Copper" sheetId="123" r:id="rId66"/>
    <sheet name="Iron" sheetId="124" r:id="rId67"/>
    <sheet name="MFS" sheetId="97" r:id="rId68"/>
    <sheet name="AXA" sheetId="99" r:id="rId69"/>
    <sheet name="BR_ACWI" sheetId="110" r:id="rId70"/>
    <sheet name="Fidelity" sheetId="70" r:id="rId71"/>
    <sheet name="BR_Core_Plus" sheetId="37" r:id="rId72"/>
    <sheet name="JPM_Fixed" sheetId="42" r:id="rId73"/>
    <sheet name="BR_Enh" sheetId="38" r:id="rId74"/>
    <sheet name="JPM_INT_AGG" sheetId="126" r:id="rId75"/>
    <sheet name="Segall_Bryant" sheetId="138" r:id="rId76"/>
    <sheet name="BR_TIPS" sheetId="140" r:id="rId77"/>
    <sheet name="QSI" sheetId="128" r:id="rId78"/>
    <sheet name="Guggenheim" sheetId="130" r:id="rId79"/>
    <sheet name="Hyperion" sheetId="132" r:id="rId80"/>
    <sheet name="LTD_EQUITY" sheetId="116" r:id="rId81"/>
    <sheet name="LTD_INTL" sheetId="117" r:id="rId82"/>
    <sheet name="LTD_FX_INC" sheetId="118" r:id="rId83"/>
    <sheet name="LTD_COMP" sheetId="119" r:id="rId84"/>
    <sheet name="TF" sheetId="83" r:id="rId85"/>
    <sheet name="US Eq" sheetId="85" r:id="rId86"/>
    <sheet name="LCE" sheetId="86" r:id="rId87"/>
    <sheet name="MCE" sheetId="87" r:id="rId88"/>
    <sheet name="SCE" sheetId="88" r:id="rId89"/>
    <sheet name="NonUS Eq" sheetId="89" r:id="rId90"/>
    <sheet name="Fx Inc" sheetId="90" r:id="rId91"/>
    <sheet name="GTAA" sheetId="91" r:id="rId92"/>
    <sheet name="RE" sheetId="112" r:id="rId93"/>
    <sheet name="TF gross" sheetId="84" r:id="rId94"/>
    <sheet name="Fees" sheetId="79" r:id="rId95"/>
    <sheet name="5Y Value Added" sheetId="127" r:id="rId96"/>
    <sheet name="10Y Value Added" sheetId="75" r:id="rId97"/>
    <sheet name="Terminated Managers" sheetId="76" r:id="rId98"/>
    <sheet name="Invest Goals" sheetId="114" r:id="rId99"/>
    <sheet name="Returns Value_Growth" sheetId="92" r:id="rId100"/>
    <sheet name="Chart LC Val_Gr" sheetId="96" r:id="rId101"/>
    <sheet name="Chart MC Val_Gr" sheetId="94" r:id="rId102"/>
    <sheet name="Chart SC Val_Gr" sheetId="95" r:id="rId103"/>
    <sheet name="Chart EAFE  Val_Gr" sheetId="101" r:id="rId104"/>
  </sheets>
  <externalReferences>
    <externalReference r:id="rId105"/>
  </externalReferences>
  <definedNames>
    <definedName name="_xlnm._FilterDatabase" localSheetId="2" hidden="1">'SS data FINAL recon'!$A$3:$I$3</definedName>
    <definedName name="_xlnm._FilterDatabase" localSheetId="1" hidden="1">'SS data PRELIM'!$A$3:$G$3</definedName>
    <definedName name="Batterymarch" localSheetId="17">TS!$A$1:$E$380</definedName>
    <definedName name="BGI_Intl" localSheetId="69">BR_ACWI!$A$1:$D$380</definedName>
    <definedName name="Blackrock" localSheetId="41">BR_Core_Plus!$A$1:$E$380</definedName>
    <definedName name="Blackrock" localSheetId="14">CRM!$A$1:$E$380</definedName>
    <definedName name="Blackrock" localSheetId="70">Fidelity!$A$1:$E$380</definedName>
    <definedName name="Brandes" localSheetId="68">AXA!$A$1:$D$380</definedName>
    <definedName name="Brandes" localSheetId="26">BR_EAFE_SC!$A$1:$D$380</definedName>
    <definedName name="Brandes" localSheetId="67">MFS!$A$1:$D$380</definedName>
    <definedName name="GTAA" localSheetId="92">RE!$A$1:$C$380</definedName>
    <definedName name="Index" localSheetId="57">[1]Index_Returns!$A$1:$BF$428</definedName>
    <definedName name="Index" localSheetId="39">[1]Index_Returns!$A$1:$BF$428</definedName>
    <definedName name="Index" localSheetId="59">[1]Index_Returns!$A$1:$BF$428</definedName>
    <definedName name="Index" localSheetId="29">[1]Index_Returns!$A$1:$BF$428</definedName>
    <definedName name="Index" localSheetId="76">[1]Index_Returns!$A$1:$BF$428</definedName>
    <definedName name="Index" localSheetId="60">[1]Index_Returns!$A$1:$BF$428</definedName>
    <definedName name="Index" localSheetId="32">[1]Index_Returns!$A$1:$BF$428</definedName>
    <definedName name="Index" localSheetId="27">[1]Index_Returns!$A$1:$BF$428</definedName>
    <definedName name="Index" localSheetId="40">[1]Index_Returns!$A$1:$BF$428</definedName>
    <definedName name="Index" localSheetId="31">[1]Index_Returns!$A$1:$BF$428</definedName>
    <definedName name="Index" localSheetId="55">[1]Index_Returns!$A$1:$BF$428</definedName>
    <definedName name="Index" localSheetId="38">[1]Index_Returns!$A$1:$BF$428</definedName>
    <definedName name="Index" localSheetId="75">[1]Index_Returns!$A$1:$BF$428</definedName>
    <definedName name="Index" localSheetId="58">[1]Index_Returns!$A$1:$BF$428</definedName>
    <definedName name="Index" localSheetId="30">[1]Index_Returns!$A$1:$BF$428</definedName>
    <definedName name="Index">Index_Returns!$A$1:$BQ$500</definedName>
    <definedName name="Mellon" localSheetId="24">#REF!</definedName>
    <definedName name="Mellon" localSheetId="22">#REF!</definedName>
    <definedName name="Mellon" localSheetId="23">#REF!</definedName>
    <definedName name="Mellon">#REF!</definedName>
    <definedName name="_xlnm.Print_Area" localSheetId="96">'10Y Value Added'!$A$1:$J$112</definedName>
    <definedName name="_xlnm.Print_Area" localSheetId="60">Cargill!$A$426:$E$438</definedName>
    <definedName name="_xlnm.Print_Area" localSheetId="3">Index_Returns!$BR$380:$BY$383</definedName>
    <definedName name="_xlnm.Print_Area" localSheetId="98">'Invest Goals'!$A$1:$I$70</definedName>
    <definedName name="_xlnm.Print_Area" localSheetId="53">'NEPC data'!$A$1:$M$189</definedName>
    <definedName name="_xlnm.Print_Area" localSheetId="4">'Return Summary'!$A$1:$AC$129</definedName>
    <definedName name="_xlnm.Print_Area" localSheetId="99">'Returns Value_Growth'!$A$238:$Y$317</definedName>
    <definedName name="_xlnm.Print_Area" localSheetId="1">'SS data PRELIM'!$A$100:$G$103</definedName>
    <definedName name="_xlnm.Print_Titles" localSheetId="94">Fees!$1:$2</definedName>
    <definedName name="_xlnm.Print_Titles" localSheetId="4">'Return Summary'!$1:$8</definedName>
    <definedName name="_xlnm.Print_Titles" localSheetId="99">'Returns Value_Growth'!$1:$2</definedName>
  </definedNames>
  <calcPr calcId="145621"/>
</workbook>
</file>

<file path=xl/calcChain.xml><?xml version="1.0" encoding="utf-8"?>
<calcChain xmlns="http://schemas.openxmlformats.org/spreadsheetml/2006/main">
  <c r="B472" i="129" l="1"/>
  <c r="AH472" i="9" l="1"/>
  <c r="AI472" i="9"/>
  <c r="AJ472" i="9"/>
  <c r="AK472" i="9"/>
  <c r="AL472" i="9"/>
  <c r="AM472" i="9"/>
  <c r="AN472" i="9"/>
  <c r="AO472" i="9"/>
  <c r="AP472" i="9"/>
  <c r="AQ472" i="9"/>
  <c r="AR472" i="9"/>
  <c r="AS472" i="9"/>
  <c r="AT472" i="9"/>
  <c r="AG472" i="9"/>
  <c r="R472" i="9"/>
  <c r="S472" i="9"/>
  <c r="T472" i="9"/>
  <c r="U472" i="9"/>
  <c r="V472" i="9"/>
  <c r="W472" i="9"/>
  <c r="X472" i="9"/>
  <c r="Y472" i="9"/>
  <c r="Z472" i="9"/>
  <c r="AA472" i="9"/>
  <c r="AB472" i="9"/>
  <c r="AC472" i="9"/>
  <c r="AD472" i="9"/>
  <c r="Q472" i="9"/>
  <c r="C472" i="9"/>
  <c r="D472" i="9"/>
  <c r="E472" i="9"/>
  <c r="F472" i="9"/>
  <c r="G472" i="9"/>
  <c r="H472" i="9"/>
  <c r="I472" i="9"/>
  <c r="J472" i="9"/>
  <c r="K472" i="9"/>
  <c r="L472" i="9"/>
  <c r="M472" i="9"/>
  <c r="B472" i="9"/>
  <c r="A34" i="135"/>
  <c r="A35" i="135"/>
  <c r="A36" i="135"/>
  <c r="A91" i="135"/>
  <c r="A26" i="135"/>
  <c r="A124" i="135"/>
  <c r="A11" i="135"/>
  <c r="A60" i="135"/>
  <c r="A23" i="135"/>
  <c r="A65" i="135"/>
  <c r="A57" i="135"/>
  <c r="A44" i="135"/>
  <c r="A46" i="135"/>
  <c r="A110" i="135"/>
  <c r="A88" i="135"/>
  <c r="A86" i="135"/>
  <c r="A87" i="135"/>
  <c r="A106" i="135"/>
  <c r="A105" i="135"/>
  <c r="A123" i="135"/>
  <c r="A107" i="135"/>
  <c r="A113" i="135"/>
  <c r="A115" i="135"/>
  <c r="A116" i="135"/>
  <c r="A104" i="135"/>
  <c r="A119" i="135"/>
  <c r="A118" i="135"/>
  <c r="A8" i="135"/>
  <c r="A82" i="135"/>
  <c r="A74" i="135"/>
  <c r="A75" i="135"/>
  <c r="A77" i="135"/>
  <c r="A76" i="135"/>
  <c r="A64" i="135"/>
  <c r="A5" i="135"/>
  <c r="A29" i="135"/>
  <c r="A103" i="135"/>
  <c r="A96" i="135"/>
  <c r="A101" i="135"/>
  <c r="A102" i="135"/>
  <c r="A97" i="135"/>
  <c r="A100" i="135"/>
  <c r="A95" i="135"/>
  <c r="A94" i="135"/>
  <c r="A99" i="135"/>
  <c r="A93" i="135"/>
  <c r="A12" i="135"/>
  <c r="A89" i="135"/>
  <c r="A43" i="135"/>
  <c r="A81" i="135"/>
  <c r="A37" i="135"/>
  <c r="A98" i="135"/>
  <c r="A25" i="135"/>
  <c r="A73" i="135"/>
  <c r="A61" i="135"/>
  <c r="A67" i="135"/>
  <c r="A90" i="135"/>
  <c r="A84" i="135"/>
  <c r="A33" i="135"/>
  <c r="A24" i="135"/>
  <c r="A47" i="135"/>
  <c r="A52" i="135"/>
  <c r="A92" i="135"/>
  <c r="A13" i="135"/>
  <c r="A28" i="135"/>
  <c r="A27" i="135"/>
  <c r="A71" i="135"/>
  <c r="A59" i="135"/>
  <c r="A56" i="135"/>
  <c r="A50" i="135"/>
  <c r="A49" i="135"/>
  <c r="A109" i="135"/>
  <c r="A68" i="135"/>
  <c r="A51" i="135"/>
  <c r="A85" i="135"/>
  <c r="A62" i="135"/>
  <c r="A72" i="135"/>
  <c r="A58" i="135"/>
  <c r="A45" i="135"/>
  <c r="A42" i="135"/>
  <c r="A32" i="135"/>
  <c r="A112" i="135"/>
  <c r="A125" i="135"/>
  <c r="A122" i="135"/>
  <c r="A121" i="135"/>
  <c r="A120" i="135"/>
  <c r="A63" i="135"/>
  <c r="A55" i="135"/>
  <c r="A83" i="135"/>
  <c r="A4" i="135"/>
  <c r="A66" i="135"/>
  <c r="A30" i="135"/>
  <c r="A15" i="135"/>
  <c r="A10" i="135"/>
  <c r="A16" i="135"/>
  <c r="A31" i="135"/>
  <c r="A14" i="135"/>
  <c r="A48" i="135"/>
  <c r="A78" i="135"/>
  <c r="A20" i="135"/>
  <c r="A21" i="135"/>
  <c r="A18" i="135"/>
  <c r="A19" i="135"/>
  <c r="A17" i="135"/>
  <c r="A40" i="135"/>
  <c r="A39" i="135"/>
  <c r="A38" i="135"/>
  <c r="A41" i="135"/>
  <c r="A53" i="135"/>
  <c r="A54" i="135"/>
  <c r="A79" i="135"/>
  <c r="A70" i="135"/>
  <c r="A80" i="135"/>
  <c r="A69" i="135"/>
  <c r="A7" i="135"/>
  <c r="A6" i="135"/>
  <c r="A9" i="135"/>
  <c r="A22" i="135"/>
  <c r="A111" i="135"/>
  <c r="A117" i="135"/>
  <c r="A114" i="135"/>
  <c r="A108" i="135"/>
  <c r="A34" i="141" l="1"/>
  <c r="A35" i="141"/>
  <c r="A36" i="141"/>
  <c r="A89" i="141"/>
  <c r="A26" i="141"/>
  <c r="A122" i="141"/>
  <c r="A11" i="141"/>
  <c r="A60" i="141"/>
  <c r="A23" i="141"/>
  <c r="A65" i="141"/>
  <c r="A57" i="141"/>
  <c r="A44" i="141"/>
  <c r="A46" i="141"/>
  <c r="A108" i="141"/>
  <c r="A86" i="141"/>
  <c r="A84" i="141"/>
  <c r="A85" i="141"/>
  <c r="A104" i="141"/>
  <c r="A103" i="141"/>
  <c r="A121" i="141"/>
  <c r="A105" i="141"/>
  <c r="A111" i="141"/>
  <c r="A113" i="141"/>
  <c r="A114" i="141"/>
  <c r="A102" i="141"/>
  <c r="A117" i="141"/>
  <c r="A116" i="141"/>
  <c r="A8" i="141"/>
  <c r="A80" i="141"/>
  <c r="A72" i="141"/>
  <c r="A73" i="141"/>
  <c r="A75" i="141"/>
  <c r="A74" i="141"/>
  <c r="A64" i="141"/>
  <c r="A5" i="141"/>
  <c r="A29" i="141"/>
  <c r="A101" i="141"/>
  <c r="A94" i="141"/>
  <c r="A99" i="141"/>
  <c r="A100" i="141"/>
  <c r="A95" i="141"/>
  <c r="A98" i="141"/>
  <c r="A93" i="141"/>
  <c r="A92" i="141"/>
  <c r="A97" i="141"/>
  <c r="A91" i="141"/>
  <c r="A12" i="141"/>
  <c r="A87" i="141"/>
  <c r="A43" i="141"/>
  <c r="A79" i="141"/>
  <c r="A37" i="141"/>
  <c r="A96" i="141"/>
  <c r="A25" i="141"/>
  <c r="A71" i="141"/>
  <c r="A61" i="141"/>
  <c r="A67" i="141"/>
  <c r="A88" i="141"/>
  <c r="A82" i="141"/>
  <c r="A33" i="141"/>
  <c r="A24" i="141"/>
  <c r="A47" i="141"/>
  <c r="A52" i="141"/>
  <c r="A90" i="141"/>
  <c r="A13" i="141"/>
  <c r="A28" i="141"/>
  <c r="A27" i="141"/>
  <c r="A69" i="141"/>
  <c r="A59" i="141"/>
  <c r="A56" i="141"/>
  <c r="A50" i="141"/>
  <c r="A49" i="141"/>
  <c r="A107" i="141"/>
  <c r="A68" i="141"/>
  <c r="A51" i="141"/>
  <c r="A83" i="141"/>
  <c r="A62" i="141"/>
  <c r="A70" i="141"/>
  <c r="A58" i="141"/>
  <c r="A45" i="141"/>
  <c r="A42" i="141"/>
  <c r="A32" i="141"/>
  <c r="A110" i="141"/>
  <c r="A123" i="141"/>
  <c r="A120" i="141"/>
  <c r="A119" i="141"/>
  <c r="A118" i="141"/>
  <c r="A63" i="141"/>
  <c r="A55" i="141"/>
  <c r="A81" i="141"/>
  <c r="A4" i="141"/>
  <c r="A66" i="141"/>
  <c r="A30" i="141"/>
  <c r="A15" i="141"/>
  <c r="A10" i="141"/>
  <c r="A16" i="141"/>
  <c r="A31" i="141"/>
  <c r="A14" i="141"/>
  <c r="A48" i="141"/>
  <c r="A76" i="141"/>
  <c r="A20" i="141"/>
  <c r="A21" i="141"/>
  <c r="A18" i="141"/>
  <c r="A19" i="141"/>
  <c r="A17" i="141"/>
  <c r="A40" i="141"/>
  <c r="A39" i="141"/>
  <c r="A38" i="141"/>
  <c r="A41" i="141"/>
  <c r="A53" i="141"/>
  <c r="A54" i="141"/>
  <c r="A77" i="141"/>
  <c r="A78" i="141"/>
  <c r="A7" i="141"/>
  <c r="A6" i="141"/>
  <c r="A9" i="141"/>
  <c r="A22" i="141"/>
  <c r="A109" i="141"/>
  <c r="A115" i="141"/>
  <c r="A112" i="141"/>
  <c r="A106" i="141"/>
  <c r="Q65" i="62" l="1"/>
  <c r="AF65" i="62"/>
  <c r="AC65" i="62" s="1"/>
  <c r="AF64" i="62"/>
  <c r="AF63" i="62"/>
  <c r="Q94" i="62" a="1"/>
  <c r="Q94" i="62" s="1"/>
  <c r="AF94" i="62" a="1"/>
  <c r="AF94" i="62"/>
  <c r="AC63" i="62" a="1"/>
  <c r="AC64" i="62" a="1"/>
  <c r="AC65" i="62" a="1"/>
  <c r="Q188" i="62" a="1"/>
  <c r="Q188" i="62" s="1"/>
  <c r="Q185" i="62" a="1"/>
  <c r="Q185" i="62" s="1"/>
  <c r="Q182" i="62" a="1"/>
  <c r="Q182" i="62" s="1"/>
  <c r="Q179" i="62" a="1"/>
  <c r="Q179" i="62" s="1"/>
  <c r="Q176" i="62" a="1"/>
  <c r="Q176" i="62" s="1"/>
  <c r="Q173" i="62" a="1"/>
  <c r="Q173" i="62" s="1"/>
  <c r="Q170" i="62" a="1"/>
  <c r="Q170" i="62" s="1"/>
  <c r="Q167" i="62" a="1"/>
  <c r="Q167" i="62" s="1"/>
  <c r="Q164" i="62" a="1"/>
  <c r="Q164" i="62" s="1"/>
  <c r="Q161" i="62" a="1"/>
  <c r="Q161" i="62" s="1"/>
  <c r="Q125" i="62" a="1"/>
  <c r="Q125" i="62" s="1"/>
  <c r="Q122" i="62" a="1"/>
  <c r="Q115" i="62" a="1"/>
  <c r="Q108" i="62" a="1"/>
  <c r="Q105" i="62" a="1"/>
  <c r="Q99" i="62" a="1"/>
  <c r="Q98" i="62" a="1"/>
  <c r="Q98" i="62" s="1"/>
  <c r="Q95" i="62" a="1"/>
  <c r="Q88" i="62" a="1"/>
  <c r="Q88" i="62" s="1"/>
  <c r="Q82" i="62" a="1"/>
  <c r="Q82" i="62" s="1"/>
  <c r="Q81" i="62" a="1"/>
  <c r="Q80" i="62" a="1"/>
  <c r="Q80" i="62" s="1"/>
  <c r="Q79" i="62" a="1"/>
  <c r="Q79" i="62" s="1"/>
  <c r="Q75" i="62" a="1"/>
  <c r="Q75" i="62" s="1"/>
  <c r="Q74" i="62" a="1"/>
  <c r="Q73" i="62" a="1"/>
  <c r="Q73" i="62" s="1"/>
  <c r="Q72" i="62" a="1"/>
  <c r="Q72" i="62" s="1"/>
  <c r="Q66" i="62" a="1"/>
  <c r="Q62" i="62" a="1"/>
  <c r="Q62" i="62" s="1"/>
  <c r="Q53" i="62" a="1"/>
  <c r="Q53" i="62" s="1"/>
  <c r="Q50" i="62" a="1"/>
  <c r="Q47" i="62" a="1"/>
  <c r="Q47" i="62" s="1"/>
  <c r="Q46" i="62" a="1"/>
  <c r="Q46" i="62" s="1"/>
  <c r="Q39" i="62" a="1"/>
  <c r="Q39" i="62" s="1"/>
  <c r="Q38" i="62" a="1"/>
  <c r="Q38" i="62" s="1"/>
  <c r="Q35" i="62" a="1"/>
  <c r="Q35" i="62" s="1"/>
  <c r="Q32" i="62" a="1"/>
  <c r="Q32" i="62" s="1"/>
  <c r="Q25" i="62" a="1"/>
  <c r="Q22" i="62" a="1"/>
  <c r="Q19" i="62" a="1"/>
  <c r="Q19" i="62" s="1"/>
  <c r="Q16" i="62" a="1"/>
  <c r="Q12" i="62" a="1"/>
  <c r="Q12" i="62" s="1"/>
  <c r="H129" i="62" a="1"/>
  <c r="H129" i="62" s="1"/>
  <c r="AF188" i="62" a="1"/>
  <c r="AF188" i="62" s="1"/>
  <c r="AF185" i="62" a="1"/>
  <c r="AF185" i="62" s="1"/>
  <c r="AF182" i="62" a="1"/>
  <c r="AF182" i="62" s="1"/>
  <c r="AF179" i="62" a="1"/>
  <c r="AF179" i="62" s="1"/>
  <c r="AF176" i="62" a="1"/>
  <c r="AF176" i="62" s="1"/>
  <c r="AF173" i="62" a="1"/>
  <c r="AF173" i="62" s="1"/>
  <c r="AF170" i="62" a="1"/>
  <c r="AF170" i="62" s="1"/>
  <c r="AF167" i="62" a="1"/>
  <c r="AF167" i="62" s="1"/>
  <c r="AF164" i="62" a="1"/>
  <c r="AF164" i="62" s="1"/>
  <c r="AF161" i="62" a="1"/>
  <c r="AF161" i="62" s="1"/>
  <c r="AF125" i="62" a="1"/>
  <c r="AF125" i="62" s="1"/>
  <c r="AF122" i="62" a="1"/>
  <c r="AF122" i="62" s="1"/>
  <c r="AF115" i="62" a="1"/>
  <c r="AF115" i="62" s="1"/>
  <c r="AF108" i="62" a="1"/>
  <c r="AF108" i="62" s="1"/>
  <c r="AF105" i="62" a="1"/>
  <c r="AF105" i="62" s="1"/>
  <c r="AF102" i="62" a="1"/>
  <c r="AF102" i="62" s="1"/>
  <c r="AF99" i="62" a="1"/>
  <c r="AF99" i="62" s="1"/>
  <c r="AF98" i="62" a="1"/>
  <c r="AF98" i="62" s="1"/>
  <c r="AF95" i="62" a="1"/>
  <c r="AF95" i="62" s="1"/>
  <c r="AF88" i="62" a="1"/>
  <c r="AF82" i="62" a="1"/>
  <c r="AF82" i="62" s="1"/>
  <c r="AF81" i="62" a="1"/>
  <c r="AF81" i="62" s="1"/>
  <c r="AF80" i="62" a="1"/>
  <c r="AF80" i="62" s="1"/>
  <c r="AF79" i="62" a="1"/>
  <c r="AF79" i="62" s="1"/>
  <c r="AF75" i="62" a="1"/>
  <c r="AF75" i="62" s="1"/>
  <c r="AF74" i="62" a="1"/>
  <c r="AF74" i="62" s="1"/>
  <c r="AF73" i="62" a="1"/>
  <c r="AF73" i="62" s="1"/>
  <c r="AF72" i="62" a="1"/>
  <c r="AF72" i="62" s="1"/>
  <c r="AF66" i="62" a="1"/>
  <c r="AF66" i="62" s="1"/>
  <c r="AF62" i="62" a="1"/>
  <c r="AF62" i="62" s="1"/>
  <c r="AF53" i="62" a="1"/>
  <c r="AF50" i="62" a="1"/>
  <c r="AF50" i="62" s="1"/>
  <c r="AF47" i="62" a="1"/>
  <c r="AF47" i="62" s="1"/>
  <c r="AF46" i="62" a="1"/>
  <c r="AF46" i="62" s="1"/>
  <c r="AF39" i="62" a="1"/>
  <c r="AF39" i="62" s="1"/>
  <c r="AF38" i="62" a="1"/>
  <c r="AF38" i="62" s="1"/>
  <c r="AF35" i="62" a="1"/>
  <c r="AF35" i="62" s="1"/>
  <c r="AF32" i="62" a="1"/>
  <c r="AF32" i="62" s="1"/>
  <c r="AF25" i="62" a="1"/>
  <c r="AF25" i="62" s="1"/>
  <c r="AF22" i="62" a="1"/>
  <c r="AF22" i="62" s="1"/>
  <c r="AF19" i="62" a="1"/>
  <c r="AF19" i="62" s="1"/>
  <c r="AF16" i="62" a="1"/>
  <c r="AF16" i="62" s="1"/>
  <c r="AF12" i="62" a="1"/>
  <c r="AF12" i="62" s="1"/>
  <c r="E473" i="173"/>
  <c r="E474" i="173"/>
  <c r="E475" i="173"/>
  <c r="E476" i="173"/>
  <c r="E477" i="173"/>
  <c r="E478" i="173"/>
  <c r="E479" i="173"/>
  <c r="E480" i="173"/>
  <c r="E481" i="173"/>
  <c r="E482" i="173"/>
  <c r="E483" i="173"/>
  <c r="E484" i="173"/>
  <c r="E485" i="173"/>
  <c r="E486" i="173"/>
  <c r="E487" i="173"/>
  <c r="E488" i="173"/>
  <c r="E473" i="172"/>
  <c r="E474" i="172"/>
  <c r="E475" i="172"/>
  <c r="E476" i="172"/>
  <c r="E477" i="172"/>
  <c r="E478" i="172"/>
  <c r="E479" i="172"/>
  <c r="E480" i="172"/>
  <c r="E481" i="172"/>
  <c r="E482" i="172"/>
  <c r="E483" i="172"/>
  <c r="E484" i="172"/>
  <c r="E485" i="172"/>
  <c r="E486" i="172"/>
  <c r="E487" i="172"/>
  <c r="E488" i="172"/>
  <c r="E473" i="171"/>
  <c r="E474" i="171"/>
  <c r="E475" i="171"/>
  <c r="E476" i="171"/>
  <c r="E477" i="171"/>
  <c r="E478" i="171"/>
  <c r="E479" i="171"/>
  <c r="E480" i="171"/>
  <c r="E481" i="171"/>
  <c r="E482" i="171"/>
  <c r="E483" i="171"/>
  <c r="E484" i="171"/>
  <c r="E485" i="171"/>
  <c r="E486" i="171"/>
  <c r="E487" i="171"/>
  <c r="E488" i="171"/>
  <c r="F1" i="173" l="1"/>
  <c r="B488" i="173"/>
  <c r="B487" i="173"/>
  <c r="B486" i="173"/>
  <c r="B485" i="173"/>
  <c r="B484" i="173"/>
  <c r="B483" i="173"/>
  <c r="B482" i="173"/>
  <c r="B481" i="173"/>
  <c r="B480" i="173"/>
  <c r="B479" i="173"/>
  <c r="B478" i="173"/>
  <c r="B477" i="173"/>
  <c r="B476" i="173"/>
  <c r="B475" i="173"/>
  <c r="B474" i="173"/>
  <c r="B473" i="173"/>
  <c r="B472" i="173"/>
  <c r="E472" i="173" s="1"/>
  <c r="B471" i="173"/>
  <c r="E471" i="173" s="1"/>
  <c r="D1" i="173"/>
  <c r="F1" i="172"/>
  <c r="B488" i="172"/>
  <c r="B487" i="172"/>
  <c r="B486" i="172"/>
  <c r="B485" i="172"/>
  <c r="B484" i="172"/>
  <c r="B483" i="172"/>
  <c r="B482" i="172"/>
  <c r="B481" i="172"/>
  <c r="B480" i="172"/>
  <c r="B479" i="172"/>
  <c r="B478" i="172"/>
  <c r="B477" i="172"/>
  <c r="B476" i="172"/>
  <c r="B475" i="172"/>
  <c r="B474" i="172"/>
  <c r="B473" i="172"/>
  <c r="B472" i="172"/>
  <c r="E472" i="172" s="1"/>
  <c r="B471" i="172"/>
  <c r="D1" i="172"/>
  <c r="F1" i="171"/>
  <c r="B488" i="171"/>
  <c r="B487" i="171"/>
  <c r="B486" i="171"/>
  <c r="B485" i="171"/>
  <c r="B484" i="171"/>
  <c r="B483" i="171"/>
  <c r="B482" i="171"/>
  <c r="B481" i="171"/>
  <c r="B480" i="171"/>
  <c r="B479" i="171"/>
  <c r="B478" i="171"/>
  <c r="B477" i="171"/>
  <c r="B476" i="171"/>
  <c r="B475" i="171"/>
  <c r="B474" i="171"/>
  <c r="B473" i="171"/>
  <c r="B472" i="171"/>
  <c r="E472" i="171" s="1"/>
  <c r="B471" i="171"/>
  <c r="D1" i="171"/>
  <c r="B471" i="134"/>
  <c r="Q66" i="62" s="1"/>
  <c r="BY477" i="9" a="1"/>
  <c r="BY477" i="9"/>
  <c r="BY471" i="9"/>
  <c r="E471" i="172" l="1"/>
  <c r="Q64" i="62"/>
  <c r="AC64" i="62" s="1"/>
  <c r="Q63" i="62"/>
  <c r="AC63" i="62" s="1"/>
  <c r="E471" i="171"/>
  <c r="H112" i="141" l="1"/>
  <c r="H115" i="141"/>
  <c r="H109" i="141"/>
  <c r="H22" i="141"/>
  <c r="H9" i="141"/>
  <c r="H6" i="141"/>
  <c r="H7" i="141"/>
  <c r="H78" i="141"/>
  <c r="H77" i="141"/>
  <c r="H54" i="141"/>
  <c r="H53" i="141"/>
  <c r="H41" i="141"/>
  <c r="H38" i="141"/>
  <c r="H39" i="141"/>
  <c r="H40" i="141"/>
  <c r="H17" i="141"/>
  <c r="H19" i="141"/>
  <c r="H18" i="141"/>
  <c r="H21" i="141"/>
  <c r="H20" i="141"/>
  <c r="H76" i="141"/>
  <c r="H48" i="141"/>
  <c r="H14" i="141"/>
  <c r="H31" i="141"/>
  <c r="H16" i="141"/>
  <c r="H10" i="141"/>
  <c r="H15" i="141"/>
  <c r="H30" i="141"/>
  <c r="H66" i="141"/>
  <c r="H4" i="141"/>
  <c r="I4" i="141" s="1"/>
  <c r="H81" i="141"/>
  <c r="H55" i="141"/>
  <c r="H63" i="141"/>
  <c r="H118" i="141"/>
  <c r="H119" i="141"/>
  <c r="H120" i="141"/>
  <c r="H123" i="141"/>
  <c r="H110" i="141"/>
  <c r="H32" i="141"/>
  <c r="H42" i="141"/>
  <c r="H45" i="141"/>
  <c r="H58" i="141"/>
  <c r="H70" i="141"/>
  <c r="H62" i="141"/>
  <c r="H83" i="141"/>
  <c r="H51" i="141"/>
  <c r="H68" i="141"/>
  <c r="H107" i="141"/>
  <c r="H49" i="141"/>
  <c r="H50" i="141"/>
  <c r="H56" i="141"/>
  <c r="H59" i="141"/>
  <c r="H69" i="141"/>
  <c r="H27" i="141"/>
  <c r="H28" i="141"/>
  <c r="H13" i="141"/>
  <c r="H90" i="141"/>
  <c r="H52" i="141"/>
  <c r="H47" i="141"/>
  <c r="H24" i="141"/>
  <c r="H33" i="141"/>
  <c r="H82" i="141"/>
  <c r="H88" i="141"/>
  <c r="H67" i="141"/>
  <c r="H61" i="141"/>
  <c r="H71" i="141"/>
  <c r="H25" i="141"/>
  <c r="H96" i="141"/>
  <c r="H37" i="141"/>
  <c r="H79" i="141"/>
  <c r="H43" i="141"/>
  <c r="H87" i="141"/>
  <c r="H12" i="141"/>
  <c r="H91" i="141"/>
  <c r="H97" i="141"/>
  <c r="H92" i="141"/>
  <c r="H93" i="141"/>
  <c r="H98" i="141"/>
  <c r="H95" i="141"/>
  <c r="H100" i="141"/>
  <c r="H99" i="141"/>
  <c r="H94" i="141"/>
  <c r="H101" i="141"/>
  <c r="H29" i="141"/>
  <c r="H5" i="141"/>
  <c r="H64" i="141"/>
  <c r="H74" i="141"/>
  <c r="H75" i="141"/>
  <c r="H73" i="141"/>
  <c r="H72" i="141"/>
  <c r="H80" i="141"/>
  <c r="H8" i="141"/>
  <c r="H116" i="141"/>
  <c r="H117" i="141"/>
  <c r="H102" i="141"/>
  <c r="H114" i="141"/>
  <c r="H113" i="141"/>
  <c r="H111" i="141"/>
  <c r="H105" i="141"/>
  <c r="H121" i="141"/>
  <c r="H103" i="141"/>
  <c r="H104" i="141"/>
  <c r="H85" i="141"/>
  <c r="H84" i="141"/>
  <c r="H86" i="141"/>
  <c r="H108" i="141"/>
  <c r="H46" i="141"/>
  <c r="H44" i="141"/>
  <c r="H57" i="141"/>
  <c r="H65" i="141"/>
  <c r="H23" i="141"/>
  <c r="H60" i="141"/>
  <c r="H11" i="141"/>
  <c r="H122" i="141"/>
  <c r="H26" i="141"/>
  <c r="H89" i="141"/>
  <c r="H36" i="141"/>
  <c r="H35" i="141"/>
  <c r="H34" i="141"/>
  <c r="H106" i="141"/>
  <c r="BY469" i="9" l="1"/>
  <c r="BY470" i="9"/>
  <c r="AC94" i="62" l="1"/>
  <c r="C1" i="170"/>
  <c r="B488" i="170"/>
  <c r="E488" i="170" s="1"/>
  <c r="B487" i="170"/>
  <c r="E487" i="170" s="1"/>
  <c r="B486" i="170"/>
  <c r="E486" i="170" s="1"/>
  <c r="B485" i="170"/>
  <c r="E485" i="170" s="1"/>
  <c r="B484" i="170"/>
  <c r="E484" i="170" s="1"/>
  <c r="B483" i="170"/>
  <c r="E483" i="170" s="1"/>
  <c r="B482" i="170"/>
  <c r="E482" i="170" s="1"/>
  <c r="B481" i="170"/>
  <c r="E481" i="170" s="1"/>
  <c r="B480" i="170"/>
  <c r="E480" i="170" s="1"/>
  <c r="B479" i="170"/>
  <c r="E479" i="170" s="1"/>
  <c r="B478" i="170"/>
  <c r="E478" i="170" s="1"/>
  <c r="B477" i="170"/>
  <c r="E477" i="170" s="1"/>
  <c r="B476" i="170"/>
  <c r="E476" i="170" s="1"/>
  <c r="B475" i="170"/>
  <c r="E475" i="170" s="1"/>
  <c r="B474" i="170"/>
  <c r="E474" i="170" s="1"/>
  <c r="B473" i="170"/>
  <c r="E473" i="170" s="1"/>
  <c r="B472" i="170"/>
  <c r="E472" i="170" s="1"/>
  <c r="B471" i="170"/>
  <c r="E471" i="170" s="1"/>
  <c r="B470" i="170"/>
  <c r="E470" i="170" s="1"/>
  <c r="B469" i="170"/>
  <c r="E469" i="170" s="1"/>
  <c r="BY468" i="9" l="1"/>
  <c r="E473" i="49" l="1"/>
  <c r="E474" i="49"/>
  <c r="E475" i="49"/>
  <c r="E476" i="49"/>
  <c r="E477" i="49"/>
  <c r="E478" i="49"/>
  <c r="E479" i="49"/>
  <c r="E480" i="49"/>
  <c r="E481" i="49"/>
  <c r="E482" i="49"/>
  <c r="E483" i="49"/>
  <c r="E484" i="49"/>
  <c r="E485" i="49"/>
  <c r="E486" i="49"/>
  <c r="E487" i="49"/>
  <c r="E488" i="49"/>
  <c r="I116" i="141" l="1"/>
  <c r="I36" i="141"/>
  <c r="I23" i="141"/>
  <c r="I49" i="141"/>
  <c r="I9" i="141"/>
  <c r="I42" i="141"/>
  <c r="I104" i="141"/>
  <c r="I39" i="141"/>
  <c r="I53" i="141"/>
  <c r="I5" i="141"/>
  <c r="I72" i="141"/>
  <c r="I25" i="141"/>
  <c r="I68" i="141"/>
  <c r="I75" i="141"/>
  <c r="I84" i="141"/>
  <c r="I73" i="141"/>
  <c r="I52" i="141"/>
  <c r="I82" i="141"/>
  <c r="I56" i="141"/>
  <c r="I95" i="141"/>
  <c r="I106" i="141"/>
  <c r="I10" i="141"/>
  <c r="I6" i="141"/>
  <c r="I66" i="141"/>
  <c r="I50" i="141"/>
  <c r="I99" i="141"/>
  <c r="I11" i="141"/>
  <c r="I93" i="141"/>
  <c r="I41" i="141"/>
  <c r="I105" i="141"/>
  <c r="I85" i="141"/>
  <c r="I27" i="141"/>
  <c r="I91" i="141"/>
  <c r="I40" i="141"/>
  <c r="I59" i="141"/>
  <c r="I109" i="141"/>
  <c r="I8" i="141"/>
  <c r="I114" i="141"/>
  <c r="I115" i="141"/>
  <c r="I14" i="141"/>
  <c r="I7" i="141"/>
  <c r="I110" i="141"/>
  <c r="I113" i="141"/>
  <c r="I100" i="141"/>
  <c r="I112" i="141"/>
  <c r="I83" i="141"/>
  <c r="I44" i="141"/>
  <c r="I47" i="141"/>
  <c r="I35" i="141"/>
  <c r="I70" i="141"/>
  <c r="I45" i="141"/>
  <c r="I102" i="141"/>
  <c r="I63" i="141"/>
  <c r="I32" i="141"/>
  <c r="I26" i="141"/>
  <c r="I64" i="141"/>
  <c r="I101" i="141"/>
  <c r="I123" i="141"/>
  <c r="I97" i="141"/>
  <c r="I79" i="141"/>
  <c r="I22" i="141"/>
  <c r="I96" i="141"/>
  <c r="I51" i="141"/>
  <c r="I107" i="141"/>
  <c r="I120" i="141"/>
  <c r="I37" i="141"/>
  <c r="I15" i="141"/>
  <c r="I111" i="141"/>
  <c r="I21" i="141"/>
  <c r="I122" i="141"/>
  <c r="I20" i="141"/>
  <c r="I54" i="141"/>
  <c r="I90" i="141"/>
  <c r="I65" i="141"/>
  <c r="I31" i="141"/>
  <c r="I78" i="141"/>
  <c r="I117" i="141"/>
  <c r="I69" i="141"/>
  <c r="I18" i="141"/>
  <c r="I76" i="141"/>
  <c r="I33" i="141"/>
  <c r="I71" i="141"/>
  <c r="I29" i="141"/>
  <c r="I62" i="141"/>
  <c r="I19" i="141"/>
  <c r="I43" i="141"/>
  <c r="I88" i="141"/>
  <c r="I28" i="141"/>
  <c r="I61" i="141"/>
  <c r="I38" i="141"/>
  <c r="I86" i="141"/>
  <c r="I77" i="141"/>
  <c r="I121" i="141"/>
  <c r="I103" i="141"/>
  <c r="I80" i="141"/>
  <c r="I94" i="141"/>
  <c r="I48" i="141"/>
  <c r="I58" i="141"/>
  <c r="I108" i="141"/>
  <c r="I24" i="141"/>
  <c r="I12" i="141"/>
  <c r="I60" i="141"/>
  <c r="I74" i="141"/>
  <c r="I13" i="141"/>
  <c r="I34" i="141"/>
  <c r="I92" i="141"/>
  <c r="I118" i="141"/>
  <c r="I67" i="141"/>
  <c r="I46" i="141"/>
  <c r="I17" i="141"/>
  <c r="I119" i="141"/>
  <c r="I87" i="141"/>
  <c r="I57" i="141"/>
  <c r="I98" i="141"/>
  <c r="I30" i="141"/>
  <c r="I16" i="141"/>
  <c r="I89" i="141"/>
  <c r="BY467" i="9" l="1"/>
  <c r="BY466" i="9" l="1"/>
  <c r="AL1" i="9" l="1"/>
  <c r="U1" i="9" l="1"/>
  <c r="AA1" i="9"/>
  <c r="V1" i="9"/>
  <c r="B465" i="163" l="1"/>
  <c r="B466" i="163"/>
  <c r="B467" i="163"/>
  <c r="B468" i="163"/>
  <c r="B469" i="163"/>
  <c r="B470" i="163"/>
  <c r="B471" i="163"/>
  <c r="B472" i="163"/>
  <c r="B473" i="163"/>
  <c r="B474" i="163"/>
  <c r="B475" i="163"/>
  <c r="B476" i="163"/>
  <c r="B477" i="163"/>
  <c r="B478" i="163"/>
  <c r="B479" i="163"/>
  <c r="B480" i="163"/>
  <c r="B481" i="163"/>
  <c r="B482" i="163"/>
  <c r="B483" i="163"/>
  <c r="B484" i="163"/>
  <c r="B485" i="163"/>
  <c r="B486" i="163"/>
  <c r="B487" i="163"/>
  <c r="B488" i="163"/>
  <c r="B465" i="156"/>
  <c r="B466" i="156"/>
  <c r="B467" i="156"/>
  <c r="B468" i="156"/>
  <c r="B469" i="156"/>
  <c r="B470" i="156"/>
  <c r="B471" i="156"/>
  <c r="B472" i="156"/>
  <c r="B473" i="156"/>
  <c r="B474" i="156"/>
  <c r="B475" i="156"/>
  <c r="B476" i="156"/>
  <c r="B477" i="156"/>
  <c r="B478" i="156"/>
  <c r="B479" i="156"/>
  <c r="B480" i="156"/>
  <c r="B481" i="156"/>
  <c r="B482" i="156"/>
  <c r="B483" i="156"/>
  <c r="B484" i="156"/>
  <c r="B485" i="156"/>
  <c r="B486" i="156"/>
  <c r="B487" i="156"/>
  <c r="B488" i="156"/>
  <c r="B465" i="115"/>
  <c r="B466" i="115"/>
  <c r="B467" i="115"/>
  <c r="B468" i="115"/>
  <c r="B469" i="115"/>
  <c r="B470" i="115"/>
  <c r="B471" i="115"/>
  <c r="B472" i="115"/>
  <c r="B473" i="115"/>
  <c r="B474" i="115"/>
  <c r="B475" i="115"/>
  <c r="B476" i="115"/>
  <c r="B477" i="115"/>
  <c r="B478" i="115"/>
  <c r="B479" i="115"/>
  <c r="B480" i="115"/>
  <c r="B481" i="115"/>
  <c r="B482" i="115"/>
  <c r="B483" i="115"/>
  <c r="B484" i="115"/>
  <c r="B485" i="115"/>
  <c r="B486" i="115"/>
  <c r="B487" i="115"/>
  <c r="B488" i="115"/>
  <c r="B465" i="155"/>
  <c r="B466" i="155"/>
  <c r="B467" i="155"/>
  <c r="B468" i="155"/>
  <c r="B469" i="155"/>
  <c r="B470" i="155"/>
  <c r="B471" i="155"/>
  <c r="B472" i="155"/>
  <c r="B473" i="155"/>
  <c r="B474" i="155"/>
  <c r="B475" i="155"/>
  <c r="B476" i="155"/>
  <c r="B477" i="155"/>
  <c r="B478" i="155"/>
  <c r="B479" i="155"/>
  <c r="B480" i="155"/>
  <c r="B481" i="155"/>
  <c r="B482" i="155"/>
  <c r="B483" i="155"/>
  <c r="B484" i="155"/>
  <c r="B485" i="155"/>
  <c r="B486" i="155"/>
  <c r="B487" i="155"/>
  <c r="B488" i="155"/>
  <c r="B465" i="154"/>
  <c r="B466" i="154"/>
  <c r="B467" i="154"/>
  <c r="B468" i="154"/>
  <c r="B469" i="154"/>
  <c r="B470" i="154"/>
  <c r="B471" i="154"/>
  <c r="B472" i="154"/>
  <c r="B473" i="154"/>
  <c r="B474" i="154"/>
  <c r="B475" i="154"/>
  <c r="B476" i="154"/>
  <c r="B477" i="154"/>
  <c r="B478" i="154"/>
  <c r="B479" i="154"/>
  <c r="B480" i="154"/>
  <c r="B481" i="154"/>
  <c r="B482" i="154"/>
  <c r="B483" i="154"/>
  <c r="B484" i="154"/>
  <c r="B485" i="154"/>
  <c r="B486" i="154"/>
  <c r="B487" i="154"/>
  <c r="B488" i="154"/>
  <c r="B465" i="153"/>
  <c r="B466" i="153"/>
  <c r="B467" i="153"/>
  <c r="B468" i="153"/>
  <c r="B469" i="153"/>
  <c r="B470" i="153"/>
  <c r="B471" i="153"/>
  <c r="B472" i="153"/>
  <c r="B473" i="153"/>
  <c r="B474" i="153"/>
  <c r="B475" i="153"/>
  <c r="B476" i="153"/>
  <c r="B477" i="153"/>
  <c r="B478" i="153"/>
  <c r="B479" i="153"/>
  <c r="B480" i="153"/>
  <c r="B481" i="153"/>
  <c r="B482" i="153"/>
  <c r="B483" i="153"/>
  <c r="B484" i="153"/>
  <c r="B485" i="153"/>
  <c r="B486" i="153"/>
  <c r="B487" i="153"/>
  <c r="B488" i="153"/>
  <c r="B465" i="150"/>
  <c r="B466" i="150"/>
  <c r="B467" i="150"/>
  <c r="B468" i="150"/>
  <c r="B469" i="150"/>
  <c r="B470" i="150"/>
  <c r="B471" i="150"/>
  <c r="B472" i="150"/>
  <c r="B473" i="150"/>
  <c r="B474" i="150"/>
  <c r="B475" i="150"/>
  <c r="B476" i="150"/>
  <c r="B477" i="150"/>
  <c r="B478" i="150"/>
  <c r="B479" i="150"/>
  <c r="B480" i="150"/>
  <c r="B481" i="150"/>
  <c r="B482" i="150"/>
  <c r="B483" i="150"/>
  <c r="B484" i="150"/>
  <c r="B485" i="150"/>
  <c r="B486" i="150"/>
  <c r="B487" i="150"/>
  <c r="B488" i="150"/>
  <c r="B465" i="149"/>
  <c r="B466" i="149"/>
  <c r="B467" i="149"/>
  <c r="B468" i="149"/>
  <c r="B469" i="149"/>
  <c r="B470" i="149"/>
  <c r="B471" i="149"/>
  <c r="B472" i="149"/>
  <c r="B473" i="149"/>
  <c r="B474" i="149"/>
  <c r="B475" i="149"/>
  <c r="B476" i="149"/>
  <c r="B477" i="149"/>
  <c r="B478" i="149"/>
  <c r="B479" i="149"/>
  <c r="B480" i="149"/>
  <c r="B481" i="149"/>
  <c r="B482" i="149"/>
  <c r="B483" i="149"/>
  <c r="B484" i="149"/>
  <c r="B485" i="149"/>
  <c r="B486" i="149"/>
  <c r="B487" i="149"/>
  <c r="B488" i="149"/>
  <c r="B465" i="152"/>
  <c r="B466" i="152"/>
  <c r="B467" i="152"/>
  <c r="B468" i="152"/>
  <c r="B469" i="152"/>
  <c r="B470" i="152"/>
  <c r="B471" i="152"/>
  <c r="B472" i="152"/>
  <c r="B473" i="152"/>
  <c r="B474" i="152"/>
  <c r="B475" i="152"/>
  <c r="B476" i="152"/>
  <c r="B477" i="152"/>
  <c r="B478" i="152"/>
  <c r="B479" i="152"/>
  <c r="B480" i="152"/>
  <c r="B481" i="152"/>
  <c r="B482" i="152"/>
  <c r="B483" i="152"/>
  <c r="B484" i="152"/>
  <c r="B485" i="152"/>
  <c r="B486" i="152"/>
  <c r="B487" i="152"/>
  <c r="B488" i="152"/>
  <c r="B489" i="152"/>
  <c r="B490" i="152"/>
  <c r="B491" i="152"/>
  <c r="B465" i="151"/>
  <c r="B466" i="151"/>
  <c r="B467" i="151"/>
  <c r="B468" i="151"/>
  <c r="B469" i="151"/>
  <c r="B470" i="151"/>
  <c r="B471" i="151"/>
  <c r="B472" i="151"/>
  <c r="B473" i="151"/>
  <c r="B474" i="151"/>
  <c r="B475" i="151"/>
  <c r="B476" i="151"/>
  <c r="B477" i="151"/>
  <c r="B478" i="151"/>
  <c r="B479" i="151"/>
  <c r="B480" i="151"/>
  <c r="B481" i="151"/>
  <c r="B482" i="151"/>
  <c r="B483" i="151"/>
  <c r="B484" i="151"/>
  <c r="B485" i="151"/>
  <c r="B486" i="151"/>
  <c r="B487" i="151"/>
  <c r="B488" i="151"/>
  <c r="E465" i="160"/>
  <c r="E473" i="160"/>
  <c r="E474" i="160"/>
  <c r="E475" i="160"/>
  <c r="E476" i="160"/>
  <c r="E477" i="160"/>
  <c r="E478" i="160"/>
  <c r="E479" i="160"/>
  <c r="E480" i="160"/>
  <c r="E481" i="160"/>
  <c r="E482" i="160"/>
  <c r="E483" i="160"/>
  <c r="E484" i="160"/>
  <c r="E485" i="160"/>
  <c r="E486" i="160"/>
  <c r="E487" i="160"/>
  <c r="E488" i="160"/>
  <c r="B465" i="160"/>
  <c r="B466" i="160"/>
  <c r="E466" i="160" s="1"/>
  <c r="B467" i="160"/>
  <c r="E467" i="160" s="1"/>
  <c r="B468" i="160"/>
  <c r="E468" i="160" s="1"/>
  <c r="B469" i="160"/>
  <c r="E469" i="160" s="1"/>
  <c r="B470" i="160"/>
  <c r="E470" i="160" s="1"/>
  <c r="B471" i="160"/>
  <c r="E471" i="160" s="1"/>
  <c r="B472" i="160"/>
  <c r="E472" i="160" s="1"/>
  <c r="B473" i="160"/>
  <c r="B474" i="160"/>
  <c r="B475" i="160"/>
  <c r="B476" i="160"/>
  <c r="B477" i="160"/>
  <c r="B478" i="160"/>
  <c r="B479" i="160"/>
  <c r="B480" i="160"/>
  <c r="B481" i="160"/>
  <c r="B482" i="160"/>
  <c r="B483" i="160"/>
  <c r="B484" i="160"/>
  <c r="B485" i="160"/>
  <c r="B486" i="160"/>
  <c r="B487" i="160"/>
  <c r="B488" i="160"/>
  <c r="E473" i="72"/>
  <c r="E474" i="72"/>
  <c r="E475" i="72"/>
  <c r="E476" i="72"/>
  <c r="E477" i="72"/>
  <c r="E478" i="72"/>
  <c r="E479" i="72"/>
  <c r="E480" i="72"/>
  <c r="E481" i="72"/>
  <c r="E482" i="72"/>
  <c r="E483" i="72"/>
  <c r="E484" i="72"/>
  <c r="E485" i="72"/>
  <c r="E486" i="72"/>
  <c r="E487" i="72"/>
  <c r="E488" i="72"/>
  <c r="B465" i="72"/>
  <c r="E465" i="72" s="1"/>
  <c r="B466" i="72"/>
  <c r="B467" i="72"/>
  <c r="B468" i="72"/>
  <c r="B469" i="72"/>
  <c r="B470" i="72"/>
  <c r="B471" i="72"/>
  <c r="B472" i="72"/>
  <c r="E472" i="72" s="1"/>
  <c r="B473" i="72"/>
  <c r="B474" i="72"/>
  <c r="B475" i="72"/>
  <c r="B476" i="72"/>
  <c r="B477" i="72"/>
  <c r="B478" i="72"/>
  <c r="B479" i="72"/>
  <c r="B480" i="72"/>
  <c r="B481" i="72"/>
  <c r="B482" i="72"/>
  <c r="B483" i="72"/>
  <c r="B484" i="72"/>
  <c r="B485" i="72"/>
  <c r="B486" i="72"/>
  <c r="B487" i="72"/>
  <c r="B488" i="72"/>
  <c r="E473" i="143"/>
  <c r="E474" i="143"/>
  <c r="E475" i="143"/>
  <c r="E476" i="143"/>
  <c r="E477" i="143"/>
  <c r="E478" i="143"/>
  <c r="E479" i="143"/>
  <c r="E480" i="143"/>
  <c r="E481" i="143"/>
  <c r="E482" i="143"/>
  <c r="E483" i="143"/>
  <c r="E484" i="143"/>
  <c r="E485" i="143"/>
  <c r="E486" i="143"/>
  <c r="E487" i="143"/>
  <c r="E488" i="143"/>
  <c r="B465" i="143"/>
  <c r="E465" i="143" s="1"/>
  <c r="B466" i="143"/>
  <c r="B467" i="143"/>
  <c r="B468" i="143"/>
  <c r="B469" i="143"/>
  <c r="B470" i="143"/>
  <c r="B471" i="143"/>
  <c r="B472" i="143"/>
  <c r="E472" i="143" s="1"/>
  <c r="B473" i="143"/>
  <c r="B474" i="143"/>
  <c r="B475" i="143"/>
  <c r="B476" i="143"/>
  <c r="B477" i="143"/>
  <c r="B478" i="143"/>
  <c r="B479" i="143"/>
  <c r="B480" i="143"/>
  <c r="B481" i="143"/>
  <c r="B482" i="143"/>
  <c r="B483" i="143"/>
  <c r="B484" i="143"/>
  <c r="B485" i="143"/>
  <c r="B486" i="143"/>
  <c r="B487" i="143"/>
  <c r="B488" i="143"/>
  <c r="E473" i="166"/>
  <c r="E474" i="166"/>
  <c r="E475" i="166"/>
  <c r="E476" i="166"/>
  <c r="E477" i="166"/>
  <c r="E478" i="166"/>
  <c r="E479" i="166"/>
  <c r="E480" i="166"/>
  <c r="E481" i="166"/>
  <c r="E482" i="166"/>
  <c r="E483" i="166"/>
  <c r="E484" i="166"/>
  <c r="E485" i="166"/>
  <c r="E486" i="166"/>
  <c r="E487" i="166"/>
  <c r="E488" i="166"/>
  <c r="B465" i="166"/>
  <c r="B466" i="166"/>
  <c r="B467" i="166"/>
  <c r="E467" i="166" s="1"/>
  <c r="B468" i="166"/>
  <c r="B469" i="166"/>
  <c r="B470" i="166"/>
  <c r="B471" i="166"/>
  <c r="B472" i="166"/>
  <c r="E472" i="166" s="1"/>
  <c r="B473" i="166"/>
  <c r="B474" i="166"/>
  <c r="B475" i="166"/>
  <c r="B476" i="166"/>
  <c r="B477" i="166"/>
  <c r="B478" i="166"/>
  <c r="B479" i="166"/>
  <c r="B480" i="166"/>
  <c r="B481" i="166"/>
  <c r="B482" i="166"/>
  <c r="B483" i="166"/>
  <c r="B484" i="166"/>
  <c r="B485" i="166"/>
  <c r="B486" i="166"/>
  <c r="B487" i="166"/>
  <c r="B488" i="166"/>
  <c r="E473" i="164"/>
  <c r="E474" i="164"/>
  <c r="E475" i="164"/>
  <c r="E476" i="164"/>
  <c r="E477" i="164"/>
  <c r="E478" i="164"/>
  <c r="E479" i="164"/>
  <c r="E480" i="164"/>
  <c r="E481" i="164"/>
  <c r="E482" i="164"/>
  <c r="E483" i="164"/>
  <c r="E484" i="164"/>
  <c r="E485" i="164"/>
  <c r="E486" i="164"/>
  <c r="E487" i="164"/>
  <c r="E488" i="164"/>
  <c r="B465" i="164"/>
  <c r="B466" i="164"/>
  <c r="B467" i="164"/>
  <c r="B468" i="164"/>
  <c r="B469" i="164"/>
  <c r="B470" i="164"/>
  <c r="B471" i="164"/>
  <c r="B472" i="164"/>
  <c r="E472" i="164" s="1"/>
  <c r="B473" i="164"/>
  <c r="B474" i="164"/>
  <c r="B475" i="164"/>
  <c r="B476" i="164"/>
  <c r="B477" i="164"/>
  <c r="B478" i="164"/>
  <c r="B479" i="164"/>
  <c r="B480" i="164"/>
  <c r="B481" i="164"/>
  <c r="B482" i="164"/>
  <c r="B483" i="164"/>
  <c r="B484" i="164"/>
  <c r="B485" i="164"/>
  <c r="B486" i="164"/>
  <c r="B487" i="164"/>
  <c r="B488" i="164"/>
  <c r="E473" i="169"/>
  <c r="E474" i="169"/>
  <c r="E475" i="169"/>
  <c r="E476" i="169"/>
  <c r="E477" i="169"/>
  <c r="E478" i="169"/>
  <c r="E479" i="169"/>
  <c r="E480" i="169"/>
  <c r="E481" i="169"/>
  <c r="E482" i="169"/>
  <c r="E483" i="169"/>
  <c r="E484" i="169"/>
  <c r="E485" i="169"/>
  <c r="E486" i="169"/>
  <c r="E487" i="169"/>
  <c r="E488" i="169"/>
  <c r="B465" i="169"/>
  <c r="B466" i="169"/>
  <c r="E466" i="169" s="1"/>
  <c r="B467" i="169"/>
  <c r="E467" i="169" s="1"/>
  <c r="B468" i="169"/>
  <c r="E468" i="169" s="1"/>
  <c r="B469" i="169"/>
  <c r="E469" i="169" s="1"/>
  <c r="B470" i="169"/>
  <c r="E470" i="169" s="1"/>
  <c r="B471" i="169"/>
  <c r="E471" i="169" s="1"/>
  <c r="B472" i="169"/>
  <c r="E472" i="169" s="1"/>
  <c r="B473" i="169"/>
  <c r="B474" i="169"/>
  <c r="B475" i="169"/>
  <c r="B476" i="169"/>
  <c r="B477" i="169"/>
  <c r="B478" i="169"/>
  <c r="B479" i="169"/>
  <c r="B480" i="169"/>
  <c r="B481" i="169"/>
  <c r="B482" i="169"/>
  <c r="B483" i="169"/>
  <c r="B484" i="169"/>
  <c r="B485" i="169"/>
  <c r="B486" i="169"/>
  <c r="B487" i="169"/>
  <c r="B488" i="169"/>
  <c r="E473" i="136"/>
  <c r="E474" i="136"/>
  <c r="E475" i="136"/>
  <c r="E476" i="136"/>
  <c r="E477" i="136"/>
  <c r="E478" i="136"/>
  <c r="E479" i="136"/>
  <c r="E480" i="136"/>
  <c r="E481" i="136"/>
  <c r="E482" i="136"/>
  <c r="E483" i="136"/>
  <c r="E484" i="136"/>
  <c r="E485" i="136"/>
  <c r="E486" i="136"/>
  <c r="E487" i="136"/>
  <c r="E488" i="136"/>
  <c r="B465" i="136"/>
  <c r="B466" i="136"/>
  <c r="B467" i="136"/>
  <c r="B468" i="136"/>
  <c r="B469" i="136"/>
  <c r="B470" i="136"/>
  <c r="B471" i="136"/>
  <c r="B472" i="136"/>
  <c r="E472" i="136" s="1"/>
  <c r="B473" i="136"/>
  <c r="B474" i="136"/>
  <c r="B475" i="136"/>
  <c r="B476" i="136"/>
  <c r="B477" i="136"/>
  <c r="B478" i="136"/>
  <c r="B479" i="136"/>
  <c r="B480" i="136"/>
  <c r="B481" i="136"/>
  <c r="B482" i="136"/>
  <c r="B483" i="136"/>
  <c r="B484" i="136"/>
  <c r="B485" i="136"/>
  <c r="B486" i="136"/>
  <c r="B487" i="136"/>
  <c r="B488" i="136"/>
  <c r="E466" i="137"/>
  <c r="B465" i="137"/>
  <c r="E465" i="137" s="1"/>
  <c r="B466" i="137"/>
  <c r="B467" i="137"/>
  <c r="B468" i="137"/>
  <c r="B469" i="137"/>
  <c r="B465" i="129"/>
  <c r="E465" i="129" s="1"/>
  <c r="B466" i="129"/>
  <c r="E466" i="129" s="1"/>
  <c r="B467" i="129"/>
  <c r="E467" i="129" s="1"/>
  <c r="B468" i="129"/>
  <c r="E468" i="129" s="1"/>
  <c r="B469" i="129"/>
  <c r="E469" i="129" s="1"/>
  <c r="B470" i="129"/>
  <c r="E470" i="129" s="1"/>
  <c r="B471" i="129"/>
  <c r="E471" i="129" s="1"/>
  <c r="E472" i="129"/>
  <c r="B473" i="129"/>
  <c r="E473" i="129" s="1"/>
  <c r="B474" i="129"/>
  <c r="E474" i="129" s="1"/>
  <c r="B475" i="129"/>
  <c r="E475" i="129" s="1"/>
  <c r="B476" i="129"/>
  <c r="E476" i="129" s="1"/>
  <c r="B477" i="129"/>
  <c r="E477" i="129" s="1"/>
  <c r="B478" i="129"/>
  <c r="E478" i="129" s="1"/>
  <c r="B479" i="129"/>
  <c r="E479" i="129" s="1"/>
  <c r="B480" i="129"/>
  <c r="E480" i="129" s="1"/>
  <c r="B481" i="129"/>
  <c r="E481" i="129" s="1"/>
  <c r="B482" i="129"/>
  <c r="E482" i="129" s="1"/>
  <c r="B483" i="129"/>
  <c r="E483" i="129" s="1"/>
  <c r="B484" i="129"/>
  <c r="E484" i="129" s="1"/>
  <c r="B485" i="129"/>
  <c r="E485" i="129" s="1"/>
  <c r="B486" i="129"/>
  <c r="E486" i="129" s="1"/>
  <c r="B487" i="129"/>
  <c r="E487" i="129" s="1"/>
  <c r="B488" i="129"/>
  <c r="E488" i="129" s="1"/>
  <c r="B465" i="139"/>
  <c r="E465" i="139" s="1"/>
  <c r="B466" i="139"/>
  <c r="B467" i="139"/>
  <c r="B468" i="139"/>
  <c r="B469" i="139"/>
  <c r="E469" i="139" s="1"/>
  <c r="E473" i="39"/>
  <c r="E474" i="39"/>
  <c r="E475" i="39"/>
  <c r="E476" i="39"/>
  <c r="E477" i="39"/>
  <c r="E478" i="39"/>
  <c r="E479" i="39"/>
  <c r="E480" i="39"/>
  <c r="E481" i="39"/>
  <c r="E482" i="39"/>
  <c r="E483" i="39"/>
  <c r="E484" i="39"/>
  <c r="E485" i="39"/>
  <c r="E486" i="39"/>
  <c r="E487" i="39"/>
  <c r="E488" i="39"/>
  <c r="B465" i="39"/>
  <c r="B466" i="39"/>
  <c r="B467" i="39"/>
  <c r="E467" i="39" s="1"/>
  <c r="B468" i="39"/>
  <c r="B469" i="39"/>
  <c r="E469" i="39" s="1"/>
  <c r="B470" i="39"/>
  <c r="B471" i="39"/>
  <c r="B472" i="39"/>
  <c r="E472" i="39" s="1"/>
  <c r="B473" i="39"/>
  <c r="B474" i="39"/>
  <c r="B475" i="39"/>
  <c r="B476" i="39"/>
  <c r="B477" i="39"/>
  <c r="B478" i="39"/>
  <c r="B479" i="39"/>
  <c r="B480" i="39"/>
  <c r="B481" i="39"/>
  <c r="B482" i="39"/>
  <c r="B483" i="39"/>
  <c r="B484" i="39"/>
  <c r="B485" i="39"/>
  <c r="B486" i="39"/>
  <c r="B487" i="39"/>
  <c r="B488" i="39"/>
  <c r="E473" i="148"/>
  <c r="E474" i="148"/>
  <c r="E475" i="148"/>
  <c r="E476" i="148"/>
  <c r="E477" i="148"/>
  <c r="E478" i="148"/>
  <c r="E479" i="148"/>
  <c r="E480" i="148"/>
  <c r="E481" i="148"/>
  <c r="E482" i="148"/>
  <c r="E483" i="148"/>
  <c r="E484" i="148"/>
  <c r="E485" i="148"/>
  <c r="E486" i="148"/>
  <c r="E487" i="148"/>
  <c r="E488" i="148"/>
  <c r="B465" i="148"/>
  <c r="B466" i="148"/>
  <c r="E466" i="148" s="1"/>
  <c r="B467" i="148"/>
  <c r="E467" i="148" s="1"/>
  <c r="B468" i="148"/>
  <c r="E468" i="148" s="1"/>
  <c r="B469" i="148"/>
  <c r="E469" i="148" s="1"/>
  <c r="B470" i="148"/>
  <c r="E470" i="148" s="1"/>
  <c r="B471" i="148"/>
  <c r="E471" i="148" s="1"/>
  <c r="B472" i="148"/>
  <c r="E472" i="148" s="1"/>
  <c r="B473" i="148"/>
  <c r="B474" i="148"/>
  <c r="B475" i="148"/>
  <c r="B476" i="148"/>
  <c r="B477" i="148"/>
  <c r="B478" i="148"/>
  <c r="B479" i="148"/>
  <c r="B480" i="148"/>
  <c r="B481" i="148"/>
  <c r="B482" i="148"/>
  <c r="B483" i="148"/>
  <c r="B484" i="148"/>
  <c r="B485" i="148"/>
  <c r="B486" i="148"/>
  <c r="B487" i="148"/>
  <c r="B488" i="148"/>
  <c r="E473" i="147"/>
  <c r="E474" i="147"/>
  <c r="E475" i="147"/>
  <c r="E476" i="147"/>
  <c r="E477" i="147"/>
  <c r="E478" i="147"/>
  <c r="E479" i="147"/>
  <c r="E480" i="147"/>
  <c r="E481" i="147"/>
  <c r="E482" i="147"/>
  <c r="E483" i="147"/>
  <c r="E484" i="147"/>
  <c r="E485" i="147"/>
  <c r="E486" i="147"/>
  <c r="E487" i="147"/>
  <c r="E488" i="147"/>
  <c r="B465" i="147"/>
  <c r="B466" i="147"/>
  <c r="B467" i="147"/>
  <c r="B468" i="147"/>
  <c r="B469" i="147"/>
  <c r="B470" i="147"/>
  <c r="B471" i="147"/>
  <c r="B472" i="147"/>
  <c r="E472" i="147" s="1"/>
  <c r="B473" i="147"/>
  <c r="B474" i="147"/>
  <c r="B475" i="147"/>
  <c r="B476" i="147"/>
  <c r="B477" i="147"/>
  <c r="B478" i="147"/>
  <c r="B479" i="147"/>
  <c r="B480" i="147"/>
  <c r="B481" i="147"/>
  <c r="B482" i="147"/>
  <c r="B483" i="147"/>
  <c r="B484" i="147"/>
  <c r="B485" i="147"/>
  <c r="B486" i="147"/>
  <c r="B487" i="147"/>
  <c r="B488" i="147"/>
  <c r="E473" i="146"/>
  <c r="E474" i="146"/>
  <c r="E475" i="146"/>
  <c r="E476" i="146"/>
  <c r="E477" i="146"/>
  <c r="E478" i="146"/>
  <c r="E479" i="146"/>
  <c r="E480" i="146"/>
  <c r="E481" i="146"/>
  <c r="E482" i="146"/>
  <c r="E483" i="146"/>
  <c r="E484" i="146"/>
  <c r="E485" i="146"/>
  <c r="E486" i="146"/>
  <c r="E487" i="146"/>
  <c r="E488" i="146"/>
  <c r="B465" i="146"/>
  <c r="B466" i="146"/>
  <c r="E466" i="146" s="1"/>
  <c r="B467" i="146"/>
  <c r="E467" i="146" s="1"/>
  <c r="B468" i="146"/>
  <c r="E468" i="146" s="1"/>
  <c r="B469" i="146"/>
  <c r="E469" i="146" s="1"/>
  <c r="B470" i="146"/>
  <c r="E470" i="146" s="1"/>
  <c r="B471" i="146"/>
  <c r="E471" i="146" s="1"/>
  <c r="B472" i="146"/>
  <c r="E472" i="146" s="1"/>
  <c r="B473" i="146"/>
  <c r="B474" i="146"/>
  <c r="B475" i="146"/>
  <c r="B476" i="146"/>
  <c r="B477" i="146"/>
  <c r="B478" i="146"/>
  <c r="B479" i="146"/>
  <c r="B480" i="146"/>
  <c r="B481" i="146"/>
  <c r="B482" i="146"/>
  <c r="B483" i="146"/>
  <c r="B484" i="146"/>
  <c r="B485" i="146"/>
  <c r="B486" i="146"/>
  <c r="B487" i="146"/>
  <c r="B488" i="146"/>
  <c r="E473" i="145"/>
  <c r="E474" i="145"/>
  <c r="E475" i="145"/>
  <c r="E476" i="145"/>
  <c r="E477" i="145"/>
  <c r="E478" i="145"/>
  <c r="E479" i="145"/>
  <c r="E480" i="145"/>
  <c r="E481" i="145"/>
  <c r="E482" i="145"/>
  <c r="E483" i="145"/>
  <c r="E484" i="145"/>
  <c r="E485" i="145"/>
  <c r="E486" i="145"/>
  <c r="E487" i="145"/>
  <c r="E488" i="145"/>
  <c r="B465" i="145"/>
  <c r="B466" i="145"/>
  <c r="E466" i="145" s="1"/>
  <c r="B467" i="145"/>
  <c r="E467" i="145" s="1"/>
  <c r="B468" i="145"/>
  <c r="E468" i="145" s="1"/>
  <c r="B469" i="145"/>
  <c r="E469" i="145" s="1"/>
  <c r="B470" i="145"/>
  <c r="E470" i="145" s="1"/>
  <c r="B471" i="145"/>
  <c r="E471" i="145" s="1"/>
  <c r="B472" i="145"/>
  <c r="E472" i="145" s="1"/>
  <c r="B473" i="145"/>
  <c r="B474" i="145"/>
  <c r="B475" i="145"/>
  <c r="B476" i="145"/>
  <c r="B477" i="145"/>
  <c r="B478" i="145"/>
  <c r="B479" i="145"/>
  <c r="B480" i="145"/>
  <c r="B481" i="145"/>
  <c r="B482" i="145"/>
  <c r="B483" i="145"/>
  <c r="B484" i="145"/>
  <c r="B485" i="145"/>
  <c r="B486" i="145"/>
  <c r="B487" i="145"/>
  <c r="B488" i="145"/>
  <c r="E473" i="100"/>
  <c r="E474" i="100"/>
  <c r="E475" i="100"/>
  <c r="E476" i="100"/>
  <c r="E477" i="100"/>
  <c r="E478" i="100"/>
  <c r="E479" i="100"/>
  <c r="E480" i="100"/>
  <c r="E481" i="100"/>
  <c r="E482" i="100"/>
  <c r="E483" i="100"/>
  <c r="E484" i="100"/>
  <c r="E485" i="100"/>
  <c r="E486" i="100"/>
  <c r="E487" i="100"/>
  <c r="E488" i="100"/>
  <c r="B465" i="100"/>
  <c r="B466" i="100"/>
  <c r="B467" i="100"/>
  <c r="B468" i="100"/>
  <c r="B469" i="100"/>
  <c r="B470" i="100"/>
  <c r="B471" i="100"/>
  <c r="B472" i="100"/>
  <c r="E472" i="100" s="1"/>
  <c r="B473" i="100"/>
  <c r="B474" i="100"/>
  <c r="B475" i="100"/>
  <c r="B476" i="100"/>
  <c r="B477" i="100"/>
  <c r="B478" i="100"/>
  <c r="B479" i="100"/>
  <c r="B480" i="100"/>
  <c r="B481" i="100"/>
  <c r="B482" i="100"/>
  <c r="B483" i="100"/>
  <c r="B484" i="100"/>
  <c r="B485" i="100"/>
  <c r="B486" i="100"/>
  <c r="B487" i="100"/>
  <c r="B488" i="100"/>
  <c r="E473" i="159"/>
  <c r="E474" i="159"/>
  <c r="E475" i="159"/>
  <c r="E476" i="159"/>
  <c r="E477" i="159"/>
  <c r="E478" i="159"/>
  <c r="E479" i="159"/>
  <c r="E480" i="159"/>
  <c r="E481" i="159"/>
  <c r="E482" i="159"/>
  <c r="E483" i="159"/>
  <c r="E484" i="159"/>
  <c r="E485" i="159"/>
  <c r="E486" i="159"/>
  <c r="E487" i="159"/>
  <c r="E488" i="159"/>
  <c r="B465" i="159"/>
  <c r="B466" i="159"/>
  <c r="B467" i="159"/>
  <c r="E467" i="159" s="1"/>
  <c r="B468" i="159"/>
  <c r="E468" i="159" s="1"/>
  <c r="B469" i="159"/>
  <c r="E469" i="159" s="1"/>
  <c r="B470" i="159"/>
  <c r="B471" i="159"/>
  <c r="E471" i="159" s="1"/>
  <c r="B472" i="159"/>
  <c r="E472" i="159" s="1"/>
  <c r="B473" i="159"/>
  <c r="B474" i="159"/>
  <c r="B475" i="159"/>
  <c r="B476" i="159"/>
  <c r="B477" i="159"/>
  <c r="B478" i="159"/>
  <c r="B479" i="159"/>
  <c r="B480" i="159"/>
  <c r="B481" i="159"/>
  <c r="B482" i="159"/>
  <c r="B483" i="159"/>
  <c r="B484" i="159"/>
  <c r="B485" i="159"/>
  <c r="B486" i="159"/>
  <c r="B487" i="159"/>
  <c r="B488" i="159"/>
  <c r="E473" i="142"/>
  <c r="E474" i="142"/>
  <c r="E475" i="142"/>
  <c r="E476" i="142"/>
  <c r="E477" i="142"/>
  <c r="E478" i="142"/>
  <c r="E479" i="142"/>
  <c r="E480" i="142"/>
  <c r="E481" i="142"/>
  <c r="E482" i="142"/>
  <c r="E483" i="142"/>
  <c r="E484" i="142"/>
  <c r="E485" i="142"/>
  <c r="E486" i="142"/>
  <c r="E487" i="142"/>
  <c r="E488" i="142"/>
  <c r="B465" i="142"/>
  <c r="B466" i="142"/>
  <c r="E466" i="142" s="1"/>
  <c r="B467" i="142"/>
  <c r="E467" i="142" s="1"/>
  <c r="B468" i="142"/>
  <c r="E468" i="142" s="1"/>
  <c r="B469" i="142"/>
  <c r="E469" i="142" s="1"/>
  <c r="B470" i="142"/>
  <c r="E470" i="142" s="1"/>
  <c r="B471" i="142"/>
  <c r="E471" i="142" s="1"/>
  <c r="B472" i="142"/>
  <c r="E472" i="142" s="1"/>
  <c r="B473" i="142"/>
  <c r="B474" i="142"/>
  <c r="B475" i="142"/>
  <c r="B476" i="142"/>
  <c r="B477" i="142"/>
  <c r="B478" i="142"/>
  <c r="B479" i="142"/>
  <c r="B480" i="142"/>
  <c r="B481" i="142"/>
  <c r="B482" i="142"/>
  <c r="B483" i="142"/>
  <c r="B484" i="142"/>
  <c r="B485" i="142"/>
  <c r="B486" i="142"/>
  <c r="B487" i="142"/>
  <c r="B488" i="142"/>
  <c r="B465" i="134"/>
  <c r="B466" i="134"/>
  <c r="E466" i="134" s="1"/>
  <c r="B467" i="134"/>
  <c r="E467" i="134" s="1"/>
  <c r="B468" i="134"/>
  <c r="E468" i="134" s="1"/>
  <c r="B469" i="134"/>
  <c r="E469" i="134" s="1"/>
  <c r="B470" i="134"/>
  <c r="E470" i="134" s="1"/>
  <c r="E471" i="134"/>
  <c r="B472" i="134"/>
  <c r="E472" i="134" s="1"/>
  <c r="B473" i="134"/>
  <c r="E473" i="134" s="1"/>
  <c r="B474" i="134"/>
  <c r="E474" i="134" s="1"/>
  <c r="B475" i="134"/>
  <c r="E475" i="134" s="1"/>
  <c r="B476" i="134"/>
  <c r="E476" i="134" s="1"/>
  <c r="B477" i="134"/>
  <c r="E477" i="134" s="1"/>
  <c r="B478" i="134"/>
  <c r="E478" i="134" s="1"/>
  <c r="B479" i="134"/>
  <c r="E479" i="134" s="1"/>
  <c r="B480" i="134"/>
  <c r="E480" i="134" s="1"/>
  <c r="B481" i="134"/>
  <c r="E481" i="134" s="1"/>
  <c r="B482" i="134"/>
  <c r="E482" i="134" s="1"/>
  <c r="B483" i="134"/>
  <c r="E483" i="134" s="1"/>
  <c r="B484" i="134"/>
  <c r="E484" i="134" s="1"/>
  <c r="B485" i="134"/>
  <c r="E485" i="134" s="1"/>
  <c r="B486" i="134"/>
  <c r="E486" i="134" s="1"/>
  <c r="B487" i="134"/>
  <c r="E487" i="134" s="1"/>
  <c r="B488" i="134"/>
  <c r="E488" i="134" s="1"/>
  <c r="B465" i="158"/>
  <c r="B466" i="158"/>
  <c r="B467" i="158"/>
  <c r="E467" i="158" s="1"/>
  <c r="B468" i="158"/>
  <c r="E468" i="158" s="1"/>
  <c r="B469" i="158"/>
  <c r="E469" i="158" s="1"/>
  <c r="B465" i="157"/>
  <c r="B466" i="157"/>
  <c r="E466" i="157" s="1"/>
  <c r="B467" i="157"/>
  <c r="E467" i="157" s="1"/>
  <c r="B468" i="157"/>
  <c r="B469" i="157"/>
  <c r="B465" i="98"/>
  <c r="B466" i="98"/>
  <c r="B467" i="98"/>
  <c r="B468" i="98"/>
  <c r="B469" i="98"/>
  <c r="B465" i="49"/>
  <c r="B466" i="49"/>
  <c r="B467" i="49"/>
  <c r="B468" i="49"/>
  <c r="B469" i="49"/>
  <c r="B470" i="49"/>
  <c r="B471" i="49"/>
  <c r="B472" i="49"/>
  <c r="B473" i="49"/>
  <c r="B474" i="49"/>
  <c r="B475" i="49"/>
  <c r="B476" i="49"/>
  <c r="B477" i="49"/>
  <c r="B478" i="49"/>
  <c r="B479" i="49"/>
  <c r="B480" i="49"/>
  <c r="B481" i="49"/>
  <c r="B482" i="49"/>
  <c r="B483" i="49"/>
  <c r="B484" i="49"/>
  <c r="B485" i="49"/>
  <c r="B486" i="49"/>
  <c r="B487" i="49"/>
  <c r="B488" i="49"/>
  <c r="E465" i="125"/>
  <c r="E473" i="125"/>
  <c r="E474" i="125"/>
  <c r="E475" i="125"/>
  <c r="E476" i="125"/>
  <c r="E477" i="125"/>
  <c r="E478" i="125"/>
  <c r="E479" i="125"/>
  <c r="E480" i="125"/>
  <c r="E481" i="125"/>
  <c r="E482" i="125"/>
  <c r="E483" i="125"/>
  <c r="E484" i="125"/>
  <c r="E485" i="125"/>
  <c r="E486" i="125"/>
  <c r="E487" i="125"/>
  <c r="E488" i="125"/>
  <c r="B465" i="125"/>
  <c r="B466" i="125"/>
  <c r="E466" i="125" s="1"/>
  <c r="B467" i="125"/>
  <c r="E467" i="125" s="1"/>
  <c r="B468" i="125"/>
  <c r="E468" i="125" s="1"/>
  <c r="B469" i="125"/>
  <c r="E469" i="125" s="1"/>
  <c r="B470" i="125"/>
  <c r="E470" i="125" s="1"/>
  <c r="B471" i="125"/>
  <c r="E471" i="125" s="1"/>
  <c r="B472" i="125"/>
  <c r="E472" i="125" s="1"/>
  <c r="B473" i="125"/>
  <c r="B474" i="125"/>
  <c r="B475" i="125"/>
  <c r="B476" i="125"/>
  <c r="B477" i="125"/>
  <c r="B478" i="125"/>
  <c r="B479" i="125"/>
  <c r="B480" i="125"/>
  <c r="B481" i="125"/>
  <c r="B482" i="125"/>
  <c r="B483" i="125"/>
  <c r="B484" i="125"/>
  <c r="B485" i="125"/>
  <c r="B486" i="125"/>
  <c r="B487" i="125"/>
  <c r="B488" i="125"/>
  <c r="E473" i="122"/>
  <c r="E474" i="122"/>
  <c r="E475" i="122"/>
  <c r="E476" i="122"/>
  <c r="E477" i="122"/>
  <c r="E478" i="122"/>
  <c r="E479" i="122"/>
  <c r="E480" i="122"/>
  <c r="E481" i="122"/>
  <c r="E482" i="122"/>
  <c r="E483" i="122"/>
  <c r="E484" i="122"/>
  <c r="E485" i="122"/>
  <c r="E486" i="122"/>
  <c r="E487" i="122"/>
  <c r="E488" i="122"/>
  <c r="B465" i="122"/>
  <c r="E465" i="122" s="1"/>
  <c r="B466" i="122"/>
  <c r="B467" i="122"/>
  <c r="E467" i="122" s="1"/>
  <c r="B468" i="122"/>
  <c r="B469" i="122"/>
  <c r="B470" i="122"/>
  <c r="B471" i="122"/>
  <c r="E471" i="122" s="1"/>
  <c r="B472" i="122"/>
  <c r="E472" i="122" s="1"/>
  <c r="B473" i="122"/>
  <c r="B474" i="122"/>
  <c r="B475" i="122"/>
  <c r="B476" i="122"/>
  <c r="B477" i="122"/>
  <c r="B478" i="122"/>
  <c r="B479" i="122"/>
  <c r="B480" i="122"/>
  <c r="B481" i="122"/>
  <c r="B482" i="122"/>
  <c r="B483" i="122"/>
  <c r="B484" i="122"/>
  <c r="B485" i="122"/>
  <c r="B486" i="122"/>
  <c r="B487" i="122"/>
  <c r="B488" i="122"/>
  <c r="E473" i="15"/>
  <c r="E474" i="15"/>
  <c r="E475" i="15"/>
  <c r="E476" i="15"/>
  <c r="E477" i="15"/>
  <c r="E478" i="15"/>
  <c r="E479" i="15"/>
  <c r="E480" i="15"/>
  <c r="E481" i="15"/>
  <c r="E482" i="15"/>
  <c r="E483" i="15"/>
  <c r="E484" i="15"/>
  <c r="E485" i="15"/>
  <c r="E486" i="15"/>
  <c r="E487" i="15"/>
  <c r="E488" i="15"/>
  <c r="B465" i="15"/>
  <c r="E465" i="15" s="1"/>
  <c r="B466" i="15"/>
  <c r="E466" i="15" s="1"/>
  <c r="B467" i="15"/>
  <c r="E467" i="15" s="1"/>
  <c r="B468" i="15"/>
  <c r="B469" i="15"/>
  <c r="B470" i="15"/>
  <c r="B471" i="15"/>
  <c r="E471" i="15" s="1"/>
  <c r="B472" i="15"/>
  <c r="E472" i="15" s="1"/>
  <c r="B473" i="15"/>
  <c r="B474" i="15"/>
  <c r="B475" i="15"/>
  <c r="B476" i="15"/>
  <c r="B477" i="15"/>
  <c r="B478" i="15"/>
  <c r="B479" i="15"/>
  <c r="B480" i="15"/>
  <c r="B481" i="15"/>
  <c r="B482" i="15"/>
  <c r="B483" i="15"/>
  <c r="B484" i="15"/>
  <c r="B485" i="15"/>
  <c r="B486" i="15"/>
  <c r="B487" i="15"/>
  <c r="B488" i="15"/>
  <c r="E465" i="82"/>
  <c r="E473" i="82"/>
  <c r="E474" i="82"/>
  <c r="E475" i="82"/>
  <c r="E476" i="82"/>
  <c r="E477" i="82"/>
  <c r="E478" i="82"/>
  <c r="E479" i="82"/>
  <c r="E480" i="82"/>
  <c r="E481" i="82"/>
  <c r="E482" i="82"/>
  <c r="E483" i="82"/>
  <c r="E484" i="82"/>
  <c r="E485" i="82"/>
  <c r="E486" i="82"/>
  <c r="E487" i="82"/>
  <c r="E488" i="82"/>
  <c r="B465" i="82"/>
  <c r="B466" i="82"/>
  <c r="B467" i="82"/>
  <c r="E467" i="82" s="1"/>
  <c r="B468" i="82"/>
  <c r="E468" i="82" s="1"/>
  <c r="B469" i="82"/>
  <c r="B470" i="82"/>
  <c r="B471" i="82"/>
  <c r="B472" i="82"/>
  <c r="E472" i="82" s="1"/>
  <c r="B473" i="82"/>
  <c r="B474" i="82"/>
  <c r="B475" i="82"/>
  <c r="B476" i="82"/>
  <c r="B477" i="82"/>
  <c r="B478" i="82"/>
  <c r="B479" i="82"/>
  <c r="B480" i="82"/>
  <c r="B481" i="82"/>
  <c r="B482" i="82"/>
  <c r="B483" i="82"/>
  <c r="B484" i="82"/>
  <c r="B485" i="82"/>
  <c r="B486" i="82"/>
  <c r="B487" i="82"/>
  <c r="B488" i="82"/>
  <c r="E465" i="12"/>
  <c r="E473" i="12"/>
  <c r="E474" i="12"/>
  <c r="E475" i="12"/>
  <c r="E476" i="12"/>
  <c r="E477" i="12"/>
  <c r="E478" i="12"/>
  <c r="E479" i="12"/>
  <c r="E480" i="12"/>
  <c r="E481" i="12"/>
  <c r="E482" i="12"/>
  <c r="E483" i="12"/>
  <c r="E484" i="12"/>
  <c r="E485" i="12"/>
  <c r="E486" i="12"/>
  <c r="E487" i="12"/>
  <c r="E488" i="12"/>
  <c r="B465" i="12"/>
  <c r="B466" i="12"/>
  <c r="B467" i="12"/>
  <c r="E467" i="12" s="1"/>
  <c r="B468" i="12"/>
  <c r="E468" i="12" s="1"/>
  <c r="B469" i="12"/>
  <c r="B470" i="12"/>
  <c r="E470" i="12" s="1"/>
  <c r="B471" i="12"/>
  <c r="E471" i="12" s="1"/>
  <c r="B472" i="12"/>
  <c r="E472" i="12" s="1"/>
  <c r="B473" i="12"/>
  <c r="B474" i="12"/>
  <c r="B475" i="12"/>
  <c r="B476" i="12"/>
  <c r="B477" i="12"/>
  <c r="B478" i="12"/>
  <c r="B479" i="12"/>
  <c r="B480" i="12"/>
  <c r="B481" i="12"/>
  <c r="B482" i="12"/>
  <c r="B483" i="12"/>
  <c r="B484" i="12"/>
  <c r="B485" i="12"/>
  <c r="B486" i="12"/>
  <c r="B487" i="12"/>
  <c r="B488" i="12"/>
  <c r="E465" i="11"/>
  <c r="E473" i="11"/>
  <c r="E474" i="11"/>
  <c r="E475" i="11"/>
  <c r="E476" i="11"/>
  <c r="E477" i="11"/>
  <c r="E478" i="11"/>
  <c r="E479" i="11"/>
  <c r="E480" i="11"/>
  <c r="E481" i="11"/>
  <c r="E482" i="11"/>
  <c r="E483" i="11"/>
  <c r="E484" i="11"/>
  <c r="E485" i="11"/>
  <c r="E486" i="11"/>
  <c r="E487" i="11"/>
  <c r="E488" i="11"/>
  <c r="B465" i="11"/>
  <c r="B466" i="11"/>
  <c r="B467" i="11"/>
  <c r="B468" i="11"/>
  <c r="E468" i="11" s="1"/>
  <c r="B469" i="11"/>
  <c r="B470" i="11"/>
  <c r="E470" i="11" s="1"/>
  <c r="B471" i="11"/>
  <c r="E471" i="11" s="1"/>
  <c r="B472" i="11"/>
  <c r="E472" i="11" s="1"/>
  <c r="B473" i="11"/>
  <c r="B474" i="11"/>
  <c r="B475" i="11"/>
  <c r="B476" i="11"/>
  <c r="B477" i="11"/>
  <c r="B478" i="11"/>
  <c r="B479" i="11"/>
  <c r="B480" i="11"/>
  <c r="B481" i="11"/>
  <c r="B482" i="11"/>
  <c r="B483" i="11"/>
  <c r="B484" i="11"/>
  <c r="B485" i="11"/>
  <c r="B486" i="11"/>
  <c r="B487" i="11"/>
  <c r="B488" i="11"/>
  <c r="E473" i="71"/>
  <c r="E474" i="71"/>
  <c r="E475" i="71"/>
  <c r="E476" i="71"/>
  <c r="E477" i="71"/>
  <c r="E478" i="71"/>
  <c r="E479" i="71"/>
  <c r="E480" i="71"/>
  <c r="E481" i="71"/>
  <c r="E482" i="71"/>
  <c r="E483" i="71"/>
  <c r="E484" i="71"/>
  <c r="E485" i="71"/>
  <c r="E486" i="71"/>
  <c r="E487" i="71"/>
  <c r="E488" i="71"/>
  <c r="B465" i="71"/>
  <c r="E465" i="71" s="1"/>
  <c r="B466" i="71"/>
  <c r="E466" i="71" s="1"/>
  <c r="B467" i="71"/>
  <c r="E467" i="71" s="1"/>
  <c r="B468" i="71"/>
  <c r="E468" i="71" s="1"/>
  <c r="B469" i="71"/>
  <c r="E469" i="71" s="1"/>
  <c r="B470" i="71"/>
  <c r="E470" i="71" s="1"/>
  <c r="B471" i="71"/>
  <c r="E471" i="71" s="1"/>
  <c r="B472" i="71"/>
  <c r="E472" i="71" s="1"/>
  <c r="B473" i="71"/>
  <c r="B474" i="71"/>
  <c r="B475" i="71"/>
  <c r="B476" i="71"/>
  <c r="B477" i="71"/>
  <c r="B478" i="71"/>
  <c r="B479" i="71"/>
  <c r="B480" i="71"/>
  <c r="B481" i="71"/>
  <c r="B482" i="71"/>
  <c r="B483" i="71"/>
  <c r="B484" i="71"/>
  <c r="B485" i="71"/>
  <c r="B486" i="71"/>
  <c r="B487" i="71"/>
  <c r="B488" i="71"/>
  <c r="E465" i="31"/>
  <c r="E473" i="31"/>
  <c r="E474" i="31"/>
  <c r="E475" i="31"/>
  <c r="E476" i="31"/>
  <c r="E477" i="31"/>
  <c r="E478" i="31"/>
  <c r="E479" i="31"/>
  <c r="E480" i="31"/>
  <c r="E481" i="31"/>
  <c r="E482" i="31"/>
  <c r="E483" i="31"/>
  <c r="E484" i="31"/>
  <c r="E485" i="31"/>
  <c r="E486" i="31"/>
  <c r="E487" i="31"/>
  <c r="E488" i="31"/>
  <c r="B465" i="31"/>
  <c r="B466" i="31"/>
  <c r="B467" i="31"/>
  <c r="E467" i="31" s="1"/>
  <c r="B468" i="31"/>
  <c r="E468" i="31" s="1"/>
  <c r="B469" i="31"/>
  <c r="B470" i="31"/>
  <c r="B471" i="31"/>
  <c r="E471" i="31" s="1"/>
  <c r="B472" i="31"/>
  <c r="E472" i="31" s="1"/>
  <c r="B473" i="31"/>
  <c r="B474" i="31"/>
  <c r="B475" i="31"/>
  <c r="B476" i="31"/>
  <c r="B477" i="31"/>
  <c r="B478" i="31"/>
  <c r="B479" i="31"/>
  <c r="B480" i="31"/>
  <c r="B481" i="31"/>
  <c r="B482" i="31"/>
  <c r="B483" i="31"/>
  <c r="B484" i="31"/>
  <c r="B485" i="31"/>
  <c r="B486" i="31"/>
  <c r="B487" i="31"/>
  <c r="B488" i="31"/>
  <c r="E465" i="25"/>
  <c r="E473" i="25"/>
  <c r="E474" i="25"/>
  <c r="E475" i="25"/>
  <c r="E476" i="25"/>
  <c r="E477" i="25"/>
  <c r="E478" i="25"/>
  <c r="E479" i="25"/>
  <c r="E480" i="25"/>
  <c r="E481" i="25"/>
  <c r="E482" i="25"/>
  <c r="E483" i="25"/>
  <c r="E484" i="25"/>
  <c r="E485" i="25"/>
  <c r="E486" i="25"/>
  <c r="E487" i="25"/>
  <c r="E488" i="25"/>
  <c r="B465" i="25"/>
  <c r="B466" i="25"/>
  <c r="B467" i="25"/>
  <c r="E467" i="25" s="1"/>
  <c r="B468" i="25"/>
  <c r="E468" i="25" s="1"/>
  <c r="B469" i="25"/>
  <c r="E469" i="25" s="1"/>
  <c r="B470" i="25"/>
  <c r="B471" i="25"/>
  <c r="E471" i="25" s="1"/>
  <c r="B472" i="25"/>
  <c r="E472" i="25" s="1"/>
  <c r="B473" i="25"/>
  <c r="B474" i="25"/>
  <c r="B475" i="25"/>
  <c r="B476" i="25"/>
  <c r="B477" i="25"/>
  <c r="B478" i="25"/>
  <c r="B479" i="25"/>
  <c r="B480" i="25"/>
  <c r="B481" i="25"/>
  <c r="B482" i="25"/>
  <c r="B483" i="25"/>
  <c r="B484" i="25"/>
  <c r="B485" i="25"/>
  <c r="B486" i="25"/>
  <c r="B487" i="25"/>
  <c r="B488" i="25"/>
  <c r="B465" i="23"/>
  <c r="B466" i="23"/>
  <c r="B467" i="23"/>
  <c r="B468" i="23"/>
  <c r="B469" i="23"/>
  <c r="B470" i="23"/>
  <c r="E470" i="23" s="1"/>
  <c r="B471" i="23"/>
  <c r="Q16" i="62" s="1"/>
  <c r="B472" i="23"/>
  <c r="E472" i="23" s="1"/>
  <c r="B473" i="23"/>
  <c r="B474" i="23"/>
  <c r="B475" i="23"/>
  <c r="B476" i="23"/>
  <c r="B477" i="23"/>
  <c r="B478" i="23"/>
  <c r="B479" i="23"/>
  <c r="B480" i="23"/>
  <c r="B481" i="23"/>
  <c r="B482" i="23"/>
  <c r="B483" i="23"/>
  <c r="B484" i="23"/>
  <c r="B485" i="23"/>
  <c r="B486" i="23"/>
  <c r="B487" i="23"/>
  <c r="B488" i="23"/>
  <c r="E465" i="23"/>
  <c r="E466" i="23"/>
  <c r="E467" i="23"/>
  <c r="E468" i="23"/>
  <c r="E473" i="23"/>
  <c r="E474" i="23"/>
  <c r="E475" i="23"/>
  <c r="E476" i="23"/>
  <c r="E477" i="23"/>
  <c r="E478" i="23"/>
  <c r="E479" i="23"/>
  <c r="E480" i="23"/>
  <c r="E481" i="23"/>
  <c r="E482" i="23"/>
  <c r="E483" i="23"/>
  <c r="E484" i="23"/>
  <c r="E485" i="23"/>
  <c r="E486" i="23"/>
  <c r="E487" i="23"/>
  <c r="E488" i="23"/>
  <c r="B465" i="168"/>
  <c r="B466" i="168"/>
  <c r="E466" i="168" s="1"/>
  <c r="B467" i="168"/>
  <c r="E467" i="168" s="1"/>
  <c r="B468" i="168"/>
  <c r="E468" i="168" s="1"/>
  <c r="B469" i="168"/>
  <c r="E469" i="168" s="1"/>
  <c r="B470" i="168"/>
  <c r="E470" i="168" s="1"/>
  <c r="B471" i="168"/>
  <c r="B472" i="168"/>
  <c r="B473" i="168"/>
  <c r="B474" i="168"/>
  <c r="B475" i="168"/>
  <c r="B476" i="168"/>
  <c r="B477" i="168"/>
  <c r="B478" i="168"/>
  <c r="B479" i="168"/>
  <c r="B480" i="168"/>
  <c r="B481" i="168"/>
  <c r="B482" i="168"/>
  <c r="B483" i="168"/>
  <c r="B484" i="168"/>
  <c r="B485" i="168"/>
  <c r="B486" i="168"/>
  <c r="B487" i="168"/>
  <c r="B488" i="168"/>
  <c r="E471" i="168"/>
  <c r="E472" i="168"/>
  <c r="E473" i="168"/>
  <c r="E474" i="168"/>
  <c r="E475" i="168"/>
  <c r="E476" i="168"/>
  <c r="E477" i="168"/>
  <c r="E478" i="168"/>
  <c r="E479" i="168"/>
  <c r="E480" i="168"/>
  <c r="E481" i="168"/>
  <c r="E482" i="168"/>
  <c r="E483" i="168"/>
  <c r="E484" i="168"/>
  <c r="E485" i="168"/>
  <c r="E486" i="168"/>
  <c r="E487" i="168"/>
  <c r="E488" i="168"/>
  <c r="B465" i="167"/>
  <c r="B466" i="167"/>
  <c r="B467" i="167"/>
  <c r="B468" i="167"/>
  <c r="B469" i="167"/>
  <c r="B470" i="167"/>
  <c r="B471" i="167"/>
  <c r="B472" i="167"/>
  <c r="B473" i="167"/>
  <c r="B474" i="167"/>
  <c r="B475" i="167"/>
  <c r="B476" i="167"/>
  <c r="B477" i="167"/>
  <c r="B478" i="167"/>
  <c r="B479" i="167"/>
  <c r="B480" i="167"/>
  <c r="B481" i="167"/>
  <c r="B482" i="167"/>
  <c r="B483" i="167"/>
  <c r="B484" i="167"/>
  <c r="B485" i="167"/>
  <c r="B486" i="167"/>
  <c r="B487" i="167"/>
  <c r="B488" i="167"/>
  <c r="B465" i="162"/>
  <c r="B466" i="162"/>
  <c r="B467" i="162"/>
  <c r="E467" i="162" s="1"/>
  <c r="B468" i="162"/>
  <c r="E468" i="162" s="1"/>
  <c r="B469" i="162"/>
  <c r="B470" i="162"/>
  <c r="B471" i="162"/>
  <c r="Q25" i="62" s="1"/>
  <c r="B472" i="162"/>
  <c r="B473" i="162"/>
  <c r="B474" i="162"/>
  <c r="B475" i="162"/>
  <c r="B476" i="162"/>
  <c r="B477" i="162"/>
  <c r="B478" i="162"/>
  <c r="B479" i="162"/>
  <c r="B480" i="162"/>
  <c r="B481" i="162"/>
  <c r="B482" i="162"/>
  <c r="B483" i="162"/>
  <c r="B484" i="162"/>
  <c r="B485" i="162"/>
  <c r="B486" i="162"/>
  <c r="B487" i="162"/>
  <c r="B488" i="162"/>
  <c r="E469" i="162"/>
  <c r="E470" i="162"/>
  <c r="E471" i="162"/>
  <c r="E472" i="162"/>
  <c r="E473" i="162"/>
  <c r="E474" i="162"/>
  <c r="E475" i="162"/>
  <c r="E476" i="162"/>
  <c r="E477" i="162"/>
  <c r="E478" i="162"/>
  <c r="E479" i="162"/>
  <c r="E480" i="162"/>
  <c r="E481" i="162"/>
  <c r="E482" i="162"/>
  <c r="E483" i="162"/>
  <c r="E484" i="162"/>
  <c r="E485" i="162"/>
  <c r="E486" i="162"/>
  <c r="E487" i="162"/>
  <c r="E488" i="162"/>
  <c r="B465" i="161"/>
  <c r="E465" i="161" s="1"/>
  <c r="B466" i="161"/>
  <c r="B467" i="161"/>
  <c r="E467" i="161" s="1"/>
  <c r="B468" i="161"/>
  <c r="E468" i="161" s="1"/>
  <c r="B469" i="161"/>
  <c r="B470" i="161"/>
  <c r="B471" i="161"/>
  <c r="B472" i="161"/>
  <c r="E472" i="161" s="1"/>
  <c r="B473" i="161"/>
  <c r="B474" i="161"/>
  <c r="B475" i="161"/>
  <c r="B476" i="161"/>
  <c r="B477" i="161"/>
  <c r="B478" i="161"/>
  <c r="B479" i="161"/>
  <c r="B480" i="161"/>
  <c r="B481" i="161"/>
  <c r="B482" i="161"/>
  <c r="B483" i="161"/>
  <c r="B484" i="161"/>
  <c r="B485" i="161"/>
  <c r="B486" i="161"/>
  <c r="B487" i="161"/>
  <c r="B488" i="161"/>
  <c r="E473" i="161"/>
  <c r="E474" i="161"/>
  <c r="E475" i="161"/>
  <c r="E476" i="161"/>
  <c r="E477" i="161"/>
  <c r="E478" i="161"/>
  <c r="E479" i="161"/>
  <c r="E480" i="161"/>
  <c r="E481" i="161"/>
  <c r="E482" i="161"/>
  <c r="E483" i="161"/>
  <c r="E484" i="161"/>
  <c r="E485" i="161"/>
  <c r="E486" i="161"/>
  <c r="E487" i="161"/>
  <c r="E488" i="161"/>
  <c r="B465" i="10"/>
  <c r="B466" i="10"/>
  <c r="B467" i="10"/>
  <c r="E467" i="10" s="1"/>
  <c r="B468" i="10"/>
  <c r="B469" i="10"/>
  <c r="B470" i="10"/>
  <c r="B471" i="10"/>
  <c r="E471" i="10" s="1"/>
  <c r="B472" i="10"/>
  <c r="B473" i="10"/>
  <c r="B474" i="10"/>
  <c r="B475" i="10"/>
  <c r="B476" i="10"/>
  <c r="E476" i="10" s="1"/>
  <c r="B477" i="10"/>
  <c r="B478" i="10"/>
  <c r="B479" i="10"/>
  <c r="B480" i="10"/>
  <c r="B481" i="10"/>
  <c r="B482" i="10"/>
  <c r="B483" i="10"/>
  <c r="B484" i="10"/>
  <c r="B485" i="10"/>
  <c r="E485" i="10" s="1"/>
  <c r="B486" i="10"/>
  <c r="B487" i="10"/>
  <c r="E487" i="10" s="1"/>
  <c r="B488" i="10"/>
  <c r="E466" i="10"/>
  <c r="E468" i="10"/>
  <c r="E469" i="10"/>
  <c r="E470" i="10"/>
  <c r="E472" i="10"/>
  <c r="E473" i="10"/>
  <c r="E474" i="10"/>
  <c r="E475" i="10"/>
  <c r="E477" i="10"/>
  <c r="E478" i="10"/>
  <c r="E479" i="10"/>
  <c r="E480" i="10"/>
  <c r="E481" i="10"/>
  <c r="E482" i="10"/>
  <c r="E483" i="10"/>
  <c r="E484" i="10"/>
  <c r="E486" i="10"/>
  <c r="E488" i="10"/>
  <c r="BY465" i="9"/>
  <c r="AU466" i="9"/>
  <c r="AU467" i="9"/>
  <c r="AU468" i="9"/>
  <c r="AU469" i="9"/>
  <c r="AU470" i="9"/>
  <c r="AU471" i="9"/>
  <c r="AF88" i="62" s="1"/>
  <c r="AU472" i="9"/>
  <c r="E472" i="167" s="1"/>
  <c r="AU473" i="9"/>
  <c r="AU474" i="9"/>
  <c r="AU475" i="9"/>
  <c r="AU476" i="9"/>
  <c r="AU477" i="9"/>
  <c r="AU464" i="9"/>
  <c r="E465" i="148"/>
  <c r="E465" i="162"/>
  <c r="E465" i="168"/>
  <c r="E471" i="100" l="1"/>
  <c r="Q74" i="62"/>
  <c r="E471" i="82"/>
  <c r="Q50" i="62"/>
  <c r="E471" i="72"/>
  <c r="Q122" i="62"/>
  <c r="E471" i="23"/>
  <c r="E471" i="39"/>
  <c r="Q95" i="62"/>
  <c r="E471" i="136"/>
  <c r="Q99" i="62"/>
  <c r="E471" i="143"/>
  <c r="Q115" i="62"/>
  <c r="E471" i="161"/>
  <c r="Q22" i="62"/>
  <c r="E471" i="147"/>
  <c r="Q81" i="62"/>
  <c r="E471" i="166"/>
  <c r="Q108" i="62"/>
  <c r="E471" i="164"/>
  <c r="Q105" i="62"/>
  <c r="E471" i="167"/>
  <c r="E470" i="122"/>
  <c r="E470" i="100"/>
  <c r="E470" i="82"/>
  <c r="E470" i="72"/>
  <c r="E470" i="31"/>
  <c r="E470" i="39"/>
  <c r="E470" i="15"/>
  <c r="E470" i="136"/>
  <c r="E470" i="25"/>
  <c r="E470" i="143"/>
  <c r="E470" i="161"/>
  <c r="E470" i="159"/>
  <c r="E470" i="147"/>
  <c r="E470" i="166"/>
  <c r="E470" i="164"/>
  <c r="E470" i="167"/>
  <c r="E469" i="122"/>
  <c r="E469" i="100"/>
  <c r="E469" i="82"/>
  <c r="E469" i="72"/>
  <c r="E469" i="23"/>
  <c r="E469" i="31"/>
  <c r="E469" i="12"/>
  <c r="E469" i="11"/>
  <c r="E469" i="15"/>
  <c r="E469" i="136"/>
  <c r="E469" i="137"/>
  <c r="E469" i="143"/>
  <c r="E469" i="161"/>
  <c r="E469" i="157"/>
  <c r="E469" i="147"/>
  <c r="E469" i="166"/>
  <c r="E469" i="164"/>
  <c r="E469" i="167"/>
  <c r="E468" i="122"/>
  <c r="E468" i="100"/>
  <c r="E468" i="72"/>
  <c r="E468" i="39"/>
  <c r="E468" i="15"/>
  <c r="E468" i="136"/>
  <c r="E468" i="137"/>
  <c r="E468" i="143"/>
  <c r="E468" i="139"/>
  <c r="E468" i="157"/>
  <c r="E468" i="147"/>
  <c r="E468" i="166"/>
  <c r="E468" i="164"/>
  <c r="E468" i="167"/>
  <c r="E467" i="100"/>
  <c r="E467" i="72"/>
  <c r="E467" i="11"/>
  <c r="E467" i="136"/>
  <c r="E467" i="137"/>
  <c r="E467" i="143"/>
  <c r="E467" i="139"/>
  <c r="E467" i="147"/>
  <c r="E467" i="164"/>
  <c r="E467" i="167"/>
  <c r="E466" i="122"/>
  <c r="E466" i="100"/>
  <c r="E466" i="82"/>
  <c r="E466" i="72"/>
  <c r="E466" i="31"/>
  <c r="E466" i="12"/>
  <c r="E466" i="11"/>
  <c r="E466" i="39"/>
  <c r="E466" i="136"/>
  <c r="E466" i="143"/>
  <c r="E466" i="139"/>
  <c r="E466" i="162"/>
  <c r="E466" i="161"/>
  <c r="E466" i="159"/>
  <c r="E466" i="158"/>
  <c r="E466" i="147"/>
  <c r="E466" i="25"/>
  <c r="E466" i="166"/>
  <c r="E466" i="164"/>
  <c r="E466" i="167"/>
  <c r="E465" i="39"/>
  <c r="E465" i="136"/>
  <c r="E465" i="169"/>
  <c r="E465" i="166"/>
  <c r="E465" i="164"/>
  <c r="E465" i="145"/>
  <c r="E465" i="146"/>
  <c r="E465" i="147"/>
  <c r="E465" i="159"/>
  <c r="E465" i="157"/>
  <c r="E465" i="158"/>
  <c r="E465" i="134"/>
  <c r="E465" i="142"/>
  <c r="E465" i="100"/>
  <c r="AU465" i="9"/>
  <c r="E465" i="167" s="1"/>
  <c r="E465" i="10"/>
  <c r="BY464" i="9" l="1"/>
  <c r="BY463" i="9" l="1"/>
  <c r="AE464" i="9"/>
  <c r="AF464" i="9" s="1"/>
  <c r="AE465" i="9"/>
  <c r="AE466" i="9"/>
  <c r="AF466" i="9" s="1"/>
  <c r="AE467" i="9"/>
  <c r="AF467" i="9" s="1"/>
  <c r="AE468" i="9"/>
  <c r="AF468" i="9" s="1"/>
  <c r="AE469" i="9"/>
  <c r="AF469" i="9" s="1"/>
  <c r="AE470" i="9"/>
  <c r="AF470" i="9" s="1"/>
  <c r="AE471" i="9"/>
  <c r="AF471" i="9" s="1"/>
  <c r="E471" i="49" s="1"/>
  <c r="AE472" i="9"/>
  <c r="AF472" i="9" s="1"/>
  <c r="E472" i="49" s="1"/>
  <c r="AE473" i="9"/>
  <c r="AF473" i="9" s="1"/>
  <c r="AE474" i="9"/>
  <c r="AF474" i="9"/>
  <c r="AE475" i="9"/>
  <c r="AF475" i="9" s="1"/>
  <c r="AE476" i="9"/>
  <c r="AF476" i="9" s="1"/>
  <c r="N464" i="9"/>
  <c r="O464" i="9"/>
  <c r="P464" i="9"/>
  <c r="N465" i="9"/>
  <c r="O465" i="9"/>
  <c r="P465" i="9"/>
  <c r="N466" i="9"/>
  <c r="O466" i="9"/>
  <c r="P466" i="9"/>
  <c r="N467" i="9"/>
  <c r="O467" i="9"/>
  <c r="P467" i="9"/>
  <c r="N468" i="9"/>
  <c r="O468" i="9"/>
  <c r="P468" i="9"/>
  <c r="N469" i="9"/>
  <c r="O469" i="9"/>
  <c r="P469" i="9"/>
  <c r="N470" i="9"/>
  <c r="O470" i="9"/>
  <c r="P470" i="9"/>
  <c r="N471" i="9"/>
  <c r="O471" i="9"/>
  <c r="P471" i="9"/>
  <c r="AF53" i="62" s="1"/>
  <c r="N472" i="9"/>
  <c r="O472" i="9"/>
  <c r="P472" i="9"/>
  <c r="N473" i="9"/>
  <c r="O473" i="9"/>
  <c r="P473" i="9"/>
  <c r="N474" i="9"/>
  <c r="O474" i="9"/>
  <c r="P474" i="9"/>
  <c r="N475" i="9"/>
  <c r="O475" i="9"/>
  <c r="P475" i="9"/>
  <c r="N476" i="9"/>
  <c r="O476" i="9"/>
  <c r="P476" i="9"/>
  <c r="E470" i="49" l="1"/>
  <c r="E469" i="98"/>
  <c r="E469" i="49"/>
  <c r="E468" i="98"/>
  <c r="E468" i="49"/>
  <c r="E467" i="98"/>
  <c r="E467" i="49"/>
  <c r="E466" i="98"/>
  <c r="E466" i="49"/>
  <c r="AF465" i="9"/>
  <c r="BY462" i="9"/>
  <c r="AE461" i="9"/>
  <c r="AF461" i="9"/>
  <c r="N461" i="9"/>
  <c r="O461" i="9"/>
  <c r="P461" i="9"/>
  <c r="E465" i="49" l="1"/>
  <c r="E465" i="98"/>
  <c r="BY461" i="9"/>
  <c r="E459" i="168" l="1"/>
  <c r="E458" i="168"/>
  <c r="AU462" i="9" l="1"/>
  <c r="AU463" i="9"/>
  <c r="AU461" i="9"/>
  <c r="AE462" i="9"/>
  <c r="AF462" i="9" s="1"/>
  <c r="AE463" i="9"/>
  <c r="AF463" i="9" s="1"/>
  <c r="O462" i="9"/>
  <c r="P462" i="9"/>
  <c r="O463" i="9"/>
  <c r="P463" i="9"/>
  <c r="N462" i="9"/>
  <c r="N463" i="9"/>
  <c r="E460" i="168"/>
  <c r="E454" i="166" l="1"/>
  <c r="E455" i="166"/>
  <c r="E461" i="165"/>
  <c r="E454" i="164"/>
  <c r="E458" i="164"/>
  <c r="E394" i="125"/>
  <c r="E395" i="125"/>
  <c r="E396" i="125"/>
  <c r="E397" i="125"/>
  <c r="E398" i="125"/>
  <c r="E399" i="125"/>
  <c r="E400" i="125"/>
  <c r="E401" i="125"/>
  <c r="E402" i="125"/>
  <c r="E403" i="125"/>
  <c r="E404" i="125"/>
  <c r="E405" i="125"/>
  <c r="E406" i="125"/>
  <c r="E407" i="125"/>
  <c r="E408" i="125"/>
  <c r="E409" i="125"/>
  <c r="E410" i="125"/>
  <c r="E411" i="125"/>
  <c r="E412" i="125"/>
  <c r="E413" i="125"/>
  <c r="E414" i="125"/>
  <c r="E415" i="125"/>
  <c r="E416" i="125"/>
  <c r="E417" i="125"/>
  <c r="E418" i="125"/>
  <c r="E419" i="125"/>
  <c r="E420" i="125"/>
  <c r="E421" i="125"/>
  <c r="E422" i="125"/>
  <c r="E423" i="125"/>
  <c r="E424" i="125"/>
  <c r="E425" i="125"/>
  <c r="E426" i="125"/>
  <c r="E428" i="125"/>
  <c r="E430" i="125"/>
  <c r="E432" i="125"/>
  <c r="E452" i="125"/>
  <c r="E459" i="167"/>
  <c r="BY460" i="9"/>
  <c r="AF460" i="9"/>
  <c r="E460" i="98" s="1"/>
  <c r="P460" i="9"/>
  <c r="O460" i="9"/>
  <c r="EZ98" i="62"/>
  <c r="FA98" i="62"/>
  <c r="FB98" i="62"/>
  <c r="FC98" i="62"/>
  <c r="FD98" i="62"/>
  <c r="EX98" i="62"/>
  <c r="B464" i="169"/>
  <c r="E464" i="169" s="1"/>
  <c r="B463" i="169"/>
  <c r="E463" i="169" s="1"/>
  <c r="B462" i="169"/>
  <c r="E462" i="169"/>
  <c r="B461" i="169"/>
  <c r="E461" i="169" s="1"/>
  <c r="B460" i="169"/>
  <c r="B459" i="169"/>
  <c r="BY459" i="9"/>
  <c r="B427" i="23"/>
  <c r="E427" i="23"/>
  <c r="B429" i="23"/>
  <c r="B431" i="23"/>
  <c r="B432" i="23"/>
  <c r="E432" i="23" s="1"/>
  <c r="B433" i="23"/>
  <c r="E433" i="23" s="1"/>
  <c r="B434" i="23"/>
  <c r="B435" i="23"/>
  <c r="B436" i="23"/>
  <c r="B437" i="23"/>
  <c r="E437" i="23"/>
  <c r="B438" i="23"/>
  <c r="E438" i="23"/>
  <c r="B439" i="23"/>
  <c r="B440" i="23"/>
  <c r="E440" i="23"/>
  <c r="B441" i="23"/>
  <c r="B442" i="23"/>
  <c r="E442" i="23"/>
  <c r="B443" i="23"/>
  <c r="B444" i="23"/>
  <c r="E444" i="23" s="1"/>
  <c r="B445" i="23"/>
  <c r="B446" i="23"/>
  <c r="B447" i="23"/>
  <c r="B448" i="23"/>
  <c r="B449" i="23"/>
  <c r="B450" i="23"/>
  <c r="B451" i="23"/>
  <c r="E451" i="23" s="1"/>
  <c r="B452" i="23"/>
  <c r="E452" i="23"/>
  <c r="B453" i="23"/>
  <c r="E453" i="23" s="1"/>
  <c r="B454" i="23"/>
  <c r="E454" i="23" s="1"/>
  <c r="B455" i="23"/>
  <c r="E455" i="23"/>
  <c r="B456" i="23"/>
  <c r="E456" i="23" s="1"/>
  <c r="B457" i="23"/>
  <c r="E457" i="23"/>
  <c r="B458" i="23"/>
  <c r="E458" i="23" s="1"/>
  <c r="B459" i="23"/>
  <c r="B460" i="23"/>
  <c r="B461" i="23"/>
  <c r="E461" i="23" s="1"/>
  <c r="B462" i="23"/>
  <c r="E462" i="23"/>
  <c r="B463" i="23"/>
  <c r="E463" i="23"/>
  <c r="B464" i="23"/>
  <c r="E464" i="23" s="1"/>
  <c r="E415" i="23"/>
  <c r="E417" i="23"/>
  <c r="E418" i="23"/>
  <c r="E419" i="23"/>
  <c r="E450" i="23"/>
  <c r="B430" i="156"/>
  <c r="B431" i="156"/>
  <c r="B432" i="156"/>
  <c r="B433" i="156"/>
  <c r="B434" i="156"/>
  <c r="B435" i="156"/>
  <c r="B436" i="156"/>
  <c r="B437" i="156"/>
  <c r="B438" i="156"/>
  <c r="B439" i="156"/>
  <c r="B440" i="156"/>
  <c r="B441" i="156"/>
  <c r="B442" i="156"/>
  <c r="B443" i="156"/>
  <c r="B444" i="156"/>
  <c r="B445" i="156"/>
  <c r="B446" i="156"/>
  <c r="B447" i="156"/>
  <c r="B448" i="156"/>
  <c r="B449" i="156"/>
  <c r="B450" i="156"/>
  <c r="B451" i="156"/>
  <c r="B452" i="156"/>
  <c r="B453" i="156"/>
  <c r="B454" i="156"/>
  <c r="B455" i="156"/>
  <c r="B456" i="156"/>
  <c r="B457" i="156"/>
  <c r="B458" i="156"/>
  <c r="B459" i="156"/>
  <c r="B460" i="156"/>
  <c r="B461" i="156"/>
  <c r="B462" i="156"/>
  <c r="B463" i="156"/>
  <c r="B464" i="156"/>
  <c r="B430" i="155"/>
  <c r="B431" i="155"/>
  <c r="B432" i="155"/>
  <c r="B433" i="155"/>
  <c r="B434" i="155"/>
  <c r="B435" i="155"/>
  <c r="B436" i="155"/>
  <c r="B437" i="155"/>
  <c r="B438" i="155"/>
  <c r="B439" i="155"/>
  <c r="B440" i="155"/>
  <c r="B441" i="155"/>
  <c r="B442" i="155"/>
  <c r="B443" i="155"/>
  <c r="B444" i="155"/>
  <c r="B445" i="155"/>
  <c r="B446" i="155"/>
  <c r="B447" i="155"/>
  <c r="B448" i="155"/>
  <c r="B449" i="155"/>
  <c r="B450" i="155"/>
  <c r="B451" i="155"/>
  <c r="B452" i="155"/>
  <c r="B453" i="155"/>
  <c r="B454" i="155"/>
  <c r="B455" i="155"/>
  <c r="B456" i="155"/>
  <c r="B457" i="155"/>
  <c r="B458" i="155"/>
  <c r="B459" i="155"/>
  <c r="B460" i="155"/>
  <c r="B461" i="155"/>
  <c r="B462" i="155"/>
  <c r="B463" i="155"/>
  <c r="B464" i="155"/>
  <c r="B430" i="152"/>
  <c r="B431" i="152"/>
  <c r="B432" i="152"/>
  <c r="B433" i="152"/>
  <c r="B434" i="152"/>
  <c r="B435" i="152"/>
  <c r="B436" i="152"/>
  <c r="B437" i="152"/>
  <c r="B438" i="152"/>
  <c r="B439" i="152"/>
  <c r="B440" i="152"/>
  <c r="B441" i="152"/>
  <c r="B442" i="152"/>
  <c r="B443" i="152"/>
  <c r="B444" i="152"/>
  <c r="B445" i="152"/>
  <c r="B446" i="152"/>
  <c r="B447" i="152"/>
  <c r="B448" i="152"/>
  <c r="B449" i="152"/>
  <c r="B450" i="152"/>
  <c r="B451" i="152"/>
  <c r="B452" i="152"/>
  <c r="B453" i="152"/>
  <c r="B454" i="152"/>
  <c r="B455" i="152"/>
  <c r="B456" i="152"/>
  <c r="B457" i="152"/>
  <c r="B458" i="152"/>
  <c r="B459" i="152"/>
  <c r="B460" i="152"/>
  <c r="B461" i="152"/>
  <c r="B462" i="152"/>
  <c r="B463" i="152"/>
  <c r="B464" i="152"/>
  <c r="B430" i="150"/>
  <c r="B431" i="150"/>
  <c r="B432" i="150"/>
  <c r="B433" i="150"/>
  <c r="B434" i="150"/>
  <c r="B435" i="150"/>
  <c r="B436" i="150"/>
  <c r="B437" i="150"/>
  <c r="B438" i="150"/>
  <c r="B439" i="150"/>
  <c r="B440" i="150"/>
  <c r="B441" i="150"/>
  <c r="B442" i="150"/>
  <c r="B443" i="150"/>
  <c r="B444" i="150"/>
  <c r="B445" i="150"/>
  <c r="B446" i="150"/>
  <c r="B447" i="150"/>
  <c r="B448" i="150"/>
  <c r="B449" i="150"/>
  <c r="B450" i="150"/>
  <c r="B451" i="150"/>
  <c r="B452" i="150"/>
  <c r="B453" i="150"/>
  <c r="B454" i="150"/>
  <c r="B455" i="150"/>
  <c r="B456" i="150"/>
  <c r="B457" i="150"/>
  <c r="B458" i="150"/>
  <c r="B459" i="150"/>
  <c r="B460" i="150"/>
  <c r="B461" i="150"/>
  <c r="B462" i="150"/>
  <c r="B463" i="150"/>
  <c r="B464" i="150"/>
  <c r="B430" i="149"/>
  <c r="B431" i="149"/>
  <c r="B432" i="149"/>
  <c r="B433" i="149"/>
  <c r="B434" i="149"/>
  <c r="B435" i="149"/>
  <c r="B436" i="149"/>
  <c r="B437" i="149"/>
  <c r="B438" i="149"/>
  <c r="B439" i="149"/>
  <c r="B440" i="149"/>
  <c r="B441" i="149"/>
  <c r="B442" i="149"/>
  <c r="B443" i="149"/>
  <c r="B444" i="149"/>
  <c r="B445" i="149"/>
  <c r="B446" i="149"/>
  <c r="B447" i="149"/>
  <c r="B448" i="149"/>
  <c r="B449" i="149"/>
  <c r="B450" i="149"/>
  <c r="B451" i="149"/>
  <c r="B452" i="149"/>
  <c r="B453" i="149"/>
  <c r="B454" i="149"/>
  <c r="B455" i="149"/>
  <c r="B456" i="149"/>
  <c r="B457" i="149"/>
  <c r="B458" i="149"/>
  <c r="B459" i="149"/>
  <c r="B460" i="149"/>
  <c r="B461" i="149"/>
  <c r="B462" i="149"/>
  <c r="B463" i="149"/>
  <c r="B464" i="149"/>
  <c r="D73" i="62"/>
  <c r="EZ73" i="62"/>
  <c r="FA73" i="62"/>
  <c r="FB73" i="62"/>
  <c r="FC73" i="62"/>
  <c r="FD73" i="62"/>
  <c r="D79" i="62"/>
  <c r="EZ79" i="62"/>
  <c r="FA79" i="62"/>
  <c r="FB79" i="62"/>
  <c r="FC79" i="62"/>
  <c r="FD79" i="62"/>
  <c r="AU458" i="9"/>
  <c r="B464" i="168"/>
  <c r="E464" i="168" s="1"/>
  <c r="B463" i="168"/>
  <c r="E463" i="168" s="1"/>
  <c r="B462" i="168"/>
  <c r="E462" i="168" s="1"/>
  <c r="B461" i="168"/>
  <c r="E461" i="168" s="1"/>
  <c r="B460" i="168"/>
  <c r="B459" i="168"/>
  <c r="B458" i="168"/>
  <c r="D1" i="168"/>
  <c r="B464" i="167"/>
  <c r="E464" i="167" s="1"/>
  <c r="B463" i="167"/>
  <c r="E463" i="167" s="1"/>
  <c r="B462" i="167"/>
  <c r="E462" i="167" s="1"/>
  <c r="B461" i="167"/>
  <c r="E461" i="167" s="1"/>
  <c r="B460" i="167"/>
  <c r="B459" i="167"/>
  <c r="B458" i="167"/>
  <c r="D1" i="167"/>
  <c r="AE458" i="9"/>
  <c r="AF458" i="9"/>
  <c r="AF459" i="9"/>
  <c r="N458" i="9"/>
  <c r="O458" i="9"/>
  <c r="P458" i="9"/>
  <c r="AF13" i="62" a="1"/>
  <c r="AF13" i="62" s="1"/>
  <c r="BY458" i="9"/>
  <c r="BY457" i="9"/>
  <c r="AE457" i="9"/>
  <c r="AF457" i="9"/>
  <c r="T457" i="9"/>
  <c r="N457" i="9"/>
  <c r="O457" i="9"/>
  <c r="P457" i="9"/>
  <c r="AH8" i="62"/>
  <c r="BY456" i="9"/>
  <c r="AE456" i="9"/>
  <c r="AF456" i="9"/>
  <c r="T456" i="9"/>
  <c r="N456" i="9"/>
  <c r="O456" i="9"/>
  <c r="P456" i="9"/>
  <c r="AE455" i="9"/>
  <c r="AF455" i="9"/>
  <c r="E455" i="98" s="1"/>
  <c r="T455" i="9"/>
  <c r="N455" i="9"/>
  <c r="O455" i="9"/>
  <c r="P455" i="9"/>
  <c r="AE454" i="9"/>
  <c r="AF454" i="9"/>
  <c r="T454" i="9"/>
  <c r="N454" i="9"/>
  <c r="O454" i="9"/>
  <c r="P454" i="9"/>
  <c r="FD106" i="62"/>
  <c r="FC106" i="62"/>
  <c r="FB106" i="62"/>
  <c r="FA106" i="62"/>
  <c r="EZ106" i="62"/>
  <c r="P17" i="120"/>
  <c r="A17" i="120"/>
  <c r="C16" i="120"/>
  <c r="B16" i="120"/>
  <c r="A16" i="120"/>
  <c r="D108" i="62"/>
  <c r="D105" i="62"/>
  <c r="AE453" i="9"/>
  <c r="AF453" i="9"/>
  <c r="T453" i="9"/>
  <c r="N453" i="9"/>
  <c r="O453" i="9"/>
  <c r="P453" i="9"/>
  <c r="FD110" i="62"/>
  <c r="FC110" i="62"/>
  <c r="FB110" i="62"/>
  <c r="FA110" i="62"/>
  <c r="EZ110" i="62"/>
  <c r="FD109" i="62"/>
  <c r="FC109" i="62"/>
  <c r="FB109" i="62"/>
  <c r="FA109" i="62"/>
  <c r="EZ109" i="62"/>
  <c r="FD108" i="62"/>
  <c r="FC108" i="62"/>
  <c r="FB108" i="62"/>
  <c r="FA108" i="62"/>
  <c r="EZ108" i="62"/>
  <c r="EX108" i="62"/>
  <c r="FD105" i="62"/>
  <c r="FC105" i="62"/>
  <c r="FB105" i="62"/>
  <c r="FA105" i="62"/>
  <c r="EZ105" i="62"/>
  <c r="EX105" i="62"/>
  <c r="B464" i="166"/>
  <c r="E464" i="166" s="1"/>
  <c r="B463" i="166"/>
  <c r="B462" i="166"/>
  <c r="E462" i="166" s="1"/>
  <c r="B461" i="166"/>
  <c r="B460" i="166"/>
  <c r="B459" i="166"/>
  <c r="E459" i="166" s="1"/>
  <c r="B458" i="166"/>
  <c r="E458" i="166" s="1"/>
  <c r="B457" i="166"/>
  <c r="E457" i="166" s="1"/>
  <c r="B456" i="166"/>
  <c r="E456" i="166" s="1"/>
  <c r="B455" i="166"/>
  <c r="B454" i="166"/>
  <c r="B453" i="166"/>
  <c r="B464" i="165"/>
  <c r="E464" i="165" s="1"/>
  <c r="B463" i="165"/>
  <c r="E463" i="165" s="1"/>
  <c r="B462" i="165"/>
  <c r="E462" i="165" s="1"/>
  <c r="B461" i="165"/>
  <c r="B460" i="165"/>
  <c r="B459" i="165"/>
  <c r="E459" i="165" s="1"/>
  <c r="B458" i="165"/>
  <c r="E458" i="165" s="1"/>
  <c r="B457" i="165"/>
  <c r="E457" i="165" s="1"/>
  <c r="B456" i="165"/>
  <c r="E456" i="165" s="1"/>
  <c r="B455" i="165"/>
  <c r="E455" i="165" s="1"/>
  <c r="B454" i="165"/>
  <c r="E454" i="165" s="1"/>
  <c r="B453" i="165"/>
  <c r="B464" i="164"/>
  <c r="B463" i="164"/>
  <c r="B462" i="164"/>
  <c r="B461" i="164"/>
  <c r="B460" i="164"/>
  <c r="B459" i="164"/>
  <c r="E459" i="164" s="1"/>
  <c r="B458" i="164"/>
  <c r="B457" i="164"/>
  <c r="E457" i="164" s="1"/>
  <c r="B456" i="164"/>
  <c r="B455" i="164"/>
  <c r="E455" i="164" s="1"/>
  <c r="B454" i="164"/>
  <c r="B453" i="164"/>
  <c r="E453" i="164"/>
  <c r="B464" i="163"/>
  <c r="B463" i="163"/>
  <c r="B462" i="163"/>
  <c r="B461" i="163"/>
  <c r="B460" i="163"/>
  <c r="B459" i="163"/>
  <c r="B458" i="163"/>
  <c r="B457" i="163"/>
  <c r="B456" i="163"/>
  <c r="B455" i="163"/>
  <c r="B454" i="163"/>
  <c r="B453" i="163"/>
  <c r="B453" i="10"/>
  <c r="E453" i="10" s="1"/>
  <c r="B454" i="10"/>
  <c r="E454" i="10"/>
  <c r="B455" i="10"/>
  <c r="E455" i="10"/>
  <c r="B456" i="10"/>
  <c r="E456" i="10"/>
  <c r="B457" i="10"/>
  <c r="E457" i="10" s="1"/>
  <c r="B458" i="10"/>
  <c r="E458" i="10"/>
  <c r="B459" i="10"/>
  <c r="B460" i="10"/>
  <c r="E460" i="10" s="1"/>
  <c r="B461" i="10"/>
  <c r="B462" i="10"/>
  <c r="E462" i="10"/>
  <c r="B463" i="10"/>
  <c r="B464" i="10"/>
  <c r="B453" i="161"/>
  <c r="E453" i="161" s="1"/>
  <c r="B454" i="161"/>
  <c r="E454" i="161"/>
  <c r="B455" i="161"/>
  <c r="E455" i="161" s="1"/>
  <c r="B456" i="161"/>
  <c r="E456" i="161" s="1"/>
  <c r="B457" i="161"/>
  <c r="B458" i="161"/>
  <c r="E458" i="161" s="1"/>
  <c r="B459" i="161"/>
  <c r="B460" i="161"/>
  <c r="B461" i="161"/>
  <c r="E461" i="161"/>
  <c r="B462" i="161"/>
  <c r="E462" i="161"/>
  <c r="B463" i="161"/>
  <c r="B464" i="161"/>
  <c r="B453" i="162"/>
  <c r="E453" i="162"/>
  <c r="B454" i="162"/>
  <c r="E454" i="162"/>
  <c r="B455" i="162"/>
  <c r="E455" i="162" s="1"/>
  <c r="B456" i="162"/>
  <c r="E456" i="162"/>
  <c r="B457" i="162"/>
  <c r="E457" i="162"/>
  <c r="B458" i="162"/>
  <c r="E458" i="162"/>
  <c r="B459" i="162"/>
  <c r="B460" i="162"/>
  <c r="B461" i="162"/>
  <c r="B462" i="162"/>
  <c r="B463" i="162"/>
  <c r="E463" i="162"/>
  <c r="B464" i="162"/>
  <c r="B453" i="13"/>
  <c r="E453" i="13"/>
  <c r="B454" i="13"/>
  <c r="E454" i="13" s="1"/>
  <c r="B455" i="13"/>
  <c r="E455" i="13"/>
  <c r="B456" i="13"/>
  <c r="E456" i="13" s="1"/>
  <c r="B457" i="13"/>
  <c r="E457" i="13"/>
  <c r="B458" i="13"/>
  <c r="E458" i="13"/>
  <c r="B459" i="13"/>
  <c r="B460" i="13"/>
  <c r="B461" i="13"/>
  <c r="E461" i="13" s="1"/>
  <c r="B462" i="13"/>
  <c r="E462" i="13"/>
  <c r="B463" i="13"/>
  <c r="E463" i="13" s="1"/>
  <c r="B464" i="13"/>
  <c r="E464" i="13"/>
  <c r="B453" i="25"/>
  <c r="E453" i="25"/>
  <c r="B454" i="25"/>
  <c r="E454" i="25" s="1"/>
  <c r="B455" i="25"/>
  <c r="E455" i="25" s="1"/>
  <c r="B456" i="25"/>
  <c r="E456" i="25" s="1"/>
  <c r="B457" i="25"/>
  <c r="E457" i="25"/>
  <c r="B458" i="25"/>
  <c r="E458" i="25"/>
  <c r="B459" i="25"/>
  <c r="B460" i="25"/>
  <c r="B461" i="25"/>
  <c r="E461" i="25" s="1"/>
  <c r="B462" i="25"/>
  <c r="B463" i="25"/>
  <c r="E463" i="25"/>
  <c r="B464" i="25"/>
  <c r="E464" i="25" s="1"/>
  <c r="B453" i="31"/>
  <c r="E453" i="31" s="1"/>
  <c r="B454" i="31"/>
  <c r="E454" i="31"/>
  <c r="B455" i="31"/>
  <c r="E455" i="31"/>
  <c r="B456" i="31"/>
  <c r="E456" i="31" s="1"/>
  <c r="B457" i="31"/>
  <c r="B458" i="31"/>
  <c r="E458" i="31" s="1"/>
  <c r="B459" i="31"/>
  <c r="B460" i="31"/>
  <c r="B461" i="31"/>
  <c r="B462" i="31"/>
  <c r="B463" i="31"/>
  <c r="E463" i="31" s="1"/>
  <c r="B464" i="31"/>
  <c r="E464" i="31"/>
  <c r="B453" i="71"/>
  <c r="E453" i="71"/>
  <c r="B454" i="71"/>
  <c r="E454" i="71"/>
  <c r="B455" i="71"/>
  <c r="E455" i="71" s="1"/>
  <c r="B456" i="71"/>
  <c r="E456" i="71"/>
  <c r="B457" i="71"/>
  <c r="B458" i="71"/>
  <c r="E458" i="71" s="1"/>
  <c r="B459" i="71"/>
  <c r="B460" i="71"/>
  <c r="B461" i="71"/>
  <c r="E461" i="71" s="1"/>
  <c r="B462" i="71"/>
  <c r="E462" i="71"/>
  <c r="B463" i="71"/>
  <c r="B464" i="71"/>
  <c r="E464" i="71" s="1"/>
  <c r="B453" i="11"/>
  <c r="E453" i="11"/>
  <c r="B454" i="11"/>
  <c r="E454" i="11" s="1"/>
  <c r="B455" i="11"/>
  <c r="E455" i="11" s="1"/>
  <c r="B456" i="11"/>
  <c r="E456" i="11" s="1"/>
  <c r="B457" i="11"/>
  <c r="E457" i="11"/>
  <c r="B458" i="11"/>
  <c r="E458" i="11" s="1"/>
  <c r="B459" i="11"/>
  <c r="B460" i="11"/>
  <c r="B461" i="11"/>
  <c r="E461" i="11" s="1"/>
  <c r="B462" i="11"/>
  <c r="E462" i="11" s="1"/>
  <c r="B463" i="11"/>
  <c r="E463" i="11" s="1"/>
  <c r="B464" i="11"/>
  <c r="E464" i="11" s="1"/>
  <c r="B453" i="12"/>
  <c r="E453" i="12" s="1"/>
  <c r="B454" i="12"/>
  <c r="B455" i="12"/>
  <c r="E455" i="12"/>
  <c r="B456" i="12"/>
  <c r="E456" i="12" s="1"/>
  <c r="B457" i="12"/>
  <c r="E457" i="12"/>
  <c r="B458" i="12"/>
  <c r="E458" i="12" s="1"/>
  <c r="B459" i="12"/>
  <c r="B460" i="12"/>
  <c r="B461" i="12"/>
  <c r="E461" i="12"/>
  <c r="B462" i="12"/>
  <c r="B463" i="12"/>
  <c r="B464" i="12"/>
  <c r="B453" i="82"/>
  <c r="E453" i="82"/>
  <c r="B454" i="82"/>
  <c r="E454" i="82"/>
  <c r="B455" i="82"/>
  <c r="E455" i="82" s="1"/>
  <c r="B456" i="82"/>
  <c r="E456" i="82"/>
  <c r="B457" i="82"/>
  <c r="E457" i="82"/>
  <c r="B458" i="82"/>
  <c r="E458" i="82"/>
  <c r="B459" i="82"/>
  <c r="B460" i="82"/>
  <c r="B461" i="82"/>
  <c r="E461" i="82"/>
  <c r="B462" i="82"/>
  <c r="E462" i="82"/>
  <c r="B463" i="82"/>
  <c r="E463" i="82"/>
  <c r="B464" i="82"/>
  <c r="E464" i="82" s="1"/>
  <c r="B453" i="15"/>
  <c r="E453" i="15"/>
  <c r="B454" i="15"/>
  <c r="E454" i="15" s="1"/>
  <c r="B455" i="15"/>
  <c r="E455" i="15"/>
  <c r="B456" i="15"/>
  <c r="E456" i="15" s="1"/>
  <c r="B457" i="15"/>
  <c r="E457" i="15"/>
  <c r="B458" i="15"/>
  <c r="E458" i="15"/>
  <c r="B459" i="15"/>
  <c r="B460" i="15"/>
  <c r="B461" i="15"/>
  <c r="B462" i="15"/>
  <c r="E462" i="15"/>
  <c r="B463" i="15"/>
  <c r="B464" i="15"/>
  <c r="B453" i="122"/>
  <c r="B454" i="122"/>
  <c r="E454" i="122"/>
  <c r="B455" i="122"/>
  <c r="E455" i="122"/>
  <c r="B456" i="122"/>
  <c r="E456" i="122" s="1"/>
  <c r="B457" i="122"/>
  <c r="B458" i="122"/>
  <c r="E458" i="122" s="1"/>
  <c r="B459" i="122"/>
  <c r="B460" i="122"/>
  <c r="B461" i="122"/>
  <c r="B462" i="122"/>
  <c r="E462" i="122"/>
  <c r="B463" i="122"/>
  <c r="B464" i="122"/>
  <c r="E464" i="122"/>
  <c r="B453" i="125"/>
  <c r="E453" i="125" s="1"/>
  <c r="B454" i="125"/>
  <c r="E454" i="125" s="1"/>
  <c r="B455" i="125"/>
  <c r="E455" i="125" s="1"/>
  <c r="B456" i="125"/>
  <c r="E456" i="125" s="1"/>
  <c r="B457" i="125"/>
  <c r="E457" i="125" s="1"/>
  <c r="B458" i="125"/>
  <c r="E458" i="125" s="1"/>
  <c r="B459" i="125"/>
  <c r="E459" i="125" s="1"/>
  <c r="B460" i="125"/>
  <c r="B461" i="125"/>
  <c r="E461" i="125" s="1"/>
  <c r="B462" i="125"/>
  <c r="B463" i="125"/>
  <c r="B464" i="125"/>
  <c r="E464" i="125" s="1"/>
  <c r="B453" i="49"/>
  <c r="B454" i="49"/>
  <c r="B455" i="49"/>
  <c r="B456" i="49"/>
  <c r="B457" i="49"/>
  <c r="B458" i="49"/>
  <c r="B459" i="49"/>
  <c r="E459" i="49"/>
  <c r="B460" i="49"/>
  <c r="E460" i="49" s="1"/>
  <c r="B461" i="49"/>
  <c r="E461" i="49" s="1"/>
  <c r="B462" i="49"/>
  <c r="B463" i="49"/>
  <c r="E463" i="49" s="1"/>
  <c r="B464" i="49"/>
  <c r="B453" i="98"/>
  <c r="B454" i="98"/>
  <c r="B455" i="98"/>
  <c r="B456" i="98"/>
  <c r="B457" i="98"/>
  <c r="B458" i="98"/>
  <c r="B459" i="98"/>
  <c r="B460" i="98"/>
  <c r="B461" i="98"/>
  <c r="E461" i="98" s="1"/>
  <c r="B462" i="98"/>
  <c r="E462" i="98" s="1"/>
  <c r="B463" i="98"/>
  <c r="B464" i="98"/>
  <c r="E464" i="98" s="1"/>
  <c r="B453" i="157"/>
  <c r="E453" i="157" s="1"/>
  <c r="B454" i="157"/>
  <c r="E454" i="157" s="1"/>
  <c r="B455" i="157"/>
  <c r="B456" i="157"/>
  <c r="B457" i="157"/>
  <c r="E457" i="157"/>
  <c r="B458" i="157"/>
  <c r="E458" i="157"/>
  <c r="B459" i="157"/>
  <c r="B460" i="157"/>
  <c r="B461" i="157"/>
  <c r="E461" i="157" s="1"/>
  <c r="B462" i="157"/>
  <c r="E462" i="157"/>
  <c r="B463" i="157"/>
  <c r="E463" i="157" s="1"/>
  <c r="B464" i="157"/>
  <c r="B453" i="158"/>
  <c r="E453" i="158" s="1"/>
  <c r="B454" i="158"/>
  <c r="E454" i="158"/>
  <c r="B455" i="158"/>
  <c r="E455" i="158" s="1"/>
  <c r="B456" i="158"/>
  <c r="E456" i="158" s="1"/>
  <c r="B457" i="158"/>
  <c r="B458" i="158"/>
  <c r="E458" i="158" s="1"/>
  <c r="B459" i="158"/>
  <c r="B460" i="158"/>
  <c r="B461" i="158"/>
  <c r="B462" i="158"/>
  <c r="B463" i="158"/>
  <c r="B464" i="158"/>
  <c r="B453" i="134"/>
  <c r="E453" i="134"/>
  <c r="B454" i="134"/>
  <c r="E454" i="134" s="1"/>
  <c r="B455" i="134"/>
  <c r="E455" i="134" s="1"/>
  <c r="B456" i="134"/>
  <c r="E456" i="134"/>
  <c r="B457" i="134"/>
  <c r="B458" i="134"/>
  <c r="E458" i="134"/>
  <c r="B459" i="134"/>
  <c r="E459" i="134" s="1"/>
  <c r="B460" i="134"/>
  <c r="B461" i="134"/>
  <c r="E461" i="134" s="1"/>
  <c r="B462" i="134"/>
  <c r="E462" i="134" s="1"/>
  <c r="B463" i="134"/>
  <c r="E463" i="134" s="1"/>
  <c r="B464" i="134"/>
  <c r="E464" i="134" s="1"/>
  <c r="B453" i="142"/>
  <c r="E453" i="142"/>
  <c r="B454" i="142"/>
  <c r="E454" i="142"/>
  <c r="B455" i="142"/>
  <c r="E455" i="142"/>
  <c r="B456" i="142"/>
  <c r="E456" i="142" s="1"/>
  <c r="B457" i="142"/>
  <c r="E457" i="142"/>
  <c r="B458" i="142"/>
  <c r="E458" i="142" s="1"/>
  <c r="B459" i="142"/>
  <c r="B460" i="142"/>
  <c r="B461" i="142"/>
  <c r="E461" i="142" s="1"/>
  <c r="B462" i="142"/>
  <c r="E462" i="142"/>
  <c r="B463" i="142"/>
  <c r="E463" i="142" s="1"/>
  <c r="B464" i="142"/>
  <c r="E464" i="142" s="1"/>
  <c r="B453" i="159"/>
  <c r="E453" i="159" s="1"/>
  <c r="B454" i="159"/>
  <c r="E454" i="159"/>
  <c r="B455" i="159"/>
  <c r="E455" i="159" s="1"/>
  <c r="B456" i="159"/>
  <c r="E456" i="159" s="1"/>
  <c r="B457" i="159"/>
  <c r="E457" i="159" s="1"/>
  <c r="B458" i="159"/>
  <c r="E458" i="159"/>
  <c r="B459" i="159"/>
  <c r="B460" i="159"/>
  <c r="B461" i="159"/>
  <c r="E461" i="159"/>
  <c r="B462" i="159"/>
  <c r="E462" i="159" s="1"/>
  <c r="B463" i="159"/>
  <c r="B464" i="159"/>
  <c r="E464" i="159"/>
  <c r="B453" i="100"/>
  <c r="E453" i="100" s="1"/>
  <c r="B454" i="100"/>
  <c r="E454" i="100" s="1"/>
  <c r="B455" i="100"/>
  <c r="E455" i="100"/>
  <c r="B456" i="100"/>
  <c r="E456" i="100"/>
  <c r="B457" i="100"/>
  <c r="E457" i="100"/>
  <c r="B458" i="100"/>
  <c r="E458" i="100" s="1"/>
  <c r="B459" i="100"/>
  <c r="B460" i="100"/>
  <c r="B461" i="100"/>
  <c r="B462" i="100"/>
  <c r="B463" i="100"/>
  <c r="B464" i="100"/>
  <c r="B453" i="145"/>
  <c r="E453" i="145"/>
  <c r="B454" i="145"/>
  <c r="E454" i="145"/>
  <c r="B455" i="145"/>
  <c r="E455" i="145" s="1"/>
  <c r="B456" i="145"/>
  <c r="E456" i="145"/>
  <c r="B457" i="145"/>
  <c r="E457" i="145" s="1"/>
  <c r="B458" i="145"/>
  <c r="E458" i="145" s="1"/>
  <c r="B459" i="145"/>
  <c r="E459" i="145" s="1"/>
  <c r="B460" i="145"/>
  <c r="B461" i="145"/>
  <c r="E461" i="145" s="1"/>
  <c r="B462" i="145"/>
  <c r="E462" i="145" s="1"/>
  <c r="B463" i="145"/>
  <c r="E463" i="145" s="1"/>
  <c r="B464" i="145"/>
  <c r="E464" i="145" s="1"/>
  <c r="B453" i="146"/>
  <c r="E453" i="146" s="1"/>
  <c r="B454" i="146"/>
  <c r="E454" i="146"/>
  <c r="B455" i="146"/>
  <c r="E455" i="146"/>
  <c r="B456" i="146"/>
  <c r="E456" i="146" s="1"/>
  <c r="B457" i="146"/>
  <c r="E457" i="146" s="1"/>
  <c r="B458" i="146"/>
  <c r="E458" i="146" s="1"/>
  <c r="B459" i="146"/>
  <c r="E459" i="146" s="1"/>
  <c r="B460" i="146"/>
  <c r="B461" i="146"/>
  <c r="E461" i="146"/>
  <c r="B462" i="146"/>
  <c r="E462" i="146"/>
  <c r="B463" i="146"/>
  <c r="E463" i="146" s="1"/>
  <c r="B464" i="146"/>
  <c r="E464" i="146" s="1"/>
  <c r="B453" i="147"/>
  <c r="E453" i="147"/>
  <c r="B454" i="147"/>
  <c r="E454" i="147"/>
  <c r="B455" i="147"/>
  <c r="E455" i="147" s="1"/>
  <c r="B456" i="147"/>
  <c r="E456" i="147" s="1"/>
  <c r="B457" i="147"/>
  <c r="E457" i="147"/>
  <c r="B458" i="147"/>
  <c r="E458" i="147"/>
  <c r="B459" i="147"/>
  <c r="B460" i="147"/>
  <c r="B461" i="147"/>
  <c r="B462" i="147"/>
  <c r="B463" i="147"/>
  <c r="B464" i="147"/>
  <c r="B453" i="148"/>
  <c r="E453" i="148" s="1"/>
  <c r="B454" i="148"/>
  <c r="E454" i="148"/>
  <c r="B455" i="148"/>
  <c r="E455" i="148"/>
  <c r="B456" i="148"/>
  <c r="E456" i="148"/>
  <c r="B457" i="148"/>
  <c r="B458" i="148"/>
  <c r="E458" i="148" s="1"/>
  <c r="B459" i="148"/>
  <c r="E459" i="148"/>
  <c r="B460" i="148"/>
  <c r="B461" i="148"/>
  <c r="E461" i="148" s="1"/>
  <c r="B462" i="148"/>
  <c r="E462" i="148" s="1"/>
  <c r="B463" i="148"/>
  <c r="E463" i="148" s="1"/>
  <c r="B464" i="148"/>
  <c r="E464" i="148"/>
  <c r="B453" i="39"/>
  <c r="E453" i="39"/>
  <c r="B454" i="39"/>
  <c r="E454" i="39" s="1"/>
  <c r="B455" i="39"/>
  <c r="E455" i="39"/>
  <c r="B456" i="39"/>
  <c r="E456" i="39" s="1"/>
  <c r="B457" i="39"/>
  <c r="E457" i="39" s="1"/>
  <c r="B458" i="39"/>
  <c r="E458" i="39" s="1"/>
  <c r="B459" i="39"/>
  <c r="B460" i="39"/>
  <c r="B461" i="39"/>
  <c r="E461" i="39"/>
  <c r="B462" i="39"/>
  <c r="E462" i="39"/>
  <c r="B463" i="39"/>
  <c r="B464" i="39"/>
  <c r="B453" i="129"/>
  <c r="E453" i="129" s="1"/>
  <c r="B454" i="129"/>
  <c r="E454" i="129" s="1"/>
  <c r="B455" i="129"/>
  <c r="E455" i="129" s="1"/>
  <c r="B456" i="129"/>
  <c r="E456" i="129" s="1"/>
  <c r="B457" i="129"/>
  <c r="B458" i="129"/>
  <c r="E458" i="129" s="1"/>
  <c r="B459" i="129"/>
  <c r="E459" i="129" s="1"/>
  <c r="B460" i="129"/>
  <c r="B461" i="129"/>
  <c r="E461" i="129" s="1"/>
  <c r="B462" i="129"/>
  <c r="E462" i="129" s="1"/>
  <c r="B463" i="129"/>
  <c r="E463" i="129" s="1"/>
  <c r="B464" i="129"/>
  <c r="E464" i="129" s="1"/>
  <c r="B453" i="137"/>
  <c r="E453" i="137" s="1"/>
  <c r="B454" i="137"/>
  <c r="E454" i="137" s="1"/>
  <c r="B455" i="137"/>
  <c r="E455" i="137" s="1"/>
  <c r="B456" i="137"/>
  <c r="B457" i="137"/>
  <c r="B458" i="137"/>
  <c r="E458" i="137" s="1"/>
  <c r="B459" i="137"/>
  <c r="B460" i="137"/>
  <c r="B461" i="137"/>
  <c r="B462" i="137"/>
  <c r="B463" i="137"/>
  <c r="B464" i="137"/>
  <c r="B453" i="136"/>
  <c r="E453" i="136" s="1"/>
  <c r="B454" i="136"/>
  <c r="E454" i="136" s="1"/>
  <c r="B455" i="136"/>
  <c r="E455" i="136" s="1"/>
  <c r="B456" i="136"/>
  <c r="E456" i="136" s="1"/>
  <c r="B457" i="136"/>
  <c r="E457" i="136"/>
  <c r="B458" i="136"/>
  <c r="B459" i="136"/>
  <c r="B460" i="136"/>
  <c r="B461" i="136"/>
  <c r="B462" i="136"/>
  <c r="B463" i="136"/>
  <c r="B464" i="136"/>
  <c r="B453" i="139"/>
  <c r="E453" i="139"/>
  <c r="B454" i="139"/>
  <c r="E454" i="139"/>
  <c r="B455" i="139"/>
  <c r="B456" i="139"/>
  <c r="B457" i="139"/>
  <c r="E457" i="139" s="1"/>
  <c r="B458" i="139"/>
  <c r="E458" i="139"/>
  <c r="B459" i="139"/>
  <c r="E459" i="139" s="1"/>
  <c r="B460" i="139"/>
  <c r="B461" i="139"/>
  <c r="B462" i="139"/>
  <c r="B463" i="139"/>
  <c r="B464" i="139"/>
  <c r="B453" i="144"/>
  <c r="E453" i="144" s="1"/>
  <c r="B454" i="144"/>
  <c r="E454" i="144"/>
  <c r="B455" i="144"/>
  <c r="E455" i="144" s="1"/>
  <c r="B456" i="144"/>
  <c r="E456" i="144" s="1"/>
  <c r="B457" i="144"/>
  <c r="E457" i="144" s="1"/>
  <c r="B458" i="144"/>
  <c r="E458" i="144"/>
  <c r="B459" i="144"/>
  <c r="B460" i="144"/>
  <c r="B461" i="144"/>
  <c r="E461" i="144" s="1"/>
  <c r="B462" i="144"/>
  <c r="E462" i="144" s="1"/>
  <c r="B463" i="144"/>
  <c r="E463" i="144"/>
  <c r="B464" i="144"/>
  <c r="E464" i="144" s="1"/>
  <c r="B453" i="143"/>
  <c r="E453" i="143" s="1"/>
  <c r="B454" i="143"/>
  <c r="E454" i="143" s="1"/>
  <c r="B455" i="143"/>
  <c r="E455" i="143"/>
  <c r="B456" i="143"/>
  <c r="E456" i="143" s="1"/>
  <c r="B457" i="143"/>
  <c r="E457" i="143" s="1"/>
  <c r="B458" i="143"/>
  <c r="E458" i="143" s="1"/>
  <c r="B459" i="143"/>
  <c r="B460" i="143"/>
  <c r="B461" i="143"/>
  <c r="B462" i="143"/>
  <c r="B463" i="143"/>
  <c r="B464" i="143"/>
  <c r="E464" i="143"/>
  <c r="B453" i="72"/>
  <c r="E453" i="72" s="1"/>
  <c r="B454" i="72"/>
  <c r="E454" i="72" s="1"/>
  <c r="B455" i="72"/>
  <c r="E455" i="72" s="1"/>
  <c r="B456" i="72"/>
  <c r="E456" i="72"/>
  <c r="B457" i="72"/>
  <c r="E457" i="72" s="1"/>
  <c r="B458" i="72"/>
  <c r="E458" i="72" s="1"/>
  <c r="B459" i="72"/>
  <c r="B460" i="72"/>
  <c r="B461" i="72"/>
  <c r="E461" i="72"/>
  <c r="B462" i="72"/>
  <c r="B463" i="72"/>
  <c r="B464" i="72"/>
  <c r="B453" i="160"/>
  <c r="E453" i="160"/>
  <c r="B454" i="160"/>
  <c r="E454" i="160"/>
  <c r="B455" i="160"/>
  <c r="E455" i="160" s="1"/>
  <c r="B456" i="160"/>
  <c r="E456" i="160" s="1"/>
  <c r="B457" i="160"/>
  <c r="E457" i="160"/>
  <c r="B458" i="160"/>
  <c r="E458" i="160"/>
  <c r="B459" i="160"/>
  <c r="B460" i="160"/>
  <c r="B461" i="160"/>
  <c r="E461" i="160" s="1"/>
  <c r="B462" i="160"/>
  <c r="E462" i="160"/>
  <c r="B463" i="160"/>
  <c r="E463" i="160"/>
  <c r="B464" i="160"/>
  <c r="E464" i="160" s="1"/>
  <c r="B453" i="151"/>
  <c r="B454" i="151"/>
  <c r="B455" i="151"/>
  <c r="B456" i="151"/>
  <c r="B457" i="151"/>
  <c r="B458" i="151"/>
  <c r="B459" i="151"/>
  <c r="B460" i="151"/>
  <c r="B461" i="151"/>
  <c r="B462" i="151"/>
  <c r="B463" i="151"/>
  <c r="B464" i="151"/>
  <c r="B453" i="153"/>
  <c r="B454" i="153"/>
  <c r="B455" i="153"/>
  <c r="B456" i="153"/>
  <c r="B457" i="153"/>
  <c r="B458" i="153"/>
  <c r="B459" i="153"/>
  <c r="B460" i="153"/>
  <c r="B461" i="153"/>
  <c r="B462" i="153"/>
  <c r="B463" i="153"/>
  <c r="B464" i="153"/>
  <c r="B453" i="154"/>
  <c r="B454" i="154"/>
  <c r="B455" i="154"/>
  <c r="B456" i="154"/>
  <c r="B457" i="154"/>
  <c r="B458" i="154"/>
  <c r="B459" i="154"/>
  <c r="B460" i="154"/>
  <c r="B461" i="154"/>
  <c r="B462" i="154"/>
  <c r="B463" i="154"/>
  <c r="B464" i="154"/>
  <c r="B453" i="115"/>
  <c r="B454" i="115"/>
  <c r="B455" i="115"/>
  <c r="B456" i="115"/>
  <c r="B457" i="115"/>
  <c r="B458" i="115"/>
  <c r="B459" i="115"/>
  <c r="B460" i="115"/>
  <c r="B461" i="115"/>
  <c r="B462" i="115"/>
  <c r="B463" i="115"/>
  <c r="B464" i="115"/>
  <c r="B453" i="121"/>
  <c r="E453" i="121" s="1"/>
  <c r="B454" i="121"/>
  <c r="E454" i="121"/>
  <c r="B455" i="121"/>
  <c r="E455" i="121" s="1"/>
  <c r="B456" i="121"/>
  <c r="E456" i="121" s="1"/>
  <c r="B457" i="121"/>
  <c r="E457" i="121" s="1"/>
  <c r="B458" i="121"/>
  <c r="E458" i="121"/>
  <c r="B459" i="121"/>
  <c r="B460" i="121"/>
  <c r="E460" i="121" s="1"/>
  <c r="B461" i="121"/>
  <c r="E461" i="121"/>
  <c r="B462" i="121"/>
  <c r="E462" i="121" s="1"/>
  <c r="B463" i="121"/>
  <c r="E463" i="121" s="1"/>
  <c r="B464" i="121"/>
  <c r="E464" i="121"/>
  <c r="AE452" i="9"/>
  <c r="AF452" i="9"/>
  <c r="T452" i="9"/>
  <c r="N452" i="9"/>
  <c r="O452" i="9"/>
  <c r="P452" i="9"/>
  <c r="BY453" i="9"/>
  <c r="BY454" i="9"/>
  <c r="BY455" i="9"/>
  <c r="AE451" i="9"/>
  <c r="AF451" i="9"/>
  <c r="T451" i="9"/>
  <c r="N451" i="9"/>
  <c r="O451" i="9"/>
  <c r="P451" i="9"/>
  <c r="BY451" i="9"/>
  <c r="BY452" i="9"/>
  <c r="BY450" i="9"/>
  <c r="AE450" i="9"/>
  <c r="AF450" i="9"/>
  <c r="T450" i="9"/>
  <c r="N450" i="9"/>
  <c r="O450" i="9"/>
  <c r="P450" i="9"/>
  <c r="BY449" i="9"/>
  <c r="AE449" i="9"/>
  <c r="AF449" i="9"/>
  <c r="T449" i="9"/>
  <c r="N449" i="9"/>
  <c r="O449" i="9"/>
  <c r="P449" i="9"/>
  <c r="B414" i="136"/>
  <c r="B415" i="136"/>
  <c r="E415" i="136"/>
  <c r="B416" i="136"/>
  <c r="E416" i="136"/>
  <c r="B417" i="136"/>
  <c r="E417" i="136"/>
  <c r="B418" i="136"/>
  <c r="E418" i="136" s="1"/>
  <c r="B419" i="136"/>
  <c r="E419" i="136"/>
  <c r="B420" i="136"/>
  <c r="E420" i="136"/>
  <c r="B421" i="136"/>
  <c r="E421" i="136"/>
  <c r="B422" i="136"/>
  <c r="E422" i="136" s="1"/>
  <c r="B423" i="136"/>
  <c r="E423" i="136"/>
  <c r="B424" i="136"/>
  <c r="E424" i="136"/>
  <c r="B425" i="136"/>
  <c r="E425" i="136"/>
  <c r="B426" i="136"/>
  <c r="E426" i="136" s="1"/>
  <c r="B427" i="136"/>
  <c r="E427" i="136"/>
  <c r="B428" i="136"/>
  <c r="E428" i="136"/>
  <c r="B429" i="136"/>
  <c r="E429" i="136"/>
  <c r="B430" i="136"/>
  <c r="E430" i="136" s="1"/>
  <c r="B431" i="136"/>
  <c r="E431" i="136"/>
  <c r="B432" i="136"/>
  <c r="E432" i="136"/>
  <c r="B433" i="136"/>
  <c r="E433" i="136"/>
  <c r="B434" i="136"/>
  <c r="E434" i="136" s="1"/>
  <c r="B435" i="136"/>
  <c r="E435" i="136"/>
  <c r="B436" i="136"/>
  <c r="E436" i="136"/>
  <c r="B437" i="136"/>
  <c r="E437" i="136"/>
  <c r="B438" i="136"/>
  <c r="E438" i="136" s="1"/>
  <c r="B439" i="136"/>
  <c r="E439" i="136"/>
  <c r="B440" i="136"/>
  <c r="E440" i="136"/>
  <c r="B441" i="136"/>
  <c r="E441" i="136"/>
  <c r="B442" i="136"/>
  <c r="E442" i="136" s="1"/>
  <c r="B443" i="136"/>
  <c r="E443" i="136"/>
  <c r="B444" i="136"/>
  <c r="E444" i="136"/>
  <c r="B445" i="136"/>
  <c r="E445" i="136"/>
  <c r="B446" i="136"/>
  <c r="E446" i="136" s="1"/>
  <c r="B447" i="136"/>
  <c r="E447" i="136"/>
  <c r="B448" i="136"/>
  <c r="E448" i="136"/>
  <c r="FM25" i="62"/>
  <c r="FJ25" i="62"/>
  <c r="FD25" i="62"/>
  <c r="FC25" i="62"/>
  <c r="FB25" i="62"/>
  <c r="FA25" i="62"/>
  <c r="EZ25" i="62"/>
  <c r="D25" i="62"/>
  <c r="FD22" i="62"/>
  <c r="FC22" i="62"/>
  <c r="FB22" i="62"/>
  <c r="FA22" i="62"/>
  <c r="EZ22" i="62"/>
  <c r="D22" i="62"/>
  <c r="B452" i="162"/>
  <c r="E452" i="162"/>
  <c r="B451" i="162"/>
  <c r="E451" i="162"/>
  <c r="B450" i="162"/>
  <c r="E450" i="162" s="1"/>
  <c r="B449" i="162"/>
  <c r="E449" i="162"/>
  <c r="B448" i="162"/>
  <c r="D1" i="162"/>
  <c r="B452" i="161"/>
  <c r="E452" i="161"/>
  <c r="B451" i="161"/>
  <c r="E451" i="161" s="1"/>
  <c r="B450" i="161"/>
  <c r="E450" i="161"/>
  <c r="B449" i="161"/>
  <c r="E449" i="161"/>
  <c r="B448" i="161"/>
  <c r="D1" i="161"/>
  <c r="BY448" i="9"/>
  <c r="AE448" i="9"/>
  <c r="AF448" i="9"/>
  <c r="T448" i="9"/>
  <c r="N448" i="9"/>
  <c r="O448" i="9"/>
  <c r="P448" i="9"/>
  <c r="BY447" i="9"/>
  <c r="AE447" i="9"/>
  <c r="AF447" i="9"/>
  <c r="T447" i="9"/>
  <c r="N447" i="9"/>
  <c r="O447" i="9"/>
  <c r="P447" i="9"/>
  <c r="BC446" i="9"/>
  <c r="BD446" i="9"/>
  <c r="BE446" i="9"/>
  <c r="BP446" i="9"/>
  <c r="BS446" i="9" a="1"/>
  <c r="BS446" i="9"/>
  <c r="BT446" i="9" a="1"/>
  <c r="BT446" i="9"/>
  <c r="BU446" i="9" a="1"/>
  <c r="BU446" i="9"/>
  <c r="BV446" i="9" a="1"/>
  <c r="BV446" i="9" s="1"/>
  <c r="BW446" i="9" a="1"/>
  <c r="BW446" i="9"/>
  <c r="BX446" i="9" a="1"/>
  <c r="BX446" i="9"/>
  <c r="BY446" i="9"/>
  <c r="CB446" i="9"/>
  <c r="CD446" i="9"/>
  <c r="CG446" i="9"/>
  <c r="CJ446" i="9"/>
  <c r="AE446" i="9"/>
  <c r="BQ446" i="9" s="1"/>
  <c r="AF446" i="9"/>
  <c r="E446" i="98"/>
  <c r="T446" i="9"/>
  <c r="N446" i="9"/>
  <c r="O446" i="9"/>
  <c r="P446" i="9"/>
  <c r="BC445" i="9"/>
  <c r="BD445" i="9"/>
  <c r="BE445" i="9"/>
  <c r="BP445" i="9"/>
  <c r="BS445" i="9" a="1"/>
  <c r="BS445" i="9"/>
  <c r="BT445" i="9" a="1"/>
  <c r="BT445" i="9" s="1"/>
  <c r="BU445" i="9" a="1"/>
  <c r="BU445" i="9" s="1"/>
  <c r="BV445" i="9" a="1"/>
  <c r="BV445" i="9" s="1"/>
  <c r="BW445" i="9" a="1"/>
  <c r="BW445" i="9" s="1"/>
  <c r="BX445" i="9" a="1"/>
  <c r="BX445" i="9" s="1"/>
  <c r="BY445" i="9"/>
  <c r="CB445" i="9"/>
  <c r="CD445" i="9"/>
  <c r="CG445" i="9"/>
  <c r="CJ445" i="9"/>
  <c r="AF445" i="9"/>
  <c r="AE445" i="9"/>
  <c r="BQ445" i="9" s="1"/>
  <c r="T445" i="9"/>
  <c r="N445" i="9"/>
  <c r="O445" i="9"/>
  <c r="P445" i="9"/>
  <c r="BC444" i="9"/>
  <c r="BD444" i="9"/>
  <c r="BE444" i="9"/>
  <c r="BP444" i="9"/>
  <c r="BS444" i="9" a="1"/>
  <c r="BS444" i="9" s="1"/>
  <c r="BT444" i="9" a="1"/>
  <c r="BT444" i="9"/>
  <c r="BU444" i="9" a="1"/>
  <c r="BU444" i="9"/>
  <c r="BV444" i="9" a="1"/>
  <c r="BV444" i="9"/>
  <c r="BW444" i="9" a="1"/>
  <c r="BW444" i="9" s="1"/>
  <c r="BX444" i="9" a="1"/>
  <c r="BX444" i="9" s="1"/>
  <c r="BY444" i="9"/>
  <c r="CB444" i="9"/>
  <c r="CD444" i="9"/>
  <c r="CG444" i="9"/>
  <c r="CJ444" i="9"/>
  <c r="AE444" i="9"/>
  <c r="BQ444" i="9" s="1"/>
  <c r="AF444" i="9"/>
  <c r="T444" i="9"/>
  <c r="N444" i="9"/>
  <c r="O444" i="9"/>
  <c r="P444" i="9"/>
  <c r="BC443" i="9"/>
  <c r="BD443" i="9"/>
  <c r="BE443" i="9"/>
  <c r="BP443" i="9"/>
  <c r="BS443" i="9" a="1"/>
  <c r="BS443" i="9" s="1"/>
  <c r="BZ443" i="9" s="1"/>
  <c r="BT443" i="9" a="1"/>
  <c r="BT443" i="9" s="1"/>
  <c r="BU443" i="9" a="1"/>
  <c r="BU443" i="9" s="1"/>
  <c r="BV443" i="9" a="1"/>
  <c r="BV443" i="9"/>
  <c r="BW443" i="9" a="1"/>
  <c r="BW443" i="9"/>
  <c r="BX443" i="9" a="1"/>
  <c r="BX443" i="9"/>
  <c r="BY443" i="9"/>
  <c r="CB443" i="9"/>
  <c r="CD443" i="9"/>
  <c r="CG443" i="9"/>
  <c r="CJ443" i="9"/>
  <c r="AE443" i="9"/>
  <c r="BQ443" i="9" s="1"/>
  <c r="AF443" i="9"/>
  <c r="T443" i="9"/>
  <c r="N443" i="9"/>
  <c r="O443" i="9"/>
  <c r="P443" i="9"/>
  <c r="G129" i="62" a="1"/>
  <c r="G129" i="62" s="1"/>
  <c r="BC442" i="9"/>
  <c r="BD442" i="9"/>
  <c r="BE442" i="9"/>
  <c r="BP442" i="9"/>
  <c r="BS442" i="9" a="1"/>
  <c r="BS442" i="9" s="1"/>
  <c r="BT442" i="9" a="1"/>
  <c r="BT442" i="9" s="1"/>
  <c r="BU442" i="9" a="1"/>
  <c r="BU442" i="9" s="1"/>
  <c r="BZ442" i="9"/>
  <c r="BV442" i="9" a="1"/>
  <c r="BV442" i="9"/>
  <c r="BW442" i="9" a="1"/>
  <c r="BW442" i="9"/>
  <c r="BX442" i="9" a="1"/>
  <c r="BX442" i="9"/>
  <c r="BY442" i="9"/>
  <c r="CB442" i="9"/>
  <c r="CD442" i="9"/>
  <c r="CG442" i="9"/>
  <c r="CJ442" i="9"/>
  <c r="AE442" i="9"/>
  <c r="BQ442" i="9" s="1"/>
  <c r="AF442" i="9"/>
  <c r="T442" i="9"/>
  <c r="N442" i="9"/>
  <c r="O442" i="9"/>
  <c r="P442" i="9"/>
  <c r="B425" i="143"/>
  <c r="B426" i="143"/>
  <c r="E426" i="143" s="1"/>
  <c r="B427" i="143"/>
  <c r="E427" i="143"/>
  <c r="B428" i="143"/>
  <c r="E428" i="143" s="1"/>
  <c r="B429" i="143"/>
  <c r="E429" i="143" s="1"/>
  <c r="B430" i="143"/>
  <c r="E430" i="143" s="1"/>
  <c r="B452" i="100"/>
  <c r="E452" i="100" s="1"/>
  <c r="B441" i="115"/>
  <c r="B442" i="115"/>
  <c r="B443" i="115"/>
  <c r="B444" i="115"/>
  <c r="B445" i="115"/>
  <c r="B446" i="115"/>
  <c r="B447" i="115"/>
  <c r="B448" i="115"/>
  <c r="B449" i="115"/>
  <c r="B450" i="115"/>
  <c r="B451" i="115"/>
  <c r="B452" i="115"/>
  <c r="B441" i="154"/>
  <c r="B442" i="154"/>
  <c r="B443" i="154"/>
  <c r="B444" i="154"/>
  <c r="B445" i="154"/>
  <c r="B446" i="154"/>
  <c r="B447" i="154"/>
  <c r="B448" i="154"/>
  <c r="B449" i="154"/>
  <c r="B450" i="154"/>
  <c r="B451" i="154"/>
  <c r="B452" i="154"/>
  <c r="B441" i="153"/>
  <c r="B442" i="153"/>
  <c r="B443" i="153"/>
  <c r="B444" i="153"/>
  <c r="B445" i="153"/>
  <c r="B446" i="153"/>
  <c r="B447" i="153"/>
  <c r="B448" i="153"/>
  <c r="B449" i="153"/>
  <c r="B450" i="153"/>
  <c r="B451" i="153"/>
  <c r="B452" i="153"/>
  <c r="B441" i="151"/>
  <c r="B442" i="151"/>
  <c r="B443" i="151"/>
  <c r="B444" i="151"/>
  <c r="B445" i="151"/>
  <c r="B446" i="151"/>
  <c r="B447" i="151"/>
  <c r="B448" i="151"/>
  <c r="B449" i="151"/>
  <c r="B450" i="151"/>
  <c r="B451" i="151"/>
  <c r="B452" i="151"/>
  <c r="B441" i="160"/>
  <c r="E441" i="160" s="1"/>
  <c r="B442" i="160"/>
  <c r="E442" i="160" s="1"/>
  <c r="B443" i="160"/>
  <c r="E443" i="160" s="1"/>
  <c r="B444" i="160"/>
  <c r="E444" i="160" s="1"/>
  <c r="B445" i="160"/>
  <c r="E445" i="160" s="1"/>
  <c r="B446" i="160"/>
  <c r="E446" i="160" s="1"/>
  <c r="B447" i="160"/>
  <c r="E447" i="160" s="1"/>
  <c r="B448" i="160"/>
  <c r="E448" i="160"/>
  <c r="B449" i="160"/>
  <c r="E449" i="160" s="1"/>
  <c r="B450" i="160"/>
  <c r="E450" i="160" s="1"/>
  <c r="B451" i="160"/>
  <c r="E451" i="160" s="1"/>
  <c r="B452" i="160"/>
  <c r="E452" i="160"/>
  <c r="B441" i="72"/>
  <c r="E441" i="72" s="1"/>
  <c r="B442" i="72"/>
  <c r="E442" i="72" s="1"/>
  <c r="B443" i="72"/>
  <c r="E443" i="72" s="1"/>
  <c r="B444" i="72"/>
  <c r="E444" i="72"/>
  <c r="B445" i="72"/>
  <c r="E445" i="72" s="1"/>
  <c r="B446" i="72"/>
  <c r="E446" i="72" s="1"/>
  <c r="B447" i="72"/>
  <c r="E447" i="72" s="1"/>
  <c r="B448" i="72"/>
  <c r="E448" i="72" s="1"/>
  <c r="B449" i="72"/>
  <c r="E449" i="72" s="1"/>
  <c r="B450" i="72"/>
  <c r="E450" i="72" s="1"/>
  <c r="B451" i="72"/>
  <c r="E451" i="72" s="1"/>
  <c r="B452" i="72"/>
  <c r="E452" i="72" s="1"/>
  <c r="B441" i="143"/>
  <c r="E441" i="143" s="1"/>
  <c r="B442" i="143"/>
  <c r="E442" i="143" s="1"/>
  <c r="B443" i="143"/>
  <c r="E443" i="143" s="1"/>
  <c r="B444" i="143"/>
  <c r="E444" i="143"/>
  <c r="B445" i="143"/>
  <c r="E445" i="143" s="1"/>
  <c r="B446" i="143"/>
  <c r="E446" i="143" s="1"/>
  <c r="B447" i="143"/>
  <c r="E447" i="143" s="1"/>
  <c r="B448" i="143"/>
  <c r="E448" i="143" s="1"/>
  <c r="B449" i="143"/>
  <c r="E449" i="143" s="1"/>
  <c r="B450" i="143"/>
  <c r="E450" i="143" s="1"/>
  <c r="B451" i="143"/>
  <c r="E451" i="143" s="1"/>
  <c r="B452" i="143"/>
  <c r="E452" i="143" s="1"/>
  <c r="B441" i="144"/>
  <c r="E441" i="144" s="1"/>
  <c r="B442" i="144"/>
  <c r="E442" i="144" s="1"/>
  <c r="B443" i="144"/>
  <c r="E443" i="144" s="1"/>
  <c r="B444" i="144"/>
  <c r="E444" i="144"/>
  <c r="B445" i="144"/>
  <c r="E445" i="144" s="1"/>
  <c r="B446" i="144"/>
  <c r="E446" i="144" s="1"/>
  <c r="B447" i="144"/>
  <c r="B448" i="144"/>
  <c r="E448" i="144"/>
  <c r="B449" i="144"/>
  <c r="E449" i="144" s="1"/>
  <c r="B450" i="144"/>
  <c r="E450" i="144"/>
  <c r="B451" i="144"/>
  <c r="E451" i="144"/>
  <c r="B452" i="144"/>
  <c r="E452" i="144"/>
  <c r="B441" i="139"/>
  <c r="E441" i="139" s="1"/>
  <c r="B442" i="139"/>
  <c r="E442" i="139"/>
  <c r="B443" i="139"/>
  <c r="B444" i="139"/>
  <c r="E444" i="139" s="1"/>
  <c r="B445" i="139"/>
  <c r="E445" i="139" s="1"/>
  <c r="B446" i="139"/>
  <c r="B447" i="139"/>
  <c r="E447" i="139"/>
  <c r="B448" i="139"/>
  <c r="E448" i="139"/>
  <c r="B449" i="139"/>
  <c r="B450" i="139"/>
  <c r="E450" i="139" s="1"/>
  <c r="B451" i="139"/>
  <c r="E451" i="139" s="1"/>
  <c r="B452" i="139"/>
  <c r="E452" i="139" s="1"/>
  <c r="B449" i="136"/>
  <c r="E449" i="136" s="1"/>
  <c r="B450" i="136"/>
  <c r="E450" i="136"/>
  <c r="B451" i="136"/>
  <c r="E451" i="136" s="1"/>
  <c r="B452" i="136"/>
  <c r="B441" i="137"/>
  <c r="E441" i="137"/>
  <c r="B442" i="137"/>
  <c r="E442" i="137"/>
  <c r="B443" i="137"/>
  <c r="E443" i="137"/>
  <c r="B444" i="137"/>
  <c r="E444" i="137"/>
  <c r="B445" i="137"/>
  <c r="E445" i="137"/>
  <c r="B446" i="137"/>
  <c r="E446" i="137"/>
  <c r="B447" i="137"/>
  <c r="B448" i="137"/>
  <c r="E448" i="137" s="1"/>
  <c r="B449" i="137"/>
  <c r="E449" i="137" s="1"/>
  <c r="B450" i="137"/>
  <c r="B451" i="137"/>
  <c r="E451" i="137"/>
  <c r="B452" i="137"/>
  <c r="B441" i="129"/>
  <c r="E441" i="129" s="1"/>
  <c r="B442" i="129"/>
  <c r="E442" i="129" s="1"/>
  <c r="B443" i="129"/>
  <c r="E443" i="129" s="1"/>
  <c r="B444" i="129"/>
  <c r="E444" i="129" s="1"/>
  <c r="B445" i="129"/>
  <c r="E445" i="129" s="1"/>
  <c r="B446" i="129"/>
  <c r="E446" i="129" s="1"/>
  <c r="B447" i="129"/>
  <c r="E447" i="129" s="1"/>
  <c r="B448" i="129"/>
  <c r="E448" i="129"/>
  <c r="B449" i="129"/>
  <c r="E449" i="129" s="1"/>
  <c r="B450" i="129"/>
  <c r="E450" i="129" s="1"/>
  <c r="B451" i="129"/>
  <c r="E451" i="129" s="1"/>
  <c r="B452" i="129"/>
  <c r="E452" i="129" s="1"/>
  <c r="B441" i="39"/>
  <c r="E441" i="39" s="1"/>
  <c r="B442" i="39"/>
  <c r="E442" i="39" s="1"/>
  <c r="B443" i="39"/>
  <c r="E443" i="39" s="1"/>
  <c r="B444" i="39"/>
  <c r="E444" i="39" s="1"/>
  <c r="B445" i="39"/>
  <c r="E445" i="39" s="1"/>
  <c r="B446" i="39"/>
  <c r="E446" i="39" s="1"/>
  <c r="B447" i="39"/>
  <c r="E447" i="39" s="1"/>
  <c r="B448" i="39"/>
  <c r="E448" i="39"/>
  <c r="B449" i="39"/>
  <c r="E449" i="39" s="1"/>
  <c r="B450" i="39"/>
  <c r="E450" i="39" s="1"/>
  <c r="B451" i="39"/>
  <c r="E451" i="39" s="1"/>
  <c r="B452" i="39"/>
  <c r="E452" i="39"/>
  <c r="B441" i="38"/>
  <c r="E441" i="38" s="1"/>
  <c r="B442" i="38"/>
  <c r="E442" i="38" s="1"/>
  <c r="B443" i="38"/>
  <c r="E443" i="38" s="1"/>
  <c r="B444" i="38"/>
  <c r="E444" i="38" s="1"/>
  <c r="B445" i="38"/>
  <c r="E445" i="38" s="1"/>
  <c r="B446" i="38"/>
  <c r="E446" i="38" s="1"/>
  <c r="B447" i="38"/>
  <c r="E447" i="38" s="1"/>
  <c r="B448" i="38"/>
  <c r="E448" i="38" s="1"/>
  <c r="B449" i="38"/>
  <c r="E449" i="38" s="1"/>
  <c r="B450" i="38"/>
  <c r="E450" i="38" s="1"/>
  <c r="B451" i="38"/>
  <c r="E451" i="38" s="1"/>
  <c r="B452" i="38"/>
  <c r="E452" i="38"/>
  <c r="B441" i="148"/>
  <c r="E441" i="148" s="1"/>
  <c r="B442" i="148"/>
  <c r="E442" i="148" s="1"/>
  <c r="B443" i="148"/>
  <c r="E443" i="148" s="1"/>
  <c r="B444" i="148"/>
  <c r="E444" i="148"/>
  <c r="B445" i="148"/>
  <c r="E445" i="148" s="1"/>
  <c r="B446" i="148"/>
  <c r="E446" i="148" s="1"/>
  <c r="B447" i="148"/>
  <c r="E447" i="148" s="1"/>
  <c r="B448" i="148"/>
  <c r="E448" i="148" s="1"/>
  <c r="B449" i="148"/>
  <c r="E449" i="148" s="1"/>
  <c r="B450" i="148"/>
  <c r="E450" i="148" s="1"/>
  <c r="B451" i="148"/>
  <c r="E451" i="148" s="1"/>
  <c r="B452" i="148"/>
  <c r="E452" i="148" s="1"/>
  <c r="B441" i="147"/>
  <c r="E441" i="147" s="1"/>
  <c r="B442" i="147"/>
  <c r="E442" i="147" s="1"/>
  <c r="B443" i="147"/>
  <c r="E443" i="147" s="1"/>
  <c r="B444" i="147"/>
  <c r="E444" i="147"/>
  <c r="B445" i="147"/>
  <c r="E445" i="147" s="1"/>
  <c r="B446" i="147"/>
  <c r="E446" i="147" s="1"/>
  <c r="B447" i="147"/>
  <c r="E447" i="147" s="1"/>
  <c r="B448" i="147"/>
  <c r="B449" i="147"/>
  <c r="E449" i="147" s="1"/>
  <c r="B450" i="147"/>
  <c r="E450" i="147"/>
  <c r="B451" i="147"/>
  <c r="E451" i="147"/>
  <c r="B452" i="147"/>
  <c r="E452" i="147"/>
  <c r="B441" i="146"/>
  <c r="E441" i="146" s="1"/>
  <c r="B442" i="146"/>
  <c r="E442" i="146"/>
  <c r="B443" i="146"/>
  <c r="E443" i="146"/>
  <c r="B444" i="146"/>
  <c r="E444" i="146"/>
  <c r="B445" i="146"/>
  <c r="E445" i="146" s="1"/>
  <c r="B446" i="146"/>
  <c r="E446" i="146"/>
  <c r="B447" i="146"/>
  <c r="E447" i="146"/>
  <c r="B448" i="146"/>
  <c r="E448" i="146"/>
  <c r="B449" i="146"/>
  <c r="E449" i="146" s="1"/>
  <c r="B450" i="146"/>
  <c r="E450" i="146"/>
  <c r="B451" i="146"/>
  <c r="E451" i="146"/>
  <c r="B452" i="146"/>
  <c r="E452" i="146"/>
  <c r="B441" i="145"/>
  <c r="E441" i="145" s="1"/>
  <c r="B442" i="145"/>
  <c r="E442" i="145"/>
  <c r="B443" i="145"/>
  <c r="E443" i="145"/>
  <c r="B444" i="145"/>
  <c r="E444" i="145"/>
  <c r="B445" i="145"/>
  <c r="E445" i="145" s="1"/>
  <c r="B446" i="145"/>
  <c r="E446" i="145"/>
  <c r="B447" i="145"/>
  <c r="E447" i="145"/>
  <c r="B448" i="145"/>
  <c r="E448" i="145"/>
  <c r="B449" i="145"/>
  <c r="E449" i="145" s="1"/>
  <c r="B450" i="145"/>
  <c r="E450" i="145"/>
  <c r="B451" i="145"/>
  <c r="E451" i="145"/>
  <c r="B452" i="145"/>
  <c r="E452" i="145"/>
  <c r="B441" i="100"/>
  <c r="E441" i="100" s="1"/>
  <c r="B442" i="100"/>
  <c r="E442" i="100"/>
  <c r="B443" i="100"/>
  <c r="E443" i="100"/>
  <c r="B444" i="100"/>
  <c r="E444" i="100"/>
  <c r="B445" i="100"/>
  <c r="E445" i="100" s="1"/>
  <c r="B446" i="100"/>
  <c r="B447" i="100"/>
  <c r="E447" i="100" s="1"/>
  <c r="B448" i="100"/>
  <c r="E448" i="100" s="1"/>
  <c r="B449" i="100"/>
  <c r="E449" i="100" s="1"/>
  <c r="B450" i="100"/>
  <c r="E450" i="100" s="1"/>
  <c r="B451" i="100"/>
  <c r="E451" i="100" s="1"/>
  <c r="B441" i="159"/>
  <c r="E441" i="159" s="1"/>
  <c r="B442" i="159"/>
  <c r="E442" i="159"/>
  <c r="B443" i="159"/>
  <c r="E443" i="159" s="1"/>
  <c r="B444" i="159"/>
  <c r="E444" i="159" s="1"/>
  <c r="B445" i="159"/>
  <c r="E445" i="159" s="1"/>
  <c r="B446" i="159"/>
  <c r="E446" i="159"/>
  <c r="B447" i="159"/>
  <c r="E447" i="159" s="1"/>
  <c r="B448" i="159"/>
  <c r="E448" i="159" s="1"/>
  <c r="B449" i="159"/>
  <c r="B450" i="159"/>
  <c r="E450" i="159"/>
  <c r="B451" i="159"/>
  <c r="E451" i="159"/>
  <c r="B452" i="159"/>
  <c r="E452" i="159"/>
  <c r="B441" i="142"/>
  <c r="E441" i="142"/>
  <c r="B442" i="142"/>
  <c r="E442" i="142"/>
  <c r="B443" i="142"/>
  <c r="E443" i="142"/>
  <c r="B444" i="142"/>
  <c r="E444" i="142"/>
  <c r="B445" i="142"/>
  <c r="E445" i="142"/>
  <c r="B446" i="142"/>
  <c r="E446" i="142"/>
  <c r="B447" i="142"/>
  <c r="E447" i="142"/>
  <c r="B448" i="142"/>
  <c r="E448" i="142"/>
  <c r="B449" i="142"/>
  <c r="E449" i="142"/>
  <c r="B450" i="142"/>
  <c r="E450" i="142"/>
  <c r="B451" i="142"/>
  <c r="E451" i="142"/>
  <c r="B452" i="142"/>
  <c r="E452" i="142"/>
  <c r="B441" i="134"/>
  <c r="E441" i="134"/>
  <c r="B442" i="134"/>
  <c r="E442" i="134" s="1"/>
  <c r="B443" i="134"/>
  <c r="E443" i="134" s="1"/>
  <c r="B444" i="134"/>
  <c r="E444" i="134" s="1"/>
  <c r="B445" i="134"/>
  <c r="E445" i="134"/>
  <c r="B446" i="134"/>
  <c r="E446" i="134" s="1"/>
  <c r="B447" i="134"/>
  <c r="E447" i="134"/>
  <c r="B448" i="134"/>
  <c r="E448" i="134" s="1"/>
  <c r="B449" i="134"/>
  <c r="E449" i="134"/>
  <c r="B450" i="134"/>
  <c r="E450" i="134" s="1"/>
  <c r="B451" i="134"/>
  <c r="E451" i="134"/>
  <c r="B452" i="134"/>
  <c r="E452" i="134" s="1"/>
  <c r="B441" i="158"/>
  <c r="E441" i="158"/>
  <c r="B442" i="158"/>
  <c r="E442" i="158"/>
  <c r="B443" i="158"/>
  <c r="E443" i="158"/>
  <c r="B444" i="158"/>
  <c r="E444" i="158"/>
  <c r="B445" i="158"/>
  <c r="E445" i="158"/>
  <c r="B446" i="158"/>
  <c r="E446" i="158"/>
  <c r="B447" i="158"/>
  <c r="E447" i="158"/>
  <c r="B448" i="158"/>
  <c r="E448" i="158"/>
  <c r="B449" i="158"/>
  <c r="E449" i="158"/>
  <c r="B450" i="158"/>
  <c r="E450" i="158"/>
  <c r="B451" i="158"/>
  <c r="E451" i="158"/>
  <c r="B452" i="158"/>
  <c r="E452" i="158"/>
  <c r="B441" i="157"/>
  <c r="E441" i="157"/>
  <c r="B442" i="157"/>
  <c r="E442" i="157"/>
  <c r="B443" i="157"/>
  <c r="E443" i="157"/>
  <c r="B444" i="157"/>
  <c r="E444" i="157"/>
  <c r="B445" i="157"/>
  <c r="E445" i="157"/>
  <c r="B446" i="157"/>
  <c r="E446" i="157"/>
  <c r="B447" i="157"/>
  <c r="E447" i="157"/>
  <c r="B448" i="157"/>
  <c r="E448" i="157"/>
  <c r="B449" i="157"/>
  <c r="E449" i="157"/>
  <c r="B450" i="157"/>
  <c r="E450" i="157"/>
  <c r="B451" i="157"/>
  <c r="E451" i="157"/>
  <c r="B452" i="157"/>
  <c r="E452" i="157"/>
  <c r="B441" i="98"/>
  <c r="B442" i="98"/>
  <c r="B443" i="98"/>
  <c r="B444" i="98"/>
  <c r="B445" i="98"/>
  <c r="E445" i="98"/>
  <c r="B446" i="98"/>
  <c r="B447" i="98"/>
  <c r="B448" i="98"/>
  <c r="B449" i="98"/>
  <c r="B450" i="98"/>
  <c r="B451" i="98"/>
  <c r="B452" i="98"/>
  <c r="B441" i="49"/>
  <c r="B442" i="49"/>
  <c r="B443" i="49"/>
  <c r="E443" i="49" s="1"/>
  <c r="B444" i="49"/>
  <c r="B445" i="49"/>
  <c r="B446" i="49"/>
  <c r="B447" i="49"/>
  <c r="B448" i="49"/>
  <c r="B449" i="49"/>
  <c r="B450" i="49"/>
  <c r="B451" i="49"/>
  <c r="E451" i="49" s="1"/>
  <c r="B452" i="49"/>
  <c r="B441" i="125"/>
  <c r="E441" i="125" s="1"/>
  <c r="B442" i="125"/>
  <c r="E442" i="125" s="1"/>
  <c r="B443" i="125"/>
  <c r="E443" i="125" s="1"/>
  <c r="B444" i="125"/>
  <c r="E444" i="125" s="1"/>
  <c r="B445" i="125"/>
  <c r="E445" i="125" s="1"/>
  <c r="B446" i="125"/>
  <c r="E446" i="125" s="1"/>
  <c r="B447" i="125"/>
  <c r="E447" i="125" s="1"/>
  <c r="B448" i="125"/>
  <c r="E448" i="125" s="1"/>
  <c r="B449" i="125"/>
  <c r="E449" i="125" s="1"/>
  <c r="B450" i="125"/>
  <c r="E450" i="125" s="1"/>
  <c r="B451" i="125"/>
  <c r="E451" i="125" s="1"/>
  <c r="B452" i="125"/>
  <c r="B441" i="122"/>
  <c r="E441" i="122"/>
  <c r="B442" i="122"/>
  <c r="E442" i="122"/>
  <c r="B443" i="122"/>
  <c r="E443" i="122"/>
  <c r="B444" i="122"/>
  <c r="E444" i="122" s="1"/>
  <c r="B445" i="122"/>
  <c r="E445" i="122"/>
  <c r="B446" i="122"/>
  <c r="E446" i="122"/>
  <c r="B447" i="122"/>
  <c r="E447" i="122"/>
  <c r="B448" i="122"/>
  <c r="E448" i="122" s="1"/>
  <c r="B449" i="122"/>
  <c r="E449" i="122"/>
  <c r="B450" i="122"/>
  <c r="E450" i="122"/>
  <c r="B451" i="122"/>
  <c r="E451" i="122"/>
  <c r="B452" i="122"/>
  <c r="E452" i="122" s="1"/>
  <c r="B441" i="15"/>
  <c r="E441" i="15"/>
  <c r="B442" i="15"/>
  <c r="B443" i="15"/>
  <c r="E443" i="15" s="1"/>
  <c r="B444" i="15"/>
  <c r="E444" i="15"/>
  <c r="B445" i="15"/>
  <c r="E445" i="15" s="1"/>
  <c r="B446" i="15"/>
  <c r="E446" i="15" s="1"/>
  <c r="B447" i="15"/>
  <c r="E447" i="15" s="1"/>
  <c r="B448" i="15"/>
  <c r="E448" i="15" s="1"/>
  <c r="B449" i="15"/>
  <c r="E449" i="15" s="1"/>
  <c r="B450" i="15"/>
  <c r="B451" i="15"/>
  <c r="E451" i="15"/>
  <c r="B452" i="15"/>
  <c r="E452" i="15"/>
  <c r="B441" i="82"/>
  <c r="E441" i="82" s="1"/>
  <c r="B442" i="82"/>
  <c r="E442" i="82"/>
  <c r="B443" i="82"/>
  <c r="E443" i="82"/>
  <c r="B444" i="82"/>
  <c r="E444" i="82"/>
  <c r="B445" i="82"/>
  <c r="E445" i="82" s="1"/>
  <c r="B446" i="82"/>
  <c r="E446" i="82"/>
  <c r="B447" i="82"/>
  <c r="E447" i="82"/>
  <c r="B448" i="82"/>
  <c r="E448" i="82"/>
  <c r="B449" i="82"/>
  <c r="E449" i="82" s="1"/>
  <c r="B450" i="82"/>
  <c r="E450" i="82"/>
  <c r="B451" i="82"/>
  <c r="E451" i="82"/>
  <c r="B452" i="82"/>
  <c r="E452" i="82"/>
  <c r="B441" i="12"/>
  <c r="E441" i="12" s="1"/>
  <c r="B442" i="12"/>
  <c r="E442" i="12"/>
  <c r="B443" i="12"/>
  <c r="E443" i="12"/>
  <c r="B444" i="12"/>
  <c r="E444" i="12"/>
  <c r="B445" i="12"/>
  <c r="E445" i="12" s="1"/>
  <c r="B446" i="12"/>
  <c r="E446" i="12"/>
  <c r="B447" i="12"/>
  <c r="E447" i="12"/>
  <c r="B448" i="12"/>
  <c r="E448" i="12"/>
  <c r="B449" i="12"/>
  <c r="E449" i="12" s="1"/>
  <c r="B450" i="12"/>
  <c r="E450" i="12"/>
  <c r="B451" i="12"/>
  <c r="E451" i="12"/>
  <c r="B452" i="12"/>
  <c r="E452" i="12"/>
  <c r="B441" i="11"/>
  <c r="E441" i="11" s="1"/>
  <c r="B442" i="11"/>
  <c r="E442" i="11"/>
  <c r="B443" i="11"/>
  <c r="E443" i="11"/>
  <c r="B444" i="11"/>
  <c r="E444" i="11"/>
  <c r="B445" i="11"/>
  <c r="E445" i="11" s="1"/>
  <c r="B446" i="11"/>
  <c r="E446" i="11"/>
  <c r="B447" i="11"/>
  <c r="E447" i="11"/>
  <c r="B448" i="11"/>
  <c r="E448" i="11"/>
  <c r="B449" i="11"/>
  <c r="E449" i="11" s="1"/>
  <c r="B450" i="11"/>
  <c r="E450" i="11"/>
  <c r="B451" i="11"/>
  <c r="E451" i="11"/>
  <c r="B452" i="11"/>
  <c r="E452" i="11"/>
  <c r="B441" i="71"/>
  <c r="E441" i="71" s="1"/>
  <c r="B442" i="71"/>
  <c r="E442" i="71"/>
  <c r="B443" i="71"/>
  <c r="E443" i="71"/>
  <c r="B444" i="71"/>
  <c r="E444" i="71"/>
  <c r="B445" i="71"/>
  <c r="E445" i="71" s="1"/>
  <c r="B446" i="71"/>
  <c r="E446" i="71"/>
  <c r="B447" i="71"/>
  <c r="E447" i="71"/>
  <c r="B448" i="71"/>
  <c r="E448" i="71"/>
  <c r="B449" i="71"/>
  <c r="E449" i="71" s="1"/>
  <c r="B450" i="71"/>
  <c r="E450" i="71"/>
  <c r="B451" i="71"/>
  <c r="E451" i="71"/>
  <c r="B452" i="71"/>
  <c r="E452" i="71"/>
  <c r="B441" i="31"/>
  <c r="E441" i="31" s="1"/>
  <c r="B442" i="31"/>
  <c r="E442" i="31"/>
  <c r="B443" i="31"/>
  <c r="E443" i="31"/>
  <c r="B444" i="31"/>
  <c r="E444" i="31"/>
  <c r="B445" i="31"/>
  <c r="E445" i="31" s="1"/>
  <c r="B446" i="31"/>
  <c r="E446" i="31"/>
  <c r="B447" i="31"/>
  <c r="E447" i="31"/>
  <c r="B448" i="31"/>
  <c r="E448" i="31"/>
  <c r="B449" i="31"/>
  <c r="E449" i="31" s="1"/>
  <c r="B450" i="31"/>
  <c r="E450" i="31"/>
  <c r="B451" i="31"/>
  <c r="E451" i="31"/>
  <c r="B452" i="31"/>
  <c r="E452" i="31"/>
  <c r="B441" i="25"/>
  <c r="E441" i="25" s="1"/>
  <c r="B442" i="25"/>
  <c r="E442" i="25"/>
  <c r="B443" i="25"/>
  <c r="E443" i="25"/>
  <c r="B444" i="25"/>
  <c r="E444" i="25"/>
  <c r="B445" i="25"/>
  <c r="E445" i="25" s="1"/>
  <c r="B446" i="25"/>
  <c r="E446" i="25"/>
  <c r="B447" i="25"/>
  <c r="E447" i="25"/>
  <c r="B448" i="25"/>
  <c r="E448" i="25"/>
  <c r="B449" i="25"/>
  <c r="E449" i="25" s="1"/>
  <c r="B450" i="25"/>
  <c r="E450" i="25"/>
  <c r="B451" i="25"/>
  <c r="E451" i="25"/>
  <c r="B452" i="25"/>
  <c r="E452" i="25"/>
  <c r="E441" i="23"/>
  <c r="E445" i="23"/>
  <c r="E446" i="23"/>
  <c r="E447" i="23"/>
  <c r="B441" i="13"/>
  <c r="E441" i="13"/>
  <c r="B442" i="13"/>
  <c r="E442" i="13"/>
  <c r="B443" i="13"/>
  <c r="E443" i="13" s="1"/>
  <c r="B444" i="13"/>
  <c r="E444" i="13"/>
  <c r="B445" i="13"/>
  <c r="E445" i="13"/>
  <c r="B446" i="13"/>
  <c r="E446" i="13"/>
  <c r="B447" i="13"/>
  <c r="E447" i="13" s="1"/>
  <c r="B448" i="13"/>
  <c r="E448" i="13"/>
  <c r="B449" i="13"/>
  <c r="E449" i="13"/>
  <c r="B450" i="13"/>
  <c r="E450" i="13"/>
  <c r="B451" i="13"/>
  <c r="E451" i="13" s="1"/>
  <c r="B452" i="13"/>
  <c r="E452" i="13"/>
  <c r="B441" i="10"/>
  <c r="E441" i="10"/>
  <c r="B442" i="10"/>
  <c r="E442" i="10"/>
  <c r="B443" i="10"/>
  <c r="E443" i="10" s="1"/>
  <c r="B444" i="10"/>
  <c r="E444" i="10"/>
  <c r="B445" i="10"/>
  <c r="E445" i="10"/>
  <c r="B446" i="10"/>
  <c r="E446" i="10"/>
  <c r="B447" i="10"/>
  <c r="E447" i="10" s="1"/>
  <c r="B448" i="10"/>
  <c r="E448" i="10"/>
  <c r="B449" i="10"/>
  <c r="E449" i="10"/>
  <c r="B450" i="10"/>
  <c r="E450" i="10"/>
  <c r="B451" i="10"/>
  <c r="E451" i="10" s="1"/>
  <c r="B452" i="10"/>
  <c r="E452" i="10"/>
  <c r="B441" i="8"/>
  <c r="E441" i="8"/>
  <c r="B442" i="8"/>
  <c r="E442" i="8"/>
  <c r="B443" i="8"/>
  <c r="E443" i="8" s="1"/>
  <c r="B444" i="8"/>
  <c r="E444" i="8"/>
  <c r="B445" i="8"/>
  <c r="E445" i="8"/>
  <c r="B446" i="8"/>
  <c r="E446" i="8"/>
  <c r="B447" i="8"/>
  <c r="E447" i="8" s="1"/>
  <c r="B448" i="8"/>
  <c r="E448" i="8"/>
  <c r="B449" i="8"/>
  <c r="E449" i="8"/>
  <c r="B450" i="8"/>
  <c r="E450" i="8"/>
  <c r="B451" i="8"/>
  <c r="E451" i="8" s="1"/>
  <c r="B452" i="8"/>
  <c r="E452" i="8"/>
  <c r="B441" i="121"/>
  <c r="E441" i="121"/>
  <c r="B442" i="121"/>
  <c r="E442" i="121"/>
  <c r="B443" i="121"/>
  <c r="E443" i="121" s="1"/>
  <c r="B444" i="121"/>
  <c r="E444" i="121"/>
  <c r="B445" i="121"/>
  <c r="E445" i="121"/>
  <c r="B446" i="121"/>
  <c r="E446" i="121"/>
  <c r="B447" i="121"/>
  <c r="E447" i="121" s="1"/>
  <c r="B448" i="121"/>
  <c r="E448" i="121"/>
  <c r="B449" i="121"/>
  <c r="E449" i="121"/>
  <c r="B450" i="121"/>
  <c r="E450" i="121"/>
  <c r="B451" i="121"/>
  <c r="E451" i="121" s="1"/>
  <c r="B452" i="121"/>
  <c r="E452" i="121"/>
  <c r="BC441" i="9"/>
  <c r="BD441" i="9"/>
  <c r="BE441" i="9"/>
  <c r="BP441" i="9"/>
  <c r="BS441" i="9" a="1"/>
  <c r="BS441" i="9" s="1"/>
  <c r="BT441" i="9" a="1"/>
  <c r="BT441" i="9"/>
  <c r="BU441" i="9" a="1"/>
  <c r="BU441" i="9"/>
  <c r="BV441" i="9" a="1"/>
  <c r="BV441" i="9"/>
  <c r="BW441" i="9" a="1"/>
  <c r="BW441" i="9" s="1"/>
  <c r="BX441" i="9" a="1"/>
  <c r="BX441" i="9"/>
  <c r="BY441" i="9"/>
  <c r="CB441" i="9"/>
  <c r="CD441" i="9"/>
  <c r="CG441" i="9"/>
  <c r="CJ441" i="9"/>
  <c r="AE441" i="9"/>
  <c r="BQ441" i="9" s="1"/>
  <c r="AF441" i="9"/>
  <c r="T441" i="9"/>
  <c r="N441" i="9"/>
  <c r="O441" i="9"/>
  <c r="P441" i="9"/>
  <c r="CJ439" i="9"/>
  <c r="CJ440" i="9"/>
  <c r="CG439" i="9"/>
  <c r="CG440" i="9"/>
  <c r="BC440" i="9"/>
  <c r="BD440" i="9"/>
  <c r="BE440" i="9"/>
  <c r="BP440" i="9"/>
  <c r="BS440" i="9" a="1"/>
  <c r="BS440" i="9"/>
  <c r="BZ440" i="9" s="1"/>
  <c r="BT440" i="9" a="1"/>
  <c r="BT440" i="9" s="1"/>
  <c r="BU440" i="9" a="1"/>
  <c r="BU440" i="9"/>
  <c r="BV440" i="9" a="1"/>
  <c r="BV440" i="9"/>
  <c r="BW440" i="9" a="1"/>
  <c r="BW440" i="9" s="1"/>
  <c r="BX440" i="9" a="1"/>
  <c r="BX440" i="9" s="1"/>
  <c r="BY440" i="9"/>
  <c r="CB440" i="9"/>
  <c r="CD440" i="9"/>
  <c r="AE440" i="9"/>
  <c r="BQ440" i="9"/>
  <c r="AF440" i="9"/>
  <c r="T440" i="9"/>
  <c r="N440" i="9"/>
  <c r="O440" i="9"/>
  <c r="P440" i="9"/>
  <c r="B37" i="120"/>
  <c r="B31" i="120"/>
  <c r="B28" i="120"/>
  <c r="B25" i="120"/>
  <c r="B22" i="120"/>
  <c r="B19" i="120"/>
  <c r="B13" i="120"/>
  <c r="B10" i="120"/>
  <c r="B439" i="147"/>
  <c r="E439" i="147"/>
  <c r="B439" i="72"/>
  <c r="E439" i="72"/>
  <c r="B439" i="157"/>
  <c r="E439" i="157" s="1"/>
  <c r="B439" i="143"/>
  <c r="E439" i="143"/>
  <c r="B439" i="137"/>
  <c r="E439" i="137" s="1"/>
  <c r="B439" i="139"/>
  <c r="E439" i="139"/>
  <c r="B439" i="100"/>
  <c r="E439" i="100" s="1"/>
  <c r="B439" i="49"/>
  <c r="B439" i="13"/>
  <c r="E439" i="13"/>
  <c r="BC439" i="9"/>
  <c r="BD439" i="9"/>
  <c r="BE439" i="9"/>
  <c r="BP439" i="9"/>
  <c r="BS439" i="9" a="1"/>
  <c r="BS439" i="9"/>
  <c r="BT439" i="9" a="1"/>
  <c r="BT439" i="9" s="1"/>
  <c r="BZ439" i="9" s="1"/>
  <c r="BU439" i="9" a="1"/>
  <c r="BU439" i="9"/>
  <c r="BV439" i="9" a="1"/>
  <c r="BV439" i="9" s="1"/>
  <c r="BW439" i="9" a="1"/>
  <c r="BW439" i="9" s="1"/>
  <c r="BX439" i="9" a="1"/>
  <c r="BX439" i="9" s="1"/>
  <c r="BY439" i="9"/>
  <c r="CB439" i="9"/>
  <c r="CD439" i="9"/>
  <c r="AE439" i="9"/>
  <c r="BQ439" i="9"/>
  <c r="AF439" i="9"/>
  <c r="T439" i="9"/>
  <c r="N439" i="9"/>
  <c r="O439" i="9"/>
  <c r="P439" i="9"/>
  <c r="D125" i="62"/>
  <c r="FD126" i="62"/>
  <c r="FC126" i="62"/>
  <c r="FB126" i="62"/>
  <c r="FA126" i="62"/>
  <c r="EZ126" i="62"/>
  <c r="BC438" i="9"/>
  <c r="BD438" i="9"/>
  <c r="BE438" i="9"/>
  <c r="BP438" i="9"/>
  <c r="BS438" i="9" a="1"/>
  <c r="BS438" i="9" s="1"/>
  <c r="BT438" i="9" a="1"/>
  <c r="BT438" i="9"/>
  <c r="BU438" i="9" a="1"/>
  <c r="BU438" i="9" s="1"/>
  <c r="BV438" i="9" a="1"/>
  <c r="BV438" i="9" s="1"/>
  <c r="BW438" i="9" a="1"/>
  <c r="BW438" i="9"/>
  <c r="BX438" i="9" a="1"/>
  <c r="BX438" i="9"/>
  <c r="BY438" i="9"/>
  <c r="CB438" i="9"/>
  <c r="CD438" i="9"/>
  <c r="CG438" i="9"/>
  <c r="CJ438" i="9"/>
  <c r="AF438" i="9"/>
  <c r="T438" i="9"/>
  <c r="N438" i="9"/>
  <c r="O438" i="9"/>
  <c r="P438" i="9"/>
  <c r="AE438" i="9"/>
  <c r="BQ438" i="9" s="1"/>
  <c r="B440" i="160"/>
  <c r="E440" i="160"/>
  <c r="B439" i="160"/>
  <c r="E439" i="160" s="1"/>
  <c r="B438" i="160"/>
  <c r="BC437" i="9"/>
  <c r="BD437" i="9"/>
  <c r="BE437" i="9"/>
  <c r="BP437" i="9"/>
  <c r="BS437" i="9" a="1"/>
  <c r="BS437" i="9"/>
  <c r="BT437" i="9" a="1"/>
  <c r="BT437" i="9"/>
  <c r="BU437" i="9" a="1"/>
  <c r="BU437" i="9" s="1"/>
  <c r="BV437" i="9" a="1"/>
  <c r="BV437" i="9"/>
  <c r="BW437" i="9" a="1"/>
  <c r="BW437" i="9" s="1"/>
  <c r="BX437" i="9" a="1"/>
  <c r="BX437" i="9"/>
  <c r="BY437" i="9"/>
  <c r="CB437" i="9"/>
  <c r="CD437" i="9"/>
  <c r="CG437" i="9"/>
  <c r="CJ437" i="9"/>
  <c r="AF437" i="9"/>
  <c r="T437" i="9"/>
  <c r="N437" i="9"/>
  <c r="O437" i="9"/>
  <c r="P437" i="9"/>
  <c r="CG436" i="9"/>
  <c r="CJ436" i="9"/>
  <c r="CB436" i="9"/>
  <c r="CD436" i="9"/>
  <c r="BS436" i="9" a="1"/>
  <c r="BS436" i="9"/>
  <c r="BT436" i="9" a="1"/>
  <c r="BT436" i="9" s="1"/>
  <c r="BU436" i="9" a="1"/>
  <c r="BU436" i="9"/>
  <c r="BV436" i="9" a="1"/>
  <c r="BV436" i="9"/>
  <c r="BW436" i="9" a="1"/>
  <c r="BW436" i="9"/>
  <c r="BX436" i="9" a="1"/>
  <c r="BX436" i="9" s="1"/>
  <c r="BY436" i="9"/>
  <c r="BC436" i="9"/>
  <c r="BD436" i="9"/>
  <c r="BE436" i="9"/>
  <c r="BP436" i="9"/>
  <c r="AF436" i="9"/>
  <c r="T436" i="9"/>
  <c r="N436" i="9"/>
  <c r="O436" i="9"/>
  <c r="P436" i="9"/>
  <c r="CB435" i="9"/>
  <c r="CD435" i="9"/>
  <c r="CG435" i="9"/>
  <c r="CJ434" i="9"/>
  <c r="CJ435" i="9"/>
  <c r="BC435" i="9"/>
  <c r="BD435" i="9"/>
  <c r="BE435" i="9"/>
  <c r="BP435" i="9"/>
  <c r="BS435" i="9" a="1"/>
  <c r="BS435" i="9" s="1"/>
  <c r="BT435" i="9" a="1"/>
  <c r="BT435" i="9" s="1"/>
  <c r="BU435" i="9" a="1"/>
  <c r="BU435" i="9" s="1"/>
  <c r="BV435" i="9" a="1"/>
  <c r="BV435" i="9"/>
  <c r="BW435" i="9" a="1"/>
  <c r="BW435" i="9" s="1"/>
  <c r="BX435" i="9" a="1"/>
  <c r="BX435" i="9"/>
  <c r="BY435" i="9"/>
  <c r="AE435" i="9"/>
  <c r="BQ435" i="9"/>
  <c r="AF435" i="9"/>
  <c r="T435" i="9"/>
  <c r="N435" i="9"/>
  <c r="O435" i="9"/>
  <c r="P435" i="9"/>
  <c r="B434" i="98"/>
  <c r="BS434" i="9" a="1"/>
  <c r="BS434" i="9"/>
  <c r="BT434" i="9" a="1"/>
  <c r="BT434" i="9"/>
  <c r="BU434" i="9" a="1"/>
  <c r="BU434" i="9"/>
  <c r="BV434" i="9" a="1"/>
  <c r="BV434" i="9" s="1"/>
  <c r="BW434" i="9" a="1"/>
  <c r="BW434" i="9"/>
  <c r="BX434" i="9" a="1"/>
  <c r="BX434" i="9"/>
  <c r="BY434" i="9"/>
  <c r="CB434" i="9"/>
  <c r="CD434" i="9"/>
  <c r="CG434" i="9"/>
  <c r="BC434" i="9"/>
  <c r="BD434" i="9"/>
  <c r="BE434" i="9"/>
  <c r="BP434" i="9"/>
  <c r="AE434" i="9"/>
  <c r="BQ434" i="9"/>
  <c r="AF434" i="9"/>
  <c r="T434" i="9"/>
  <c r="N434" i="9"/>
  <c r="O434" i="9"/>
  <c r="P434" i="9"/>
  <c r="BC433" i="9"/>
  <c r="BD433" i="9"/>
  <c r="BE433" i="9"/>
  <c r="BP433" i="9"/>
  <c r="BS433" i="9" a="1"/>
  <c r="BS433" i="9" s="1"/>
  <c r="BT433" i="9" a="1"/>
  <c r="BT433" i="9"/>
  <c r="BU433" i="9" a="1"/>
  <c r="BU433" i="9" s="1"/>
  <c r="BV433" i="9" a="1"/>
  <c r="BV433" i="9"/>
  <c r="BW433" i="9" a="1"/>
  <c r="BW433" i="9" s="1"/>
  <c r="BX433" i="9" a="1"/>
  <c r="BX433" i="9"/>
  <c r="BY433" i="9"/>
  <c r="CB433" i="9"/>
  <c r="CD433" i="9"/>
  <c r="CG433" i="9"/>
  <c r="CJ433" i="9"/>
  <c r="AF433" i="9"/>
  <c r="T433" i="9"/>
  <c r="N433" i="9"/>
  <c r="O433" i="9"/>
  <c r="P433" i="9"/>
  <c r="B428" i="147"/>
  <c r="E428" i="147"/>
  <c r="E411" i="134"/>
  <c r="E412" i="134"/>
  <c r="E413" i="134"/>
  <c r="E414" i="134"/>
  <c r="E415" i="134"/>
  <c r="E416" i="134"/>
  <c r="E417" i="134"/>
  <c r="E418" i="134"/>
  <c r="E419" i="134"/>
  <c r="E420" i="134"/>
  <c r="E421" i="134"/>
  <c r="E422" i="134"/>
  <c r="E423" i="134"/>
  <c r="E424" i="134"/>
  <c r="E425" i="134"/>
  <c r="E426" i="134"/>
  <c r="E428" i="134"/>
  <c r="E430" i="134"/>
  <c r="E425" i="121"/>
  <c r="E426" i="121"/>
  <c r="E428" i="121"/>
  <c r="E430" i="121"/>
  <c r="E432" i="8"/>
  <c r="E433" i="8"/>
  <c r="E434" i="8"/>
  <c r="B435" i="8"/>
  <c r="E435" i="8"/>
  <c r="B436" i="8"/>
  <c r="E436" i="8"/>
  <c r="B437" i="8"/>
  <c r="E437" i="8"/>
  <c r="B438" i="8"/>
  <c r="E438" i="8" s="1"/>
  <c r="B439" i="8"/>
  <c r="E439" i="8"/>
  <c r="B440" i="8"/>
  <c r="E440" i="8"/>
  <c r="B432" i="10"/>
  <c r="E432" i="10"/>
  <c r="B433" i="10"/>
  <c r="E433" i="10" s="1"/>
  <c r="B434" i="10"/>
  <c r="E434" i="10"/>
  <c r="B435" i="10"/>
  <c r="E435" i="10" s="1"/>
  <c r="B436" i="10"/>
  <c r="E436" i="10"/>
  <c r="B437" i="10"/>
  <c r="E437" i="10" s="1"/>
  <c r="B438" i="10"/>
  <c r="E438" i="10"/>
  <c r="B439" i="10"/>
  <c r="E439" i="10" s="1"/>
  <c r="B440" i="10"/>
  <c r="E440" i="10"/>
  <c r="E433" i="13"/>
  <c r="E434" i="13"/>
  <c r="B435" i="13"/>
  <c r="E435" i="13"/>
  <c r="B436" i="13"/>
  <c r="E436" i="13" s="1"/>
  <c r="B437" i="13"/>
  <c r="E437" i="13"/>
  <c r="B438" i="13"/>
  <c r="E438" i="13" s="1"/>
  <c r="B440" i="13"/>
  <c r="E440" i="13"/>
  <c r="B432" i="25"/>
  <c r="E432" i="25"/>
  <c r="B433" i="25"/>
  <c r="E433" i="25"/>
  <c r="B434" i="25"/>
  <c r="E434" i="25" s="1"/>
  <c r="B435" i="25"/>
  <c r="E435" i="25"/>
  <c r="B436" i="25"/>
  <c r="E436" i="25"/>
  <c r="B437" i="25"/>
  <c r="E437" i="25"/>
  <c r="B438" i="25"/>
  <c r="E438" i="25" s="1"/>
  <c r="B439" i="25"/>
  <c r="E439" i="25"/>
  <c r="B440" i="25"/>
  <c r="E440" i="25"/>
  <c r="B432" i="31"/>
  <c r="E432" i="31"/>
  <c r="B433" i="31"/>
  <c r="E433" i="31" s="1"/>
  <c r="B434" i="31"/>
  <c r="E434" i="31"/>
  <c r="B435" i="31"/>
  <c r="E435" i="31" s="1"/>
  <c r="B436" i="31"/>
  <c r="E436" i="31"/>
  <c r="B437" i="31"/>
  <c r="E437" i="31" s="1"/>
  <c r="B438" i="31"/>
  <c r="E438" i="31"/>
  <c r="B439" i="31"/>
  <c r="E439" i="31"/>
  <c r="B440" i="31"/>
  <c r="E440" i="31"/>
  <c r="E432" i="11"/>
  <c r="E434" i="11"/>
  <c r="B435" i="11"/>
  <c r="E435" i="11"/>
  <c r="B436" i="11"/>
  <c r="E436" i="11"/>
  <c r="B437" i="11"/>
  <c r="E437" i="11"/>
  <c r="B438" i="11"/>
  <c r="E438" i="11" s="1"/>
  <c r="B439" i="11"/>
  <c r="E439" i="11"/>
  <c r="B440" i="11"/>
  <c r="E440" i="11"/>
  <c r="B432" i="71"/>
  <c r="E432" i="71"/>
  <c r="B433" i="71"/>
  <c r="E433" i="71" s="1"/>
  <c r="B434" i="71"/>
  <c r="E434" i="71"/>
  <c r="B435" i="71"/>
  <c r="E435" i="71" s="1"/>
  <c r="B436" i="71"/>
  <c r="E436" i="71"/>
  <c r="B437" i="71"/>
  <c r="E437" i="71" s="1"/>
  <c r="B438" i="71"/>
  <c r="E438" i="71"/>
  <c r="B439" i="71"/>
  <c r="E439" i="71" s="1"/>
  <c r="B440" i="71"/>
  <c r="E440" i="71"/>
  <c r="B432" i="12"/>
  <c r="E432" i="12" s="1"/>
  <c r="B433" i="12"/>
  <c r="E433" i="12"/>
  <c r="B434" i="12"/>
  <c r="E434" i="12"/>
  <c r="B435" i="12"/>
  <c r="E435" i="12"/>
  <c r="B436" i="12"/>
  <c r="E436" i="12" s="1"/>
  <c r="B437" i="12"/>
  <c r="E437" i="12"/>
  <c r="B438" i="12"/>
  <c r="E438" i="12"/>
  <c r="B439" i="12"/>
  <c r="E439" i="12"/>
  <c r="B440" i="12"/>
  <c r="E440" i="12" s="1"/>
  <c r="B432" i="82"/>
  <c r="E432" i="82"/>
  <c r="B433" i="82"/>
  <c r="E433" i="82"/>
  <c r="B434" i="82"/>
  <c r="E434" i="82"/>
  <c r="B435" i="82"/>
  <c r="E435" i="82" s="1"/>
  <c r="B436" i="82"/>
  <c r="E436" i="82"/>
  <c r="B437" i="82"/>
  <c r="E437" i="82" s="1"/>
  <c r="B438" i="82"/>
  <c r="E438" i="82"/>
  <c r="B439" i="82"/>
  <c r="E439" i="82" s="1"/>
  <c r="B440" i="82"/>
  <c r="E440" i="82"/>
  <c r="B432" i="123"/>
  <c r="E432" i="123"/>
  <c r="B433" i="123"/>
  <c r="E433" i="123"/>
  <c r="B434" i="123"/>
  <c r="E434" i="123" s="1"/>
  <c r="B435" i="123"/>
  <c r="E435" i="123"/>
  <c r="B436" i="123"/>
  <c r="E436" i="123"/>
  <c r="B437" i="123"/>
  <c r="E437" i="123"/>
  <c r="B438" i="123"/>
  <c r="E438" i="123" s="1"/>
  <c r="B439" i="123"/>
  <c r="E439" i="123"/>
  <c r="B440" i="123"/>
  <c r="E440" i="123" s="1"/>
  <c r="B432" i="15"/>
  <c r="E432" i="15"/>
  <c r="B433" i="15"/>
  <c r="E433" i="15" s="1"/>
  <c r="B434" i="15"/>
  <c r="E434" i="15"/>
  <c r="B435" i="15"/>
  <c r="E435" i="15"/>
  <c r="B436" i="15"/>
  <c r="E436" i="15"/>
  <c r="B437" i="15"/>
  <c r="E437" i="15" s="1"/>
  <c r="B438" i="15"/>
  <c r="E438" i="15"/>
  <c r="B439" i="15"/>
  <c r="B440" i="15"/>
  <c r="E440" i="15" s="1"/>
  <c r="B432" i="122"/>
  <c r="E432" i="122" s="1"/>
  <c r="B433" i="122"/>
  <c r="E433" i="122" s="1"/>
  <c r="B434" i="122"/>
  <c r="E434" i="122"/>
  <c r="B435" i="122"/>
  <c r="E435" i="122" s="1"/>
  <c r="B436" i="122"/>
  <c r="E436" i="122"/>
  <c r="B437" i="122"/>
  <c r="E437" i="122" s="1"/>
  <c r="B438" i="122"/>
  <c r="E438" i="122"/>
  <c r="B439" i="122"/>
  <c r="E439" i="122" s="1"/>
  <c r="B440" i="122"/>
  <c r="E440" i="122"/>
  <c r="B432" i="125"/>
  <c r="B433" i="125"/>
  <c r="E433" i="125" s="1"/>
  <c r="B434" i="125"/>
  <c r="E434" i="125" s="1"/>
  <c r="B435" i="125"/>
  <c r="E435" i="125" s="1"/>
  <c r="B436" i="125"/>
  <c r="E436" i="125" s="1"/>
  <c r="B437" i="125"/>
  <c r="E437" i="125" s="1"/>
  <c r="B438" i="125"/>
  <c r="E438" i="125" s="1"/>
  <c r="B439" i="125"/>
  <c r="E439" i="125" s="1"/>
  <c r="B440" i="125"/>
  <c r="E440" i="125" s="1"/>
  <c r="B432" i="124"/>
  <c r="E432" i="124"/>
  <c r="B433" i="124"/>
  <c r="E433" i="124"/>
  <c r="B434" i="124"/>
  <c r="E434" i="124"/>
  <c r="B435" i="124"/>
  <c r="E435" i="124" s="1"/>
  <c r="B436" i="124"/>
  <c r="E436" i="124"/>
  <c r="B437" i="124"/>
  <c r="E437" i="124" s="1"/>
  <c r="B438" i="124"/>
  <c r="E438" i="124"/>
  <c r="B439" i="124"/>
  <c r="E439" i="124" s="1"/>
  <c r="B440" i="124"/>
  <c r="E440" i="124"/>
  <c r="B432" i="49"/>
  <c r="B433" i="49"/>
  <c r="B434" i="49"/>
  <c r="B435" i="49"/>
  <c r="E435" i="49"/>
  <c r="B436" i="49"/>
  <c r="E436" i="49" s="1"/>
  <c r="B437" i="49"/>
  <c r="B438" i="49"/>
  <c r="B440" i="49"/>
  <c r="B435" i="98"/>
  <c r="B436" i="98"/>
  <c r="B437" i="98"/>
  <c r="B438" i="98"/>
  <c r="B439" i="98"/>
  <c r="B440" i="98"/>
  <c r="B432" i="157"/>
  <c r="E432" i="157" s="1"/>
  <c r="B433" i="157"/>
  <c r="E433" i="157"/>
  <c r="B434" i="157"/>
  <c r="E434" i="157" s="1"/>
  <c r="B435" i="157"/>
  <c r="E435" i="157"/>
  <c r="B436" i="157"/>
  <c r="E436" i="157" s="1"/>
  <c r="B437" i="157"/>
  <c r="E437" i="157"/>
  <c r="B438" i="157"/>
  <c r="E438" i="157" s="1"/>
  <c r="B440" i="157"/>
  <c r="E440" i="157" s="1"/>
  <c r="B432" i="158"/>
  <c r="B433" i="158"/>
  <c r="E433" i="158"/>
  <c r="B434" i="158"/>
  <c r="E434" i="158" s="1"/>
  <c r="B435" i="158"/>
  <c r="E435" i="158"/>
  <c r="B436" i="158"/>
  <c r="E436" i="158" s="1"/>
  <c r="B437" i="158"/>
  <c r="E437" i="158"/>
  <c r="B438" i="158"/>
  <c r="E438" i="158" s="1"/>
  <c r="B439" i="158"/>
  <c r="E439" i="158"/>
  <c r="B440" i="158"/>
  <c r="E440" i="158"/>
  <c r="E432" i="134"/>
  <c r="E433" i="134"/>
  <c r="E434" i="134"/>
  <c r="B435" i="134"/>
  <c r="B436" i="134"/>
  <c r="E436" i="134"/>
  <c r="B437" i="134"/>
  <c r="E437" i="134"/>
  <c r="B438" i="134"/>
  <c r="E438" i="134"/>
  <c r="B439" i="134"/>
  <c r="E439" i="134" s="1"/>
  <c r="B440" i="134"/>
  <c r="E440" i="134"/>
  <c r="B432" i="142"/>
  <c r="E432" i="142"/>
  <c r="B433" i="142"/>
  <c r="E433" i="142"/>
  <c r="B434" i="142"/>
  <c r="E434" i="142" s="1"/>
  <c r="B435" i="142"/>
  <c r="E435" i="142"/>
  <c r="B436" i="142"/>
  <c r="E436" i="142" s="1"/>
  <c r="B437" i="142"/>
  <c r="E437" i="142"/>
  <c r="B438" i="142"/>
  <c r="E438" i="142" s="1"/>
  <c r="B439" i="142"/>
  <c r="E439" i="142"/>
  <c r="B440" i="142"/>
  <c r="E440" i="142" s="1"/>
  <c r="B432" i="159"/>
  <c r="B433" i="159"/>
  <c r="E433" i="159"/>
  <c r="B434" i="159"/>
  <c r="E434" i="159" s="1"/>
  <c r="B435" i="159"/>
  <c r="E435" i="159"/>
  <c r="B436" i="159"/>
  <c r="E436" i="159" s="1"/>
  <c r="B437" i="159"/>
  <c r="E437" i="159" s="1"/>
  <c r="B438" i="159"/>
  <c r="E438" i="159" s="1"/>
  <c r="B439" i="159"/>
  <c r="E439" i="159" s="1"/>
  <c r="B440" i="159"/>
  <c r="E440" i="159" s="1"/>
  <c r="B432" i="100"/>
  <c r="E432" i="100"/>
  <c r="B433" i="100"/>
  <c r="E433" i="100" s="1"/>
  <c r="B434" i="100"/>
  <c r="E434" i="100"/>
  <c r="B435" i="100"/>
  <c r="E435" i="100" s="1"/>
  <c r="B436" i="100"/>
  <c r="E436" i="100"/>
  <c r="B437" i="100"/>
  <c r="E437" i="100" s="1"/>
  <c r="B438" i="100"/>
  <c r="E438" i="100"/>
  <c r="B440" i="100"/>
  <c r="E440" i="100" s="1"/>
  <c r="B432" i="145"/>
  <c r="E432" i="145" s="1"/>
  <c r="B433" i="145"/>
  <c r="E433" i="145" s="1"/>
  <c r="B434" i="145"/>
  <c r="E434" i="145"/>
  <c r="B435" i="145"/>
  <c r="E435" i="145" s="1"/>
  <c r="B436" i="145"/>
  <c r="E436" i="145" s="1"/>
  <c r="B437" i="145"/>
  <c r="E437" i="145" s="1"/>
  <c r="B438" i="145"/>
  <c r="E438" i="145" s="1"/>
  <c r="B439" i="145"/>
  <c r="E439" i="145" s="1"/>
  <c r="B440" i="145"/>
  <c r="E440" i="145"/>
  <c r="B432" i="146"/>
  <c r="E432" i="146" s="1"/>
  <c r="B433" i="146"/>
  <c r="E433" i="146"/>
  <c r="B434" i="146"/>
  <c r="E434" i="146" s="1"/>
  <c r="B435" i="146"/>
  <c r="E435" i="146"/>
  <c r="B436" i="146"/>
  <c r="E436" i="146" s="1"/>
  <c r="B437" i="146"/>
  <c r="E437" i="146" s="1"/>
  <c r="B438" i="146"/>
  <c r="E438" i="146" s="1"/>
  <c r="B439" i="146"/>
  <c r="E439" i="146"/>
  <c r="B440" i="146"/>
  <c r="E440" i="146" s="1"/>
  <c r="B432" i="147"/>
  <c r="E432" i="147"/>
  <c r="B433" i="147"/>
  <c r="E433" i="147" s="1"/>
  <c r="B434" i="147"/>
  <c r="E434" i="147" s="1"/>
  <c r="B435" i="147"/>
  <c r="E435" i="147" s="1"/>
  <c r="B436" i="147"/>
  <c r="E436" i="147" s="1"/>
  <c r="B437" i="147"/>
  <c r="E437" i="147" s="1"/>
  <c r="B438" i="147"/>
  <c r="E438" i="147"/>
  <c r="B440" i="147"/>
  <c r="E440" i="147" s="1"/>
  <c r="B432" i="148"/>
  <c r="E432" i="148"/>
  <c r="B433" i="148"/>
  <c r="E433" i="148" s="1"/>
  <c r="B434" i="148"/>
  <c r="E434" i="148"/>
  <c r="B435" i="148"/>
  <c r="E435" i="148" s="1"/>
  <c r="B436" i="148"/>
  <c r="E436" i="148"/>
  <c r="B437" i="148"/>
  <c r="E437" i="148" s="1"/>
  <c r="B438" i="148"/>
  <c r="E438" i="148"/>
  <c r="B439" i="148"/>
  <c r="E439" i="148" s="1"/>
  <c r="B440" i="148"/>
  <c r="E440" i="148"/>
  <c r="B432" i="38"/>
  <c r="E432" i="38" s="1"/>
  <c r="B433" i="38"/>
  <c r="E433" i="38" s="1"/>
  <c r="B434" i="38"/>
  <c r="E434" i="38" s="1"/>
  <c r="B435" i="38"/>
  <c r="E435" i="38" s="1"/>
  <c r="B436" i="38"/>
  <c r="E436" i="38" s="1"/>
  <c r="B437" i="38"/>
  <c r="E437" i="38"/>
  <c r="B438" i="38"/>
  <c r="E438" i="38" s="1"/>
  <c r="B439" i="38"/>
  <c r="E439" i="38"/>
  <c r="B440" i="38"/>
  <c r="E440" i="38" s="1"/>
  <c r="B432" i="39"/>
  <c r="E432" i="39"/>
  <c r="B433" i="39"/>
  <c r="E433" i="39" s="1"/>
  <c r="B434" i="39"/>
  <c r="E434" i="39"/>
  <c r="B435" i="39"/>
  <c r="E435" i="39" s="1"/>
  <c r="B436" i="39"/>
  <c r="E436" i="39"/>
  <c r="B437" i="39"/>
  <c r="E437" i="39" s="1"/>
  <c r="B438" i="39"/>
  <c r="E438" i="39"/>
  <c r="B439" i="39"/>
  <c r="E439" i="39" s="1"/>
  <c r="B440" i="39"/>
  <c r="E440" i="39" s="1"/>
  <c r="B432" i="129"/>
  <c r="B433" i="129"/>
  <c r="E433" i="129" s="1"/>
  <c r="B434" i="129"/>
  <c r="E434" i="129" s="1"/>
  <c r="B435" i="129"/>
  <c r="E435" i="129"/>
  <c r="B436" i="129"/>
  <c r="E436" i="129" s="1"/>
  <c r="B437" i="129"/>
  <c r="E437" i="129"/>
  <c r="B438" i="129"/>
  <c r="E438" i="129" s="1"/>
  <c r="B439" i="129"/>
  <c r="E439" i="129" s="1"/>
  <c r="B440" i="129"/>
  <c r="E440" i="129" s="1"/>
  <c r="B432" i="137"/>
  <c r="E432" i="137"/>
  <c r="B433" i="137"/>
  <c r="E433" i="137" s="1"/>
  <c r="B434" i="137"/>
  <c r="E434" i="137" s="1"/>
  <c r="B435" i="137"/>
  <c r="E435" i="137" s="1"/>
  <c r="B436" i="137"/>
  <c r="E436" i="137"/>
  <c r="B437" i="137"/>
  <c r="E437" i="137" s="1"/>
  <c r="B438" i="137"/>
  <c r="E438" i="137" s="1"/>
  <c r="B440" i="137"/>
  <c r="E440" i="137" s="1"/>
  <c r="B432" i="138"/>
  <c r="E432" i="138" s="1"/>
  <c r="B433" i="138"/>
  <c r="E433" i="138" s="1"/>
  <c r="B434" i="138"/>
  <c r="E434" i="138"/>
  <c r="B435" i="138"/>
  <c r="E435" i="138" s="1"/>
  <c r="B436" i="138"/>
  <c r="E436" i="138"/>
  <c r="B437" i="138"/>
  <c r="E437" i="138" s="1"/>
  <c r="B438" i="138"/>
  <c r="E438" i="138"/>
  <c r="B439" i="138"/>
  <c r="E439" i="138" s="1"/>
  <c r="B440" i="138"/>
  <c r="E440" i="138" s="1"/>
  <c r="B432" i="139"/>
  <c r="B433" i="139"/>
  <c r="E433" i="139"/>
  <c r="B434" i="139"/>
  <c r="E434" i="139"/>
  <c r="B435" i="139"/>
  <c r="E435" i="139"/>
  <c r="B436" i="139"/>
  <c r="E436" i="139" s="1"/>
  <c r="B437" i="139"/>
  <c r="E437" i="139"/>
  <c r="B438" i="139"/>
  <c r="E438" i="139"/>
  <c r="B440" i="139"/>
  <c r="E440" i="139"/>
  <c r="B432" i="140"/>
  <c r="E432" i="140" s="1"/>
  <c r="B433" i="140"/>
  <c r="E433" i="140"/>
  <c r="B434" i="140"/>
  <c r="E434" i="140"/>
  <c r="B435" i="140"/>
  <c r="E435" i="140"/>
  <c r="B436" i="140"/>
  <c r="E436" i="140" s="1"/>
  <c r="B437" i="140"/>
  <c r="E437" i="140"/>
  <c r="B438" i="140"/>
  <c r="E438" i="140"/>
  <c r="B439" i="140"/>
  <c r="E439" i="140"/>
  <c r="B440" i="140"/>
  <c r="E440" i="140" s="1"/>
  <c r="B432" i="143"/>
  <c r="E432" i="143"/>
  <c r="B433" i="143"/>
  <c r="E433" i="143"/>
  <c r="B434" i="143"/>
  <c r="E434" i="143"/>
  <c r="B435" i="143"/>
  <c r="E435" i="143" s="1"/>
  <c r="B436" i="143"/>
  <c r="E436" i="143"/>
  <c r="B437" i="143"/>
  <c r="E437" i="143"/>
  <c r="B438" i="143"/>
  <c r="E438" i="143"/>
  <c r="B440" i="143"/>
  <c r="E440" i="143" s="1"/>
  <c r="B432" i="144"/>
  <c r="E432" i="144"/>
  <c r="B433" i="144"/>
  <c r="E433" i="144"/>
  <c r="B434" i="144"/>
  <c r="E434" i="144"/>
  <c r="B435" i="144"/>
  <c r="E435" i="144" s="1"/>
  <c r="B436" i="144"/>
  <c r="E436" i="144"/>
  <c r="B437" i="144"/>
  <c r="E437" i="144"/>
  <c r="B438" i="144"/>
  <c r="E438" i="144"/>
  <c r="B439" i="144"/>
  <c r="E439" i="144" s="1"/>
  <c r="B440" i="144"/>
  <c r="E440" i="144"/>
  <c r="B432" i="72"/>
  <c r="E432" i="72"/>
  <c r="B433" i="72"/>
  <c r="E433" i="72"/>
  <c r="B434" i="72"/>
  <c r="E434" i="72" s="1"/>
  <c r="B435" i="72"/>
  <c r="E435" i="72"/>
  <c r="B436" i="72"/>
  <c r="E436" i="72" s="1"/>
  <c r="B437" i="72"/>
  <c r="E437" i="72"/>
  <c r="B438" i="72"/>
  <c r="E438" i="72" s="1"/>
  <c r="B440" i="72"/>
  <c r="E440" i="72" s="1"/>
  <c r="B432" i="128"/>
  <c r="E432" i="128"/>
  <c r="B433" i="128"/>
  <c r="E433" i="128"/>
  <c r="B434" i="128"/>
  <c r="E434" i="128" s="1"/>
  <c r="B435" i="128"/>
  <c r="E435" i="128"/>
  <c r="B436" i="128"/>
  <c r="E436" i="128"/>
  <c r="B437" i="128"/>
  <c r="E437" i="128"/>
  <c r="B438" i="128"/>
  <c r="E438" i="128" s="1"/>
  <c r="B439" i="128"/>
  <c r="E439" i="128"/>
  <c r="B440" i="128"/>
  <c r="E440" i="128"/>
  <c r="B432" i="151"/>
  <c r="B433" i="151"/>
  <c r="B434" i="151"/>
  <c r="B435" i="151"/>
  <c r="B436" i="151"/>
  <c r="B437" i="151"/>
  <c r="B438" i="151"/>
  <c r="B439" i="151"/>
  <c r="B440" i="151"/>
  <c r="B432" i="153"/>
  <c r="B433" i="153"/>
  <c r="B434" i="153"/>
  <c r="B435" i="153"/>
  <c r="B436" i="153"/>
  <c r="B437" i="153"/>
  <c r="B438" i="153"/>
  <c r="B439" i="153"/>
  <c r="B440" i="153"/>
  <c r="B432" i="154"/>
  <c r="B433" i="154"/>
  <c r="B434" i="154"/>
  <c r="B435" i="154"/>
  <c r="B436" i="154"/>
  <c r="B437" i="154"/>
  <c r="B438" i="154"/>
  <c r="B439" i="154"/>
  <c r="B440" i="154"/>
  <c r="B438" i="115"/>
  <c r="B439" i="115"/>
  <c r="B440" i="115"/>
  <c r="B432" i="121"/>
  <c r="E432" i="121"/>
  <c r="B433" i="121"/>
  <c r="E433" i="121"/>
  <c r="B434" i="121"/>
  <c r="E434" i="121" s="1"/>
  <c r="B435" i="121"/>
  <c r="E435" i="121"/>
  <c r="B436" i="121"/>
  <c r="E436" i="121"/>
  <c r="B437" i="121"/>
  <c r="E437" i="121"/>
  <c r="B438" i="121"/>
  <c r="E438" i="121" s="1"/>
  <c r="B439" i="121"/>
  <c r="E439" i="121"/>
  <c r="B440" i="121"/>
  <c r="E440" i="121"/>
  <c r="CB431" i="9"/>
  <c r="CD431" i="9"/>
  <c r="CG431" i="9"/>
  <c r="CJ431" i="9"/>
  <c r="CB432" i="9"/>
  <c r="CD432" i="9"/>
  <c r="CG432" i="9"/>
  <c r="CJ432" i="9"/>
  <c r="BS432" i="9" a="1"/>
  <c r="BS432" i="9"/>
  <c r="BT432" i="9" a="1"/>
  <c r="BT432" i="9" s="1"/>
  <c r="BU432" i="9" a="1"/>
  <c r="BU432" i="9"/>
  <c r="BV432" i="9" a="1"/>
  <c r="BV432" i="9"/>
  <c r="BW432" i="9" a="1"/>
  <c r="BW432" i="9"/>
  <c r="BX432" i="9" a="1"/>
  <c r="BX432" i="9" s="1"/>
  <c r="BY432" i="9"/>
  <c r="BC432" i="9"/>
  <c r="BD432" i="9"/>
  <c r="BE432" i="9"/>
  <c r="BP432" i="9"/>
  <c r="AF432" i="9"/>
  <c r="T432" i="9"/>
  <c r="O432" i="9"/>
  <c r="P432" i="9"/>
  <c r="N432" i="9"/>
  <c r="N429" i="9"/>
  <c r="O429" i="9"/>
  <c r="P429" i="9"/>
  <c r="T429" i="9"/>
  <c r="AF429" i="9"/>
  <c r="BC429" i="9"/>
  <c r="BD429" i="9"/>
  <c r="BE429" i="9"/>
  <c r="BP429" i="9"/>
  <c r="N430" i="9"/>
  <c r="O430" i="9"/>
  <c r="P430" i="9"/>
  <c r="T430" i="9"/>
  <c r="AE430" i="9"/>
  <c r="BQ430" i="9" s="1"/>
  <c r="AF430" i="9"/>
  <c r="E430" i="98"/>
  <c r="BC430" i="9"/>
  <c r="BD430" i="9"/>
  <c r="BE430" i="9"/>
  <c r="BP430" i="9"/>
  <c r="N431" i="9"/>
  <c r="O431" i="9"/>
  <c r="P431" i="9"/>
  <c r="T431" i="9"/>
  <c r="AF431" i="9"/>
  <c r="E431" i="98" s="1"/>
  <c r="BC431" i="9"/>
  <c r="BD431" i="9"/>
  <c r="BE431" i="9"/>
  <c r="BP431" i="9"/>
  <c r="B161" i="79"/>
  <c r="D164" i="79" s="1"/>
  <c r="B431" i="159"/>
  <c r="E431" i="159"/>
  <c r="B431" i="158"/>
  <c r="E431" i="158" s="1"/>
  <c r="B431" i="157"/>
  <c r="E428" i="124"/>
  <c r="E430" i="124"/>
  <c r="E425" i="123"/>
  <c r="E426" i="123"/>
  <c r="E428" i="123"/>
  <c r="E430" i="123"/>
  <c r="B431" i="71"/>
  <c r="B431" i="12"/>
  <c r="E431" i="12" s="1"/>
  <c r="B431" i="82"/>
  <c r="E431" i="82"/>
  <c r="B431" i="123"/>
  <c r="E431" i="123" s="1"/>
  <c r="B431" i="15"/>
  <c r="E431" i="15"/>
  <c r="B431" i="122"/>
  <c r="E431" i="122" s="1"/>
  <c r="B431" i="125"/>
  <c r="E431" i="125" s="1"/>
  <c r="B431" i="124"/>
  <c r="E431" i="124"/>
  <c r="B431" i="49"/>
  <c r="E431" i="134"/>
  <c r="B431" i="142"/>
  <c r="E431" i="142"/>
  <c r="B431" i="100"/>
  <c r="E431" i="100"/>
  <c r="B431" i="145"/>
  <c r="E431" i="145"/>
  <c r="B431" i="146"/>
  <c r="E431" i="146" s="1"/>
  <c r="B431" i="147"/>
  <c r="E431" i="147"/>
  <c r="B431" i="148"/>
  <c r="E431" i="148"/>
  <c r="B431" i="38"/>
  <c r="E431" i="38"/>
  <c r="B431" i="39"/>
  <c r="E431" i="39" s="1"/>
  <c r="B431" i="129"/>
  <c r="B431" i="137"/>
  <c r="B431" i="138"/>
  <c r="E431" i="138"/>
  <c r="B431" i="139"/>
  <c r="E431" i="139"/>
  <c r="B431" i="140"/>
  <c r="E431" i="140" s="1"/>
  <c r="B431" i="143"/>
  <c r="E431" i="143" s="1"/>
  <c r="B431" i="144"/>
  <c r="E431" i="144"/>
  <c r="B431" i="72"/>
  <c r="E431" i="72" s="1"/>
  <c r="B431" i="128"/>
  <c r="E431" i="128" s="1"/>
  <c r="B431" i="151"/>
  <c r="B431" i="153"/>
  <c r="B431" i="154"/>
  <c r="E431" i="11"/>
  <c r="B431" i="31"/>
  <c r="E431" i="31" s="1"/>
  <c r="B431" i="25"/>
  <c r="E431" i="25"/>
  <c r="E431" i="13"/>
  <c r="B431" i="10"/>
  <c r="E431" i="10"/>
  <c r="E431" i="8"/>
  <c r="B431" i="121"/>
  <c r="E431" i="121" s="1"/>
  <c r="BS431" i="9" a="1"/>
  <c r="BS431" i="9" s="1"/>
  <c r="BT431" i="9" a="1"/>
  <c r="BT431" i="9" s="1"/>
  <c r="BU431" i="9" a="1"/>
  <c r="BU431" i="9"/>
  <c r="BV431" i="9" a="1"/>
  <c r="BV431" i="9"/>
  <c r="BW431" i="9" a="1"/>
  <c r="BW431" i="9"/>
  <c r="BX431" i="9" a="1"/>
  <c r="BX431" i="9" s="1"/>
  <c r="BY431" i="9"/>
  <c r="B428" i="146"/>
  <c r="B429" i="146"/>
  <c r="E429" i="146"/>
  <c r="B430" i="146"/>
  <c r="E430" i="146" s="1"/>
  <c r="E430" i="23"/>
  <c r="E430" i="144"/>
  <c r="E430" i="140"/>
  <c r="E430" i="139"/>
  <c r="E430" i="138"/>
  <c r="E430" i="137"/>
  <c r="E430" i="129"/>
  <c r="E430" i="39"/>
  <c r="E430" i="38"/>
  <c r="E430" i="148"/>
  <c r="E430" i="147"/>
  <c r="E430" i="145"/>
  <c r="E430" i="100"/>
  <c r="E430" i="142"/>
  <c r="E430" i="122"/>
  <c r="E430" i="15"/>
  <c r="E430" i="82"/>
  <c r="E430" i="12"/>
  <c r="E430" i="71"/>
  <c r="E430" i="11"/>
  <c r="E430" i="31"/>
  <c r="E430" i="25"/>
  <c r="E430" i="13"/>
  <c r="E430" i="10"/>
  <c r="E430" i="8"/>
  <c r="BS430" i="9" a="1"/>
  <c r="BS430" i="9"/>
  <c r="BT430" i="9" a="1"/>
  <c r="BT430" i="9"/>
  <c r="BU430" i="9" a="1"/>
  <c r="BU430" i="9"/>
  <c r="BV430" i="9" a="1"/>
  <c r="BV430" i="9"/>
  <c r="BW430" i="9" a="1"/>
  <c r="BW430" i="9"/>
  <c r="BX430" i="9" a="1"/>
  <c r="BX430" i="9"/>
  <c r="BY430" i="9"/>
  <c r="CB430" i="9"/>
  <c r="CD430" i="9"/>
  <c r="CG430" i="9"/>
  <c r="CJ430" i="9"/>
  <c r="E333" i="25"/>
  <c r="E334" i="25"/>
  <c r="E335" i="25"/>
  <c r="E336" i="25"/>
  <c r="E337" i="25"/>
  <c r="E338" i="25"/>
  <c r="E339" i="25"/>
  <c r="E340" i="25"/>
  <c r="E341" i="25"/>
  <c r="E342" i="25"/>
  <c r="E343" i="25"/>
  <c r="E344" i="25"/>
  <c r="E345" i="25"/>
  <c r="E346" i="25"/>
  <c r="E347" i="25"/>
  <c r="E348" i="25"/>
  <c r="E349" i="25"/>
  <c r="E350" i="25"/>
  <c r="E351" i="25"/>
  <c r="E352" i="25"/>
  <c r="E353" i="25"/>
  <c r="E354" i="25"/>
  <c r="E355" i="25"/>
  <c r="E356" i="25"/>
  <c r="E357" i="25"/>
  <c r="E358" i="25"/>
  <c r="E359" i="25"/>
  <c r="E360" i="25"/>
  <c r="E361" i="25"/>
  <c r="E362" i="25"/>
  <c r="E363" i="25"/>
  <c r="E364" i="25"/>
  <c r="E365" i="25"/>
  <c r="E366" i="25"/>
  <c r="E367" i="25"/>
  <c r="E368" i="25"/>
  <c r="E369" i="25"/>
  <c r="E370" i="25"/>
  <c r="E371" i="25"/>
  <c r="E372" i="25"/>
  <c r="E373" i="25"/>
  <c r="E374" i="25"/>
  <c r="E375" i="25"/>
  <c r="E376" i="25"/>
  <c r="E377" i="25"/>
  <c r="E378" i="25"/>
  <c r="E379" i="25"/>
  <c r="E380" i="25"/>
  <c r="E381" i="25"/>
  <c r="E382" i="25"/>
  <c r="E383" i="25"/>
  <c r="E384" i="25"/>
  <c r="E385" i="25"/>
  <c r="E386" i="25"/>
  <c r="E387" i="25"/>
  <c r="E388" i="25"/>
  <c r="E389" i="25"/>
  <c r="E390" i="25"/>
  <c r="E391" i="25"/>
  <c r="E392" i="25"/>
  <c r="E393" i="25"/>
  <c r="E394" i="25"/>
  <c r="E395" i="25"/>
  <c r="E396" i="25"/>
  <c r="E397" i="25"/>
  <c r="E398" i="25"/>
  <c r="E399" i="25"/>
  <c r="E400" i="25"/>
  <c r="E401" i="25"/>
  <c r="E402" i="25"/>
  <c r="E403" i="25"/>
  <c r="E404" i="25"/>
  <c r="E405" i="25"/>
  <c r="E406" i="25"/>
  <c r="E407" i="25"/>
  <c r="E408" i="25"/>
  <c r="E409" i="25"/>
  <c r="E410" i="25"/>
  <c r="E411" i="25"/>
  <c r="E412" i="25"/>
  <c r="E413" i="25"/>
  <c r="E414" i="25"/>
  <c r="E415" i="25"/>
  <c r="E416" i="25"/>
  <c r="E417" i="25"/>
  <c r="E418" i="25"/>
  <c r="E419" i="25"/>
  <c r="E420" i="25"/>
  <c r="E421" i="25"/>
  <c r="E422" i="25"/>
  <c r="E423" i="25"/>
  <c r="E424" i="25"/>
  <c r="E425" i="25"/>
  <c r="E426" i="25"/>
  <c r="E427" i="25"/>
  <c r="E428" i="25"/>
  <c r="E429" i="25"/>
  <c r="E417" i="8"/>
  <c r="E418" i="8"/>
  <c r="E419" i="8"/>
  <c r="E420" i="8"/>
  <c r="E421" i="8"/>
  <c r="E422" i="8"/>
  <c r="E423" i="8"/>
  <c r="E424" i="8"/>
  <c r="E425" i="8"/>
  <c r="E426" i="8"/>
  <c r="E427" i="8"/>
  <c r="E428" i="8"/>
  <c r="P38" i="120"/>
  <c r="A38" i="120"/>
  <c r="C37" i="120"/>
  <c r="A37" i="120"/>
  <c r="P35" i="120"/>
  <c r="A35" i="120"/>
  <c r="B34" i="120"/>
  <c r="A34" i="120"/>
  <c r="P32" i="120"/>
  <c r="A32" i="120"/>
  <c r="C31" i="120"/>
  <c r="A31" i="120"/>
  <c r="P29" i="120"/>
  <c r="A29" i="120"/>
  <c r="C28" i="120"/>
  <c r="A28" i="120"/>
  <c r="P26" i="120"/>
  <c r="A26" i="120"/>
  <c r="C25" i="120"/>
  <c r="A25" i="120"/>
  <c r="P23" i="120"/>
  <c r="A23" i="120"/>
  <c r="C22" i="120"/>
  <c r="A22" i="120"/>
  <c r="P20" i="120"/>
  <c r="A20" i="120"/>
  <c r="C19" i="120"/>
  <c r="A19" i="120"/>
  <c r="P14" i="120"/>
  <c r="A14" i="120"/>
  <c r="C13" i="120"/>
  <c r="A13" i="120"/>
  <c r="A11" i="120"/>
  <c r="P11" i="120"/>
  <c r="C10" i="120"/>
  <c r="A10" i="120"/>
  <c r="FD61" i="62"/>
  <c r="FC61" i="62"/>
  <c r="FB61" i="62"/>
  <c r="FA61" i="62"/>
  <c r="EZ61" i="62"/>
  <c r="FD60" i="62"/>
  <c r="FC60" i="62"/>
  <c r="FB60" i="62"/>
  <c r="FA60" i="62"/>
  <c r="EZ60" i="62"/>
  <c r="FD59" i="62"/>
  <c r="FC59" i="62"/>
  <c r="FB59" i="62"/>
  <c r="FA59" i="62"/>
  <c r="EZ59" i="62"/>
  <c r="FD57" i="62"/>
  <c r="FC57" i="62"/>
  <c r="FB57" i="62"/>
  <c r="FA57" i="62"/>
  <c r="EZ57" i="62"/>
  <c r="FD55" i="62"/>
  <c r="FC55" i="62"/>
  <c r="FB55" i="62"/>
  <c r="FA55" i="62"/>
  <c r="EZ55" i="62"/>
  <c r="FD54" i="62"/>
  <c r="FC54" i="62"/>
  <c r="FB54" i="62"/>
  <c r="FA54" i="62"/>
  <c r="EZ54" i="62"/>
  <c r="FD53" i="62"/>
  <c r="FC53" i="62"/>
  <c r="FB53" i="62"/>
  <c r="FA53" i="62"/>
  <c r="EZ53" i="62"/>
  <c r="FD52" i="62"/>
  <c r="FC52" i="62"/>
  <c r="FB52" i="62"/>
  <c r="FA52" i="62"/>
  <c r="EZ52" i="62"/>
  <c r="FD49" i="62"/>
  <c r="FC49" i="62"/>
  <c r="FB49" i="62"/>
  <c r="FA49" i="62"/>
  <c r="EZ49" i="62"/>
  <c r="FD36" i="62"/>
  <c r="FC36" i="62"/>
  <c r="FB36" i="62"/>
  <c r="FA36" i="62"/>
  <c r="EZ36" i="62"/>
  <c r="FM19" i="62"/>
  <c r="FJ19" i="62"/>
  <c r="FI19" i="62"/>
  <c r="FH19" i="62"/>
  <c r="FG19" i="62"/>
  <c r="FF19" i="62"/>
  <c r="AG19" i="62"/>
  <c r="B429" i="156"/>
  <c r="B429" i="155"/>
  <c r="B429" i="154"/>
  <c r="B429" i="153"/>
  <c r="B429" i="152"/>
  <c r="B429" i="151"/>
  <c r="B429" i="150"/>
  <c r="B429" i="149"/>
  <c r="E429" i="8"/>
  <c r="B429" i="10"/>
  <c r="E429" i="10" s="1"/>
  <c r="E429" i="23"/>
  <c r="B429" i="31"/>
  <c r="E429" i="11"/>
  <c r="E429" i="71"/>
  <c r="B429" i="12"/>
  <c r="E429" i="12"/>
  <c r="B429" i="82"/>
  <c r="E429" i="82" s="1"/>
  <c r="B429" i="123"/>
  <c r="E429" i="123"/>
  <c r="B429" i="15"/>
  <c r="E429" i="15"/>
  <c r="B429" i="122"/>
  <c r="E429" i="122"/>
  <c r="B429" i="125"/>
  <c r="E429" i="125" s="1"/>
  <c r="B429" i="124"/>
  <c r="E429" i="124"/>
  <c r="E429" i="134"/>
  <c r="B429" i="142"/>
  <c r="E429" i="142"/>
  <c r="B429" i="100"/>
  <c r="E429" i="100"/>
  <c r="B429" i="145"/>
  <c r="E429" i="145" s="1"/>
  <c r="B429" i="147"/>
  <c r="E429" i="147"/>
  <c r="B429" i="148"/>
  <c r="E429" i="148"/>
  <c r="B429" i="38"/>
  <c r="E429" i="38"/>
  <c r="B429" i="39"/>
  <c r="E429" i="39" s="1"/>
  <c r="B429" i="129"/>
  <c r="E429" i="129" s="1"/>
  <c r="E429" i="137"/>
  <c r="B429" i="138"/>
  <c r="E429" i="138"/>
  <c r="B429" i="139"/>
  <c r="E429" i="139" s="1"/>
  <c r="B429" i="140"/>
  <c r="E429" i="140"/>
  <c r="B429" i="144"/>
  <c r="E429" i="144" s="1"/>
  <c r="B429" i="72"/>
  <c r="E429" i="72" s="1"/>
  <c r="B429" i="128"/>
  <c r="E429" i="128"/>
  <c r="B429" i="116"/>
  <c r="B429" i="117"/>
  <c r="B429" i="118"/>
  <c r="B429" i="119"/>
  <c r="B429" i="121"/>
  <c r="E429" i="121"/>
  <c r="BS429" i="9" a="1"/>
  <c r="BS429" i="9"/>
  <c r="BT429" i="9" a="1"/>
  <c r="BT429" i="9"/>
  <c r="BU429" i="9" a="1"/>
  <c r="BU429" i="9" s="1"/>
  <c r="BV429" i="9" a="1"/>
  <c r="BV429" i="9"/>
  <c r="BW429" i="9" a="1"/>
  <c r="BW429" i="9"/>
  <c r="BX429" i="9" a="1"/>
  <c r="BX429" i="9"/>
  <c r="BY429" i="9"/>
  <c r="CB429" i="9"/>
  <c r="CD429" i="9"/>
  <c r="CG429" i="9"/>
  <c r="CJ429" i="9"/>
  <c r="E428" i="144"/>
  <c r="E426" i="144"/>
  <c r="E419" i="140"/>
  <c r="E420" i="140"/>
  <c r="E421" i="140"/>
  <c r="E422" i="140"/>
  <c r="E423" i="140"/>
  <c r="E424" i="140"/>
  <c r="E425" i="140"/>
  <c r="E426" i="140"/>
  <c r="E428" i="140"/>
  <c r="E418" i="140"/>
  <c r="E405" i="129"/>
  <c r="E406" i="129"/>
  <c r="E407" i="129"/>
  <c r="E408" i="129"/>
  <c r="E409" i="129"/>
  <c r="E410" i="129"/>
  <c r="E411" i="129"/>
  <c r="E412" i="129"/>
  <c r="E413" i="129"/>
  <c r="E414" i="129"/>
  <c r="E415" i="129"/>
  <c r="E416" i="129"/>
  <c r="E417" i="129"/>
  <c r="E418" i="129"/>
  <c r="E419" i="129"/>
  <c r="E420" i="129"/>
  <c r="E421" i="129"/>
  <c r="E422" i="129"/>
  <c r="E423" i="129"/>
  <c r="E424" i="129"/>
  <c r="E425" i="129"/>
  <c r="E426" i="129"/>
  <c r="E428" i="129"/>
  <c r="E404" i="129"/>
  <c r="E428" i="38"/>
  <c r="E427" i="148"/>
  <c r="E428" i="148"/>
  <c r="E427" i="147"/>
  <c r="E428" i="13"/>
  <c r="CB428" i="9"/>
  <c r="CD428" i="9"/>
  <c r="CG428" i="9"/>
  <c r="CJ428" i="9"/>
  <c r="BS428" i="9" a="1"/>
  <c r="BS428" i="9"/>
  <c r="BT428" i="9" a="1"/>
  <c r="BT428" i="9"/>
  <c r="BU428" i="9" a="1"/>
  <c r="BU428" i="9"/>
  <c r="BV428" i="9" a="1"/>
  <c r="BV428" i="9" s="1"/>
  <c r="BW428" i="9" a="1"/>
  <c r="BW428" i="9"/>
  <c r="BX428" i="9" a="1"/>
  <c r="BX428" i="9"/>
  <c r="BY428" i="9"/>
  <c r="BP428" i="9"/>
  <c r="BC428" i="9"/>
  <c r="BD428" i="9"/>
  <c r="BE428" i="9"/>
  <c r="AF428" i="9"/>
  <c r="T428" i="9"/>
  <c r="N428" i="9"/>
  <c r="O428" i="9"/>
  <c r="P428" i="9"/>
  <c r="FD82" i="62"/>
  <c r="FC82" i="62"/>
  <c r="FB82" i="62"/>
  <c r="FA82" i="62"/>
  <c r="EZ82" i="62"/>
  <c r="FD81" i="62"/>
  <c r="FC81" i="62"/>
  <c r="FB81" i="62"/>
  <c r="FA81" i="62"/>
  <c r="EZ81" i="62"/>
  <c r="B427" i="118"/>
  <c r="B427" i="117"/>
  <c r="B427" i="116"/>
  <c r="B427" i="128"/>
  <c r="E427" i="128" s="1"/>
  <c r="B427" i="72"/>
  <c r="B427" i="144"/>
  <c r="B427" i="140"/>
  <c r="E427" i="140"/>
  <c r="B427" i="139"/>
  <c r="B427" i="138"/>
  <c r="E427" i="138"/>
  <c r="B427" i="129"/>
  <c r="B427" i="39"/>
  <c r="B427" i="38"/>
  <c r="E427" i="38"/>
  <c r="B427" i="146"/>
  <c r="B427" i="145"/>
  <c r="B427" i="100"/>
  <c r="B427" i="124"/>
  <c r="E427" i="124"/>
  <c r="B427" i="125"/>
  <c r="B427" i="122"/>
  <c r="B427" i="15"/>
  <c r="B427" i="123"/>
  <c r="E427" i="123" s="1"/>
  <c r="B427" i="82"/>
  <c r="B427" i="12"/>
  <c r="E427" i="11"/>
  <c r="B427" i="31"/>
  <c r="B427" i="10"/>
  <c r="B427" i="121"/>
  <c r="E427" i="121" s="1"/>
  <c r="BC427" i="9"/>
  <c r="BD427" i="9"/>
  <c r="BE427" i="9"/>
  <c r="BP427" i="9"/>
  <c r="BS427" i="9" a="1"/>
  <c r="BS427" i="9" s="1"/>
  <c r="BZ427" i="9" s="1"/>
  <c r="BT427" i="9" a="1"/>
  <c r="BT427" i="9"/>
  <c r="BU427" i="9" a="1"/>
  <c r="BU427" i="9"/>
  <c r="BV427" i="9" a="1"/>
  <c r="BV427" i="9"/>
  <c r="BW427" i="9" a="1"/>
  <c r="BW427" i="9" s="1"/>
  <c r="BX427" i="9" a="1"/>
  <c r="BX427" i="9" s="1"/>
  <c r="BY427" i="9"/>
  <c r="CB427" i="9"/>
  <c r="CD427" i="9"/>
  <c r="CG427" i="9"/>
  <c r="CJ427" i="9"/>
  <c r="AE427" i="9"/>
  <c r="BQ427" i="9"/>
  <c r="AF427" i="9"/>
  <c r="T427" i="9"/>
  <c r="O427" i="9"/>
  <c r="P427" i="9"/>
  <c r="N427" i="9"/>
  <c r="E426" i="13"/>
  <c r="D80" i="62"/>
  <c r="E428" i="145"/>
  <c r="E426" i="145"/>
  <c r="FD84" i="62"/>
  <c r="FC84" i="62"/>
  <c r="FB84" i="62"/>
  <c r="FA84" i="62"/>
  <c r="EZ84" i="62"/>
  <c r="FD83" i="62"/>
  <c r="FC83" i="62"/>
  <c r="FB83" i="62"/>
  <c r="FA83" i="62"/>
  <c r="EZ83" i="62"/>
  <c r="FD80" i="62"/>
  <c r="FC80" i="62"/>
  <c r="FB80" i="62"/>
  <c r="FA80" i="62"/>
  <c r="EZ80" i="62"/>
  <c r="CG426" i="9"/>
  <c r="CJ426" i="9"/>
  <c r="CB426" i="9"/>
  <c r="CD426" i="9"/>
  <c r="BS426" i="9" a="1"/>
  <c r="BS426" i="9"/>
  <c r="BT426" i="9" a="1"/>
  <c r="BT426" i="9"/>
  <c r="BU426" i="9" a="1"/>
  <c r="BU426" i="9" s="1"/>
  <c r="BV426" i="9" a="1"/>
  <c r="BV426" i="9"/>
  <c r="BW426" i="9" a="1"/>
  <c r="BW426" i="9"/>
  <c r="BX426" i="9" a="1"/>
  <c r="BX426" i="9"/>
  <c r="BY426" i="9"/>
  <c r="BC426" i="9"/>
  <c r="BD426" i="9"/>
  <c r="BE426" i="9"/>
  <c r="BP426" i="9"/>
  <c r="E426" i="72"/>
  <c r="AF426" i="9"/>
  <c r="E426" i="97"/>
  <c r="T426" i="9"/>
  <c r="O426" i="9"/>
  <c r="P426" i="9"/>
  <c r="N426" i="9"/>
  <c r="E393" i="124"/>
  <c r="E394" i="124"/>
  <c r="E395" i="124"/>
  <c r="E396" i="124"/>
  <c r="E397" i="124"/>
  <c r="E398" i="124"/>
  <c r="E399" i="124"/>
  <c r="E400" i="124"/>
  <c r="E401" i="124"/>
  <c r="E402" i="124"/>
  <c r="E403" i="124"/>
  <c r="E404" i="124"/>
  <c r="E405" i="124"/>
  <c r="E406" i="124"/>
  <c r="E407" i="124"/>
  <c r="E408" i="124"/>
  <c r="E409" i="124"/>
  <c r="E410" i="124"/>
  <c r="E411" i="124"/>
  <c r="E412" i="124"/>
  <c r="E413" i="124"/>
  <c r="E414" i="124"/>
  <c r="E415" i="124"/>
  <c r="E416" i="124"/>
  <c r="E417" i="124"/>
  <c r="E418" i="124"/>
  <c r="E419" i="124"/>
  <c r="E420" i="124"/>
  <c r="E421" i="124"/>
  <c r="E422" i="124"/>
  <c r="E423" i="124"/>
  <c r="E424" i="124"/>
  <c r="E425" i="124"/>
  <c r="E426" i="124"/>
  <c r="E393" i="125"/>
  <c r="E393" i="123"/>
  <c r="F56" i="75" s="1"/>
  <c r="E394" i="123"/>
  <c r="E395" i="123"/>
  <c r="E396" i="123"/>
  <c r="E397" i="123"/>
  <c r="E398" i="123"/>
  <c r="E399" i="123"/>
  <c r="E400" i="123"/>
  <c r="E401" i="123"/>
  <c r="E402" i="123"/>
  <c r="E403" i="123"/>
  <c r="E404" i="123"/>
  <c r="E405" i="123"/>
  <c r="E406" i="123"/>
  <c r="E407" i="123"/>
  <c r="E408" i="123"/>
  <c r="E409" i="123"/>
  <c r="E410" i="123"/>
  <c r="E411" i="123"/>
  <c r="E412" i="123"/>
  <c r="E413" i="123"/>
  <c r="E414" i="123"/>
  <c r="E415" i="123"/>
  <c r="E416" i="123"/>
  <c r="E417" i="123"/>
  <c r="E418" i="123"/>
  <c r="E419" i="123"/>
  <c r="E420" i="123"/>
  <c r="E421" i="123"/>
  <c r="E422" i="123"/>
  <c r="E423" i="123"/>
  <c r="E424" i="123"/>
  <c r="CJ425" i="9"/>
  <c r="CG425" i="9"/>
  <c r="BS425" i="9" a="1"/>
  <c r="BS425" i="9"/>
  <c r="BT425" i="9" a="1"/>
  <c r="BT425" i="9" s="1"/>
  <c r="BZ425" i="9" s="1"/>
  <c r="BU425" i="9" a="1"/>
  <c r="BU425" i="9"/>
  <c r="BV425" i="9" a="1"/>
  <c r="BV425" i="9" s="1"/>
  <c r="BW425" i="9" a="1"/>
  <c r="BW425" i="9"/>
  <c r="BX425" i="9" a="1"/>
  <c r="BX425" i="9" s="1"/>
  <c r="BY425" i="9"/>
  <c r="CB425" i="9"/>
  <c r="CD425" i="9"/>
  <c r="BP425" i="9"/>
  <c r="BC425" i="9"/>
  <c r="BD425" i="9"/>
  <c r="BE425" i="9"/>
  <c r="AF425" i="9"/>
  <c r="E425" i="97"/>
  <c r="T425" i="9"/>
  <c r="P425" i="9"/>
  <c r="O425" i="9"/>
  <c r="N425" i="9"/>
  <c r="BY424" i="9"/>
  <c r="BY423" i="9"/>
  <c r="BY422" i="9"/>
  <c r="BY421" i="9"/>
  <c r="BY420" i="9"/>
  <c r="BY419" i="9"/>
  <c r="BY418" i="9"/>
  <c r="BY417" i="9"/>
  <c r="BY416" i="9"/>
  <c r="BY415" i="9"/>
  <c r="FD116" i="62"/>
  <c r="FC116" i="62"/>
  <c r="FB116" i="62"/>
  <c r="FA116" i="62"/>
  <c r="EZ116" i="62"/>
  <c r="FD115" i="62"/>
  <c r="FC115" i="62"/>
  <c r="FB115" i="62"/>
  <c r="FA115" i="62"/>
  <c r="EZ115" i="62"/>
  <c r="BS424" i="9" a="1"/>
  <c r="BS424" i="9"/>
  <c r="BZ424" i="9" s="1"/>
  <c r="BT424" i="9" a="1"/>
  <c r="BT424" i="9" s="1"/>
  <c r="BU424" i="9" a="1"/>
  <c r="BU424" i="9"/>
  <c r="BV424" i="9" a="1"/>
  <c r="BV424" i="9"/>
  <c r="BW424" i="9" a="1"/>
  <c r="BW424" i="9"/>
  <c r="BX424" i="9" a="1"/>
  <c r="BX424" i="9" s="1"/>
  <c r="CB424" i="9"/>
  <c r="CD424" i="9"/>
  <c r="CG424" i="9"/>
  <c r="CJ424" i="9"/>
  <c r="BC424" i="9"/>
  <c r="BD424" i="9"/>
  <c r="BE424" i="9"/>
  <c r="BP424" i="9"/>
  <c r="AF424" i="9"/>
  <c r="E424" i="97" s="1"/>
  <c r="T424" i="9"/>
  <c r="N424" i="9"/>
  <c r="O424" i="9"/>
  <c r="P424" i="9"/>
  <c r="BS423" i="9" a="1"/>
  <c r="BS423" i="9" s="1"/>
  <c r="BT423" i="9" a="1"/>
  <c r="BT423" i="9"/>
  <c r="BZ423" i="9" s="1"/>
  <c r="BU423" i="9" a="1"/>
  <c r="BU423" i="9"/>
  <c r="BV423" i="9" a="1"/>
  <c r="BV423" i="9"/>
  <c r="BW423" i="9" a="1"/>
  <c r="BW423" i="9" s="1"/>
  <c r="BX423" i="9" a="1"/>
  <c r="BX423" i="9"/>
  <c r="CB423" i="9"/>
  <c r="CD423" i="9"/>
  <c r="CG423" i="9"/>
  <c r="CJ423" i="9"/>
  <c r="BC423" i="9"/>
  <c r="BD423" i="9"/>
  <c r="BE423" i="9"/>
  <c r="BP423" i="9"/>
  <c r="AF423" i="9"/>
  <c r="T423" i="9"/>
  <c r="N423" i="9"/>
  <c r="O423" i="9"/>
  <c r="P423" i="9"/>
  <c r="E420" i="142"/>
  <c r="E416" i="142"/>
  <c r="E415" i="142"/>
  <c r="E414" i="142"/>
  <c r="E413" i="142"/>
  <c r="E412" i="142"/>
  <c r="E411" i="142"/>
  <c r="E410" i="142"/>
  <c r="E409" i="142"/>
  <c r="E408" i="142"/>
  <c r="E407" i="142"/>
  <c r="E406" i="142"/>
  <c r="E405" i="142"/>
  <c r="E404" i="142"/>
  <c r="E403" i="142"/>
  <c r="E402" i="142"/>
  <c r="E401" i="142"/>
  <c r="E400" i="142"/>
  <c r="E399" i="142"/>
  <c r="E398" i="142"/>
  <c r="E397" i="142"/>
  <c r="E396" i="142"/>
  <c r="E395" i="142"/>
  <c r="E394" i="142"/>
  <c r="E393" i="142"/>
  <c r="E392" i="142"/>
  <c r="E391" i="142"/>
  <c r="E390" i="142"/>
  <c r="E389" i="142"/>
  <c r="E388" i="142"/>
  <c r="E387" i="142"/>
  <c r="E386" i="142"/>
  <c r="E385" i="142"/>
  <c r="E384" i="142"/>
  <c r="E383" i="142"/>
  <c r="E382" i="142"/>
  <c r="E381" i="142"/>
  <c r="E380" i="142"/>
  <c r="E379" i="142"/>
  <c r="E378" i="142"/>
  <c r="E377" i="142"/>
  <c r="E376" i="142"/>
  <c r="E375" i="142"/>
  <c r="E374" i="142"/>
  <c r="E373" i="142"/>
  <c r="E372" i="142"/>
  <c r="E371" i="142"/>
  <c r="E370" i="142"/>
  <c r="E369" i="142"/>
  <c r="E368" i="142"/>
  <c r="E367" i="142"/>
  <c r="E366" i="142"/>
  <c r="E365" i="142"/>
  <c r="E427" i="142"/>
  <c r="CG422" i="9"/>
  <c r="CJ422" i="9"/>
  <c r="CD422" i="9"/>
  <c r="BS422" i="9" a="1"/>
  <c r="BS422" i="9"/>
  <c r="BZ422" i="9" s="1"/>
  <c r="BT422" i="9" a="1"/>
  <c r="BT422" i="9"/>
  <c r="BU422" i="9" a="1"/>
  <c r="BU422" i="9"/>
  <c r="BV422" i="9" a="1"/>
  <c r="BV422" i="9" s="1"/>
  <c r="BW422" i="9" a="1"/>
  <c r="BW422" i="9" s="1"/>
  <c r="BX422" i="9" a="1"/>
  <c r="BX422" i="9"/>
  <c r="CB422" i="9"/>
  <c r="BC422" i="9"/>
  <c r="BD422" i="9"/>
  <c r="BE422" i="9"/>
  <c r="BP422" i="9"/>
  <c r="AF422" i="9"/>
  <c r="T422" i="9"/>
  <c r="O422" i="9"/>
  <c r="P422" i="9"/>
  <c r="N422" i="9"/>
  <c r="G421" i="128"/>
  <c r="CJ421" i="9"/>
  <c r="CB421" i="9"/>
  <c r="CD421" i="9"/>
  <c r="CG421" i="9"/>
  <c r="BS421" i="9" a="1"/>
  <c r="BS421" i="9"/>
  <c r="BT421" i="9" a="1"/>
  <c r="BT421" i="9"/>
  <c r="BU421" i="9" a="1"/>
  <c r="BU421" i="9"/>
  <c r="BV421" i="9" a="1"/>
  <c r="BV421" i="9" s="1"/>
  <c r="BW421" i="9" a="1"/>
  <c r="BW421" i="9"/>
  <c r="BX421" i="9" a="1"/>
  <c r="BX421" i="9"/>
  <c r="BP421" i="9"/>
  <c r="BC421" i="9"/>
  <c r="BD421" i="9"/>
  <c r="BE421" i="9"/>
  <c r="E421" i="72"/>
  <c r="AF421" i="9"/>
  <c r="T421" i="9"/>
  <c r="O421" i="9"/>
  <c r="P421" i="9"/>
  <c r="N421" i="9"/>
  <c r="B410" i="134"/>
  <c r="E410" i="134" s="1"/>
  <c r="G420" i="128"/>
  <c r="CJ420" i="9"/>
  <c r="CG420" i="9"/>
  <c r="CD420" i="9"/>
  <c r="BS420" i="9" a="1"/>
  <c r="BS420" i="9"/>
  <c r="BT420" i="9" a="1"/>
  <c r="BT420" i="9" s="1"/>
  <c r="BU420" i="9" a="1"/>
  <c r="BU420" i="9"/>
  <c r="BV420" i="9" a="1"/>
  <c r="BV420" i="9"/>
  <c r="BW420" i="9" a="1"/>
  <c r="BW420" i="9"/>
  <c r="BX420" i="9" a="1"/>
  <c r="BX420" i="9" s="1"/>
  <c r="CB420" i="9"/>
  <c r="BP420" i="9"/>
  <c r="BE420" i="9"/>
  <c r="BD420" i="9"/>
  <c r="BC420" i="9"/>
  <c r="AG419" i="9"/>
  <c r="AF420" i="9"/>
  <c r="T420" i="9"/>
  <c r="P419" i="9"/>
  <c r="P420" i="9"/>
  <c r="O419" i="9"/>
  <c r="O420" i="9"/>
  <c r="N420" i="9"/>
  <c r="N419" i="9"/>
  <c r="G419" i="128"/>
  <c r="BC419" i="9"/>
  <c r="BP419" i="9"/>
  <c r="BS419" i="9" a="1"/>
  <c r="BS419" i="9"/>
  <c r="BT419" i="9" a="1"/>
  <c r="BT419" i="9" s="1"/>
  <c r="BU419" i="9" a="1"/>
  <c r="BU419" i="9" s="1"/>
  <c r="BZ419" i="9" s="1"/>
  <c r="BV419" i="9" a="1"/>
  <c r="BV419" i="9"/>
  <c r="BW419" i="9" a="1"/>
  <c r="BW419" i="9"/>
  <c r="BX419" i="9" a="1"/>
  <c r="BX419" i="9" s="1"/>
  <c r="CB419" i="9"/>
  <c r="CD419" i="9"/>
  <c r="CG419" i="9"/>
  <c r="CJ419" i="9"/>
  <c r="AF419" i="9"/>
  <c r="T419" i="9"/>
  <c r="FD114" i="62"/>
  <c r="FC114" i="62"/>
  <c r="FB114" i="62"/>
  <c r="FA114" i="62"/>
  <c r="EZ114" i="62"/>
  <c r="FD113" i="62"/>
  <c r="FC113" i="62"/>
  <c r="FB113" i="62"/>
  <c r="FA113" i="62"/>
  <c r="EZ113" i="62"/>
  <c r="FD112" i="62"/>
  <c r="FC112" i="62"/>
  <c r="FB112" i="62"/>
  <c r="FA112" i="62"/>
  <c r="EZ112" i="62"/>
  <c r="E428" i="139"/>
  <c r="E424" i="139"/>
  <c r="E423" i="139"/>
  <c r="E420" i="139"/>
  <c r="E419" i="139"/>
  <c r="G418" i="128"/>
  <c r="CJ418" i="9"/>
  <c r="CG418" i="9"/>
  <c r="BS418" i="9" a="1"/>
  <c r="BS418" i="9" s="1"/>
  <c r="BT418" i="9" a="1"/>
  <c r="BT418" i="9"/>
  <c r="BU418" i="9" a="1"/>
  <c r="BU418" i="9"/>
  <c r="BV418" i="9" a="1"/>
  <c r="BV418" i="9"/>
  <c r="BW418" i="9" a="1"/>
  <c r="BW418" i="9" s="1"/>
  <c r="BX418" i="9" a="1"/>
  <c r="BX418" i="9" s="1"/>
  <c r="CB418" i="9"/>
  <c r="CD418" i="9"/>
  <c r="BP418" i="9"/>
  <c r="BC418" i="9"/>
  <c r="AG418" i="9"/>
  <c r="AF418" i="9"/>
  <c r="E418" i="97"/>
  <c r="T418" i="9"/>
  <c r="O418" i="9"/>
  <c r="P418" i="9"/>
  <c r="N418" i="9"/>
  <c r="E428" i="138"/>
  <c r="E424" i="138"/>
  <c r="E423" i="138"/>
  <c r="E422" i="138"/>
  <c r="E421" i="138"/>
  <c r="E420" i="138"/>
  <c r="E419" i="138"/>
  <c r="E418" i="138"/>
  <c r="G417" i="128"/>
  <c r="AG417" i="9"/>
  <c r="P417" i="9"/>
  <c r="O417" i="9"/>
  <c r="N417" i="9"/>
  <c r="CB417" i="9"/>
  <c r="CD417" i="9"/>
  <c r="CG417" i="9"/>
  <c r="CJ417" i="9"/>
  <c r="BS417" i="9" a="1"/>
  <c r="BS417" i="9" s="1"/>
  <c r="BT417" i="9" a="1"/>
  <c r="BT417" i="9"/>
  <c r="BU417" i="9" a="1"/>
  <c r="BU417" i="9"/>
  <c r="BV417" i="9" a="1"/>
  <c r="BV417" i="9"/>
  <c r="BW417" i="9" a="1"/>
  <c r="BW417" i="9" s="1"/>
  <c r="BX417" i="9" a="1"/>
  <c r="BX417" i="9"/>
  <c r="BC417" i="9"/>
  <c r="BP417" i="9"/>
  <c r="AF417" i="9"/>
  <c r="T417" i="9"/>
  <c r="G416" i="128"/>
  <c r="BS416" i="9" a="1"/>
  <c r="BS416" i="9"/>
  <c r="BT416" i="9" a="1"/>
  <c r="BT416" i="9" s="1"/>
  <c r="BU416" i="9" a="1"/>
  <c r="BU416" i="9"/>
  <c r="BV416" i="9" a="1"/>
  <c r="BV416" i="9" s="1"/>
  <c r="BW416" i="9" a="1"/>
  <c r="BW416" i="9"/>
  <c r="BX416" i="9" a="1"/>
  <c r="BX416" i="9" s="1"/>
  <c r="CB416" i="9"/>
  <c r="CD416" i="9"/>
  <c r="CG416" i="9"/>
  <c r="CJ416" i="9"/>
  <c r="BP416" i="9"/>
  <c r="BD416" i="9"/>
  <c r="BE416" i="9"/>
  <c r="BC416" i="9"/>
  <c r="AF416" i="9"/>
  <c r="E416" i="97"/>
  <c r="E416" i="128"/>
  <c r="T416" i="9"/>
  <c r="P416" i="9"/>
  <c r="O416" i="9"/>
  <c r="N416" i="9"/>
  <c r="B413" i="83"/>
  <c r="B412" i="83"/>
  <c r="B411" i="83"/>
  <c r="G415" i="128"/>
  <c r="E415" i="13"/>
  <c r="CJ415" i="9"/>
  <c r="CG415" i="9"/>
  <c r="CB415" i="9"/>
  <c r="CD415" i="9"/>
  <c r="BS415" i="9" a="1"/>
  <c r="BS415" i="9"/>
  <c r="BT415" i="9" a="1"/>
  <c r="BT415" i="9"/>
  <c r="BU415" i="9" a="1"/>
  <c r="BU415" i="9"/>
  <c r="BV415" i="9" a="1"/>
  <c r="BV415" i="9" s="1"/>
  <c r="BW415" i="9" a="1"/>
  <c r="BW415" i="9"/>
  <c r="BX415" i="9" a="1"/>
  <c r="BX415" i="9" s="1"/>
  <c r="BC415" i="9"/>
  <c r="BD415" i="9"/>
  <c r="BE415" i="9"/>
  <c r="BP415" i="9"/>
  <c r="E415" i="128"/>
  <c r="AF415" i="9"/>
  <c r="T415" i="9"/>
  <c r="O415" i="9"/>
  <c r="P415" i="9"/>
  <c r="N415" i="9"/>
  <c r="B68" i="92" a="1"/>
  <c r="B68" i="92" s="1"/>
  <c r="D68" i="92" s="1"/>
  <c r="C68" i="92" a="1"/>
  <c r="C68" i="92" s="1"/>
  <c r="W68" i="92" a="1"/>
  <c r="W68" i="92" s="1"/>
  <c r="X68" i="92" a="1"/>
  <c r="X68" i="92" s="1"/>
  <c r="B69" i="92" a="1"/>
  <c r="B69" i="92" s="1"/>
  <c r="C69" i="92" a="1"/>
  <c r="C69" i="92"/>
  <c r="D69" i="92" s="1"/>
  <c r="W69" i="92" a="1"/>
  <c r="W69" i="92" s="1"/>
  <c r="Y69" i="92" s="1"/>
  <c r="X69" i="92" a="1"/>
  <c r="X69" i="92"/>
  <c r="B70" i="92" a="1"/>
  <c r="B70" i="92" s="1"/>
  <c r="C70" i="92" a="1"/>
  <c r="C70" i="92" s="1"/>
  <c r="W70" i="92" a="1"/>
  <c r="W70" i="92" s="1"/>
  <c r="X70" i="92" a="1"/>
  <c r="X70" i="92"/>
  <c r="B71" i="92" a="1"/>
  <c r="B71" i="92" s="1"/>
  <c r="D71" i="92" s="1"/>
  <c r="C71" i="92" a="1"/>
  <c r="C71" i="92"/>
  <c r="W71" i="92" a="1"/>
  <c r="W71" i="92" s="1"/>
  <c r="X71" i="92" a="1"/>
  <c r="X71" i="92" s="1"/>
  <c r="B72" i="92" a="1"/>
  <c r="B72" i="92" s="1"/>
  <c r="C72" i="92" a="1"/>
  <c r="C72" i="92" s="1"/>
  <c r="W72" i="92" a="1"/>
  <c r="W72" i="92" s="1"/>
  <c r="X72" i="92" a="1"/>
  <c r="X72" i="92" s="1"/>
  <c r="B73" i="92" a="1"/>
  <c r="B73" i="92" s="1"/>
  <c r="C73" i="92" a="1"/>
  <c r="C73" i="92" s="1"/>
  <c r="W73" i="92" a="1"/>
  <c r="W73" i="92"/>
  <c r="Y73" i="92" s="1"/>
  <c r="X73" i="92" a="1"/>
  <c r="X73" i="92"/>
  <c r="B74" i="92" a="1"/>
  <c r="B74" i="92" s="1"/>
  <c r="C74" i="92" a="1"/>
  <c r="C74" i="92" s="1"/>
  <c r="W74" i="92" a="1"/>
  <c r="W74" i="92" s="1"/>
  <c r="X74" i="92" a="1"/>
  <c r="X74" i="92"/>
  <c r="B75" i="92" a="1"/>
  <c r="B75" i="92" s="1"/>
  <c r="C75" i="92" a="1"/>
  <c r="C75" i="92" s="1"/>
  <c r="W75" i="92" a="1"/>
  <c r="W75" i="92" s="1"/>
  <c r="X75" i="92" a="1"/>
  <c r="X75" i="92" s="1"/>
  <c r="B76" i="92" a="1"/>
  <c r="B76" i="92" s="1"/>
  <c r="C76" i="92" a="1"/>
  <c r="C76" i="92" s="1"/>
  <c r="D76" i="92" s="1"/>
  <c r="W76" i="92" a="1"/>
  <c r="W76" i="92" s="1"/>
  <c r="X76" i="92" a="1"/>
  <c r="X76" i="92"/>
  <c r="B77" i="92" a="1"/>
  <c r="B77" i="92" s="1"/>
  <c r="C77" i="92" a="1"/>
  <c r="C77" i="92" s="1"/>
  <c r="W77" i="92" a="1"/>
  <c r="W77" i="92"/>
  <c r="X77" i="92" a="1"/>
  <c r="X77" i="92" s="1"/>
  <c r="B78" i="92" a="1"/>
  <c r="B78" i="92" s="1"/>
  <c r="C78" i="92" a="1"/>
  <c r="C78" i="92" s="1"/>
  <c r="W78" i="92" a="1"/>
  <c r="W78" i="92" s="1"/>
  <c r="X78" i="92" a="1"/>
  <c r="X78" i="92"/>
  <c r="B79" i="92" a="1"/>
  <c r="B79" i="92" s="1"/>
  <c r="D79" i="92" s="1"/>
  <c r="C79" i="92" a="1"/>
  <c r="C79" i="92" s="1"/>
  <c r="W79" i="92" a="1"/>
  <c r="W79" i="92" s="1"/>
  <c r="X79" i="92" a="1"/>
  <c r="X79" i="92" s="1"/>
  <c r="B80" i="92" a="1"/>
  <c r="B80" i="92"/>
  <c r="C80" i="92" a="1"/>
  <c r="C80" i="92" s="1"/>
  <c r="W80" i="92" a="1"/>
  <c r="W80" i="92" s="1"/>
  <c r="X80" i="92" a="1"/>
  <c r="X80" i="92" s="1"/>
  <c r="Y80" i="92" s="1"/>
  <c r="B81" i="92" a="1"/>
  <c r="B81" i="92" s="1"/>
  <c r="C81" i="92" a="1"/>
  <c r="C81" i="92"/>
  <c r="W81" i="92" a="1"/>
  <c r="W81" i="92" s="1"/>
  <c r="X81" i="92" a="1"/>
  <c r="X81" i="92" s="1"/>
  <c r="B82" i="92" a="1"/>
  <c r="B82" i="92" s="1"/>
  <c r="C82" i="92" a="1"/>
  <c r="C82" i="92"/>
  <c r="W82" i="92" a="1"/>
  <c r="W82" i="92" s="1"/>
  <c r="Y82" i="92" s="1"/>
  <c r="X82" i="92" a="1"/>
  <c r="X82" i="92"/>
  <c r="B83" i="92" a="1"/>
  <c r="B83" i="92" s="1"/>
  <c r="C83" i="92" a="1"/>
  <c r="C83" i="92" s="1"/>
  <c r="W83" i="92" a="1"/>
  <c r="W83" i="92" s="1"/>
  <c r="X83" i="92" a="1"/>
  <c r="X83" i="92" s="1"/>
  <c r="B84" i="92" a="1"/>
  <c r="B84" i="92"/>
  <c r="C84" i="92" a="1"/>
  <c r="C84" i="92" s="1"/>
  <c r="W84" i="92" a="1"/>
  <c r="W84" i="92" s="1"/>
  <c r="X84" i="92" a="1"/>
  <c r="X84" i="92" s="1"/>
  <c r="B85" i="92" a="1"/>
  <c r="B85" i="92" s="1"/>
  <c r="C85" i="92" a="1"/>
  <c r="C85" i="92" s="1"/>
  <c r="W85" i="92" a="1"/>
  <c r="W85" i="92" s="1"/>
  <c r="X85" i="92" a="1"/>
  <c r="X85" i="92" s="1"/>
  <c r="Y85" i="92" s="1"/>
  <c r="B86" i="92" a="1"/>
  <c r="B86" i="92"/>
  <c r="C86" i="92" a="1"/>
  <c r="C86" i="92"/>
  <c r="W86" i="92" a="1"/>
  <c r="W86" i="92" s="1"/>
  <c r="X86" i="92" a="1"/>
  <c r="X86" i="92" s="1"/>
  <c r="B87" i="92" a="1"/>
  <c r="B87" i="92" s="1"/>
  <c r="C87" i="92" a="1"/>
  <c r="C87" i="92"/>
  <c r="W87" i="92" a="1"/>
  <c r="W87" i="92"/>
  <c r="X87" i="92" a="1"/>
  <c r="X87" i="92" s="1"/>
  <c r="B88" i="92" a="1"/>
  <c r="B88" i="92" s="1"/>
  <c r="C88" i="92" a="1"/>
  <c r="C88" i="92" s="1"/>
  <c r="W88" i="92" a="1"/>
  <c r="W88" i="92"/>
  <c r="Y88" i="92" s="1"/>
  <c r="X88" i="92" a="1"/>
  <c r="X88" i="92" s="1"/>
  <c r="B89" i="92" a="1"/>
  <c r="B89" i="92" s="1"/>
  <c r="C89" i="92" a="1"/>
  <c r="C89" i="92" s="1"/>
  <c r="W89" i="92" a="1"/>
  <c r="W89" i="92" s="1"/>
  <c r="X89" i="92" a="1"/>
  <c r="X89" i="92" s="1"/>
  <c r="B90" i="92" a="1"/>
  <c r="B90" i="92" s="1"/>
  <c r="C90" i="92" a="1"/>
  <c r="C90" i="92" s="1"/>
  <c r="W90" i="92" a="1"/>
  <c r="W90" i="92" s="1"/>
  <c r="Y90" i="92" s="1"/>
  <c r="X90" i="92" a="1"/>
  <c r="X90" i="92" s="1"/>
  <c r="B91" i="92" a="1"/>
  <c r="B91" i="92" s="1"/>
  <c r="C91" i="92" a="1"/>
  <c r="C91" i="92"/>
  <c r="W91" i="92" a="1"/>
  <c r="W91" i="92" s="1"/>
  <c r="X91" i="92" a="1"/>
  <c r="X91" i="92" s="1"/>
  <c r="B92" i="92" a="1"/>
  <c r="B92" i="92" s="1"/>
  <c r="C92" i="92" a="1"/>
  <c r="C92" i="92" s="1"/>
  <c r="E92" i="92" a="1"/>
  <c r="E92" i="92" s="1"/>
  <c r="F92" i="92" a="1"/>
  <c r="F92" i="92" s="1"/>
  <c r="G92" i="92" s="1"/>
  <c r="W92" i="92" a="1"/>
  <c r="W92" i="92" s="1"/>
  <c r="X92" i="92" a="1"/>
  <c r="X92" i="92" s="1"/>
  <c r="Z92" i="92" a="1"/>
  <c r="Z92" i="92" s="1"/>
  <c r="AA92" i="92" a="1"/>
  <c r="AA92" i="92" s="1"/>
  <c r="B93" i="92" a="1"/>
  <c r="B93" i="92" s="1"/>
  <c r="C93" i="92" a="1"/>
  <c r="C93" i="92"/>
  <c r="D93" i="92" s="1"/>
  <c r="E93" i="92" a="1"/>
  <c r="E93" i="92"/>
  <c r="F93" i="92" a="1"/>
  <c r="F93" i="92" s="1"/>
  <c r="W93" i="92" a="1"/>
  <c r="W93" i="92" s="1"/>
  <c r="X93" i="92" a="1"/>
  <c r="X93" i="92" s="1"/>
  <c r="Z93" i="92" a="1"/>
  <c r="Z93" i="92"/>
  <c r="AB93" i="92" s="1"/>
  <c r="AA93" i="92" a="1"/>
  <c r="AA93" i="92" s="1"/>
  <c r="B94" i="92" a="1"/>
  <c r="B94" i="92" s="1"/>
  <c r="C94" i="92" a="1"/>
  <c r="C94" i="92"/>
  <c r="E94" i="92" a="1"/>
  <c r="E94" i="92" s="1"/>
  <c r="F94" i="92" a="1"/>
  <c r="F94" i="92" s="1"/>
  <c r="W94" i="92" a="1"/>
  <c r="W94" i="92" s="1"/>
  <c r="Y94" i="92" s="1"/>
  <c r="X94" i="92" a="1"/>
  <c r="X94" i="92" s="1"/>
  <c r="Z94" i="92" a="1"/>
  <c r="Z94" i="92" s="1"/>
  <c r="AB94" i="92" s="1"/>
  <c r="AA94" i="92" a="1"/>
  <c r="AA94" i="92" s="1"/>
  <c r="B95" i="92" a="1"/>
  <c r="B95" i="92" s="1"/>
  <c r="C95" i="92" a="1"/>
  <c r="C95" i="92"/>
  <c r="E95" i="92" a="1"/>
  <c r="E95" i="92" s="1"/>
  <c r="F95" i="92" a="1"/>
  <c r="F95" i="92" s="1"/>
  <c r="W95" i="92" a="1"/>
  <c r="W95" i="92" s="1"/>
  <c r="Y95" i="92" s="1"/>
  <c r="X95" i="92" a="1"/>
  <c r="X95" i="92" s="1"/>
  <c r="Z95" i="92" a="1"/>
  <c r="Z95" i="92"/>
  <c r="AA95" i="92" a="1"/>
  <c r="AA95" i="92" s="1"/>
  <c r="AB95" i="92" s="1"/>
  <c r="B96" i="92" a="1"/>
  <c r="B96" i="92" s="1"/>
  <c r="C96" i="92" a="1"/>
  <c r="C96" i="92" s="1"/>
  <c r="E96" i="92" a="1"/>
  <c r="E96" i="92"/>
  <c r="F96" i="92" a="1"/>
  <c r="F96" i="92" s="1"/>
  <c r="W96" i="92" a="1"/>
  <c r="W96" i="92" s="1"/>
  <c r="X96" i="92" a="1"/>
  <c r="X96" i="92" s="1"/>
  <c r="Z96" i="92" a="1"/>
  <c r="Z96" i="92" s="1"/>
  <c r="AA96" i="92" a="1"/>
  <c r="AA96" i="92" s="1"/>
  <c r="B97" i="92" a="1"/>
  <c r="B97" i="92" s="1"/>
  <c r="C97" i="92" a="1"/>
  <c r="C97" i="92" s="1"/>
  <c r="E97" i="92" a="1"/>
  <c r="E97" i="92" s="1"/>
  <c r="F97" i="92" a="1"/>
  <c r="F97" i="92" s="1"/>
  <c r="W97" i="92" a="1"/>
  <c r="W97" i="92" s="1"/>
  <c r="X97" i="92" a="1"/>
  <c r="X97" i="92" s="1"/>
  <c r="Z97" i="92" a="1"/>
  <c r="Z97" i="92" s="1"/>
  <c r="AA97" i="92" a="1"/>
  <c r="AA97" i="92" s="1"/>
  <c r="B98" i="92" a="1"/>
  <c r="B98" i="92"/>
  <c r="D98" i="92" s="1"/>
  <c r="C98" i="92" a="1"/>
  <c r="C98" i="92" s="1"/>
  <c r="E98" i="92" a="1"/>
  <c r="E98" i="92"/>
  <c r="F98" i="92" a="1"/>
  <c r="F98" i="92" s="1"/>
  <c r="W98" i="92" a="1"/>
  <c r="W98" i="92" s="1"/>
  <c r="X98" i="92" a="1"/>
  <c r="X98" i="92" s="1"/>
  <c r="Z98" i="92" a="1"/>
  <c r="Z98" i="92"/>
  <c r="AA98" i="92" a="1"/>
  <c r="AA98" i="92" s="1"/>
  <c r="AB98" i="92" s="1"/>
  <c r="B99" i="92" a="1"/>
  <c r="B99" i="92" s="1"/>
  <c r="C99" i="92" a="1"/>
  <c r="C99" i="92" s="1"/>
  <c r="E99" i="92" a="1"/>
  <c r="E99" i="92" s="1"/>
  <c r="G99" i="92" s="1"/>
  <c r="F99" i="92" a="1"/>
  <c r="F99" i="92"/>
  <c r="W99" i="92" a="1"/>
  <c r="W99" i="92" s="1"/>
  <c r="X99" i="92" a="1"/>
  <c r="X99" i="92" s="1"/>
  <c r="Z99" i="92" a="1"/>
  <c r="Z99" i="92" s="1"/>
  <c r="AB99" i="92" s="1"/>
  <c r="AA99" i="92" a="1"/>
  <c r="AA99" i="92" s="1"/>
  <c r="B100" i="92" a="1"/>
  <c r="B100" i="92" s="1"/>
  <c r="C100" i="92" a="1"/>
  <c r="C100" i="92" s="1"/>
  <c r="E100" i="92" a="1"/>
  <c r="E100" i="92" s="1"/>
  <c r="F100" i="92" a="1"/>
  <c r="F100" i="92"/>
  <c r="W100" i="92" a="1"/>
  <c r="W100" i="92"/>
  <c r="Y100" i="92" s="1"/>
  <c r="X100" i="92" a="1"/>
  <c r="X100" i="92" s="1"/>
  <c r="Z100" i="92" a="1"/>
  <c r="Z100" i="92" s="1"/>
  <c r="AA100" i="92" a="1"/>
  <c r="AA100" i="92" s="1"/>
  <c r="B101" i="92" a="1"/>
  <c r="B101" i="92"/>
  <c r="C101" i="92" a="1"/>
  <c r="C101" i="92" s="1"/>
  <c r="E101" i="92" a="1"/>
  <c r="E101" i="92"/>
  <c r="F101" i="92" a="1"/>
  <c r="F101" i="92" s="1"/>
  <c r="W101" i="92" a="1"/>
  <c r="W101" i="92" s="1"/>
  <c r="X101" i="92" a="1"/>
  <c r="X101" i="92" s="1"/>
  <c r="Z101" i="92" a="1"/>
  <c r="Z101" i="92"/>
  <c r="AA101" i="92" a="1"/>
  <c r="AA101" i="92"/>
  <c r="B102" i="92" a="1"/>
  <c r="B102" i="92" s="1"/>
  <c r="D102" i="92" s="1"/>
  <c r="C102" i="92" a="1"/>
  <c r="C102" i="92" s="1"/>
  <c r="E102" i="92" a="1"/>
  <c r="E102" i="92" s="1"/>
  <c r="F102" i="92" a="1"/>
  <c r="F102" i="92"/>
  <c r="W102" i="92" a="1"/>
  <c r="W102" i="92" s="1"/>
  <c r="X102" i="92" a="1"/>
  <c r="X102" i="92" s="1"/>
  <c r="Z102" i="92" a="1"/>
  <c r="Z102" i="92"/>
  <c r="AB102" i="92" s="1"/>
  <c r="AA102" i="92" a="1"/>
  <c r="AA102" i="92"/>
  <c r="B103" i="92" a="1"/>
  <c r="B103" i="92"/>
  <c r="C103" i="92" a="1"/>
  <c r="C103" i="92" s="1"/>
  <c r="E103" i="92" a="1"/>
  <c r="E103" i="92" s="1"/>
  <c r="F103" i="92" a="1"/>
  <c r="F103" i="92"/>
  <c r="W103" i="92" a="1"/>
  <c r="W103" i="92"/>
  <c r="X103" i="92" a="1"/>
  <c r="X103" i="92"/>
  <c r="Z103" i="92" a="1"/>
  <c r="Z103" i="92" s="1"/>
  <c r="AA103" i="92" a="1"/>
  <c r="AA103" i="92" s="1"/>
  <c r="B104" i="92" a="1"/>
  <c r="B104" i="92" s="1"/>
  <c r="C104" i="92" a="1"/>
  <c r="C104" i="92" s="1"/>
  <c r="D104" i="92" s="1"/>
  <c r="E104" i="92" a="1"/>
  <c r="E104" i="92" s="1"/>
  <c r="F104" i="92" a="1"/>
  <c r="F104" i="92" s="1"/>
  <c r="W104" i="92" a="1"/>
  <c r="W104" i="92"/>
  <c r="X104" i="92" a="1"/>
  <c r="X104" i="92"/>
  <c r="Z104" i="92" a="1"/>
  <c r="Z104" i="92" s="1"/>
  <c r="AA104" i="92" a="1"/>
  <c r="AA104" i="92" s="1"/>
  <c r="B105" i="92" a="1"/>
  <c r="B105" i="92" s="1"/>
  <c r="C105" i="92" a="1"/>
  <c r="C105" i="92" s="1"/>
  <c r="E105" i="92" a="1"/>
  <c r="E105" i="92" s="1"/>
  <c r="G105" i="92" s="1"/>
  <c r="F105" i="92" a="1"/>
  <c r="F105" i="92" s="1"/>
  <c r="W105" i="92" a="1"/>
  <c r="W105" i="92"/>
  <c r="Y105" i="92" s="1"/>
  <c r="X105" i="92" a="1"/>
  <c r="X105" i="92" s="1"/>
  <c r="Z105" i="92" a="1"/>
  <c r="Z105" i="92" s="1"/>
  <c r="AA105" i="92" a="1"/>
  <c r="AA105" i="92" s="1"/>
  <c r="B106" i="92" a="1"/>
  <c r="B106" i="92" s="1"/>
  <c r="C106" i="92" a="1"/>
  <c r="C106" i="92" s="1"/>
  <c r="E106" i="92" a="1"/>
  <c r="E106" i="92" s="1"/>
  <c r="F106" i="92" a="1"/>
  <c r="F106" i="92" s="1"/>
  <c r="W106" i="92" a="1"/>
  <c r="W106" i="92"/>
  <c r="X106" i="92" a="1"/>
  <c r="X106" i="92" s="1"/>
  <c r="Z106" i="92" a="1"/>
  <c r="Z106" i="92" s="1"/>
  <c r="AA106" i="92" a="1"/>
  <c r="AA106" i="92" s="1"/>
  <c r="B107" i="92" a="1"/>
  <c r="B107" i="92" s="1"/>
  <c r="C107" i="92" a="1"/>
  <c r="C107" i="92"/>
  <c r="E107" i="92" a="1"/>
  <c r="E107" i="92" s="1"/>
  <c r="F107" i="92" a="1"/>
  <c r="F107" i="92" s="1"/>
  <c r="W107" i="92" a="1"/>
  <c r="W107" i="92" s="1"/>
  <c r="X107" i="92" a="1"/>
  <c r="X107" i="92" s="1"/>
  <c r="Z107" i="92" a="1"/>
  <c r="Z107" i="92" s="1"/>
  <c r="AA107" i="92" a="1"/>
  <c r="AA107" i="92" s="1"/>
  <c r="B108" i="92" a="1"/>
  <c r="B108" i="92"/>
  <c r="C108" i="92" a="1"/>
  <c r="C108" i="92" s="1"/>
  <c r="D108" i="92" s="1"/>
  <c r="E108" i="92" a="1"/>
  <c r="E108" i="92" s="1"/>
  <c r="F108" i="92" a="1"/>
  <c r="F108" i="92" s="1"/>
  <c r="W108" i="92" a="1"/>
  <c r="W108" i="92" s="1"/>
  <c r="X108" i="92" a="1"/>
  <c r="X108" i="92"/>
  <c r="Z108" i="92" a="1"/>
  <c r="Z108" i="92" s="1"/>
  <c r="AA108" i="92" a="1"/>
  <c r="AA108" i="92" s="1"/>
  <c r="B109" i="92" a="1"/>
  <c r="B109" i="92" s="1"/>
  <c r="D109" i="92" s="1"/>
  <c r="C109" i="92" a="1"/>
  <c r="C109" i="92" s="1"/>
  <c r="E109" i="92" a="1"/>
  <c r="E109" i="92" s="1"/>
  <c r="F109" i="92" a="1"/>
  <c r="F109" i="92" s="1"/>
  <c r="W109" i="92" a="1"/>
  <c r="W109" i="92" s="1"/>
  <c r="X109" i="92" a="1"/>
  <c r="X109" i="92"/>
  <c r="Z109" i="92" a="1"/>
  <c r="Z109" i="92"/>
  <c r="AA109" i="92" a="1"/>
  <c r="AA109" i="92" s="1"/>
  <c r="B110" i="92" a="1"/>
  <c r="B110" i="92" s="1"/>
  <c r="C110" i="92" a="1"/>
  <c r="C110" i="92"/>
  <c r="E110" i="92" a="1"/>
  <c r="E110" i="92" s="1"/>
  <c r="F110" i="92" a="1"/>
  <c r="F110" i="92"/>
  <c r="W110" i="92" a="1"/>
  <c r="W110" i="92" s="1"/>
  <c r="Y110" i="92" s="1"/>
  <c r="X110" i="92" a="1"/>
  <c r="X110" i="92" s="1"/>
  <c r="Z110" i="92" a="1"/>
  <c r="Z110" i="92" s="1"/>
  <c r="AA110" i="92" a="1"/>
  <c r="AA110" i="92" s="1"/>
  <c r="B111" i="92" a="1"/>
  <c r="B111" i="92" s="1"/>
  <c r="C111" i="92" a="1"/>
  <c r="C111" i="92" s="1"/>
  <c r="E111" i="92" a="1"/>
  <c r="E111" i="92" s="1"/>
  <c r="F111" i="92" a="1"/>
  <c r="F111" i="92" s="1"/>
  <c r="W111" i="92" a="1"/>
  <c r="W111" i="92" s="1"/>
  <c r="Y111" i="92" s="1"/>
  <c r="X111" i="92" a="1"/>
  <c r="X111" i="92" s="1"/>
  <c r="Z111" i="92" a="1"/>
  <c r="Z111" i="92" s="1"/>
  <c r="AA111" i="92" a="1"/>
  <c r="AA111" i="92" s="1"/>
  <c r="B112" i="92" a="1"/>
  <c r="B112" i="92"/>
  <c r="C112" i="92" a="1"/>
  <c r="C112" i="92"/>
  <c r="E112" i="92" a="1"/>
  <c r="E112" i="92" s="1"/>
  <c r="G112" i="92" s="1"/>
  <c r="F112" i="92" a="1"/>
  <c r="F112" i="92" s="1"/>
  <c r="W112" i="92" a="1"/>
  <c r="W112" i="92" s="1"/>
  <c r="X112" i="92" a="1"/>
  <c r="X112" i="92" s="1"/>
  <c r="Z112" i="92" a="1"/>
  <c r="Z112" i="92" s="1"/>
  <c r="AA112" i="92" a="1"/>
  <c r="AA112" i="92" s="1"/>
  <c r="B113" i="92" a="1"/>
  <c r="B113" i="92" s="1"/>
  <c r="C113" i="92" a="1"/>
  <c r="C113" i="92" s="1"/>
  <c r="E113" i="92" a="1"/>
  <c r="E113" i="92" s="1"/>
  <c r="F113" i="92" a="1"/>
  <c r="F113" i="92" s="1"/>
  <c r="W113" i="92" a="1"/>
  <c r="W113" i="92" s="1"/>
  <c r="Y113" i="92" s="1"/>
  <c r="X113" i="92" a="1"/>
  <c r="X113" i="92" s="1"/>
  <c r="Z113" i="92" a="1"/>
  <c r="Z113" i="92" s="1"/>
  <c r="AA113" i="92" a="1"/>
  <c r="AA113" i="92" s="1"/>
  <c r="B114" i="92" a="1"/>
  <c r="B114" i="92" s="1"/>
  <c r="C114" i="92" a="1"/>
  <c r="C114" i="92"/>
  <c r="D114" i="92" s="1"/>
  <c r="E114" i="92" a="1"/>
  <c r="E114" i="92" s="1"/>
  <c r="G114" i="92" s="1"/>
  <c r="F114" i="92" a="1"/>
  <c r="F114" i="92" s="1"/>
  <c r="W114" i="92" a="1"/>
  <c r="W114" i="92" s="1"/>
  <c r="X114" i="92" a="1"/>
  <c r="X114" i="92" s="1"/>
  <c r="Z114" i="92" a="1"/>
  <c r="Z114" i="92"/>
  <c r="AA114" i="92" a="1"/>
  <c r="AA114" i="92" s="1"/>
  <c r="B115" i="92" a="1"/>
  <c r="B115" i="92" s="1"/>
  <c r="C115" i="92" a="1"/>
  <c r="C115" i="92" s="1"/>
  <c r="E115" i="92" a="1"/>
  <c r="E115" i="92"/>
  <c r="F115" i="92" a="1"/>
  <c r="F115" i="92" s="1"/>
  <c r="W115" i="92" a="1"/>
  <c r="W115" i="92" s="1"/>
  <c r="X115" i="92" a="1"/>
  <c r="X115" i="92" s="1"/>
  <c r="Z115" i="92" a="1"/>
  <c r="Z115" i="92" s="1"/>
  <c r="AA115" i="92" a="1"/>
  <c r="AA115" i="92" s="1"/>
  <c r="B116" i="92" a="1"/>
  <c r="B116" i="92" s="1"/>
  <c r="C116" i="92" a="1"/>
  <c r="C116" i="92"/>
  <c r="E116" i="92" a="1"/>
  <c r="E116" i="92" s="1"/>
  <c r="F116" i="92" a="1"/>
  <c r="F116" i="92" s="1"/>
  <c r="W116" i="92" a="1"/>
  <c r="W116" i="92" s="1"/>
  <c r="X116" i="92" a="1"/>
  <c r="X116" i="92" s="1"/>
  <c r="Z116" i="92" a="1"/>
  <c r="Z116" i="92" s="1"/>
  <c r="AA116" i="92" a="1"/>
  <c r="AA116" i="92" s="1"/>
  <c r="B117" i="92" a="1"/>
  <c r="B117" i="92" s="1"/>
  <c r="D117" i="92" s="1"/>
  <c r="C117" i="92" a="1"/>
  <c r="C117" i="92" s="1"/>
  <c r="E117" i="92" a="1"/>
  <c r="E117" i="92" s="1"/>
  <c r="F117" i="92" a="1"/>
  <c r="F117" i="92" s="1"/>
  <c r="W117" i="92" a="1"/>
  <c r="W117" i="92" s="1"/>
  <c r="X117" i="92" a="1"/>
  <c r="X117" i="92" s="1"/>
  <c r="Z117" i="92" a="1"/>
  <c r="Z117" i="92" s="1"/>
  <c r="AB117" i="92"/>
  <c r="AA117" i="92" a="1"/>
  <c r="AA117" i="92"/>
  <c r="B118" i="92" a="1"/>
  <c r="B118" i="92" s="1"/>
  <c r="C118" i="92" a="1"/>
  <c r="C118" i="92" s="1"/>
  <c r="E118" i="92" a="1"/>
  <c r="E118" i="92" s="1"/>
  <c r="F118" i="92" a="1"/>
  <c r="F118" i="92" s="1"/>
  <c r="W118" i="92" a="1"/>
  <c r="W118" i="92" s="1"/>
  <c r="X118" i="92" a="1"/>
  <c r="X118" i="92" s="1"/>
  <c r="Z118" i="92" a="1"/>
  <c r="Z118" i="92" s="1"/>
  <c r="AA118" i="92" a="1"/>
  <c r="AA118" i="92" s="1"/>
  <c r="AB118" i="92" s="1"/>
  <c r="B119" i="92" a="1"/>
  <c r="B119" i="92" s="1"/>
  <c r="C119" i="92" a="1"/>
  <c r="C119" i="92"/>
  <c r="E119" i="92" a="1"/>
  <c r="E119" i="92"/>
  <c r="G119" i="92" s="1"/>
  <c r="F119" i="92" a="1"/>
  <c r="F119" i="92" s="1"/>
  <c r="W119" i="92" a="1"/>
  <c r="W119" i="92"/>
  <c r="Y119" i="92" s="1"/>
  <c r="X119" i="92" a="1"/>
  <c r="X119" i="92"/>
  <c r="Z119" i="92" a="1"/>
  <c r="Z119" i="92" s="1"/>
  <c r="AA119" i="92" a="1"/>
  <c r="AA119" i="92" s="1"/>
  <c r="B120" i="92" a="1"/>
  <c r="B120" i="92" s="1"/>
  <c r="C120" i="92" a="1"/>
  <c r="C120" i="92" s="1"/>
  <c r="E120" i="92" a="1"/>
  <c r="E120" i="92" s="1"/>
  <c r="F120" i="92" a="1"/>
  <c r="F120" i="92" s="1"/>
  <c r="G120" i="92" s="1"/>
  <c r="W120" i="92" a="1"/>
  <c r="W120" i="92" s="1"/>
  <c r="Y120" i="92" s="1"/>
  <c r="X120" i="92" a="1"/>
  <c r="X120" i="92" s="1"/>
  <c r="Z120" i="92" a="1"/>
  <c r="Z120" i="92" s="1"/>
  <c r="AA120" i="92" a="1"/>
  <c r="AA120" i="92" s="1"/>
  <c r="B121" i="92" a="1"/>
  <c r="B121" i="92"/>
  <c r="C121" i="92" a="1"/>
  <c r="C121" i="92" s="1"/>
  <c r="D121" i="92" s="1"/>
  <c r="E121" i="92" a="1"/>
  <c r="E121" i="92" s="1"/>
  <c r="F121" i="92" a="1"/>
  <c r="F121" i="92" s="1"/>
  <c r="W121" i="92" a="1"/>
  <c r="W121" i="92"/>
  <c r="X121" i="92" a="1"/>
  <c r="X121" i="92" s="1"/>
  <c r="Z121" i="92" a="1"/>
  <c r="Z121" i="92" s="1"/>
  <c r="AA121" i="92" a="1"/>
  <c r="AA121" i="92"/>
  <c r="AB121" i="92" s="1"/>
  <c r="B122" i="92" a="1"/>
  <c r="B122" i="92" s="1"/>
  <c r="C122" i="92" a="1"/>
  <c r="C122" i="92" s="1"/>
  <c r="E122" i="92" a="1"/>
  <c r="E122" i="92" s="1"/>
  <c r="F122" i="92" a="1"/>
  <c r="F122" i="92" s="1"/>
  <c r="W122" i="92" a="1"/>
  <c r="W122" i="92" s="1"/>
  <c r="X122" i="92" a="1"/>
  <c r="X122" i="92" s="1"/>
  <c r="Z122" i="92" a="1"/>
  <c r="Z122" i="92" s="1"/>
  <c r="AB122" i="92" s="1"/>
  <c r="AA122" i="92" a="1"/>
  <c r="AA122" i="92" s="1"/>
  <c r="B123" i="92" a="1"/>
  <c r="B123" i="92"/>
  <c r="C123" i="92" a="1"/>
  <c r="C123" i="92" s="1"/>
  <c r="E123" i="92" a="1"/>
  <c r="E123" i="92" s="1"/>
  <c r="F123" i="92" a="1"/>
  <c r="F123" i="92" s="1"/>
  <c r="W123" i="92" a="1"/>
  <c r="W123" i="92"/>
  <c r="X123" i="92" a="1"/>
  <c r="X123" i="92" s="1"/>
  <c r="Z123" i="92" a="1"/>
  <c r="Z123" i="92" s="1"/>
  <c r="AA123" i="92" a="1"/>
  <c r="AA123" i="92" s="1"/>
  <c r="B124" i="92" a="1"/>
  <c r="B124" i="92" s="1"/>
  <c r="C124" i="92" a="1"/>
  <c r="C124" i="92" s="1"/>
  <c r="E124" i="92" a="1"/>
  <c r="E124" i="92"/>
  <c r="F124" i="92" a="1"/>
  <c r="F124" i="92" s="1"/>
  <c r="W124" i="92" a="1"/>
  <c r="W124" i="92" s="1"/>
  <c r="Y124" i="92" s="1"/>
  <c r="X124" i="92" a="1"/>
  <c r="X124" i="92" s="1"/>
  <c r="Z124" i="92" a="1"/>
  <c r="Z124" i="92" s="1"/>
  <c r="AA124" i="92" a="1"/>
  <c r="AA124" i="92" s="1"/>
  <c r="B125" i="92" a="1"/>
  <c r="B125" i="92"/>
  <c r="C125" i="92" a="1"/>
  <c r="C125" i="92" s="1"/>
  <c r="E125" i="92" a="1"/>
  <c r="E125" i="92" s="1"/>
  <c r="F125" i="92" a="1"/>
  <c r="F125" i="92" s="1"/>
  <c r="W125" i="92" a="1"/>
  <c r="W125" i="92" s="1"/>
  <c r="X125" i="92" a="1"/>
  <c r="X125" i="92" s="1"/>
  <c r="Z125" i="92" a="1"/>
  <c r="Z125" i="92" s="1"/>
  <c r="AA125" i="92" a="1"/>
  <c r="AA125" i="92" s="1"/>
  <c r="B126" i="92" a="1"/>
  <c r="B126" i="92" s="1"/>
  <c r="C126" i="92" a="1"/>
  <c r="C126" i="92" s="1"/>
  <c r="E126" i="92" a="1"/>
  <c r="E126" i="92" s="1"/>
  <c r="F126" i="92" a="1"/>
  <c r="F126" i="92" s="1"/>
  <c r="W126" i="92" a="1"/>
  <c r="W126" i="92" s="1"/>
  <c r="Y126" i="92" s="1"/>
  <c r="X126" i="92" a="1"/>
  <c r="X126" i="92" s="1"/>
  <c r="Z126" i="92" a="1"/>
  <c r="Z126" i="92" s="1"/>
  <c r="AA126" i="92" a="1"/>
  <c r="AA126" i="92" s="1"/>
  <c r="B127" i="92" a="1"/>
  <c r="B127" i="92" s="1"/>
  <c r="C127" i="92" a="1"/>
  <c r="C127" i="92" s="1"/>
  <c r="E127" i="92" a="1"/>
  <c r="E127" i="92" s="1"/>
  <c r="F127" i="92" a="1"/>
  <c r="F127" i="92" s="1"/>
  <c r="W127" i="92" a="1"/>
  <c r="W127" i="92" s="1"/>
  <c r="X127" i="92" a="1"/>
  <c r="X127" i="92" s="1"/>
  <c r="Z127" i="92" a="1"/>
  <c r="Z127" i="92" s="1"/>
  <c r="AA127" i="92" a="1"/>
  <c r="AA127" i="92"/>
  <c r="B128" i="92" a="1"/>
  <c r="B128" i="92" s="1"/>
  <c r="C128" i="92" a="1"/>
  <c r="C128" i="92"/>
  <c r="D128" i="92" s="1"/>
  <c r="E128" i="92" a="1"/>
  <c r="E128" i="92" s="1"/>
  <c r="G128" i="92" s="1"/>
  <c r="F128" i="92" a="1"/>
  <c r="F128" i="92" s="1"/>
  <c r="W128" i="92" a="1"/>
  <c r="W128" i="92" s="1"/>
  <c r="X128" i="92" a="1"/>
  <c r="X128" i="92" s="1"/>
  <c r="Z128" i="92" a="1"/>
  <c r="Z128" i="92" s="1"/>
  <c r="AA128" i="92" a="1"/>
  <c r="AA128" i="92" s="1"/>
  <c r="B129" i="92" a="1"/>
  <c r="B129" i="92" s="1"/>
  <c r="C129" i="92" a="1"/>
  <c r="C129" i="92" s="1"/>
  <c r="D129" i="92" s="1"/>
  <c r="E129" i="92" a="1"/>
  <c r="E129" i="92" s="1"/>
  <c r="F129" i="92" a="1"/>
  <c r="F129" i="92" s="1"/>
  <c r="W129" i="92" a="1"/>
  <c r="W129" i="92"/>
  <c r="X129" i="92" a="1"/>
  <c r="X129" i="92" s="1"/>
  <c r="Z129" i="92" a="1"/>
  <c r="Z129" i="92" s="1"/>
  <c r="AA129" i="92" a="1"/>
  <c r="AA129" i="92" s="1"/>
  <c r="AB129" i="92" s="1"/>
  <c r="B130" i="92" a="1"/>
  <c r="B130" i="92" s="1"/>
  <c r="C130" i="92" a="1"/>
  <c r="C130" i="92" s="1"/>
  <c r="E130" i="92" a="1"/>
  <c r="E130" i="92"/>
  <c r="F130" i="92" a="1"/>
  <c r="F130" i="92" s="1"/>
  <c r="W130" i="92" a="1"/>
  <c r="W130" i="92"/>
  <c r="X130" i="92" a="1"/>
  <c r="X130" i="92" s="1"/>
  <c r="Z130" i="92" a="1"/>
  <c r="Z130" i="92" s="1"/>
  <c r="AB130" i="92" s="1"/>
  <c r="AA130" i="92" a="1"/>
  <c r="AA130" i="92" s="1"/>
  <c r="B131" i="92" a="1"/>
  <c r="B131" i="92" s="1"/>
  <c r="C131" i="92" a="1"/>
  <c r="C131" i="92" s="1"/>
  <c r="E131" i="92" a="1"/>
  <c r="E131" i="92"/>
  <c r="F131" i="92" a="1"/>
  <c r="F131" i="92" s="1"/>
  <c r="W131" i="92" a="1"/>
  <c r="W131" i="92" s="1"/>
  <c r="Y131" i="92" s="1"/>
  <c r="X131" i="92" a="1"/>
  <c r="X131" i="92" s="1"/>
  <c r="Z131" i="92" a="1"/>
  <c r="Z131" i="92"/>
  <c r="AA131" i="92" a="1"/>
  <c r="AA131" i="92" s="1"/>
  <c r="B132" i="92" a="1"/>
  <c r="B132" i="92" s="1"/>
  <c r="C132" i="92" a="1"/>
  <c r="C132" i="92" s="1"/>
  <c r="E132" i="92" a="1"/>
  <c r="E132" i="92" s="1"/>
  <c r="F132" i="92" a="1"/>
  <c r="F132" i="92" s="1"/>
  <c r="W132" i="92" a="1"/>
  <c r="W132" i="92" s="1"/>
  <c r="Y132" i="92" s="1"/>
  <c r="X132" i="92" a="1"/>
  <c r="X132" i="92" s="1"/>
  <c r="Z132" i="92" a="1"/>
  <c r="Z132" i="92" s="1"/>
  <c r="AA132" i="92" a="1"/>
  <c r="AA132" i="92" s="1"/>
  <c r="B133" i="92" a="1"/>
  <c r="B133" i="92"/>
  <c r="C133" i="92" a="1"/>
  <c r="C133" i="92" s="1"/>
  <c r="E133" i="92" a="1"/>
  <c r="E133" i="92"/>
  <c r="G133" i="92" s="1"/>
  <c r="F133" i="92" a="1"/>
  <c r="F133" i="92" s="1"/>
  <c r="W133" i="92" a="1"/>
  <c r="W133" i="92" s="1"/>
  <c r="X133" i="92" a="1"/>
  <c r="X133" i="92" s="1"/>
  <c r="Z133" i="92" a="1"/>
  <c r="Z133" i="92" s="1"/>
  <c r="AA133" i="92" a="1"/>
  <c r="AA133" i="92" s="1"/>
  <c r="B134" i="92" a="1"/>
  <c r="B134" i="92" s="1"/>
  <c r="C134" i="92" a="1"/>
  <c r="C134" i="92" s="1"/>
  <c r="E134" i="92" a="1"/>
  <c r="E134" i="92" s="1"/>
  <c r="F134" i="92" a="1"/>
  <c r="F134" i="92" s="1"/>
  <c r="W134" i="92" a="1"/>
  <c r="W134" i="92" s="1"/>
  <c r="X134" i="92" a="1"/>
  <c r="X134" i="92" s="1"/>
  <c r="Z134" i="92" a="1"/>
  <c r="Z134" i="92" s="1"/>
  <c r="AA134" i="92" a="1"/>
  <c r="AA134" i="92" s="1"/>
  <c r="B135" i="92" a="1"/>
  <c r="B135" i="92" s="1"/>
  <c r="C135" i="92" a="1"/>
  <c r="C135" i="92" s="1"/>
  <c r="E135" i="92" a="1"/>
  <c r="E135" i="92" s="1"/>
  <c r="F135" i="92" a="1"/>
  <c r="F135" i="92" s="1"/>
  <c r="W135" i="92" a="1"/>
  <c r="W135" i="92" s="1"/>
  <c r="Y135" i="92" s="1"/>
  <c r="X135" i="92" a="1"/>
  <c r="X135" i="92" s="1"/>
  <c r="Z135" i="92" a="1"/>
  <c r="Z135" i="92"/>
  <c r="AA135" i="92" a="1"/>
  <c r="AA135" i="92" s="1"/>
  <c r="B136" i="92" a="1"/>
  <c r="B136" i="92" s="1"/>
  <c r="C136" i="92" a="1"/>
  <c r="C136" i="92" s="1"/>
  <c r="E136" i="92" a="1"/>
  <c r="E136" i="92" s="1"/>
  <c r="F136" i="92" a="1"/>
  <c r="F136" i="92"/>
  <c r="W136" i="92" a="1"/>
  <c r="W136" i="92" s="1"/>
  <c r="X136" i="92" a="1"/>
  <c r="X136" i="92" s="1"/>
  <c r="Z136" i="92" a="1"/>
  <c r="Z136" i="92" s="1"/>
  <c r="AA136" i="92" a="1"/>
  <c r="AA136" i="92" s="1"/>
  <c r="B137" i="92" a="1"/>
  <c r="B137" i="92" s="1"/>
  <c r="C137" i="92" a="1"/>
  <c r="C137" i="92" s="1"/>
  <c r="E137" i="92" a="1"/>
  <c r="E137" i="92" s="1"/>
  <c r="F137" i="92" a="1"/>
  <c r="F137" i="92" s="1"/>
  <c r="W137" i="92" a="1"/>
  <c r="W137" i="92" s="1"/>
  <c r="X137" i="92" a="1"/>
  <c r="X137" i="92"/>
  <c r="Z137" i="92" a="1"/>
  <c r="Z137" i="92" s="1"/>
  <c r="AA137" i="92" a="1"/>
  <c r="AA137" i="92" s="1"/>
  <c r="B138" i="92" a="1"/>
  <c r="B138" i="92" s="1"/>
  <c r="C138" i="92" a="1"/>
  <c r="C138" i="92" s="1"/>
  <c r="D138" i="92" s="1"/>
  <c r="E138" i="92" a="1"/>
  <c r="E138" i="92" s="1"/>
  <c r="F138" i="92" a="1"/>
  <c r="F138" i="92"/>
  <c r="W138" i="92" a="1"/>
  <c r="W138" i="92" s="1"/>
  <c r="X138" i="92" a="1"/>
  <c r="X138" i="92"/>
  <c r="Z138" i="92" a="1"/>
  <c r="Z138" i="92" s="1"/>
  <c r="AA138" i="92" a="1"/>
  <c r="AA138" i="92" s="1"/>
  <c r="B139" i="92" a="1"/>
  <c r="B139" i="92" s="1"/>
  <c r="C139" i="92" a="1"/>
  <c r="C139" i="92" s="1"/>
  <c r="D139" i="92" s="1"/>
  <c r="E139" i="92" a="1"/>
  <c r="E139" i="92" s="1"/>
  <c r="F139" i="92" a="1"/>
  <c r="F139" i="92"/>
  <c r="W139" i="92" a="1"/>
  <c r="W139" i="92" s="1"/>
  <c r="X139" i="92" a="1"/>
  <c r="X139" i="92" s="1"/>
  <c r="Z139" i="92" a="1"/>
  <c r="Z139" i="92" s="1"/>
  <c r="AA139" i="92" a="1"/>
  <c r="AA139" i="92" s="1"/>
  <c r="B140" i="92" a="1"/>
  <c r="B140" i="92" s="1"/>
  <c r="C140" i="92" a="1"/>
  <c r="C140" i="92"/>
  <c r="E140" i="92" a="1"/>
  <c r="E140" i="92" s="1"/>
  <c r="G140" i="92" s="1"/>
  <c r="F140" i="92" a="1"/>
  <c r="F140" i="92" s="1"/>
  <c r="W140" i="92" a="1"/>
  <c r="W140" i="92"/>
  <c r="X140" i="92" a="1"/>
  <c r="X140" i="92" s="1"/>
  <c r="Z140" i="92" a="1"/>
  <c r="Z140" i="92"/>
  <c r="AA140" i="92" a="1"/>
  <c r="AA140" i="92" s="1"/>
  <c r="B141" i="92" a="1"/>
  <c r="B141" i="92" s="1"/>
  <c r="C141" i="92" a="1"/>
  <c r="C141" i="92"/>
  <c r="E141" i="92" a="1"/>
  <c r="E141" i="92" s="1"/>
  <c r="F141" i="92" a="1"/>
  <c r="F141" i="92" s="1"/>
  <c r="W141" i="92" a="1"/>
  <c r="W141" i="92" s="1"/>
  <c r="X141" i="92" a="1"/>
  <c r="X141" i="92" s="1"/>
  <c r="Z141" i="92" a="1"/>
  <c r="Z141" i="92" s="1"/>
  <c r="AA141" i="92" a="1"/>
  <c r="AA141" i="92" s="1"/>
  <c r="B142" i="92" a="1"/>
  <c r="B142" i="92" s="1"/>
  <c r="D142" i="92" s="1"/>
  <c r="C142" i="92" a="1"/>
  <c r="C142" i="92" s="1"/>
  <c r="E142" i="92" a="1"/>
  <c r="E142" i="92" s="1"/>
  <c r="F142" i="92" a="1"/>
  <c r="F142" i="92"/>
  <c r="W142" i="92" a="1"/>
  <c r="W142" i="92" s="1"/>
  <c r="X142" i="92" a="1"/>
  <c r="X142" i="92" s="1"/>
  <c r="Y142" i="92" s="1"/>
  <c r="Z142" i="92" a="1"/>
  <c r="Z142" i="92" s="1"/>
  <c r="AA142" i="92" a="1"/>
  <c r="AA142" i="92" s="1"/>
  <c r="B143" i="92" a="1"/>
  <c r="B143" i="92" s="1"/>
  <c r="C143" i="92" a="1"/>
  <c r="C143" i="92" s="1"/>
  <c r="E143" i="92" a="1"/>
  <c r="E143" i="92" s="1"/>
  <c r="F143" i="92" a="1"/>
  <c r="F143" i="92"/>
  <c r="W143" i="92" a="1"/>
  <c r="W143" i="92" s="1"/>
  <c r="X143" i="92" a="1"/>
  <c r="X143" i="92"/>
  <c r="Z143" i="92" a="1"/>
  <c r="Z143" i="92" s="1"/>
  <c r="AA143" i="92" a="1"/>
  <c r="AA143" i="92"/>
  <c r="B144" i="92" a="1"/>
  <c r="B144" i="92" s="1"/>
  <c r="C144" i="92" a="1"/>
  <c r="C144" i="92"/>
  <c r="E144" i="92" a="1"/>
  <c r="E144" i="92" s="1"/>
  <c r="F144" i="92" a="1"/>
  <c r="F144" i="92"/>
  <c r="W144" i="92" a="1"/>
  <c r="W144" i="92" s="1"/>
  <c r="X144" i="92" a="1"/>
  <c r="X144" i="92" s="1"/>
  <c r="Y144" i="92" s="1"/>
  <c r="Z144" i="92" a="1"/>
  <c r="Z144" i="92" s="1"/>
  <c r="AA144" i="92" a="1"/>
  <c r="AA144" i="92"/>
  <c r="B145" i="92" a="1"/>
  <c r="B145" i="92" s="1"/>
  <c r="C145" i="92" a="1"/>
  <c r="C145" i="92" s="1"/>
  <c r="E145" i="92" a="1"/>
  <c r="E145" i="92" s="1"/>
  <c r="F145" i="92" a="1"/>
  <c r="F145" i="92" s="1"/>
  <c r="W145" i="92" a="1"/>
  <c r="W145" i="92" s="1"/>
  <c r="X145" i="92" a="1"/>
  <c r="X145" i="92" s="1"/>
  <c r="Z145" i="92" a="1"/>
  <c r="Z145" i="92"/>
  <c r="AA145" i="92" a="1"/>
  <c r="AA145" i="92" s="1"/>
  <c r="B146" i="92" a="1"/>
  <c r="B146" i="92" s="1"/>
  <c r="C146" i="92" a="1"/>
  <c r="C146" i="92" s="1"/>
  <c r="E146" i="92" a="1"/>
  <c r="E146" i="92" s="1"/>
  <c r="F146" i="92" a="1"/>
  <c r="F146" i="92" s="1"/>
  <c r="W146" i="92" a="1"/>
  <c r="W146" i="92" s="1"/>
  <c r="X146" i="92" a="1"/>
  <c r="X146" i="92" s="1"/>
  <c r="Z146" i="92" a="1"/>
  <c r="Z146" i="92" s="1"/>
  <c r="AA146" i="92" a="1"/>
  <c r="AA146" i="92" s="1"/>
  <c r="B147" i="92" a="1"/>
  <c r="B147" i="92" s="1"/>
  <c r="C147" i="92" a="1"/>
  <c r="C147" i="92" s="1"/>
  <c r="E147" i="92" a="1"/>
  <c r="E147" i="92" s="1"/>
  <c r="F147" i="92" a="1"/>
  <c r="F147" i="92" s="1"/>
  <c r="W147" i="92" a="1"/>
  <c r="W147" i="92" s="1"/>
  <c r="X147" i="92" a="1"/>
  <c r="X147" i="92" s="1"/>
  <c r="Z147" i="92" a="1"/>
  <c r="Z147" i="92" s="1"/>
  <c r="AA147" i="92" a="1"/>
  <c r="AA147" i="92" s="1"/>
  <c r="B148" i="92" a="1"/>
  <c r="B148" i="92" s="1"/>
  <c r="C148" i="92" a="1"/>
  <c r="C148" i="92" s="1"/>
  <c r="E148" i="92" a="1"/>
  <c r="E148" i="92"/>
  <c r="F148" i="92" a="1"/>
  <c r="F148" i="92" s="1"/>
  <c r="W148" i="92" a="1"/>
  <c r="W148" i="92"/>
  <c r="X148" i="92" a="1"/>
  <c r="X148" i="92" s="1"/>
  <c r="Z148" i="92" a="1"/>
  <c r="Z148" i="92" s="1"/>
  <c r="AA148" i="92" a="1"/>
  <c r="AA148" i="92"/>
  <c r="B149" i="92" a="1"/>
  <c r="B149" i="92" s="1"/>
  <c r="C149" i="92" a="1"/>
  <c r="C149" i="92" s="1"/>
  <c r="E149" i="92" a="1"/>
  <c r="E149" i="92"/>
  <c r="F149" i="92" a="1"/>
  <c r="F149" i="92" s="1"/>
  <c r="W149" i="92" a="1"/>
  <c r="W149" i="92"/>
  <c r="Y149" i="92" s="1"/>
  <c r="X149" i="92" a="1"/>
  <c r="X149" i="92"/>
  <c r="Z149" i="92" a="1"/>
  <c r="Z149" i="92" s="1"/>
  <c r="AA149" i="92" a="1"/>
  <c r="AA149" i="92" s="1"/>
  <c r="B150" i="92" a="1"/>
  <c r="B150" i="92"/>
  <c r="C150" i="92" a="1"/>
  <c r="C150" i="92" s="1"/>
  <c r="E150" i="92" a="1"/>
  <c r="E150" i="92" s="1"/>
  <c r="G150" i="92" s="1"/>
  <c r="F150" i="92" a="1"/>
  <c r="F150" i="92" s="1"/>
  <c r="W150" i="92" a="1"/>
  <c r="W150" i="92" s="1"/>
  <c r="X150" i="92" a="1"/>
  <c r="X150" i="92"/>
  <c r="Z150" i="92" a="1"/>
  <c r="Z150" i="92" s="1"/>
  <c r="AA150" i="92" a="1"/>
  <c r="AA150" i="92"/>
  <c r="B151" i="92" a="1"/>
  <c r="B151" i="92" s="1"/>
  <c r="C151" i="92" a="1"/>
  <c r="C151" i="92" s="1"/>
  <c r="E151" i="92" a="1"/>
  <c r="E151" i="92"/>
  <c r="F151" i="92" a="1"/>
  <c r="F151" i="92"/>
  <c r="W151" i="92" a="1"/>
  <c r="W151" i="92" s="1"/>
  <c r="X151" i="92" a="1"/>
  <c r="X151" i="92" s="1"/>
  <c r="Z151" i="92" a="1"/>
  <c r="Z151" i="92" s="1"/>
  <c r="AA151" i="92" a="1"/>
  <c r="AA151" i="92"/>
  <c r="B152" i="92" a="1"/>
  <c r="B152" i="92"/>
  <c r="D152" i="92" s="1"/>
  <c r="C152" i="92" a="1"/>
  <c r="C152" i="92"/>
  <c r="E152" i="92" a="1"/>
  <c r="E152" i="92"/>
  <c r="F152" i="92" a="1"/>
  <c r="F152" i="92" s="1"/>
  <c r="W152" i="92" a="1"/>
  <c r="W152" i="92"/>
  <c r="X152" i="92" a="1"/>
  <c r="X152" i="92" s="1"/>
  <c r="Z152" i="92" a="1"/>
  <c r="Z152" i="92" s="1"/>
  <c r="AA152" i="92" a="1"/>
  <c r="AA152" i="92" s="1"/>
  <c r="B153" i="92" a="1"/>
  <c r="B153" i="92"/>
  <c r="C153" i="92" a="1"/>
  <c r="C153" i="92"/>
  <c r="E153" i="92" a="1"/>
  <c r="E153" i="92" s="1"/>
  <c r="F153" i="92" a="1"/>
  <c r="F153" i="92" s="1"/>
  <c r="W153" i="92" a="1"/>
  <c r="W153" i="92" s="1"/>
  <c r="X153" i="92" a="1"/>
  <c r="X153" i="92"/>
  <c r="Z153" i="92" a="1"/>
  <c r="Z153" i="92"/>
  <c r="AA153" i="92" a="1"/>
  <c r="AA153" i="92"/>
  <c r="B154" i="92" a="1"/>
  <c r="B154" i="92" s="1"/>
  <c r="D154" i="92" s="1"/>
  <c r="C154" i="92" a="1"/>
  <c r="C154" i="92"/>
  <c r="E154" i="92" a="1"/>
  <c r="E154" i="92" s="1"/>
  <c r="F154" i="92" a="1"/>
  <c r="F154" i="92"/>
  <c r="W154" i="92" a="1"/>
  <c r="W154" i="92" s="1"/>
  <c r="X154" i="92" a="1"/>
  <c r="X154" i="92" s="1"/>
  <c r="Y154" i="92" s="1"/>
  <c r="Z154" i="92" a="1"/>
  <c r="Z154" i="92" s="1"/>
  <c r="AA154" i="92" a="1"/>
  <c r="AA154" i="92"/>
  <c r="B155" i="92" a="1"/>
  <c r="B155" i="92" s="1"/>
  <c r="C155" i="92" a="1"/>
  <c r="C155" i="92" s="1"/>
  <c r="E155" i="92" a="1"/>
  <c r="E155" i="92" s="1"/>
  <c r="F155" i="92" a="1"/>
  <c r="F155" i="92" s="1"/>
  <c r="W155" i="92" a="1"/>
  <c r="W155" i="92"/>
  <c r="X155" i="92" a="1"/>
  <c r="X155" i="92" s="1"/>
  <c r="Y155" i="92" s="1"/>
  <c r="Z155" i="92" a="1"/>
  <c r="Z155" i="92"/>
  <c r="AB155" i="92" s="1"/>
  <c r="AA155" i="92" a="1"/>
  <c r="AA155" i="92" s="1"/>
  <c r="B156" i="92" a="1"/>
  <c r="B156" i="92" s="1"/>
  <c r="C156" i="92" a="1"/>
  <c r="C156" i="92" s="1"/>
  <c r="E156" i="92" a="1"/>
  <c r="E156" i="92" s="1"/>
  <c r="F156" i="92" a="1"/>
  <c r="F156" i="92" s="1"/>
  <c r="W156" i="92" a="1"/>
  <c r="W156" i="92" s="1"/>
  <c r="X156" i="92" a="1"/>
  <c r="X156" i="92" s="1"/>
  <c r="Z156" i="92" a="1"/>
  <c r="Z156" i="92" s="1"/>
  <c r="AA156" i="92" a="1"/>
  <c r="AA156" i="92" s="1"/>
  <c r="B157" i="92" a="1"/>
  <c r="B157" i="92" s="1"/>
  <c r="C157" i="92" a="1"/>
  <c r="C157" i="92"/>
  <c r="E157" i="92" a="1"/>
  <c r="E157" i="92" s="1"/>
  <c r="F157" i="92" a="1"/>
  <c r="F157" i="92" s="1"/>
  <c r="W157" i="92" a="1"/>
  <c r="W157" i="92" s="1"/>
  <c r="X157" i="92" a="1"/>
  <c r="X157" i="92"/>
  <c r="Z157" i="92" a="1"/>
  <c r="Z157" i="92" s="1"/>
  <c r="AB157" i="92" s="1"/>
  <c r="AA157" i="92" a="1"/>
  <c r="AA157" i="92" s="1"/>
  <c r="B158" i="92" a="1"/>
  <c r="B158" i="92" s="1"/>
  <c r="C158" i="92" a="1"/>
  <c r="C158" i="92" s="1"/>
  <c r="E158" i="92" a="1"/>
  <c r="E158" i="92" s="1"/>
  <c r="F158" i="92" a="1"/>
  <c r="F158" i="92" s="1"/>
  <c r="W158" i="92" a="1"/>
  <c r="W158" i="92"/>
  <c r="X158" i="92" a="1"/>
  <c r="X158" i="92" s="1"/>
  <c r="Y158" i="92" s="1"/>
  <c r="Z158" i="92" a="1"/>
  <c r="Z158" i="92"/>
  <c r="AA158" i="92" a="1"/>
  <c r="AA158" i="92" s="1"/>
  <c r="B159" i="92" a="1"/>
  <c r="B159" i="92" s="1"/>
  <c r="C159" i="92" a="1"/>
  <c r="C159" i="92" s="1"/>
  <c r="E159" i="92" a="1"/>
  <c r="E159" i="92" s="1"/>
  <c r="F159" i="92" a="1"/>
  <c r="F159" i="92" s="1"/>
  <c r="W159" i="92" a="1"/>
  <c r="W159" i="92"/>
  <c r="X159" i="92" a="1"/>
  <c r="X159" i="92" s="1"/>
  <c r="Z159" i="92" a="1"/>
  <c r="Z159" i="92" s="1"/>
  <c r="AB159" i="92" s="1"/>
  <c r="AA159" i="92" a="1"/>
  <c r="AA159" i="92" s="1"/>
  <c r="B160" i="92" a="1"/>
  <c r="B160" i="92"/>
  <c r="C160" i="92" a="1"/>
  <c r="C160" i="92" s="1"/>
  <c r="E160" i="92" a="1"/>
  <c r="E160" i="92"/>
  <c r="F160" i="92" a="1"/>
  <c r="F160" i="92" s="1"/>
  <c r="W160" i="92" a="1"/>
  <c r="W160" i="92" s="1"/>
  <c r="X160" i="92" a="1"/>
  <c r="X160" i="92" s="1"/>
  <c r="Z160" i="92" a="1"/>
  <c r="Z160" i="92" s="1"/>
  <c r="AA160" i="92" a="1"/>
  <c r="AA160" i="92" s="1"/>
  <c r="B161" i="92" a="1"/>
  <c r="B161" i="92" s="1"/>
  <c r="C161" i="92" a="1"/>
  <c r="C161" i="92" s="1"/>
  <c r="E161" i="92" a="1"/>
  <c r="E161" i="92" s="1"/>
  <c r="F161" i="92" a="1"/>
  <c r="F161" i="92" s="1"/>
  <c r="W161" i="92" a="1"/>
  <c r="W161" i="92"/>
  <c r="X161" i="92" a="1"/>
  <c r="X161" i="92" s="1"/>
  <c r="Z161" i="92" a="1"/>
  <c r="Z161" i="92" s="1"/>
  <c r="AA161" i="92" a="1"/>
  <c r="AA161" i="92" s="1"/>
  <c r="B162" i="92" a="1"/>
  <c r="B162" i="92" s="1"/>
  <c r="D162" i="92" s="1"/>
  <c r="C162" i="92" a="1"/>
  <c r="C162" i="92" s="1"/>
  <c r="E162" i="92" a="1"/>
  <c r="E162" i="92"/>
  <c r="F162" i="92" a="1"/>
  <c r="F162" i="92" s="1"/>
  <c r="W162" i="92" a="1"/>
  <c r="W162" i="92" s="1"/>
  <c r="X162" i="92" a="1"/>
  <c r="X162" i="92" s="1"/>
  <c r="Z162" i="92" a="1"/>
  <c r="Z162" i="92" s="1"/>
  <c r="AA162" i="92" a="1"/>
  <c r="AA162" i="92" s="1"/>
  <c r="AB162" i="92" s="1"/>
  <c r="B163" i="92" a="1"/>
  <c r="B163" i="92"/>
  <c r="C163" i="92" a="1"/>
  <c r="C163" i="92" s="1"/>
  <c r="E163" i="92" a="1"/>
  <c r="E163" i="92" s="1"/>
  <c r="F163" i="92" a="1"/>
  <c r="F163" i="92" s="1"/>
  <c r="W163" i="92" a="1"/>
  <c r="W163" i="92"/>
  <c r="X163" i="92" a="1"/>
  <c r="X163" i="92" s="1"/>
  <c r="Z163" i="92" a="1"/>
  <c r="Z163" i="92" s="1"/>
  <c r="AA163" i="92" a="1"/>
  <c r="AA163" i="92" s="1"/>
  <c r="B164" i="92" a="1"/>
  <c r="B164" i="92" s="1"/>
  <c r="C164" i="92" a="1"/>
  <c r="C164" i="92" s="1"/>
  <c r="E164" i="92" a="1"/>
  <c r="E164" i="92"/>
  <c r="G164" i="92" s="1"/>
  <c r="F164" i="92" a="1"/>
  <c r="F164" i="92" s="1"/>
  <c r="W164" i="92" a="1"/>
  <c r="W164" i="92" s="1"/>
  <c r="Y164" i="92" s="1"/>
  <c r="X164" i="92" a="1"/>
  <c r="X164" i="92" s="1"/>
  <c r="Z164" i="92" a="1"/>
  <c r="Z164" i="92" s="1"/>
  <c r="AA164" i="92" a="1"/>
  <c r="AA164" i="92" s="1"/>
  <c r="B165" i="92" a="1"/>
  <c r="B165" i="92" s="1"/>
  <c r="C165" i="92" a="1"/>
  <c r="C165" i="92" s="1"/>
  <c r="E165" i="92" a="1"/>
  <c r="E165" i="92"/>
  <c r="G165" i="92" s="1"/>
  <c r="F165" i="92" a="1"/>
  <c r="F165" i="92" s="1"/>
  <c r="W165" i="92" a="1"/>
  <c r="W165" i="92" s="1"/>
  <c r="X165" i="92" a="1"/>
  <c r="X165" i="92" s="1"/>
  <c r="Z165" i="92" a="1"/>
  <c r="Z165" i="92" s="1"/>
  <c r="AA165" i="92" a="1"/>
  <c r="AA165" i="92" s="1"/>
  <c r="B166" i="92" a="1"/>
  <c r="B166" i="92" s="1"/>
  <c r="C166" i="92" a="1"/>
  <c r="C166" i="92" s="1"/>
  <c r="E166" i="92" a="1"/>
  <c r="E166" i="92" s="1"/>
  <c r="F166" i="92" a="1"/>
  <c r="F166" i="92" s="1"/>
  <c r="W166" i="92" a="1"/>
  <c r="W166" i="92"/>
  <c r="X166" i="92" a="1"/>
  <c r="X166" i="92" s="1"/>
  <c r="Z166" i="92" a="1"/>
  <c r="Z166" i="92" s="1"/>
  <c r="AA166" i="92" a="1"/>
  <c r="AA166" i="92" s="1"/>
  <c r="B167" i="92" a="1"/>
  <c r="B167" i="92" s="1"/>
  <c r="C167" i="92" a="1"/>
  <c r="C167" i="92" s="1"/>
  <c r="D167" i="92" s="1"/>
  <c r="E167" i="92" a="1"/>
  <c r="E167" i="92"/>
  <c r="F167" i="92" a="1"/>
  <c r="F167" i="92" s="1"/>
  <c r="W167" i="92" a="1"/>
  <c r="W167" i="92" s="1"/>
  <c r="X167" i="92" a="1"/>
  <c r="X167" i="92" s="1"/>
  <c r="Z167" i="92" a="1"/>
  <c r="Z167" i="92" s="1"/>
  <c r="AA167" i="92" a="1"/>
  <c r="AA167" i="92" s="1"/>
  <c r="B168" i="92" a="1"/>
  <c r="B168" i="92"/>
  <c r="C168" i="92" a="1"/>
  <c r="C168" i="92" s="1"/>
  <c r="E168" i="92" a="1"/>
  <c r="E168" i="92" s="1"/>
  <c r="G168" i="92" s="1"/>
  <c r="F168" i="92" a="1"/>
  <c r="F168" i="92" s="1"/>
  <c r="W168" i="92" a="1"/>
  <c r="W168" i="92"/>
  <c r="X168" i="92" a="1"/>
  <c r="X168" i="92" s="1"/>
  <c r="Z168" i="92" a="1"/>
  <c r="Z168" i="92" s="1"/>
  <c r="AA168" i="92" a="1"/>
  <c r="AA168" i="92" s="1"/>
  <c r="B169" i="92" a="1"/>
  <c r="B169" i="92" s="1"/>
  <c r="C169" i="92" a="1"/>
  <c r="C169" i="92" s="1"/>
  <c r="E169" i="92" a="1"/>
  <c r="E169" i="92" s="1"/>
  <c r="F169" i="92" a="1"/>
  <c r="F169" i="92" s="1"/>
  <c r="W169" i="92" a="1"/>
  <c r="W169" i="92"/>
  <c r="X169" i="92" a="1"/>
  <c r="X169" i="92" s="1"/>
  <c r="Z169" i="92" a="1"/>
  <c r="Z169" i="92" s="1"/>
  <c r="AA169" i="92" a="1"/>
  <c r="AA169" i="92"/>
  <c r="B170" i="92" a="1"/>
  <c r="B170" i="92" s="1"/>
  <c r="C170" i="92" a="1"/>
  <c r="C170" i="92"/>
  <c r="E170" i="92" a="1"/>
  <c r="E170" i="92" s="1"/>
  <c r="G170" i="92" s="1"/>
  <c r="F170" i="92" a="1"/>
  <c r="F170" i="92" s="1"/>
  <c r="W170" i="92" a="1"/>
  <c r="W170" i="92"/>
  <c r="X170" i="92" a="1"/>
  <c r="X170" i="92"/>
  <c r="Z170" i="92" a="1"/>
  <c r="Z170" i="92" s="1"/>
  <c r="AA170" i="92" a="1"/>
  <c r="AA170" i="92" s="1"/>
  <c r="B171" i="92" a="1"/>
  <c r="B171" i="92" s="1"/>
  <c r="C171" i="92" a="1"/>
  <c r="C171" i="92"/>
  <c r="E171" i="92" a="1"/>
  <c r="E171" i="92" s="1"/>
  <c r="F171" i="92" a="1"/>
  <c r="F171" i="92"/>
  <c r="G171" i="92" s="1"/>
  <c r="W171" i="92" a="1"/>
  <c r="W171" i="92" s="1"/>
  <c r="X171" i="92" a="1"/>
  <c r="X171" i="92" s="1"/>
  <c r="Z171" i="92" a="1"/>
  <c r="Z171" i="92"/>
  <c r="AA171" i="92" a="1"/>
  <c r="AA171" i="92"/>
  <c r="B172" i="92" a="1"/>
  <c r="B172" i="92"/>
  <c r="C172" i="92" a="1"/>
  <c r="C172" i="92" s="1"/>
  <c r="E172" i="92" a="1"/>
  <c r="E172" i="92" s="1"/>
  <c r="F172" i="92" a="1"/>
  <c r="F172" i="92" s="1"/>
  <c r="G172" i="92" s="1"/>
  <c r="W172" i="92" a="1"/>
  <c r="W172" i="92"/>
  <c r="X172" i="92" a="1"/>
  <c r="X172" i="92" s="1"/>
  <c r="Z172" i="92" a="1"/>
  <c r="Z172" i="92" s="1"/>
  <c r="AA172" i="92" a="1"/>
  <c r="AA172" i="92" s="1"/>
  <c r="B173" i="92" a="1"/>
  <c r="B173" i="92"/>
  <c r="D173" i="92" s="1"/>
  <c r="C173" i="92" a="1"/>
  <c r="C173" i="92" s="1"/>
  <c r="E173" i="92" a="1"/>
  <c r="E173" i="92" s="1"/>
  <c r="F173" i="92" a="1"/>
  <c r="F173" i="92" s="1"/>
  <c r="W173" i="92" a="1"/>
  <c r="W173" i="92" s="1"/>
  <c r="X173" i="92" a="1"/>
  <c r="X173" i="92" s="1"/>
  <c r="Z173" i="92" a="1"/>
  <c r="Z173" i="92"/>
  <c r="AA173" i="92" a="1"/>
  <c r="AA173" i="92"/>
  <c r="B174" i="92" a="1"/>
  <c r="B174" i="92" s="1"/>
  <c r="C174" i="92" a="1"/>
  <c r="C174" i="92" s="1"/>
  <c r="E174" i="92" a="1"/>
  <c r="E174" i="92" s="1"/>
  <c r="F174" i="92" a="1"/>
  <c r="F174" i="92" s="1"/>
  <c r="W174" i="92" a="1"/>
  <c r="W174" i="92" s="1"/>
  <c r="X174" i="92" a="1"/>
  <c r="X174" i="92" s="1"/>
  <c r="Z174" i="92" a="1"/>
  <c r="Z174" i="92"/>
  <c r="AA174" i="92" a="1"/>
  <c r="AA174" i="92" s="1"/>
  <c r="B175" i="92" a="1"/>
  <c r="B175" i="92" s="1"/>
  <c r="C175" i="92" a="1"/>
  <c r="C175" i="92" s="1"/>
  <c r="E175" i="92" a="1"/>
  <c r="E175" i="92" s="1"/>
  <c r="F175" i="92" a="1"/>
  <c r="F175" i="92"/>
  <c r="W175" i="92" a="1"/>
  <c r="W175" i="92"/>
  <c r="X175" i="92" a="1"/>
  <c r="X175" i="92" s="1"/>
  <c r="Y175" i="92" s="1"/>
  <c r="Z175" i="92" a="1"/>
  <c r="Z175" i="92" s="1"/>
  <c r="AA175" i="92" a="1"/>
  <c r="AA175" i="92" s="1"/>
  <c r="B176" i="92" a="1"/>
  <c r="B176" i="92" s="1"/>
  <c r="C176" i="92" a="1"/>
  <c r="C176" i="92" s="1"/>
  <c r="E176" i="92" a="1"/>
  <c r="E176" i="92" s="1"/>
  <c r="F176" i="92" a="1"/>
  <c r="F176" i="92" s="1"/>
  <c r="W176" i="92" a="1"/>
  <c r="W176" i="92" s="1"/>
  <c r="X176" i="92" a="1"/>
  <c r="X176" i="92"/>
  <c r="Z176" i="92" a="1"/>
  <c r="Z176" i="92"/>
  <c r="AA176" i="92" a="1"/>
  <c r="AA176" i="92" s="1"/>
  <c r="B177" i="92" a="1"/>
  <c r="B177" i="92" s="1"/>
  <c r="C177" i="92" a="1"/>
  <c r="C177" i="92" s="1"/>
  <c r="E177" i="92" a="1"/>
  <c r="E177" i="92" s="1"/>
  <c r="F177" i="92" a="1"/>
  <c r="F177" i="92"/>
  <c r="W177" i="92" a="1"/>
  <c r="W177" i="92" s="1"/>
  <c r="X177" i="92" a="1"/>
  <c r="X177" i="92" s="1"/>
  <c r="Z177" i="92" a="1"/>
  <c r="Z177" i="92"/>
  <c r="AA177" i="92" a="1"/>
  <c r="AA177" i="92"/>
  <c r="B178" i="92" a="1"/>
  <c r="B178" i="92" s="1"/>
  <c r="C178" i="92" a="1"/>
  <c r="C178" i="92" s="1"/>
  <c r="E178" i="92" a="1"/>
  <c r="E178" i="92" s="1"/>
  <c r="F178" i="92" a="1"/>
  <c r="F178" i="92"/>
  <c r="W178" i="92" a="1"/>
  <c r="W178" i="92" s="1"/>
  <c r="X178" i="92" a="1"/>
  <c r="X178" i="92"/>
  <c r="Y178" i="92" s="1"/>
  <c r="Z178" i="92" a="1"/>
  <c r="Z178" i="92" s="1"/>
  <c r="AA178" i="92" a="1"/>
  <c r="AA178" i="92" s="1"/>
  <c r="B179" i="92" a="1"/>
  <c r="B179" i="92" s="1"/>
  <c r="C179" i="92" a="1"/>
  <c r="C179" i="92" s="1"/>
  <c r="E179" i="92" a="1"/>
  <c r="E179" i="92" s="1"/>
  <c r="F179" i="92" a="1"/>
  <c r="F179" i="92" s="1"/>
  <c r="W179" i="92" a="1"/>
  <c r="W179" i="92" s="1"/>
  <c r="X179" i="92" a="1"/>
  <c r="X179" i="92" s="1"/>
  <c r="Z179" i="92" a="1"/>
  <c r="Z179" i="92" s="1"/>
  <c r="AA179" i="92" a="1"/>
  <c r="AA179" i="92" s="1"/>
  <c r="B180" i="92" a="1"/>
  <c r="B180" i="92"/>
  <c r="C180" i="92" a="1"/>
  <c r="C180" i="92" s="1"/>
  <c r="E180" i="92" a="1"/>
  <c r="E180" i="92"/>
  <c r="F180" i="92" a="1"/>
  <c r="F180" i="92" s="1"/>
  <c r="W180" i="92" a="1"/>
  <c r="W180" i="92"/>
  <c r="X180" i="92" a="1"/>
  <c r="X180" i="92" s="1"/>
  <c r="Z180" i="92" a="1"/>
  <c r="Z180" i="92" s="1"/>
  <c r="AA180" i="92" a="1"/>
  <c r="AA180" i="92" s="1"/>
  <c r="B181" i="92" a="1"/>
  <c r="B181" i="92" s="1"/>
  <c r="C181" i="92" a="1"/>
  <c r="C181" i="92" s="1"/>
  <c r="E181" i="92" a="1"/>
  <c r="E181" i="92" s="1"/>
  <c r="F181" i="92" a="1"/>
  <c r="F181" i="92" s="1"/>
  <c r="W181" i="92" a="1"/>
  <c r="W181" i="92"/>
  <c r="X181" i="92" a="1"/>
  <c r="X181" i="92" s="1"/>
  <c r="Z181" i="92" a="1"/>
  <c r="Z181" i="92" s="1"/>
  <c r="AA181" i="92" a="1"/>
  <c r="AA181" i="92" s="1"/>
  <c r="B182" i="92" a="1"/>
  <c r="B182" i="92" s="1"/>
  <c r="C182" i="92" a="1"/>
  <c r="C182" i="92" s="1"/>
  <c r="E182" i="92" a="1"/>
  <c r="E182" i="92" s="1"/>
  <c r="F182" i="92" a="1"/>
  <c r="F182" i="92" s="1"/>
  <c r="W182" i="92" a="1"/>
  <c r="W182" i="92" s="1"/>
  <c r="X182" i="92" a="1"/>
  <c r="X182" i="92" s="1"/>
  <c r="Z182" i="92" a="1"/>
  <c r="Z182" i="92" s="1"/>
  <c r="AA182" i="92" a="1"/>
  <c r="AA182" i="92" s="1"/>
  <c r="B183" i="92" a="1"/>
  <c r="B183" i="92" s="1"/>
  <c r="C183" i="92" a="1"/>
  <c r="C183" i="92" s="1"/>
  <c r="D183" i="92" s="1"/>
  <c r="E183" i="92" a="1"/>
  <c r="E183" i="92"/>
  <c r="F183" i="92" a="1"/>
  <c r="F183" i="92" s="1"/>
  <c r="W183" i="92" a="1"/>
  <c r="W183" i="92" s="1"/>
  <c r="X183" i="92" a="1"/>
  <c r="X183" i="92" s="1"/>
  <c r="Z183" i="92" a="1"/>
  <c r="Z183" i="92"/>
  <c r="AB183" i="92" s="1"/>
  <c r="AA183" i="92" a="1"/>
  <c r="AA183" i="92" s="1"/>
  <c r="B184" i="92" a="1"/>
  <c r="B184" i="92" s="1"/>
  <c r="C184" i="92" a="1"/>
  <c r="C184" i="92" s="1"/>
  <c r="E184" i="92" a="1"/>
  <c r="E184" i="92" s="1"/>
  <c r="F184" i="92" a="1"/>
  <c r="F184" i="92" s="1"/>
  <c r="W184" i="92" a="1"/>
  <c r="W184" i="92"/>
  <c r="X184" i="92" a="1"/>
  <c r="X184" i="92" s="1"/>
  <c r="Z184" i="92" a="1"/>
  <c r="Z184" i="92" s="1"/>
  <c r="AA184" i="92" a="1"/>
  <c r="AA184" i="92" s="1"/>
  <c r="B185" i="92" a="1"/>
  <c r="B185" i="92" s="1"/>
  <c r="C185" i="92" a="1"/>
  <c r="C185" i="92" s="1"/>
  <c r="E185" i="92" a="1"/>
  <c r="E185" i="92" s="1"/>
  <c r="F185" i="92" a="1"/>
  <c r="F185" i="92" s="1"/>
  <c r="W185" i="92" a="1"/>
  <c r="W185" i="92" s="1"/>
  <c r="X185" i="92" a="1"/>
  <c r="X185" i="92" s="1"/>
  <c r="Z185" i="92" a="1"/>
  <c r="Z185" i="92" s="1"/>
  <c r="AA185" i="92" a="1"/>
  <c r="AA185" i="92" s="1"/>
  <c r="AB185" i="92"/>
  <c r="B186" i="92" a="1"/>
  <c r="B186" i="92" s="1"/>
  <c r="C186" i="92" a="1"/>
  <c r="C186" i="92" s="1"/>
  <c r="E186" i="92" a="1"/>
  <c r="E186" i="92" s="1"/>
  <c r="F186" i="92" a="1"/>
  <c r="F186" i="92"/>
  <c r="W186" i="92" a="1"/>
  <c r="W186" i="92" s="1"/>
  <c r="X186" i="92" a="1"/>
  <c r="X186" i="92" s="1"/>
  <c r="Z186" i="92" a="1"/>
  <c r="Z186" i="92" s="1"/>
  <c r="AA186" i="92" a="1"/>
  <c r="AA186" i="92" s="1"/>
  <c r="B187" i="92" a="1"/>
  <c r="B187" i="92" s="1"/>
  <c r="C187" i="92" a="1"/>
  <c r="C187" i="92"/>
  <c r="E187" i="92" a="1"/>
  <c r="E187" i="92" s="1"/>
  <c r="F187" i="92" a="1"/>
  <c r="F187" i="92"/>
  <c r="G187" i="92"/>
  <c r="W187" i="92" a="1"/>
  <c r="W187" i="92" s="1"/>
  <c r="X187" i="92" a="1"/>
  <c r="X187" i="92" s="1"/>
  <c r="Z187" i="92" a="1"/>
  <c r="Z187" i="92" s="1"/>
  <c r="AA187" i="92" a="1"/>
  <c r="AA187" i="92" s="1"/>
  <c r="B188" i="92" a="1"/>
  <c r="B188" i="92" s="1"/>
  <c r="D188" i="92" s="1"/>
  <c r="C188" i="92" a="1"/>
  <c r="C188" i="92" s="1"/>
  <c r="E188" i="92" a="1"/>
  <c r="E188" i="92"/>
  <c r="F188" i="92" a="1"/>
  <c r="F188" i="92" s="1"/>
  <c r="G188" i="92" s="1"/>
  <c r="W188" i="92" a="1"/>
  <c r="W188" i="92"/>
  <c r="X188" i="92" a="1"/>
  <c r="X188" i="92" s="1"/>
  <c r="Z188" i="92" a="1"/>
  <c r="Z188" i="92" s="1"/>
  <c r="AA188" i="92" a="1"/>
  <c r="AA188" i="92" s="1"/>
  <c r="B189" i="92" a="1"/>
  <c r="B189" i="92" s="1"/>
  <c r="C189" i="92" a="1"/>
  <c r="C189" i="92" s="1"/>
  <c r="E189" i="92" a="1"/>
  <c r="E189" i="92" s="1"/>
  <c r="F189" i="92" a="1"/>
  <c r="F189" i="92" s="1"/>
  <c r="G189" i="92" s="1"/>
  <c r="W189" i="92" a="1"/>
  <c r="W189" i="92" s="1"/>
  <c r="X189" i="92" a="1"/>
  <c r="X189" i="92" s="1"/>
  <c r="Z189" i="92" a="1"/>
  <c r="Z189" i="92" s="1"/>
  <c r="AA189" i="92" a="1"/>
  <c r="AA189" i="92" s="1"/>
  <c r="B190" i="92" a="1"/>
  <c r="B190" i="92" s="1"/>
  <c r="C190" i="92" a="1"/>
  <c r="C190" i="92" s="1"/>
  <c r="E190" i="92" a="1"/>
  <c r="E190" i="92" s="1"/>
  <c r="F190" i="92" a="1"/>
  <c r="F190" i="92" s="1"/>
  <c r="W190" i="92" a="1"/>
  <c r="W190" i="92" s="1"/>
  <c r="X190" i="92" a="1"/>
  <c r="X190" i="92" s="1"/>
  <c r="Z190" i="92" a="1"/>
  <c r="Z190" i="92" s="1"/>
  <c r="AA190" i="92" a="1"/>
  <c r="AA190" i="92" s="1"/>
  <c r="AB190" i="92" s="1"/>
  <c r="B191" i="92" a="1"/>
  <c r="B191" i="92" s="1"/>
  <c r="D191" i="92" s="1"/>
  <c r="C191" i="92" a="1"/>
  <c r="C191" i="92"/>
  <c r="E191" i="92" a="1"/>
  <c r="E191" i="92"/>
  <c r="F191" i="92" a="1"/>
  <c r="F191" i="92" s="1"/>
  <c r="W191" i="92" a="1"/>
  <c r="W191" i="92" s="1"/>
  <c r="X191" i="92" a="1"/>
  <c r="X191" i="92" s="1"/>
  <c r="Y191" i="92" s="1"/>
  <c r="Z191" i="92" a="1"/>
  <c r="Z191" i="92"/>
  <c r="AA191" i="92" a="1"/>
  <c r="AA191" i="92" s="1"/>
  <c r="B192" i="92" a="1"/>
  <c r="B192" i="92" s="1"/>
  <c r="C192" i="92" a="1"/>
  <c r="C192" i="92" s="1"/>
  <c r="E192" i="92" a="1"/>
  <c r="E192" i="92"/>
  <c r="F192" i="92" a="1"/>
  <c r="F192" i="92" s="1"/>
  <c r="W192" i="92" a="1"/>
  <c r="W192" i="92" s="1"/>
  <c r="X192" i="92" a="1"/>
  <c r="X192" i="92" s="1"/>
  <c r="Z192" i="92" a="1"/>
  <c r="Z192" i="92" s="1"/>
  <c r="AA192" i="92" a="1"/>
  <c r="AA192" i="92" s="1"/>
  <c r="AB192" i="92" s="1"/>
  <c r="B193" i="92" a="1"/>
  <c r="B193" i="92"/>
  <c r="C193" i="92" a="1"/>
  <c r="C193" i="92" s="1"/>
  <c r="D193" i="92" s="1"/>
  <c r="E193" i="92" a="1"/>
  <c r="E193" i="92" s="1"/>
  <c r="F193" i="92" a="1"/>
  <c r="F193" i="92" s="1"/>
  <c r="W193" i="92" a="1"/>
  <c r="W193" i="92"/>
  <c r="X193" i="92" a="1"/>
  <c r="X193" i="92" s="1"/>
  <c r="Z193" i="92" a="1"/>
  <c r="Z193" i="92" s="1"/>
  <c r="AA193" i="92" a="1"/>
  <c r="AA193" i="92" s="1"/>
  <c r="B194" i="92" a="1"/>
  <c r="B194" i="92" s="1"/>
  <c r="D194" i="92" s="1"/>
  <c r="C194" i="92" a="1"/>
  <c r="C194" i="92" s="1"/>
  <c r="E194" i="92" a="1"/>
  <c r="E194" i="92" s="1"/>
  <c r="F194" i="92" a="1"/>
  <c r="F194" i="92"/>
  <c r="W194" i="92" a="1"/>
  <c r="W194" i="92"/>
  <c r="X194" i="92" a="1"/>
  <c r="X194" i="92" s="1"/>
  <c r="Y194" i="92" s="1"/>
  <c r="Z194" i="92" a="1"/>
  <c r="Z194" i="92" s="1"/>
  <c r="AA194" i="92" a="1"/>
  <c r="AA194" i="92" s="1"/>
  <c r="B195" i="92" a="1"/>
  <c r="B195" i="92"/>
  <c r="C195" i="92" a="1"/>
  <c r="C195" i="92" s="1"/>
  <c r="E195" i="92" a="1"/>
  <c r="E195" i="92" s="1"/>
  <c r="F195" i="92" a="1"/>
  <c r="F195" i="92"/>
  <c r="W195" i="92" a="1"/>
  <c r="W195" i="92" s="1"/>
  <c r="X195" i="92" a="1"/>
  <c r="X195" i="92"/>
  <c r="Z195" i="92" a="1"/>
  <c r="Z195" i="92" s="1"/>
  <c r="AB195" i="92" s="1"/>
  <c r="AA195" i="92" a="1"/>
  <c r="AA195" i="92" s="1"/>
  <c r="B196" i="92" a="1"/>
  <c r="B196" i="92"/>
  <c r="D196" i="92" s="1"/>
  <c r="C196" i="92" a="1"/>
  <c r="C196" i="92" s="1"/>
  <c r="E196" i="92" a="1"/>
  <c r="E196" i="92" s="1"/>
  <c r="F196" i="92" a="1"/>
  <c r="F196" i="92" s="1"/>
  <c r="W196" i="92" a="1"/>
  <c r="W196" i="92" s="1"/>
  <c r="X196" i="92" a="1"/>
  <c r="X196" i="92" s="1"/>
  <c r="Z196" i="92" a="1"/>
  <c r="Z196" i="92" s="1"/>
  <c r="AA196" i="92" a="1"/>
  <c r="AA196" i="92" s="1"/>
  <c r="B197" i="92" a="1"/>
  <c r="B197" i="92" s="1"/>
  <c r="C197" i="92" a="1"/>
  <c r="C197" i="92" s="1"/>
  <c r="E197" i="92" a="1"/>
  <c r="E197" i="92" s="1"/>
  <c r="F197" i="92" a="1"/>
  <c r="F197" i="92" s="1"/>
  <c r="W197" i="92" a="1"/>
  <c r="W197" i="92"/>
  <c r="X197" i="92" a="1"/>
  <c r="X197" i="92" s="1"/>
  <c r="Z197" i="92" a="1"/>
  <c r="Z197" i="92" s="1"/>
  <c r="AA197" i="92" a="1"/>
  <c r="AA197" i="92" s="1"/>
  <c r="B198" i="92" a="1"/>
  <c r="B198" i="92" s="1"/>
  <c r="C198" i="92" a="1"/>
  <c r="C198" i="92" s="1"/>
  <c r="E198" i="92" a="1"/>
  <c r="E198" i="92" s="1"/>
  <c r="F198" i="92" a="1"/>
  <c r="F198" i="92" s="1"/>
  <c r="W198" i="92" a="1"/>
  <c r="W198" i="92" s="1"/>
  <c r="X198" i="92" a="1"/>
  <c r="X198" i="92" s="1"/>
  <c r="Z198" i="92" a="1"/>
  <c r="Z198" i="92"/>
  <c r="AA198" i="92" a="1"/>
  <c r="AA198" i="92" s="1"/>
  <c r="AB198" i="92" s="1"/>
  <c r="B199" i="92" a="1"/>
  <c r="B199" i="92" s="1"/>
  <c r="C199" i="92" a="1"/>
  <c r="C199" i="92" s="1"/>
  <c r="E199" i="92" a="1"/>
  <c r="E199" i="92" s="1"/>
  <c r="F199" i="92" a="1"/>
  <c r="F199" i="92" s="1"/>
  <c r="W199" i="92" a="1"/>
  <c r="W199" i="92"/>
  <c r="X199" i="92" a="1"/>
  <c r="X199" i="92" s="1"/>
  <c r="Z199" i="92" a="1"/>
  <c r="Z199" i="92" s="1"/>
  <c r="AA199" i="92" a="1"/>
  <c r="AA199" i="92" s="1"/>
  <c r="AB199" i="92" s="1"/>
  <c r="B200" i="92" a="1"/>
  <c r="B200" i="92"/>
  <c r="D200" i="92" s="1"/>
  <c r="C200" i="92" a="1"/>
  <c r="C200" i="92" s="1"/>
  <c r="E200" i="92" a="1"/>
  <c r="E200" i="92" s="1"/>
  <c r="F200" i="92" a="1"/>
  <c r="F200" i="92" s="1"/>
  <c r="W200" i="92" a="1"/>
  <c r="W200" i="92" s="1"/>
  <c r="X200" i="92" a="1"/>
  <c r="X200" i="92" s="1"/>
  <c r="Z200" i="92" a="1"/>
  <c r="Z200" i="92" s="1"/>
  <c r="AB200" i="92" s="1"/>
  <c r="AA200" i="92" a="1"/>
  <c r="AA200" i="92" s="1"/>
  <c r="B201" i="92" a="1"/>
  <c r="B201" i="92" s="1"/>
  <c r="C201" i="92" a="1"/>
  <c r="C201" i="92" s="1"/>
  <c r="E201" i="92" a="1"/>
  <c r="E201" i="92" s="1"/>
  <c r="F201" i="92" a="1"/>
  <c r="F201" i="92" s="1"/>
  <c r="W201" i="92" a="1"/>
  <c r="W201" i="92" s="1"/>
  <c r="X201" i="92" a="1"/>
  <c r="X201" i="92" s="1"/>
  <c r="Z201" i="92" a="1"/>
  <c r="Z201" i="92" s="1"/>
  <c r="AA201" i="92" a="1"/>
  <c r="AA201" i="92"/>
  <c r="B202" i="92" a="1"/>
  <c r="B202" i="92" s="1"/>
  <c r="C202" i="92" a="1"/>
  <c r="C202" i="92" s="1"/>
  <c r="E202" i="92" a="1"/>
  <c r="E202" i="92" s="1"/>
  <c r="F202" i="92" a="1"/>
  <c r="F202" i="92" s="1"/>
  <c r="W202" i="92" a="1"/>
  <c r="W202" i="92" s="1"/>
  <c r="X202" i="92" a="1"/>
  <c r="X202" i="92" s="1"/>
  <c r="Z202" i="92" a="1"/>
  <c r="Z202" i="92" s="1"/>
  <c r="AA202" i="92" a="1"/>
  <c r="AA202" i="92" s="1"/>
  <c r="B203" i="92" a="1"/>
  <c r="B203" i="92" s="1"/>
  <c r="C203" i="92" a="1"/>
  <c r="C203" i="92"/>
  <c r="E203" i="92" a="1"/>
  <c r="E203" i="92" s="1"/>
  <c r="G203" i="92" s="1"/>
  <c r="F203" i="92" a="1"/>
  <c r="F203" i="92" s="1"/>
  <c r="W203" i="92" a="1"/>
  <c r="W203" i="92" s="1"/>
  <c r="X203" i="92" a="1"/>
  <c r="X203" i="92" s="1"/>
  <c r="Z203" i="92" a="1"/>
  <c r="Z203" i="92"/>
  <c r="AB203" i="92" s="1"/>
  <c r="AA203" i="92" a="1"/>
  <c r="AA203" i="92" s="1"/>
  <c r="B204" i="92" a="1"/>
  <c r="B204" i="92"/>
  <c r="C204" i="92" a="1"/>
  <c r="C204" i="92" s="1"/>
  <c r="E204" i="92" a="1"/>
  <c r="E204" i="92" s="1"/>
  <c r="F204" i="92" a="1"/>
  <c r="F204" i="92" s="1"/>
  <c r="W204" i="92" a="1"/>
  <c r="W204" i="92" s="1"/>
  <c r="X204" i="92" a="1"/>
  <c r="X204" i="92" s="1"/>
  <c r="Z204" i="92" a="1"/>
  <c r="Z204" i="92" s="1"/>
  <c r="AA204" i="92" a="1"/>
  <c r="AA204" i="92" s="1"/>
  <c r="B205" i="92" a="1"/>
  <c r="B205" i="92" s="1"/>
  <c r="C205" i="92" a="1"/>
  <c r="C205" i="92" s="1"/>
  <c r="E205" i="92" a="1"/>
  <c r="E205" i="92" s="1"/>
  <c r="F205" i="92" a="1"/>
  <c r="F205" i="92" s="1"/>
  <c r="W205" i="92" a="1"/>
  <c r="W205" i="92"/>
  <c r="X205" i="92" a="1"/>
  <c r="X205" i="92" s="1"/>
  <c r="Z205" i="92" a="1"/>
  <c r="Z205" i="92" s="1"/>
  <c r="AA205" i="92" a="1"/>
  <c r="AA205" i="92" s="1"/>
  <c r="B206" i="92" a="1"/>
  <c r="B206" i="92" s="1"/>
  <c r="C206" i="92" a="1"/>
  <c r="C206" i="92" s="1"/>
  <c r="E206" i="92" a="1"/>
  <c r="E206" i="92"/>
  <c r="F206" i="92" a="1"/>
  <c r="F206" i="92" s="1"/>
  <c r="W206" i="92" a="1"/>
  <c r="W206" i="92" s="1"/>
  <c r="X206" i="92" a="1"/>
  <c r="X206" i="92"/>
  <c r="Y206" i="92" s="1"/>
  <c r="Z206" i="92" a="1"/>
  <c r="Z206" i="92" s="1"/>
  <c r="AA206" i="92" a="1"/>
  <c r="AA206" i="92"/>
  <c r="B207" i="92" a="1"/>
  <c r="B207" i="92" s="1"/>
  <c r="C207" i="92" a="1"/>
  <c r="C207" i="92" s="1"/>
  <c r="E207" i="92" a="1"/>
  <c r="E207" i="92" s="1"/>
  <c r="F207" i="92" a="1"/>
  <c r="F207" i="92"/>
  <c r="G207" i="92" s="1"/>
  <c r="W207" i="92" a="1"/>
  <c r="W207" i="92"/>
  <c r="X207" i="92" a="1"/>
  <c r="X207" i="92"/>
  <c r="Z207" i="92" a="1"/>
  <c r="Z207" i="92" s="1"/>
  <c r="AA207" i="92" a="1"/>
  <c r="AA207" i="92"/>
  <c r="B208" i="92" a="1"/>
  <c r="B208" i="92" s="1"/>
  <c r="C208" i="92" a="1"/>
  <c r="C208" i="92" s="1"/>
  <c r="E208" i="92" a="1"/>
  <c r="E208" i="92" s="1"/>
  <c r="G208" i="92" s="1"/>
  <c r="F208" i="92" a="1"/>
  <c r="F208" i="92" s="1"/>
  <c r="W208" i="92" a="1"/>
  <c r="W208" i="92" s="1"/>
  <c r="X208" i="92" a="1"/>
  <c r="X208" i="92" s="1"/>
  <c r="Z208" i="92" a="1"/>
  <c r="Z208" i="92" s="1"/>
  <c r="AA208" i="92" a="1"/>
  <c r="AA208" i="92" s="1"/>
  <c r="B209" i="92" a="1"/>
  <c r="B209" i="92" s="1"/>
  <c r="C209" i="92" a="1"/>
  <c r="C209" i="92" s="1"/>
  <c r="D209" i="92" s="1"/>
  <c r="E209" i="92" a="1"/>
  <c r="E209" i="92"/>
  <c r="F209" i="92" a="1"/>
  <c r="F209" i="92" s="1"/>
  <c r="W209" i="92" a="1"/>
  <c r="W209" i="92" s="1"/>
  <c r="X209" i="92" a="1"/>
  <c r="X209" i="92" s="1"/>
  <c r="Z209" i="92" a="1"/>
  <c r="Z209" i="92" s="1"/>
  <c r="AA209" i="92" a="1"/>
  <c r="AA209" i="92" s="1"/>
  <c r="AB209" i="92" s="1"/>
  <c r="B210" i="92" a="1"/>
  <c r="B210" i="92" s="1"/>
  <c r="C210" i="92" a="1"/>
  <c r="C210" i="92" s="1"/>
  <c r="E210" i="92" a="1"/>
  <c r="E210" i="92" s="1"/>
  <c r="F210" i="92" a="1"/>
  <c r="F210" i="92" s="1"/>
  <c r="W210" i="92" a="1"/>
  <c r="W210" i="92"/>
  <c r="X210" i="92" a="1"/>
  <c r="X210" i="92" s="1"/>
  <c r="Z210" i="92" a="1"/>
  <c r="Z210" i="92" s="1"/>
  <c r="AA210" i="92" a="1"/>
  <c r="AA210" i="92"/>
  <c r="B211" i="92" a="1"/>
  <c r="B211" i="92" s="1"/>
  <c r="C211" i="92" a="1"/>
  <c r="C211" i="92" s="1"/>
  <c r="E211" i="92" a="1"/>
  <c r="E211" i="92" s="1"/>
  <c r="F211" i="92" a="1"/>
  <c r="F211" i="92" s="1"/>
  <c r="W211" i="92" a="1"/>
  <c r="W211" i="92"/>
  <c r="X211" i="92" a="1"/>
  <c r="X211" i="92" s="1"/>
  <c r="Z211" i="92" a="1"/>
  <c r="Z211" i="92"/>
  <c r="AA211" i="92" a="1"/>
  <c r="AA211" i="92" s="1"/>
  <c r="B212" i="92" a="1"/>
  <c r="B212" i="92" s="1"/>
  <c r="C212" i="92" a="1"/>
  <c r="C212" i="92" s="1"/>
  <c r="E212" i="92" a="1"/>
  <c r="E212" i="92"/>
  <c r="F212" i="92" a="1"/>
  <c r="F212" i="92" s="1"/>
  <c r="I212" i="92" a="1"/>
  <c r="I212" i="92"/>
  <c r="J212" i="92" a="1"/>
  <c r="J212" i="92" s="1"/>
  <c r="W212" i="92" a="1"/>
  <c r="W212" i="92" s="1"/>
  <c r="X212" i="92" a="1"/>
  <c r="X212" i="92" s="1"/>
  <c r="Z212" i="92" a="1"/>
  <c r="Z212" i="92" s="1"/>
  <c r="AA212" i="92" a="1"/>
  <c r="AA212" i="92" s="1"/>
  <c r="AB212" i="92" s="1"/>
  <c r="B213" i="92" a="1"/>
  <c r="B213" i="92"/>
  <c r="C213" i="92" a="1"/>
  <c r="C213" i="92" s="1"/>
  <c r="E213" i="92" a="1"/>
  <c r="E213" i="92" s="1"/>
  <c r="F213" i="92" a="1"/>
  <c r="F213" i="92" s="1"/>
  <c r="I213" i="92" a="1"/>
  <c r="I213" i="92" s="1"/>
  <c r="J213" i="92" a="1"/>
  <c r="J213" i="92"/>
  <c r="K213" i="92" s="1"/>
  <c r="W213" i="92" a="1"/>
  <c r="W213" i="92" s="1"/>
  <c r="X213" i="92" a="1"/>
  <c r="X213" i="92" s="1"/>
  <c r="Z213" i="92" a="1"/>
  <c r="Z213" i="92"/>
  <c r="AA213" i="92" a="1"/>
  <c r="AA213" i="92" s="1"/>
  <c r="B214" i="92" a="1"/>
  <c r="B214" i="92" s="1"/>
  <c r="C214" i="92" a="1"/>
  <c r="C214" i="92" s="1"/>
  <c r="E214" i="92" a="1"/>
  <c r="E214" i="92"/>
  <c r="F214" i="92" a="1"/>
  <c r="F214" i="92"/>
  <c r="I214" i="92" a="1"/>
  <c r="I214" i="92" s="1"/>
  <c r="J214" i="92" a="1"/>
  <c r="J214" i="92"/>
  <c r="W214" i="92" a="1"/>
  <c r="W214" i="92" s="1"/>
  <c r="Y214" i="92" s="1"/>
  <c r="X214" i="92" a="1"/>
  <c r="X214" i="92"/>
  <c r="Z214" i="92" a="1"/>
  <c r="Z214" i="92" s="1"/>
  <c r="AA214" i="92" a="1"/>
  <c r="AA214" i="92" s="1"/>
  <c r="B215" i="92" a="1"/>
  <c r="B215" i="92" s="1"/>
  <c r="D215" i="92"/>
  <c r="C215" i="92" a="1"/>
  <c r="C215" i="92" s="1"/>
  <c r="E215" i="92" a="1"/>
  <c r="E215" i="92" s="1"/>
  <c r="F215" i="92" a="1"/>
  <c r="F215" i="92" s="1"/>
  <c r="G215" i="92" s="1"/>
  <c r="I215" i="92" a="1"/>
  <c r="I215" i="92" s="1"/>
  <c r="K215" i="92" s="1"/>
  <c r="J215" i="92" a="1"/>
  <c r="J215" i="92" s="1"/>
  <c r="W215" i="92" a="1"/>
  <c r="W215" i="92" s="1"/>
  <c r="X215" i="92" a="1"/>
  <c r="X215" i="92" s="1"/>
  <c r="Z215" i="92" a="1"/>
  <c r="Z215" i="92" s="1"/>
  <c r="AA215" i="92" a="1"/>
  <c r="AA215" i="92" s="1"/>
  <c r="B216" i="92" a="1"/>
  <c r="B216" i="92"/>
  <c r="C216" i="92" a="1"/>
  <c r="C216" i="92" s="1"/>
  <c r="D216" i="92" s="1"/>
  <c r="E216" i="92" a="1"/>
  <c r="E216" i="92" s="1"/>
  <c r="F216" i="92" a="1"/>
  <c r="F216" i="92" s="1"/>
  <c r="G216" i="92"/>
  <c r="I216" i="92" a="1"/>
  <c r="I216" i="92" s="1"/>
  <c r="J216" i="92" a="1"/>
  <c r="J216" i="92" s="1"/>
  <c r="W216" i="92" a="1"/>
  <c r="W216" i="92" s="1"/>
  <c r="X216" i="92" a="1"/>
  <c r="X216" i="92" s="1"/>
  <c r="Z216" i="92" a="1"/>
  <c r="Z216" i="92" s="1"/>
  <c r="AA216" i="92" a="1"/>
  <c r="AA216" i="92" s="1"/>
  <c r="B217" i="92" a="1"/>
  <c r="B217" i="92" s="1"/>
  <c r="C217" i="92" a="1"/>
  <c r="C217" i="92" s="1"/>
  <c r="D217" i="92" s="1"/>
  <c r="E217" i="92" a="1"/>
  <c r="E217" i="92" s="1"/>
  <c r="F217" i="92" a="1"/>
  <c r="F217" i="92" s="1"/>
  <c r="I217" i="92" a="1"/>
  <c r="I217" i="92" s="1"/>
  <c r="J217" i="92" a="1"/>
  <c r="J217" i="92" s="1"/>
  <c r="W217" i="92" a="1"/>
  <c r="W217" i="92"/>
  <c r="X217" i="92" a="1"/>
  <c r="X217" i="92" s="1"/>
  <c r="Z217" i="92" a="1"/>
  <c r="Z217" i="92" s="1"/>
  <c r="AA217" i="92" a="1"/>
  <c r="AA217" i="92"/>
  <c r="B218" i="92" a="1"/>
  <c r="B218" i="92" s="1"/>
  <c r="C218" i="92" a="1"/>
  <c r="C218" i="92" s="1"/>
  <c r="E218" i="92" a="1"/>
  <c r="E218" i="92" s="1"/>
  <c r="F218" i="92" a="1"/>
  <c r="F218" i="92" s="1"/>
  <c r="I218" i="92" a="1"/>
  <c r="I218" i="92" s="1"/>
  <c r="J218" i="92" a="1"/>
  <c r="J218" i="92" s="1"/>
  <c r="W218" i="92" a="1"/>
  <c r="W218" i="92" s="1"/>
  <c r="X218" i="92" a="1"/>
  <c r="X218" i="92"/>
  <c r="Z218" i="92" a="1"/>
  <c r="Z218" i="92" s="1"/>
  <c r="AA218" i="92" a="1"/>
  <c r="AA218" i="92" s="1"/>
  <c r="B219" i="92" a="1"/>
  <c r="B219" i="92" s="1"/>
  <c r="C219" i="92" a="1"/>
  <c r="C219" i="92" s="1"/>
  <c r="E219" i="92" a="1"/>
  <c r="E219" i="92"/>
  <c r="F219" i="92" a="1"/>
  <c r="F219" i="92" s="1"/>
  <c r="I219" i="92" a="1"/>
  <c r="I219" i="92" s="1"/>
  <c r="J219" i="92" a="1"/>
  <c r="J219" i="92"/>
  <c r="K219" i="92" s="1"/>
  <c r="W219" i="92" a="1"/>
  <c r="W219" i="92" s="1"/>
  <c r="X219" i="92" a="1"/>
  <c r="X219" i="92" s="1"/>
  <c r="Z219" i="92" a="1"/>
  <c r="Z219" i="92" s="1"/>
  <c r="AA219" i="92" a="1"/>
  <c r="AA219" i="92"/>
  <c r="AB219" i="92" s="1"/>
  <c r="B220" i="92" a="1"/>
  <c r="B220" i="92" s="1"/>
  <c r="D220" i="92" s="1"/>
  <c r="C220" i="92" a="1"/>
  <c r="C220" i="92" s="1"/>
  <c r="E220" i="92" a="1"/>
  <c r="E220" i="92" s="1"/>
  <c r="F220" i="92" a="1"/>
  <c r="F220" i="92" s="1"/>
  <c r="I220" i="92" a="1"/>
  <c r="I220" i="92" s="1"/>
  <c r="J220" i="92" a="1"/>
  <c r="J220" i="92"/>
  <c r="W220" i="92" a="1"/>
  <c r="W220" i="92" s="1"/>
  <c r="X220" i="92" a="1"/>
  <c r="X220" i="92" s="1"/>
  <c r="Z220" i="92" a="1"/>
  <c r="Z220" i="92" s="1"/>
  <c r="AA220" i="92" a="1"/>
  <c r="AA220" i="92" s="1"/>
  <c r="B221" i="92" a="1"/>
  <c r="B221" i="92" s="1"/>
  <c r="C221" i="92" a="1"/>
  <c r="C221" i="92" s="1"/>
  <c r="E221" i="92" a="1"/>
  <c r="E221" i="92" s="1"/>
  <c r="F221" i="92" a="1"/>
  <c r="F221" i="92" s="1"/>
  <c r="I221" i="92" a="1"/>
  <c r="I221" i="92" s="1"/>
  <c r="J221" i="92" a="1"/>
  <c r="J221" i="92" s="1"/>
  <c r="W221" i="92" a="1"/>
  <c r="W221" i="92"/>
  <c r="X221" i="92" a="1"/>
  <c r="X221" i="92" s="1"/>
  <c r="Z221" i="92" a="1"/>
  <c r="Z221" i="92" s="1"/>
  <c r="AA221" i="92" a="1"/>
  <c r="AA221" i="92" s="1"/>
  <c r="B222" i="92" a="1"/>
  <c r="B222" i="92" s="1"/>
  <c r="C222" i="92" a="1"/>
  <c r="C222" i="92" s="1"/>
  <c r="E222" i="92" a="1"/>
  <c r="E222" i="92" s="1"/>
  <c r="G222" i="92" s="1"/>
  <c r="F222" i="92" a="1"/>
  <c r="F222" i="92" s="1"/>
  <c r="I222" i="92" a="1"/>
  <c r="I222" i="92" s="1"/>
  <c r="J222" i="92" a="1"/>
  <c r="J222" i="92"/>
  <c r="W222" i="92" a="1"/>
  <c r="W222" i="92" s="1"/>
  <c r="Y222" i="92" s="1"/>
  <c r="X222" i="92" a="1"/>
  <c r="X222" i="92" s="1"/>
  <c r="Z222" i="92" a="1"/>
  <c r="Z222" i="92"/>
  <c r="AA222" i="92" a="1"/>
  <c r="AA222" i="92" s="1"/>
  <c r="B223" i="92" a="1"/>
  <c r="B223" i="92" s="1"/>
  <c r="C223" i="92" a="1"/>
  <c r="C223" i="92" s="1"/>
  <c r="E223" i="92" a="1"/>
  <c r="E223" i="92" s="1"/>
  <c r="F223" i="92" a="1"/>
  <c r="F223" i="92"/>
  <c r="I223" i="92" a="1"/>
  <c r="I223" i="92" s="1"/>
  <c r="J223" i="92" a="1"/>
  <c r="J223" i="92" s="1"/>
  <c r="W223" i="92" a="1"/>
  <c r="W223" i="92" s="1"/>
  <c r="X223" i="92" a="1"/>
  <c r="X223" i="92" s="1"/>
  <c r="Z223" i="92" a="1"/>
  <c r="Z223" i="92" s="1"/>
  <c r="AA223" i="92" a="1"/>
  <c r="AA223" i="92" s="1"/>
  <c r="B224" i="92" a="1"/>
  <c r="B224" i="92" s="1"/>
  <c r="C224" i="92" a="1"/>
  <c r="C224" i="92" s="1"/>
  <c r="E224" i="92" a="1"/>
  <c r="E224" i="92" s="1"/>
  <c r="F224" i="92" a="1"/>
  <c r="F224" i="92" s="1"/>
  <c r="I224" i="92" a="1"/>
  <c r="I224" i="92" s="1"/>
  <c r="J224" i="92" a="1"/>
  <c r="J224" i="92" s="1"/>
  <c r="W224" i="92" a="1"/>
  <c r="W224" i="92" s="1"/>
  <c r="X224" i="92" a="1"/>
  <c r="X224" i="92" s="1"/>
  <c r="Z224" i="92" a="1"/>
  <c r="Z224" i="92" s="1"/>
  <c r="AA224" i="92" a="1"/>
  <c r="AA224" i="92" s="1"/>
  <c r="B225" i="92" a="1"/>
  <c r="B225" i="92" s="1"/>
  <c r="C225" i="92" a="1"/>
  <c r="C225" i="92" s="1"/>
  <c r="E225" i="92" a="1"/>
  <c r="E225" i="92" s="1"/>
  <c r="F225" i="92" a="1"/>
  <c r="F225" i="92" s="1"/>
  <c r="I225" i="92" a="1"/>
  <c r="I225" i="92" s="1"/>
  <c r="J225" i="92" a="1"/>
  <c r="J225" i="92" s="1"/>
  <c r="W225" i="92" a="1"/>
  <c r="W225" i="92"/>
  <c r="X225" i="92" a="1"/>
  <c r="X225" i="92" s="1"/>
  <c r="Z225" i="92" a="1"/>
  <c r="Z225" i="92" s="1"/>
  <c r="AA225" i="92" a="1"/>
  <c r="AA225" i="92" s="1"/>
  <c r="B226" i="92" a="1"/>
  <c r="B226" i="92" s="1"/>
  <c r="D226" i="92" s="1"/>
  <c r="C226" i="92" a="1"/>
  <c r="C226" i="92" s="1"/>
  <c r="E226" i="92" a="1"/>
  <c r="E226" i="92"/>
  <c r="F226" i="92" a="1"/>
  <c r="F226" i="92" s="1"/>
  <c r="I226" i="92" a="1"/>
  <c r="I226" i="92" s="1"/>
  <c r="J226" i="92" a="1"/>
  <c r="J226" i="92" s="1"/>
  <c r="W226" i="92" a="1"/>
  <c r="W226" i="92" s="1"/>
  <c r="X226" i="92" a="1"/>
  <c r="X226" i="92" s="1"/>
  <c r="Z226" i="92" a="1"/>
  <c r="Z226" i="92" s="1"/>
  <c r="AA226" i="92" a="1"/>
  <c r="AA226" i="92" s="1"/>
  <c r="B227" i="92" a="1"/>
  <c r="B227" i="92" s="1"/>
  <c r="D227" i="92" s="1"/>
  <c r="C227" i="92" a="1"/>
  <c r="C227" i="92" s="1"/>
  <c r="E227" i="92" a="1"/>
  <c r="E227" i="92" s="1"/>
  <c r="F227" i="92" a="1"/>
  <c r="F227" i="92" s="1"/>
  <c r="I227" i="92" a="1"/>
  <c r="I227" i="92" s="1"/>
  <c r="J227" i="92" a="1"/>
  <c r="J227" i="92" s="1"/>
  <c r="W227" i="92" a="1"/>
  <c r="W227" i="92" s="1"/>
  <c r="X227" i="92" a="1"/>
  <c r="X227" i="92" s="1"/>
  <c r="Y227" i="92"/>
  <c r="Z227" i="92" a="1"/>
  <c r="Z227" i="92" s="1"/>
  <c r="AB227" i="92" s="1"/>
  <c r="AA227" i="92" a="1"/>
  <c r="AA227" i="92" s="1"/>
  <c r="B228" i="92" a="1"/>
  <c r="B228" i="92" s="1"/>
  <c r="D228" i="92" s="1"/>
  <c r="C228" i="92" a="1"/>
  <c r="C228" i="92" s="1"/>
  <c r="E228" i="92" a="1"/>
  <c r="E228" i="92" s="1"/>
  <c r="F228" i="92" a="1"/>
  <c r="F228" i="92"/>
  <c r="I228" i="92" a="1"/>
  <c r="I228" i="92" s="1"/>
  <c r="J228" i="92" a="1"/>
  <c r="J228" i="92"/>
  <c r="W228" i="92" a="1"/>
  <c r="W228" i="92" s="1"/>
  <c r="X228" i="92" a="1"/>
  <c r="X228" i="92" s="1"/>
  <c r="Z228" i="92" a="1"/>
  <c r="Z228" i="92" s="1"/>
  <c r="AA228" i="92" a="1"/>
  <c r="AA228" i="92" s="1"/>
  <c r="AB228" i="92" s="1"/>
  <c r="B229" i="92" a="1"/>
  <c r="B229" i="92" s="1"/>
  <c r="C229" i="92" a="1"/>
  <c r="C229" i="92" s="1"/>
  <c r="E229" i="92" a="1"/>
  <c r="E229" i="92" s="1"/>
  <c r="F229" i="92" a="1"/>
  <c r="F229" i="92" s="1"/>
  <c r="I229" i="92" a="1"/>
  <c r="I229" i="92"/>
  <c r="J229" i="92" a="1"/>
  <c r="J229" i="92" s="1"/>
  <c r="W229" i="92" a="1"/>
  <c r="W229" i="92" s="1"/>
  <c r="Y229" i="92" s="1"/>
  <c r="X229" i="92" a="1"/>
  <c r="X229" i="92"/>
  <c r="Z229" i="92" a="1"/>
  <c r="Z229" i="92" s="1"/>
  <c r="AA229" i="92" a="1"/>
  <c r="AA229" i="92" s="1"/>
  <c r="AB229" i="92" s="1"/>
  <c r="B230" i="92" a="1"/>
  <c r="B230" i="92" s="1"/>
  <c r="C230" i="92" a="1"/>
  <c r="C230" i="92" s="1"/>
  <c r="E230" i="92" a="1"/>
  <c r="E230" i="92" s="1"/>
  <c r="F230" i="92" a="1"/>
  <c r="F230" i="92" s="1"/>
  <c r="I230" i="92" a="1"/>
  <c r="I230" i="92"/>
  <c r="J230" i="92" a="1"/>
  <c r="J230" i="92" s="1"/>
  <c r="K230" i="92" s="1"/>
  <c r="W230" i="92" a="1"/>
  <c r="W230" i="92" s="1"/>
  <c r="X230" i="92" a="1"/>
  <c r="X230" i="92" s="1"/>
  <c r="Y230" i="92" s="1"/>
  <c r="Z230" i="92" a="1"/>
  <c r="Z230" i="92" s="1"/>
  <c r="AA230" i="92" a="1"/>
  <c r="AA230" i="92" s="1"/>
  <c r="B231" i="92" a="1"/>
  <c r="B231" i="92" s="1"/>
  <c r="C231" i="92" a="1"/>
  <c r="C231" i="92" s="1"/>
  <c r="E231" i="92" a="1"/>
  <c r="E231" i="92" s="1"/>
  <c r="F231" i="92" a="1"/>
  <c r="F231" i="92" s="1"/>
  <c r="I231" i="92" a="1"/>
  <c r="I231" i="92" s="1"/>
  <c r="J231" i="92" a="1"/>
  <c r="J231" i="92" s="1"/>
  <c r="W231" i="92" a="1"/>
  <c r="W231" i="92"/>
  <c r="X231" i="92" a="1"/>
  <c r="X231" i="92" s="1"/>
  <c r="Z231" i="92" a="1"/>
  <c r="Z231" i="92"/>
  <c r="AA231" i="92" a="1"/>
  <c r="AA231" i="92" s="1"/>
  <c r="B232" i="92" a="1"/>
  <c r="B232" i="92" s="1"/>
  <c r="C232" i="92" a="1"/>
  <c r="C232" i="92" s="1"/>
  <c r="E232" i="92" a="1"/>
  <c r="E232" i="92" s="1"/>
  <c r="F232" i="92" a="1"/>
  <c r="F232" i="92" s="1"/>
  <c r="I232" i="92" a="1"/>
  <c r="I232" i="92"/>
  <c r="K232" i="92" s="1"/>
  <c r="J232" i="92" a="1"/>
  <c r="J232" i="92" s="1"/>
  <c r="W232" i="92" a="1"/>
  <c r="W232" i="92" s="1"/>
  <c r="X232" i="92" a="1"/>
  <c r="X232" i="92" s="1"/>
  <c r="Z232" i="92" a="1"/>
  <c r="Z232" i="92"/>
  <c r="AA232" i="92" a="1"/>
  <c r="AA232" i="92" s="1"/>
  <c r="B233" i="92" a="1"/>
  <c r="B233" i="92"/>
  <c r="D233" i="92" s="1"/>
  <c r="C233" i="92" a="1"/>
  <c r="C233" i="92" s="1"/>
  <c r="E233" i="92" a="1"/>
  <c r="E233" i="92" s="1"/>
  <c r="G233" i="92" s="1"/>
  <c r="F233" i="92" a="1"/>
  <c r="F233" i="92"/>
  <c r="I233" i="92" a="1"/>
  <c r="I233" i="92" s="1"/>
  <c r="J233" i="92" a="1"/>
  <c r="J233" i="92"/>
  <c r="W233" i="92" a="1"/>
  <c r="W233" i="92" s="1"/>
  <c r="Y233" i="92" s="1"/>
  <c r="X233" i="92" a="1"/>
  <c r="X233" i="92"/>
  <c r="Z233" i="92" a="1"/>
  <c r="Z233" i="92" s="1"/>
  <c r="AA233" i="92" a="1"/>
  <c r="AA233" i="92"/>
  <c r="B234" i="92" a="1"/>
  <c r="B234" i="92" s="1"/>
  <c r="C234" i="92" a="1"/>
  <c r="C234" i="92" s="1"/>
  <c r="E234" i="92" a="1"/>
  <c r="E234" i="92" s="1"/>
  <c r="F234" i="92" a="1"/>
  <c r="F234" i="92"/>
  <c r="G234" i="92" s="1"/>
  <c r="I234" i="92" a="1"/>
  <c r="I234" i="92" s="1"/>
  <c r="J234" i="92" a="1"/>
  <c r="J234" i="92" s="1"/>
  <c r="W234" i="92" a="1"/>
  <c r="W234" i="92" s="1"/>
  <c r="X234" i="92" a="1"/>
  <c r="X234" i="92" s="1"/>
  <c r="Z234" i="92" a="1"/>
  <c r="Z234" i="92" s="1"/>
  <c r="AA234" i="92" a="1"/>
  <c r="AA234" i="92"/>
  <c r="B235" i="92" a="1"/>
  <c r="B235" i="92" s="1"/>
  <c r="D235" i="92" s="1"/>
  <c r="C235" i="92" a="1"/>
  <c r="C235" i="92"/>
  <c r="E235" i="92" a="1"/>
  <c r="E235" i="92" s="1"/>
  <c r="F235" i="92" a="1"/>
  <c r="F235" i="92" s="1"/>
  <c r="I235" i="92" a="1"/>
  <c r="I235" i="92"/>
  <c r="K235" i="92" s="1"/>
  <c r="J235" i="92" a="1"/>
  <c r="J235" i="92" s="1"/>
  <c r="W235" i="92" a="1"/>
  <c r="W235" i="92" s="1"/>
  <c r="X235" i="92" a="1"/>
  <c r="X235" i="92" s="1"/>
  <c r="Z235" i="92" a="1"/>
  <c r="Z235" i="92" s="1"/>
  <c r="AA235" i="92" a="1"/>
  <c r="AA235" i="92" s="1"/>
  <c r="B236" i="92" a="1"/>
  <c r="B236" i="92"/>
  <c r="D236" i="92" s="1"/>
  <c r="C236" i="92" a="1"/>
  <c r="C236" i="92" s="1"/>
  <c r="E236" i="92" a="1"/>
  <c r="E236" i="92" s="1"/>
  <c r="F236" i="92" a="1"/>
  <c r="F236" i="92" s="1"/>
  <c r="I236" i="92" a="1"/>
  <c r="I236" i="92" s="1"/>
  <c r="J236" i="92" a="1"/>
  <c r="J236" i="92"/>
  <c r="L236" i="92" a="1"/>
  <c r="L236" i="92" s="1"/>
  <c r="M236" i="92" a="1"/>
  <c r="M236" i="92"/>
  <c r="W236" i="92" a="1"/>
  <c r="W236" i="92" s="1"/>
  <c r="X236" i="92" a="1"/>
  <c r="X236" i="92"/>
  <c r="Z236" i="92" a="1"/>
  <c r="Z236" i="92" s="1"/>
  <c r="AA236" i="92" a="1"/>
  <c r="AA236" i="92"/>
  <c r="B237" i="92" a="1"/>
  <c r="B237" i="92" s="1"/>
  <c r="C237" i="92" a="1"/>
  <c r="C237" i="92"/>
  <c r="E237" i="92" a="1"/>
  <c r="E237" i="92" s="1"/>
  <c r="F237" i="92" a="1"/>
  <c r="F237" i="92"/>
  <c r="I237" i="92" a="1"/>
  <c r="I237" i="92" s="1"/>
  <c r="J237" i="92" a="1"/>
  <c r="J237" i="92"/>
  <c r="L237" i="92" a="1"/>
  <c r="L237" i="92" s="1"/>
  <c r="M237" i="92" a="1"/>
  <c r="M237" i="92" s="1"/>
  <c r="P237" i="92" a="1"/>
  <c r="P237" i="92" s="1"/>
  <c r="Q237" i="92" a="1"/>
  <c r="Q237" i="92" s="1"/>
  <c r="W237" i="92" a="1"/>
  <c r="W237" i="92"/>
  <c r="X237" i="92" a="1"/>
  <c r="X237" i="92"/>
  <c r="Z237" i="92" a="1"/>
  <c r="Z237" i="92" s="1"/>
  <c r="AB237" i="92" s="1"/>
  <c r="AA237" i="92" a="1"/>
  <c r="AA237" i="92" s="1"/>
  <c r="B238" i="92" a="1"/>
  <c r="B238" i="92"/>
  <c r="C238" i="92" a="1"/>
  <c r="C238" i="92" s="1"/>
  <c r="D238" i="92" s="1"/>
  <c r="E238" i="92" a="1"/>
  <c r="E238" i="92"/>
  <c r="F238" i="92" a="1"/>
  <c r="F238" i="92" s="1"/>
  <c r="I238" i="92" a="1"/>
  <c r="I238" i="92"/>
  <c r="J238" i="92" a="1"/>
  <c r="J238" i="92"/>
  <c r="K238" i="92" s="1"/>
  <c r="L238" i="92" a="1"/>
  <c r="L238" i="92"/>
  <c r="M238" i="92" a="1"/>
  <c r="M238" i="92" s="1"/>
  <c r="P238" i="92" a="1"/>
  <c r="P238" i="92" s="1"/>
  <c r="Q238" i="92" a="1"/>
  <c r="Q238" i="92"/>
  <c r="W238" i="92" a="1"/>
  <c r="W238" i="92" s="1"/>
  <c r="X238" i="92" a="1"/>
  <c r="X238" i="92" s="1"/>
  <c r="Z238" i="92" a="1"/>
  <c r="Z238" i="92" s="1"/>
  <c r="AA238" i="92" a="1"/>
  <c r="AA238" i="92"/>
  <c r="B239" i="92" a="1"/>
  <c r="B239" i="92" s="1"/>
  <c r="D239" i="92" s="1"/>
  <c r="C239" i="92" a="1"/>
  <c r="C239" i="92" s="1"/>
  <c r="E239" i="92" a="1"/>
  <c r="E239" i="92" s="1"/>
  <c r="F239" i="92" a="1"/>
  <c r="F239" i="92" s="1"/>
  <c r="I239" i="92" a="1"/>
  <c r="I239" i="92"/>
  <c r="J239" i="92" a="1"/>
  <c r="J239" i="92" s="1"/>
  <c r="L239" i="92" a="1"/>
  <c r="L239" i="92"/>
  <c r="M239" i="92" a="1"/>
  <c r="M239" i="92" s="1"/>
  <c r="P239" i="92" a="1"/>
  <c r="P239" i="92" s="1"/>
  <c r="Q239" i="92" a="1"/>
  <c r="Q239" i="92" s="1"/>
  <c r="W239" i="92" a="1"/>
  <c r="W239" i="92"/>
  <c r="Y239" i="92" s="1"/>
  <c r="X239" i="92" a="1"/>
  <c r="X239" i="92" s="1"/>
  <c r="Z239" i="92" a="1"/>
  <c r="Z239" i="92" s="1"/>
  <c r="AA239" i="92" a="1"/>
  <c r="AA239" i="92"/>
  <c r="AB239" i="92" s="1"/>
  <c r="B240" i="92" a="1"/>
  <c r="B240" i="92"/>
  <c r="C240" i="92" a="1"/>
  <c r="C240" i="92" s="1"/>
  <c r="E240" i="92" a="1"/>
  <c r="E240" i="92" s="1"/>
  <c r="F240" i="92" a="1"/>
  <c r="F240" i="92" s="1"/>
  <c r="I240" i="92" a="1"/>
  <c r="I240" i="92" s="1"/>
  <c r="J240" i="92" a="1"/>
  <c r="J240" i="92" s="1"/>
  <c r="L240" i="92" a="1"/>
  <c r="L240" i="92" s="1"/>
  <c r="N240" i="92" s="1"/>
  <c r="M240" i="92" a="1"/>
  <c r="M240" i="92" s="1"/>
  <c r="P240" i="92" a="1"/>
  <c r="P240" i="92"/>
  <c r="Q240" i="92" a="1"/>
  <c r="Q240" i="92" s="1"/>
  <c r="W240" i="92" a="1"/>
  <c r="W240" i="92" s="1"/>
  <c r="X240" i="92" a="1"/>
  <c r="X240" i="92"/>
  <c r="Z240" i="92" a="1"/>
  <c r="Z240" i="92" s="1"/>
  <c r="AB240" i="92" s="1"/>
  <c r="AA240" i="92" a="1"/>
  <c r="AA240" i="92" s="1"/>
  <c r="B241" i="92" a="1"/>
  <c r="B241" i="92" s="1"/>
  <c r="D241" i="92" s="1"/>
  <c r="C241" i="92" a="1"/>
  <c r="C241" i="92" s="1"/>
  <c r="E241" i="92" a="1"/>
  <c r="E241" i="92"/>
  <c r="F241" i="92" a="1"/>
  <c r="F241" i="92" s="1"/>
  <c r="I241" i="92" a="1"/>
  <c r="I241" i="92" s="1"/>
  <c r="J241" i="92" a="1"/>
  <c r="J241" i="92" s="1"/>
  <c r="L241" i="92" a="1"/>
  <c r="L241" i="92"/>
  <c r="M241" i="92" a="1"/>
  <c r="M241" i="92"/>
  <c r="P241" i="92" a="1"/>
  <c r="P241" i="92"/>
  <c r="Q241" i="92" a="1"/>
  <c r="Q241" i="92" s="1"/>
  <c r="W241" i="92" a="1"/>
  <c r="W241" i="92"/>
  <c r="Y241" i="92"/>
  <c r="X241" i="92" a="1"/>
  <c r="X241" i="92" s="1"/>
  <c r="Z241" i="92" a="1"/>
  <c r="Z241" i="92" s="1"/>
  <c r="AA241" i="92" a="1"/>
  <c r="AA241" i="92"/>
  <c r="B242" i="92" a="1"/>
  <c r="B242" i="92"/>
  <c r="C242" i="92" a="1"/>
  <c r="C242" i="92" s="1"/>
  <c r="E242" i="92" a="1"/>
  <c r="E242" i="92" s="1"/>
  <c r="G242" i="92" s="1"/>
  <c r="F242" i="92" a="1"/>
  <c r="F242" i="92"/>
  <c r="I242" i="92" a="1"/>
  <c r="I242" i="92" s="1"/>
  <c r="J242" i="92" a="1"/>
  <c r="J242" i="92" s="1"/>
  <c r="L242" i="92" a="1"/>
  <c r="L242" i="92" s="1"/>
  <c r="M242" i="92" a="1"/>
  <c r="M242" i="92" s="1"/>
  <c r="P242" i="92" a="1"/>
  <c r="P242" i="92"/>
  <c r="Q242" i="92" a="1"/>
  <c r="Q242" i="92" s="1"/>
  <c r="W242" i="92" a="1"/>
  <c r="W242" i="92" s="1"/>
  <c r="X242" i="92" a="1"/>
  <c r="X242" i="92"/>
  <c r="Z242" i="92" a="1"/>
  <c r="Z242" i="92" s="1"/>
  <c r="AA242" i="92" a="1"/>
  <c r="AA242" i="92" s="1"/>
  <c r="B243" i="92" a="1"/>
  <c r="B243" i="92"/>
  <c r="D243" i="92" s="1"/>
  <c r="C243" i="92" a="1"/>
  <c r="C243" i="92"/>
  <c r="E243" i="92" a="1"/>
  <c r="E243" i="92"/>
  <c r="F243" i="92" a="1"/>
  <c r="F243" i="92" s="1"/>
  <c r="I243" i="92" a="1"/>
  <c r="I243" i="92"/>
  <c r="J243" i="92" a="1"/>
  <c r="J243" i="92" s="1"/>
  <c r="L243" i="92" a="1"/>
  <c r="L243" i="92" s="1"/>
  <c r="M243" i="92" a="1"/>
  <c r="M243" i="92" s="1"/>
  <c r="P243" i="92" a="1"/>
  <c r="P243" i="92" s="1"/>
  <c r="Q243" i="92" a="1"/>
  <c r="Q243" i="92"/>
  <c r="W243" i="92" a="1"/>
  <c r="W243" i="92" s="1"/>
  <c r="X243" i="92" a="1"/>
  <c r="X243" i="92" s="1"/>
  <c r="Z243" i="92" a="1"/>
  <c r="Z243" i="92" s="1"/>
  <c r="AA243" i="92" a="1"/>
  <c r="AA243" i="92" s="1"/>
  <c r="B244" i="92" a="1"/>
  <c r="B244" i="92"/>
  <c r="D244" i="92" s="1"/>
  <c r="C244" i="92" a="1"/>
  <c r="C244" i="92" s="1"/>
  <c r="E244" i="92" a="1"/>
  <c r="E244" i="92" s="1"/>
  <c r="F244" i="92" a="1"/>
  <c r="F244" i="92" s="1"/>
  <c r="G244" i="92" s="1"/>
  <c r="I244" i="92" a="1"/>
  <c r="I244" i="92" s="1"/>
  <c r="J244" i="92" a="1"/>
  <c r="J244" i="92"/>
  <c r="L244" i="92" a="1"/>
  <c r="L244" i="92" s="1"/>
  <c r="M244" i="92" a="1"/>
  <c r="M244" i="92"/>
  <c r="P244" i="92" a="1"/>
  <c r="P244" i="92" s="1"/>
  <c r="R244" i="92" s="1"/>
  <c r="Q244" i="92" a="1"/>
  <c r="Q244" i="92"/>
  <c r="W244" i="92" a="1"/>
  <c r="W244" i="92"/>
  <c r="X244" i="92" a="1"/>
  <c r="X244" i="92"/>
  <c r="Y244" i="92"/>
  <c r="Z244" i="92" a="1"/>
  <c r="Z244" i="92" s="1"/>
  <c r="AA244" i="92" a="1"/>
  <c r="AA244" i="92" s="1"/>
  <c r="B245" i="92" a="1"/>
  <c r="B245" i="92"/>
  <c r="C245" i="92" a="1"/>
  <c r="C245" i="92" s="1"/>
  <c r="E245" i="92" a="1"/>
  <c r="E245" i="92" s="1"/>
  <c r="F245" i="92" a="1"/>
  <c r="F245" i="92" s="1"/>
  <c r="I245" i="92" a="1"/>
  <c r="I245" i="92"/>
  <c r="J245" i="92" a="1"/>
  <c r="J245" i="92" s="1"/>
  <c r="L245" i="92" a="1"/>
  <c r="L245" i="92"/>
  <c r="M245" i="92" a="1"/>
  <c r="M245" i="92" s="1"/>
  <c r="P245" i="92" a="1"/>
  <c r="P245" i="92"/>
  <c r="Q245" i="92" a="1"/>
  <c r="Q245" i="92" s="1"/>
  <c r="W245" i="92" a="1"/>
  <c r="W245" i="92" s="1"/>
  <c r="X245" i="92" a="1"/>
  <c r="X245" i="92"/>
  <c r="Z245" i="92" a="1"/>
  <c r="Z245" i="92" s="1"/>
  <c r="AA245" i="92" a="1"/>
  <c r="AA245" i="92" s="1"/>
  <c r="B246" i="92" a="1"/>
  <c r="B246" i="92" s="1"/>
  <c r="C246" i="92" a="1"/>
  <c r="C246" i="92" s="1"/>
  <c r="E246" i="92" a="1"/>
  <c r="E246" i="92" s="1"/>
  <c r="F246" i="92" a="1"/>
  <c r="F246" i="92" s="1"/>
  <c r="I246" i="92" a="1"/>
  <c r="I246" i="92" s="1"/>
  <c r="J246" i="92" a="1"/>
  <c r="J246" i="92"/>
  <c r="L246" i="92" a="1"/>
  <c r="L246" i="92" s="1"/>
  <c r="M246" i="92" a="1"/>
  <c r="M246" i="92" s="1"/>
  <c r="P246" i="92" a="1"/>
  <c r="P246" i="92" s="1"/>
  <c r="Q246" i="92" a="1"/>
  <c r="Q246" i="92" s="1"/>
  <c r="W246" i="92" a="1"/>
  <c r="W246" i="92"/>
  <c r="X246" i="92" a="1"/>
  <c r="X246" i="92" s="1"/>
  <c r="Z246" i="92" a="1"/>
  <c r="Z246" i="92"/>
  <c r="AA246" i="92" a="1"/>
  <c r="AA246" i="92"/>
  <c r="B247" i="92" a="1"/>
  <c r="B247" i="92"/>
  <c r="C247" i="92" a="1"/>
  <c r="C247" i="92" s="1"/>
  <c r="E247" i="92" a="1"/>
  <c r="E247" i="92" s="1"/>
  <c r="G247" i="92" s="1"/>
  <c r="F247" i="92" a="1"/>
  <c r="F247" i="92"/>
  <c r="I247" i="92" a="1"/>
  <c r="I247" i="92" s="1"/>
  <c r="J247" i="92" a="1"/>
  <c r="J247" i="92" s="1"/>
  <c r="L247" i="92" a="1"/>
  <c r="L247" i="92" s="1"/>
  <c r="M247" i="92" a="1"/>
  <c r="M247" i="92"/>
  <c r="N247" i="92" s="1"/>
  <c r="P247" i="92" a="1"/>
  <c r="P247" i="92" s="1"/>
  <c r="Q247" i="92" a="1"/>
  <c r="Q247" i="92"/>
  <c r="W247" i="92" a="1"/>
  <c r="W247" i="92" s="1"/>
  <c r="X247" i="92" a="1"/>
  <c r="X247" i="92" s="1"/>
  <c r="Z247" i="92" a="1"/>
  <c r="Z247" i="92" s="1"/>
  <c r="AA247" i="92" a="1"/>
  <c r="AA247" i="92" s="1"/>
  <c r="B248" i="92" a="1"/>
  <c r="B248" i="92"/>
  <c r="C248" i="92" a="1"/>
  <c r="C248" i="92"/>
  <c r="E248" i="92" a="1"/>
  <c r="E248" i="92" s="1"/>
  <c r="F248" i="92" a="1"/>
  <c r="F248" i="92" s="1"/>
  <c r="I248" i="92" a="1"/>
  <c r="I248" i="92"/>
  <c r="J248" i="92" a="1"/>
  <c r="J248" i="92" s="1"/>
  <c r="K248" i="92" s="1"/>
  <c r="L248" i="92" a="1"/>
  <c r="L248" i="92"/>
  <c r="N248" i="92" s="1"/>
  <c r="M248" i="92" a="1"/>
  <c r="M248" i="92"/>
  <c r="P248" i="92" a="1"/>
  <c r="P248" i="92" s="1"/>
  <c r="Q248" i="92" a="1"/>
  <c r="Q248" i="92" s="1"/>
  <c r="W248" i="92" a="1"/>
  <c r="W248" i="92" s="1"/>
  <c r="X248" i="92" a="1"/>
  <c r="X248" i="92" s="1"/>
  <c r="Z248" i="92" a="1"/>
  <c r="Z248" i="92" s="1"/>
  <c r="AA248" i="92" a="1"/>
  <c r="AA248" i="92" s="1"/>
  <c r="AB248" i="92" s="1"/>
  <c r="B249" i="92" a="1"/>
  <c r="B249" i="92" s="1"/>
  <c r="C249" i="92" a="1"/>
  <c r="C249" i="92"/>
  <c r="E249" i="92" a="1"/>
  <c r="E249" i="92" s="1"/>
  <c r="F249" i="92" a="1"/>
  <c r="F249" i="92" s="1"/>
  <c r="I249" i="92" a="1"/>
  <c r="I249" i="92" s="1"/>
  <c r="K249" i="92" s="1"/>
  <c r="J249" i="92" a="1"/>
  <c r="J249" i="92" s="1"/>
  <c r="L249" i="92" a="1"/>
  <c r="L249" i="92" s="1"/>
  <c r="M249" i="92" a="1"/>
  <c r="M249" i="92"/>
  <c r="P249" i="92" a="1"/>
  <c r="P249" i="92" s="1"/>
  <c r="Q249" i="92" a="1"/>
  <c r="Q249" i="92"/>
  <c r="W249" i="92" a="1"/>
  <c r="W249" i="92" s="1"/>
  <c r="Y249" i="92" s="1"/>
  <c r="X249" i="92" a="1"/>
  <c r="X249" i="92" s="1"/>
  <c r="Z249" i="92" a="1"/>
  <c r="Z249" i="92" s="1"/>
  <c r="AA249" i="92" a="1"/>
  <c r="AA249" i="92"/>
  <c r="B250" i="92" a="1"/>
  <c r="B250" i="92" s="1"/>
  <c r="C250" i="92" a="1"/>
  <c r="C250" i="92"/>
  <c r="D250" i="92" s="1"/>
  <c r="E250" i="92" a="1"/>
  <c r="E250" i="92"/>
  <c r="F250" i="92" a="1"/>
  <c r="F250" i="92"/>
  <c r="I250" i="92" a="1"/>
  <c r="I250" i="92" s="1"/>
  <c r="J250" i="92" a="1"/>
  <c r="J250" i="92" s="1"/>
  <c r="L250" i="92" a="1"/>
  <c r="L250" i="92"/>
  <c r="M250" i="92" a="1"/>
  <c r="M250" i="92" s="1"/>
  <c r="P250" i="92" a="1"/>
  <c r="P250" i="92" s="1"/>
  <c r="Q250" i="92" a="1"/>
  <c r="Q250" i="92" s="1"/>
  <c r="W250" i="92" a="1"/>
  <c r="W250" i="92" s="1"/>
  <c r="Y250" i="92"/>
  <c r="X250" i="92" a="1"/>
  <c r="X250" i="92" s="1"/>
  <c r="Z250" i="92" a="1"/>
  <c r="Z250" i="92"/>
  <c r="AA250" i="92" a="1"/>
  <c r="AA250" i="92" s="1"/>
  <c r="B251" i="92" a="1"/>
  <c r="B251" i="92" s="1"/>
  <c r="C251" i="92" a="1"/>
  <c r="C251" i="92" s="1"/>
  <c r="D251" i="92" s="1"/>
  <c r="E251" i="92" a="1"/>
  <c r="E251" i="92" s="1"/>
  <c r="F251" i="92" a="1"/>
  <c r="F251" i="92" s="1"/>
  <c r="I251" i="92" a="1"/>
  <c r="I251" i="92" s="1"/>
  <c r="K251" i="92" s="1"/>
  <c r="J251" i="92" a="1"/>
  <c r="J251" i="92" s="1"/>
  <c r="L251" i="92" a="1"/>
  <c r="L251" i="92"/>
  <c r="M251" i="92" a="1"/>
  <c r="M251" i="92"/>
  <c r="P251" i="92" a="1"/>
  <c r="P251" i="92" s="1"/>
  <c r="Q251" i="92" a="1"/>
  <c r="Q251" i="92" s="1"/>
  <c r="W251" i="92" a="1"/>
  <c r="W251" i="92" s="1"/>
  <c r="X251" i="92" a="1"/>
  <c r="X251" i="92"/>
  <c r="Z251" i="92" a="1"/>
  <c r="Z251" i="92"/>
  <c r="AA251" i="92" a="1"/>
  <c r="AA251" i="92" s="1"/>
  <c r="B252" i="92" a="1"/>
  <c r="B252" i="92" s="1"/>
  <c r="D252" i="92" s="1"/>
  <c r="C252" i="92" a="1"/>
  <c r="C252" i="92"/>
  <c r="E252" i="92" a="1"/>
  <c r="E252" i="92" s="1"/>
  <c r="F252" i="92" a="1"/>
  <c r="F252" i="92" s="1"/>
  <c r="I252" i="92" a="1"/>
  <c r="I252" i="92" s="1"/>
  <c r="J252" i="92" a="1"/>
  <c r="J252" i="92" s="1"/>
  <c r="L252" i="92" a="1"/>
  <c r="L252" i="92"/>
  <c r="M252" i="92" a="1"/>
  <c r="M252" i="92"/>
  <c r="P252" i="92" a="1"/>
  <c r="P252" i="92" s="1"/>
  <c r="Q252" i="92" a="1"/>
  <c r="Q252" i="92" s="1"/>
  <c r="W252" i="92" a="1"/>
  <c r="W252" i="92" s="1"/>
  <c r="X252" i="92" a="1"/>
  <c r="X252" i="92" s="1"/>
  <c r="Z252" i="92" a="1"/>
  <c r="Z252" i="92"/>
  <c r="AA252" i="92" a="1"/>
  <c r="AA252" i="92" s="1"/>
  <c r="B253" i="92" a="1"/>
  <c r="B253" i="92" s="1"/>
  <c r="C253" i="92" a="1"/>
  <c r="C253" i="92" s="1"/>
  <c r="E253" i="92" a="1"/>
  <c r="E253" i="92" s="1"/>
  <c r="G253" i="92" s="1"/>
  <c r="F253" i="92" a="1"/>
  <c r="F253" i="92"/>
  <c r="I253" i="92" a="1"/>
  <c r="I253" i="92" s="1"/>
  <c r="J253" i="92" a="1"/>
  <c r="J253" i="92" s="1"/>
  <c r="K253" i="92" s="1"/>
  <c r="L253" i="92" a="1"/>
  <c r="L253" i="92" s="1"/>
  <c r="M253" i="92" a="1"/>
  <c r="M253" i="92" s="1"/>
  <c r="P253" i="92" a="1"/>
  <c r="P253" i="92" s="1"/>
  <c r="Q253" i="92" a="1"/>
  <c r="Q253" i="92"/>
  <c r="W253" i="92" a="1"/>
  <c r="W253" i="92" s="1"/>
  <c r="X253" i="92" a="1"/>
  <c r="X253" i="92" s="1"/>
  <c r="Z253" i="92" a="1"/>
  <c r="Z253" i="92"/>
  <c r="AB253" i="92" s="1"/>
  <c r="AA253" i="92" a="1"/>
  <c r="AA253" i="92" s="1"/>
  <c r="B254" i="92" a="1"/>
  <c r="B254" i="92"/>
  <c r="C254" i="92" a="1"/>
  <c r="C254" i="92" s="1"/>
  <c r="E254" i="92" a="1"/>
  <c r="E254" i="92"/>
  <c r="F254" i="92" a="1"/>
  <c r="F254" i="92" s="1"/>
  <c r="I254" i="92" a="1"/>
  <c r="I254" i="92"/>
  <c r="J254" i="92" a="1"/>
  <c r="J254" i="92"/>
  <c r="K254" i="92" s="1"/>
  <c r="L254" i="92" a="1"/>
  <c r="L254" i="92"/>
  <c r="M254" i="92" a="1"/>
  <c r="M254" i="92" s="1"/>
  <c r="P254" i="92" a="1"/>
  <c r="P254" i="92" s="1"/>
  <c r="Q254" i="92" a="1"/>
  <c r="Q254" i="92"/>
  <c r="W254" i="92" a="1"/>
  <c r="W254" i="92"/>
  <c r="X254" i="92" a="1"/>
  <c r="X254" i="92" s="1"/>
  <c r="Z254" i="92" a="1"/>
  <c r="Z254" i="92"/>
  <c r="AB254" i="92" s="1"/>
  <c r="AA254" i="92" a="1"/>
  <c r="AA254" i="92"/>
  <c r="B255" i="92" a="1"/>
  <c r="B255" i="92"/>
  <c r="C255" i="92" a="1"/>
  <c r="C255" i="92" s="1"/>
  <c r="E255" i="92" a="1"/>
  <c r="E255" i="92" s="1"/>
  <c r="F255" i="92" a="1"/>
  <c r="F255" i="92" s="1"/>
  <c r="I255" i="92" a="1"/>
  <c r="I255" i="92" s="1"/>
  <c r="K255" i="92" s="1"/>
  <c r="J255" i="92" a="1"/>
  <c r="J255" i="92" s="1"/>
  <c r="L255" i="92" a="1"/>
  <c r="L255" i="92" s="1"/>
  <c r="M255" i="92" a="1"/>
  <c r="M255" i="92" s="1"/>
  <c r="N255" i="92" s="1"/>
  <c r="P255" i="92" a="1"/>
  <c r="P255" i="92" s="1"/>
  <c r="Q255" i="92" a="1"/>
  <c r="Q255" i="92" s="1"/>
  <c r="W255" i="92" a="1"/>
  <c r="W255" i="92"/>
  <c r="Y255" i="92" s="1"/>
  <c r="X255" i="92" a="1"/>
  <c r="X255" i="92" s="1"/>
  <c r="Z255" i="92" a="1"/>
  <c r="Z255" i="92" s="1"/>
  <c r="AA255" i="92" a="1"/>
  <c r="AA255" i="92" s="1"/>
  <c r="B256" i="92" a="1"/>
  <c r="B256" i="92"/>
  <c r="C256" i="92" a="1"/>
  <c r="C256" i="92" s="1"/>
  <c r="E256" i="92" a="1"/>
  <c r="E256" i="92" s="1"/>
  <c r="F256" i="92" a="1"/>
  <c r="F256" i="92" s="1"/>
  <c r="I256" i="92" a="1"/>
  <c r="I256" i="92" s="1"/>
  <c r="K256" i="92" s="1"/>
  <c r="J256" i="92" a="1"/>
  <c r="J256" i="92"/>
  <c r="L256" i="92" a="1"/>
  <c r="L256" i="92"/>
  <c r="N256" i="92" s="1"/>
  <c r="M256" i="92" a="1"/>
  <c r="M256" i="92" s="1"/>
  <c r="P256" i="92" a="1"/>
  <c r="P256" i="92"/>
  <c r="R256" i="92" s="1"/>
  <c r="Q256" i="92" a="1"/>
  <c r="Q256" i="92" s="1"/>
  <c r="W256" i="92" a="1"/>
  <c r="W256" i="92"/>
  <c r="X256" i="92" a="1"/>
  <c r="X256" i="92" s="1"/>
  <c r="Z256" i="92" a="1"/>
  <c r="Z256" i="92" s="1"/>
  <c r="AA256" i="92" a="1"/>
  <c r="AA256" i="92" s="1"/>
  <c r="B257" i="92" a="1"/>
  <c r="B257" i="92"/>
  <c r="D257" i="92" s="1"/>
  <c r="C257" i="92" a="1"/>
  <c r="C257" i="92" s="1"/>
  <c r="E257" i="92" a="1"/>
  <c r="E257" i="92" s="1"/>
  <c r="F257" i="92" a="1"/>
  <c r="F257" i="92" s="1"/>
  <c r="I257" i="92" a="1"/>
  <c r="I257" i="92"/>
  <c r="J257" i="92" a="1"/>
  <c r="J257" i="92" s="1"/>
  <c r="L257" i="92" a="1"/>
  <c r="L257" i="92"/>
  <c r="M257" i="92" a="1"/>
  <c r="M257" i="92" s="1"/>
  <c r="P257" i="92" a="1"/>
  <c r="P257" i="92"/>
  <c r="Q257" i="92" a="1"/>
  <c r="Q257" i="92" s="1"/>
  <c r="R257" i="92" s="1"/>
  <c r="W257" i="92" a="1"/>
  <c r="W257" i="92" s="1"/>
  <c r="X257" i="92" a="1"/>
  <c r="X257" i="92" s="1"/>
  <c r="Y257" i="92" s="1"/>
  <c r="Z257" i="92" a="1"/>
  <c r="Z257" i="92" s="1"/>
  <c r="AA257" i="92" a="1"/>
  <c r="AA257" i="92" s="1"/>
  <c r="B258" i="92" a="1"/>
  <c r="B258" i="92"/>
  <c r="C258" i="92" a="1"/>
  <c r="C258" i="92" s="1"/>
  <c r="E258" i="92" a="1"/>
  <c r="E258" i="92"/>
  <c r="F258" i="92" a="1"/>
  <c r="F258" i="92" s="1"/>
  <c r="G258" i="92" s="1"/>
  <c r="I258" i="92" a="1"/>
  <c r="I258" i="92" s="1"/>
  <c r="K258" i="92" s="1"/>
  <c r="J258" i="92" a="1"/>
  <c r="J258" i="92"/>
  <c r="L258" i="92" a="1"/>
  <c r="L258" i="92"/>
  <c r="M258" i="92" a="1"/>
  <c r="M258" i="92" s="1"/>
  <c r="P258" i="92" a="1"/>
  <c r="P258" i="92" s="1"/>
  <c r="Q258" i="92" a="1"/>
  <c r="Q258" i="92" s="1"/>
  <c r="R258" i="92" s="1"/>
  <c r="W258" i="92" a="1"/>
  <c r="W258" i="92"/>
  <c r="X258" i="92" a="1"/>
  <c r="X258" i="92" s="1"/>
  <c r="Z258" i="92" a="1"/>
  <c r="Z258" i="92" s="1"/>
  <c r="AA258" i="92" a="1"/>
  <c r="AA258" i="92"/>
  <c r="B259" i="92" a="1"/>
  <c r="B259" i="92" s="1"/>
  <c r="C259" i="92" a="1"/>
  <c r="C259" i="92" s="1"/>
  <c r="E259" i="92" a="1"/>
  <c r="E259" i="92"/>
  <c r="F259" i="92" a="1"/>
  <c r="F259" i="92" s="1"/>
  <c r="I259" i="92" a="1"/>
  <c r="I259" i="92"/>
  <c r="J259" i="92" a="1"/>
  <c r="J259" i="92" s="1"/>
  <c r="L259" i="92" a="1"/>
  <c r="L259" i="92" s="1"/>
  <c r="M259" i="92" a="1"/>
  <c r="M259" i="92"/>
  <c r="P259" i="92" a="1"/>
  <c r="P259" i="92" s="1"/>
  <c r="R259" i="92" s="1"/>
  <c r="Q259" i="92" a="1"/>
  <c r="Q259" i="92" s="1"/>
  <c r="W259" i="92" a="1"/>
  <c r="W259" i="92" s="1"/>
  <c r="X259" i="92" a="1"/>
  <c r="X259" i="92" s="1"/>
  <c r="Y259" i="92" s="1"/>
  <c r="Z259" i="92" a="1"/>
  <c r="Z259" i="92"/>
  <c r="AA259" i="92" a="1"/>
  <c r="AA259" i="92" s="1"/>
  <c r="B260" i="92" a="1"/>
  <c r="B260" i="92" s="1"/>
  <c r="C260" i="92" a="1"/>
  <c r="C260" i="92"/>
  <c r="E260" i="92" a="1"/>
  <c r="E260" i="92" s="1"/>
  <c r="F260" i="92" a="1"/>
  <c r="F260" i="92" s="1"/>
  <c r="I260" i="92" a="1"/>
  <c r="I260" i="92"/>
  <c r="K260" i="92" s="1"/>
  <c r="J260" i="92" a="1"/>
  <c r="J260" i="92"/>
  <c r="L260" i="92" a="1"/>
  <c r="L260" i="92"/>
  <c r="M260" i="92" a="1"/>
  <c r="M260" i="92" s="1"/>
  <c r="P260" i="92" a="1"/>
  <c r="P260" i="92" s="1"/>
  <c r="Q260" i="92" a="1"/>
  <c r="Q260" i="92" s="1"/>
  <c r="W260" i="92" a="1"/>
  <c r="W260" i="92" s="1"/>
  <c r="X260" i="92" a="1"/>
  <c r="X260" i="92" s="1"/>
  <c r="Y260" i="92" s="1"/>
  <c r="Z260" i="92" a="1"/>
  <c r="Z260" i="92" s="1"/>
  <c r="AA260" i="92" a="1"/>
  <c r="AA260" i="92"/>
  <c r="B261" i="92" a="1"/>
  <c r="B261" i="92" s="1"/>
  <c r="C261" i="92" a="1"/>
  <c r="C261" i="92"/>
  <c r="E261" i="92" a="1"/>
  <c r="E261" i="92" s="1"/>
  <c r="F261" i="92" a="1"/>
  <c r="F261" i="92"/>
  <c r="I261" i="92" a="1"/>
  <c r="I261" i="92" s="1"/>
  <c r="J261" i="92" a="1"/>
  <c r="J261" i="92" s="1"/>
  <c r="L261" i="92" a="1"/>
  <c r="L261" i="92" s="1"/>
  <c r="M261" i="92" a="1"/>
  <c r="M261" i="92" s="1"/>
  <c r="P261" i="92" a="1"/>
  <c r="P261" i="92"/>
  <c r="Q261" i="92" a="1"/>
  <c r="Q261" i="92"/>
  <c r="S261" i="92" a="1"/>
  <c r="S261" i="92" s="1"/>
  <c r="T261" i="92" a="1"/>
  <c r="T261" i="92"/>
  <c r="W261" i="92" a="1"/>
  <c r="W261" i="92" s="1"/>
  <c r="X261" i="92" a="1"/>
  <c r="X261" i="92" s="1"/>
  <c r="Z261" i="92" a="1"/>
  <c r="Z261" i="92" s="1"/>
  <c r="AA261" i="92" a="1"/>
  <c r="AA261" i="92" s="1"/>
  <c r="AB261" i="92" s="1"/>
  <c r="B262" i="92" a="1"/>
  <c r="B262" i="92" s="1"/>
  <c r="C262" i="92" a="1"/>
  <c r="C262" i="92"/>
  <c r="E262" i="92" a="1"/>
  <c r="E262" i="92" s="1"/>
  <c r="F262" i="92" a="1"/>
  <c r="F262" i="92"/>
  <c r="G262" i="92" s="1"/>
  <c r="I262" i="92" a="1"/>
  <c r="I262" i="92" s="1"/>
  <c r="K262" i="92" s="1"/>
  <c r="J262" i="92" a="1"/>
  <c r="J262" i="92" s="1"/>
  <c r="L262" i="92" a="1"/>
  <c r="L262" i="92"/>
  <c r="M262" i="92" a="1"/>
  <c r="M262" i="92" s="1"/>
  <c r="P262" i="92" a="1"/>
  <c r="P262" i="92" s="1"/>
  <c r="Q262" i="92" a="1"/>
  <c r="Q262" i="92"/>
  <c r="R262" i="92" s="1"/>
  <c r="S262" i="92" a="1"/>
  <c r="S262" i="92"/>
  <c r="T262" i="92" a="1"/>
  <c r="T262" i="92" s="1"/>
  <c r="U262" i="92" s="1"/>
  <c r="W262" i="92" a="1"/>
  <c r="W262" i="92" s="1"/>
  <c r="X262" i="92" a="1"/>
  <c r="X262" i="92" s="1"/>
  <c r="Z262" i="92" a="1"/>
  <c r="Z262" i="92"/>
  <c r="AB262" i="92" s="1"/>
  <c r="AA262" i="92" a="1"/>
  <c r="AA262" i="92" s="1"/>
  <c r="B263" i="92" a="1"/>
  <c r="B263" i="92" s="1"/>
  <c r="C263" i="92" a="1"/>
  <c r="C263" i="92" s="1"/>
  <c r="D263" i="92" s="1"/>
  <c r="E263" i="92" a="1"/>
  <c r="E263" i="92"/>
  <c r="F263" i="92" a="1"/>
  <c r="F263" i="92" s="1"/>
  <c r="I263" i="92" a="1"/>
  <c r="I263" i="92" s="1"/>
  <c r="J263" i="92" a="1"/>
  <c r="J263" i="92"/>
  <c r="L263" i="92" a="1"/>
  <c r="L263" i="92" s="1"/>
  <c r="N263" i="92" s="1"/>
  <c r="M263" i="92" a="1"/>
  <c r="M263" i="92" s="1"/>
  <c r="P263" i="92" a="1"/>
  <c r="P263" i="92" s="1"/>
  <c r="R263" i="92" s="1"/>
  <c r="Q263" i="92" a="1"/>
  <c r="Q263" i="92" s="1"/>
  <c r="S263" i="92" a="1"/>
  <c r="S263" i="92"/>
  <c r="T263" i="92" a="1"/>
  <c r="T263" i="92" s="1"/>
  <c r="W263" i="92" a="1"/>
  <c r="W263" i="92" s="1"/>
  <c r="Y263" i="92" s="1"/>
  <c r="X263" i="92" a="1"/>
  <c r="X263" i="92" s="1"/>
  <c r="Z263" i="92" a="1"/>
  <c r="Z263" i="92" s="1"/>
  <c r="AA263" i="92" a="1"/>
  <c r="AA263" i="92" s="1"/>
  <c r="B264" i="92" a="1"/>
  <c r="B264" i="92" s="1"/>
  <c r="C264" i="92" a="1"/>
  <c r="C264" i="92" s="1"/>
  <c r="E264" i="92" a="1"/>
  <c r="E264" i="92" s="1"/>
  <c r="F264" i="92" a="1"/>
  <c r="F264" i="92" s="1"/>
  <c r="I264" i="92" a="1"/>
  <c r="I264" i="92" s="1"/>
  <c r="K264" i="92" s="1"/>
  <c r="J264" i="92" a="1"/>
  <c r="J264" i="92" s="1"/>
  <c r="L264" i="92" a="1"/>
  <c r="L264" i="92" s="1"/>
  <c r="M264" i="92" a="1"/>
  <c r="M264" i="92" s="1"/>
  <c r="P264" i="92" a="1"/>
  <c r="P264" i="92" s="1"/>
  <c r="Q264" i="92" a="1"/>
  <c r="Q264" i="92" s="1"/>
  <c r="R264" i="92" s="1"/>
  <c r="S264" i="92" a="1"/>
  <c r="S264" i="92" s="1"/>
  <c r="T264" i="92" a="1"/>
  <c r="T264" i="92" s="1"/>
  <c r="W264" i="92" a="1"/>
  <c r="W264" i="92"/>
  <c r="Y264" i="92" s="1"/>
  <c r="X264" i="92" a="1"/>
  <c r="X264" i="92" s="1"/>
  <c r="Z264" i="92" a="1"/>
  <c r="Z264" i="92" s="1"/>
  <c r="AA264" i="92" a="1"/>
  <c r="AA264" i="92" s="1"/>
  <c r="B265" i="92" a="1"/>
  <c r="B265" i="92"/>
  <c r="D265" i="92" s="1"/>
  <c r="C265" i="92" a="1"/>
  <c r="C265" i="92" s="1"/>
  <c r="E265" i="92" a="1"/>
  <c r="E265" i="92" s="1"/>
  <c r="F265" i="92" a="1"/>
  <c r="F265" i="92" s="1"/>
  <c r="G265" i="92" s="1"/>
  <c r="I265" i="92" a="1"/>
  <c r="I265" i="92" s="1"/>
  <c r="J265" i="92" a="1"/>
  <c r="J265" i="92" s="1"/>
  <c r="L265" i="92" a="1"/>
  <c r="L265" i="92" s="1"/>
  <c r="M265" i="92" a="1"/>
  <c r="M265" i="92" s="1"/>
  <c r="P265" i="92" a="1"/>
  <c r="P265" i="92" s="1"/>
  <c r="Q265" i="92" a="1"/>
  <c r="Q265" i="92"/>
  <c r="R265" i="92" s="1"/>
  <c r="S265" i="92" a="1"/>
  <c r="S265" i="92" s="1"/>
  <c r="T265" i="92" a="1"/>
  <c r="T265" i="92"/>
  <c r="W265" i="92" a="1"/>
  <c r="W265" i="92" s="1"/>
  <c r="X265" i="92" a="1"/>
  <c r="X265" i="92" s="1"/>
  <c r="Z265" i="92" a="1"/>
  <c r="Z265" i="92" s="1"/>
  <c r="AA265" i="92" a="1"/>
  <c r="AA265" i="92" s="1"/>
  <c r="AB265" i="92" s="1"/>
  <c r="B266" i="92" a="1"/>
  <c r="B266" i="92" s="1"/>
  <c r="C266" i="92" a="1"/>
  <c r="C266" i="92" s="1"/>
  <c r="E266" i="92" a="1"/>
  <c r="E266" i="92" s="1"/>
  <c r="F266" i="92" a="1"/>
  <c r="F266" i="92"/>
  <c r="I266" i="92" a="1"/>
  <c r="I266" i="92" s="1"/>
  <c r="J266" i="92" a="1"/>
  <c r="J266" i="92" s="1"/>
  <c r="L266" i="92" a="1"/>
  <c r="L266" i="92" s="1"/>
  <c r="M266" i="92" a="1"/>
  <c r="M266" i="92" s="1"/>
  <c r="N266" i="92" s="1"/>
  <c r="P266" i="92" a="1"/>
  <c r="P266" i="92" s="1"/>
  <c r="Q266" i="92" a="1"/>
  <c r="Q266" i="92"/>
  <c r="S266" i="92" a="1"/>
  <c r="S266" i="92" s="1"/>
  <c r="T266" i="92" a="1"/>
  <c r="T266" i="92"/>
  <c r="W266" i="92" a="1"/>
  <c r="W266" i="92" s="1"/>
  <c r="X266" i="92" a="1"/>
  <c r="X266" i="92" s="1"/>
  <c r="Z266" i="92" a="1"/>
  <c r="Z266" i="92" s="1"/>
  <c r="AA266" i="92" a="1"/>
  <c r="AA266" i="92" s="1"/>
  <c r="B267" i="92" a="1"/>
  <c r="B267" i="92"/>
  <c r="D267" i="92" s="1"/>
  <c r="C267" i="92" a="1"/>
  <c r="C267" i="92" s="1"/>
  <c r="E267" i="92" a="1"/>
  <c r="E267" i="92"/>
  <c r="G267" i="92"/>
  <c r="F267" i="92" a="1"/>
  <c r="F267" i="92" s="1"/>
  <c r="I267" i="92" a="1"/>
  <c r="I267" i="92" s="1"/>
  <c r="J267" i="92" a="1"/>
  <c r="J267" i="92" s="1"/>
  <c r="L267" i="92" a="1"/>
  <c r="L267" i="92" s="1"/>
  <c r="M267" i="92" a="1"/>
  <c r="M267" i="92" s="1"/>
  <c r="P267" i="92" a="1"/>
  <c r="P267" i="92" s="1"/>
  <c r="Q267" i="92" a="1"/>
  <c r="Q267" i="92" s="1"/>
  <c r="R267" i="92" s="1"/>
  <c r="S267" i="92" a="1"/>
  <c r="S267" i="92"/>
  <c r="T267" i="92" a="1"/>
  <c r="T267" i="92" s="1"/>
  <c r="W267" i="92" a="1"/>
  <c r="W267" i="92" s="1"/>
  <c r="X267" i="92" a="1"/>
  <c r="X267" i="92" s="1"/>
  <c r="Z267" i="92" a="1"/>
  <c r="Z267" i="92"/>
  <c r="AA267" i="92" a="1"/>
  <c r="AA267" i="92" s="1"/>
  <c r="B268" i="92" a="1"/>
  <c r="B268" i="92"/>
  <c r="C268" i="92" a="1"/>
  <c r="C268" i="92" s="1"/>
  <c r="E268" i="92" a="1"/>
  <c r="E268" i="92" s="1"/>
  <c r="F268" i="92" a="1"/>
  <c r="F268" i="92"/>
  <c r="I268" i="92" a="1"/>
  <c r="I268" i="92" s="1"/>
  <c r="J268" i="92" a="1"/>
  <c r="J268" i="92"/>
  <c r="L268" i="92" a="1"/>
  <c r="L268" i="92" s="1"/>
  <c r="N268" i="92" s="1"/>
  <c r="M268" i="92" a="1"/>
  <c r="M268" i="92" s="1"/>
  <c r="P268" i="92" a="1"/>
  <c r="P268" i="92" s="1"/>
  <c r="Q268" i="92" a="1"/>
  <c r="Q268" i="92" s="1"/>
  <c r="S268" i="92" a="1"/>
  <c r="S268" i="92" s="1"/>
  <c r="T268" i="92" a="1"/>
  <c r="T268" i="92"/>
  <c r="U268" i="92" s="1"/>
  <c r="W268" i="92" a="1"/>
  <c r="W268" i="92" s="1"/>
  <c r="X268" i="92" a="1"/>
  <c r="X268" i="92" s="1"/>
  <c r="Z268" i="92" a="1"/>
  <c r="Z268" i="92" s="1"/>
  <c r="AA268" i="92" a="1"/>
  <c r="AA268" i="92" s="1"/>
  <c r="B269" i="92" a="1"/>
  <c r="B269" i="92" s="1"/>
  <c r="C269" i="92" a="1"/>
  <c r="C269" i="92"/>
  <c r="E269" i="92" a="1"/>
  <c r="E269" i="92" s="1"/>
  <c r="F269" i="92" a="1"/>
  <c r="F269" i="92" s="1"/>
  <c r="I269" i="92" a="1"/>
  <c r="I269" i="92" s="1"/>
  <c r="J269" i="92" a="1"/>
  <c r="J269" i="92" s="1"/>
  <c r="L269" i="92" a="1"/>
  <c r="L269" i="92" s="1"/>
  <c r="M269" i="92" a="1"/>
  <c r="M269" i="92" s="1"/>
  <c r="P269" i="92" a="1"/>
  <c r="P269" i="92" s="1"/>
  <c r="Q269" i="92" a="1"/>
  <c r="Q269" i="92" s="1"/>
  <c r="R269" i="92" s="1"/>
  <c r="S269" i="92" a="1"/>
  <c r="S269" i="92" s="1"/>
  <c r="T269" i="92" a="1"/>
  <c r="T269" i="92"/>
  <c r="W269" i="92" a="1"/>
  <c r="W269" i="92" s="1"/>
  <c r="X269" i="92" a="1"/>
  <c r="X269" i="92" s="1"/>
  <c r="Z269" i="92" a="1"/>
  <c r="Z269" i="92" s="1"/>
  <c r="AA269" i="92" a="1"/>
  <c r="AA269" i="92" s="1"/>
  <c r="B270" i="92" a="1"/>
  <c r="B270" i="92" s="1"/>
  <c r="C270" i="92" a="1"/>
  <c r="C270" i="92" s="1"/>
  <c r="E270" i="92" a="1"/>
  <c r="E270" i="92" s="1"/>
  <c r="G270" i="92" s="1"/>
  <c r="F270" i="92" a="1"/>
  <c r="F270" i="92" s="1"/>
  <c r="I270" i="92" a="1"/>
  <c r="I270" i="92"/>
  <c r="J270" i="92" a="1"/>
  <c r="J270" i="92" s="1"/>
  <c r="L270" i="92" a="1"/>
  <c r="L270" i="92" s="1"/>
  <c r="M270" i="92" a="1"/>
  <c r="M270" i="92" s="1"/>
  <c r="P270" i="92" a="1"/>
  <c r="P270" i="92" s="1"/>
  <c r="R270" i="92" s="1"/>
  <c r="Q270" i="92" a="1"/>
  <c r="Q270" i="92" s="1"/>
  <c r="S270" i="92" a="1"/>
  <c r="S270" i="92"/>
  <c r="T270" i="92" a="1"/>
  <c r="T270" i="92" s="1"/>
  <c r="W270" i="92" a="1"/>
  <c r="W270" i="92"/>
  <c r="X270" i="92" a="1"/>
  <c r="X270" i="92" s="1"/>
  <c r="Y270" i="92" s="1"/>
  <c r="Z270" i="92" a="1"/>
  <c r="Z270" i="92" s="1"/>
  <c r="AA270" i="92" a="1"/>
  <c r="AA270" i="92"/>
  <c r="B271" i="92" a="1"/>
  <c r="B271" i="92" s="1"/>
  <c r="C271" i="92" a="1"/>
  <c r="C271" i="92"/>
  <c r="E271" i="92" a="1"/>
  <c r="E271" i="92" s="1"/>
  <c r="F271" i="92" a="1"/>
  <c r="F271" i="92" s="1"/>
  <c r="I271" i="92" a="1"/>
  <c r="I271" i="92" s="1"/>
  <c r="J271" i="92" a="1"/>
  <c r="J271" i="92" s="1"/>
  <c r="L271" i="92" a="1"/>
  <c r="L271" i="92" s="1"/>
  <c r="M271" i="92" a="1"/>
  <c r="M271" i="92"/>
  <c r="P271" i="92" a="1"/>
  <c r="P271" i="92" s="1"/>
  <c r="Q271" i="92" a="1"/>
  <c r="Q271" i="92" s="1"/>
  <c r="S271" i="92" a="1"/>
  <c r="S271" i="92" s="1"/>
  <c r="T271" i="92" a="1"/>
  <c r="T271" i="92"/>
  <c r="W271" i="92" a="1"/>
  <c r="W271" i="92" s="1"/>
  <c r="Y271" i="92" s="1"/>
  <c r="X271" i="92" a="1"/>
  <c r="X271" i="92" s="1"/>
  <c r="Z271" i="92" a="1"/>
  <c r="Z271" i="92" s="1"/>
  <c r="AA271" i="92" a="1"/>
  <c r="AA271" i="92" s="1"/>
  <c r="B272" i="92" a="1"/>
  <c r="B272" i="92"/>
  <c r="C272" i="92" a="1"/>
  <c r="C272" i="92" s="1"/>
  <c r="E272" i="92" a="1"/>
  <c r="E272" i="92" s="1"/>
  <c r="F272" i="92" a="1"/>
  <c r="F272" i="92" s="1"/>
  <c r="I272" i="92" a="1"/>
  <c r="I272" i="92" s="1"/>
  <c r="K272" i="92" s="1"/>
  <c r="J272" i="92" a="1"/>
  <c r="J272" i="92" s="1"/>
  <c r="L272" i="92" a="1"/>
  <c r="L272" i="92"/>
  <c r="M272" i="92" a="1"/>
  <c r="M272" i="92" s="1"/>
  <c r="P272" i="92" a="1"/>
  <c r="P272" i="92" s="1"/>
  <c r="Q272" i="92" a="1"/>
  <c r="Q272" i="92" s="1"/>
  <c r="S272" i="92" a="1"/>
  <c r="S272" i="92" s="1"/>
  <c r="U272" i="92" s="1"/>
  <c r="T272" i="92" a="1"/>
  <c r="T272" i="92" s="1"/>
  <c r="W272" i="92" a="1"/>
  <c r="W272" i="92" s="1"/>
  <c r="X272" i="92" a="1"/>
  <c r="X272" i="92" s="1"/>
  <c r="Z272" i="92" a="1"/>
  <c r="Z272" i="92" s="1"/>
  <c r="AB272" i="92" s="1"/>
  <c r="AA272" i="92" a="1"/>
  <c r="AA272" i="92" s="1"/>
  <c r="B273" i="92" a="1"/>
  <c r="B273" i="92" s="1"/>
  <c r="C273" i="92" a="1"/>
  <c r="C273" i="92" s="1"/>
  <c r="E273" i="92" a="1"/>
  <c r="E273" i="92" s="1"/>
  <c r="F273" i="92" a="1"/>
  <c r="F273" i="92"/>
  <c r="I273" i="92" a="1"/>
  <c r="I273" i="92" s="1"/>
  <c r="J273" i="92" a="1"/>
  <c r="J273" i="92"/>
  <c r="L273" i="92" a="1"/>
  <c r="L273" i="92" s="1"/>
  <c r="N273" i="92" s="1"/>
  <c r="M273" i="92" a="1"/>
  <c r="M273" i="92" s="1"/>
  <c r="P273" i="92" a="1"/>
  <c r="P273" i="92" s="1"/>
  <c r="Q273" i="92" a="1"/>
  <c r="Q273" i="92"/>
  <c r="S273" i="92" a="1"/>
  <c r="S273" i="92" s="1"/>
  <c r="T273" i="92" a="1"/>
  <c r="T273" i="92" s="1"/>
  <c r="W273" i="92" a="1"/>
  <c r="W273" i="92"/>
  <c r="Y273" i="92" s="1"/>
  <c r="X273" i="92" a="1"/>
  <c r="X273" i="92"/>
  <c r="Z273" i="92" a="1"/>
  <c r="Z273" i="92" s="1"/>
  <c r="AA273" i="92" a="1"/>
  <c r="AA273" i="92" s="1"/>
  <c r="B274" i="92" a="1"/>
  <c r="B274" i="92"/>
  <c r="D274" i="92" s="1"/>
  <c r="C274" i="92" a="1"/>
  <c r="C274" i="92" s="1"/>
  <c r="E274" i="92" a="1"/>
  <c r="E274" i="92"/>
  <c r="F274" i="92" a="1"/>
  <c r="F274" i="92" s="1"/>
  <c r="I274" i="92" a="1"/>
  <c r="I274" i="92" s="1"/>
  <c r="J274" i="92" a="1"/>
  <c r="J274" i="92" s="1"/>
  <c r="L274" i="92" a="1"/>
  <c r="L274" i="92" s="1"/>
  <c r="M274" i="92" a="1"/>
  <c r="M274" i="92" s="1"/>
  <c r="P274" i="92" a="1"/>
  <c r="P274" i="92"/>
  <c r="Q274" i="92" a="1"/>
  <c r="Q274" i="92"/>
  <c r="S274" i="92" a="1"/>
  <c r="S274" i="92" s="1"/>
  <c r="T274" i="92" a="1"/>
  <c r="T274" i="92"/>
  <c r="W274" i="92" a="1"/>
  <c r="W274" i="92" s="1"/>
  <c r="X274" i="92" a="1"/>
  <c r="X274" i="92"/>
  <c r="Z274" i="92" a="1"/>
  <c r="Z274" i="92" s="1"/>
  <c r="AA274" i="92" a="1"/>
  <c r="AA274" i="92"/>
  <c r="B275" i="92" a="1"/>
  <c r="B275" i="92" s="1"/>
  <c r="C275" i="92" a="1"/>
  <c r="C275" i="92" s="1"/>
  <c r="E275" i="92" a="1"/>
  <c r="E275" i="92" s="1"/>
  <c r="G275" i="92" s="1"/>
  <c r="F275" i="92" a="1"/>
  <c r="F275" i="92" s="1"/>
  <c r="I275" i="92" a="1"/>
  <c r="I275" i="92" s="1"/>
  <c r="J275" i="92" a="1"/>
  <c r="J275" i="92" s="1"/>
  <c r="K275" i="92" s="1"/>
  <c r="L275" i="92" a="1"/>
  <c r="L275" i="92" s="1"/>
  <c r="M275" i="92" a="1"/>
  <c r="M275" i="92"/>
  <c r="N275" i="92"/>
  <c r="P275" i="92" a="1"/>
  <c r="P275" i="92"/>
  <c r="Q275" i="92" a="1"/>
  <c r="Q275" i="92" s="1"/>
  <c r="R275" i="92" s="1"/>
  <c r="S275" i="92" a="1"/>
  <c r="S275" i="92" s="1"/>
  <c r="U275" i="92" s="1"/>
  <c r="T275" i="92" a="1"/>
  <c r="T275" i="92" s="1"/>
  <c r="W275" i="92" a="1"/>
  <c r="W275" i="92" s="1"/>
  <c r="Y275" i="92" s="1"/>
  <c r="X275" i="92" a="1"/>
  <c r="X275" i="92" s="1"/>
  <c r="Z275" i="92" a="1"/>
  <c r="Z275" i="92" s="1"/>
  <c r="AB275" i="92" s="1"/>
  <c r="AA275" i="92" a="1"/>
  <c r="AA275" i="92" s="1"/>
  <c r="B276" i="92" a="1"/>
  <c r="B276" i="92" s="1"/>
  <c r="C276" i="92" a="1"/>
  <c r="C276" i="92" s="1"/>
  <c r="D276" i="92" s="1"/>
  <c r="E276" i="92" a="1"/>
  <c r="E276" i="92" s="1"/>
  <c r="F276" i="92" a="1"/>
  <c r="F276" i="92" s="1"/>
  <c r="I276" i="92" a="1"/>
  <c r="I276" i="92" s="1"/>
  <c r="J276" i="92" a="1"/>
  <c r="J276" i="92"/>
  <c r="K276" i="92"/>
  <c r="L276" i="92" a="1"/>
  <c r="L276" i="92" s="1"/>
  <c r="M276" i="92" a="1"/>
  <c r="M276" i="92"/>
  <c r="N276" i="92" s="1"/>
  <c r="P276" i="92" a="1"/>
  <c r="P276" i="92" s="1"/>
  <c r="Q276" i="92" a="1"/>
  <c r="Q276" i="92" s="1"/>
  <c r="S276" i="92" a="1"/>
  <c r="S276" i="92" s="1"/>
  <c r="T276" i="92" a="1"/>
  <c r="T276" i="92" s="1"/>
  <c r="U276" i="92" s="1"/>
  <c r="W276" i="92" a="1"/>
  <c r="W276" i="92" s="1"/>
  <c r="X276" i="92" a="1"/>
  <c r="X276" i="92"/>
  <c r="Y276" i="92" s="1"/>
  <c r="Z276" i="92" a="1"/>
  <c r="Z276" i="92" s="1"/>
  <c r="AB276" i="92" s="1"/>
  <c r="AA276" i="92" a="1"/>
  <c r="AA276" i="92"/>
  <c r="B277" i="92" a="1"/>
  <c r="B277" i="92" s="1"/>
  <c r="C277" i="92" a="1"/>
  <c r="C277" i="92" s="1"/>
  <c r="E277" i="92" a="1"/>
  <c r="E277" i="92" s="1"/>
  <c r="F277" i="92" a="1"/>
  <c r="F277" i="92" s="1"/>
  <c r="G277" i="92" s="1"/>
  <c r="I277" i="92" a="1"/>
  <c r="I277" i="92" s="1"/>
  <c r="K277" i="92" s="1"/>
  <c r="J277" i="92" a="1"/>
  <c r="J277" i="92"/>
  <c r="L277" i="92" a="1"/>
  <c r="L277" i="92" s="1"/>
  <c r="M277" i="92" a="1"/>
  <c r="M277" i="92" s="1"/>
  <c r="N277" i="92" s="1"/>
  <c r="P277" i="92" a="1"/>
  <c r="P277" i="92" s="1"/>
  <c r="Q277" i="92" a="1"/>
  <c r="Q277" i="92"/>
  <c r="S277" i="92" a="1"/>
  <c r="S277" i="92" s="1"/>
  <c r="T277" i="92" a="1"/>
  <c r="T277" i="92" s="1"/>
  <c r="W277" i="92" a="1"/>
  <c r="W277" i="92" s="1"/>
  <c r="X277" i="92" a="1"/>
  <c r="X277" i="92" s="1"/>
  <c r="Z277" i="92" a="1"/>
  <c r="Z277" i="92" s="1"/>
  <c r="AA277" i="92" a="1"/>
  <c r="AA277" i="92" s="1"/>
  <c r="AB277" i="92" s="1"/>
  <c r="B278" i="92" a="1"/>
  <c r="B278" i="92" s="1"/>
  <c r="C278" i="92" a="1"/>
  <c r="C278" i="92"/>
  <c r="D278" i="92" s="1"/>
  <c r="E278" i="92" a="1"/>
  <c r="E278" i="92" s="1"/>
  <c r="F278" i="92" a="1"/>
  <c r="F278" i="92" s="1"/>
  <c r="I278" i="92" a="1"/>
  <c r="I278" i="92" s="1"/>
  <c r="J278" i="92" a="1"/>
  <c r="J278" i="92" s="1"/>
  <c r="L278" i="92" a="1"/>
  <c r="L278" i="92"/>
  <c r="M278" i="92" a="1"/>
  <c r="M278" i="92" s="1"/>
  <c r="N278" i="92" s="1"/>
  <c r="P278" i="92" a="1"/>
  <c r="P278" i="92"/>
  <c r="Q278" i="92" a="1"/>
  <c r="Q278" i="92" s="1"/>
  <c r="R278" i="92" s="1"/>
  <c r="S278" i="92" a="1"/>
  <c r="S278" i="92" s="1"/>
  <c r="T278" i="92" a="1"/>
  <c r="T278" i="92" s="1"/>
  <c r="W278" i="92" a="1"/>
  <c r="W278" i="92" s="1"/>
  <c r="X278" i="92" a="1"/>
  <c r="X278" i="92" s="1"/>
  <c r="Z278" i="92" a="1"/>
  <c r="Z278" i="92" s="1"/>
  <c r="AA278" i="92" a="1"/>
  <c r="AA278" i="92" s="1"/>
  <c r="B279" i="92" a="1"/>
  <c r="B279" i="92" s="1"/>
  <c r="D279" i="92" s="1"/>
  <c r="C279" i="92" a="1"/>
  <c r="C279" i="92" s="1"/>
  <c r="E279" i="92" a="1"/>
  <c r="E279" i="92" s="1"/>
  <c r="F279" i="92" a="1"/>
  <c r="F279" i="92" s="1"/>
  <c r="I279" i="92" a="1"/>
  <c r="I279" i="92" s="1"/>
  <c r="J279" i="92" a="1"/>
  <c r="J279" i="92" s="1"/>
  <c r="K279" i="92" s="1"/>
  <c r="L279" i="92" a="1"/>
  <c r="L279" i="92" s="1"/>
  <c r="M279" i="92" a="1"/>
  <c r="M279" i="92"/>
  <c r="P279" i="92" a="1"/>
  <c r="P279" i="92" s="1"/>
  <c r="Q279" i="92" a="1"/>
  <c r="Q279" i="92" s="1"/>
  <c r="S279" i="92" a="1"/>
  <c r="S279" i="92" s="1"/>
  <c r="T279" i="92" a="1"/>
  <c r="T279" i="92" s="1"/>
  <c r="W279" i="92" a="1"/>
  <c r="W279" i="92" s="1"/>
  <c r="X279" i="92" a="1"/>
  <c r="X279" i="92" s="1"/>
  <c r="Z279" i="92" a="1"/>
  <c r="Z279" i="92" s="1"/>
  <c r="AA279" i="92" a="1"/>
  <c r="AA279" i="92" s="1"/>
  <c r="B280" i="92" a="1"/>
  <c r="B280" i="92" s="1"/>
  <c r="C280" i="92" a="1"/>
  <c r="C280" i="92" s="1"/>
  <c r="E280" i="92" a="1"/>
  <c r="E280" i="92" s="1"/>
  <c r="F280" i="92" a="1"/>
  <c r="F280" i="92"/>
  <c r="I280" i="92" a="1"/>
  <c r="I280" i="92" s="1"/>
  <c r="K280" i="92" s="1"/>
  <c r="J280" i="92" a="1"/>
  <c r="J280" i="92"/>
  <c r="L280" i="92" a="1"/>
  <c r="L280" i="92" s="1"/>
  <c r="M280" i="92" a="1"/>
  <c r="M280" i="92" s="1"/>
  <c r="P280" i="92" a="1"/>
  <c r="P280" i="92" s="1"/>
  <c r="Q280" i="92" a="1"/>
  <c r="Q280" i="92"/>
  <c r="S280" i="92" a="1"/>
  <c r="S280" i="92" s="1"/>
  <c r="T280" i="92" a="1"/>
  <c r="T280" i="92" s="1"/>
  <c r="W280" i="92" a="1"/>
  <c r="W280" i="92"/>
  <c r="X280" i="92" a="1"/>
  <c r="X280" i="92" s="1"/>
  <c r="Z280" i="92" a="1"/>
  <c r="Z280" i="92"/>
  <c r="AA280" i="92" a="1"/>
  <c r="AA280" i="92" s="1"/>
  <c r="B281" i="92" a="1"/>
  <c r="B281" i="92" s="1"/>
  <c r="C281" i="92" a="1"/>
  <c r="C281" i="92" s="1"/>
  <c r="E281" i="92" a="1"/>
  <c r="E281" i="92" s="1"/>
  <c r="F281" i="92" a="1"/>
  <c r="F281" i="92" s="1"/>
  <c r="I281" i="92" a="1"/>
  <c r="I281" i="92"/>
  <c r="J281" i="92" a="1"/>
  <c r="J281" i="92" s="1"/>
  <c r="L281" i="92" a="1"/>
  <c r="L281" i="92" s="1"/>
  <c r="M281" i="92" a="1"/>
  <c r="M281" i="92"/>
  <c r="P281" i="92" a="1"/>
  <c r="P281" i="92"/>
  <c r="R281" i="92" s="1"/>
  <c r="Q281" i="92" a="1"/>
  <c r="Q281" i="92"/>
  <c r="S281" i="92" a="1"/>
  <c r="S281" i="92" s="1"/>
  <c r="T281" i="92" a="1"/>
  <c r="T281" i="92" s="1"/>
  <c r="W281" i="92" a="1"/>
  <c r="W281" i="92" s="1"/>
  <c r="X281" i="92" a="1"/>
  <c r="X281" i="92" s="1"/>
  <c r="Z281" i="92" a="1"/>
  <c r="Z281" i="92" s="1"/>
  <c r="AA281" i="92" a="1"/>
  <c r="AA281" i="92"/>
  <c r="B282" i="92" a="1"/>
  <c r="B282" i="92" s="1"/>
  <c r="C282" i="92" a="1"/>
  <c r="C282" i="92" s="1"/>
  <c r="E282" i="92" a="1"/>
  <c r="E282" i="92" s="1"/>
  <c r="F282" i="92" a="1"/>
  <c r="F282" i="92" s="1"/>
  <c r="I282" i="92" a="1"/>
  <c r="I282" i="92" s="1"/>
  <c r="K282" i="92" s="1"/>
  <c r="J282" i="92" a="1"/>
  <c r="J282" i="92" s="1"/>
  <c r="L282" i="92" a="1"/>
  <c r="L282" i="92"/>
  <c r="M282" i="92" a="1"/>
  <c r="M282" i="92" s="1"/>
  <c r="P282" i="92" a="1"/>
  <c r="P282" i="92" s="1"/>
  <c r="Q282" i="92" a="1"/>
  <c r="Q282" i="92" s="1"/>
  <c r="S282" i="92" a="1"/>
  <c r="S282" i="92" s="1"/>
  <c r="U282" i="92" s="1"/>
  <c r="T282" i="92" a="1"/>
  <c r="T282" i="92" s="1"/>
  <c r="W282" i="92" a="1"/>
  <c r="W282" i="92"/>
  <c r="X282" i="92" a="1"/>
  <c r="X282" i="92" s="1"/>
  <c r="Z282" i="92" a="1"/>
  <c r="Z282" i="92"/>
  <c r="AA282" i="92" a="1"/>
  <c r="AA282" i="92" s="1"/>
  <c r="B283" i="92" a="1"/>
  <c r="B283" i="92" s="1"/>
  <c r="C283" i="92" a="1"/>
  <c r="C283" i="92" s="1"/>
  <c r="E283" i="92" a="1"/>
  <c r="E283" i="92"/>
  <c r="F283" i="92" a="1"/>
  <c r="F283" i="92" s="1"/>
  <c r="I283" i="92" a="1"/>
  <c r="I283" i="92" s="1"/>
  <c r="J283" i="92" a="1"/>
  <c r="J283" i="92" s="1"/>
  <c r="L283" i="92" a="1"/>
  <c r="L283" i="92" s="1"/>
  <c r="N283" i="92" s="1"/>
  <c r="M283" i="92" a="1"/>
  <c r="M283" i="92" s="1"/>
  <c r="P283" i="92" a="1"/>
  <c r="P283" i="92" s="1"/>
  <c r="Q283" i="92" a="1"/>
  <c r="Q283" i="92" s="1"/>
  <c r="S283" i="92" a="1"/>
  <c r="S283" i="92" s="1"/>
  <c r="T283" i="92" a="1"/>
  <c r="T283" i="92" s="1"/>
  <c r="W283" i="92" a="1"/>
  <c r="W283" i="92" s="1"/>
  <c r="Y283" i="92" s="1"/>
  <c r="X283" i="92" a="1"/>
  <c r="X283" i="92" s="1"/>
  <c r="Z283" i="92" a="1"/>
  <c r="Z283" i="92"/>
  <c r="AA283" i="92" a="1"/>
  <c r="AA283" i="92" s="1"/>
  <c r="AB283" i="92" s="1"/>
  <c r="B284" i="92" a="1"/>
  <c r="B284" i="92" s="1"/>
  <c r="C284" i="92" a="1"/>
  <c r="C284" i="92"/>
  <c r="E284" i="92" a="1"/>
  <c r="E284" i="92" s="1"/>
  <c r="F284" i="92" a="1"/>
  <c r="F284" i="92"/>
  <c r="I284" i="92" a="1"/>
  <c r="I284" i="92" s="1"/>
  <c r="K284" i="92" s="1"/>
  <c r="J284" i="92" a="1"/>
  <c r="J284" i="92" s="1"/>
  <c r="L284" i="92" a="1"/>
  <c r="L284" i="92" s="1"/>
  <c r="M284" i="92" a="1"/>
  <c r="M284" i="92"/>
  <c r="N284" i="92" s="1"/>
  <c r="P284" i="92" a="1"/>
  <c r="P284" i="92" s="1"/>
  <c r="Q284" i="92" a="1"/>
  <c r="Q284" i="92"/>
  <c r="S284" i="92" a="1"/>
  <c r="S284" i="92" s="1"/>
  <c r="U284" i="92" s="1"/>
  <c r="T284" i="92" a="1"/>
  <c r="T284" i="92"/>
  <c r="W284" i="92" a="1"/>
  <c r="W284" i="92" s="1"/>
  <c r="X284" i="92" a="1"/>
  <c r="X284" i="92" s="1"/>
  <c r="Y284" i="92" s="1"/>
  <c r="Z284" i="92" a="1"/>
  <c r="Z284" i="92" s="1"/>
  <c r="AA284" i="92" a="1"/>
  <c r="AA284" i="92" s="1"/>
  <c r="B285" i="92" a="1"/>
  <c r="B285" i="92" s="1"/>
  <c r="C285" i="92" a="1"/>
  <c r="C285" i="92"/>
  <c r="E285" i="92" a="1"/>
  <c r="E285" i="92" s="1"/>
  <c r="F285" i="92" a="1"/>
  <c r="F285" i="92" s="1"/>
  <c r="I285" i="92" a="1"/>
  <c r="I285" i="92" s="1"/>
  <c r="J285" i="92" a="1"/>
  <c r="J285" i="92" s="1"/>
  <c r="L285" i="92" a="1"/>
  <c r="L285" i="92" s="1"/>
  <c r="M285" i="92" a="1"/>
  <c r="M285" i="92" s="1"/>
  <c r="P285" i="92" a="1"/>
  <c r="P285" i="92" s="1"/>
  <c r="R285" i="92" s="1"/>
  <c r="Q285" i="92" a="1"/>
  <c r="Q285" i="92" s="1"/>
  <c r="S285" i="92" a="1"/>
  <c r="S285" i="92" s="1"/>
  <c r="T285" i="92" a="1"/>
  <c r="T285" i="92"/>
  <c r="U285" i="92" s="1"/>
  <c r="W285" i="92" a="1"/>
  <c r="W285" i="92" s="1"/>
  <c r="X285" i="92" a="1"/>
  <c r="X285" i="92" s="1"/>
  <c r="Z285" i="92" a="1"/>
  <c r="Z285" i="92" s="1"/>
  <c r="AB285" i="92" s="1"/>
  <c r="AA285" i="92" a="1"/>
  <c r="AA285" i="92" s="1"/>
  <c r="B286" i="92" a="1"/>
  <c r="B286" i="92" s="1"/>
  <c r="C286" i="92" a="1"/>
  <c r="C286" i="92"/>
  <c r="E286" i="92" a="1"/>
  <c r="E286" i="92"/>
  <c r="G286" i="92" s="1"/>
  <c r="F286" i="92" a="1"/>
  <c r="F286" i="92" s="1"/>
  <c r="I286" i="92" a="1"/>
  <c r="I286" i="92"/>
  <c r="J286" i="92" a="1"/>
  <c r="J286" i="92" s="1"/>
  <c r="L286" i="92" a="1"/>
  <c r="L286" i="92" s="1"/>
  <c r="M286" i="92" a="1"/>
  <c r="M286" i="92" s="1"/>
  <c r="N286" i="92" s="1"/>
  <c r="P286" i="92" a="1"/>
  <c r="P286" i="92"/>
  <c r="R286" i="92" s="1"/>
  <c r="Q286" i="92" a="1"/>
  <c r="Q286" i="92"/>
  <c r="S286" i="92" a="1"/>
  <c r="S286" i="92" s="1"/>
  <c r="T286" i="92" a="1"/>
  <c r="T286" i="92" s="1"/>
  <c r="W286" i="92" a="1"/>
  <c r="W286" i="92" s="1"/>
  <c r="X286" i="92" a="1"/>
  <c r="X286" i="92" s="1"/>
  <c r="Z286" i="92" a="1"/>
  <c r="Z286" i="92"/>
  <c r="AA286" i="92" a="1"/>
  <c r="AA286" i="92" s="1"/>
  <c r="B287" i="92" a="1"/>
  <c r="B287" i="92" s="1"/>
  <c r="C287" i="92" a="1"/>
  <c r="C287" i="92" s="1"/>
  <c r="D287" i="92" s="1"/>
  <c r="E287" i="92" a="1"/>
  <c r="E287" i="92" s="1"/>
  <c r="G287" i="92" s="1"/>
  <c r="F287" i="92" a="1"/>
  <c r="F287" i="92" s="1"/>
  <c r="I287" i="92" a="1"/>
  <c r="I287" i="92"/>
  <c r="J287" i="92" a="1"/>
  <c r="J287" i="92" s="1"/>
  <c r="L287" i="92" a="1"/>
  <c r="L287" i="92" s="1"/>
  <c r="M287" i="92" a="1"/>
  <c r="M287" i="92" s="1"/>
  <c r="P287" i="92" a="1"/>
  <c r="P287" i="92" s="1"/>
  <c r="Q287" i="92" a="1"/>
  <c r="Q287" i="92"/>
  <c r="S287" i="92" a="1"/>
  <c r="S287" i="92" s="1"/>
  <c r="T287" i="92" a="1"/>
  <c r="T287" i="92" s="1"/>
  <c r="W287" i="92" a="1"/>
  <c r="W287" i="92"/>
  <c r="X287" i="92" a="1"/>
  <c r="X287" i="92" s="1"/>
  <c r="Z287" i="92" a="1"/>
  <c r="Z287" i="92" s="1"/>
  <c r="AA287" i="92" a="1"/>
  <c r="AA287" i="92"/>
  <c r="B288" i="92" a="1"/>
  <c r="B288" i="92" s="1"/>
  <c r="C288" i="92" a="1"/>
  <c r="C288" i="92" s="1"/>
  <c r="E288" i="92" a="1"/>
  <c r="E288" i="92" s="1"/>
  <c r="F288" i="92" a="1"/>
  <c r="F288" i="92"/>
  <c r="I288" i="92" a="1"/>
  <c r="I288" i="92" s="1"/>
  <c r="J288" i="92" a="1"/>
  <c r="J288" i="92" s="1"/>
  <c r="L288" i="92" a="1"/>
  <c r="L288" i="92" s="1"/>
  <c r="M288" i="92" a="1"/>
  <c r="M288" i="92" s="1"/>
  <c r="P288" i="92" a="1"/>
  <c r="P288" i="92" s="1"/>
  <c r="Q288" i="92" a="1"/>
  <c r="Q288" i="92"/>
  <c r="S288" i="92" a="1"/>
  <c r="S288" i="92" s="1"/>
  <c r="U288" i="92" s="1"/>
  <c r="T288" i="92" a="1"/>
  <c r="T288" i="92"/>
  <c r="W288" i="92" a="1"/>
  <c r="W288" i="92" s="1"/>
  <c r="X288" i="92" a="1"/>
  <c r="X288" i="92"/>
  <c r="Z288" i="92" a="1"/>
  <c r="Z288" i="92" s="1"/>
  <c r="AA288" i="92" a="1"/>
  <c r="AA288" i="92" s="1"/>
  <c r="B289" i="92" a="1"/>
  <c r="B289" i="92" s="1"/>
  <c r="D289" i="92" s="1"/>
  <c r="C289" i="92" a="1"/>
  <c r="C289" i="92" s="1"/>
  <c r="E289" i="92" a="1"/>
  <c r="E289" i="92" s="1"/>
  <c r="F289" i="92" a="1"/>
  <c r="F289" i="92"/>
  <c r="G289" i="92" s="1"/>
  <c r="I289" i="92" a="1"/>
  <c r="I289" i="92" s="1"/>
  <c r="J289" i="92" a="1"/>
  <c r="J289" i="92"/>
  <c r="K289" i="92" s="1"/>
  <c r="L289" i="92" a="1"/>
  <c r="L289" i="92" s="1"/>
  <c r="N289" i="92" s="1"/>
  <c r="M289" i="92" a="1"/>
  <c r="M289" i="92" s="1"/>
  <c r="P289" i="92" a="1"/>
  <c r="P289" i="92" s="1"/>
  <c r="Q289" i="92" a="1"/>
  <c r="Q289" i="92"/>
  <c r="R289" i="92" s="1"/>
  <c r="S289" i="92" a="1"/>
  <c r="S289" i="92" s="1"/>
  <c r="T289" i="92" a="1"/>
  <c r="T289" i="92" s="1"/>
  <c r="U289" i="92" s="1"/>
  <c r="W289" i="92" a="1"/>
  <c r="W289" i="92" s="1"/>
  <c r="Y289" i="92" s="1"/>
  <c r="X289" i="92" a="1"/>
  <c r="X289" i="92" s="1"/>
  <c r="Z289" i="92" a="1"/>
  <c r="Z289" i="92" s="1"/>
  <c r="AA289" i="92" a="1"/>
  <c r="AA289" i="92"/>
  <c r="AB289" i="92" s="1"/>
  <c r="B290" i="92" a="1"/>
  <c r="B290" i="92" s="1"/>
  <c r="C290" i="92" a="1"/>
  <c r="C290" i="92" s="1"/>
  <c r="E290" i="92" a="1"/>
  <c r="E290" i="92"/>
  <c r="G290" i="92" s="1"/>
  <c r="F290" i="92" a="1"/>
  <c r="F290" i="92"/>
  <c r="I290" i="92" a="1"/>
  <c r="I290" i="92"/>
  <c r="K290" i="92" s="1"/>
  <c r="J290" i="92" a="1"/>
  <c r="J290" i="92" s="1"/>
  <c r="L290" i="92" a="1"/>
  <c r="L290" i="92" s="1"/>
  <c r="N290" i="92" s="1"/>
  <c r="M290" i="92" a="1"/>
  <c r="M290" i="92" s="1"/>
  <c r="P290" i="92" a="1"/>
  <c r="P290" i="92"/>
  <c r="Q290" i="92" a="1"/>
  <c r="Q290" i="92" s="1"/>
  <c r="S290" i="92" a="1"/>
  <c r="S290" i="92" s="1"/>
  <c r="T290" i="92" a="1"/>
  <c r="T290" i="92" s="1"/>
  <c r="W290" i="92" a="1"/>
  <c r="W290" i="92" s="1"/>
  <c r="Y290" i="92" s="1"/>
  <c r="X290" i="92" a="1"/>
  <c r="X290" i="92" s="1"/>
  <c r="Z290" i="92" a="1"/>
  <c r="Z290" i="92"/>
  <c r="AA290" i="92" a="1"/>
  <c r="AA290" i="92" s="1"/>
  <c r="AB290" i="92" s="1"/>
  <c r="B291" i="92" a="1"/>
  <c r="B291" i="92"/>
  <c r="C291" i="92" a="1"/>
  <c r="C291" i="92" s="1"/>
  <c r="D291" i="92" s="1"/>
  <c r="E291" i="92" a="1"/>
  <c r="E291" i="92" s="1"/>
  <c r="F291" i="92" a="1"/>
  <c r="F291" i="92" s="1"/>
  <c r="I291" i="92" a="1"/>
  <c r="I291" i="92" s="1"/>
  <c r="J291" i="92" a="1"/>
  <c r="J291" i="92" s="1"/>
  <c r="L291" i="92" a="1"/>
  <c r="L291" i="92"/>
  <c r="M291" i="92" a="1"/>
  <c r="M291" i="92"/>
  <c r="N291" i="92" s="1"/>
  <c r="P291" i="92" a="1"/>
  <c r="P291" i="92" s="1"/>
  <c r="Q291" i="92" a="1"/>
  <c r="Q291" i="92"/>
  <c r="S291" i="92" a="1"/>
  <c r="S291" i="92" s="1"/>
  <c r="T291" i="92" a="1"/>
  <c r="T291" i="92"/>
  <c r="W291" i="92" a="1"/>
  <c r="W291" i="92" s="1"/>
  <c r="X291" i="92" a="1"/>
  <c r="X291" i="92" s="1"/>
  <c r="Z291" i="92" a="1"/>
  <c r="Z291" i="92"/>
  <c r="AA291" i="92" a="1"/>
  <c r="AA291" i="92" s="1"/>
  <c r="B292" i="92" a="1"/>
  <c r="B292" i="92" s="1"/>
  <c r="C292" i="92" a="1"/>
  <c r="C292" i="92"/>
  <c r="E292" i="92" a="1"/>
  <c r="E292" i="92" s="1"/>
  <c r="F292" i="92" a="1"/>
  <c r="F292" i="92"/>
  <c r="I292" i="92" a="1"/>
  <c r="I292" i="92" s="1"/>
  <c r="K292" i="92" s="1"/>
  <c r="J292" i="92" a="1"/>
  <c r="J292" i="92"/>
  <c r="L292" i="92" a="1"/>
  <c r="L292" i="92" s="1"/>
  <c r="M292" i="92" a="1"/>
  <c r="M292" i="92" s="1"/>
  <c r="N292" i="92" s="1"/>
  <c r="P292" i="92" a="1"/>
  <c r="P292" i="92" s="1"/>
  <c r="Q292" i="92" a="1"/>
  <c r="Q292" i="92"/>
  <c r="R292" i="92" s="1"/>
  <c r="S292" i="92" a="1"/>
  <c r="S292" i="92" s="1"/>
  <c r="U292" i="92" s="1"/>
  <c r="T292" i="92" a="1"/>
  <c r="T292" i="92" s="1"/>
  <c r="W292" i="92" a="1"/>
  <c r="W292" i="92" s="1"/>
  <c r="X292" i="92" a="1"/>
  <c r="X292" i="92"/>
  <c r="Z292" i="92" a="1"/>
  <c r="Z292" i="92" s="1"/>
  <c r="AA292" i="92" a="1"/>
  <c r="AA292" i="92" s="1"/>
  <c r="B293" i="92" a="1"/>
  <c r="B293" i="92" s="1"/>
  <c r="C293" i="92" a="1"/>
  <c r="C293" i="92" s="1"/>
  <c r="E293" i="92" a="1"/>
  <c r="E293" i="92" s="1"/>
  <c r="F293" i="92" a="1"/>
  <c r="F293" i="92" s="1"/>
  <c r="I293" i="92" a="1"/>
  <c r="I293" i="92" s="1"/>
  <c r="J293" i="92" a="1"/>
  <c r="J293" i="92"/>
  <c r="L293" i="92" a="1"/>
  <c r="L293" i="92" s="1"/>
  <c r="M293" i="92" a="1"/>
  <c r="M293" i="92" s="1"/>
  <c r="P293" i="92" a="1"/>
  <c r="P293" i="92"/>
  <c r="Q293" i="92" a="1"/>
  <c r="Q293" i="92" s="1"/>
  <c r="S293" i="92" a="1"/>
  <c r="S293" i="92" s="1"/>
  <c r="T293" i="92" a="1"/>
  <c r="T293" i="92" s="1"/>
  <c r="W293" i="92" a="1"/>
  <c r="W293" i="92"/>
  <c r="X293" i="92" a="1"/>
  <c r="X293" i="92"/>
  <c r="Y293" i="92" s="1"/>
  <c r="Z293" i="92" a="1"/>
  <c r="Z293" i="92" s="1"/>
  <c r="AA293" i="92" a="1"/>
  <c r="AA293" i="92" s="1"/>
  <c r="B294" i="92" a="1"/>
  <c r="B294" i="92"/>
  <c r="D294" i="92"/>
  <c r="C294" i="92" a="1"/>
  <c r="C294" i="92" s="1"/>
  <c r="E294" i="92" a="1"/>
  <c r="E294" i="92" s="1"/>
  <c r="G294" i="92" s="1"/>
  <c r="F294" i="92" a="1"/>
  <c r="F294" i="92" s="1"/>
  <c r="I294" i="92" a="1"/>
  <c r="I294" i="92" s="1"/>
  <c r="J294" i="92" a="1"/>
  <c r="J294" i="92" s="1"/>
  <c r="L294" i="92" a="1"/>
  <c r="L294" i="92" s="1"/>
  <c r="N294" i="92" s="1"/>
  <c r="M294" i="92" a="1"/>
  <c r="M294" i="92"/>
  <c r="P294" i="92" a="1"/>
  <c r="P294" i="92" s="1"/>
  <c r="R294" i="92" s="1"/>
  <c r="Q294" i="92" a="1"/>
  <c r="Q294" i="92" s="1"/>
  <c r="S294" i="92" a="1"/>
  <c r="S294" i="92" s="1"/>
  <c r="T294" i="92" a="1"/>
  <c r="T294" i="92" s="1"/>
  <c r="W294" i="92" a="1"/>
  <c r="W294" i="92" s="1"/>
  <c r="X294" i="92" a="1"/>
  <c r="X294" i="92" s="1"/>
  <c r="Z294" i="92" a="1"/>
  <c r="Z294" i="92" s="1"/>
  <c r="AA294" i="92" a="1"/>
  <c r="AA294" i="92"/>
  <c r="AB294" i="92" s="1"/>
  <c r="B295" i="92" a="1"/>
  <c r="B295" i="92" s="1"/>
  <c r="C295" i="92" a="1"/>
  <c r="C295" i="92" s="1"/>
  <c r="E295" i="92" a="1"/>
  <c r="E295" i="92" s="1"/>
  <c r="F295" i="92" a="1"/>
  <c r="F295" i="92" s="1"/>
  <c r="I295" i="92" a="1"/>
  <c r="I295" i="92" s="1"/>
  <c r="J295" i="92" a="1"/>
  <c r="J295" i="92" s="1"/>
  <c r="L295" i="92" a="1"/>
  <c r="L295" i="92"/>
  <c r="M295" i="92" a="1"/>
  <c r="M295" i="92" s="1"/>
  <c r="P295" i="92" a="1"/>
  <c r="P295" i="92" s="1"/>
  <c r="Q295" i="92" a="1"/>
  <c r="Q295" i="92" s="1"/>
  <c r="S295" i="92" a="1"/>
  <c r="S295" i="92" s="1"/>
  <c r="T295" i="92" a="1"/>
  <c r="T295" i="92" s="1"/>
  <c r="W295" i="92" a="1"/>
  <c r="W295" i="92" s="1"/>
  <c r="Y295" i="92" s="1"/>
  <c r="X295" i="92" a="1"/>
  <c r="X295" i="92" s="1"/>
  <c r="Z295" i="92" a="1"/>
  <c r="Z295" i="92" s="1"/>
  <c r="AA295" i="92" a="1"/>
  <c r="AA295" i="92" s="1"/>
  <c r="B296" i="92" a="1"/>
  <c r="B296" i="92" s="1"/>
  <c r="C296" i="92" a="1"/>
  <c r="C296" i="92" s="1"/>
  <c r="E296" i="92" a="1"/>
  <c r="E296" i="92" s="1"/>
  <c r="F296" i="92" a="1"/>
  <c r="F296" i="92" s="1"/>
  <c r="I296" i="92" a="1"/>
  <c r="I296" i="92" s="1"/>
  <c r="J296" i="92" a="1"/>
  <c r="J296" i="92" s="1"/>
  <c r="L296" i="92" a="1"/>
  <c r="L296" i="92"/>
  <c r="M296" i="92" a="1"/>
  <c r="M296" i="92" s="1"/>
  <c r="P296" i="92" a="1"/>
  <c r="P296" i="92" s="1"/>
  <c r="Q296" i="92" a="1"/>
  <c r="Q296" i="92"/>
  <c r="S296" i="92" a="1"/>
  <c r="S296" i="92" s="1"/>
  <c r="T296" i="92" a="1"/>
  <c r="T296" i="92"/>
  <c r="W296" i="92" a="1"/>
  <c r="W296" i="92" s="1"/>
  <c r="X296" i="92" a="1"/>
  <c r="X296" i="92" s="1"/>
  <c r="Z296" i="92" a="1"/>
  <c r="Z296" i="92" s="1"/>
  <c r="AA296" i="92" a="1"/>
  <c r="AA296" i="92"/>
  <c r="B297" i="92" a="1"/>
  <c r="B297" i="92" s="1"/>
  <c r="C297" i="92" a="1"/>
  <c r="C297" i="92"/>
  <c r="E297" i="92" a="1"/>
  <c r="E297" i="92" s="1"/>
  <c r="G297" i="92" s="1"/>
  <c r="F297" i="92" a="1"/>
  <c r="F297" i="92" s="1"/>
  <c r="I297" i="92" a="1"/>
  <c r="I297" i="92" s="1"/>
  <c r="J297" i="92" a="1"/>
  <c r="J297" i="92"/>
  <c r="L297" i="92" a="1"/>
  <c r="L297" i="92" s="1"/>
  <c r="M297" i="92" a="1"/>
  <c r="M297" i="92"/>
  <c r="N297" i="92" s="1"/>
  <c r="P297" i="92" a="1"/>
  <c r="P297" i="92" s="1"/>
  <c r="Q297" i="92" a="1"/>
  <c r="Q297" i="92" s="1"/>
  <c r="S297" i="92" a="1"/>
  <c r="S297" i="92" s="1"/>
  <c r="T297" i="92" a="1"/>
  <c r="T297" i="92" s="1"/>
  <c r="W297" i="92" a="1"/>
  <c r="W297" i="92" s="1"/>
  <c r="X297" i="92" a="1"/>
  <c r="X297" i="92"/>
  <c r="Z297" i="92" a="1"/>
  <c r="Z297" i="92" s="1"/>
  <c r="AA297" i="92" a="1"/>
  <c r="AA297" i="92"/>
  <c r="B298" i="92" a="1"/>
  <c r="B298" i="92" s="1"/>
  <c r="C298" i="92" a="1"/>
  <c r="C298" i="92" s="1"/>
  <c r="E298" i="92" a="1"/>
  <c r="E298" i="92" s="1"/>
  <c r="F298" i="92" a="1"/>
  <c r="F298" i="92"/>
  <c r="I298" i="92" a="1"/>
  <c r="I298" i="92" s="1"/>
  <c r="J298" i="92" a="1"/>
  <c r="J298" i="92"/>
  <c r="L298" i="92" a="1"/>
  <c r="L298" i="92" s="1"/>
  <c r="M298" i="92" a="1"/>
  <c r="M298" i="92" s="1"/>
  <c r="P298" i="92" a="1"/>
  <c r="P298" i="92" s="1"/>
  <c r="Q298" i="92" a="1"/>
  <c r="Q298" i="92"/>
  <c r="S298" i="92" a="1"/>
  <c r="S298" i="92" s="1"/>
  <c r="U298" i="92" s="1"/>
  <c r="T298" i="92" a="1"/>
  <c r="T298" i="92" s="1"/>
  <c r="W298" i="92" a="1"/>
  <c r="W298" i="92" s="1"/>
  <c r="X298" i="92" a="1"/>
  <c r="X298" i="92" s="1"/>
  <c r="Z298" i="92" a="1"/>
  <c r="Z298" i="92" s="1"/>
  <c r="AA298" i="92" a="1"/>
  <c r="AA298" i="92"/>
  <c r="B299" i="92" a="1"/>
  <c r="B299" i="92" s="1"/>
  <c r="C299" i="92" a="1"/>
  <c r="C299" i="92" s="1"/>
  <c r="E299" i="92" a="1"/>
  <c r="E299" i="92" s="1"/>
  <c r="G299" i="92" s="1"/>
  <c r="F299" i="92" a="1"/>
  <c r="F299" i="92" s="1"/>
  <c r="I299" i="92" a="1"/>
  <c r="I299" i="92" s="1"/>
  <c r="J299" i="92" a="1"/>
  <c r="J299" i="92" s="1"/>
  <c r="L299" i="92" a="1"/>
  <c r="L299" i="92" s="1"/>
  <c r="M299" i="92" a="1"/>
  <c r="M299" i="92" s="1"/>
  <c r="P299" i="92" a="1"/>
  <c r="P299" i="92" s="1"/>
  <c r="Q299" i="92" a="1"/>
  <c r="Q299" i="92" s="1"/>
  <c r="S299" i="92" a="1"/>
  <c r="S299" i="92" s="1"/>
  <c r="T299" i="92" a="1"/>
  <c r="T299" i="92" s="1"/>
  <c r="W299" i="92" a="1"/>
  <c r="W299" i="92" s="1"/>
  <c r="X299" i="92" a="1"/>
  <c r="X299" i="92" s="1"/>
  <c r="Z299" i="92" a="1"/>
  <c r="Z299" i="92" s="1"/>
  <c r="AA299" i="92" a="1"/>
  <c r="AA299" i="92" s="1"/>
  <c r="B300" i="92" a="1"/>
  <c r="B300" i="92"/>
  <c r="D300" i="92" s="1"/>
  <c r="C300" i="92" a="1"/>
  <c r="C300" i="92" s="1"/>
  <c r="E300" i="92" a="1"/>
  <c r="E300" i="92"/>
  <c r="F300" i="92" a="1"/>
  <c r="F300" i="92" s="1"/>
  <c r="I300" i="92" a="1"/>
  <c r="I300" i="92"/>
  <c r="J300" i="92" a="1"/>
  <c r="J300" i="92" s="1"/>
  <c r="K300" i="92" s="1"/>
  <c r="L300" i="92" a="1"/>
  <c r="L300" i="92" s="1"/>
  <c r="N300" i="92" s="1"/>
  <c r="M300" i="92" a="1"/>
  <c r="M300" i="92" s="1"/>
  <c r="P300" i="92" a="1"/>
  <c r="P300" i="92" s="1"/>
  <c r="Q300" i="92" a="1"/>
  <c r="Q300" i="92" s="1"/>
  <c r="S300" i="92" a="1"/>
  <c r="S300" i="92" s="1"/>
  <c r="T300" i="92" a="1"/>
  <c r="T300" i="92" s="1"/>
  <c r="U300" i="92" s="1"/>
  <c r="W300" i="92" a="1"/>
  <c r="W300" i="92" s="1"/>
  <c r="X300" i="92" a="1"/>
  <c r="X300" i="92" s="1"/>
  <c r="Z300" i="92" a="1"/>
  <c r="Z300" i="92" s="1"/>
  <c r="AA300" i="92" a="1"/>
  <c r="AA300" i="92" s="1"/>
  <c r="B301" i="92" a="1"/>
  <c r="B301" i="92" s="1"/>
  <c r="C301" i="92" a="1"/>
  <c r="C301" i="92" s="1"/>
  <c r="E301" i="92" a="1"/>
  <c r="E301" i="92"/>
  <c r="G301" i="92" s="1"/>
  <c r="F301" i="92" a="1"/>
  <c r="F301" i="92" s="1"/>
  <c r="I301" i="92" a="1"/>
  <c r="I301" i="92" s="1"/>
  <c r="J301" i="92" a="1"/>
  <c r="J301" i="92" s="1"/>
  <c r="L301" i="92" a="1"/>
  <c r="L301" i="92" s="1"/>
  <c r="N301" i="92" s="1"/>
  <c r="M301" i="92" a="1"/>
  <c r="M301" i="92" s="1"/>
  <c r="P301" i="92" a="1"/>
  <c r="P301" i="92" s="1"/>
  <c r="Q301" i="92" a="1"/>
  <c r="Q301" i="92" s="1"/>
  <c r="S301" i="92" a="1"/>
  <c r="S301" i="92" s="1"/>
  <c r="T301" i="92" a="1"/>
  <c r="T301" i="92" s="1"/>
  <c r="W301" i="92" a="1"/>
  <c r="W301" i="92" s="1"/>
  <c r="Y301" i="92" s="1"/>
  <c r="X301" i="92" a="1"/>
  <c r="X301" i="92" s="1"/>
  <c r="Z301" i="92" a="1"/>
  <c r="Z301" i="92" s="1"/>
  <c r="AA301" i="92" a="1"/>
  <c r="AA301" i="92" s="1"/>
  <c r="B302" i="92" a="1"/>
  <c r="B302" i="92" s="1"/>
  <c r="C302" i="92" a="1"/>
  <c r="C302" i="92" s="1"/>
  <c r="E302" i="92" a="1"/>
  <c r="E302" i="92" s="1"/>
  <c r="F302" i="92" a="1"/>
  <c r="F302" i="92"/>
  <c r="G302" i="92" s="1"/>
  <c r="I302" i="92" a="1"/>
  <c r="I302" i="92"/>
  <c r="J302" i="92" a="1"/>
  <c r="J302" i="92" s="1"/>
  <c r="L302" i="92" a="1"/>
  <c r="L302" i="92" s="1"/>
  <c r="M302" i="92" a="1"/>
  <c r="M302" i="92" s="1"/>
  <c r="P302" i="92" a="1"/>
  <c r="P302" i="92" s="1"/>
  <c r="Q302" i="92" a="1"/>
  <c r="Q302" i="92" s="1"/>
  <c r="S302" i="92" a="1"/>
  <c r="S302" i="92" s="1"/>
  <c r="T302" i="92" a="1"/>
  <c r="T302" i="92" s="1"/>
  <c r="W302" i="92" a="1"/>
  <c r="W302" i="92"/>
  <c r="X302" i="92" a="1"/>
  <c r="X302" i="92" s="1"/>
  <c r="Z302" i="92" a="1"/>
  <c r="Z302" i="92"/>
  <c r="AB302" i="92" s="1"/>
  <c r="AA302" i="92" a="1"/>
  <c r="AA302" i="92" s="1"/>
  <c r="B303" i="92" a="1"/>
  <c r="B303" i="92" s="1"/>
  <c r="C303" i="92" a="1"/>
  <c r="C303" i="92" s="1"/>
  <c r="E303" i="92" a="1"/>
  <c r="E303" i="92"/>
  <c r="F303" i="92" a="1"/>
  <c r="F303" i="92" s="1"/>
  <c r="I303" i="92" a="1"/>
  <c r="I303" i="92" s="1"/>
  <c r="K303" i="92" s="1"/>
  <c r="J303" i="92" a="1"/>
  <c r="J303" i="92" s="1"/>
  <c r="L303" i="92" a="1"/>
  <c r="L303" i="92" s="1"/>
  <c r="M303" i="92" a="1"/>
  <c r="M303" i="92" s="1"/>
  <c r="P303" i="92" a="1"/>
  <c r="P303" i="92" s="1"/>
  <c r="Q303" i="92" a="1"/>
  <c r="Q303" i="92"/>
  <c r="S303" i="92" a="1"/>
  <c r="S303" i="92" s="1"/>
  <c r="T303" i="92" a="1"/>
  <c r="T303" i="92"/>
  <c r="U303" i="92" s="1"/>
  <c r="W303" i="92" a="1"/>
  <c r="W303" i="92" s="1"/>
  <c r="X303" i="92" a="1"/>
  <c r="X303" i="92" s="1"/>
  <c r="Z303" i="92" a="1"/>
  <c r="Z303" i="92" s="1"/>
  <c r="AA303" i="92" a="1"/>
  <c r="AA303" i="92" s="1"/>
  <c r="AB303" i="92" s="1"/>
  <c r="B304" i="92" a="1"/>
  <c r="B304" i="92" s="1"/>
  <c r="C304" i="92" a="1"/>
  <c r="C304" i="92"/>
  <c r="E304" i="92" a="1"/>
  <c r="E304" i="92" s="1"/>
  <c r="F304" i="92" a="1"/>
  <c r="F304" i="92"/>
  <c r="I304" i="92" a="1"/>
  <c r="I304" i="92" s="1"/>
  <c r="J304" i="92" a="1"/>
  <c r="J304" i="92" s="1"/>
  <c r="L304" i="92" a="1"/>
  <c r="L304" i="92" s="1"/>
  <c r="M304" i="92" a="1"/>
  <c r="M304" i="92" s="1"/>
  <c r="P304" i="92" a="1"/>
  <c r="P304" i="92" s="1"/>
  <c r="Q304" i="92" a="1"/>
  <c r="Q304" i="92" s="1"/>
  <c r="S304" i="92" a="1"/>
  <c r="S304" i="92" s="1"/>
  <c r="T304" i="92" a="1"/>
  <c r="T304" i="92" s="1"/>
  <c r="U304" i="92" s="1"/>
  <c r="W304" i="92" a="1"/>
  <c r="W304" i="92"/>
  <c r="X304" i="92" a="1"/>
  <c r="X304" i="92" s="1"/>
  <c r="Z304" i="92" a="1"/>
  <c r="Z304" i="92" s="1"/>
  <c r="AA304" i="92" a="1"/>
  <c r="AA304" i="92" s="1"/>
  <c r="B305" i="92" a="1"/>
  <c r="B305" i="92"/>
  <c r="C305" i="92" a="1"/>
  <c r="C305" i="92" s="1"/>
  <c r="E305" i="92" a="1"/>
  <c r="E305" i="92" s="1"/>
  <c r="F305" i="92" a="1"/>
  <c r="F305" i="92" s="1"/>
  <c r="I305" i="92" a="1"/>
  <c r="I305" i="92" s="1"/>
  <c r="J305" i="92" a="1"/>
  <c r="J305" i="92" s="1"/>
  <c r="L305" i="92" a="1"/>
  <c r="L305" i="92" s="1"/>
  <c r="N305" i="92" s="1"/>
  <c r="M305" i="92" a="1"/>
  <c r="M305" i="92" s="1"/>
  <c r="P305" i="92" a="1"/>
  <c r="P305" i="92"/>
  <c r="Q305" i="92" a="1"/>
  <c r="Q305" i="92"/>
  <c r="S305" i="92" a="1"/>
  <c r="S305" i="92" s="1"/>
  <c r="T305" i="92" a="1"/>
  <c r="T305" i="92"/>
  <c r="W305" i="92" a="1"/>
  <c r="W305" i="92" s="1"/>
  <c r="X305" i="92" a="1"/>
  <c r="X305" i="92"/>
  <c r="Z305" i="92" a="1"/>
  <c r="Z305" i="92" s="1"/>
  <c r="AA305" i="92" a="1"/>
  <c r="AA305" i="92"/>
  <c r="B306" i="92" a="1"/>
  <c r="B306" i="92" s="1"/>
  <c r="C306" i="92" a="1"/>
  <c r="C306" i="92" s="1"/>
  <c r="E306" i="92" a="1"/>
  <c r="E306" i="92" s="1"/>
  <c r="F306" i="92" a="1"/>
  <c r="F306" i="92" s="1"/>
  <c r="I306" i="92" a="1"/>
  <c r="I306" i="92" s="1"/>
  <c r="J306" i="92" a="1"/>
  <c r="J306" i="92" s="1"/>
  <c r="L306" i="92" a="1"/>
  <c r="L306" i="92" s="1"/>
  <c r="M306" i="92" a="1"/>
  <c r="M306" i="92" s="1"/>
  <c r="P306" i="92" a="1"/>
  <c r="P306" i="92"/>
  <c r="Q306" i="92" a="1"/>
  <c r="Q306" i="92" s="1"/>
  <c r="S306" i="92" a="1"/>
  <c r="S306" i="92"/>
  <c r="T306" i="92" a="1"/>
  <c r="T306" i="92" s="1"/>
  <c r="W306" i="92" a="1"/>
  <c r="W306" i="92" s="1"/>
  <c r="X306" i="92" a="1"/>
  <c r="X306" i="92" s="1"/>
  <c r="Z306" i="92" a="1"/>
  <c r="Z306" i="92" s="1"/>
  <c r="AA306" i="92" a="1"/>
  <c r="AA306" i="92" s="1"/>
  <c r="B307" i="92" a="1"/>
  <c r="B307" i="92"/>
  <c r="C307" i="92" a="1"/>
  <c r="C307" i="92" s="1"/>
  <c r="D307" i="92" s="1"/>
  <c r="E307" i="92" a="1"/>
  <c r="E307" i="92" s="1"/>
  <c r="G307" i="92" s="1"/>
  <c r="F307" i="92" a="1"/>
  <c r="F307" i="92" s="1"/>
  <c r="I307" i="92" a="1"/>
  <c r="I307" i="92" s="1"/>
  <c r="K307" i="92" s="1"/>
  <c r="J307" i="92" a="1"/>
  <c r="J307" i="92" s="1"/>
  <c r="L307" i="92" a="1"/>
  <c r="L307" i="92" s="1"/>
  <c r="M307" i="92" a="1"/>
  <c r="M307" i="92"/>
  <c r="P307" i="92" a="1"/>
  <c r="P307" i="92" s="1"/>
  <c r="R307" i="92" s="1"/>
  <c r="Q307" i="92" a="1"/>
  <c r="Q307" i="92"/>
  <c r="S307" i="92" a="1"/>
  <c r="S307" i="92" s="1"/>
  <c r="T307" i="92" a="1"/>
  <c r="T307" i="92" s="1"/>
  <c r="W307" i="92" a="1"/>
  <c r="W307" i="92" s="1"/>
  <c r="X307" i="92" a="1"/>
  <c r="X307" i="92" s="1"/>
  <c r="Z307" i="92" a="1"/>
  <c r="Z307" i="92" s="1"/>
  <c r="AA307" i="92" a="1"/>
  <c r="AA307" i="92" s="1"/>
  <c r="AB307" i="92" s="1"/>
  <c r="B308" i="92" a="1"/>
  <c r="B308" i="92" s="1"/>
  <c r="C308" i="92" a="1"/>
  <c r="C308" i="92" s="1"/>
  <c r="E308" i="92" a="1"/>
  <c r="E308" i="92" s="1"/>
  <c r="F308" i="92" a="1"/>
  <c r="F308" i="92" s="1"/>
  <c r="G308" i="92" s="1"/>
  <c r="I308" i="92" a="1"/>
  <c r="I308" i="92" s="1"/>
  <c r="J308" i="92" a="1"/>
  <c r="J308" i="92"/>
  <c r="K308" i="92" s="1"/>
  <c r="L308" i="92" a="1"/>
  <c r="L308" i="92" s="1"/>
  <c r="M308" i="92" a="1"/>
  <c r="M308" i="92" s="1"/>
  <c r="P308" i="92" a="1"/>
  <c r="P308" i="92"/>
  <c r="Q308" i="92" a="1"/>
  <c r="Q308" i="92" s="1"/>
  <c r="R308" i="92" s="1"/>
  <c r="S308" i="92" a="1"/>
  <c r="S308" i="92"/>
  <c r="T308" i="92" a="1"/>
  <c r="T308" i="92" s="1"/>
  <c r="W308" i="92" a="1"/>
  <c r="W308" i="92"/>
  <c r="X308" i="92" a="1"/>
  <c r="X308" i="92" s="1"/>
  <c r="Y308" i="92" s="1"/>
  <c r="Z308" i="92" a="1"/>
  <c r="Z308" i="92"/>
  <c r="AA308" i="92" a="1"/>
  <c r="AA308" i="92" s="1"/>
  <c r="B309" i="92" a="1"/>
  <c r="B309" i="92"/>
  <c r="C309" i="92" a="1"/>
  <c r="C309" i="92" s="1"/>
  <c r="E309" i="92" a="1"/>
  <c r="E309" i="92"/>
  <c r="G309" i="92" s="1"/>
  <c r="F309" i="92" a="1"/>
  <c r="F309" i="92" s="1"/>
  <c r="I309" i="92" a="1"/>
  <c r="I309" i="92"/>
  <c r="J309" i="92" a="1"/>
  <c r="J309" i="92" s="1"/>
  <c r="K309" i="92" s="1"/>
  <c r="L309" i="92" a="1"/>
  <c r="L309" i="92"/>
  <c r="M309" i="92" a="1"/>
  <c r="M309" i="92" s="1"/>
  <c r="P309" i="92" a="1"/>
  <c r="P309" i="92"/>
  <c r="Q309" i="92" a="1"/>
  <c r="Q309" i="92" s="1"/>
  <c r="R309" i="92" s="1"/>
  <c r="S309" i="92" a="1"/>
  <c r="S309" i="92"/>
  <c r="T309" i="92" a="1"/>
  <c r="T309" i="92" s="1"/>
  <c r="W309" i="92" a="1"/>
  <c r="W309" i="92" s="1"/>
  <c r="X309" i="92" a="1"/>
  <c r="X309" i="92" s="1"/>
  <c r="Z309" i="92" a="1"/>
  <c r="Z309" i="92" s="1"/>
  <c r="AA309" i="92" a="1"/>
  <c r="AA309" i="92" s="1"/>
  <c r="B310" i="92" a="1"/>
  <c r="B310" i="92" s="1"/>
  <c r="C310" i="92" a="1"/>
  <c r="C310" i="92" s="1"/>
  <c r="E310" i="92" a="1"/>
  <c r="E310" i="92" s="1"/>
  <c r="G310" i="92"/>
  <c r="F310" i="92" a="1"/>
  <c r="F310" i="92"/>
  <c r="I310" i="92" a="1"/>
  <c r="I310" i="92"/>
  <c r="K310" i="92" s="1"/>
  <c r="J310" i="92" a="1"/>
  <c r="J310" i="92" s="1"/>
  <c r="L310" i="92" a="1"/>
  <c r="L310" i="92" s="1"/>
  <c r="M310" i="92" a="1"/>
  <c r="M310" i="92" s="1"/>
  <c r="N310" i="92" s="1"/>
  <c r="P310" i="92" a="1"/>
  <c r="P310" i="92" s="1"/>
  <c r="Q310" i="92" a="1"/>
  <c r="Q310" i="92" s="1"/>
  <c r="S310" i="92" a="1"/>
  <c r="S310" i="92" s="1"/>
  <c r="U310" i="92" s="1"/>
  <c r="T310" i="92" a="1"/>
  <c r="T310" i="92" s="1"/>
  <c r="W310" i="92" a="1"/>
  <c r="W310" i="92" s="1"/>
  <c r="Y310" i="92" s="1"/>
  <c r="X310" i="92" a="1"/>
  <c r="X310" i="92"/>
  <c r="Z310" i="92" a="1"/>
  <c r="Z310" i="92"/>
  <c r="AB310" i="92" s="1"/>
  <c r="AA310" i="92" a="1"/>
  <c r="AA310" i="92" s="1"/>
  <c r="B311" i="92" a="1"/>
  <c r="B311" i="92" s="1"/>
  <c r="C311" i="92" a="1"/>
  <c r="C311" i="92" s="1"/>
  <c r="E311" i="92" a="1"/>
  <c r="E311" i="92"/>
  <c r="F311" i="92" a="1"/>
  <c r="F311" i="92" s="1"/>
  <c r="I311" i="92" a="1"/>
  <c r="I311" i="92"/>
  <c r="J311" i="92" a="1"/>
  <c r="J311" i="92" s="1"/>
  <c r="L311" i="92" a="1"/>
  <c r="L311" i="92" s="1"/>
  <c r="M311" i="92" a="1"/>
  <c r="M311" i="92"/>
  <c r="N311" i="92" s="1"/>
  <c r="P311" i="92" a="1"/>
  <c r="P311" i="92" s="1"/>
  <c r="Q311" i="92" a="1"/>
  <c r="Q311" i="92" s="1"/>
  <c r="R311" i="92" s="1"/>
  <c r="S311" i="92" a="1"/>
  <c r="S311" i="92" s="1"/>
  <c r="T311" i="92" a="1"/>
  <c r="T311" i="92" s="1"/>
  <c r="W311" i="92" a="1"/>
  <c r="W311" i="92" s="1"/>
  <c r="X311" i="92" a="1"/>
  <c r="X311" i="92" s="1"/>
  <c r="Z311" i="92" a="1"/>
  <c r="Z311" i="92" s="1"/>
  <c r="AA311" i="92" a="1"/>
  <c r="AA311" i="92" s="1"/>
  <c r="B312" i="92" a="1"/>
  <c r="B312" i="92" s="1"/>
  <c r="C312" i="92" a="1"/>
  <c r="C312" i="92"/>
  <c r="E312" i="92" a="1"/>
  <c r="E312" i="92" s="1"/>
  <c r="F312" i="92" a="1"/>
  <c r="F312" i="92"/>
  <c r="I312" i="92" a="1"/>
  <c r="I312" i="92" s="1"/>
  <c r="J312" i="92" a="1"/>
  <c r="J312" i="92" s="1"/>
  <c r="L312" i="92" a="1"/>
  <c r="L312" i="92" s="1"/>
  <c r="M312" i="92" a="1"/>
  <c r="M312" i="92" s="1"/>
  <c r="P312" i="92" a="1"/>
  <c r="P312" i="92" s="1"/>
  <c r="Q312" i="92" a="1"/>
  <c r="Q312" i="92" s="1"/>
  <c r="S312" i="92" a="1"/>
  <c r="S312" i="92" s="1"/>
  <c r="U312" i="92" s="1"/>
  <c r="T312" i="92" a="1"/>
  <c r="T312" i="92" s="1"/>
  <c r="W312" i="92" a="1"/>
  <c r="W312" i="92"/>
  <c r="X312" i="92" a="1"/>
  <c r="X312" i="92" s="1"/>
  <c r="Y312" i="92" s="1"/>
  <c r="Z312" i="92" a="1"/>
  <c r="Z312" i="92"/>
  <c r="AA312" i="92" a="1"/>
  <c r="AA312" i="92" s="1"/>
  <c r="B313" i="92" a="1"/>
  <c r="B313" i="92" s="1"/>
  <c r="C313" i="92" a="1"/>
  <c r="C313" i="92" s="1"/>
  <c r="E313" i="92" a="1"/>
  <c r="E313" i="92" s="1"/>
  <c r="G313" i="92" s="1"/>
  <c r="F313" i="92" a="1"/>
  <c r="F313" i="92" s="1"/>
  <c r="I313" i="92" a="1"/>
  <c r="I313" i="92" s="1"/>
  <c r="K313" i="92" s="1"/>
  <c r="J313" i="92" a="1"/>
  <c r="J313" i="92" s="1"/>
  <c r="L313" i="92" a="1"/>
  <c r="L313" i="92"/>
  <c r="M313" i="92" a="1"/>
  <c r="M313" i="92" s="1"/>
  <c r="P313" i="92" a="1"/>
  <c r="P313" i="92" s="1"/>
  <c r="Q313" i="92" a="1"/>
  <c r="Q313" i="92"/>
  <c r="S313" i="92" a="1"/>
  <c r="S313" i="92" s="1"/>
  <c r="T313" i="92" a="1"/>
  <c r="T313" i="92"/>
  <c r="W313" i="92" a="1"/>
  <c r="W313" i="92" s="1"/>
  <c r="X313" i="92" a="1"/>
  <c r="X313" i="92" s="1"/>
  <c r="Z313" i="92" a="1"/>
  <c r="Z313" i="92" s="1"/>
  <c r="AA313" i="92" a="1"/>
  <c r="AA313" i="92"/>
  <c r="AB313" i="92" s="1"/>
  <c r="B314" i="92" a="1"/>
  <c r="B314" i="92"/>
  <c r="C314" i="92" a="1"/>
  <c r="C314" i="92" s="1"/>
  <c r="E314" i="92" a="1"/>
  <c r="E314" i="92" s="1"/>
  <c r="F314" i="92" a="1"/>
  <c r="F314" i="92" s="1"/>
  <c r="G314" i="92" s="1"/>
  <c r="I314" i="92" a="1"/>
  <c r="I314" i="92" s="1"/>
  <c r="J314" i="92" a="1"/>
  <c r="J314" i="92"/>
  <c r="L314" i="92" a="1"/>
  <c r="L314" i="92" s="1"/>
  <c r="M314" i="92" a="1"/>
  <c r="M314" i="92" s="1"/>
  <c r="P314" i="92" a="1"/>
  <c r="P314" i="92" s="1"/>
  <c r="Q314" i="92" a="1"/>
  <c r="Q314" i="92" s="1"/>
  <c r="S314" i="92" a="1"/>
  <c r="S314" i="92" s="1"/>
  <c r="T314" i="92" a="1"/>
  <c r="T314" i="92"/>
  <c r="W314" i="92" a="1"/>
  <c r="W314" i="92" s="1"/>
  <c r="Y314" i="92" s="1"/>
  <c r="X314" i="92" a="1"/>
  <c r="X314" i="92"/>
  <c r="Z314" i="92" a="1"/>
  <c r="Z314" i="92" s="1"/>
  <c r="AA314" i="92" a="1"/>
  <c r="AA314" i="92" s="1"/>
  <c r="B315" i="92" a="1"/>
  <c r="B315" i="92" s="1"/>
  <c r="C315" i="92" a="1"/>
  <c r="C315" i="92"/>
  <c r="D315" i="92" s="1"/>
  <c r="E315" i="92" a="1"/>
  <c r="E315" i="92" s="1"/>
  <c r="F315" i="92" a="1"/>
  <c r="F315" i="92" s="1"/>
  <c r="I315" i="92" a="1"/>
  <c r="I315" i="92" s="1"/>
  <c r="K315" i="92" s="1"/>
  <c r="J315" i="92" a="1"/>
  <c r="J315" i="92" s="1"/>
  <c r="L315" i="92" a="1"/>
  <c r="L315" i="92"/>
  <c r="M315" i="92" a="1"/>
  <c r="M315" i="92" s="1"/>
  <c r="P315" i="92" a="1"/>
  <c r="P315" i="92" s="1"/>
  <c r="R315" i="92" s="1"/>
  <c r="Q315" i="92" a="1"/>
  <c r="Q315" i="92" s="1"/>
  <c r="S315" i="92" a="1"/>
  <c r="S315" i="92"/>
  <c r="U315" i="92" s="1"/>
  <c r="T315" i="92" a="1"/>
  <c r="T315" i="92"/>
  <c r="W315" i="92" a="1"/>
  <c r="W315" i="92" s="1"/>
  <c r="X315" i="92" a="1"/>
  <c r="X315" i="92"/>
  <c r="Z315" i="92" a="1"/>
  <c r="Z315" i="92" s="1"/>
  <c r="AA315" i="92" a="1"/>
  <c r="AA315" i="92"/>
  <c r="B316" i="92" a="1"/>
  <c r="B316" i="92" s="1"/>
  <c r="C316" i="92" a="1"/>
  <c r="C316" i="92" s="1"/>
  <c r="E316" i="92" a="1"/>
  <c r="E316" i="92" s="1"/>
  <c r="F316" i="92" a="1"/>
  <c r="F316" i="92" s="1"/>
  <c r="I316" i="92" a="1"/>
  <c r="I316" i="92" s="1"/>
  <c r="J316" i="92" a="1"/>
  <c r="J316" i="92"/>
  <c r="K316" i="92" s="1"/>
  <c r="L316" i="92" a="1"/>
  <c r="L316" i="92" s="1"/>
  <c r="M316" i="92" a="1"/>
  <c r="M316" i="92" s="1"/>
  <c r="P316" i="92" a="1"/>
  <c r="P316" i="92"/>
  <c r="Q316" i="92" a="1"/>
  <c r="Q316" i="92" s="1"/>
  <c r="S316" i="92" a="1"/>
  <c r="S316" i="92" s="1"/>
  <c r="T316" i="92" a="1"/>
  <c r="T316" i="92" s="1"/>
  <c r="W316" i="92" a="1"/>
  <c r="W316" i="92" s="1"/>
  <c r="X316" i="92" a="1"/>
  <c r="X316" i="92" s="1"/>
  <c r="Z316" i="92" a="1"/>
  <c r="Z316" i="92" s="1"/>
  <c r="AA316" i="92" a="1"/>
  <c r="AA316" i="92"/>
  <c r="B317" i="92" a="1"/>
  <c r="B317" i="92" s="1"/>
  <c r="C317" i="92" a="1"/>
  <c r="C317" i="92" s="1"/>
  <c r="D317" i="92" s="1"/>
  <c r="E317" i="92" a="1"/>
  <c r="E317" i="92"/>
  <c r="F317" i="92" a="1"/>
  <c r="F317" i="92"/>
  <c r="I317" i="92" a="1"/>
  <c r="I317" i="92" s="1"/>
  <c r="J317" i="92" a="1"/>
  <c r="J317" i="92" s="1"/>
  <c r="K317" i="92" s="1"/>
  <c r="L317" i="92" a="1"/>
  <c r="L317" i="92"/>
  <c r="N317" i="92" s="1"/>
  <c r="M317" i="92" a="1"/>
  <c r="M317" i="92" s="1"/>
  <c r="P317" i="92" a="1"/>
  <c r="P317" i="92" s="1"/>
  <c r="Q317" i="92" a="1"/>
  <c r="Q317" i="92" s="1"/>
  <c r="S317" i="92" a="1"/>
  <c r="S317" i="92"/>
  <c r="T317" i="92" a="1"/>
  <c r="T317" i="92" s="1"/>
  <c r="W317" i="92" a="1"/>
  <c r="W317" i="92" s="1"/>
  <c r="X317" i="92" a="1"/>
  <c r="X317" i="92" s="1"/>
  <c r="Y317" i="92" s="1"/>
  <c r="Z317" i="92" a="1"/>
  <c r="Z317" i="92" s="1"/>
  <c r="AA317" i="92" a="1"/>
  <c r="AA317" i="92" s="1"/>
  <c r="B318" i="92" a="1"/>
  <c r="B318" i="92" s="1"/>
  <c r="C318" i="92" a="1"/>
  <c r="C318" i="92" s="1"/>
  <c r="E318" i="92" a="1"/>
  <c r="E318" i="92" s="1"/>
  <c r="F318" i="92" a="1"/>
  <c r="F318" i="92"/>
  <c r="I318" i="92" a="1"/>
  <c r="I318" i="92" s="1"/>
  <c r="J318" i="92" a="1"/>
  <c r="J318" i="92" s="1"/>
  <c r="L318" i="92" a="1"/>
  <c r="L318" i="92" s="1"/>
  <c r="M318" i="92" a="1"/>
  <c r="M318" i="92" s="1"/>
  <c r="P318" i="92" a="1"/>
  <c r="P318" i="92" s="1"/>
  <c r="Q318" i="92" a="1"/>
  <c r="Q318" i="92" s="1"/>
  <c r="S318" i="92" a="1"/>
  <c r="S318" i="92" s="1"/>
  <c r="T318" i="92" a="1"/>
  <c r="T318" i="92" s="1"/>
  <c r="W318" i="92" a="1"/>
  <c r="W318" i="92" s="1"/>
  <c r="X318" i="92" a="1"/>
  <c r="X318" i="92" s="1"/>
  <c r="Z318" i="92" a="1"/>
  <c r="Z318" i="92"/>
  <c r="AB318" i="92" s="1"/>
  <c r="AA318" i="92" a="1"/>
  <c r="AA318" i="92" s="1"/>
  <c r="B319" i="92" a="1"/>
  <c r="B319" i="92"/>
  <c r="C319" i="92" a="1"/>
  <c r="C319" i="92" s="1"/>
  <c r="D319" i="92" s="1"/>
  <c r="E319" i="92" a="1"/>
  <c r="E319" i="92" s="1"/>
  <c r="F319" i="92" a="1"/>
  <c r="F319" i="92" s="1"/>
  <c r="I319" i="92" a="1"/>
  <c r="I319" i="92" s="1"/>
  <c r="J319" i="92" a="1"/>
  <c r="J319" i="92" s="1"/>
  <c r="K319" i="92" s="1"/>
  <c r="L319" i="92" a="1"/>
  <c r="L319" i="92" s="1"/>
  <c r="M319" i="92" a="1"/>
  <c r="M319" i="92" s="1"/>
  <c r="N319" i="92" s="1"/>
  <c r="P319" i="92" a="1"/>
  <c r="P319" i="92" s="1"/>
  <c r="Q319" i="92" a="1"/>
  <c r="Q319" i="92" s="1"/>
  <c r="R319" i="92" s="1"/>
  <c r="S319" i="92" a="1"/>
  <c r="S319" i="92" s="1"/>
  <c r="U319" i="92" s="1"/>
  <c r="T319" i="92" a="1"/>
  <c r="T319" i="92" s="1"/>
  <c r="W319" i="92" a="1"/>
  <c r="W319" i="92" s="1"/>
  <c r="X319" i="92" a="1"/>
  <c r="X319" i="92"/>
  <c r="Z319" i="92" a="1"/>
  <c r="Z319" i="92"/>
  <c r="AA319" i="92" a="1"/>
  <c r="AA319" i="92"/>
  <c r="B320" i="92" a="1"/>
  <c r="B320" i="92" s="1"/>
  <c r="D320" i="92" s="1"/>
  <c r="C320" i="92" a="1"/>
  <c r="C320" i="92" s="1"/>
  <c r="E320" i="92" a="1"/>
  <c r="E320" i="92" s="1"/>
  <c r="F320" i="92" a="1"/>
  <c r="F320" i="92" s="1"/>
  <c r="G320" i="92" s="1"/>
  <c r="I320" i="92" a="1"/>
  <c r="I320" i="92" s="1"/>
  <c r="K320" i="92" s="1"/>
  <c r="J320" i="92" a="1"/>
  <c r="J320" i="92" s="1"/>
  <c r="L320" i="92" a="1"/>
  <c r="L320" i="92"/>
  <c r="M320" i="92" a="1"/>
  <c r="M320" i="92"/>
  <c r="P320" i="92" a="1"/>
  <c r="P320" i="92" s="1"/>
  <c r="R320" i="92" s="1"/>
  <c r="Q320" i="92" a="1"/>
  <c r="Q320" i="92" s="1"/>
  <c r="S320" i="92" a="1"/>
  <c r="S320" i="92"/>
  <c r="U320" i="92" s="1"/>
  <c r="T320" i="92" a="1"/>
  <c r="T320" i="92" s="1"/>
  <c r="W320" i="92" a="1"/>
  <c r="W320" i="92" s="1"/>
  <c r="X320" i="92" a="1"/>
  <c r="X320" i="92"/>
  <c r="Y320" i="92" s="1"/>
  <c r="Z320" i="92" a="1"/>
  <c r="Z320" i="92" s="1"/>
  <c r="AA320" i="92" a="1"/>
  <c r="AA320" i="92"/>
  <c r="B321" i="92" a="1"/>
  <c r="B321" i="92" s="1"/>
  <c r="C321" i="92" a="1"/>
  <c r="C321" i="92" s="1"/>
  <c r="E321" i="92" a="1"/>
  <c r="E321" i="92" s="1"/>
  <c r="F321" i="92" a="1"/>
  <c r="F321" i="92" s="1"/>
  <c r="I321" i="92" a="1"/>
  <c r="I321" i="92" s="1"/>
  <c r="K321" i="92" s="1"/>
  <c r="J321" i="92" a="1"/>
  <c r="J321" i="92"/>
  <c r="L321" i="92" a="1"/>
  <c r="L321" i="92" s="1"/>
  <c r="N321" i="92" s="1"/>
  <c r="M321" i="92" a="1"/>
  <c r="M321" i="92" s="1"/>
  <c r="P321" i="92" a="1"/>
  <c r="P321" i="92" s="1"/>
  <c r="Q321" i="92" a="1"/>
  <c r="Q321" i="92"/>
  <c r="R321" i="92" s="1"/>
  <c r="S321" i="92" a="1"/>
  <c r="S321" i="92"/>
  <c r="T321" i="92" a="1"/>
  <c r="T321" i="92"/>
  <c r="U321" i="92" s="1"/>
  <c r="W321" i="92" a="1"/>
  <c r="W321" i="92" s="1"/>
  <c r="X321" i="92" a="1"/>
  <c r="X321" i="92" s="1"/>
  <c r="Y321" i="92" s="1"/>
  <c r="Z321" i="92" a="1"/>
  <c r="Z321" i="92"/>
  <c r="AA321" i="92" a="1"/>
  <c r="AA321" i="92"/>
  <c r="B322" i="92" a="1"/>
  <c r="B322" i="92" s="1"/>
  <c r="C322" i="92" a="1"/>
  <c r="C322" i="92"/>
  <c r="E322" i="92" a="1"/>
  <c r="E322" i="92" s="1"/>
  <c r="F322" i="92" a="1"/>
  <c r="F322" i="92" s="1"/>
  <c r="I322" i="92" a="1"/>
  <c r="I322" i="92" s="1"/>
  <c r="J322" i="92" a="1"/>
  <c r="J322" i="92"/>
  <c r="K322" i="92" s="1"/>
  <c r="L322" i="92" a="1"/>
  <c r="L322" i="92" s="1"/>
  <c r="M322" i="92" a="1"/>
  <c r="M322" i="92" s="1"/>
  <c r="N322" i="92" s="1"/>
  <c r="P322" i="92" a="1"/>
  <c r="P322" i="92" s="1"/>
  <c r="Q322" i="92" a="1"/>
  <c r="Q322" i="92"/>
  <c r="S322" i="92" a="1"/>
  <c r="S322" i="92" s="1"/>
  <c r="T322" i="92" a="1"/>
  <c r="T322" i="92" s="1"/>
  <c r="W322" i="92" a="1"/>
  <c r="W322" i="92" s="1"/>
  <c r="Y322" i="92" s="1"/>
  <c r="X322" i="92" a="1"/>
  <c r="X322" i="92" s="1"/>
  <c r="Z322" i="92" a="1"/>
  <c r="Z322" i="92" s="1"/>
  <c r="AB322" i="92" s="1"/>
  <c r="AA322" i="92" a="1"/>
  <c r="AA322" i="92" s="1"/>
  <c r="B323" i="92" a="1"/>
  <c r="B323" i="92" s="1"/>
  <c r="C323" i="92" a="1"/>
  <c r="C323" i="92" s="1"/>
  <c r="E323" i="92" a="1"/>
  <c r="E323" i="92" s="1"/>
  <c r="F323" i="92" a="1"/>
  <c r="F323" i="92" s="1"/>
  <c r="I323" i="92" a="1"/>
  <c r="I323" i="92"/>
  <c r="K323" i="92" s="1"/>
  <c r="J323" i="92" a="1"/>
  <c r="J323" i="92" s="1"/>
  <c r="L323" i="92" a="1"/>
  <c r="L323" i="92" s="1"/>
  <c r="M323" i="92" a="1"/>
  <c r="M323" i="92" s="1"/>
  <c r="P323" i="92" a="1"/>
  <c r="P323" i="92" s="1"/>
  <c r="R323" i="92" s="1"/>
  <c r="Q323" i="92" a="1"/>
  <c r="Q323" i="92" s="1"/>
  <c r="S323" i="92" a="1"/>
  <c r="S323" i="92" s="1"/>
  <c r="T323" i="92" a="1"/>
  <c r="T323" i="92"/>
  <c r="W323" i="92" a="1"/>
  <c r="W323" i="92"/>
  <c r="X323" i="92" a="1"/>
  <c r="X323" i="92"/>
  <c r="Z323" i="92" a="1"/>
  <c r="Z323" i="92" s="1"/>
  <c r="AA323" i="92" a="1"/>
  <c r="AA323" i="92"/>
  <c r="B324" i="92" a="1"/>
  <c r="B324" i="92" s="1"/>
  <c r="C324" i="92" a="1"/>
  <c r="C324" i="92" s="1"/>
  <c r="E324" i="92" a="1"/>
  <c r="E324" i="92" s="1"/>
  <c r="F324" i="92" a="1"/>
  <c r="F324" i="92" s="1"/>
  <c r="I324" i="92" a="1"/>
  <c r="I324" i="92" s="1"/>
  <c r="K324" i="92" s="1"/>
  <c r="J324" i="92" a="1"/>
  <c r="J324" i="92" s="1"/>
  <c r="L324" i="92" a="1"/>
  <c r="L324" i="92" s="1"/>
  <c r="N324" i="92" s="1"/>
  <c r="M324" i="92" a="1"/>
  <c r="M324" i="92" s="1"/>
  <c r="P324" i="92" a="1"/>
  <c r="P324" i="92" s="1"/>
  <c r="Q324" i="92" a="1"/>
  <c r="Q324" i="92" s="1"/>
  <c r="S324" i="92" a="1"/>
  <c r="S324" i="92" s="1"/>
  <c r="T324" i="92" a="1"/>
  <c r="T324" i="92"/>
  <c r="W324" i="92" a="1"/>
  <c r="W324" i="92" s="1"/>
  <c r="Y324" i="92" s="1"/>
  <c r="X324" i="92" a="1"/>
  <c r="X324" i="92" s="1"/>
  <c r="Z324" i="92" a="1"/>
  <c r="Z324" i="92" s="1"/>
  <c r="AA324" i="92" a="1"/>
  <c r="AA324" i="92" s="1"/>
  <c r="AB324" i="92" s="1"/>
  <c r="B325" i="92" a="1"/>
  <c r="B325" i="92" s="1"/>
  <c r="C325" i="92" a="1"/>
  <c r="C325" i="92"/>
  <c r="E325" i="92" a="1"/>
  <c r="E325" i="92" s="1"/>
  <c r="F325" i="92" a="1"/>
  <c r="F325" i="92" s="1"/>
  <c r="I325" i="92" a="1"/>
  <c r="I325" i="92" s="1"/>
  <c r="K325" i="92" s="1"/>
  <c r="J325" i="92" a="1"/>
  <c r="J325" i="92" s="1"/>
  <c r="L325" i="92" a="1"/>
  <c r="L325" i="92" s="1"/>
  <c r="N325" i="92" s="1"/>
  <c r="M325" i="92" a="1"/>
  <c r="M325" i="92" s="1"/>
  <c r="P325" i="92" a="1"/>
  <c r="P325" i="92" s="1"/>
  <c r="Q325" i="92" a="1"/>
  <c r="Q325" i="92" s="1"/>
  <c r="S325" i="92" a="1"/>
  <c r="S325" i="92" s="1"/>
  <c r="U325" i="92" s="1"/>
  <c r="T325" i="92" a="1"/>
  <c r="T325" i="92" s="1"/>
  <c r="W325" i="92" a="1"/>
  <c r="W325" i="92" s="1"/>
  <c r="X325" i="92" a="1"/>
  <c r="X325" i="92"/>
  <c r="Y325" i="92" s="1"/>
  <c r="Z325" i="92" a="1"/>
  <c r="Z325" i="92" s="1"/>
  <c r="AA325" i="92" a="1"/>
  <c r="AA325" i="92" s="1"/>
  <c r="B326" i="92" a="1"/>
  <c r="B326" i="92" s="1"/>
  <c r="C326" i="92" a="1"/>
  <c r="C326" i="92" s="1"/>
  <c r="D326" i="92" s="1"/>
  <c r="E326" i="92" a="1"/>
  <c r="E326" i="92" s="1"/>
  <c r="F326" i="92" a="1"/>
  <c r="F326" i="92" s="1"/>
  <c r="I326" i="92" a="1"/>
  <c r="I326" i="92"/>
  <c r="K326" i="92" s="1"/>
  <c r="J326" i="92" a="1"/>
  <c r="J326" i="92" s="1"/>
  <c r="L326" i="92" a="1"/>
  <c r="L326" i="92"/>
  <c r="M326" i="92" a="1"/>
  <c r="M326" i="92" s="1"/>
  <c r="N326" i="92" s="1"/>
  <c r="P326" i="92" a="1"/>
  <c r="P326" i="92"/>
  <c r="R326" i="92"/>
  <c r="Q326" i="92" a="1"/>
  <c r="Q326" i="92" s="1"/>
  <c r="S326" i="92" a="1"/>
  <c r="S326" i="92" s="1"/>
  <c r="T326" i="92" a="1"/>
  <c r="T326" i="92" s="1"/>
  <c r="W326" i="92" a="1"/>
  <c r="W326" i="92" s="1"/>
  <c r="X326" i="92" a="1"/>
  <c r="X326" i="92" s="1"/>
  <c r="Z326" i="92" a="1"/>
  <c r="Z326" i="92" s="1"/>
  <c r="AA326" i="92" a="1"/>
  <c r="AA326" i="92" s="1"/>
  <c r="AB326" i="92" s="1"/>
  <c r="B327" i="92" a="1"/>
  <c r="B327" i="92" s="1"/>
  <c r="C327" i="92" a="1"/>
  <c r="C327" i="92" s="1"/>
  <c r="E327" i="92" a="1"/>
  <c r="E327" i="92" s="1"/>
  <c r="F327" i="92" a="1"/>
  <c r="F327" i="92"/>
  <c r="I327" i="92" a="1"/>
  <c r="I327" i="92" s="1"/>
  <c r="J327" i="92" a="1"/>
  <c r="J327" i="92"/>
  <c r="K327" i="92" s="1"/>
  <c r="L327" i="92" a="1"/>
  <c r="L327" i="92" s="1"/>
  <c r="M327" i="92" a="1"/>
  <c r="M327" i="92" s="1"/>
  <c r="P327" i="92" a="1"/>
  <c r="P327" i="92" s="1"/>
  <c r="Q327" i="92" a="1"/>
  <c r="Q327" i="92" s="1"/>
  <c r="S327" i="92" a="1"/>
  <c r="S327" i="92" s="1"/>
  <c r="T327" i="92" a="1"/>
  <c r="T327" i="92" s="1"/>
  <c r="U327" i="92" s="1"/>
  <c r="W327" i="92" a="1"/>
  <c r="W327" i="92" s="1"/>
  <c r="X327" i="92" a="1"/>
  <c r="X327" i="92" s="1"/>
  <c r="Z327" i="92" a="1"/>
  <c r="Z327" i="92" s="1"/>
  <c r="AA327" i="92" a="1"/>
  <c r="AA327" i="92" s="1"/>
  <c r="AB327" i="92" s="1"/>
  <c r="B328" i="92" a="1"/>
  <c r="B328" i="92" s="1"/>
  <c r="C328" i="92" a="1"/>
  <c r="C328" i="92" s="1"/>
  <c r="E328" i="92" a="1"/>
  <c r="E328" i="92"/>
  <c r="F328" i="92" a="1"/>
  <c r="F328" i="92" s="1"/>
  <c r="I328" i="92" a="1"/>
  <c r="I328" i="92" s="1"/>
  <c r="J328" i="92" a="1"/>
  <c r="J328" i="92" s="1"/>
  <c r="L328" i="92" a="1"/>
  <c r="L328" i="92" s="1"/>
  <c r="M328" i="92" a="1"/>
  <c r="M328" i="92" s="1"/>
  <c r="P328" i="92" a="1"/>
  <c r="P328" i="92" s="1"/>
  <c r="Q328" i="92" a="1"/>
  <c r="Q328" i="92" s="1"/>
  <c r="S328" i="92" a="1"/>
  <c r="S328" i="92" s="1"/>
  <c r="U328" i="92" s="1"/>
  <c r="T328" i="92" a="1"/>
  <c r="T328" i="92" s="1"/>
  <c r="W328" i="92" a="1"/>
  <c r="W328" i="92" s="1"/>
  <c r="X328" i="92" a="1"/>
  <c r="X328" i="92" s="1"/>
  <c r="Z328" i="92" a="1"/>
  <c r="Z328" i="92" s="1"/>
  <c r="AB328" i="92" s="1"/>
  <c r="AA328" i="92" a="1"/>
  <c r="AA328" i="92" s="1"/>
  <c r="B329" i="92" a="1"/>
  <c r="B329" i="92"/>
  <c r="C329" i="92" a="1"/>
  <c r="C329" i="92" s="1"/>
  <c r="E329" i="92" a="1"/>
  <c r="E329" i="92"/>
  <c r="F329" i="92" a="1"/>
  <c r="F329" i="92" s="1"/>
  <c r="I329" i="92" a="1"/>
  <c r="I329" i="92"/>
  <c r="J329" i="92" a="1"/>
  <c r="J329" i="92" s="1"/>
  <c r="L329" i="92" a="1"/>
  <c r="L329" i="92" s="1"/>
  <c r="N329" i="92" s="1"/>
  <c r="M329" i="92" a="1"/>
  <c r="M329" i="92" s="1"/>
  <c r="P329" i="92" a="1"/>
  <c r="P329" i="92"/>
  <c r="R329" i="92" s="1"/>
  <c r="Q329" i="92" a="1"/>
  <c r="Q329" i="92" s="1"/>
  <c r="S329" i="92" a="1"/>
  <c r="S329" i="92" s="1"/>
  <c r="T329" i="92" a="1"/>
  <c r="T329" i="92" s="1"/>
  <c r="W329" i="92" a="1"/>
  <c r="W329" i="92"/>
  <c r="X329" i="92" a="1"/>
  <c r="X329" i="92" s="1"/>
  <c r="Z329" i="92" a="1"/>
  <c r="Z329" i="92" s="1"/>
  <c r="AA329" i="92" a="1"/>
  <c r="AA329" i="92" s="1"/>
  <c r="B330" i="92" a="1"/>
  <c r="B330" i="92"/>
  <c r="C330" i="92" a="1"/>
  <c r="C330" i="92" s="1"/>
  <c r="E330" i="92" a="1"/>
  <c r="E330" i="92"/>
  <c r="F330" i="92" a="1"/>
  <c r="F330" i="92" s="1"/>
  <c r="I330" i="92" a="1"/>
  <c r="I330" i="92"/>
  <c r="K330" i="92" s="1"/>
  <c r="J330" i="92" a="1"/>
  <c r="J330" i="92" s="1"/>
  <c r="L330" i="92" a="1"/>
  <c r="L330" i="92" s="1"/>
  <c r="M330" i="92" a="1"/>
  <c r="M330" i="92" s="1"/>
  <c r="P330" i="92" a="1"/>
  <c r="P330" i="92" s="1"/>
  <c r="Q330" i="92" a="1"/>
  <c r="Q330" i="92" s="1"/>
  <c r="S330" i="92" a="1"/>
  <c r="S330" i="92"/>
  <c r="T330" i="92" a="1"/>
  <c r="T330" i="92" s="1"/>
  <c r="W330" i="92" a="1"/>
  <c r="W330" i="92" s="1"/>
  <c r="Y330" i="92" s="1"/>
  <c r="X330" i="92" a="1"/>
  <c r="X330" i="92" s="1"/>
  <c r="Z330" i="92" a="1"/>
  <c r="Z330" i="92" s="1"/>
  <c r="AA330" i="92" a="1"/>
  <c r="AA330" i="92" s="1"/>
  <c r="B331" i="92" a="1"/>
  <c r="B331" i="92" s="1"/>
  <c r="C331" i="92" a="1"/>
  <c r="C331" i="92" s="1"/>
  <c r="E331" i="92" a="1"/>
  <c r="E331" i="92" s="1"/>
  <c r="F331" i="92" a="1"/>
  <c r="F331" i="92"/>
  <c r="I331" i="92" a="1"/>
  <c r="I331" i="92" s="1"/>
  <c r="J331" i="92" a="1"/>
  <c r="J331" i="92" s="1"/>
  <c r="L331" i="92" a="1"/>
  <c r="L331" i="92" s="1"/>
  <c r="M331" i="92" a="1"/>
  <c r="M331" i="92" s="1"/>
  <c r="P331" i="92" a="1"/>
  <c r="P331" i="92"/>
  <c r="R331" i="92" s="1"/>
  <c r="Q331" i="92" a="1"/>
  <c r="Q331" i="92" s="1"/>
  <c r="S331" i="92" a="1"/>
  <c r="S331" i="92" s="1"/>
  <c r="U331" i="92" s="1"/>
  <c r="T331" i="92" a="1"/>
  <c r="T331" i="92" s="1"/>
  <c r="W331" i="92" a="1"/>
  <c r="W331" i="92" s="1"/>
  <c r="X331" i="92" a="1"/>
  <c r="X331" i="92" s="1"/>
  <c r="Z331" i="92" a="1"/>
  <c r="Z331" i="92" s="1"/>
  <c r="AA331" i="92" a="1"/>
  <c r="AA331" i="92" s="1"/>
  <c r="AB331" i="92" s="1"/>
  <c r="B332" i="92" a="1"/>
  <c r="B332" i="92" s="1"/>
  <c r="C332" i="92" a="1"/>
  <c r="C332" i="92" s="1"/>
  <c r="E332" i="92" a="1"/>
  <c r="E332" i="92" s="1"/>
  <c r="F332" i="92" a="1"/>
  <c r="F332" i="92" s="1"/>
  <c r="I332" i="92" a="1"/>
  <c r="I332" i="92" s="1"/>
  <c r="J332" i="92" a="1"/>
  <c r="J332" i="92" s="1"/>
  <c r="L332" i="92" a="1"/>
  <c r="L332" i="92" s="1"/>
  <c r="M332" i="92" a="1"/>
  <c r="M332" i="92" s="1"/>
  <c r="N332" i="92" s="1"/>
  <c r="P332" i="92" a="1"/>
  <c r="P332" i="92" s="1"/>
  <c r="R332" i="92" s="1"/>
  <c r="Q332" i="92" a="1"/>
  <c r="Q332" i="92" s="1"/>
  <c r="S332" i="92" a="1"/>
  <c r="S332" i="92" s="1"/>
  <c r="T332" i="92" a="1"/>
  <c r="T332" i="92" s="1"/>
  <c r="W332" i="92" a="1"/>
  <c r="W332" i="92" s="1"/>
  <c r="X332" i="92" a="1"/>
  <c r="X332" i="92" s="1"/>
  <c r="Z332" i="92" a="1"/>
  <c r="Z332" i="92" s="1"/>
  <c r="AA332" i="92" a="1"/>
  <c r="AA332" i="92" s="1"/>
  <c r="B333" i="92" a="1"/>
  <c r="B333" i="92" s="1"/>
  <c r="C333" i="92" a="1"/>
  <c r="C333" i="92"/>
  <c r="E333" i="92" a="1"/>
  <c r="E333" i="92" s="1"/>
  <c r="F333" i="92" a="1"/>
  <c r="F333" i="92" s="1"/>
  <c r="G333" i="92" s="1"/>
  <c r="I333" i="92" a="1"/>
  <c r="I333" i="92" s="1"/>
  <c r="J333" i="92" a="1"/>
  <c r="J333" i="92" s="1"/>
  <c r="L333" i="92" a="1"/>
  <c r="L333" i="92" s="1"/>
  <c r="M333" i="92" a="1"/>
  <c r="M333" i="92" s="1"/>
  <c r="P333" i="92" a="1"/>
  <c r="P333" i="92" s="1"/>
  <c r="Q333" i="92" a="1"/>
  <c r="Q333" i="92" s="1"/>
  <c r="R333" i="92" s="1"/>
  <c r="S333" i="92" a="1"/>
  <c r="S333" i="92" s="1"/>
  <c r="T333" i="92" a="1"/>
  <c r="T333" i="92" s="1"/>
  <c r="W333" i="92" a="1"/>
  <c r="W333" i="92" s="1"/>
  <c r="Y333" i="92" s="1"/>
  <c r="X333" i="92" a="1"/>
  <c r="X333" i="92"/>
  <c r="Z333" i="92" a="1"/>
  <c r="Z333" i="92"/>
  <c r="AB333" i="92" s="1"/>
  <c r="AA333" i="92" a="1"/>
  <c r="AA333" i="92" s="1"/>
  <c r="B334" i="92" a="1"/>
  <c r="B334" i="92"/>
  <c r="D334" i="92" s="1"/>
  <c r="C334" i="92" a="1"/>
  <c r="C334" i="92" s="1"/>
  <c r="E334" i="92" a="1"/>
  <c r="E334" i="92" s="1"/>
  <c r="F334" i="92" a="1"/>
  <c r="F334" i="92"/>
  <c r="I334" i="92" a="1"/>
  <c r="I334" i="92" s="1"/>
  <c r="K334" i="92" s="1"/>
  <c r="J334" i="92" a="1"/>
  <c r="J334" i="92" s="1"/>
  <c r="L334" i="92" a="1"/>
  <c r="L334" i="92" s="1"/>
  <c r="M334" i="92" a="1"/>
  <c r="M334" i="92" s="1"/>
  <c r="P334" i="92" a="1"/>
  <c r="P334" i="92" s="1"/>
  <c r="Q334" i="92" a="1"/>
  <c r="Q334" i="92" s="1"/>
  <c r="S334" i="92" a="1"/>
  <c r="S334" i="92" s="1"/>
  <c r="T334" i="92" a="1"/>
  <c r="T334" i="92" s="1"/>
  <c r="U334" i="92" s="1"/>
  <c r="W334" i="92" a="1"/>
  <c r="W334" i="92" s="1"/>
  <c r="X334" i="92" a="1"/>
  <c r="X334" i="92"/>
  <c r="Z334" i="92" a="1"/>
  <c r="Z334" i="92"/>
  <c r="AA334" i="92" a="1"/>
  <c r="AA334" i="92" s="1"/>
  <c r="B335" i="92" a="1"/>
  <c r="B335" i="92" s="1"/>
  <c r="D335" i="92" s="1"/>
  <c r="C335" i="92" a="1"/>
  <c r="C335" i="92" s="1"/>
  <c r="E335" i="92" a="1"/>
  <c r="E335" i="92" s="1"/>
  <c r="F335" i="92" a="1"/>
  <c r="F335" i="92" s="1"/>
  <c r="I335" i="92" a="1"/>
  <c r="I335" i="92" s="1"/>
  <c r="J335" i="92" a="1"/>
  <c r="J335" i="92" s="1"/>
  <c r="L335" i="92" a="1"/>
  <c r="L335" i="92" s="1"/>
  <c r="N335" i="92" s="1"/>
  <c r="M335" i="92" a="1"/>
  <c r="M335" i="92" s="1"/>
  <c r="P335" i="92" a="1"/>
  <c r="P335" i="92"/>
  <c r="Q335" i="92" a="1"/>
  <c r="Q335" i="92"/>
  <c r="S335" i="92" a="1"/>
  <c r="S335" i="92"/>
  <c r="T335" i="92" a="1"/>
  <c r="T335" i="92" s="1"/>
  <c r="W335" i="92" a="1"/>
  <c r="W335" i="92" s="1"/>
  <c r="X335" i="92" a="1"/>
  <c r="X335" i="92" s="1"/>
  <c r="Y335" i="92" s="1"/>
  <c r="Z335" i="92" a="1"/>
  <c r="Z335" i="92" s="1"/>
  <c r="AB335" i="92" s="1"/>
  <c r="AA335" i="92" a="1"/>
  <c r="AA335" i="92" s="1"/>
  <c r="B336" i="92" a="1"/>
  <c r="B336" i="92"/>
  <c r="C336" i="92" a="1"/>
  <c r="C336" i="92" s="1"/>
  <c r="E336" i="92" a="1"/>
  <c r="E336" i="92"/>
  <c r="F336" i="92" a="1"/>
  <c r="F336" i="92" s="1"/>
  <c r="G336" i="92" s="1"/>
  <c r="I336" i="92" a="1"/>
  <c r="I336" i="92"/>
  <c r="J336" i="92" a="1"/>
  <c r="J336" i="92" s="1"/>
  <c r="L336" i="92" a="1"/>
  <c r="L336" i="92" s="1"/>
  <c r="N336" i="92" s="1"/>
  <c r="M336" i="92" a="1"/>
  <c r="M336" i="92" s="1"/>
  <c r="P336" i="92" a="1"/>
  <c r="P336" i="92" s="1"/>
  <c r="Q336" i="92" a="1"/>
  <c r="Q336" i="92" s="1"/>
  <c r="S336" i="92" a="1"/>
  <c r="S336" i="92" s="1"/>
  <c r="T336" i="92" a="1"/>
  <c r="T336" i="92" s="1"/>
  <c r="U336" i="92" s="1"/>
  <c r="W336" i="92" a="1"/>
  <c r="W336" i="92" s="1"/>
  <c r="Y336" i="92" s="1"/>
  <c r="X336" i="92" a="1"/>
  <c r="X336" i="92" s="1"/>
  <c r="Z336" i="92" a="1"/>
  <c r="Z336" i="92"/>
  <c r="AA336" i="92" a="1"/>
  <c r="AA336" i="92" s="1"/>
  <c r="B337" i="92" a="1"/>
  <c r="B337" i="92"/>
  <c r="D337" i="92" s="1"/>
  <c r="C337" i="92" a="1"/>
  <c r="C337" i="92" s="1"/>
  <c r="E337" i="92" a="1"/>
  <c r="E337" i="92"/>
  <c r="F337" i="92" a="1"/>
  <c r="F337" i="92" s="1"/>
  <c r="I337" i="92" a="1"/>
  <c r="I337" i="92"/>
  <c r="K337" i="92" s="1"/>
  <c r="J337" i="92" a="1"/>
  <c r="J337" i="92" s="1"/>
  <c r="L337" i="92" a="1"/>
  <c r="L337" i="92" s="1"/>
  <c r="M337" i="92" a="1"/>
  <c r="M337" i="92"/>
  <c r="N337" i="92" s="1"/>
  <c r="P337" i="92" a="1"/>
  <c r="P337" i="92" s="1"/>
  <c r="Q337" i="92" a="1"/>
  <c r="Q337" i="92" s="1"/>
  <c r="S337" i="92" a="1"/>
  <c r="S337" i="92" s="1"/>
  <c r="U337" i="92"/>
  <c r="T337" i="92" a="1"/>
  <c r="T337" i="92" s="1"/>
  <c r="W337" i="92" a="1"/>
  <c r="W337" i="92"/>
  <c r="X337" i="92" a="1"/>
  <c r="X337" i="92" s="1"/>
  <c r="Z337" i="92" a="1"/>
  <c r="Z337" i="92" s="1"/>
  <c r="AA337" i="92" a="1"/>
  <c r="AA337" i="92" s="1"/>
  <c r="B338" i="92" a="1"/>
  <c r="B338" i="92"/>
  <c r="C338" i="92" a="1"/>
  <c r="C338" i="92" s="1"/>
  <c r="E338" i="92" a="1"/>
  <c r="E338" i="92" s="1"/>
  <c r="G338" i="92" s="1"/>
  <c r="F338" i="92" a="1"/>
  <c r="F338" i="92" s="1"/>
  <c r="I338" i="92" a="1"/>
  <c r="I338" i="92"/>
  <c r="J338" i="92" a="1"/>
  <c r="J338" i="92" s="1"/>
  <c r="L338" i="92" a="1"/>
  <c r="L338" i="92"/>
  <c r="N338" i="92" s="1"/>
  <c r="M338" i="92" a="1"/>
  <c r="M338" i="92" s="1"/>
  <c r="P338" i="92" a="1"/>
  <c r="P338" i="92"/>
  <c r="Q338" i="92" a="1"/>
  <c r="Q338" i="92" s="1"/>
  <c r="S338" i="92" a="1"/>
  <c r="S338" i="92"/>
  <c r="U338" i="92" s="1"/>
  <c r="T338" i="92" a="1"/>
  <c r="T338" i="92" s="1"/>
  <c r="W338" i="92" a="1"/>
  <c r="W338" i="92" s="1"/>
  <c r="X338" i="92" a="1"/>
  <c r="X338" i="92" s="1"/>
  <c r="Z338" i="92" a="1"/>
  <c r="Z338" i="92" s="1"/>
  <c r="AA338" i="92" a="1"/>
  <c r="AA338" i="92"/>
  <c r="B339" i="92" a="1"/>
  <c r="B339" i="92"/>
  <c r="D339" i="92" s="1"/>
  <c r="C339" i="92" a="1"/>
  <c r="C339" i="92" s="1"/>
  <c r="E339" i="92" a="1"/>
  <c r="E339" i="92" s="1"/>
  <c r="F339" i="92" a="1"/>
  <c r="F339" i="92" s="1"/>
  <c r="I339" i="92" a="1"/>
  <c r="I339" i="92" s="1"/>
  <c r="K339" i="92" s="1"/>
  <c r="J339" i="92" a="1"/>
  <c r="J339" i="92"/>
  <c r="L339" i="92" a="1"/>
  <c r="L339" i="92" s="1"/>
  <c r="M339" i="92" a="1"/>
  <c r="M339" i="92" s="1"/>
  <c r="P339" i="92" a="1"/>
  <c r="P339" i="92" s="1"/>
  <c r="Q339" i="92" a="1"/>
  <c r="Q339" i="92" s="1"/>
  <c r="S339" i="92" a="1"/>
  <c r="S339" i="92" s="1"/>
  <c r="T339" i="92" a="1"/>
  <c r="T339" i="92" s="1"/>
  <c r="W339" i="92" a="1"/>
  <c r="W339" i="92" s="1"/>
  <c r="X339" i="92" a="1"/>
  <c r="X339" i="92" s="1"/>
  <c r="Z339" i="92" a="1"/>
  <c r="Z339" i="92" s="1"/>
  <c r="AA339" i="92" a="1"/>
  <c r="AA339" i="92"/>
  <c r="AB339" i="92" s="1"/>
  <c r="B340" i="92" a="1"/>
  <c r="B340" i="92"/>
  <c r="C340" i="92" a="1"/>
  <c r="C340" i="92" s="1"/>
  <c r="E340" i="92" a="1"/>
  <c r="E340" i="92" s="1"/>
  <c r="F340" i="92" a="1"/>
  <c r="F340" i="92" s="1"/>
  <c r="I340" i="92" a="1"/>
  <c r="I340" i="92"/>
  <c r="J340" i="92" a="1"/>
  <c r="J340" i="92" s="1"/>
  <c r="L340" i="92" a="1"/>
  <c r="L340" i="92" s="1"/>
  <c r="M340" i="92" a="1"/>
  <c r="M340" i="92" s="1"/>
  <c r="P340" i="92" a="1"/>
  <c r="P340" i="92" s="1"/>
  <c r="Q340" i="92" a="1"/>
  <c r="Q340" i="92" s="1"/>
  <c r="S340" i="92" a="1"/>
  <c r="S340" i="92"/>
  <c r="T340" i="92" a="1"/>
  <c r="T340" i="92" s="1"/>
  <c r="W340" i="92" a="1"/>
  <c r="W340" i="92" s="1"/>
  <c r="X340" i="92" a="1"/>
  <c r="X340" i="92" s="1"/>
  <c r="Z340" i="92" a="1"/>
  <c r="Z340" i="92" s="1"/>
  <c r="AB340" i="92" s="1"/>
  <c r="AA340" i="92" a="1"/>
  <c r="AA340" i="92" s="1"/>
  <c r="B341" i="92" a="1"/>
  <c r="B341" i="92" s="1"/>
  <c r="C341" i="92" a="1"/>
  <c r="C341" i="92"/>
  <c r="E341" i="92" a="1"/>
  <c r="E341" i="92"/>
  <c r="G341" i="92" s="1"/>
  <c r="F341" i="92" a="1"/>
  <c r="F341" i="92" s="1"/>
  <c r="I341" i="92" a="1"/>
  <c r="I341" i="92" s="1"/>
  <c r="K341" i="92" s="1"/>
  <c r="J341" i="92" a="1"/>
  <c r="J341" i="92"/>
  <c r="L341" i="92" a="1"/>
  <c r="L341" i="92" s="1"/>
  <c r="M341" i="92" a="1"/>
  <c r="M341" i="92" s="1"/>
  <c r="P341" i="92" a="1"/>
  <c r="P341" i="92" s="1"/>
  <c r="Q341" i="92" a="1"/>
  <c r="Q341" i="92" s="1"/>
  <c r="R341" i="92" s="1"/>
  <c r="S341" i="92" a="1"/>
  <c r="S341" i="92" s="1"/>
  <c r="T341" i="92" a="1"/>
  <c r="T341" i="92"/>
  <c r="U341" i="92" s="1"/>
  <c r="W341" i="92" a="1"/>
  <c r="W341" i="92" s="1"/>
  <c r="X341" i="92" a="1"/>
  <c r="X341" i="92"/>
  <c r="Z341" i="92" a="1"/>
  <c r="Z341" i="92" s="1"/>
  <c r="AA341" i="92" a="1"/>
  <c r="AA341" i="92"/>
  <c r="B342" i="92" a="1"/>
  <c r="B342" i="92" s="1"/>
  <c r="D342" i="92" s="1"/>
  <c r="C342" i="92" a="1"/>
  <c r="C342" i="92" s="1"/>
  <c r="E342" i="92" a="1"/>
  <c r="E342" i="92" s="1"/>
  <c r="F342" i="92" a="1"/>
  <c r="F342" i="92"/>
  <c r="I342" i="92" a="1"/>
  <c r="I342" i="92" s="1"/>
  <c r="J342" i="92" a="1"/>
  <c r="J342" i="92" s="1"/>
  <c r="K342" i="92" s="1"/>
  <c r="L342" i="92" a="1"/>
  <c r="L342" i="92" s="1"/>
  <c r="M342" i="92" a="1"/>
  <c r="M342" i="92" s="1"/>
  <c r="P342" i="92" a="1"/>
  <c r="P342" i="92" s="1"/>
  <c r="Q342" i="92" a="1"/>
  <c r="Q342" i="92" s="1"/>
  <c r="S342" i="92" a="1"/>
  <c r="S342" i="92" s="1"/>
  <c r="T342" i="92" a="1"/>
  <c r="T342" i="92"/>
  <c r="W342" i="92" a="1"/>
  <c r="W342" i="92" s="1"/>
  <c r="Y342" i="92" s="1"/>
  <c r="X342" i="92" a="1"/>
  <c r="X342" i="92" s="1"/>
  <c r="Z342" i="92" a="1"/>
  <c r="Z342" i="92"/>
  <c r="AA342" i="92" a="1"/>
  <c r="AA342" i="92" s="1"/>
  <c r="B343" i="92" a="1"/>
  <c r="B343" i="92" s="1"/>
  <c r="C343" i="92" a="1"/>
  <c r="C343" i="92" s="1"/>
  <c r="E343" i="92" a="1"/>
  <c r="E343" i="92" s="1"/>
  <c r="F343" i="92" a="1"/>
  <c r="F343" i="92" s="1"/>
  <c r="I343" i="92" a="1"/>
  <c r="I343" i="92" s="1"/>
  <c r="J343" i="92" a="1"/>
  <c r="J343" i="92"/>
  <c r="L343" i="92" a="1"/>
  <c r="L343" i="92" s="1"/>
  <c r="M343" i="92" a="1"/>
  <c r="M343" i="92"/>
  <c r="P343" i="92" a="1"/>
  <c r="P343" i="92" s="1"/>
  <c r="Q343" i="92" a="1"/>
  <c r="Q343" i="92" s="1"/>
  <c r="S343" i="92" a="1"/>
  <c r="S343" i="92"/>
  <c r="T343" i="92" a="1"/>
  <c r="T343" i="92" s="1"/>
  <c r="W343" i="92" a="1"/>
  <c r="W343" i="92" s="1"/>
  <c r="X343" i="92" a="1"/>
  <c r="X343" i="92" s="1"/>
  <c r="Z343" i="92" a="1"/>
  <c r="Z343" i="92" s="1"/>
  <c r="AB343" i="92" s="1"/>
  <c r="AA343" i="92" a="1"/>
  <c r="AA343" i="92" s="1"/>
  <c r="B344" i="92" a="1"/>
  <c r="B344" i="92" s="1"/>
  <c r="C344" i="92" a="1"/>
  <c r="C344" i="92" s="1"/>
  <c r="E344" i="92" a="1"/>
  <c r="E344" i="92" s="1"/>
  <c r="F344" i="92" a="1"/>
  <c r="F344" i="92"/>
  <c r="I344" i="92" a="1"/>
  <c r="I344" i="92"/>
  <c r="K344" i="92" s="1"/>
  <c r="J344" i="92" a="1"/>
  <c r="J344" i="92" s="1"/>
  <c r="L344" i="92" a="1"/>
  <c r="L344" i="92" s="1"/>
  <c r="M344" i="92" a="1"/>
  <c r="M344" i="92"/>
  <c r="N344" i="92" s="1"/>
  <c r="P344" i="92" a="1"/>
  <c r="P344" i="92"/>
  <c r="Q344" i="92" a="1"/>
  <c r="Q344" i="92" s="1"/>
  <c r="S344" i="92" a="1"/>
  <c r="S344" i="92" s="1"/>
  <c r="T344" i="92" a="1"/>
  <c r="T344" i="92"/>
  <c r="W344" i="92" a="1"/>
  <c r="W344" i="92" s="1"/>
  <c r="X344" i="92" a="1"/>
  <c r="X344" i="92" s="1"/>
  <c r="Z344" i="92" a="1"/>
  <c r="Z344" i="92" s="1"/>
  <c r="AB344" i="92" s="1"/>
  <c r="AA344" i="92" a="1"/>
  <c r="AA344" i="92" s="1"/>
  <c r="B345" i="92" a="1"/>
  <c r="B345" i="92" s="1"/>
  <c r="C345" i="92" a="1"/>
  <c r="C345" i="92" s="1"/>
  <c r="D345" i="92"/>
  <c r="E345" i="92" a="1"/>
  <c r="E345" i="92" s="1"/>
  <c r="F345" i="92" a="1"/>
  <c r="F345" i="92"/>
  <c r="I345" i="92" a="1"/>
  <c r="I345" i="92" s="1"/>
  <c r="J345" i="92" a="1"/>
  <c r="J345" i="92" s="1"/>
  <c r="L345" i="92" a="1"/>
  <c r="L345" i="92" s="1"/>
  <c r="M345" i="92" a="1"/>
  <c r="M345" i="92"/>
  <c r="P345" i="92" a="1"/>
  <c r="P345" i="92" s="1"/>
  <c r="Q345" i="92" a="1"/>
  <c r="Q345" i="92" s="1"/>
  <c r="S345" i="92" a="1"/>
  <c r="S345" i="92" s="1"/>
  <c r="U345" i="92" s="1"/>
  <c r="T345" i="92" a="1"/>
  <c r="T345" i="92" s="1"/>
  <c r="W345" i="92" a="1"/>
  <c r="W345" i="92" s="1"/>
  <c r="Y345" i="92" s="1"/>
  <c r="X345" i="92" a="1"/>
  <c r="X345" i="92" s="1"/>
  <c r="Z345" i="92" a="1"/>
  <c r="Z345" i="92" s="1"/>
  <c r="AA345" i="92" a="1"/>
  <c r="AA345" i="92" s="1"/>
  <c r="B346" i="92" a="1"/>
  <c r="B346" i="92" s="1"/>
  <c r="C346" i="92" a="1"/>
  <c r="C346" i="92"/>
  <c r="E346" i="92" a="1"/>
  <c r="E346" i="92" s="1"/>
  <c r="F346" i="92" a="1"/>
  <c r="F346" i="92"/>
  <c r="I346" i="92" a="1"/>
  <c r="I346" i="92" s="1"/>
  <c r="J346" i="92" a="1"/>
  <c r="J346" i="92" s="1"/>
  <c r="L346" i="92" a="1"/>
  <c r="L346" i="92" s="1"/>
  <c r="M346" i="92" a="1"/>
  <c r="M346" i="92" s="1"/>
  <c r="P346" i="92" a="1"/>
  <c r="P346" i="92" s="1"/>
  <c r="Q346" i="92" a="1"/>
  <c r="Q346" i="92" s="1"/>
  <c r="S346" i="92" a="1"/>
  <c r="S346" i="92" s="1"/>
  <c r="T346" i="92" a="1"/>
  <c r="T346" i="92" s="1"/>
  <c r="W346" i="92" a="1"/>
  <c r="W346" i="92" s="1"/>
  <c r="Y346" i="92"/>
  <c r="X346" i="92" a="1"/>
  <c r="X346" i="92" s="1"/>
  <c r="Z346" i="92" a="1"/>
  <c r="Z346" i="92" s="1"/>
  <c r="AA346" i="92" a="1"/>
  <c r="AA346" i="92" s="1"/>
  <c r="AB346" i="92" s="1"/>
  <c r="B347" i="92" a="1"/>
  <c r="B347" i="92" s="1"/>
  <c r="C347" i="92" a="1"/>
  <c r="C347" i="92" s="1"/>
  <c r="E347" i="92" a="1"/>
  <c r="E347" i="92" s="1"/>
  <c r="F347" i="92" a="1"/>
  <c r="F347" i="92" s="1"/>
  <c r="I347" i="92" a="1"/>
  <c r="I347" i="92" s="1"/>
  <c r="J347" i="92" a="1"/>
  <c r="J347" i="92" s="1"/>
  <c r="L347" i="92" a="1"/>
  <c r="L347" i="92"/>
  <c r="N347" i="92" s="1"/>
  <c r="M347" i="92" a="1"/>
  <c r="M347" i="92"/>
  <c r="P347" i="92" a="1"/>
  <c r="P347" i="92" s="1"/>
  <c r="Q347" i="92" a="1"/>
  <c r="Q347" i="92" s="1"/>
  <c r="R347" i="92" s="1"/>
  <c r="S347" i="92" a="1"/>
  <c r="S347" i="92" s="1"/>
  <c r="T347" i="92" a="1"/>
  <c r="T347" i="92" s="1"/>
  <c r="W347" i="92" a="1"/>
  <c r="W347" i="92" s="1"/>
  <c r="X347" i="92" a="1"/>
  <c r="X347" i="92" s="1"/>
  <c r="Z347" i="92" a="1"/>
  <c r="Z347" i="92" s="1"/>
  <c r="AA347" i="92" a="1"/>
  <c r="AA347" i="92" s="1"/>
  <c r="B348" i="92" a="1"/>
  <c r="B348" i="92" s="1"/>
  <c r="C348" i="92" a="1"/>
  <c r="C348" i="92" s="1"/>
  <c r="E348" i="92" a="1"/>
  <c r="E348" i="92" s="1"/>
  <c r="F348" i="92" a="1"/>
  <c r="F348" i="92" s="1"/>
  <c r="I348" i="92" a="1"/>
  <c r="I348" i="92" s="1"/>
  <c r="K348" i="92" s="1"/>
  <c r="J348" i="92" a="1"/>
  <c r="J348" i="92" s="1"/>
  <c r="L348" i="92" a="1"/>
  <c r="L348" i="92" s="1"/>
  <c r="M348" i="92" a="1"/>
  <c r="M348" i="92" s="1"/>
  <c r="P348" i="92" a="1"/>
  <c r="P348" i="92"/>
  <c r="Q348" i="92" a="1"/>
  <c r="Q348" i="92" s="1"/>
  <c r="S348" i="92" a="1"/>
  <c r="S348" i="92" s="1"/>
  <c r="T348" i="92" a="1"/>
  <c r="T348" i="92" s="1"/>
  <c r="W348" i="92" a="1"/>
  <c r="W348" i="92" s="1"/>
  <c r="Y348" i="92" s="1"/>
  <c r="X348" i="92" a="1"/>
  <c r="X348" i="92" s="1"/>
  <c r="Z348" i="92" a="1"/>
  <c r="Z348" i="92" s="1"/>
  <c r="AA348" i="92" a="1"/>
  <c r="AA348" i="92" s="1"/>
  <c r="B349" i="92" a="1"/>
  <c r="B349" i="92" s="1"/>
  <c r="C349" i="92" a="1"/>
  <c r="C349" i="92" s="1"/>
  <c r="E349" i="92" a="1"/>
  <c r="E349" i="92"/>
  <c r="G349" i="92" s="1"/>
  <c r="F349" i="92" a="1"/>
  <c r="F349" i="92" s="1"/>
  <c r="I349" i="92" a="1"/>
  <c r="I349" i="92" s="1"/>
  <c r="J349" i="92" a="1"/>
  <c r="J349" i="92"/>
  <c r="L349" i="92" a="1"/>
  <c r="L349" i="92"/>
  <c r="M349" i="92" a="1"/>
  <c r="M349" i="92" s="1"/>
  <c r="N349" i="92" s="1"/>
  <c r="P349" i="92" a="1"/>
  <c r="P349" i="92" s="1"/>
  <c r="Q349" i="92" a="1"/>
  <c r="Q349" i="92" s="1"/>
  <c r="S349" i="92" a="1"/>
  <c r="S349" i="92"/>
  <c r="T349" i="92" a="1"/>
  <c r="T349" i="92" s="1"/>
  <c r="W349" i="92" a="1"/>
  <c r="W349" i="92" s="1"/>
  <c r="X349" i="92" a="1"/>
  <c r="X349" i="92" s="1"/>
  <c r="Z349" i="92" a="1"/>
  <c r="Z349" i="92" s="1"/>
  <c r="AB349" i="92" s="1"/>
  <c r="AA349" i="92" a="1"/>
  <c r="AA349" i="92" s="1"/>
  <c r="B350" i="92" a="1"/>
  <c r="B350" i="92" s="1"/>
  <c r="D350" i="92" s="1"/>
  <c r="C350" i="92" a="1"/>
  <c r="C350" i="92" s="1"/>
  <c r="E350" i="92" a="1"/>
  <c r="E350" i="92"/>
  <c r="F350" i="92" a="1"/>
  <c r="F350" i="92"/>
  <c r="I350" i="92" a="1"/>
  <c r="I350" i="92"/>
  <c r="J350" i="92" a="1"/>
  <c r="J350" i="92" s="1"/>
  <c r="L350" i="92" a="1"/>
  <c r="L350" i="92" s="1"/>
  <c r="M350" i="92" a="1"/>
  <c r="M350" i="92"/>
  <c r="P350" i="92" a="1"/>
  <c r="P350" i="92"/>
  <c r="Q350" i="92" a="1"/>
  <c r="Q350" i="92"/>
  <c r="R350" i="92" s="1"/>
  <c r="S350" i="92" a="1"/>
  <c r="S350" i="92" s="1"/>
  <c r="U350" i="92" s="1"/>
  <c r="T350" i="92" a="1"/>
  <c r="T350" i="92" s="1"/>
  <c r="W350" i="92" a="1"/>
  <c r="W350" i="92" s="1"/>
  <c r="X350" i="92" a="1"/>
  <c r="X350" i="92"/>
  <c r="Y350" i="92" s="1"/>
  <c r="Z350" i="92" a="1"/>
  <c r="Z350" i="92" s="1"/>
  <c r="AA350" i="92" a="1"/>
  <c r="AA350" i="92" s="1"/>
  <c r="B351" i="92" a="1"/>
  <c r="B351" i="92" s="1"/>
  <c r="C351" i="92" a="1"/>
  <c r="C351" i="92" s="1"/>
  <c r="E351" i="92" a="1"/>
  <c r="E351" i="92" s="1"/>
  <c r="F351" i="92" a="1"/>
  <c r="F351" i="92" s="1"/>
  <c r="I351" i="92" a="1"/>
  <c r="I351" i="92" s="1"/>
  <c r="J351" i="92" a="1"/>
  <c r="J351" i="92" s="1"/>
  <c r="L351" i="92" a="1"/>
  <c r="L351" i="92" s="1"/>
  <c r="M351" i="92" a="1"/>
  <c r="M351" i="92" s="1"/>
  <c r="P351" i="92" a="1"/>
  <c r="P351" i="92"/>
  <c r="R351" i="92" s="1"/>
  <c r="Q351" i="92" a="1"/>
  <c r="Q351" i="92" s="1"/>
  <c r="S351" i="92" a="1"/>
  <c r="S351" i="92"/>
  <c r="T351" i="92" a="1"/>
  <c r="T351" i="92" s="1"/>
  <c r="W351" i="92" a="1"/>
  <c r="W351" i="92" s="1"/>
  <c r="X351" i="92" a="1"/>
  <c r="X351" i="92" s="1"/>
  <c r="Z351" i="92" a="1"/>
  <c r="Z351" i="92"/>
  <c r="AA351" i="92" a="1"/>
  <c r="AA351" i="92" s="1"/>
  <c r="B352" i="92" a="1"/>
  <c r="B352" i="92"/>
  <c r="C352" i="92" a="1"/>
  <c r="C352" i="92" s="1"/>
  <c r="D352" i="92" s="1"/>
  <c r="E352" i="92" a="1"/>
  <c r="E352" i="92" s="1"/>
  <c r="F352" i="92" a="1"/>
  <c r="F352" i="92" s="1"/>
  <c r="G352" i="92" s="1"/>
  <c r="I352" i="92" a="1"/>
  <c r="I352" i="92" s="1"/>
  <c r="J352" i="92" a="1"/>
  <c r="J352" i="92" s="1"/>
  <c r="K352" i="92" s="1"/>
  <c r="L352" i="92" a="1"/>
  <c r="L352" i="92" s="1"/>
  <c r="N352" i="92" s="1"/>
  <c r="M352" i="92" a="1"/>
  <c r="M352" i="92" s="1"/>
  <c r="P352" i="92" a="1"/>
  <c r="P352" i="92" s="1"/>
  <c r="Q352" i="92" a="1"/>
  <c r="Q352" i="92" s="1"/>
  <c r="R352" i="92" s="1"/>
  <c r="S352" i="92" a="1"/>
  <c r="S352" i="92" s="1"/>
  <c r="T352" i="92" a="1"/>
  <c r="T352" i="92" s="1"/>
  <c r="W352" i="92" a="1"/>
  <c r="W352" i="92"/>
  <c r="Y352" i="92" s="1"/>
  <c r="X352" i="92" a="1"/>
  <c r="X352" i="92" s="1"/>
  <c r="Z352" i="92" a="1"/>
  <c r="Z352" i="92"/>
  <c r="AA352" i="92" a="1"/>
  <c r="AA352" i="92" s="1"/>
  <c r="B353" i="92" a="1"/>
  <c r="B353" i="92" s="1"/>
  <c r="C353" i="92" a="1"/>
  <c r="C353" i="92" s="1"/>
  <c r="E353" i="92" a="1"/>
  <c r="E353" i="92"/>
  <c r="G353" i="92" s="1"/>
  <c r="F353" i="92" a="1"/>
  <c r="F353" i="92" s="1"/>
  <c r="I353" i="92" a="1"/>
  <c r="I353" i="92"/>
  <c r="K353" i="92" s="1"/>
  <c r="J353" i="92" a="1"/>
  <c r="J353" i="92"/>
  <c r="L353" i="92" a="1"/>
  <c r="L353" i="92" s="1"/>
  <c r="M353" i="92" a="1"/>
  <c r="M353" i="92" s="1"/>
  <c r="P353" i="92" a="1"/>
  <c r="P353" i="92"/>
  <c r="Q353" i="92" a="1"/>
  <c r="Q353" i="92" s="1"/>
  <c r="S353" i="92" a="1"/>
  <c r="S353" i="92"/>
  <c r="U353" i="92" s="1"/>
  <c r="T353" i="92" a="1"/>
  <c r="T353" i="92" s="1"/>
  <c r="W353" i="92" a="1"/>
  <c r="W353" i="92" s="1"/>
  <c r="Y353" i="92" s="1"/>
  <c r="X353" i="92" a="1"/>
  <c r="X353" i="92" s="1"/>
  <c r="Z353" i="92" a="1"/>
  <c r="Z353" i="92" s="1"/>
  <c r="AB353" i="92" s="1"/>
  <c r="AA353" i="92" a="1"/>
  <c r="AA353" i="92" s="1"/>
  <c r="B354" i="92" a="1"/>
  <c r="B354" i="92"/>
  <c r="C354" i="92" a="1"/>
  <c r="C354" i="92" s="1"/>
  <c r="E354" i="92" a="1"/>
  <c r="E354" i="92" s="1"/>
  <c r="F354" i="92" a="1"/>
  <c r="F354" i="92"/>
  <c r="I354" i="92" a="1"/>
  <c r="I354" i="92" s="1"/>
  <c r="J354" i="92" a="1"/>
  <c r="J354" i="92"/>
  <c r="L354" i="92" a="1"/>
  <c r="L354" i="92"/>
  <c r="N354" i="92" s="1"/>
  <c r="M354" i="92" a="1"/>
  <c r="M354" i="92" s="1"/>
  <c r="P354" i="92" a="1"/>
  <c r="P354" i="92"/>
  <c r="Q354" i="92" a="1"/>
  <c r="Q354" i="92" s="1"/>
  <c r="S354" i="92" a="1"/>
  <c r="S354" i="92" s="1"/>
  <c r="T354" i="92" a="1"/>
  <c r="T354" i="92" s="1"/>
  <c r="W354" i="92" a="1"/>
  <c r="W354" i="92" s="1"/>
  <c r="X354" i="92" a="1"/>
  <c r="X354" i="92" s="1"/>
  <c r="Z354" i="92" a="1"/>
  <c r="Z354" i="92" s="1"/>
  <c r="AA354" i="92" a="1"/>
  <c r="AA354" i="92" s="1"/>
  <c r="AB354" i="92" s="1"/>
  <c r="B355" i="92" a="1"/>
  <c r="B355" i="92" s="1"/>
  <c r="C355" i="92" a="1"/>
  <c r="C355" i="92" s="1"/>
  <c r="E355" i="92" a="1"/>
  <c r="E355" i="92" s="1"/>
  <c r="G355" i="92" s="1"/>
  <c r="F355" i="92" a="1"/>
  <c r="F355" i="92" s="1"/>
  <c r="I355" i="92" a="1"/>
  <c r="I355" i="92"/>
  <c r="J355" i="92" a="1"/>
  <c r="J355" i="92" s="1"/>
  <c r="L355" i="92" a="1"/>
  <c r="L355" i="92"/>
  <c r="M355" i="92" a="1"/>
  <c r="M355" i="92" s="1"/>
  <c r="P355" i="92" a="1"/>
  <c r="P355" i="92" s="1"/>
  <c r="Q355" i="92" a="1"/>
  <c r="Q355" i="92" s="1"/>
  <c r="S355" i="92" a="1"/>
  <c r="S355" i="92" s="1"/>
  <c r="T355" i="92" a="1"/>
  <c r="T355" i="92"/>
  <c r="W355" i="92" a="1"/>
  <c r="W355" i="92" s="1"/>
  <c r="X355" i="92" a="1"/>
  <c r="X355" i="92" s="1"/>
  <c r="Z355" i="92" a="1"/>
  <c r="Z355" i="92" s="1"/>
  <c r="AA355" i="92" a="1"/>
  <c r="AA355" i="92" s="1"/>
  <c r="AB355" i="92" s="1"/>
  <c r="B356" i="92" a="1"/>
  <c r="B356" i="92" s="1"/>
  <c r="C356" i="92" a="1"/>
  <c r="C356" i="92" s="1"/>
  <c r="E356" i="92" a="1"/>
  <c r="E356" i="92" s="1"/>
  <c r="F356" i="92" a="1"/>
  <c r="F356" i="92" s="1"/>
  <c r="I356" i="92" a="1"/>
  <c r="I356" i="92" s="1"/>
  <c r="J356" i="92" a="1"/>
  <c r="J356" i="92" s="1"/>
  <c r="L356" i="92" a="1"/>
  <c r="L356" i="92"/>
  <c r="M356" i="92" a="1"/>
  <c r="M356" i="92" s="1"/>
  <c r="P356" i="92" a="1"/>
  <c r="P356" i="92" s="1"/>
  <c r="Q356" i="92" a="1"/>
  <c r="Q356" i="92" s="1"/>
  <c r="S356" i="92" a="1"/>
  <c r="S356" i="92" s="1"/>
  <c r="U356" i="92" s="1"/>
  <c r="T356" i="92" a="1"/>
  <c r="T356" i="92" s="1"/>
  <c r="W356" i="92" a="1"/>
  <c r="W356" i="92"/>
  <c r="Y356" i="92" s="1"/>
  <c r="X356" i="92" a="1"/>
  <c r="X356" i="92" s="1"/>
  <c r="Z356" i="92" a="1"/>
  <c r="Z356" i="92" s="1"/>
  <c r="AA356" i="92" a="1"/>
  <c r="AA356" i="92" s="1"/>
  <c r="AB356" i="92" s="1"/>
  <c r="B357" i="92" a="1"/>
  <c r="B357" i="92" s="1"/>
  <c r="C357" i="92" a="1"/>
  <c r="C357" i="92" s="1"/>
  <c r="E357" i="92" a="1"/>
  <c r="E357" i="92" s="1"/>
  <c r="F357" i="92" a="1"/>
  <c r="F357" i="92"/>
  <c r="I357" i="92" a="1"/>
  <c r="I357" i="92" s="1"/>
  <c r="K357" i="92" s="1"/>
  <c r="J357" i="92" a="1"/>
  <c r="J357" i="92" s="1"/>
  <c r="L357" i="92" a="1"/>
  <c r="L357" i="92" s="1"/>
  <c r="N357" i="92" s="1"/>
  <c r="M357" i="92" a="1"/>
  <c r="M357" i="92" s="1"/>
  <c r="P357" i="92" a="1"/>
  <c r="P357" i="92"/>
  <c r="R357" i="92" s="1"/>
  <c r="Q357" i="92" a="1"/>
  <c r="Q357" i="92"/>
  <c r="S357" i="92" a="1"/>
  <c r="S357" i="92" s="1"/>
  <c r="T357" i="92" a="1"/>
  <c r="T357" i="92" s="1"/>
  <c r="W357" i="92" a="1"/>
  <c r="W357" i="92" s="1"/>
  <c r="X357" i="92" a="1"/>
  <c r="X357" i="92" s="1"/>
  <c r="Z357" i="92" a="1"/>
  <c r="Z357" i="92" s="1"/>
  <c r="AA357" i="92" a="1"/>
  <c r="AA357" i="92" s="1"/>
  <c r="AB357" i="92" s="1"/>
  <c r="B358" i="92" a="1"/>
  <c r="B358" i="92" s="1"/>
  <c r="C358" i="92" a="1"/>
  <c r="C358" i="92" s="1"/>
  <c r="D358" i="92" s="1"/>
  <c r="E358" i="92" a="1"/>
  <c r="E358" i="92" s="1"/>
  <c r="G358" i="92" s="1"/>
  <c r="F358" i="92" a="1"/>
  <c r="F358" i="92" s="1"/>
  <c r="I358" i="92" a="1"/>
  <c r="I358" i="92"/>
  <c r="J358" i="92" a="1"/>
  <c r="J358" i="92"/>
  <c r="L358" i="92" a="1"/>
  <c r="L358" i="92" s="1"/>
  <c r="N358" i="92" s="1"/>
  <c r="M358" i="92" a="1"/>
  <c r="M358" i="92" s="1"/>
  <c r="P358" i="92" a="1"/>
  <c r="P358" i="92" s="1"/>
  <c r="Q358" i="92" a="1"/>
  <c r="Q358" i="92"/>
  <c r="R358" i="92" s="1"/>
  <c r="S358" i="92" a="1"/>
  <c r="S358" i="92"/>
  <c r="T358" i="92" a="1"/>
  <c r="T358" i="92" s="1"/>
  <c r="W358" i="92" a="1"/>
  <c r="W358" i="92" s="1"/>
  <c r="X358" i="92" a="1"/>
  <c r="X358" i="92"/>
  <c r="Z358" i="92" a="1"/>
  <c r="Z358" i="92" s="1"/>
  <c r="AA358" i="92" a="1"/>
  <c r="AA358" i="92" s="1"/>
  <c r="B359" i="92" a="1"/>
  <c r="B359" i="92" s="1"/>
  <c r="C359" i="92" a="1"/>
  <c r="C359" i="92" s="1"/>
  <c r="E359" i="92" a="1"/>
  <c r="E359" i="92" s="1"/>
  <c r="G359" i="92" s="1"/>
  <c r="F359" i="92" a="1"/>
  <c r="F359" i="92" s="1"/>
  <c r="I359" i="92" a="1"/>
  <c r="I359" i="92" s="1"/>
  <c r="J359" i="92" a="1"/>
  <c r="J359" i="92" s="1"/>
  <c r="L359" i="92" a="1"/>
  <c r="L359" i="92" s="1"/>
  <c r="M359" i="92" a="1"/>
  <c r="M359" i="92"/>
  <c r="N359" i="92" s="1"/>
  <c r="P359" i="92" a="1"/>
  <c r="P359" i="92"/>
  <c r="Q359" i="92" a="1"/>
  <c r="Q359" i="92"/>
  <c r="S359" i="92" a="1"/>
  <c r="S359" i="92" s="1"/>
  <c r="T359" i="92" a="1"/>
  <c r="T359" i="92"/>
  <c r="W359" i="92" a="1"/>
  <c r="W359" i="92"/>
  <c r="X359" i="92" a="1"/>
  <c r="X359" i="92" s="1"/>
  <c r="Z359" i="92" a="1"/>
  <c r="Z359" i="92" s="1"/>
  <c r="AA359" i="92" a="1"/>
  <c r="AA359" i="92" s="1"/>
  <c r="B360" i="92" a="1"/>
  <c r="B360" i="92"/>
  <c r="C360" i="92" a="1"/>
  <c r="C360" i="92" s="1"/>
  <c r="E360" i="92" a="1"/>
  <c r="E360" i="92" s="1"/>
  <c r="F360" i="92" a="1"/>
  <c r="F360" i="92"/>
  <c r="I360" i="92" a="1"/>
  <c r="I360" i="92"/>
  <c r="J360" i="92" a="1"/>
  <c r="J360" i="92"/>
  <c r="L360" i="92" a="1"/>
  <c r="L360" i="92" s="1"/>
  <c r="M360" i="92" a="1"/>
  <c r="M360" i="92"/>
  <c r="P360" i="92" a="1"/>
  <c r="P360" i="92"/>
  <c r="Q360" i="92" a="1"/>
  <c r="Q360" i="92"/>
  <c r="R360" i="92" s="1"/>
  <c r="S360" i="92" a="1"/>
  <c r="S360" i="92" s="1"/>
  <c r="T360" i="92" a="1"/>
  <c r="T360" i="92" s="1"/>
  <c r="W360" i="92" a="1"/>
  <c r="W360" i="92"/>
  <c r="X360" i="92" a="1"/>
  <c r="X360" i="92" s="1"/>
  <c r="Z360" i="92" a="1"/>
  <c r="Z360" i="92" s="1"/>
  <c r="AA360" i="92" a="1"/>
  <c r="AA360" i="92" s="1"/>
  <c r="B361" i="92" a="1"/>
  <c r="B361" i="92" s="1"/>
  <c r="C361" i="92" a="1"/>
  <c r="C361" i="92" s="1"/>
  <c r="E361" i="92" a="1"/>
  <c r="E361" i="92" s="1"/>
  <c r="G361" i="92" s="1"/>
  <c r="F361" i="92" a="1"/>
  <c r="F361" i="92" s="1"/>
  <c r="I361" i="92" a="1"/>
  <c r="I361" i="92" s="1"/>
  <c r="K361" i="92" s="1"/>
  <c r="J361" i="92" a="1"/>
  <c r="J361" i="92" s="1"/>
  <c r="L361" i="92" a="1"/>
  <c r="L361" i="92" s="1"/>
  <c r="M361" i="92" a="1"/>
  <c r="M361" i="92" s="1"/>
  <c r="P361" i="92" a="1"/>
  <c r="P361" i="92" s="1"/>
  <c r="R361" i="92" s="1"/>
  <c r="Q361" i="92" a="1"/>
  <c r="Q361" i="92" s="1"/>
  <c r="S361" i="92" a="1"/>
  <c r="S361" i="92" s="1"/>
  <c r="T361" i="92" a="1"/>
  <c r="T361" i="92"/>
  <c r="W361" i="92" a="1"/>
  <c r="W361" i="92" s="1"/>
  <c r="X361" i="92" a="1"/>
  <c r="X361" i="92"/>
  <c r="Z361" i="92" a="1"/>
  <c r="Z361" i="92" s="1"/>
  <c r="AA361" i="92" a="1"/>
  <c r="AA361" i="92" s="1"/>
  <c r="B362" i="92" a="1"/>
  <c r="B362" i="92" s="1"/>
  <c r="C362" i="92" a="1"/>
  <c r="C362" i="92" s="1"/>
  <c r="E362" i="92" a="1"/>
  <c r="E362" i="92" s="1"/>
  <c r="G362" i="92" s="1"/>
  <c r="F362" i="92" a="1"/>
  <c r="F362" i="92" s="1"/>
  <c r="I362" i="92" a="1"/>
  <c r="I362" i="92" s="1"/>
  <c r="J362" i="92" a="1"/>
  <c r="J362" i="92"/>
  <c r="K362" i="92" s="1"/>
  <c r="L362" i="92" a="1"/>
  <c r="L362" i="92"/>
  <c r="M362" i="92" a="1"/>
  <c r="M362" i="92"/>
  <c r="P362" i="92" a="1"/>
  <c r="P362" i="92" s="1"/>
  <c r="Q362" i="92" a="1"/>
  <c r="Q362" i="92" s="1"/>
  <c r="S362" i="92" a="1"/>
  <c r="S362" i="92" s="1"/>
  <c r="T362" i="92" a="1"/>
  <c r="T362" i="92" s="1"/>
  <c r="W362" i="92" a="1"/>
  <c r="W362" i="92" s="1"/>
  <c r="X362" i="92" a="1"/>
  <c r="X362" i="92" s="1"/>
  <c r="Z362" i="92" a="1"/>
  <c r="Z362" i="92" s="1"/>
  <c r="AA362" i="92" a="1"/>
  <c r="AA362" i="92" s="1"/>
  <c r="AB362" i="92"/>
  <c r="B363" i="92" a="1"/>
  <c r="B363" i="92" s="1"/>
  <c r="D363" i="92" s="1"/>
  <c r="C363" i="92" a="1"/>
  <c r="C363" i="92" s="1"/>
  <c r="E363" i="92" a="1"/>
  <c r="E363" i="92" s="1"/>
  <c r="F363" i="92" a="1"/>
  <c r="F363" i="92"/>
  <c r="I363" i="92" a="1"/>
  <c r="I363" i="92" s="1"/>
  <c r="J363" i="92" a="1"/>
  <c r="J363" i="92" s="1"/>
  <c r="K363" i="92"/>
  <c r="L363" i="92" a="1"/>
  <c r="L363" i="92" s="1"/>
  <c r="M363" i="92" a="1"/>
  <c r="M363" i="92" s="1"/>
  <c r="P363" i="92" a="1"/>
  <c r="P363" i="92" s="1"/>
  <c r="Q363" i="92" a="1"/>
  <c r="Q363" i="92" s="1"/>
  <c r="S363" i="92" a="1"/>
  <c r="S363" i="92" s="1"/>
  <c r="U363" i="92" s="1"/>
  <c r="T363" i="92" a="1"/>
  <c r="T363" i="92" s="1"/>
  <c r="W363" i="92" a="1"/>
  <c r="W363" i="92" s="1"/>
  <c r="X363" i="92" a="1"/>
  <c r="X363" i="92" s="1"/>
  <c r="Z363" i="92" a="1"/>
  <c r="Z363" i="92"/>
  <c r="AA363" i="92" a="1"/>
  <c r="AA363" i="92" s="1"/>
  <c r="B364" i="92" a="1"/>
  <c r="B364" i="92"/>
  <c r="C364" i="92" a="1"/>
  <c r="C364" i="92" s="1"/>
  <c r="E364" i="92" a="1"/>
  <c r="E364" i="92"/>
  <c r="F364" i="92" a="1"/>
  <c r="F364" i="92" s="1"/>
  <c r="I364" i="92" a="1"/>
  <c r="I364" i="92" s="1"/>
  <c r="J364" i="92" a="1"/>
  <c r="J364" i="92" s="1"/>
  <c r="K364" i="92" s="1"/>
  <c r="L364" i="92" a="1"/>
  <c r="L364" i="92" s="1"/>
  <c r="M364" i="92" a="1"/>
  <c r="M364" i="92" s="1"/>
  <c r="N364" i="92" s="1"/>
  <c r="P364" i="92" a="1"/>
  <c r="P364" i="92" s="1"/>
  <c r="Q364" i="92" a="1"/>
  <c r="Q364" i="92" s="1"/>
  <c r="S364" i="92" a="1"/>
  <c r="S364" i="92" s="1"/>
  <c r="T364" i="92" a="1"/>
  <c r="T364" i="92" s="1"/>
  <c r="W364" i="92" a="1"/>
  <c r="W364" i="92"/>
  <c r="Y364" i="92"/>
  <c r="X364" i="92" a="1"/>
  <c r="X364" i="92" s="1"/>
  <c r="Z364" i="92" a="1"/>
  <c r="Z364" i="92"/>
  <c r="AB364" i="92" s="1"/>
  <c r="AA364" i="92" a="1"/>
  <c r="AA364" i="92"/>
  <c r="B365" i="92" a="1"/>
  <c r="B365" i="92"/>
  <c r="C365" i="92" a="1"/>
  <c r="C365" i="92" s="1"/>
  <c r="E365" i="92" a="1"/>
  <c r="E365" i="92"/>
  <c r="F365" i="92" a="1"/>
  <c r="F365" i="92" s="1"/>
  <c r="I365" i="92" a="1"/>
  <c r="I365" i="92" s="1"/>
  <c r="J365" i="92" a="1"/>
  <c r="J365" i="92" s="1"/>
  <c r="L365" i="92" a="1"/>
  <c r="L365" i="92" s="1"/>
  <c r="N365" i="92" s="1"/>
  <c r="M365" i="92" a="1"/>
  <c r="M365" i="92" s="1"/>
  <c r="P365" i="92" a="1"/>
  <c r="P365" i="92"/>
  <c r="Q365" i="92" a="1"/>
  <c r="Q365" i="92" s="1"/>
  <c r="R365" i="92" s="1"/>
  <c r="S365" i="92" a="1"/>
  <c r="S365" i="92" s="1"/>
  <c r="U365" i="92" s="1"/>
  <c r="T365" i="92" a="1"/>
  <c r="T365" i="92" s="1"/>
  <c r="W365" i="92" a="1"/>
  <c r="W365" i="92"/>
  <c r="X365" i="92" a="1"/>
  <c r="X365" i="92" s="1"/>
  <c r="Z365" i="92" a="1"/>
  <c r="Z365" i="92"/>
  <c r="AA365" i="92" a="1"/>
  <c r="AA365" i="92" s="1"/>
  <c r="B366" i="92" a="1"/>
  <c r="B366" i="92" s="1"/>
  <c r="C366" i="92" a="1"/>
  <c r="C366" i="92" s="1"/>
  <c r="E366" i="92" a="1"/>
  <c r="E366" i="92" s="1"/>
  <c r="F366" i="92" a="1"/>
  <c r="F366" i="92" s="1"/>
  <c r="I366" i="92" a="1"/>
  <c r="I366" i="92" s="1"/>
  <c r="J366" i="92" a="1"/>
  <c r="J366" i="92" s="1"/>
  <c r="L366" i="92" a="1"/>
  <c r="L366" i="92" s="1"/>
  <c r="M366" i="92" a="1"/>
  <c r="M366" i="92" s="1"/>
  <c r="P366" i="92" a="1"/>
  <c r="P366" i="92" s="1"/>
  <c r="Q366" i="92" a="1"/>
  <c r="Q366" i="92" s="1"/>
  <c r="S366" i="92" a="1"/>
  <c r="S366" i="92" s="1"/>
  <c r="T366" i="92" a="1"/>
  <c r="T366" i="92" s="1"/>
  <c r="U366" i="92" s="1"/>
  <c r="W366" i="92" a="1"/>
  <c r="W366" i="92" s="1"/>
  <c r="Y366" i="92"/>
  <c r="X366" i="92" a="1"/>
  <c r="X366" i="92" s="1"/>
  <c r="Z366" i="92" a="1"/>
  <c r="Z366" i="92"/>
  <c r="AA366" i="92" a="1"/>
  <c r="AA366" i="92" s="1"/>
  <c r="B367" i="92" a="1"/>
  <c r="B367" i="92" s="1"/>
  <c r="C367" i="92" a="1"/>
  <c r="C367" i="92" s="1"/>
  <c r="D367" i="92" s="1"/>
  <c r="E367" i="92" a="1"/>
  <c r="E367" i="92" s="1"/>
  <c r="F367" i="92" a="1"/>
  <c r="F367" i="92"/>
  <c r="I367" i="92" a="1"/>
  <c r="I367" i="92" s="1"/>
  <c r="J367" i="92" a="1"/>
  <c r="J367" i="92" s="1"/>
  <c r="L367" i="92" a="1"/>
  <c r="L367" i="92" s="1"/>
  <c r="M367" i="92" a="1"/>
  <c r="M367" i="92" s="1"/>
  <c r="P367" i="92" a="1"/>
  <c r="P367" i="92" s="1"/>
  <c r="Q367" i="92" a="1"/>
  <c r="Q367" i="92" s="1"/>
  <c r="S367" i="92" a="1"/>
  <c r="S367" i="92" s="1"/>
  <c r="T367" i="92" a="1"/>
  <c r="T367" i="92" s="1"/>
  <c r="U367" i="92" s="1"/>
  <c r="W367" i="92" a="1"/>
  <c r="W367" i="92" s="1"/>
  <c r="Y367" i="92" s="1"/>
  <c r="X367" i="92" a="1"/>
  <c r="X367" i="92" s="1"/>
  <c r="Z367" i="92" a="1"/>
  <c r="Z367" i="92"/>
  <c r="AA367" i="92" a="1"/>
  <c r="AA367" i="92" s="1"/>
  <c r="AB367" i="92" s="1"/>
  <c r="B368" i="92" a="1"/>
  <c r="B368" i="92"/>
  <c r="D368" i="92" s="1"/>
  <c r="C368" i="92" a="1"/>
  <c r="C368" i="92" s="1"/>
  <c r="E368" i="92" a="1"/>
  <c r="E368" i="92"/>
  <c r="F368" i="92" a="1"/>
  <c r="F368" i="92" s="1"/>
  <c r="G368" i="92" s="1"/>
  <c r="I368" i="92" a="1"/>
  <c r="I368" i="92" s="1"/>
  <c r="J368" i="92" a="1"/>
  <c r="J368" i="92" s="1"/>
  <c r="K368" i="92" s="1"/>
  <c r="L368" i="92" a="1"/>
  <c r="L368" i="92"/>
  <c r="M368" i="92" a="1"/>
  <c r="M368" i="92" s="1"/>
  <c r="P368" i="92" a="1"/>
  <c r="P368" i="92" s="1"/>
  <c r="Q368" i="92" a="1"/>
  <c r="Q368" i="92" s="1"/>
  <c r="S368" i="92" a="1"/>
  <c r="S368" i="92" s="1"/>
  <c r="T368" i="92" a="1"/>
  <c r="T368" i="92" s="1"/>
  <c r="W368" i="92" a="1"/>
  <c r="W368" i="92" s="1"/>
  <c r="X368" i="92" a="1"/>
  <c r="X368" i="92" s="1"/>
  <c r="Z368" i="92" a="1"/>
  <c r="Z368" i="92" s="1"/>
  <c r="AB368" i="92" s="1"/>
  <c r="AA368" i="92" a="1"/>
  <c r="AA368" i="92" s="1"/>
  <c r="B369" i="92" a="1"/>
  <c r="B369" i="92" s="1"/>
  <c r="C369" i="92" a="1"/>
  <c r="C369" i="92" s="1"/>
  <c r="E369" i="92" a="1"/>
  <c r="E369" i="92" s="1"/>
  <c r="F369" i="92" a="1"/>
  <c r="F369" i="92" s="1"/>
  <c r="I369" i="92" a="1"/>
  <c r="I369" i="92" s="1"/>
  <c r="J369" i="92" a="1"/>
  <c r="J369" i="92"/>
  <c r="L369" i="92" a="1"/>
  <c r="L369" i="92" s="1"/>
  <c r="M369" i="92" a="1"/>
  <c r="M369" i="92"/>
  <c r="P369" i="92" a="1"/>
  <c r="P369" i="92" s="1"/>
  <c r="R369" i="92" s="1"/>
  <c r="Q369" i="92" a="1"/>
  <c r="Q369" i="92" s="1"/>
  <c r="S369" i="92" a="1"/>
  <c r="S369" i="92" s="1"/>
  <c r="T369" i="92" a="1"/>
  <c r="T369" i="92" s="1"/>
  <c r="W369" i="92" a="1"/>
  <c r="W369" i="92" s="1"/>
  <c r="X369" i="92" a="1"/>
  <c r="X369" i="92" s="1"/>
  <c r="Z369" i="92" a="1"/>
  <c r="Z369" i="92" s="1"/>
  <c r="AA369" i="92" a="1"/>
  <c r="AA369" i="92" s="1"/>
  <c r="B370" i="92" a="1"/>
  <c r="B370" i="92" s="1"/>
  <c r="C370" i="92" a="1"/>
  <c r="C370" i="92" s="1"/>
  <c r="E370" i="92" a="1"/>
  <c r="E370" i="92" s="1"/>
  <c r="F370" i="92" a="1"/>
  <c r="F370" i="92" s="1"/>
  <c r="I370" i="92" a="1"/>
  <c r="I370" i="92" s="1"/>
  <c r="K370" i="92" s="1"/>
  <c r="J370" i="92" a="1"/>
  <c r="J370" i="92" s="1"/>
  <c r="L370" i="92" a="1"/>
  <c r="L370" i="92" s="1"/>
  <c r="M370" i="92" a="1"/>
  <c r="M370" i="92"/>
  <c r="P370" i="92" a="1"/>
  <c r="P370" i="92" s="1"/>
  <c r="Q370" i="92" a="1"/>
  <c r="Q370" i="92" s="1"/>
  <c r="R370" i="92" s="1"/>
  <c r="S370" i="92" a="1"/>
  <c r="S370" i="92" s="1"/>
  <c r="U370" i="92" s="1"/>
  <c r="T370" i="92" a="1"/>
  <c r="T370" i="92" s="1"/>
  <c r="W370" i="92" a="1"/>
  <c r="W370" i="92" s="1"/>
  <c r="Y370" i="92" s="1"/>
  <c r="X370" i="92" a="1"/>
  <c r="X370" i="92"/>
  <c r="Z370" i="92" a="1"/>
  <c r="Z370" i="92" s="1"/>
  <c r="AB370" i="92" s="1"/>
  <c r="AA370" i="92" a="1"/>
  <c r="AA370" i="92" s="1"/>
  <c r="B371" i="92" a="1"/>
  <c r="B371" i="92" s="1"/>
  <c r="C371" i="92" a="1"/>
  <c r="C371" i="92" s="1"/>
  <c r="D371" i="92" s="1"/>
  <c r="E371" i="92" a="1"/>
  <c r="E371" i="92" s="1"/>
  <c r="F371" i="92" a="1"/>
  <c r="F371" i="92" s="1"/>
  <c r="G371" i="92" s="1"/>
  <c r="I371" i="92" a="1"/>
  <c r="I371" i="92" s="1"/>
  <c r="K371" i="92" s="1"/>
  <c r="J371" i="92" a="1"/>
  <c r="J371" i="92" s="1"/>
  <c r="L371" i="92" a="1"/>
  <c r="L371" i="92" s="1"/>
  <c r="N371" i="92" s="1"/>
  <c r="M371" i="92" a="1"/>
  <c r="M371" i="92"/>
  <c r="P371" i="92" a="1"/>
  <c r="P371" i="92"/>
  <c r="Q371" i="92" a="1"/>
  <c r="Q371" i="92"/>
  <c r="S371" i="92" a="1"/>
  <c r="S371" i="92" s="1"/>
  <c r="T371" i="92" a="1"/>
  <c r="T371" i="92" s="1"/>
  <c r="U371" i="92"/>
  <c r="W371" i="92" a="1"/>
  <c r="W371" i="92" s="1"/>
  <c r="X371" i="92" a="1"/>
  <c r="X371" i="92" s="1"/>
  <c r="Z371" i="92" a="1"/>
  <c r="Z371" i="92"/>
  <c r="AA371" i="92" a="1"/>
  <c r="AA371" i="92" s="1"/>
  <c r="AB371" i="92" s="1"/>
  <c r="B372" i="92" a="1"/>
  <c r="B372" i="92" s="1"/>
  <c r="D372" i="92" s="1"/>
  <c r="C372" i="92" a="1"/>
  <c r="C372" i="92" s="1"/>
  <c r="E372" i="92" a="1"/>
  <c r="E372" i="92" s="1"/>
  <c r="F372" i="92" a="1"/>
  <c r="F372" i="92" s="1"/>
  <c r="I372" i="92" a="1"/>
  <c r="I372" i="92" s="1"/>
  <c r="J372" i="92" a="1"/>
  <c r="J372" i="92" s="1"/>
  <c r="L372" i="92" a="1"/>
  <c r="L372" i="92" s="1"/>
  <c r="M372" i="92" a="1"/>
  <c r="M372" i="92" s="1"/>
  <c r="P372" i="92" a="1"/>
  <c r="P372" i="92" s="1"/>
  <c r="Q372" i="92" a="1"/>
  <c r="Q372" i="92" s="1"/>
  <c r="S372" i="92" a="1"/>
  <c r="S372" i="92" s="1"/>
  <c r="T372" i="92" a="1"/>
  <c r="T372" i="92" s="1"/>
  <c r="W372" i="92" a="1"/>
  <c r="W372" i="92" s="1"/>
  <c r="X372" i="92" a="1"/>
  <c r="X372" i="92" s="1"/>
  <c r="Z372" i="92" a="1"/>
  <c r="Z372" i="92" s="1"/>
  <c r="AA372" i="92" a="1"/>
  <c r="AA372" i="92" s="1"/>
  <c r="B373" i="92" a="1"/>
  <c r="B373" i="92" s="1"/>
  <c r="C373" i="92" a="1"/>
  <c r="C373" i="92" s="1"/>
  <c r="E373" i="92" a="1"/>
  <c r="E373" i="92" s="1"/>
  <c r="G373" i="92" s="1"/>
  <c r="F373" i="92" a="1"/>
  <c r="F373" i="92" s="1"/>
  <c r="I373" i="92" a="1"/>
  <c r="I373" i="92"/>
  <c r="K373" i="92" s="1"/>
  <c r="J373" i="92" a="1"/>
  <c r="J373" i="92"/>
  <c r="L373" i="92" a="1"/>
  <c r="L373" i="92"/>
  <c r="M373" i="92" a="1"/>
  <c r="M373" i="92" s="1"/>
  <c r="P373" i="92" a="1"/>
  <c r="P373" i="92"/>
  <c r="Q373" i="92" a="1"/>
  <c r="Q373" i="92"/>
  <c r="R373" i="92" s="1"/>
  <c r="S373" i="92" a="1"/>
  <c r="S373" i="92" s="1"/>
  <c r="T373" i="92" a="1"/>
  <c r="T373" i="92" s="1"/>
  <c r="W373" i="92" a="1"/>
  <c r="W373" i="92" s="1"/>
  <c r="X373" i="92" a="1"/>
  <c r="X373" i="92"/>
  <c r="Z373" i="92" a="1"/>
  <c r="Z373" i="92" s="1"/>
  <c r="AA373" i="92" a="1"/>
  <c r="AA373" i="92" s="1"/>
  <c r="B374" i="92" a="1"/>
  <c r="B374" i="92" s="1"/>
  <c r="C374" i="92" a="1"/>
  <c r="C374" i="92"/>
  <c r="E374" i="92" a="1"/>
  <c r="E374" i="92" s="1"/>
  <c r="F374" i="92" a="1"/>
  <c r="F374" i="92" s="1"/>
  <c r="I374" i="92" a="1"/>
  <c r="I374" i="92" s="1"/>
  <c r="K374" i="92" s="1"/>
  <c r="J374" i="92" a="1"/>
  <c r="J374" i="92" s="1"/>
  <c r="L374" i="92" a="1"/>
  <c r="L374" i="92" s="1"/>
  <c r="M374" i="92" a="1"/>
  <c r="M374" i="92"/>
  <c r="P374" i="92" a="1"/>
  <c r="P374" i="92" s="1"/>
  <c r="R374" i="92" s="1"/>
  <c r="Q374" i="92" a="1"/>
  <c r="Q374" i="92"/>
  <c r="S374" i="92" a="1"/>
  <c r="S374" i="92" s="1"/>
  <c r="U374" i="92" s="1"/>
  <c r="T374" i="92" a="1"/>
  <c r="T374" i="92" s="1"/>
  <c r="W374" i="92" a="1"/>
  <c r="W374" i="92" s="1"/>
  <c r="X374" i="92" a="1"/>
  <c r="X374" i="92" s="1"/>
  <c r="Y374" i="92" s="1"/>
  <c r="Z374" i="92" a="1"/>
  <c r="Z374" i="92"/>
  <c r="AA374" i="92" a="1"/>
  <c r="AA374" i="92" s="1"/>
  <c r="B375" i="92" a="1"/>
  <c r="B375" i="92"/>
  <c r="C375" i="92" a="1"/>
  <c r="C375" i="92" s="1"/>
  <c r="E375" i="92" a="1"/>
  <c r="E375" i="92" s="1"/>
  <c r="F375" i="92" a="1"/>
  <c r="F375" i="92" s="1"/>
  <c r="I375" i="92" a="1"/>
  <c r="I375" i="92" s="1"/>
  <c r="J375" i="92" a="1"/>
  <c r="J375" i="92"/>
  <c r="L375" i="92" a="1"/>
  <c r="L375" i="92" s="1"/>
  <c r="M375" i="92" a="1"/>
  <c r="M375" i="92" s="1"/>
  <c r="P375" i="92" a="1"/>
  <c r="P375" i="92" s="1"/>
  <c r="Q375" i="92" a="1"/>
  <c r="Q375" i="92" s="1"/>
  <c r="S375" i="92" a="1"/>
  <c r="S375" i="92" s="1"/>
  <c r="T375" i="92" a="1"/>
  <c r="T375" i="92" s="1"/>
  <c r="W375" i="92" a="1"/>
  <c r="W375" i="92" s="1"/>
  <c r="Y375" i="92" s="1"/>
  <c r="X375" i="92" a="1"/>
  <c r="X375" i="92"/>
  <c r="Z375" i="92" a="1"/>
  <c r="Z375" i="92"/>
  <c r="AB375" i="92" s="1"/>
  <c r="AA375" i="92" a="1"/>
  <c r="AA375" i="92" s="1"/>
  <c r="B376" i="92" a="1"/>
  <c r="B376" i="92" s="1"/>
  <c r="D376" i="92" s="1"/>
  <c r="C376" i="92" a="1"/>
  <c r="C376" i="92" s="1"/>
  <c r="E376" i="92" a="1"/>
  <c r="E376" i="92" s="1"/>
  <c r="F376" i="92" a="1"/>
  <c r="F376" i="92" s="1"/>
  <c r="G376" i="92" s="1"/>
  <c r="I376" i="92" a="1"/>
  <c r="I376" i="92"/>
  <c r="J376" i="92" a="1"/>
  <c r="J376" i="92"/>
  <c r="L376" i="92" a="1"/>
  <c r="L376" i="92" s="1"/>
  <c r="N376" i="92" s="1"/>
  <c r="M376" i="92" a="1"/>
  <c r="M376" i="92"/>
  <c r="P376" i="92" a="1"/>
  <c r="P376" i="92"/>
  <c r="Q376" i="92" a="1"/>
  <c r="Q376" i="92" s="1"/>
  <c r="S376" i="92" a="1"/>
  <c r="S376" i="92" s="1"/>
  <c r="T376" i="92" a="1"/>
  <c r="T376" i="92" s="1"/>
  <c r="W376" i="92" a="1"/>
  <c r="W376" i="92" s="1"/>
  <c r="Y376" i="92" s="1"/>
  <c r="X376" i="92" a="1"/>
  <c r="X376" i="92" s="1"/>
  <c r="Z376" i="92" a="1"/>
  <c r="Z376" i="92" s="1"/>
  <c r="AA376" i="92" a="1"/>
  <c r="AA376" i="92" s="1"/>
  <c r="B377" i="92" a="1"/>
  <c r="B377" i="92"/>
  <c r="C377" i="92" a="1"/>
  <c r="C377" i="92" s="1"/>
  <c r="E377" i="92" a="1"/>
  <c r="E377" i="92" s="1"/>
  <c r="F377" i="92" a="1"/>
  <c r="F377" i="92" s="1"/>
  <c r="I377" i="92" a="1"/>
  <c r="I377" i="92" s="1"/>
  <c r="J377" i="92" a="1"/>
  <c r="J377" i="92" s="1"/>
  <c r="L377" i="92" a="1"/>
  <c r="L377" i="92" s="1"/>
  <c r="M377" i="92" a="1"/>
  <c r="M377" i="92" s="1"/>
  <c r="P377" i="92" a="1"/>
  <c r="P377" i="92" s="1"/>
  <c r="Q377" i="92" a="1"/>
  <c r="Q377" i="92" s="1"/>
  <c r="S377" i="92" a="1"/>
  <c r="S377" i="92" s="1"/>
  <c r="T377" i="92" a="1"/>
  <c r="T377" i="92" s="1"/>
  <c r="W377" i="92" a="1"/>
  <c r="W377" i="92" s="1"/>
  <c r="Y377" i="92" s="1"/>
  <c r="X377" i="92" a="1"/>
  <c r="X377" i="92" s="1"/>
  <c r="Z377" i="92" a="1"/>
  <c r="Z377" i="92" s="1"/>
  <c r="AA377" i="92" a="1"/>
  <c r="AA377" i="92" s="1"/>
  <c r="B378" i="92" a="1"/>
  <c r="B378" i="92"/>
  <c r="C378" i="92" a="1"/>
  <c r="C378" i="92" s="1"/>
  <c r="E378" i="92" a="1"/>
  <c r="E378" i="92"/>
  <c r="F378" i="92" a="1"/>
  <c r="F378" i="92" s="1"/>
  <c r="G378" i="92" s="1"/>
  <c r="I378" i="92" a="1"/>
  <c r="I378" i="92"/>
  <c r="J378" i="92" a="1"/>
  <c r="J378" i="92" s="1"/>
  <c r="L378" i="92" a="1"/>
  <c r="L378" i="92" s="1"/>
  <c r="M378" i="92" a="1"/>
  <c r="M378" i="92"/>
  <c r="P378" i="92" a="1"/>
  <c r="P378" i="92"/>
  <c r="R378" i="92" s="1"/>
  <c r="Q378" i="92" a="1"/>
  <c r="Q378" i="92" s="1"/>
  <c r="S378" i="92" a="1"/>
  <c r="S378" i="92" s="1"/>
  <c r="T378" i="92" a="1"/>
  <c r="T378" i="92" s="1"/>
  <c r="U378" i="92" s="1"/>
  <c r="W378" i="92" a="1"/>
  <c r="W378" i="92"/>
  <c r="X378" i="92" a="1"/>
  <c r="X378" i="92" s="1"/>
  <c r="Z378" i="92" a="1"/>
  <c r="Z378" i="92" s="1"/>
  <c r="AA378" i="92" a="1"/>
  <c r="AA378" i="92" s="1"/>
  <c r="B379" i="92" a="1"/>
  <c r="B379" i="92" s="1"/>
  <c r="C379" i="92" a="1"/>
  <c r="C379" i="92"/>
  <c r="E379" i="92" a="1"/>
  <c r="E379" i="92"/>
  <c r="F379" i="92" a="1"/>
  <c r="F379" i="92"/>
  <c r="I379" i="92" a="1"/>
  <c r="I379" i="92" s="1"/>
  <c r="J379" i="92" a="1"/>
  <c r="J379" i="92"/>
  <c r="L379" i="92" a="1"/>
  <c r="L379" i="92" s="1"/>
  <c r="M379" i="92" a="1"/>
  <c r="M379" i="92" s="1"/>
  <c r="P379" i="92" a="1"/>
  <c r="P379" i="92" s="1"/>
  <c r="Q379" i="92" a="1"/>
  <c r="Q379" i="92" s="1"/>
  <c r="S379" i="92" a="1"/>
  <c r="S379" i="92" s="1"/>
  <c r="U379" i="92" s="1"/>
  <c r="T379" i="92" a="1"/>
  <c r="T379" i="92" s="1"/>
  <c r="W379" i="92" a="1"/>
  <c r="W379" i="92" s="1"/>
  <c r="X379" i="92" a="1"/>
  <c r="X379" i="92" s="1"/>
  <c r="Z379" i="92" a="1"/>
  <c r="Z379" i="92" s="1"/>
  <c r="AB379" i="92" s="1"/>
  <c r="AA379" i="92" a="1"/>
  <c r="AA379" i="92"/>
  <c r="B380" i="92" a="1"/>
  <c r="B380" i="92" s="1"/>
  <c r="C380" i="92" a="1"/>
  <c r="C380" i="92" s="1"/>
  <c r="E380" i="92" a="1"/>
  <c r="E380" i="92"/>
  <c r="G380" i="92" s="1"/>
  <c r="F380" i="92" a="1"/>
  <c r="F380" i="92"/>
  <c r="I380" i="92" a="1"/>
  <c r="I380" i="92" s="1"/>
  <c r="J380" i="92" a="1"/>
  <c r="J380" i="92" s="1"/>
  <c r="L380" i="92" a="1"/>
  <c r="L380" i="92"/>
  <c r="M380" i="92" a="1"/>
  <c r="M380" i="92"/>
  <c r="P380" i="92" a="1"/>
  <c r="P380" i="92" s="1"/>
  <c r="Q380" i="92" a="1"/>
  <c r="Q380" i="92" s="1"/>
  <c r="S380" i="92" a="1"/>
  <c r="S380" i="92" s="1"/>
  <c r="T380" i="92" a="1"/>
  <c r="T380" i="92" s="1"/>
  <c r="W380" i="92" a="1"/>
  <c r="W380" i="92" s="1"/>
  <c r="Y380" i="92" s="1"/>
  <c r="X380" i="92" a="1"/>
  <c r="X380" i="92" s="1"/>
  <c r="Z380" i="92" a="1"/>
  <c r="Z380" i="92" s="1"/>
  <c r="AB380" i="92" s="1"/>
  <c r="AA380" i="92" a="1"/>
  <c r="AA380" i="92"/>
  <c r="B381" i="92" a="1"/>
  <c r="B381" i="92" s="1"/>
  <c r="D381" i="92" s="1"/>
  <c r="C381" i="92" a="1"/>
  <c r="C381" i="92"/>
  <c r="E381" i="92" a="1"/>
  <c r="E381" i="92" s="1"/>
  <c r="G381" i="92" s="1"/>
  <c r="F381" i="92" a="1"/>
  <c r="F381" i="92" s="1"/>
  <c r="I381" i="92" a="1"/>
  <c r="I381" i="92" s="1"/>
  <c r="J381" i="92" a="1"/>
  <c r="J381" i="92" s="1"/>
  <c r="L381" i="92" a="1"/>
  <c r="L381" i="92" s="1"/>
  <c r="N381" i="92" s="1"/>
  <c r="M381" i="92" a="1"/>
  <c r="M381" i="92" s="1"/>
  <c r="P381" i="92" a="1"/>
  <c r="P381" i="92" s="1"/>
  <c r="Q381" i="92" a="1"/>
  <c r="Q381" i="92"/>
  <c r="R381" i="92" s="1"/>
  <c r="S381" i="92" a="1"/>
  <c r="S381" i="92" s="1"/>
  <c r="T381" i="92" a="1"/>
  <c r="T381" i="92" s="1"/>
  <c r="W381" i="92" a="1"/>
  <c r="W381" i="92"/>
  <c r="Y381" i="92" s="1"/>
  <c r="X381" i="92" a="1"/>
  <c r="X381" i="92"/>
  <c r="Z381" i="92" a="1"/>
  <c r="Z381" i="92"/>
  <c r="AA381" i="92" a="1"/>
  <c r="AA381" i="92" s="1"/>
  <c r="B382" i="92" a="1"/>
  <c r="B382" i="92" s="1"/>
  <c r="C382" i="92" a="1"/>
  <c r="C382" i="92" s="1"/>
  <c r="E382" i="92" a="1"/>
  <c r="E382" i="92" s="1"/>
  <c r="G382" i="92" s="1"/>
  <c r="F382" i="92" a="1"/>
  <c r="F382" i="92" s="1"/>
  <c r="I382" i="92" a="1"/>
  <c r="I382" i="92" s="1"/>
  <c r="J382" i="92" a="1"/>
  <c r="J382" i="92" s="1"/>
  <c r="K382" i="92"/>
  <c r="L382" i="92" a="1"/>
  <c r="L382" i="92" s="1"/>
  <c r="M382" i="92" a="1"/>
  <c r="M382" i="92"/>
  <c r="N382" i="92" s="1"/>
  <c r="P382" i="92" a="1"/>
  <c r="P382" i="92" s="1"/>
  <c r="Q382" i="92" a="1"/>
  <c r="Q382" i="92" s="1"/>
  <c r="S382" i="92" a="1"/>
  <c r="S382" i="92" s="1"/>
  <c r="T382" i="92" a="1"/>
  <c r="T382" i="92" s="1"/>
  <c r="W382" i="92" a="1"/>
  <c r="W382" i="92" s="1"/>
  <c r="X382" i="92" a="1"/>
  <c r="X382" i="92" s="1"/>
  <c r="Y382" i="92" s="1"/>
  <c r="Z382" i="92" a="1"/>
  <c r="Z382" i="92" s="1"/>
  <c r="AA382" i="92" a="1"/>
  <c r="AA382" i="92"/>
  <c r="B383" i="92" a="1"/>
  <c r="B383" i="92"/>
  <c r="C383" i="92" a="1"/>
  <c r="C383" i="92" s="1"/>
  <c r="E383" i="92" a="1"/>
  <c r="E383" i="92" s="1"/>
  <c r="F383" i="92" a="1"/>
  <c r="F383" i="92"/>
  <c r="G383" i="92" s="1"/>
  <c r="I383" i="92" a="1"/>
  <c r="I383" i="92"/>
  <c r="J383" i="92" a="1"/>
  <c r="J383" i="92"/>
  <c r="L383" i="92" a="1"/>
  <c r="L383" i="92" s="1"/>
  <c r="M383" i="92" a="1"/>
  <c r="M383" i="92" s="1"/>
  <c r="P383" i="92" a="1"/>
  <c r="P383" i="92" s="1"/>
  <c r="Q383" i="92" a="1"/>
  <c r="Q383" i="92"/>
  <c r="S383" i="92" a="1"/>
  <c r="S383" i="92" s="1"/>
  <c r="U383" i="92" s="1"/>
  <c r="T383" i="92" a="1"/>
  <c r="T383" i="92"/>
  <c r="W383" i="92" a="1"/>
  <c r="W383" i="92" s="1"/>
  <c r="X383" i="92" a="1"/>
  <c r="X383" i="92" s="1"/>
  <c r="Z383" i="92" a="1"/>
  <c r="Z383" i="92" s="1"/>
  <c r="AA383" i="92" a="1"/>
  <c r="AA383" i="92" s="1"/>
  <c r="B384" i="92" a="1"/>
  <c r="B384" i="92"/>
  <c r="C384" i="92" a="1"/>
  <c r="C384" i="92"/>
  <c r="E384" i="92" a="1"/>
  <c r="E384" i="92" s="1"/>
  <c r="F384" i="92" a="1"/>
  <c r="F384" i="92" s="1"/>
  <c r="I384" i="92" a="1"/>
  <c r="I384" i="92" s="1"/>
  <c r="J384" i="92" a="1"/>
  <c r="J384" i="92" s="1"/>
  <c r="L384" i="92" a="1"/>
  <c r="L384" i="92"/>
  <c r="N384" i="92" s="1"/>
  <c r="M384" i="92" a="1"/>
  <c r="M384" i="92" s="1"/>
  <c r="P384" i="92" a="1"/>
  <c r="P384" i="92" s="1"/>
  <c r="Q384" i="92" a="1"/>
  <c r="Q384" i="92" s="1"/>
  <c r="S384" i="92" a="1"/>
  <c r="S384" i="92" s="1"/>
  <c r="T384" i="92" a="1"/>
  <c r="T384" i="92" s="1"/>
  <c r="W384" i="92" a="1"/>
  <c r="W384" i="92"/>
  <c r="X384" i="92" a="1"/>
  <c r="X384" i="92"/>
  <c r="Z384" i="92" a="1"/>
  <c r="Z384" i="92" s="1"/>
  <c r="AB384" i="92" s="1"/>
  <c r="AA384" i="92" a="1"/>
  <c r="AA384" i="92" s="1"/>
  <c r="B385" i="92" a="1"/>
  <c r="B385" i="92"/>
  <c r="C385" i="92" a="1"/>
  <c r="C385" i="92" s="1"/>
  <c r="E385" i="92" a="1"/>
  <c r="E385" i="92" s="1"/>
  <c r="F385" i="92" a="1"/>
  <c r="F385" i="92" s="1"/>
  <c r="I385" i="92" a="1"/>
  <c r="I385" i="92" s="1"/>
  <c r="J385" i="92" a="1"/>
  <c r="J385" i="92" s="1"/>
  <c r="K385" i="92" s="1"/>
  <c r="L385" i="92" a="1"/>
  <c r="L385" i="92"/>
  <c r="M385" i="92" a="1"/>
  <c r="M385" i="92" s="1"/>
  <c r="P385" i="92" a="1"/>
  <c r="P385" i="92"/>
  <c r="Q385" i="92" a="1"/>
  <c r="Q385" i="92" s="1"/>
  <c r="S385" i="92" a="1"/>
  <c r="S385" i="92" s="1"/>
  <c r="T385" i="92" a="1"/>
  <c r="T385" i="92"/>
  <c r="W385" i="92" a="1"/>
  <c r="W385" i="92"/>
  <c r="Y385" i="92" s="1"/>
  <c r="X385" i="92" a="1"/>
  <c r="X385" i="92" s="1"/>
  <c r="Z385" i="92" a="1"/>
  <c r="Z385" i="92" s="1"/>
  <c r="AB385" i="92" s="1"/>
  <c r="AA385" i="92" a="1"/>
  <c r="AA385" i="92"/>
  <c r="B386" i="92" a="1"/>
  <c r="B386" i="92"/>
  <c r="C386" i="92" a="1"/>
  <c r="C386" i="92" s="1"/>
  <c r="D386" i="92" s="1"/>
  <c r="E386" i="92" a="1"/>
  <c r="E386" i="92"/>
  <c r="G386" i="92" s="1"/>
  <c r="F386" i="92" a="1"/>
  <c r="F386" i="92" s="1"/>
  <c r="I386" i="92" a="1"/>
  <c r="I386" i="92"/>
  <c r="J386" i="92" a="1"/>
  <c r="J386" i="92" s="1"/>
  <c r="L386" i="92" a="1"/>
  <c r="L386" i="92"/>
  <c r="N386" i="92" s="1"/>
  <c r="M386" i="92" a="1"/>
  <c r="M386" i="92" s="1"/>
  <c r="P386" i="92" a="1"/>
  <c r="P386" i="92"/>
  <c r="Q386" i="92" a="1"/>
  <c r="Q386" i="92" s="1"/>
  <c r="S386" i="92" a="1"/>
  <c r="S386" i="92"/>
  <c r="T386" i="92" a="1"/>
  <c r="T386" i="92"/>
  <c r="U386" i="92" s="1"/>
  <c r="W386" i="92" a="1"/>
  <c r="W386" i="92"/>
  <c r="X386" i="92" a="1"/>
  <c r="X386" i="92" s="1"/>
  <c r="Y386" i="92" s="1"/>
  <c r="Z386" i="92" a="1"/>
  <c r="Z386" i="92" s="1"/>
  <c r="AA386" i="92" a="1"/>
  <c r="AA386" i="92"/>
  <c r="AB386" i="92" s="1"/>
  <c r="B387" i="92" a="1"/>
  <c r="B387" i="92"/>
  <c r="C387" i="92" a="1"/>
  <c r="C387" i="92" s="1"/>
  <c r="E387" i="92" a="1"/>
  <c r="E387" i="92"/>
  <c r="G387" i="92" s="1"/>
  <c r="F387" i="92" a="1"/>
  <c r="F387" i="92" s="1"/>
  <c r="I387" i="92" a="1"/>
  <c r="I387" i="92" s="1"/>
  <c r="J387" i="92" a="1"/>
  <c r="J387" i="92" s="1"/>
  <c r="K387" i="92" s="1"/>
  <c r="L387" i="92" a="1"/>
  <c r="L387" i="92"/>
  <c r="M387" i="92" a="1"/>
  <c r="M387" i="92"/>
  <c r="P387" i="92" a="1"/>
  <c r="P387" i="92" s="1"/>
  <c r="Q387" i="92" a="1"/>
  <c r="Q387" i="92"/>
  <c r="R387" i="92" s="1"/>
  <c r="S387" i="92" a="1"/>
  <c r="S387" i="92"/>
  <c r="T387" i="92" a="1"/>
  <c r="T387" i="92"/>
  <c r="W387" i="92" a="1"/>
  <c r="W387" i="92" s="1"/>
  <c r="X387" i="92" a="1"/>
  <c r="X387" i="92"/>
  <c r="Z387" i="92" a="1"/>
  <c r="Z387" i="92"/>
  <c r="AA387" i="92" a="1"/>
  <c r="AA387" i="92" s="1"/>
  <c r="B388" i="92" a="1"/>
  <c r="B388" i="92" s="1"/>
  <c r="C388" i="92" a="1"/>
  <c r="C388" i="92" s="1"/>
  <c r="E388" i="92" a="1"/>
  <c r="E388" i="92" s="1"/>
  <c r="F388" i="92" a="1"/>
  <c r="F388" i="92" s="1"/>
  <c r="I388" i="92" a="1"/>
  <c r="I388" i="92" s="1"/>
  <c r="K388" i="92" s="1"/>
  <c r="J388" i="92" a="1"/>
  <c r="J388" i="92" s="1"/>
  <c r="L388" i="92" a="1"/>
  <c r="L388" i="92"/>
  <c r="N388" i="92" s="1"/>
  <c r="M388" i="92" a="1"/>
  <c r="M388" i="92" s="1"/>
  <c r="P388" i="92" a="1"/>
  <c r="P388" i="92" s="1"/>
  <c r="R388" i="92" s="1"/>
  <c r="Q388" i="92" a="1"/>
  <c r="Q388" i="92" s="1"/>
  <c r="S388" i="92" a="1"/>
  <c r="S388" i="92"/>
  <c r="U388" i="92"/>
  <c r="T388" i="92" a="1"/>
  <c r="T388" i="92" s="1"/>
  <c r="W388" i="92" a="1"/>
  <c r="W388" i="92" s="1"/>
  <c r="X388" i="92" a="1"/>
  <c r="X388" i="92" s="1"/>
  <c r="Z388" i="92" a="1"/>
  <c r="Z388" i="92" s="1"/>
  <c r="AA388" i="92" a="1"/>
  <c r="AA388" i="92"/>
  <c r="B389" i="92" a="1"/>
  <c r="B389" i="92" s="1"/>
  <c r="C389" i="92" a="1"/>
  <c r="C389" i="92" s="1"/>
  <c r="E389" i="92" a="1"/>
  <c r="E389" i="92" s="1"/>
  <c r="F389" i="92" a="1"/>
  <c r="F389" i="92" s="1"/>
  <c r="G389" i="92" s="1"/>
  <c r="I389" i="92" a="1"/>
  <c r="I389" i="92" s="1"/>
  <c r="K389" i="92" s="1"/>
  <c r="J389" i="92" a="1"/>
  <c r="J389" i="92" s="1"/>
  <c r="L389" i="92" a="1"/>
  <c r="L389" i="92"/>
  <c r="M389" i="92" a="1"/>
  <c r="M389" i="92"/>
  <c r="P389" i="92" a="1"/>
  <c r="P389" i="92" s="1"/>
  <c r="Q389" i="92" a="1"/>
  <c r="Q389" i="92" s="1"/>
  <c r="S389" i="92" a="1"/>
  <c r="S389" i="92" s="1"/>
  <c r="T389" i="92" a="1"/>
  <c r="T389" i="92" s="1"/>
  <c r="W389" i="92" a="1"/>
  <c r="W389" i="92" s="1"/>
  <c r="X389" i="92" a="1"/>
  <c r="X389" i="92" s="1"/>
  <c r="Z389" i="92" a="1"/>
  <c r="Z389" i="92" s="1"/>
  <c r="AA389" i="92" a="1"/>
  <c r="AA389" i="92" s="1"/>
  <c r="B390" i="92" a="1"/>
  <c r="B390" i="92"/>
  <c r="C390" i="92" a="1"/>
  <c r="C390" i="92" s="1"/>
  <c r="E390" i="92" a="1"/>
  <c r="E390" i="92"/>
  <c r="F390" i="92" a="1"/>
  <c r="F390" i="92" s="1"/>
  <c r="I390" i="92" a="1"/>
  <c r="I390" i="92" s="1"/>
  <c r="J390" i="92" a="1"/>
  <c r="J390" i="92" s="1"/>
  <c r="L390" i="92" a="1"/>
  <c r="L390" i="92" s="1"/>
  <c r="N390" i="92" s="1"/>
  <c r="M390" i="92" a="1"/>
  <c r="M390" i="92" s="1"/>
  <c r="P390" i="92" a="1"/>
  <c r="P390" i="92"/>
  <c r="Q390" i="92" a="1"/>
  <c r="Q390" i="92" s="1"/>
  <c r="S390" i="92" a="1"/>
  <c r="S390" i="92" s="1"/>
  <c r="T390" i="92" a="1"/>
  <c r="T390" i="92" s="1"/>
  <c r="W390" i="92" a="1"/>
  <c r="W390" i="92" s="1"/>
  <c r="Y390" i="92" s="1"/>
  <c r="X390" i="92" a="1"/>
  <c r="X390" i="92" s="1"/>
  <c r="Z390" i="92" a="1"/>
  <c r="Z390" i="92" s="1"/>
  <c r="AB390" i="92" s="1"/>
  <c r="AA390" i="92" a="1"/>
  <c r="AA390" i="92" s="1"/>
  <c r="B391" i="92" a="1"/>
  <c r="B391" i="92" s="1"/>
  <c r="C391" i="92" a="1"/>
  <c r="C391" i="92"/>
  <c r="E391" i="92" a="1"/>
  <c r="E391" i="92" s="1"/>
  <c r="F391" i="92" a="1"/>
  <c r="F391" i="92" s="1"/>
  <c r="I391" i="92" a="1"/>
  <c r="I391" i="92"/>
  <c r="J391" i="92" a="1"/>
  <c r="J391" i="92"/>
  <c r="L391" i="92" a="1"/>
  <c r="L391" i="92" s="1"/>
  <c r="N391" i="92" s="1"/>
  <c r="M391" i="92" a="1"/>
  <c r="M391" i="92" s="1"/>
  <c r="P391" i="92" a="1"/>
  <c r="P391" i="92" s="1"/>
  <c r="Q391" i="92" a="1"/>
  <c r="Q391" i="92" s="1"/>
  <c r="S391" i="92" a="1"/>
  <c r="S391" i="92" s="1"/>
  <c r="T391" i="92" a="1"/>
  <c r="T391" i="92" s="1"/>
  <c r="U391" i="92" s="1"/>
  <c r="W391" i="92" a="1"/>
  <c r="W391" i="92"/>
  <c r="X391" i="92" a="1"/>
  <c r="X391" i="92" s="1"/>
  <c r="Z391" i="92" a="1"/>
  <c r="Z391" i="92" s="1"/>
  <c r="AA391" i="92" a="1"/>
  <c r="AA391" i="92" s="1"/>
  <c r="B392" i="92" a="1"/>
  <c r="B392" i="92"/>
  <c r="C392" i="92" a="1"/>
  <c r="C392" i="92" s="1"/>
  <c r="E392" i="92" a="1"/>
  <c r="E392" i="92" s="1"/>
  <c r="G392" i="92" s="1"/>
  <c r="F392" i="92" a="1"/>
  <c r="F392" i="92" s="1"/>
  <c r="I392" i="92" a="1"/>
  <c r="I392" i="92" s="1"/>
  <c r="J392" i="92" a="1"/>
  <c r="J392" i="92" s="1"/>
  <c r="L392" i="92" a="1"/>
  <c r="L392" i="92" s="1"/>
  <c r="M392" i="92" a="1"/>
  <c r="M392" i="92" s="1"/>
  <c r="P392" i="92" a="1"/>
  <c r="P392" i="92" s="1"/>
  <c r="Q392" i="92" a="1"/>
  <c r="Q392" i="92" s="1"/>
  <c r="S392" i="92" a="1"/>
  <c r="S392" i="92" s="1"/>
  <c r="U392" i="92" s="1"/>
  <c r="T392" i="92" a="1"/>
  <c r="T392" i="92" s="1"/>
  <c r="W392" i="92" a="1"/>
  <c r="W392" i="92" s="1"/>
  <c r="X392" i="92" a="1"/>
  <c r="X392" i="92"/>
  <c r="Z392" i="92" a="1"/>
  <c r="Z392" i="92"/>
  <c r="AA392" i="92" a="1"/>
  <c r="AA392" i="92" s="1"/>
  <c r="B393" i="92" a="1"/>
  <c r="B393" i="92" s="1"/>
  <c r="D393" i="92" s="1"/>
  <c r="C393" i="92" a="1"/>
  <c r="C393" i="92" s="1"/>
  <c r="E393" i="92" a="1"/>
  <c r="E393" i="92" s="1"/>
  <c r="F393" i="92" a="1"/>
  <c r="F393" i="92" s="1"/>
  <c r="G393" i="92" s="1"/>
  <c r="I393" i="92" a="1"/>
  <c r="I393" i="92"/>
  <c r="J393" i="92" a="1"/>
  <c r="J393" i="92"/>
  <c r="L393" i="92" a="1"/>
  <c r="L393" i="92" s="1"/>
  <c r="M393" i="92" a="1"/>
  <c r="M393" i="92" s="1"/>
  <c r="P393" i="92" a="1"/>
  <c r="P393" i="92"/>
  <c r="R393" i="92" s="1"/>
  <c r="Q393" i="92" a="1"/>
  <c r="Q393" i="92" s="1"/>
  <c r="S393" i="92" a="1"/>
  <c r="S393" i="92"/>
  <c r="T393" i="92" a="1"/>
  <c r="T393" i="92" s="1"/>
  <c r="U393" i="92" s="1"/>
  <c r="W393" i="92" a="1"/>
  <c r="W393" i="92" s="1"/>
  <c r="X393" i="92" a="1"/>
  <c r="X393" i="92"/>
  <c r="Z393" i="92" a="1"/>
  <c r="Z393" i="92"/>
  <c r="AA393" i="92" a="1"/>
  <c r="AA393" i="92" s="1"/>
  <c r="B394" i="92" a="1"/>
  <c r="B394" i="92" s="1"/>
  <c r="C394" i="92" a="1"/>
  <c r="C394" i="92"/>
  <c r="E394" i="92" a="1"/>
  <c r="E394" i="92" s="1"/>
  <c r="F394" i="92" a="1"/>
  <c r="F394" i="92" s="1"/>
  <c r="I394" i="92" a="1"/>
  <c r="I394" i="92" s="1"/>
  <c r="K394" i="92" s="1"/>
  <c r="J394" i="92" a="1"/>
  <c r="J394" i="92" s="1"/>
  <c r="L394" i="92" a="1"/>
  <c r="L394" i="92" s="1"/>
  <c r="M394" i="92" a="1"/>
  <c r="M394" i="92" s="1"/>
  <c r="P394" i="92" a="1"/>
  <c r="P394" i="92" s="1"/>
  <c r="Q394" i="92" a="1"/>
  <c r="Q394" i="92" s="1"/>
  <c r="S394" i="92" a="1"/>
  <c r="S394" i="92" s="1"/>
  <c r="T394" i="92" a="1"/>
  <c r="T394" i="92"/>
  <c r="U394" i="92" s="1"/>
  <c r="W394" i="92" a="1"/>
  <c r="W394" i="92" s="1"/>
  <c r="X394" i="92" a="1"/>
  <c r="X394" i="92" s="1"/>
  <c r="Z394" i="92" a="1"/>
  <c r="Z394" i="92" s="1"/>
  <c r="AB394" i="92" s="1"/>
  <c r="AA394" i="92" a="1"/>
  <c r="AA394" i="92" s="1"/>
  <c r="B395" i="92" a="1"/>
  <c r="B395" i="92" s="1"/>
  <c r="C395" i="92" a="1"/>
  <c r="C395" i="92" s="1"/>
  <c r="E395" i="92" a="1"/>
  <c r="E395" i="92" s="1"/>
  <c r="G395" i="92" s="1"/>
  <c r="F395" i="92" a="1"/>
  <c r="F395" i="92" s="1"/>
  <c r="I395" i="92" a="1"/>
  <c r="I395" i="92" s="1"/>
  <c r="K395" i="92" s="1"/>
  <c r="J395" i="92" a="1"/>
  <c r="J395" i="92"/>
  <c r="L395" i="92" a="1"/>
  <c r="L395" i="92" s="1"/>
  <c r="N395" i="92" s="1"/>
  <c r="M395" i="92" a="1"/>
  <c r="M395" i="92" s="1"/>
  <c r="P395" i="92" a="1"/>
  <c r="P395" i="92" s="1"/>
  <c r="R395" i="92" s="1"/>
  <c r="Q395" i="92" a="1"/>
  <c r="Q395" i="92" s="1"/>
  <c r="S395" i="92" a="1"/>
  <c r="S395" i="92" s="1"/>
  <c r="T395" i="92" a="1"/>
  <c r="T395" i="92"/>
  <c r="U395" i="92" s="1"/>
  <c r="W395" i="92" a="1"/>
  <c r="W395" i="92" s="1"/>
  <c r="Y395" i="92" s="1"/>
  <c r="X395" i="92" a="1"/>
  <c r="X395" i="92" s="1"/>
  <c r="Z395" i="92" a="1"/>
  <c r="Z395" i="92" s="1"/>
  <c r="AA395" i="92" a="1"/>
  <c r="AA395" i="92" s="1"/>
  <c r="B396" i="92" a="1"/>
  <c r="B396" i="92" s="1"/>
  <c r="C396" i="92" a="1"/>
  <c r="C396" i="92"/>
  <c r="D396" i="92" s="1"/>
  <c r="E396" i="92" a="1"/>
  <c r="E396" i="92" s="1"/>
  <c r="G396" i="92" s="1"/>
  <c r="F396" i="92" a="1"/>
  <c r="F396" i="92" s="1"/>
  <c r="I396" i="92" a="1"/>
  <c r="I396" i="92"/>
  <c r="J396" i="92" a="1"/>
  <c r="J396" i="92" s="1"/>
  <c r="L396" i="92" a="1"/>
  <c r="L396" i="92"/>
  <c r="M396" i="92" a="1"/>
  <c r="M396" i="92" s="1"/>
  <c r="P396" i="92" a="1"/>
  <c r="P396" i="92"/>
  <c r="Q396" i="92" a="1"/>
  <c r="Q396" i="92" s="1"/>
  <c r="R396" i="92" s="1"/>
  <c r="S396" i="92" a="1"/>
  <c r="S396" i="92" s="1"/>
  <c r="T396" i="92" a="1"/>
  <c r="T396" i="92" s="1"/>
  <c r="W396" i="92" a="1"/>
  <c r="W396" i="92" s="1"/>
  <c r="X396" i="92" a="1"/>
  <c r="X396" i="92" s="1"/>
  <c r="Z396" i="92" a="1"/>
  <c r="Z396" i="92"/>
  <c r="AA396" i="92" a="1"/>
  <c r="AA396" i="92" s="1"/>
  <c r="B397" i="92" a="1"/>
  <c r="B397" i="92" s="1"/>
  <c r="C397" i="92" a="1"/>
  <c r="C397" i="92" s="1"/>
  <c r="E397" i="92" a="1"/>
  <c r="E397" i="92" s="1"/>
  <c r="F397" i="92" a="1"/>
  <c r="F397" i="92" s="1"/>
  <c r="I397" i="92" a="1"/>
  <c r="I397" i="92" s="1"/>
  <c r="J397" i="92" a="1"/>
  <c r="J397" i="92" s="1"/>
  <c r="L397" i="92" a="1"/>
  <c r="L397" i="92" s="1"/>
  <c r="N397" i="92" s="1"/>
  <c r="M397" i="92" a="1"/>
  <c r="M397" i="92" s="1"/>
  <c r="P397" i="92" a="1"/>
  <c r="P397" i="92"/>
  <c r="Q397" i="92" a="1"/>
  <c r="Q397" i="92" s="1"/>
  <c r="S397" i="92" a="1"/>
  <c r="S397" i="92"/>
  <c r="T397" i="92" a="1"/>
  <c r="T397" i="92" s="1"/>
  <c r="U397" i="92" s="1"/>
  <c r="W397" i="92" a="1"/>
  <c r="W397" i="92" s="1"/>
  <c r="X397" i="92" a="1"/>
  <c r="X397" i="92" s="1"/>
  <c r="Z397" i="92" a="1"/>
  <c r="Z397" i="92" s="1"/>
  <c r="AB397" i="92" s="1"/>
  <c r="AA397" i="92" a="1"/>
  <c r="AA397" i="92" s="1"/>
  <c r="B398" i="92" a="1"/>
  <c r="B398" i="92"/>
  <c r="D398" i="92" s="1"/>
  <c r="C398" i="92" a="1"/>
  <c r="C398" i="92"/>
  <c r="E398" i="92" a="1"/>
  <c r="E398" i="92" s="1"/>
  <c r="F398" i="92" a="1"/>
  <c r="F398" i="92" s="1"/>
  <c r="I398" i="92" a="1"/>
  <c r="I398" i="92" s="1"/>
  <c r="K398" i="92" s="1"/>
  <c r="J398" i="92" a="1"/>
  <c r="J398" i="92"/>
  <c r="L398" i="92" a="1"/>
  <c r="L398" i="92" s="1"/>
  <c r="N398" i="92" s="1"/>
  <c r="M398" i="92" a="1"/>
  <c r="M398" i="92" s="1"/>
  <c r="P398" i="92" a="1"/>
  <c r="P398" i="92" s="1"/>
  <c r="Q398" i="92" a="1"/>
  <c r="Q398" i="92" s="1"/>
  <c r="S398" i="92" a="1"/>
  <c r="S398" i="92" s="1"/>
  <c r="T398" i="92" a="1"/>
  <c r="T398" i="92"/>
  <c r="W398" i="92" a="1"/>
  <c r="W398" i="92" s="1"/>
  <c r="X398" i="92" a="1"/>
  <c r="X398" i="92" s="1"/>
  <c r="Y398" i="92" s="1"/>
  <c r="Z398" i="92" a="1"/>
  <c r="Z398" i="92" s="1"/>
  <c r="AB398" i="92" s="1"/>
  <c r="AA398" i="92" a="1"/>
  <c r="AA398" i="92" s="1"/>
  <c r="B399" i="92" a="1"/>
  <c r="B399" i="92" s="1"/>
  <c r="C399" i="92" a="1"/>
  <c r="C399" i="92" s="1"/>
  <c r="D399" i="92" s="1"/>
  <c r="E399" i="92" a="1"/>
  <c r="E399" i="92" s="1"/>
  <c r="G399" i="92" s="1"/>
  <c r="F399" i="92" a="1"/>
  <c r="F399" i="92" s="1"/>
  <c r="I399" i="92" a="1"/>
  <c r="I399" i="92"/>
  <c r="K399" i="92" s="1"/>
  <c r="J399" i="92" a="1"/>
  <c r="J399" i="92"/>
  <c r="L399" i="92" a="1"/>
  <c r="L399" i="92"/>
  <c r="M399" i="92" a="1"/>
  <c r="M399" i="92" s="1"/>
  <c r="P399" i="92" a="1"/>
  <c r="P399" i="92"/>
  <c r="Q399" i="92" a="1"/>
  <c r="Q399" i="92" s="1"/>
  <c r="R399" i="92" s="1"/>
  <c r="S399" i="92" a="1"/>
  <c r="S399" i="92" s="1"/>
  <c r="U399" i="92" s="1"/>
  <c r="T399" i="92" a="1"/>
  <c r="T399" i="92" s="1"/>
  <c r="W399" i="92" a="1"/>
  <c r="W399" i="92" s="1"/>
  <c r="X399" i="92" a="1"/>
  <c r="X399" i="92"/>
  <c r="Y399" i="92" s="1"/>
  <c r="Z399" i="92" a="1"/>
  <c r="Z399" i="92"/>
  <c r="AA399" i="92" a="1"/>
  <c r="AA399" i="92" s="1"/>
  <c r="B400" i="92" a="1"/>
  <c r="B400" i="92"/>
  <c r="C400" i="92" a="1"/>
  <c r="C400" i="92"/>
  <c r="E400" i="92" a="1"/>
  <c r="E400" i="92" s="1"/>
  <c r="G400" i="92" s="1"/>
  <c r="F400" i="92" a="1"/>
  <c r="F400" i="92" s="1"/>
  <c r="I400" i="92" a="1"/>
  <c r="I400" i="92" s="1"/>
  <c r="J400" i="92" a="1"/>
  <c r="J400" i="92" s="1"/>
  <c r="L400" i="92" a="1"/>
  <c r="L400" i="92"/>
  <c r="M400" i="92" a="1"/>
  <c r="M400" i="92"/>
  <c r="P400" i="92" a="1"/>
  <c r="P400" i="92" s="1"/>
  <c r="R400" i="92" s="1"/>
  <c r="Q400" i="92" a="1"/>
  <c r="Q400" i="92"/>
  <c r="S400" i="92" a="1"/>
  <c r="S400" i="92"/>
  <c r="T400" i="92" a="1"/>
  <c r="T400" i="92" s="1"/>
  <c r="U400" i="92" s="1"/>
  <c r="W400" i="92" a="1"/>
  <c r="W400" i="92"/>
  <c r="X400" i="92" a="1"/>
  <c r="X400" i="92" s="1"/>
  <c r="Z400" i="92" a="1"/>
  <c r="Z400" i="92" s="1"/>
  <c r="AB400" i="92" s="1"/>
  <c r="AA400" i="92" a="1"/>
  <c r="AA400" i="92" s="1"/>
  <c r="BH1" i="76"/>
  <c r="BI1" i="76"/>
  <c r="BJ1" i="76"/>
  <c r="BK1" i="76"/>
  <c r="CA1" i="76"/>
  <c r="CH1" i="76"/>
  <c r="CJ1" i="76"/>
  <c r="CK1" i="76"/>
  <c r="CL1" i="76"/>
  <c r="CO1" i="76"/>
  <c r="CP1" i="76"/>
  <c r="CQ1" i="76"/>
  <c r="A4" i="76"/>
  <c r="A5" i="76"/>
  <c r="A6" i="76"/>
  <c r="A7" i="76"/>
  <c r="A8" i="76"/>
  <c r="A9" i="76"/>
  <c r="A10" i="76"/>
  <c r="A11" i="76"/>
  <c r="A12" i="76"/>
  <c r="A13" i="76"/>
  <c r="A14" i="76"/>
  <c r="A15" i="76"/>
  <c r="A16" i="76"/>
  <c r="A17" i="76"/>
  <c r="A18" i="76"/>
  <c r="A19" i="76"/>
  <c r="A20" i="76"/>
  <c r="A21" i="76"/>
  <c r="BH21" i="76"/>
  <c r="BI21" i="76"/>
  <c r="BJ21" i="76"/>
  <c r="CH21" i="76"/>
  <c r="CJ21" i="76"/>
  <c r="CK21" i="76"/>
  <c r="CP21" i="76"/>
  <c r="CQ21" i="76"/>
  <c r="A22" i="76"/>
  <c r="BH22" i="76"/>
  <c r="BI22" i="76"/>
  <c r="BJ22" i="76"/>
  <c r="CH22" i="76"/>
  <c r="CJ22" i="76"/>
  <c r="CK22" i="76"/>
  <c r="CP22" i="76"/>
  <c r="CQ22" i="76"/>
  <c r="A23" i="76"/>
  <c r="BH23" i="76"/>
  <c r="BI23" i="76"/>
  <c r="BJ23" i="76"/>
  <c r="CH23" i="76"/>
  <c r="CJ23" i="76"/>
  <c r="CK23" i="76"/>
  <c r="CP23" i="76"/>
  <c r="CQ23" i="76"/>
  <c r="A24" i="76"/>
  <c r="BH24" i="76"/>
  <c r="BI24" i="76"/>
  <c r="BJ24" i="76"/>
  <c r="CH24" i="76"/>
  <c r="CJ24" i="76"/>
  <c r="CK24" i="76"/>
  <c r="CP24" i="76"/>
  <c r="CQ24" i="76"/>
  <c r="A25" i="76"/>
  <c r="BH25" i="76"/>
  <c r="BI25" i="76"/>
  <c r="BJ25" i="76"/>
  <c r="CH25" i="76"/>
  <c r="CJ25" i="76"/>
  <c r="CK25" i="76"/>
  <c r="CP25" i="76"/>
  <c r="CQ25" i="76"/>
  <c r="A26" i="76"/>
  <c r="BH26" i="76"/>
  <c r="BI26" i="76"/>
  <c r="BJ26" i="76"/>
  <c r="CH26" i="76"/>
  <c r="CJ26" i="76"/>
  <c r="CK26" i="76"/>
  <c r="CP26" i="76"/>
  <c r="CQ26" i="76"/>
  <c r="BG27" i="76"/>
  <c r="CH27" i="76"/>
  <c r="CI27" i="76"/>
  <c r="CM27" i="76"/>
  <c r="CP27" i="76"/>
  <c r="BG28" i="76"/>
  <c r="BJ28" i="76" s="1"/>
  <c r="CH28" i="76"/>
  <c r="CI28" i="76"/>
  <c r="CM28" i="76"/>
  <c r="BG29" i="76"/>
  <c r="CH29" i="76"/>
  <c r="CI29" i="76"/>
  <c r="CM29" i="76"/>
  <c r="CP29" i="76" s="1"/>
  <c r="BG30" i="76"/>
  <c r="CH30" i="76"/>
  <c r="CI30" i="76"/>
  <c r="CM30" i="76"/>
  <c r="CQ30" i="76" s="1"/>
  <c r="BG31" i="76"/>
  <c r="CH31" i="76"/>
  <c r="CI31" i="76"/>
  <c r="CK31" i="76" s="1"/>
  <c r="CM31" i="76"/>
  <c r="BG32" i="76"/>
  <c r="CH32" i="76"/>
  <c r="CI32" i="76"/>
  <c r="CM32" i="76"/>
  <c r="BG33" i="76"/>
  <c r="CH33" i="76"/>
  <c r="CI33" i="76"/>
  <c r="CJ33" i="76" s="1"/>
  <c r="CM33" i="76"/>
  <c r="CP33" i="76" s="1"/>
  <c r="BG34" i="76"/>
  <c r="CH34" i="76"/>
  <c r="CI34" i="76"/>
  <c r="CM34" i="76"/>
  <c r="CP34" i="76" s="1"/>
  <c r="BG35" i="76"/>
  <c r="BJ35" i="76" s="1"/>
  <c r="CH35" i="76"/>
  <c r="CI35" i="76"/>
  <c r="CM35" i="76"/>
  <c r="BG36" i="76"/>
  <c r="BJ36" i="76" s="1"/>
  <c r="CH36" i="76"/>
  <c r="CI36" i="76"/>
  <c r="CJ36" i="76" s="1"/>
  <c r="CM36" i="76"/>
  <c r="CP36" i="76" s="1"/>
  <c r="BG37" i="76"/>
  <c r="BI37" i="76" s="1"/>
  <c r="CH37" i="76"/>
  <c r="CI37" i="76"/>
  <c r="CM37" i="76"/>
  <c r="CQ37" i="76"/>
  <c r="BG38" i="76"/>
  <c r="BH38" i="76" s="1"/>
  <c r="CH38" i="76"/>
  <c r="CI38" i="76"/>
  <c r="CM38" i="76"/>
  <c r="BG39" i="76"/>
  <c r="CH39" i="76"/>
  <c r="CI39" i="76"/>
  <c r="CK39" i="76"/>
  <c r="CM39" i="76"/>
  <c r="BG40" i="76"/>
  <c r="CH40" i="76"/>
  <c r="CI40" i="76"/>
  <c r="CM40" i="76"/>
  <c r="BG41" i="76"/>
  <c r="CH41" i="76"/>
  <c r="CI41" i="76"/>
  <c r="CM41" i="76"/>
  <c r="CQ41" i="76" s="1"/>
  <c r="BA195" i="76" s="1"/>
  <c r="F95" i="75" s="1"/>
  <c r="BG42" i="76"/>
  <c r="BH42" i="76" s="1"/>
  <c r="CH42" i="76"/>
  <c r="CI42" i="76"/>
  <c r="CM42" i="76"/>
  <c r="BG43" i="76"/>
  <c r="CH43" i="76"/>
  <c r="CI43" i="76"/>
  <c r="CJ43" i="76" s="1"/>
  <c r="CM43" i="76"/>
  <c r="CN43" i="76" s="1"/>
  <c r="BG44" i="76"/>
  <c r="BJ44" i="76" s="1"/>
  <c r="CH44" i="76"/>
  <c r="CI44" i="76"/>
  <c r="CM44" i="76"/>
  <c r="CP44" i="76" s="1"/>
  <c r="BG45" i="76"/>
  <c r="CH45" i="76"/>
  <c r="CI45" i="76"/>
  <c r="CM45" i="76"/>
  <c r="CN45" i="76" s="1"/>
  <c r="BG46" i="76"/>
  <c r="BH46" i="76" s="1"/>
  <c r="CB46" i="76"/>
  <c r="CC46" i="76"/>
  <c r="CE46" i="76"/>
  <c r="CF46" i="76" s="1"/>
  <c r="CH46" i="76"/>
  <c r="CI46" i="76"/>
  <c r="CM46" i="76"/>
  <c r="CN46" i="76" s="1"/>
  <c r="BG47" i="76"/>
  <c r="BK47" i="76" s="1"/>
  <c r="CB47" i="76"/>
  <c r="CE47" i="76"/>
  <c r="CF47" i="76" s="1"/>
  <c r="CH47" i="76"/>
  <c r="CI47" i="76"/>
  <c r="CM47" i="76"/>
  <c r="BG48" i="76"/>
  <c r="BK48" i="76" s="1"/>
  <c r="CB48" i="76"/>
  <c r="CC48" i="76" s="1"/>
  <c r="CE48" i="76"/>
  <c r="CF48" i="76" s="1"/>
  <c r="CI48" i="76"/>
  <c r="CM48" i="76"/>
  <c r="CN48" i="76" s="1"/>
  <c r="CP48" i="76"/>
  <c r="BG49" i="76"/>
  <c r="BK49" i="76" s="1"/>
  <c r="CB49" i="76"/>
  <c r="CC49" i="76" s="1"/>
  <c r="CE49" i="76"/>
  <c r="CF49" i="76"/>
  <c r="CI49" i="76"/>
  <c r="CJ49" i="76" s="1"/>
  <c r="CM49" i="76"/>
  <c r="BG50" i="76"/>
  <c r="CB50" i="76"/>
  <c r="CD50" i="76" s="1"/>
  <c r="CE50" i="76"/>
  <c r="CF50" i="76"/>
  <c r="CI50" i="76"/>
  <c r="CJ50" i="76" s="1"/>
  <c r="CM50" i="76"/>
  <c r="BG51" i="76"/>
  <c r="CB51" i="76"/>
  <c r="CE51" i="76"/>
  <c r="CF51" i="76" s="1"/>
  <c r="CI51" i="76"/>
  <c r="CM51" i="76"/>
  <c r="BG52" i="76"/>
  <c r="CB52" i="76"/>
  <c r="CE52" i="76"/>
  <c r="CF52" i="76" s="1"/>
  <c r="CI52" i="76"/>
  <c r="CK52" i="76" s="1"/>
  <c r="CM52" i="76"/>
  <c r="BG53" i="76"/>
  <c r="BK53" i="76"/>
  <c r="CB53" i="76"/>
  <c r="CE53" i="76"/>
  <c r="CF53" i="76" s="1"/>
  <c r="CI53" i="76"/>
  <c r="CJ53" i="76"/>
  <c r="CM53" i="76"/>
  <c r="CO53" i="76" s="1"/>
  <c r="BG54" i="76"/>
  <c r="CB54" i="76"/>
  <c r="CE54" i="76"/>
  <c r="CF54" i="76" s="1"/>
  <c r="CI54" i="76"/>
  <c r="CK54" i="76" s="1"/>
  <c r="CM54" i="76"/>
  <c r="BG55" i="76"/>
  <c r="CB55" i="76"/>
  <c r="CE55" i="76"/>
  <c r="CF55" i="76" s="1"/>
  <c r="CI55" i="76"/>
  <c r="CK55" i="76" s="1"/>
  <c r="CM55" i="76"/>
  <c r="BG56" i="76"/>
  <c r="BQ56" i="76"/>
  <c r="CB56" i="76"/>
  <c r="CC56" i="76" s="1"/>
  <c r="CE56" i="76"/>
  <c r="CF56" i="76" s="1"/>
  <c r="CI56" i="76"/>
  <c r="CM56" i="76"/>
  <c r="BG57" i="76"/>
  <c r="BH57" i="76" s="1"/>
  <c r="BQ57" i="76"/>
  <c r="CB57" i="76"/>
  <c r="CC57" i="76" s="1"/>
  <c r="CE57" i="76"/>
  <c r="CF57" i="76"/>
  <c r="CI57" i="76"/>
  <c r="CK57" i="76" s="1"/>
  <c r="CM57" i="76"/>
  <c r="CO57" i="76" s="1"/>
  <c r="BG58" i="76"/>
  <c r="BQ58" i="76"/>
  <c r="CB58" i="76"/>
  <c r="CE58" i="76"/>
  <c r="CI58" i="76"/>
  <c r="CK58" i="76" s="1"/>
  <c r="CM58" i="76"/>
  <c r="BG59" i="76"/>
  <c r="BQ59" i="76"/>
  <c r="CB59" i="76"/>
  <c r="CC59" i="76" s="1"/>
  <c r="CE59" i="76"/>
  <c r="CF59" i="76" s="1"/>
  <c r="CI59" i="76"/>
  <c r="CM59" i="76"/>
  <c r="BG60" i="76"/>
  <c r="BQ60" i="76"/>
  <c r="BS60" i="76" s="1"/>
  <c r="BR60" i="76"/>
  <c r="CB60" i="76"/>
  <c r="CD60" i="76" s="1"/>
  <c r="CE60" i="76"/>
  <c r="CF60" i="76" s="1"/>
  <c r="CI60" i="76"/>
  <c r="CL60" i="76"/>
  <c r="CM60" i="76"/>
  <c r="BG61" i="76"/>
  <c r="BQ61" i="76"/>
  <c r="BS61" i="76" s="1"/>
  <c r="BR61" i="76"/>
  <c r="CB61" i="76"/>
  <c r="CE61" i="76"/>
  <c r="CF61" i="76" s="1"/>
  <c r="CI61" i="76"/>
  <c r="CK61" i="76" s="1"/>
  <c r="CM61" i="76"/>
  <c r="CO61" i="76" s="1"/>
  <c r="BG62" i="76"/>
  <c r="BQ62" i="76"/>
  <c r="CB62" i="76"/>
  <c r="CD62" i="76" s="1"/>
  <c r="CE62" i="76"/>
  <c r="CF62" i="76" s="1"/>
  <c r="CI62" i="76"/>
  <c r="CK62" i="76" s="1"/>
  <c r="CM62" i="76"/>
  <c r="BG63" i="76"/>
  <c r="BQ63" i="76"/>
  <c r="CB63" i="76"/>
  <c r="CD63" i="76" s="1"/>
  <c r="CE63" i="76"/>
  <c r="CF63" i="76" s="1"/>
  <c r="CI63" i="76"/>
  <c r="CK63" i="76" s="1"/>
  <c r="CM63" i="76"/>
  <c r="CN63" i="76" s="1"/>
  <c r="BG64" i="76"/>
  <c r="BQ64" i="76"/>
  <c r="CB64" i="76"/>
  <c r="CE64" i="76"/>
  <c r="CF64" i="76" s="1"/>
  <c r="CI64" i="76"/>
  <c r="CM64" i="76"/>
  <c r="BG65" i="76"/>
  <c r="BH65" i="76" s="1"/>
  <c r="BQ65" i="76"/>
  <c r="CB65" i="76"/>
  <c r="CE65" i="76"/>
  <c r="CF65" i="76"/>
  <c r="CI65" i="76"/>
  <c r="CL65" i="76" s="1"/>
  <c r="CM65" i="76"/>
  <c r="CN65" i="76" s="1"/>
  <c r="BG66" i="76"/>
  <c r="BQ66" i="76"/>
  <c r="BR66" i="76" s="1"/>
  <c r="CB66" i="76"/>
  <c r="CC66" i="76" s="1"/>
  <c r="CE66" i="76"/>
  <c r="CF66" i="76" s="1"/>
  <c r="CI66" i="76"/>
  <c r="CM66" i="76"/>
  <c r="BG67" i="76"/>
  <c r="BK67" i="76" s="1"/>
  <c r="BQ67" i="76"/>
  <c r="BR67" i="76" s="1"/>
  <c r="BS67" i="76"/>
  <c r="CB67" i="76"/>
  <c r="CE67" i="76"/>
  <c r="CF67" i="76" s="1"/>
  <c r="CI67" i="76"/>
  <c r="CK67" i="76" s="1"/>
  <c r="CM67" i="76"/>
  <c r="CN67" i="76" s="1"/>
  <c r="BG68" i="76"/>
  <c r="BK68" i="76" s="1"/>
  <c r="BQ68" i="76"/>
  <c r="BS68" i="76" s="1"/>
  <c r="BR68" i="76"/>
  <c r="CB68" i="76"/>
  <c r="CC68" i="76" s="1"/>
  <c r="CE68" i="76"/>
  <c r="CF68" i="76" s="1"/>
  <c r="CI68" i="76"/>
  <c r="CL68" i="76"/>
  <c r="CM68" i="76"/>
  <c r="BG69" i="76"/>
  <c r="BK69" i="76"/>
  <c r="BQ69" i="76"/>
  <c r="CB69" i="76"/>
  <c r="CC69" i="76" s="1"/>
  <c r="CE69" i="76"/>
  <c r="CF69" i="76" s="1"/>
  <c r="CI69" i="76"/>
  <c r="CJ69" i="76" s="1"/>
  <c r="CM69" i="76"/>
  <c r="CN69" i="76"/>
  <c r="BG70" i="76"/>
  <c r="BQ70" i="76"/>
  <c r="BS70" i="76" s="1"/>
  <c r="CB70" i="76"/>
  <c r="CE70" i="76"/>
  <c r="CI70" i="76"/>
  <c r="CM70" i="76"/>
  <c r="BG71" i="76"/>
  <c r="BQ71" i="76"/>
  <c r="CB71" i="76"/>
  <c r="CC71" i="76"/>
  <c r="CE71" i="76"/>
  <c r="CF71" i="76" s="1"/>
  <c r="CI71" i="76"/>
  <c r="CM71" i="76"/>
  <c r="CN71" i="76"/>
  <c r="BG72" i="76"/>
  <c r="BH72" i="76" s="1"/>
  <c r="BQ72" i="76"/>
  <c r="BS72" i="76" s="1"/>
  <c r="CB72" i="76"/>
  <c r="CC72" i="76" s="1"/>
  <c r="CE72" i="76"/>
  <c r="CF72" i="76" s="1"/>
  <c r="CI72" i="76"/>
  <c r="CM72" i="76"/>
  <c r="CO72" i="76"/>
  <c r="BG73" i="76"/>
  <c r="BQ73" i="76"/>
  <c r="BR73" i="76" s="1"/>
  <c r="CB73" i="76"/>
  <c r="CD73" i="76" s="1"/>
  <c r="CE73" i="76"/>
  <c r="CF73" i="76" s="1"/>
  <c r="CI73" i="76"/>
  <c r="CM73" i="76"/>
  <c r="BG74" i="76"/>
  <c r="BK74" i="76"/>
  <c r="BQ74" i="76"/>
  <c r="BS74" i="76" s="1"/>
  <c r="CB74" i="76"/>
  <c r="CE74" i="76"/>
  <c r="CF74" i="76" s="1"/>
  <c r="CI74" i="76"/>
  <c r="CK74" i="76" s="1"/>
  <c r="CM74" i="76"/>
  <c r="CN74" i="76" s="1"/>
  <c r="BG75" i="76"/>
  <c r="BQ75" i="76"/>
  <c r="BS75" i="76" s="1"/>
  <c r="CB75" i="76"/>
  <c r="CE75" i="76"/>
  <c r="CF75" i="76" s="1"/>
  <c r="CI75" i="76"/>
  <c r="CM75" i="76"/>
  <c r="CN75" i="76" s="1"/>
  <c r="BG76" i="76"/>
  <c r="BK76" i="76" s="1"/>
  <c r="BQ76" i="76"/>
  <c r="BS76" i="76" s="1"/>
  <c r="CB76" i="76"/>
  <c r="CD76" i="76" s="1"/>
  <c r="CE76" i="76"/>
  <c r="CF76" i="76" s="1"/>
  <c r="CI76" i="76"/>
  <c r="CK76" i="76" s="1"/>
  <c r="CM76" i="76"/>
  <c r="BG77" i="76"/>
  <c r="BK77" i="76" s="1"/>
  <c r="BH77" i="76"/>
  <c r="BQ77" i="76"/>
  <c r="BS77" i="76" s="1"/>
  <c r="CB77" i="76"/>
  <c r="CD77" i="76" s="1"/>
  <c r="CE77" i="76"/>
  <c r="CF77" i="76" s="1"/>
  <c r="CI77" i="76"/>
  <c r="CM77" i="76"/>
  <c r="BG78" i="76"/>
  <c r="BK78" i="76"/>
  <c r="BQ78" i="76"/>
  <c r="BS78" i="76"/>
  <c r="CB78" i="76"/>
  <c r="CD78" i="76" s="1"/>
  <c r="CE78" i="76"/>
  <c r="CF78" i="76" s="1"/>
  <c r="CI78" i="76"/>
  <c r="CJ78" i="76" s="1"/>
  <c r="CM78" i="76"/>
  <c r="BG79" i="76"/>
  <c r="BQ79" i="76"/>
  <c r="BS79" i="76" s="1"/>
  <c r="CB79" i="76"/>
  <c r="CD79" i="76" s="1"/>
  <c r="CE79" i="76"/>
  <c r="CF79" i="76" s="1"/>
  <c r="CI79" i="76"/>
  <c r="CL79" i="76" s="1"/>
  <c r="CM79" i="76"/>
  <c r="CO79" i="76" s="1"/>
  <c r="BG80" i="76"/>
  <c r="BQ80" i="76"/>
  <c r="BS80" i="76"/>
  <c r="CB80" i="76"/>
  <c r="CC80" i="76" s="1"/>
  <c r="CE80" i="76"/>
  <c r="CF80" i="76" s="1"/>
  <c r="CI80" i="76"/>
  <c r="CM80" i="76"/>
  <c r="CO80" i="76" s="1"/>
  <c r="BG81" i="76"/>
  <c r="BK81" i="76"/>
  <c r="BQ81" i="76"/>
  <c r="BS81" i="76" s="1"/>
  <c r="CB81" i="76"/>
  <c r="CE81" i="76"/>
  <c r="CF81" i="76" s="1"/>
  <c r="CI81" i="76"/>
  <c r="CM81" i="76"/>
  <c r="CO81" i="76" s="1"/>
  <c r="BG82" i="76"/>
  <c r="BQ82" i="76"/>
  <c r="BS82" i="76" s="1"/>
  <c r="CB82" i="76"/>
  <c r="CD82" i="76" s="1"/>
  <c r="CE82" i="76"/>
  <c r="CF82" i="76" s="1"/>
  <c r="CI82" i="76"/>
  <c r="CJ82" i="76"/>
  <c r="CM82" i="76"/>
  <c r="BG83" i="76"/>
  <c r="BH83" i="76" s="1"/>
  <c r="BK83" i="76"/>
  <c r="BQ83" i="76"/>
  <c r="BS83" i="76" s="1"/>
  <c r="CB83" i="76"/>
  <c r="CE83" i="76"/>
  <c r="CF83" i="76"/>
  <c r="CI83" i="76"/>
  <c r="CM83" i="76"/>
  <c r="BG84" i="76"/>
  <c r="BK84" i="76" s="1"/>
  <c r="BH84" i="76"/>
  <c r="BQ84" i="76"/>
  <c r="BS84" i="76" s="1"/>
  <c r="CB84" i="76"/>
  <c r="CC84" i="76" s="1"/>
  <c r="CE84" i="76"/>
  <c r="CF84" i="76" s="1"/>
  <c r="CI84" i="76"/>
  <c r="CL84" i="76" s="1"/>
  <c r="CM84" i="76"/>
  <c r="BG85" i="76"/>
  <c r="BK85" i="76"/>
  <c r="BQ85" i="76"/>
  <c r="BS85" i="76" s="1"/>
  <c r="CB85" i="76"/>
  <c r="CE85" i="76"/>
  <c r="CF85" i="76" s="1"/>
  <c r="CI85" i="76"/>
  <c r="CK85" i="76" s="1"/>
  <c r="CM85" i="76"/>
  <c r="BG86" i="76"/>
  <c r="BK86" i="76" s="1"/>
  <c r="BQ86" i="76"/>
  <c r="BS86" i="76" s="1"/>
  <c r="CB86" i="76"/>
  <c r="CI86" i="76"/>
  <c r="CK86" i="76" s="1"/>
  <c r="CM86" i="76"/>
  <c r="CN86" i="76"/>
  <c r="BG87" i="76"/>
  <c r="BH87" i="76" s="1"/>
  <c r="BQ87" i="76"/>
  <c r="BS87" i="76" s="1"/>
  <c r="BY87" i="76"/>
  <c r="CA87" i="76" s="1"/>
  <c r="CB87" i="76"/>
  <c r="CI87" i="76"/>
  <c r="CK87" i="76" s="1"/>
  <c r="CM87" i="76"/>
  <c r="CN87" i="76"/>
  <c r="BG88" i="76"/>
  <c r="BQ88" i="76"/>
  <c r="BS88" i="76" s="1"/>
  <c r="BY88" i="76"/>
  <c r="CA88" i="76"/>
  <c r="CB88" i="76"/>
  <c r="CC88" i="76" s="1"/>
  <c r="CI88" i="76"/>
  <c r="CJ88" i="76" s="1"/>
  <c r="CM88" i="76"/>
  <c r="CO88" i="76" s="1"/>
  <c r="BG89" i="76"/>
  <c r="BQ89" i="76"/>
  <c r="BS89" i="76"/>
  <c r="BY89" i="76"/>
  <c r="CA89" i="76"/>
  <c r="CB89" i="76"/>
  <c r="CI89" i="76"/>
  <c r="CM89" i="76"/>
  <c r="BG90" i="76"/>
  <c r="BH90" i="76" s="1"/>
  <c r="BQ90" i="76"/>
  <c r="BS90" i="76"/>
  <c r="BY90" i="76"/>
  <c r="CA90" i="76" s="1"/>
  <c r="CB90" i="76"/>
  <c r="CI90" i="76"/>
  <c r="CK90" i="76"/>
  <c r="CM90" i="76"/>
  <c r="CO90" i="76" s="1"/>
  <c r="BG91" i="76"/>
  <c r="BH91" i="76" s="1"/>
  <c r="BQ91" i="76"/>
  <c r="BS91" i="76"/>
  <c r="BY91" i="76"/>
  <c r="CB91" i="76"/>
  <c r="CD91" i="76"/>
  <c r="CI91" i="76"/>
  <c r="CM91" i="76"/>
  <c r="CO91" i="76" s="1"/>
  <c r="BG92" i="76"/>
  <c r="BQ92" i="76"/>
  <c r="BY92" i="76"/>
  <c r="CA92" i="76" s="1"/>
  <c r="CB92" i="76"/>
  <c r="CI92" i="76"/>
  <c r="CM92" i="76"/>
  <c r="BG93" i="76"/>
  <c r="BQ93" i="76"/>
  <c r="BT93" i="76" s="1"/>
  <c r="BU93" i="76"/>
  <c r="BY93" i="76"/>
  <c r="CA93" i="76" s="1"/>
  <c r="CB93" i="76"/>
  <c r="CI93" i="76"/>
  <c r="CM93" i="76"/>
  <c r="BG94" i="76"/>
  <c r="BK94" i="76" s="1"/>
  <c r="BQ94" i="76"/>
  <c r="BT94" i="76" s="1"/>
  <c r="BU94" i="76"/>
  <c r="BW94" i="76" s="1"/>
  <c r="BY94" i="76"/>
  <c r="CA94" i="76" s="1"/>
  <c r="CB94" i="76"/>
  <c r="CC94" i="76" s="1"/>
  <c r="CI94" i="76"/>
  <c r="CM94" i="76"/>
  <c r="BG95" i="76"/>
  <c r="BQ95" i="76"/>
  <c r="BU95" i="76"/>
  <c r="BW95" i="76" s="1"/>
  <c r="BY95" i="76"/>
  <c r="CA95" i="76" s="1"/>
  <c r="CB95" i="76"/>
  <c r="CD95" i="76"/>
  <c r="CI95" i="76"/>
  <c r="CM95" i="76"/>
  <c r="CO95" i="76" s="1"/>
  <c r="BG96" i="76"/>
  <c r="BK96" i="76" s="1"/>
  <c r="BQ96" i="76"/>
  <c r="BT96" i="76" s="1"/>
  <c r="BU96" i="76"/>
  <c r="BW96" i="76" s="1"/>
  <c r="BY96" i="76"/>
  <c r="CA96" i="76" s="1"/>
  <c r="CB96" i="76"/>
  <c r="CC96" i="76"/>
  <c r="CI96" i="76"/>
  <c r="CL96" i="76"/>
  <c r="CM96" i="76"/>
  <c r="CN96" i="76" s="1"/>
  <c r="BG97" i="76"/>
  <c r="BQ97" i="76"/>
  <c r="BT97" i="76" s="1"/>
  <c r="BU97" i="76"/>
  <c r="BY97" i="76"/>
  <c r="CA97" i="76" s="1"/>
  <c r="CB97" i="76"/>
  <c r="CI97" i="76"/>
  <c r="CM97" i="76"/>
  <c r="CN97" i="76" s="1"/>
  <c r="BG98" i="76"/>
  <c r="BQ98" i="76"/>
  <c r="BT98" i="76" s="1"/>
  <c r="BU98" i="76"/>
  <c r="BW98" i="76"/>
  <c r="BY98" i="76"/>
  <c r="CA98" i="76" s="1"/>
  <c r="CB98" i="76"/>
  <c r="CC98" i="76"/>
  <c r="CI98" i="76"/>
  <c r="CM98" i="76"/>
  <c r="BG99" i="76"/>
  <c r="BL99" i="76" s="1"/>
  <c r="BM99" i="76"/>
  <c r="BN99" i="76"/>
  <c r="BO99" i="76"/>
  <c r="BQ99" i="76"/>
  <c r="BT99" i="76" s="1"/>
  <c r="BU99" i="76"/>
  <c r="BW99" i="76" s="1"/>
  <c r="BY99" i="76"/>
  <c r="CA99" i="76"/>
  <c r="CB99" i="76"/>
  <c r="CD99" i="76"/>
  <c r="CI99" i="76"/>
  <c r="CM99" i="76"/>
  <c r="CN99" i="76" s="1"/>
  <c r="BG100" i="76"/>
  <c r="BL100" i="76" s="1"/>
  <c r="BM100" i="76"/>
  <c r="BN100" i="76" s="1"/>
  <c r="BO100" i="76"/>
  <c r="BQ100" i="76"/>
  <c r="BT100" i="76" s="1"/>
  <c r="BU100" i="76"/>
  <c r="BW100" i="76" s="1"/>
  <c r="BY100" i="76"/>
  <c r="CA100" i="76" s="1"/>
  <c r="CB100" i="76"/>
  <c r="CC100" i="76" s="1"/>
  <c r="CD100" i="76"/>
  <c r="CI100" i="76"/>
  <c r="CM100" i="76"/>
  <c r="CN100" i="76"/>
  <c r="BG101" i="76"/>
  <c r="BL101" i="76" s="1"/>
  <c r="BM101" i="76"/>
  <c r="BN101" i="76"/>
  <c r="BO101" i="76"/>
  <c r="BP101" i="76" s="1"/>
  <c r="BQ101" i="76"/>
  <c r="BU101" i="76"/>
  <c r="BY101" i="76"/>
  <c r="CB101" i="76"/>
  <c r="CI101" i="76"/>
  <c r="CJ101" i="76" s="1"/>
  <c r="CM101" i="76"/>
  <c r="BG102" i="76"/>
  <c r="BL102" i="76" s="1"/>
  <c r="BM102" i="76"/>
  <c r="BN102" i="76" s="1"/>
  <c r="BO102" i="76"/>
  <c r="BP102" i="76" s="1"/>
  <c r="BQ102" i="76"/>
  <c r="BT102" i="76" s="1"/>
  <c r="BU102" i="76"/>
  <c r="BW102" i="76" s="1"/>
  <c r="BY102" i="76"/>
  <c r="CA102" i="76"/>
  <c r="CB102" i="76"/>
  <c r="CC102" i="76" s="1"/>
  <c r="CI102" i="76"/>
  <c r="CM102" i="76"/>
  <c r="CN102" i="76"/>
  <c r="BG103" i="76"/>
  <c r="BL103" i="76" s="1"/>
  <c r="BM103" i="76"/>
  <c r="BN103" i="76"/>
  <c r="BO103" i="76"/>
  <c r="BP103" i="76" s="1"/>
  <c r="BQ103" i="76"/>
  <c r="BT103" i="76" s="1"/>
  <c r="BU103" i="76"/>
  <c r="BY103" i="76"/>
  <c r="CA103" i="76" s="1"/>
  <c r="CB103" i="76"/>
  <c r="CI103" i="76"/>
  <c r="CM103" i="76"/>
  <c r="CN103" i="76" s="1"/>
  <c r="BG104" i="76"/>
  <c r="BM104" i="76"/>
  <c r="BO104" i="76"/>
  <c r="BQ104" i="76"/>
  <c r="BT104" i="76" s="1"/>
  <c r="BU104" i="76"/>
  <c r="BY104" i="76"/>
  <c r="CA104" i="76" s="1"/>
  <c r="CB104" i="76"/>
  <c r="CI104" i="76"/>
  <c r="CM104" i="76"/>
  <c r="CN104" i="76" s="1"/>
  <c r="BG105" i="76"/>
  <c r="BL105" i="76"/>
  <c r="BM105" i="76"/>
  <c r="BN105" i="76"/>
  <c r="BO105" i="76"/>
  <c r="BP105" i="76" s="1"/>
  <c r="BQ105" i="76"/>
  <c r="BT105" i="76" s="1"/>
  <c r="BU105" i="76"/>
  <c r="BY105" i="76"/>
  <c r="CA105" i="76"/>
  <c r="CB105" i="76"/>
  <c r="CC105" i="76" s="1"/>
  <c r="CI105" i="76"/>
  <c r="CM105" i="76"/>
  <c r="CN105" i="76" s="1"/>
  <c r="BG106" i="76"/>
  <c r="BL106" i="76" s="1"/>
  <c r="BM106" i="76"/>
  <c r="BN106" i="76" s="1"/>
  <c r="BO106" i="76"/>
  <c r="BP106" i="76"/>
  <c r="BQ106" i="76"/>
  <c r="BT106" i="76"/>
  <c r="BU106" i="76"/>
  <c r="BV106" i="76" s="1"/>
  <c r="BY106" i="76"/>
  <c r="CA106" i="76" s="1"/>
  <c r="CB106" i="76"/>
  <c r="CD106" i="76"/>
  <c r="CI106" i="76"/>
  <c r="CJ106" i="76" s="1"/>
  <c r="CM106" i="76"/>
  <c r="CN106" i="76"/>
  <c r="BG107" i="76"/>
  <c r="BL107" i="76" s="1"/>
  <c r="BM107" i="76"/>
  <c r="BN107" i="76" s="1"/>
  <c r="BO107" i="76"/>
  <c r="BP107" i="76"/>
  <c r="BQ107" i="76"/>
  <c r="BT107" i="76" s="1"/>
  <c r="BU107" i="76"/>
  <c r="BV107" i="76" s="1"/>
  <c r="BY107" i="76"/>
  <c r="CA107" i="76"/>
  <c r="CB107" i="76"/>
  <c r="CI107" i="76"/>
  <c r="CL107" i="76"/>
  <c r="CM107" i="76"/>
  <c r="CN107" i="76" s="1"/>
  <c r="BG108" i="76"/>
  <c r="BL108" i="76" s="1"/>
  <c r="BM108" i="76"/>
  <c r="BN108" i="76" s="1"/>
  <c r="BO108" i="76"/>
  <c r="BP108" i="76" s="1"/>
  <c r="BQ108" i="76"/>
  <c r="BT108" i="76"/>
  <c r="BU108" i="76"/>
  <c r="BW108" i="76" s="1"/>
  <c r="BY108" i="76"/>
  <c r="CA108" i="76"/>
  <c r="CB108" i="76"/>
  <c r="CD108" i="76"/>
  <c r="CI108" i="76"/>
  <c r="CM108" i="76"/>
  <c r="CN108" i="76"/>
  <c r="BG109" i="76"/>
  <c r="BL109" i="76" s="1"/>
  <c r="BM109" i="76"/>
  <c r="BN109" i="76"/>
  <c r="BO109" i="76"/>
  <c r="BP109" i="76"/>
  <c r="BQ109" i="76"/>
  <c r="BT109" i="76" s="1"/>
  <c r="BU109" i="76"/>
  <c r="BY109" i="76"/>
  <c r="CA109" i="76" s="1"/>
  <c r="CB109" i="76"/>
  <c r="CI109" i="76"/>
  <c r="CM109" i="76"/>
  <c r="CN109" i="76"/>
  <c r="BG110" i="76"/>
  <c r="BL110" i="76" s="1"/>
  <c r="BM110" i="76"/>
  <c r="BN110" i="76"/>
  <c r="BO110" i="76"/>
  <c r="BP110" i="76" s="1"/>
  <c r="BQ110" i="76"/>
  <c r="BT110" i="76"/>
  <c r="BU110" i="76"/>
  <c r="BY110" i="76"/>
  <c r="CA110" i="76" s="1"/>
  <c r="CB110" i="76"/>
  <c r="CD110" i="76"/>
  <c r="CI110" i="76"/>
  <c r="CM110" i="76"/>
  <c r="CN110" i="76" s="1"/>
  <c r="BG111" i="76"/>
  <c r="BL111" i="76" s="1"/>
  <c r="BM111" i="76"/>
  <c r="BN111" i="76" s="1"/>
  <c r="BO111" i="76"/>
  <c r="BP111" i="76"/>
  <c r="BQ111" i="76"/>
  <c r="BT111" i="76" s="1"/>
  <c r="BU111" i="76"/>
  <c r="BV111" i="76"/>
  <c r="BY111" i="76"/>
  <c r="CA111" i="76" s="1"/>
  <c r="CB111" i="76"/>
  <c r="CC111" i="76" s="1"/>
  <c r="CI111" i="76"/>
  <c r="CM111" i="76"/>
  <c r="CN111" i="76"/>
  <c r="CU111" i="76"/>
  <c r="BG112" i="76"/>
  <c r="BL112" i="76" s="1"/>
  <c r="BM112" i="76"/>
  <c r="BN112" i="76"/>
  <c r="BO112" i="76"/>
  <c r="BP112" i="76" s="1"/>
  <c r="BQ112" i="76"/>
  <c r="BT112" i="76"/>
  <c r="BU112" i="76"/>
  <c r="BW112" i="76" s="1"/>
  <c r="BY112" i="76"/>
  <c r="CA112" i="76" s="1"/>
  <c r="CB112" i="76"/>
  <c r="CC112" i="76" s="1"/>
  <c r="CD112" i="76"/>
  <c r="CI112" i="76"/>
  <c r="CJ112" i="76" s="1"/>
  <c r="CM112" i="76"/>
  <c r="CN112" i="76" s="1"/>
  <c r="CU112" i="76"/>
  <c r="BG113" i="76"/>
  <c r="BL113" i="76" s="1"/>
  <c r="BM113" i="76"/>
  <c r="BN113" i="76" s="1"/>
  <c r="BO113" i="76"/>
  <c r="BP113" i="76"/>
  <c r="BQ113" i="76"/>
  <c r="BT113" i="76" s="1"/>
  <c r="BU113" i="76"/>
  <c r="BW113" i="76" s="1"/>
  <c r="BY113" i="76"/>
  <c r="CA113" i="76"/>
  <c r="CB113" i="76"/>
  <c r="CD113" i="76" s="1"/>
  <c r="CI113" i="76"/>
  <c r="CM113" i="76"/>
  <c r="CN113" i="76" s="1"/>
  <c r="CU113" i="76"/>
  <c r="BG114" i="76"/>
  <c r="BL114" i="76" s="1"/>
  <c r="BM114" i="76"/>
  <c r="BN114" i="76" s="1"/>
  <c r="BO114" i="76"/>
  <c r="BP114" i="76"/>
  <c r="BQ114" i="76"/>
  <c r="BT114" i="76"/>
  <c r="BU114" i="76"/>
  <c r="BV114" i="76" s="1"/>
  <c r="BY114" i="76"/>
  <c r="CA114" i="76" s="1"/>
  <c r="CB114" i="76"/>
  <c r="CC114" i="76"/>
  <c r="CI114" i="76"/>
  <c r="CL114" i="76" s="1"/>
  <c r="CM114" i="76"/>
  <c r="CN114" i="76"/>
  <c r="CU114" i="76"/>
  <c r="BG115" i="76"/>
  <c r="BL115" i="76" s="1"/>
  <c r="BM115" i="76"/>
  <c r="BN115" i="76"/>
  <c r="BO115" i="76"/>
  <c r="BP115" i="76" s="1"/>
  <c r="BQ115" i="76"/>
  <c r="BT115" i="76"/>
  <c r="BU115" i="76"/>
  <c r="BY115" i="76"/>
  <c r="CA115" i="76" s="1"/>
  <c r="CB115" i="76"/>
  <c r="CI115" i="76"/>
  <c r="CK115" i="76"/>
  <c r="CM115" i="76"/>
  <c r="CN115" i="76" s="1"/>
  <c r="CU115" i="76"/>
  <c r="BG116" i="76"/>
  <c r="BL116" i="76"/>
  <c r="BM116" i="76"/>
  <c r="BN116" i="76" s="1"/>
  <c r="BO116" i="76"/>
  <c r="BP116" i="76" s="1"/>
  <c r="BQ116" i="76"/>
  <c r="BT116" i="76"/>
  <c r="BU116" i="76"/>
  <c r="BW116" i="76"/>
  <c r="BY116" i="76"/>
  <c r="CA116" i="76"/>
  <c r="CB116" i="76"/>
  <c r="CI116" i="76"/>
  <c r="CJ116" i="76"/>
  <c r="CM116" i="76"/>
  <c r="CN116" i="76" s="1"/>
  <c r="CU116" i="76"/>
  <c r="BG117" i="76"/>
  <c r="BL117" i="76" s="1"/>
  <c r="BM117" i="76"/>
  <c r="BN117" i="76" s="1"/>
  <c r="BO117" i="76"/>
  <c r="BP117" i="76" s="1"/>
  <c r="BQ117" i="76"/>
  <c r="BT117" i="76"/>
  <c r="BU117" i="76"/>
  <c r="BY117" i="76"/>
  <c r="CB117" i="76"/>
  <c r="CI117" i="76"/>
  <c r="CK117" i="76" s="1"/>
  <c r="CM117" i="76"/>
  <c r="CN117" i="76" s="1"/>
  <c r="CU117" i="76"/>
  <c r="BG118" i="76"/>
  <c r="BL118" i="76" s="1"/>
  <c r="BM118" i="76"/>
  <c r="BN118" i="76" s="1"/>
  <c r="BO118" i="76"/>
  <c r="BP118" i="76"/>
  <c r="BQ118" i="76"/>
  <c r="BT118" i="76" s="1"/>
  <c r="BU118" i="76"/>
  <c r="BW118" i="76" s="1"/>
  <c r="BY118" i="76"/>
  <c r="CB118" i="76"/>
  <c r="CD118" i="76"/>
  <c r="CI118" i="76"/>
  <c r="CL118" i="76" s="1"/>
  <c r="CM118" i="76"/>
  <c r="CN118" i="76" s="1"/>
  <c r="CU118" i="76"/>
  <c r="BG119" i="76"/>
  <c r="BL119" i="76" s="1"/>
  <c r="BM119" i="76"/>
  <c r="BN119" i="76"/>
  <c r="BO119" i="76"/>
  <c r="BP119" i="76" s="1"/>
  <c r="BQ119" i="76"/>
  <c r="BT119" i="76"/>
  <c r="BU119" i="76"/>
  <c r="BY119" i="76"/>
  <c r="CB119" i="76"/>
  <c r="CD119" i="76"/>
  <c r="CI119" i="76"/>
  <c r="CM119" i="76"/>
  <c r="CU119" i="76"/>
  <c r="BG120" i="76"/>
  <c r="BL120" i="76" s="1"/>
  <c r="BM120" i="76"/>
  <c r="BN120" i="76" s="1"/>
  <c r="BO120" i="76"/>
  <c r="BP120" i="76" s="1"/>
  <c r="BQ120" i="76"/>
  <c r="BT120" i="76" s="1"/>
  <c r="BU120" i="76"/>
  <c r="BW120" i="76" s="1"/>
  <c r="BY120" i="76"/>
  <c r="CB120" i="76"/>
  <c r="CC120" i="76" s="1"/>
  <c r="CD120" i="76"/>
  <c r="CI120" i="76"/>
  <c r="CK120" i="76" s="1"/>
  <c r="CM120" i="76"/>
  <c r="CU120" i="76"/>
  <c r="BG121" i="76"/>
  <c r="BL121" i="76"/>
  <c r="BM121" i="76"/>
  <c r="BO121" i="76"/>
  <c r="BP121" i="76"/>
  <c r="BQ121" i="76"/>
  <c r="BT121" i="76" s="1"/>
  <c r="BU121" i="76"/>
  <c r="BV121" i="76" s="1"/>
  <c r="BY121" i="76"/>
  <c r="CB121" i="76"/>
  <c r="CD121" i="76" s="1"/>
  <c r="CC121" i="76"/>
  <c r="CI121" i="76"/>
  <c r="CM121" i="76"/>
  <c r="CU121" i="76"/>
  <c r="BG122" i="76"/>
  <c r="BL122" i="76" s="1"/>
  <c r="BM122" i="76"/>
  <c r="BN122" i="76" s="1"/>
  <c r="BO122" i="76"/>
  <c r="BP122" i="76" s="1"/>
  <c r="BQ122" i="76"/>
  <c r="BT122" i="76" s="1"/>
  <c r="BU122" i="76"/>
  <c r="BY122" i="76"/>
  <c r="CB122" i="76"/>
  <c r="CI122" i="76"/>
  <c r="CJ122" i="76" s="1"/>
  <c r="CM122" i="76"/>
  <c r="CU122" i="76"/>
  <c r="BG123" i="76"/>
  <c r="BL123" i="76" s="1"/>
  <c r="BM123" i="76"/>
  <c r="BN123" i="76" s="1"/>
  <c r="BO123" i="76"/>
  <c r="BP123" i="76" s="1"/>
  <c r="BQ123" i="76"/>
  <c r="BT123" i="76" s="1"/>
  <c r="BU123" i="76"/>
  <c r="BW123" i="76" s="1"/>
  <c r="BY123" i="76"/>
  <c r="CB123" i="76"/>
  <c r="CI123" i="76"/>
  <c r="CJ123" i="76"/>
  <c r="CM123" i="76"/>
  <c r="CU123" i="76"/>
  <c r="BG124" i="76"/>
  <c r="BL124" i="76" s="1"/>
  <c r="BM124" i="76"/>
  <c r="BN124" i="76" s="1"/>
  <c r="BO124" i="76"/>
  <c r="BP124" i="76" s="1"/>
  <c r="BQ124" i="76"/>
  <c r="BT124" i="76" s="1"/>
  <c r="BU124" i="76"/>
  <c r="BY124" i="76"/>
  <c r="CB124" i="76"/>
  <c r="CI124" i="76"/>
  <c r="CJ124" i="76" s="1"/>
  <c r="CM124" i="76"/>
  <c r="CU124" i="76"/>
  <c r="BG125" i="76"/>
  <c r="BL125" i="76" s="1"/>
  <c r="BM125" i="76"/>
  <c r="BN125" i="76" s="1"/>
  <c r="BO125" i="76"/>
  <c r="BP125" i="76"/>
  <c r="BQ125" i="76"/>
  <c r="BT125" i="76" s="1"/>
  <c r="BU125" i="76"/>
  <c r="BV125" i="76"/>
  <c r="BW125" i="76"/>
  <c r="BY125" i="76"/>
  <c r="BZ125" i="76" s="1"/>
  <c r="CB125" i="76"/>
  <c r="CI125" i="76"/>
  <c r="CJ125" i="76" s="1"/>
  <c r="CM125" i="76"/>
  <c r="CU125" i="76"/>
  <c r="BG126" i="76"/>
  <c r="BL126" i="76"/>
  <c r="BM126" i="76"/>
  <c r="BN126" i="76"/>
  <c r="BO126" i="76"/>
  <c r="BP126" i="76" s="1"/>
  <c r="BQ126" i="76"/>
  <c r="BT126" i="76"/>
  <c r="BU126" i="76"/>
  <c r="BW126" i="76" s="1"/>
  <c r="BY126" i="76"/>
  <c r="BZ126" i="76" s="1"/>
  <c r="CB126" i="76"/>
  <c r="CC126" i="76" s="1"/>
  <c r="CI126" i="76"/>
  <c r="CJ126" i="76" s="1"/>
  <c r="CM126" i="76"/>
  <c r="CU126" i="76"/>
  <c r="BG127" i="76"/>
  <c r="BL127" i="76" s="1"/>
  <c r="BM127" i="76"/>
  <c r="BN127" i="76" s="1"/>
  <c r="BQ127" i="76"/>
  <c r="BT127" i="76" s="1"/>
  <c r="BU127" i="76"/>
  <c r="BV127" i="76"/>
  <c r="BY127" i="76"/>
  <c r="BZ127" i="76" s="1"/>
  <c r="CB127" i="76"/>
  <c r="CC127" i="76" s="1"/>
  <c r="CI127" i="76"/>
  <c r="CJ127" i="76"/>
  <c r="CM127" i="76"/>
  <c r="CU127" i="76"/>
  <c r="BG128" i="76"/>
  <c r="BL128" i="76" s="1"/>
  <c r="BM128" i="76"/>
  <c r="BN128" i="76" s="1"/>
  <c r="BQ128" i="76"/>
  <c r="BT128" i="76" s="1"/>
  <c r="BU128" i="76"/>
  <c r="BY128" i="76"/>
  <c r="BZ128" i="76" s="1"/>
  <c r="CB128" i="76"/>
  <c r="CI128" i="76"/>
  <c r="CJ128" i="76"/>
  <c r="CM128" i="76"/>
  <c r="CU128" i="76"/>
  <c r="BG129" i="76"/>
  <c r="BL129" i="76" s="1"/>
  <c r="BM129" i="76"/>
  <c r="BN129" i="76" s="1"/>
  <c r="BQ129" i="76"/>
  <c r="BT129" i="76" s="1"/>
  <c r="BU129" i="76"/>
  <c r="BW129" i="76"/>
  <c r="BY129" i="76"/>
  <c r="BZ129" i="76" s="1"/>
  <c r="CB129" i="76"/>
  <c r="CD129" i="76" s="1"/>
  <c r="CM129" i="76"/>
  <c r="CU129" i="76"/>
  <c r="BG130" i="76"/>
  <c r="BL130" i="76" s="1"/>
  <c r="BM130" i="76"/>
  <c r="BN130" i="76" s="1"/>
  <c r="BQ130" i="76"/>
  <c r="BT130" i="76" s="1"/>
  <c r="BU130" i="76"/>
  <c r="BY130" i="76"/>
  <c r="BZ130" i="76" s="1"/>
  <c r="CB130" i="76"/>
  <c r="CC130" i="76" s="1"/>
  <c r="CM130" i="76"/>
  <c r="CU130" i="76"/>
  <c r="BG131" i="76"/>
  <c r="BL131" i="76" s="1"/>
  <c r="BM131" i="76"/>
  <c r="BN131" i="76" s="1"/>
  <c r="BQ131" i="76"/>
  <c r="BT131" i="76" s="1"/>
  <c r="BU131" i="76"/>
  <c r="BY131" i="76"/>
  <c r="BZ131" i="76" s="1"/>
  <c r="CB131" i="76"/>
  <c r="CC131" i="76" s="1"/>
  <c r="CM131" i="76"/>
  <c r="CU131" i="76"/>
  <c r="BG132" i="76"/>
  <c r="BL132" i="76" s="1"/>
  <c r="BM132" i="76"/>
  <c r="BN132" i="76" s="1"/>
  <c r="BQ132" i="76"/>
  <c r="BT132" i="76"/>
  <c r="BU132" i="76"/>
  <c r="BY132" i="76"/>
  <c r="BZ132" i="76" s="1"/>
  <c r="CB132" i="76"/>
  <c r="CM132" i="76"/>
  <c r="CU132" i="76"/>
  <c r="BG133" i="76"/>
  <c r="BL133" i="76"/>
  <c r="BM133" i="76"/>
  <c r="BN133" i="76" s="1"/>
  <c r="BQ133" i="76"/>
  <c r="BT133" i="76" s="1"/>
  <c r="BU133" i="76"/>
  <c r="BY133" i="76"/>
  <c r="BZ133" i="76" s="1"/>
  <c r="CB133" i="76"/>
  <c r="CM133" i="76"/>
  <c r="CU133" i="76"/>
  <c r="BG134" i="76"/>
  <c r="BL134" i="76" s="1"/>
  <c r="BM134" i="76"/>
  <c r="BN134" i="76" s="1"/>
  <c r="BQ134" i="76"/>
  <c r="BT134" i="76"/>
  <c r="BU134" i="76"/>
  <c r="BX134" i="76" s="1"/>
  <c r="BY134" i="76"/>
  <c r="BZ134" i="76"/>
  <c r="CB134" i="76"/>
  <c r="CM134" i="76"/>
  <c r="CU134" i="76"/>
  <c r="BG135" i="76"/>
  <c r="BL135" i="76" s="1"/>
  <c r="BM135" i="76"/>
  <c r="BN135" i="76" s="1"/>
  <c r="BQ135" i="76"/>
  <c r="BT135" i="76"/>
  <c r="BU135" i="76"/>
  <c r="BX135" i="76" s="1"/>
  <c r="BY135" i="76"/>
  <c r="BZ135" i="76" s="1"/>
  <c r="CB135" i="76"/>
  <c r="CC135" i="76"/>
  <c r="CM135" i="76"/>
  <c r="CU135" i="76"/>
  <c r="BG136" i="76"/>
  <c r="BL136" i="76"/>
  <c r="BM136" i="76"/>
  <c r="BN136" i="76" s="1"/>
  <c r="BQ136" i="76"/>
  <c r="BT136" i="76"/>
  <c r="BU136" i="76"/>
  <c r="BX136" i="76" s="1"/>
  <c r="BY136" i="76"/>
  <c r="BZ136" i="76"/>
  <c r="CB136" i="76"/>
  <c r="CC136" i="76" s="1"/>
  <c r="CM136" i="76"/>
  <c r="CU136" i="76"/>
  <c r="BG137" i="76"/>
  <c r="BL137" i="76"/>
  <c r="BM137" i="76"/>
  <c r="BN137" i="76" s="1"/>
  <c r="BQ137" i="76"/>
  <c r="BT137" i="76" s="1"/>
  <c r="BU137" i="76"/>
  <c r="BX137" i="76" s="1"/>
  <c r="BY137" i="76"/>
  <c r="BZ137" i="76" s="1"/>
  <c r="CB137" i="76"/>
  <c r="CC137" i="76" s="1"/>
  <c r="CM137" i="76"/>
  <c r="CU137" i="76"/>
  <c r="BG138" i="76"/>
  <c r="BL138" i="76" s="1"/>
  <c r="BM138" i="76"/>
  <c r="BN138" i="76" s="1"/>
  <c r="BQ138" i="76"/>
  <c r="BT138" i="76" s="1"/>
  <c r="BU138" i="76"/>
  <c r="BX138" i="76"/>
  <c r="BY138" i="76"/>
  <c r="BZ138" i="76" s="1"/>
  <c r="CB138" i="76"/>
  <c r="CC138" i="76" s="1"/>
  <c r="CM138" i="76"/>
  <c r="CU138" i="76"/>
  <c r="BG139" i="76"/>
  <c r="BL139" i="76"/>
  <c r="BM139" i="76"/>
  <c r="BN139" i="76" s="1"/>
  <c r="BQ139" i="76"/>
  <c r="BT139" i="76" s="1"/>
  <c r="BU139" i="76"/>
  <c r="BX139" i="76" s="1"/>
  <c r="BY139" i="76"/>
  <c r="BZ139" i="76"/>
  <c r="CB139" i="76"/>
  <c r="CC139" i="76"/>
  <c r="CM139" i="76"/>
  <c r="CU139" i="76"/>
  <c r="BG140" i="76"/>
  <c r="BL140" i="76" s="1"/>
  <c r="BM140" i="76"/>
  <c r="BN140" i="76" s="1"/>
  <c r="BQ140" i="76"/>
  <c r="BT140" i="76" s="1"/>
  <c r="BU140" i="76"/>
  <c r="BY140" i="76"/>
  <c r="BZ140" i="76"/>
  <c r="CB140" i="76"/>
  <c r="CC140" i="76" s="1"/>
  <c r="CM140" i="76"/>
  <c r="CU140" i="76"/>
  <c r="BG141" i="76"/>
  <c r="BL141" i="76" s="1"/>
  <c r="BM141" i="76"/>
  <c r="BN141" i="76" s="1"/>
  <c r="BQ141" i="76"/>
  <c r="BT141" i="76" s="1"/>
  <c r="BU141" i="76"/>
  <c r="BX141" i="76" s="1"/>
  <c r="BY141" i="76"/>
  <c r="BZ141" i="76" s="1"/>
  <c r="CB141" i="76"/>
  <c r="CC141" i="76" s="1"/>
  <c r="CM141" i="76"/>
  <c r="CU141" i="76"/>
  <c r="BG142" i="76"/>
  <c r="BL142" i="76" s="1"/>
  <c r="BM142" i="76"/>
  <c r="BN142" i="76" s="1"/>
  <c r="BQ142" i="76"/>
  <c r="BT142" i="76" s="1"/>
  <c r="BU142" i="76"/>
  <c r="BX142" i="76"/>
  <c r="BY142" i="76"/>
  <c r="BZ142" i="76" s="1"/>
  <c r="CB142" i="76"/>
  <c r="CC142" i="76"/>
  <c r="CM142" i="76"/>
  <c r="CU142" i="76"/>
  <c r="BG143" i="76"/>
  <c r="BL143" i="76"/>
  <c r="BM143" i="76"/>
  <c r="BN143" i="76" s="1"/>
  <c r="BQ143" i="76"/>
  <c r="BT143" i="76" s="1"/>
  <c r="BU143" i="76"/>
  <c r="BX143" i="76"/>
  <c r="BY143" i="76"/>
  <c r="BZ143" i="76" s="1"/>
  <c r="CB143" i="76"/>
  <c r="CC143" i="76" s="1"/>
  <c r="CM143" i="76"/>
  <c r="CU143" i="76"/>
  <c r="BG144" i="76"/>
  <c r="BL144" i="76"/>
  <c r="BM144" i="76"/>
  <c r="BN144" i="76"/>
  <c r="BQ144" i="76"/>
  <c r="BT144" i="76" s="1"/>
  <c r="BU144" i="76"/>
  <c r="BX144" i="76" s="1"/>
  <c r="BY144" i="76"/>
  <c r="BZ144" i="76" s="1"/>
  <c r="CB144" i="76"/>
  <c r="CC144" i="76" s="1"/>
  <c r="CM144" i="76"/>
  <c r="CU144" i="76"/>
  <c r="BG145" i="76"/>
  <c r="BL145" i="76"/>
  <c r="BM145" i="76"/>
  <c r="BN145" i="76" s="1"/>
  <c r="BQ145" i="76"/>
  <c r="BT145" i="76" s="1"/>
  <c r="BU145" i="76"/>
  <c r="BX145" i="76"/>
  <c r="BY145" i="76"/>
  <c r="BZ145" i="76"/>
  <c r="CB145" i="76"/>
  <c r="CC145" i="76"/>
  <c r="CU145" i="76"/>
  <c r="BG146" i="76"/>
  <c r="BL146" i="76"/>
  <c r="BM146" i="76"/>
  <c r="BN146" i="76" s="1"/>
  <c r="BQ146" i="76"/>
  <c r="BT146" i="76"/>
  <c r="BU146" i="76"/>
  <c r="BX146" i="76"/>
  <c r="BY146" i="76"/>
  <c r="BZ146" i="76" s="1"/>
  <c r="CB146" i="76"/>
  <c r="CU146" i="76"/>
  <c r="BG147" i="76"/>
  <c r="BL147" i="76"/>
  <c r="BM147" i="76"/>
  <c r="BN147" i="76"/>
  <c r="BQ147" i="76"/>
  <c r="BT147" i="76" s="1"/>
  <c r="BU147" i="76"/>
  <c r="BX147" i="76" s="1"/>
  <c r="BY147" i="76"/>
  <c r="BZ147" i="76" s="1"/>
  <c r="CB147" i="76"/>
  <c r="CU147" i="76"/>
  <c r="BG148" i="76"/>
  <c r="BL148" i="76" s="1"/>
  <c r="BM148" i="76"/>
  <c r="BN148" i="76" s="1"/>
  <c r="BQ148" i="76"/>
  <c r="BT148" i="76"/>
  <c r="BU148" i="76"/>
  <c r="BX148" i="76"/>
  <c r="CB148" i="76"/>
  <c r="BG149" i="76"/>
  <c r="BL149" i="76" s="1"/>
  <c r="BM149" i="76"/>
  <c r="BN149" i="76"/>
  <c r="BQ149" i="76"/>
  <c r="BT149" i="76" s="1"/>
  <c r="BU149" i="76"/>
  <c r="BX149" i="76" s="1"/>
  <c r="CB149" i="76"/>
  <c r="BG150" i="76"/>
  <c r="BL150" i="76" s="1"/>
  <c r="BM150" i="76"/>
  <c r="BN150" i="76"/>
  <c r="BQ150" i="76"/>
  <c r="BT150" i="76" s="1"/>
  <c r="BU150" i="76"/>
  <c r="BX150" i="76" s="1"/>
  <c r="CB150" i="76"/>
  <c r="BG151" i="76"/>
  <c r="BL151" i="76" s="1"/>
  <c r="BM151" i="76"/>
  <c r="BN151" i="76" s="1"/>
  <c r="BQ151" i="76"/>
  <c r="BT151" i="76"/>
  <c r="BU151" i="76"/>
  <c r="BX151" i="76" s="1"/>
  <c r="CB151" i="76"/>
  <c r="BG152" i="76"/>
  <c r="BL152" i="76"/>
  <c r="BM152" i="76"/>
  <c r="BN152" i="76" s="1"/>
  <c r="BQ152" i="76"/>
  <c r="BT152" i="76" s="1"/>
  <c r="BU152" i="76"/>
  <c r="BX152" i="76"/>
  <c r="CB152" i="76"/>
  <c r="BG153" i="76"/>
  <c r="BL153" i="76" s="1"/>
  <c r="BM153" i="76"/>
  <c r="BN153" i="76" s="1"/>
  <c r="BQ153" i="76"/>
  <c r="BT153" i="76" s="1"/>
  <c r="BU153" i="76"/>
  <c r="BX153" i="76" s="1"/>
  <c r="BG154" i="76"/>
  <c r="BL154" i="76"/>
  <c r="BM154" i="76"/>
  <c r="BN154" i="76" s="1"/>
  <c r="BQ154" i="76"/>
  <c r="BT154" i="76"/>
  <c r="BU154" i="76"/>
  <c r="BX154" i="76" s="1"/>
  <c r="BG155" i="76"/>
  <c r="BL155" i="76" s="1"/>
  <c r="BM155" i="76"/>
  <c r="BN155" i="76"/>
  <c r="BQ155" i="76"/>
  <c r="BT155" i="76"/>
  <c r="BU155" i="76"/>
  <c r="BX155" i="76" s="1"/>
  <c r="BG156" i="76"/>
  <c r="BL156" i="76" s="1"/>
  <c r="BM156" i="76"/>
  <c r="BN156" i="76" s="1"/>
  <c r="BQ156" i="76"/>
  <c r="BT156" i="76"/>
  <c r="BU156" i="76"/>
  <c r="BX156" i="76" s="1"/>
  <c r="BG157" i="76"/>
  <c r="BL157" i="76" s="1"/>
  <c r="BM157" i="76"/>
  <c r="BN157" i="76" s="1"/>
  <c r="BQ157" i="76"/>
  <c r="BT157" i="76"/>
  <c r="BU157" i="76"/>
  <c r="BX157" i="76" s="1"/>
  <c r="BG158" i="76"/>
  <c r="BL158" i="76"/>
  <c r="BM158" i="76"/>
  <c r="BN158" i="76" s="1"/>
  <c r="BU158" i="76"/>
  <c r="BX158" i="76" s="1"/>
  <c r="CS158" i="76"/>
  <c r="BG159" i="76"/>
  <c r="BL159" i="76"/>
  <c r="BM159" i="76"/>
  <c r="BN159" i="76" s="1"/>
  <c r="BU159" i="76"/>
  <c r="BX159" i="76" s="1"/>
  <c r="CS159" i="76"/>
  <c r="BU160" i="76"/>
  <c r="BX160" i="76" s="1"/>
  <c r="CS160" i="76"/>
  <c r="BU161" i="76"/>
  <c r="BX161" i="76" s="1"/>
  <c r="CS161" i="76"/>
  <c r="BU162" i="76"/>
  <c r="BX162" i="76" s="1"/>
  <c r="CS162" i="76"/>
  <c r="BU163" i="76"/>
  <c r="BX163" i="76"/>
  <c r="CS163" i="76"/>
  <c r="BU164" i="76"/>
  <c r="BX164" i="76"/>
  <c r="CS164" i="76"/>
  <c r="BU165" i="76"/>
  <c r="BX165" i="76"/>
  <c r="CS165" i="76"/>
  <c r="BU166" i="76"/>
  <c r="CS166" i="76"/>
  <c r="BU167" i="76"/>
  <c r="CS167" i="76"/>
  <c r="BU168" i="76"/>
  <c r="CS168" i="76"/>
  <c r="C196" i="76"/>
  <c r="H23" i="75" s="1"/>
  <c r="E196" i="76" a="1"/>
  <c r="E196" i="76"/>
  <c r="H25" i="75" s="1"/>
  <c r="G196" i="76"/>
  <c r="H24" i="75" s="1"/>
  <c r="I196" i="76"/>
  <c r="H21" i="127"/>
  <c r="K196" i="76"/>
  <c r="H22" i="75"/>
  <c r="M196" i="76" a="1"/>
  <c r="M196" i="76"/>
  <c r="O196" i="76"/>
  <c r="Q196" i="76"/>
  <c r="H43" i="75"/>
  <c r="S196" i="76"/>
  <c r="H42" i="75" s="1"/>
  <c r="U196" i="76"/>
  <c r="H35" i="127" s="1"/>
  <c r="W196" i="76"/>
  <c r="H36" i="127" s="1"/>
  <c r="Y196" i="76"/>
  <c r="AA196" i="76"/>
  <c r="AC196" i="76"/>
  <c r="H60" i="75"/>
  <c r="AE196" i="76"/>
  <c r="AG196" i="76"/>
  <c r="AI196" i="76"/>
  <c r="AK196" i="76"/>
  <c r="H59" i="75" s="1"/>
  <c r="AM196" i="76"/>
  <c r="H78" i="75"/>
  <c r="AO196" i="76"/>
  <c r="AQ196" i="76"/>
  <c r="H70" i="127" s="1"/>
  <c r="H77" i="75"/>
  <c r="AS196" i="76"/>
  <c r="H76" i="75" s="1"/>
  <c r="AU196" i="76"/>
  <c r="AW196" i="76"/>
  <c r="AY196" i="76"/>
  <c r="H94" i="75" s="1"/>
  <c r="BA196" i="76" a="1"/>
  <c r="BA196" i="76" s="1"/>
  <c r="H95" i="75" s="1"/>
  <c r="BC196" i="76" a="1"/>
  <c r="BC196" i="76" s="1"/>
  <c r="BE196" i="76"/>
  <c r="H94" i="127"/>
  <c r="C197" i="76" a="1"/>
  <c r="C197" i="76"/>
  <c r="E197" i="76" a="1"/>
  <c r="E197" i="76" s="1"/>
  <c r="G197" i="76" a="1"/>
  <c r="G197" i="76" s="1"/>
  <c r="I197" i="76" a="1"/>
  <c r="I197" i="76"/>
  <c r="K197" i="76" a="1"/>
  <c r="K197" i="76"/>
  <c r="M197" i="76" a="1"/>
  <c r="M197" i="76"/>
  <c r="O197" i="76" a="1"/>
  <c r="O197" i="76" s="1"/>
  <c r="Q197" i="76" a="1"/>
  <c r="Q197" i="76"/>
  <c r="S197" i="76" a="1"/>
  <c r="S197" i="76"/>
  <c r="U197" i="76" a="1"/>
  <c r="U197" i="76" s="1"/>
  <c r="W197" i="76" a="1"/>
  <c r="W197" i="76" s="1"/>
  <c r="Y197" i="76" a="1"/>
  <c r="Y197" i="76"/>
  <c r="AA197" i="76" a="1"/>
  <c r="AA197" i="76"/>
  <c r="AC197" i="76" a="1"/>
  <c r="AC197" i="76" s="1"/>
  <c r="AE197" i="76" a="1"/>
  <c r="AE197" i="76" s="1"/>
  <c r="AG197" i="76" a="1"/>
  <c r="AG197" i="76"/>
  <c r="AI197" i="76" a="1"/>
  <c r="AI197" i="76"/>
  <c r="AK197" i="76" a="1"/>
  <c r="AK197" i="76"/>
  <c r="AM197" i="76" a="1"/>
  <c r="AM197" i="76" s="1"/>
  <c r="AO197" i="76" a="1"/>
  <c r="AO197" i="76"/>
  <c r="AQ197" i="76" a="1"/>
  <c r="AQ197" i="76"/>
  <c r="AS197" i="76" a="1"/>
  <c r="AS197" i="76" s="1"/>
  <c r="AU197" i="76" a="1"/>
  <c r="AU197" i="76" s="1"/>
  <c r="AW197" i="76" a="1"/>
  <c r="AW197" i="76"/>
  <c r="AY197" i="76" a="1"/>
  <c r="AY197" i="76"/>
  <c r="BA197" i="76" a="1"/>
  <c r="BA197" i="76"/>
  <c r="BC197" i="76" a="1"/>
  <c r="BC197" i="76" s="1"/>
  <c r="BE197" i="76" a="1"/>
  <c r="BE197" i="76"/>
  <c r="AM198" i="76" a="1"/>
  <c r="AM198" i="76"/>
  <c r="AM199" i="76"/>
  <c r="E78" i="75" s="1"/>
  <c r="BC198" i="76" a="1"/>
  <c r="BC198" i="76" s="1"/>
  <c r="BE198" i="76" a="1"/>
  <c r="BE198" i="76"/>
  <c r="C3" i="75"/>
  <c r="D34" i="75" s="1"/>
  <c r="E7" i="75"/>
  <c r="B13" i="75"/>
  <c r="H13" i="75"/>
  <c r="B14" i="75"/>
  <c r="H14" i="75"/>
  <c r="B15" i="75"/>
  <c r="L15" i="75"/>
  <c r="H15" i="75"/>
  <c r="H16" i="75"/>
  <c r="L16" i="75"/>
  <c r="H17" i="75"/>
  <c r="L17" i="75"/>
  <c r="H18" i="75"/>
  <c r="L18" i="75"/>
  <c r="D19" i="75"/>
  <c r="L19" i="75"/>
  <c r="D20" i="75"/>
  <c r="L20" i="75"/>
  <c r="D21" i="75"/>
  <c r="M21" i="75"/>
  <c r="L21" i="75"/>
  <c r="D22" i="75"/>
  <c r="M22" i="75"/>
  <c r="L22" i="75"/>
  <c r="B23" i="75"/>
  <c r="B24" i="75"/>
  <c r="B25" i="75"/>
  <c r="D25" i="75" s="1"/>
  <c r="M25" i="75"/>
  <c r="H30" i="75"/>
  <c r="H33" i="75"/>
  <c r="L33" i="75"/>
  <c r="H34" i="75"/>
  <c r="L34" i="75"/>
  <c r="H35" i="75"/>
  <c r="L35" i="75"/>
  <c r="H36" i="75"/>
  <c r="L36" i="75"/>
  <c r="E37" i="75"/>
  <c r="F37" i="75"/>
  <c r="H37" i="75"/>
  <c r="L37" i="75"/>
  <c r="H38" i="75"/>
  <c r="L38" i="75"/>
  <c r="D39" i="75"/>
  <c r="M39" i="75" s="1"/>
  <c r="L39" i="75"/>
  <c r="D40" i="75"/>
  <c r="M40" i="75" s="1"/>
  <c r="L40" i="75"/>
  <c r="D41" i="75"/>
  <c r="M41" i="75" s="1"/>
  <c r="L41" i="75"/>
  <c r="D42" i="75"/>
  <c r="M42" i="75" s="1"/>
  <c r="L42" i="75"/>
  <c r="D43" i="75"/>
  <c r="M43" i="75"/>
  <c r="L43" i="75"/>
  <c r="H48" i="75"/>
  <c r="H51" i="75"/>
  <c r="L51" i="75"/>
  <c r="H52" i="75"/>
  <c r="L52" i="75"/>
  <c r="H53" i="75"/>
  <c r="L53" i="75"/>
  <c r="H54" i="75"/>
  <c r="L54" i="75"/>
  <c r="H55" i="75"/>
  <c r="L55" i="75"/>
  <c r="H56" i="75"/>
  <c r="L56" i="75"/>
  <c r="D57" i="75"/>
  <c r="M57" i="75"/>
  <c r="L57" i="75"/>
  <c r="L58" i="75"/>
  <c r="D59" i="75"/>
  <c r="M59" i="75" s="1"/>
  <c r="L59" i="75"/>
  <c r="D60" i="75"/>
  <c r="M60" i="75" s="1"/>
  <c r="L60" i="75"/>
  <c r="H64" i="75"/>
  <c r="H69" i="75"/>
  <c r="L69" i="75"/>
  <c r="H70" i="75"/>
  <c r="L70" i="75"/>
  <c r="H71" i="75"/>
  <c r="L71" i="75"/>
  <c r="B72" i="75"/>
  <c r="L72" i="75" s="1"/>
  <c r="H72" i="75"/>
  <c r="H73" i="75"/>
  <c r="L73" i="75"/>
  <c r="H74" i="75"/>
  <c r="L74" i="75"/>
  <c r="B75" i="75"/>
  <c r="L75" i="75"/>
  <c r="D76" i="75"/>
  <c r="M76" i="75" s="1"/>
  <c r="L76" i="75"/>
  <c r="B77" i="75"/>
  <c r="L77" i="75" s="1"/>
  <c r="D77" i="75"/>
  <c r="M77" i="75" s="1"/>
  <c r="B78" i="75"/>
  <c r="D78" i="75"/>
  <c r="M78" i="75"/>
  <c r="H82" i="75"/>
  <c r="B86" i="75"/>
  <c r="L86" i="75"/>
  <c r="H86" i="75"/>
  <c r="H87" i="75"/>
  <c r="L87" i="75"/>
  <c r="H88" i="75"/>
  <c r="L88" i="75"/>
  <c r="H89" i="75"/>
  <c r="L89" i="75"/>
  <c r="H90" i="75"/>
  <c r="L90" i="75"/>
  <c r="B91" i="75"/>
  <c r="H91" i="75"/>
  <c r="D92" i="75"/>
  <c r="M92" i="75" s="1"/>
  <c r="L92" i="75"/>
  <c r="D93" i="75"/>
  <c r="M93" i="75"/>
  <c r="L93" i="75"/>
  <c r="B94" i="75"/>
  <c r="B95" i="75"/>
  <c r="L95" i="75"/>
  <c r="H100" i="75"/>
  <c r="H103" i="75"/>
  <c r="L103" i="75"/>
  <c r="D104" i="75"/>
  <c r="L104" i="75"/>
  <c r="H106" i="75"/>
  <c r="C3" i="127"/>
  <c r="D17" i="127" s="1"/>
  <c r="E7" i="127"/>
  <c r="B13" i="127"/>
  <c r="L13" i="127"/>
  <c r="H13" i="127"/>
  <c r="B14" i="127"/>
  <c r="L14" i="127"/>
  <c r="H14" i="127"/>
  <c r="B15" i="127"/>
  <c r="H15" i="127"/>
  <c r="B16" i="127"/>
  <c r="L16" i="127"/>
  <c r="H16" i="127"/>
  <c r="B17" i="127"/>
  <c r="L17" i="127"/>
  <c r="H17" i="127"/>
  <c r="H18" i="127"/>
  <c r="L18" i="127"/>
  <c r="B19" i="127"/>
  <c r="L19" i="127"/>
  <c r="B20" i="127"/>
  <c r="D20" i="127" s="1"/>
  <c r="L20" i="127"/>
  <c r="B21" i="127"/>
  <c r="L21" i="127" s="1"/>
  <c r="H26" i="127"/>
  <c r="B29" i="127"/>
  <c r="H29" i="127"/>
  <c r="B30" i="127"/>
  <c r="L30" i="127" s="1"/>
  <c r="H30" i="127"/>
  <c r="H31" i="127"/>
  <c r="L31" i="127"/>
  <c r="B32" i="127"/>
  <c r="L32" i="127"/>
  <c r="H32" i="127"/>
  <c r="F33" i="127"/>
  <c r="H33" i="127"/>
  <c r="L33" i="127"/>
  <c r="B34" i="127"/>
  <c r="L34" i="127" s="1"/>
  <c r="H34" i="127"/>
  <c r="B35" i="127"/>
  <c r="D35" i="127" s="1"/>
  <c r="M35" i="127"/>
  <c r="B36" i="127"/>
  <c r="L36" i="127" s="1"/>
  <c r="B37" i="127"/>
  <c r="L37" i="127" s="1"/>
  <c r="H42" i="127"/>
  <c r="H45" i="127"/>
  <c r="L45" i="127"/>
  <c r="H46" i="127"/>
  <c r="L46" i="127"/>
  <c r="H47" i="127"/>
  <c r="L47" i="127"/>
  <c r="B48" i="127"/>
  <c r="H48" i="127"/>
  <c r="H49" i="127"/>
  <c r="L49" i="127"/>
  <c r="H50" i="127"/>
  <c r="L50" i="127"/>
  <c r="D51" i="127"/>
  <c r="M51" i="127" s="1"/>
  <c r="L51" i="127"/>
  <c r="B52" i="127"/>
  <c r="D53" i="127"/>
  <c r="M53" i="127"/>
  <c r="L53" i="127"/>
  <c r="H57" i="127"/>
  <c r="B62" i="127"/>
  <c r="L62" i="127" s="1"/>
  <c r="H62" i="127"/>
  <c r="H63" i="127"/>
  <c r="L63" i="127"/>
  <c r="H64" i="127"/>
  <c r="L64" i="127"/>
  <c r="B65" i="127"/>
  <c r="L65" i="127" s="1"/>
  <c r="H65" i="127"/>
  <c r="H66" i="127"/>
  <c r="L66" i="127"/>
  <c r="H67" i="127"/>
  <c r="L67" i="127"/>
  <c r="B68" i="127"/>
  <c r="D68" i="127" s="1"/>
  <c r="M68" i="127" s="1"/>
  <c r="B69" i="127"/>
  <c r="D69" i="127"/>
  <c r="M69" i="127" s="1"/>
  <c r="B70" i="127"/>
  <c r="L70" i="127"/>
  <c r="H74" i="127"/>
  <c r="B78" i="127"/>
  <c r="L78" i="127"/>
  <c r="H78" i="127"/>
  <c r="B79" i="127"/>
  <c r="L79" i="127" s="1"/>
  <c r="H79" i="127"/>
  <c r="H80" i="127"/>
  <c r="L80" i="127"/>
  <c r="H81" i="127"/>
  <c r="L81" i="127"/>
  <c r="B82" i="127"/>
  <c r="L82" i="127" s="1"/>
  <c r="H82" i="127"/>
  <c r="B83" i="127"/>
  <c r="L83" i="127" s="1"/>
  <c r="H83" i="127"/>
  <c r="B84" i="127"/>
  <c r="D85" i="127"/>
  <c r="M85" i="127"/>
  <c r="L85" i="127"/>
  <c r="H90" i="127"/>
  <c r="H93" i="127"/>
  <c r="L93" i="127"/>
  <c r="D94" i="127"/>
  <c r="L94" i="127"/>
  <c r="H96" i="127"/>
  <c r="A2" i="79"/>
  <c r="B10" i="79"/>
  <c r="D14" i="79" s="1"/>
  <c r="B44" i="79"/>
  <c r="D47" i="79" s="1"/>
  <c r="B79" i="79"/>
  <c r="D82" i="79" s="1"/>
  <c r="D86" i="79" s="1"/>
  <c r="D87" i="79" s="1"/>
  <c r="K90" i="79"/>
  <c r="K95" i="79"/>
  <c r="J95" i="79" s="1"/>
  <c r="K96" i="79"/>
  <c r="K91" i="79"/>
  <c r="K92" i="79"/>
  <c r="I93" i="79"/>
  <c r="K93" i="79"/>
  <c r="C237" i="79"/>
  <c r="C365" i="112"/>
  <c r="B366" i="112"/>
  <c r="C366" i="112"/>
  <c r="B367" i="112"/>
  <c r="C367" i="112"/>
  <c r="E401" i="91" a="1"/>
  <c r="E401" i="91"/>
  <c r="E402" i="91" a="1"/>
  <c r="E402" i="91" s="1"/>
  <c r="E403" i="91" a="1"/>
  <c r="E403" i="91"/>
  <c r="I387" i="83"/>
  <c r="I388" i="83"/>
  <c r="I389" i="83"/>
  <c r="G392" i="83"/>
  <c r="D407" i="83" a="1"/>
  <c r="D407" i="83"/>
  <c r="D410" i="83" a="1"/>
  <c r="D410" i="83"/>
  <c r="E378" i="116" a="1"/>
  <c r="E378" i="116"/>
  <c r="G406" i="128"/>
  <c r="G407" i="128"/>
  <c r="G408" i="128"/>
  <c r="G409" i="128"/>
  <c r="G410" i="128"/>
  <c r="G411" i="128"/>
  <c r="G412" i="128"/>
  <c r="G413" i="128"/>
  <c r="G414" i="128"/>
  <c r="E415" i="137"/>
  <c r="E418" i="137"/>
  <c r="E419" i="137"/>
  <c r="E420" i="137"/>
  <c r="E421" i="137"/>
  <c r="E422" i="137"/>
  <c r="E423" i="137"/>
  <c r="E424" i="137"/>
  <c r="E425" i="137"/>
  <c r="E426" i="137"/>
  <c r="E428" i="137"/>
  <c r="B401" i="132"/>
  <c r="E401" i="132"/>
  <c r="B402" i="132"/>
  <c r="E402" i="132"/>
  <c r="B403" i="132"/>
  <c r="E403" i="132" s="1"/>
  <c r="B404" i="132"/>
  <c r="E404" i="132" s="1"/>
  <c r="B405" i="132"/>
  <c r="E405" i="132" s="1"/>
  <c r="B406" i="132"/>
  <c r="E406" i="132"/>
  <c r="B407" i="132"/>
  <c r="E407" i="132" s="1"/>
  <c r="E408" i="132"/>
  <c r="E409" i="132"/>
  <c r="E410" i="132"/>
  <c r="B411" i="132"/>
  <c r="E411" i="132" s="1"/>
  <c r="B412" i="132"/>
  <c r="E412" i="132"/>
  <c r="B413" i="132"/>
  <c r="E413" i="132"/>
  <c r="B414" i="132"/>
  <c r="E414" i="132" s="1"/>
  <c r="B415" i="132"/>
  <c r="E415" i="132" s="1"/>
  <c r="B416" i="132"/>
  <c r="E416" i="132"/>
  <c r="B417" i="132"/>
  <c r="E417" i="132"/>
  <c r="B418" i="132"/>
  <c r="E418" i="132"/>
  <c r="B419" i="132"/>
  <c r="E419" i="132" s="1"/>
  <c r="B420" i="132"/>
  <c r="E420" i="132"/>
  <c r="B421" i="132"/>
  <c r="E421" i="132"/>
  <c r="B422" i="132"/>
  <c r="E422" i="132"/>
  <c r="B423" i="132"/>
  <c r="E423" i="132" s="1"/>
  <c r="B424" i="132"/>
  <c r="E424" i="132"/>
  <c r="B425" i="132"/>
  <c r="E425" i="132"/>
  <c r="B426" i="132"/>
  <c r="E426" i="132"/>
  <c r="B427" i="132"/>
  <c r="E427" i="132" s="1"/>
  <c r="B428" i="132"/>
  <c r="E428" i="132"/>
  <c r="B401" i="130"/>
  <c r="E401" i="130"/>
  <c r="B402" i="130"/>
  <c r="E402" i="130" s="1"/>
  <c r="B403" i="130"/>
  <c r="E403" i="130" s="1"/>
  <c r="B404" i="130"/>
  <c r="E404" i="130"/>
  <c r="B405" i="130"/>
  <c r="E405" i="130"/>
  <c r="B406" i="130"/>
  <c r="E406" i="130"/>
  <c r="B407" i="130"/>
  <c r="E407" i="130" s="1"/>
  <c r="E408" i="130"/>
  <c r="E409" i="130"/>
  <c r="E410" i="130"/>
  <c r="B411" i="130"/>
  <c r="E411" i="130" s="1"/>
  <c r="B412" i="130"/>
  <c r="E412" i="130"/>
  <c r="B413" i="130"/>
  <c r="E413" i="130"/>
  <c r="B414" i="130"/>
  <c r="E414" i="130" s="1"/>
  <c r="B415" i="130"/>
  <c r="E415" i="130" s="1"/>
  <c r="B416" i="130"/>
  <c r="E416" i="130"/>
  <c r="B417" i="130"/>
  <c r="E417" i="130"/>
  <c r="B418" i="130"/>
  <c r="E418" i="130" s="1"/>
  <c r="B419" i="130"/>
  <c r="E419" i="130"/>
  <c r="B420" i="130"/>
  <c r="E420" i="130" s="1"/>
  <c r="B421" i="130"/>
  <c r="E421" i="130"/>
  <c r="B422" i="130"/>
  <c r="E422" i="130" s="1"/>
  <c r="B423" i="130"/>
  <c r="E423" i="130"/>
  <c r="B424" i="130"/>
  <c r="E424" i="130" s="1"/>
  <c r="B425" i="130"/>
  <c r="E425" i="130"/>
  <c r="B426" i="130"/>
  <c r="E426" i="130" s="1"/>
  <c r="B427" i="130"/>
  <c r="E427" i="130" s="1"/>
  <c r="B428" i="130"/>
  <c r="E428" i="130"/>
  <c r="E392" i="126"/>
  <c r="E393" i="126"/>
  <c r="E394" i="126"/>
  <c r="F89" i="75" s="1"/>
  <c r="E395" i="126"/>
  <c r="E396" i="126"/>
  <c r="E397" i="126"/>
  <c r="E398" i="126"/>
  <c r="E399" i="126"/>
  <c r="E400" i="126"/>
  <c r="E401" i="126"/>
  <c r="E402" i="126"/>
  <c r="E403" i="126"/>
  <c r="E404" i="126"/>
  <c r="B405" i="126"/>
  <c r="E405" i="126"/>
  <c r="B406" i="126"/>
  <c r="E406" i="126" s="1"/>
  <c r="B407" i="126"/>
  <c r="E407" i="126"/>
  <c r="B408" i="126"/>
  <c r="E408" i="126"/>
  <c r="B409" i="126"/>
  <c r="E409" i="126" s="1"/>
  <c r="B410" i="126"/>
  <c r="E410" i="126" s="1"/>
  <c r="B411" i="126"/>
  <c r="E411" i="126"/>
  <c r="B412" i="126"/>
  <c r="E412" i="126"/>
  <c r="B413" i="126"/>
  <c r="E413" i="126" s="1"/>
  <c r="B414" i="126"/>
  <c r="E414" i="126" s="1"/>
  <c r="B415" i="126"/>
  <c r="E415" i="126"/>
  <c r="B416" i="126"/>
  <c r="E416" i="126"/>
  <c r="B417" i="126"/>
  <c r="E417" i="126"/>
  <c r="B418" i="126"/>
  <c r="E418" i="126" s="1"/>
  <c r="B419" i="126"/>
  <c r="E419" i="126"/>
  <c r="B420" i="126"/>
  <c r="E420" i="126"/>
  <c r="B421" i="126"/>
  <c r="E421" i="126"/>
  <c r="B422" i="126"/>
  <c r="E422" i="126" s="1"/>
  <c r="B423" i="126"/>
  <c r="E423" i="126"/>
  <c r="B424" i="126"/>
  <c r="E424" i="126"/>
  <c r="B425" i="126"/>
  <c r="E425" i="126" s="1"/>
  <c r="B426" i="126"/>
  <c r="E426" i="126" s="1"/>
  <c r="B427" i="126"/>
  <c r="E427" i="126"/>
  <c r="B428" i="126"/>
  <c r="E428" i="126"/>
  <c r="E306" i="39"/>
  <c r="E307" i="39"/>
  <c r="E308" i="39"/>
  <c r="E309" i="39"/>
  <c r="E310" i="39"/>
  <c r="E311" i="39"/>
  <c r="E312" i="39"/>
  <c r="E313" i="39"/>
  <c r="E314" i="39"/>
  <c r="E315" i="39"/>
  <c r="E316" i="39"/>
  <c r="E317" i="39"/>
  <c r="E318" i="39"/>
  <c r="E319" i="39"/>
  <c r="E320" i="39"/>
  <c r="E321" i="39"/>
  <c r="E322" i="39"/>
  <c r="E323" i="39"/>
  <c r="E324" i="39"/>
  <c r="E325" i="39"/>
  <c r="E326" i="39"/>
  <c r="E327" i="39"/>
  <c r="E328" i="39"/>
  <c r="E329" i="39"/>
  <c r="E330" i="39"/>
  <c r="E331" i="39"/>
  <c r="E332" i="39"/>
  <c r="E333" i="39"/>
  <c r="E334" i="39"/>
  <c r="E335" i="39"/>
  <c r="E336" i="39"/>
  <c r="E337" i="39"/>
  <c r="E338" i="39"/>
  <c r="E339" i="39"/>
  <c r="E340" i="39"/>
  <c r="E341" i="39"/>
  <c r="E342" i="39"/>
  <c r="E343" i="39"/>
  <c r="E344" i="39"/>
  <c r="E345" i="39"/>
  <c r="E346" i="39"/>
  <c r="E347" i="39"/>
  <c r="E348" i="39"/>
  <c r="E349" i="39"/>
  <c r="E350" i="39"/>
  <c r="E351" i="39"/>
  <c r="E352" i="39"/>
  <c r="E353" i="39"/>
  <c r="E354" i="39"/>
  <c r="E355" i="39"/>
  <c r="E356" i="39"/>
  <c r="E357" i="39"/>
  <c r="E358" i="39"/>
  <c r="E359" i="39"/>
  <c r="E360" i="39"/>
  <c r="E361" i="39"/>
  <c r="E362" i="39"/>
  <c r="E363" i="39"/>
  <c r="E364" i="39"/>
  <c r="E365" i="39"/>
  <c r="E366" i="39"/>
  <c r="E367" i="39"/>
  <c r="E368" i="39"/>
  <c r="E369" i="39"/>
  <c r="E370" i="39"/>
  <c r="E371" i="39"/>
  <c r="E372" i="39"/>
  <c r="E373" i="39"/>
  <c r="E374" i="39"/>
  <c r="E375" i="39"/>
  <c r="E376" i="39"/>
  <c r="E377" i="39"/>
  <c r="E378" i="39"/>
  <c r="E379" i="39"/>
  <c r="E380" i="39"/>
  <c r="E381" i="39"/>
  <c r="E382" i="39"/>
  <c r="E383" i="39"/>
  <c r="E384" i="39"/>
  <c r="E385" i="39"/>
  <c r="E386" i="39"/>
  <c r="E387" i="39"/>
  <c r="E388" i="39"/>
  <c r="E389" i="39"/>
  <c r="E390" i="39"/>
  <c r="E391" i="39"/>
  <c r="E392" i="39"/>
  <c r="E393" i="39"/>
  <c r="E394" i="39"/>
  <c r="E395" i="39"/>
  <c r="E396" i="39"/>
  <c r="E397" i="39"/>
  <c r="E398" i="39"/>
  <c r="E399" i="39"/>
  <c r="E400" i="39"/>
  <c r="E401" i="39"/>
  <c r="E402" i="39"/>
  <c r="E403" i="39"/>
  <c r="E404" i="39"/>
  <c r="E405" i="39"/>
  <c r="E406" i="39"/>
  <c r="E407" i="39"/>
  <c r="E408" i="39"/>
  <c r="E409" i="39"/>
  <c r="E410" i="39"/>
  <c r="E411" i="39"/>
  <c r="E412" i="39"/>
  <c r="E413" i="39"/>
  <c r="E414" i="39"/>
  <c r="E415" i="39"/>
  <c r="E418" i="39"/>
  <c r="E419" i="39"/>
  <c r="E420" i="39"/>
  <c r="E421" i="39"/>
  <c r="E422" i="39"/>
  <c r="E423" i="39"/>
  <c r="E424" i="39"/>
  <c r="E428" i="39"/>
  <c r="E354" i="38"/>
  <c r="E355" i="38"/>
  <c r="E356" i="38"/>
  <c r="E357" i="38"/>
  <c r="E358" i="38"/>
  <c r="E359" i="38"/>
  <c r="E360" i="38"/>
  <c r="E361" i="38"/>
  <c r="E362" i="38"/>
  <c r="E363" i="38"/>
  <c r="E364" i="38"/>
  <c r="E365" i="38"/>
  <c r="E366" i="38"/>
  <c r="E367" i="38"/>
  <c r="E368" i="38"/>
  <c r="E369" i="38"/>
  <c r="E370" i="38"/>
  <c r="E371" i="38"/>
  <c r="E372" i="38"/>
  <c r="E373" i="38"/>
  <c r="E374" i="38"/>
  <c r="E375" i="38"/>
  <c r="E376" i="38"/>
  <c r="E377" i="38"/>
  <c r="E378" i="38"/>
  <c r="E379" i="38"/>
  <c r="E380" i="38"/>
  <c r="E381" i="38"/>
  <c r="E382" i="38"/>
  <c r="E383" i="38"/>
  <c r="E384" i="38"/>
  <c r="E385" i="38"/>
  <c r="E386" i="38"/>
  <c r="E387" i="38"/>
  <c r="E388" i="38"/>
  <c r="E389" i="38"/>
  <c r="E390" i="38"/>
  <c r="E391" i="38"/>
  <c r="E392" i="38"/>
  <c r="E393" i="38"/>
  <c r="E394" i="38"/>
  <c r="E395" i="38"/>
  <c r="E396" i="38"/>
  <c r="E397" i="38"/>
  <c r="E398" i="38"/>
  <c r="E399" i="38"/>
  <c r="E400" i="38"/>
  <c r="E401" i="38"/>
  <c r="E402" i="38"/>
  <c r="E403" i="38"/>
  <c r="E404" i="38"/>
  <c r="E405" i="38"/>
  <c r="E406" i="38"/>
  <c r="E407" i="38"/>
  <c r="E408" i="38"/>
  <c r="E409" i="38"/>
  <c r="E410" i="38"/>
  <c r="E411" i="38"/>
  <c r="E412" i="38"/>
  <c r="E413" i="38"/>
  <c r="E414" i="38"/>
  <c r="E415" i="38"/>
  <c r="E416" i="38"/>
  <c r="E417" i="38"/>
  <c r="E418" i="38"/>
  <c r="E419" i="38"/>
  <c r="E420" i="38"/>
  <c r="E421" i="38"/>
  <c r="E423" i="38"/>
  <c r="E424" i="38"/>
  <c r="E261" i="42"/>
  <c r="E262" i="42"/>
  <c r="E263" i="42"/>
  <c r="E264" i="42"/>
  <c r="E265" i="42"/>
  <c r="E266" i="42"/>
  <c r="E267" i="42"/>
  <c r="E268" i="42"/>
  <c r="E269" i="42"/>
  <c r="E270" i="42"/>
  <c r="E271" i="42"/>
  <c r="E272" i="42"/>
  <c r="E273" i="42"/>
  <c r="E274" i="42"/>
  <c r="E275" i="42"/>
  <c r="E276" i="42"/>
  <c r="E277" i="42"/>
  <c r="E278" i="42"/>
  <c r="E279" i="42"/>
  <c r="E280" i="42"/>
  <c r="E281" i="42"/>
  <c r="E282" i="42"/>
  <c r="E283" i="42"/>
  <c r="E284" i="42"/>
  <c r="E285" i="42"/>
  <c r="E286" i="42"/>
  <c r="E287" i="42"/>
  <c r="E288" i="42"/>
  <c r="E289" i="42"/>
  <c r="E290" i="42"/>
  <c r="E291" i="42"/>
  <c r="E292" i="42"/>
  <c r="E293" i="42"/>
  <c r="E294" i="42"/>
  <c r="E295" i="42"/>
  <c r="E296" i="42"/>
  <c r="E297" i="42"/>
  <c r="E298" i="42"/>
  <c r="E299" i="42"/>
  <c r="E300" i="42"/>
  <c r="E301" i="42"/>
  <c r="E302" i="42"/>
  <c r="E303" i="42"/>
  <c r="E304" i="42"/>
  <c r="E305" i="42"/>
  <c r="E306" i="42"/>
  <c r="E307" i="42"/>
  <c r="E308" i="42"/>
  <c r="E309" i="42"/>
  <c r="E310" i="42"/>
  <c r="E311" i="42"/>
  <c r="E312" i="42"/>
  <c r="E313" i="42"/>
  <c r="E314" i="42"/>
  <c r="E315" i="42"/>
  <c r="E316" i="42"/>
  <c r="E317" i="42"/>
  <c r="E318" i="42"/>
  <c r="E319" i="42"/>
  <c r="E320" i="42"/>
  <c r="E321" i="42"/>
  <c r="E322" i="42"/>
  <c r="E323" i="42"/>
  <c r="E324" i="42"/>
  <c r="E325" i="42"/>
  <c r="E326" i="42"/>
  <c r="E327" i="42"/>
  <c r="E328" i="42"/>
  <c r="E329" i="42"/>
  <c r="E330" i="42"/>
  <c r="E331" i="42"/>
  <c r="E332" i="42"/>
  <c r="E333" i="42"/>
  <c r="E334" i="42"/>
  <c r="E335" i="42"/>
  <c r="E336" i="42"/>
  <c r="E337" i="42"/>
  <c r="E338" i="42"/>
  <c r="E339" i="42"/>
  <c r="E340" i="42"/>
  <c r="E341" i="42"/>
  <c r="E342" i="42"/>
  <c r="E343" i="42"/>
  <c r="E344" i="42"/>
  <c r="E345" i="42"/>
  <c r="E346" i="42"/>
  <c r="E347" i="42"/>
  <c r="E348" i="42"/>
  <c r="E349" i="42"/>
  <c r="E350" i="42"/>
  <c r="E351" i="42"/>
  <c r="E352" i="42"/>
  <c r="E353" i="42"/>
  <c r="E354" i="42"/>
  <c r="E355" i="42"/>
  <c r="E356" i="42"/>
  <c r="E357" i="42"/>
  <c r="E358" i="42"/>
  <c r="E359" i="42"/>
  <c r="E360" i="42"/>
  <c r="E361" i="42"/>
  <c r="E362" i="42"/>
  <c r="E363" i="42"/>
  <c r="E364" i="42"/>
  <c r="E365" i="42"/>
  <c r="E366" i="42"/>
  <c r="E367" i="42"/>
  <c r="E368" i="42"/>
  <c r="E369" i="42"/>
  <c r="E370" i="42"/>
  <c r="E371" i="42"/>
  <c r="E372" i="42"/>
  <c r="E373" i="42"/>
  <c r="E374" i="42"/>
  <c r="E375" i="42"/>
  <c r="E376" i="42"/>
  <c r="E377" i="42"/>
  <c r="E378" i="42"/>
  <c r="E379" i="42"/>
  <c r="E380" i="42"/>
  <c r="E381" i="42"/>
  <c r="E382" i="42"/>
  <c r="E383" i="42"/>
  <c r="E384" i="42"/>
  <c r="E385" i="42"/>
  <c r="E386" i="42"/>
  <c r="E387" i="42"/>
  <c r="E388" i="42"/>
  <c r="E389" i="42"/>
  <c r="E390" i="42"/>
  <c r="E391" i="42"/>
  <c r="E392" i="42"/>
  <c r="E393" i="42"/>
  <c r="E394" i="42"/>
  <c r="E395" i="42"/>
  <c r="E396" i="42"/>
  <c r="E397" i="42"/>
  <c r="E398" i="42"/>
  <c r="E399" i="42"/>
  <c r="E400" i="42"/>
  <c r="E401" i="42"/>
  <c r="B402" i="42"/>
  <c r="E402" i="42" s="1"/>
  <c r="B403" i="42"/>
  <c r="E403" i="42"/>
  <c r="B404" i="42"/>
  <c r="E404" i="42" s="1"/>
  <c r="B405" i="42"/>
  <c r="E405" i="42"/>
  <c r="B406" i="42"/>
  <c r="E406" i="42" s="1"/>
  <c r="B407" i="42"/>
  <c r="E407" i="42"/>
  <c r="E408" i="42"/>
  <c r="E409" i="42"/>
  <c r="E410" i="42"/>
  <c r="B411" i="42"/>
  <c r="E411" i="42"/>
  <c r="B412" i="42"/>
  <c r="E412" i="42"/>
  <c r="B413" i="42"/>
  <c r="E413" i="42" s="1"/>
  <c r="B414" i="42"/>
  <c r="E414" i="42" s="1"/>
  <c r="B415" i="42"/>
  <c r="E415" i="42"/>
  <c r="B416" i="42"/>
  <c r="E416" i="42"/>
  <c r="B417" i="42"/>
  <c r="E417" i="42"/>
  <c r="B418" i="42"/>
  <c r="E418" i="42" s="1"/>
  <c r="B419" i="42"/>
  <c r="E419" i="42"/>
  <c r="B420" i="42"/>
  <c r="E420" i="42"/>
  <c r="B421" i="42"/>
  <c r="E421" i="42"/>
  <c r="B422" i="42"/>
  <c r="E422" i="42" s="1"/>
  <c r="B423" i="42"/>
  <c r="E423" i="42"/>
  <c r="B424" i="42"/>
  <c r="E424" i="42"/>
  <c r="B425" i="42"/>
  <c r="E425" i="42" s="1"/>
  <c r="B426" i="42"/>
  <c r="E426" i="42" s="1"/>
  <c r="B427" i="42"/>
  <c r="E427" i="42"/>
  <c r="B428" i="42"/>
  <c r="E428" i="42"/>
  <c r="E284" i="37"/>
  <c r="E285" i="37"/>
  <c r="E286" i="37"/>
  <c r="E287" i="37"/>
  <c r="E288" i="37"/>
  <c r="E289" i="37"/>
  <c r="E290" i="37"/>
  <c r="E291" i="37"/>
  <c r="E292" i="37"/>
  <c r="E293" i="37"/>
  <c r="E294" i="37"/>
  <c r="E295" i="37"/>
  <c r="E296" i="37"/>
  <c r="E297" i="37"/>
  <c r="E298" i="37"/>
  <c r="E299" i="37"/>
  <c r="E300" i="37"/>
  <c r="E301" i="37"/>
  <c r="E302" i="37"/>
  <c r="E303" i="37"/>
  <c r="E304" i="37"/>
  <c r="E305" i="37"/>
  <c r="E306" i="37"/>
  <c r="E307" i="37"/>
  <c r="E308" i="37"/>
  <c r="E309" i="37"/>
  <c r="E310" i="37"/>
  <c r="E311" i="37"/>
  <c r="E312" i="37"/>
  <c r="E313" i="37"/>
  <c r="E314" i="37"/>
  <c r="E315" i="37"/>
  <c r="E316" i="37"/>
  <c r="E317" i="37"/>
  <c r="E318" i="37"/>
  <c r="E319" i="37"/>
  <c r="E320" i="37"/>
  <c r="E321" i="37"/>
  <c r="E322" i="37"/>
  <c r="E323" i="37"/>
  <c r="E324" i="37"/>
  <c r="E325" i="37"/>
  <c r="E326" i="37"/>
  <c r="E327" i="37"/>
  <c r="E328" i="37"/>
  <c r="E329" i="37"/>
  <c r="E330" i="37"/>
  <c r="E331" i="37"/>
  <c r="E332" i="37"/>
  <c r="E333" i="37"/>
  <c r="E334" i="37"/>
  <c r="E335" i="37"/>
  <c r="E336" i="37"/>
  <c r="E337" i="37"/>
  <c r="E338" i="37"/>
  <c r="E339" i="37"/>
  <c r="E340" i="37"/>
  <c r="E341" i="37"/>
  <c r="E342" i="37"/>
  <c r="E343" i="37"/>
  <c r="E344" i="37"/>
  <c r="E345" i="37"/>
  <c r="E346" i="37"/>
  <c r="E347" i="37"/>
  <c r="E348" i="37"/>
  <c r="E349" i="37"/>
  <c r="E350" i="37"/>
  <c r="E351" i="37"/>
  <c r="E352" i="37"/>
  <c r="E353" i="37"/>
  <c r="E354" i="37"/>
  <c r="E355" i="37"/>
  <c r="E356" i="37"/>
  <c r="E357" i="37"/>
  <c r="E358" i="37"/>
  <c r="E359" i="37"/>
  <c r="E360" i="37"/>
  <c r="E361" i="37"/>
  <c r="E362" i="37"/>
  <c r="E363" i="37"/>
  <c r="E364" i="37"/>
  <c r="E365" i="37"/>
  <c r="E366" i="37"/>
  <c r="E367" i="37"/>
  <c r="E368" i="37"/>
  <c r="E369" i="37"/>
  <c r="E370" i="37"/>
  <c r="E371" i="37"/>
  <c r="E372" i="37"/>
  <c r="E373" i="37"/>
  <c r="E374" i="37"/>
  <c r="E375" i="37"/>
  <c r="E376" i="37"/>
  <c r="E377" i="37"/>
  <c r="E378" i="37"/>
  <c r="E379" i="37"/>
  <c r="E380" i="37"/>
  <c r="E381" i="37"/>
  <c r="E382" i="37"/>
  <c r="E383" i="37"/>
  <c r="E384" i="37"/>
  <c r="E385" i="37"/>
  <c r="E386" i="37"/>
  <c r="E387" i="37"/>
  <c r="E388" i="37"/>
  <c r="E389" i="37"/>
  <c r="E390" i="37"/>
  <c r="E391" i="37"/>
  <c r="E392" i="37"/>
  <c r="E393" i="37"/>
  <c r="E394" i="37"/>
  <c r="E395" i="37"/>
  <c r="E396" i="37"/>
  <c r="E397" i="37"/>
  <c r="E398" i="37"/>
  <c r="E399" i="37"/>
  <c r="E400" i="37"/>
  <c r="E401" i="37"/>
  <c r="E402" i="37"/>
  <c r="E403" i="37"/>
  <c r="E404" i="37"/>
  <c r="E405" i="37"/>
  <c r="E406" i="37"/>
  <c r="E407" i="37"/>
  <c r="E408" i="37"/>
  <c r="E409" i="37"/>
  <c r="E410" i="37"/>
  <c r="E411" i="37"/>
  <c r="E412" i="37"/>
  <c r="E413" i="37"/>
  <c r="E414" i="37"/>
  <c r="E415" i="37"/>
  <c r="E416" i="37"/>
  <c r="B417" i="37"/>
  <c r="E417" i="37" s="1"/>
  <c r="B418" i="37"/>
  <c r="E418" i="37" s="1"/>
  <c r="B419" i="37"/>
  <c r="E419" i="37"/>
  <c r="B420" i="37"/>
  <c r="E420" i="37" s="1"/>
  <c r="B421" i="37"/>
  <c r="E421" i="37"/>
  <c r="B422" i="37"/>
  <c r="E422" i="37" s="1"/>
  <c r="B423" i="37"/>
  <c r="E423" i="37"/>
  <c r="B424" i="37"/>
  <c r="E424" i="37" s="1"/>
  <c r="B425" i="37"/>
  <c r="E425" i="37"/>
  <c r="B426" i="37"/>
  <c r="E426" i="37"/>
  <c r="B427" i="37"/>
  <c r="E427" i="37"/>
  <c r="B428" i="37"/>
  <c r="E428" i="37" s="1"/>
  <c r="E345" i="70"/>
  <c r="E346" i="70"/>
  <c r="E347" i="70"/>
  <c r="E348" i="70"/>
  <c r="E349" i="70"/>
  <c r="E350" i="70"/>
  <c r="E351" i="70"/>
  <c r="E352" i="70"/>
  <c r="E353" i="70"/>
  <c r="E354" i="70"/>
  <c r="E355" i="70"/>
  <c r="E356" i="70"/>
  <c r="E357" i="70"/>
  <c r="E358" i="70"/>
  <c r="E359" i="70"/>
  <c r="E360" i="70"/>
  <c r="E361" i="70"/>
  <c r="E362" i="70"/>
  <c r="E363" i="70"/>
  <c r="E364" i="70"/>
  <c r="E365" i="70"/>
  <c r="E366" i="70"/>
  <c r="E367" i="70"/>
  <c r="E368" i="70"/>
  <c r="E369" i="70"/>
  <c r="E370" i="70"/>
  <c r="E371" i="70"/>
  <c r="E372" i="70"/>
  <c r="E373" i="70"/>
  <c r="E374" i="70"/>
  <c r="E375" i="70"/>
  <c r="E376" i="70"/>
  <c r="E377" i="70"/>
  <c r="E378" i="70"/>
  <c r="E379" i="70"/>
  <c r="E380" i="70"/>
  <c r="E381" i="70"/>
  <c r="E382" i="70"/>
  <c r="E383" i="70"/>
  <c r="E384" i="70"/>
  <c r="E385" i="70"/>
  <c r="E386" i="70"/>
  <c r="E387" i="70"/>
  <c r="E388" i="70"/>
  <c r="E389" i="70"/>
  <c r="E390" i="70"/>
  <c r="E391" i="70"/>
  <c r="E392" i="70"/>
  <c r="E393" i="70"/>
  <c r="E394" i="70"/>
  <c r="E395" i="70"/>
  <c r="E396" i="70"/>
  <c r="E397" i="70"/>
  <c r="E398" i="70"/>
  <c r="E399" i="70"/>
  <c r="E400" i="70"/>
  <c r="E401" i="70"/>
  <c r="E402" i="70"/>
  <c r="E403" i="70"/>
  <c r="E404" i="70"/>
  <c r="E408" i="70"/>
  <c r="E409" i="70"/>
  <c r="E410" i="70"/>
  <c r="E366" i="110"/>
  <c r="E367" i="110"/>
  <c r="E368" i="110"/>
  <c r="E369" i="110"/>
  <c r="E370" i="110"/>
  <c r="E371" i="110"/>
  <c r="F72" i="75" s="1"/>
  <c r="F81" i="75" s="1"/>
  <c r="E372" i="110"/>
  <c r="E373" i="110"/>
  <c r="E374" i="110"/>
  <c r="E375" i="110"/>
  <c r="E376" i="110"/>
  <c r="E377" i="110"/>
  <c r="E378" i="110"/>
  <c r="E379" i="110"/>
  <c r="E380" i="110"/>
  <c r="E381" i="110"/>
  <c r="E382" i="110"/>
  <c r="E383" i="110"/>
  <c r="E384" i="110"/>
  <c r="E385" i="110"/>
  <c r="E386" i="110"/>
  <c r="E387" i="110"/>
  <c r="E388" i="110"/>
  <c r="E389" i="110"/>
  <c r="E390" i="110"/>
  <c r="E391" i="110"/>
  <c r="E392" i="110"/>
  <c r="E393" i="110"/>
  <c r="E394" i="110"/>
  <c r="E395" i="110"/>
  <c r="E396" i="110"/>
  <c r="E397" i="110"/>
  <c r="E398" i="110"/>
  <c r="E399" i="110"/>
  <c r="E400" i="110"/>
  <c r="E401" i="110"/>
  <c r="E402" i="110"/>
  <c r="E403" i="110"/>
  <c r="E404" i="110"/>
  <c r="E405" i="110"/>
  <c r="E406" i="110"/>
  <c r="E407" i="110"/>
  <c r="E408" i="110"/>
  <c r="E409" i="110"/>
  <c r="E410" i="110"/>
  <c r="E411" i="110"/>
  <c r="E412" i="110"/>
  <c r="E413" i="110"/>
  <c r="E414" i="110"/>
  <c r="E415" i="110"/>
  <c r="E416" i="110"/>
  <c r="E417" i="110"/>
  <c r="E418" i="110"/>
  <c r="E419" i="110"/>
  <c r="E420" i="110"/>
  <c r="E421" i="110"/>
  <c r="E422" i="110"/>
  <c r="E423" i="110"/>
  <c r="E424" i="110"/>
  <c r="E425" i="110"/>
  <c r="E426" i="110"/>
  <c r="E427" i="110"/>
  <c r="E428" i="110"/>
  <c r="E365" i="100"/>
  <c r="E366" i="100"/>
  <c r="E367" i="100"/>
  <c r="E368" i="100"/>
  <c r="E369" i="100"/>
  <c r="E370" i="100"/>
  <c r="E371" i="100"/>
  <c r="E372" i="100"/>
  <c r="E373" i="100"/>
  <c r="E374" i="100"/>
  <c r="E375" i="100"/>
  <c r="E376" i="100"/>
  <c r="E377" i="100"/>
  <c r="E378" i="100"/>
  <c r="E379" i="100"/>
  <c r="E380" i="100"/>
  <c r="E381" i="100"/>
  <c r="E382" i="100"/>
  <c r="E383" i="100"/>
  <c r="E384" i="100"/>
  <c r="E385" i="100"/>
  <c r="E386" i="100"/>
  <c r="E387" i="100"/>
  <c r="E388" i="100"/>
  <c r="E389" i="100"/>
  <c r="E390" i="100"/>
  <c r="E391" i="100"/>
  <c r="E392" i="100"/>
  <c r="E393" i="100"/>
  <c r="E394" i="100"/>
  <c r="E395" i="100"/>
  <c r="E396" i="100"/>
  <c r="E397" i="100"/>
  <c r="E398" i="100"/>
  <c r="E399" i="100"/>
  <c r="E400" i="100"/>
  <c r="E401" i="100"/>
  <c r="E402" i="100"/>
  <c r="E403" i="100"/>
  <c r="E404" i="100"/>
  <c r="E408" i="100"/>
  <c r="E409" i="100"/>
  <c r="E410" i="100"/>
  <c r="E365" i="99"/>
  <c r="E366" i="99"/>
  <c r="E367" i="99"/>
  <c r="E368" i="99"/>
  <c r="E369" i="99"/>
  <c r="E370" i="99"/>
  <c r="E371" i="99"/>
  <c r="E372" i="99"/>
  <c r="E373" i="99"/>
  <c r="E374" i="99"/>
  <c r="E375" i="99"/>
  <c r="E376" i="99"/>
  <c r="E377" i="99"/>
  <c r="E378" i="99"/>
  <c r="E379" i="99"/>
  <c r="E380" i="99"/>
  <c r="E381" i="99"/>
  <c r="E382" i="99"/>
  <c r="E383" i="99"/>
  <c r="E384" i="99"/>
  <c r="E385" i="99"/>
  <c r="E386" i="99"/>
  <c r="E387" i="99"/>
  <c r="E388" i="99"/>
  <c r="E389" i="99"/>
  <c r="E390" i="99"/>
  <c r="E391" i="99"/>
  <c r="E392" i="99"/>
  <c r="E393" i="99"/>
  <c r="E394" i="99"/>
  <c r="E395" i="99"/>
  <c r="E396" i="99"/>
  <c r="E397" i="99"/>
  <c r="E398" i="99"/>
  <c r="E399" i="99"/>
  <c r="E400" i="99"/>
  <c r="E401" i="99"/>
  <c r="E402" i="99"/>
  <c r="E403" i="99"/>
  <c r="E404" i="99"/>
  <c r="E408" i="99"/>
  <c r="E409" i="99"/>
  <c r="E410" i="99"/>
  <c r="E382" i="122"/>
  <c r="E383" i="122"/>
  <c r="E384" i="122"/>
  <c r="E385" i="122"/>
  <c r="E386" i="122"/>
  <c r="E387" i="122"/>
  <c r="E388" i="122"/>
  <c r="E389" i="122"/>
  <c r="E390" i="122"/>
  <c r="E391" i="122"/>
  <c r="E392" i="122"/>
  <c r="E393" i="122"/>
  <c r="E394" i="122"/>
  <c r="E395" i="122"/>
  <c r="E396" i="122"/>
  <c r="E397" i="122"/>
  <c r="E398" i="122"/>
  <c r="E399" i="122"/>
  <c r="E400" i="122"/>
  <c r="E401" i="122"/>
  <c r="E402" i="122"/>
  <c r="E403" i="122"/>
  <c r="E404" i="122"/>
  <c r="E405" i="122"/>
  <c r="E406" i="122"/>
  <c r="E407" i="122"/>
  <c r="E408" i="122"/>
  <c r="E409" i="122"/>
  <c r="E410" i="122"/>
  <c r="E411" i="122"/>
  <c r="E412" i="122"/>
  <c r="E413" i="122"/>
  <c r="E414" i="122"/>
  <c r="E415" i="122"/>
  <c r="E417" i="122"/>
  <c r="E418" i="122"/>
  <c r="E419" i="122"/>
  <c r="E420" i="122"/>
  <c r="E421" i="122"/>
  <c r="E422" i="122"/>
  <c r="E423" i="122"/>
  <c r="E424" i="122"/>
  <c r="E425" i="122"/>
  <c r="E426" i="122"/>
  <c r="E428" i="122"/>
  <c r="E281" i="15"/>
  <c r="E282" i="15"/>
  <c r="E283" i="15"/>
  <c r="E284" i="15"/>
  <c r="E285" i="15"/>
  <c r="E286" i="15"/>
  <c r="E287" i="15"/>
  <c r="E288" i="15"/>
  <c r="E289" i="15"/>
  <c r="E290" i="15"/>
  <c r="E291" i="15"/>
  <c r="E292" i="15"/>
  <c r="E293" i="15"/>
  <c r="E294" i="15"/>
  <c r="E295" i="15"/>
  <c r="E296" i="15"/>
  <c r="E297" i="15"/>
  <c r="E298" i="15"/>
  <c r="E299" i="15"/>
  <c r="E300" i="15"/>
  <c r="E301" i="15"/>
  <c r="E302" i="15"/>
  <c r="E303" i="15"/>
  <c r="E304" i="15"/>
  <c r="E305" i="15"/>
  <c r="E306" i="15"/>
  <c r="E307" i="15"/>
  <c r="E308" i="15"/>
  <c r="E309" i="15"/>
  <c r="E310" i="15"/>
  <c r="E311" i="15"/>
  <c r="E312" i="15"/>
  <c r="E313" i="15"/>
  <c r="E314" i="15"/>
  <c r="E315" i="15"/>
  <c r="E316" i="15"/>
  <c r="E317" i="15"/>
  <c r="E318" i="15"/>
  <c r="E319" i="15"/>
  <c r="E320" i="15"/>
  <c r="E321" i="15"/>
  <c r="E322" i="15"/>
  <c r="E323" i="15"/>
  <c r="E324" i="15"/>
  <c r="E325" i="15"/>
  <c r="E326" i="15"/>
  <c r="E327" i="15"/>
  <c r="E328" i="15"/>
  <c r="E329" i="15"/>
  <c r="E330" i="15"/>
  <c r="E331" i="15"/>
  <c r="E332" i="15"/>
  <c r="E333" i="15"/>
  <c r="E334" i="15"/>
  <c r="E335" i="15"/>
  <c r="E336" i="15"/>
  <c r="E337" i="15"/>
  <c r="E338" i="15"/>
  <c r="E339" i="15"/>
  <c r="E340" i="15"/>
  <c r="E341" i="15"/>
  <c r="E342" i="15"/>
  <c r="E343" i="15"/>
  <c r="E344" i="15"/>
  <c r="E345" i="15"/>
  <c r="E346" i="15"/>
  <c r="E347" i="15"/>
  <c r="E348" i="15"/>
  <c r="E349" i="15"/>
  <c r="E350" i="15"/>
  <c r="E351" i="15"/>
  <c r="E352" i="15"/>
  <c r="E353" i="15"/>
  <c r="E354" i="15"/>
  <c r="E355" i="15"/>
  <c r="E356" i="15"/>
  <c r="E357" i="15"/>
  <c r="E358" i="15"/>
  <c r="E359" i="15"/>
  <c r="E360" i="15"/>
  <c r="E361" i="15"/>
  <c r="E362" i="15"/>
  <c r="E363" i="15"/>
  <c r="E364" i="15"/>
  <c r="E365" i="15"/>
  <c r="E366" i="15"/>
  <c r="E367" i="15"/>
  <c r="E368" i="15"/>
  <c r="E369" i="15"/>
  <c r="E370" i="15"/>
  <c r="E371" i="15"/>
  <c r="E372" i="15"/>
  <c r="E373" i="15"/>
  <c r="E374" i="15"/>
  <c r="E375" i="15"/>
  <c r="E376" i="15"/>
  <c r="E377" i="15"/>
  <c r="E378" i="15"/>
  <c r="E379" i="15"/>
  <c r="E380" i="15"/>
  <c r="E381" i="15"/>
  <c r="E382" i="15"/>
  <c r="E383" i="15"/>
  <c r="E384" i="15"/>
  <c r="E385" i="15"/>
  <c r="E386" i="15"/>
  <c r="E387" i="15"/>
  <c r="E388" i="15"/>
  <c r="E389" i="15"/>
  <c r="E390" i="15"/>
  <c r="E391" i="15"/>
  <c r="E392" i="15"/>
  <c r="E393" i="15"/>
  <c r="E394" i="15"/>
  <c r="E395" i="15"/>
  <c r="E396" i="15"/>
  <c r="E397" i="15"/>
  <c r="E398" i="15"/>
  <c r="E399" i="15"/>
  <c r="E400" i="15"/>
  <c r="E401" i="15"/>
  <c r="E402" i="15"/>
  <c r="E403" i="15"/>
  <c r="E404" i="15"/>
  <c r="E408" i="15"/>
  <c r="E409" i="15"/>
  <c r="E410" i="15"/>
  <c r="E360" i="82"/>
  <c r="E361" i="82"/>
  <c r="E362" i="82"/>
  <c r="E363" i="82"/>
  <c r="E364" i="82"/>
  <c r="F55" i="75" s="1"/>
  <c r="E365" i="82"/>
  <c r="E366" i="82"/>
  <c r="E367" i="82"/>
  <c r="E368" i="82"/>
  <c r="E369" i="82"/>
  <c r="E370" i="82"/>
  <c r="E371" i="82"/>
  <c r="E372" i="82"/>
  <c r="E373" i="82"/>
  <c r="E374" i="82"/>
  <c r="E375" i="82"/>
  <c r="E376" i="82"/>
  <c r="E377" i="82"/>
  <c r="E378" i="82"/>
  <c r="E379" i="82"/>
  <c r="E380" i="82"/>
  <c r="E381" i="82"/>
  <c r="E382" i="82"/>
  <c r="E383" i="82"/>
  <c r="E384" i="82"/>
  <c r="E385" i="82"/>
  <c r="E386" i="82"/>
  <c r="E387" i="82"/>
  <c r="E388" i="82"/>
  <c r="E389" i="82"/>
  <c r="E390" i="82"/>
  <c r="E391" i="82"/>
  <c r="E392" i="82"/>
  <c r="E393" i="82"/>
  <c r="E394" i="82"/>
  <c r="E395" i="82"/>
  <c r="E396" i="82"/>
  <c r="E397" i="82"/>
  <c r="E398" i="82"/>
  <c r="E399" i="82"/>
  <c r="E400" i="82"/>
  <c r="E401" i="82"/>
  <c r="E402" i="82"/>
  <c r="E403" i="82"/>
  <c r="E404" i="82"/>
  <c r="E408" i="82"/>
  <c r="E409" i="82"/>
  <c r="E410" i="82"/>
  <c r="D1" i="12"/>
  <c r="D39" i="62"/>
  <c r="E327" i="12"/>
  <c r="E328" i="12"/>
  <c r="E329" i="12"/>
  <c r="F36" i="75" s="1"/>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8" i="12"/>
  <c r="E409" i="12"/>
  <c r="E410" i="12"/>
  <c r="E345" i="71"/>
  <c r="E346" i="71"/>
  <c r="F31" i="127" s="1"/>
  <c r="E347" i="71"/>
  <c r="E348" i="71"/>
  <c r="E349" i="71"/>
  <c r="E350" i="71"/>
  <c r="E351" i="71"/>
  <c r="E352" i="71"/>
  <c r="E353" i="71"/>
  <c r="E354" i="71"/>
  <c r="E355" i="71"/>
  <c r="E356" i="71"/>
  <c r="E357" i="71"/>
  <c r="E358" i="71"/>
  <c r="E359" i="71"/>
  <c r="E360" i="71"/>
  <c r="E361" i="71"/>
  <c r="E362" i="71"/>
  <c r="E363" i="71"/>
  <c r="E364" i="71"/>
  <c r="E365" i="71"/>
  <c r="E366" i="71"/>
  <c r="E367" i="71"/>
  <c r="E368" i="71"/>
  <c r="E369" i="71"/>
  <c r="E370" i="71"/>
  <c r="E371" i="71"/>
  <c r="E372" i="71"/>
  <c r="E373" i="71"/>
  <c r="E374" i="71"/>
  <c r="E375" i="71"/>
  <c r="E376" i="71"/>
  <c r="E377" i="71"/>
  <c r="E378" i="71"/>
  <c r="E379" i="71"/>
  <c r="E380" i="71"/>
  <c r="E381" i="71"/>
  <c r="E382" i="71"/>
  <c r="E383" i="71"/>
  <c r="E384" i="71"/>
  <c r="E385" i="71"/>
  <c r="E386" i="71"/>
  <c r="E387" i="71"/>
  <c r="E388" i="71"/>
  <c r="E389" i="71"/>
  <c r="E390" i="71"/>
  <c r="E391" i="71"/>
  <c r="E392" i="71"/>
  <c r="E393" i="71"/>
  <c r="E394" i="71"/>
  <c r="E395" i="71"/>
  <c r="E396" i="71"/>
  <c r="E397" i="71"/>
  <c r="E398" i="71"/>
  <c r="E399" i="71"/>
  <c r="E400" i="71"/>
  <c r="E401" i="71"/>
  <c r="E402" i="71"/>
  <c r="E403" i="71"/>
  <c r="E404" i="71"/>
  <c r="E408" i="71"/>
  <c r="E409" i="71"/>
  <c r="E410" i="71"/>
  <c r="D1" i="11"/>
  <c r="D35" i="62" s="1"/>
  <c r="E411" i="11"/>
  <c r="E308" i="11"/>
  <c r="E309" i="11"/>
  <c r="E310" i="11"/>
  <c r="E311" i="11"/>
  <c r="E312" i="11"/>
  <c r="E313" i="11"/>
  <c r="E314" i="11"/>
  <c r="E315" i="11"/>
  <c r="E316" i="11"/>
  <c r="E317" i="11"/>
  <c r="E318" i="11"/>
  <c r="E319" i="11"/>
  <c r="E320" i="11"/>
  <c r="E321" i="11"/>
  <c r="E322" i="11"/>
  <c r="E323" i="11"/>
  <c r="E324" i="11"/>
  <c r="E325" i="11"/>
  <c r="E326" i="11"/>
  <c r="E327" i="11"/>
  <c r="E328" i="11"/>
  <c r="E329" i="11"/>
  <c r="E330" i="11"/>
  <c r="E331" i="11"/>
  <c r="E332" i="11"/>
  <c r="E333" i="11"/>
  <c r="E334" i="11"/>
  <c r="E335" i="11"/>
  <c r="E336" i="11"/>
  <c r="E337" i="11"/>
  <c r="E338" i="11"/>
  <c r="E339" i="11"/>
  <c r="E340" i="11"/>
  <c r="E341" i="11"/>
  <c r="E342" i="11"/>
  <c r="E343" i="11"/>
  <c r="E344" i="11"/>
  <c r="E345" i="11"/>
  <c r="E346" i="11"/>
  <c r="E347" i="11"/>
  <c r="E348" i="11"/>
  <c r="E349" i="11"/>
  <c r="E350" i="11"/>
  <c r="E351" i="11"/>
  <c r="E352" i="11"/>
  <c r="E353" i="11"/>
  <c r="E354" i="11"/>
  <c r="E355" i="11"/>
  <c r="E356" i="11"/>
  <c r="E357" i="11"/>
  <c r="E358" i="11"/>
  <c r="E359" i="11"/>
  <c r="E360" i="11"/>
  <c r="E361" i="11"/>
  <c r="E362" i="11"/>
  <c r="E363" i="11"/>
  <c r="E364" i="11"/>
  <c r="E365" i="11"/>
  <c r="E366" i="11"/>
  <c r="E367" i="11"/>
  <c r="E368" i="11"/>
  <c r="E369" i="11"/>
  <c r="E370" i="11"/>
  <c r="E371" i="11"/>
  <c r="E372" i="11"/>
  <c r="E373" i="11"/>
  <c r="E374" i="11"/>
  <c r="E375" i="11"/>
  <c r="E376" i="11"/>
  <c r="E377" i="11"/>
  <c r="E378" i="11"/>
  <c r="E379" i="11"/>
  <c r="E380" i="11"/>
  <c r="E381" i="11"/>
  <c r="E382" i="11"/>
  <c r="E383" i="11"/>
  <c r="E384" i="11"/>
  <c r="E385" i="11"/>
  <c r="E386" i="11"/>
  <c r="E387" i="11"/>
  <c r="E388" i="11"/>
  <c r="E389" i="11"/>
  <c r="E390" i="11"/>
  <c r="E391" i="11"/>
  <c r="E392" i="11"/>
  <c r="E393" i="11"/>
  <c r="E394" i="11"/>
  <c r="E395" i="11"/>
  <c r="E396" i="11"/>
  <c r="E397" i="11"/>
  <c r="E398" i="11"/>
  <c r="E399" i="11"/>
  <c r="E400" i="11"/>
  <c r="E401" i="11"/>
  <c r="E402" i="11"/>
  <c r="E403" i="11"/>
  <c r="E404" i="11"/>
  <c r="E407" i="11"/>
  <c r="E408" i="11"/>
  <c r="E409" i="11"/>
  <c r="E410" i="11"/>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F30" i="127" s="1"/>
  <c r="F41" i="127" s="1"/>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8" i="29"/>
  <c r="E409" i="29"/>
  <c r="E410" i="29"/>
  <c r="E327" i="31"/>
  <c r="E328" i="31"/>
  <c r="E329" i="31"/>
  <c r="E330" i="31"/>
  <c r="E331" i="31"/>
  <c r="E332" i="31"/>
  <c r="E333" i="31"/>
  <c r="E334" i="31"/>
  <c r="E335" i="31"/>
  <c r="E336" i="31"/>
  <c r="E337" i="31"/>
  <c r="E338" i="31"/>
  <c r="E339" i="31"/>
  <c r="E340" i="31"/>
  <c r="E341" i="31"/>
  <c r="E342" i="31"/>
  <c r="E343" i="31"/>
  <c r="E344" i="31"/>
  <c r="E345" i="31"/>
  <c r="E346" i="31"/>
  <c r="E347" i="31"/>
  <c r="E348" i="31"/>
  <c r="E349" i="31"/>
  <c r="E350" i="31"/>
  <c r="E351" i="31"/>
  <c r="E352" i="31"/>
  <c r="E353" i="31"/>
  <c r="E354" i="31"/>
  <c r="E355" i="31"/>
  <c r="E356" i="31"/>
  <c r="E357" i="31"/>
  <c r="E358" i="31"/>
  <c r="E359" i="31"/>
  <c r="E360" i="31"/>
  <c r="E361" i="31"/>
  <c r="E362" i="31"/>
  <c r="E363" i="31"/>
  <c r="E364" i="31"/>
  <c r="E365" i="31"/>
  <c r="E366" i="31"/>
  <c r="E367" i="31"/>
  <c r="E368" i="31"/>
  <c r="E369" i="31"/>
  <c r="E370" i="31"/>
  <c r="E371" i="31"/>
  <c r="E372" i="31"/>
  <c r="E373" i="31"/>
  <c r="E374" i="31"/>
  <c r="E375" i="31"/>
  <c r="E376" i="31"/>
  <c r="E377" i="31"/>
  <c r="E378" i="31"/>
  <c r="E379" i="31"/>
  <c r="E380" i="31"/>
  <c r="E381" i="31"/>
  <c r="E382" i="31"/>
  <c r="E383" i="31"/>
  <c r="E384" i="31"/>
  <c r="E385" i="31"/>
  <c r="E386" i="31"/>
  <c r="E387" i="31"/>
  <c r="E388" i="31"/>
  <c r="E389" i="31"/>
  <c r="E390" i="31"/>
  <c r="E391" i="31"/>
  <c r="E392" i="31"/>
  <c r="E393" i="31"/>
  <c r="E394" i="31"/>
  <c r="E395" i="31"/>
  <c r="E396" i="31"/>
  <c r="E397" i="31"/>
  <c r="E398" i="31"/>
  <c r="E399" i="31"/>
  <c r="E400" i="31"/>
  <c r="E401" i="31"/>
  <c r="E402" i="31"/>
  <c r="E403" i="31"/>
  <c r="E404" i="31"/>
  <c r="E408" i="31"/>
  <c r="E409" i="31"/>
  <c r="E410" i="31"/>
  <c r="E333" i="23"/>
  <c r="E334" i="23"/>
  <c r="E335" i="23"/>
  <c r="E336" i="23"/>
  <c r="E337" i="23"/>
  <c r="E338" i="23"/>
  <c r="E339" i="23"/>
  <c r="E340" i="23"/>
  <c r="E341" i="23"/>
  <c r="E342" i="23"/>
  <c r="E343" i="23"/>
  <c r="E344" i="23"/>
  <c r="E345" i="23"/>
  <c r="E346" i="23"/>
  <c r="E347" i="23"/>
  <c r="E348" i="23"/>
  <c r="E349" i="23"/>
  <c r="E350" i="23"/>
  <c r="E351" i="23"/>
  <c r="E352" i="23"/>
  <c r="E353" i="23"/>
  <c r="E354" i="23"/>
  <c r="E355" i="23"/>
  <c r="E356" i="23"/>
  <c r="E357" i="23"/>
  <c r="E358" i="23"/>
  <c r="E359" i="23"/>
  <c r="E360" i="23"/>
  <c r="E361" i="23"/>
  <c r="E362" i="23"/>
  <c r="E363" i="23"/>
  <c r="E364" i="23"/>
  <c r="E365" i="23"/>
  <c r="E366" i="23"/>
  <c r="E367" i="23"/>
  <c r="E368" i="23"/>
  <c r="E369" i="23"/>
  <c r="E370" i="23"/>
  <c r="E371" i="23"/>
  <c r="E372" i="23"/>
  <c r="E373" i="23"/>
  <c r="E374" i="23"/>
  <c r="E375" i="23"/>
  <c r="E376" i="23"/>
  <c r="E377" i="23"/>
  <c r="E378" i="23"/>
  <c r="E379" i="23"/>
  <c r="E380" i="23"/>
  <c r="E381" i="23"/>
  <c r="E382" i="23"/>
  <c r="E383" i="23"/>
  <c r="E384" i="23"/>
  <c r="E385" i="23"/>
  <c r="E386" i="23"/>
  <c r="E387" i="23"/>
  <c r="E388" i="23"/>
  <c r="E389" i="23"/>
  <c r="E390" i="23"/>
  <c r="E391" i="23"/>
  <c r="E392" i="23"/>
  <c r="E393" i="23"/>
  <c r="E394" i="23"/>
  <c r="E395" i="23"/>
  <c r="E396" i="23"/>
  <c r="E397" i="23"/>
  <c r="E398" i="23"/>
  <c r="E399" i="23"/>
  <c r="E400" i="23"/>
  <c r="E401" i="23"/>
  <c r="E402" i="23"/>
  <c r="E403" i="23"/>
  <c r="E404" i="23"/>
  <c r="E408" i="23"/>
  <c r="E409" i="23"/>
  <c r="E410" i="23"/>
  <c r="E262" i="13"/>
  <c r="E263" i="13"/>
  <c r="E264" i="13"/>
  <c r="E265" i="13"/>
  <c r="E266" i="13"/>
  <c r="E267" i="13"/>
  <c r="E268" i="13"/>
  <c r="E269" i="13"/>
  <c r="E270" i="13"/>
  <c r="E271" i="13"/>
  <c r="E272" i="13"/>
  <c r="E273" i="13"/>
  <c r="E274" i="13"/>
  <c r="E275" i="13"/>
  <c r="E276" i="13"/>
  <c r="E277" i="13"/>
  <c r="E278" i="13"/>
  <c r="E279" i="13"/>
  <c r="E280" i="13"/>
  <c r="E281" i="13"/>
  <c r="E282" i="13"/>
  <c r="E283" i="13"/>
  <c r="E284" i="13"/>
  <c r="E285" i="13"/>
  <c r="E286" i="13"/>
  <c r="E287" i="13"/>
  <c r="E288" i="13"/>
  <c r="E289" i="13"/>
  <c r="E290" i="13"/>
  <c r="E291" i="13"/>
  <c r="E292" i="13"/>
  <c r="E293" i="13"/>
  <c r="E294" i="13"/>
  <c r="E295" i="13"/>
  <c r="E296" i="13"/>
  <c r="E297" i="13"/>
  <c r="E298" i="13"/>
  <c r="E299" i="13"/>
  <c r="E300" i="13"/>
  <c r="E301" i="13"/>
  <c r="E302" i="13"/>
  <c r="E303" i="13"/>
  <c r="E304" i="13"/>
  <c r="E305" i="13"/>
  <c r="E306" i="13"/>
  <c r="E307" i="13"/>
  <c r="E308" i="13"/>
  <c r="E309" i="13"/>
  <c r="E310" i="13"/>
  <c r="E311" i="13"/>
  <c r="E312" i="13"/>
  <c r="E313" i="13"/>
  <c r="E314" i="13"/>
  <c r="E315" i="13"/>
  <c r="E316" i="13"/>
  <c r="E317" i="13"/>
  <c r="E318" i="13"/>
  <c r="E319" i="13"/>
  <c r="E320" i="13"/>
  <c r="E321" i="13"/>
  <c r="E322" i="13"/>
  <c r="E323" i="13"/>
  <c r="E324" i="13"/>
  <c r="E325" i="13"/>
  <c r="E326" i="13"/>
  <c r="E327" i="13"/>
  <c r="E328" i="13"/>
  <c r="E329" i="13"/>
  <c r="E330" i="13"/>
  <c r="E331" i="13"/>
  <c r="E332" i="13"/>
  <c r="E333" i="13"/>
  <c r="E334" i="13"/>
  <c r="E335" i="13"/>
  <c r="E336" i="13"/>
  <c r="E337" i="13"/>
  <c r="E338" i="13"/>
  <c r="E339" i="13"/>
  <c r="E340" i="13"/>
  <c r="E341" i="13"/>
  <c r="E342" i="13"/>
  <c r="E343" i="13"/>
  <c r="E344" i="13"/>
  <c r="E345" i="13"/>
  <c r="E346" i="13"/>
  <c r="E347" i="13"/>
  <c r="E348" i="13"/>
  <c r="E349" i="13"/>
  <c r="E350" i="13"/>
  <c r="E351" i="13"/>
  <c r="E352" i="13"/>
  <c r="E353" i="13"/>
  <c r="E354" i="13"/>
  <c r="E355" i="13"/>
  <c r="E356" i="13"/>
  <c r="E357" i="13"/>
  <c r="E358" i="13"/>
  <c r="E359" i="13"/>
  <c r="E360" i="13"/>
  <c r="E361" i="13"/>
  <c r="E362" i="13"/>
  <c r="E363" i="13"/>
  <c r="E364" i="13"/>
  <c r="E365" i="13"/>
  <c r="E366" i="13"/>
  <c r="E367" i="13"/>
  <c r="E368" i="13"/>
  <c r="E369" i="13"/>
  <c r="E370" i="13"/>
  <c r="E371" i="13"/>
  <c r="E372" i="13"/>
  <c r="E373" i="13"/>
  <c r="E374" i="13"/>
  <c r="E375" i="13"/>
  <c r="E376" i="13"/>
  <c r="E377" i="13"/>
  <c r="E378" i="13"/>
  <c r="E379" i="13"/>
  <c r="E380" i="13"/>
  <c r="E381" i="13"/>
  <c r="E382" i="13"/>
  <c r="E383" i="13"/>
  <c r="E384" i="13"/>
  <c r="E385" i="13"/>
  <c r="E386" i="13"/>
  <c r="E387" i="13"/>
  <c r="E388" i="13"/>
  <c r="E389" i="13"/>
  <c r="E390" i="13"/>
  <c r="E391" i="13"/>
  <c r="E392" i="13"/>
  <c r="E393" i="13"/>
  <c r="E394" i="13"/>
  <c r="E395" i="13"/>
  <c r="E396" i="13"/>
  <c r="E397" i="13"/>
  <c r="E398" i="13"/>
  <c r="E399" i="13"/>
  <c r="E400" i="13"/>
  <c r="E401" i="13"/>
  <c r="E402" i="13"/>
  <c r="E403" i="13"/>
  <c r="E404" i="13"/>
  <c r="E405" i="13"/>
  <c r="E406" i="13"/>
  <c r="E407" i="13"/>
  <c r="E408" i="13"/>
  <c r="E409" i="13"/>
  <c r="E410" i="13"/>
  <c r="E411" i="13"/>
  <c r="E412" i="13"/>
  <c r="E413" i="13"/>
  <c r="E414" i="13"/>
  <c r="E416" i="13"/>
  <c r="E417" i="13"/>
  <c r="E418" i="13"/>
  <c r="E419" i="13"/>
  <c r="E420" i="13"/>
  <c r="E421" i="13"/>
  <c r="E422" i="13"/>
  <c r="E424" i="13"/>
  <c r="E425" i="13"/>
  <c r="D1" i="10"/>
  <c r="E41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97" i="10"/>
  <c r="E298" i="10"/>
  <c r="E299" i="10"/>
  <c r="E300" i="10"/>
  <c r="E301" i="10"/>
  <c r="E302" i="10"/>
  <c r="E303" i="10"/>
  <c r="E304" i="10"/>
  <c r="E305" i="10"/>
  <c r="E306" i="10"/>
  <c r="E307" i="10"/>
  <c r="E308" i="10"/>
  <c r="E309" i="10"/>
  <c r="E310" i="10"/>
  <c r="E311" i="10"/>
  <c r="E312" i="10"/>
  <c r="E313" i="10"/>
  <c r="E314" i="10"/>
  <c r="E315" i="10"/>
  <c r="E316" i="10"/>
  <c r="E317" i="10"/>
  <c r="E318" i="10"/>
  <c r="E319" i="10"/>
  <c r="E320" i="10"/>
  <c r="E321" i="10"/>
  <c r="E322" i="10"/>
  <c r="E323" i="10"/>
  <c r="E324" i="10"/>
  <c r="E325" i="10"/>
  <c r="E326" i="10"/>
  <c r="E327" i="10"/>
  <c r="E328" i="10"/>
  <c r="E329" i="10"/>
  <c r="E330" i="10"/>
  <c r="E331" i="10"/>
  <c r="E332" i="10"/>
  <c r="E333" i="10"/>
  <c r="E334" i="10"/>
  <c r="E335" i="10"/>
  <c r="E336" i="10"/>
  <c r="E337" i="10"/>
  <c r="E338" i="10"/>
  <c r="E339" i="10"/>
  <c r="E340" i="10"/>
  <c r="E341" i="10"/>
  <c r="E342" i="10"/>
  <c r="E343" i="10"/>
  <c r="E344" i="10"/>
  <c r="E345" i="10"/>
  <c r="E346" i="10"/>
  <c r="E347" i="10"/>
  <c r="E348" i="10"/>
  <c r="E349" i="10"/>
  <c r="E350" i="10"/>
  <c r="E351" i="10"/>
  <c r="E352" i="10"/>
  <c r="E353" i="10"/>
  <c r="E354" i="10"/>
  <c r="E355" i="10"/>
  <c r="E356" i="10"/>
  <c r="E357" i="10"/>
  <c r="E358" i="10"/>
  <c r="E359" i="10"/>
  <c r="E360" i="10"/>
  <c r="E361" i="10"/>
  <c r="E362" i="10"/>
  <c r="E363" i="10"/>
  <c r="E364" i="10"/>
  <c r="E365" i="10"/>
  <c r="E366" i="10"/>
  <c r="E367" i="10"/>
  <c r="E368" i="10"/>
  <c r="E369" i="10"/>
  <c r="E370" i="10"/>
  <c r="E371" i="10"/>
  <c r="E372" i="10"/>
  <c r="E373" i="10"/>
  <c r="E374" i="10"/>
  <c r="E375" i="10"/>
  <c r="E376" i="10"/>
  <c r="E377" i="10"/>
  <c r="E378" i="10"/>
  <c r="E379" i="10"/>
  <c r="E380" i="10"/>
  <c r="E381" i="10"/>
  <c r="E382" i="10"/>
  <c r="E383" i="10"/>
  <c r="E384" i="10"/>
  <c r="E385" i="10"/>
  <c r="E386" i="10"/>
  <c r="E387" i="10"/>
  <c r="E388" i="10"/>
  <c r="E389" i="10"/>
  <c r="E390" i="10"/>
  <c r="E391" i="10"/>
  <c r="E392" i="10"/>
  <c r="E393" i="10"/>
  <c r="E394" i="10"/>
  <c r="E395" i="10"/>
  <c r="E396" i="10"/>
  <c r="E397" i="10"/>
  <c r="E398" i="10"/>
  <c r="E399" i="10"/>
  <c r="E400" i="10"/>
  <c r="E401" i="10"/>
  <c r="E402" i="10"/>
  <c r="E403" i="10"/>
  <c r="E404" i="10"/>
  <c r="E408" i="10"/>
  <c r="E409" i="10"/>
  <c r="E410" i="10"/>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379" i="121"/>
  <c r="E380" i="121"/>
  <c r="E381" i="121"/>
  <c r="E382" i="121"/>
  <c r="E383" i="121"/>
  <c r="E384" i="121"/>
  <c r="E385" i="121"/>
  <c r="E386" i="121"/>
  <c r="E387" i="121"/>
  <c r="E388" i="121"/>
  <c r="E389" i="121"/>
  <c r="E390" i="121"/>
  <c r="E391" i="121"/>
  <c r="E392" i="121"/>
  <c r="E393" i="121"/>
  <c r="E394" i="121"/>
  <c r="E395" i="121"/>
  <c r="E396" i="121"/>
  <c r="E397" i="121"/>
  <c r="E398" i="121"/>
  <c r="E399" i="121"/>
  <c r="E400" i="121"/>
  <c r="E401" i="121"/>
  <c r="E402" i="121"/>
  <c r="E403" i="121"/>
  <c r="E404" i="121"/>
  <c r="E405" i="121"/>
  <c r="E406" i="121"/>
  <c r="E407" i="121"/>
  <c r="E408" i="121"/>
  <c r="E409" i="121"/>
  <c r="E410" i="121"/>
  <c r="E411" i="121"/>
  <c r="E412" i="121"/>
  <c r="E413" i="121"/>
  <c r="E414" i="121"/>
  <c r="E415" i="121"/>
  <c r="E416" i="121"/>
  <c r="E417" i="121"/>
  <c r="E418" i="121"/>
  <c r="E419" i="121"/>
  <c r="E420" i="121"/>
  <c r="E421" i="121"/>
  <c r="E422" i="121"/>
  <c r="E423" i="121"/>
  <c r="E424" i="121"/>
  <c r="BV2" i="9"/>
  <c r="BW2" i="9"/>
  <c r="AF3" i="9"/>
  <c r="BC3" i="9"/>
  <c r="BD3" i="9"/>
  <c r="CB3" i="9"/>
  <c r="CC3" i="9"/>
  <c r="CD3" i="9"/>
  <c r="CE3" i="9" s="1"/>
  <c r="CG3" i="9"/>
  <c r="AF4" i="9"/>
  <c r="BC4" i="9"/>
  <c r="BD4" i="9"/>
  <c r="BE4" i="9" s="1"/>
  <c r="CB4" i="9"/>
  <c r="CD4" i="9"/>
  <c r="CG4" i="9"/>
  <c r="AF5" i="9"/>
  <c r="BC5" i="9"/>
  <c r="BD5" i="9"/>
  <c r="CB5" i="9"/>
  <c r="CD5" i="9"/>
  <c r="CG5" i="9"/>
  <c r="AF6" i="9"/>
  <c r="BC6" i="9"/>
  <c r="BD6" i="9"/>
  <c r="BE6" i="9" s="1"/>
  <c r="CB6" i="9"/>
  <c r="CD6" i="9"/>
  <c r="CG6" i="9"/>
  <c r="AF7" i="9"/>
  <c r="BC7" i="9"/>
  <c r="BD7" i="9"/>
  <c r="CB7" i="9"/>
  <c r="CD7" i="9"/>
  <c r="CG7" i="9"/>
  <c r="AF8" i="9"/>
  <c r="BC8" i="9"/>
  <c r="BD8" i="9"/>
  <c r="BE8" i="9" s="1"/>
  <c r="CB8" i="9"/>
  <c r="CD8" i="9"/>
  <c r="CG8" i="9"/>
  <c r="AF9" i="9"/>
  <c r="BC9" i="9"/>
  <c r="BD9" i="9"/>
  <c r="BE9" i="9"/>
  <c r="CB9" i="9"/>
  <c r="CD9" i="9"/>
  <c r="CE9" i="9"/>
  <c r="CG9" i="9"/>
  <c r="AF10" i="9"/>
  <c r="BC10" i="9"/>
  <c r="BD10" i="9"/>
  <c r="BE10" i="9"/>
  <c r="CB10" i="9"/>
  <c r="CD10" i="9"/>
  <c r="CG10" i="9"/>
  <c r="AF11" i="9"/>
  <c r="BC11" i="9"/>
  <c r="BD11" i="9"/>
  <c r="CB11" i="9"/>
  <c r="CD11" i="9"/>
  <c r="CG11" i="9"/>
  <c r="AF12" i="9"/>
  <c r="BC12" i="9"/>
  <c r="BD12" i="9"/>
  <c r="BE12" i="9" s="1"/>
  <c r="CB12" i="9"/>
  <c r="CD12" i="9"/>
  <c r="CG12" i="9"/>
  <c r="AF13" i="9"/>
  <c r="BC13" i="9"/>
  <c r="BD13" i="9"/>
  <c r="BE13" i="9" s="1"/>
  <c r="CB13" i="9"/>
  <c r="CD13" i="9"/>
  <c r="CG13" i="9"/>
  <c r="AF14" i="9"/>
  <c r="BC14" i="9"/>
  <c r="BD14" i="9"/>
  <c r="BE14" i="9"/>
  <c r="CB14" i="9"/>
  <c r="CD14" i="9"/>
  <c r="CG14" i="9"/>
  <c r="AF15" i="9"/>
  <c r="BC15" i="9"/>
  <c r="BD15" i="9"/>
  <c r="BE15" i="9"/>
  <c r="CB15" i="9"/>
  <c r="CD15" i="9"/>
  <c r="CG15" i="9"/>
  <c r="AF16" i="9"/>
  <c r="BC16" i="9"/>
  <c r="BD16" i="9"/>
  <c r="BE16" i="9" s="1"/>
  <c r="CB16" i="9"/>
  <c r="CD16" i="9"/>
  <c r="CG16" i="9"/>
  <c r="AF17" i="9"/>
  <c r="BC17" i="9"/>
  <c r="BD17" i="9"/>
  <c r="BE17" i="9" s="1"/>
  <c r="CB17" i="9"/>
  <c r="CD17" i="9"/>
  <c r="CG17" i="9"/>
  <c r="AF18" i="9"/>
  <c r="BC18" i="9"/>
  <c r="BD18" i="9"/>
  <c r="BE18" i="9"/>
  <c r="CB18" i="9"/>
  <c r="CD18" i="9"/>
  <c r="CG18" i="9"/>
  <c r="AF19" i="9"/>
  <c r="BC19" i="9"/>
  <c r="BD19" i="9"/>
  <c r="BE19" i="9" s="1"/>
  <c r="CB19" i="9"/>
  <c r="CD19" i="9"/>
  <c r="CG19" i="9"/>
  <c r="AF20" i="9"/>
  <c r="BC20" i="9"/>
  <c r="BD20" i="9"/>
  <c r="BE20" i="9"/>
  <c r="CB20" i="9"/>
  <c r="CD20" i="9"/>
  <c r="CG20" i="9"/>
  <c r="AF21" i="9"/>
  <c r="BC21" i="9"/>
  <c r="BD21" i="9"/>
  <c r="BE21" i="9" s="1"/>
  <c r="CB21" i="9"/>
  <c r="CD21" i="9"/>
  <c r="CG21" i="9"/>
  <c r="AF22" i="9"/>
  <c r="BC22" i="9"/>
  <c r="BD22" i="9"/>
  <c r="BE22" i="9" s="1"/>
  <c r="CB22" i="9"/>
  <c r="CD22" i="9"/>
  <c r="CG22" i="9"/>
  <c r="AF23" i="9"/>
  <c r="BC23" i="9"/>
  <c r="BD23" i="9"/>
  <c r="BE23" i="9"/>
  <c r="CB23" i="9"/>
  <c r="CD23" i="9"/>
  <c r="CG23" i="9"/>
  <c r="AF24" i="9"/>
  <c r="BC24" i="9"/>
  <c r="BD24" i="9"/>
  <c r="BE24" i="9" s="1"/>
  <c r="CB24" i="9"/>
  <c r="CD24" i="9"/>
  <c r="CG24" i="9"/>
  <c r="AF25" i="9"/>
  <c r="BC25" i="9"/>
  <c r="BD25" i="9"/>
  <c r="BE25" i="9" s="1"/>
  <c r="CB25" i="9"/>
  <c r="CD25" i="9"/>
  <c r="CG25" i="9"/>
  <c r="AF26" i="9"/>
  <c r="BC26" i="9"/>
  <c r="BD26" i="9"/>
  <c r="BE26" i="9"/>
  <c r="CB26" i="9"/>
  <c r="CD26" i="9"/>
  <c r="CG26" i="9"/>
  <c r="AF27" i="9"/>
  <c r="BC27" i="9"/>
  <c r="BD27" i="9"/>
  <c r="BE27" i="9" s="1"/>
  <c r="CB27" i="9"/>
  <c r="CD27" i="9"/>
  <c r="CG27" i="9"/>
  <c r="AF28" i="9"/>
  <c r="BC28" i="9"/>
  <c r="BD28" i="9"/>
  <c r="BE28" i="9"/>
  <c r="CB28" i="9"/>
  <c r="CD28" i="9"/>
  <c r="CG28" i="9"/>
  <c r="AF29" i="9"/>
  <c r="BC29" i="9"/>
  <c r="BD29" i="9"/>
  <c r="BE29" i="9"/>
  <c r="CB29" i="9"/>
  <c r="CD29" i="9"/>
  <c r="CG29" i="9"/>
  <c r="AF30" i="9"/>
  <c r="BC30" i="9"/>
  <c r="BD30" i="9"/>
  <c r="BE30" i="9" s="1"/>
  <c r="CB30" i="9"/>
  <c r="CD30" i="9"/>
  <c r="CG30" i="9"/>
  <c r="AF31" i="9"/>
  <c r="BC31" i="9"/>
  <c r="BD31" i="9"/>
  <c r="BE31" i="9"/>
  <c r="CB31" i="9"/>
  <c r="CD31" i="9"/>
  <c r="CG31" i="9"/>
  <c r="AF32" i="9"/>
  <c r="BC32" i="9"/>
  <c r="BD32" i="9"/>
  <c r="BE32" i="9" s="1"/>
  <c r="CB32" i="9"/>
  <c r="CD32" i="9"/>
  <c r="CG32" i="9"/>
  <c r="AF33" i="9"/>
  <c r="BC33" i="9"/>
  <c r="BD33" i="9"/>
  <c r="BE33" i="9" s="1"/>
  <c r="CB33" i="9"/>
  <c r="CD33" i="9"/>
  <c r="CG33" i="9"/>
  <c r="AF34" i="9"/>
  <c r="BC34" i="9"/>
  <c r="BD34" i="9"/>
  <c r="BE34" i="9"/>
  <c r="CB34" i="9"/>
  <c r="CD34" i="9"/>
  <c r="CG34" i="9"/>
  <c r="AF35" i="9"/>
  <c r="BC35" i="9"/>
  <c r="BD35" i="9"/>
  <c r="BE35" i="9" s="1"/>
  <c r="CB35" i="9"/>
  <c r="CD35" i="9"/>
  <c r="CG35" i="9"/>
  <c r="AF36" i="9"/>
  <c r="BC36" i="9"/>
  <c r="BD36" i="9"/>
  <c r="BE36" i="9" s="1"/>
  <c r="CB36" i="9"/>
  <c r="CD36" i="9"/>
  <c r="CG36" i="9"/>
  <c r="AF37" i="9"/>
  <c r="BC37" i="9"/>
  <c r="BD37" i="9"/>
  <c r="BE37" i="9" s="1"/>
  <c r="CB37" i="9"/>
  <c r="CD37" i="9"/>
  <c r="CG37" i="9"/>
  <c r="AF38" i="9"/>
  <c r="BC38" i="9"/>
  <c r="BD38" i="9"/>
  <c r="BE38" i="9"/>
  <c r="CB38" i="9"/>
  <c r="CD38" i="9"/>
  <c r="CG38" i="9"/>
  <c r="AF39" i="9"/>
  <c r="BC39" i="9"/>
  <c r="BD39" i="9"/>
  <c r="BE39" i="9"/>
  <c r="CB39" i="9"/>
  <c r="CD39" i="9"/>
  <c r="CG39" i="9"/>
  <c r="AF40" i="9"/>
  <c r="BC40" i="9"/>
  <c r="BD40" i="9"/>
  <c r="BE40" i="9" s="1"/>
  <c r="CB40" i="9"/>
  <c r="CD40" i="9"/>
  <c r="CG40" i="9"/>
  <c r="AF41" i="9"/>
  <c r="BC41" i="9"/>
  <c r="BD41" i="9"/>
  <c r="BE41" i="9" s="1"/>
  <c r="CB41" i="9"/>
  <c r="CD41" i="9"/>
  <c r="CG41" i="9"/>
  <c r="AF42" i="9"/>
  <c r="BC42" i="9"/>
  <c r="BD42" i="9"/>
  <c r="BE42" i="9"/>
  <c r="CB42" i="9"/>
  <c r="CD42" i="9"/>
  <c r="CG42" i="9"/>
  <c r="AF43" i="9"/>
  <c r="BC43" i="9"/>
  <c r="BD43" i="9"/>
  <c r="BE43" i="9" s="1"/>
  <c r="CB43" i="9"/>
  <c r="CD43" i="9"/>
  <c r="CG43" i="9"/>
  <c r="AF44" i="9"/>
  <c r="BC44" i="9"/>
  <c r="BD44" i="9"/>
  <c r="BE44" i="9" s="1"/>
  <c r="CB44" i="9"/>
  <c r="CD44" i="9"/>
  <c r="CG44" i="9"/>
  <c r="N45" i="9"/>
  <c r="O45" i="9"/>
  <c r="P45" i="9"/>
  <c r="AF45" i="9"/>
  <c r="BC45" i="9"/>
  <c r="BD45" i="9"/>
  <c r="BE45" i="9"/>
  <c r="CB45" i="9"/>
  <c r="CD45" i="9"/>
  <c r="CG45" i="9"/>
  <c r="N46" i="9"/>
  <c r="O46" i="9"/>
  <c r="P46" i="9"/>
  <c r="AF46" i="9"/>
  <c r="BC46" i="9"/>
  <c r="BD46" i="9"/>
  <c r="BE46" i="9" s="1"/>
  <c r="CB46" i="9"/>
  <c r="CD46" i="9"/>
  <c r="CG46" i="9"/>
  <c r="N47" i="9"/>
  <c r="O47" i="9"/>
  <c r="P47" i="9"/>
  <c r="AF47" i="9"/>
  <c r="BC47" i="9"/>
  <c r="BD47" i="9"/>
  <c r="BE47" i="9"/>
  <c r="CB47" i="9"/>
  <c r="CD47" i="9"/>
  <c r="CG47" i="9"/>
  <c r="N48" i="9"/>
  <c r="O48" i="9"/>
  <c r="P48" i="9"/>
  <c r="AF48" i="9"/>
  <c r="BC48" i="9"/>
  <c r="BD48" i="9"/>
  <c r="BE48" i="9" s="1"/>
  <c r="CB48" i="9"/>
  <c r="CD48" i="9"/>
  <c r="CG48" i="9"/>
  <c r="N49" i="9"/>
  <c r="O49" i="9"/>
  <c r="P49" i="9"/>
  <c r="AF49" i="9"/>
  <c r="BC49" i="9"/>
  <c r="BD49" i="9"/>
  <c r="BE49" i="9"/>
  <c r="CB49" i="9"/>
  <c r="CD49" i="9"/>
  <c r="CG49" i="9"/>
  <c r="N50" i="9"/>
  <c r="O50" i="9"/>
  <c r="P50" i="9"/>
  <c r="AF50" i="9"/>
  <c r="BC50" i="9"/>
  <c r="BD50" i="9"/>
  <c r="BE50" i="9" s="1"/>
  <c r="CB50" i="9"/>
  <c r="CD50" i="9"/>
  <c r="CG50" i="9"/>
  <c r="N51" i="9"/>
  <c r="O51" i="9"/>
  <c r="P51" i="9"/>
  <c r="AF51" i="9"/>
  <c r="BC51" i="9"/>
  <c r="BD51" i="9"/>
  <c r="BE51" i="9" s="1"/>
  <c r="CB51" i="9"/>
  <c r="CD51" i="9"/>
  <c r="CG51" i="9"/>
  <c r="N52" i="9"/>
  <c r="O52" i="9"/>
  <c r="P52" i="9"/>
  <c r="AF52" i="9"/>
  <c r="BC52" i="9"/>
  <c r="BD52" i="9"/>
  <c r="BE52" i="9"/>
  <c r="CB52" i="9"/>
  <c r="CD52" i="9"/>
  <c r="CG52" i="9"/>
  <c r="N53" i="9"/>
  <c r="O53" i="9"/>
  <c r="P53" i="9"/>
  <c r="AF53" i="9"/>
  <c r="BC53" i="9"/>
  <c r="BD53" i="9"/>
  <c r="BE53" i="9"/>
  <c r="CB53" i="9"/>
  <c r="CD53" i="9"/>
  <c r="CG53" i="9"/>
  <c r="N54" i="9"/>
  <c r="O54" i="9"/>
  <c r="P54" i="9"/>
  <c r="AF54" i="9"/>
  <c r="BC54" i="9"/>
  <c r="BD54" i="9"/>
  <c r="BE54" i="9" s="1"/>
  <c r="CB54" i="9"/>
  <c r="CD54" i="9"/>
  <c r="CG54" i="9"/>
  <c r="N55" i="9"/>
  <c r="O55" i="9"/>
  <c r="P55" i="9"/>
  <c r="AF55" i="9"/>
  <c r="BC55" i="9"/>
  <c r="BD55" i="9"/>
  <c r="BE55" i="9" s="1"/>
  <c r="CB55" i="9"/>
  <c r="CD55" i="9"/>
  <c r="CG55" i="9"/>
  <c r="N56" i="9"/>
  <c r="O56" i="9"/>
  <c r="P56" i="9"/>
  <c r="AF56" i="9"/>
  <c r="BC56" i="9"/>
  <c r="BD56" i="9"/>
  <c r="BE56" i="9"/>
  <c r="CB56" i="9"/>
  <c r="CD56" i="9"/>
  <c r="CG56" i="9"/>
  <c r="N57" i="9"/>
  <c r="O57" i="9"/>
  <c r="P57" i="9"/>
  <c r="AF57" i="9"/>
  <c r="BC57" i="9"/>
  <c r="BD57" i="9"/>
  <c r="BE57" i="9"/>
  <c r="CB57" i="9"/>
  <c r="CD57" i="9"/>
  <c r="CG57" i="9"/>
  <c r="N58" i="9"/>
  <c r="O58" i="9"/>
  <c r="P58" i="9"/>
  <c r="AF58" i="9"/>
  <c r="BC58" i="9"/>
  <c r="BD58" i="9"/>
  <c r="BE58" i="9" s="1"/>
  <c r="CB58" i="9"/>
  <c r="CD58" i="9"/>
  <c r="CG58" i="9"/>
  <c r="N59" i="9"/>
  <c r="O59" i="9"/>
  <c r="P59" i="9"/>
  <c r="AF59" i="9"/>
  <c r="BC59" i="9"/>
  <c r="BD59" i="9"/>
  <c r="BE59" i="9" s="1"/>
  <c r="CB59" i="9"/>
  <c r="CD59" i="9"/>
  <c r="CG59" i="9"/>
  <c r="N60" i="9"/>
  <c r="O60" i="9"/>
  <c r="P60" i="9"/>
  <c r="AF60" i="9"/>
  <c r="BC60" i="9"/>
  <c r="BD60" i="9"/>
  <c r="BE60" i="9" s="1"/>
  <c r="CB60" i="9"/>
  <c r="CD60" i="9"/>
  <c r="CG60" i="9"/>
  <c r="N61" i="9"/>
  <c r="O61" i="9"/>
  <c r="P61" i="9"/>
  <c r="AF61" i="9"/>
  <c r="BC61" i="9"/>
  <c r="BD61" i="9"/>
  <c r="BE61" i="9"/>
  <c r="CB61" i="9"/>
  <c r="CD61" i="9"/>
  <c r="CG61" i="9"/>
  <c r="N62" i="9"/>
  <c r="O62" i="9"/>
  <c r="P62" i="9"/>
  <c r="AF62" i="9"/>
  <c r="BC62" i="9"/>
  <c r="BD62" i="9"/>
  <c r="BE62" i="9" s="1"/>
  <c r="CB62" i="9"/>
  <c r="CD62" i="9"/>
  <c r="CG62" i="9"/>
  <c r="N63" i="9"/>
  <c r="O63" i="9"/>
  <c r="P63" i="9"/>
  <c r="AF63" i="9"/>
  <c r="BC63" i="9"/>
  <c r="BD63" i="9"/>
  <c r="BE63" i="9"/>
  <c r="CB63" i="9"/>
  <c r="CC63" i="9" s="1"/>
  <c r="CD63" i="9"/>
  <c r="CG63" i="9"/>
  <c r="N64" i="9"/>
  <c r="O64" i="9"/>
  <c r="P64" i="9"/>
  <c r="AF64" i="9"/>
  <c r="BC64" i="9"/>
  <c r="BD64" i="9"/>
  <c r="BE64" i="9" s="1"/>
  <c r="CB64" i="9"/>
  <c r="CD64" i="9"/>
  <c r="CG64" i="9"/>
  <c r="N65" i="9"/>
  <c r="O65" i="9"/>
  <c r="P65" i="9"/>
  <c r="AF65" i="9"/>
  <c r="BC65" i="9"/>
  <c r="BD65" i="9"/>
  <c r="BE65" i="9" s="1"/>
  <c r="CB65" i="9"/>
  <c r="CD65" i="9"/>
  <c r="CG65" i="9"/>
  <c r="N66" i="9"/>
  <c r="O66" i="9"/>
  <c r="P66" i="9"/>
  <c r="AF66" i="9"/>
  <c r="BC66" i="9"/>
  <c r="BD66" i="9"/>
  <c r="BE66" i="9"/>
  <c r="CB66" i="9"/>
  <c r="CD66" i="9"/>
  <c r="CG66" i="9"/>
  <c r="N67" i="9"/>
  <c r="O67" i="9"/>
  <c r="P67" i="9"/>
  <c r="AF67" i="9"/>
  <c r="BC67" i="9"/>
  <c r="BD67" i="9"/>
  <c r="BE67" i="9"/>
  <c r="CB67" i="9"/>
  <c r="CD67" i="9"/>
  <c r="CG67" i="9"/>
  <c r="N68" i="9"/>
  <c r="O68" i="9"/>
  <c r="P68" i="9"/>
  <c r="AF68" i="9"/>
  <c r="BC68" i="9"/>
  <c r="BD68" i="9"/>
  <c r="BE68" i="9" s="1"/>
  <c r="CB68" i="9"/>
  <c r="CD68" i="9"/>
  <c r="CG68" i="9"/>
  <c r="N69" i="9"/>
  <c r="O69" i="9"/>
  <c r="P69" i="9"/>
  <c r="AF69" i="9"/>
  <c r="BC69" i="9"/>
  <c r="BD69" i="9"/>
  <c r="BE69" i="9" s="1"/>
  <c r="CB69" i="9"/>
  <c r="CD69" i="9"/>
  <c r="CE69" i="9"/>
  <c r="CG69" i="9"/>
  <c r="N70" i="9"/>
  <c r="O70" i="9"/>
  <c r="P70" i="9"/>
  <c r="AF70" i="9"/>
  <c r="BC70" i="9"/>
  <c r="BD70" i="9"/>
  <c r="BE70" i="9"/>
  <c r="CB70" i="9"/>
  <c r="CD70" i="9"/>
  <c r="CG70" i="9"/>
  <c r="N71" i="9"/>
  <c r="O71" i="9"/>
  <c r="P71" i="9"/>
  <c r="AF71" i="9"/>
  <c r="BC71" i="9"/>
  <c r="BD71" i="9"/>
  <c r="BE71" i="9"/>
  <c r="CB71" i="9"/>
  <c r="CD71" i="9"/>
  <c r="CG71" i="9"/>
  <c r="N72" i="9"/>
  <c r="O72" i="9"/>
  <c r="P72" i="9"/>
  <c r="AF72" i="9"/>
  <c r="BC72" i="9"/>
  <c r="BD72" i="9"/>
  <c r="BE72" i="9"/>
  <c r="CB72" i="9"/>
  <c r="CD72" i="9"/>
  <c r="CG72" i="9"/>
  <c r="N73" i="9"/>
  <c r="O73" i="9"/>
  <c r="P73" i="9"/>
  <c r="AF73" i="9"/>
  <c r="BC73" i="9"/>
  <c r="BD73" i="9"/>
  <c r="BE73" i="9" s="1"/>
  <c r="CB73" i="9"/>
  <c r="CD73" i="9"/>
  <c r="CG73" i="9"/>
  <c r="N74" i="9"/>
  <c r="O74" i="9"/>
  <c r="P74" i="9"/>
  <c r="AF74" i="9"/>
  <c r="BC74" i="9"/>
  <c r="BD74" i="9"/>
  <c r="BE74" i="9" s="1"/>
  <c r="CB74" i="9"/>
  <c r="CD74" i="9"/>
  <c r="CG74" i="9"/>
  <c r="N75" i="9"/>
  <c r="O75" i="9"/>
  <c r="P75" i="9"/>
  <c r="AF75" i="9"/>
  <c r="BC75" i="9"/>
  <c r="BD75" i="9"/>
  <c r="BE75" i="9"/>
  <c r="CB75" i="9"/>
  <c r="CD75" i="9"/>
  <c r="CG75" i="9"/>
  <c r="N76" i="9"/>
  <c r="O76" i="9"/>
  <c r="P76" i="9"/>
  <c r="AF76" i="9"/>
  <c r="BC76" i="9"/>
  <c r="BD76" i="9"/>
  <c r="BE76" i="9"/>
  <c r="CB76" i="9"/>
  <c r="CD76" i="9"/>
  <c r="CG76" i="9"/>
  <c r="N77" i="9"/>
  <c r="O77" i="9"/>
  <c r="P77" i="9"/>
  <c r="AF77" i="9"/>
  <c r="BC77" i="9"/>
  <c r="BD77" i="9"/>
  <c r="BE77" i="9" s="1"/>
  <c r="CB77" i="9"/>
  <c r="CD77" i="9"/>
  <c r="CG77" i="9"/>
  <c r="N78" i="9"/>
  <c r="O78" i="9"/>
  <c r="P78" i="9"/>
  <c r="AF78" i="9"/>
  <c r="BC78" i="9"/>
  <c r="BD78" i="9"/>
  <c r="BE78" i="9" s="1"/>
  <c r="CB78" i="9"/>
  <c r="CD78" i="9"/>
  <c r="CG78" i="9"/>
  <c r="N79" i="9"/>
  <c r="O79" i="9"/>
  <c r="P79" i="9"/>
  <c r="AF79" i="9"/>
  <c r="BC79" i="9"/>
  <c r="BD79" i="9"/>
  <c r="BE79" i="9"/>
  <c r="CB79" i="9"/>
  <c r="CD79" i="9"/>
  <c r="CG79" i="9"/>
  <c r="N80" i="9"/>
  <c r="O80" i="9"/>
  <c r="P80" i="9"/>
  <c r="AF80" i="9"/>
  <c r="BC80" i="9"/>
  <c r="BD80" i="9"/>
  <c r="BE80" i="9"/>
  <c r="CB80" i="9"/>
  <c r="CD80" i="9"/>
  <c r="CG80" i="9"/>
  <c r="N81" i="9"/>
  <c r="O81" i="9"/>
  <c r="P81" i="9"/>
  <c r="AF81" i="9"/>
  <c r="BC81" i="9"/>
  <c r="BD81" i="9"/>
  <c r="BE81" i="9" s="1"/>
  <c r="CB81" i="9"/>
  <c r="CD81" i="9"/>
  <c r="CG81" i="9"/>
  <c r="N82" i="9"/>
  <c r="O82" i="9"/>
  <c r="P82" i="9"/>
  <c r="AF82" i="9"/>
  <c r="BC82" i="9"/>
  <c r="BD82" i="9"/>
  <c r="BE82" i="9"/>
  <c r="CB82" i="9"/>
  <c r="CD82" i="9"/>
  <c r="CG82" i="9"/>
  <c r="N83" i="9"/>
  <c r="O83" i="9"/>
  <c r="P83" i="9"/>
  <c r="AF83" i="9"/>
  <c r="BC83" i="9"/>
  <c r="BD83" i="9"/>
  <c r="BE83" i="9" s="1"/>
  <c r="CB83" i="9"/>
  <c r="CD83" i="9"/>
  <c r="CG83" i="9"/>
  <c r="N84" i="9"/>
  <c r="O84" i="9"/>
  <c r="P84" i="9"/>
  <c r="AF84" i="9"/>
  <c r="BC84" i="9"/>
  <c r="BD84" i="9"/>
  <c r="BE84" i="9"/>
  <c r="CB84" i="9"/>
  <c r="CD84" i="9"/>
  <c r="CG84" i="9"/>
  <c r="N85" i="9"/>
  <c r="O85" i="9"/>
  <c r="P85" i="9"/>
  <c r="AF85" i="9"/>
  <c r="BC85" i="9"/>
  <c r="BD85" i="9"/>
  <c r="BE85" i="9" s="1"/>
  <c r="CB85" i="9"/>
  <c r="CD85" i="9"/>
  <c r="CG85" i="9"/>
  <c r="N86" i="9"/>
  <c r="O86" i="9"/>
  <c r="P86" i="9"/>
  <c r="AF86" i="9"/>
  <c r="BC86" i="9"/>
  <c r="BD86" i="9"/>
  <c r="BE86" i="9" s="1"/>
  <c r="CB86" i="9"/>
  <c r="CD86" i="9"/>
  <c r="CG86" i="9"/>
  <c r="N87" i="9"/>
  <c r="O87" i="9"/>
  <c r="P87" i="9"/>
  <c r="AF87" i="9"/>
  <c r="BC87" i="9"/>
  <c r="BD87" i="9"/>
  <c r="BE87" i="9" s="1"/>
  <c r="CB87" i="9"/>
  <c r="CD87" i="9"/>
  <c r="CG87" i="9"/>
  <c r="N88" i="9"/>
  <c r="O88" i="9"/>
  <c r="P88" i="9"/>
  <c r="AF88" i="9"/>
  <c r="BC88" i="9"/>
  <c r="BD88" i="9"/>
  <c r="BE88" i="9"/>
  <c r="CB88" i="9"/>
  <c r="CD88" i="9"/>
  <c r="CG88" i="9"/>
  <c r="N89" i="9"/>
  <c r="O89" i="9"/>
  <c r="P89" i="9"/>
  <c r="AF89" i="9"/>
  <c r="BC89" i="9"/>
  <c r="BD89" i="9"/>
  <c r="BE89" i="9" s="1"/>
  <c r="CB89" i="9"/>
  <c r="CD89" i="9"/>
  <c r="CG89" i="9"/>
  <c r="N90" i="9"/>
  <c r="O90" i="9"/>
  <c r="P90" i="9"/>
  <c r="AF90" i="9"/>
  <c r="BC90" i="9"/>
  <c r="BD90" i="9"/>
  <c r="BE90" i="9" s="1"/>
  <c r="CB90" i="9"/>
  <c r="CD90" i="9"/>
  <c r="CG90" i="9"/>
  <c r="N91" i="9"/>
  <c r="O91" i="9"/>
  <c r="P91" i="9"/>
  <c r="AF91" i="9"/>
  <c r="BC91" i="9"/>
  <c r="BD91" i="9"/>
  <c r="BE91" i="9" s="1"/>
  <c r="CB91" i="9"/>
  <c r="CD91" i="9"/>
  <c r="CG91" i="9"/>
  <c r="N92" i="9"/>
  <c r="O92" i="9"/>
  <c r="P92" i="9"/>
  <c r="AF92" i="9"/>
  <c r="BC92" i="9"/>
  <c r="BD92" i="9"/>
  <c r="BE92" i="9"/>
  <c r="CB92" i="9"/>
  <c r="CD92" i="9"/>
  <c r="CG92" i="9"/>
  <c r="N93" i="9"/>
  <c r="O93" i="9"/>
  <c r="P93" i="9"/>
  <c r="AF93" i="9"/>
  <c r="BC93" i="9"/>
  <c r="BD93" i="9"/>
  <c r="BE93" i="9" s="1"/>
  <c r="CB93" i="9"/>
  <c r="CD93" i="9"/>
  <c r="CG93" i="9"/>
  <c r="N94" i="9"/>
  <c r="O94" i="9"/>
  <c r="P94" i="9"/>
  <c r="AF94" i="9"/>
  <c r="BC94" i="9"/>
  <c r="BD94" i="9"/>
  <c r="BE94" i="9" s="1"/>
  <c r="CB94" i="9"/>
  <c r="CD94" i="9"/>
  <c r="CG94" i="9"/>
  <c r="N95" i="9"/>
  <c r="O95" i="9"/>
  <c r="P95" i="9"/>
  <c r="AF95" i="9"/>
  <c r="BC95" i="9"/>
  <c r="BD95" i="9"/>
  <c r="BE95" i="9" s="1"/>
  <c r="CB95" i="9"/>
  <c r="CD95" i="9"/>
  <c r="CG95" i="9"/>
  <c r="N96" i="9"/>
  <c r="O96" i="9"/>
  <c r="P96" i="9"/>
  <c r="AF96" i="9"/>
  <c r="BC96" i="9"/>
  <c r="BD96" i="9"/>
  <c r="BE96" i="9"/>
  <c r="CB96" i="9"/>
  <c r="CD96" i="9"/>
  <c r="CG96" i="9"/>
  <c r="N97" i="9"/>
  <c r="O97" i="9"/>
  <c r="P97" i="9"/>
  <c r="AF97" i="9"/>
  <c r="BC97" i="9"/>
  <c r="BD97" i="9"/>
  <c r="BE97" i="9" s="1"/>
  <c r="CB97" i="9"/>
  <c r="CD97" i="9"/>
  <c r="CG97" i="9"/>
  <c r="N98" i="9"/>
  <c r="O98" i="9"/>
  <c r="P98" i="9"/>
  <c r="AF98" i="9"/>
  <c r="BC98" i="9"/>
  <c r="BD98" i="9"/>
  <c r="BE98" i="9" s="1"/>
  <c r="CB98" i="9"/>
  <c r="CD98" i="9"/>
  <c r="CG98" i="9"/>
  <c r="N99" i="9"/>
  <c r="O99" i="9"/>
  <c r="P99" i="9"/>
  <c r="AF99" i="9"/>
  <c r="BC99" i="9"/>
  <c r="BD99" i="9"/>
  <c r="BE99" i="9" s="1"/>
  <c r="CB99" i="9"/>
  <c r="CC99" i="9"/>
  <c r="CD99" i="9"/>
  <c r="CG99" i="9"/>
  <c r="N100" i="9"/>
  <c r="O100" i="9"/>
  <c r="P100" i="9"/>
  <c r="AF100" i="9"/>
  <c r="BC100" i="9"/>
  <c r="BD100" i="9"/>
  <c r="BE100" i="9" s="1"/>
  <c r="CB100" i="9"/>
  <c r="CD100" i="9"/>
  <c r="CG100" i="9"/>
  <c r="N101" i="9"/>
  <c r="O101" i="9"/>
  <c r="P101" i="9"/>
  <c r="AF101" i="9"/>
  <c r="BC101" i="9"/>
  <c r="BD101" i="9"/>
  <c r="BE101" i="9"/>
  <c r="CB101" i="9"/>
  <c r="CD101" i="9"/>
  <c r="CG101" i="9"/>
  <c r="N102" i="9"/>
  <c r="O102" i="9"/>
  <c r="P102" i="9"/>
  <c r="AF102" i="9"/>
  <c r="BC102" i="9"/>
  <c r="BD102" i="9"/>
  <c r="BE102" i="9" s="1"/>
  <c r="CB102" i="9"/>
  <c r="CD102" i="9"/>
  <c r="CG102" i="9"/>
  <c r="N103" i="9"/>
  <c r="O103" i="9"/>
  <c r="P103" i="9"/>
  <c r="AF103" i="9"/>
  <c r="BC103" i="9"/>
  <c r="BD103" i="9"/>
  <c r="BE103" i="9" s="1"/>
  <c r="CB103" i="9"/>
  <c r="CD103" i="9"/>
  <c r="CG103" i="9"/>
  <c r="N104" i="9"/>
  <c r="O104" i="9"/>
  <c r="P104" i="9"/>
  <c r="AF104" i="9"/>
  <c r="BC104" i="9"/>
  <c r="BD104" i="9"/>
  <c r="BE104" i="9" s="1"/>
  <c r="CB104" i="9"/>
  <c r="CD104" i="9"/>
  <c r="CG104" i="9"/>
  <c r="N105" i="9"/>
  <c r="O105" i="9"/>
  <c r="P105" i="9"/>
  <c r="AF105" i="9"/>
  <c r="BC105" i="9"/>
  <c r="BD105" i="9"/>
  <c r="BE105" i="9"/>
  <c r="CB105" i="9"/>
  <c r="CD105" i="9"/>
  <c r="CE105" i="9"/>
  <c r="CG105" i="9"/>
  <c r="N106" i="9"/>
  <c r="O106" i="9"/>
  <c r="P106" i="9"/>
  <c r="AF106" i="9"/>
  <c r="BC106" i="9"/>
  <c r="BD106" i="9"/>
  <c r="BE106" i="9"/>
  <c r="CB106" i="9"/>
  <c r="CD106" i="9"/>
  <c r="CG106" i="9"/>
  <c r="N107" i="9"/>
  <c r="O107" i="9"/>
  <c r="P107" i="9"/>
  <c r="AF107" i="9"/>
  <c r="BC107" i="9"/>
  <c r="BD107" i="9"/>
  <c r="BE107" i="9"/>
  <c r="CB107" i="9"/>
  <c r="CD107" i="9"/>
  <c r="CG107" i="9"/>
  <c r="N108" i="9"/>
  <c r="O108" i="9"/>
  <c r="P108" i="9"/>
  <c r="AF108" i="9"/>
  <c r="BC108" i="9"/>
  <c r="BD108" i="9"/>
  <c r="BE108" i="9" s="1"/>
  <c r="CB108" i="9"/>
  <c r="CD108" i="9"/>
  <c r="CG108" i="9"/>
  <c r="N109" i="9"/>
  <c r="O109" i="9"/>
  <c r="P109" i="9"/>
  <c r="AF109" i="9"/>
  <c r="BC109" i="9"/>
  <c r="BD109" i="9"/>
  <c r="BE109" i="9" s="1"/>
  <c r="CB109" i="9"/>
  <c r="CD109" i="9"/>
  <c r="CG109" i="9"/>
  <c r="N110" i="9"/>
  <c r="O110" i="9"/>
  <c r="P110" i="9"/>
  <c r="AF110" i="9"/>
  <c r="BC110" i="9"/>
  <c r="BD110" i="9"/>
  <c r="BE110" i="9" s="1"/>
  <c r="CB110" i="9"/>
  <c r="CD110" i="9"/>
  <c r="CG110" i="9"/>
  <c r="N111" i="9"/>
  <c r="O111" i="9"/>
  <c r="P111" i="9"/>
  <c r="AF111" i="9"/>
  <c r="BC111" i="9"/>
  <c r="BD111" i="9"/>
  <c r="BE111" i="9"/>
  <c r="CB111" i="9"/>
  <c r="CD111" i="9"/>
  <c r="CG111" i="9"/>
  <c r="N112" i="9"/>
  <c r="O112" i="9"/>
  <c r="P112" i="9"/>
  <c r="AF112" i="9"/>
  <c r="BC112" i="9"/>
  <c r="BD112" i="9"/>
  <c r="BE112" i="9" s="1"/>
  <c r="CB112" i="9"/>
  <c r="CD112" i="9"/>
  <c r="CG112" i="9"/>
  <c r="N113" i="9"/>
  <c r="O113" i="9"/>
  <c r="P113" i="9"/>
  <c r="AF113" i="9"/>
  <c r="BC113" i="9"/>
  <c r="BD113" i="9"/>
  <c r="BE113" i="9"/>
  <c r="CB113" i="9"/>
  <c r="CD113" i="9"/>
  <c r="CG113" i="9"/>
  <c r="N114" i="9"/>
  <c r="O114" i="9"/>
  <c r="P114" i="9"/>
  <c r="AF114" i="9"/>
  <c r="BC114" i="9"/>
  <c r="BD114" i="9"/>
  <c r="BE114" i="9" s="1"/>
  <c r="CB114" i="9"/>
  <c r="CD114" i="9"/>
  <c r="CG114" i="9"/>
  <c r="N115" i="9"/>
  <c r="O115" i="9"/>
  <c r="P115" i="9"/>
  <c r="AF115" i="9"/>
  <c r="BC115" i="9"/>
  <c r="BD115" i="9"/>
  <c r="BE115" i="9"/>
  <c r="CB115" i="9"/>
  <c r="CD115" i="9"/>
  <c r="CG115" i="9"/>
  <c r="N116" i="9"/>
  <c r="O116" i="9"/>
  <c r="P116" i="9"/>
  <c r="AF116" i="9"/>
  <c r="BC116" i="9"/>
  <c r="BD116" i="9"/>
  <c r="BE116" i="9" s="1"/>
  <c r="CB116" i="9"/>
  <c r="CD116" i="9"/>
  <c r="CG116" i="9"/>
  <c r="N117" i="9"/>
  <c r="O117" i="9"/>
  <c r="P117" i="9"/>
  <c r="AF117" i="9"/>
  <c r="BC117" i="9"/>
  <c r="BD117" i="9"/>
  <c r="BE117" i="9"/>
  <c r="CB117" i="9"/>
  <c r="CD117" i="9"/>
  <c r="CG117" i="9"/>
  <c r="N118" i="9"/>
  <c r="O118" i="9"/>
  <c r="P118" i="9"/>
  <c r="AF118" i="9"/>
  <c r="BC118" i="9"/>
  <c r="BD118" i="9"/>
  <c r="BE118" i="9"/>
  <c r="CB118" i="9"/>
  <c r="CD118" i="9"/>
  <c r="CG118" i="9"/>
  <c r="N119" i="9"/>
  <c r="O119" i="9"/>
  <c r="P119" i="9"/>
  <c r="AF119" i="9"/>
  <c r="BC119" i="9"/>
  <c r="BD119" i="9"/>
  <c r="BE119" i="9"/>
  <c r="CB119" i="9"/>
  <c r="CD119" i="9"/>
  <c r="CG119" i="9"/>
  <c r="N120" i="9"/>
  <c r="O120" i="9"/>
  <c r="P120" i="9"/>
  <c r="AF120" i="9"/>
  <c r="BC120" i="9"/>
  <c r="BD120" i="9"/>
  <c r="BE120" i="9" s="1"/>
  <c r="CB120" i="9"/>
  <c r="CD120" i="9"/>
  <c r="CG120" i="9"/>
  <c r="N121" i="9"/>
  <c r="O121" i="9"/>
  <c r="P121" i="9"/>
  <c r="AF121" i="9"/>
  <c r="BC121" i="9"/>
  <c r="BD121" i="9"/>
  <c r="CB121" i="9"/>
  <c r="CD121" i="9"/>
  <c r="CG121" i="9"/>
  <c r="N122" i="9"/>
  <c r="O122" i="9"/>
  <c r="P122" i="9"/>
  <c r="AF122" i="9"/>
  <c r="BC122" i="9"/>
  <c r="BD122" i="9"/>
  <c r="BE122" i="9"/>
  <c r="CB122" i="9"/>
  <c r="CD122" i="9"/>
  <c r="CG122" i="9"/>
  <c r="N123" i="9"/>
  <c r="O123" i="9"/>
  <c r="P123" i="9"/>
  <c r="AF123" i="9"/>
  <c r="BC123" i="9"/>
  <c r="BD123" i="9"/>
  <c r="BE123" i="9" s="1"/>
  <c r="CB123" i="9"/>
  <c r="CD123" i="9"/>
  <c r="CG123" i="9"/>
  <c r="N124" i="9"/>
  <c r="O124" i="9"/>
  <c r="P124" i="9"/>
  <c r="AF124" i="9"/>
  <c r="BC124" i="9"/>
  <c r="BD124" i="9"/>
  <c r="BE124" i="9" s="1"/>
  <c r="CB124" i="9"/>
  <c r="CD124" i="9"/>
  <c r="CG124" i="9"/>
  <c r="N125" i="9"/>
  <c r="O125" i="9"/>
  <c r="P125" i="9"/>
  <c r="AF125" i="9"/>
  <c r="BC125" i="9"/>
  <c r="BD125" i="9"/>
  <c r="BE125" i="9"/>
  <c r="CB125" i="9"/>
  <c r="CD125" i="9"/>
  <c r="CG125" i="9"/>
  <c r="N126" i="9"/>
  <c r="O126" i="9"/>
  <c r="P126" i="9"/>
  <c r="AF126" i="9"/>
  <c r="BC126" i="9"/>
  <c r="BD126" i="9"/>
  <c r="BE126" i="9"/>
  <c r="CB126" i="9"/>
  <c r="CD126" i="9"/>
  <c r="CG126" i="9"/>
  <c r="N127" i="9"/>
  <c r="O127" i="9"/>
  <c r="P127" i="9"/>
  <c r="AF127" i="9"/>
  <c r="BC127" i="9"/>
  <c r="BD127" i="9"/>
  <c r="BE127" i="9" s="1"/>
  <c r="CB127" i="9"/>
  <c r="CD127" i="9"/>
  <c r="CG127" i="9"/>
  <c r="N128" i="9"/>
  <c r="O128" i="9"/>
  <c r="P128" i="9"/>
  <c r="AF128" i="9"/>
  <c r="BC128" i="9"/>
  <c r="BD128" i="9"/>
  <c r="BE128" i="9" s="1"/>
  <c r="CB128" i="9"/>
  <c r="CD128" i="9"/>
  <c r="CG128" i="9"/>
  <c r="N129" i="9"/>
  <c r="O129" i="9"/>
  <c r="P129" i="9"/>
  <c r="AF129" i="9"/>
  <c r="BC129" i="9"/>
  <c r="BD129" i="9"/>
  <c r="BE129" i="9"/>
  <c r="CB129" i="9"/>
  <c r="CD129" i="9"/>
  <c r="CG129" i="9"/>
  <c r="N130" i="9"/>
  <c r="O130" i="9"/>
  <c r="P130" i="9"/>
  <c r="AF130" i="9"/>
  <c r="BC130" i="9"/>
  <c r="BD130" i="9"/>
  <c r="BE130" i="9" s="1"/>
  <c r="CB130" i="9"/>
  <c r="CD130" i="9"/>
  <c r="CG130" i="9"/>
  <c r="N131" i="9"/>
  <c r="O131" i="9"/>
  <c r="P131" i="9"/>
  <c r="AF131" i="9"/>
  <c r="BC131" i="9"/>
  <c r="BD131" i="9"/>
  <c r="BE131" i="9" s="1"/>
  <c r="CB131" i="9"/>
  <c r="CD131" i="9"/>
  <c r="CG131" i="9"/>
  <c r="N132" i="9"/>
  <c r="O132" i="9"/>
  <c r="P132" i="9"/>
  <c r="AF132" i="9"/>
  <c r="BC132" i="9"/>
  <c r="BD132" i="9"/>
  <c r="BE132" i="9" s="1"/>
  <c r="CB132" i="9"/>
  <c r="CD132" i="9"/>
  <c r="CG132" i="9"/>
  <c r="N133" i="9"/>
  <c r="O133" i="9"/>
  <c r="P133" i="9"/>
  <c r="AF133" i="9"/>
  <c r="BC133" i="9"/>
  <c r="BD133" i="9"/>
  <c r="BE133" i="9"/>
  <c r="CB133" i="9"/>
  <c r="CD133" i="9"/>
  <c r="CG133" i="9"/>
  <c r="N134" i="9"/>
  <c r="O134" i="9"/>
  <c r="P134" i="9"/>
  <c r="AF134" i="9"/>
  <c r="BC134" i="9"/>
  <c r="BD134" i="9"/>
  <c r="BE134" i="9" s="1"/>
  <c r="CB134" i="9"/>
  <c r="CD134" i="9"/>
  <c r="CG134" i="9"/>
  <c r="N135" i="9"/>
  <c r="O135" i="9"/>
  <c r="P135" i="9"/>
  <c r="AF135" i="9"/>
  <c r="BC135" i="9"/>
  <c r="BD135" i="9"/>
  <c r="BE135" i="9" s="1"/>
  <c r="CB135" i="9"/>
  <c r="CD135" i="9"/>
  <c r="CG135" i="9"/>
  <c r="N136" i="9"/>
  <c r="O136" i="9"/>
  <c r="P136" i="9"/>
  <c r="AF136" i="9"/>
  <c r="BC136" i="9"/>
  <c r="BD136" i="9"/>
  <c r="BE136" i="9" s="1"/>
  <c r="CB136" i="9"/>
  <c r="CD136" i="9"/>
  <c r="CG136" i="9"/>
  <c r="N137" i="9"/>
  <c r="O137" i="9"/>
  <c r="P137" i="9"/>
  <c r="AF137" i="9"/>
  <c r="BC137" i="9"/>
  <c r="BD137" i="9"/>
  <c r="BE137" i="9"/>
  <c r="CB137" i="9"/>
  <c r="CD137" i="9"/>
  <c r="CG137" i="9"/>
  <c r="N138" i="9"/>
  <c r="O138" i="9"/>
  <c r="P138" i="9"/>
  <c r="AF138" i="9"/>
  <c r="BC138" i="9"/>
  <c r="BD138" i="9"/>
  <c r="BE138" i="9" s="1"/>
  <c r="CB138" i="9"/>
  <c r="CD138" i="9"/>
  <c r="CG138" i="9"/>
  <c r="N139" i="9"/>
  <c r="O139" i="9"/>
  <c r="P139" i="9"/>
  <c r="AF139" i="9"/>
  <c r="BC139" i="9"/>
  <c r="BD139" i="9"/>
  <c r="BE139" i="9" s="1"/>
  <c r="CB139" i="9"/>
  <c r="CD139" i="9"/>
  <c r="CG139" i="9"/>
  <c r="N140" i="9"/>
  <c r="O140" i="9"/>
  <c r="P140" i="9"/>
  <c r="AF140" i="9"/>
  <c r="BC140" i="9"/>
  <c r="BD140" i="9"/>
  <c r="BE140" i="9" s="1"/>
  <c r="CB140" i="9"/>
  <c r="CD140" i="9"/>
  <c r="CG140" i="9"/>
  <c r="N141" i="9"/>
  <c r="O141" i="9"/>
  <c r="P141" i="9"/>
  <c r="AF141" i="9"/>
  <c r="BC141" i="9"/>
  <c r="BD141" i="9"/>
  <c r="BE141" i="9"/>
  <c r="CB141" i="9"/>
  <c r="CD141" i="9"/>
  <c r="CG141" i="9"/>
  <c r="N142" i="9"/>
  <c r="O142" i="9"/>
  <c r="P142" i="9"/>
  <c r="AF142" i="9"/>
  <c r="BC142" i="9"/>
  <c r="BD142" i="9"/>
  <c r="BE142" i="9"/>
  <c r="CB142" i="9"/>
  <c r="CD142" i="9"/>
  <c r="CG142" i="9"/>
  <c r="N143" i="9"/>
  <c r="O143" i="9"/>
  <c r="P143" i="9"/>
  <c r="AF143" i="9"/>
  <c r="BC143" i="9"/>
  <c r="BD143" i="9"/>
  <c r="BE143" i="9" s="1"/>
  <c r="CB143" i="9"/>
  <c r="CD143" i="9"/>
  <c r="CG143" i="9"/>
  <c r="N144" i="9"/>
  <c r="O144" i="9"/>
  <c r="P144" i="9"/>
  <c r="AF144" i="9"/>
  <c r="BC144" i="9"/>
  <c r="BD144" i="9"/>
  <c r="BE144" i="9" s="1"/>
  <c r="CB144" i="9"/>
  <c r="CD144" i="9"/>
  <c r="CG144" i="9"/>
  <c r="N145" i="9"/>
  <c r="O145" i="9"/>
  <c r="P145" i="9"/>
  <c r="AF145" i="9"/>
  <c r="BC145" i="9"/>
  <c r="BD145" i="9"/>
  <c r="BE145" i="9"/>
  <c r="CB145" i="9"/>
  <c r="CD145" i="9"/>
  <c r="CG145" i="9"/>
  <c r="N146" i="9"/>
  <c r="O146" i="9"/>
  <c r="P146" i="9"/>
  <c r="AF146" i="9"/>
  <c r="BC146" i="9"/>
  <c r="BD146" i="9"/>
  <c r="BE146" i="9" s="1"/>
  <c r="CB146" i="9"/>
  <c r="CD146" i="9"/>
  <c r="CG146" i="9"/>
  <c r="N147" i="9"/>
  <c r="O147" i="9"/>
  <c r="P147" i="9"/>
  <c r="AF147" i="9"/>
  <c r="BC147" i="9"/>
  <c r="BD147" i="9"/>
  <c r="BE147" i="9" s="1"/>
  <c r="CB147" i="9"/>
  <c r="CD147" i="9"/>
  <c r="CG147" i="9"/>
  <c r="N148" i="9"/>
  <c r="O148" i="9"/>
  <c r="P148" i="9"/>
  <c r="AF148" i="9"/>
  <c r="BC148" i="9"/>
  <c r="BD148" i="9"/>
  <c r="BE148" i="9" s="1"/>
  <c r="CB148" i="9"/>
  <c r="CD148" i="9"/>
  <c r="CG148" i="9"/>
  <c r="N149" i="9"/>
  <c r="O149" i="9"/>
  <c r="P149" i="9"/>
  <c r="AF149" i="9"/>
  <c r="BC149" i="9"/>
  <c r="BD149" i="9"/>
  <c r="BE149" i="9"/>
  <c r="CB149" i="9"/>
  <c r="CD149" i="9"/>
  <c r="CG149" i="9"/>
  <c r="N150" i="9"/>
  <c r="O150" i="9"/>
  <c r="P150" i="9"/>
  <c r="AF150" i="9"/>
  <c r="BC150" i="9"/>
  <c r="BD150" i="9"/>
  <c r="BE150" i="9"/>
  <c r="CB150" i="9"/>
  <c r="CD150" i="9"/>
  <c r="CG150" i="9"/>
  <c r="N151" i="9"/>
  <c r="O151" i="9"/>
  <c r="P151" i="9"/>
  <c r="AF151" i="9"/>
  <c r="BC151" i="9"/>
  <c r="BD151" i="9"/>
  <c r="BE151" i="9" s="1"/>
  <c r="CB151" i="9"/>
  <c r="CD151" i="9"/>
  <c r="CG151" i="9"/>
  <c r="N152" i="9"/>
  <c r="O152" i="9"/>
  <c r="P152" i="9"/>
  <c r="AF152" i="9"/>
  <c r="BC152" i="9"/>
  <c r="BD152" i="9"/>
  <c r="BE152" i="9" s="1"/>
  <c r="CB152" i="9"/>
  <c r="CD152" i="9"/>
  <c r="CG152" i="9"/>
  <c r="N153" i="9"/>
  <c r="O153" i="9"/>
  <c r="P153" i="9"/>
  <c r="AF153" i="9"/>
  <c r="BC153" i="9"/>
  <c r="BD153" i="9"/>
  <c r="BE153" i="9"/>
  <c r="CB153" i="9"/>
  <c r="CD153" i="9"/>
  <c r="CG153" i="9"/>
  <c r="CJ153" i="9"/>
  <c r="N154" i="9"/>
  <c r="O154" i="9"/>
  <c r="P154" i="9"/>
  <c r="AF154" i="9"/>
  <c r="BC154" i="9"/>
  <c r="BD154" i="9"/>
  <c r="BE154" i="9" s="1"/>
  <c r="CB154" i="9"/>
  <c r="CD154" i="9"/>
  <c r="CG154" i="9"/>
  <c r="CJ154" i="9"/>
  <c r="N155" i="9"/>
  <c r="O155" i="9"/>
  <c r="P155" i="9"/>
  <c r="AF155" i="9"/>
  <c r="BC155" i="9"/>
  <c r="BD155" i="9"/>
  <c r="BE155" i="9" s="1"/>
  <c r="CB155" i="9"/>
  <c r="CD155" i="9"/>
  <c r="CG155" i="9"/>
  <c r="CJ155" i="9"/>
  <c r="N156" i="9"/>
  <c r="O156" i="9"/>
  <c r="P156" i="9"/>
  <c r="AF156" i="9"/>
  <c r="BC156" i="9"/>
  <c r="BD156" i="9"/>
  <c r="BE156" i="9" s="1"/>
  <c r="CB156" i="9"/>
  <c r="CD156" i="9"/>
  <c r="CG156" i="9"/>
  <c r="CJ156" i="9"/>
  <c r="N157" i="9"/>
  <c r="O157" i="9"/>
  <c r="P157" i="9"/>
  <c r="AF157" i="9"/>
  <c r="BC157" i="9"/>
  <c r="BD157" i="9"/>
  <c r="BE157" i="9" s="1"/>
  <c r="CB157" i="9"/>
  <c r="CD157" i="9"/>
  <c r="CG157" i="9"/>
  <c r="CJ157" i="9"/>
  <c r="N158" i="9"/>
  <c r="O158" i="9"/>
  <c r="P158" i="9"/>
  <c r="AF158" i="9"/>
  <c r="BC158" i="9"/>
  <c r="BD158" i="9"/>
  <c r="BE158" i="9" s="1"/>
  <c r="CB158" i="9"/>
  <c r="CD158" i="9"/>
  <c r="CG158" i="9"/>
  <c r="CJ158" i="9"/>
  <c r="N159" i="9"/>
  <c r="O159" i="9"/>
  <c r="P159" i="9"/>
  <c r="AF159" i="9"/>
  <c r="BC159" i="9"/>
  <c r="BD159" i="9"/>
  <c r="BE159" i="9"/>
  <c r="CB159" i="9"/>
  <c r="CD159" i="9"/>
  <c r="CG159" i="9"/>
  <c r="CJ159" i="9"/>
  <c r="N160" i="9"/>
  <c r="O160" i="9"/>
  <c r="P160" i="9"/>
  <c r="AF160" i="9"/>
  <c r="BC160" i="9"/>
  <c r="BD160" i="9"/>
  <c r="BE160" i="9"/>
  <c r="CB160" i="9"/>
  <c r="CD160" i="9"/>
  <c r="CG160" i="9"/>
  <c r="CJ160" i="9"/>
  <c r="N161" i="9"/>
  <c r="O161" i="9"/>
  <c r="P161" i="9"/>
  <c r="AF161" i="9"/>
  <c r="BC161" i="9"/>
  <c r="BD161" i="9"/>
  <c r="BE161" i="9"/>
  <c r="CB161" i="9"/>
  <c r="CD161" i="9"/>
  <c r="CG161" i="9"/>
  <c r="CJ161" i="9"/>
  <c r="N162" i="9"/>
  <c r="O162" i="9"/>
  <c r="P162" i="9"/>
  <c r="AF162" i="9"/>
  <c r="BC162" i="9"/>
  <c r="BD162" i="9"/>
  <c r="BE162" i="9" s="1"/>
  <c r="CB162" i="9"/>
  <c r="CD162" i="9"/>
  <c r="CG162" i="9"/>
  <c r="CJ162" i="9"/>
  <c r="N163" i="9"/>
  <c r="O163" i="9"/>
  <c r="P163" i="9"/>
  <c r="AF163" i="9"/>
  <c r="BC163" i="9"/>
  <c r="BD163" i="9"/>
  <c r="BE163" i="9" s="1"/>
  <c r="CB163" i="9"/>
  <c r="CD163" i="9"/>
  <c r="CG163" i="9"/>
  <c r="CJ163" i="9"/>
  <c r="N164" i="9"/>
  <c r="O164" i="9"/>
  <c r="P164" i="9"/>
  <c r="AF164" i="9"/>
  <c r="BC164" i="9"/>
  <c r="BD164" i="9"/>
  <c r="BE164" i="9" s="1"/>
  <c r="CB164" i="9"/>
  <c r="CD164" i="9"/>
  <c r="CG164" i="9"/>
  <c r="CJ164" i="9"/>
  <c r="N165" i="9"/>
  <c r="O165" i="9"/>
  <c r="P165" i="9"/>
  <c r="AF165" i="9"/>
  <c r="BC165" i="9"/>
  <c r="BD165" i="9"/>
  <c r="BE165" i="9" s="1"/>
  <c r="CB165" i="9"/>
  <c r="CD165" i="9"/>
  <c r="CG165" i="9"/>
  <c r="CJ165" i="9"/>
  <c r="N166" i="9"/>
  <c r="O166" i="9"/>
  <c r="P166" i="9"/>
  <c r="AF166" i="9"/>
  <c r="BC166" i="9"/>
  <c r="BD166" i="9"/>
  <c r="BE166" i="9" s="1"/>
  <c r="CB166" i="9"/>
  <c r="CD166" i="9"/>
  <c r="CG166" i="9"/>
  <c r="CJ166" i="9"/>
  <c r="N167" i="9"/>
  <c r="O167" i="9"/>
  <c r="P167" i="9"/>
  <c r="AF167" i="9"/>
  <c r="BC167" i="9"/>
  <c r="BD167" i="9"/>
  <c r="BE167" i="9" s="1"/>
  <c r="CB167" i="9"/>
  <c r="CD167" i="9"/>
  <c r="CG167" i="9"/>
  <c r="CJ167" i="9"/>
  <c r="N168" i="9"/>
  <c r="O168" i="9"/>
  <c r="P168" i="9"/>
  <c r="AF168" i="9"/>
  <c r="BC168" i="9"/>
  <c r="BD168" i="9"/>
  <c r="BE168" i="9"/>
  <c r="CB168" i="9"/>
  <c r="CD168" i="9"/>
  <c r="CG168" i="9"/>
  <c r="CJ168" i="9"/>
  <c r="N169" i="9"/>
  <c r="O169" i="9"/>
  <c r="P169" i="9"/>
  <c r="AF169" i="9"/>
  <c r="BC169" i="9"/>
  <c r="BD169" i="9"/>
  <c r="BE169" i="9"/>
  <c r="CB169" i="9"/>
  <c r="CD169" i="9"/>
  <c r="CG169" i="9"/>
  <c r="CJ169" i="9"/>
  <c r="N170" i="9"/>
  <c r="O170" i="9"/>
  <c r="P170" i="9"/>
  <c r="AF170" i="9"/>
  <c r="BC170" i="9"/>
  <c r="BD170" i="9"/>
  <c r="BE170" i="9" s="1"/>
  <c r="CB170" i="9"/>
  <c r="CD170" i="9"/>
  <c r="CG170" i="9"/>
  <c r="CJ170" i="9"/>
  <c r="N171" i="9"/>
  <c r="O171" i="9"/>
  <c r="P171" i="9"/>
  <c r="AF171" i="9"/>
  <c r="BC171" i="9"/>
  <c r="BD171" i="9"/>
  <c r="BE171" i="9" s="1"/>
  <c r="CB171" i="9"/>
  <c r="CD171" i="9"/>
  <c r="CG171" i="9"/>
  <c r="CJ171" i="9"/>
  <c r="N172" i="9"/>
  <c r="O172" i="9"/>
  <c r="P172" i="9"/>
  <c r="AF172" i="9"/>
  <c r="BC172" i="9"/>
  <c r="BD172" i="9"/>
  <c r="BE172" i="9" s="1"/>
  <c r="CB172" i="9"/>
  <c r="CD172" i="9"/>
  <c r="CG172" i="9"/>
  <c r="CJ172" i="9"/>
  <c r="N173" i="9"/>
  <c r="O173" i="9"/>
  <c r="P173" i="9"/>
  <c r="AF173" i="9"/>
  <c r="BC173" i="9"/>
  <c r="BD173" i="9"/>
  <c r="BE173" i="9" s="1"/>
  <c r="CB173" i="9"/>
  <c r="CD173" i="9"/>
  <c r="CG173" i="9"/>
  <c r="CJ173" i="9"/>
  <c r="N174" i="9"/>
  <c r="O174" i="9"/>
  <c r="P174" i="9"/>
  <c r="AF174" i="9"/>
  <c r="BC174" i="9"/>
  <c r="BD174" i="9"/>
  <c r="BE174" i="9" s="1"/>
  <c r="CB174" i="9"/>
  <c r="CD174" i="9"/>
  <c r="CG174" i="9"/>
  <c r="CJ174" i="9"/>
  <c r="N175" i="9"/>
  <c r="O175" i="9"/>
  <c r="P175" i="9"/>
  <c r="AF175" i="9"/>
  <c r="BC175" i="9"/>
  <c r="BD175" i="9"/>
  <c r="BE175" i="9"/>
  <c r="CB175" i="9"/>
  <c r="CD175" i="9"/>
  <c r="CG175" i="9"/>
  <c r="CJ175" i="9"/>
  <c r="N176" i="9"/>
  <c r="O176" i="9"/>
  <c r="P176" i="9"/>
  <c r="AF176" i="9"/>
  <c r="BC176" i="9"/>
  <c r="BD176" i="9"/>
  <c r="BE176" i="9"/>
  <c r="CB176" i="9"/>
  <c r="CD176" i="9"/>
  <c r="CG176" i="9"/>
  <c r="CJ176" i="9"/>
  <c r="N177" i="9"/>
  <c r="O177" i="9"/>
  <c r="P177" i="9"/>
  <c r="AF177" i="9"/>
  <c r="BC177" i="9"/>
  <c r="BD177" i="9"/>
  <c r="BE177" i="9"/>
  <c r="CB177" i="9"/>
  <c r="CD177" i="9"/>
  <c r="CG177" i="9"/>
  <c r="CJ177" i="9"/>
  <c r="N178" i="9"/>
  <c r="O178" i="9"/>
  <c r="P178" i="9"/>
  <c r="AF178" i="9"/>
  <c r="BC178" i="9"/>
  <c r="BD178" i="9"/>
  <c r="BE178" i="9" s="1"/>
  <c r="CB178" i="9"/>
  <c r="CD178" i="9"/>
  <c r="CG178" i="9"/>
  <c r="CJ178" i="9"/>
  <c r="N179" i="9"/>
  <c r="O179" i="9"/>
  <c r="P179" i="9"/>
  <c r="AF179" i="9"/>
  <c r="BC179" i="9"/>
  <c r="BD179" i="9"/>
  <c r="BE179" i="9" s="1"/>
  <c r="CB179" i="9"/>
  <c r="CD179" i="9"/>
  <c r="CG179" i="9"/>
  <c r="CJ179" i="9"/>
  <c r="N180" i="9"/>
  <c r="O180" i="9"/>
  <c r="P180" i="9"/>
  <c r="AF180" i="9"/>
  <c r="BC180" i="9"/>
  <c r="BD180" i="9"/>
  <c r="BE180" i="9"/>
  <c r="CB180" i="9"/>
  <c r="CD180" i="9"/>
  <c r="CG180" i="9"/>
  <c r="CJ180" i="9"/>
  <c r="N181" i="9"/>
  <c r="O181" i="9"/>
  <c r="P181" i="9"/>
  <c r="AF181" i="9"/>
  <c r="BC181" i="9"/>
  <c r="BD181" i="9"/>
  <c r="BE181" i="9" s="1"/>
  <c r="CB181" i="9"/>
  <c r="CD181" i="9"/>
  <c r="CG181" i="9"/>
  <c r="CJ181" i="9"/>
  <c r="N182" i="9"/>
  <c r="O182" i="9"/>
  <c r="P182" i="9"/>
  <c r="AF182" i="9"/>
  <c r="BC182" i="9"/>
  <c r="BD182" i="9"/>
  <c r="BE182" i="9" s="1"/>
  <c r="CB182" i="9"/>
  <c r="CD182" i="9"/>
  <c r="CG182" i="9"/>
  <c r="CJ182" i="9"/>
  <c r="N183" i="9"/>
  <c r="O183" i="9"/>
  <c r="P183" i="9"/>
  <c r="AF183" i="9"/>
  <c r="BC183" i="9"/>
  <c r="BD183" i="9"/>
  <c r="BE183" i="9" s="1"/>
  <c r="CB183" i="9"/>
  <c r="CD183" i="9"/>
  <c r="CG183" i="9"/>
  <c r="CJ183" i="9"/>
  <c r="N184" i="9"/>
  <c r="O184" i="9"/>
  <c r="P184" i="9"/>
  <c r="AF184" i="9"/>
  <c r="BC184" i="9"/>
  <c r="BD184" i="9"/>
  <c r="BE184" i="9"/>
  <c r="CB184" i="9"/>
  <c r="CD184" i="9"/>
  <c r="CG184" i="9"/>
  <c r="CJ184" i="9"/>
  <c r="N185" i="9"/>
  <c r="O185" i="9"/>
  <c r="P185" i="9"/>
  <c r="AF185" i="9"/>
  <c r="BC185" i="9"/>
  <c r="BD185" i="9"/>
  <c r="BE185" i="9"/>
  <c r="CB185" i="9"/>
  <c r="CD185" i="9"/>
  <c r="CG185" i="9"/>
  <c r="CJ185" i="9"/>
  <c r="N186" i="9"/>
  <c r="O186" i="9"/>
  <c r="P186" i="9"/>
  <c r="AF186" i="9"/>
  <c r="BC186" i="9"/>
  <c r="BD186" i="9"/>
  <c r="BE186" i="9"/>
  <c r="CB186" i="9"/>
  <c r="CD186" i="9"/>
  <c r="CG186" i="9"/>
  <c r="CJ186" i="9"/>
  <c r="N187" i="9"/>
  <c r="O187" i="9"/>
  <c r="P187" i="9"/>
  <c r="AF187" i="9"/>
  <c r="BC187" i="9"/>
  <c r="BD187" i="9"/>
  <c r="BE187" i="9" s="1"/>
  <c r="CB187" i="9"/>
  <c r="CD187" i="9"/>
  <c r="CG187" i="9"/>
  <c r="CJ187" i="9"/>
  <c r="N188" i="9"/>
  <c r="O188" i="9"/>
  <c r="P188" i="9"/>
  <c r="AF188" i="9"/>
  <c r="BC188" i="9"/>
  <c r="BD188" i="9"/>
  <c r="BE188" i="9"/>
  <c r="CB188" i="9"/>
  <c r="CD188" i="9"/>
  <c r="CG188" i="9"/>
  <c r="CJ188" i="9"/>
  <c r="N189" i="9"/>
  <c r="O189" i="9"/>
  <c r="P189" i="9"/>
  <c r="AF189" i="9"/>
  <c r="BC189" i="9"/>
  <c r="BD189" i="9"/>
  <c r="BE189" i="9" s="1"/>
  <c r="CB189" i="9"/>
  <c r="CD189" i="9"/>
  <c r="CG189" i="9"/>
  <c r="CJ189" i="9"/>
  <c r="N190" i="9"/>
  <c r="O190" i="9"/>
  <c r="P190" i="9"/>
  <c r="AF190" i="9"/>
  <c r="BC190" i="9"/>
  <c r="BD190" i="9"/>
  <c r="BE190" i="9" s="1"/>
  <c r="CB190" i="9"/>
  <c r="CD190" i="9"/>
  <c r="CG190" i="9"/>
  <c r="CJ190" i="9"/>
  <c r="N191" i="9"/>
  <c r="O191" i="9"/>
  <c r="P191" i="9"/>
  <c r="AF191" i="9"/>
  <c r="BC191" i="9"/>
  <c r="BD191" i="9"/>
  <c r="BE191" i="9" s="1"/>
  <c r="CB191" i="9"/>
  <c r="CD191" i="9"/>
  <c r="CG191" i="9"/>
  <c r="CJ191" i="9"/>
  <c r="N192" i="9"/>
  <c r="O192" i="9"/>
  <c r="P192" i="9"/>
  <c r="AF192" i="9"/>
  <c r="BC192" i="9"/>
  <c r="BD192" i="9"/>
  <c r="BE192" i="9"/>
  <c r="CB192" i="9"/>
  <c r="CD192" i="9"/>
  <c r="CG192" i="9"/>
  <c r="CJ192" i="9"/>
  <c r="N193" i="9"/>
  <c r="O193" i="9"/>
  <c r="P193" i="9"/>
  <c r="AF193" i="9"/>
  <c r="BC193" i="9"/>
  <c r="BD193" i="9"/>
  <c r="BE193" i="9"/>
  <c r="CB193" i="9"/>
  <c r="CD193" i="9"/>
  <c r="CG193" i="9"/>
  <c r="CJ193" i="9"/>
  <c r="N194" i="9"/>
  <c r="O194" i="9"/>
  <c r="P194" i="9"/>
  <c r="AF194" i="9"/>
  <c r="BC194" i="9"/>
  <c r="BD194" i="9"/>
  <c r="BE194" i="9"/>
  <c r="CB194" i="9"/>
  <c r="CD194" i="9"/>
  <c r="CG194" i="9"/>
  <c r="CJ194" i="9"/>
  <c r="N195" i="9"/>
  <c r="O195" i="9"/>
  <c r="P195" i="9"/>
  <c r="AF195" i="9"/>
  <c r="BC195" i="9"/>
  <c r="BD195" i="9"/>
  <c r="BE195" i="9" s="1"/>
  <c r="CB195" i="9"/>
  <c r="CD195" i="9"/>
  <c r="CG195" i="9"/>
  <c r="CJ195" i="9"/>
  <c r="N196" i="9"/>
  <c r="O196" i="9"/>
  <c r="P196" i="9"/>
  <c r="AF196" i="9"/>
  <c r="BC196" i="9"/>
  <c r="BD196" i="9"/>
  <c r="BE196" i="9" s="1"/>
  <c r="CB196" i="9"/>
  <c r="CD196" i="9"/>
  <c r="CG196" i="9"/>
  <c r="CJ196" i="9"/>
  <c r="N197" i="9"/>
  <c r="O197" i="9"/>
  <c r="P197" i="9"/>
  <c r="AF197" i="9"/>
  <c r="BC197" i="9"/>
  <c r="BD197" i="9"/>
  <c r="BE197" i="9" s="1"/>
  <c r="CB197" i="9"/>
  <c r="CD197" i="9"/>
  <c r="CG197" i="9"/>
  <c r="CJ197" i="9"/>
  <c r="N198" i="9"/>
  <c r="O198" i="9"/>
  <c r="P198" i="9"/>
  <c r="AF198" i="9"/>
  <c r="BC198" i="9"/>
  <c r="BD198" i="9"/>
  <c r="BE198" i="9" s="1"/>
  <c r="CB198" i="9"/>
  <c r="CD198" i="9"/>
  <c r="CG198" i="9"/>
  <c r="CJ198" i="9"/>
  <c r="N199" i="9"/>
  <c r="O199" i="9"/>
  <c r="P199" i="9"/>
  <c r="AF199" i="9"/>
  <c r="BC199" i="9"/>
  <c r="BD199" i="9"/>
  <c r="BE199" i="9"/>
  <c r="CB199" i="9"/>
  <c r="CD199" i="9"/>
  <c r="CG199" i="9"/>
  <c r="CJ199" i="9"/>
  <c r="N200" i="9"/>
  <c r="O200" i="9"/>
  <c r="P200" i="9"/>
  <c r="AF200" i="9"/>
  <c r="BC200" i="9"/>
  <c r="BD200" i="9"/>
  <c r="BE200" i="9"/>
  <c r="CB200" i="9"/>
  <c r="CD200" i="9"/>
  <c r="CG200" i="9"/>
  <c r="CJ200" i="9"/>
  <c r="N201" i="9"/>
  <c r="O201" i="9"/>
  <c r="P201" i="9"/>
  <c r="AF201" i="9"/>
  <c r="BC201" i="9"/>
  <c r="BD201" i="9"/>
  <c r="BE201" i="9"/>
  <c r="CB201" i="9"/>
  <c r="CD201" i="9"/>
  <c r="CG201" i="9"/>
  <c r="CJ201" i="9"/>
  <c r="N202" i="9"/>
  <c r="O202" i="9"/>
  <c r="P202" i="9"/>
  <c r="AF202" i="9"/>
  <c r="BC202" i="9"/>
  <c r="BD202" i="9"/>
  <c r="BE202" i="9" s="1"/>
  <c r="CB202" i="9"/>
  <c r="CD202" i="9"/>
  <c r="CG202" i="9"/>
  <c r="CJ202" i="9"/>
  <c r="N203" i="9"/>
  <c r="O203" i="9"/>
  <c r="P203" i="9"/>
  <c r="AF203" i="9"/>
  <c r="BC203" i="9"/>
  <c r="BD203" i="9"/>
  <c r="BE203" i="9" s="1"/>
  <c r="CB203" i="9"/>
  <c r="CD203" i="9"/>
  <c r="CG203" i="9"/>
  <c r="CJ203" i="9"/>
  <c r="N204" i="9"/>
  <c r="O204" i="9"/>
  <c r="P204" i="9"/>
  <c r="AF204" i="9"/>
  <c r="BC204" i="9"/>
  <c r="BD204" i="9"/>
  <c r="BE204" i="9" s="1"/>
  <c r="CB204" i="9"/>
  <c r="CD204" i="9"/>
  <c r="CG204" i="9"/>
  <c r="CJ204" i="9"/>
  <c r="N205" i="9"/>
  <c r="O205" i="9"/>
  <c r="P205" i="9"/>
  <c r="AF205" i="9"/>
  <c r="BC205" i="9"/>
  <c r="BD205" i="9"/>
  <c r="BE205" i="9" s="1"/>
  <c r="CB205" i="9"/>
  <c r="CD205" i="9"/>
  <c r="CG205" i="9"/>
  <c r="CJ205" i="9"/>
  <c r="N206" i="9"/>
  <c r="O206" i="9"/>
  <c r="P206" i="9"/>
  <c r="AF206" i="9"/>
  <c r="BC206" i="9"/>
  <c r="BD206" i="9"/>
  <c r="BE206" i="9" s="1"/>
  <c r="CB206" i="9"/>
  <c r="CD206" i="9"/>
  <c r="CG206" i="9"/>
  <c r="CJ206" i="9"/>
  <c r="N207" i="9"/>
  <c r="O207" i="9"/>
  <c r="P207" i="9"/>
  <c r="AF207" i="9"/>
  <c r="BC207" i="9"/>
  <c r="BD207" i="9"/>
  <c r="BE207" i="9" s="1"/>
  <c r="CB207" i="9"/>
  <c r="CD207" i="9"/>
  <c r="CG207" i="9"/>
  <c r="CJ207" i="9"/>
  <c r="N208" i="9"/>
  <c r="O208" i="9"/>
  <c r="P208" i="9"/>
  <c r="AF208" i="9"/>
  <c r="BC208" i="9"/>
  <c r="BD208" i="9"/>
  <c r="BE208" i="9"/>
  <c r="CB208" i="9"/>
  <c r="CD208" i="9"/>
  <c r="CG208" i="9"/>
  <c r="CJ208" i="9"/>
  <c r="N209" i="9"/>
  <c r="O209" i="9"/>
  <c r="P209" i="9"/>
  <c r="AF209" i="9"/>
  <c r="BC209" i="9"/>
  <c r="BD209" i="9"/>
  <c r="BE209" i="9"/>
  <c r="CB209" i="9"/>
  <c r="CD209" i="9"/>
  <c r="CG209" i="9"/>
  <c r="CJ209" i="9"/>
  <c r="N210" i="9"/>
  <c r="O210" i="9"/>
  <c r="P210" i="9"/>
  <c r="AF210" i="9"/>
  <c r="BC210" i="9"/>
  <c r="BD210" i="9"/>
  <c r="BE210" i="9" s="1"/>
  <c r="CB210" i="9"/>
  <c r="CD210" i="9"/>
  <c r="CG210" i="9"/>
  <c r="CJ210" i="9"/>
  <c r="N211" i="9"/>
  <c r="O211" i="9"/>
  <c r="P211" i="9"/>
  <c r="AF211" i="9"/>
  <c r="BC211" i="9"/>
  <c r="BD211" i="9"/>
  <c r="BE211" i="9" s="1"/>
  <c r="CB211" i="9"/>
  <c r="CD211" i="9"/>
  <c r="CG211" i="9"/>
  <c r="CJ211" i="9"/>
  <c r="N212" i="9"/>
  <c r="O212" i="9"/>
  <c r="P212" i="9"/>
  <c r="AF212" i="9"/>
  <c r="BC212" i="9"/>
  <c r="BD212" i="9"/>
  <c r="BE212" i="9" s="1"/>
  <c r="CB212" i="9"/>
  <c r="CD212" i="9"/>
  <c r="CG212" i="9"/>
  <c r="CJ212" i="9"/>
  <c r="N213" i="9"/>
  <c r="O213" i="9"/>
  <c r="P213" i="9"/>
  <c r="AF213" i="9"/>
  <c r="BC213" i="9"/>
  <c r="BD213" i="9"/>
  <c r="BE213" i="9" s="1"/>
  <c r="CB213" i="9"/>
  <c r="CD213" i="9"/>
  <c r="CG213" i="9"/>
  <c r="CJ213" i="9"/>
  <c r="N214" i="9"/>
  <c r="O214" i="9"/>
  <c r="P214" i="9"/>
  <c r="AF214" i="9"/>
  <c r="BC214" i="9"/>
  <c r="BD214" i="9"/>
  <c r="BE214" i="9" s="1"/>
  <c r="CB214" i="9"/>
  <c r="CD214" i="9"/>
  <c r="CG214" i="9"/>
  <c r="CJ214" i="9"/>
  <c r="N215" i="9"/>
  <c r="O215" i="9"/>
  <c r="P215" i="9"/>
  <c r="AF215" i="9"/>
  <c r="BC215" i="9"/>
  <c r="BD215" i="9"/>
  <c r="BE215" i="9"/>
  <c r="CB215" i="9"/>
  <c r="CD215" i="9"/>
  <c r="CG215" i="9"/>
  <c r="CJ215" i="9"/>
  <c r="N216" i="9"/>
  <c r="O216" i="9"/>
  <c r="P216" i="9"/>
  <c r="AF216" i="9"/>
  <c r="BC216" i="9"/>
  <c r="BD216" i="9"/>
  <c r="BE216" i="9"/>
  <c r="CB216" i="9"/>
  <c r="CD216" i="9"/>
  <c r="CG216" i="9"/>
  <c r="CJ216" i="9"/>
  <c r="N217" i="9"/>
  <c r="O217" i="9"/>
  <c r="P217" i="9"/>
  <c r="AF217" i="9"/>
  <c r="BC217" i="9"/>
  <c r="BD217" i="9"/>
  <c r="BE217" i="9"/>
  <c r="CB217" i="9"/>
  <c r="CD217" i="9"/>
  <c r="CG217" i="9"/>
  <c r="CJ217" i="9"/>
  <c r="N218" i="9"/>
  <c r="O218" i="9"/>
  <c r="P218" i="9"/>
  <c r="AF218" i="9"/>
  <c r="BC218" i="9"/>
  <c r="BD218" i="9"/>
  <c r="BE218" i="9" s="1"/>
  <c r="CB218" i="9"/>
  <c r="CD218" i="9"/>
  <c r="CG218" i="9"/>
  <c r="CJ218" i="9"/>
  <c r="N219" i="9"/>
  <c r="O219" i="9"/>
  <c r="P219" i="9"/>
  <c r="AF219" i="9"/>
  <c r="BC219" i="9"/>
  <c r="BD219" i="9"/>
  <c r="BE219" i="9" s="1"/>
  <c r="CB219" i="9"/>
  <c r="CD219" i="9"/>
  <c r="CG219" i="9"/>
  <c r="CJ219" i="9"/>
  <c r="N220" i="9"/>
  <c r="O220" i="9"/>
  <c r="P220" i="9"/>
  <c r="AF220" i="9"/>
  <c r="BC220" i="9"/>
  <c r="BD220" i="9"/>
  <c r="BE220" i="9"/>
  <c r="CB220" i="9"/>
  <c r="CD220" i="9"/>
  <c r="CG220" i="9"/>
  <c r="CJ220" i="9"/>
  <c r="N221" i="9"/>
  <c r="O221" i="9"/>
  <c r="P221" i="9"/>
  <c r="AF221" i="9"/>
  <c r="BC221" i="9"/>
  <c r="BD221" i="9"/>
  <c r="BE221" i="9" s="1"/>
  <c r="CB221" i="9"/>
  <c r="CD221" i="9"/>
  <c r="CG221" i="9"/>
  <c r="CJ221" i="9"/>
  <c r="N222" i="9"/>
  <c r="O222" i="9"/>
  <c r="P222" i="9"/>
  <c r="AF222" i="9"/>
  <c r="BC222" i="9"/>
  <c r="BD222" i="9"/>
  <c r="BE222" i="9" s="1"/>
  <c r="CB222" i="9"/>
  <c r="CD222" i="9"/>
  <c r="CG222" i="9"/>
  <c r="CJ222" i="9"/>
  <c r="N223" i="9"/>
  <c r="O223" i="9"/>
  <c r="P223" i="9"/>
  <c r="AF223" i="9"/>
  <c r="BC223" i="9"/>
  <c r="BD223" i="9"/>
  <c r="BE223" i="9"/>
  <c r="CB223" i="9"/>
  <c r="CD223" i="9"/>
  <c r="CG223" i="9"/>
  <c r="CJ223" i="9"/>
  <c r="N224" i="9"/>
  <c r="O224" i="9"/>
  <c r="P224" i="9"/>
  <c r="AF224" i="9"/>
  <c r="BC224" i="9"/>
  <c r="BD224" i="9"/>
  <c r="BE224" i="9"/>
  <c r="CB224" i="9"/>
  <c r="CD224" i="9"/>
  <c r="CG224" i="9"/>
  <c r="CJ224" i="9"/>
  <c r="N225" i="9"/>
  <c r="O225" i="9"/>
  <c r="P225" i="9"/>
  <c r="AF225" i="9"/>
  <c r="BC225" i="9"/>
  <c r="BD225" i="9"/>
  <c r="BE225" i="9"/>
  <c r="CB225" i="9"/>
  <c r="CD225" i="9"/>
  <c r="CG225" i="9"/>
  <c r="CJ225" i="9"/>
  <c r="N226" i="9"/>
  <c r="O226" i="9"/>
  <c r="P226" i="9"/>
  <c r="AF226" i="9"/>
  <c r="BC226" i="9"/>
  <c r="BD226" i="9"/>
  <c r="BE226" i="9"/>
  <c r="CB226" i="9"/>
  <c r="CD226" i="9"/>
  <c r="CG226" i="9"/>
  <c r="CJ226" i="9"/>
  <c r="N227" i="9"/>
  <c r="O227" i="9"/>
  <c r="P227" i="9"/>
  <c r="AF227" i="9"/>
  <c r="BC227" i="9"/>
  <c r="BD227" i="9"/>
  <c r="BE227" i="9" s="1"/>
  <c r="CB227" i="9"/>
  <c r="CD227" i="9"/>
  <c r="CG227" i="9"/>
  <c r="CJ227" i="9"/>
  <c r="N228" i="9"/>
  <c r="O228" i="9"/>
  <c r="P228" i="9"/>
  <c r="AF228" i="9"/>
  <c r="BC228" i="9"/>
  <c r="BD228" i="9"/>
  <c r="BE228" i="9" s="1"/>
  <c r="CB228" i="9"/>
  <c r="CD228" i="9"/>
  <c r="CG228" i="9"/>
  <c r="CJ228" i="9"/>
  <c r="N229" i="9"/>
  <c r="O229" i="9"/>
  <c r="P229" i="9"/>
  <c r="AF229" i="9"/>
  <c r="BC229" i="9"/>
  <c r="BD229" i="9"/>
  <c r="BE229" i="9" s="1"/>
  <c r="CB229" i="9"/>
  <c r="CD229" i="9"/>
  <c r="CG229" i="9"/>
  <c r="CJ229" i="9"/>
  <c r="N230" i="9"/>
  <c r="O230" i="9"/>
  <c r="P230" i="9"/>
  <c r="AF230" i="9"/>
  <c r="BC230" i="9"/>
  <c r="BD230" i="9"/>
  <c r="BE230" i="9" s="1"/>
  <c r="CB230" i="9"/>
  <c r="CD230" i="9"/>
  <c r="CG230" i="9"/>
  <c r="CJ230" i="9"/>
  <c r="N231" i="9"/>
  <c r="O231" i="9"/>
  <c r="P231" i="9"/>
  <c r="AF231" i="9"/>
  <c r="BC231" i="9"/>
  <c r="BD231" i="9"/>
  <c r="BE231" i="9" s="1"/>
  <c r="CB231" i="9"/>
  <c r="CD231" i="9"/>
  <c r="CG231" i="9"/>
  <c r="CJ231" i="9"/>
  <c r="N232" i="9"/>
  <c r="O232" i="9"/>
  <c r="P232" i="9"/>
  <c r="AF232" i="9"/>
  <c r="BC232" i="9"/>
  <c r="BD232" i="9"/>
  <c r="BE232" i="9"/>
  <c r="CB232" i="9"/>
  <c r="CD232" i="9"/>
  <c r="CG232" i="9"/>
  <c r="CJ232" i="9"/>
  <c r="N233" i="9"/>
  <c r="O233" i="9"/>
  <c r="P233" i="9"/>
  <c r="AF233" i="9"/>
  <c r="BC233" i="9"/>
  <c r="BD233" i="9"/>
  <c r="BE233" i="9"/>
  <c r="CB233" i="9"/>
  <c r="CD233" i="9"/>
  <c r="CG233" i="9"/>
  <c r="CJ233" i="9"/>
  <c r="N234" i="9"/>
  <c r="O234" i="9"/>
  <c r="P234" i="9"/>
  <c r="AF234" i="9"/>
  <c r="BC234" i="9"/>
  <c r="BD234" i="9"/>
  <c r="BE234" i="9" s="1"/>
  <c r="CB234" i="9"/>
  <c r="CD234" i="9"/>
  <c r="CG234" i="9"/>
  <c r="CJ234" i="9"/>
  <c r="N235" i="9"/>
  <c r="O235" i="9"/>
  <c r="P235" i="9"/>
  <c r="AF235" i="9"/>
  <c r="BC235" i="9"/>
  <c r="BD235" i="9"/>
  <c r="BE235" i="9" s="1"/>
  <c r="CB235" i="9"/>
  <c r="CD235" i="9"/>
  <c r="CG235" i="9"/>
  <c r="CJ235" i="9"/>
  <c r="N236" i="9"/>
  <c r="O236" i="9"/>
  <c r="P236" i="9"/>
  <c r="AF236" i="9"/>
  <c r="BC236" i="9"/>
  <c r="BD236" i="9"/>
  <c r="BE236" i="9"/>
  <c r="CB236" i="9"/>
  <c r="CD236" i="9"/>
  <c r="CG236" i="9"/>
  <c r="CJ236" i="9"/>
  <c r="N237" i="9"/>
  <c r="O237" i="9"/>
  <c r="P237" i="9"/>
  <c r="AE237" i="9"/>
  <c r="BQ237" i="9" s="1"/>
  <c r="AF237" i="9"/>
  <c r="BC237" i="9"/>
  <c r="BD237" i="9"/>
  <c r="BE237" i="9" s="1"/>
  <c r="BP237" i="9"/>
  <c r="BS237" i="9" a="1"/>
  <c r="BS237" i="9"/>
  <c r="BV237" i="9" a="1"/>
  <c r="BV237" i="9" s="1"/>
  <c r="BW237" i="9" a="1"/>
  <c r="BW237" i="9"/>
  <c r="CB237" i="9"/>
  <c r="CD237" i="9"/>
  <c r="CG237" i="9"/>
  <c r="CJ237" i="9"/>
  <c r="N238" i="9"/>
  <c r="O238" i="9"/>
  <c r="P238" i="9"/>
  <c r="AE238" i="9"/>
  <c r="BQ238" i="9" s="1"/>
  <c r="AF238" i="9"/>
  <c r="BC238" i="9"/>
  <c r="BD238" i="9"/>
  <c r="BE238" i="9"/>
  <c r="BP238" i="9"/>
  <c r="BS238" i="9" a="1"/>
  <c r="BS238" i="9"/>
  <c r="BV238" i="9" a="1"/>
  <c r="BV238" i="9" s="1"/>
  <c r="BW238" i="9" a="1"/>
  <c r="BW238" i="9"/>
  <c r="BY238" i="9" s="1"/>
  <c r="CB238" i="9"/>
  <c r="CD238" i="9"/>
  <c r="CG238" i="9"/>
  <c r="CJ238" i="9"/>
  <c r="N239" i="9"/>
  <c r="O239" i="9"/>
  <c r="P239" i="9"/>
  <c r="AE239" i="9"/>
  <c r="BQ239" i="9"/>
  <c r="AF239" i="9"/>
  <c r="BC239" i="9"/>
  <c r="BD239" i="9"/>
  <c r="BE239" i="9" s="1"/>
  <c r="BP239" i="9"/>
  <c r="BS239" i="9" a="1"/>
  <c r="BS239" i="9"/>
  <c r="BZ239" i="9" s="1"/>
  <c r="BV239" i="9" a="1"/>
  <c r="BV239" i="9"/>
  <c r="BW239" i="9" a="1"/>
  <c r="BW239" i="9" s="1"/>
  <c r="BY239" i="9" s="1"/>
  <c r="CB239" i="9"/>
  <c r="CD239" i="9"/>
  <c r="CG239" i="9"/>
  <c r="CJ239" i="9"/>
  <c r="N240" i="9"/>
  <c r="O240" i="9"/>
  <c r="P240" i="9"/>
  <c r="AE240" i="9"/>
  <c r="BQ240" i="9"/>
  <c r="AF240" i="9"/>
  <c r="BC240" i="9"/>
  <c r="BD240" i="9"/>
  <c r="BE240" i="9" s="1"/>
  <c r="BP240" i="9"/>
  <c r="BS240" i="9" a="1"/>
  <c r="BS240" i="9" s="1"/>
  <c r="BZ240" i="9"/>
  <c r="BV240" i="9" a="1"/>
  <c r="BV240" i="9" s="1"/>
  <c r="BW240" i="9" a="1"/>
  <c r="BW240" i="9"/>
  <c r="CB240" i="9"/>
  <c r="CD240" i="9"/>
  <c r="CG240" i="9"/>
  <c r="CJ240" i="9"/>
  <c r="N241" i="9"/>
  <c r="O241" i="9"/>
  <c r="P241" i="9"/>
  <c r="AE241" i="9"/>
  <c r="BQ241" i="9" s="1"/>
  <c r="AF241" i="9"/>
  <c r="BC241" i="9"/>
  <c r="BD241" i="9"/>
  <c r="BE241" i="9"/>
  <c r="BP241" i="9"/>
  <c r="BS241" i="9" a="1"/>
  <c r="BS241" i="9"/>
  <c r="BV241" i="9" a="1"/>
  <c r="BV241" i="9"/>
  <c r="BW241" i="9" a="1"/>
  <c r="BW241" i="9"/>
  <c r="CB241" i="9"/>
  <c r="CD241" i="9"/>
  <c r="CG241" i="9"/>
  <c r="CJ241" i="9"/>
  <c r="N242" i="9"/>
  <c r="O242" i="9"/>
  <c r="P242" i="9"/>
  <c r="AE242" i="9"/>
  <c r="BQ242" i="9"/>
  <c r="AF242" i="9"/>
  <c r="BC242" i="9"/>
  <c r="BD242" i="9"/>
  <c r="BE242" i="9" s="1"/>
  <c r="BP242" i="9"/>
  <c r="BS242" i="9" a="1"/>
  <c r="BS242" i="9" s="1"/>
  <c r="BY242" i="9" s="1"/>
  <c r="BV242" i="9" a="1"/>
  <c r="BV242" i="9" s="1"/>
  <c r="BW242" i="9" a="1"/>
  <c r="BW242" i="9" s="1"/>
  <c r="CB242" i="9"/>
  <c r="CD242" i="9"/>
  <c r="CG242" i="9"/>
  <c r="CJ242" i="9"/>
  <c r="N243" i="9"/>
  <c r="O243" i="9"/>
  <c r="P243" i="9"/>
  <c r="AE243" i="9"/>
  <c r="BQ243" i="9"/>
  <c r="AF243" i="9"/>
  <c r="BC243" i="9"/>
  <c r="BD243" i="9"/>
  <c r="BE243" i="9" s="1"/>
  <c r="BP243" i="9"/>
  <c r="BS243" i="9" a="1"/>
  <c r="BS243" i="9" s="1"/>
  <c r="BV243" i="9" a="1"/>
  <c r="BV243" i="9"/>
  <c r="BY243" i="9" s="1"/>
  <c r="BW243" i="9" a="1"/>
  <c r="BW243" i="9" s="1"/>
  <c r="CB243" i="9"/>
  <c r="CD243" i="9"/>
  <c r="CG243" i="9"/>
  <c r="CJ243" i="9"/>
  <c r="N244" i="9"/>
  <c r="O244" i="9"/>
  <c r="P244" i="9"/>
  <c r="AE244" i="9"/>
  <c r="BQ244" i="9"/>
  <c r="AF244" i="9"/>
  <c r="BC244" i="9"/>
  <c r="BD244" i="9"/>
  <c r="BE244" i="9"/>
  <c r="BP244" i="9"/>
  <c r="BS244" i="9" a="1"/>
  <c r="BS244" i="9" s="1"/>
  <c r="BZ244" i="9" s="1"/>
  <c r="BV244" i="9" a="1"/>
  <c r="BV244" i="9" s="1"/>
  <c r="BW244" i="9" a="1"/>
  <c r="BW244" i="9"/>
  <c r="BY244" i="9" s="1"/>
  <c r="CB244" i="9"/>
  <c r="CD244" i="9"/>
  <c r="CG244" i="9"/>
  <c r="CJ244" i="9"/>
  <c r="N245" i="9"/>
  <c r="O245" i="9"/>
  <c r="P245" i="9"/>
  <c r="AE245" i="9"/>
  <c r="BQ245" i="9" s="1"/>
  <c r="AF245" i="9"/>
  <c r="BC245" i="9"/>
  <c r="BD245" i="9"/>
  <c r="BE245" i="9" s="1"/>
  <c r="BP245" i="9"/>
  <c r="BS245" i="9" a="1"/>
  <c r="BS245" i="9"/>
  <c r="BV245" i="9" a="1"/>
  <c r="BV245" i="9" s="1"/>
  <c r="BW245" i="9" a="1"/>
  <c r="BW245" i="9"/>
  <c r="CB245" i="9"/>
  <c r="CD245" i="9"/>
  <c r="CG245" i="9"/>
  <c r="CJ245" i="9"/>
  <c r="N246" i="9"/>
  <c r="O246" i="9"/>
  <c r="P246" i="9"/>
  <c r="AE246" i="9"/>
  <c r="BQ246" i="9" s="1"/>
  <c r="AF246" i="9"/>
  <c r="BC246" i="9"/>
  <c r="BD246" i="9"/>
  <c r="BE246" i="9"/>
  <c r="BP246" i="9"/>
  <c r="BS246" i="9" a="1"/>
  <c r="BS246" i="9"/>
  <c r="BV246" i="9" a="1"/>
  <c r="BV246" i="9" s="1"/>
  <c r="BY246" i="9" s="1"/>
  <c r="BW246" i="9" a="1"/>
  <c r="BW246" i="9" s="1"/>
  <c r="CB246" i="9"/>
  <c r="CD246" i="9"/>
  <c r="CG246" i="9"/>
  <c r="CJ246" i="9"/>
  <c r="N247" i="9"/>
  <c r="O247" i="9"/>
  <c r="P247" i="9"/>
  <c r="AE247" i="9"/>
  <c r="BQ247" i="9" s="1"/>
  <c r="AF247" i="9"/>
  <c r="BC247" i="9"/>
  <c r="BD247" i="9"/>
  <c r="BE247" i="9" s="1"/>
  <c r="BP247" i="9"/>
  <c r="BS247" i="9" a="1"/>
  <c r="BS247" i="9"/>
  <c r="BV247" i="9" a="1"/>
  <c r="BV247" i="9" s="1"/>
  <c r="BW247" i="9" a="1"/>
  <c r="BW247" i="9" s="1"/>
  <c r="CB247" i="9"/>
  <c r="CD247" i="9"/>
  <c r="CG247" i="9"/>
  <c r="CJ247" i="9"/>
  <c r="N248" i="9"/>
  <c r="O248" i="9"/>
  <c r="P248" i="9"/>
  <c r="AE248" i="9"/>
  <c r="BQ248" i="9" s="1"/>
  <c r="AF248" i="9"/>
  <c r="BC248" i="9"/>
  <c r="BD248" i="9"/>
  <c r="BE248" i="9"/>
  <c r="BP248" i="9"/>
  <c r="BS248" i="9" a="1"/>
  <c r="BS248" i="9" s="1"/>
  <c r="BV248" i="9" a="1"/>
  <c r="BV248" i="9"/>
  <c r="BW248" i="9" a="1"/>
  <c r="BW248" i="9"/>
  <c r="CB248" i="9"/>
  <c r="CD248" i="9"/>
  <c r="CG248" i="9"/>
  <c r="CJ248" i="9"/>
  <c r="N249" i="9"/>
  <c r="O249" i="9"/>
  <c r="P249" i="9"/>
  <c r="AE249" i="9"/>
  <c r="BQ249" i="9" s="1"/>
  <c r="AF249" i="9"/>
  <c r="BC249" i="9"/>
  <c r="BD249" i="9"/>
  <c r="BE249" i="9" s="1"/>
  <c r="BP249" i="9"/>
  <c r="BS249" i="9" a="1"/>
  <c r="BS249" i="9" s="1"/>
  <c r="BV249" i="9" a="1"/>
  <c r="BV249" i="9"/>
  <c r="BW249" i="9" a="1"/>
  <c r="BW249" i="9"/>
  <c r="CB249" i="9"/>
  <c r="CD249" i="9"/>
  <c r="CG249" i="9"/>
  <c r="CJ249" i="9"/>
  <c r="N250" i="9"/>
  <c r="O250" i="9"/>
  <c r="P250" i="9"/>
  <c r="AE250" i="9"/>
  <c r="BQ250" i="9" s="1"/>
  <c r="AF250" i="9"/>
  <c r="BC250" i="9"/>
  <c r="BD250" i="9"/>
  <c r="BE250" i="9"/>
  <c r="BP250" i="9"/>
  <c r="BS250" i="9" a="1"/>
  <c r="BS250" i="9"/>
  <c r="BV250" i="9" a="1"/>
  <c r="BV250" i="9"/>
  <c r="BY250" i="9" s="1"/>
  <c r="BW250" i="9" a="1"/>
  <c r="BW250" i="9" s="1"/>
  <c r="CB250" i="9"/>
  <c r="CD250" i="9"/>
  <c r="CG250" i="9"/>
  <c r="CJ250" i="9"/>
  <c r="N251" i="9"/>
  <c r="O251" i="9"/>
  <c r="P251" i="9"/>
  <c r="AE251" i="9"/>
  <c r="BQ251" i="9"/>
  <c r="AF251" i="9"/>
  <c r="BC251" i="9"/>
  <c r="BD251" i="9"/>
  <c r="BE251" i="9" s="1"/>
  <c r="BP251" i="9"/>
  <c r="BS251" i="9" a="1"/>
  <c r="BS251" i="9" s="1"/>
  <c r="BZ251" i="9" s="1"/>
  <c r="BV251" i="9" a="1"/>
  <c r="BV251" i="9" s="1"/>
  <c r="BY251" i="9" s="1"/>
  <c r="BW251" i="9" a="1"/>
  <c r="BW251" i="9" s="1"/>
  <c r="CB251" i="9"/>
  <c r="CD251" i="9"/>
  <c r="CG251" i="9"/>
  <c r="CJ251" i="9"/>
  <c r="N252" i="9"/>
  <c r="O252" i="9"/>
  <c r="P252" i="9"/>
  <c r="AE252" i="9"/>
  <c r="BQ252" i="9"/>
  <c r="AF252" i="9"/>
  <c r="BC252" i="9"/>
  <c r="BD252" i="9"/>
  <c r="BE252" i="9" s="1"/>
  <c r="BP252" i="9"/>
  <c r="BS252" i="9" a="1"/>
  <c r="BS252" i="9"/>
  <c r="BV252" i="9" a="1"/>
  <c r="BV252" i="9" s="1"/>
  <c r="BW252" i="9" a="1"/>
  <c r="BW252" i="9" s="1"/>
  <c r="CB252" i="9"/>
  <c r="CD252" i="9"/>
  <c r="CG252" i="9"/>
  <c r="CJ252" i="9"/>
  <c r="N253" i="9"/>
  <c r="O253" i="9"/>
  <c r="P253" i="9"/>
  <c r="AE253" i="9"/>
  <c r="BQ253" i="9" s="1"/>
  <c r="AF253" i="9"/>
  <c r="BC253" i="9"/>
  <c r="BD253" i="9"/>
  <c r="BE253" i="9"/>
  <c r="BP253" i="9"/>
  <c r="BS253" i="9" a="1"/>
  <c r="BS253" i="9" s="1"/>
  <c r="BV253" i="9" a="1"/>
  <c r="BV253" i="9"/>
  <c r="BW253" i="9" a="1"/>
  <c r="BW253" i="9" s="1"/>
  <c r="BY253" i="9" s="1"/>
  <c r="CB253" i="9"/>
  <c r="CD253" i="9"/>
  <c r="CG253" i="9"/>
  <c r="CJ253" i="9"/>
  <c r="N254" i="9"/>
  <c r="O254" i="9"/>
  <c r="P254" i="9"/>
  <c r="AE254" i="9"/>
  <c r="BQ254" i="9"/>
  <c r="AF254" i="9"/>
  <c r="BC254" i="9"/>
  <c r="BD254" i="9"/>
  <c r="BE254" i="9" s="1"/>
  <c r="BP254" i="9"/>
  <c r="BS254" i="9" a="1"/>
  <c r="BS254" i="9" s="1"/>
  <c r="BZ254" i="9" s="1"/>
  <c r="BV254" i="9" a="1"/>
  <c r="BV254" i="9"/>
  <c r="BW254" i="9" a="1"/>
  <c r="BW254" i="9" s="1"/>
  <c r="CB254" i="9"/>
  <c r="CD254" i="9"/>
  <c r="CG254" i="9"/>
  <c r="CJ254" i="9"/>
  <c r="N255" i="9"/>
  <c r="O255" i="9"/>
  <c r="P255" i="9"/>
  <c r="AE255" i="9"/>
  <c r="BQ255" i="9"/>
  <c r="AF255" i="9"/>
  <c r="BC255" i="9"/>
  <c r="BD255" i="9"/>
  <c r="BE255" i="9" s="1"/>
  <c r="BP255" i="9"/>
  <c r="BS255" i="9" a="1"/>
  <c r="BS255" i="9" s="1"/>
  <c r="BV255" i="9" a="1"/>
  <c r="BV255" i="9" s="1"/>
  <c r="BY255" i="9" s="1"/>
  <c r="BW255" i="9" a="1"/>
  <c r="BW255" i="9"/>
  <c r="CB255" i="9"/>
  <c r="CD255" i="9"/>
  <c r="CG255" i="9"/>
  <c r="CJ255" i="9"/>
  <c r="N256" i="9"/>
  <c r="O256" i="9"/>
  <c r="P256" i="9"/>
  <c r="AE256" i="9"/>
  <c r="BQ256" i="9" s="1"/>
  <c r="AF256" i="9"/>
  <c r="BC256" i="9"/>
  <c r="BD256" i="9"/>
  <c r="BE256" i="9"/>
  <c r="BP256" i="9"/>
  <c r="BS256" i="9" a="1"/>
  <c r="BS256" i="9"/>
  <c r="BZ256" i="9" s="1"/>
  <c r="BV256" i="9" a="1"/>
  <c r="BV256" i="9" s="1"/>
  <c r="BY256" i="9" s="1"/>
  <c r="BW256" i="9" a="1"/>
  <c r="BW256" i="9"/>
  <c r="CB256" i="9"/>
  <c r="CD256" i="9"/>
  <c r="CG256" i="9"/>
  <c r="CJ256" i="9"/>
  <c r="N257" i="9"/>
  <c r="O257" i="9"/>
  <c r="P257" i="9"/>
  <c r="AE257" i="9"/>
  <c r="BQ257" i="9" s="1"/>
  <c r="AF257" i="9"/>
  <c r="BC257" i="9"/>
  <c r="BD257" i="9"/>
  <c r="BE257" i="9"/>
  <c r="BP257" i="9"/>
  <c r="BS257" i="9" a="1"/>
  <c r="BS257" i="9"/>
  <c r="BV257" i="9" a="1"/>
  <c r="BV257" i="9"/>
  <c r="BY257" i="9"/>
  <c r="BW257" i="9" a="1"/>
  <c r="BW257" i="9"/>
  <c r="CB257" i="9"/>
  <c r="CD257" i="9"/>
  <c r="CG257" i="9"/>
  <c r="CJ257" i="9"/>
  <c r="N258" i="9"/>
  <c r="O258" i="9"/>
  <c r="P258" i="9"/>
  <c r="AE258" i="9"/>
  <c r="BQ258" i="9" s="1"/>
  <c r="AF258" i="9"/>
  <c r="BC258" i="9"/>
  <c r="BD258" i="9"/>
  <c r="BE258" i="9" s="1"/>
  <c r="BP258" i="9"/>
  <c r="BS258" i="9" a="1"/>
  <c r="BS258" i="9"/>
  <c r="BV258" i="9" a="1"/>
  <c r="BV258" i="9" s="1"/>
  <c r="BY258" i="9" s="1"/>
  <c r="BW258" i="9" a="1"/>
  <c r="BW258" i="9"/>
  <c r="CB258" i="9"/>
  <c r="CD258" i="9"/>
  <c r="CG258" i="9"/>
  <c r="CJ258" i="9"/>
  <c r="N259" i="9"/>
  <c r="O259" i="9"/>
  <c r="P259" i="9"/>
  <c r="AE259" i="9"/>
  <c r="BQ259" i="9" s="1"/>
  <c r="AF259" i="9"/>
  <c r="BC259" i="9"/>
  <c r="BD259" i="9"/>
  <c r="BE259" i="9" s="1"/>
  <c r="BP259" i="9"/>
  <c r="BS259" i="9" a="1"/>
  <c r="BS259" i="9" s="1"/>
  <c r="BV259" i="9" a="1"/>
  <c r="BV259" i="9"/>
  <c r="BW259" i="9" a="1"/>
  <c r="BW259" i="9" s="1"/>
  <c r="CB259" i="9"/>
  <c r="CD259" i="9"/>
  <c r="CG259" i="9"/>
  <c r="CJ259" i="9"/>
  <c r="N260" i="9"/>
  <c r="O260" i="9"/>
  <c r="P260" i="9"/>
  <c r="AE260" i="9"/>
  <c r="BQ260" i="9"/>
  <c r="AF260" i="9"/>
  <c r="BC260" i="9"/>
  <c r="BD260" i="9"/>
  <c r="BE260" i="9" s="1"/>
  <c r="BP260" i="9"/>
  <c r="BS260" i="9" a="1"/>
  <c r="BS260" i="9" s="1"/>
  <c r="BV260" i="9" a="1"/>
  <c r="BV260" i="9"/>
  <c r="BW260" i="9" a="1"/>
  <c r="BW260" i="9"/>
  <c r="CB260" i="9"/>
  <c r="CD260" i="9"/>
  <c r="CG260" i="9"/>
  <c r="CJ260" i="9"/>
  <c r="N261" i="9"/>
  <c r="O261" i="9"/>
  <c r="P261" i="9"/>
  <c r="AE261" i="9"/>
  <c r="BQ261" i="9" s="1"/>
  <c r="AF261" i="9"/>
  <c r="BC261" i="9"/>
  <c r="BD261" i="9"/>
  <c r="BE261" i="9"/>
  <c r="BP261" i="9"/>
  <c r="BS261" i="9" a="1"/>
  <c r="BS261" i="9"/>
  <c r="BV261" i="9" a="1"/>
  <c r="BV261" i="9" s="1"/>
  <c r="BW261" i="9" a="1"/>
  <c r="BW261" i="9"/>
  <c r="CB261" i="9"/>
  <c r="CD261" i="9"/>
  <c r="CG261" i="9"/>
  <c r="CJ261" i="9"/>
  <c r="N262" i="9"/>
  <c r="O262" i="9"/>
  <c r="P262" i="9"/>
  <c r="AE262" i="9"/>
  <c r="BQ262" i="9" s="1"/>
  <c r="AF262" i="9"/>
  <c r="BC262" i="9"/>
  <c r="BD262" i="9"/>
  <c r="BE262" i="9"/>
  <c r="BP262" i="9"/>
  <c r="BS262" i="9" a="1"/>
  <c r="BS262" i="9"/>
  <c r="BV262" i="9" a="1"/>
  <c r="BV262" i="9"/>
  <c r="BW262" i="9" a="1"/>
  <c r="BW262" i="9"/>
  <c r="CB262" i="9"/>
  <c r="CD262" i="9"/>
  <c r="CG262" i="9"/>
  <c r="CJ262" i="9"/>
  <c r="N263" i="9"/>
  <c r="O263" i="9"/>
  <c r="P263" i="9"/>
  <c r="AE263" i="9"/>
  <c r="BQ263" i="9" s="1"/>
  <c r="AF263" i="9"/>
  <c r="BC263" i="9"/>
  <c r="BD263" i="9"/>
  <c r="BE263" i="9" s="1"/>
  <c r="BP263" i="9"/>
  <c r="BS263" i="9" a="1"/>
  <c r="BS263" i="9" s="1"/>
  <c r="BV263" i="9" a="1"/>
  <c r="BV263" i="9" s="1"/>
  <c r="BW263" i="9" a="1"/>
  <c r="BW263" i="9"/>
  <c r="CB263" i="9"/>
  <c r="CD263" i="9"/>
  <c r="CG263" i="9"/>
  <c r="CJ263" i="9"/>
  <c r="N264" i="9"/>
  <c r="O264" i="9"/>
  <c r="P264" i="9"/>
  <c r="AE264" i="9"/>
  <c r="BQ264" i="9"/>
  <c r="AF264" i="9"/>
  <c r="BC264" i="9"/>
  <c r="BD264" i="9"/>
  <c r="BE264" i="9"/>
  <c r="BP264" i="9"/>
  <c r="BS264" i="9" a="1"/>
  <c r="BS264" i="9" s="1"/>
  <c r="BZ264" i="9" s="1"/>
  <c r="BV264" i="9" a="1"/>
  <c r="BV264" i="9" s="1"/>
  <c r="BY264" i="9" s="1"/>
  <c r="BW264" i="9" a="1"/>
  <c r="BW264" i="9" s="1"/>
  <c r="CB264" i="9"/>
  <c r="CD264" i="9"/>
  <c r="CG264" i="9"/>
  <c r="CJ264" i="9"/>
  <c r="N265" i="9"/>
  <c r="O265" i="9"/>
  <c r="P265" i="9"/>
  <c r="AE265" i="9"/>
  <c r="BQ265" i="9" s="1"/>
  <c r="AF265" i="9"/>
  <c r="BC265" i="9"/>
  <c r="BD265" i="9"/>
  <c r="BE265" i="9" s="1"/>
  <c r="BP265" i="9"/>
  <c r="BS265" i="9" a="1"/>
  <c r="BS265" i="9"/>
  <c r="BV265" i="9" a="1"/>
  <c r="BV265" i="9" s="1"/>
  <c r="BY265" i="9" s="1"/>
  <c r="BW265" i="9" a="1"/>
  <c r="BW265" i="9"/>
  <c r="CB265" i="9"/>
  <c r="CD265" i="9"/>
  <c r="CG265" i="9"/>
  <c r="CJ265" i="9"/>
  <c r="N266" i="9"/>
  <c r="O266" i="9"/>
  <c r="P266" i="9"/>
  <c r="AE266" i="9"/>
  <c r="BQ266" i="9" s="1"/>
  <c r="AF266" i="9"/>
  <c r="BC266" i="9"/>
  <c r="BD266" i="9"/>
  <c r="BE266" i="9" s="1"/>
  <c r="BP266" i="9"/>
  <c r="BS266" i="9" a="1"/>
  <c r="BS266" i="9"/>
  <c r="BV266" i="9" a="1"/>
  <c r="BV266" i="9" s="1"/>
  <c r="BW266" i="9" a="1"/>
  <c r="BW266" i="9"/>
  <c r="CB266" i="9"/>
  <c r="CD266" i="9"/>
  <c r="CG266" i="9"/>
  <c r="CJ266" i="9"/>
  <c r="N267" i="9"/>
  <c r="O267" i="9"/>
  <c r="P267" i="9"/>
  <c r="AE267" i="9"/>
  <c r="BQ267" i="9" s="1"/>
  <c r="AF267" i="9"/>
  <c r="BC267" i="9"/>
  <c r="BD267" i="9"/>
  <c r="BE267" i="9" s="1"/>
  <c r="BP267" i="9"/>
  <c r="BS267" i="9" a="1"/>
  <c r="BS267" i="9" s="1"/>
  <c r="BV267" i="9" a="1"/>
  <c r="BV267" i="9" s="1"/>
  <c r="BW267" i="9" a="1"/>
  <c r="BW267" i="9" s="1"/>
  <c r="CB267" i="9"/>
  <c r="CD267" i="9"/>
  <c r="CG267" i="9"/>
  <c r="CJ267" i="9"/>
  <c r="N268" i="9"/>
  <c r="O268" i="9"/>
  <c r="P268" i="9"/>
  <c r="AE268" i="9"/>
  <c r="BQ268" i="9" s="1"/>
  <c r="AF268" i="9"/>
  <c r="BC268" i="9"/>
  <c r="BD268" i="9"/>
  <c r="BE268" i="9"/>
  <c r="BP268" i="9"/>
  <c r="BS268" i="9" a="1"/>
  <c r="BS268" i="9" s="1"/>
  <c r="BY268" i="9" s="1"/>
  <c r="BV268" i="9" a="1"/>
  <c r="BV268" i="9"/>
  <c r="BW268" i="9" a="1"/>
  <c r="BW268" i="9" s="1"/>
  <c r="CB268" i="9"/>
  <c r="CD268" i="9"/>
  <c r="CG268" i="9"/>
  <c r="CJ268" i="9"/>
  <c r="N269" i="9"/>
  <c r="O269" i="9"/>
  <c r="P269" i="9"/>
  <c r="AE269" i="9"/>
  <c r="BQ269" i="9"/>
  <c r="AF269" i="9"/>
  <c r="BC269" i="9"/>
  <c r="BD269" i="9"/>
  <c r="BE269" i="9" s="1"/>
  <c r="BP269" i="9"/>
  <c r="BS269" i="9" a="1"/>
  <c r="BS269" i="9" s="1"/>
  <c r="BV269" i="9" a="1"/>
  <c r="BV269" i="9" s="1"/>
  <c r="BW269" i="9" a="1"/>
  <c r="BW269" i="9" s="1"/>
  <c r="CB269" i="9"/>
  <c r="CD269" i="9"/>
  <c r="CG269" i="9"/>
  <c r="CJ269" i="9"/>
  <c r="N270" i="9"/>
  <c r="O270" i="9"/>
  <c r="P270" i="9"/>
  <c r="AE270" i="9"/>
  <c r="BQ270" i="9"/>
  <c r="AF270" i="9"/>
  <c r="BC270" i="9"/>
  <c r="BD270" i="9"/>
  <c r="BE270" i="9" s="1"/>
  <c r="BP270" i="9"/>
  <c r="BS270" i="9" a="1"/>
  <c r="BS270" i="9" s="1"/>
  <c r="BV270" i="9" a="1"/>
  <c r="BV270" i="9"/>
  <c r="BW270" i="9" a="1"/>
  <c r="BW270" i="9" s="1"/>
  <c r="BY270" i="9" s="1"/>
  <c r="CB270" i="9"/>
  <c r="CD270" i="9"/>
  <c r="CG270" i="9"/>
  <c r="CJ270" i="9"/>
  <c r="N271" i="9"/>
  <c r="O271" i="9"/>
  <c r="P271" i="9"/>
  <c r="AE271" i="9"/>
  <c r="BQ271" i="9" s="1"/>
  <c r="AF271" i="9"/>
  <c r="BC271" i="9"/>
  <c r="BD271" i="9"/>
  <c r="BE271" i="9"/>
  <c r="BP271" i="9"/>
  <c r="BS271" i="9" a="1"/>
  <c r="BS271" i="9"/>
  <c r="BV271" i="9" a="1"/>
  <c r="BV271" i="9"/>
  <c r="BW271" i="9" a="1"/>
  <c r="BW271" i="9" s="1"/>
  <c r="CB271" i="9"/>
  <c r="CD271" i="9"/>
  <c r="CG271" i="9"/>
  <c r="CJ271" i="9"/>
  <c r="N272" i="9"/>
  <c r="O272" i="9"/>
  <c r="P272" i="9"/>
  <c r="AE272" i="9"/>
  <c r="BQ272" i="9"/>
  <c r="AF272" i="9"/>
  <c r="BC272" i="9"/>
  <c r="BD272" i="9"/>
  <c r="BE272" i="9" s="1"/>
  <c r="BP272" i="9"/>
  <c r="BS272" i="9" a="1"/>
  <c r="BS272" i="9" s="1"/>
  <c r="BV272" i="9" a="1"/>
  <c r="BV272" i="9" s="1"/>
  <c r="BW272" i="9" a="1"/>
  <c r="BW272" i="9" s="1"/>
  <c r="CB272" i="9"/>
  <c r="CD272" i="9"/>
  <c r="CG272" i="9"/>
  <c r="CJ272" i="9"/>
  <c r="N273" i="9"/>
  <c r="O273" i="9"/>
  <c r="P273" i="9"/>
  <c r="AE273" i="9"/>
  <c r="BQ273" i="9"/>
  <c r="AF273" i="9"/>
  <c r="BC273" i="9"/>
  <c r="BD273" i="9"/>
  <c r="BE273" i="9" s="1"/>
  <c r="BP273" i="9"/>
  <c r="BS273" i="9" a="1"/>
  <c r="BS273" i="9" s="1"/>
  <c r="BY273" i="9" s="1"/>
  <c r="BV273" i="9" a="1"/>
  <c r="BV273" i="9" s="1"/>
  <c r="BW273" i="9" a="1"/>
  <c r="BW273" i="9"/>
  <c r="CB273" i="9"/>
  <c r="CD273" i="9"/>
  <c r="CG273" i="9"/>
  <c r="CJ273" i="9"/>
  <c r="N274" i="9"/>
  <c r="O274" i="9"/>
  <c r="P274" i="9"/>
  <c r="AE274" i="9"/>
  <c r="BQ274" i="9"/>
  <c r="AF274" i="9"/>
  <c r="BC274" i="9"/>
  <c r="BD274" i="9"/>
  <c r="BE274" i="9" s="1"/>
  <c r="BP274" i="9"/>
  <c r="BS274" i="9" a="1"/>
  <c r="BS274" i="9" s="1"/>
  <c r="BV274" i="9" a="1"/>
  <c r="BV274" i="9" s="1"/>
  <c r="BW274" i="9" a="1"/>
  <c r="BW274" i="9" s="1"/>
  <c r="CB274" i="9"/>
  <c r="CD274" i="9"/>
  <c r="CG274" i="9"/>
  <c r="CJ274" i="9"/>
  <c r="N275" i="9"/>
  <c r="O275" i="9"/>
  <c r="P275" i="9"/>
  <c r="AE275" i="9"/>
  <c r="BQ275" i="9" s="1"/>
  <c r="AF275" i="9"/>
  <c r="BC275" i="9"/>
  <c r="BD275" i="9"/>
  <c r="BE275" i="9" s="1"/>
  <c r="BP275" i="9"/>
  <c r="BS275" i="9" a="1"/>
  <c r="BS275" i="9" s="1"/>
  <c r="BY275" i="9" s="1"/>
  <c r="BV275" i="9" a="1"/>
  <c r="BV275" i="9"/>
  <c r="BW275" i="9" a="1"/>
  <c r="BW275" i="9"/>
  <c r="CB275" i="9"/>
  <c r="CD275" i="9"/>
  <c r="CG275" i="9"/>
  <c r="CJ275" i="9"/>
  <c r="N276" i="9"/>
  <c r="O276" i="9"/>
  <c r="P276" i="9"/>
  <c r="AE276" i="9"/>
  <c r="BQ276" i="9" s="1"/>
  <c r="AF276" i="9"/>
  <c r="BC276" i="9"/>
  <c r="BD276" i="9"/>
  <c r="BE276" i="9"/>
  <c r="BP276" i="9"/>
  <c r="BS276" i="9" a="1"/>
  <c r="BS276" i="9"/>
  <c r="BV276" i="9" a="1"/>
  <c r="BV276" i="9"/>
  <c r="BW276" i="9" a="1"/>
  <c r="BW276" i="9"/>
  <c r="CB276" i="9"/>
  <c r="CD276" i="9"/>
  <c r="CG276" i="9"/>
  <c r="CJ276" i="9"/>
  <c r="N277" i="9"/>
  <c r="O277" i="9"/>
  <c r="P277" i="9"/>
  <c r="AE277" i="9"/>
  <c r="BQ277" i="9" s="1"/>
  <c r="AF277" i="9"/>
  <c r="BC277" i="9"/>
  <c r="BD277" i="9"/>
  <c r="BE277" i="9"/>
  <c r="BP277" i="9"/>
  <c r="BS277" i="9" a="1"/>
  <c r="BS277" i="9"/>
  <c r="BV277" i="9" a="1"/>
  <c r="BV277" i="9" s="1"/>
  <c r="BW277" i="9" a="1"/>
  <c r="BW277" i="9" s="1"/>
  <c r="CB277" i="9"/>
  <c r="CD277" i="9"/>
  <c r="CG277" i="9"/>
  <c r="CJ277" i="9"/>
  <c r="N278" i="9"/>
  <c r="O278" i="9"/>
  <c r="P278" i="9"/>
  <c r="AE278" i="9"/>
  <c r="BQ278" i="9"/>
  <c r="AF278" i="9"/>
  <c r="BC278" i="9"/>
  <c r="BD278" i="9"/>
  <c r="BE278" i="9"/>
  <c r="BP278" i="9"/>
  <c r="BS278" i="9" a="1"/>
  <c r="BS278" i="9" s="1"/>
  <c r="BV278" i="9" a="1"/>
  <c r="BV278" i="9" s="1"/>
  <c r="BW278" i="9" a="1"/>
  <c r="BW278" i="9"/>
  <c r="BY278" i="9" s="1"/>
  <c r="CB278" i="9"/>
  <c r="CD278" i="9"/>
  <c r="CG278" i="9"/>
  <c r="CJ278" i="9"/>
  <c r="N279" i="9"/>
  <c r="O279" i="9"/>
  <c r="P279" i="9"/>
  <c r="AE279" i="9"/>
  <c r="BQ279" i="9" s="1"/>
  <c r="AF279" i="9"/>
  <c r="BC279" i="9"/>
  <c r="BD279" i="9"/>
  <c r="BE279" i="9"/>
  <c r="BP279" i="9"/>
  <c r="BS279" i="9" a="1"/>
  <c r="BS279" i="9"/>
  <c r="BV279" i="9" a="1"/>
  <c r="BV279" i="9" s="1"/>
  <c r="BW279" i="9" a="1"/>
  <c r="BW279" i="9" s="1"/>
  <c r="CB279" i="9"/>
  <c r="CD279" i="9"/>
  <c r="CG279" i="9"/>
  <c r="CJ279" i="9"/>
  <c r="N280" i="9"/>
  <c r="O280" i="9"/>
  <c r="P280" i="9"/>
  <c r="AE280" i="9"/>
  <c r="BQ280" i="9"/>
  <c r="AF280" i="9"/>
  <c r="BC280" i="9"/>
  <c r="BD280" i="9"/>
  <c r="BE280" i="9"/>
  <c r="BP280" i="9"/>
  <c r="BS280" i="9" a="1"/>
  <c r="BS280" i="9" s="1"/>
  <c r="BV280" i="9" a="1"/>
  <c r="BV280" i="9" s="1"/>
  <c r="BY280" i="9" s="1"/>
  <c r="BW280" i="9" a="1"/>
  <c r="BW280" i="9"/>
  <c r="CB280" i="9"/>
  <c r="CD280" i="9"/>
  <c r="CG280" i="9"/>
  <c r="CJ280" i="9"/>
  <c r="N281" i="9"/>
  <c r="O281" i="9"/>
  <c r="P281" i="9"/>
  <c r="AE281" i="9"/>
  <c r="BQ281" i="9"/>
  <c r="AF281" i="9"/>
  <c r="BC281" i="9"/>
  <c r="BD281" i="9"/>
  <c r="BE281" i="9"/>
  <c r="BP281" i="9"/>
  <c r="BS281" i="9" a="1"/>
  <c r="BS281" i="9"/>
  <c r="BV281" i="9" a="1"/>
  <c r="BV281" i="9" s="1"/>
  <c r="BY281" i="9" s="1"/>
  <c r="BW281" i="9" a="1"/>
  <c r="BW281" i="9" s="1"/>
  <c r="CB281" i="9"/>
  <c r="CD281" i="9"/>
  <c r="CG281" i="9"/>
  <c r="CJ281" i="9"/>
  <c r="N282" i="9"/>
  <c r="O282" i="9"/>
  <c r="P282" i="9"/>
  <c r="AE282" i="9"/>
  <c r="BQ282" i="9"/>
  <c r="AF282" i="9"/>
  <c r="E282" i="49" s="1"/>
  <c r="BC282" i="9"/>
  <c r="BD282" i="9"/>
  <c r="BE282" i="9" s="1"/>
  <c r="BP282" i="9"/>
  <c r="BS282" i="9" a="1"/>
  <c r="BS282" i="9"/>
  <c r="BV282" i="9" a="1"/>
  <c r="BV282" i="9" s="1"/>
  <c r="BW282" i="9" a="1"/>
  <c r="BW282" i="9"/>
  <c r="CB282" i="9"/>
  <c r="CD282" i="9"/>
  <c r="CG282" i="9"/>
  <c r="CJ282" i="9"/>
  <c r="N283" i="9"/>
  <c r="O283" i="9"/>
  <c r="P283" i="9"/>
  <c r="AE283" i="9"/>
  <c r="BQ283" i="9"/>
  <c r="AF283" i="9"/>
  <c r="E283" i="49" s="1"/>
  <c r="BC283" i="9"/>
  <c r="BD283" i="9"/>
  <c r="BE283" i="9" s="1"/>
  <c r="BP283" i="9"/>
  <c r="BS283" i="9" a="1"/>
  <c r="BS283" i="9" s="1"/>
  <c r="BZ283" i="9" s="1"/>
  <c r="BV283" i="9" a="1"/>
  <c r="BV283" i="9"/>
  <c r="BW283" i="9" a="1"/>
  <c r="BW283" i="9" s="1"/>
  <c r="CB283" i="9"/>
  <c r="CD283" i="9"/>
  <c r="CG283" i="9"/>
  <c r="CJ283" i="9"/>
  <c r="N284" i="9"/>
  <c r="O284" i="9"/>
  <c r="P284" i="9"/>
  <c r="AE284" i="9"/>
  <c r="BQ284" i="9"/>
  <c r="AF284" i="9"/>
  <c r="E284" i="49" s="1"/>
  <c r="BC284" i="9"/>
  <c r="BD284" i="9"/>
  <c r="BE284" i="9"/>
  <c r="BP284" i="9"/>
  <c r="BS284" i="9" a="1"/>
  <c r="BS284" i="9"/>
  <c r="BZ284" i="9" s="1"/>
  <c r="BV284" i="9" a="1"/>
  <c r="BV284" i="9" s="1"/>
  <c r="BW284" i="9" a="1"/>
  <c r="BW284" i="9" s="1"/>
  <c r="CB284" i="9"/>
  <c r="CD284" i="9"/>
  <c r="CG284" i="9"/>
  <c r="CJ284" i="9"/>
  <c r="N285" i="9"/>
  <c r="O285" i="9"/>
  <c r="P285" i="9"/>
  <c r="AE285" i="9"/>
  <c r="BQ285" i="9"/>
  <c r="AF285" i="9"/>
  <c r="E285" i="49" s="1"/>
  <c r="BC285" i="9"/>
  <c r="BD285" i="9"/>
  <c r="BE285" i="9" s="1"/>
  <c r="BP285" i="9"/>
  <c r="BS285" i="9" a="1"/>
  <c r="BS285" i="9"/>
  <c r="BV285" i="9" a="1"/>
  <c r="BV285" i="9"/>
  <c r="BW285" i="9" a="1"/>
  <c r="BW285" i="9"/>
  <c r="CB285" i="9"/>
  <c r="CD285" i="9"/>
  <c r="CG285" i="9"/>
  <c r="CJ285" i="9"/>
  <c r="N286" i="9"/>
  <c r="O286" i="9"/>
  <c r="P286" i="9"/>
  <c r="AE286" i="9"/>
  <c r="BQ286" i="9" s="1"/>
  <c r="AF286" i="9"/>
  <c r="E286" i="49"/>
  <c r="BC286" i="9"/>
  <c r="BD286" i="9"/>
  <c r="BE286" i="9"/>
  <c r="BP286" i="9"/>
  <c r="BS286" i="9" a="1"/>
  <c r="BS286" i="9" s="1"/>
  <c r="BV286" i="9" a="1"/>
  <c r="BV286" i="9" s="1"/>
  <c r="BW286" i="9" a="1"/>
  <c r="BW286" i="9"/>
  <c r="CB286" i="9"/>
  <c r="CD286" i="9"/>
  <c r="CG286" i="9"/>
  <c r="CJ286" i="9"/>
  <c r="N287" i="9"/>
  <c r="O287" i="9"/>
  <c r="P287" i="9"/>
  <c r="AE287" i="9"/>
  <c r="BQ287" i="9"/>
  <c r="AF287" i="9"/>
  <c r="E287" i="49" s="1"/>
  <c r="BC287" i="9"/>
  <c r="BD287" i="9"/>
  <c r="BE287" i="9" s="1"/>
  <c r="BP287" i="9"/>
  <c r="BS287" i="9" a="1"/>
  <c r="BS287" i="9" s="1"/>
  <c r="BV287" i="9" a="1"/>
  <c r="BV287" i="9" s="1"/>
  <c r="BW287" i="9" a="1"/>
  <c r="BW287" i="9" s="1"/>
  <c r="CB287" i="9"/>
  <c r="CD287" i="9"/>
  <c r="CG287" i="9"/>
  <c r="CJ287" i="9"/>
  <c r="N288" i="9"/>
  <c r="O288" i="9"/>
  <c r="P288" i="9"/>
  <c r="AE288" i="9"/>
  <c r="BQ288" i="9" s="1"/>
  <c r="AF288" i="9"/>
  <c r="E288" i="49" s="1"/>
  <c r="BC288" i="9"/>
  <c r="BD288" i="9"/>
  <c r="BE288" i="9" s="1"/>
  <c r="BP288" i="9"/>
  <c r="BS288" i="9" a="1"/>
  <c r="BS288" i="9" s="1"/>
  <c r="BV288" i="9" a="1"/>
  <c r="BV288" i="9"/>
  <c r="BW288" i="9" a="1"/>
  <c r="BW288" i="9" s="1"/>
  <c r="CB288" i="9"/>
  <c r="CD288" i="9"/>
  <c r="CG288" i="9"/>
  <c r="CJ288" i="9"/>
  <c r="N289" i="9"/>
  <c r="O289" i="9"/>
  <c r="P289" i="9"/>
  <c r="AE289" i="9"/>
  <c r="BQ289" i="9" s="1"/>
  <c r="AF289" i="9"/>
  <c r="E289" i="49" s="1"/>
  <c r="BC289" i="9"/>
  <c r="BD289" i="9"/>
  <c r="BE289" i="9"/>
  <c r="BP289" i="9"/>
  <c r="BS289" i="9" a="1"/>
  <c r="BS289" i="9" s="1"/>
  <c r="BZ289" i="9"/>
  <c r="BV289" i="9" a="1"/>
  <c r="BV289" i="9" s="1"/>
  <c r="BW289" i="9" a="1"/>
  <c r="BW289" i="9" s="1"/>
  <c r="CB289" i="9"/>
  <c r="CD289" i="9"/>
  <c r="CG289" i="9"/>
  <c r="CJ289" i="9"/>
  <c r="N290" i="9"/>
  <c r="O290" i="9"/>
  <c r="P290" i="9"/>
  <c r="AE290" i="9"/>
  <c r="BQ290" i="9" s="1"/>
  <c r="AF290" i="9"/>
  <c r="E290" i="49" s="1"/>
  <c r="BC290" i="9"/>
  <c r="BD290" i="9"/>
  <c r="BE290" i="9" s="1"/>
  <c r="BP290" i="9"/>
  <c r="BS290" i="9" a="1"/>
  <c r="BS290" i="9"/>
  <c r="BV290" i="9" a="1"/>
  <c r="BV290" i="9"/>
  <c r="BW290" i="9" a="1"/>
  <c r="BW290" i="9"/>
  <c r="CB290" i="9"/>
  <c r="CD290" i="9"/>
  <c r="CG290" i="9"/>
  <c r="CJ290" i="9"/>
  <c r="N291" i="9"/>
  <c r="O291" i="9"/>
  <c r="P291" i="9"/>
  <c r="AE291" i="9"/>
  <c r="BQ291" i="9" s="1"/>
  <c r="AF291" i="9"/>
  <c r="E291" i="49"/>
  <c r="BC291" i="9"/>
  <c r="BD291" i="9"/>
  <c r="BE291" i="9" s="1"/>
  <c r="BP291" i="9"/>
  <c r="BS291" i="9" a="1"/>
  <c r="BS291" i="9" s="1"/>
  <c r="BV291" i="9" a="1"/>
  <c r="BV291" i="9" s="1"/>
  <c r="BW291" i="9" a="1"/>
  <c r="BW291" i="9" s="1"/>
  <c r="CB291" i="9"/>
  <c r="CD291" i="9"/>
  <c r="CG291" i="9"/>
  <c r="CJ291" i="9"/>
  <c r="N292" i="9"/>
  <c r="O292" i="9"/>
  <c r="P292" i="9"/>
  <c r="AE292" i="9"/>
  <c r="BQ292" i="9"/>
  <c r="AF292" i="9"/>
  <c r="E292" i="49"/>
  <c r="BC292" i="9"/>
  <c r="BD292" i="9"/>
  <c r="BE292" i="9"/>
  <c r="BP292" i="9"/>
  <c r="BS292" i="9" a="1"/>
  <c r="BS292" i="9"/>
  <c r="BV292" i="9" a="1"/>
  <c r="BV292" i="9"/>
  <c r="BY292" i="9" s="1"/>
  <c r="BW292" i="9" a="1"/>
  <c r="BW292" i="9" s="1"/>
  <c r="CB292" i="9"/>
  <c r="CD292" i="9"/>
  <c r="CG292" i="9"/>
  <c r="CJ292" i="9"/>
  <c r="N293" i="9"/>
  <c r="O293" i="9"/>
  <c r="P293" i="9"/>
  <c r="AE293" i="9"/>
  <c r="BQ293" i="9"/>
  <c r="AF293" i="9"/>
  <c r="E293" i="49" s="1"/>
  <c r="BC293" i="9"/>
  <c r="BD293" i="9"/>
  <c r="BE293" i="9" s="1"/>
  <c r="BP293" i="9"/>
  <c r="BS293" i="9" a="1"/>
  <c r="BS293" i="9"/>
  <c r="BV293" i="9" a="1"/>
  <c r="BV293" i="9" s="1"/>
  <c r="BW293" i="9" a="1"/>
  <c r="BW293" i="9" s="1"/>
  <c r="CB293" i="9"/>
  <c r="CD293" i="9"/>
  <c r="CG293" i="9"/>
  <c r="CJ293" i="9"/>
  <c r="N294" i="9"/>
  <c r="O294" i="9"/>
  <c r="P294" i="9"/>
  <c r="AE294" i="9"/>
  <c r="BQ294" i="9"/>
  <c r="AF294" i="9"/>
  <c r="E294" i="49" s="1"/>
  <c r="BC294" i="9"/>
  <c r="BD294" i="9"/>
  <c r="BE294" i="9" s="1"/>
  <c r="BP294" i="9"/>
  <c r="BS294" i="9" a="1"/>
  <c r="BS294" i="9" s="1"/>
  <c r="BV294" i="9" a="1"/>
  <c r="BV294" i="9" s="1"/>
  <c r="BW294" i="9" a="1"/>
  <c r="BW294" i="9" s="1"/>
  <c r="CB294" i="9"/>
  <c r="CD294" i="9"/>
  <c r="CG294" i="9"/>
  <c r="CJ294" i="9"/>
  <c r="N295" i="9"/>
  <c r="O295" i="9"/>
  <c r="P295" i="9"/>
  <c r="AE295" i="9"/>
  <c r="BQ295" i="9"/>
  <c r="AF295" i="9"/>
  <c r="E295" i="49" s="1"/>
  <c r="BC295" i="9"/>
  <c r="BD295" i="9"/>
  <c r="BE295" i="9"/>
  <c r="BP295" i="9"/>
  <c r="BS295" i="9" a="1"/>
  <c r="BS295" i="9"/>
  <c r="BZ295" i="9"/>
  <c r="BV295" i="9" a="1"/>
  <c r="BV295" i="9" s="1"/>
  <c r="BW295" i="9" a="1"/>
  <c r="BW295" i="9" s="1"/>
  <c r="CB295" i="9"/>
  <c r="CD295" i="9"/>
  <c r="CG295" i="9"/>
  <c r="CJ295" i="9"/>
  <c r="N296" i="9"/>
  <c r="O296" i="9"/>
  <c r="P296" i="9"/>
  <c r="AE296" i="9"/>
  <c r="BQ296" i="9" s="1"/>
  <c r="AF296" i="9"/>
  <c r="E296" i="49"/>
  <c r="BC296" i="9"/>
  <c r="BD296" i="9"/>
  <c r="BE296" i="9" s="1"/>
  <c r="BP296" i="9"/>
  <c r="BS296" i="9" a="1"/>
  <c r="BS296" i="9" s="1"/>
  <c r="BV296" i="9" a="1"/>
  <c r="BV296" i="9" s="1"/>
  <c r="BW296" i="9" a="1"/>
  <c r="BW296" i="9" s="1"/>
  <c r="CB296" i="9"/>
  <c r="CD296" i="9"/>
  <c r="CG296" i="9"/>
  <c r="CJ296" i="9"/>
  <c r="N297" i="9"/>
  <c r="O297" i="9"/>
  <c r="P297" i="9"/>
  <c r="AE297" i="9"/>
  <c r="BQ297" i="9"/>
  <c r="AF297" i="9"/>
  <c r="E297" i="49" s="1"/>
  <c r="BC297" i="9"/>
  <c r="BD297" i="9"/>
  <c r="BE297" i="9" s="1"/>
  <c r="BP297" i="9"/>
  <c r="BS297" i="9" a="1"/>
  <c r="BS297" i="9"/>
  <c r="BV297" i="9" a="1"/>
  <c r="BV297" i="9" s="1"/>
  <c r="BW297" i="9" a="1"/>
  <c r="BW297" i="9"/>
  <c r="CB297" i="9"/>
  <c r="CD297" i="9"/>
  <c r="CG297" i="9"/>
  <c r="CJ297" i="9"/>
  <c r="N298" i="9"/>
  <c r="O298" i="9"/>
  <c r="P298" i="9"/>
  <c r="AE298" i="9"/>
  <c r="BQ298" i="9"/>
  <c r="AF298" i="9"/>
  <c r="E298" i="49" s="1"/>
  <c r="BC298" i="9"/>
  <c r="BD298" i="9"/>
  <c r="BE298" i="9" s="1"/>
  <c r="BP298" i="9"/>
  <c r="BS298" i="9" a="1"/>
  <c r="BS298" i="9" s="1"/>
  <c r="BV298" i="9" a="1"/>
  <c r="BV298" i="9" s="1"/>
  <c r="BW298" i="9" a="1"/>
  <c r="BW298" i="9" s="1"/>
  <c r="CB298" i="9"/>
  <c r="CD298" i="9"/>
  <c r="CG298" i="9"/>
  <c r="CJ298" i="9"/>
  <c r="N299" i="9"/>
  <c r="O299" i="9"/>
  <c r="P299" i="9"/>
  <c r="AE299" i="9"/>
  <c r="BQ299" i="9" s="1"/>
  <c r="AF299" i="9"/>
  <c r="E299" i="49" s="1"/>
  <c r="BC299" i="9"/>
  <c r="BD299" i="9"/>
  <c r="BE299" i="9" s="1"/>
  <c r="BP299" i="9"/>
  <c r="BS299" i="9" a="1"/>
  <c r="BS299" i="9" s="1"/>
  <c r="BZ299" i="9"/>
  <c r="BV299" i="9" a="1"/>
  <c r="BV299" i="9"/>
  <c r="BY299" i="9" s="1"/>
  <c r="BW299" i="9" a="1"/>
  <c r="BW299" i="9"/>
  <c r="CB299" i="9"/>
  <c r="CD299" i="9"/>
  <c r="CG299" i="9"/>
  <c r="CJ299" i="9"/>
  <c r="N300" i="9"/>
  <c r="O300" i="9"/>
  <c r="P300" i="9"/>
  <c r="AE300" i="9"/>
  <c r="BQ300" i="9" s="1"/>
  <c r="AF300" i="9"/>
  <c r="E300" i="49"/>
  <c r="BC300" i="9"/>
  <c r="BD300" i="9"/>
  <c r="BE300" i="9"/>
  <c r="BP300" i="9"/>
  <c r="BS300" i="9" a="1"/>
  <c r="BS300" i="9" s="1"/>
  <c r="BV300" i="9" a="1"/>
  <c r="BV300" i="9"/>
  <c r="BW300" i="9" a="1"/>
  <c r="BW300" i="9"/>
  <c r="CB300" i="9"/>
  <c r="CD300" i="9"/>
  <c r="CG300" i="9"/>
  <c r="CJ300" i="9"/>
  <c r="N301" i="9"/>
  <c r="O301" i="9"/>
  <c r="P301" i="9"/>
  <c r="AE301" i="9"/>
  <c r="BQ301" i="9" s="1"/>
  <c r="AF301" i="9"/>
  <c r="E301" i="49"/>
  <c r="BC301" i="9"/>
  <c r="BD301" i="9"/>
  <c r="BE301" i="9"/>
  <c r="BP301" i="9"/>
  <c r="BS301" i="9" a="1"/>
  <c r="BS301" i="9" s="1"/>
  <c r="BV301" i="9" a="1"/>
  <c r="BV301" i="9"/>
  <c r="BW301" i="9" a="1"/>
  <c r="BW301" i="9" s="1"/>
  <c r="CB301" i="9"/>
  <c r="CD301" i="9"/>
  <c r="CG301" i="9"/>
  <c r="CJ301" i="9"/>
  <c r="N302" i="9"/>
  <c r="O302" i="9"/>
  <c r="P302" i="9"/>
  <c r="AE302" i="9"/>
  <c r="BQ302" i="9"/>
  <c r="AF302" i="9"/>
  <c r="E302" i="49" s="1"/>
  <c r="BC302" i="9"/>
  <c r="BD302" i="9"/>
  <c r="BE302" i="9"/>
  <c r="BP302" i="9"/>
  <c r="BS302" i="9" a="1"/>
  <c r="BS302" i="9"/>
  <c r="BZ302" i="9" s="1"/>
  <c r="BV302" i="9" a="1"/>
  <c r="BV302" i="9"/>
  <c r="BW302" i="9" a="1"/>
  <c r="BW302" i="9"/>
  <c r="BY302" i="9" s="1"/>
  <c r="CB302" i="9"/>
  <c r="CD302" i="9"/>
  <c r="CG302" i="9"/>
  <c r="CJ302" i="9"/>
  <c r="N303" i="9"/>
  <c r="O303" i="9"/>
  <c r="P303" i="9"/>
  <c r="AE303" i="9"/>
  <c r="BQ303" i="9" s="1"/>
  <c r="AF303" i="9"/>
  <c r="E303" i="49"/>
  <c r="BC303" i="9"/>
  <c r="BD303" i="9"/>
  <c r="BE303" i="9" s="1"/>
  <c r="BP303" i="9"/>
  <c r="BS303" i="9" a="1"/>
  <c r="BS303" i="9" s="1"/>
  <c r="BV303" i="9" a="1"/>
  <c r="BV303" i="9"/>
  <c r="BW303" i="9" a="1"/>
  <c r="BW303" i="9"/>
  <c r="CB303" i="9"/>
  <c r="CD303" i="9"/>
  <c r="CG303" i="9"/>
  <c r="CJ303" i="9"/>
  <c r="N304" i="9"/>
  <c r="O304" i="9"/>
  <c r="P304" i="9"/>
  <c r="AE304" i="9"/>
  <c r="BQ304" i="9" s="1"/>
  <c r="AF304" i="9"/>
  <c r="E304" i="49"/>
  <c r="BC304" i="9"/>
  <c r="BD304" i="9"/>
  <c r="BE304" i="9"/>
  <c r="BP304" i="9"/>
  <c r="BS304" i="9" a="1"/>
  <c r="BS304" i="9" s="1"/>
  <c r="BZ304" i="9" s="1"/>
  <c r="BV304" i="9" a="1"/>
  <c r="BV304" i="9"/>
  <c r="BW304" i="9" a="1"/>
  <c r="BW304" i="9" s="1"/>
  <c r="CB304" i="9"/>
  <c r="CD304" i="9"/>
  <c r="CG304" i="9"/>
  <c r="CJ304" i="9"/>
  <c r="N305" i="9"/>
  <c r="O305" i="9"/>
  <c r="P305" i="9"/>
  <c r="AE305" i="9"/>
  <c r="BQ305" i="9"/>
  <c r="AF305" i="9"/>
  <c r="E305" i="49"/>
  <c r="BC305" i="9"/>
  <c r="BD305" i="9"/>
  <c r="BE305" i="9"/>
  <c r="BP305" i="9"/>
  <c r="BS305" i="9" a="1"/>
  <c r="BS305" i="9"/>
  <c r="BV305" i="9" a="1"/>
  <c r="BV305" i="9"/>
  <c r="BY305" i="9" s="1"/>
  <c r="BW305" i="9" a="1"/>
  <c r="BW305" i="9" s="1"/>
  <c r="CB305" i="9"/>
  <c r="CD305" i="9"/>
  <c r="CG305" i="9"/>
  <c r="CJ305" i="9"/>
  <c r="N306" i="9"/>
  <c r="O306" i="9"/>
  <c r="P306" i="9"/>
  <c r="AE306" i="9"/>
  <c r="BQ306" i="9"/>
  <c r="AF306" i="9"/>
  <c r="E306" i="49" s="1"/>
  <c r="BC306" i="9"/>
  <c r="BD306" i="9"/>
  <c r="BE306" i="9" s="1"/>
  <c r="BP306" i="9"/>
  <c r="BS306" i="9" a="1"/>
  <c r="BS306" i="9"/>
  <c r="BZ306" i="9" s="1"/>
  <c r="BV306" i="9" a="1"/>
  <c r="BV306" i="9"/>
  <c r="BW306" i="9" a="1"/>
  <c r="BW306" i="9" s="1"/>
  <c r="CB306" i="9"/>
  <c r="CD306" i="9"/>
  <c r="CG306" i="9"/>
  <c r="CJ306" i="9"/>
  <c r="N307" i="9"/>
  <c r="O307" i="9"/>
  <c r="P307" i="9"/>
  <c r="AE307" i="9"/>
  <c r="BQ307" i="9" s="1"/>
  <c r="AF307" i="9"/>
  <c r="E307" i="49" s="1"/>
  <c r="BC307" i="9"/>
  <c r="BD307" i="9"/>
  <c r="BE307" i="9" s="1"/>
  <c r="BP307" i="9"/>
  <c r="BS307" i="9" a="1"/>
  <c r="BS307" i="9" s="1"/>
  <c r="BZ307" i="9" s="1"/>
  <c r="BV307" i="9" a="1"/>
  <c r="BV307" i="9" s="1"/>
  <c r="BW307" i="9" a="1"/>
  <c r="BW307" i="9"/>
  <c r="CB307" i="9"/>
  <c r="CD307" i="9"/>
  <c r="CG307" i="9"/>
  <c r="CJ307" i="9"/>
  <c r="N308" i="9"/>
  <c r="O308" i="9"/>
  <c r="P308" i="9"/>
  <c r="AE308" i="9"/>
  <c r="BQ308" i="9"/>
  <c r="AF308" i="9"/>
  <c r="E308" i="49" s="1"/>
  <c r="BC308" i="9"/>
  <c r="BD308" i="9"/>
  <c r="BE308" i="9" s="1"/>
  <c r="BP308" i="9"/>
  <c r="BS308" i="9" a="1"/>
  <c r="BS308" i="9" s="1"/>
  <c r="BV308" i="9" a="1"/>
  <c r="BV308" i="9"/>
  <c r="BW308" i="9" a="1"/>
  <c r="BW308" i="9" s="1"/>
  <c r="CB308" i="9"/>
  <c r="CD308" i="9"/>
  <c r="CG308" i="9"/>
  <c r="CJ308" i="9"/>
  <c r="N309" i="9"/>
  <c r="O309" i="9"/>
  <c r="P309" i="9"/>
  <c r="AE309" i="9"/>
  <c r="BQ309" i="9"/>
  <c r="AF309" i="9"/>
  <c r="E309" i="49" s="1"/>
  <c r="BC309" i="9"/>
  <c r="BD309" i="9"/>
  <c r="BE309" i="9"/>
  <c r="BP309" i="9"/>
  <c r="BS309" i="9" a="1"/>
  <c r="BS309" i="9"/>
  <c r="BZ309" i="9"/>
  <c r="BV309" i="9" a="1"/>
  <c r="BV309" i="9" s="1"/>
  <c r="BW309" i="9" a="1"/>
  <c r="BW309" i="9"/>
  <c r="CB309" i="9"/>
  <c r="CD309" i="9"/>
  <c r="CG309" i="9"/>
  <c r="CJ309" i="9"/>
  <c r="N310" i="9"/>
  <c r="O310" i="9"/>
  <c r="P310" i="9"/>
  <c r="AE310" i="9"/>
  <c r="BQ310" i="9" s="1"/>
  <c r="AF310" i="9"/>
  <c r="E310" i="49"/>
  <c r="BC310" i="9"/>
  <c r="BD310" i="9"/>
  <c r="BE310" i="9"/>
  <c r="BP310" i="9"/>
  <c r="BS310" i="9" a="1"/>
  <c r="BS310" i="9" s="1"/>
  <c r="BV310" i="9" a="1"/>
  <c r="BV310" i="9"/>
  <c r="BW310" i="9" a="1"/>
  <c r="BW310" i="9"/>
  <c r="BY310" i="9" s="1"/>
  <c r="CB310" i="9"/>
  <c r="CD310" i="9"/>
  <c r="CG310" i="9"/>
  <c r="CJ310" i="9"/>
  <c r="N311" i="9"/>
  <c r="O311" i="9"/>
  <c r="P311" i="9"/>
  <c r="AE311" i="9"/>
  <c r="BQ311" i="9" s="1"/>
  <c r="AF311" i="9"/>
  <c r="E311" i="49"/>
  <c r="BC311" i="9"/>
  <c r="BD311" i="9"/>
  <c r="BE311" i="9"/>
  <c r="BP311" i="9"/>
  <c r="BS311" i="9" a="1"/>
  <c r="BS311" i="9" s="1"/>
  <c r="BZ311" i="9" s="1"/>
  <c r="BY311" i="9"/>
  <c r="BV311" i="9" a="1"/>
  <c r="BV311" i="9" s="1"/>
  <c r="BW311" i="9" a="1"/>
  <c r="BW311" i="9"/>
  <c r="CB311" i="9"/>
  <c r="CD311" i="9"/>
  <c r="CG311" i="9"/>
  <c r="CJ311" i="9"/>
  <c r="N312" i="9"/>
  <c r="O312" i="9"/>
  <c r="P312" i="9"/>
  <c r="AE312" i="9"/>
  <c r="BQ312" i="9" s="1"/>
  <c r="AF312" i="9"/>
  <c r="E312" i="49" s="1"/>
  <c r="BC312" i="9"/>
  <c r="BD312" i="9"/>
  <c r="BE312" i="9" s="1"/>
  <c r="BP312" i="9"/>
  <c r="BS312" i="9" a="1"/>
  <c r="BS312" i="9" s="1"/>
  <c r="BY312" i="9" s="1"/>
  <c r="BV312" i="9" a="1"/>
  <c r="BV312" i="9" s="1"/>
  <c r="BW312" i="9" a="1"/>
  <c r="BW312" i="9" s="1"/>
  <c r="CB312" i="9"/>
  <c r="CD312" i="9"/>
  <c r="CG312" i="9"/>
  <c r="CJ312" i="9"/>
  <c r="N313" i="9"/>
  <c r="O313" i="9"/>
  <c r="P313" i="9"/>
  <c r="AE313" i="9"/>
  <c r="BQ313" i="9" s="1"/>
  <c r="AF313" i="9"/>
  <c r="E313" i="49"/>
  <c r="BC313" i="9"/>
  <c r="BD313" i="9"/>
  <c r="BE313" i="9" s="1"/>
  <c r="BP313" i="9"/>
  <c r="BS313" i="9" a="1"/>
  <c r="BS313" i="9" s="1"/>
  <c r="BV313" i="9" a="1"/>
  <c r="BV313" i="9" s="1"/>
  <c r="BW313" i="9" a="1"/>
  <c r="BW313" i="9"/>
  <c r="BY313" i="9" s="1"/>
  <c r="CB313" i="9"/>
  <c r="CD313" i="9"/>
  <c r="CG313" i="9"/>
  <c r="CJ313" i="9"/>
  <c r="N314" i="9"/>
  <c r="O314" i="9"/>
  <c r="P314" i="9"/>
  <c r="AE314" i="9"/>
  <c r="BQ314" i="9" s="1"/>
  <c r="AF314" i="9"/>
  <c r="E314" i="49" s="1"/>
  <c r="BC314" i="9"/>
  <c r="BD314" i="9"/>
  <c r="BE314" i="9" s="1"/>
  <c r="BP314" i="9"/>
  <c r="BS314" i="9" a="1"/>
  <c r="BS314" i="9" s="1"/>
  <c r="BZ314" i="9" s="1"/>
  <c r="BV314" i="9" a="1"/>
  <c r="BV314" i="9" s="1"/>
  <c r="BW314" i="9" a="1"/>
  <c r="BW314" i="9" s="1"/>
  <c r="CB314" i="9"/>
  <c r="CD314" i="9"/>
  <c r="CG314" i="9"/>
  <c r="CJ314" i="9"/>
  <c r="N315" i="9"/>
  <c r="O315" i="9"/>
  <c r="P315" i="9"/>
  <c r="AE315" i="9"/>
  <c r="BQ315" i="9"/>
  <c r="AF315" i="9"/>
  <c r="E315" i="49"/>
  <c r="BC315" i="9"/>
  <c r="BD315" i="9"/>
  <c r="BE315" i="9"/>
  <c r="BP315" i="9"/>
  <c r="BS315" i="9" a="1"/>
  <c r="BS315" i="9"/>
  <c r="BV315" i="9" a="1"/>
  <c r="BV315" i="9"/>
  <c r="BW315" i="9" a="1"/>
  <c r="BW315" i="9"/>
  <c r="BY315" i="9" s="1"/>
  <c r="CB315" i="9"/>
  <c r="CD315" i="9"/>
  <c r="CG315" i="9"/>
  <c r="CJ315" i="9"/>
  <c r="N316" i="9"/>
  <c r="O316" i="9"/>
  <c r="P316" i="9"/>
  <c r="AE316" i="9"/>
  <c r="BQ316" i="9"/>
  <c r="AF316" i="9"/>
  <c r="E316" i="49" s="1"/>
  <c r="BC316" i="9"/>
  <c r="BD316" i="9"/>
  <c r="BE316" i="9"/>
  <c r="BP316" i="9"/>
  <c r="BS316" i="9" a="1"/>
  <c r="BS316" i="9"/>
  <c r="BV316" i="9" a="1"/>
  <c r="BV316" i="9" s="1"/>
  <c r="BW316" i="9" a="1"/>
  <c r="BW316" i="9" s="1"/>
  <c r="CB316" i="9"/>
  <c r="CD316" i="9"/>
  <c r="CG316" i="9"/>
  <c r="CJ316" i="9"/>
  <c r="N317" i="9"/>
  <c r="O317" i="9"/>
  <c r="P317" i="9"/>
  <c r="AE317" i="9"/>
  <c r="BQ317" i="9"/>
  <c r="AF317" i="9"/>
  <c r="E317" i="49"/>
  <c r="BC317" i="9"/>
  <c r="BD317" i="9"/>
  <c r="BE317" i="9"/>
  <c r="BP317" i="9"/>
  <c r="BS317" i="9" a="1"/>
  <c r="BS317" i="9"/>
  <c r="BZ317" i="9" s="1"/>
  <c r="BV317" i="9" a="1"/>
  <c r="BV317" i="9" s="1"/>
  <c r="BW317" i="9" a="1"/>
  <c r="BW317" i="9"/>
  <c r="BY317" i="9"/>
  <c r="CB317" i="9"/>
  <c r="CD317" i="9"/>
  <c r="CG317" i="9"/>
  <c r="CJ317" i="9"/>
  <c r="N318" i="9"/>
  <c r="O318" i="9"/>
  <c r="P318" i="9"/>
  <c r="AE318" i="9"/>
  <c r="BQ318" i="9" s="1"/>
  <c r="AF318" i="9"/>
  <c r="E318" i="49" s="1"/>
  <c r="BC318" i="9"/>
  <c r="BD318" i="9"/>
  <c r="BE318" i="9" s="1"/>
  <c r="BP318" i="9"/>
  <c r="BS318" i="9" a="1"/>
  <c r="BS318" i="9" s="1"/>
  <c r="BV318" i="9" a="1"/>
  <c r="BV318" i="9" s="1"/>
  <c r="BW318" i="9" a="1"/>
  <c r="BW318" i="9" s="1"/>
  <c r="BY318" i="9" s="1"/>
  <c r="CB318" i="9"/>
  <c r="CD318" i="9"/>
  <c r="CG318" i="9"/>
  <c r="CJ318" i="9"/>
  <c r="N319" i="9"/>
  <c r="O319" i="9"/>
  <c r="P319" i="9"/>
  <c r="AE319" i="9"/>
  <c r="BQ319" i="9" s="1"/>
  <c r="AF319" i="9"/>
  <c r="E319" i="49" s="1"/>
  <c r="BC319" i="9"/>
  <c r="BD319" i="9"/>
  <c r="BE319" i="9"/>
  <c r="BP319" i="9"/>
  <c r="BS319" i="9" a="1"/>
  <c r="BS319" i="9"/>
  <c r="BV319" i="9" a="1"/>
  <c r="BV319" i="9"/>
  <c r="BW319" i="9" a="1"/>
  <c r="BW319" i="9"/>
  <c r="CB319" i="9"/>
  <c r="CD319" i="9"/>
  <c r="CG319" i="9"/>
  <c r="CJ319" i="9"/>
  <c r="N320" i="9"/>
  <c r="O320" i="9"/>
  <c r="P320" i="9"/>
  <c r="AE320" i="9"/>
  <c r="BQ320" i="9"/>
  <c r="AF320" i="9"/>
  <c r="E320" i="49" s="1"/>
  <c r="BC320" i="9"/>
  <c r="BD320" i="9"/>
  <c r="BE320" i="9"/>
  <c r="BP320" i="9"/>
  <c r="BS320" i="9" a="1"/>
  <c r="BS320" i="9"/>
  <c r="BZ320" i="9"/>
  <c r="BV320" i="9" a="1"/>
  <c r="BV320" i="9" s="1"/>
  <c r="BW320" i="9" a="1"/>
  <c r="BW320" i="9" s="1"/>
  <c r="CB320" i="9"/>
  <c r="CD320" i="9"/>
  <c r="CG320" i="9"/>
  <c r="CJ320" i="9"/>
  <c r="N321" i="9"/>
  <c r="O321" i="9"/>
  <c r="P321" i="9"/>
  <c r="AE321" i="9"/>
  <c r="BQ321" i="9"/>
  <c r="AF321" i="9"/>
  <c r="E321" i="49"/>
  <c r="BC321" i="9"/>
  <c r="BD321" i="9"/>
  <c r="BE321" i="9" s="1"/>
  <c r="BP321" i="9"/>
  <c r="BS321" i="9" a="1"/>
  <c r="BS321" i="9"/>
  <c r="BZ321" i="9" s="1"/>
  <c r="BV321" i="9" a="1"/>
  <c r="BV321" i="9" s="1"/>
  <c r="BW321" i="9" a="1"/>
  <c r="BW321" i="9" s="1"/>
  <c r="CB321" i="9"/>
  <c r="CD321" i="9"/>
  <c r="CG321" i="9"/>
  <c r="CJ321" i="9"/>
  <c r="N322" i="9"/>
  <c r="O322" i="9"/>
  <c r="P322" i="9"/>
  <c r="AE322" i="9"/>
  <c r="BQ322" i="9"/>
  <c r="AF322" i="9"/>
  <c r="E322" i="49"/>
  <c r="BC322" i="9"/>
  <c r="BD322" i="9"/>
  <c r="BE322" i="9"/>
  <c r="BP322" i="9"/>
  <c r="BS322" i="9" a="1"/>
  <c r="BS322" i="9"/>
  <c r="BV322" i="9" a="1"/>
  <c r="BV322" i="9" s="1"/>
  <c r="BW322" i="9" a="1"/>
  <c r="BW322" i="9" s="1"/>
  <c r="CB322" i="9"/>
  <c r="CD322" i="9"/>
  <c r="CG322" i="9"/>
  <c r="CJ322" i="9"/>
  <c r="N323" i="9"/>
  <c r="O323" i="9"/>
  <c r="P323" i="9"/>
  <c r="AE323" i="9"/>
  <c r="BQ323" i="9"/>
  <c r="AF323" i="9"/>
  <c r="E323" i="49"/>
  <c r="BC323" i="9"/>
  <c r="BD323" i="9"/>
  <c r="BE323" i="9" s="1"/>
  <c r="BP323" i="9"/>
  <c r="BS323" i="9" a="1"/>
  <c r="BS323" i="9"/>
  <c r="BV323" i="9" a="1"/>
  <c r="BV323" i="9"/>
  <c r="BW323" i="9" a="1"/>
  <c r="BW323" i="9"/>
  <c r="CB323" i="9"/>
  <c r="CD323" i="9"/>
  <c r="CG323" i="9"/>
  <c r="CJ323" i="9"/>
  <c r="N324" i="9"/>
  <c r="O324" i="9"/>
  <c r="P324" i="9"/>
  <c r="AE324" i="9"/>
  <c r="BQ324" i="9" s="1"/>
  <c r="AF324" i="9"/>
  <c r="E324" i="49" s="1"/>
  <c r="BC324" i="9"/>
  <c r="BD324" i="9"/>
  <c r="BE324" i="9"/>
  <c r="BP324" i="9"/>
  <c r="BS324" i="9" a="1"/>
  <c r="BS324" i="9"/>
  <c r="BV324" i="9" a="1"/>
  <c r="BV324" i="9" s="1"/>
  <c r="BW324" i="9" a="1"/>
  <c r="BW324" i="9"/>
  <c r="CB324" i="9"/>
  <c r="CD324" i="9"/>
  <c r="CG324" i="9"/>
  <c r="CJ324" i="9"/>
  <c r="N325" i="9"/>
  <c r="O325" i="9"/>
  <c r="P325" i="9"/>
  <c r="AE325" i="9"/>
  <c r="BQ325" i="9" s="1"/>
  <c r="AF325" i="9"/>
  <c r="E325" i="49" s="1"/>
  <c r="BC325" i="9"/>
  <c r="BD325" i="9"/>
  <c r="BE325" i="9" s="1"/>
  <c r="BP325" i="9"/>
  <c r="BS325" i="9" a="1"/>
  <c r="BS325" i="9" s="1"/>
  <c r="BV325" i="9" a="1"/>
  <c r="BV325" i="9"/>
  <c r="BW325" i="9" a="1"/>
  <c r="BW325" i="9" s="1"/>
  <c r="CB325" i="9"/>
  <c r="CD325" i="9"/>
  <c r="CG325" i="9"/>
  <c r="CJ325" i="9"/>
  <c r="N326" i="9"/>
  <c r="O326" i="9"/>
  <c r="P326" i="9"/>
  <c r="AE326" i="9"/>
  <c r="BQ326" i="9" s="1"/>
  <c r="AF326" i="9"/>
  <c r="E326" i="49"/>
  <c r="BC326" i="9"/>
  <c r="BD326" i="9"/>
  <c r="BE326" i="9" s="1"/>
  <c r="BP326" i="9"/>
  <c r="BS326" i="9" a="1"/>
  <c r="BS326" i="9" s="1"/>
  <c r="BV326" i="9" a="1"/>
  <c r="BV326" i="9" s="1"/>
  <c r="BW326" i="9" a="1"/>
  <c r="BW326" i="9"/>
  <c r="CB326" i="9"/>
  <c r="CD326" i="9"/>
  <c r="CG326" i="9"/>
  <c r="CJ326" i="9"/>
  <c r="N327" i="9"/>
  <c r="O327" i="9"/>
  <c r="P327" i="9"/>
  <c r="AE327" i="9"/>
  <c r="BQ327" i="9"/>
  <c r="AF327" i="9"/>
  <c r="E327" i="49" s="1"/>
  <c r="BC327" i="9"/>
  <c r="BD327" i="9"/>
  <c r="BE327" i="9" s="1"/>
  <c r="BP327" i="9"/>
  <c r="BS327" i="9" a="1"/>
  <c r="BS327" i="9"/>
  <c r="BZ327" i="9"/>
  <c r="BV327" i="9" a="1"/>
  <c r="BV327" i="9" s="1"/>
  <c r="BY327" i="9" s="1"/>
  <c r="BW327" i="9" a="1"/>
  <c r="BW327" i="9"/>
  <c r="CB327" i="9"/>
  <c r="CD327" i="9"/>
  <c r="CG327" i="9"/>
  <c r="CJ327" i="9"/>
  <c r="N328" i="9"/>
  <c r="O328" i="9"/>
  <c r="P328" i="9"/>
  <c r="AE328" i="9"/>
  <c r="BQ328" i="9" s="1"/>
  <c r="AF328" i="9"/>
  <c r="E328" i="49"/>
  <c r="BC328" i="9"/>
  <c r="BD328" i="9"/>
  <c r="BE328" i="9"/>
  <c r="BP328" i="9"/>
  <c r="BS328" i="9" a="1"/>
  <c r="BS328" i="9" s="1"/>
  <c r="BZ328" i="9"/>
  <c r="BV328" i="9" a="1"/>
  <c r="BV328" i="9"/>
  <c r="BW328" i="9" a="1"/>
  <c r="BW328" i="9"/>
  <c r="CB328" i="9"/>
  <c r="CD328" i="9"/>
  <c r="CG328" i="9"/>
  <c r="CJ328" i="9"/>
  <c r="N329" i="9"/>
  <c r="O329" i="9"/>
  <c r="P329" i="9"/>
  <c r="AE329" i="9"/>
  <c r="BQ329" i="9" s="1"/>
  <c r="AF329" i="9"/>
  <c r="E329" i="49" s="1"/>
  <c r="BC329" i="9"/>
  <c r="BD329" i="9"/>
  <c r="BE329" i="9"/>
  <c r="BP329" i="9"/>
  <c r="BS329" i="9" a="1"/>
  <c r="BS329" i="9" s="1"/>
  <c r="BZ329" i="9"/>
  <c r="BV329" i="9" a="1"/>
  <c r="BV329" i="9" s="1"/>
  <c r="BY329" i="9" s="1"/>
  <c r="BW329" i="9" a="1"/>
  <c r="BW329" i="9"/>
  <c r="CB329" i="9"/>
  <c r="CD329" i="9"/>
  <c r="CG329" i="9"/>
  <c r="CJ329" i="9"/>
  <c r="N330" i="9"/>
  <c r="O330" i="9"/>
  <c r="P330" i="9"/>
  <c r="AE330" i="9"/>
  <c r="BQ330" i="9" s="1"/>
  <c r="AF330" i="9"/>
  <c r="E330" i="49" s="1"/>
  <c r="BC330" i="9"/>
  <c r="BD330" i="9"/>
  <c r="BE330" i="9"/>
  <c r="BP330" i="9"/>
  <c r="BS330" i="9" a="1"/>
  <c r="BS330" i="9" s="1"/>
  <c r="BY330" i="9" s="1"/>
  <c r="BV330" i="9" a="1"/>
  <c r="BV330" i="9"/>
  <c r="BW330" i="9" a="1"/>
  <c r="BW330" i="9"/>
  <c r="CB330" i="9"/>
  <c r="CD330" i="9"/>
  <c r="CG330" i="9"/>
  <c r="CJ330" i="9"/>
  <c r="N331" i="9"/>
  <c r="O331" i="9"/>
  <c r="P331" i="9"/>
  <c r="AE331" i="9"/>
  <c r="BQ331" i="9" s="1"/>
  <c r="AF331" i="9"/>
  <c r="E331" i="49" s="1"/>
  <c r="BC331" i="9"/>
  <c r="BD331" i="9"/>
  <c r="BE331" i="9"/>
  <c r="BP331" i="9"/>
  <c r="BS331" i="9" a="1"/>
  <c r="BS331" i="9" s="1"/>
  <c r="BV331" i="9" a="1"/>
  <c r="BV331" i="9" s="1"/>
  <c r="BW331" i="9" a="1"/>
  <c r="BW331" i="9" s="1"/>
  <c r="CB331" i="9"/>
  <c r="CD331" i="9"/>
  <c r="CG331" i="9"/>
  <c r="CJ331" i="9"/>
  <c r="N332" i="9"/>
  <c r="O332" i="9"/>
  <c r="P332" i="9"/>
  <c r="AE332" i="9"/>
  <c r="BQ332" i="9"/>
  <c r="AF332" i="9"/>
  <c r="E332" i="49"/>
  <c r="BC332" i="9"/>
  <c r="BD332" i="9"/>
  <c r="BE332" i="9" s="1"/>
  <c r="BP332" i="9"/>
  <c r="BS332" i="9" a="1"/>
  <c r="BS332" i="9"/>
  <c r="BZ332" i="9" s="1"/>
  <c r="BV332" i="9" a="1"/>
  <c r="BV332" i="9"/>
  <c r="BW332" i="9" a="1"/>
  <c r="BW332" i="9" s="1"/>
  <c r="BY332" i="9" s="1"/>
  <c r="CB332" i="9"/>
  <c r="CD332" i="9"/>
  <c r="CG332" i="9"/>
  <c r="CJ332" i="9"/>
  <c r="N333" i="9"/>
  <c r="O333" i="9"/>
  <c r="P333" i="9"/>
  <c r="AE333" i="9"/>
  <c r="BQ333" i="9"/>
  <c r="AF333" i="9"/>
  <c r="E333" i="49"/>
  <c r="BC333" i="9"/>
  <c r="BD333" i="9"/>
  <c r="BE333" i="9" s="1"/>
  <c r="BP333" i="9"/>
  <c r="BS333" i="9" a="1"/>
  <c r="BS333" i="9"/>
  <c r="BV333" i="9" a="1"/>
  <c r="BV333" i="9" s="1"/>
  <c r="BW333" i="9" a="1"/>
  <c r="BW333" i="9" s="1"/>
  <c r="CB333" i="9"/>
  <c r="CD333" i="9"/>
  <c r="CG333" i="9"/>
  <c r="CJ333" i="9"/>
  <c r="N334" i="9"/>
  <c r="O334" i="9"/>
  <c r="P334" i="9"/>
  <c r="AE334" i="9"/>
  <c r="BQ334" i="9" s="1"/>
  <c r="AF334" i="9"/>
  <c r="E334" i="49" s="1"/>
  <c r="BC334" i="9"/>
  <c r="BD334" i="9"/>
  <c r="BE334" i="9"/>
  <c r="BP334" i="9"/>
  <c r="BS334" i="9" a="1"/>
  <c r="BS334" i="9" s="1"/>
  <c r="BZ334" i="9" s="1"/>
  <c r="BV334" i="9" a="1"/>
  <c r="BV334" i="9"/>
  <c r="BW334" i="9" a="1"/>
  <c r="BW334" i="9"/>
  <c r="CB334" i="9"/>
  <c r="CD334" i="9"/>
  <c r="CG334" i="9"/>
  <c r="CJ334" i="9"/>
  <c r="N335" i="9"/>
  <c r="O335" i="9"/>
  <c r="P335" i="9"/>
  <c r="AE335" i="9"/>
  <c r="BQ335" i="9" s="1"/>
  <c r="AF335" i="9"/>
  <c r="E335" i="49" s="1"/>
  <c r="BC335" i="9"/>
  <c r="BD335" i="9"/>
  <c r="BE335" i="9"/>
  <c r="BP335" i="9"/>
  <c r="BS335" i="9" a="1"/>
  <c r="BS335" i="9"/>
  <c r="BZ335" i="9" s="1"/>
  <c r="BV335" i="9" a="1"/>
  <c r="BV335" i="9"/>
  <c r="BW335" i="9" a="1"/>
  <c r="BW335" i="9" s="1"/>
  <c r="CB335" i="9"/>
  <c r="CD335" i="9"/>
  <c r="CG335" i="9"/>
  <c r="CJ335" i="9"/>
  <c r="N336" i="9"/>
  <c r="O336" i="9"/>
  <c r="P336" i="9"/>
  <c r="AE336" i="9"/>
  <c r="BQ336" i="9"/>
  <c r="AF336" i="9"/>
  <c r="E336" i="49"/>
  <c r="BC336" i="9"/>
  <c r="BD336" i="9"/>
  <c r="BE336" i="9" s="1"/>
  <c r="BP336" i="9"/>
  <c r="BS336" i="9" a="1"/>
  <c r="BS336" i="9" s="1"/>
  <c r="BZ336" i="9" s="1"/>
  <c r="BV336" i="9" a="1"/>
  <c r="BV336" i="9" s="1"/>
  <c r="BW336" i="9" a="1"/>
  <c r="BW336" i="9" s="1"/>
  <c r="CB336" i="9"/>
  <c r="CD336" i="9"/>
  <c r="CG336" i="9"/>
  <c r="CJ336" i="9"/>
  <c r="N337" i="9"/>
  <c r="O337" i="9"/>
  <c r="P337" i="9"/>
  <c r="AE337" i="9"/>
  <c r="BQ337" i="9"/>
  <c r="AF337" i="9"/>
  <c r="E337" i="49" s="1"/>
  <c r="BC337" i="9"/>
  <c r="BD337" i="9"/>
  <c r="BE337" i="9" s="1"/>
  <c r="BP337" i="9"/>
  <c r="BS337" i="9" a="1"/>
  <c r="BS337" i="9"/>
  <c r="BZ337" i="9"/>
  <c r="BV337" i="9" a="1"/>
  <c r="BV337" i="9" s="1"/>
  <c r="BY337" i="9" s="1"/>
  <c r="BW337" i="9" a="1"/>
  <c r="BW337" i="9" s="1"/>
  <c r="CB337" i="9"/>
  <c r="CD337" i="9"/>
  <c r="CG337" i="9"/>
  <c r="CJ337" i="9"/>
  <c r="N338" i="9"/>
  <c r="O338" i="9"/>
  <c r="P338" i="9"/>
  <c r="AE338" i="9"/>
  <c r="BQ338" i="9"/>
  <c r="AF338" i="9"/>
  <c r="E338" i="49"/>
  <c r="BC338" i="9"/>
  <c r="BD338" i="9"/>
  <c r="BE338" i="9"/>
  <c r="BP338" i="9"/>
  <c r="BS338" i="9" a="1"/>
  <c r="BS338" i="9"/>
  <c r="BZ338" i="9" s="1"/>
  <c r="BV338" i="9" a="1"/>
  <c r="BV338" i="9" s="1"/>
  <c r="BY338" i="9" s="1"/>
  <c r="BW338" i="9" a="1"/>
  <c r="BW338" i="9"/>
  <c r="CB338" i="9"/>
  <c r="CD338" i="9"/>
  <c r="CG338" i="9"/>
  <c r="CJ338" i="9"/>
  <c r="N339" i="9"/>
  <c r="O339" i="9"/>
  <c r="P339" i="9"/>
  <c r="AE339" i="9"/>
  <c r="BQ339" i="9" s="1"/>
  <c r="AF339" i="9"/>
  <c r="E339" i="49" s="1"/>
  <c r="BC339" i="9"/>
  <c r="BD339" i="9"/>
  <c r="BE339" i="9"/>
  <c r="BP339" i="9"/>
  <c r="BS339" i="9" a="1"/>
  <c r="BS339" i="9" s="1"/>
  <c r="BV339" i="9" a="1"/>
  <c r="BV339" i="9" s="1"/>
  <c r="BW339" i="9" a="1"/>
  <c r="BW339" i="9"/>
  <c r="CB339" i="9"/>
  <c r="CD339" i="9"/>
  <c r="CG339" i="9"/>
  <c r="CJ339" i="9"/>
  <c r="N340" i="9"/>
  <c r="O340" i="9"/>
  <c r="P340" i="9"/>
  <c r="AE340" i="9"/>
  <c r="BQ340" i="9" s="1"/>
  <c r="AF340" i="9"/>
  <c r="E340" i="49"/>
  <c r="BC340" i="9"/>
  <c r="BD340" i="9"/>
  <c r="BE340" i="9" s="1"/>
  <c r="BP340" i="9"/>
  <c r="BS340" i="9" a="1"/>
  <c r="BS340" i="9"/>
  <c r="BV340" i="9" a="1"/>
  <c r="BV340" i="9" s="1"/>
  <c r="BW340" i="9" a="1"/>
  <c r="BW340" i="9" s="1"/>
  <c r="CB340" i="9"/>
  <c r="CD340" i="9"/>
  <c r="CG340" i="9"/>
  <c r="CJ340" i="9"/>
  <c r="N341" i="9"/>
  <c r="O341" i="9"/>
  <c r="P341" i="9"/>
  <c r="AE341" i="9"/>
  <c r="BQ341" i="9"/>
  <c r="AF341" i="9"/>
  <c r="E341" i="49"/>
  <c r="BC341" i="9"/>
  <c r="BD341" i="9"/>
  <c r="BE341" i="9" s="1"/>
  <c r="BP341" i="9"/>
  <c r="BS341" i="9" a="1"/>
  <c r="BS341" i="9"/>
  <c r="BV341" i="9" a="1"/>
  <c r="BV341" i="9" s="1"/>
  <c r="BY341" i="9" s="1"/>
  <c r="BW341" i="9" a="1"/>
  <c r="BW341" i="9" s="1"/>
  <c r="CB341" i="9"/>
  <c r="CD341" i="9"/>
  <c r="CG341" i="9"/>
  <c r="CJ341" i="9"/>
  <c r="N342" i="9"/>
  <c r="O342" i="9"/>
  <c r="P342" i="9"/>
  <c r="AE342" i="9"/>
  <c r="BQ342" i="9"/>
  <c r="AF342" i="9"/>
  <c r="E342" i="49"/>
  <c r="BC342" i="9"/>
  <c r="BD342" i="9"/>
  <c r="BE342" i="9" s="1"/>
  <c r="BP342" i="9"/>
  <c r="BS342" i="9" a="1"/>
  <c r="BS342" i="9"/>
  <c r="BV342" i="9" a="1"/>
  <c r="BV342" i="9"/>
  <c r="BW342" i="9" a="1"/>
  <c r="BW342" i="9"/>
  <c r="BX342" i="9" a="1"/>
  <c r="BX342" i="9"/>
  <c r="BY342" i="9" s="1"/>
  <c r="CB342" i="9"/>
  <c r="CD342" i="9"/>
  <c r="CG342" i="9"/>
  <c r="CJ342" i="9"/>
  <c r="N343" i="9"/>
  <c r="O343" i="9"/>
  <c r="P343" i="9"/>
  <c r="AE343" i="9"/>
  <c r="BQ343" i="9" s="1"/>
  <c r="AF343" i="9"/>
  <c r="E343" i="49" s="1"/>
  <c r="BC343" i="9"/>
  <c r="BD343" i="9"/>
  <c r="BE343" i="9" s="1"/>
  <c r="BP343" i="9"/>
  <c r="BS343" i="9" a="1"/>
  <c r="BS343" i="9" s="1"/>
  <c r="BV343" i="9" a="1"/>
  <c r="BV343" i="9" s="1"/>
  <c r="BW343" i="9" a="1"/>
  <c r="BW343" i="9"/>
  <c r="BY343" i="9" s="1"/>
  <c r="BX343" i="9" a="1"/>
  <c r="BX343" i="9" s="1"/>
  <c r="CB343" i="9"/>
  <c r="CD343" i="9"/>
  <c r="CG343" i="9"/>
  <c r="CJ343" i="9"/>
  <c r="N344" i="9"/>
  <c r="O344" i="9"/>
  <c r="P344" i="9"/>
  <c r="AE344" i="9"/>
  <c r="BQ344" i="9" s="1"/>
  <c r="AF344" i="9"/>
  <c r="E344" i="49"/>
  <c r="BC344" i="9"/>
  <c r="BD344" i="9"/>
  <c r="BE344" i="9"/>
  <c r="BP344" i="9"/>
  <c r="BS344" i="9" a="1"/>
  <c r="BS344" i="9" s="1"/>
  <c r="BV344" i="9" a="1"/>
  <c r="BV344" i="9"/>
  <c r="BW344" i="9" a="1"/>
  <c r="BW344" i="9"/>
  <c r="BX344" i="9" a="1"/>
  <c r="BX344" i="9"/>
  <c r="CB344" i="9"/>
  <c r="CD344" i="9"/>
  <c r="CG344" i="9"/>
  <c r="CJ344" i="9"/>
  <c r="N345" i="9"/>
  <c r="O345" i="9"/>
  <c r="P345" i="9"/>
  <c r="AE345" i="9"/>
  <c r="BQ345" i="9" s="1"/>
  <c r="AF345" i="9"/>
  <c r="E345" i="49" s="1"/>
  <c r="BC345" i="9"/>
  <c r="BD345" i="9"/>
  <c r="BE345" i="9"/>
  <c r="BP345" i="9"/>
  <c r="BS345" i="9" a="1"/>
  <c r="BS345" i="9" s="1"/>
  <c r="BV345" i="9" a="1"/>
  <c r="BV345" i="9" s="1"/>
  <c r="BW345" i="9" a="1"/>
  <c r="BW345" i="9" s="1"/>
  <c r="BX345" i="9" a="1"/>
  <c r="BX345" i="9" s="1"/>
  <c r="CB345" i="9"/>
  <c r="CD345" i="9"/>
  <c r="CG345" i="9"/>
  <c r="CJ345" i="9"/>
  <c r="N346" i="9"/>
  <c r="O346" i="9"/>
  <c r="P346" i="9"/>
  <c r="AF346" i="9"/>
  <c r="E346" i="49"/>
  <c r="BC346" i="9"/>
  <c r="BD346" i="9"/>
  <c r="BE346" i="9" s="1"/>
  <c r="BP346" i="9"/>
  <c r="BS346" i="9" a="1"/>
  <c r="BS346" i="9"/>
  <c r="BZ346" i="9"/>
  <c r="BV346" i="9" a="1"/>
  <c r="BV346" i="9"/>
  <c r="BW346" i="9" a="1"/>
  <c r="BW346" i="9" s="1"/>
  <c r="BY346" i="9" s="1"/>
  <c r="BX346" i="9" a="1"/>
  <c r="BX346" i="9" s="1"/>
  <c r="CB346" i="9"/>
  <c r="CD346" i="9"/>
  <c r="CG346" i="9"/>
  <c r="CJ346" i="9"/>
  <c r="N347" i="9"/>
  <c r="O347" i="9"/>
  <c r="P347" i="9"/>
  <c r="AF347" i="9"/>
  <c r="E347" i="49"/>
  <c r="BC347" i="9"/>
  <c r="BD347" i="9"/>
  <c r="BE347" i="9"/>
  <c r="BP347" i="9"/>
  <c r="BS347" i="9" a="1"/>
  <c r="BS347" i="9"/>
  <c r="BZ347" i="9" s="1"/>
  <c r="BV347" i="9" a="1"/>
  <c r="BV347" i="9"/>
  <c r="BW347" i="9" a="1"/>
  <c r="BW347" i="9" s="1"/>
  <c r="BX347" i="9" a="1"/>
  <c r="BX347" i="9" s="1"/>
  <c r="CB347" i="9"/>
  <c r="CD347" i="9"/>
  <c r="CG347" i="9"/>
  <c r="CJ347" i="9"/>
  <c r="N348" i="9"/>
  <c r="O348" i="9"/>
  <c r="P348" i="9"/>
  <c r="AE348" i="9"/>
  <c r="BQ348" i="9"/>
  <c r="AF348" i="9"/>
  <c r="E348" i="49"/>
  <c r="BC348" i="9"/>
  <c r="BD348" i="9"/>
  <c r="BE348" i="9" s="1"/>
  <c r="BP348" i="9"/>
  <c r="BS348" i="9" a="1"/>
  <c r="BS348" i="9"/>
  <c r="BV348" i="9" a="1"/>
  <c r="BV348" i="9" s="1"/>
  <c r="BW348" i="9" a="1"/>
  <c r="BW348" i="9"/>
  <c r="BX348" i="9" a="1"/>
  <c r="BX348" i="9" s="1"/>
  <c r="CB348" i="9"/>
  <c r="CD348" i="9"/>
  <c r="CG348" i="9"/>
  <c r="CJ348" i="9"/>
  <c r="N349" i="9"/>
  <c r="O349" i="9"/>
  <c r="P349" i="9"/>
  <c r="AF349" i="9"/>
  <c r="E349" i="49"/>
  <c r="BC349" i="9"/>
  <c r="BD349" i="9"/>
  <c r="BE349" i="9"/>
  <c r="BP349" i="9"/>
  <c r="BS349" i="9" a="1"/>
  <c r="BS349" i="9"/>
  <c r="BV349" i="9" a="1"/>
  <c r="BV349" i="9" s="1"/>
  <c r="BW349" i="9" a="1"/>
  <c r="BW349" i="9"/>
  <c r="BX349" i="9" a="1"/>
  <c r="BX349" i="9"/>
  <c r="CB349" i="9"/>
  <c r="CD349" i="9"/>
  <c r="CG349" i="9"/>
  <c r="CJ349" i="9"/>
  <c r="N350" i="9"/>
  <c r="O350" i="9"/>
  <c r="P350" i="9"/>
  <c r="AF350" i="9"/>
  <c r="E350" i="49" s="1"/>
  <c r="BC350" i="9"/>
  <c r="BD350" i="9"/>
  <c r="BE350" i="9" s="1"/>
  <c r="BP350" i="9"/>
  <c r="BS350" i="9" a="1"/>
  <c r="BS350" i="9"/>
  <c r="BV350" i="9" a="1"/>
  <c r="BV350" i="9" s="1"/>
  <c r="BW350" i="9" a="1"/>
  <c r="BW350" i="9" s="1"/>
  <c r="BX350" i="9" a="1"/>
  <c r="BX350" i="9"/>
  <c r="BY350" i="9" s="1"/>
  <c r="CB350" i="9"/>
  <c r="CD350" i="9"/>
  <c r="CG350" i="9"/>
  <c r="CJ350" i="9"/>
  <c r="N351" i="9"/>
  <c r="O351" i="9"/>
  <c r="P351" i="9"/>
  <c r="AF351" i="9"/>
  <c r="E351" i="49" s="1"/>
  <c r="BC351" i="9"/>
  <c r="BD351" i="9"/>
  <c r="BE351" i="9" s="1"/>
  <c r="BP351" i="9"/>
  <c r="BS351" i="9" a="1"/>
  <c r="BS351" i="9"/>
  <c r="BZ351" i="9" s="1"/>
  <c r="BV351" i="9" a="1"/>
  <c r="BV351" i="9" s="1"/>
  <c r="BW351" i="9" a="1"/>
  <c r="BW351" i="9" s="1"/>
  <c r="BX351" i="9" a="1"/>
  <c r="BX351" i="9" s="1"/>
  <c r="BY351" i="9" s="1"/>
  <c r="CB351" i="9"/>
  <c r="CD351" i="9"/>
  <c r="CG351" i="9"/>
  <c r="CJ351" i="9"/>
  <c r="N352" i="9"/>
  <c r="O352" i="9"/>
  <c r="P352" i="9"/>
  <c r="AF352" i="9"/>
  <c r="E352" i="49"/>
  <c r="BC352" i="9"/>
  <c r="BD352" i="9"/>
  <c r="BE352" i="9" s="1"/>
  <c r="BP352" i="9"/>
  <c r="BS352" i="9" a="1"/>
  <c r="BS352" i="9" s="1"/>
  <c r="BV352" i="9" a="1"/>
  <c r="BV352" i="9"/>
  <c r="BW352" i="9" a="1"/>
  <c r="BW352" i="9"/>
  <c r="BX352" i="9" a="1"/>
  <c r="BX352" i="9" s="1"/>
  <c r="CB352" i="9"/>
  <c r="CD352" i="9"/>
  <c r="CG352" i="9"/>
  <c r="CJ352" i="9"/>
  <c r="N353" i="9"/>
  <c r="O353" i="9"/>
  <c r="P353" i="9"/>
  <c r="AF353" i="9"/>
  <c r="E353" i="49"/>
  <c r="BC353" i="9"/>
  <c r="BD353" i="9"/>
  <c r="BE353" i="9"/>
  <c r="BP353" i="9"/>
  <c r="BS353" i="9" a="1"/>
  <c r="BS353" i="9"/>
  <c r="BZ353" i="9" s="1"/>
  <c r="BV353" i="9" a="1"/>
  <c r="BV353" i="9"/>
  <c r="BW353" i="9" a="1"/>
  <c r="BW353" i="9"/>
  <c r="BX353" i="9" a="1"/>
  <c r="BX353" i="9"/>
  <c r="CB353" i="9"/>
  <c r="CD353" i="9"/>
  <c r="CG353" i="9"/>
  <c r="CJ353" i="9"/>
  <c r="N354" i="9"/>
  <c r="O354" i="9"/>
  <c r="P354" i="9"/>
  <c r="E354" i="72"/>
  <c r="AF354" i="9"/>
  <c r="E354" i="49"/>
  <c r="BC354" i="9"/>
  <c r="BD354" i="9"/>
  <c r="BE354" i="9" s="1"/>
  <c r="BP354" i="9"/>
  <c r="BS354" i="9" a="1"/>
  <c r="BS354" i="9"/>
  <c r="BZ354" i="9"/>
  <c r="BV354" i="9" a="1"/>
  <c r="BV354" i="9" s="1"/>
  <c r="BW354" i="9" a="1"/>
  <c r="BW354" i="9" s="1"/>
  <c r="BX354" i="9" a="1"/>
  <c r="BX354" i="9" s="1"/>
  <c r="CB354" i="9"/>
  <c r="CD354" i="9"/>
  <c r="CG354" i="9"/>
  <c r="CJ354" i="9"/>
  <c r="N355" i="9"/>
  <c r="O355" i="9"/>
  <c r="P355" i="9"/>
  <c r="E355" i="72"/>
  <c r="AF355" i="9"/>
  <c r="E355" i="49" s="1"/>
  <c r="BC355" i="9"/>
  <c r="BD355" i="9"/>
  <c r="BE355" i="9"/>
  <c r="BP355" i="9"/>
  <c r="BS355" i="9" a="1"/>
  <c r="BS355" i="9"/>
  <c r="BV355" i="9" a="1"/>
  <c r="BV355" i="9"/>
  <c r="BW355" i="9" a="1"/>
  <c r="BW355" i="9"/>
  <c r="BX355" i="9" a="1"/>
  <c r="BX355" i="9"/>
  <c r="CB355" i="9"/>
  <c r="CD355" i="9"/>
  <c r="CG355" i="9"/>
  <c r="CJ355" i="9"/>
  <c r="N356" i="9"/>
  <c r="O356" i="9"/>
  <c r="P356" i="9"/>
  <c r="E356" i="72"/>
  <c r="AF356" i="9"/>
  <c r="E356" i="49" s="1"/>
  <c r="BC356" i="9"/>
  <c r="BD356" i="9"/>
  <c r="BE356" i="9" s="1"/>
  <c r="BP356" i="9"/>
  <c r="BS356" i="9" a="1"/>
  <c r="BS356" i="9"/>
  <c r="BY356" i="9" s="1"/>
  <c r="BZ356" i="9"/>
  <c r="BV356" i="9" a="1"/>
  <c r="BV356" i="9" s="1"/>
  <c r="BW356" i="9" a="1"/>
  <c r="BW356" i="9"/>
  <c r="BX356" i="9" a="1"/>
  <c r="BX356" i="9"/>
  <c r="CB356" i="9"/>
  <c r="CD356" i="9"/>
  <c r="CG356" i="9"/>
  <c r="CJ356" i="9"/>
  <c r="N357" i="9"/>
  <c r="O357" i="9"/>
  <c r="P357" i="9"/>
  <c r="T357" i="9"/>
  <c r="AF357" i="9"/>
  <c r="E357" i="49" s="1"/>
  <c r="BC357" i="9"/>
  <c r="BD357" i="9"/>
  <c r="BE357" i="9" s="1"/>
  <c r="BP357" i="9"/>
  <c r="BS357" i="9" a="1"/>
  <c r="BS357" i="9"/>
  <c r="BZ357" i="9"/>
  <c r="BV357" i="9" a="1"/>
  <c r="BV357" i="9" s="1"/>
  <c r="BW357" i="9" a="1"/>
  <c r="BW357" i="9"/>
  <c r="BX357" i="9" a="1"/>
  <c r="BX357" i="9"/>
  <c r="CB357" i="9"/>
  <c r="CD357" i="9"/>
  <c r="CG357" i="9"/>
  <c r="CJ357" i="9"/>
  <c r="N358" i="9"/>
  <c r="O358" i="9"/>
  <c r="P358" i="9"/>
  <c r="T358" i="9"/>
  <c r="E358" i="72"/>
  <c r="AF358" i="9"/>
  <c r="E358" i="49"/>
  <c r="BC358" i="9"/>
  <c r="BD358" i="9"/>
  <c r="BE358" i="9"/>
  <c r="BP358" i="9"/>
  <c r="BS358" i="9" a="1"/>
  <c r="BS358" i="9"/>
  <c r="BZ358" i="9"/>
  <c r="BV358" i="9" a="1"/>
  <c r="BV358" i="9" s="1"/>
  <c r="BW358" i="9" a="1"/>
  <c r="BW358" i="9"/>
  <c r="BX358" i="9" a="1"/>
  <c r="BX358" i="9"/>
  <c r="CB358" i="9"/>
  <c r="CD358" i="9"/>
  <c r="CG358" i="9"/>
  <c r="CJ358" i="9"/>
  <c r="N359" i="9"/>
  <c r="O359" i="9"/>
  <c r="P359" i="9"/>
  <c r="T359" i="9"/>
  <c r="AF359" i="9"/>
  <c r="E359" i="49"/>
  <c r="BC359" i="9"/>
  <c r="BD359" i="9"/>
  <c r="BE359" i="9" s="1"/>
  <c r="BP359" i="9"/>
  <c r="BS359" i="9" a="1"/>
  <c r="BS359" i="9"/>
  <c r="BY359" i="9" s="1"/>
  <c r="BZ359" i="9"/>
  <c r="BV359" i="9" a="1"/>
  <c r="BV359" i="9"/>
  <c r="BW359" i="9" a="1"/>
  <c r="BW359" i="9" s="1"/>
  <c r="BX359" i="9" a="1"/>
  <c r="BX359" i="9"/>
  <c r="CB359" i="9"/>
  <c r="CD359" i="9"/>
  <c r="CG359" i="9"/>
  <c r="CJ359" i="9"/>
  <c r="N360" i="9"/>
  <c r="O360" i="9"/>
  <c r="P360" i="9"/>
  <c r="T360" i="9"/>
  <c r="AF360" i="9"/>
  <c r="E360" i="49" s="1"/>
  <c r="BC360" i="9"/>
  <c r="BD360" i="9"/>
  <c r="BE360" i="9" s="1"/>
  <c r="BP360" i="9"/>
  <c r="BS360" i="9" a="1"/>
  <c r="BS360" i="9"/>
  <c r="BV360" i="9" a="1"/>
  <c r="BV360" i="9"/>
  <c r="BY360" i="9" s="1"/>
  <c r="BW360" i="9" a="1"/>
  <c r="BW360" i="9"/>
  <c r="BX360" i="9" a="1"/>
  <c r="BX360" i="9"/>
  <c r="CB360" i="9"/>
  <c r="CD360" i="9"/>
  <c r="CG360" i="9"/>
  <c r="CJ360" i="9"/>
  <c r="N361" i="9"/>
  <c r="O361" i="9"/>
  <c r="P361" i="9"/>
  <c r="T361" i="9"/>
  <c r="E361" i="72"/>
  <c r="AF361" i="9"/>
  <c r="E361" i="49"/>
  <c r="BC361" i="9"/>
  <c r="BD361" i="9"/>
  <c r="BE361" i="9"/>
  <c r="BP361" i="9"/>
  <c r="BS361" i="9" a="1"/>
  <c r="BS361" i="9" s="1"/>
  <c r="BV361" i="9" a="1"/>
  <c r="BV361" i="9" s="1"/>
  <c r="BW361" i="9" a="1"/>
  <c r="BW361" i="9" s="1"/>
  <c r="BX361" i="9" a="1"/>
  <c r="BX361" i="9" s="1"/>
  <c r="CB361" i="9"/>
  <c r="CD361" i="9"/>
  <c r="CG361" i="9"/>
  <c r="CJ361" i="9"/>
  <c r="N362" i="9"/>
  <c r="O362" i="9"/>
  <c r="P362" i="9"/>
  <c r="T362" i="9"/>
  <c r="E362" i="72"/>
  <c r="AF362" i="9"/>
  <c r="E362" i="49"/>
  <c r="BC362" i="9"/>
  <c r="BD362" i="9"/>
  <c r="BE362" i="9"/>
  <c r="BP362" i="9"/>
  <c r="BS362" i="9" a="1"/>
  <c r="BS362" i="9"/>
  <c r="BV362" i="9" a="1"/>
  <c r="BV362" i="9"/>
  <c r="BW362" i="9" a="1"/>
  <c r="BW362" i="9" s="1"/>
  <c r="BX362" i="9" a="1"/>
  <c r="BX362" i="9" s="1"/>
  <c r="CB362" i="9"/>
  <c r="CD362" i="9"/>
  <c r="CG362" i="9"/>
  <c r="CJ362" i="9"/>
  <c r="N363" i="9"/>
  <c r="O363" i="9"/>
  <c r="P363" i="9"/>
  <c r="T363" i="9"/>
  <c r="AE363" i="9"/>
  <c r="BQ363" i="9" s="1"/>
  <c r="AF363" i="9"/>
  <c r="E363" i="49"/>
  <c r="BC363" i="9"/>
  <c r="BD363" i="9"/>
  <c r="BE363" i="9" s="1"/>
  <c r="BP363" i="9"/>
  <c r="BS363" i="9" a="1"/>
  <c r="BS363" i="9" s="1"/>
  <c r="BZ363" i="9"/>
  <c r="BV363" i="9" a="1"/>
  <c r="BV363" i="9" s="1"/>
  <c r="BW363" i="9" a="1"/>
  <c r="BW363" i="9" s="1"/>
  <c r="BY363" i="9" s="1"/>
  <c r="BX363" i="9" a="1"/>
  <c r="BX363" i="9"/>
  <c r="CB363" i="9"/>
  <c r="CD363" i="9"/>
  <c r="CG363" i="9"/>
  <c r="CJ363" i="9"/>
  <c r="N364" i="9"/>
  <c r="O364" i="9"/>
  <c r="P364" i="9"/>
  <c r="T364" i="9"/>
  <c r="AF364" i="9"/>
  <c r="BC364" i="9"/>
  <c r="BD364" i="9"/>
  <c r="BE364" i="9" s="1"/>
  <c r="BP364" i="9"/>
  <c r="BS364" i="9" a="1"/>
  <c r="BS364" i="9" s="1"/>
  <c r="BZ364" i="9" s="1"/>
  <c r="BV364" i="9" a="1"/>
  <c r="BV364" i="9"/>
  <c r="BW364" i="9" a="1"/>
  <c r="BW364" i="9"/>
  <c r="BX364" i="9" a="1"/>
  <c r="BX364" i="9" s="1"/>
  <c r="CB364" i="9"/>
  <c r="CD364" i="9"/>
  <c r="CG364" i="9"/>
  <c r="CJ364" i="9"/>
  <c r="N365" i="9"/>
  <c r="O365" i="9"/>
  <c r="P365" i="9"/>
  <c r="T365" i="9"/>
  <c r="AE365" i="9"/>
  <c r="BQ365" i="9"/>
  <c r="AF365" i="9"/>
  <c r="E365" i="97"/>
  <c r="BC365" i="9"/>
  <c r="BD365" i="9"/>
  <c r="BE365" i="9"/>
  <c r="BP365" i="9"/>
  <c r="BS365" i="9" a="1"/>
  <c r="BS365" i="9"/>
  <c r="BV365" i="9" a="1"/>
  <c r="BV365" i="9"/>
  <c r="BW365" i="9" a="1"/>
  <c r="BW365" i="9"/>
  <c r="BY365" i="9"/>
  <c r="BX365" i="9" a="1"/>
  <c r="BX365" i="9" s="1"/>
  <c r="CB365" i="9"/>
  <c r="CD365" i="9"/>
  <c r="CG365" i="9"/>
  <c r="CJ365" i="9"/>
  <c r="N366" i="9"/>
  <c r="O366" i="9"/>
  <c r="P366" i="9"/>
  <c r="T366" i="9"/>
  <c r="AF366" i="9"/>
  <c r="AV366" i="9"/>
  <c r="AY366" i="9"/>
  <c r="BD366" i="9" s="1"/>
  <c r="BE366" i="9" s="1"/>
  <c r="BA366" i="9"/>
  <c r="BP366" i="9"/>
  <c r="BS366" i="9" a="1"/>
  <c r="BS366" i="9"/>
  <c r="BV366" i="9" a="1"/>
  <c r="BV366" i="9" s="1"/>
  <c r="BW366" i="9" a="1"/>
  <c r="BW366" i="9" s="1"/>
  <c r="BX366" i="9" a="1"/>
  <c r="BX366" i="9" s="1"/>
  <c r="CB366" i="9"/>
  <c r="CD366" i="9"/>
  <c r="CG366" i="9"/>
  <c r="CJ366" i="9"/>
  <c r="N367" i="9"/>
  <c r="O367" i="9"/>
  <c r="P367" i="9"/>
  <c r="T367" i="9"/>
  <c r="AE367" i="9"/>
  <c r="BQ367" i="9"/>
  <c r="AF367" i="9"/>
  <c r="E367" i="98"/>
  <c r="AV367" i="9"/>
  <c r="AY367" i="9"/>
  <c r="BA367" i="9"/>
  <c r="BP367" i="9"/>
  <c r="BS367" i="9" a="1"/>
  <c r="BS367" i="9"/>
  <c r="BV367" i="9" a="1"/>
  <c r="BV367" i="9"/>
  <c r="BW367" i="9" a="1"/>
  <c r="BW367" i="9" s="1"/>
  <c r="BX367" i="9" a="1"/>
  <c r="BX367" i="9" s="1"/>
  <c r="CB367" i="9"/>
  <c r="CD367" i="9"/>
  <c r="CG367" i="9"/>
  <c r="CJ367" i="9"/>
  <c r="N368" i="9"/>
  <c r="O368" i="9"/>
  <c r="P368" i="9"/>
  <c r="T368" i="9"/>
  <c r="AF368" i="9"/>
  <c r="E368" i="49"/>
  <c r="AV368" i="9"/>
  <c r="BC368" i="9" s="1"/>
  <c r="AY368" i="9"/>
  <c r="BA368" i="9"/>
  <c r="BP368" i="9"/>
  <c r="BS368" i="9" a="1"/>
  <c r="BS368" i="9"/>
  <c r="BV368" i="9" a="1"/>
  <c r="BV368" i="9"/>
  <c r="BW368" i="9" a="1"/>
  <c r="BW368" i="9"/>
  <c r="BX368" i="9" a="1"/>
  <c r="BX368" i="9"/>
  <c r="CB368" i="9"/>
  <c r="CD368" i="9"/>
  <c r="CG368" i="9"/>
  <c r="CJ368" i="9"/>
  <c r="N369" i="9"/>
  <c r="O369" i="9"/>
  <c r="P369" i="9"/>
  <c r="T369" i="9"/>
  <c r="AF369" i="9"/>
  <c r="E369" i="49" s="1"/>
  <c r="AV369" i="9"/>
  <c r="AY369" i="9"/>
  <c r="BA369" i="9"/>
  <c r="BP369" i="9"/>
  <c r="BS369" i="9" a="1"/>
  <c r="BS369" i="9" s="1"/>
  <c r="BV369" i="9" a="1"/>
  <c r="BV369" i="9"/>
  <c r="BY369" i="9" s="1"/>
  <c r="BW369" i="9" a="1"/>
  <c r="BW369" i="9" s="1"/>
  <c r="BX369" i="9" a="1"/>
  <c r="BX369" i="9" s="1"/>
  <c r="CB369" i="9"/>
  <c r="CD369" i="9"/>
  <c r="CG369" i="9"/>
  <c r="CJ369" i="9"/>
  <c r="N370" i="9"/>
  <c r="O370" i="9"/>
  <c r="P370" i="9"/>
  <c r="T370" i="9"/>
  <c r="AF370" i="9"/>
  <c r="AV370" i="9"/>
  <c r="AY370" i="9"/>
  <c r="BA370" i="9"/>
  <c r="BP370" i="9"/>
  <c r="BS370" i="9" a="1"/>
  <c r="BS370" i="9" s="1"/>
  <c r="BV370" i="9" a="1"/>
  <c r="BV370" i="9"/>
  <c r="BW370" i="9" a="1"/>
  <c r="BW370" i="9"/>
  <c r="BX370" i="9" a="1"/>
  <c r="BX370" i="9"/>
  <c r="CB370" i="9"/>
  <c r="CD370" i="9"/>
  <c r="CG370" i="9"/>
  <c r="CJ370" i="9"/>
  <c r="N371" i="9"/>
  <c r="O371" i="9"/>
  <c r="P371" i="9"/>
  <c r="T371" i="9"/>
  <c r="E371" i="72"/>
  <c r="AF371" i="9"/>
  <c r="AV371" i="9"/>
  <c r="AY371" i="9"/>
  <c r="BA371" i="9"/>
  <c r="BP371" i="9"/>
  <c r="BS371" i="9" a="1"/>
  <c r="BS371" i="9"/>
  <c r="BZ371" i="9" s="1"/>
  <c r="BV371" i="9" a="1"/>
  <c r="BV371" i="9"/>
  <c r="BW371" i="9" a="1"/>
  <c r="BW371" i="9" s="1"/>
  <c r="BX371" i="9" a="1"/>
  <c r="BX371" i="9"/>
  <c r="CB371" i="9"/>
  <c r="CD371" i="9"/>
  <c r="CG371" i="9"/>
  <c r="CJ371" i="9"/>
  <c r="N372" i="9"/>
  <c r="O372" i="9"/>
  <c r="P372" i="9"/>
  <c r="T372" i="9"/>
  <c r="E372" i="72"/>
  <c r="AF372" i="9"/>
  <c r="AV372" i="9"/>
  <c r="AY372" i="9"/>
  <c r="BA372" i="9"/>
  <c r="BP372" i="9"/>
  <c r="BS372" i="9" a="1"/>
  <c r="BS372" i="9"/>
  <c r="BY372" i="9" s="1"/>
  <c r="BV372" i="9" a="1"/>
  <c r="BV372" i="9" s="1"/>
  <c r="BW372" i="9" a="1"/>
  <c r="BW372" i="9" s="1"/>
  <c r="BX372" i="9" a="1"/>
  <c r="BX372" i="9" s="1"/>
  <c r="CB372" i="9"/>
  <c r="CD372" i="9"/>
  <c r="CG372" i="9"/>
  <c r="CJ372" i="9"/>
  <c r="N373" i="9"/>
  <c r="O373" i="9"/>
  <c r="P373" i="9"/>
  <c r="T373" i="9"/>
  <c r="AE373" i="9"/>
  <c r="BQ373" i="9" s="1"/>
  <c r="AF373" i="9"/>
  <c r="AV373" i="9"/>
  <c r="AY373" i="9"/>
  <c r="BA373" i="9"/>
  <c r="BP373" i="9"/>
  <c r="BS373" i="9" a="1"/>
  <c r="BS373" i="9" s="1"/>
  <c r="BV373" i="9" a="1"/>
  <c r="BV373" i="9"/>
  <c r="BW373" i="9" a="1"/>
  <c r="BW373" i="9" s="1"/>
  <c r="BX373" i="9" a="1"/>
  <c r="BX373" i="9"/>
  <c r="CB373" i="9"/>
  <c r="CD373" i="9"/>
  <c r="CG373" i="9"/>
  <c r="CJ373" i="9"/>
  <c r="N374" i="9"/>
  <c r="O374" i="9"/>
  <c r="P374" i="9"/>
  <c r="T374" i="9"/>
  <c r="E374" i="72"/>
  <c r="AF374" i="9"/>
  <c r="E374" i="97"/>
  <c r="AV374" i="9"/>
  <c r="AY374" i="9"/>
  <c r="BA374" i="9"/>
  <c r="BP374" i="9"/>
  <c r="BS374" i="9" a="1"/>
  <c r="BS374" i="9"/>
  <c r="BV374" i="9" a="1"/>
  <c r="BV374" i="9"/>
  <c r="BW374" i="9" a="1"/>
  <c r="BW374" i="9" s="1"/>
  <c r="BX374" i="9" a="1"/>
  <c r="BX374" i="9" s="1"/>
  <c r="CB374" i="9"/>
  <c r="CD374" i="9"/>
  <c r="CG374" i="9"/>
  <c r="CJ374" i="9"/>
  <c r="N375" i="9"/>
  <c r="O375" i="9"/>
  <c r="P375" i="9"/>
  <c r="T375" i="9"/>
  <c r="AF375" i="9"/>
  <c r="AV375" i="9"/>
  <c r="AY375" i="9"/>
  <c r="BA375" i="9"/>
  <c r="BP375" i="9"/>
  <c r="BS375" i="9" a="1"/>
  <c r="BS375" i="9" s="1"/>
  <c r="BV375" i="9" a="1"/>
  <c r="BV375" i="9" s="1"/>
  <c r="BW375" i="9" a="1"/>
  <c r="BW375" i="9"/>
  <c r="BX375" i="9" a="1"/>
  <c r="BX375" i="9"/>
  <c r="CB375" i="9"/>
  <c r="CD375" i="9"/>
  <c r="CG375" i="9"/>
  <c r="CJ375" i="9"/>
  <c r="N376" i="9"/>
  <c r="O376" i="9"/>
  <c r="P376" i="9"/>
  <c r="T376" i="9"/>
  <c r="AF376" i="9"/>
  <c r="AV376" i="9"/>
  <c r="AY376" i="9"/>
  <c r="BA376" i="9"/>
  <c r="BP376" i="9"/>
  <c r="BS376" i="9" a="1"/>
  <c r="BS376" i="9" s="1"/>
  <c r="BV376" i="9" a="1"/>
  <c r="BV376" i="9"/>
  <c r="BW376" i="9" a="1"/>
  <c r="BW376" i="9"/>
  <c r="BX376" i="9" a="1"/>
  <c r="BX376" i="9"/>
  <c r="BY376" i="9" s="1"/>
  <c r="CB376" i="9"/>
  <c r="CD376" i="9"/>
  <c r="CG376" i="9"/>
  <c r="CJ376" i="9"/>
  <c r="N377" i="9"/>
  <c r="O377" i="9"/>
  <c r="P377" i="9"/>
  <c r="T377" i="9"/>
  <c r="AF377" i="9"/>
  <c r="AV377" i="9"/>
  <c r="AY377" i="9"/>
  <c r="BD377" i="9"/>
  <c r="BE377" i="9" s="1"/>
  <c r="BA377" i="9"/>
  <c r="BC377" i="9" s="1"/>
  <c r="BP377" i="9"/>
  <c r="BS377" i="9" a="1"/>
  <c r="BS377" i="9"/>
  <c r="BV377" i="9" a="1"/>
  <c r="BV377" i="9"/>
  <c r="BW377" i="9" a="1"/>
  <c r="BW377" i="9" s="1"/>
  <c r="BX377" i="9" a="1"/>
  <c r="BX377" i="9" s="1"/>
  <c r="CB377" i="9"/>
  <c r="CD377" i="9"/>
  <c r="CG377" i="9"/>
  <c r="CJ377" i="9"/>
  <c r="N378" i="9"/>
  <c r="O378" i="9"/>
  <c r="P378" i="9"/>
  <c r="T378" i="9"/>
  <c r="AF378" i="9"/>
  <c r="E378" i="97"/>
  <c r="AV378" i="9"/>
  <c r="AY378" i="9"/>
  <c r="BA378" i="9"/>
  <c r="BP378" i="9"/>
  <c r="BS378" i="9" a="1"/>
  <c r="BS378" i="9" s="1"/>
  <c r="BV378" i="9" a="1"/>
  <c r="BV378" i="9" s="1"/>
  <c r="BW378" i="9" a="1"/>
  <c r="BW378" i="9" s="1"/>
  <c r="BX378" i="9" a="1"/>
  <c r="BX378" i="9" s="1"/>
  <c r="CB378" i="9"/>
  <c r="CD378" i="9"/>
  <c r="CG378" i="9"/>
  <c r="CJ378" i="9"/>
  <c r="N379" i="9"/>
  <c r="O379" i="9"/>
  <c r="P379" i="9"/>
  <c r="T379" i="9"/>
  <c r="AE379" i="9"/>
  <c r="BQ379" i="9" s="1"/>
  <c r="AF379" i="9"/>
  <c r="E379" i="49" s="1"/>
  <c r="AV379" i="9"/>
  <c r="AY379" i="9"/>
  <c r="BA379" i="9"/>
  <c r="BP379" i="9"/>
  <c r="BS379" i="9" a="1"/>
  <c r="BS379" i="9" s="1"/>
  <c r="BZ379" i="9" s="1"/>
  <c r="BV379" i="9" a="1"/>
  <c r="BV379" i="9" s="1"/>
  <c r="BW379" i="9" a="1"/>
  <c r="BW379" i="9"/>
  <c r="BX379" i="9" a="1"/>
  <c r="BX379" i="9" s="1"/>
  <c r="CB379" i="9"/>
  <c r="CD379" i="9"/>
  <c r="CG379" i="9"/>
  <c r="CJ379" i="9"/>
  <c r="N380" i="9"/>
  <c r="O380" i="9"/>
  <c r="P380" i="9"/>
  <c r="T380" i="9"/>
  <c r="E380" i="72"/>
  <c r="AF380" i="9"/>
  <c r="E380" i="97"/>
  <c r="AV380" i="9"/>
  <c r="AY380" i="9"/>
  <c r="BA380" i="9"/>
  <c r="BP380" i="9"/>
  <c r="BS380" i="9" a="1"/>
  <c r="BS380" i="9" s="1"/>
  <c r="BV380" i="9" a="1"/>
  <c r="BV380" i="9" s="1"/>
  <c r="BW380" i="9" a="1"/>
  <c r="BW380" i="9" s="1"/>
  <c r="BX380" i="9" a="1"/>
  <c r="BX380" i="9"/>
  <c r="CB380" i="9"/>
  <c r="CD380" i="9"/>
  <c r="CG380" i="9"/>
  <c r="CJ380" i="9"/>
  <c r="N381" i="9"/>
  <c r="O381" i="9"/>
  <c r="P381" i="9"/>
  <c r="T381" i="9"/>
  <c r="AE381" i="9"/>
  <c r="BQ381" i="9" s="1"/>
  <c r="AF381" i="9"/>
  <c r="BC381" i="9"/>
  <c r="BD381" i="9"/>
  <c r="BE381" i="9" s="1"/>
  <c r="BP381" i="9"/>
  <c r="BS381" i="9" a="1"/>
  <c r="BS381" i="9"/>
  <c r="BT381" i="9" a="1"/>
  <c r="BT381" i="9" s="1"/>
  <c r="BU381" i="9" a="1"/>
  <c r="BU381" i="9"/>
  <c r="BV381" i="9" a="1"/>
  <c r="BV381" i="9" s="1"/>
  <c r="BW381" i="9" a="1"/>
  <c r="BW381" i="9" s="1"/>
  <c r="BX381" i="9" a="1"/>
  <c r="BX381" i="9" s="1"/>
  <c r="BY381" i="9" a="1"/>
  <c r="BY381" i="9"/>
  <c r="CB381" i="9"/>
  <c r="CD381" i="9"/>
  <c r="CG381" i="9"/>
  <c r="CJ381" i="9"/>
  <c r="N382" i="9"/>
  <c r="O382" i="9"/>
  <c r="P382" i="9"/>
  <c r="T382" i="9"/>
  <c r="AE382" i="9"/>
  <c r="BQ382" i="9"/>
  <c r="AF382" i="9"/>
  <c r="BC382" i="9"/>
  <c r="BD382" i="9"/>
  <c r="BE382" i="9"/>
  <c r="BP382" i="9"/>
  <c r="BS382" i="9" a="1"/>
  <c r="BS382" i="9"/>
  <c r="BZ382" i="9"/>
  <c r="BT382" i="9" a="1"/>
  <c r="BT382" i="9"/>
  <c r="BU382" i="9" a="1"/>
  <c r="BU382" i="9"/>
  <c r="BV382" i="9" a="1"/>
  <c r="BV382" i="9"/>
  <c r="BW382" i="9" a="1"/>
  <c r="BW382" i="9"/>
  <c r="BX382" i="9" a="1"/>
  <c r="BX382" i="9"/>
  <c r="BY382" i="9" a="1"/>
  <c r="BY382" i="9"/>
  <c r="CB382" i="9"/>
  <c r="CD382" i="9"/>
  <c r="CG382" i="9"/>
  <c r="CJ382" i="9"/>
  <c r="N383" i="9"/>
  <c r="O383" i="9"/>
  <c r="P383" i="9"/>
  <c r="T383" i="9"/>
  <c r="E383" i="72"/>
  <c r="AF383" i="9"/>
  <c r="E383" i="49"/>
  <c r="BC383" i="9"/>
  <c r="BD383" i="9"/>
  <c r="BE383" i="9"/>
  <c r="BP383" i="9"/>
  <c r="BS383" i="9" a="1"/>
  <c r="BS383" i="9"/>
  <c r="BT383" i="9" a="1"/>
  <c r="BT383" i="9"/>
  <c r="BU383" i="9" a="1"/>
  <c r="BU383" i="9" s="1"/>
  <c r="BZ383" i="9"/>
  <c r="BV383" i="9" a="1"/>
  <c r="BV383" i="9"/>
  <c r="BW383" i="9" a="1"/>
  <c r="BW383" i="9"/>
  <c r="BX383" i="9" a="1"/>
  <c r="BX383" i="9"/>
  <c r="BY383" i="9" a="1"/>
  <c r="BY383" i="9"/>
  <c r="CB383" i="9"/>
  <c r="CD383" i="9"/>
  <c r="CG383" i="9"/>
  <c r="CJ383" i="9"/>
  <c r="N384" i="9"/>
  <c r="O384" i="9"/>
  <c r="P384" i="9"/>
  <c r="T384" i="9"/>
  <c r="AF384" i="9"/>
  <c r="E384" i="49"/>
  <c r="BC384" i="9"/>
  <c r="BD384" i="9"/>
  <c r="BE384" i="9"/>
  <c r="BP384" i="9"/>
  <c r="BS384" i="9" a="1"/>
  <c r="BS384" i="9"/>
  <c r="BZ384" i="9" s="1"/>
  <c r="BT384" i="9" a="1"/>
  <c r="BT384" i="9"/>
  <c r="BU384" i="9" a="1"/>
  <c r="BU384" i="9"/>
  <c r="BV384" i="9" a="1"/>
  <c r="BV384" i="9"/>
  <c r="BW384" i="9" a="1"/>
  <c r="BW384" i="9"/>
  <c r="BX384" i="9" a="1"/>
  <c r="BX384" i="9"/>
  <c r="BY384" i="9" a="1"/>
  <c r="BY384" i="9"/>
  <c r="CB384" i="9"/>
  <c r="CD384" i="9"/>
  <c r="CG384" i="9"/>
  <c r="CJ384" i="9"/>
  <c r="N385" i="9"/>
  <c r="O385" i="9"/>
  <c r="P385" i="9"/>
  <c r="T385" i="9"/>
  <c r="AE385" i="9"/>
  <c r="BQ385" i="9"/>
  <c r="AF385" i="9"/>
  <c r="BC385" i="9"/>
  <c r="BD385" i="9"/>
  <c r="BE385" i="9"/>
  <c r="BP385" i="9"/>
  <c r="BS385" i="9" a="1"/>
  <c r="BS385" i="9"/>
  <c r="BT385" i="9" a="1"/>
  <c r="BT385" i="9" s="1"/>
  <c r="BU385" i="9" a="1"/>
  <c r="BU385" i="9" s="1"/>
  <c r="BV385" i="9" a="1"/>
  <c r="BV385" i="9" s="1"/>
  <c r="BW385" i="9" a="1"/>
  <c r="BW385" i="9" s="1"/>
  <c r="BX385" i="9" a="1"/>
  <c r="BX385" i="9" s="1"/>
  <c r="BY385" i="9" a="1"/>
  <c r="BY385" i="9" s="1"/>
  <c r="CB385" i="9"/>
  <c r="CD385" i="9"/>
  <c r="CG385" i="9"/>
  <c r="CJ385" i="9"/>
  <c r="N386" i="9"/>
  <c r="O386" i="9"/>
  <c r="P386" i="9"/>
  <c r="T386" i="9"/>
  <c r="AE386" i="9"/>
  <c r="BQ386" i="9"/>
  <c r="AF386" i="9"/>
  <c r="E386" i="97" s="1"/>
  <c r="E386" i="49"/>
  <c r="BC386" i="9"/>
  <c r="BD386" i="9"/>
  <c r="BE386" i="9"/>
  <c r="BP386" i="9"/>
  <c r="BS386" i="9" a="1"/>
  <c r="BS386" i="9"/>
  <c r="BT386" i="9" a="1"/>
  <c r="BT386" i="9"/>
  <c r="BU386" i="9" a="1"/>
  <c r="BU386" i="9"/>
  <c r="BV386" i="9" a="1"/>
  <c r="BV386" i="9"/>
  <c r="BW386" i="9" a="1"/>
  <c r="BW386" i="9"/>
  <c r="BX386" i="9" a="1"/>
  <c r="BX386" i="9" s="1"/>
  <c r="BY386" i="9"/>
  <c r="CB386" i="9"/>
  <c r="CD386" i="9"/>
  <c r="CG386" i="9"/>
  <c r="CJ386" i="9"/>
  <c r="N387" i="9"/>
  <c r="O387" i="9"/>
  <c r="P387" i="9"/>
  <c r="T387" i="9"/>
  <c r="AE387" i="9"/>
  <c r="BQ387" i="9" s="1"/>
  <c r="AF387" i="9"/>
  <c r="BC387" i="9"/>
  <c r="BD387" i="9"/>
  <c r="BE387" i="9"/>
  <c r="BP387" i="9"/>
  <c r="BS387" i="9" a="1"/>
  <c r="BS387" i="9" s="1"/>
  <c r="BT387" i="9" a="1"/>
  <c r="BT387" i="9" s="1"/>
  <c r="BZ387" i="9" s="1"/>
  <c r="BU387" i="9" a="1"/>
  <c r="BU387" i="9"/>
  <c r="BV387" i="9" a="1"/>
  <c r="BV387" i="9" s="1"/>
  <c r="BW387" i="9" a="1"/>
  <c r="BW387" i="9" s="1"/>
  <c r="BX387" i="9" a="1"/>
  <c r="BX387" i="9" s="1"/>
  <c r="BY387" i="9" a="1"/>
  <c r="BY387" i="9"/>
  <c r="CB387" i="9"/>
  <c r="CD387" i="9"/>
  <c r="CG387" i="9"/>
  <c r="CJ387" i="9"/>
  <c r="N388" i="9"/>
  <c r="O388" i="9"/>
  <c r="P388" i="9"/>
  <c r="T388" i="9"/>
  <c r="E388" i="72"/>
  <c r="AF388" i="9"/>
  <c r="BC388" i="9"/>
  <c r="BD388" i="9"/>
  <c r="BE388" i="9"/>
  <c r="BP388" i="9"/>
  <c r="BS388" i="9" a="1"/>
  <c r="BS388" i="9"/>
  <c r="BZ388" i="9" s="1"/>
  <c r="BT388" i="9" a="1"/>
  <c r="BT388" i="9"/>
  <c r="BU388" i="9" a="1"/>
  <c r="BU388" i="9"/>
  <c r="BV388" i="9" a="1"/>
  <c r="BV388" i="9"/>
  <c r="BW388" i="9" a="1"/>
  <c r="BW388" i="9" s="1"/>
  <c r="BX388" i="9" a="1"/>
  <c r="BX388" i="9"/>
  <c r="BY388" i="9" a="1"/>
  <c r="BY388" i="9"/>
  <c r="CB388" i="9"/>
  <c r="CD388" i="9"/>
  <c r="CG388" i="9"/>
  <c r="CJ388" i="9"/>
  <c r="N389" i="9"/>
  <c r="O389" i="9"/>
  <c r="P389" i="9"/>
  <c r="T389" i="9"/>
  <c r="AF389" i="9"/>
  <c r="BC389" i="9"/>
  <c r="BD389" i="9"/>
  <c r="BE389" i="9" s="1"/>
  <c r="BP389" i="9"/>
  <c r="BS389" i="9" a="1"/>
  <c r="BS389" i="9" s="1"/>
  <c r="BT389" i="9" a="1"/>
  <c r="BT389" i="9" s="1"/>
  <c r="BU389" i="9" a="1"/>
  <c r="BU389" i="9"/>
  <c r="BZ389" i="9" s="1"/>
  <c r="BV389" i="9" a="1"/>
  <c r="BV389" i="9" s="1"/>
  <c r="BW389" i="9" a="1"/>
  <c r="BW389" i="9" s="1"/>
  <c r="BX389" i="9" a="1"/>
  <c r="BX389" i="9" s="1"/>
  <c r="BY389" i="9" a="1"/>
  <c r="BY389" i="9" s="1"/>
  <c r="CB389" i="9"/>
  <c r="CD389" i="9"/>
  <c r="CG389" i="9"/>
  <c r="CJ389" i="9"/>
  <c r="N390" i="9"/>
  <c r="O390" i="9"/>
  <c r="P390" i="9"/>
  <c r="T390" i="9"/>
  <c r="AE390" i="9"/>
  <c r="BQ390" i="9" s="1"/>
  <c r="AF390" i="9"/>
  <c r="BC390" i="9"/>
  <c r="BD390" i="9"/>
  <c r="BE390" i="9" s="1"/>
  <c r="BP390" i="9"/>
  <c r="BS390" i="9" a="1"/>
  <c r="BS390" i="9" s="1"/>
  <c r="BT390" i="9" a="1"/>
  <c r="BT390" i="9" s="1"/>
  <c r="BU390" i="9" a="1"/>
  <c r="BU390" i="9" s="1"/>
  <c r="BV390" i="9" a="1"/>
  <c r="BV390" i="9"/>
  <c r="BW390" i="9" a="1"/>
  <c r="BW390" i="9" s="1"/>
  <c r="BX390" i="9" a="1"/>
  <c r="BX390" i="9" s="1"/>
  <c r="BY390" i="9" a="1"/>
  <c r="BY390" i="9" s="1"/>
  <c r="CB390" i="9"/>
  <c r="CD390" i="9"/>
  <c r="CG390" i="9"/>
  <c r="CJ390" i="9"/>
  <c r="N391" i="9"/>
  <c r="O391" i="9"/>
  <c r="P391" i="9"/>
  <c r="T391" i="9"/>
  <c r="E391" i="72"/>
  <c r="AF391" i="9"/>
  <c r="E391" i="49" s="1"/>
  <c r="BC391" i="9"/>
  <c r="BD391" i="9"/>
  <c r="BE391" i="9" s="1"/>
  <c r="BP391" i="9"/>
  <c r="BS391" i="9" a="1"/>
  <c r="BS391" i="9" s="1"/>
  <c r="BZ391" i="9" s="1"/>
  <c r="BT391" i="9" a="1"/>
  <c r="BT391" i="9"/>
  <c r="BU391" i="9" a="1"/>
  <c r="BU391" i="9"/>
  <c r="BV391" i="9" a="1"/>
  <c r="BV391" i="9" s="1"/>
  <c r="BW391" i="9" a="1"/>
  <c r="BW391" i="9" s="1"/>
  <c r="BX391" i="9" a="1"/>
  <c r="BX391" i="9" s="1"/>
  <c r="BY391" i="9" a="1"/>
  <c r="BY391" i="9" s="1"/>
  <c r="CB391" i="9"/>
  <c r="CD391" i="9"/>
  <c r="CG391" i="9"/>
  <c r="CJ391" i="9"/>
  <c r="N392" i="9"/>
  <c r="O392" i="9"/>
  <c r="P392" i="9"/>
  <c r="T392" i="9"/>
  <c r="AF392" i="9"/>
  <c r="E392" i="49" s="1"/>
  <c r="E392" i="97"/>
  <c r="BC392" i="9"/>
  <c r="BD392" i="9"/>
  <c r="BE392" i="9"/>
  <c r="BP392" i="9"/>
  <c r="BS392" i="9" a="1"/>
  <c r="BS392" i="9" s="1"/>
  <c r="BZ392" i="9" s="1"/>
  <c r="BT392" i="9" a="1"/>
  <c r="BT392" i="9"/>
  <c r="BU392" i="9" a="1"/>
  <c r="BU392" i="9" s="1"/>
  <c r="BV392" i="9" a="1"/>
  <c r="BV392" i="9"/>
  <c r="BW392" i="9" a="1"/>
  <c r="BW392" i="9"/>
  <c r="BX392" i="9" a="1"/>
  <c r="BX392" i="9"/>
  <c r="BY392" i="9" a="1"/>
  <c r="BY392" i="9" s="1"/>
  <c r="CB392" i="9"/>
  <c r="CD392" i="9"/>
  <c r="CG392" i="9"/>
  <c r="CJ392" i="9"/>
  <c r="N393" i="9"/>
  <c r="O393" i="9"/>
  <c r="P393" i="9"/>
  <c r="T393" i="9"/>
  <c r="AF393" i="9"/>
  <c r="E393" i="49"/>
  <c r="BC393" i="9"/>
  <c r="BD393" i="9"/>
  <c r="BE393" i="9"/>
  <c r="BP393" i="9"/>
  <c r="BS393" i="9" a="1"/>
  <c r="BS393" i="9" s="1"/>
  <c r="BZ393" i="9" s="1"/>
  <c r="BT393" i="9" a="1"/>
  <c r="BT393" i="9"/>
  <c r="BU393" i="9" a="1"/>
  <c r="BU393" i="9" s="1"/>
  <c r="BV393" i="9" a="1"/>
  <c r="BV393" i="9"/>
  <c r="BW393" i="9" a="1"/>
  <c r="BW393" i="9" s="1"/>
  <c r="BX393" i="9" a="1"/>
  <c r="BX393" i="9" s="1"/>
  <c r="BY393" i="9" a="1"/>
  <c r="BY393" i="9" s="1"/>
  <c r="CB393" i="9"/>
  <c r="CD393" i="9"/>
  <c r="CG393" i="9"/>
  <c r="CJ393" i="9"/>
  <c r="N394" i="9"/>
  <c r="O394" i="9"/>
  <c r="P394" i="9"/>
  <c r="T394" i="9"/>
  <c r="E394" i="72"/>
  <c r="AF394" i="9"/>
  <c r="BC394" i="9"/>
  <c r="BD394" i="9"/>
  <c r="BE394" i="9"/>
  <c r="BP394" i="9"/>
  <c r="BS394" i="9" a="1"/>
  <c r="BS394" i="9"/>
  <c r="BT394" i="9" a="1"/>
  <c r="BT394" i="9" s="1"/>
  <c r="BU394" i="9" a="1"/>
  <c r="BU394" i="9"/>
  <c r="BV394" i="9" a="1"/>
  <c r="BV394" i="9" s="1"/>
  <c r="BW394" i="9" a="1"/>
  <c r="BW394" i="9"/>
  <c r="BX394" i="9" a="1"/>
  <c r="BX394" i="9" s="1"/>
  <c r="BY394" i="9" a="1"/>
  <c r="BY394" i="9" s="1"/>
  <c r="CB394" i="9"/>
  <c r="CD394" i="9"/>
  <c r="CG394" i="9"/>
  <c r="CJ394" i="9"/>
  <c r="N395" i="9"/>
  <c r="O395" i="9"/>
  <c r="P395" i="9"/>
  <c r="T395" i="9"/>
  <c r="AE395" i="9"/>
  <c r="BQ395" i="9"/>
  <c r="AF395" i="9"/>
  <c r="BC395" i="9"/>
  <c r="BD395" i="9"/>
  <c r="BE395" i="9"/>
  <c r="BP395" i="9"/>
  <c r="BS395" i="9" a="1"/>
  <c r="BS395" i="9" s="1"/>
  <c r="BT395" i="9" a="1"/>
  <c r="BT395" i="9" s="1"/>
  <c r="BU395" i="9" a="1"/>
  <c r="BU395" i="9" s="1"/>
  <c r="BV395" i="9" a="1"/>
  <c r="BV395" i="9" s="1"/>
  <c r="BW395" i="9" a="1"/>
  <c r="BW395" i="9" s="1"/>
  <c r="BX395" i="9" a="1"/>
  <c r="BX395" i="9"/>
  <c r="BY395" i="9" a="1"/>
  <c r="BY395" i="9" s="1"/>
  <c r="CB395" i="9"/>
  <c r="CD395" i="9"/>
  <c r="CG395" i="9"/>
  <c r="CJ395" i="9"/>
  <c r="N396" i="9"/>
  <c r="O396" i="9"/>
  <c r="P396" i="9"/>
  <c r="T396" i="9"/>
  <c r="AE396" i="9"/>
  <c r="BQ396" i="9" s="1"/>
  <c r="AF396" i="9"/>
  <c r="BC396" i="9"/>
  <c r="BD396" i="9"/>
  <c r="BE396" i="9"/>
  <c r="BP396" i="9"/>
  <c r="BS396" i="9" a="1"/>
  <c r="BS396" i="9"/>
  <c r="BT396" i="9" a="1"/>
  <c r="BT396" i="9"/>
  <c r="BU396" i="9" a="1"/>
  <c r="BU396" i="9"/>
  <c r="BV396" i="9" a="1"/>
  <c r="BV396" i="9" s="1"/>
  <c r="BW396" i="9" a="1"/>
  <c r="BW396" i="9"/>
  <c r="BX396" i="9" a="1"/>
  <c r="BX396" i="9" s="1"/>
  <c r="BY396" i="9" a="1"/>
  <c r="BY396" i="9"/>
  <c r="CB396" i="9"/>
  <c r="CD396" i="9"/>
  <c r="CG396" i="9"/>
  <c r="CJ396" i="9"/>
  <c r="N397" i="9"/>
  <c r="O397" i="9"/>
  <c r="P397" i="9"/>
  <c r="T397" i="9"/>
  <c r="AF397" i="9"/>
  <c r="BC397" i="9"/>
  <c r="BD397" i="9"/>
  <c r="BE397" i="9"/>
  <c r="BP397" i="9"/>
  <c r="BS397" i="9" a="1"/>
  <c r="BS397" i="9"/>
  <c r="BT397" i="9" a="1"/>
  <c r="BT397" i="9" s="1"/>
  <c r="BU397" i="9" a="1"/>
  <c r="BU397" i="9"/>
  <c r="BV397" i="9" a="1"/>
  <c r="BV397" i="9" s="1"/>
  <c r="BW397" i="9" a="1"/>
  <c r="BW397" i="9" s="1"/>
  <c r="BX397" i="9" a="1"/>
  <c r="BX397" i="9" s="1"/>
  <c r="BY397" i="9" a="1"/>
  <c r="BY397" i="9"/>
  <c r="CB397" i="9"/>
  <c r="CD397" i="9"/>
  <c r="CG397" i="9"/>
  <c r="CJ397" i="9"/>
  <c r="N398" i="9"/>
  <c r="O398" i="9"/>
  <c r="P398" i="9"/>
  <c r="T398" i="9"/>
  <c r="E398" i="72"/>
  <c r="AF398" i="9"/>
  <c r="BC398" i="9"/>
  <c r="BD398" i="9"/>
  <c r="BE398" i="9"/>
  <c r="BP398" i="9"/>
  <c r="BS398" i="9" a="1"/>
  <c r="BS398" i="9"/>
  <c r="BT398" i="9" a="1"/>
  <c r="BT398" i="9" s="1"/>
  <c r="BU398" i="9" a="1"/>
  <c r="BU398" i="9" s="1"/>
  <c r="BV398" i="9" a="1"/>
  <c r="BV398" i="9"/>
  <c r="BW398" i="9" a="1"/>
  <c r="BW398" i="9"/>
  <c r="BX398" i="9" a="1"/>
  <c r="BX398" i="9" s="1"/>
  <c r="BY398" i="9" a="1"/>
  <c r="BY398" i="9" s="1"/>
  <c r="CB398" i="9"/>
  <c r="CD398" i="9"/>
  <c r="CG398" i="9"/>
  <c r="CJ398" i="9"/>
  <c r="N399" i="9"/>
  <c r="O399" i="9"/>
  <c r="P399" i="9"/>
  <c r="T399" i="9"/>
  <c r="AE399" i="9"/>
  <c r="BQ399" i="9"/>
  <c r="AF399" i="9"/>
  <c r="E399" i="49" s="1"/>
  <c r="BC399" i="9"/>
  <c r="BE399" i="9"/>
  <c r="BP399" i="9"/>
  <c r="BS399" i="9" a="1"/>
  <c r="BS399" i="9" s="1"/>
  <c r="BT399" i="9" a="1"/>
  <c r="BT399" i="9" s="1"/>
  <c r="BZ399" i="9" s="1"/>
  <c r="BU399" i="9" a="1"/>
  <c r="BU399" i="9"/>
  <c r="BV399" i="9" a="1"/>
  <c r="BV399" i="9" s="1"/>
  <c r="BW399" i="9" a="1"/>
  <c r="BW399" i="9"/>
  <c r="BX399" i="9" a="1"/>
  <c r="BX399" i="9" s="1"/>
  <c r="BY399" i="9" a="1"/>
  <c r="BY399" i="9" s="1"/>
  <c r="CB399" i="9"/>
  <c r="CD399" i="9"/>
  <c r="CG399" i="9"/>
  <c r="CJ399" i="9"/>
  <c r="N400" i="9"/>
  <c r="O400" i="9"/>
  <c r="P400" i="9"/>
  <c r="T400" i="9"/>
  <c r="AF400" i="9"/>
  <c r="E400" i="49" s="1"/>
  <c r="BC400" i="9"/>
  <c r="BE400" i="9"/>
  <c r="BP400" i="9"/>
  <c r="BS400" i="9" a="1"/>
  <c r="BS400" i="9" s="1"/>
  <c r="BZ400" i="9" s="1"/>
  <c r="BT400" i="9" a="1"/>
  <c r="BT400" i="9" s="1"/>
  <c r="BU400" i="9" a="1"/>
  <c r="BU400" i="9"/>
  <c r="BV400" i="9" a="1"/>
  <c r="BV400" i="9" s="1"/>
  <c r="BW400" i="9" a="1"/>
  <c r="BW400" i="9" s="1"/>
  <c r="BX400" i="9" a="1"/>
  <c r="BX400" i="9" s="1"/>
  <c r="BY400" i="9" a="1"/>
  <c r="BY400" i="9"/>
  <c r="CB400" i="9"/>
  <c r="CD400" i="9"/>
  <c r="CG400" i="9"/>
  <c r="CJ400" i="9"/>
  <c r="N401" i="9"/>
  <c r="O401" i="9"/>
  <c r="P401" i="9"/>
  <c r="T401" i="9"/>
  <c r="E401" i="128"/>
  <c r="AF401" i="9"/>
  <c r="BC401" i="9"/>
  <c r="BE401" i="9"/>
  <c r="BP401" i="9"/>
  <c r="BS401" i="9" a="1"/>
  <c r="BS401" i="9"/>
  <c r="BT401" i="9" a="1"/>
  <c r="BT401" i="9"/>
  <c r="BU401" i="9" a="1"/>
  <c r="BU401" i="9" s="1"/>
  <c r="BV401" i="9" a="1"/>
  <c r="BV401" i="9" s="1"/>
  <c r="BW401" i="9" a="1"/>
  <c r="BW401" i="9"/>
  <c r="BX401" i="9" a="1"/>
  <c r="BX401" i="9"/>
  <c r="BY401" i="9" a="1"/>
  <c r="BY401" i="9" s="1"/>
  <c r="CB401" i="9"/>
  <c r="CD401" i="9"/>
  <c r="CG401" i="9"/>
  <c r="CJ401" i="9"/>
  <c r="N402" i="9"/>
  <c r="O402" i="9"/>
  <c r="P402" i="9"/>
  <c r="T402" i="9"/>
  <c r="E402" i="72"/>
  <c r="AF402" i="9"/>
  <c r="BC402" i="9"/>
  <c r="BD402" i="9"/>
  <c r="BE402" i="9"/>
  <c r="BP402" i="9"/>
  <c r="BS402" i="9" a="1"/>
  <c r="BS402" i="9" s="1"/>
  <c r="BT402" i="9" a="1"/>
  <c r="BT402" i="9" s="1"/>
  <c r="BU402" i="9" a="1"/>
  <c r="BU402" i="9"/>
  <c r="BV402" i="9" a="1"/>
  <c r="BV402" i="9"/>
  <c r="BW402" i="9" a="1"/>
  <c r="BW402" i="9"/>
  <c r="BX402" i="9" a="1"/>
  <c r="BX402" i="9" s="1"/>
  <c r="BY402" i="9" a="1"/>
  <c r="BY402" i="9"/>
  <c r="CB402" i="9"/>
  <c r="CD402" i="9"/>
  <c r="CG402" i="9"/>
  <c r="CJ402" i="9"/>
  <c r="N403" i="9"/>
  <c r="O403" i="9"/>
  <c r="P403" i="9"/>
  <c r="T403" i="9"/>
  <c r="AF403" i="9"/>
  <c r="BC403" i="9"/>
  <c r="BD403" i="9"/>
  <c r="BE403" i="9"/>
  <c r="BP403" i="9"/>
  <c r="BS403" i="9" a="1"/>
  <c r="BS403" i="9" s="1"/>
  <c r="BZ403" i="9" s="1"/>
  <c r="BT403" i="9" a="1"/>
  <c r="BT403" i="9" s="1"/>
  <c r="BU403" i="9" a="1"/>
  <c r="BU403" i="9"/>
  <c r="BV403" i="9" a="1"/>
  <c r="BV403" i="9"/>
  <c r="BW403" i="9" a="1"/>
  <c r="BW403" i="9" s="1"/>
  <c r="BX403" i="9" a="1"/>
  <c r="BX403" i="9" s="1"/>
  <c r="BY403" i="9" a="1"/>
  <c r="BY403" i="9"/>
  <c r="CB403" i="9"/>
  <c r="CD403" i="9"/>
  <c r="CG403" i="9"/>
  <c r="CJ403" i="9"/>
  <c r="N404" i="9"/>
  <c r="O404" i="9"/>
  <c r="P404" i="9"/>
  <c r="T404" i="9"/>
  <c r="AE404" i="9"/>
  <c r="BQ404" i="9"/>
  <c r="AF404" i="9"/>
  <c r="E404" i="97" s="1"/>
  <c r="E404" i="98"/>
  <c r="BC404" i="9"/>
  <c r="BD404" i="9"/>
  <c r="BE404" i="9"/>
  <c r="BP404" i="9"/>
  <c r="BS404" i="9" a="1"/>
  <c r="BS404" i="9"/>
  <c r="BT404" i="9" a="1"/>
  <c r="BT404" i="9" s="1"/>
  <c r="BZ404" i="9" s="1"/>
  <c r="BU404" i="9" a="1"/>
  <c r="BU404" i="9" s="1"/>
  <c r="BV404" i="9" a="1"/>
  <c r="BV404" i="9" s="1"/>
  <c r="BW404" i="9" a="1"/>
  <c r="BW404" i="9" s="1"/>
  <c r="BX404" i="9" a="1"/>
  <c r="BX404" i="9"/>
  <c r="BY404" i="9" a="1"/>
  <c r="BY404" i="9"/>
  <c r="CB404" i="9"/>
  <c r="CD404" i="9"/>
  <c r="CG404" i="9"/>
  <c r="CJ404" i="9"/>
  <c r="N405" i="9"/>
  <c r="O405" i="9"/>
  <c r="P405" i="9"/>
  <c r="T405" i="9"/>
  <c r="E405" i="128"/>
  <c r="AF405" i="9"/>
  <c r="BC405" i="9"/>
  <c r="BD405" i="9"/>
  <c r="BE405" i="9"/>
  <c r="BP405" i="9"/>
  <c r="BS405" i="9" a="1"/>
  <c r="BS405" i="9"/>
  <c r="BZ405" i="9" s="1"/>
  <c r="BT405" i="9" a="1"/>
  <c r="BT405" i="9" s="1"/>
  <c r="BU405" i="9" a="1"/>
  <c r="BU405" i="9" s="1"/>
  <c r="BV405" i="9" a="1"/>
  <c r="BV405" i="9"/>
  <c r="BW405" i="9" a="1"/>
  <c r="BW405" i="9"/>
  <c r="BX405" i="9" a="1"/>
  <c r="BX405" i="9"/>
  <c r="BY405" i="9" a="1"/>
  <c r="BY405" i="9" s="1"/>
  <c r="CB405" i="9"/>
  <c r="CD405" i="9"/>
  <c r="CG405" i="9"/>
  <c r="CJ405" i="9"/>
  <c r="N406" i="9"/>
  <c r="O406" i="9"/>
  <c r="P406" i="9"/>
  <c r="T406" i="9"/>
  <c r="AF406" i="9"/>
  <c r="BC406" i="9"/>
  <c r="BD406" i="9"/>
  <c r="BE406" i="9"/>
  <c r="BP406" i="9"/>
  <c r="BS406" i="9" a="1"/>
  <c r="BS406" i="9" s="1"/>
  <c r="BZ406" i="9" s="1"/>
  <c r="BT406" i="9" a="1"/>
  <c r="BT406" i="9"/>
  <c r="BU406" i="9" a="1"/>
  <c r="BU406" i="9"/>
  <c r="BV406" i="9" a="1"/>
  <c r="BV406" i="9"/>
  <c r="BW406" i="9" a="1"/>
  <c r="BW406" i="9" s="1"/>
  <c r="BX406" i="9" a="1"/>
  <c r="BX406" i="9"/>
  <c r="BY406" i="9" a="1"/>
  <c r="BY406" i="9"/>
  <c r="CB406" i="9"/>
  <c r="CD406" i="9"/>
  <c r="CG406" i="9"/>
  <c r="CJ406" i="9"/>
  <c r="N407" i="9"/>
  <c r="O407" i="9"/>
  <c r="P407" i="9"/>
  <c r="T407" i="9"/>
  <c r="AF407" i="9"/>
  <c r="BC407" i="9"/>
  <c r="BD407" i="9"/>
  <c r="BE407" i="9"/>
  <c r="BP407" i="9"/>
  <c r="BS407" i="9" a="1"/>
  <c r="BS407" i="9" s="1"/>
  <c r="BZ407" i="9" s="1"/>
  <c r="BT407" i="9" a="1"/>
  <c r="BT407" i="9"/>
  <c r="BU407" i="9" a="1"/>
  <c r="BU407" i="9" s="1"/>
  <c r="BV407" i="9" a="1"/>
  <c r="BV407" i="9"/>
  <c r="BW407" i="9" a="1"/>
  <c r="BW407" i="9" s="1"/>
  <c r="BX407" i="9" a="1"/>
  <c r="BX407" i="9"/>
  <c r="BY407" i="9" a="1"/>
  <c r="BY407" i="9" s="1"/>
  <c r="CB407" i="9"/>
  <c r="CD407" i="9"/>
  <c r="CG407" i="9"/>
  <c r="CJ407" i="9"/>
  <c r="N408" i="9"/>
  <c r="O408" i="9"/>
  <c r="P408" i="9"/>
  <c r="T408" i="9"/>
  <c r="AF408" i="9"/>
  <c r="E408" i="97" s="1"/>
  <c r="BC408" i="9"/>
  <c r="BD408" i="9"/>
  <c r="BE408" i="9"/>
  <c r="BP408" i="9"/>
  <c r="BS408" i="9" a="1"/>
  <c r="BS408" i="9" s="1"/>
  <c r="BT408" i="9" a="1"/>
  <c r="BT408" i="9"/>
  <c r="BZ408" i="9" s="1"/>
  <c r="BU408" i="9" a="1"/>
  <c r="BU408" i="9"/>
  <c r="BV408" i="9" a="1"/>
  <c r="BV408" i="9" s="1"/>
  <c r="BW408" i="9" a="1"/>
  <c r="BW408" i="9" s="1"/>
  <c r="BX408" i="9" a="1"/>
  <c r="BX408" i="9" s="1"/>
  <c r="BY408" i="9" a="1"/>
  <c r="BY408" i="9"/>
  <c r="CB408" i="9"/>
  <c r="CD408" i="9"/>
  <c r="CG408" i="9"/>
  <c r="CJ408" i="9"/>
  <c r="N409" i="9"/>
  <c r="O409" i="9"/>
  <c r="P409" i="9"/>
  <c r="T409" i="9"/>
  <c r="AF409" i="9"/>
  <c r="BC409" i="9"/>
  <c r="BD409" i="9"/>
  <c r="BE409" i="9"/>
  <c r="BP409" i="9"/>
  <c r="BS409" i="9" a="1"/>
  <c r="BS409" i="9"/>
  <c r="BZ409" i="9"/>
  <c r="BT409" i="9" a="1"/>
  <c r="BT409" i="9" s="1"/>
  <c r="BU409" i="9" a="1"/>
  <c r="BU409" i="9"/>
  <c r="BV409" i="9" a="1"/>
  <c r="BV409" i="9" s="1"/>
  <c r="BW409" i="9" a="1"/>
  <c r="BW409" i="9"/>
  <c r="BX409" i="9" a="1"/>
  <c r="BX409" i="9" s="1"/>
  <c r="BY409" i="9" a="1"/>
  <c r="BY409" i="9" s="1"/>
  <c r="CB409" i="9"/>
  <c r="CD409" i="9"/>
  <c r="CG409" i="9"/>
  <c r="CJ409" i="9"/>
  <c r="N410" i="9"/>
  <c r="O410" i="9"/>
  <c r="P410" i="9"/>
  <c r="T410" i="9"/>
  <c r="AF410" i="9"/>
  <c r="BC410" i="9"/>
  <c r="BD410" i="9"/>
  <c r="BE410" i="9"/>
  <c r="BP410" i="9"/>
  <c r="BS410" i="9" a="1"/>
  <c r="BS410" i="9"/>
  <c r="BZ410" i="9" s="1"/>
  <c r="BT410" i="9" a="1"/>
  <c r="BT410" i="9" s="1"/>
  <c r="BU410" i="9" a="1"/>
  <c r="BU410" i="9" s="1"/>
  <c r="BV410" i="9" a="1"/>
  <c r="BV410" i="9"/>
  <c r="BW410" i="9" a="1"/>
  <c r="BW410" i="9"/>
  <c r="BX410" i="9" a="1"/>
  <c r="BX410" i="9"/>
  <c r="BY410" i="9" a="1"/>
  <c r="BY410" i="9" s="1"/>
  <c r="CB410" i="9"/>
  <c r="CD410" i="9"/>
  <c r="CG410" i="9"/>
  <c r="CJ410" i="9"/>
  <c r="N411" i="9"/>
  <c r="O411" i="9"/>
  <c r="P411" i="9"/>
  <c r="T411" i="9"/>
  <c r="E411" i="72"/>
  <c r="AF411" i="9"/>
  <c r="BC411" i="9"/>
  <c r="BD411" i="9"/>
  <c r="BE411" i="9"/>
  <c r="BP411" i="9"/>
  <c r="BS411" i="9" a="1"/>
  <c r="BS411" i="9" s="1"/>
  <c r="BZ411" i="9" s="1"/>
  <c r="BT411" i="9" a="1"/>
  <c r="BT411" i="9"/>
  <c r="BU411" i="9" a="1"/>
  <c r="BU411" i="9"/>
  <c r="BV411" i="9" a="1"/>
  <c r="BV411" i="9"/>
  <c r="BW411" i="9" a="1"/>
  <c r="BW411" i="9" s="1"/>
  <c r="BX411" i="9" a="1"/>
  <c r="BX411" i="9"/>
  <c r="BY411" i="9" a="1"/>
  <c r="BY411" i="9"/>
  <c r="CB411" i="9"/>
  <c r="CD411" i="9"/>
  <c r="CG411" i="9"/>
  <c r="CJ411" i="9"/>
  <c r="N412" i="9"/>
  <c r="O412" i="9"/>
  <c r="P412" i="9"/>
  <c r="T412" i="9"/>
  <c r="AF412" i="9"/>
  <c r="BC412" i="9"/>
  <c r="BD412" i="9"/>
  <c r="BE412" i="9"/>
  <c r="BP412" i="9"/>
  <c r="BS412" i="9" a="1"/>
  <c r="BS412" i="9" s="1"/>
  <c r="BT412" i="9" a="1"/>
  <c r="BT412" i="9" s="1"/>
  <c r="BU412" i="9" a="1"/>
  <c r="BU412" i="9"/>
  <c r="BZ412" i="9"/>
  <c r="BV412" i="9" a="1"/>
  <c r="BV412" i="9" s="1"/>
  <c r="BW412" i="9" a="1"/>
  <c r="BW412" i="9"/>
  <c r="BX412" i="9" a="1"/>
  <c r="BX412" i="9" s="1"/>
  <c r="BY412" i="9" a="1"/>
  <c r="BY412" i="9"/>
  <c r="CB412" i="9"/>
  <c r="CD412" i="9"/>
  <c r="CG412" i="9"/>
  <c r="CJ412" i="9"/>
  <c r="N413" i="9"/>
  <c r="O413" i="9"/>
  <c r="P413" i="9"/>
  <c r="T413" i="9"/>
  <c r="E413" i="128"/>
  <c r="AF413" i="9"/>
  <c r="BC413" i="9"/>
  <c r="BD413" i="9"/>
  <c r="BE413" i="9"/>
  <c r="BP413" i="9"/>
  <c r="BS413" i="9" a="1"/>
  <c r="BS413" i="9"/>
  <c r="BT413" i="9" a="1"/>
  <c r="BT413" i="9" s="1"/>
  <c r="BU413" i="9" a="1"/>
  <c r="BU413" i="9" s="1"/>
  <c r="BV413" i="9" a="1"/>
  <c r="BV413" i="9"/>
  <c r="BW413" i="9" a="1"/>
  <c r="BW413" i="9" s="1"/>
  <c r="BX413" i="9" a="1"/>
  <c r="BX413" i="9" s="1"/>
  <c r="BY413" i="9" a="1"/>
  <c r="BY413" i="9"/>
  <c r="CB413" i="9"/>
  <c r="CD413" i="9"/>
  <c r="CG413" i="9"/>
  <c r="CJ413" i="9"/>
  <c r="N414" i="9"/>
  <c r="O414" i="9"/>
  <c r="P414" i="9"/>
  <c r="T414" i="9"/>
  <c r="AF414" i="9"/>
  <c r="BC414" i="9"/>
  <c r="BD414" i="9"/>
  <c r="BE414" i="9"/>
  <c r="BP414" i="9"/>
  <c r="BS414" i="9" a="1"/>
  <c r="BS414" i="9"/>
  <c r="BT414" i="9" a="1"/>
  <c r="BT414" i="9"/>
  <c r="BZ414" i="9" s="1"/>
  <c r="BU414" i="9" a="1"/>
  <c r="BU414" i="9" s="1"/>
  <c r="BV414" i="9" a="1"/>
  <c r="BV414" i="9" s="1"/>
  <c r="BW414" i="9" a="1"/>
  <c r="BW414" i="9"/>
  <c r="BX414" i="9" a="1"/>
  <c r="BX414" i="9"/>
  <c r="BY414" i="9" a="1"/>
  <c r="BY414" i="9"/>
  <c r="CB414" i="9"/>
  <c r="CD414" i="9"/>
  <c r="CG414" i="9"/>
  <c r="CJ414" i="9"/>
  <c r="I15" i="114"/>
  <c r="H21" i="114"/>
  <c r="B31" i="114"/>
  <c r="C31" i="114"/>
  <c r="B59" i="114"/>
  <c r="B65" i="114"/>
  <c r="C65" i="114"/>
  <c r="S6" i="120"/>
  <c r="T6" i="120"/>
  <c r="U6" i="120"/>
  <c r="V6" i="120"/>
  <c r="W6" i="120"/>
  <c r="Y6" i="120"/>
  <c r="Z6" i="120"/>
  <c r="AA6" i="120"/>
  <c r="AB6" i="120"/>
  <c r="A40" i="120"/>
  <c r="FF6" i="62"/>
  <c r="FL6" i="62" s="1"/>
  <c r="T8" i="62"/>
  <c r="U8" i="62"/>
  <c r="V8" i="62"/>
  <c r="W8" i="62"/>
  <c r="X8" i="62"/>
  <c r="Z8" i="62"/>
  <c r="AA8" i="62"/>
  <c r="AB8" i="62"/>
  <c r="AC8" i="62"/>
  <c r="EZ12" i="62"/>
  <c r="FA12" i="62"/>
  <c r="FB12" i="62"/>
  <c r="FC12" i="62"/>
  <c r="FD12" i="62"/>
  <c r="EZ13" i="62"/>
  <c r="FA13" i="62"/>
  <c r="FB13" i="62"/>
  <c r="FC13" i="62"/>
  <c r="FD13" i="62"/>
  <c r="EZ16" i="62"/>
  <c r="FA16" i="62"/>
  <c r="FB16" i="62"/>
  <c r="FC16" i="62"/>
  <c r="FD16" i="62"/>
  <c r="EZ19" i="62"/>
  <c r="FA19" i="62"/>
  <c r="FB19" i="62"/>
  <c r="FC19" i="62"/>
  <c r="FD19" i="62"/>
  <c r="EZ29" i="62"/>
  <c r="FA29" i="62"/>
  <c r="FB29" i="62"/>
  <c r="FC29" i="62"/>
  <c r="FD29" i="62"/>
  <c r="EZ30" i="62"/>
  <c r="FA30" i="62"/>
  <c r="FB30" i="62"/>
  <c r="FC30" i="62"/>
  <c r="FD30" i="62"/>
  <c r="EZ31" i="62"/>
  <c r="FA31" i="62"/>
  <c r="FB31" i="62"/>
  <c r="FC31" i="62"/>
  <c r="FD31" i="62"/>
  <c r="EZ32" i="62"/>
  <c r="FA32" i="62"/>
  <c r="FB32" i="62"/>
  <c r="FC32" i="62"/>
  <c r="FD32" i="62"/>
  <c r="EZ33" i="62"/>
  <c r="FA33" i="62"/>
  <c r="FB33" i="62"/>
  <c r="FC33" i="62"/>
  <c r="FD33" i="62"/>
  <c r="EZ34" i="62"/>
  <c r="FA34" i="62"/>
  <c r="FB34" i="62"/>
  <c r="FC34" i="62"/>
  <c r="FD34" i="62"/>
  <c r="EZ35" i="62"/>
  <c r="FA35" i="62"/>
  <c r="FB35" i="62"/>
  <c r="FC35" i="62"/>
  <c r="FD35" i="62"/>
  <c r="EZ37" i="62"/>
  <c r="FA37" i="62"/>
  <c r="FB37" i="62"/>
  <c r="FC37" i="62"/>
  <c r="FD37" i="62"/>
  <c r="EZ38" i="62"/>
  <c r="FA38" i="62"/>
  <c r="FB38" i="62"/>
  <c r="FC38" i="62"/>
  <c r="FD38" i="62"/>
  <c r="EZ39" i="62"/>
  <c r="FA39" i="62"/>
  <c r="FB39" i="62"/>
  <c r="FC39" i="62"/>
  <c r="FD39" i="62"/>
  <c r="EZ40" i="62"/>
  <c r="FA40" i="62"/>
  <c r="FB40" i="62"/>
  <c r="FC40" i="62"/>
  <c r="FD40" i="62"/>
  <c r="EZ41" i="62"/>
  <c r="FA41" i="62"/>
  <c r="FB41" i="62"/>
  <c r="FC41" i="62"/>
  <c r="FD41" i="62"/>
  <c r="EZ43" i="62"/>
  <c r="FA43" i="62"/>
  <c r="FB43" i="62"/>
  <c r="FC43" i="62"/>
  <c r="FD43" i="62"/>
  <c r="EZ44" i="62"/>
  <c r="FA44" i="62"/>
  <c r="FB44" i="62"/>
  <c r="FC44" i="62"/>
  <c r="FD44" i="62"/>
  <c r="EZ45" i="62"/>
  <c r="FA45" i="62"/>
  <c r="FB45" i="62"/>
  <c r="FC45" i="62"/>
  <c r="FD45" i="62"/>
  <c r="D46" i="62"/>
  <c r="EZ46" i="62"/>
  <c r="FA46" i="62"/>
  <c r="FB46" i="62"/>
  <c r="FC46" i="62"/>
  <c r="FD46" i="62"/>
  <c r="EZ47" i="62"/>
  <c r="FA47" i="62"/>
  <c r="FB47" i="62"/>
  <c r="FC47" i="62"/>
  <c r="FD47" i="62"/>
  <c r="EZ48" i="62"/>
  <c r="FA48" i="62"/>
  <c r="FB48" i="62"/>
  <c r="FC48" i="62"/>
  <c r="FD48" i="62"/>
  <c r="EZ50" i="62"/>
  <c r="FA50" i="62"/>
  <c r="FB50" i="62"/>
  <c r="FC50" i="62"/>
  <c r="FD50" i="62"/>
  <c r="EZ51" i="62"/>
  <c r="FA51" i="62"/>
  <c r="FB51" i="62"/>
  <c r="FC51" i="62"/>
  <c r="FD51" i="62"/>
  <c r="EZ62" i="62"/>
  <c r="FA62" i="62"/>
  <c r="FB62" i="62"/>
  <c r="FC62" i="62"/>
  <c r="FD62" i="62"/>
  <c r="D66" i="62"/>
  <c r="EZ67" i="62"/>
  <c r="FA67" i="62"/>
  <c r="FB67" i="62"/>
  <c r="FC67" i="62"/>
  <c r="FD67" i="62"/>
  <c r="EZ70" i="62"/>
  <c r="FA70" i="62"/>
  <c r="FB70" i="62"/>
  <c r="FC70" i="62"/>
  <c r="FD70" i="62"/>
  <c r="EZ71" i="62"/>
  <c r="FA71" i="62"/>
  <c r="FB71" i="62"/>
  <c r="FC71" i="62"/>
  <c r="FD71" i="62"/>
  <c r="EZ74" i="62"/>
  <c r="FA74" i="62"/>
  <c r="FB74" i="62"/>
  <c r="FC74" i="62"/>
  <c r="FD74" i="62"/>
  <c r="EZ76" i="62"/>
  <c r="FA76" i="62"/>
  <c r="FB76" i="62"/>
  <c r="FC76" i="62"/>
  <c r="FD76" i="62"/>
  <c r="FA77" i="62"/>
  <c r="FB77" i="62"/>
  <c r="FC77" i="62"/>
  <c r="FD77" i="62"/>
  <c r="EZ85" i="62"/>
  <c r="FA85" i="62"/>
  <c r="FB85" i="62"/>
  <c r="FC85" i="62"/>
  <c r="FD85" i="62"/>
  <c r="EZ89" i="62"/>
  <c r="FA89" i="62"/>
  <c r="FB89" i="62"/>
  <c r="FC89" i="62"/>
  <c r="FD89" i="62"/>
  <c r="EZ92" i="62"/>
  <c r="FA92" i="62"/>
  <c r="FB92" i="62"/>
  <c r="FC92" i="62"/>
  <c r="FD92" i="62"/>
  <c r="EZ93" i="62"/>
  <c r="FA93" i="62"/>
  <c r="FB93" i="62"/>
  <c r="FC93" i="62"/>
  <c r="FD93" i="62"/>
  <c r="D95" i="62"/>
  <c r="EZ95" i="62"/>
  <c r="FA95" i="62"/>
  <c r="FB95" i="62"/>
  <c r="FC95" i="62"/>
  <c r="FD95" i="62"/>
  <c r="EZ96" i="62"/>
  <c r="FA96" i="62"/>
  <c r="FB96" i="62"/>
  <c r="FC96" i="62"/>
  <c r="FD96" i="62"/>
  <c r="EZ97" i="62"/>
  <c r="FA97" i="62"/>
  <c r="FB97" i="62"/>
  <c r="FC97" i="62"/>
  <c r="FD97" i="62"/>
  <c r="D99" i="62"/>
  <c r="EX99" i="62"/>
  <c r="EZ99" i="62"/>
  <c r="FA99" i="62"/>
  <c r="FB99" i="62"/>
  <c r="FC99" i="62"/>
  <c r="FD99" i="62"/>
  <c r="EZ100" i="62"/>
  <c r="FA100" i="62"/>
  <c r="FB100" i="62"/>
  <c r="FC100" i="62"/>
  <c r="FD100" i="62"/>
  <c r="EZ101" i="62"/>
  <c r="FA101" i="62"/>
  <c r="FB101" i="62"/>
  <c r="FC101" i="62"/>
  <c r="FD101" i="62"/>
  <c r="D102" i="62"/>
  <c r="EZ102" i="62"/>
  <c r="FA102" i="62"/>
  <c r="FB102" i="62"/>
  <c r="FC102" i="62"/>
  <c r="FD102" i="62"/>
  <c r="EZ103" i="62"/>
  <c r="FA103" i="62"/>
  <c r="FB103" i="62"/>
  <c r="FC103" i="62"/>
  <c r="FD103" i="62"/>
  <c r="EZ104" i="62"/>
  <c r="FA104" i="62"/>
  <c r="FB104" i="62"/>
  <c r="FC104" i="62"/>
  <c r="FD104" i="62"/>
  <c r="EZ119" i="62"/>
  <c r="FA119" i="62"/>
  <c r="FB119" i="62"/>
  <c r="FC119" i="62"/>
  <c r="FD119" i="62"/>
  <c r="EZ120" i="62"/>
  <c r="FA120" i="62"/>
  <c r="FB120" i="62"/>
  <c r="FC120" i="62"/>
  <c r="FD120" i="62"/>
  <c r="EZ121" i="62"/>
  <c r="FA121" i="62"/>
  <c r="FB121" i="62"/>
  <c r="FC121" i="62"/>
  <c r="FD121" i="62"/>
  <c r="EZ122" i="62"/>
  <c r="FA122" i="62"/>
  <c r="FB122" i="62"/>
  <c r="FC122" i="62"/>
  <c r="FD122" i="62"/>
  <c r="EZ125" i="62"/>
  <c r="FA125" i="62"/>
  <c r="FB125" i="62"/>
  <c r="FC125" i="62"/>
  <c r="FD125" i="62"/>
  <c r="EZ123" i="62"/>
  <c r="FA123" i="62"/>
  <c r="FB123" i="62"/>
  <c r="FC123" i="62"/>
  <c r="FD123" i="62"/>
  <c r="EZ128" i="62"/>
  <c r="FA128" i="62"/>
  <c r="FB128" i="62"/>
  <c r="FC128" i="62"/>
  <c r="FD128" i="62"/>
  <c r="D185" i="62"/>
  <c r="C34" i="120" s="1"/>
  <c r="A1" i="74"/>
  <c r="AB3" i="120" s="1"/>
  <c r="E412" i="11"/>
  <c r="E428" i="12"/>
  <c r="E426" i="12"/>
  <c r="E424" i="12"/>
  <c r="E422" i="12"/>
  <c r="E420" i="12"/>
  <c r="E414" i="137"/>
  <c r="E428" i="10"/>
  <c r="E426" i="10"/>
  <c r="E424" i="10"/>
  <c r="E422" i="10"/>
  <c r="E420" i="10"/>
  <c r="E416" i="10"/>
  <c r="E415" i="10"/>
  <c r="E414" i="10"/>
  <c r="E413" i="10"/>
  <c r="E412" i="10"/>
  <c r="E406" i="12"/>
  <c r="E407" i="12"/>
  <c r="E415" i="12"/>
  <c r="E413" i="11"/>
  <c r="E414" i="11"/>
  <c r="E407" i="10"/>
  <c r="E416" i="11"/>
  <c r="E415" i="11"/>
  <c r="E414" i="12"/>
  <c r="E413" i="12"/>
  <c r="E412" i="12"/>
  <c r="E411" i="12"/>
  <c r="E416" i="122"/>
  <c r="E416" i="39"/>
  <c r="E416" i="137"/>
  <c r="E417" i="138"/>
  <c r="E428" i="11"/>
  <c r="E426" i="11"/>
  <c r="E425" i="11"/>
  <c r="E424" i="11"/>
  <c r="E423" i="11"/>
  <c r="E422" i="11"/>
  <c r="E421" i="11"/>
  <c r="E420" i="11"/>
  <c r="E419" i="11"/>
  <c r="E418" i="11"/>
  <c r="E417" i="11"/>
  <c r="E405" i="10"/>
  <c r="E418" i="12"/>
  <c r="E406" i="11"/>
  <c r="E405" i="12"/>
  <c r="E416" i="12"/>
  <c r="E406" i="10"/>
  <c r="E405" i="11"/>
  <c r="E412" i="31"/>
  <c r="E406" i="31"/>
  <c r="E416" i="31"/>
  <c r="E413" i="31"/>
  <c r="E411" i="31"/>
  <c r="E415" i="31"/>
  <c r="E414" i="31"/>
  <c r="E405" i="31"/>
  <c r="E407" i="31"/>
  <c r="E415" i="100"/>
  <c r="E413" i="100"/>
  <c r="E414" i="100"/>
  <c r="E405" i="100"/>
  <c r="E406" i="100"/>
  <c r="E411" i="100"/>
  <c r="E416" i="82"/>
  <c r="E415" i="82"/>
  <c r="E407" i="82"/>
  <c r="E413" i="82"/>
  <c r="E411" i="82"/>
  <c r="E414" i="82"/>
  <c r="E406" i="82"/>
  <c r="E412" i="82"/>
  <c r="E405" i="82"/>
  <c r="E415" i="15"/>
  <c r="E411" i="15"/>
  <c r="E406" i="15"/>
  <c r="E413" i="15"/>
  <c r="E405" i="15"/>
  <c r="E416" i="15"/>
  <c r="E414" i="15"/>
  <c r="E407" i="15"/>
  <c r="E412" i="15"/>
  <c r="E407" i="100"/>
  <c r="E412" i="100"/>
  <c r="E416" i="100"/>
  <c r="E411" i="29"/>
  <c r="E405" i="29"/>
  <c r="E416" i="29"/>
  <c r="E412" i="29"/>
  <c r="E415" i="29"/>
  <c r="E413" i="29"/>
  <c r="E414" i="29"/>
  <c r="E406" i="29"/>
  <c r="E407" i="29"/>
  <c r="E412" i="23"/>
  <c r="E405" i="23"/>
  <c r="E407" i="23"/>
  <c r="E406" i="23"/>
  <c r="E413" i="23"/>
  <c r="E414" i="23"/>
  <c r="E411" i="23"/>
  <c r="E416" i="23"/>
  <c r="E407" i="70"/>
  <c r="E412" i="70"/>
  <c r="E416" i="70"/>
  <c r="E415" i="70"/>
  <c r="E413" i="70"/>
  <c r="E405" i="70"/>
  <c r="E414" i="70"/>
  <c r="E411" i="70"/>
  <c r="E406" i="70"/>
  <c r="E415" i="99"/>
  <c r="E413" i="99"/>
  <c r="E412" i="99"/>
  <c r="E411" i="99"/>
  <c r="E406" i="99"/>
  <c r="E414" i="99"/>
  <c r="E407" i="99"/>
  <c r="E405" i="99"/>
  <c r="E416" i="99"/>
  <c r="E407" i="71"/>
  <c r="E416" i="71"/>
  <c r="E415" i="71"/>
  <c r="E405" i="71"/>
  <c r="E406" i="71"/>
  <c r="E414" i="71"/>
  <c r="E413" i="71"/>
  <c r="E411" i="71"/>
  <c r="E412" i="71"/>
  <c r="E420" i="99"/>
  <c r="E421" i="139"/>
  <c r="E418" i="142"/>
  <c r="E422" i="142"/>
  <c r="E424" i="142"/>
  <c r="E426" i="142"/>
  <c r="E428" i="142"/>
  <c r="E417" i="142"/>
  <c r="E419" i="142"/>
  <c r="E421" i="142"/>
  <c r="E423" i="142"/>
  <c r="E425" i="142"/>
  <c r="E419" i="12"/>
  <c r="E421" i="12"/>
  <c r="E423" i="12"/>
  <c r="E425" i="12"/>
  <c r="E422" i="38"/>
  <c r="E422" i="139"/>
  <c r="E417" i="12"/>
  <c r="E426" i="38"/>
  <c r="E426" i="139"/>
  <c r="E426" i="138"/>
  <c r="E426" i="39"/>
  <c r="E425" i="39"/>
  <c r="E425" i="38"/>
  <c r="E425" i="138"/>
  <c r="E425" i="139"/>
  <c r="E423" i="13"/>
  <c r="E418" i="10"/>
  <c r="B234" i="79"/>
  <c r="E417" i="137"/>
  <c r="E417" i="39"/>
  <c r="E418" i="139"/>
  <c r="E424" i="100"/>
  <c r="E88" i="75"/>
  <c r="E419" i="10"/>
  <c r="E423" i="10"/>
  <c r="E425" i="10"/>
  <c r="E421" i="10"/>
  <c r="E417" i="10"/>
  <c r="E419" i="15"/>
  <c r="E418" i="15"/>
  <c r="E421" i="15"/>
  <c r="E420" i="15"/>
  <c r="E417" i="15"/>
  <c r="E422" i="15"/>
  <c r="E417" i="71"/>
  <c r="E419" i="70"/>
  <c r="E424" i="70"/>
  <c r="E421" i="70"/>
  <c r="E420" i="70"/>
  <c r="E425" i="70"/>
  <c r="E427" i="70"/>
  <c r="E418" i="70"/>
  <c r="E422" i="70"/>
  <c r="E423" i="70"/>
  <c r="E417" i="70"/>
  <c r="E426" i="70"/>
  <c r="E428" i="70"/>
  <c r="E419" i="71"/>
  <c r="E421" i="71"/>
  <c r="E422" i="71"/>
  <c r="E420" i="71"/>
  <c r="E418" i="71"/>
  <c r="E421" i="29"/>
  <c r="E420" i="29"/>
  <c r="E419" i="82"/>
  <c r="E418" i="82"/>
  <c r="E419" i="29"/>
  <c r="E417" i="29"/>
  <c r="E421" i="82"/>
  <c r="E420" i="82"/>
  <c r="E417" i="82"/>
  <c r="E421" i="99"/>
  <c r="E418" i="99"/>
  <c r="E424" i="99"/>
  <c r="E422" i="99"/>
  <c r="E425" i="99"/>
  <c r="E423" i="99"/>
  <c r="E419" i="99"/>
  <c r="E428" i="99"/>
  <c r="E427" i="99"/>
  <c r="E426" i="99"/>
  <c r="E417" i="99"/>
  <c r="E418" i="29"/>
  <c r="E422" i="29"/>
  <c r="E422" i="82"/>
  <c r="E418" i="100"/>
  <c r="E421" i="100"/>
  <c r="E420" i="100"/>
  <c r="E422" i="100"/>
  <c r="E417" i="100"/>
  <c r="E419" i="100"/>
  <c r="E417" i="31"/>
  <c r="E421" i="23"/>
  <c r="E420" i="31"/>
  <c r="E422" i="23"/>
  <c r="E421" i="31"/>
  <c r="E422" i="31"/>
  <c r="E420" i="23"/>
  <c r="E418" i="31"/>
  <c r="E419" i="31"/>
  <c r="E425" i="100"/>
  <c r="E428" i="100"/>
  <c r="E426" i="100"/>
  <c r="E423" i="100"/>
  <c r="E428" i="31"/>
  <c r="E426" i="31"/>
  <c r="E425" i="31"/>
  <c r="E425" i="15"/>
  <c r="E426" i="15"/>
  <c r="E428" i="15"/>
  <c r="E424" i="31"/>
  <c r="E423" i="31"/>
  <c r="E425" i="23"/>
  <c r="E426" i="23"/>
  <c r="E428" i="23"/>
  <c r="E423" i="15"/>
  <c r="E424" i="15"/>
  <c r="E426" i="82"/>
  <c r="E425" i="82"/>
  <c r="E428" i="82"/>
  <c r="E425" i="29"/>
  <c r="E426" i="29"/>
  <c r="E428" i="29"/>
  <c r="E427" i="29"/>
  <c r="E424" i="23"/>
  <c r="E423" i="23"/>
  <c r="E424" i="82"/>
  <c r="E423" i="82"/>
  <c r="E423" i="29"/>
  <c r="E424" i="29"/>
  <c r="E427" i="71"/>
  <c r="E428" i="71"/>
  <c r="E425" i="71"/>
  <c r="E426" i="71"/>
  <c r="E423" i="71"/>
  <c r="E424" i="71"/>
  <c r="B68" i="79"/>
  <c r="D71" i="79" s="1"/>
  <c r="E71" i="79" s="1"/>
  <c r="E74" i="79" s="1"/>
  <c r="E72" i="75"/>
  <c r="E34" i="75"/>
  <c r="E427" i="137"/>
  <c r="C41" i="114" a="1"/>
  <c r="C41" i="114" s="1"/>
  <c r="B189" i="79"/>
  <c r="D192" i="79" s="1"/>
  <c r="E70" i="75"/>
  <c r="C49" i="114" a="1"/>
  <c r="C49" i="114" s="1"/>
  <c r="B7" i="114" a="1"/>
  <c r="B7" i="114" s="1"/>
  <c r="B18" i="114" s="1"/>
  <c r="H15" i="114" s="1"/>
  <c r="F129" i="62"/>
  <c r="E7" i="114" a="1"/>
  <c r="E7" i="114" s="1"/>
  <c r="E12" i="114" s="1"/>
  <c r="H10" i="114" s="1"/>
  <c r="B53" i="114" a="1"/>
  <c r="B53" i="114" s="1"/>
  <c r="C53" i="114" a="1"/>
  <c r="C53" i="114" s="1"/>
  <c r="D7" i="114" a="1"/>
  <c r="D7" i="114" s="1"/>
  <c r="B49" i="114" a="1"/>
  <c r="B49" i="114" s="1"/>
  <c r="C7" i="114" a="1"/>
  <c r="C7" i="114" s="1"/>
  <c r="B46" i="114" a="1"/>
  <c r="B46" i="114" s="1"/>
  <c r="C46" i="114" a="1"/>
  <c r="C46" i="114" s="1"/>
  <c r="C37" i="114" a="1"/>
  <c r="C37" i="114" s="1"/>
  <c r="B37" i="114" a="1"/>
  <c r="B37" i="114" s="1"/>
  <c r="B45" i="114" a="1"/>
  <c r="B45" i="114" s="1"/>
  <c r="C45" i="114" a="1"/>
  <c r="C45" i="114" s="1"/>
  <c r="C33" i="114" a="1"/>
  <c r="C33" i="114" s="1"/>
  <c r="B33" i="114" a="1"/>
  <c r="B33" i="114" s="1"/>
  <c r="B41" i="114" a="1"/>
  <c r="B41" i="114" s="1"/>
  <c r="I129" i="62" a="1"/>
  <c r="I129" i="62" s="1"/>
  <c r="J129" i="62" a="1"/>
  <c r="J129" i="62" s="1"/>
  <c r="K129" i="62" a="1"/>
  <c r="K129" i="62" s="1"/>
  <c r="L129" i="62" a="1"/>
  <c r="L129" i="62" s="1"/>
  <c r="M129" i="62" a="1"/>
  <c r="M129" i="62" s="1"/>
  <c r="AE417" i="9"/>
  <c r="BQ417" i="9"/>
  <c r="E425" i="72"/>
  <c r="E52" i="75"/>
  <c r="E427" i="134"/>
  <c r="E427" i="13"/>
  <c r="E429" i="13"/>
  <c r="E432" i="13"/>
  <c r="E433" i="11"/>
  <c r="E424" i="72"/>
  <c r="AE424" i="9"/>
  <c r="BQ424" i="9"/>
  <c r="AE431" i="9"/>
  <c r="BQ431" i="9" s="1"/>
  <c r="E430" i="128"/>
  <c r="E430" i="72"/>
  <c r="AE418" i="9"/>
  <c r="BQ418" i="9" s="1"/>
  <c r="AE436" i="9"/>
  <c r="BQ436" i="9" s="1"/>
  <c r="E417" i="72"/>
  <c r="E385" i="72"/>
  <c r="B149" i="79"/>
  <c r="D152" i="79" s="1"/>
  <c r="E152" i="79" s="1"/>
  <c r="E156" i="79" s="1"/>
  <c r="E425" i="128"/>
  <c r="E418" i="72"/>
  <c r="E418" i="128"/>
  <c r="AE421" i="9"/>
  <c r="BQ421" i="9"/>
  <c r="E421" i="128"/>
  <c r="AE383" i="9"/>
  <c r="BQ383" i="9" s="1"/>
  <c r="E417" i="128"/>
  <c r="AE394" i="9"/>
  <c r="BQ394" i="9" s="1"/>
  <c r="E419" i="72"/>
  <c r="AE419" i="9"/>
  <c r="BQ419" i="9"/>
  <c r="E419" i="128"/>
  <c r="AE354" i="9"/>
  <c r="BQ354" i="9"/>
  <c r="AE380" i="9"/>
  <c r="BQ380" i="9" s="1"/>
  <c r="AE372" i="9"/>
  <c r="BQ372" i="9"/>
  <c r="AE405" i="9"/>
  <c r="BQ405" i="9"/>
  <c r="E382" i="72"/>
  <c r="AE432" i="9"/>
  <c r="BQ432" i="9" s="1"/>
  <c r="AE391" i="9"/>
  <c r="BQ391" i="9" s="1"/>
  <c r="E365" i="72"/>
  <c r="AE358" i="9"/>
  <c r="BQ358" i="9"/>
  <c r="AE400" i="9"/>
  <c r="BQ400" i="9" s="1"/>
  <c r="AE433" i="9"/>
  <c r="BQ433" i="9"/>
  <c r="E363" i="72"/>
  <c r="E377" i="72"/>
  <c r="AE377" i="9"/>
  <c r="BQ377" i="9"/>
  <c r="E395" i="72"/>
  <c r="AE371" i="9"/>
  <c r="BQ371" i="9"/>
  <c r="E348" i="72"/>
  <c r="E405" i="72"/>
  <c r="AE362" i="9"/>
  <c r="BQ362" i="9"/>
  <c r="AE368" i="9"/>
  <c r="BQ368" i="9"/>
  <c r="E368" i="72"/>
  <c r="E386" i="72"/>
  <c r="AE361" i="9"/>
  <c r="BQ361" i="9" s="1"/>
  <c r="E352" i="72"/>
  <c r="AE352" i="9"/>
  <c r="BQ352" i="9" s="1"/>
  <c r="E351" i="72"/>
  <c r="AE351" i="9"/>
  <c r="BQ351" i="9" s="1"/>
  <c r="E350" i="72"/>
  <c r="AE350" i="9"/>
  <c r="BQ350" i="9"/>
  <c r="E349" i="72"/>
  <c r="AE349" i="9"/>
  <c r="BQ349" i="9"/>
  <c r="E345" i="72"/>
  <c r="E404" i="128"/>
  <c r="E404" i="72"/>
  <c r="E387" i="72"/>
  <c r="AE429" i="9"/>
  <c r="BQ429" i="9"/>
  <c r="AE425" i="9"/>
  <c r="BQ425" i="9"/>
  <c r="AE426" i="9"/>
  <c r="BQ426" i="9" s="1"/>
  <c r="E426" i="128"/>
  <c r="E415" i="72"/>
  <c r="AE415" i="9"/>
  <c r="BQ415" i="9"/>
  <c r="E416" i="72"/>
  <c r="AE416" i="9"/>
  <c r="BQ416" i="9"/>
  <c r="AE355" i="9"/>
  <c r="BQ355" i="9" s="1"/>
  <c r="AE364" i="9"/>
  <c r="BQ364" i="9"/>
  <c r="E364" i="72"/>
  <c r="AE356" i="9"/>
  <c r="BQ356" i="9"/>
  <c r="AE408" i="9"/>
  <c r="BQ408" i="9" s="1"/>
  <c r="E408" i="128"/>
  <c r="AE420" i="9"/>
  <c r="BQ420" i="9"/>
  <c r="E420" i="72"/>
  <c r="E420" i="128"/>
  <c r="AE392" i="9"/>
  <c r="BQ392" i="9"/>
  <c r="E392" i="72"/>
  <c r="E370" i="72"/>
  <c r="AE370" i="9"/>
  <c r="BQ370" i="9"/>
  <c r="E396" i="72"/>
  <c r="E369" i="72"/>
  <c r="AE369" i="9"/>
  <c r="BQ369" i="9"/>
  <c r="E357" i="72"/>
  <c r="AE357" i="9"/>
  <c r="BQ357" i="9" s="1"/>
  <c r="AE353" i="9"/>
  <c r="BQ353" i="9"/>
  <c r="E353" i="72"/>
  <c r="E412" i="128"/>
  <c r="AE412" i="9"/>
  <c r="BQ412" i="9"/>
  <c r="E412" i="72"/>
  <c r="E390" i="72"/>
  <c r="E373" i="72"/>
  <c r="E379" i="72"/>
  <c r="AE428" i="9"/>
  <c r="BQ428" i="9" s="1"/>
  <c r="E428" i="128"/>
  <c r="E428" i="72"/>
  <c r="E424" i="128"/>
  <c r="E367" i="72"/>
  <c r="AE403" i="9"/>
  <c r="BQ403" i="9"/>
  <c r="E403" i="72"/>
  <c r="E376" i="72"/>
  <c r="AE376" i="9"/>
  <c r="BQ376" i="9"/>
  <c r="AE406" i="9"/>
  <c r="BQ406" i="9" s="1"/>
  <c r="E406" i="128"/>
  <c r="E406" i="72"/>
  <c r="AE414" i="9"/>
  <c r="BQ414" i="9"/>
  <c r="E414" i="72"/>
  <c r="E414" i="128"/>
  <c r="AE384" i="9"/>
  <c r="BQ384" i="9" s="1"/>
  <c r="E384" i="72"/>
  <c r="AE378" i="9"/>
  <c r="BQ378" i="9" s="1"/>
  <c r="E378" i="72"/>
  <c r="E407" i="72"/>
  <c r="AE407" i="9"/>
  <c r="BQ407" i="9"/>
  <c r="AE389" i="9"/>
  <c r="BQ389" i="9"/>
  <c r="E389" i="72"/>
  <c r="AE401" i="9"/>
  <c r="BQ401" i="9"/>
  <c r="E401" i="72"/>
  <c r="AE388" i="9"/>
  <c r="BQ388" i="9"/>
  <c r="E409" i="72"/>
  <c r="E409" i="128"/>
  <c r="AE402" i="9"/>
  <c r="BQ402" i="9" s="1"/>
  <c r="E402" i="128"/>
  <c r="E407" i="128"/>
  <c r="E347" i="72"/>
  <c r="AE347" i="9"/>
  <c r="BQ347" i="9"/>
  <c r="AE366" i="9"/>
  <c r="BQ366" i="9" s="1"/>
  <c r="E366" i="72"/>
  <c r="AE359" i="9"/>
  <c r="BQ359" i="9" s="1"/>
  <c r="E359" i="72"/>
  <c r="F402" i="91" a="1"/>
  <c r="F402" i="91" s="1"/>
  <c r="E397" i="72"/>
  <c r="AE397" i="9"/>
  <c r="BQ397" i="9" s="1"/>
  <c r="E381" i="72"/>
  <c r="E408" i="72"/>
  <c r="AE374" i="9"/>
  <c r="BQ374" i="9" s="1"/>
  <c r="AE437" i="9"/>
  <c r="BQ437" i="9"/>
  <c r="AE422" i="9"/>
  <c r="BQ422" i="9" s="1"/>
  <c r="E422" i="128"/>
  <c r="E422" i="72"/>
  <c r="E423" i="72"/>
  <c r="E423" i="128"/>
  <c r="AE423" i="9"/>
  <c r="BQ423" i="9"/>
  <c r="E413" i="72"/>
  <c r="AE413" i="9"/>
  <c r="BQ413" i="9" s="1"/>
  <c r="AE346" i="9"/>
  <c r="BQ346" i="9" s="1"/>
  <c r="F403" i="91" a="1"/>
  <c r="F403" i="91" s="1"/>
  <c r="G403" i="91" s="1"/>
  <c r="E346" i="72"/>
  <c r="E410" i="72"/>
  <c r="E410" i="128"/>
  <c r="AE410" i="9"/>
  <c r="BQ410" i="9" s="1"/>
  <c r="E393" i="72"/>
  <c r="F401" i="91" a="1"/>
  <c r="F401" i="91" s="1"/>
  <c r="AE393" i="9"/>
  <c r="BQ393" i="9" s="1"/>
  <c r="E375" i="72"/>
  <c r="AE375" i="9"/>
  <c r="BQ375" i="9" s="1"/>
  <c r="E360" i="72"/>
  <c r="AE360" i="9"/>
  <c r="BQ360" i="9"/>
  <c r="AE398" i="9"/>
  <c r="BQ398" i="9"/>
  <c r="E398" i="128"/>
  <c r="AE411" i="9"/>
  <c r="BQ411" i="9" s="1"/>
  <c r="E411" i="128"/>
  <c r="E399" i="72"/>
  <c r="E399" i="128"/>
  <c r="AE409" i="9"/>
  <c r="BQ409" i="9" s="1"/>
  <c r="E400" i="72"/>
  <c r="E403" i="128"/>
  <c r="E400" i="128"/>
  <c r="E56" i="75"/>
  <c r="E86" i="75"/>
  <c r="E91" i="75"/>
  <c r="E13" i="75"/>
  <c r="E425" i="143"/>
  <c r="Y134" i="92"/>
  <c r="Y115" i="92"/>
  <c r="Y84" i="92"/>
  <c r="E449" i="98"/>
  <c r="E452" i="49"/>
  <c r="E430" i="49"/>
  <c r="E438" i="49"/>
  <c r="AB114" i="92"/>
  <c r="E422" i="97"/>
  <c r="E422" i="98"/>
  <c r="E422" i="49"/>
  <c r="Y254" i="92"/>
  <c r="AB251" i="92"/>
  <c r="G246" i="92"/>
  <c r="Y201" i="92"/>
  <c r="G135" i="92"/>
  <c r="E421" i="98"/>
  <c r="BH53" i="76"/>
  <c r="F46" i="127"/>
  <c r="R295" i="92"/>
  <c r="AB150" i="92"/>
  <c r="L35" i="127"/>
  <c r="BH74" i="76"/>
  <c r="CN90" i="76"/>
  <c r="E433" i="98"/>
  <c r="E433" i="49"/>
  <c r="AB173" i="92"/>
  <c r="E428" i="97"/>
  <c r="E428" i="98"/>
  <c r="E428" i="49"/>
  <c r="BZ418" i="9"/>
  <c r="Y272" i="92"/>
  <c r="K263" i="92"/>
  <c r="E436" i="98"/>
  <c r="E445" i="49"/>
  <c r="E426" i="98"/>
  <c r="BH68" i="76"/>
  <c r="D70" i="127"/>
  <c r="M70" i="127" s="1"/>
  <c r="E415" i="97"/>
  <c r="F52" i="75"/>
  <c r="D88" i="92"/>
  <c r="D171" i="92"/>
  <c r="D169" i="92"/>
  <c r="Y116" i="92"/>
  <c r="BD419" i="9"/>
  <c r="BH45" i="76"/>
  <c r="CL104" i="76"/>
  <c r="BE419" i="9"/>
  <c r="D21" i="127"/>
  <c r="M21" i="127"/>
  <c r="BV118" i="76"/>
  <c r="G200" i="92"/>
  <c r="E441" i="49"/>
  <c r="D19" i="127"/>
  <c r="E416" i="98"/>
  <c r="E416" i="49"/>
  <c r="E429" i="49"/>
  <c r="E429" i="98"/>
  <c r="CL57" i="76"/>
  <c r="R328" i="92"/>
  <c r="G250" i="92"/>
  <c r="Y316" i="92"/>
  <c r="E450" i="49"/>
  <c r="AB103" i="92"/>
  <c r="AB154" i="92"/>
  <c r="H104" i="75"/>
  <c r="BK87" i="76"/>
  <c r="CL74" i="76"/>
  <c r="D232" i="92"/>
  <c r="R334" i="92"/>
  <c r="D253" i="92"/>
  <c r="K212" i="92"/>
  <c r="D296" i="92"/>
  <c r="Y117" i="92"/>
  <c r="CP43" i="76"/>
  <c r="CC99" i="76"/>
  <c r="L29" i="127"/>
  <c r="E432" i="98"/>
  <c r="E432" i="49"/>
  <c r="H21" i="75"/>
  <c r="BR72" i="76"/>
  <c r="N242" i="92"/>
  <c r="Y145" i="92"/>
  <c r="AB241" i="92"/>
  <c r="D97" i="92"/>
  <c r="E437" i="98"/>
  <c r="CN66" i="76"/>
  <c r="CO66" i="76"/>
  <c r="CC79" i="76"/>
  <c r="D37" i="127"/>
  <c r="M37" i="127" s="1"/>
  <c r="CJ48" i="76"/>
  <c r="CC119" i="76"/>
  <c r="E424" i="98"/>
  <c r="BV129" i="76"/>
  <c r="E364" i="98"/>
  <c r="K234" i="92"/>
  <c r="G266" i="92"/>
  <c r="E438" i="98"/>
  <c r="AB151" i="92"/>
  <c r="AB101" i="92"/>
  <c r="E441" i="98"/>
  <c r="L14" i="75"/>
  <c r="CA101" i="76"/>
  <c r="E380" i="49"/>
  <c r="E427" i="145"/>
  <c r="AB171" i="92"/>
  <c r="AB97" i="92"/>
  <c r="Y133" i="92"/>
  <c r="D73" i="92"/>
  <c r="E429" i="31"/>
  <c r="E438" i="160"/>
  <c r="E432" i="158"/>
  <c r="E456" i="157"/>
  <c r="CO69" i="76"/>
  <c r="CJ32" i="76"/>
  <c r="CK32" i="76"/>
  <c r="E427" i="97"/>
  <c r="E427" i="49"/>
  <c r="BS73" i="76"/>
  <c r="CK51" i="76"/>
  <c r="CC74" i="76"/>
  <c r="CD74" i="76"/>
  <c r="CC95" i="76"/>
  <c r="CK36" i="76"/>
  <c r="H75" i="75"/>
  <c r="H68" i="127"/>
  <c r="H41" i="75"/>
  <c r="H37" i="127"/>
  <c r="D254" i="92"/>
  <c r="AB138" i="92"/>
  <c r="AB136" i="92"/>
  <c r="AB135" i="92"/>
  <c r="AB133" i="92"/>
  <c r="AB131" i="92"/>
  <c r="U293" i="92"/>
  <c r="E406" i="97"/>
  <c r="E421" i="97"/>
  <c r="E421" i="49"/>
  <c r="G152" i="92"/>
  <c r="N330" i="92"/>
  <c r="Y171" i="92"/>
  <c r="AB160" i="92"/>
  <c r="D91" i="92"/>
  <c r="D308" i="92"/>
  <c r="N244" i="92"/>
  <c r="Y225" i="92"/>
  <c r="AB224" i="92"/>
  <c r="D224" i="92"/>
  <c r="G142" i="92"/>
  <c r="BZ428" i="9"/>
  <c r="BZ437" i="9"/>
  <c r="BZ444" i="9"/>
  <c r="E449" i="49"/>
  <c r="AB319" i="92"/>
  <c r="D302" i="92"/>
  <c r="G213" i="92"/>
  <c r="D187" i="92"/>
  <c r="Y114" i="92"/>
  <c r="E454" i="49"/>
  <c r="BZ433" i="9"/>
  <c r="CK83" i="76"/>
  <c r="G138" i="92"/>
  <c r="E435" i="98"/>
  <c r="AB161" i="92"/>
  <c r="E424" i="49"/>
  <c r="E448" i="49"/>
  <c r="E444" i="49"/>
  <c r="D413" i="83" a="1"/>
  <c r="D413" i="83"/>
  <c r="K311" i="92"/>
  <c r="Y172" i="92"/>
  <c r="Y106" i="92"/>
  <c r="D103" i="92"/>
  <c r="D175" i="92"/>
  <c r="E446" i="49"/>
  <c r="E442" i="98"/>
  <c r="D214" i="92"/>
  <c r="N259" i="92"/>
  <c r="D184" i="92"/>
  <c r="D111" i="92"/>
  <c r="D203" i="92"/>
  <c r="Y190" i="92"/>
  <c r="Y139" i="92"/>
  <c r="U322" i="92"/>
  <c r="AB100" i="92"/>
  <c r="Y75" i="92"/>
  <c r="D83" i="92"/>
  <c r="E457" i="134"/>
  <c r="E419" i="97"/>
  <c r="E419" i="98"/>
  <c r="E419" i="49"/>
  <c r="D208" i="92"/>
  <c r="D207" i="92"/>
  <c r="E418" i="98"/>
  <c r="CD49" i="76"/>
  <c r="E418" i="49"/>
  <c r="L68" i="127"/>
  <c r="E420" i="49"/>
  <c r="E420" i="98"/>
  <c r="E427" i="98"/>
  <c r="E365" i="98"/>
  <c r="L69" i="127"/>
  <c r="E420" i="97"/>
  <c r="BK90" i="76"/>
  <c r="D313" i="92"/>
  <c r="D161" i="92"/>
  <c r="G144" i="92"/>
  <c r="D186" i="92"/>
  <c r="D185" i="92"/>
  <c r="D147" i="92"/>
  <c r="D146" i="92"/>
  <c r="BZ445" i="9"/>
  <c r="AB211" i="92"/>
  <c r="E452" i="98"/>
  <c r="D206" i="92"/>
  <c r="AB153" i="92"/>
  <c r="AB152" i="92"/>
  <c r="Y147" i="92"/>
  <c r="G143" i="92"/>
  <c r="D100" i="92"/>
  <c r="E439" i="49"/>
  <c r="K274" i="92"/>
  <c r="Y221" i="92"/>
  <c r="Y101" i="92"/>
  <c r="CK79" i="76"/>
  <c r="BH67" i="76"/>
  <c r="E408" i="98"/>
  <c r="E395" i="98"/>
  <c r="BV96" i="76"/>
  <c r="E457" i="129"/>
  <c r="E457" i="161"/>
  <c r="D75" i="75"/>
  <c r="M75" i="75"/>
  <c r="CK33" i="76"/>
  <c r="BZ315" i="9"/>
  <c r="H20" i="75"/>
  <c r="H20" i="127"/>
  <c r="CL116" i="76"/>
  <c r="CD114" i="76"/>
  <c r="CK84" i="76"/>
  <c r="CO74" i="76"/>
  <c r="E425" i="49"/>
  <c r="F51" i="75"/>
  <c r="E374" i="49"/>
  <c r="E374" i="98"/>
  <c r="R241" i="92"/>
  <c r="E457" i="49"/>
  <c r="N318" i="92"/>
  <c r="U267" i="92"/>
  <c r="AB189" i="92"/>
  <c r="D85" i="92"/>
  <c r="D364" i="92"/>
  <c r="D165" i="92"/>
  <c r="D134" i="92"/>
  <c r="D106" i="92"/>
  <c r="Y91" i="92"/>
  <c r="Y86" i="92"/>
  <c r="R280" i="92"/>
  <c r="Y102" i="92"/>
  <c r="Y107" i="92"/>
  <c r="E457" i="98"/>
  <c r="BZ416" i="9"/>
  <c r="E366" i="49"/>
  <c r="BW127" i="76"/>
  <c r="BZ123" i="76"/>
  <c r="BK46" i="76"/>
  <c r="CO67" i="76"/>
  <c r="E368" i="98"/>
  <c r="E375" i="49"/>
  <c r="E368" i="97"/>
  <c r="CK68" i="76"/>
  <c r="CJ68" i="76"/>
  <c r="CD94" i="76"/>
  <c r="E403" i="98"/>
  <c r="G184" i="92"/>
  <c r="AB134" i="92"/>
  <c r="AB110" i="92"/>
  <c r="BZ372" i="9"/>
  <c r="E379" i="98"/>
  <c r="BH44" i="76"/>
  <c r="E379" i="97"/>
  <c r="E427" i="39"/>
  <c r="E427" i="31"/>
  <c r="E432" i="159"/>
  <c r="E427" i="100"/>
  <c r="E427" i="122"/>
  <c r="E427" i="12"/>
  <c r="E448" i="162"/>
  <c r="E453" i="166"/>
  <c r="CL82" i="76"/>
  <c r="CO99" i="76"/>
  <c r="CD84" i="76"/>
  <c r="CL61" i="76"/>
  <c r="CN52" i="76"/>
  <c r="CO52" i="76"/>
  <c r="CC63" i="76"/>
  <c r="CC110" i="76"/>
  <c r="CK38" i="76"/>
  <c r="CJ38" i="76"/>
  <c r="BV113" i="76"/>
  <c r="CL85" i="76"/>
  <c r="CJ85" i="76"/>
  <c r="BH78" i="76"/>
  <c r="BV123" i="76"/>
  <c r="CK104" i="76"/>
  <c r="CJ104" i="76"/>
  <c r="BH69" i="76"/>
  <c r="U297" i="92"/>
  <c r="CC106" i="76"/>
  <c r="CJ96" i="76"/>
  <c r="CK96" i="76"/>
  <c r="U380" i="92"/>
  <c r="K332" i="92"/>
  <c r="Y327" i="92"/>
  <c r="AB257" i="92"/>
  <c r="AB230" i="92"/>
  <c r="K247" i="92"/>
  <c r="G230" i="92"/>
  <c r="Y231" i="92"/>
  <c r="G193" i="92"/>
  <c r="D124" i="92"/>
  <c r="D148" i="92"/>
  <c r="Y136" i="92"/>
  <c r="G111" i="92"/>
  <c r="Y122" i="92"/>
  <c r="Y99" i="92"/>
  <c r="G113" i="92"/>
  <c r="H93" i="75"/>
  <c r="H85" i="127"/>
  <c r="E456" i="49"/>
  <c r="CL62" i="76"/>
  <c r="BJ46" i="76"/>
  <c r="CJ99" i="76"/>
  <c r="E410" i="49"/>
  <c r="CK89" i="76"/>
  <c r="BK72" i="76"/>
  <c r="E426" i="49"/>
  <c r="BH81" i="76"/>
  <c r="BZ241" i="9"/>
  <c r="CJ62" i="76"/>
  <c r="L78" i="75"/>
  <c r="CL58" i="76"/>
  <c r="E400" i="98"/>
  <c r="E400" i="97"/>
  <c r="E388" i="98"/>
  <c r="Y286" i="92"/>
  <c r="E434" i="98"/>
  <c r="E434" i="49"/>
  <c r="CD65" i="76"/>
  <c r="CC65" i="76"/>
  <c r="CJ29" i="76"/>
  <c r="CK29" i="76"/>
  <c r="E457" i="31"/>
  <c r="N272" i="92"/>
  <c r="CJ61" i="76"/>
  <c r="E365" i="49"/>
  <c r="E431" i="49"/>
  <c r="CJ57" i="76"/>
  <c r="E425" i="98"/>
  <c r="E389" i="49"/>
  <c r="E389" i="97"/>
  <c r="E389" i="98"/>
  <c r="E364" i="49"/>
  <c r="E364" i="97"/>
  <c r="E457" i="71"/>
  <c r="BK64" i="76"/>
  <c r="BH64" i="76"/>
  <c r="CO98" i="76"/>
  <c r="CN98" i="76"/>
  <c r="BJ42" i="76"/>
  <c r="H39" i="75"/>
  <c r="G190" i="92"/>
  <c r="BZ438" i="9"/>
  <c r="D260" i="92"/>
  <c r="K241" i="92"/>
  <c r="K237" i="92"/>
  <c r="Y236" i="92"/>
  <c r="D192" i="92"/>
  <c r="G186" i="92"/>
  <c r="G185" i="92"/>
  <c r="G183" i="92"/>
  <c r="E442" i="49"/>
  <c r="E458" i="98"/>
  <c r="E462" i="49"/>
  <c r="Y188" i="92"/>
  <c r="Y186" i="92"/>
  <c r="Y184" i="92"/>
  <c r="Y182" i="92"/>
  <c r="Y180" i="92"/>
  <c r="AB165" i="92"/>
  <c r="G130" i="92"/>
  <c r="Y128" i="92"/>
  <c r="BZ429" i="9"/>
  <c r="K270" i="92"/>
  <c r="AB267" i="92"/>
  <c r="N267" i="92"/>
  <c r="N261" i="92"/>
  <c r="R248" i="92"/>
  <c r="D248" i="92"/>
  <c r="K246" i="92"/>
  <c r="AB231" i="92"/>
  <c r="D231" i="92"/>
  <c r="Y161" i="92"/>
  <c r="Y160" i="92"/>
  <c r="D144" i="92"/>
  <c r="G118" i="92"/>
  <c r="G96" i="92"/>
  <c r="G94" i="92"/>
  <c r="E453" i="49"/>
  <c r="Y357" i="92"/>
  <c r="D304" i="92"/>
  <c r="G296" i="92"/>
  <c r="R283" i="92"/>
  <c r="D283" i="92"/>
  <c r="U273" i="92"/>
  <c r="U271" i="92"/>
  <c r="AB194" i="92"/>
  <c r="G162" i="92"/>
  <c r="G161" i="92"/>
  <c r="G160" i="92"/>
  <c r="E456" i="98"/>
  <c r="D245" i="92"/>
  <c r="Y242" i="92"/>
  <c r="AB234" i="92"/>
  <c r="D234" i="92"/>
  <c r="Y228" i="92"/>
  <c r="D223" i="92"/>
  <c r="K221" i="92"/>
  <c r="D212" i="92"/>
  <c r="D211" i="92"/>
  <c r="D210" i="92"/>
  <c r="G202" i="92"/>
  <c r="Y197" i="92"/>
  <c r="Y192" i="92"/>
  <c r="D113" i="92"/>
  <c r="E439" i="98"/>
  <c r="E440" i="98"/>
  <c r="N299" i="92"/>
  <c r="G268" i="92"/>
  <c r="D242" i="92"/>
  <c r="G239" i="92"/>
  <c r="R238" i="92"/>
  <c r="AB236" i="92"/>
  <c r="AB233" i="92"/>
  <c r="AB226" i="92"/>
  <c r="BZ426" i="9"/>
  <c r="E458" i="49"/>
  <c r="BZ316" i="9"/>
  <c r="Y268" i="92"/>
  <c r="CO86" i="76"/>
  <c r="BV102" i="76"/>
  <c r="E407" i="49"/>
  <c r="U313" i="92"/>
  <c r="CD131" i="76"/>
  <c r="H84" i="127"/>
  <c r="H92" i="75"/>
  <c r="CC129" i="76"/>
  <c r="CL55" i="76"/>
  <c r="E380" i="98"/>
  <c r="CL80" i="76"/>
  <c r="CD52" i="76"/>
  <c r="CC52" i="76"/>
  <c r="Y302" i="92"/>
  <c r="BE417" i="9"/>
  <c r="BD417" i="9"/>
  <c r="BK54" i="76"/>
  <c r="G255" i="92"/>
  <c r="H69" i="127"/>
  <c r="H53" i="127"/>
  <c r="CJ76" i="76"/>
  <c r="CL76" i="76"/>
  <c r="CD75" i="76"/>
  <c r="CC75" i="76"/>
  <c r="K380" i="92"/>
  <c r="K329" i="92"/>
  <c r="CC132" i="76"/>
  <c r="CD132" i="76"/>
  <c r="CD135" i="76"/>
  <c r="BP104" i="76"/>
  <c r="F17" i="127"/>
  <c r="E457" i="148"/>
  <c r="BK51" i="76"/>
  <c r="BH51" i="76"/>
  <c r="D270" i="92"/>
  <c r="BD418" i="9"/>
  <c r="BE418" i="9"/>
  <c r="E457" i="158"/>
  <c r="E382" i="98"/>
  <c r="CJ55" i="76"/>
  <c r="E412" i="97"/>
  <c r="Y167" i="92"/>
  <c r="Y166" i="92"/>
  <c r="Y83" i="92"/>
  <c r="AB300" i="92"/>
  <c r="K285" i="92"/>
  <c r="Y205" i="92"/>
  <c r="Y204" i="92"/>
  <c r="G176" i="92"/>
  <c r="G173" i="92"/>
  <c r="K298" i="92"/>
  <c r="N237" i="92"/>
  <c r="AB215" i="92"/>
  <c r="D164" i="92"/>
  <c r="BD375" i="9"/>
  <c r="BE375" i="9" s="1"/>
  <c r="AB164" i="92"/>
  <c r="K391" i="92"/>
  <c r="N316" i="92"/>
  <c r="D316" i="92"/>
  <c r="K314" i="92"/>
  <c r="D229" i="92"/>
  <c r="AB225" i="92"/>
  <c r="G192" i="92"/>
  <c r="G191" i="92"/>
  <c r="N334" i="92"/>
  <c r="U332" i="92"/>
  <c r="Y328" i="92"/>
  <c r="U314" i="92"/>
  <c r="AB312" i="92"/>
  <c r="N312" i="92"/>
  <c r="R310" i="92"/>
  <c r="D299" i="92"/>
  <c r="AB286" i="92"/>
  <c r="G232" i="92"/>
  <c r="K231" i="92"/>
  <c r="G219" i="92"/>
  <c r="G211" i="92"/>
  <c r="Y174" i="92"/>
  <c r="G98" i="92"/>
  <c r="D330" i="92"/>
  <c r="G327" i="92"/>
  <c r="U326" i="92"/>
  <c r="R318" i="92"/>
  <c r="D318" i="92"/>
  <c r="R306" i="92"/>
  <c r="Y299" i="92"/>
  <c r="D297" i="92"/>
  <c r="R261" i="92"/>
  <c r="N243" i="92"/>
  <c r="Y232" i="92"/>
  <c r="K223" i="92"/>
  <c r="G217" i="92"/>
  <c r="K216" i="92"/>
  <c r="Y215" i="92"/>
  <c r="Y193" i="92"/>
  <c r="AB191" i="92"/>
  <c r="Y130" i="92"/>
  <c r="K286" i="92"/>
  <c r="AB243" i="92"/>
  <c r="AB205" i="92"/>
  <c r="AB182" i="92"/>
  <c r="D151" i="92"/>
  <c r="AB106" i="92"/>
  <c r="D75" i="92"/>
  <c r="E455" i="49"/>
  <c r="AB337" i="92"/>
  <c r="G300" i="92"/>
  <c r="K293" i="92"/>
  <c r="R266" i="92"/>
  <c r="Y258" i="92"/>
  <c r="G257" i="92"/>
  <c r="D256" i="92"/>
  <c r="R250" i="92"/>
  <c r="D246" i="92"/>
  <c r="AB244" i="92"/>
  <c r="AB176" i="92"/>
  <c r="AB174" i="92"/>
  <c r="D168" i="92"/>
  <c r="G163" i="92"/>
  <c r="Y162" i="92"/>
  <c r="E447" i="49"/>
  <c r="AB156" i="92"/>
  <c r="G131" i="92"/>
  <c r="AB112" i="92"/>
  <c r="Y89" i="92"/>
  <c r="D80" i="92"/>
  <c r="E444" i="98"/>
  <c r="Y150" i="92"/>
  <c r="Y148" i="92"/>
  <c r="AB146" i="92"/>
  <c r="AB144" i="92"/>
  <c r="D135" i="92"/>
  <c r="D133" i="92"/>
  <c r="D132" i="92"/>
  <c r="G127" i="92"/>
  <c r="G125" i="92"/>
  <c r="G124" i="92"/>
  <c r="G123" i="92"/>
  <c r="G122" i="92"/>
  <c r="G121" i="92"/>
  <c r="Y112" i="92"/>
  <c r="D74" i="92"/>
  <c r="G151" i="92"/>
  <c r="D127" i="92"/>
  <c r="D94" i="92"/>
  <c r="D90" i="92"/>
  <c r="Y71" i="92"/>
  <c r="BZ421" i="9"/>
  <c r="E447" i="98"/>
  <c r="CQ38" i="76"/>
  <c r="CP38" i="76"/>
  <c r="CP32" i="76"/>
  <c r="CQ32" i="76"/>
  <c r="CK82" i="76"/>
  <c r="CN53" i="76"/>
  <c r="CJ103" i="76"/>
  <c r="CL103" i="76"/>
  <c r="Y313" i="92"/>
  <c r="AB249" i="92"/>
  <c r="R247" i="92"/>
  <c r="AB245" i="92"/>
  <c r="Y217" i="92"/>
  <c r="CP37" i="76"/>
  <c r="CK103" i="76"/>
  <c r="CK65" i="76"/>
  <c r="CJ65" i="76"/>
  <c r="CN47" i="76"/>
  <c r="CP47" i="76"/>
  <c r="BW114" i="76"/>
  <c r="CK88" i="76"/>
  <c r="CL88" i="76"/>
  <c r="CK48" i="76"/>
  <c r="CL48" i="76"/>
  <c r="D72" i="92"/>
  <c r="CO87" i="76"/>
  <c r="CK45" i="76"/>
  <c r="CJ45" i="76"/>
  <c r="CJ31" i="76"/>
  <c r="U368" i="92"/>
  <c r="R336" i="92"/>
  <c r="G197" i="92"/>
  <c r="G196" i="92"/>
  <c r="CJ107" i="76"/>
  <c r="CK107" i="76"/>
  <c r="CL90" i="76"/>
  <c r="CD47" i="76"/>
  <c r="CC47" i="76"/>
  <c r="CQ31" i="76"/>
  <c r="CP31" i="76"/>
  <c r="CQ34" i="76"/>
  <c r="CC50" i="76"/>
  <c r="CJ74" i="76"/>
  <c r="U286" i="92"/>
  <c r="K244" i="92"/>
  <c r="G106" i="92"/>
  <c r="G103" i="92"/>
  <c r="CJ84" i="76"/>
  <c r="U305" i="92"/>
  <c r="AB142" i="92"/>
  <c r="CP30" i="76"/>
  <c r="CQ27" i="76"/>
  <c r="BW111" i="76"/>
  <c r="CC77" i="76"/>
  <c r="CD111" i="76"/>
  <c r="BK75" i="76"/>
  <c r="BH75" i="76"/>
  <c r="BJ45" i="76"/>
  <c r="BK45" i="76"/>
  <c r="BH43" i="76"/>
  <c r="BJ43" i="76"/>
  <c r="AB372" i="92"/>
  <c r="AB126" i="92"/>
  <c r="K400" i="92"/>
  <c r="G363" i="92"/>
  <c r="Y362" i="92"/>
  <c r="Y303" i="92"/>
  <c r="D198" i="92"/>
  <c r="G148" i="92"/>
  <c r="D120" i="92"/>
  <c r="G115" i="92"/>
  <c r="Y274" i="92"/>
  <c r="AB273" i="92"/>
  <c r="D272" i="92"/>
  <c r="R252" i="92"/>
  <c r="AB242" i="92"/>
  <c r="K229" i="92"/>
  <c r="AB111" i="92"/>
  <c r="N400" i="92"/>
  <c r="G372" i="92"/>
  <c r="AB305" i="92"/>
  <c r="N296" i="92"/>
  <c r="AB208" i="92"/>
  <c r="K350" i="92"/>
  <c r="D321" i="92"/>
  <c r="G303" i="92"/>
  <c r="D295" i="92"/>
  <c r="AB266" i="92"/>
  <c r="K226" i="92"/>
  <c r="AB207" i="92"/>
  <c r="AB206" i="92"/>
  <c r="Y183" i="92"/>
  <c r="G174" i="92"/>
  <c r="AB128" i="92"/>
  <c r="D125" i="92"/>
  <c r="AB109" i="92"/>
  <c r="D329" i="92"/>
  <c r="D249" i="92"/>
  <c r="AB218" i="92"/>
  <c r="D218" i="92"/>
  <c r="D199" i="92"/>
  <c r="G181" i="92"/>
  <c r="Y141" i="92"/>
  <c r="AB137" i="92"/>
  <c r="F45" i="127"/>
  <c r="U299" i="92"/>
  <c r="R290" i="92"/>
  <c r="K265" i="92"/>
  <c r="Y156" i="92"/>
  <c r="G109" i="92"/>
  <c r="Y343" i="92"/>
  <c r="N323" i="92"/>
  <c r="N303" i="92"/>
  <c r="G295" i="92"/>
  <c r="Y294" i="92"/>
  <c r="U291" i="92"/>
  <c r="R277" i="92"/>
  <c r="D277" i="92"/>
  <c r="K271" i="92"/>
  <c r="K269" i="92"/>
  <c r="AB255" i="92"/>
  <c r="G252" i="92"/>
  <c r="G228" i="92"/>
  <c r="D182" i="92"/>
  <c r="G178" i="92"/>
  <c r="Y176" i="92"/>
  <c r="AB116" i="92"/>
  <c r="Y92" i="92"/>
  <c r="CK78" i="76"/>
  <c r="CJ90" i="76"/>
  <c r="CD96" i="76"/>
  <c r="BW121" i="76"/>
  <c r="CL59" i="76"/>
  <c r="CJ59" i="76"/>
  <c r="AB278" i="92"/>
  <c r="CJ117" i="76"/>
  <c r="CL78" i="76"/>
  <c r="CJ115" i="76"/>
  <c r="CC91" i="76"/>
  <c r="CP35" i="76"/>
  <c r="CQ35" i="76"/>
  <c r="AB396" i="92"/>
  <c r="U307" i="92"/>
  <c r="CL115" i="76"/>
  <c r="BH76" i="76"/>
  <c r="CL101" i="76"/>
  <c r="CJ113" i="76"/>
  <c r="CO100" i="76"/>
  <c r="K288" i="92"/>
  <c r="CN88" i="76"/>
  <c r="CK101" i="76"/>
  <c r="CD72" i="76"/>
  <c r="CC125" i="76"/>
  <c r="CD125" i="76"/>
  <c r="AB124" i="92"/>
  <c r="CL86" i="76"/>
  <c r="CJ86" i="76"/>
  <c r="CK118" i="76"/>
  <c r="CN72" i="76"/>
  <c r="CL67" i="76"/>
  <c r="CD98" i="76"/>
  <c r="CQ36" i="76"/>
  <c r="Y245" i="92"/>
  <c r="K222" i="92"/>
  <c r="BV98" i="76"/>
  <c r="BH85" i="76"/>
  <c r="BV100" i="76"/>
  <c r="CC118" i="76"/>
  <c r="CJ67" i="76"/>
  <c r="CJ39" i="76"/>
  <c r="BV112" i="76"/>
  <c r="BH92" i="76"/>
  <c r="BK92" i="76"/>
  <c r="CD89" i="76"/>
  <c r="CC89" i="76"/>
  <c r="CJ51" i="76"/>
  <c r="CL51" i="76"/>
  <c r="CK42" i="76"/>
  <c r="CJ42" i="76"/>
  <c r="D380" i="92"/>
  <c r="U294" i="92"/>
  <c r="N302" i="92"/>
  <c r="K297" i="92"/>
  <c r="K224" i="92"/>
  <c r="Y392" i="92"/>
  <c r="U364" i="92"/>
  <c r="AB361" i="92"/>
  <c r="N320" i="92"/>
  <c r="G284" i="92"/>
  <c r="N264" i="92"/>
  <c r="Y159" i="92"/>
  <c r="D156" i="92"/>
  <c r="G237" i="92"/>
  <c r="Y234" i="92"/>
  <c r="K227" i="92"/>
  <c r="Y187" i="92"/>
  <c r="D178" i="92"/>
  <c r="R338" i="92"/>
  <c r="G337" i="92"/>
  <c r="G306" i="92"/>
  <c r="R288" i="92"/>
  <c r="N251" i="92"/>
  <c r="Y240" i="92"/>
  <c r="AB96" i="92"/>
  <c r="D78" i="92"/>
  <c r="G391" i="92"/>
  <c r="R379" i="92"/>
  <c r="G312" i="92"/>
  <c r="AB306" i="92"/>
  <c r="N282" i="92"/>
  <c r="G279" i="92"/>
  <c r="N253" i="92"/>
  <c r="D172" i="92"/>
  <c r="AB163" i="92"/>
  <c r="D163" i="92"/>
  <c r="AB107" i="92"/>
  <c r="G100" i="92"/>
  <c r="N387" i="92"/>
  <c r="K349" i="92"/>
  <c r="G347" i="92"/>
  <c r="R287" i="92"/>
  <c r="Y243" i="92"/>
  <c r="G236" i="92"/>
  <c r="Y199" i="92"/>
  <c r="AB172" i="92"/>
  <c r="Y77" i="92"/>
  <c r="G261" i="92"/>
  <c r="N250" i="92"/>
  <c r="R243" i="92"/>
  <c r="AB196" i="92"/>
  <c r="D195" i="92"/>
  <c r="G182" i="92"/>
  <c r="G149" i="92"/>
  <c r="D136" i="92"/>
  <c r="Y129" i="92"/>
  <c r="AB115" i="92"/>
  <c r="AB105" i="92"/>
  <c r="AB104" i="92"/>
  <c r="D101" i="92"/>
  <c r="D96" i="92"/>
  <c r="G95" i="92"/>
  <c r="Y93" i="92"/>
  <c r="G226" i="92"/>
  <c r="AB222" i="92"/>
  <c r="G212" i="92"/>
  <c r="Y213" i="92"/>
  <c r="AB210" i="92"/>
  <c r="Y163" i="92"/>
  <c r="G93" i="92"/>
  <c r="G285" i="92"/>
  <c r="K252" i="92"/>
  <c r="N238" i="92"/>
  <c r="CD57" i="76"/>
  <c r="CL72" i="76"/>
  <c r="CJ72" i="76"/>
  <c r="CQ28" i="76"/>
  <c r="CP28" i="76"/>
  <c r="N392" i="92"/>
  <c r="CD88" i="76"/>
  <c r="CD71" i="76"/>
  <c r="BH86" i="76"/>
  <c r="CO84" i="76"/>
  <c r="CN84" i="76"/>
  <c r="R366" i="92"/>
  <c r="BV103" i="76"/>
  <c r="BW103" i="76"/>
  <c r="CJ54" i="76"/>
  <c r="CL54" i="76"/>
  <c r="BH49" i="76"/>
  <c r="BJ49" i="76"/>
  <c r="BI31" i="76"/>
  <c r="BH31" i="76"/>
  <c r="BI35" i="76"/>
  <c r="BR63" i="76"/>
  <c r="BS63" i="76"/>
  <c r="BS58" i="76"/>
  <c r="BR58" i="76"/>
  <c r="BJ31" i="76"/>
  <c r="BW105" i="76"/>
  <c r="BV105" i="76"/>
  <c r="CD93" i="76"/>
  <c r="CC93" i="76"/>
  <c r="G238" i="92"/>
  <c r="BV116" i="76"/>
  <c r="CK60" i="76"/>
  <c r="G283" i="92"/>
  <c r="CJ91" i="76"/>
  <c r="BH27" i="76"/>
  <c r="CN56" i="76"/>
  <c r="CO56" i="76"/>
  <c r="CC115" i="76"/>
  <c r="CD115" i="76"/>
  <c r="CO96" i="76"/>
  <c r="Y339" i="92"/>
  <c r="K318" i="92"/>
  <c r="BV95" i="76"/>
  <c r="CK44" i="76"/>
  <c r="BI33" i="76"/>
  <c r="BH33" i="76"/>
  <c r="BJ33" i="76"/>
  <c r="CD59" i="76"/>
  <c r="CL94" i="76"/>
  <c r="CK94" i="76"/>
  <c r="CN89" i="76"/>
  <c r="CO89" i="76"/>
  <c r="CK72" i="76"/>
  <c r="CJ60" i="76"/>
  <c r="CC108" i="76"/>
  <c r="BK88" i="76"/>
  <c r="BH88" i="76"/>
  <c r="BS56" i="76"/>
  <c r="BR56" i="76"/>
  <c r="CO54" i="76"/>
  <c r="CN54" i="76"/>
  <c r="CC53" i="76"/>
  <c r="CD53" i="76"/>
  <c r="CN51" i="76"/>
  <c r="CO51" i="76"/>
  <c r="D356" i="92"/>
  <c r="U346" i="92"/>
  <c r="U354" i="92"/>
  <c r="Y87" i="92"/>
  <c r="BH58" i="76"/>
  <c r="BK58" i="76"/>
  <c r="Y341" i="92"/>
  <c r="BK55" i="76"/>
  <c r="BH55" i="76"/>
  <c r="G350" i="92"/>
  <c r="U389" i="92"/>
  <c r="Y384" i="92"/>
  <c r="N378" i="92"/>
  <c r="Y368" i="92"/>
  <c r="U340" i="92"/>
  <c r="AB295" i="92"/>
  <c r="R271" i="92"/>
  <c r="AB132" i="92"/>
  <c r="U398" i="92"/>
  <c r="AB330" i="92"/>
  <c r="K266" i="92"/>
  <c r="N389" i="92"/>
  <c r="R372" i="92"/>
  <c r="D349" i="92"/>
  <c r="N304" i="92"/>
  <c r="R300" i="92"/>
  <c r="Y277" i="92"/>
  <c r="K392" i="92"/>
  <c r="AB387" i="92"/>
  <c r="D384" i="92"/>
  <c r="K299" i="92"/>
  <c r="AB297" i="92"/>
  <c r="R260" i="92"/>
  <c r="D255" i="92"/>
  <c r="AB246" i="92"/>
  <c r="G156" i="92"/>
  <c r="D149" i="92"/>
  <c r="AB125" i="92"/>
  <c r="D116" i="92"/>
  <c r="D82" i="92"/>
  <c r="D77" i="92"/>
  <c r="R304" i="92"/>
  <c r="G298" i="92"/>
  <c r="U295" i="92"/>
  <c r="R268" i="92"/>
  <c r="U263" i="92"/>
  <c r="AB259" i="92"/>
  <c r="AB193" i="92"/>
  <c r="AB180" i="92"/>
  <c r="D157" i="92"/>
  <c r="Y137" i="92"/>
  <c r="Y78" i="92"/>
  <c r="G288" i="92"/>
  <c r="U277" i="92"/>
  <c r="D275" i="92"/>
  <c r="D170" i="92"/>
  <c r="G146" i="92"/>
  <c r="AB320" i="92"/>
  <c r="U316" i="92"/>
  <c r="D310" i="92"/>
  <c r="U296" i="92"/>
  <c r="Y279" i="92"/>
  <c r="Y278" i="92"/>
  <c r="G263" i="92"/>
  <c r="Y181" i="92"/>
  <c r="N246" i="92"/>
  <c r="Y208" i="92"/>
  <c r="D201" i="92"/>
  <c r="Y138" i="92"/>
  <c r="Y121" i="92"/>
  <c r="D258" i="92"/>
  <c r="R251" i="92"/>
  <c r="G251" i="92"/>
  <c r="K240" i="92"/>
  <c r="AB235" i="92"/>
  <c r="D205" i="92"/>
  <c r="AB184" i="92"/>
  <c r="D262" i="92"/>
  <c r="AB260" i="92"/>
  <c r="G256" i="92"/>
  <c r="D222" i="92"/>
  <c r="Y219" i="92"/>
  <c r="D145" i="92"/>
  <c r="BY309" i="9"/>
  <c r="BZ341" i="9"/>
  <c r="BW106" i="76"/>
  <c r="CN93" i="76"/>
  <c r="CO93" i="76"/>
  <c r="BK65" i="76"/>
  <c r="CD61" i="76"/>
  <c r="CC61" i="76"/>
  <c r="CN58" i="76"/>
  <c r="CO58" i="76"/>
  <c r="BZ312" i="9"/>
  <c r="BY284" i="9"/>
  <c r="L52" i="127"/>
  <c r="BC375" i="9"/>
  <c r="E396" i="49"/>
  <c r="BS62" i="76"/>
  <c r="BR62" i="76"/>
  <c r="BY334" i="9"/>
  <c r="L25" i="75"/>
  <c r="CC113" i="76"/>
  <c r="CK116" i="76"/>
  <c r="CK59" i="76"/>
  <c r="E378" i="98"/>
  <c r="CJ94" i="76"/>
  <c r="E406" i="98"/>
  <c r="E406" i="49"/>
  <c r="E392" i="98"/>
  <c r="E367" i="97"/>
  <c r="BZ330" i="9"/>
  <c r="BV126" i="76"/>
  <c r="R385" i="92"/>
  <c r="U261" i="92"/>
  <c r="E378" i="49"/>
  <c r="BY254" i="9"/>
  <c r="BZ288" i="9"/>
  <c r="CC85" i="76"/>
  <c r="CD85" i="76"/>
  <c r="E367" i="49"/>
  <c r="CJ118" i="76"/>
  <c r="CN95" i="76"/>
  <c r="G328" i="92"/>
  <c r="R305" i="92"/>
  <c r="D370" i="92"/>
  <c r="AB147" i="92"/>
  <c r="Y365" i="92"/>
  <c r="D378" i="92"/>
  <c r="U324" i="92"/>
  <c r="N315" i="92"/>
  <c r="AB309" i="92"/>
  <c r="BV94" i="76"/>
  <c r="G374" i="92"/>
  <c r="R367" i="92"/>
  <c r="U390" i="92"/>
  <c r="AB378" i="92"/>
  <c r="U373" i="92"/>
  <c r="AB360" i="92"/>
  <c r="Y369" i="92"/>
  <c r="Y298" i="92"/>
  <c r="AB284" i="92"/>
  <c r="AB393" i="92"/>
  <c r="K393" i="92"/>
  <c r="N366" i="92"/>
  <c r="G315" i="92"/>
  <c r="D311" i="92"/>
  <c r="AB181" i="92"/>
  <c r="K377" i="92"/>
  <c r="R297" i="92"/>
  <c r="G276" i="92"/>
  <c r="R255" i="92"/>
  <c r="U385" i="92"/>
  <c r="G385" i="92"/>
  <c r="R384" i="92"/>
  <c r="G377" i="92"/>
  <c r="AB369" i="92"/>
  <c r="N362" i="92"/>
  <c r="AB358" i="92"/>
  <c r="U308" i="92"/>
  <c r="Y300" i="92"/>
  <c r="U270" i="92"/>
  <c r="K259" i="92"/>
  <c r="R237" i="92"/>
  <c r="D130" i="92"/>
  <c r="G305" i="92"/>
  <c r="U281" i="92"/>
  <c r="D259" i="92"/>
  <c r="D230" i="92"/>
  <c r="AB213" i="92"/>
  <c r="G209" i="92"/>
  <c r="AB197" i="92"/>
  <c r="BZ446" i="9"/>
  <c r="FJ167" i="62"/>
  <c r="N339" i="92"/>
  <c r="K328" i="92"/>
  <c r="N327" i="92"/>
  <c r="N314" i="92"/>
  <c r="K291" i="92"/>
  <c r="D285" i="92"/>
  <c r="K261" i="92"/>
  <c r="N249" i="92"/>
  <c r="N236" i="92"/>
  <c r="G218" i="92"/>
  <c r="Y123" i="92"/>
  <c r="N351" i="92"/>
  <c r="G348" i="92"/>
  <c r="D344" i="92"/>
  <c r="AB321" i="92"/>
  <c r="G319" i="92"/>
  <c r="G317" i="92"/>
  <c r="N307" i="92"/>
  <c r="G304" i="92"/>
  <c r="R291" i="92"/>
  <c r="G291" i="92"/>
  <c r="AB287" i="92"/>
  <c r="G280" i="92"/>
  <c r="AB274" i="92"/>
  <c r="K267" i="92"/>
  <c r="N258" i="92"/>
  <c r="R254" i="92"/>
  <c r="N241" i="92"/>
  <c r="G179" i="92"/>
  <c r="D177" i="92"/>
  <c r="AB145" i="92"/>
  <c r="G340" i="92"/>
  <c r="Y332" i="92"/>
  <c r="G332" i="92"/>
  <c r="Y323" i="92"/>
  <c r="Y309" i="92"/>
  <c r="R293" i="92"/>
  <c r="N270" i="92"/>
  <c r="Y267" i="92"/>
  <c r="Y253" i="92"/>
  <c r="AB238" i="92"/>
  <c r="Y223" i="92"/>
  <c r="AB220" i="92"/>
  <c r="Y209" i="92"/>
  <c r="Y237" i="92"/>
  <c r="D237" i="92"/>
  <c r="G231" i="92"/>
  <c r="AB214" i="92"/>
  <c r="G198" i="92"/>
  <c r="D197" i="92"/>
  <c r="AB168" i="92"/>
  <c r="AB166" i="92"/>
  <c r="G159" i="92"/>
  <c r="AB158" i="92"/>
  <c r="Y146" i="92"/>
  <c r="AB141" i="92"/>
  <c r="Y140" i="92"/>
  <c r="G139" i="92"/>
  <c r="D119" i="92"/>
  <c r="BZ417" i="9"/>
  <c r="BZ441" i="9"/>
  <c r="G227" i="92"/>
  <c r="G224" i="92"/>
  <c r="D204" i="92"/>
  <c r="Y195" i="92"/>
  <c r="AB187" i="92"/>
  <c r="D180" i="92"/>
  <c r="Y226" i="92"/>
  <c r="Y220" i="92"/>
  <c r="G214" i="92"/>
  <c r="Y203" i="92"/>
  <c r="D181" i="92"/>
  <c r="BZ420" i="9"/>
  <c r="AB271" i="92"/>
  <c r="D271" i="92"/>
  <c r="G205" i="92"/>
  <c r="Y103" i="92"/>
  <c r="G107" i="92"/>
  <c r="D81" i="92"/>
  <c r="D118" i="92"/>
  <c r="BZ415" i="9"/>
  <c r="E437" i="49"/>
  <c r="E448" i="98"/>
  <c r="E451" i="98"/>
  <c r="E443" i="98"/>
  <c r="E450" i="98"/>
  <c r="BZ313" i="9"/>
  <c r="BZ247" i="9"/>
  <c r="E417" i="97"/>
  <c r="E417" i="98"/>
  <c r="E417" i="49"/>
  <c r="E423" i="49"/>
  <c r="E423" i="97"/>
  <c r="E423" i="98"/>
  <c r="BE121" i="9"/>
  <c r="E403" i="49"/>
  <c r="E403" i="97"/>
  <c r="E411" i="98"/>
  <c r="BZ362" i="9"/>
  <c r="E405" i="97"/>
  <c r="E405" i="98"/>
  <c r="E405" i="49"/>
  <c r="CK106" i="76"/>
  <c r="CL106" i="76"/>
  <c r="BZ361" i="9"/>
  <c r="BZ253" i="9"/>
  <c r="BZ255" i="9"/>
  <c r="CL70" i="76"/>
  <c r="CJ70" i="76"/>
  <c r="CK70" i="76"/>
  <c r="CJ63" i="76"/>
  <c r="BJ50" i="76"/>
  <c r="BK50" i="76"/>
  <c r="BH50" i="76"/>
  <c r="C198" i="76" a="1"/>
  <c r="E377" i="98"/>
  <c r="BZ318" i="9"/>
  <c r="BZ281" i="9"/>
  <c r="BZ273" i="9"/>
  <c r="BE5" i="9"/>
  <c r="D95" i="75"/>
  <c r="M95" i="75"/>
  <c r="CK102" i="76"/>
  <c r="CL102" i="76"/>
  <c r="CJ102" i="76"/>
  <c r="CN94" i="76"/>
  <c r="CO94" i="76"/>
  <c r="CL53" i="76"/>
  <c r="CK53" i="76"/>
  <c r="E384" i="98"/>
  <c r="E384" i="97"/>
  <c r="BZ243" i="9"/>
  <c r="G401" i="91"/>
  <c r="BW97" i="76"/>
  <c r="BV97" i="76"/>
  <c r="CJ87" i="76"/>
  <c r="CL87" i="76"/>
  <c r="CN78" i="76"/>
  <c r="CO78" i="76"/>
  <c r="CF58" i="76"/>
  <c r="BN121" i="76"/>
  <c r="K390" i="92"/>
  <c r="E413" i="98"/>
  <c r="BZ376" i="9"/>
  <c r="E399" i="97"/>
  <c r="E399" i="98"/>
  <c r="CD105" i="76"/>
  <c r="BJ37" i="76"/>
  <c r="BH37" i="76"/>
  <c r="K359" i="92"/>
  <c r="E387" i="97"/>
  <c r="BZ285" i="9"/>
  <c r="BW119" i="76"/>
  <c r="BV119" i="76"/>
  <c r="BW101" i="76"/>
  <c r="BV101" i="76"/>
  <c r="CC90" i="76"/>
  <c r="CD90" i="76"/>
  <c r="CO71" i="76"/>
  <c r="CC60" i="76"/>
  <c r="BH71" i="76"/>
  <c r="BK71" i="76"/>
  <c r="D351" i="92"/>
  <c r="AB345" i="92"/>
  <c r="CK97" i="76"/>
  <c r="D366" i="92"/>
  <c r="K268" i="92"/>
  <c r="CJ40" i="76"/>
  <c r="CK40" i="76"/>
  <c r="N353" i="92"/>
  <c r="U349" i="92"/>
  <c r="U317" i="92"/>
  <c r="K306" i="92"/>
  <c r="G273" i="92"/>
  <c r="BE199" i="76"/>
  <c r="R394" i="92"/>
  <c r="K378" i="92"/>
  <c r="Y288" i="92"/>
  <c r="D387" i="92"/>
  <c r="R368" i="92"/>
  <c r="D362" i="92"/>
  <c r="N343" i="92"/>
  <c r="R340" i="92"/>
  <c r="D269" i="92"/>
  <c r="AB391" i="92"/>
  <c r="Y388" i="92"/>
  <c r="N380" i="92"/>
  <c r="Y400" i="92"/>
  <c r="G370" i="92"/>
  <c r="N368" i="92"/>
  <c r="R298" i="92"/>
  <c r="AB282" i="92"/>
  <c r="U372" i="92"/>
  <c r="R363" i="92"/>
  <c r="N333" i="92"/>
  <c r="N309" i="92"/>
  <c r="Y305" i="92"/>
  <c r="AB325" i="92"/>
  <c r="D325" i="92"/>
  <c r="Y307" i="92"/>
  <c r="K305" i="92"/>
  <c r="U301" i="92"/>
  <c r="K294" i="92"/>
  <c r="D288" i="92"/>
  <c r="Y238" i="92"/>
  <c r="Y212" i="92"/>
  <c r="AB308" i="92"/>
  <c r="K301" i="92"/>
  <c r="AB293" i="92"/>
  <c r="R284" i="92"/>
  <c r="N281" i="92"/>
  <c r="R325" i="92"/>
  <c r="U287" i="92"/>
  <c r="Y196" i="92"/>
  <c r="R276" i="92"/>
  <c r="G201" i="92"/>
  <c r="AB179" i="92"/>
  <c r="N254" i="92"/>
  <c r="G169" i="92"/>
  <c r="D126" i="92"/>
  <c r="Y280" i="92"/>
  <c r="N245" i="92"/>
  <c r="Y189" i="92"/>
  <c r="AB143" i="92"/>
  <c r="N262" i="92"/>
  <c r="D225" i="92"/>
  <c r="G153" i="92"/>
  <c r="E464" i="49"/>
  <c r="K242" i="92"/>
  <c r="D87" i="92"/>
  <c r="Y168" i="92"/>
  <c r="AB140" i="92"/>
  <c r="BZ431" i="9"/>
  <c r="AB188" i="92"/>
  <c r="G167" i="92"/>
  <c r="D166" i="92"/>
  <c r="G154" i="92"/>
  <c r="AB149" i="92"/>
  <c r="G141" i="92"/>
  <c r="D137" i="92"/>
  <c r="G116" i="92"/>
  <c r="D110" i="92"/>
  <c r="G210" i="92"/>
  <c r="D179" i="92"/>
  <c r="Y143" i="92"/>
  <c r="AB123" i="92"/>
  <c r="Y81" i="92"/>
  <c r="E427" i="72"/>
  <c r="BZ435" i="9"/>
  <c r="D123" i="92"/>
  <c r="G108" i="92"/>
  <c r="D89" i="92"/>
  <c r="E453" i="165"/>
  <c r="Q13" i="62" a="1"/>
  <c r="Q13" i="62" s="1"/>
  <c r="P16" i="120"/>
  <c r="E436" i="23"/>
  <c r="E449" i="23"/>
  <c r="E448" i="23"/>
  <c r="E434" i="23"/>
  <c r="E435" i="23"/>
  <c r="E439" i="23"/>
  <c r="E443" i="23"/>
  <c r="BZ350" i="9"/>
  <c r="BC370" i="9"/>
  <c r="BD370" i="9"/>
  <c r="BE370" i="9" s="1"/>
  <c r="BZ369" i="9"/>
  <c r="BZ365" i="9"/>
  <c r="BZ303" i="9"/>
  <c r="BY303" i="9"/>
  <c r="BZ266" i="9"/>
  <c r="BZ258" i="9"/>
  <c r="BZ238" i="9"/>
  <c r="BT95" i="76"/>
  <c r="CJ92" i="76"/>
  <c r="CK92" i="76"/>
  <c r="CL92" i="76"/>
  <c r="BR69" i="76"/>
  <c r="BS69" i="76"/>
  <c r="Q198" i="76" a="1"/>
  <c r="CP49" i="76"/>
  <c r="CN49" i="76"/>
  <c r="CN44" i="76"/>
  <c r="E455" i="157"/>
  <c r="BW117" i="76"/>
  <c r="BV117" i="76"/>
  <c r="BA198" i="76" a="1"/>
  <c r="E409" i="97"/>
  <c r="E409" i="98"/>
  <c r="E409" i="49"/>
  <c r="E372" i="97"/>
  <c r="E372" i="49"/>
  <c r="E372" i="98"/>
  <c r="CC104" i="76"/>
  <c r="CD104" i="76"/>
  <c r="CJ47" i="76"/>
  <c r="CK47" i="76"/>
  <c r="BI40" i="76"/>
  <c r="BJ40" i="76"/>
  <c r="BH40" i="76"/>
  <c r="BJ38" i="76"/>
  <c r="BZ323" i="9"/>
  <c r="BY297" i="9"/>
  <c r="BZ297" i="9"/>
  <c r="BZ275" i="9"/>
  <c r="BZ265" i="9"/>
  <c r="BZ257" i="9"/>
  <c r="BZ248" i="9"/>
  <c r="BY248" i="9"/>
  <c r="L48" i="127"/>
  <c r="CC116" i="76"/>
  <c r="CD116" i="76"/>
  <c r="BZ305" i="9"/>
  <c r="BZ242" i="9"/>
  <c r="W198" i="76" a="1"/>
  <c r="CN70" i="76"/>
  <c r="CO70" i="76"/>
  <c r="BH41" i="76"/>
  <c r="E198" i="76" a="1"/>
  <c r="E198" i="76" s="1"/>
  <c r="BH35" i="76"/>
  <c r="CC134" i="76"/>
  <c r="CD134" i="76"/>
  <c r="CD126" i="76"/>
  <c r="CC123" i="76"/>
  <c r="CD123" i="76"/>
  <c r="CJ121" i="76"/>
  <c r="CL121" i="76"/>
  <c r="CK121" i="76"/>
  <c r="E414" i="49"/>
  <c r="E411" i="49"/>
  <c r="E411" i="97"/>
  <c r="E396" i="98"/>
  <c r="E396" i="97"/>
  <c r="BD372" i="9"/>
  <c r="BE372" i="9" s="1"/>
  <c r="E371" i="49"/>
  <c r="E371" i="98"/>
  <c r="E371" i="97"/>
  <c r="BY347" i="9"/>
  <c r="BZ310" i="9"/>
  <c r="E410" i="97"/>
  <c r="E410" i="98"/>
  <c r="E398" i="49"/>
  <c r="BZ380" i="9"/>
  <c r="BY380" i="9"/>
  <c r="D94" i="75"/>
  <c r="M94" i="75" s="1"/>
  <c r="L94" i="75"/>
  <c r="CC92" i="76"/>
  <c r="CD92" i="76"/>
  <c r="BK70" i="76"/>
  <c r="BH70" i="76"/>
  <c r="CO59" i="76"/>
  <c r="CN59" i="76"/>
  <c r="E407" i="97"/>
  <c r="E407" i="98"/>
  <c r="E366" i="98"/>
  <c r="E366" i="97"/>
  <c r="BZ352" i="9"/>
  <c r="BZ268" i="9"/>
  <c r="CJ97" i="76"/>
  <c r="CL97" i="76"/>
  <c r="BK91" i="76"/>
  <c r="CN82" i="76"/>
  <c r="CO82" i="76"/>
  <c r="CN73" i="76"/>
  <c r="CO73" i="76"/>
  <c r="E413" i="49"/>
  <c r="E413" i="97"/>
  <c r="E412" i="98"/>
  <c r="E412" i="49"/>
  <c r="E391" i="97"/>
  <c r="E391" i="98"/>
  <c r="E385" i="97"/>
  <c r="BC371" i="9"/>
  <c r="BD371" i="9"/>
  <c r="BE371" i="9"/>
  <c r="CL66" i="76"/>
  <c r="CK66" i="76"/>
  <c r="CJ66" i="76"/>
  <c r="BJ48" i="76"/>
  <c r="BZ342" i="9"/>
  <c r="BZ300" i="9"/>
  <c r="BY300" i="9"/>
  <c r="D24" i="75"/>
  <c r="M24" i="75"/>
  <c r="L24" i="75"/>
  <c r="CO85" i="76"/>
  <c r="CN85" i="76"/>
  <c r="CD80" i="76"/>
  <c r="E369" i="97"/>
  <c r="E369" i="98"/>
  <c r="CL111" i="76"/>
  <c r="CJ111" i="76"/>
  <c r="CK111" i="76"/>
  <c r="BH80" i="76"/>
  <c r="BK80" i="76"/>
  <c r="CO65" i="76"/>
  <c r="L15" i="127"/>
  <c r="CN77" i="76"/>
  <c r="CO77" i="76"/>
  <c r="BK56" i="76"/>
  <c r="BH56" i="76"/>
  <c r="BC372" i="9"/>
  <c r="BZ260" i="9"/>
  <c r="H52" i="127"/>
  <c r="H58" i="75"/>
  <c r="CK114" i="76"/>
  <c r="CJ114" i="76"/>
  <c r="BP99" i="76"/>
  <c r="BH62" i="76"/>
  <c r="BK62" i="76"/>
  <c r="AB256" i="92"/>
  <c r="BD376" i="9"/>
  <c r="BE376" i="9"/>
  <c r="CD102" i="76"/>
  <c r="CO101" i="76"/>
  <c r="CN101" i="76"/>
  <c r="AB177" i="92"/>
  <c r="Y292" i="92"/>
  <c r="G398" i="92"/>
  <c r="U283" i="92"/>
  <c r="R240" i="92"/>
  <c r="G177" i="92"/>
  <c r="AB268" i="92"/>
  <c r="U266" i="92"/>
  <c r="AB204" i="92"/>
  <c r="Y200" i="92"/>
  <c r="D174" i="92"/>
  <c r="E415" i="98"/>
  <c r="E415" i="49"/>
  <c r="Y210" i="92"/>
  <c r="G136" i="92"/>
  <c r="G259" i="92"/>
  <c r="BZ432" i="9"/>
  <c r="K287" i="92"/>
  <c r="E427" i="82"/>
  <c r="E431" i="129"/>
  <c r="R246" i="92"/>
  <c r="G240" i="92"/>
  <c r="AB186" i="92"/>
  <c r="G134" i="92"/>
  <c r="Y70" i="92"/>
  <c r="Y170" i="92"/>
  <c r="Y177" i="92"/>
  <c r="D160" i="92"/>
  <c r="G101" i="92"/>
  <c r="G117" i="92"/>
  <c r="G110" i="92"/>
  <c r="D70" i="92"/>
  <c r="G158" i="92"/>
  <c r="G104" i="92"/>
  <c r="E459" i="159"/>
  <c r="E453" i="98"/>
  <c r="E459" i="147"/>
  <c r="E448" i="161"/>
  <c r="E458" i="167"/>
  <c r="E459" i="169"/>
  <c r="O459" i="9"/>
  <c r="E459" i="15"/>
  <c r="P459" i="9"/>
  <c r="E459" i="11"/>
  <c r="E459" i="160"/>
  <c r="E459" i="82"/>
  <c r="E459" i="23"/>
  <c r="E459" i="31"/>
  <c r="E459" i="136"/>
  <c r="E459" i="144"/>
  <c r="E459" i="143"/>
  <c r="E459" i="122"/>
  <c r="N459" i="9"/>
  <c r="E459" i="100"/>
  <c r="E459" i="142"/>
  <c r="E459" i="162"/>
  <c r="E459" i="72"/>
  <c r="AE459" i="9"/>
  <c r="E459" i="13"/>
  <c r="E459" i="121"/>
  <c r="E459" i="161"/>
  <c r="E459" i="39"/>
  <c r="E459" i="71"/>
  <c r="E459" i="12"/>
  <c r="E459" i="10"/>
  <c r="E459" i="25"/>
  <c r="E459" i="158"/>
  <c r="E459" i="157"/>
  <c r="E456" i="137"/>
  <c r="E450" i="137"/>
  <c r="E457" i="137"/>
  <c r="E459" i="137"/>
  <c r="E452" i="137"/>
  <c r="E447" i="137"/>
  <c r="E456" i="139"/>
  <c r="E443" i="139"/>
  <c r="E455" i="139"/>
  <c r="E432" i="139"/>
  <c r="E449" i="139"/>
  <c r="E458" i="136"/>
  <c r="E452" i="136"/>
  <c r="E457" i="122"/>
  <c r="E453" i="122"/>
  <c r="E446" i="100"/>
  <c r="E439" i="15"/>
  <c r="E442" i="15"/>
  <c r="E450" i="15"/>
  <c r="BC369" i="9"/>
  <c r="BD369" i="9"/>
  <c r="BE369" i="9"/>
  <c r="BZ270" i="9"/>
  <c r="BY237" i="9"/>
  <c r="BZ237" i="9"/>
  <c r="Y371" i="92"/>
  <c r="E385" i="49"/>
  <c r="E385" i="98"/>
  <c r="BE7" i="9"/>
  <c r="F16" i="127"/>
  <c r="F29" i="127"/>
  <c r="K383" i="92"/>
  <c r="BZ360" i="9"/>
  <c r="BZ280" i="9"/>
  <c r="BZ259" i="9"/>
  <c r="N399" i="92"/>
  <c r="N348" i="92"/>
  <c r="J96" i="79"/>
  <c r="E448" i="147"/>
  <c r="E447" i="144"/>
  <c r="BY339" i="9"/>
  <c r="BZ339" i="9"/>
  <c r="P25" i="120"/>
  <c r="FJ176" i="62"/>
  <c r="E402" i="49"/>
  <c r="E402" i="98"/>
  <c r="E402" i="97"/>
  <c r="E388" i="97"/>
  <c r="E388" i="49"/>
  <c r="BY282" i="9"/>
  <c r="BZ282" i="9"/>
  <c r="CC128" i="76"/>
  <c r="CD128" i="76"/>
  <c r="CO50" i="76"/>
  <c r="CN50" i="76"/>
  <c r="BK44" i="76"/>
  <c r="D309" i="92"/>
  <c r="E370" i="49"/>
  <c r="E370" i="97"/>
  <c r="E370" i="98"/>
  <c r="E375" i="97"/>
  <c r="E375" i="98"/>
  <c r="E428" i="146"/>
  <c r="F88" i="75"/>
  <c r="BZ402" i="9"/>
  <c r="BZ292" i="9"/>
  <c r="BZ271" i="9"/>
  <c r="H19" i="127"/>
  <c r="H19" i="75"/>
  <c r="BH61" i="76"/>
  <c r="BK61" i="76"/>
  <c r="CD58" i="76"/>
  <c r="CC58" i="76"/>
  <c r="BY304" i="9"/>
  <c r="BY353" i="9"/>
  <c r="E449" i="159"/>
  <c r="E446" i="139"/>
  <c r="E454" i="12"/>
  <c r="BC376" i="9"/>
  <c r="CK46" i="76"/>
  <c r="CJ46" i="76"/>
  <c r="BY336" i="9"/>
  <c r="E408" i="49"/>
  <c r="E390" i="97"/>
  <c r="E390" i="98"/>
  <c r="E390" i="49"/>
  <c r="BY364" i="9"/>
  <c r="BZ278" i="9"/>
  <c r="L84" i="127"/>
  <c r="D84" i="127"/>
  <c r="M84" i="127"/>
  <c r="BT101" i="76"/>
  <c r="BK97" i="76"/>
  <c r="BH97" i="76"/>
  <c r="CC87" i="76"/>
  <c r="CD87" i="76"/>
  <c r="K365" i="92"/>
  <c r="D36" i="127"/>
  <c r="M36" i="127" s="1"/>
  <c r="CL75" i="76"/>
  <c r="CJ75" i="76"/>
  <c r="U387" i="92"/>
  <c r="D360" i="92"/>
  <c r="CK75" i="76"/>
  <c r="E386" i="98"/>
  <c r="BY379" i="9"/>
  <c r="BY321" i="9"/>
  <c r="CQ33" i="76"/>
  <c r="AB389" i="92"/>
  <c r="BZ279" i="9"/>
  <c r="E393" i="98"/>
  <c r="CK49" i="76"/>
  <c r="CL69" i="76"/>
  <c r="H40" i="75"/>
  <c r="BZ246" i="9"/>
  <c r="CC103" i="76"/>
  <c r="CD103" i="76"/>
  <c r="N393" i="92"/>
  <c r="D373" i="92"/>
  <c r="CL49" i="76"/>
  <c r="BK82" i="76"/>
  <c r="BH82" i="76"/>
  <c r="BD368" i="9"/>
  <c r="BE368" i="9" s="1"/>
  <c r="E393" i="97"/>
  <c r="CL50" i="76"/>
  <c r="BZ397" i="9"/>
  <c r="BZ374" i="9"/>
  <c r="BZ343" i="9"/>
  <c r="CD64" i="76"/>
  <c r="CC64" i="76"/>
  <c r="CK69" i="76"/>
  <c r="CC78" i="76"/>
  <c r="BZ250" i="9"/>
  <c r="BC373" i="9"/>
  <c r="BY288" i="9"/>
  <c r="AB304" i="92"/>
  <c r="CJ83" i="76"/>
  <c r="CL83" i="76"/>
  <c r="BJ29" i="76"/>
  <c r="K381" i="92"/>
  <c r="AB281" i="92"/>
  <c r="U265" i="92"/>
  <c r="BZ395" i="9"/>
  <c r="BW115" i="76"/>
  <c r="BV115" i="76"/>
  <c r="K397" i="92"/>
  <c r="G379" i="92"/>
  <c r="U376" i="92"/>
  <c r="G357" i="92"/>
  <c r="U355" i="92"/>
  <c r="Y351" i="92"/>
  <c r="BW109" i="76"/>
  <c r="BV109" i="76"/>
  <c r="CD66" i="76"/>
  <c r="G354" i="92"/>
  <c r="D353" i="92"/>
  <c r="R346" i="92"/>
  <c r="Y393" i="92"/>
  <c r="Y391" i="92"/>
  <c r="R386" i="92"/>
  <c r="R375" i="92"/>
  <c r="N373" i="92"/>
  <c r="U369" i="92"/>
  <c r="K296" i="92"/>
  <c r="R359" i="92"/>
  <c r="AB338" i="92"/>
  <c r="Y331" i="92"/>
  <c r="K245" i="92"/>
  <c r="N385" i="92"/>
  <c r="Y311" i="92"/>
  <c r="AB292" i="92"/>
  <c r="D292" i="92"/>
  <c r="U342" i="92"/>
  <c r="Y282" i="92"/>
  <c r="U264" i="92"/>
  <c r="G221" i="92"/>
  <c r="D159" i="92"/>
  <c r="N345" i="92"/>
  <c r="D343" i="92"/>
  <c r="R312" i="92"/>
  <c r="K243" i="92"/>
  <c r="D240" i="92"/>
  <c r="R301" i="92"/>
  <c r="D298" i="92"/>
  <c r="R242" i="92"/>
  <c r="G199" i="92"/>
  <c r="K283" i="92"/>
  <c r="AB280" i="92"/>
  <c r="R245" i="92"/>
  <c r="G243" i="92"/>
  <c r="AB232" i="92"/>
  <c r="K218" i="92"/>
  <c r="AB217" i="92"/>
  <c r="D92" i="92"/>
  <c r="Y287" i="92"/>
  <c r="G102" i="92"/>
  <c r="Y202" i="92"/>
  <c r="D107" i="92"/>
  <c r="K233" i="92"/>
  <c r="E431" i="23"/>
  <c r="D176" i="92"/>
  <c r="AB92" i="92"/>
  <c r="G204" i="92"/>
  <c r="BZ430" i="9"/>
  <c r="D95" i="92"/>
  <c r="Y76" i="92"/>
  <c r="BZ436" i="9"/>
  <c r="BZ434" i="9"/>
  <c r="E459" i="98"/>
  <c r="P13" i="120"/>
  <c r="FJ164" i="62"/>
  <c r="E432" i="129" l="1"/>
  <c r="Q102" i="62" a="1"/>
  <c r="Q102" i="62" s="1"/>
  <c r="E64" i="62"/>
  <c r="E65" i="62"/>
  <c r="AH65" i="62"/>
  <c r="F65" i="62" s="1"/>
  <c r="E63" i="62"/>
  <c r="AH63" i="62"/>
  <c r="F63" i="62" s="1"/>
  <c r="AH64" i="62"/>
  <c r="F64" i="62" s="1"/>
  <c r="E435" i="134"/>
  <c r="E82" i="79"/>
  <c r="E86" i="79" s="1"/>
  <c r="F86" i="79" s="1"/>
  <c r="D83" i="79"/>
  <c r="E83" i="79" s="1"/>
  <c r="D71" i="75"/>
  <c r="AH94" i="62" a="1"/>
  <c r="AH94" i="62" s="1"/>
  <c r="F94" i="62" s="1"/>
  <c r="E94" i="62"/>
  <c r="D62" i="127"/>
  <c r="D52" i="127"/>
  <c r="M52" i="127" s="1"/>
  <c r="D67" i="127"/>
  <c r="D46" i="127"/>
  <c r="E46" i="127" s="1"/>
  <c r="D15" i="127"/>
  <c r="D93" i="127"/>
  <c r="D33" i="127"/>
  <c r="E33" i="127" s="1"/>
  <c r="D65" i="127"/>
  <c r="E65" i="127" s="1"/>
  <c r="D29" i="127"/>
  <c r="D66" i="127"/>
  <c r="D16" i="127"/>
  <c r="D31" i="127"/>
  <c r="D48" i="127"/>
  <c r="AH173" i="62"/>
  <c r="F173" i="62" s="1"/>
  <c r="E22" i="120" s="1"/>
  <c r="AH125" i="62"/>
  <c r="AH82" i="62"/>
  <c r="AH62" i="62"/>
  <c r="AH19" i="62"/>
  <c r="F19" i="62" s="1"/>
  <c r="E108" i="62"/>
  <c r="E88" i="62"/>
  <c r="E72" i="62"/>
  <c r="E47" i="62"/>
  <c r="B139" i="79" s="1"/>
  <c r="D142" i="79" s="1"/>
  <c r="D143" i="79" s="1"/>
  <c r="E143" i="79" s="1"/>
  <c r="E25" i="62"/>
  <c r="AH164" i="62"/>
  <c r="F164" i="62" s="1"/>
  <c r="E13" i="120" s="1"/>
  <c r="AH79" i="62"/>
  <c r="AH12" i="62"/>
  <c r="F12" i="62" s="1"/>
  <c r="E80" i="62"/>
  <c r="E38" i="62"/>
  <c r="B91" i="79" s="1"/>
  <c r="D94" i="79" s="1"/>
  <c r="E94" i="79" s="1"/>
  <c r="AH137" i="62"/>
  <c r="G137" i="62" s="1" a="1"/>
  <c r="G137" i="62" s="1"/>
  <c r="E95" i="62"/>
  <c r="E13" i="62"/>
  <c r="AH136" i="62"/>
  <c r="AH25" i="62"/>
  <c r="F25" i="62" s="1"/>
  <c r="E73" i="62"/>
  <c r="B209" i="79" s="1"/>
  <c r="D212" i="79" s="1"/>
  <c r="AH170" i="62"/>
  <c r="F170" i="62" s="1"/>
  <c r="E19" i="120" s="1"/>
  <c r="AH81" i="62"/>
  <c r="AH16" i="62"/>
  <c r="E105" i="62"/>
  <c r="E82" i="62"/>
  <c r="E46" i="62"/>
  <c r="B127" i="79" s="1"/>
  <c r="D130" i="79" s="1"/>
  <c r="E22" i="62"/>
  <c r="E39" i="62"/>
  <c r="AH188" i="62"/>
  <c r="F188" i="62" s="1"/>
  <c r="E37" i="120" s="1"/>
  <c r="AH47" i="62"/>
  <c r="E66" i="62"/>
  <c r="E16" i="62"/>
  <c r="B22" i="79" s="1"/>
  <c r="D25" i="79" s="1"/>
  <c r="E25" i="79" s="1"/>
  <c r="AH32" i="62"/>
  <c r="E74" i="62"/>
  <c r="B220" i="79" s="1"/>
  <c r="D223" i="79" s="1"/>
  <c r="D224" i="79" s="1"/>
  <c r="E224" i="79" s="1"/>
  <c r="AH88" i="62"/>
  <c r="E115" i="62"/>
  <c r="E118" i="62" s="1"/>
  <c r="E50" i="62"/>
  <c r="B107" i="79" s="1"/>
  <c r="D110" i="79" s="1"/>
  <c r="E110" i="79" s="1"/>
  <c r="AH167" i="62"/>
  <c r="F167" i="62" s="1"/>
  <c r="E16" i="120" s="1"/>
  <c r="AH115" i="62"/>
  <c r="AH80" i="62"/>
  <c r="AH53" i="62"/>
  <c r="AH13" i="62"/>
  <c r="F13" i="62" s="1"/>
  <c r="E102" i="62"/>
  <c r="E81" i="62"/>
  <c r="B200" i="79"/>
  <c r="D203" i="79" s="1"/>
  <c r="E203" i="79" s="1"/>
  <c r="E19" i="62"/>
  <c r="B33" i="79" s="1"/>
  <c r="D36" i="79" s="1"/>
  <c r="D37" i="79" s="1"/>
  <c r="E37" i="79" s="1"/>
  <c r="AH185" i="62"/>
  <c r="F185" i="62" s="1"/>
  <c r="E34" i="120" s="1"/>
  <c r="AH161" i="62"/>
  <c r="F161" i="62" s="1"/>
  <c r="E10" i="120" s="1"/>
  <c r="AH105" i="62"/>
  <c r="AH73" i="62"/>
  <c r="AH39" i="62"/>
  <c r="E99" i="62"/>
  <c r="E79" i="62"/>
  <c r="E62" i="62"/>
  <c r="B176" i="79" s="1"/>
  <c r="D179" i="79" s="1"/>
  <c r="E35" i="62"/>
  <c r="E12" i="62"/>
  <c r="AH182" i="62"/>
  <c r="F182" i="62" s="1"/>
  <c r="E31" i="120" s="1"/>
  <c r="AH139" i="62"/>
  <c r="AH102" i="62"/>
  <c r="AH72" i="62"/>
  <c r="F72" i="62" s="1"/>
  <c r="AH35" i="62"/>
  <c r="F35" i="62" s="1"/>
  <c r="E125" i="62"/>
  <c r="E98" i="62"/>
  <c r="E75" i="62"/>
  <c r="E32" i="62"/>
  <c r="B58" i="79" s="1"/>
  <c r="D61" i="79" s="1"/>
  <c r="E61" i="79" s="1"/>
  <c r="AH179" i="62"/>
  <c r="F179" i="62" s="1"/>
  <c r="E28" i="120" s="1"/>
  <c r="E122" i="62"/>
  <c r="B249" i="79" s="1"/>
  <c r="D252" i="79" s="1"/>
  <c r="E252" i="79" s="1"/>
  <c r="E53" i="62"/>
  <c r="B117" i="79" s="1"/>
  <c r="D120" i="79" s="1"/>
  <c r="E120" i="79" s="1"/>
  <c r="AH176" i="62"/>
  <c r="F176" i="62" s="1"/>
  <c r="E25" i="120" s="1"/>
  <c r="AH66" i="62"/>
  <c r="AH75" i="62"/>
  <c r="AH46" i="62"/>
  <c r="AH38" i="62"/>
  <c r="F38" i="62" s="1"/>
  <c r="AH50" i="62"/>
  <c r="AH22" i="62"/>
  <c r="F22" i="62" s="1"/>
  <c r="AH95" i="62"/>
  <c r="AH98" i="62"/>
  <c r="AH122" i="62"/>
  <c r="AH108" i="62" a="1"/>
  <c r="AH108" i="62" s="1"/>
  <c r="AH99" i="62"/>
  <c r="AH74" i="62"/>
  <c r="AH138" i="62"/>
  <c r="D34" i="127"/>
  <c r="D64" i="127"/>
  <c r="D78" i="127"/>
  <c r="E78" i="127" s="1"/>
  <c r="D13" i="127"/>
  <c r="E13" i="127" s="1"/>
  <c r="D47" i="127"/>
  <c r="CK77" i="76"/>
  <c r="CJ77" i="76"/>
  <c r="CQ39" i="76"/>
  <c r="CP39" i="76"/>
  <c r="BI38" i="76"/>
  <c r="CJ120" i="76"/>
  <c r="CJ56" i="76"/>
  <c r="CK56" i="76"/>
  <c r="CK41" i="76"/>
  <c r="CJ41" i="76"/>
  <c r="BI30" i="76"/>
  <c r="BJ30" i="76"/>
  <c r="AB365" i="92"/>
  <c r="Y359" i="92"/>
  <c r="D273" i="92"/>
  <c r="Y72" i="92"/>
  <c r="CJ58" i="76"/>
  <c r="CN81" i="76"/>
  <c r="CP41" i="76"/>
  <c r="C198" i="76"/>
  <c r="C199" i="76" s="1"/>
  <c r="E23" i="75" s="1"/>
  <c r="BR70" i="76"/>
  <c r="F50" i="127"/>
  <c r="BH30" i="76"/>
  <c r="BS66" i="76"/>
  <c r="BH28" i="76"/>
  <c r="CK119" i="76"/>
  <c r="CJ119" i="76"/>
  <c r="CL119" i="76"/>
  <c r="CL99" i="76"/>
  <c r="CK99" i="76"/>
  <c r="CO60" i="76"/>
  <c r="CN60" i="76"/>
  <c r="BK52" i="76"/>
  <c r="BH52" i="76"/>
  <c r="CJ35" i="76"/>
  <c r="CK35" i="76"/>
  <c r="Y396" i="92"/>
  <c r="R391" i="92"/>
  <c r="R383" i="92"/>
  <c r="K376" i="92"/>
  <c r="Y372" i="92"/>
  <c r="G367" i="92"/>
  <c r="G356" i="92"/>
  <c r="AB332" i="92"/>
  <c r="U318" i="92"/>
  <c r="D293" i="92"/>
  <c r="BV99" i="76"/>
  <c r="CD69" i="76"/>
  <c r="CK112" i="76"/>
  <c r="R380" i="92"/>
  <c r="U358" i="92"/>
  <c r="D355" i="92"/>
  <c r="Y344" i="92"/>
  <c r="D327" i="92"/>
  <c r="D84" i="92"/>
  <c r="CC76" i="76"/>
  <c r="BH94" i="76"/>
  <c r="BV108" i="76"/>
  <c r="CK95" i="76"/>
  <c r="CJ95" i="76"/>
  <c r="R389" i="92"/>
  <c r="AB377" i="92"/>
  <c r="U348" i="92"/>
  <c r="F49" i="127"/>
  <c r="F81" i="127"/>
  <c r="CL52" i="76"/>
  <c r="CC124" i="76"/>
  <c r="CD124" i="76"/>
  <c r="BW122" i="76"/>
  <c r="BV122" i="76"/>
  <c r="CP46" i="76"/>
  <c r="BW107" i="76"/>
  <c r="CD68" i="76"/>
  <c r="CC73" i="76"/>
  <c r="CO75" i="76"/>
  <c r="CL95" i="76"/>
  <c r="CD48" i="76"/>
  <c r="BV93" i="76"/>
  <c r="BW93" i="76"/>
  <c r="BH63" i="76"/>
  <c r="BK63" i="76"/>
  <c r="Y387" i="92"/>
  <c r="N375" i="92"/>
  <c r="U359" i="92"/>
  <c r="R299" i="92"/>
  <c r="BK95" i="76"/>
  <c r="BH95" i="76"/>
  <c r="BH47" i="76"/>
  <c r="BJ47" i="76"/>
  <c r="BV104" i="76"/>
  <c r="BW104" i="76"/>
  <c r="R364" i="92"/>
  <c r="AB329" i="92"/>
  <c r="Y266" i="92"/>
  <c r="CJ110" i="76"/>
  <c r="CK110" i="76"/>
  <c r="CL110" i="76"/>
  <c r="CC97" i="76"/>
  <c r="CD97" i="76"/>
  <c r="D377" i="92"/>
  <c r="K356" i="92"/>
  <c r="G345" i="92"/>
  <c r="Y340" i="92"/>
  <c r="CL120" i="76"/>
  <c r="CN80" i="76"/>
  <c r="BS71" i="76"/>
  <c r="BR71" i="76"/>
  <c r="CN68" i="76"/>
  <c r="CO68" i="76"/>
  <c r="CJ52" i="76"/>
  <c r="F35" i="75"/>
  <c r="W198" i="76"/>
  <c r="W199" i="76" s="1"/>
  <c r="BH48" i="76"/>
  <c r="CD127" i="76"/>
  <c r="CL112" i="76"/>
  <c r="CP45" i="76"/>
  <c r="CN61" i="76"/>
  <c r="CK50" i="76"/>
  <c r="BW124" i="76"/>
  <c r="BV124" i="76"/>
  <c r="CL117" i="76"/>
  <c r="BV110" i="76"/>
  <c r="BW110" i="76"/>
  <c r="BK89" i="76"/>
  <c r="BH89" i="76"/>
  <c r="CC82" i="76"/>
  <c r="BH79" i="76"/>
  <c r="BK79" i="76"/>
  <c r="CO76" i="76"/>
  <c r="CN76" i="76"/>
  <c r="BS64" i="76"/>
  <c r="BR64" i="76"/>
  <c r="BK57" i="76"/>
  <c r="CN55" i="76"/>
  <c r="CO55" i="76"/>
  <c r="BJ27" i="76"/>
  <c r="BI27" i="76"/>
  <c r="D395" i="92"/>
  <c r="Y378" i="92"/>
  <c r="K375" i="92"/>
  <c r="Y373" i="92"/>
  <c r="N370" i="92"/>
  <c r="G369" i="92"/>
  <c r="N363" i="92"/>
  <c r="K360" i="92"/>
  <c r="K345" i="92"/>
  <c r="R344" i="92"/>
  <c r="R335" i="92"/>
  <c r="U333" i="92"/>
  <c r="U329" i="92"/>
  <c r="D328" i="92"/>
  <c r="G321" i="92"/>
  <c r="G254" i="92"/>
  <c r="CC117" i="76"/>
  <c r="CD117" i="76"/>
  <c r="CD109" i="76"/>
  <c r="CC109" i="76"/>
  <c r="CL91" i="76"/>
  <c r="CK91" i="76"/>
  <c r="CL77" i="76"/>
  <c r="G402" i="91"/>
  <c r="CC133" i="76"/>
  <c r="CD133" i="76"/>
  <c r="CJ105" i="76"/>
  <c r="CK105" i="76"/>
  <c r="CL105" i="76"/>
  <c r="CD70" i="76"/>
  <c r="CC70" i="76"/>
  <c r="BH66" i="76"/>
  <c r="BK66" i="76"/>
  <c r="AB392" i="92"/>
  <c r="U375" i="92"/>
  <c r="N355" i="92"/>
  <c r="N342" i="92"/>
  <c r="CL56" i="76"/>
  <c r="F53" i="75"/>
  <c r="CL93" i="76"/>
  <c r="CJ93" i="76"/>
  <c r="Y355" i="92"/>
  <c r="BA198" i="76"/>
  <c r="BA199" i="76"/>
  <c r="E95" i="75" s="1"/>
  <c r="CK113" i="76"/>
  <c r="CL113" i="76"/>
  <c r="CJ27" i="76"/>
  <c r="CK27" i="76"/>
  <c r="Q198" i="76"/>
  <c r="Q199" i="76" s="1"/>
  <c r="E43" i="75" s="1"/>
  <c r="CL63" i="76"/>
  <c r="CC62" i="76"/>
  <c r="CK43" i="76"/>
  <c r="CN79" i="76"/>
  <c r="CQ29" i="76"/>
  <c r="BI28" i="76"/>
  <c r="CJ109" i="76"/>
  <c r="CK109" i="76"/>
  <c r="CL109" i="76"/>
  <c r="CC101" i="76"/>
  <c r="CD101" i="76"/>
  <c r="CO97" i="76"/>
  <c r="BH96" i="76"/>
  <c r="CD67" i="76"/>
  <c r="CC67" i="76"/>
  <c r="BS65" i="76"/>
  <c r="BR65" i="76"/>
  <c r="BR59" i="76"/>
  <c r="BS59" i="76"/>
  <c r="R398" i="92"/>
  <c r="D391" i="92"/>
  <c r="Y334" i="92"/>
  <c r="G272" i="92"/>
  <c r="F86" i="75"/>
  <c r="Y397" i="92"/>
  <c r="U396" i="92"/>
  <c r="K396" i="92"/>
  <c r="K386" i="92"/>
  <c r="Y383" i="92"/>
  <c r="U381" i="92"/>
  <c r="N379" i="92"/>
  <c r="K372" i="92"/>
  <c r="R371" i="92"/>
  <c r="Y363" i="92"/>
  <c r="Y361" i="92"/>
  <c r="K358" i="92"/>
  <c r="AB350" i="92"/>
  <c r="K347" i="92"/>
  <c r="G335" i="92"/>
  <c r="G331" i="92"/>
  <c r="U330" i="92"/>
  <c r="N328" i="92"/>
  <c r="G326" i="92"/>
  <c r="R316" i="92"/>
  <c r="G316" i="92"/>
  <c r="G311" i="92"/>
  <c r="Y246" i="92"/>
  <c r="CJ79" i="76"/>
  <c r="D394" i="92"/>
  <c r="R390" i="92"/>
  <c r="G390" i="92"/>
  <c r="Y389" i="92"/>
  <c r="AB388" i="92"/>
  <c r="D385" i="92"/>
  <c r="U382" i="92"/>
  <c r="R376" i="92"/>
  <c r="N367" i="92"/>
  <c r="D365" i="92"/>
  <c r="AB352" i="92"/>
  <c r="U351" i="92"/>
  <c r="K351" i="92"/>
  <c r="U344" i="92"/>
  <c r="N341" i="92"/>
  <c r="G329" i="92"/>
  <c r="R327" i="92"/>
  <c r="K312" i="92"/>
  <c r="D306" i="92"/>
  <c r="N288" i="92"/>
  <c r="N274" i="92"/>
  <c r="AB250" i="92"/>
  <c r="CO63" i="76"/>
  <c r="AB399" i="92"/>
  <c r="N394" i="92"/>
  <c r="G375" i="92"/>
  <c r="D374" i="92"/>
  <c r="N369" i="92"/>
  <c r="K354" i="92"/>
  <c r="G342" i="92"/>
  <c r="R330" i="92"/>
  <c r="Y329" i="92"/>
  <c r="R322" i="92"/>
  <c r="N298" i="92"/>
  <c r="N280" i="92"/>
  <c r="K278" i="92"/>
  <c r="N271" i="92"/>
  <c r="N260" i="92"/>
  <c r="G220" i="92"/>
  <c r="G397" i="92"/>
  <c r="AB382" i="92"/>
  <c r="R377" i="92"/>
  <c r="AB373" i="92"/>
  <c r="AB363" i="92"/>
  <c r="AB347" i="92"/>
  <c r="R343" i="92"/>
  <c r="D332" i="92"/>
  <c r="Y296" i="92"/>
  <c r="K239" i="92"/>
  <c r="G166" i="92"/>
  <c r="R392" i="92"/>
  <c r="D392" i="92"/>
  <c r="G388" i="92"/>
  <c r="N377" i="92"/>
  <c r="N372" i="92"/>
  <c r="U362" i="92"/>
  <c r="U361" i="92"/>
  <c r="AB351" i="92"/>
  <c r="G351" i="92"/>
  <c r="Y349" i="92"/>
  <c r="N340" i="92"/>
  <c r="R337" i="92"/>
  <c r="D324" i="92"/>
  <c r="G322" i="92"/>
  <c r="Y318" i="92"/>
  <c r="R317" i="92"/>
  <c r="AB316" i="92"/>
  <c r="AB296" i="92"/>
  <c r="Y291" i="92"/>
  <c r="U290" i="92"/>
  <c r="G281" i="92"/>
  <c r="K273" i="92"/>
  <c r="AB258" i="92"/>
  <c r="K257" i="92"/>
  <c r="AB252" i="92"/>
  <c r="N252" i="92"/>
  <c r="Y248" i="92"/>
  <c r="Y179" i="92"/>
  <c r="Y281" i="92"/>
  <c r="D281" i="92"/>
  <c r="AB270" i="92"/>
  <c r="AB395" i="92"/>
  <c r="U384" i="92"/>
  <c r="D382" i="92"/>
  <c r="U377" i="92"/>
  <c r="AB376" i="92"/>
  <c r="D375" i="92"/>
  <c r="N361" i="92"/>
  <c r="D361" i="92"/>
  <c r="N350" i="92"/>
  <c r="D348" i="92"/>
  <c r="U347" i="92"/>
  <c r="K343" i="92"/>
  <c r="R342" i="92"/>
  <c r="D341" i="92"/>
  <c r="R339" i="92"/>
  <c r="G339" i="92"/>
  <c r="N331" i="92"/>
  <c r="D331" i="92"/>
  <c r="U323" i="92"/>
  <c r="Y319" i="92"/>
  <c r="N313" i="92"/>
  <c r="K302" i="92"/>
  <c r="G293" i="92"/>
  <c r="D286" i="92"/>
  <c r="G271" i="92"/>
  <c r="G248" i="92"/>
  <c r="Y247" i="92"/>
  <c r="G245" i="92"/>
  <c r="Y235" i="92"/>
  <c r="R349" i="92"/>
  <c r="G343" i="92"/>
  <c r="D333" i="92"/>
  <c r="Y326" i="92"/>
  <c r="AB323" i="92"/>
  <c r="G323" i="92"/>
  <c r="AB315" i="92"/>
  <c r="D312" i="92"/>
  <c r="U302" i="92"/>
  <c r="AB291" i="92"/>
  <c r="D282" i="92"/>
  <c r="G269" i="92"/>
  <c r="D266" i="92"/>
  <c r="Y224" i="92"/>
  <c r="Y211" i="92"/>
  <c r="Y152" i="92"/>
  <c r="R313" i="92"/>
  <c r="AB311" i="92"/>
  <c r="Y306" i="92"/>
  <c r="D305" i="92"/>
  <c r="AB301" i="92"/>
  <c r="Y297" i="92"/>
  <c r="R296" i="92"/>
  <c r="K295" i="92"/>
  <c r="N287" i="92"/>
  <c r="Y285" i="92"/>
  <c r="N285" i="92"/>
  <c r="R282" i="92"/>
  <c r="U280" i="92"/>
  <c r="R279" i="92"/>
  <c r="U274" i="92"/>
  <c r="R272" i="92"/>
  <c r="AB263" i="92"/>
  <c r="G249" i="92"/>
  <c r="G175" i="92"/>
  <c r="D131" i="92"/>
  <c r="AB108" i="92"/>
  <c r="D314" i="92"/>
  <c r="R274" i="92"/>
  <c r="AB269" i="92"/>
  <c r="D268" i="92"/>
  <c r="Y265" i="92"/>
  <c r="N265" i="92"/>
  <c r="Y251" i="92"/>
  <c r="G241" i="92"/>
  <c r="G223" i="92"/>
  <c r="Y207" i="92"/>
  <c r="G206" i="92"/>
  <c r="Y173" i="92"/>
  <c r="G145" i="92"/>
  <c r="D115" i="92"/>
  <c r="AB317" i="92"/>
  <c r="R303" i="92"/>
  <c r="G292" i="92"/>
  <c r="R273" i="92"/>
  <c r="Y269" i="92"/>
  <c r="N269" i="92"/>
  <c r="D261" i="92"/>
  <c r="AB247" i="92"/>
  <c r="G235" i="92"/>
  <c r="K228" i="92"/>
  <c r="Y218" i="92"/>
  <c r="D213" i="92"/>
  <c r="Y198" i="92"/>
  <c r="Y79" i="92"/>
  <c r="K217" i="92"/>
  <c r="AB216" i="92"/>
  <c r="AB178" i="92"/>
  <c r="AB170" i="92"/>
  <c r="D141" i="92"/>
  <c r="G137" i="92"/>
  <c r="Y74" i="92"/>
  <c r="Y108" i="92"/>
  <c r="Y104" i="92"/>
  <c r="G97" i="92"/>
  <c r="AB264" i="92"/>
  <c r="G260" i="92"/>
  <c r="Y256" i="92"/>
  <c r="Y252" i="92"/>
  <c r="D247" i="92"/>
  <c r="G225" i="92"/>
  <c r="AB221" i="92"/>
  <c r="AB201" i="92"/>
  <c r="G194" i="92"/>
  <c r="D153" i="92"/>
  <c r="K236" i="92"/>
  <c r="Y216" i="92"/>
  <c r="Y165" i="92"/>
  <c r="Y157" i="92"/>
  <c r="D112" i="92"/>
  <c r="D202" i="92"/>
  <c r="D155" i="92"/>
  <c r="Y118" i="92"/>
  <c r="Y97" i="92"/>
  <c r="AB167" i="92"/>
  <c r="D150" i="92"/>
  <c r="AB148" i="92"/>
  <c r="D143" i="92"/>
  <c r="AB139" i="92"/>
  <c r="G132" i="92"/>
  <c r="G129" i="92"/>
  <c r="G126" i="92"/>
  <c r="Y125" i="92"/>
  <c r="D122" i="92"/>
  <c r="D105" i="92"/>
  <c r="D99" i="92"/>
  <c r="Y96" i="92"/>
  <c r="Y68" i="92"/>
  <c r="AB175" i="92"/>
  <c r="AB169" i="92"/>
  <c r="Y153" i="92"/>
  <c r="AB127" i="92"/>
  <c r="D190" i="92"/>
  <c r="Y169" i="92"/>
  <c r="D158" i="92"/>
  <c r="G157" i="92"/>
  <c r="G155" i="92"/>
  <c r="Y127" i="92"/>
  <c r="AB113" i="92"/>
  <c r="D37" i="75"/>
  <c r="D90" i="75"/>
  <c r="D58" i="75"/>
  <c r="M58" i="75" s="1"/>
  <c r="E464" i="100"/>
  <c r="E464" i="12"/>
  <c r="E464" i="39"/>
  <c r="FJ95" i="62"/>
  <c r="E464" i="15"/>
  <c r="E464" i="10"/>
  <c r="E464" i="136"/>
  <c r="E464" i="137"/>
  <c r="E464" i="139"/>
  <c r="E464" i="162"/>
  <c r="E464" i="161"/>
  <c r="E464" i="158"/>
  <c r="E464" i="157"/>
  <c r="AC4" i="62"/>
  <c r="E464" i="72"/>
  <c r="FJ122" i="62"/>
  <c r="E464" i="147"/>
  <c r="E464" i="164"/>
  <c r="D18" i="75"/>
  <c r="D73" i="75"/>
  <c r="D32" i="127"/>
  <c r="D63" i="127"/>
  <c r="E63" i="127" s="1"/>
  <c r="D33" i="75"/>
  <c r="D45" i="127"/>
  <c r="D50" i="127"/>
  <c r="E50" i="127" s="1"/>
  <c r="D53" i="75"/>
  <c r="D36" i="75"/>
  <c r="D18" i="127"/>
  <c r="D79" i="127"/>
  <c r="D82" i="127"/>
  <c r="D83" i="127"/>
  <c r="E83" i="127" s="1"/>
  <c r="D80" i="127"/>
  <c r="E80" i="127" s="1"/>
  <c r="D14" i="75"/>
  <c r="D35" i="75"/>
  <c r="D49" i="127"/>
  <c r="D74" i="75"/>
  <c r="D38" i="75"/>
  <c r="D86" i="75"/>
  <c r="D30" i="127"/>
  <c r="E30" i="127" s="1"/>
  <c r="D81" i="127"/>
  <c r="D69" i="75"/>
  <c r="D16" i="75"/>
  <c r="E463" i="122"/>
  <c r="E463" i="100"/>
  <c r="E463" i="98"/>
  <c r="E463" i="72"/>
  <c r="E463" i="71"/>
  <c r="FJ38" i="62"/>
  <c r="E463" i="12"/>
  <c r="FJ39" i="62"/>
  <c r="E463" i="39"/>
  <c r="E463" i="15"/>
  <c r="E463" i="10"/>
  <c r="E463" i="136"/>
  <c r="E463" i="137"/>
  <c r="E463" i="125"/>
  <c r="E463" i="143"/>
  <c r="E463" i="139"/>
  <c r="E463" i="161"/>
  <c r="FJ125" i="62"/>
  <c r="E463" i="159"/>
  <c r="E463" i="158"/>
  <c r="E463" i="147"/>
  <c r="E463" i="166"/>
  <c r="E463" i="164"/>
  <c r="D17" i="75"/>
  <c r="D70" i="75"/>
  <c r="D54" i="75"/>
  <c r="D89" i="75"/>
  <c r="D103" i="75"/>
  <c r="D88" i="75"/>
  <c r="D56" i="75"/>
  <c r="D51" i="75"/>
  <c r="D52" i="75"/>
  <c r="D72" i="75"/>
  <c r="D87" i="75"/>
  <c r="D55" i="75"/>
  <c r="D15" i="75"/>
  <c r="E47" i="79"/>
  <c r="E49" i="79" s="1"/>
  <c r="D49" i="79"/>
  <c r="D50" i="79" s="1"/>
  <c r="D165" i="79"/>
  <c r="E165" i="79" s="1"/>
  <c r="D166" i="79"/>
  <c r="E164" i="79"/>
  <c r="E166" i="79" s="1"/>
  <c r="D156" i="79"/>
  <c r="F156" i="79" s="1"/>
  <c r="D1" i="123" s="1"/>
  <c r="D153" i="79"/>
  <c r="E153" i="79" s="1"/>
  <c r="D48" i="79"/>
  <c r="E48" i="79" s="1"/>
  <c r="E18" i="75"/>
  <c r="D17" i="79"/>
  <c r="D18" i="79" s="1"/>
  <c r="E14" i="79"/>
  <c r="E17" i="79" s="1"/>
  <c r="D15" i="79"/>
  <c r="E15" i="79" s="1"/>
  <c r="B47" i="114"/>
  <c r="H47" i="114" s="1"/>
  <c r="C47" i="114"/>
  <c r="K47" i="114" s="1"/>
  <c r="E462" i="31"/>
  <c r="FJ32" i="62"/>
  <c r="E462" i="100"/>
  <c r="E462" i="72"/>
  <c r="E462" i="12"/>
  <c r="E462" i="136"/>
  <c r="E462" i="137"/>
  <c r="E462" i="25"/>
  <c r="E462" i="125"/>
  <c r="AC47" i="62"/>
  <c r="E51" i="75" s="1"/>
  <c r="E462" i="143"/>
  <c r="E462" i="139"/>
  <c r="E462" i="162"/>
  <c r="E462" i="158"/>
  <c r="E462" i="147"/>
  <c r="E462" i="164"/>
  <c r="E461" i="122"/>
  <c r="E461" i="100"/>
  <c r="E461" i="31"/>
  <c r="E461" i="15"/>
  <c r="E461" i="10"/>
  <c r="E461" i="136"/>
  <c r="E461" i="137"/>
  <c r="E461" i="143"/>
  <c r="E461" i="139"/>
  <c r="E461" i="162"/>
  <c r="E461" i="158"/>
  <c r="E461" i="147"/>
  <c r="E461" i="166"/>
  <c r="E461" i="164"/>
  <c r="D14" i="127"/>
  <c r="AC1" i="62"/>
  <c r="AB1" i="120" s="1"/>
  <c r="A2" i="114" s="1"/>
  <c r="E188" i="62"/>
  <c r="D37" i="120" s="1"/>
  <c r="E164" i="62"/>
  <c r="D13" i="120" s="1"/>
  <c r="E176" i="62"/>
  <c r="D25" i="120" s="1"/>
  <c r="E161" i="62"/>
  <c r="D10" i="120" s="1"/>
  <c r="AH165" i="62"/>
  <c r="F165" i="62" s="1"/>
  <c r="E14" i="120" s="1"/>
  <c r="AH116" i="62"/>
  <c r="F116" i="62" s="1"/>
  <c r="AC152" i="62"/>
  <c r="E167" i="62"/>
  <c r="D16" i="120" s="1"/>
  <c r="AI8" i="62"/>
  <c r="E179" i="62"/>
  <c r="D28" i="120" s="1"/>
  <c r="E173" i="62"/>
  <c r="D22" i="120" s="1"/>
  <c r="E170" i="62"/>
  <c r="D19" i="120" s="1"/>
  <c r="E185" i="62"/>
  <c r="D34" i="120" s="1"/>
  <c r="E182" i="62"/>
  <c r="D31" i="120" s="1"/>
  <c r="BZ298" i="9"/>
  <c r="BY298" i="9"/>
  <c r="BY267" i="9"/>
  <c r="BZ267" i="9"/>
  <c r="BY249" i="9"/>
  <c r="BZ249" i="9"/>
  <c r="BE3" i="9"/>
  <c r="F18" i="127"/>
  <c r="CC122" i="76"/>
  <c r="CD122" i="76"/>
  <c r="CC55" i="76"/>
  <c r="CD55" i="76"/>
  <c r="CP42" i="76"/>
  <c r="AY195" i="76" s="1"/>
  <c r="F94" i="75" s="1"/>
  <c r="AY198" i="76" a="1"/>
  <c r="AY198" i="76" s="1"/>
  <c r="AU198" i="76" a="1"/>
  <c r="AU198" i="76" s="1"/>
  <c r="AU199" i="76" s="1"/>
  <c r="CN42" i="76"/>
  <c r="CQ40" i="76"/>
  <c r="CP40" i="76"/>
  <c r="BJ39" i="76"/>
  <c r="BH39" i="76"/>
  <c r="BI39" i="76"/>
  <c r="Y98" i="92"/>
  <c r="E382" i="97"/>
  <c r="E382" i="49"/>
  <c r="E381" i="49"/>
  <c r="E381" i="98"/>
  <c r="E381" i="97"/>
  <c r="BD380" i="9"/>
  <c r="BE380" i="9" s="1"/>
  <c r="BC380" i="9"/>
  <c r="BZ301" i="9"/>
  <c r="BY301" i="9"/>
  <c r="BZ296" i="9"/>
  <c r="BY296" i="9"/>
  <c r="FJ13" i="62"/>
  <c r="AC13" i="62"/>
  <c r="AY199" i="76"/>
  <c r="E94" i="75" s="1"/>
  <c r="CF70" i="76"/>
  <c r="AC195" i="76" s="1"/>
  <c r="F60" i="75" s="1"/>
  <c r="AC198" i="76" a="1"/>
  <c r="AC198" i="76" s="1"/>
  <c r="AC199" i="76" s="1"/>
  <c r="E60" i="75" s="1"/>
  <c r="CO64" i="76"/>
  <c r="CN64" i="76"/>
  <c r="E373" i="49"/>
  <c r="E373" i="97"/>
  <c r="F70" i="75" s="1"/>
  <c r="E373" i="98"/>
  <c r="BY370" i="9"/>
  <c r="BZ370" i="9"/>
  <c r="BZ322" i="9"/>
  <c r="BY322" i="9"/>
  <c r="BZ308" i="9"/>
  <c r="BY308" i="9"/>
  <c r="F73" i="75"/>
  <c r="F67" i="127"/>
  <c r="F74" i="75"/>
  <c r="BD379" i="9"/>
  <c r="BE379" i="9" s="1"/>
  <c r="BC379" i="9"/>
  <c r="BD374" i="9"/>
  <c r="BE374" i="9" s="1"/>
  <c r="BC374" i="9"/>
  <c r="BZ349" i="9"/>
  <c r="BY349" i="9"/>
  <c r="BY344" i="9"/>
  <c r="BZ344" i="9"/>
  <c r="BE11" i="9"/>
  <c r="F34" i="127"/>
  <c r="F38" i="75"/>
  <c r="E404" i="49"/>
  <c r="BZ331" i="9"/>
  <c r="BY331" i="9"/>
  <c r="BY276" i="9"/>
  <c r="BZ276" i="9"/>
  <c r="BZ124" i="76"/>
  <c r="AI195" i="76" s="1"/>
  <c r="AI198" i="76" a="1"/>
  <c r="AI198" i="76" s="1"/>
  <c r="AI199" i="76" s="1"/>
  <c r="BN104" i="76"/>
  <c r="O195" i="76" s="1"/>
  <c r="O198" i="76" a="1"/>
  <c r="O198" i="76" s="1"/>
  <c r="O199" i="76" s="1"/>
  <c r="BY377" i="9"/>
  <c r="BZ377" i="9"/>
  <c r="BY361" i="9"/>
  <c r="BZ355" i="9"/>
  <c r="BY355" i="9"/>
  <c r="BZ326" i="9"/>
  <c r="BY326" i="9"/>
  <c r="BZ319" i="9"/>
  <c r="BY319" i="9"/>
  <c r="F63" i="75"/>
  <c r="E192" i="79"/>
  <c r="E196" i="79" s="1"/>
  <c r="D196" i="79"/>
  <c r="D197" i="79" s="1"/>
  <c r="D193" i="79"/>
  <c r="E193" i="79" s="1"/>
  <c r="BZ286" i="9"/>
  <c r="BY286" i="9"/>
  <c r="H51" i="127"/>
  <c r="H57" i="75"/>
  <c r="BE195" i="76"/>
  <c r="CN83" i="76"/>
  <c r="CO83" i="76"/>
  <c r="U195" i="76"/>
  <c r="F93" i="127"/>
  <c r="E414" i="97"/>
  <c r="E414" i="98"/>
  <c r="BY378" i="9"/>
  <c r="BZ378" i="9"/>
  <c r="BZ366" i="9"/>
  <c r="BY366" i="9"/>
  <c r="BY316" i="9"/>
  <c r="BY277" i="9"/>
  <c r="BZ277" i="9"/>
  <c r="F14" i="75"/>
  <c r="F15" i="127"/>
  <c r="F25" i="127" s="1"/>
  <c r="F15" i="75"/>
  <c r="F29" i="75" s="1"/>
  <c r="F16" i="75"/>
  <c r="F47" i="127"/>
  <c r="F79" i="127"/>
  <c r="E199" i="76"/>
  <c r="E25" i="75" s="1"/>
  <c r="BH60" i="76"/>
  <c r="BK60" i="76"/>
  <c r="CD54" i="76"/>
  <c r="CC54" i="76"/>
  <c r="K335" i="92"/>
  <c r="AB334" i="92"/>
  <c r="D301" i="92"/>
  <c r="N257" i="92"/>
  <c r="E104" i="75"/>
  <c r="E94" i="127"/>
  <c r="E401" i="49"/>
  <c r="E401" i="98"/>
  <c r="E401" i="97"/>
  <c r="BZ287" i="9"/>
  <c r="BY287" i="9"/>
  <c r="BY279" i="9"/>
  <c r="D13" i="75"/>
  <c r="L13" i="75"/>
  <c r="BC195" i="76"/>
  <c r="CK93" i="76"/>
  <c r="BH93" i="76"/>
  <c r="BK93" i="76"/>
  <c r="CN91" i="76"/>
  <c r="CD56" i="76"/>
  <c r="CD51" i="76"/>
  <c r="CC51" i="76"/>
  <c r="AE195" i="76" s="1"/>
  <c r="AG198" i="76" a="1"/>
  <c r="AG198" i="76" s="1"/>
  <c r="AG199" i="76" s="1"/>
  <c r="AE198" i="76" a="1"/>
  <c r="AE198" i="76" s="1"/>
  <c r="AE199" i="76" s="1"/>
  <c r="AQ198" i="76" a="1"/>
  <c r="AQ198" i="76" s="1"/>
  <c r="AQ199" i="76" s="1"/>
  <c r="AO198" i="76" a="1"/>
  <c r="AO198" i="76" s="1"/>
  <c r="AO199" i="76" s="1"/>
  <c r="CJ44" i="76"/>
  <c r="BZ401" i="9"/>
  <c r="BZ386" i="9"/>
  <c r="BZ385" i="9"/>
  <c r="E383" i="98"/>
  <c r="E383" i="97"/>
  <c r="C42" i="114" a="1"/>
  <c r="C42" i="114" s="1"/>
  <c r="C43" i="114" s="1"/>
  <c r="BY352" i="9"/>
  <c r="BY283" i="9"/>
  <c r="BZ274" i="9"/>
  <c r="BY274" i="9"/>
  <c r="BZ252" i="9"/>
  <c r="BY252" i="9"/>
  <c r="BY245" i="9"/>
  <c r="BZ245" i="9"/>
  <c r="F78" i="127"/>
  <c r="L23" i="75"/>
  <c r="D23" i="75"/>
  <c r="M23" i="75" s="1"/>
  <c r="CL108" i="76"/>
  <c r="CK108" i="76"/>
  <c r="CJ108" i="76"/>
  <c r="CD107" i="76"/>
  <c r="CC107" i="76"/>
  <c r="CJ98" i="76"/>
  <c r="CK98" i="76"/>
  <c r="CL98" i="76"/>
  <c r="CO92" i="76"/>
  <c r="CN92" i="76"/>
  <c r="S198" i="76" a="1"/>
  <c r="S198" i="76" s="1"/>
  <c r="S199" i="76" s="1"/>
  <c r="E42" i="75" s="1"/>
  <c r="BR57" i="76"/>
  <c r="BS57" i="76"/>
  <c r="BZ375" i="9"/>
  <c r="BY375" i="9"/>
  <c r="BY374" i="9"/>
  <c r="BZ333" i="9"/>
  <c r="BY333" i="9"/>
  <c r="BY306" i="9"/>
  <c r="L91" i="75"/>
  <c r="D91" i="75"/>
  <c r="CN62" i="76"/>
  <c r="CO62" i="76"/>
  <c r="BK59" i="76"/>
  <c r="BH59" i="76"/>
  <c r="CN57" i="76"/>
  <c r="AW198" i="76" a="1"/>
  <c r="AW198" i="76" s="1"/>
  <c r="AW199" i="76" s="1"/>
  <c r="CJ34" i="76"/>
  <c r="CK34" i="76"/>
  <c r="CK30" i="76"/>
  <c r="CJ30" i="76"/>
  <c r="BH29" i="76"/>
  <c r="BI29" i="76"/>
  <c r="N356" i="92"/>
  <c r="K340" i="92"/>
  <c r="U339" i="92"/>
  <c r="K338" i="92"/>
  <c r="D338" i="92"/>
  <c r="Y337" i="92"/>
  <c r="AB336" i="92"/>
  <c r="E376" i="49"/>
  <c r="E376" i="98"/>
  <c r="E376" i="97"/>
  <c r="BZ324" i="9"/>
  <c r="BY324" i="9"/>
  <c r="BY291" i="9"/>
  <c r="BZ291" i="9"/>
  <c r="BZ261" i="9"/>
  <c r="BY261" i="9"/>
  <c r="J97" i="79"/>
  <c r="CD130" i="76"/>
  <c r="BW128" i="76"/>
  <c r="BV128" i="76"/>
  <c r="Y198" i="76" a="1"/>
  <c r="Y198" i="76" s="1"/>
  <c r="Y199" i="76" s="1"/>
  <c r="BV120" i="76"/>
  <c r="CK81" i="76"/>
  <c r="CJ81" i="76"/>
  <c r="CL81" i="76"/>
  <c r="CJ80" i="76"/>
  <c r="CK80" i="76"/>
  <c r="CK64" i="76"/>
  <c r="CL64" i="76"/>
  <c r="AS198" i="76" a="1"/>
  <c r="AS198" i="76" s="1"/>
  <c r="AS199" i="76" s="1"/>
  <c r="CJ64" i="76"/>
  <c r="W195" i="76"/>
  <c r="BZ398" i="9"/>
  <c r="F83" i="127"/>
  <c r="F89" i="127" s="1"/>
  <c r="F91" i="75"/>
  <c r="F99" i="75" s="1"/>
  <c r="F82" i="127"/>
  <c r="CC86" i="76"/>
  <c r="CD86" i="76"/>
  <c r="CD83" i="76"/>
  <c r="CC83" i="76"/>
  <c r="CJ37" i="76"/>
  <c r="CK37" i="76"/>
  <c r="U360" i="92"/>
  <c r="N360" i="92"/>
  <c r="G360" i="92"/>
  <c r="AB359" i="92"/>
  <c r="D359" i="92"/>
  <c r="B237" i="79"/>
  <c r="D237" i="79" s="1"/>
  <c r="BY362" i="9"/>
  <c r="BY266" i="9"/>
  <c r="BY260" i="9"/>
  <c r="F13" i="75"/>
  <c r="F14" i="127"/>
  <c r="N374" i="92"/>
  <c r="K369" i="92"/>
  <c r="Y358" i="92"/>
  <c r="U352" i="92"/>
  <c r="AB341" i="92"/>
  <c r="Y338" i="92"/>
  <c r="K336" i="92"/>
  <c r="D336" i="92"/>
  <c r="G334" i="92"/>
  <c r="G278" i="92"/>
  <c r="B43" i="114"/>
  <c r="D72" i="79"/>
  <c r="D74" i="79"/>
  <c r="E398" i="98"/>
  <c r="E398" i="97"/>
  <c r="E397" i="49"/>
  <c r="E397" i="97"/>
  <c r="E397" i="98"/>
  <c r="E395" i="49"/>
  <c r="E395" i="97"/>
  <c r="BC378" i="9"/>
  <c r="BD378" i="9"/>
  <c r="BE378" i="9" s="1"/>
  <c r="BY368" i="9"/>
  <c r="BZ368" i="9"/>
  <c r="BC367" i="9"/>
  <c r="BY354" i="9"/>
  <c r="BZ348" i="9"/>
  <c r="BY348" i="9"/>
  <c r="BY328" i="9"/>
  <c r="BY320" i="9"/>
  <c r="BY272" i="9"/>
  <c r="BZ272" i="9"/>
  <c r="AA198" i="76" a="1"/>
  <c r="AA198" i="76" s="1"/>
  <c r="AA199" i="76" s="1"/>
  <c r="BX140" i="76"/>
  <c r="AA195" i="76" s="1"/>
  <c r="BL104" i="76"/>
  <c r="M195" i="76" s="1"/>
  <c r="M198" i="76" a="1"/>
  <c r="M198" i="76" s="1"/>
  <c r="M199" i="76" s="1"/>
  <c r="BH54" i="76"/>
  <c r="K198" i="76" a="1"/>
  <c r="K198" i="76" s="1"/>
  <c r="K199" i="76" s="1"/>
  <c r="E22" i="75" s="1"/>
  <c r="BH36" i="76"/>
  <c r="BI36" i="76"/>
  <c r="F46" i="75"/>
  <c r="BC366" i="9"/>
  <c r="E394" i="97"/>
  <c r="E394" i="98"/>
  <c r="E394" i="49"/>
  <c r="BD373" i="9"/>
  <c r="BE373" i="9" s="1"/>
  <c r="BY358" i="9"/>
  <c r="BY345" i="9"/>
  <c r="BZ345" i="9"/>
  <c r="BZ325" i="9"/>
  <c r="BY325" i="9"/>
  <c r="BY307" i="9"/>
  <c r="BY294" i="9"/>
  <c r="BZ294" i="9"/>
  <c r="BY271" i="9"/>
  <c r="BY259" i="9"/>
  <c r="BP100" i="76"/>
  <c r="I195" i="76" s="1"/>
  <c r="I198" i="76" a="1"/>
  <c r="I198" i="76" s="1"/>
  <c r="I199" i="76" s="1"/>
  <c r="CA91" i="76"/>
  <c r="AK195" i="76" s="1"/>
  <c r="AK198" i="76" a="1"/>
  <c r="AK198" i="76" s="1"/>
  <c r="CK73" i="76"/>
  <c r="CL73" i="76"/>
  <c r="CJ73" i="76"/>
  <c r="CL71" i="76"/>
  <c r="CJ71" i="76"/>
  <c r="CK71" i="76"/>
  <c r="AQ195" i="76" s="1"/>
  <c r="AM195" i="76"/>
  <c r="F78" i="75" s="1"/>
  <c r="BI41" i="76"/>
  <c r="E195" i="76" s="1" a="1"/>
  <c r="E195" i="76" s="1"/>
  <c r="F25" i="75" s="1"/>
  <c r="BJ41" i="76"/>
  <c r="G195" i="76" s="1" a="1"/>
  <c r="G195" i="76" s="1"/>
  <c r="F24" i="75" s="1"/>
  <c r="G198" i="76" a="1"/>
  <c r="G198" i="76" s="1"/>
  <c r="BH34" i="76"/>
  <c r="BI34" i="76"/>
  <c r="BJ34" i="76"/>
  <c r="BI32" i="76"/>
  <c r="BH32" i="76"/>
  <c r="BJ32" i="76"/>
  <c r="CK28" i="76"/>
  <c r="CJ28" i="76"/>
  <c r="BZ394" i="9"/>
  <c r="F32" i="127"/>
  <c r="F40" i="127" s="1"/>
  <c r="Y379" i="92"/>
  <c r="K346" i="92"/>
  <c r="D346" i="92"/>
  <c r="R345" i="92"/>
  <c r="K304" i="92"/>
  <c r="BY373" i="9"/>
  <c r="BZ373" i="9"/>
  <c r="BY371" i="9"/>
  <c r="BZ367" i="9"/>
  <c r="BY367" i="9"/>
  <c r="BY335" i="9"/>
  <c r="BY293" i="9"/>
  <c r="BZ293" i="9"/>
  <c r="BY290" i="9"/>
  <c r="BZ290" i="9"/>
  <c r="BY263" i="9"/>
  <c r="BZ263" i="9"/>
  <c r="F33" i="75"/>
  <c r="F34" i="75"/>
  <c r="F47" i="75" s="1"/>
  <c r="F54" i="75"/>
  <c r="AK199" i="76"/>
  <c r="CC81" i="76"/>
  <c r="CD81" i="76"/>
  <c r="BK73" i="76"/>
  <c r="BH73" i="76"/>
  <c r="G394" i="92"/>
  <c r="R382" i="92"/>
  <c r="D379" i="92"/>
  <c r="K355" i="92"/>
  <c r="F103" i="75"/>
  <c r="E387" i="98"/>
  <c r="E387" i="49"/>
  <c r="E377" i="49"/>
  <c r="E377" i="97"/>
  <c r="BY340" i="9"/>
  <c r="BZ340" i="9"/>
  <c r="BY323" i="9"/>
  <c r="BY289" i="9"/>
  <c r="BY269" i="9"/>
  <c r="BZ269" i="9"/>
  <c r="BY262" i="9"/>
  <c r="BZ262" i="9"/>
  <c r="F48" i="127"/>
  <c r="F66" i="127"/>
  <c r="F65" i="127"/>
  <c r="F73" i="127" s="1"/>
  <c r="BC199" i="76"/>
  <c r="G199" i="76"/>
  <c r="E24" i="75" s="1"/>
  <c r="CJ100" i="76"/>
  <c r="CK100" i="76"/>
  <c r="CL100" i="76"/>
  <c r="CJ89" i="76"/>
  <c r="CL89" i="76"/>
  <c r="D397" i="92"/>
  <c r="K384" i="92"/>
  <c r="D369" i="92"/>
  <c r="G366" i="92"/>
  <c r="U357" i="92"/>
  <c r="R355" i="92"/>
  <c r="BZ413" i="9"/>
  <c r="B42" i="114" a="1"/>
  <c r="B42" i="114" s="1"/>
  <c r="BZ381" i="9"/>
  <c r="BY357" i="9"/>
  <c r="BY247" i="9"/>
  <c r="BY240" i="9"/>
  <c r="F18" i="75"/>
  <c r="F90" i="75"/>
  <c r="N383" i="92"/>
  <c r="K379" i="92"/>
  <c r="K367" i="92"/>
  <c r="G364" i="92"/>
  <c r="D347" i="92"/>
  <c r="R324" i="92"/>
  <c r="G324" i="92"/>
  <c r="BZ396" i="9"/>
  <c r="BZ390" i="9"/>
  <c r="F87" i="75"/>
  <c r="U198" i="76" a="1"/>
  <c r="U198" i="76" s="1"/>
  <c r="U199" i="76" s="1"/>
  <c r="G325" i="92"/>
  <c r="BD367" i="9"/>
  <c r="BE367" i="9" s="1"/>
  <c r="BY314" i="9"/>
  <c r="BY295" i="9"/>
  <c r="BY285" i="9"/>
  <c r="BY241" i="9"/>
  <c r="F13" i="127"/>
  <c r="F80" i="127"/>
  <c r="AB383" i="92"/>
  <c r="R353" i="92"/>
  <c r="G344" i="92"/>
  <c r="D322" i="92"/>
  <c r="D390" i="92"/>
  <c r="G384" i="92"/>
  <c r="AB381" i="92"/>
  <c r="R354" i="92"/>
  <c r="D354" i="92"/>
  <c r="AB348" i="92"/>
  <c r="R348" i="92"/>
  <c r="D400" i="92"/>
  <c r="D388" i="92"/>
  <c r="R362" i="92"/>
  <c r="G346" i="92"/>
  <c r="Y315" i="92"/>
  <c r="AB298" i="92"/>
  <c r="E427" i="144"/>
  <c r="R397" i="92"/>
  <c r="D389" i="92"/>
  <c r="AB374" i="92"/>
  <c r="K366" i="92"/>
  <c r="G365" i="92"/>
  <c r="Y354" i="92"/>
  <c r="U343" i="92"/>
  <c r="D323" i="92"/>
  <c r="N396" i="92"/>
  <c r="Y394" i="92"/>
  <c r="D383" i="92"/>
  <c r="AB366" i="92"/>
  <c r="Y360" i="92"/>
  <c r="D357" i="92"/>
  <c r="R356" i="92"/>
  <c r="Y347" i="92"/>
  <c r="N346" i="92"/>
  <c r="U335" i="92"/>
  <c r="G330" i="92"/>
  <c r="AB342" i="92"/>
  <c r="K333" i="92"/>
  <c r="K331" i="92"/>
  <c r="N308" i="92"/>
  <c r="G318" i="92"/>
  <c r="R314" i="92"/>
  <c r="U269" i="92"/>
  <c r="Y185" i="92"/>
  <c r="D340" i="92"/>
  <c r="AB314" i="92"/>
  <c r="G282" i="92"/>
  <c r="D264" i="92"/>
  <c r="Y261" i="92"/>
  <c r="U311" i="92"/>
  <c r="U309" i="92"/>
  <c r="N306" i="92"/>
  <c r="Y304" i="92"/>
  <c r="D280" i="92"/>
  <c r="U279" i="92"/>
  <c r="K250" i="92"/>
  <c r="R249" i="92"/>
  <c r="D303" i="92"/>
  <c r="AB299" i="92"/>
  <c r="D290" i="92"/>
  <c r="K281" i="92"/>
  <c r="FJ102" i="62"/>
  <c r="E427" i="129"/>
  <c r="R302" i="92"/>
  <c r="AB288" i="92"/>
  <c r="D284" i="92"/>
  <c r="Y262" i="92"/>
  <c r="R239" i="92"/>
  <c r="N279" i="92"/>
  <c r="R253" i="92"/>
  <c r="G147" i="92"/>
  <c r="E431" i="157"/>
  <c r="N293" i="92"/>
  <c r="G264" i="92"/>
  <c r="FJ53" i="62"/>
  <c r="E427" i="15"/>
  <c r="E431" i="71"/>
  <c r="U306" i="92"/>
  <c r="N295" i="92"/>
  <c r="AB279" i="92"/>
  <c r="U278" i="92"/>
  <c r="G274" i="92"/>
  <c r="D221" i="92"/>
  <c r="K214" i="92"/>
  <c r="G180" i="92"/>
  <c r="AB119" i="92"/>
  <c r="K225" i="92"/>
  <c r="AB223" i="92"/>
  <c r="AB202" i="92"/>
  <c r="D189" i="92"/>
  <c r="F17" i="75"/>
  <c r="E460" i="125"/>
  <c r="AH17" i="62"/>
  <c r="F17" i="62" s="1"/>
  <c r="FL53" i="62"/>
  <c r="FM53" i="62" s="1"/>
  <c r="N239" i="92"/>
  <c r="D219" i="92"/>
  <c r="AB120" i="92"/>
  <c r="Y109" i="92"/>
  <c r="E456" i="164"/>
  <c r="K220" i="92"/>
  <c r="G195" i="92"/>
  <c r="Y151" i="92"/>
  <c r="D140" i="92"/>
  <c r="E427" i="139"/>
  <c r="G229" i="92"/>
  <c r="E427" i="146"/>
  <c r="FJ12" i="62"/>
  <c r="E427" i="10"/>
  <c r="FJ46" i="62"/>
  <c r="D86" i="92"/>
  <c r="FJ74" i="62"/>
  <c r="E414" i="136"/>
  <c r="FJ79" i="62"/>
  <c r="E440" i="49"/>
  <c r="AH54" i="62"/>
  <c r="FJ47" i="62"/>
  <c r="E427" i="125"/>
  <c r="E431" i="137"/>
  <c r="FJ50" i="62"/>
  <c r="AC82" i="62" a="1"/>
  <c r="FJ73" i="62"/>
  <c r="FJ16" i="62"/>
  <c r="FJ35" i="62"/>
  <c r="FJ22" i="62"/>
  <c r="E454" i="98"/>
  <c r="AH180" i="62"/>
  <c r="AH103" i="62"/>
  <c r="F103" i="62" s="1"/>
  <c r="E460" i="72"/>
  <c r="AH23" i="62"/>
  <c r="F23" i="62" s="1"/>
  <c r="E460" i="169"/>
  <c r="E460" i="143"/>
  <c r="E460" i="15"/>
  <c r="FL25" i="62"/>
  <c r="AC98" i="62"/>
  <c r="E460" i="159"/>
  <c r="AC125" i="62"/>
  <c r="FL32" i="62"/>
  <c r="FM32" i="62" s="1"/>
  <c r="E460" i="71"/>
  <c r="E460" i="144"/>
  <c r="AH189" i="62"/>
  <c r="AC188" i="62"/>
  <c r="AB37" i="120" s="1"/>
  <c r="AH174" i="62"/>
  <c r="F174" i="62" s="1"/>
  <c r="AH33" i="62"/>
  <c r="E460" i="161"/>
  <c r="AE460" i="9"/>
  <c r="E460" i="160"/>
  <c r="AH123" i="62"/>
  <c r="E460" i="137"/>
  <c r="AC164" i="62"/>
  <c r="AB13" i="120" s="1"/>
  <c r="AH100" i="62"/>
  <c r="E460" i="136"/>
  <c r="E460" i="134"/>
  <c r="AC176" i="62"/>
  <c r="AB25" i="120" s="1"/>
  <c r="E460" i="158"/>
  <c r="AH67" i="62"/>
  <c r="E460" i="157"/>
  <c r="AH40" i="62"/>
  <c r="AH177" i="62"/>
  <c r="AH126" i="62"/>
  <c r="E460" i="12"/>
  <c r="AC75" i="62"/>
  <c r="AH76" i="62"/>
  <c r="E460" i="129"/>
  <c r="E460" i="31"/>
  <c r="AH68" i="62"/>
  <c r="AH26" i="62"/>
  <c r="F26" i="62" s="1"/>
  <c r="AH14" i="62"/>
  <c r="E460" i="13"/>
  <c r="AH20" i="62"/>
  <c r="E460" i="25"/>
  <c r="AH162" i="62"/>
  <c r="E460" i="39"/>
  <c r="E460" i="139"/>
  <c r="AH96" i="62"/>
  <c r="AH106" i="62"/>
  <c r="AC167" i="62"/>
  <c r="AB16" i="120" s="1"/>
  <c r="E460" i="164"/>
  <c r="AH168" i="62"/>
  <c r="E460" i="165"/>
  <c r="AH186" i="62"/>
  <c r="AC185" i="62"/>
  <c r="AB34" i="120" s="1"/>
  <c r="E460" i="145"/>
  <c r="E460" i="146"/>
  <c r="AC79" i="62"/>
  <c r="E460" i="147"/>
  <c r="AH83" i="62"/>
  <c r="E460" i="148"/>
  <c r="AH183" i="62"/>
  <c r="E460" i="122"/>
  <c r="AH48" i="62"/>
  <c r="N460" i="9"/>
  <c r="AU460" i="9"/>
  <c r="E460" i="23"/>
  <c r="AH171" i="62"/>
  <c r="AC170" i="62"/>
  <c r="AB19" i="120" s="1"/>
  <c r="AH51" i="62"/>
  <c r="E460" i="82"/>
  <c r="AH109" i="62"/>
  <c r="E460" i="166"/>
  <c r="E460" i="11"/>
  <c r="AH36" i="62"/>
  <c r="E460" i="100"/>
  <c r="AC179" i="62"/>
  <c r="AB28" i="120" s="1"/>
  <c r="E460" i="142"/>
  <c r="E460" i="162"/>
  <c r="AI94" i="62" l="1" a="1"/>
  <c r="AI94" i="62" s="1"/>
  <c r="AI64" i="62"/>
  <c r="AI65" i="62"/>
  <c r="AI63" i="62"/>
  <c r="D84" i="79"/>
  <c r="F166" i="79"/>
  <c r="D1" i="124" s="1"/>
  <c r="F49" i="79"/>
  <c r="AI176" i="62"/>
  <c r="AI179" i="62"/>
  <c r="AI125" i="62"/>
  <c r="AI185" i="62"/>
  <c r="AI173" i="62"/>
  <c r="AI122" i="62"/>
  <c r="AI108" i="62" a="1"/>
  <c r="AI108" i="62" s="1"/>
  <c r="AI164" i="62"/>
  <c r="AI95" i="62"/>
  <c r="AI73" i="62"/>
  <c r="AI182" i="62"/>
  <c r="AI188" i="62"/>
  <c r="AI115" i="62"/>
  <c r="AI74" i="62"/>
  <c r="AI170" i="62"/>
  <c r="AI167" i="62"/>
  <c r="AI102" i="62"/>
  <c r="AI99" i="62"/>
  <c r="AI72" i="62"/>
  <c r="AI75" i="62"/>
  <c r="AI62" i="62"/>
  <c r="AI66" i="62"/>
  <c r="AI47" i="62"/>
  <c r="AI88" i="62"/>
  <c r="AI80" i="62"/>
  <c r="AI82" i="62"/>
  <c r="AI38" i="62"/>
  <c r="AI39" i="62"/>
  <c r="AI35" i="62"/>
  <c r="AI161" i="62"/>
  <c r="AI98" i="62"/>
  <c r="AI105" i="62"/>
  <c r="AI79" i="62"/>
  <c r="AI81" i="62"/>
  <c r="AI22" i="62"/>
  <c r="AI12" i="62"/>
  <c r="AI53" i="62"/>
  <c r="AI50" i="62"/>
  <c r="AI19" i="62"/>
  <c r="AI32" i="62"/>
  <c r="AI16" i="62"/>
  <c r="AI46" i="62"/>
  <c r="AI25" i="62"/>
  <c r="F115" i="62"/>
  <c r="R115" i="62" s="1"/>
  <c r="F99" i="62"/>
  <c r="F82" i="62"/>
  <c r="F81" i="62"/>
  <c r="F79" i="62"/>
  <c r="F105" i="62"/>
  <c r="F102" i="62"/>
  <c r="R102" i="62" s="1"/>
  <c r="F122" i="62"/>
  <c r="F95" i="62"/>
  <c r="F66" i="62"/>
  <c r="F62" i="62"/>
  <c r="F74" i="62"/>
  <c r="F73" i="62"/>
  <c r="F125" i="62"/>
  <c r="F50" i="62"/>
  <c r="F47" i="62"/>
  <c r="F16" i="62"/>
  <c r="R16" i="62" s="1"/>
  <c r="F53" i="62"/>
  <c r="F32" i="62"/>
  <c r="F88" i="62"/>
  <c r="F138" i="62"/>
  <c r="F75" i="62"/>
  <c r="F39" i="62"/>
  <c r="F98" i="62"/>
  <c r="F108" i="62"/>
  <c r="F80" i="62"/>
  <c r="F46" i="62"/>
  <c r="F64" i="127"/>
  <c r="K195" i="76"/>
  <c r="F22" i="75" s="1"/>
  <c r="F62" i="127"/>
  <c r="Y195" i="76"/>
  <c r="F41" i="75" s="1"/>
  <c r="C195" i="76"/>
  <c r="F23" i="75" s="1"/>
  <c r="F63" i="127"/>
  <c r="S195" i="76"/>
  <c r="F42" i="75" s="1"/>
  <c r="AW195" i="76"/>
  <c r="F85" i="127" s="1"/>
  <c r="F87" i="127" s="1"/>
  <c r="AG195" i="76"/>
  <c r="Q195" i="76"/>
  <c r="F43" i="75" s="1"/>
  <c r="D154" i="79"/>
  <c r="D155" i="79" s="1"/>
  <c r="E155" i="79" s="1"/>
  <c r="F17" i="79"/>
  <c r="J47" i="114"/>
  <c r="D16" i="79"/>
  <c r="E16" i="79" s="1"/>
  <c r="I47" i="114"/>
  <c r="D194" i="79"/>
  <c r="D195" i="79" s="1"/>
  <c r="E195" i="79" s="1"/>
  <c r="F137" i="62"/>
  <c r="E70" i="62"/>
  <c r="E56" i="62"/>
  <c r="R25" i="62"/>
  <c r="D111" i="79"/>
  <c r="E111" i="79" s="1"/>
  <c r="E112" i="79" s="1"/>
  <c r="D62" i="79"/>
  <c r="E62" i="79" s="1"/>
  <c r="E63" i="79" s="1"/>
  <c r="E77" i="62"/>
  <c r="E127" i="62"/>
  <c r="D253" i="79"/>
  <c r="E253" i="79" s="1"/>
  <c r="E254" i="79" s="1"/>
  <c r="G13" i="62" a="1"/>
  <c r="G13" i="62" s="1"/>
  <c r="FF13" i="62" s="1"/>
  <c r="E191" i="62"/>
  <c r="D40" i="120" s="1"/>
  <c r="AI165" i="62"/>
  <c r="E84" i="62"/>
  <c r="E36" i="79"/>
  <c r="D38" i="79"/>
  <c r="E38" i="79" s="1"/>
  <c r="AI177" i="62"/>
  <c r="AI54" i="62"/>
  <c r="AI109" i="62"/>
  <c r="AI106" i="62"/>
  <c r="AI126" i="62"/>
  <c r="AI123" i="62"/>
  <c r="AI139" i="62"/>
  <c r="AI51" i="62"/>
  <c r="AI67" i="62"/>
  <c r="AI96" i="62"/>
  <c r="AI138" i="62"/>
  <c r="AI137" i="62"/>
  <c r="AI171" i="62"/>
  <c r="AI103" i="62"/>
  <c r="AI13" i="62"/>
  <c r="AI83" i="62"/>
  <c r="AI89" i="62"/>
  <c r="AI180" i="62"/>
  <c r="AI40" i="62"/>
  <c r="AI116" i="62"/>
  <c r="AI186" i="62"/>
  <c r="AI100" i="62"/>
  <c r="AI17" i="62"/>
  <c r="AI20" i="62"/>
  <c r="AI26" i="62"/>
  <c r="AI183" i="62"/>
  <c r="AI76" i="62"/>
  <c r="AI48" i="62"/>
  <c r="AI136" i="62"/>
  <c r="AI36" i="62"/>
  <c r="AI23" i="62"/>
  <c r="AI14" i="62"/>
  <c r="AI168" i="62"/>
  <c r="D121" i="79"/>
  <c r="E121" i="79" s="1"/>
  <c r="E122" i="79" s="1"/>
  <c r="AI174" i="62"/>
  <c r="AI68" i="62"/>
  <c r="E28" i="62"/>
  <c r="AI189" i="62"/>
  <c r="G139" i="62" a="1"/>
  <c r="G139" i="62" s="1"/>
  <c r="F139" i="62"/>
  <c r="D26" i="79"/>
  <c r="D27" i="79" s="1"/>
  <c r="E27" i="79" s="1"/>
  <c r="E42" i="62"/>
  <c r="AI162" i="62"/>
  <c r="AI33" i="62"/>
  <c r="AJ8" i="62"/>
  <c r="AC105" i="62"/>
  <c r="AC108" i="62"/>
  <c r="AC173" i="62"/>
  <c r="AB22" i="120" s="1"/>
  <c r="AC74" i="62"/>
  <c r="E74" i="75" s="1"/>
  <c r="D204" i="79"/>
  <c r="AC32" i="62"/>
  <c r="E33" i="75" s="1"/>
  <c r="AC25" i="62"/>
  <c r="E111" i="62"/>
  <c r="F52" i="127"/>
  <c r="F57" i="127" s="1"/>
  <c r="I57" i="127" s="1"/>
  <c r="J57" i="127" s="1"/>
  <c r="F58" i="75"/>
  <c r="E57" i="75"/>
  <c r="E51" i="127"/>
  <c r="E39" i="75"/>
  <c r="E35" i="127"/>
  <c r="E70" i="127"/>
  <c r="E77" i="75"/>
  <c r="F53" i="127"/>
  <c r="F59" i="75"/>
  <c r="AC72" i="62" a="1"/>
  <c r="AC72" i="62" s="1"/>
  <c r="F77" i="75"/>
  <c r="F70" i="127"/>
  <c r="E19" i="75"/>
  <c r="E19" i="127"/>
  <c r="FJ62" i="62"/>
  <c r="AC62" i="62" a="1"/>
  <c r="AC62" i="62" s="1"/>
  <c r="E69" i="75" s="1"/>
  <c r="E71" i="75"/>
  <c r="D23" i="114" a="1"/>
  <c r="D23" i="114" s="1"/>
  <c r="D24" i="114" s="1"/>
  <c r="E179" i="79"/>
  <c r="D180" i="79"/>
  <c r="E180" i="79" s="1"/>
  <c r="FJ161" i="62"/>
  <c r="P10" i="120"/>
  <c r="FJ80" i="62"/>
  <c r="AC80" i="62" a="1"/>
  <c r="AC80" i="62" s="1"/>
  <c r="F21" i="127"/>
  <c r="F21" i="75"/>
  <c r="F196" i="79"/>
  <c r="D1" i="97" s="1"/>
  <c r="E84" i="127"/>
  <c r="E92" i="75"/>
  <c r="Q136" i="62" a="1"/>
  <c r="Q136" i="62" s="1"/>
  <c r="AC99" i="62"/>
  <c r="F180" i="62"/>
  <c r="E29" i="120" s="1"/>
  <c r="FJ170" i="62"/>
  <c r="P19" i="120"/>
  <c r="F94" i="127"/>
  <c r="F95" i="127" s="1"/>
  <c r="F104" i="75"/>
  <c r="F106" i="75" s="1"/>
  <c r="I106" i="75" s="1"/>
  <c r="J106" i="75" s="1"/>
  <c r="F57" i="75"/>
  <c r="F64" i="75" s="1"/>
  <c r="I64" i="75" s="1"/>
  <c r="J64" i="75" s="1"/>
  <c r="F51" i="127"/>
  <c r="F42" i="127"/>
  <c r="I42" i="127" s="1"/>
  <c r="J42" i="127" s="1"/>
  <c r="F28" i="75"/>
  <c r="AO195" i="76"/>
  <c r="E21" i="75"/>
  <c r="E21" i="127"/>
  <c r="E75" i="75"/>
  <c r="E68" i="127"/>
  <c r="AU195" i="76"/>
  <c r="AC115" i="62"/>
  <c r="AC53" i="62"/>
  <c r="E54" i="75" s="1"/>
  <c r="F54" i="62"/>
  <c r="F189" i="62"/>
  <c r="R164" i="62"/>
  <c r="Q13" i="120" s="1"/>
  <c r="FJ188" i="62"/>
  <c r="P37" i="120"/>
  <c r="E237" i="79"/>
  <c r="E241" i="79" s="1"/>
  <c r="D238" i="79"/>
  <c r="E238" i="79" s="1"/>
  <c r="D241" i="79"/>
  <c r="D242" i="79" s="1"/>
  <c r="E58" i="75"/>
  <c r="E52" i="127"/>
  <c r="F96" i="127"/>
  <c r="I96" i="127" s="1"/>
  <c r="J96" i="127" s="1"/>
  <c r="Q137" i="62" a="1"/>
  <c r="Q137" i="62" s="1"/>
  <c r="F19" i="127"/>
  <c r="F19" i="75"/>
  <c r="J43" i="114"/>
  <c r="H43" i="114"/>
  <c r="E20" i="75"/>
  <c r="E20" i="127"/>
  <c r="F36" i="127"/>
  <c r="F40" i="75"/>
  <c r="K43" i="114"/>
  <c r="I43" i="114"/>
  <c r="E69" i="127"/>
  <c r="E76" i="75"/>
  <c r="F33" i="62"/>
  <c r="AC82" i="62"/>
  <c r="FJ173" i="62"/>
  <c r="P22" i="120"/>
  <c r="FJ185" i="62"/>
  <c r="P34" i="120"/>
  <c r="F71" i="75"/>
  <c r="D75" i="79"/>
  <c r="F74" i="79"/>
  <c r="D1" i="29" s="1"/>
  <c r="AS195" i="76"/>
  <c r="E37" i="127"/>
  <c r="E41" i="75"/>
  <c r="F39" i="75"/>
  <c r="F35" i="127"/>
  <c r="AC81" i="62" a="1"/>
  <c r="AC81" i="62" s="1"/>
  <c r="AC66" i="62" a="1"/>
  <c r="AC66" i="62" s="1"/>
  <c r="E85" i="127"/>
  <c r="E93" i="75"/>
  <c r="F20" i="75"/>
  <c r="F20" i="127"/>
  <c r="AC39" i="62"/>
  <c r="E36" i="75" s="1"/>
  <c r="P31" i="120"/>
  <c r="FJ182" i="62"/>
  <c r="F24" i="127"/>
  <c r="F105" i="75"/>
  <c r="E59" i="75"/>
  <c r="E53" i="127"/>
  <c r="AC102" i="62"/>
  <c r="E89" i="75" s="1"/>
  <c r="AC161" i="62"/>
  <c r="AB10" i="120" s="1"/>
  <c r="AC182" i="62"/>
  <c r="AB31" i="120" s="1"/>
  <c r="FJ179" i="62"/>
  <c r="P28" i="120"/>
  <c r="F48" i="75"/>
  <c r="I48" i="75" s="1"/>
  <c r="J48" i="75" s="1"/>
  <c r="F69" i="75"/>
  <c r="D73" i="79"/>
  <c r="E73" i="79" s="1"/>
  <c r="E72" i="79"/>
  <c r="E40" i="75"/>
  <c r="E36" i="127"/>
  <c r="F56" i="127"/>
  <c r="F14" i="62"/>
  <c r="R13" i="62" s="1"/>
  <c r="F68" i="62"/>
  <c r="F67" i="62"/>
  <c r="AC122" i="62"/>
  <c r="E103" i="75" s="1"/>
  <c r="FL122" i="62"/>
  <c r="FM122" i="62" s="1"/>
  <c r="E223" i="79"/>
  <c r="E225" i="79" s="1"/>
  <c r="D225" i="79"/>
  <c r="D226" i="79" s="1"/>
  <c r="AC12" i="62"/>
  <c r="FL12" i="62"/>
  <c r="FM12" i="62" s="1"/>
  <c r="F123" i="62"/>
  <c r="F40" i="62"/>
  <c r="AC38" i="62"/>
  <c r="E35" i="75" s="1"/>
  <c r="FL38" i="62"/>
  <c r="FM38" i="62" s="1"/>
  <c r="FL39" i="62"/>
  <c r="FM39" i="62" s="1"/>
  <c r="F76" i="62"/>
  <c r="AC22" i="62"/>
  <c r="FL22" i="62"/>
  <c r="FM22" i="62" s="1"/>
  <c r="F126" i="62"/>
  <c r="D131" i="79"/>
  <c r="E130" i="79"/>
  <c r="F177" i="62"/>
  <c r="R176" i="62" s="1"/>
  <c r="Q25" i="120" s="1"/>
  <c r="FL62" i="62"/>
  <c r="FM62" i="62" s="1"/>
  <c r="FL73" i="62"/>
  <c r="AC73" i="62"/>
  <c r="E73" i="75" s="1"/>
  <c r="D95" i="79"/>
  <c r="D96" i="79" s="1"/>
  <c r="F100" i="62"/>
  <c r="F109" i="62"/>
  <c r="F186" i="62"/>
  <c r="E87" i="75"/>
  <c r="AC35" i="62"/>
  <c r="E38" i="75" s="1"/>
  <c r="FL35" i="62"/>
  <c r="FM35" i="62" s="1"/>
  <c r="F51" i="62"/>
  <c r="E460" i="167"/>
  <c r="AH89" i="62"/>
  <c r="FL79" i="62"/>
  <c r="F162" i="62"/>
  <c r="R22" i="62"/>
  <c r="F36" i="62"/>
  <c r="R35" i="62" s="1"/>
  <c r="FL95" i="62"/>
  <c r="FM95" i="62" s="1"/>
  <c r="AC95" i="62"/>
  <c r="E90" i="75" s="1"/>
  <c r="F106" i="62"/>
  <c r="E212" i="79"/>
  <c r="D213" i="79"/>
  <c r="E213" i="79" s="1"/>
  <c r="F171" i="62"/>
  <c r="FL46" i="62"/>
  <c r="FM46" i="62" s="1"/>
  <c r="AC46" i="62"/>
  <c r="E53" i="75" s="1"/>
  <c r="F183" i="62"/>
  <c r="F96" i="62"/>
  <c r="R94" i="62" s="1"/>
  <c r="F20" i="62"/>
  <c r="R19" i="62" s="1"/>
  <c r="F136" i="62"/>
  <c r="F48" i="62"/>
  <c r="FL19" i="62"/>
  <c r="AC19" i="62"/>
  <c r="E17" i="75" s="1"/>
  <c r="F83" i="62"/>
  <c r="D144" i="79"/>
  <c r="E142" i="79"/>
  <c r="E144" i="79" s="1"/>
  <c r="R173" i="62"/>
  <c r="Q22" i="120" s="1"/>
  <c r="E23" i="120"/>
  <c r="FL50" i="62"/>
  <c r="FM50" i="62" s="1"/>
  <c r="AC50" i="62"/>
  <c r="E55" i="75" s="1"/>
  <c r="FL16" i="62"/>
  <c r="FM16" i="62" s="1"/>
  <c r="AC16" i="62"/>
  <c r="E16" i="75" s="1"/>
  <c r="F168" i="62"/>
  <c r="AJ94" i="62" l="1" a="1"/>
  <c r="AJ94" i="62" s="1"/>
  <c r="G94" i="62" s="1" a="1"/>
  <c r="G94" i="62" s="1"/>
  <c r="AJ63" i="62"/>
  <c r="G63" i="62" s="1" a="1"/>
  <c r="G63" i="62" s="1"/>
  <c r="S63" i="62" s="1"/>
  <c r="AJ64" i="62"/>
  <c r="G64" i="62" s="1" a="1"/>
  <c r="G64" i="62" s="1"/>
  <c r="S64" i="62" s="1"/>
  <c r="AJ65" i="62"/>
  <c r="G65" i="62" s="1" a="1"/>
  <c r="G65" i="62" s="1"/>
  <c r="S65" i="62" s="1"/>
  <c r="R63" i="62"/>
  <c r="R65" i="62"/>
  <c r="R64" i="62"/>
  <c r="D239" i="79"/>
  <c r="E84" i="79"/>
  <c r="D85" i="79"/>
  <c r="E85" i="79" s="1"/>
  <c r="E194" i="79"/>
  <c r="E154" i="79"/>
  <c r="R50" i="62"/>
  <c r="R62" i="62"/>
  <c r="R81" i="62"/>
  <c r="R95" i="62"/>
  <c r="R125" i="62"/>
  <c r="R66" i="62"/>
  <c r="AJ173" i="62"/>
  <c r="G173" i="62" s="1" a="1"/>
  <c r="G173" i="62" s="1"/>
  <c r="AJ188" i="62"/>
  <c r="G188" i="62" s="1" a="1"/>
  <c r="G188" i="62" s="1"/>
  <c r="AJ122" i="62"/>
  <c r="G122" i="62" s="1" a="1"/>
  <c r="G122" i="62" s="1"/>
  <c r="FF122" i="62" s="1"/>
  <c r="AJ182" i="62"/>
  <c r="G182" i="62" s="1" a="1"/>
  <c r="G182" i="62" s="1"/>
  <c r="AJ170" i="62"/>
  <c r="G170" i="62" s="1" a="1"/>
  <c r="G170" i="62" s="1"/>
  <c r="AJ167" i="62"/>
  <c r="G167" i="62" s="1" a="1"/>
  <c r="G167" i="62" s="1"/>
  <c r="FF167" i="62" s="1"/>
  <c r="AJ164" i="62"/>
  <c r="G164" i="62" s="1" a="1"/>
  <c r="G164" i="62" s="1"/>
  <c r="AJ161" i="62"/>
  <c r="G161" i="62" s="1" a="1"/>
  <c r="G161" i="62" s="1"/>
  <c r="AJ125" i="62"/>
  <c r="G125" i="62" s="1" a="1"/>
  <c r="G125" i="62" s="1"/>
  <c r="FF125" i="62" s="1"/>
  <c r="AJ176" i="62"/>
  <c r="G176" i="62" s="1" a="1"/>
  <c r="G176" i="62" s="1"/>
  <c r="AJ115" i="62"/>
  <c r="G115" i="62" s="1" a="1"/>
  <c r="G115" i="62" s="1"/>
  <c r="AJ105" i="62"/>
  <c r="G105" i="62" s="1" a="1"/>
  <c r="G105" i="62" s="1"/>
  <c r="AJ102" i="62"/>
  <c r="G102" i="62" s="1" a="1"/>
  <c r="G102" i="62" s="1"/>
  <c r="AJ98" i="62"/>
  <c r="AJ99" i="62"/>
  <c r="G99" i="62" s="1" a="1"/>
  <c r="G99" i="62" s="1"/>
  <c r="AJ74" i="62"/>
  <c r="G74" i="62" s="1" a="1"/>
  <c r="G74" i="62" s="1"/>
  <c r="AJ95" i="62"/>
  <c r="G95" i="62" s="1" a="1"/>
  <c r="G95" i="62" s="1"/>
  <c r="FF95" i="62" s="1"/>
  <c r="AJ88" i="62"/>
  <c r="AJ79" i="62"/>
  <c r="G79" i="62" s="1" a="1"/>
  <c r="G79" i="62" s="1"/>
  <c r="FF79" i="62" s="1"/>
  <c r="AJ80" i="62"/>
  <c r="G80" i="62" s="1" a="1"/>
  <c r="G80" i="62" s="1"/>
  <c r="FF80" i="62" s="1"/>
  <c r="AJ81" i="62"/>
  <c r="G81" i="62" s="1" a="1"/>
  <c r="G81" i="62" s="1"/>
  <c r="AJ82" i="62"/>
  <c r="G82" i="62" s="1" a="1"/>
  <c r="G82" i="62" s="1"/>
  <c r="AJ72" i="62"/>
  <c r="AJ73" i="62"/>
  <c r="G73" i="62" s="1" a="1"/>
  <c r="G73" i="62" s="1"/>
  <c r="FF73" i="62" s="1"/>
  <c r="AJ75" i="62"/>
  <c r="G75" i="62" s="1" a="1"/>
  <c r="G75" i="62" s="1"/>
  <c r="AJ38" i="62"/>
  <c r="G38" i="62" s="1" a="1"/>
  <c r="G38" i="62" s="1"/>
  <c r="FF38" i="62" s="1"/>
  <c r="AJ108" i="62" a="1"/>
  <c r="AJ108" i="62" s="1"/>
  <c r="G108" i="62" s="1" a="1"/>
  <c r="G108" i="62" s="1"/>
  <c r="AJ53" i="62"/>
  <c r="G53" i="62" s="1" a="1"/>
  <c r="G53" i="62" s="1"/>
  <c r="AJ50" i="62"/>
  <c r="G50" i="62" s="1" a="1"/>
  <c r="G50" i="62" s="1"/>
  <c r="FF50" i="62" s="1"/>
  <c r="AJ46" i="62"/>
  <c r="G46" i="62" s="1" a="1"/>
  <c r="G46" i="62" s="1"/>
  <c r="AJ47" i="62"/>
  <c r="G47" i="62" s="1" a="1"/>
  <c r="G47" i="62" s="1"/>
  <c r="FF47" i="62" s="1"/>
  <c r="AJ179" i="62"/>
  <c r="G179" i="62" s="1" a="1"/>
  <c r="G179" i="62" s="1"/>
  <c r="AJ16" i="62"/>
  <c r="G16" i="62" s="1" a="1"/>
  <c r="G16" i="62" s="1"/>
  <c r="FF16" i="62" s="1"/>
  <c r="AJ185" i="62"/>
  <c r="G185" i="62" s="1" a="1"/>
  <c r="G185" i="62" s="1"/>
  <c r="AJ22" i="62"/>
  <c r="G22" i="62" s="1" a="1"/>
  <c r="G22" i="62" s="1"/>
  <c r="AJ39" i="62"/>
  <c r="G39" i="62" s="1" a="1"/>
  <c r="G39" i="62" s="1"/>
  <c r="FF39" i="62" s="1"/>
  <c r="AJ35" i="62"/>
  <c r="G35" i="62" s="1" a="1"/>
  <c r="G35" i="62" s="1"/>
  <c r="FF35" i="62" s="1"/>
  <c r="AJ25" i="62"/>
  <c r="G25" i="62" s="1" a="1"/>
  <c r="G25" i="62" s="1"/>
  <c r="AJ12" i="62"/>
  <c r="G12" i="62" s="1" a="1"/>
  <c r="G12" i="62" s="1"/>
  <c r="FF12" i="62" s="1"/>
  <c r="AJ62" i="62"/>
  <c r="G62" i="62" s="1" a="1"/>
  <c r="G62" i="62" s="1"/>
  <c r="FF62" i="62" s="1"/>
  <c r="AJ19" i="62"/>
  <c r="G19" i="62" s="1" a="1"/>
  <c r="G19" i="62" s="1"/>
  <c r="AJ32" i="62"/>
  <c r="G32" i="62" s="1" a="1"/>
  <c r="G32" i="62" s="1"/>
  <c r="FF32" i="62" s="1"/>
  <c r="AJ66" i="62"/>
  <c r="G66" i="62" s="1" a="1"/>
  <c r="G66" i="62" s="1"/>
  <c r="R122" i="62"/>
  <c r="R32" i="62"/>
  <c r="R53" i="62"/>
  <c r="R46" i="62"/>
  <c r="R108" i="62"/>
  <c r="R39" i="62"/>
  <c r="F23" i="127"/>
  <c r="F55" i="127"/>
  <c r="F93" i="75"/>
  <c r="F97" i="75" s="1"/>
  <c r="F37" i="127"/>
  <c r="F39" i="127" s="1"/>
  <c r="F30" i="75"/>
  <c r="I30" i="75" s="1"/>
  <c r="J30" i="75" s="1"/>
  <c r="F45" i="75"/>
  <c r="F62" i="75"/>
  <c r="D112" i="79"/>
  <c r="D113" i="79" s="1"/>
  <c r="AJ13" i="62"/>
  <c r="AJ116" i="62"/>
  <c r="G116" i="62" s="1" a="1"/>
  <c r="G116" i="62" s="1"/>
  <c r="AJ76" i="62"/>
  <c r="G76" i="62" s="1" a="1"/>
  <c r="G76" i="62" s="1"/>
  <c r="AJ68" i="62"/>
  <c r="G68" i="62" s="1" a="1"/>
  <c r="G68" i="62" s="1"/>
  <c r="AJ106" i="62"/>
  <c r="G106" i="62" s="1" a="1"/>
  <c r="G106" i="62" s="1"/>
  <c r="AJ186" i="62"/>
  <c r="G186" i="62" s="1" a="1"/>
  <c r="G186" i="62" s="1"/>
  <c r="F35" i="120" s="1"/>
  <c r="D39" i="79"/>
  <c r="D40" i="79" s="1"/>
  <c r="E86" i="62"/>
  <c r="AJ165" i="62"/>
  <c r="G165" i="62" s="1" a="1"/>
  <c r="G165" i="62" s="1"/>
  <c r="F14" i="120" s="1"/>
  <c r="AJ103" i="62"/>
  <c r="G103" i="62" s="1" a="1"/>
  <c r="G103" i="62" s="1"/>
  <c r="AJ100" i="62"/>
  <c r="G100" i="62" s="1" a="1"/>
  <c r="G100" i="62" s="1"/>
  <c r="AJ51" i="62"/>
  <c r="G51" i="62" s="1" a="1"/>
  <c r="G51" i="62" s="1"/>
  <c r="AJ189" i="62"/>
  <c r="G189" i="62" s="1" a="1"/>
  <c r="G189" i="62" s="1"/>
  <c r="F38" i="120" s="1"/>
  <c r="AJ89" i="62"/>
  <c r="AJ180" i="62"/>
  <c r="G180" i="62" s="1" a="1"/>
  <c r="G180" i="62" s="1"/>
  <c r="F29" i="120" s="1"/>
  <c r="D254" i="79"/>
  <c r="D255" i="79" s="1"/>
  <c r="E39" i="79"/>
  <c r="D63" i="79"/>
  <c r="D64" i="79" s="1"/>
  <c r="E26" i="79"/>
  <c r="E28" i="79" s="1"/>
  <c r="S13" i="62"/>
  <c r="E58" i="62"/>
  <c r="AJ33" i="62"/>
  <c r="G33" i="62" s="1" a="1"/>
  <c r="G33" i="62" s="1"/>
  <c r="FF25" i="62" s="1"/>
  <c r="AJ14" i="62"/>
  <c r="G14" i="62" s="1" a="1"/>
  <c r="G14" i="62" s="1"/>
  <c r="AJ183" i="62"/>
  <c r="G183" i="62" s="1" a="1"/>
  <c r="G183" i="62" s="1"/>
  <c r="F32" i="120" s="1"/>
  <c r="AJ138" i="62"/>
  <c r="G138" i="62" s="1" a="1"/>
  <c r="G138" i="62" s="1"/>
  <c r="AJ126" i="62"/>
  <c r="G126" i="62" s="1" a="1"/>
  <c r="G126" i="62" s="1"/>
  <c r="AJ137" i="62"/>
  <c r="AJ162" i="62"/>
  <c r="G162" i="62" s="1" a="1"/>
  <c r="G162" i="62" s="1"/>
  <c r="F11" i="120" s="1"/>
  <c r="AJ177" i="62"/>
  <c r="G177" i="62" s="1" a="1"/>
  <c r="G177" i="62" s="1"/>
  <c r="F26" i="120" s="1"/>
  <c r="AJ17" i="62"/>
  <c r="G17" i="62" s="1" a="1"/>
  <c r="G17" i="62" s="1"/>
  <c r="AJ83" i="62"/>
  <c r="G83" i="62" s="1" a="1"/>
  <c r="G83" i="62" s="1"/>
  <c r="AJ26" i="62"/>
  <c r="G26" i="62" s="1" a="1"/>
  <c r="G26" i="62" s="1"/>
  <c r="AJ40" i="62"/>
  <c r="G40" i="62" s="1" a="1"/>
  <c r="G40" i="62" s="1"/>
  <c r="AJ96" i="62"/>
  <c r="G96" i="62" s="1" a="1"/>
  <c r="G96" i="62" s="1"/>
  <c r="S94" i="62" s="1"/>
  <c r="AJ123" i="62"/>
  <c r="G123" i="62" s="1" a="1"/>
  <c r="G123" i="62" s="1"/>
  <c r="AJ48" i="62"/>
  <c r="G48" i="62" s="1" a="1"/>
  <c r="G48" i="62" s="1"/>
  <c r="AJ36" i="62"/>
  <c r="G36" i="62" s="1" a="1"/>
  <c r="G36" i="62" s="1"/>
  <c r="AJ139" i="62"/>
  <c r="AJ174" i="62"/>
  <c r="G174" i="62" s="1" a="1"/>
  <c r="G174" i="62" s="1"/>
  <c r="F23" i="120" s="1"/>
  <c r="AK8" i="62"/>
  <c r="AJ54" i="62"/>
  <c r="G54" i="62" s="1" a="1"/>
  <c r="G54" i="62" s="1"/>
  <c r="D122" i="79"/>
  <c r="D123" i="79" s="1"/>
  <c r="AJ109" i="62"/>
  <c r="G109" i="62" s="1" a="1"/>
  <c r="G109" i="62" s="1"/>
  <c r="AJ23" i="62"/>
  <c r="G23" i="62" s="1" a="1"/>
  <c r="G23" i="62" s="1"/>
  <c r="AJ67" i="62"/>
  <c r="G67" i="62" s="1" a="1"/>
  <c r="G67" i="62" s="1"/>
  <c r="AJ171" i="62"/>
  <c r="G171" i="62" s="1" a="1"/>
  <c r="G171" i="62" s="1"/>
  <c r="F20" i="120" s="1"/>
  <c r="AJ20" i="62"/>
  <c r="G20" i="62" s="1" a="1"/>
  <c r="G20" i="62" s="1"/>
  <c r="AJ136" i="62"/>
  <c r="G136" i="62" s="1" a="1"/>
  <c r="G136" i="62" s="1"/>
  <c r="AJ168" i="62"/>
  <c r="G168" i="62" s="1" a="1"/>
  <c r="G168" i="62" s="1"/>
  <c r="F17" i="120" s="1"/>
  <c r="D181" i="79"/>
  <c r="E181" i="79" s="1"/>
  <c r="E204" i="79"/>
  <c r="E205" i="79" s="1"/>
  <c r="D205" i="79"/>
  <c r="D206" i="79" s="1"/>
  <c r="R179" i="62"/>
  <c r="Q28" i="120" s="1"/>
  <c r="F144" i="79"/>
  <c r="D1" i="125" s="1"/>
  <c r="D47" i="62" s="1"/>
  <c r="E26" i="120"/>
  <c r="F26" i="127"/>
  <c r="I26" i="127" s="1"/>
  <c r="J26" i="127" s="1"/>
  <c r="F75" i="75"/>
  <c r="F68" i="127"/>
  <c r="F84" i="127"/>
  <c r="F92" i="75"/>
  <c r="F27" i="75"/>
  <c r="F76" i="75"/>
  <c r="F69" i="127"/>
  <c r="R188" i="62"/>
  <c r="Q37" i="120" s="1"/>
  <c r="E38" i="120"/>
  <c r="R38" i="62"/>
  <c r="E239" i="79"/>
  <c r="D240" i="79"/>
  <c r="E240" i="79" s="1"/>
  <c r="F241" i="79"/>
  <c r="D1" i="70" s="1"/>
  <c r="F225" i="79"/>
  <c r="D1" i="100" s="1"/>
  <c r="D74" i="62" s="1"/>
  <c r="R47" i="62"/>
  <c r="R12" i="62"/>
  <c r="R105" i="62"/>
  <c r="R99" i="62"/>
  <c r="R72" i="62"/>
  <c r="R75" i="62"/>
  <c r="R74" i="62"/>
  <c r="R73" i="62"/>
  <c r="D28" i="79"/>
  <c r="D29" i="79" s="1"/>
  <c r="E95" i="79"/>
  <c r="E131" i="79"/>
  <c r="D132" i="79"/>
  <c r="E132" i="79" s="1"/>
  <c r="R98" i="62"/>
  <c r="FL74" i="62"/>
  <c r="FM74" i="62" s="1"/>
  <c r="FM73" i="62"/>
  <c r="D97" i="79"/>
  <c r="E97" i="79" s="1"/>
  <c r="E96" i="79"/>
  <c r="E17" i="120"/>
  <c r="R167" i="62"/>
  <c r="Q16" i="120" s="1"/>
  <c r="R80" i="62"/>
  <c r="R82" i="62"/>
  <c r="R79" i="62"/>
  <c r="E32" i="120"/>
  <c r="R182" i="62"/>
  <c r="Q31" i="120" s="1"/>
  <c r="R170" i="62"/>
  <c r="Q19" i="120" s="1"/>
  <c r="E20" i="120"/>
  <c r="FL80" i="62"/>
  <c r="FM80" i="62" s="1"/>
  <c r="FM79" i="62"/>
  <c r="E11" i="120"/>
  <c r="R161" i="62"/>
  <c r="Q10" i="120" s="1"/>
  <c r="R185" i="62"/>
  <c r="Q34" i="120" s="1"/>
  <c r="E35" i="120"/>
  <c r="D214" i="79"/>
  <c r="AK94" i="62" l="1" a="1"/>
  <c r="AK94" i="62" s="1"/>
  <c r="AK64" i="62"/>
  <c r="AK63" i="62"/>
  <c r="AK65" i="62"/>
  <c r="G88" i="62" a="1"/>
  <c r="G88" i="62" s="1"/>
  <c r="G72" i="62" a="1"/>
  <c r="G72" i="62" s="1"/>
  <c r="S72" i="62" s="1"/>
  <c r="G98" i="62" a="1"/>
  <c r="G98" i="62" s="1"/>
  <c r="S98" i="62" s="1"/>
  <c r="AK185" i="62"/>
  <c r="AK188" i="62"/>
  <c r="AK176" i="62"/>
  <c r="AK173" i="62"/>
  <c r="AK95" i="62"/>
  <c r="AK182" i="62"/>
  <c r="AK170" i="62"/>
  <c r="AK167" i="62"/>
  <c r="AK164" i="62"/>
  <c r="AK88" i="62"/>
  <c r="AK122" i="62"/>
  <c r="AK115" i="62"/>
  <c r="AK105" i="62"/>
  <c r="AK102" i="62"/>
  <c r="AK80" i="62"/>
  <c r="AK39" i="62"/>
  <c r="AK99" i="62"/>
  <c r="AK72" i="62"/>
  <c r="AK75" i="62"/>
  <c r="AK66" i="62"/>
  <c r="AK32" i="62"/>
  <c r="AK82" i="62"/>
  <c r="AK73" i="62"/>
  <c r="AK179" i="62"/>
  <c r="AK161" i="62"/>
  <c r="AK98" i="62"/>
  <c r="AK108" i="62" a="1"/>
  <c r="AK108" i="62" s="1"/>
  <c r="AK62" i="62"/>
  <c r="AK38" i="62"/>
  <c r="AK25" i="62"/>
  <c r="AK22" i="62"/>
  <c r="AK19" i="62"/>
  <c r="AK16" i="62"/>
  <c r="AK12" i="62"/>
  <c r="AK74" i="62"/>
  <c r="AK79" i="62"/>
  <c r="AK46" i="62"/>
  <c r="AK47" i="62"/>
  <c r="AK35" i="62"/>
  <c r="AK53" i="62"/>
  <c r="AK81" i="62"/>
  <c r="AK125" i="62"/>
  <c r="AK50" i="62"/>
  <c r="F112" i="79"/>
  <c r="D1" i="82" s="1"/>
  <c r="D50" i="62" s="1"/>
  <c r="F80" i="75"/>
  <c r="F39" i="79"/>
  <c r="D1" i="25" s="1"/>
  <c r="D19" i="62" s="1"/>
  <c r="F254" i="79"/>
  <c r="D1" i="72" s="1"/>
  <c r="D122" i="62" s="1"/>
  <c r="F16" i="120"/>
  <c r="E90" i="62"/>
  <c r="E129" i="62" s="1"/>
  <c r="F63" i="79"/>
  <c r="D1" i="31" s="1"/>
  <c r="D32" i="62" s="1"/>
  <c r="F122" i="79"/>
  <c r="D1" i="15" s="1"/>
  <c r="D53" i="62" s="1"/>
  <c r="S173" i="62"/>
  <c r="R22" i="120" s="1"/>
  <c r="S99" i="62"/>
  <c r="S105" i="62"/>
  <c r="S25" i="62"/>
  <c r="S80" i="62"/>
  <c r="S161" i="62"/>
  <c r="R10" i="120" s="1"/>
  <c r="S182" i="62"/>
  <c r="R31" i="120" s="1"/>
  <c r="S32" i="62"/>
  <c r="S19" i="62"/>
  <c r="S179" i="62"/>
  <c r="R28" i="120" s="1"/>
  <c r="S82" i="62"/>
  <c r="S108" i="62"/>
  <c r="S81" i="62"/>
  <c r="S170" i="62"/>
  <c r="R19" i="120" s="1"/>
  <c r="S95" i="62"/>
  <c r="AK48" i="62"/>
  <c r="AK106" i="62"/>
  <c r="S12" i="62"/>
  <c r="AK162" i="62"/>
  <c r="D182" i="79"/>
  <c r="E182" i="79" s="1"/>
  <c r="AK96" i="62"/>
  <c r="AK54" i="62"/>
  <c r="FF46" i="62"/>
  <c r="S46" i="62"/>
  <c r="AK171" i="62"/>
  <c r="AK100" i="62"/>
  <c r="AK174" i="62"/>
  <c r="AK76" i="62"/>
  <c r="AK109" i="62"/>
  <c r="AK168" i="62"/>
  <c r="S38" i="62"/>
  <c r="AK186" i="62"/>
  <c r="AK126" i="62"/>
  <c r="AK67" i="62"/>
  <c r="AK14" i="62"/>
  <c r="AK36" i="62"/>
  <c r="AK177" i="62"/>
  <c r="AK26" i="62"/>
  <c r="AK13" i="62"/>
  <c r="AK180" i="62"/>
  <c r="AK183" i="62"/>
  <c r="AK83" i="62"/>
  <c r="AK165" i="62"/>
  <c r="AK136" i="62"/>
  <c r="AK23" i="62"/>
  <c r="AK17" i="62"/>
  <c r="AK189" i="62"/>
  <c r="AK33" i="62"/>
  <c r="AK123" i="62"/>
  <c r="AK68" i="62"/>
  <c r="AK139" i="62"/>
  <c r="AK138" i="62"/>
  <c r="S79" i="62"/>
  <c r="AL8" i="62"/>
  <c r="AK137" i="62"/>
  <c r="AK116" i="62"/>
  <c r="AK103" i="62"/>
  <c r="AK20" i="62"/>
  <c r="S66" i="62"/>
  <c r="AK51" i="62"/>
  <c r="AK89" i="62"/>
  <c r="AK40" i="62"/>
  <c r="S167" i="62"/>
  <c r="R16" i="120" s="1"/>
  <c r="S122" i="62"/>
  <c r="S75" i="62"/>
  <c r="F205" i="79"/>
  <c r="D1" i="98" s="1"/>
  <c r="S185" i="62"/>
  <c r="R34" i="120" s="1"/>
  <c r="S39" i="62"/>
  <c r="S47" i="62"/>
  <c r="FF102" i="62"/>
  <c r="S102" i="62"/>
  <c r="F25" i="120"/>
  <c r="FF176" i="62"/>
  <c r="S176" i="62"/>
  <c r="R25" i="120" s="1"/>
  <c r="S62" i="62"/>
  <c r="F34" i="120"/>
  <c r="FF185" i="62"/>
  <c r="FF22" i="62"/>
  <c r="S22" i="62"/>
  <c r="FF173" i="62"/>
  <c r="F22" i="120"/>
  <c r="S115" i="62"/>
  <c r="F72" i="127"/>
  <c r="F74" i="127"/>
  <c r="I74" i="127" s="1"/>
  <c r="J74" i="127" s="1"/>
  <c r="F13" i="120"/>
  <c r="FF164" i="62"/>
  <c r="S164" i="62"/>
  <c r="R13" i="120" s="1"/>
  <c r="FF53" i="62"/>
  <c r="S53" i="62"/>
  <c r="S35" i="62"/>
  <c r="F37" i="120"/>
  <c r="FF188" i="62"/>
  <c r="S188" i="62"/>
  <c r="R37" i="120" s="1"/>
  <c r="F82" i="75"/>
  <c r="I82" i="75" s="1"/>
  <c r="J82" i="75" s="1"/>
  <c r="FF161" i="62"/>
  <c r="F10" i="120"/>
  <c r="S74" i="62"/>
  <c r="FF74" i="62"/>
  <c r="F90" i="127"/>
  <c r="I90" i="127" s="1"/>
  <c r="J90" i="127" s="1"/>
  <c r="F88" i="127"/>
  <c r="F19" i="120"/>
  <c r="FF170" i="62"/>
  <c r="F31" i="120"/>
  <c r="FF182" i="62"/>
  <c r="S16" i="62"/>
  <c r="S73" i="62"/>
  <c r="S125" i="62"/>
  <c r="S50" i="62"/>
  <c r="F100" i="75"/>
  <c r="I100" i="75" s="1"/>
  <c r="J100" i="75" s="1"/>
  <c r="F98" i="75"/>
  <c r="FF179" i="62"/>
  <c r="F28" i="120"/>
  <c r="E133" i="79"/>
  <c r="E98" i="79"/>
  <c r="D133" i="79"/>
  <c r="D134" i="79" s="1"/>
  <c r="F28" i="79"/>
  <c r="D1" i="23" s="1"/>
  <c r="D16" i="62" s="1"/>
  <c r="D98" i="79"/>
  <c r="D99" i="79" s="1"/>
  <c r="E214" i="79"/>
  <c r="D215" i="79"/>
  <c r="AL94" i="62" l="1" a="1"/>
  <c r="AL94" i="62" s="1"/>
  <c r="AL65" i="62"/>
  <c r="AL64" i="62"/>
  <c r="AL63" i="62"/>
  <c r="AL182" i="62"/>
  <c r="AL188" i="62"/>
  <c r="AL115" i="62"/>
  <c r="AL173" i="62"/>
  <c r="AL79" i="62"/>
  <c r="AL176" i="62"/>
  <c r="AL164" i="62"/>
  <c r="AL185" i="62"/>
  <c r="AL179" i="62"/>
  <c r="AL167" i="62"/>
  <c r="AL99" i="62"/>
  <c r="AL62" i="62"/>
  <c r="AL95" i="62"/>
  <c r="AL125" i="62"/>
  <c r="AL74" i="62"/>
  <c r="AL35" i="62"/>
  <c r="AL102" i="62"/>
  <c r="AL80" i="62"/>
  <c r="AL161" i="62"/>
  <c r="AL98" i="62"/>
  <c r="AL170" i="62"/>
  <c r="AL108" i="62" a="1"/>
  <c r="AL108" i="62" s="1"/>
  <c r="AL105" i="62"/>
  <c r="AL25" i="62"/>
  <c r="AL66" i="62"/>
  <c r="AL122" i="62"/>
  <c r="AL88" i="62"/>
  <c r="AL75" i="62"/>
  <c r="AL50" i="62"/>
  <c r="AL32" i="62"/>
  <c r="AL72" i="62"/>
  <c r="AL73" i="62"/>
  <c r="AL53" i="62"/>
  <c r="AL82" i="62"/>
  <c r="AL38" i="62"/>
  <c r="AL39" i="62"/>
  <c r="AL47" i="62"/>
  <c r="AL16" i="62"/>
  <c r="AL19" i="62"/>
  <c r="AL81" i="62"/>
  <c r="AL22" i="62"/>
  <c r="AL12" i="62"/>
  <c r="AL46" i="62"/>
  <c r="AL106" i="62"/>
  <c r="AL40" i="62"/>
  <c r="AL183" i="62"/>
  <c r="AL136" i="62"/>
  <c r="AL76" i="62"/>
  <c r="AL36" i="62"/>
  <c r="D183" i="79"/>
  <c r="D184" i="79" s="1"/>
  <c r="D185" i="79" s="1"/>
  <c r="AL177" i="62"/>
  <c r="AL168" i="62"/>
  <c r="AL180" i="62"/>
  <c r="AL96" i="62"/>
  <c r="AL89" i="62"/>
  <c r="AL20" i="62"/>
  <c r="AL51" i="62"/>
  <c r="AL109" i="62"/>
  <c r="AL83" i="62"/>
  <c r="AL26" i="62"/>
  <c r="AL174" i="62"/>
  <c r="AL126" i="62"/>
  <c r="AL137" i="62"/>
  <c r="AL116" i="62"/>
  <c r="AL100" i="62"/>
  <c r="AL13" i="62"/>
  <c r="AL54" i="62"/>
  <c r="AL138" i="62"/>
  <c r="AL165" i="62"/>
  <c r="AL33" i="62"/>
  <c r="AL171" i="62"/>
  <c r="AL68" i="62"/>
  <c r="AL162" i="62"/>
  <c r="AL139" i="62"/>
  <c r="AL17" i="62"/>
  <c r="AL14" i="62"/>
  <c r="AM8" i="62"/>
  <c r="AL186" i="62"/>
  <c r="AL103" i="62"/>
  <c r="AL48" i="62"/>
  <c r="AL23" i="62"/>
  <c r="AL123" i="62"/>
  <c r="AL189" i="62"/>
  <c r="AL67" i="62"/>
  <c r="F133" i="79"/>
  <c r="F98" i="79"/>
  <c r="D1" i="71" s="1"/>
  <c r="D38" i="62" s="1"/>
  <c r="E215" i="79"/>
  <c r="E216" i="79" s="1"/>
  <c r="D216" i="79"/>
  <c r="D217" i="79" s="1"/>
  <c r="AM94" i="62" l="1" a="1"/>
  <c r="AM94" i="62" s="1"/>
  <c r="AM65" i="62"/>
  <c r="AM63" i="62"/>
  <c r="AM64" i="62"/>
  <c r="AM54" i="62"/>
  <c r="AM188" i="62"/>
  <c r="AM170" i="62"/>
  <c r="AM105" i="62"/>
  <c r="AM185" i="62"/>
  <c r="AM125" i="62"/>
  <c r="AM108" i="62" a="1"/>
  <c r="AM108" i="62" s="1"/>
  <c r="AM80" i="62"/>
  <c r="AM173" i="62"/>
  <c r="AM161" i="62"/>
  <c r="AM122" i="62"/>
  <c r="AM66" i="62"/>
  <c r="AM179" i="62"/>
  <c r="AM167" i="62"/>
  <c r="AM115" i="62"/>
  <c r="AM99" i="62"/>
  <c r="AM182" i="62"/>
  <c r="AM176" i="62"/>
  <c r="AM82" i="62"/>
  <c r="AM74" i="62"/>
  <c r="AM102" i="62"/>
  <c r="AM88" i="62"/>
  <c r="AM75" i="62"/>
  <c r="AM22" i="62"/>
  <c r="AM95" i="62"/>
  <c r="AM164" i="62"/>
  <c r="AM79" i="62"/>
  <c r="AM35" i="62"/>
  <c r="AM62" i="62"/>
  <c r="AM98" i="62"/>
  <c r="AM81" i="62"/>
  <c r="AM25" i="62"/>
  <c r="AM16" i="62"/>
  <c r="AM72" i="62"/>
  <c r="AM38" i="62"/>
  <c r="AM39" i="62"/>
  <c r="AM47" i="62"/>
  <c r="AM46" i="62"/>
  <c r="AM32" i="62"/>
  <c r="AM50" i="62"/>
  <c r="AM12" i="62"/>
  <c r="AM73" i="62"/>
  <c r="AM53" i="62"/>
  <c r="AM19" i="62"/>
  <c r="AM14" i="62"/>
  <c r="AM51" i="62"/>
  <c r="AM23" i="62"/>
  <c r="AM162" i="62"/>
  <c r="AM17" i="62"/>
  <c r="AM165" i="62"/>
  <c r="AM137" i="62"/>
  <c r="AM109" i="62"/>
  <c r="AM186" i="62"/>
  <c r="AM20" i="62"/>
  <c r="AM103" i="62"/>
  <c r="AM139" i="62"/>
  <c r="AM174" i="62"/>
  <c r="AM136" i="62"/>
  <c r="AM126" i="62"/>
  <c r="AM76" i="62"/>
  <c r="AM83" i="62"/>
  <c r="AM171" i="62"/>
  <c r="AM33" i="62"/>
  <c r="AM189" i="62"/>
  <c r="AM177" i="62"/>
  <c r="AM116" i="62"/>
  <c r="AM68" i="62"/>
  <c r="AM180" i="62"/>
  <c r="AM100" i="62"/>
  <c r="AM40" i="62"/>
  <c r="AM48" i="62"/>
  <c r="AM123" i="62"/>
  <c r="AM89" i="62"/>
  <c r="AM138" i="62"/>
  <c r="AM106" i="62"/>
  <c r="AM96" i="62"/>
  <c r="AM13" i="62"/>
  <c r="AM26" i="62"/>
  <c r="AM183" i="62"/>
  <c r="AM168" i="62"/>
  <c r="AN8" i="62"/>
  <c r="AM67" i="62"/>
  <c r="AM36" i="62"/>
  <c r="E183" i="79"/>
  <c r="E184" i="79" s="1"/>
  <c r="F184" i="79" s="1"/>
  <c r="D1" i="49" s="1"/>
  <c r="D62" i="62" s="1"/>
  <c r="F216" i="79"/>
  <c r="D1" i="99" s="1"/>
  <c r="AN94" i="62" l="1" a="1"/>
  <c r="AN94" i="62" s="1"/>
  <c r="AN65" i="62"/>
  <c r="AN63" i="62"/>
  <c r="AN64" i="62"/>
  <c r="AN48" i="62"/>
  <c r="AN185" i="62"/>
  <c r="AN188" i="62"/>
  <c r="AN167" i="62"/>
  <c r="AN176" i="62"/>
  <c r="AN102" i="62"/>
  <c r="AN179" i="62"/>
  <c r="AN81" i="62"/>
  <c r="AN125" i="62"/>
  <c r="AN108" i="62" a="1"/>
  <c r="AN108" i="62" s="1"/>
  <c r="AN105" i="62"/>
  <c r="AN173" i="62"/>
  <c r="AN161" i="62"/>
  <c r="AN122" i="62"/>
  <c r="AN170" i="62"/>
  <c r="AN53" i="62"/>
  <c r="AN82" i="62"/>
  <c r="AN164" i="62"/>
  <c r="AN19" i="62"/>
  <c r="AN88" i="62"/>
  <c r="H88" i="62" s="1" a="1"/>
  <c r="H88" i="62" s="1"/>
  <c r="AN80" i="62"/>
  <c r="AN75" i="62"/>
  <c r="AN115" i="62"/>
  <c r="AN95" i="62"/>
  <c r="AN47" i="62"/>
  <c r="AN74" i="62"/>
  <c r="AN62" i="62"/>
  <c r="AN50" i="62"/>
  <c r="AN66" i="62"/>
  <c r="AN46" i="62"/>
  <c r="AN25" i="62"/>
  <c r="AN79" i="62"/>
  <c r="AN35" i="62"/>
  <c r="AN99" i="62"/>
  <c r="AN72" i="62"/>
  <c r="H72" i="62" s="1" a="1"/>
  <c r="H72" i="62" s="1"/>
  <c r="AN38" i="62"/>
  <c r="AN39" i="62"/>
  <c r="AN98" i="62"/>
  <c r="H98" i="62" s="1" a="1"/>
  <c r="H98" i="62" s="1"/>
  <c r="AN32" i="62"/>
  <c r="AN22" i="62"/>
  <c r="AN182" i="62"/>
  <c r="AN16" i="62"/>
  <c r="AN73" i="62"/>
  <c r="AN12" i="62"/>
  <c r="AN68" i="62"/>
  <c r="AN162" i="62"/>
  <c r="AN116" i="62"/>
  <c r="AN168" i="62"/>
  <c r="AN76" i="62"/>
  <c r="AN137" i="62"/>
  <c r="AN165" i="62"/>
  <c r="AN103" i="62"/>
  <c r="AN13" i="62"/>
  <c r="AN180" i="62"/>
  <c r="AN186" i="62"/>
  <c r="AN26" i="62"/>
  <c r="AN33" i="62"/>
  <c r="AN54" i="62"/>
  <c r="AN136" i="62"/>
  <c r="AN40" i="62"/>
  <c r="AN51" i="62"/>
  <c r="AN83" i="62"/>
  <c r="AN14" i="62"/>
  <c r="AN23" i="62"/>
  <c r="AN171" i="62"/>
  <c r="AN36" i="62"/>
  <c r="AN17" i="62"/>
  <c r="AN67" i="62"/>
  <c r="AN109" i="62"/>
  <c r="AN100" i="62"/>
  <c r="AN96" i="62"/>
  <c r="AN123" i="62"/>
  <c r="AN183" i="62"/>
  <c r="AN106" i="62"/>
  <c r="AN139" i="62"/>
  <c r="AN126" i="62"/>
  <c r="AN138" i="62"/>
  <c r="AN20" i="62"/>
  <c r="AN189" i="62"/>
  <c r="AN89" i="62"/>
  <c r="AN177" i="62"/>
  <c r="AO8" i="62"/>
  <c r="AN174" i="62"/>
  <c r="AO94" i="62" l="1" a="1"/>
  <c r="AO94" i="62" s="1"/>
  <c r="AO64" i="62"/>
  <c r="AO65" i="62"/>
  <c r="AO63" i="62"/>
  <c r="AO103" i="62"/>
  <c r="AO182" i="62"/>
  <c r="AO185" i="62"/>
  <c r="AO164" i="62"/>
  <c r="AO179" i="62"/>
  <c r="AO98" i="62"/>
  <c r="AO176" i="62"/>
  <c r="AO82" i="62"/>
  <c r="AO170" i="62"/>
  <c r="AO105" i="62"/>
  <c r="AO173" i="62"/>
  <c r="AO167" i="62"/>
  <c r="AO95" i="62"/>
  <c r="AO79" i="62"/>
  <c r="AO73" i="62"/>
  <c r="AO50" i="62"/>
  <c r="AO188" i="62"/>
  <c r="AO125" i="62"/>
  <c r="AO108" i="62" a="1"/>
  <c r="AO108" i="62" s="1"/>
  <c r="AO115" i="62"/>
  <c r="AO99" i="62"/>
  <c r="AO72" i="62"/>
  <c r="AO74" i="62"/>
  <c r="AO62" i="62"/>
  <c r="AO16" i="62"/>
  <c r="AO88" i="62"/>
  <c r="AO102" i="62"/>
  <c r="AO161" i="62"/>
  <c r="AO80" i="62"/>
  <c r="AO75" i="62"/>
  <c r="AO19" i="62"/>
  <c r="AO35" i="62"/>
  <c r="AO25" i="62"/>
  <c r="AO122" i="62"/>
  <c r="AO22" i="62"/>
  <c r="AO81" i="62"/>
  <c r="AO66" i="62"/>
  <c r="AO12" i="62"/>
  <c r="AO32" i="62"/>
  <c r="AO47" i="62"/>
  <c r="AO38" i="62"/>
  <c r="AO39" i="62"/>
  <c r="AO46" i="62"/>
  <c r="AO53" i="62"/>
  <c r="AO126" i="62"/>
  <c r="AO189" i="62"/>
  <c r="AO183" i="62"/>
  <c r="AO186" i="62"/>
  <c r="AO106" i="62"/>
  <c r="AO168" i="62"/>
  <c r="AO20" i="62"/>
  <c r="AO83" i="62"/>
  <c r="AO67" i="62"/>
  <c r="AO13" i="62"/>
  <c r="AO76" i="62"/>
  <c r="AO14" i="62"/>
  <c r="AO26" i="62"/>
  <c r="AO174" i="62"/>
  <c r="AO33" i="62"/>
  <c r="AO177" i="62"/>
  <c r="AO162" i="62"/>
  <c r="AO51" i="62"/>
  <c r="AO68" i="62"/>
  <c r="AO89" i="62"/>
  <c r="AO137" i="62"/>
  <c r="AO139" i="62"/>
  <c r="AO123" i="62"/>
  <c r="AO54" i="62"/>
  <c r="AO138" i="62"/>
  <c r="AO17" i="62"/>
  <c r="AO36" i="62"/>
  <c r="AO100" i="62"/>
  <c r="AO171" i="62"/>
  <c r="AO109" i="62"/>
  <c r="AO165" i="62"/>
  <c r="AP8" i="62"/>
  <c r="AO116" i="62"/>
  <c r="AO136" i="62"/>
  <c r="AO180" i="62"/>
  <c r="AO40" i="62"/>
  <c r="AO96" i="62"/>
  <c r="AO23" i="62"/>
  <c r="AO48" i="62"/>
  <c r="AP94" i="62" l="1" a="1"/>
  <c r="AP94" i="62" s="1"/>
  <c r="AP64" i="62"/>
  <c r="AP65" i="62"/>
  <c r="AP63" i="62"/>
  <c r="AP179" i="62"/>
  <c r="AP182" i="62"/>
  <c r="AP161" i="62"/>
  <c r="AP188" i="62"/>
  <c r="AP185" i="62"/>
  <c r="AP108" i="62" a="1"/>
  <c r="AP108" i="62" s="1"/>
  <c r="AP99" i="62"/>
  <c r="AP173" i="62"/>
  <c r="AP170" i="62"/>
  <c r="AP72" i="62"/>
  <c r="AP102" i="62"/>
  <c r="AP98" i="62"/>
  <c r="AP105" i="62"/>
  <c r="AP46" i="62"/>
  <c r="AP167" i="62"/>
  <c r="AP95" i="62"/>
  <c r="AP79" i="62"/>
  <c r="AP73" i="62"/>
  <c r="AP125" i="62"/>
  <c r="AP122" i="62"/>
  <c r="AP81" i="62"/>
  <c r="AP12" i="62"/>
  <c r="AP74" i="62"/>
  <c r="AP62" i="62"/>
  <c r="AP176" i="62"/>
  <c r="AP82" i="62"/>
  <c r="AP53" i="62"/>
  <c r="AP39" i="62"/>
  <c r="AP115" i="62"/>
  <c r="AP88" i="62"/>
  <c r="AP80" i="62"/>
  <c r="AP75" i="62"/>
  <c r="AP164" i="62"/>
  <c r="AP66" i="62"/>
  <c r="AP32" i="62"/>
  <c r="AP19" i="62"/>
  <c r="AP50" i="62"/>
  <c r="AP25" i="62"/>
  <c r="AP22" i="62"/>
  <c r="AP35" i="62"/>
  <c r="AP47" i="62"/>
  <c r="AP38" i="62"/>
  <c r="AP16" i="62"/>
  <c r="AP165" i="62"/>
  <c r="AQ8" i="62"/>
  <c r="AP76" i="62"/>
  <c r="AP33" i="62"/>
  <c r="AP67" i="62"/>
  <c r="AP189" i="62"/>
  <c r="AP96" i="62"/>
  <c r="AP174" i="62"/>
  <c r="AP123" i="62"/>
  <c r="AP14" i="62"/>
  <c r="AP54" i="62"/>
  <c r="AP177" i="62"/>
  <c r="AP138" i="62"/>
  <c r="AP180" i="62"/>
  <c r="AP26" i="62"/>
  <c r="AP83" i="62"/>
  <c r="AP168" i="62"/>
  <c r="AP89" i="62"/>
  <c r="AP20" i="62"/>
  <c r="AP186" i="62"/>
  <c r="AP136" i="62"/>
  <c r="AP103" i="62"/>
  <c r="AP137" i="62"/>
  <c r="AP126" i="62"/>
  <c r="AP23" i="62"/>
  <c r="AP100" i="62"/>
  <c r="AP68" i="62"/>
  <c r="AP116" i="62"/>
  <c r="AP51" i="62"/>
  <c r="AP183" i="62"/>
  <c r="AP48" i="62"/>
  <c r="AP13" i="62"/>
  <c r="AP162" i="62"/>
  <c r="AP171" i="62"/>
  <c r="AP106" i="62"/>
  <c r="AP109" i="62"/>
  <c r="AP36" i="62"/>
  <c r="AP139" i="62"/>
  <c r="AP40" i="62"/>
  <c r="AP17" i="62"/>
  <c r="AQ94" i="62" l="1" a="1"/>
  <c r="AQ94" i="62" s="1"/>
  <c r="AQ63" i="62"/>
  <c r="AQ64" i="62"/>
  <c r="AQ65" i="62"/>
  <c r="AQ89" i="62"/>
  <c r="AQ176" i="62"/>
  <c r="AQ179" i="62"/>
  <c r="AQ182" i="62"/>
  <c r="AQ125" i="62"/>
  <c r="AQ188" i="62"/>
  <c r="AQ185" i="62"/>
  <c r="AQ161" i="62"/>
  <c r="AQ73" i="62"/>
  <c r="AQ173" i="62"/>
  <c r="AQ170" i="62"/>
  <c r="AQ108" i="62" a="1"/>
  <c r="AQ108" i="62" s="1"/>
  <c r="AQ102" i="62"/>
  <c r="AQ98" i="62"/>
  <c r="AQ81" i="62"/>
  <c r="AQ47" i="62"/>
  <c r="AQ105" i="62"/>
  <c r="AQ167" i="62"/>
  <c r="AQ99" i="62"/>
  <c r="AQ72" i="62"/>
  <c r="AQ66" i="62"/>
  <c r="AQ95" i="62"/>
  <c r="AQ82" i="62"/>
  <c r="AQ115" i="62"/>
  <c r="AQ88" i="62"/>
  <c r="AQ12" i="62"/>
  <c r="AQ75" i="62"/>
  <c r="AQ32" i="62"/>
  <c r="AQ122" i="62"/>
  <c r="AQ79" i="62"/>
  <c r="AQ19" i="62"/>
  <c r="AQ80" i="62"/>
  <c r="AQ74" i="62"/>
  <c r="AQ62" i="62"/>
  <c r="AQ53" i="62"/>
  <c r="AQ38" i="62"/>
  <c r="AQ46" i="62"/>
  <c r="AQ22" i="62"/>
  <c r="AQ39" i="62"/>
  <c r="AQ25" i="62"/>
  <c r="AQ50" i="62"/>
  <c r="AQ164" i="62"/>
  <c r="AQ35" i="62"/>
  <c r="AQ16" i="62"/>
  <c r="AQ20" i="62"/>
  <c r="AQ177" i="62"/>
  <c r="AQ174" i="62"/>
  <c r="AQ51" i="62"/>
  <c r="AQ106" i="62"/>
  <c r="AQ23" i="62"/>
  <c r="AQ126" i="62"/>
  <c r="AQ48" i="62"/>
  <c r="AQ68" i="62"/>
  <c r="AQ136" i="62"/>
  <c r="AQ40" i="62"/>
  <c r="AQ83" i="62"/>
  <c r="AQ180" i="62"/>
  <c r="AQ103" i="62"/>
  <c r="AQ138" i="62"/>
  <c r="AQ139" i="62"/>
  <c r="AQ36" i="62"/>
  <c r="AQ168" i="62"/>
  <c r="AQ123" i="62"/>
  <c r="AQ13" i="62"/>
  <c r="AQ162" i="62"/>
  <c r="AQ26" i="62"/>
  <c r="AQ76" i="62"/>
  <c r="AQ14" i="62"/>
  <c r="AQ171" i="62"/>
  <c r="AQ96" i="62"/>
  <c r="AQ33" i="62"/>
  <c r="AQ54" i="62"/>
  <c r="AQ186" i="62"/>
  <c r="AQ17" i="62"/>
  <c r="AQ137" i="62"/>
  <c r="AQ67" i="62"/>
  <c r="AQ165" i="62"/>
  <c r="AQ116" i="62"/>
  <c r="AQ189" i="62"/>
  <c r="AQ100" i="62"/>
  <c r="AQ109" i="62"/>
  <c r="AR8" i="62"/>
  <c r="AQ183" i="62"/>
  <c r="AR94" i="62" l="1" a="1"/>
  <c r="AR94" i="62" s="1"/>
  <c r="AR63" i="62"/>
  <c r="AR65" i="62"/>
  <c r="AR64" i="62"/>
  <c r="AR67" i="62"/>
  <c r="AR23" i="62"/>
  <c r="AR173" i="62"/>
  <c r="AR188" i="62"/>
  <c r="AR122" i="62"/>
  <c r="AR179" i="62"/>
  <c r="AR167" i="62"/>
  <c r="AR95" i="62"/>
  <c r="AR74" i="62"/>
  <c r="AR185" i="62"/>
  <c r="AR161" i="62"/>
  <c r="AR182" i="62"/>
  <c r="AR75" i="62"/>
  <c r="AR170" i="62"/>
  <c r="AR108" i="62" a="1"/>
  <c r="AR108" i="62" s="1"/>
  <c r="AR164" i="62"/>
  <c r="AR115" i="62"/>
  <c r="AR98" i="62"/>
  <c r="AR88" i="62"/>
  <c r="AR62" i="62"/>
  <c r="AR66" i="62"/>
  <c r="AR38" i="62"/>
  <c r="AR81" i="62"/>
  <c r="AR105" i="62"/>
  <c r="AR79" i="62"/>
  <c r="AR39" i="62"/>
  <c r="AR35" i="62"/>
  <c r="AR99" i="62"/>
  <c r="AR125" i="62"/>
  <c r="AR73" i="62"/>
  <c r="AR46" i="62"/>
  <c r="AR82" i="62"/>
  <c r="AR53" i="62"/>
  <c r="AR72" i="62"/>
  <c r="AR50" i="62"/>
  <c r="AR176" i="62"/>
  <c r="AR102" i="62"/>
  <c r="AR22" i="62"/>
  <c r="AR12" i="62"/>
  <c r="AR32" i="62"/>
  <c r="AR47" i="62"/>
  <c r="AR25" i="62"/>
  <c r="AR16" i="62"/>
  <c r="AR80" i="62"/>
  <c r="AR19" i="62"/>
  <c r="AR186" i="62"/>
  <c r="AR138" i="62"/>
  <c r="H138" i="62" s="1" a="1"/>
  <c r="H138" i="62" s="1"/>
  <c r="AR162" i="62"/>
  <c r="AR189" i="62"/>
  <c r="AR51" i="62"/>
  <c r="AR26" i="62"/>
  <c r="AR54" i="62"/>
  <c r="AR89" i="62"/>
  <c r="AR17" i="62"/>
  <c r="AR174" i="62"/>
  <c r="AR103" i="62"/>
  <c r="AR40" i="62"/>
  <c r="AR96" i="62"/>
  <c r="AR123" i="62"/>
  <c r="AR20" i="62"/>
  <c r="AR137" i="62"/>
  <c r="H137" i="62" s="1" a="1"/>
  <c r="H137" i="62" s="1"/>
  <c r="AR116" i="62"/>
  <c r="AR171" i="62"/>
  <c r="AR168" i="62"/>
  <c r="AR136" i="62"/>
  <c r="H136" i="62" s="1" a="1"/>
  <c r="H136" i="62" s="1"/>
  <c r="AR139" i="62"/>
  <c r="H139" i="62" s="1" a="1"/>
  <c r="H139" i="62" s="1"/>
  <c r="AR165" i="62"/>
  <c r="AR106" i="62"/>
  <c r="AR14" i="62"/>
  <c r="AR48" i="62"/>
  <c r="AR36" i="62"/>
  <c r="AR68" i="62"/>
  <c r="AR180" i="62"/>
  <c r="AR100" i="62"/>
  <c r="AS8" i="62"/>
  <c r="AR126" i="62"/>
  <c r="AR13" i="62"/>
  <c r="AR183" i="62"/>
  <c r="AR177" i="62"/>
  <c r="AR33" i="62"/>
  <c r="AR83" i="62"/>
  <c r="AR76" i="62"/>
  <c r="AR109" i="62"/>
  <c r="AS94" i="62" l="1" a="1"/>
  <c r="AS94" i="62" s="1"/>
  <c r="H94" i="62" s="1" a="1"/>
  <c r="H94" i="62" s="1"/>
  <c r="T94" i="62" s="1"/>
  <c r="AS64" i="62"/>
  <c r="AS63" i="62"/>
  <c r="AS65" i="62"/>
  <c r="I94" i="62" a="1"/>
  <c r="I94" i="62" s="1"/>
  <c r="AS185" i="62"/>
  <c r="H185" i="62" s="1" a="1"/>
  <c r="H185" i="62" s="1"/>
  <c r="AS179" i="62"/>
  <c r="H179" i="62" s="1" a="1"/>
  <c r="H179" i="62" s="1"/>
  <c r="AS170" i="62"/>
  <c r="H170" i="62" s="1" a="1"/>
  <c r="H170" i="62" s="1"/>
  <c r="AS167" i="62"/>
  <c r="H167" i="62" s="1" a="1"/>
  <c r="H167" i="62" s="1"/>
  <c r="AS164" i="62"/>
  <c r="H164" i="62" s="1" a="1"/>
  <c r="H164" i="62" s="1"/>
  <c r="AS161" i="62"/>
  <c r="H161" i="62" s="1" a="1"/>
  <c r="H161" i="62" s="1"/>
  <c r="AS125" i="62"/>
  <c r="H125" i="62" s="1" a="1"/>
  <c r="H125" i="62" s="1"/>
  <c r="AS122" i="62"/>
  <c r="H122" i="62" s="1" a="1"/>
  <c r="H122" i="62" s="1"/>
  <c r="AS115" i="62"/>
  <c r="H115" i="62" s="1" a="1"/>
  <c r="H115" i="62" s="1"/>
  <c r="AS105" i="62"/>
  <c r="H105" i="62" s="1" a="1"/>
  <c r="H105" i="62" s="1"/>
  <c r="AS102" i="62"/>
  <c r="H102" i="62" s="1" a="1"/>
  <c r="H102" i="62" s="1"/>
  <c r="AS98" i="62"/>
  <c r="AS99" i="62"/>
  <c r="H99" i="62" s="1" a="1"/>
  <c r="H99" i="62" s="1"/>
  <c r="AS88" i="62"/>
  <c r="AS176" i="62"/>
  <c r="H176" i="62" s="1" a="1"/>
  <c r="H176" i="62" s="1"/>
  <c r="AS79" i="62"/>
  <c r="H79" i="62" s="1" a="1"/>
  <c r="H79" i="62" s="1"/>
  <c r="AS80" i="62"/>
  <c r="H80" i="62" s="1" a="1"/>
  <c r="H80" i="62" s="1"/>
  <c r="AS81" i="62"/>
  <c r="H81" i="62" s="1" a="1"/>
  <c r="H81" i="62" s="1"/>
  <c r="AS82" i="62"/>
  <c r="H82" i="62" s="1" a="1"/>
  <c r="H82" i="62" s="1"/>
  <c r="AS72" i="62"/>
  <c r="AS73" i="62"/>
  <c r="H73" i="62" s="1" a="1"/>
  <c r="H73" i="62" s="1"/>
  <c r="AS74" i="62"/>
  <c r="H74" i="62" s="1" a="1"/>
  <c r="H74" i="62" s="1"/>
  <c r="AS182" i="62"/>
  <c r="H182" i="62" s="1" a="1"/>
  <c r="H182" i="62" s="1"/>
  <c r="AS75" i="62"/>
  <c r="H75" i="62" s="1" a="1"/>
  <c r="H75" i="62" s="1"/>
  <c r="AS39" i="62"/>
  <c r="H39" i="62" s="1" a="1"/>
  <c r="H39" i="62" s="1"/>
  <c r="AS188" i="62"/>
  <c r="H188" i="62" s="1" a="1"/>
  <c r="H188" i="62" s="1"/>
  <c r="AS173" i="62"/>
  <c r="H173" i="62" s="1" a="1"/>
  <c r="H173" i="62" s="1"/>
  <c r="AS53" i="62"/>
  <c r="H53" i="62" s="1" a="1"/>
  <c r="H53" i="62" s="1"/>
  <c r="AS50" i="62"/>
  <c r="H50" i="62" s="1" a="1"/>
  <c r="H50" i="62" s="1"/>
  <c r="AS46" i="62"/>
  <c r="H46" i="62" s="1" a="1"/>
  <c r="H46" i="62" s="1"/>
  <c r="AS47" i="62"/>
  <c r="H47" i="62" s="1" a="1"/>
  <c r="H47" i="62" s="1"/>
  <c r="AS38" i="62"/>
  <c r="H38" i="62" s="1" a="1"/>
  <c r="H38" i="62" s="1"/>
  <c r="AS32" i="62"/>
  <c r="H32" i="62" s="1" a="1"/>
  <c r="H32" i="62" s="1"/>
  <c r="AS108" i="62" a="1"/>
  <c r="AS108" i="62" s="1"/>
  <c r="H108" i="62" s="1" a="1"/>
  <c r="H108" i="62" s="1"/>
  <c r="AS95" i="62"/>
  <c r="H95" i="62" s="1" a="1"/>
  <c r="H95" i="62" s="1"/>
  <c r="AS66" i="62"/>
  <c r="H66" i="62" s="1" a="1"/>
  <c r="H66" i="62" s="1"/>
  <c r="AS22" i="62"/>
  <c r="H22" i="62" s="1" a="1"/>
  <c r="H22" i="62" s="1"/>
  <c r="AS12" i="62"/>
  <c r="H12" i="62" s="1" a="1"/>
  <c r="H12" i="62" s="1"/>
  <c r="AS35" i="62"/>
  <c r="H35" i="62" s="1" a="1"/>
  <c r="H35" i="62" s="1"/>
  <c r="AS25" i="62"/>
  <c r="H25" i="62" s="1" a="1"/>
  <c r="H25" i="62" s="1"/>
  <c r="AS16" i="62"/>
  <c r="H16" i="62" s="1" a="1"/>
  <c r="H16" i="62" s="1"/>
  <c r="AS62" i="62"/>
  <c r="H62" i="62" s="1" a="1"/>
  <c r="H62" i="62" s="1"/>
  <c r="AS19" i="62"/>
  <c r="H19" i="62" s="1" a="1"/>
  <c r="H19" i="62" s="1"/>
  <c r="AS136" i="62"/>
  <c r="I136" i="62" s="1" a="1"/>
  <c r="I136" i="62" s="1"/>
  <c r="AS180" i="62"/>
  <c r="H180" i="62" s="1" a="1"/>
  <c r="H180" i="62" s="1"/>
  <c r="AS83" i="62"/>
  <c r="H83" i="62" s="1" a="1"/>
  <c r="H83" i="62" s="1"/>
  <c r="AS137" i="62"/>
  <c r="I137" i="62" s="1" a="1"/>
  <c r="I137" i="62" s="1"/>
  <c r="AS116" i="62"/>
  <c r="H116" i="62" s="1" a="1"/>
  <c r="H116" i="62" s="1"/>
  <c r="AS36" i="62"/>
  <c r="H36" i="62" s="1" a="1"/>
  <c r="H36" i="62" s="1"/>
  <c r="AS103" i="62"/>
  <c r="H103" i="62" s="1" a="1"/>
  <c r="H103" i="62" s="1"/>
  <c r="AS40" i="62"/>
  <c r="H40" i="62" s="1" a="1"/>
  <c r="H40" i="62" s="1"/>
  <c r="AS183" i="62"/>
  <c r="H183" i="62" s="1" a="1"/>
  <c r="H183" i="62" s="1"/>
  <c r="AS165" i="62"/>
  <c r="H165" i="62" s="1" a="1"/>
  <c r="H165" i="62" s="1"/>
  <c r="AS100" i="62"/>
  <c r="H100" i="62" s="1" a="1"/>
  <c r="H100" i="62" s="1"/>
  <c r="AS138" i="62"/>
  <c r="I138" i="62" s="1" a="1"/>
  <c r="I138" i="62" s="1"/>
  <c r="AS33" i="62"/>
  <c r="H33" i="62" s="1" a="1"/>
  <c r="H33" i="62" s="1"/>
  <c r="AS89" i="62"/>
  <c r="AS177" i="62"/>
  <c r="H177" i="62" s="1" a="1"/>
  <c r="H177" i="62" s="1"/>
  <c r="AS14" i="62"/>
  <c r="H14" i="62" s="1" a="1"/>
  <c r="H14" i="62" s="1"/>
  <c r="AS162" i="62"/>
  <c r="H162" i="62" s="1" a="1"/>
  <c r="H162" i="62" s="1"/>
  <c r="AS68" i="62"/>
  <c r="H68" i="62" s="1" a="1"/>
  <c r="H68" i="62" s="1"/>
  <c r="AS109" i="62"/>
  <c r="H109" i="62" s="1" a="1"/>
  <c r="H109" i="62" s="1"/>
  <c r="AS123" i="62"/>
  <c r="H123" i="62" s="1" a="1"/>
  <c r="H123" i="62" s="1"/>
  <c r="AS23" i="62"/>
  <c r="H23" i="62" s="1" a="1"/>
  <c r="H23" i="62" s="1"/>
  <c r="AS186" i="62"/>
  <c r="H186" i="62" s="1" a="1"/>
  <c r="H186" i="62" s="1"/>
  <c r="AS20" i="62"/>
  <c r="H20" i="62" s="1" a="1"/>
  <c r="H20" i="62" s="1"/>
  <c r="AS54" i="62"/>
  <c r="H54" i="62" s="1" a="1"/>
  <c r="H54" i="62" s="1"/>
  <c r="AT8" i="62"/>
  <c r="AS96" i="62"/>
  <c r="H96" i="62" s="1" a="1"/>
  <c r="H96" i="62" s="1"/>
  <c r="AS17" i="62"/>
  <c r="H17" i="62" s="1" a="1"/>
  <c r="H17" i="62" s="1"/>
  <c r="AS174" i="62"/>
  <c r="H174" i="62" s="1" a="1"/>
  <c r="H174" i="62" s="1"/>
  <c r="AS76" i="62"/>
  <c r="H76" i="62" s="1" a="1"/>
  <c r="H76" i="62" s="1"/>
  <c r="AS139" i="62"/>
  <c r="I139" i="62" s="1" a="1"/>
  <c r="I139" i="62" s="1"/>
  <c r="AS48" i="62"/>
  <c r="H48" i="62" s="1" a="1"/>
  <c r="H48" i="62" s="1"/>
  <c r="AS106" i="62"/>
  <c r="H106" i="62" s="1" a="1"/>
  <c r="H106" i="62" s="1"/>
  <c r="AS189" i="62"/>
  <c r="H189" i="62" s="1" a="1"/>
  <c r="H189" i="62" s="1"/>
  <c r="AS168" i="62"/>
  <c r="H168" i="62" s="1" a="1"/>
  <c r="H168" i="62" s="1"/>
  <c r="AS171" i="62"/>
  <c r="H171" i="62" s="1" a="1"/>
  <c r="H171" i="62" s="1"/>
  <c r="AS26" i="62"/>
  <c r="H26" i="62" s="1" a="1"/>
  <c r="H26" i="62" s="1"/>
  <c r="AS51" i="62"/>
  <c r="H51" i="62" s="1" a="1"/>
  <c r="H51" i="62" s="1"/>
  <c r="AS13" i="62"/>
  <c r="H13" i="62" s="1" a="1"/>
  <c r="H13" i="62" s="1"/>
  <c r="AS67" i="62"/>
  <c r="H67" i="62" s="1" a="1"/>
  <c r="H67" i="62" s="1"/>
  <c r="AS126" i="62"/>
  <c r="H126" i="62" s="1" a="1"/>
  <c r="H126" i="62" s="1"/>
  <c r="B38" i="114" a="1"/>
  <c r="B54" i="114" a="1"/>
  <c r="H63" i="62" l="1" a="1"/>
  <c r="H63" i="62" s="1"/>
  <c r="T63" i="62" s="1"/>
  <c r="I63" i="62" a="1"/>
  <c r="I63" i="62" s="1"/>
  <c r="H65" i="62" a="1"/>
  <c r="H65" i="62" s="1"/>
  <c r="T65" i="62" s="1"/>
  <c r="I65" i="62" a="1"/>
  <c r="I65" i="62" s="1"/>
  <c r="AT65" i="62"/>
  <c r="AT64" i="62"/>
  <c r="AT63" i="62"/>
  <c r="H64" i="62" a="1"/>
  <c r="H64" i="62" s="1"/>
  <c r="T64" i="62" s="1"/>
  <c r="I64" i="62" a="1"/>
  <c r="I64" i="62" s="1"/>
  <c r="B50" i="114" a="1"/>
  <c r="AT48" i="62"/>
  <c r="AT94" i="62" a="1"/>
  <c r="AT94" i="62" s="1"/>
  <c r="AT20" i="62"/>
  <c r="AG94" i="62"/>
  <c r="U94" i="62"/>
  <c r="B34" i="114" a="1"/>
  <c r="B34" i="114" s="1"/>
  <c r="B35" i="114" s="1"/>
  <c r="J35" i="114" s="1"/>
  <c r="G37" i="120"/>
  <c r="G31" i="120"/>
  <c r="I182" i="62" a="1"/>
  <c r="I182" i="62" s="1"/>
  <c r="H31" i="120" s="1"/>
  <c r="AT183" i="62"/>
  <c r="G16" i="120"/>
  <c r="I115" i="62" a="1"/>
  <c r="I115" i="62" s="1"/>
  <c r="AG115" i="62" s="1"/>
  <c r="I108" i="62" a="1"/>
  <c r="I108" i="62" s="1"/>
  <c r="AG108" i="62" s="1"/>
  <c r="I95" i="62" a="1"/>
  <c r="I95" i="62" s="1"/>
  <c r="FG95" i="62" s="1"/>
  <c r="I73" i="62" a="1"/>
  <c r="I73" i="62" s="1"/>
  <c r="FG73" i="62" s="1"/>
  <c r="AT182" i="62"/>
  <c r="AT185" i="62"/>
  <c r="AT176" i="62"/>
  <c r="AT173" i="62"/>
  <c r="AT115" i="62"/>
  <c r="AT170" i="62"/>
  <c r="AT167" i="62"/>
  <c r="AT188" i="62"/>
  <c r="AT122" i="62"/>
  <c r="AT79" i="62"/>
  <c r="AT179" i="62"/>
  <c r="AT105" i="62"/>
  <c r="AT102" i="62"/>
  <c r="AT164" i="62"/>
  <c r="AT125" i="62"/>
  <c r="AT95" i="62"/>
  <c r="AT88" i="62"/>
  <c r="AT62" i="62"/>
  <c r="AT72" i="62"/>
  <c r="AT35" i="62"/>
  <c r="AT98" i="62"/>
  <c r="AT25" i="62"/>
  <c r="AT81" i="62"/>
  <c r="AT108" i="62" a="1"/>
  <c r="AT108" i="62" s="1"/>
  <c r="AT22" i="62"/>
  <c r="AT19" i="62"/>
  <c r="AT16" i="62"/>
  <c r="AT12" i="62"/>
  <c r="AT73" i="62"/>
  <c r="AT161" i="62"/>
  <c r="AT66" i="62"/>
  <c r="AT99" i="62"/>
  <c r="AT80" i="62"/>
  <c r="AT46" i="62"/>
  <c r="AT82" i="62"/>
  <c r="AT75" i="62"/>
  <c r="AT39" i="62"/>
  <c r="AT74" i="62"/>
  <c r="AT47" i="62"/>
  <c r="AT38" i="62"/>
  <c r="AT50" i="62"/>
  <c r="AT53" i="62"/>
  <c r="AT32" i="62"/>
  <c r="AT40" i="62"/>
  <c r="AT116" i="62"/>
  <c r="AT89" i="62"/>
  <c r="AT106" i="62"/>
  <c r="AT171" i="62"/>
  <c r="G10" i="120"/>
  <c r="I125" i="62" a="1"/>
  <c r="I125" i="62" s="1"/>
  <c r="AG125" i="62" s="1"/>
  <c r="T125" i="62"/>
  <c r="AT186" i="62"/>
  <c r="AT137" i="62"/>
  <c r="AT14" i="62"/>
  <c r="I167" i="62" a="1"/>
  <c r="I167" i="62" s="1"/>
  <c r="AT36" i="62"/>
  <c r="AT68" i="62"/>
  <c r="AT165" i="62"/>
  <c r="I46" i="62" a="1"/>
  <c r="I46" i="62" s="1"/>
  <c r="AG46" i="62" s="1"/>
  <c r="AT103" i="62"/>
  <c r="AT96" i="62"/>
  <c r="AT76" i="62"/>
  <c r="AT67" i="62"/>
  <c r="AT139" i="62"/>
  <c r="AT13" i="62"/>
  <c r="AT33" i="62"/>
  <c r="I188" i="62" a="1"/>
  <c r="I188" i="62" s="1"/>
  <c r="AT126" i="62"/>
  <c r="AT17" i="62"/>
  <c r="AT123" i="62"/>
  <c r="AT23" i="62"/>
  <c r="AT109" i="62"/>
  <c r="AU8" i="62"/>
  <c r="AT180" i="62"/>
  <c r="AT54" i="62"/>
  <c r="I161" i="62" a="1"/>
  <c r="I161" i="62" s="1"/>
  <c r="H10" i="120" s="1"/>
  <c r="AT189" i="62"/>
  <c r="AT83" i="62"/>
  <c r="AT168" i="62"/>
  <c r="AT26" i="62"/>
  <c r="AT51" i="62"/>
  <c r="AT136" i="62"/>
  <c r="AT174" i="62"/>
  <c r="AT100" i="62"/>
  <c r="AT162" i="62"/>
  <c r="AT138" i="62"/>
  <c r="AT177" i="62"/>
  <c r="I74" i="62" a="1"/>
  <c r="I74" i="62" s="1"/>
  <c r="AG74" i="62" s="1"/>
  <c r="T81" i="62"/>
  <c r="T115" i="62" a="1"/>
  <c r="T115" i="62" s="1"/>
  <c r="T38" i="62"/>
  <c r="I14" i="62" a="1"/>
  <c r="I14" i="62" s="1"/>
  <c r="T12" i="62"/>
  <c r="I100" i="62" a="1"/>
  <c r="I100" i="62" s="1"/>
  <c r="I183" i="62" a="1"/>
  <c r="I183" i="62" s="1"/>
  <c r="H32" i="120" s="1"/>
  <c r="G32" i="120"/>
  <c r="G29" i="120"/>
  <c r="G26" i="120"/>
  <c r="I165" i="62" a="1"/>
  <c r="I165" i="62" s="1"/>
  <c r="H14" i="120" s="1"/>
  <c r="I36" i="62" a="1"/>
  <c r="I36" i="62" s="1"/>
  <c r="I83" i="62" a="1"/>
  <c r="I83" i="62" s="1"/>
  <c r="B38" i="114"/>
  <c r="J38" i="114" s="1"/>
  <c r="I105" i="62" a="1"/>
  <c r="I105" i="62" s="1"/>
  <c r="AG105" i="62" s="1"/>
  <c r="I103" i="62" a="1"/>
  <c r="I103" i="62" s="1"/>
  <c r="I33" i="62" a="1"/>
  <c r="I33" i="62" s="1"/>
  <c r="FG25" i="62" s="1"/>
  <c r="I62" i="62" a="1"/>
  <c r="I62" i="62" s="1"/>
  <c r="AG62" i="62" s="1"/>
  <c r="I40" i="62" a="1"/>
  <c r="I40" i="62" s="1"/>
  <c r="I116" i="62" a="1"/>
  <c r="I116" i="62" s="1"/>
  <c r="I180" i="62" a="1"/>
  <c r="I180" i="62" s="1"/>
  <c r="H29" i="120" s="1"/>
  <c r="I177" i="62" a="1"/>
  <c r="I177" i="62" s="1"/>
  <c r="H26" i="120" s="1"/>
  <c r="I38" i="62" a="1"/>
  <c r="I38" i="62" s="1"/>
  <c r="FG38" i="62" s="1"/>
  <c r="I72" i="62" a="1"/>
  <c r="I72" i="62" s="1"/>
  <c r="T72" i="62"/>
  <c r="I164" i="62" a="1"/>
  <c r="I164" i="62" s="1"/>
  <c r="AG164" i="62" s="1"/>
  <c r="G13" i="120"/>
  <c r="I173" i="62" a="1"/>
  <c r="I173" i="62" s="1"/>
  <c r="AG173" i="62" s="1"/>
  <c r="G22" i="120"/>
  <c r="T164" i="62"/>
  <c r="S13" i="120" s="1"/>
  <c r="I170" i="62" a="1"/>
  <c r="I170" i="62" s="1"/>
  <c r="H19" i="120" s="1"/>
  <c r="G19" i="120"/>
  <c r="I185" i="62" a="1"/>
  <c r="I185" i="62" s="1"/>
  <c r="H34" i="120" s="1"/>
  <c r="G34" i="120"/>
  <c r="I88" i="62" a="1"/>
  <c r="I88" i="62" s="1"/>
  <c r="AG88" i="62" s="1"/>
  <c r="I176" i="62" a="1"/>
  <c r="I176" i="62" s="1"/>
  <c r="I179" i="62" a="1"/>
  <c r="I179" i="62" s="1"/>
  <c r="H28" i="120" s="1"/>
  <c r="I81" i="62" a="1"/>
  <c r="I81" i="62" s="1"/>
  <c r="AG81" i="62" s="1"/>
  <c r="I66" i="62" a="1"/>
  <c r="I66" i="62" s="1"/>
  <c r="AG66" i="62" s="1"/>
  <c r="G14" i="120"/>
  <c r="I189" i="62" a="1"/>
  <c r="I189" i="62" s="1"/>
  <c r="H38" i="120" s="1"/>
  <c r="I22" i="62" a="1"/>
  <c r="I22" i="62" s="1"/>
  <c r="FG22" i="62" s="1"/>
  <c r="I53" i="62" a="1"/>
  <c r="I53" i="62" s="1"/>
  <c r="FG53" i="62" s="1"/>
  <c r="I25" i="62" a="1"/>
  <c r="I25" i="62" s="1"/>
  <c r="AG25" i="62" s="1"/>
  <c r="I174" i="62" a="1"/>
  <c r="I174" i="62" s="1"/>
  <c r="H23" i="120" s="1"/>
  <c r="I68" i="62" a="1"/>
  <c r="I68" i="62" s="1"/>
  <c r="T62" i="62"/>
  <c r="I26" i="62" a="1"/>
  <c r="I26" i="62" s="1"/>
  <c r="I122" i="62" a="1"/>
  <c r="I122" i="62" s="1"/>
  <c r="AG122" i="62" s="1"/>
  <c r="I162" i="62" a="1"/>
  <c r="I162" i="62" s="1"/>
  <c r="H11" i="120" s="1"/>
  <c r="I13" i="62" a="1"/>
  <c r="I13" i="62" s="1"/>
  <c r="FG13" i="62" s="1"/>
  <c r="T13" i="62"/>
  <c r="I171" i="62" a="1"/>
  <c r="I171" i="62" s="1"/>
  <c r="H20" i="120" s="1"/>
  <c r="I12" i="62" a="1"/>
  <c r="I12" i="62" s="1"/>
  <c r="AG12" i="62" s="1"/>
  <c r="I54" i="62" a="1"/>
  <c r="I54" i="62" s="1"/>
  <c r="I75" i="62" a="1"/>
  <c r="I75" i="62" s="1"/>
  <c r="AG75" i="62" s="1"/>
  <c r="I32" i="62" a="1"/>
  <c r="I32" i="62" s="1"/>
  <c r="FG32" i="62" s="1"/>
  <c r="T32" i="62"/>
  <c r="I39" i="62" a="1"/>
  <c r="I39" i="62" s="1"/>
  <c r="FG39" i="62" s="1"/>
  <c r="T39" i="62"/>
  <c r="I98" i="62" a="1"/>
  <c r="I98" i="62" s="1"/>
  <c r="I19" i="62" a="1"/>
  <c r="I19" i="62" s="1"/>
  <c r="I102" i="62" a="1"/>
  <c r="I102" i="62" s="1"/>
  <c r="FG102" i="62" s="1"/>
  <c r="T102" i="62"/>
  <c r="I47" i="62" a="1"/>
  <c r="I47" i="62" s="1"/>
  <c r="FG47" i="62" s="1"/>
  <c r="I67" i="62" a="1"/>
  <c r="I67" i="62" s="1"/>
  <c r="T66" i="62"/>
  <c r="I16" i="62" a="1"/>
  <c r="I16" i="62" s="1"/>
  <c r="AG16" i="62" s="1"/>
  <c r="I82" i="62" a="1"/>
  <c r="I82" i="62" s="1"/>
  <c r="AG82" i="62" s="1"/>
  <c r="T82" i="62"/>
  <c r="I35" i="62" a="1"/>
  <c r="I35" i="62" s="1"/>
  <c r="AG35" i="62" s="1"/>
  <c r="T35" i="62"/>
  <c r="I17" i="62" a="1"/>
  <c r="I17" i="62" s="1"/>
  <c r="I20" i="62" a="1"/>
  <c r="I20" i="62" s="1"/>
  <c r="I123" i="62" a="1"/>
  <c r="I123" i="62" s="1"/>
  <c r="I99" i="62" a="1"/>
  <c r="I99" i="62" s="1"/>
  <c r="AG99" i="62" s="1"/>
  <c r="I76" i="62" a="1"/>
  <c r="I76" i="62" s="1"/>
  <c r="I79" i="62" a="1"/>
  <c r="I79" i="62" s="1"/>
  <c r="AG79" i="62" s="1"/>
  <c r="T79" i="62"/>
  <c r="I50" i="62" a="1"/>
  <c r="I50" i="62" s="1"/>
  <c r="AG50" i="62" s="1"/>
  <c r="I186" i="62" a="1"/>
  <c r="I186" i="62" s="1"/>
  <c r="H35" i="120" s="1"/>
  <c r="I106" i="62" a="1"/>
  <c r="I106" i="62" s="1"/>
  <c r="T105" i="62"/>
  <c r="I23" i="62" a="1"/>
  <c r="I23" i="62" s="1"/>
  <c r="I48" i="62" a="1"/>
  <c r="I48" i="62" s="1"/>
  <c r="T46" i="62"/>
  <c r="I126" i="62" a="1"/>
  <c r="I126" i="62" s="1"/>
  <c r="I51" i="62" a="1"/>
  <c r="I51" i="62" s="1"/>
  <c r="I168" i="62" a="1"/>
  <c r="I168" i="62" s="1"/>
  <c r="H17" i="120" s="1"/>
  <c r="I96" i="62" a="1"/>
  <c r="I96" i="62" s="1"/>
  <c r="T95" i="62"/>
  <c r="I109" i="62" a="1"/>
  <c r="I109" i="62" s="1"/>
  <c r="T108" i="62"/>
  <c r="I80" i="62" a="1"/>
  <c r="I80" i="62" s="1"/>
  <c r="AG80" i="62" s="1"/>
  <c r="T80" i="62"/>
  <c r="B50" i="114"/>
  <c r="B51" i="114" s="1"/>
  <c r="H51" i="114" s="1"/>
  <c r="B54" i="114"/>
  <c r="B55" i="114" s="1"/>
  <c r="H55" i="114" s="1"/>
  <c r="AG65" i="62" l="1"/>
  <c r="U65" i="62"/>
  <c r="AU168" i="62"/>
  <c r="AU65" i="62"/>
  <c r="AU64" i="62"/>
  <c r="AU63" i="62"/>
  <c r="AG63" i="62"/>
  <c r="U63" i="62"/>
  <c r="U64" i="62"/>
  <c r="AG64" i="62"/>
  <c r="AU13" i="62"/>
  <c r="U98" i="62"/>
  <c r="AU89" i="62"/>
  <c r="AU94" i="62" a="1"/>
  <c r="AU94" i="62" s="1"/>
  <c r="AU23" i="62"/>
  <c r="AU137" i="62"/>
  <c r="AG182" i="62"/>
  <c r="AU67" i="62"/>
  <c r="AU180" i="62"/>
  <c r="AU103" i="62"/>
  <c r="AU174" i="62"/>
  <c r="AU48" i="62"/>
  <c r="AU138" i="62"/>
  <c r="AU177" i="62"/>
  <c r="AU17" i="62"/>
  <c r="FG182" i="62"/>
  <c r="U73" i="62"/>
  <c r="AG73" i="62"/>
  <c r="AU136" i="62"/>
  <c r="AV8" i="62"/>
  <c r="U95" i="62"/>
  <c r="AU162" i="62"/>
  <c r="AU109" i="62"/>
  <c r="AG95" i="62"/>
  <c r="AU126" i="62"/>
  <c r="U115" i="62"/>
  <c r="AU106" i="62"/>
  <c r="U108" i="62"/>
  <c r="AU26" i="62"/>
  <c r="AU68" i="62"/>
  <c r="AU189" i="62"/>
  <c r="AG161" i="62"/>
  <c r="U62" i="62"/>
  <c r="AU96" i="62"/>
  <c r="AU188" i="62"/>
  <c r="AU170" i="62"/>
  <c r="AU185" i="62"/>
  <c r="AU173" i="62"/>
  <c r="AU105" i="62"/>
  <c r="AU164" i="62"/>
  <c r="AU108" i="62" a="1"/>
  <c r="AU108" i="62" s="1"/>
  <c r="AU80" i="62"/>
  <c r="AU167" i="62"/>
  <c r="AU122" i="62"/>
  <c r="AU115" i="62"/>
  <c r="AU179" i="62"/>
  <c r="AU182" i="62"/>
  <c r="AU66" i="62"/>
  <c r="AU176" i="62"/>
  <c r="AU125" i="62"/>
  <c r="AU95" i="62"/>
  <c r="AU161" i="62"/>
  <c r="AU88" i="62"/>
  <c r="AU72" i="62"/>
  <c r="AU98" i="62"/>
  <c r="AU102" i="62"/>
  <c r="AU22" i="62"/>
  <c r="AU79" i="62"/>
  <c r="AU38" i="62"/>
  <c r="AU32" i="62"/>
  <c r="AU25" i="62"/>
  <c r="AU73" i="62"/>
  <c r="AU46" i="62"/>
  <c r="AU74" i="62"/>
  <c r="AU75" i="62"/>
  <c r="AU62" i="62"/>
  <c r="AU81" i="62"/>
  <c r="AU50" i="62"/>
  <c r="AU16" i="62"/>
  <c r="AU82" i="62"/>
  <c r="AU53" i="62"/>
  <c r="AU19" i="62"/>
  <c r="AU39" i="62"/>
  <c r="AU47" i="62"/>
  <c r="AU12" i="62"/>
  <c r="AU35" i="62"/>
  <c r="AU99" i="62"/>
  <c r="AU76" i="62"/>
  <c r="AU165" i="62"/>
  <c r="AU171" i="62"/>
  <c r="FG161" i="62"/>
  <c r="U46" i="62"/>
  <c r="FG62" i="62"/>
  <c r="H16" i="120"/>
  <c r="FG167" i="62"/>
  <c r="AG167" i="62"/>
  <c r="AU33" i="62"/>
  <c r="AU83" i="62"/>
  <c r="AU51" i="62"/>
  <c r="AU54" i="62"/>
  <c r="AU20" i="62"/>
  <c r="FG46" i="62"/>
  <c r="FG125" i="62"/>
  <c r="AU116" i="62"/>
  <c r="AU100" i="62"/>
  <c r="AU186" i="62"/>
  <c r="AU139" i="62"/>
  <c r="H37" i="120"/>
  <c r="FG188" i="62"/>
  <c r="AG188" i="62"/>
  <c r="AU36" i="62"/>
  <c r="AU14" i="62"/>
  <c r="AU123" i="62"/>
  <c r="AU183" i="62"/>
  <c r="AU40" i="62"/>
  <c r="U125" i="62"/>
  <c r="AG38" i="62"/>
  <c r="FG74" i="62"/>
  <c r="T99" i="62"/>
  <c r="T98" i="62"/>
  <c r="U182" i="62"/>
  <c r="T31" i="120" s="1"/>
  <c r="U188" i="62"/>
  <c r="T37" i="120" s="1"/>
  <c r="T182" i="62"/>
  <c r="S31" i="120" s="1"/>
  <c r="FG164" i="62"/>
  <c r="AG98" i="62"/>
  <c r="U38" i="62"/>
  <c r="H13" i="120"/>
  <c r="U66" i="62"/>
  <c r="U164" i="62"/>
  <c r="T13" i="120" s="1"/>
  <c r="U105" i="62"/>
  <c r="B39" i="114"/>
  <c r="U81" i="62"/>
  <c r="FG176" i="62"/>
  <c r="H25" i="120"/>
  <c r="AG176" i="62"/>
  <c r="H22" i="120"/>
  <c r="FG173" i="62"/>
  <c r="T176" i="62"/>
  <c r="S25" i="120" s="1"/>
  <c r="G25" i="120"/>
  <c r="U170" i="62"/>
  <c r="T19" i="120" s="1"/>
  <c r="FG170" i="62"/>
  <c r="FG80" i="62"/>
  <c r="FG179" i="62"/>
  <c r="U79" i="62"/>
  <c r="U176" i="62"/>
  <c r="T25" i="120" s="1"/>
  <c r="AG170" i="62"/>
  <c r="FG185" i="62"/>
  <c r="AG185" i="62"/>
  <c r="U179" i="62"/>
  <c r="T28" i="120" s="1"/>
  <c r="AG179" i="62"/>
  <c r="T179" i="62"/>
  <c r="S28" i="120" s="1"/>
  <c r="G28" i="120"/>
  <c r="AG72" i="62"/>
  <c r="U72" i="62"/>
  <c r="U35" i="62"/>
  <c r="FG50" i="62"/>
  <c r="FG35" i="62"/>
  <c r="U50" i="62"/>
  <c r="U12" i="62"/>
  <c r="U99" i="62"/>
  <c r="U22" i="62"/>
  <c r="U167" i="62"/>
  <c r="T16" i="120" s="1"/>
  <c r="U185" i="62"/>
  <c r="T34" i="120" s="1"/>
  <c r="U19" i="62"/>
  <c r="U80" i="62"/>
  <c r="FG12" i="62"/>
  <c r="T16" i="62"/>
  <c r="T122" i="62"/>
  <c r="T22" i="62"/>
  <c r="U13" i="62"/>
  <c r="U82" i="62"/>
  <c r="FG79" i="62"/>
  <c r="U47" i="62"/>
  <c r="U39" i="62"/>
  <c r="AG47" i="62"/>
  <c r="U25" i="62"/>
  <c r="AG39" i="62"/>
  <c r="FG16" i="62"/>
  <c r="T73" i="62"/>
  <c r="T74" i="62"/>
  <c r="T75" i="62"/>
  <c r="U16" i="62"/>
  <c r="T50" i="62"/>
  <c r="U32" i="62"/>
  <c r="U74" i="62"/>
  <c r="T47" i="62"/>
  <c r="T25" i="62"/>
  <c r="T19" i="62"/>
  <c r="T170" i="62"/>
  <c r="S19" i="120" s="1"/>
  <c r="G20" i="120"/>
  <c r="G23" i="120"/>
  <c r="T173" i="62"/>
  <c r="S22" i="120" s="1"/>
  <c r="AG32" i="62"/>
  <c r="U102" i="62"/>
  <c r="AG102" i="62"/>
  <c r="U75" i="62"/>
  <c r="T167" i="62"/>
  <c r="S16" i="120" s="1"/>
  <c r="G17" i="120"/>
  <c r="G35" i="120"/>
  <c r="T185" i="62"/>
  <c r="S34" i="120" s="1"/>
  <c r="U122" i="62"/>
  <c r="FG122" i="62"/>
  <c r="G38" i="120"/>
  <c r="T188" i="62"/>
  <c r="S37" i="120" s="1"/>
  <c r="AG22" i="62"/>
  <c r="U173" i="62"/>
  <c r="T22" i="120" s="1"/>
  <c r="AG53" i="62"/>
  <c r="U53" i="62"/>
  <c r="U161" i="62"/>
  <c r="T10" i="120" s="1"/>
  <c r="G11" i="120"/>
  <c r="T161" i="62"/>
  <c r="S10" i="120" s="1"/>
  <c r="T53" i="62"/>
  <c r="J51" i="114"/>
  <c r="J55" i="114"/>
  <c r="AV74" i="62" l="1"/>
  <c r="AV63" i="62"/>
  <c r="AV65" i="62"/>
  <c r="AV64" i="62"/>
  <c r="AV99" i="62"/>
  <c r="AV186" i="62"/>
  <c r="AV79" i="62"/>
  <c r="AV100" i="62"/>
  <c r="AV19" i="62"/>
  <c r="AV54" i="62"/>
  <c r="AV188" i="62"/>
  <c r="AV165" i="62"/>
  <c r="AV139" i="62"/>
  <c r="AV16" i="62"/>
  <c r="AV108" i="62" a="1"/>
  <c r="AV108" i="62" s="1"/>
  <c r="AV47" i="62"/>
  <c r="AV36" i="62"/>
  <c r="AV76" i="62"/>
  <c r="AV105" i="62"/>
  <c r="AV167" i="62"/>
  <c r="AV33" i="62"/>
  <c r="AV116" i="62"/>
  <c r="AV109" i="62"/>
  <c r="AV35" i="62"/>
  <c r="AV161" i="62"/>
  <c r="AV185" i="62"/>
  <c r="AV189" i="62"/>
  <c r="AV123" i="62"/>
  <c r="AV20" i="62"/>
  <c r="AV38" i="62"/>
  <c r="AV53" i="62"/>
  <c r="AV83" i="62"/>
  <c r="AV26" i="62"/>
  <c r="AV62" i="62"/>
  <c r="AV102" i="62"/>
  <c r="AV94" i="62" a="1"/>
  <c r="AV94" i="62" s="1"/>
  <c r="AV103" i="62"/>
  <c r="AV168" i="62"/>
  <c r="AV126" i="62"/>
  <c r="AV89" i="62"/>
  <c r="AV106" i="62"/>
  <c r="AV137" i="62"/>
  <c r="AV75" i="62"/>
  <c r="AV50" i="62"/>
  <c r="AV73" i="62"/>
  <c r="AV81" i="62"/>
  <c r="AV177" i="62"/>
  <c r="AV12" i="62"/>
  <c r="AV164" i="62"/>
  <c r="AV25" i="62"/>
  <c r="AV72" i="62"/>
  <c r="AV88" i="62"/>
  <c r="AV82" i="62"/>
  <c r="AV170" i="62"/>
  <c r="AV182" i="62"/>
  <c r="AW8" i="62"/>
  <c r="AV17" i="62"/>
  <c r="AV66" i="62"/>
  <c r="AV162" i="62"/>
  <c r="AV13" i="62"/>
  <c r="AV138" i="62"/>
  <c r="AV48" i="62"/>
  <c r="AV51" i="62"/>
  <c r="AV174" i="62"/>
  <c r="AV183" i="62"/>
  <c r="AV136" i="62"/>
  <c r="AV96" i="62"/>
  <c r="AV39" i="62"/>
  <c r="AV22" i="62"/>
  <c r="AV95" i="62"/>
  <c r="AV122" i="62"/>
  <c r="AV176" i="62"/>
  <c r="AV173" i="62"/>
  <c r="AV14" i="62"/>
  <c r="AV68" i="62"/>
  <c r="AV32" i="62"/>
  <c r="AV80" i="62"/>
  <c r="AV67" i="62"/>
  <c r="AV180" i="62"/>
  <c r="AV40" i="62"/>
  <c r="AV171" i="62"/>
  <c r="AV23" i="62"/>
  <c r="AV125" i="62"/>
  <c r="AV46" i="62"/>
  <c r="AV98" i="62"/>
  <c r="AV115" i="62"/>
  <c r="AV179" i="62"/>
  <c r="AW109" i="62"/>
  <c r="AW186" i="62" l="1"/>
  <c r="AW65" i="62"/>
  <c r="AW63" i="62"/>
  <c r="AW64" i="62"/>
  <c r="AW182" i="62"/>
  <c r="AW53" i="62"/>
  <c r="AW79" i="62"/>
  <c r="AW185" i="62"/>
  <c r="AW94" i="62" a="1"/>
  <c r="AW94" i="62" s="1"/>
  <c r="AW96" i="62"/>
  <c r="AW66" i="62"/>
  <c r="AW68" i="62"/>
  <c r="AW33" i="62"/>
  <c r="AW74" i="62"/>
  <c r="AW106" i="62"/>
  <c r="AW72" i="62"/>
  <c r="AW80" i="62"/>
  <c r="AW47" i="62"/>
  <c r="AW188" i="62"/>
  <c r="AW54" i="62"/>
  <c r="AW89" i="62"/>
  <c r="AW105" i="62"/>
  <c r="AW20" i="62"/>
  <c r="AW100" i="62"/>
  <c r="AW88" i="62"/>
  <c r="AW82" i="62"/>
  <c r="AW103" i="62"/>
  <c r="AW67" i="62"/>
  <c r="AW139" i="62"/>
  <c r="AW13" i="62"/>
  <c r="AW171" i="62"/>
  <c r="AW177" i="62"/>
  <c r="AW12" i="62"/>
  <c r="AW95" i="62"/>
  <c r="AW173" i="62"/>
  <c r="AW73" i="62"/>
  <c r="AW125" i="62"/>
  <c r="AW36" i="62"/>
  <c r="AW189" i="62"/>
  <c r="AW183" i="62"/>
  <c r="AW51" i="62"/>
  <c r="AW22" i="62"/>
  <c r="AW25" i="62"/>
  <c r="AW35" i="62"/>
  <c r="AW16" i="62"/>
  <c r="AW50" i="62"/>
  <c r="AW98" i="62"/>
  <c r="AW40" i="62"/>
  <c r="AW136" i="62"/>
  <c r="AW23" i="62"/>
  <c r="AW26" i="62"/>
  <c r="AW137" i="62"/>
  <c r="AW38" i="62"/>
  <c r="AW179" i="62"/>
  <c r="AW99" i="62"/>
  <c r="AW164" i="62"/>
  <c r="AW48" i="62"/>
  <c r="AW180" i="62"/>
  <c r="AW174" i="62"/>
  <c r="AW126" i="62"/>
  <c r="AW19" i="62"/>
  <c r="AW46" i="62"/>
  <c r="AW167" i="62"/>
  <c r="AW170" i="62"/>
  <c r="AW176" i="62"/>
  <c r="AX8" i="62"/>
  <c r="AW168" i="62"/>
  <c r="AW165" i="62"/>
  <c r="AW138" i="62"/>
  <c r="AW76" i="62"/>
  <c r="AW32" i="62"/>
  <c r="AW39" i="62"/>
  <c r="AW81" i="62"/>
  <c r="AW75" i="62"/>
  <c r="AW122" i="62"/>
  <c r="AW108" i="62" a="1"/>
  <c r="AW108" i="62" s="1"/>
  <c r="AW162" i="62"/>
  <c r="AW116" i="62"/>
  <c r="AW17" i="62"/>
  <c r="AW14" i="62"/>
  <c r="AW83" i="62"/>
  <c r="AW123" i="62"/>
  <c r="AW62" i="62"/>
  <c r="AW102" i="62"/>
  <c r="AW161" i="62"/>
  <c r="AW115" i="62"/>
  <c r="AX79" i="62" l="1"/>
  <c r="AX63" i="62"/>
  <c r="AX65" i="62"/>
  <c r="AX64" i="62"/>
  <c r="AX188" i="62"/>
  <c r="AX174" i="62"/>
  <c r="AX48" i="62"/>
  <c r="AX176" i="62"/>
  <c r="AX94" i="62" a="1"/>
  <c r="AX94" i="62" s="1"/>
  <c r="AX165" i="62"/>
  <c r="AX139" i="62"/>
  <c r="AX39" i="62"/>
  <c r="AX170" i="62"/>
  <c r="AX180" i="62"/>
  <c r="AX162" i="62"/>
  <c r="AX105" i="62"/>
  <c r="AX76" i="62"/>
  <c r="AX106" i="62"/>
  <c r="AX22" i="62"/>
  <c r="AX182" i="62"/>
  <c r="AX136" i="62"/>
  <c r="AX38" i="62"/>
  <c r="AX50" i="62"/>
  <c r="AX23" i="62"/>
  <c r="AX168" i="62"/>
  <c r="AX189" i="62"/>
  <c r="AX81" i="62"/>
  <c r="AX185" i="62"/>
  <c r="AX26" i="62"/>
  <c r="AX102" i="62"/>
  <c r="AX67" i="62"/>
  <c r="AX164" i="62"/>
  <c r="AX183" i="62"/>
  <c r="AX126" i="62"/>
  <c r="AX177" i="62"/>
  <c r="AX47" i="62"/>
  <c r="AX161" i="62"/>
  <c r="AY8" i="62"/>
  <c r="AY139" i="62" s="1"/>
  <c r="AX35" i="62"/>
  <c r="AX72" i="62"/>
  <c r="AX186" i="62"/>
  <c r="AX66" i="62"/>
  <c r="AX122" i="62"/>
  <c r="AX179" i="62"/>
  <c r="AX96" i="62"/>
  <c r="AX32" i="62"/>
  <c r="AX167" i="62"/>
  <c r="AX109" i="62"/>
  <c r="AX14" i="62"/>
  <c r="AX13" i="62"/>
  <c r="AX20" i="62"/>
  <c r="AX17" i="62"/>
  <c r="AX74" i="62"/>
  <c r="AX95" i="62"/>
  <c r="AX53" i="62"/>
  <c r="AX75" i="62"/>
  <c r="AX82" i="62"/>
  <c r="AX99" i="62"/>
  <c r="AX40" i="62"/>
  <c r="AX100" i="62"/>
  <c r="AX73" i="62"/>
  <c r="AX125" i="62"/>
  <c r="AX171" i="62"/>
  <c r="AX51" i="62"/>
  <c r="AX88" i="62"/>
  <c r="AX46" i="62"/>
  <c r="AX123" i="62"/>
  <c r="AX33" i="62"/>
  <c r="AX54" i="62"/>
  <c r="AX116" i="62"/>
  <c r="AX36" i="62"/>
  <c r="AX80" i="62"/>
  <c r="AX16" i="62"/>
  <c r="AX98" i="62"/>
  <c r="AX12" i="62"/>
  <c r="AX173" i="62"/>
  <c r="AX108" i="62" a="1"/>
  <c r="AX108" i="62" s="1"/>
  <c r="AX138" i="62"/>
  <c r="AX103" i="62"/>
  <c r="AX62" i="62"/>
  <c r="AX137" i="62"/>
  <c r="AX89" i="62"/>
  <c r="AX68" i="62"/>
  <c r="AX83" i="62"/>
  <c r="AX19" i="62"/>
  <c r="AX25" i="62"/>
  <c r="AX115" i="62"/>
  <c r="AY82" i="62"/>
  <c r="AY100" i="62" l="1"/>
  <c r="AY64" i="62"/>
  <c r="AY63" i="62"/>
  <c r="AY65" i="62"/>
  <c r="AY186" i="62"/>
  <c r="AY98" i="62"/>
  <c r="AY89" i="62"/>
  <c r="AY16" i="62"/>
  <c r="AY38" i="62"/>
  <c r="AY185" i="62"/>
  <c r="AY138" i="62"/>
  <c r="AY14" i="62"/>
  <c r="AY179" i="62"/>
  <c r="AY125" i="62"/>
  <c r="AY94" i="62" a="1"/>
  <c r="AY94" i="62" s="1"/>
  <c r="AY33" i="62"/>
  <c r="AY26" i="62"/>
  <c r="AY126" i="62"/>
  <c r="AY48" i="62"/>
  <c r="AY83" i="62"/>
  <c r="AY103" i="62"/>
  <c r="AY12" i="62"/>
  <c r="AY25" i="62"/>
  <c r="AY50" i="62"/>
  <c r="AY88" i="62"/>
  <c r="AY102" i="62"/>
  <c r="AY75" i="62"/>
  <c r="AY171" i="62"/>
  <c r="AY123" i="62"/>
  <c r="AY173" i="62"/>
  <c r="AY32" i="62"/>
  <c r="AY74" i="62"/>
  <c r="AY62" i="62"/>
  <c r="AY79" i="62"/>
  <c r="AY122" i="62"/>
  <c r="AY23" i="62"/>
  <c r="AY13" i="62"/>
  <c r="AY137" i="62"/>
  <c r="AY96" i="62"/>
  <c r="AY183" i="62"/>
  <c r="AY19" i="62"/>
  <c r="AY161" i="62"/>
  <c r="AY47" i="62"/>
  <c r="AY105" i="62"/>
  <c r="AY176" i="62"/>
  <c r="AY67" i="62"/>
  <c r="AY54" i="62"/>
  <c r="AY189" i="62"/>
  <c r="AY76" i="62"/>
  <c r="AZ8" i="62"/>
  <c r="AY22" i="62"/>
  <c r="AY46" i="62"/>
  <c r="AY80" i="62"/>
  <c r="AY99" i="62"/>
  <c r="AY73" i="62"/>
  <c r="AY17" i="62"/>
  <c r="AY36" i="62"/>
  <c r="AY106" i="62"/>
  <c r="AY109" i="62"/>
  <c r="AY136" i="62"/>
  <c r="AY116" i="62"/>
  <c r="AY66" i="62"/>
  <c r="AY35" i="62"/>
  <c r="AY108" i="62" a="1"/>
  <c r="AY108" i="62" s="1"/>
  <c r="AY167" i="62"/>
  <c r="AY164" i="62"/>
  <c r="AY188" i="62"/>
  <c r="AY162" i="62"/>
  <c r="AY40" i="62"/>
  <c r="AY20" i="62"/>
  <c r="AY51" i="62"/>
  <c r="AY165" i="62"/>
  <c r="AY168" i="62"/>
  <c r="AY39" i="62"/>
  <c r="AY81" i="62"/>
  <c r="AY95" i="62"/>
  <c r="AY170" i="62"/>
  <c r="AY182" i="62"/>
  <c r="AY180" i="62"/>
  <c r="AY174" i="62"/>
  <c r="AY68" i="62"/>
  <c r="AY177" i="62"/>
  <c r="AY53" i="62"/>
  <c r="AY72" i="62"/>
  <c r="AY115" i="62"/>
  <c r="AZ173" i="62" l="1"/>
  <c r="AZ63" i="62"/>
  <c r="AZ65" i="62"/>
  <c r="AZ64" i="62"/>
  <c r="AZ138" i="62"/>
  <c r="AZ33" i="62"/>
  <c r="AZ19" i="62"/>
  <c r="AZ164" i="62"/>
  <c r="AZ180" i="62"/>
  <c r="AZ76" i="62"/>
  <c r="AZ81" i="62"/>
  <c r="AZ38" i="62"/>
  <c r="AZ13" i="62"/>
  <c r="AZ109" i="62"/>
  <c r="AZ72" i="62"/>
  <c r="AZ167" i="62"/>
  <c r="AZ123" i="62"/>
  <c r="AZ116" i="62"/>
  <c r="AZ179" i="62"/>
  <c r="AZ74" i="62"/>
  <c r="AZ20" i="62"/>
  <c r="AZ106" i="62"/>
  <c r="AZ108" i="62" a="1"/>
  <c r="AZ108" i="62" s="1"/>
  <c r="AZ73" i="62"/>
  <c r="AZ26" i="62"/>
  <c r="AZ12" i="62"/>
  <c r="AZ80" i="62"/>
  <c r="AZ95" i="62"/>
  <c r="AZ162" i="62"/>
  <c r="AZ103" i="62"/>
  <c r="AZ25" i="62"/>
  <c r="AZ88" i="62"/>
  <c r="AZ188" i="62"/>
  <c r="AZ94" i="62" a="1"/>
  <c r="AZ94" i="62" s="1"/>
  <c r="AZ137" i="62"/>
  <c r="AZ47" i="62"/>
  <c r="AZ189" i="62"/>
  <c r="AZ96" i="62"/>
  <c r="AZ183" i="62"/>
  <c r="AZ14" i="62"/>
  <c r="AZ136" i="62"/>
  <c r="AZ46" i="62"/>
  <c r="AZ50" i="62"/>
  <c r="AZ39" i="62"/>
  <c r="AZ170" i="62"/>
  <c r="AZ185" i="62"/>
  <c r="AZ176" i="62"/>
  <c r="BA8" i="62"/>
  <c r="AZ100" i="62"/>
  <c r="AZ16" i="62"/>
  <c r="AZ125" i="62"/>
  <c r="AZ48" i="62"/>
  <c r="AZ89" i="62"/>
  <c r="AZ17" i="62"/>
  <c r="AZ54" i="62"/>
  <c r="AZ23" i="62"/>
  <c r="AZ22" i="62"/>
  <c r="AZ66" i="62"/>
  <c r="AZ115" i="62"/>
  <c r="AZ79" i="62"/>
  <c r="AZ75" i="62"/>
  <c r="AZ68" i="62"/>
  <c r="AZ139" i="62"/>
  <c r="AZ51" i="62"/>
  <c r="AZ32" i="62"/>
  <c r="AZ53" i="62"/>
  <c r="AZ105" i="62"/>
  <c r="AZ182" i="62"/>
  <c r="AZ186" i="62"/>
  <c r="AZ36" i="62"/>
  <c r="AZ67" i="62"/>
  <c r="AZ168" i="62"/>
  <c r="AZ174" i="62"/>
  <c r="AZ177" i="62"/>
  <c r="AZ62" i="62"/>
  <c r="AZ99" i="62"/>
  <c r="AZ98" i="62"/>
  <c r="AZ122" i="62"/>
  <c r="AZ83" i="62"/>
  <c r="AZ171" i="62"/>
  <c r="AZ40" i="62"/>
  <c r="AZ126" i="62"/>
  <c r="AZ165" i="62"/>
  <c r="AZ35" i="62"/>
  <c r="AZ82" i="62"/>
  <c r="AZ102" i="62"/>
  <c r="AZ161" i="62"/>
  <c r="BA176" i="62" l="1"/>
  <c r="BA64" i="62"/>
  <c r="BA63" i="62"/>
  <c r="BA65" i="62"/>
  <c r="BB8" i="62"/>
  <c r="BB122" i="62" s="1"/>
  <c r="BA13" i="62"/>
  <c r="BA54" i="62"/>
  <c r="BA12" i="62"/>
  <c r="BA74" i="62"/>
  <c r="BA99" i="62"/>
  <c r="BA66" i="62"/>
  <c r="BA189" i="62"/>
  <c r="BA36" i="62"/>
  <c r="BA182" i="62"/>
  <c r="BA89" i="62"/>
  <c r="BA186" i="62"/>
  <c r="BA98" i="62"/>
  <c r="BA22" i="62"/>
  <c r="BA126" i="62"/>
  <c r="BA100" i="62"/>
  <c r="BA76" i="62"/>
  <c r="BA38" i="62"/>
  <c r="BA82" i="62"/>
  <c r="BA73" i="62"/>
  <c r="BA122" i="62"/>
  <c r="BA26" i="62"/>
  <c r="BA48" i="62"/>
  <c r="BA123" i="62"/>
  <c r="BA80" i="62"/>
  <c r="BA164" i="62"/>
  <c r="BA108" i="62" a="1"/>
  <c r="BA108" i="62" s="1"/>
  <c r="BA180" i="62"/>
  <c r="BA96" i="62"/>
  <c r="BA83" i="62"/>
  <c r="BA47" i="62"/>
  <c r="BA72" i="62"/>
  <c r="BA39" i="62"/>
  <c r="BA188" i="62"/>
  <c r="BA136" i="62"/>
  <c r="BA14" i="62"/>
  <c r="BA50" i="62"/>
  <c r="BA75" i="62"/>
  <c r="BA102" i="62"/>
  <c r="BA94" i="62" a="1"/>
  <c r="BA94" i="62" s="1"/>
  <c r="BA171" i="62"/>
  <c r="BA183" i="62"/>
  <c r="BA162" i="62"/>
  <c r="BA16" i="62"/>
  <c r="BA125" i="62"/>
  <c r="BA173" i="62"/>
  <c r="BA88" i="62"/>
  <c r="BA165" i="62"/>
  <c r="BA17" i="62"/>
  <c r="BA109" i="62"/>
  <c r="BA139" i="62"/>
  <c r="BA53" i="62"/>
  <c r="BA79" i="62"/>
  <c r="BA179" i="62"/>
  <c r="BA161" i="62"/>
  <c r="BA23" i="62"/>
  <c r="BA174" i="62"/>
  <c r="BA116" i="62"/>
  <c r="BA33" i="62"/>
  <c r="BA137" i="62"/>
  <c r="BA46" i="62"/>
  <c r="BA62" i="62"/>
  <c r="BA167" i="62"/>
  <c r="BA170" i="62"/>
  <c r="BA103" i="62"/>
  <c r="BA51" i="62"/>
  <c r="BA177" i="62"/>
  <c r="BA168" i="62"/>
  <c r="BA138" i="62"/>
  <c r="BA115" i="62"/>
  <c r="BA105" i="62"/>
  <c r="BA32" i="62"/>
  <c r="BA81" i="62"/>
  <c r="BA185" i="62"/>
  <c r="BA20" i="62"/>
  <c r="BA68" i="62"/>
  <c r="BA40" i="62"/>
  <c r="BA67" i="62"/>
  <c r="BA106" i="62"/>
  <c r="BA25" i="62"/>
  <c r="BA19" i="62"/>
  <c r="BA35" i="62"/>
  <c r="BA95" i="62"/>
  <c r="BB182" i="62"/>
  <c r="BB167" i="62"/>
  <c r="BB161" i="62"/>
  <c r="BB125" i="62"/>
  <c r="BB115" i="62"/>
  <c r="BB98" i="62"/>
  <c r="BB79" i="62"/>
  <c r="BB185" i="62"/>
  <c r="BB80" i="62"/>
  <c r="BB72" i="62"/>
  <c r="BB74" i="62"/>
  <c r="BB62" i="62"/>
  <c r="BB108" i="62" a="1"/>
  <c r="BB108" i="62" s="1"/>
  <c r="BB95" i="62"/>
  <c r="BB53" i="62"/>
  <c r="BB50" i="62"/>
  <c r="BB47" i="62"/>
  <c r="BB25" i="62"/>
  <c r="BB22" i="62"/>
  <c r="BB12" i="62"/>
  <c r="BB19" i="62"/>
  <c r="BB106" i="62"/>
  <c r="BB51" i="62"/>
  <c r="BB20" i="62"/>
  <c r="BB186" i="62"/>
  <c r="BB54" i="62"/>
  <c r="BB40" i="62"/>
  <c r="BB183" i="62"/>
  <c r="BB116" i="62"/>
  <c r="BB174" i="62"/>
  <c r="BB165" i="62"/>
  <c r="BB26" i="62"/>
  <c r="BB67" i="62"/>
  <c r="BB136" i="62"/>
  <c r="BC8" i="62"/>
  <c r="BB76" i="62"/>
  <c r="BB162" i="62"/>
  <c r="BB100" i="62"/>
  <c r="BB123" i="62"/>
  <c r="BB103" i="62"/>
  <c r="BB83" i="62"/>
  <c r="BB177" i="62" l="1"/>
  <c r="BB48" i="62"/>
  <c r="BB36" i="62"/>
  <c r="BB89" i="62"/>
  <c r="BB68" i="62"/>
  <c r="BB32" i="62"/>
  <c r="BB46" i="62"/>
  <c r="BB188" i="62"/>
  <c r="BB173" i="62"/>
  <c r="BB94" i="62" a="1"/>
  <c r="BB94" i="62" s="1"/>
  <c r="BB65" i="62"/>
  <c r="BB64" i="62"/>
  <c r="BB63" i="62"/>
  <c r="BB13" i="62"/>
  <c r="BB23" i="62"/>
  <c r="BB180" i="62"/>
  <c r="BB168" i="62"/>
  <c r="BB109" i="62"/>
  <c r="BB88" i="62"/>
  <c r="BB176" i="62"/>
  <c r="BB73" i="62"/>
  <c r="BB99" i="62"/>
  <c r="BB164" i="62"/>
  <c r="BB96" i="62"/>
  <c r="BB126" i="62"/>
  <c r="BB17" i="62"/>
  <c r="BB16" i="62"/>
  <c r="BB39" i="62"/>
  <c r="BB35" i="62"/>
  <c r="BB82" i="62"/>
  <c r="BB102" i="62"/>
  <c r="BB170" i="62"/>
  <c r="BC94" i="62" a="1"/>
  <c r="BC94" i="62" s="1"/>
  <c r="BC65" i="62"/>
  <c r="BC63" i="62"/>
  <c r="BC64" i="62"/>
  <c r="BB189" i="62"/>
  <c r="BB138" i="62"/>
  <c r="BB14" i="62"/>
  <c r="BB171" i="62"/>
  <c r="BB139" i="62"/>
  <c r="BB33" i="62"/>
  <c r="BB137" i="62"/>
  <c r="BB66" i="62"/>
  <c r="BB38" i="62"/>
  <c r="BB75" i="62"/>
  <c r="BB81" i="62"/>
  <c r="BB105" i="62"/>
  <c r="BB179" i="62"/>
  <c r="BC188" i="62"/>
  <c r="BC182" i="62"/>
  <c r="BC179" i="62"/>
  <c r="BC176" i="62"/>
  <c r="BC173" i="62"/>
  <c r="BC170" i="62"/>
  <c r="BC105" i="62"/>
  <c r="BC167" i="62"/>
  <c r="BC108" i="62" a="1"/>
  <c r="BC108" i="62" s="1"/>
  <c r="BC115" i="62"/>
  <c r="BC80" i="62"/>
  <c r="BC161" i="62"/>
  <c r="BC102" i="62"/>
  <c r="BC95" i="62"/>
  <c r="BC88" i="62"/>
  <c r="BC79" i="62"/>
  <c r="BC66" i="62"/>
  <c r="BC81" i="62"/>
  <c r="BC122" i="62"/>
  <c r="BC185" i="62"/>
  <c r="BC125" i="62"/>
  <c r="BC98" i="62"/>
  <c r="BC72" i="62"/>
  <c r="BC74" i="62"/>
  <c r="BC22" i="62"/>
  <c r="BC164" i="62"/>
  <c r="BC46" i="62"/>
  <c r="BC19" i="62"/>
  <c r="BC16" i="62"/>
  <c r="BC12" i="62"/>
  <c r="BC75" i="62"/>
  <c r="BC53" i="62"/>
  <c r="BC50" i="62"/>
  <c r="BC32" i="62"/>
  <c r="BC62" i="62"/>
  <c r="BC25" i="62"/>
  <c r="BC73" i="62"/>
  <c r="BC82" i="62"/>
  <c r="BC39" i="62"/>
  <c r="BC35" i="62"/>
  <c r="BC99" i="62"/>
  <c r="BC47" i="62"/>
  <c r="BC38" i="62"/>
  <c r="BC67" i="62"/>
  <c r="BC68" i="62"/>
  <c r="BC137" i="62"/>
  <c r="BC76" i="62"/>
  <c r="BC106" i="62"/>
  <c r="BC100" i="62"/>
  <c r="BC96" i="62"/>
  <c r="BC54" i="62"/>
  <c r="BC13" i="62"/>
  <c r="BC171" i="62"/>
  <c r="BC89" i="62"/>
  <c r="BC186" i="62"/>
  <c r="BC177" i="62"/>
  <c r="BC165" i="62"/>
  <c r="BC183" i="62"/>
  <c r="BC180" i="62"/>
  <c r="BC168" i="62"/>
  <c r="BC103" i="62"/>
  <c r="BC17" i="62"/>
  <c r="BC138" i="62"/>
  <c r="BC36" i="62"/>
  <c r="BC23" i="62"/>
  <c r="BC174" i="62"/>
  <c r="BC109" i="62"/>
  <c r="BC126" i="62"/>
  <c r="BC162" i="62"/>
  <c r="BC40" i="62"/>
  <c r="BC14" i="62"/>
  <c r="BC20" i="62"/>
  <c r="BC33" i="62"/>
  <c r="BC123" i="62"/>
  <c r="BC189" i="62"/>
  <c r="BC139" i="62"/>
  <c r="BC51" i="62"/>
  <c r="BD8" i="62"/>
  <c r="BC83" i="62"/>
  <c r="BC136" i="62"/>
  <c r="BC48" i="62"/>
  <c r="BC116" i="62"/>
  <c r="BC26" i="62"/>
  <c r="BD94" i="62" l="1" a="1"/>
  <c r="BD94" i="62" s="1"/>
  <c r="BD65" i="62"/>
  <c r="BD63" i="62"/>
  <c r="BD64" i="62"/>
  <c r="BD185" i="62"/>
  <c r="BD188" i="62"/>
  <c r="BD167" i="62"/>
  <c r="BD108" i="62" a="1"/>
  <c r="BD108" i="62" s="1"/>
  <c r="BD102" i="62"/>
  <c r="BD179" i="62"/>
  <c r="BD170" i="62"/>
  <c r="BD173" i="62"/>
  <c r="BD122" i="62"/>
  <c r="BD81" i="62"/>
  <c r="BD115" i="62"/>
  <c r="BD105" i="62"/>
  <c r="BD182" i="62"/>
  <c r="BD161" i="62"/>
  <c r="BD95" i="62"/>
  <c r="BD125" i="62"/>
  <c r="BD88" i="62"/>
  <c r="BD72" i="62"/>
  <c r="BD53" i="62"/>
  <c r="BD19" i="62"/>
  <c r="BD98" i="62"/>
  <c r="BD74" i="62"/>
  <c r="BD176" i="62"/>
  <c r="BD99" i="62"/>
  <c r="BD80" i="62"/>
  <c r="BD32" i="62"/>
  <c r="BD25" i="62"/>
  <c r="BD22" i="62"/>
  <c r="BD75" i="62"/>
  <c r="BD62" i="62"/>
  <c r="BD73" i="62"/>
  <c r="BD164" i="62"/>
  <c r="BD12" i="62"/>
  <c r="BD66" i="62"/>
  <c r="BD46" i="62"/>
  <c r="BD47" i="62"/>
  <c r="BD38" i="62"/>
  <c r="BD79" i="62"/>
  <c r="BD39" i="62"/>
  <c r="BD82" i="62"/>
  <c r="BD50" i="62"/>
  <c r="BD35" i="62"/>
  <c r="BD16" i="62"/>
  <c r="BD33" i="62"/>
  <c r="BD183" i="62"/>
  <c r="BD138" i="62"/>
  <c r="BD100" i="62"/>
  <c r="BD180" i="62"/>
  <c r="BD116" i="62"/>
  <c r="BD67" i="62"/>
  <c r="BD177" i="62"/>
  <c r="BD136" i="62"/>
  <c r="BD165" i="62"/>
  <c r="BD48" i="62"/>
  <c r="BD23" i="62"/>
  <c r="BD96" i="62"/>
  <c r="BD17" i="62"/>
  <c r="BD51" i="62"/>
  <c r="BD89" i="62"/>
  <c r="BD76" i="62"/>
  <c r="BD109" i="62"/>
  <c r="BD83" i="62"/>
  <c r="BD14" i="62"/>
  <c r="BD106" i="62"/>
  <c r="BD189" i="62"/>
  <c r="BD174" i="62"/>
  <c r="BD137" i="62"/>
  <c r="BD54" i="62"/>
  <c r="BD103" i="62"/>
  <c r="BD168" i="62"/>
  <c r="BD123" i="62"/>
  <c r="BD186" i="62"/>
  <c r="BD68" i="62"/>
  <c r="BD36" i="62"/>
  <c r="BD13" i="62"/>
  <c r="BD126" i="62"/>
  <c r="BD171" i="62"/>
  <c r="BD40" i="62"/>
  <c r="BD20" i="62"/>
  <c r="BD26" i="62"/>
  <c r="BE8" i="62"/>
  <c r="BD139" i="62"/>
  <c r="BD162" i="62"/>
  <c r="BE94" i="62" l="1" a="1"/>
  <c r="BE94" i="62" s="1"/>
  <c r="J94" i="62" s="1" a="1"/>
  <c r="J94" i="62" s="1"/>
  <c r="V94" i="62" s="1"/>
  <c r="BE64" i="62"/>
  <c r="J64" i="62" s="1" a="1"/>
  <c r="J64" i="62" s="1"/>
  <c r="V64" i="62" s="1"/>
  <c r="BE65" i="62"/>
  <c r="J65" i="62" s="1" a="1"/>
  <c r="J65" i="62" s="1"/>
  <c r="V65" i="62" s="1"/>
  <c r="BE63" i="62"/>
  <c r="J63" i="62" s="1" a="1"/>
  <c r="J63" i="62" s="1"/>
  <c r="V63" i="62" s="1"/>
  <c r="BE182" i="62"/>
  <c r="J182" i="62" s="1" a="1"/>
  <c r="J182" i="62" s="1"/>
  <c r="BE185" i="62"/>
  <c r="J185" i="62" s="1" a="1"/>
  <c r="J185" i="62" s="1"/>
  <c r="BE164" i="62"/>
  <c r="J164" i="62" s="1" a="1"/>
  <c r="J164" i="62" s="1"/>
  <c r="BE173" i="62"/>
  <c r="J173" i="62" s="1" a="1"/>
  <c r="J173" i="62" s="1"/>
  <c r="BE98" i="62"/>
  <c r="J98" i="62" s="1" a="1"/>
  <c r="J98" i="62" s="1"/>
  <c r="V98" i="62" s="1"/>
  <c r="BE82" i="62"/>
  <c r="J82" i="62" s="1" a="1"/>
  <c r="J82" i="62" s="1"/>
  <c r="BE170" i="62"/>
  <c r="J170" i="62" s="1" a="1"/>
  <c r="J170" i="62" s="1"/>
  <c r="BE122" i="62"/>
  <c r="J122" i="62" s="1" a="1"/>
  <c r="J122" i="62" s="1"/>
  <c r="BE108" i="62" a="1"/>
  <c r="BE108" i="62" s="1"/>
  <c r="J108" i="62" s="1" a="1"/>
  <c r="J108" i="62" s="1"/>
  <c r="V108" i="62" s="1"/>
  <c r="BE102" i="62"/>
  <c r="J102" i="62" s="1" a="1"/>
  <c r="J102" i="62" s="1"/>
  <c r="BE167" i="62"/>
  <c r="J167" i="62" s="1" a="1"/>
  <c r="J167" i="62" s="1"/>
  <c r="BE176" i="62"/>
  <c r="J176" i="62" s="1" a="1"/>
  <c r="J176" i="62" s="1"/>
  <c r="BE50" i="62"/>
  <c r="J50" i="62" s="1" a="1"/>
  <c r="J50" i="62" s="1"/>
  <c r="BE125" i="62"/>
  <c r="J125" i="62" s="1" a="1"/>
  <c r="J125" i="62" s="1"/>
  <c r="BE88" i="62"/>
  <c r="J88" i="62" s="1" a="1"/>
  <c r="J88" i="62" s="1"/>
  <c r="V88" i="62" s="1"/>
  <c r="BE72" i="62"/>
  <c r="J72" i="62" s="1" a="1"/>
  <c r="J72" i="62" s="1"/>
  <c r="V72" i="62" s="1"/>
  <c r="BE115" i="62"/>
  <c r="J115" i="62" s="1" a="1"/>
  <c r="J115" i="62" s="1"/>
  <c r="BE99" i="62"/>
  <c r="J99" i="62" s="1" a="1"/>
  <c r="J99" i="62" s="1"/>
  <c r="BE16" i="62"/>
  <c r="J16" i="62" s="1" a="1"/>
  <c r="J16" i="62" s="1"/>
  <c r="BE188" i="62"/>
  <c r="J188" i="62" s="1" a="1"/>
  <c r="J188" i="62" s="1"/>
  <c r="BE95" i="62"/>
  <c r="J95" i="62" s="1" a="1"/>
  <c r="J95" i="62" s="1"/>
  <c r="BE79" i="62"/>
  <c r="J79" i="62" s="1" a="1"/>
  <c r="J79" i="62" s="1"/>
  <c r="BE66" i="62"/>
  <c r="J66" i="62" s="1" a="1"/>
  <c r="J66" i="62" s="1"/>
  <c r="BE38" i="62"/>
  <c r="J38" i="62" s="1" a="1"/>
  <c r="J38" i="62" s="1"/>
  <c r="BE80" i="62"/>
  <c r="J80" i="62" s="1" a="1"/>
  <c r="J80" i="62" s="1"/>
  <c r="BE74" i="62"/>
  <c r="J74" i="62" s="1" a="1"/>
  <c r="J74" i="62" s="1"/>
  <c r="BE179" i="62"/>
  <c r="J179" i="62" s="1" a="1"/>
  <c r="J179" i="62" s="1"/>
  <c r="BE105" i="62"/>
  <c r="J105" i="62" s="1" a="1"/>
  <c r="J105" i="62" s="1"/>
  <c r="V105" i="62" s="1"/>
  <c r="BE46" i="62"/>
  <c r="J46" i="62" s="1" a="1"/>
  <c r="J46" i="62" s="1"/>
  <c r="BE22" i="62"/>
  <c r="J22" i="62" s="1" a="1"/>
  <c r="J22" i="62" s="1"/>
  <c r="BE81" i="62"/>
  <c r="J81" i="62" s="1" a="1"/>
  <c r="J81" i="62" s="1"/>
  <c r="BE62" i="62"/>
  <c r="J62" i="62" s="1" a="1"/>
  <c r="J62" i="62" s="1"/>
  <c r="BE161" i="62"/>
  <c r="J161" i="62" s="1" a="1"/>
  <c r="J161" i="62" s="1"/>
  <c r="BE75" i="62"/>
  <c r="J75" i="62" s="1" a="1"/>
  <c r="J75" i="62" s="1"/>
  <c r="BE39" i="62"/>
  <c r="J39" i="62" s="1" a="1"/>
  <c r="J39" i="62" s="1"/>
  <c r="BE35" i="62"/>
  <c r="J35" i="62" s="1" a="1"/>
  <c r="J35" i="62" s="1"/>
  <c r="BE73" i="62"/>
  <c r="J73" i="62" s="1" a="1"/>
  <c r="J73" i="62" s="1"/>
  <c r="BE32" i="62"/>
  <c r="J32" i="62" s="1" a="1"/>
  <c r="J32" i="62" s="1"/>
  <c r="BE53" i="62"/>
  <c r="J53" i="62" s="1" a="1"/>
  <c r="J53" i="62" s="1"/>
  <c r="BE12" i="62"/>
  <c r="J12" i="62" s="1" a="1"/>
  <c r="J12" i="62" s="1"/>
  <c r="BE19" i="62"/>
  <c r="J19" i="62" s="1" a="1"/>
  <c r="J19" i="62" s="1"/>
  <c r="BE25" i="62"/>
  <c r="J25" i="62" s="1" a="1"/>
  <c r="J25" i="62" s="1"/>
  <c r="BE47" i="62"/>
  <c r="J47" i="62" s="1" a="1"/>
  <c r="J47" i="62" s="1"/>
  <c r="BE186" i="62"/>
  <c r="J186" i="62" s="1" a="1"/>
  <c r="J186" i="62" s="1"/>
  <c r="BE23" i="62"/>
  <c r="J23" i="62" s="1" a="1"/>
  <c r="J23" i="62" s="1"/>
  <c r="BE189" i="62"/>
  <c r="J189" i="62" s="1" a="1"/>
  <c r="J189" i="62" s="1"/>
  <c r="I38" i="120" s="1"/>
  <c r="BE171" i="62"/>
  <c r="J171" i="62" s="1" a="1"/>
  <c r="J171" i="62" s="1"/>
  <c r="I20" i="120" s="1"/>
  <c r="BE162" i="62"/>
  <c r="J162" i="62" s="1" a="1"/>
  <c r="J162" i="62" s="1"/>
  <c r="I11" i="120" s="1"/>
  <c r="BE183" i="62"/>
  <c r="J183" i="62" s="1" a="1"/>
  <c r="J183" i="62" s="1"/>
  <c r="I32" i="120" s="1"/>
  <c r="BE168" i="62"/>
  <c r="J168" i="62" s="1" a="1"/>
  <c r="J168" i="62" s="1"/>
  <c r="I17" i="120" s="1"/>
  <c r="BE177" i="62"/>
  <c r="J177" i="62" s="1" a="1"/>
  <c r="J177" i="62" s="1"/>
  <c r="I26" i="120" s="1"/>
  <c r="BE180" i="62"/>
  <c r="J180" i="62" s="1" a="1"/>
  <c r="J180" i="62" s="1"/>
  <c r="I29" i="120" s="1"/>
  <c r="BE126" i="62"/>
  <c r="J126" i="62" s="1" a="1"/>
  <c r="J126" i="62" s="1"/>
  <c r="BE96" i="62"/>
  <c r="J96" i="62" s="1" a="1"/>
  <c r="J96" i="62" s="1"/>
  <c r="BE67" i="62"/>
  <c r="J67" i="62" s="1" a="1"/>
  <c r="J67" i="62" s="1"/>
  <c r="BE136" i="62"/>
  <c r="J136" i="62" s="1" a="1"/>
  <c r="J136" i="62" s="1"/>
  <c r="BE165" i="62"/>
  <c r="J165" i="62" s="1" a="1"/>
  <c r="J165" i="62" s="1"/>
  <c r="I14" i="120" s="1"/>
  <c r="BE109" i="62"/>
  <c r="J109" i="62" s="1" a="1"/>
  <c r="J109" i="62" s="1"/>
  <c r="BE89" i="62"/>
  <c r="J89" i="62" s="1" a="1"/>
  <c r="J89" i="62" s="1"/>
  <c r="BE14" i="62"/>
  <c r="J14" i="62" s="1" a="1"/>
  <c r="J14" i="62" s="1"/>
  <c r="BE13" i="62"/>
  <c r="J13" i="62" s="1" a="1"/>
  <c r="J13" i="62" s="1"/>
  <c r="V13" i="62" s="1"/>
  <c r="BE54" i="62"/>
  <c r="J54" i="62" s="1" a="1"/>
  <c r="J54" i="62" s="1"/>
  <c r="BE138" i="62"/>
  <c r="J138" i="62" s="1" a="1"/>
  <c r="J138" i="62" s="1"/>
  <c r="BE51" i="62"/>
  <c r="J51" i="62" s="1" a="1"/>
  <c r="J51" i="62" s="1"/>
  <c r="BE103" i="62"/>
  <c r="J103" i="62" s="1" a="1"/>
  <c r="J103" i="62" s="1"/>
  <c r="BE116" i="62"/>
  <c r="J116" i="62" s="1" a="1"/>
  <c r="J116" i="62" s="1"/>
  <c r="BE17" i="62"/>
  <c r="J17" i="62" s="1" a="1"/>
  <c r="J17" i="62" s="1"/>
  <c r="BE83" i="62"/>
  <c r="J83" i="62" s="1" a="1"/>
  <c r="J83" i="62" s="1"/>
  <c r="BE33" i="62"/>
  <c r="J33" i="62" s="1" a="1"/>
  <c r="J33" i="62" s="1"/>
  <c r="BF8" i="62"/>
  <c r="BE123" i="62"/>
  <c r="J123" i="62" s="1" a="1"/>
  <c r="J123" i="62" s="1"/>
  <c r="BE40" i="62"/>
  <c r="J40" i="62" s="1" a="1"/>
  <c r="J40" i="62" s="1"/>
  <c r="BE100" i="62"/>
  <c r="J100" i="62" s="1" a="1"/>
  <c r="J100" i="62" s="1"/>
  <c r="BE36" i="62"/>
  <c r="J36" i="62" s="1" a="1"/>
  <c r="J36" i="62" s="1"/>
  <c r="BE26" i="62"/>
  <c r="J26" i="62" s="1" a="1"/>
  <c r="J26" i="62" s="1"/>
  <c r="BE139" i="62"/>
  <c r="J139" i="62" s="1" a="1"/>
  <c r="J139" i="62" s="1"/>
  <c r="BE68" i="62"/>
  <c r="J68" i="62" s="1" a="1"/>
  <c r="J68" i="62" s="1"/>
  <c r="BE20" i="62"/>
  <c r="J20" i="62" s="1" a="1"/>
  <c r="J20" i="62" s="1"/>
  <c r="BE137" i="62"/>
  <c r="J137" i="62" s="1" a="1"/>
  <c r="J137" i="62" s="1"/>
  <c r="BE174" i="62"/>
  <c r="J174" i="62" s="1" a="1"/>
  <c r="J174" i="62" s="1"/>
  <c r="I23" i="120" s="1"/>
  <c r="BE106" i="62"/>
  <c r="J106" i="62" s="1" a="1"/>
  <c r="J106" i="62" s="1"/>
  <c r="BE76" i="62"/>
  <c r="J76" i="62" s="1" a="1"/>
  <c r="J76" i="62" s="1"/>
  <c r="BE48" i="62"/>
  <c r="J48" i="62" s="1" a="1"/>
  <c r="J48" i="62" s="1"/>
  <c r="BF94" i="62" l="1" a="1"/>
  <c r="BF94" i="62" s="1"/>
  <c r="BF63" i="62"/>
  <c r="BF64" i="62"/>
  <c r="BF65" i="62"/>
  <c r="V22" i="62"/>
  <c r="V25" i="62"/>
  <c r="BF179" i="62"/>
  <c r="BF182" i="62"/>
  <c r="BF161" i="62"/>
  <c r="BF188" i="62"/>
  <c r="BF185" i="62"/>
  <c r="BF99" i="62"/>
  <c r="BF173" i="62"/>
  <c r="BF167" i="62"/>
  <c r="BF164" i="62"/>
  <c r="BF72" i="62"/>
  <c r="BF125" i="62"/>
  <c r="BF105" i="62"/>
  <c r="BF98" i="62"/>
  <c r="BF80" i="62"/>
  <c r="BF74" i="62"/>
  <c r="BF46" i="62"/>
  <c r="BF108" i="62" a="1"/>
  <c r="BF108" i="62" s="1"/>
  <c r="BF102" i="62"/>
  <c r="BF176" i="62"/>
  <c r="BF79" i="62"/>
  <c r="BF81" i="62"/>
  <c r="BF66" i="62"/>
  <c r="BF12" i="62"/>
  <c r="BF122" i="62"/>
  <c r="BF170" i="62"/>
  <c r="BF95" i="62"/>
  <c r="BF82" i="62"/>
  <c r="BF88" i="62"/>
  <c r="BF73" i="62"/>
  <c r="BF16" i="62"/>
  <c r="BF22" i="62"/>
  <c r="BF115" i="62"/>
  <c r="BF50" i="62"/>
  <c r="BF47" i="62"/>
  <c r="BF25" i="62"/>
  <c r="BF53" i="62"/>
  <c r="BF32" i="62"/>
  <c r="BF39" i="62"/>
  <c r="BF75" i="62"/>
  <c r="BF38" i="62"/>
  <c r="BF62" i="62"/>
  <c r="BF19" i="62"/>
  <c r="BF35" i="62"/>
  <c r="V12" i="62"/>
  <c r="V95" i="62"/>
  <c r="V50" i="62"/>
  <c r="V125" i="62"/>
  <c r="V99" i="62"/>
  <c r="V62" i="62"/>
  <c r="V74" i="62"/>
  <c r="V32" i="62"/>
  <c r="V102" i="62"/>
  <c r="V79" i="62"/>
  <c r="I31" i="120"/>
  <c r="V182" i="62"/>
  <c r="U31" i="120" s="1"/>
  <c r="V81" i="62"/>
  <c r="I19" i="120"/>
  <c r="V170" i="62"/>
  <c r="U19" i="120" s="1"/>
  <c r="V16" i="62"/>
  <c r="V122" i="62"/>
  <c r="V75" i="62"/>
  <c r="I28" i="120"/>
  <c r="V179" i="62"/>
  <c r="U28" i="120" s="1"/>
  <c r="I13" i="120"/>
  <c r="V164" i="62"/>
  <c r="U13" i="120" s="1"/>
  <c r="I37" i="120"/>
  <c r="V188" i="62"/>
  <c r="U37" i="120" s="1"/>
  <c r="I22" i="120"/>
  <c r="V173" i="62"/>
  <c r="U22" i="120" s="1"/>
  <c r="BF13" i="62"/>
  <c r="BF83" i="62"/>
  <c r="BF137" i="62"/>
  <c r="BF51" i="62"/>
  <c r="BF14" i="62"/>
  <c r="BF174" i="62"/>
  <c r="BF123" i="62"/>
  <c r="BF177" i="62"/>
  <c r="BF183" i="62"/>
  <c r="BF126" i="62"/>
  <c r="BF180" i="62"/>
  <c r="BF26" i="62"/>
  <c r="BF162" i="62"/>
  <c r="BF36" i="62"/>
  <c r="BF48" i="62"/>
  <c r="BF116" i="62"/>
  <c r="BF139" i="62"/>
  <c r="BF171" i="62"/>
  <c r="BF109" i="62"/>
  <c r="BF138" i="62"/>
  <c r="BF68" i="62"/>
  <c r="BF103" i="62"/>
  <c r="BF168" i="62"/>
  <c r="BF17" i="62"/>
  <c r="BF165" i="62"/>
  <c r="BG8" i="62"/>
  <c r="BF186" i="62"/>
  <c r="BF96" i="62"/>
  <c r="BF89" i="62"/>
  <c r="BF40" i="62"/>
  <c r="BF23" i="62"/>
  <c r="BF106" i="62"/>
  <c r="BF20" i="62"/>
  <c r="BF33" i="62"/>
  <c r="BF189" i="62"/>
  <c r="BF76" i="62"/>
  <c r="BF54" i="62"/>
  <c r="BF100" i="62"/>
  <c r="BF136" i="62"/>
  <c r="BF67" i="62"/>
  <c r="V47" i="62"/>
  <c r="V35" i="62"/>
  <c r="V46" i="62"/>
  <c r="V53" i="62"/>
  <c r="V115" i="62"/>
  <c r="V167" i="62"/>
  <c r="U16" i="120" s="1"/>
  <c r="I16" i="120"/>
  <c r="I10" i="120"/>
  <c r="V161" i="62"/>
  <c r="U10" i="120" s="1"/>
  <c r="V38" i="62"/>
  <c r="I34" i="120"/>
  <c r="V185" i="62"/>
  <c r="U34" i="120" s="1"/>
  <c r="V80" i="62"/>
  <c r="V82" i="62"/>
  <c r="V66" i="62"/>
  <c r="V19" i="62"/>
  <c r="V39" i="62"/>
  <c r="I25" i="120"/>
  <c r="V176" i="62"/>
  <c r="U25" i="120" s="1"/>
  <c r="V73" i="62"/>
  <c r="I35" i="120"/>
  <c r="J192" i="62"/>
  <c r="BG94" i="62" l="1" a="1"/>
  <c r="BG94" i="62" s="1"/>
  <c r="BG63" i="62"/>
  <c r="BG65" i="62"/>
  <c r="BG64" i="62"/>
  <c r="BG176" i="62"/>
  <c r="BG185" i="62"/>
  <c r="BG125" i="62"/>
  <c r="BG188" i="62"/>
  <c r="BG179" i="62"/>
  <c r="BG73" i="62"/>
  <c r="BG173" i="62"/>
  <c r="BG167" i="62"/>
  <c r="BG164" i="62"/>
  <c r="BG170" i="62"/>
  <c r="BG99" i="62"/>
  <c r="BG182" i="62"/>
  <c r="BG47" i="62"/>
  <c r="BG105" i="62"/>
  <c r="BG98" i="62"/>
  <c r="BG80" i="62"/>
  <c r="BG74" i="62"/>
  <c r="BG161" i="62"/>
  <c r="BG115" i="62"/>
  <c r="BG75" i="62"/>
  <c r="BG102" i="62"/>
  <c r="BG79" i="62"/>
  <c r="BG81" i="62"/>
  <c r="BG72" i="62"/>
  <c r="BG66" i="62"/>
  <c r="BG122" i="62"/>
  <c r="BG108" i="62" a="1"/>
  <c r="BG108" i="62" s="1"/>
  <c r="BG50" i="62"/>
  <c r="BG35" i="62"/>
  <c r="BG82" i="62"/>
  <c r="BG95" i="62"/>
  <c r="BG62" i="62"/>
  <c r="BG53" i="62"/>
  <c r="BG25" i="62"/>
  <c r="BG16" i="62"/>
  <c r="BG32" i="62"/>
  <c r="BG38" i="62"/>
  <c r="BG39" i="62"/>
  <c r="BG46" i="62"/>
  <c r="BG12" i="62"/>
  <c r="BG88" i="62"/>
  <c r="BG19" i="62"/>
  <c r="BG22" i="62"/>
  <c r="BG168" i="62"/>
  <c r="BG189" i="62"/>
  <c r="BG67" i="62"/>
  <c r="BG36" i="62"/>
  <c r="BG100" i="62"/>
  <c r="BG76" i="62"/>
  <c r="BG40" i="62"/>
  <c r="BG180" i="62"/>
  <c r="BG83" i="62"/>
  <c r="BG14" i="62"/>
  <c r="BG109" i="62"/>
  <c r="BG20" i="62"/>
  <c r="BG183" i="62"/>
  <c r="BG171" i="62"/>
  <c r="BG174" i="62"/>
  <c r="BG103" i="62"/>
  <c r="BG51" i="62"/>
  <c r="BG139" i="62"/>
  <c r="BG123" i="62"/>
  <c r="BG54" i="62"/>
  <c r="BG26" i="62"/>
  <c r="BG126" i="62"/>
  <c r="BG136" i="62"/>
  <c r="BG138" i="62"/>
  <c r="BG177" i="62"/>
  <c r="BG186" i="62"/>
  <c r="BG96" i="62"/>
  <c r="BG89" i="62"/>
  <c r="BG48" i="62"/>
  <c r="BH8" i="62"/>
  <c r="BG68" i="62"/>
  <c r="BG116" i="62"/>
  <c r="BG162" i="62"/>
  <c r="BG33" i="62"/>
  <c r="BG13" i="62"/>
  <c r="BG23" i="62"/>
  <c r="BG17" i="62"/>
  <c r="BG106" i="62"/>
  <c r="BG165" i="62"/>
  <c r="BG137" i="62"/>
  <c r="BH94" i="62" l="1" a="1"/>
  <c r="BH94" i="62" s="1"/>
  <c r="BH63" i="62"/>
  <c r="BH65" i="62"/>
  <c r="BH64" i="62"/>
  <c r="BH173" i="62"/>
  <c r="BH188" i="62"/>
  <c r="BH122" i="62"/>
  <c r="BH185" i="62"/>
  <c r="BH125" i="62"/>
  <c r="BH95" i="62"/>
  <c r="BH74" i="62"/>
  <c r="BH179" i="62"/>
  <c r="BH115" i="62"/>
  <c r="BH75" i="62"/>
  <c r="BH170" i="62"/>
  <c r="BH99" i="62"/>
  <c r="BH182" i="62"/>
  <c r="BH176" i="62"/>
  <c r="BH82" i="62"/>
  <c r="BH38" i="62"/>
  <c r="BH105" i="62"/>
  <c r="BH98" i="62"/>
  <c r="BH164" i="62"/>
  <c r="BH102" i="62"/>
  <c r="BH79" i="62"/>
  <c r="BH88" i="62"/>
  <c r="BH73" i="62"/>
  <c r="BH80" i="62"/>
  <c r="BH167" i="62"/>
  <c r="BH81" i="62"/>
  <c r="BH47" i="62"/>
  <c r="BH39" i="62"/>
  <c r="BH25" i="62"/>
  <c r="BH108" i="62" a="1"/>
  <c r="BH108" i="62" s="1"/>
  <c r="BH16" i="62"/>
  <c r="BH72" i="62"/>
  <c r="BH53" i="62"/>
  <c r="BH35" i="62"/>
  <c r="BH12" i="62"/>
  <c r="BH66" i="62"/>
  <c r="BH32" i="62"/>
  <c r="BH46" i="62"/>
  <c r="BH22" i="62"/>
  <c r="BH50" i="62"/>
  <c r="BH19" i="62"/>
  <c r="BH62" i="62"/>
  <c r="BH161" i="62"/>
  <c r="BH137" i="62"/>
  <c r="BH162" i="62"/>
  <c r="BH67" i="62"/>
  <c r="BH14" i="62"/>
  <c r="BH48" i="62"/>
  <c r="BH68" i="62"/>
  <c r="BH174" i="62"/>
  <c r="BH168" i="62"/>
  <c r="BH36" i="62"/>
  <c r="BH183" i="62"/>
  <c r="BH51" i="62"/>
  <c r="BH109" i="62"/>
  <c r="BH136" i="62"/>
  <c r="BH138" i="62"/>
  <c r="BH100" i="62"/>
  <c r="BH123" i="62"/>
  <c r="BH180" i="62"/>
  <c r="BH126" i="62"/>
  <c r="BH139" i="62"/>
  <c r="BI8" i="62"/>
  <c r="BH17" i="62"/>
  <c r="BH171" i="62"/>
  <c r="BH103" i="62"/>
  <c r="BH189" i="62"/>
  <c r="BH20" i="62"/>
  <c r="BH177" i="62"/>
  <c r="BH26" i="62"/>
  <c r="BH83" i="62"/>
  <c r="BH33" i="62"/>
  <c r="BH186" i="62"/>
  <c r="BH40" i="62"/>
  <c r="BH106" i="62"/>
  <c r="BH165" i="62"/>
  <c r="BH76" i="62"/>
  <c r="BH23" i="62"/>
  <c r="BH54" i="62"/>
  <c r="BH96" i="62"/>
  <c r="BH13" i="62"/>
  <c r="BH116" i="62"/>
  <c r="BH89" i="62"/>
  <c r="BI94" i="62" l="1" a="1"/>
  <c r="BI94" i="62" s="1"/>
  <c r="BI64" i="62"/>
  <c r="BI63" i="62"/>
  <c r="BI65" i="62"/>
  <c r="BI185" i="62"/>
  <c r="BI176" i="62"/>
  <c r="BI88" i="62"/>
  <c r="BI125" i="62"/>
  <c r="BI179" i="62"/>
  <c r="BI188" i="62"/>
  <c r="BI182" i="62"/>
  <c r="BI164" i="62"/>
  <c r="BI173" i="62"/>
  <c r="BI115" i="62"/>
  <c r="BI170" i="62"/>
  <c r="BI79" i="62"/>
  <c r="BI39" i="62"/>
  <c r="BI82" i="62"/>
  <c r="BI122" i="62"/>
  <c r="BI108" i="62" a="1"/>
  <c r="BI108" i="62" s="1"/>
  <c r="BI102" i="62"/>
  <c r="BI161" i="62"/>
  <c r="BI73" i="62"/>
  <c r="BI62" i="62"/>
  <c r="BI32" i="62"/>
  <c r="BI99" i="62"/>
  <c r="BI75" i="62"/>
  <c r="BI98" i="62"/>
  <c r="BI105" i="62"/>
  <c r="BI47" i="62"/>
  <c r="BI74" i="62"/>
  <c r="BI66" i="62"/>
  <c r="BI50" i="62"/>
  <c r="BI46" i="62"/>
  <c r="BI38" i="62"/>
  <c r="BI35" i="62"/>
  <c r="BI19" i="62"/>
  <c r="BI80" i="62"/>
  <c r="BI25" i="62"/>
  <c r="BI22" i="62"/>
  <c r="BI12" i="62"/>
  <c r="BI72" i="62"/>
  <c r="BI167" i="62"/>
  <c r="BI95" i="62"/>
  <c r="BI81" i="62"/>
  <c r="BI53" i="62"/>
  <c r="BI16" i="62"/>
  <c r="BI76" i="62"/>
  <c r="BI14" i="62"/>
  <c r="BI17" i="62"/>
  <c r="BI23" i="62"/>
  <c r="BI96" i="62"/>
  <c r="BI123" i="62"/>
  <c r="BI162" i="62"/>
  <c r="BI109" i="62"/>
  <c r="BI116" i="62"/>
  <c r="BI48" i="62"/>
  <c r="BI36" i="62"/>
  <c r="BI103" i="62"/>
  <c r="BI165" i="62"/>
  <c r="BI183" i="62"/>
  <c r="BI139" i="62"/>
  <c r="BI189" i="62"/>
  <c r="BI180" i="62"/>
  <c r="BI138" i="62"/>
  <c r="BI177" i="62"/>
  <c r="BI54" i="62"/>
  <c r="BI33" i="62"/>
  <c r="BI137" i="62"/>
  <c r="BI83" i="62"/>
  <c r="BI13" i="62"/>
  <c r="BI136" i="62"/>
  <c r="BJ8" i="62"/>
  <c r="BI174" i="62"/>
  <c r="BI51" i="62"/>
  <c r="BI186" i="62"/>
  <c r="BI20" i="62"/>
  <c r="BI89" i="62"/>
  <c r="BI106" i="62"/>
  <c r="BI26" i="62"/>
  <c r="BI67" i="62"/>
  <c r="BI40" i="62"/>
  <c r="BI100" i="62"/>
  <c r="BI68" i="62"/>
  <c r="BI171" i="62"/>
  <c r="BI168" i="62"/>
  <c r="BI126" i="62"/>
  <c r="BJ94" i="62" l="1" a="1"/>
  <c r="BJ94" i="62" s="1"/>
  <c r="BJ65" i="62"/>
  <c r="BJ64" i="62"/>
  <c r="BJ63" i="62"/>
  <c r="BJ182" i="62"/>
  <c r="BJ188" i="62"/>
  <c r="BJ115" i="62"/>
  <c r="BJ185" i="62"/>
  <c r="BJ176" i="62"/>
  <c r="BJ79" i="62"/>
  <c r="BJ108" i="62" a="1"/>
  <c r="BJ108" i="62" s="1"/>
  <c r="BJ105" i="62"/>
  <c r="BJ98" i="62"/>
  <c r="BJ62" i="62"/>
  <c r="BJ164" i="62"/>
  <c r="BJ125" i="62"/>
  <c r="BJ173" i="62"/>
  <c r="BJ179" i="62"/>
  <c r="BJ167" i="62"/>
  <c r="BJ161" i="62"/>
  <c r="BJ73" i="62"/>
  <c r="BJ66" i="62"/>
  <c r="BJ35" i="62"/>
  <c r="BJ170" i="62"/>
  <c r="BJ25" i="62"/>
  <c r="BJ99" i="62"/>
  <c r="BJ95" i="62"/>
  <c r="BJ53" i="62"/>
  <c r="BJ102" i="62"/>
  <c r="BJ82" i="62"/>
  <c r="BJ122" i="62"/>
  <c r="BJ72" i="62"/>
  <c r="BJ75" i="62"/>
  <c r="BJ19" i="62"/>
  <c r="BJ74" i="62"/>
  <c r="BJ46" i="62"/>
  <c r="BJ47" i="62"/>
  <c r="BJ38" i="62"/>
  <c r="BJ39" i="62"/>
  <c r="BJ80" i="62"/>
  <c r="BJ50" i="62"/>
  <c r="BJ16" i="62"/>
  <c r="BJ88" i="62"/>
  <c r="BJ81" i="62"/>
  <c r="BJ12" i="62"/>
  <c r="BJ32" i="62"/>
  <c r="BJ22" i="62"/>
  <c r="BJ68" i="62"/>
  <c r="BJ26" i="62"/>
  <c r="BJ138" i="62"/>
  <c r="BJ14" i="62"/>
  <c r="BJ17" i="62"/>
  <c r="BJ139" i="62"/>
  <c r="BJ177" i="62"/>
  <c r="BJ109" i="62"/>
  <c r="BJ40" i="62"/>
  <c r="BJ106" i="62"/>
  <c r="BJ123" i="62"/>
  <c r="BJ171" i="62"/>
  <c r="BJ20" i="62"/>
  <c r="BJ51" i="62"/>
  <c r="BJ23" i="62"/>
  <c r="BJ103" i="62"/>
  <c r="BJ126" i="62"/>
  <c r="BJ183" i="62"/>
  <c r="BJ83" i="62"/>
  <c r="BJ96" i="62"/>
  <c r="BJ36" i="62"/>
  <c r="BJ76" i="62"/>
  <c r="BJ54" i="62"/>
  <c r="BJ186" i="62"/>
  <c r="BJ162" i="62"/>
  <c r="BJ33" i="62"/>
  <c r="BJ136" i="62"/>
  <c r="BJ89" i="62"/>
  <c r="BJ100" i="62"/>
  <c r="BJ13" i="62"/>
  <c r="BJ67" i="62"/>
  <c r="BJ116" i="62"/>
  <c r="BJ48" i="62"/>
  <c r="BJ137" i="62"/>
  <c r="BJ165" i="62"/>
  <c r="BJ168" i="62"/>
  <c r="BJ174" i="62"/>
  <c r="BK8" i="62"/>
  <c r="BJ180" i="62"/>
  <c r="BJ189" i="62"/>
  <c r="BK94" i="62" l="1" a="1"/>
  <c r="BK94" i="62" s="1"/>
  <c r="BK65" i="62"/>
  <c r="BK64" i="62"/>
  <c r="BK63" i="62"/>
  <c r="BK188" i="62"/>
  <c r="BK170" i="62"/>
  <c r="BK167" i="62"/>
  <c r="BK164" i="62"/>
  <c r="BK161" i="62"/>
  <c r="BK125" i="62"/>
  <c r="BK122" i="62"/>
  <c r="BK108" i="62" a="1"/>
  <c r="BK108" i="62" s="1"/>
  <c r="BK105" i="62"/>
  <c r="BK102" i="62"/>
  <c r="BK98" i="62"/>
  <c r="BK99" i="62"/>
  <c r="BK80" i="62"/>
  <c r="BK179" i="62"/>
  <c r="BK176" i="62"/>
  <c r="BK81" i="62"/>
  <c r="BK82" i="62"/>
  <c r="BK72" i="62"/>
  <c r="BK73" i="62"/>
  <c r="BK74" i="62"/>
  <c r="BK66" i="62"/>
  <c r="BK115" i="62"/>
  <c r="BK75" i="62"/>
  <c r="BK62" i="62"/>
  <c r="BK182" i="62"/>
  <c r="BK173" i="62"/>
  <c r="BK79" i="62"/>
  <c r="BK53" i="62"/>
  <c r="BK50" i="62"/>
  <c r="BK46" i="62"/>
  <c r="BK47" i="62"/>
  <c r="BK38" i="62"/>
  <c r="BK39" i="62"/>
  <c r="BK35" i="62"/>
  <c r="BK22" i="62"/>
  <c r="BK88" i="62"/>
  <c r="BK32" i="62"/>
  <c r="BK12" i="62"/>
  <c r="BK19" i="62"/>
  <c r="BK185" i="62"/>
  <c r="BK25" i="62"/>
  <c r="BK16" i="62"/>
  <c r="BK95" i="62"/>
  <c r="BK189" i="62"/>
  <c r="BK186" i="62"/>
  <c r="BK83" i="62"/>
  <c r="BK165" i="62"/>
  <c r="BK48" i="62"/>
  <c r="BK100" i="62"/>
  <c r="BK36" i="62"/>
  <c r="BK68" i="62"/>
  <c r="BK123" i="62"/>
  <c r="BK96" i="62"/>
  <c r="BK20" i="62"/>
  <c r="BK106" i="62"/>
  <c r="BK76" i="62"/>
  <c r="BK177" i="62"/>
  <c r="BK183" i="62"/>
  <c r="BK13" i="62"/>
  <c r="BK26" i="62"/>
  <c r="BK139" i="62"/>
  <c r="BK138" i="62"/>
  <c r="BK168" i="62"/>
  <c r="BK171" i="62"/>
  <c r="BK109" i="62"/>
  <c r="BK174" i="62"/>
  <c r="BK17" i="62"/>
  <c r="BL8" i="62"/>
  <c r="BK89" i="62"/>
  <c r="BK180" i="62"/>
  <c r="BK116" i="62"/>
  <c r="BK126" i="62"/>
  <c r="BK103" i="62"/>
  <c r="BK54" i="62"/>
  <c r="BK137" i="62"/>
  <c r="BK33" i="62"/>
  <c r="BK67" i="62"/>
  <c r="BK14" i="62"/>
  <c r="BK162" i="62"/>
  <c r="BK51" i="62"/>
  <c r="BK40" i="62"/>
  <c r="BK136" i="62"/>
  <c r="BK23" i="62"/>
  <c r="BL94" i="62" l="1" a="1"/>
  <c r="BL94" i="62" s="1"/>
  <c r="BL63" i="62"/>
  <c r="BL64" i="62"/>
  <c r="BL65" i="62"/>
  <c r="BL185" i="62"/>
  <c r="BL188" i="62"/>
  <c r="BL179" i="62"/>
  <c r="BL176" i="62"/>
  <c r="BL173" i="62"/>
  <c r="BL167" i="62"/>
  <c r="BL182" i="62"/>
  <c r="BL170" i="62"/>
  <c r="BL102" i="62"/>
  <c r="BL161" i="62"/>
  <c r="BL108" i="62" a="1"/>
  <c r="BL108" i="62" s="1"/>
  <c r="BL115" i="62"/>
  <c r="BL105" i="62"/>
  <c r="BL81" i="62"/>
  <c r="BL95" i="62"/>
  <c r="BL88" i="62"/>
  <c r="BL79" i="62"/>
  <c r="BL80" i="62"/>
  <c r="BL98" i="62"/>
  <c r="BL164" i="62"/>
  <c r="BL99" i="62"/>
  <c r="BL53" i="62"/>
  <c r="BL73" i="62"/>
  <c r="BL125" i="62"/>
  <c r="BL82" i="62"/>
  <c r="BL19" i="62"/>
  <c r="BL62" i="62"/>
  <c r="BL39" i="62"/>
  <c r="BL16" i="62"/>
  <c r="BL50" i="62"/>
  <c r="BL12" i="62"/>
  <c r="BL47" i="62"/>
  <c r="BL35" i="62"/>
  <c r="BL32" i="62"/>
  <c r="BL46" i="62"/>
  <c r="BL38" i="62"/>
  <c r="BL74" i="62"/>
  <c r="BL22" i="62"/>
  <c r="BL66" i="62"/>
  <c r="BL25" i="62"/>
  <c r="BL72" i="62"/>
  <c r="BL75" i="62"/>
  <c r="BL122" i="62"/>
  <c r="BL171" i="62"/>
  <c r="BL103" i="62"/>
  <c r="BL139" i="62"/>
  <c r="BL96" i="62"/>
  <c r="BL137" i="62"/>
  <c r="BL180" i="62"/>
  <c r="BL109" i="62"/>
  <c r="BL174" i="62"/>
  <c r="BL138" i="62"/>
  <c r="BL17" i="62"/>
  <c r="BL20" i="62"/>
  <c r="BL67" i="62"/>
  <c r="BL100" i="62"/>
  <c r="BL76" i="62"/>
  <c r="BL33" i="62"/>
  <c r="BL26" i="62"/>
  <c r="BL162" i="62"/>
  <c r="BL68" i="62"/>
  <c r="BL36" i="62"/>
  <c r="BL116" i="62"/>
  <c r="BL136" i="62"/>
  <c r="BL23" i="62"/>
  <c r="BL40" i="62"/>
  <c r="BL89" i="62"/>
  <c r="BL54" i="62"/>
  <c r="BL126" i="62"/>
  <c r="BL177" i="62"/>
  <c r="BL165" i="62"/>
  <c r="BL83" i="62"/>
  <c r="BL51" i="62"/>
  <c r="BL123" i="62"/>
  <c r="BL48" i="62"/>
  <c r="BL14" i="62"/>
  <c r="BL168" i="62"/>
  <c r="BL189" i="62"/>
  <c r="BL186" i="62"/>
  <c r="BL183" i="62"/>
  <c r="BM8" i="62"/>
  <c r="BL13" i="62"/>
  <c r="BL106" i="62"/>
  <c r="BM94" i="62" l="1" a="1"/>
  <c r="BM94" i="62" s="1"/>
  <c r="BM65" i="62"/>
  <c r="BM63" i="62"/>
  <c r="BM64" i="62"/>
  <c r="BM182" i="62"/>
  <c r="BM185" i="62"/>
  <c r="BM164" i="62"/>
  <c r="BM188" i="62"/>
  <c r="BM179" i="62"/>
  <c r="BM98" i="62"/>
  <c r="BM170" i="62"/>
  <c r="BM167" i="62"/>
  <c r="BM176" i="62"/>
  <c r="BM82" i="62"/>
  <c r="BM161" i="62"/>
  <c r="BM108" i="62" a="1"/>
  <c r="BM108" i="62" s="1"/>
  <c r="BM115" i="62"/>
  <c r="BM105" i="62"/>
  <c r="BM102" i="62"/>
  <c r="BM122" i="62"/>
  <c r="BM95" i="62"/>
  <c r="BM81" i="62"/>
  <c r="BM50" i="62"/>
  <c r="BM99" i="62"/>
  <c r="BM173" i="62"/>
  <c r="BM88" i="62"/>
  <c r="BM80" i="62"/>
  <c r="BM16" i="62"/>
  <c r="BM125" i="62"/>
  <c r="BM73" i="62"/>
  <c r="BM46" i="62"/>
  <c r="BM32" i="62"/>
  <c r="BM25" i="62"/>
  <c r="BM22" i="62"/>
  <c r="BM19" i="62"/>
  <c r="BM79" i="62"/>
  <c r="BM74" i="62"/>
  <c r="BM72" i="62"/>
  <c r="BM75" i="62"/>
  <c r="BM66" i="62"/>
  <c r="BM39" i="62"/>
  <c r="BM35" i="62"/>
  <c r="BM12" i="62"/>
  <c r="BM62" i="62"/>
  <c r="BM38" i="62"/>
  <c r="BM53" i="62"/>
  <c r="BM47" i="62"/>
  <c r="BM14" i="62"/>
  <c r="BM165" i="62"/>
  <c r="BM168" i="62"/>
  <c r="BM183" i="62"/>
  <c r="BM76" i="62"/>
  <c r="BM136" i="62"/>
  <c r="BM180" i="62"/>
  <c r="BM106" i="62"/>
  <c r="BM174" i="62"/>
  <c r="BM177" i="62"/>
  <c r="BM171" i="62"/>
  <c r="BM189" i="62"/>
  <c r="BM137" i="62"/>
  <c r="BM96" i="62"/>
  <c r="BM33" i="62"/>
  <c r="BM162" i="62"/>
  <c r="BM54" i="62"/>
  <c r="BM103" i="62"/>
  <c r="BM139" i="62"/>
  <c r="BM51" i="62"/>
  <c r="BM138" i="62"/>
  <c r="BM100" i="62"/>
  <c r="BM23" i="62"/>
  <c r="BM36" i="62"/>
  <c r="BN8" i="62"/>
  <c r="BM83" i="62"/>
  <c r="BM109" i="62"/>
  <c r="BM48" i="62"/>
  <c r="BM116" i="62"/>
  <c r="BM186" i="62"/>
  <c r="BM67" i="62"/>
  <c r="BM126" i="62"/>
  <c r="BM20" i="62"/>
  <c r="BM17" i="62"/>
  <c r="BM89" i="62"/>
  <c r="BM40" i="62"/>
  <c r="BM13" i="62"/>
  <c r="BM123" i="62"/>
  <c r="BM68" i="62"/>
  <c r="BM26" i="62"/>
  <c r="BN94" i="62" l="1" a="1"/>
  <c r="BN94" i="62" s="1"/>
  <c r="BN65" i="62"/>
  <c r="BN63" i="62"/>
  <c r="BN64" i="62"/>
  <c r="BN179" i="62"/>
  <c r="BN182" i="62"/>
  <c r="BN161" i="62"/>
  <c r="BN99" i="62"/>
  <c r="BN185" i="62"/>
  <c r="BN122" i="62"/>
  <c r="BN72" i="62"/>
  <c r="BN176" i="62"/>
  <c r="BN108" i="62" a="1"/>
  <c r="BN108" i="62" s="1"/>
  <c r="BN105" i="62"/>
  <c r="BN173" i="62"/>
  <c r="BN95" i="62"/>
  <c r="BN88" i="62"/>
  <c r="BN46" i="62"/>
  <c r="BN167" i="62"/>
  <c r="BN115" i="62"/>
  <c r="BN81" i="62"/>
  <c r="BN12" i="62"/>
  <c r="BN80" i="62"/>
  <c r="BN82" i="62"/>
  <c r="BN188" i="62"/>
  <c r="BN125" i="62"/>
  <c r="BN164" i="62"/>
  <c r="BN75" i="62"/>
  <c r="BN62" i="62"/>
  <c r="BN98" i="62"/>
  <c r="BN73" i="62"/>
  <c r="BN102" i="62"/>
  <c r="BN79" i="62"/>
  <c r="BN53" i="62"/>
  <c r="BN170" i="62"/>
  <c r="BN66" i="62"/>
  <c r="BN50" i="62"/>
  <c r="BN22" i="62"/>
  <c r="BN32" i="62"/>
  <c r="BN25" i="62"/>
  <c r="BN19" i="62"/>
  <c r="BN35" i="62"/>
  <c r="BN47" i="62"/>
  <c r="BN38" i="62"/>
  <c r="BN39" i="62"/>
  <c r="BN16" i="62"/>
  <c r="BN74" i="62"/>
  <c r="BN139" i="62"/>
  <c r="BN14" i="62"/>
  <c r="BN116" i="62"/>
  <c r="BN109" i="62"/>
  <c r="BN189" i="62"/>
  <c r="BN165" i="62"/>
  <c r="BN177" i="62"/>
  <c r="BN83" i="62"/>
  <c r="BN26" i="62"/>
  <c r="BO8" i="62"/>
  <c r="BN171" i="62"/>
  <c r="BN137" i="62"/>
  <c r="BN36" i="62"/>
  <c r="BN68" i="62"/>
  <c r="BN138" i="62"/>
  <c r="BN33" i="62"/>
  <c r="BN13" i="62"/>
  <c r="BN48" i="62"/>
  <c r="BN20" i="62"/>
  <c r="BN186" i="62"/>
  <c r="BN67" i="62"/>
  <c r="BN96" i="62"/>
  <c r="BN54" i="62"/>
  <c r="BN123" i="62"/>
  <c r="BN183" i="62"/>
  <c r="BN103" i="62"/>
  <c r="BN168" i="62"/>
  <c r="BN174" i="62"/>
  <c r="BN136" i="62"/>
  <c r="BN162" i="62"/>
  <c r="BN40" i="62"/>
  <c r="BN17" i="62"/>
  <c r="BN89" i="62"/>
  <c r="BN106" i="62"/>
  <c r="BN51" i="62"/>
  <c r="BN23" i="62"/>
  <c r="BN76" i="62"/>
  <c r="BN100" i="62"/>
  <c r="BN126" i="62"/>
  <c r="BN180" i="62"/>
  <c r="BO94" i="62" l="1" a="1"/>
  <c r="BO94" i="62" s="1"/>
  <c r="BO64" i="62"/>
  <c r="BO65" i="62"/>
  <c r="BO63" i="62"/>
  <c r="BO176" i="62"/>
  <c r="BO125" i="62"/>
  <c r="BO108" i="62" a="1"/>
  <c r="BO108" i="62" s="1"/>
  <c r="BO173" i="62"/>
  <c r="BO182" i="62"/>
  <c r="BO179" i="62"/>
  <c r="BO170" i="62"/>
  <c r="BO73" i="62"/>
  <c r="BO185" i="62"/>
  <c r="BO122" i="62"/>
  <c r="BO188" i="62"/>
  <c r="BO102" i="62"/>
  <c r="BO72" i="62"/>
  <c r="BO47" i="62"/>
  <c r="BO161" i="62"/>
  <c r="BO95" i="62"/>
  <c r="BO88" i="62"/>
  <c r="BO167" i="62"/>
  <c r="BO115" i="62"/>
  <c r="BO164" i="62"/>
  <c r="BO74" i="62"/>
  <c r="BO79" i="62"/>
  <c r="BO81" i="62"/>
  <c r="BO38" i="62"/>
  <c r="BO99" i="62"/>
  <c r="BO75" i="62"/>
  <c r="BO98" i="62"/>
  <c r="BO80" i="62"/>
  <c r="BO53" i="62"/>
  <c r="BO22" i="62"/>
  <c r="BO105" i="62"/>
  <c r="BO66" i="62"/>
  <c r="BO50" i="62"/>
  <c r="BO82" i="62"/>
  <c r="BO35" i="62"/>
  <c r="BO16" i="62"/>
  <c r="BO19" i="62"/>
  <c r="BO39" i="62"/>
  <c r="BO25" i="62"/>
  <c r="BO12" i="62"/>
  <c r="BO62" i="62"/>
  <c r="BO46" i="62"/>
  <c r="BO32" i="62"/>
  <c r="BO17" i="62"/>
  <c r="BO109" i="62"/>
  <c r="BO89" i="62"/>
  <c r="BO106" i="62"/>
  <c r="BO165" i="62"/>
  <c r="BO23" i="62"/>
  <c r="BO183" i="62"/>
  <c r="BO76" i="62"/>
  <c r="BO168" i="62"/>
  <c r="BO48" i="62"/>
  <c r="BO126" i="62"/>
  <c r="BO137" i="62"/>
  <c r="BO51" i="62"/>
  <c r="BO174" i="62"/>
  <c r="BO139" i="62"/>
  <c r="BO83" i="62"/>
  <c r="BO116" i="62"/>
  <c r="BO162" i="62"/>
  <c r="BO136" i="62"/>
  <c r="BO171" i="62"/>
  <c r="BO123" i="62"/>
  <c r="BO13" i="62"/>
  <c r="BO189" i="62"/>
  <c r="BO186" i="62"/>
  <c r="BO33" i="62"/>
  <c r="BO100" i="62"/>
  <c r="BO138" i="62"/>
  <c r="BO67" i="62"/>
  <c r="BO68" i="62"/>
  <c r="BO36" i="62"/>
  <c r="BO14" i="62"/>
  <c r="BO26" i="62"/>
  <c r="BO54" i="62"/>
  <c r="BO20" i="62"/>
  <c r="BO180" i="62"/>
  <c r="BO40" i="62"/>
  <c r="BP8" i="62"/>
  <c r="BO103" i="62"/>
  <c r="BO96" i="62"/>
  <c r="BO177" i="62"/>
  <c r="BP94" i="62" l="1" a="1"/>
  <c r="BP94" i="62" s="1"/>
  <c r="BP63" i="62"/>
  <c r="BP64" i="62"/>
  <c r="BP65" i="62"/>
  <c r="BP173" i="62"/>
  <c r="BP188" i="62"/>
  <c r="BP182" i="62"/>
  <c r="BP122" i="62"/>
  <c r="BP164" i="62"/>
  <c r="BP95" i="62"/>
  <c r="BP74" i="62"/>
  <c r="BP170" i="62"/>
  <c r="BP185" i="62"/>
  <c r="BP167" i="62"/>
  <c r="BP161" i="62"/>
  <c r="BP75" i="62"/>
  <c r="BP179" i="62"/>
  <c r="BP176" i="62"/>
  <c r="BP102" i="62"/>
  <c r="BP80" i="62"/>
  <c r="BP38" i="62"/>
  <c r="BP72" i="62"/>
  <c r="BP125" i="62"/>
  <c r="BP105" i="62"/>
  <c r="BP108" i="62" a="1"/>
  <c r="BP108" i="62" s="1"/>
  <c r="BP66" i="62"/>
  <c r="BP115" i="62"/>
  <c r="BP88" i="62"/>
  <c r="BP98" i="62"/>
  <c r="BP81" i="62"/>
  <c r="BP99" i="62"/>
  <c r="BP73" i="62"/>
  <c r="BP62" i="62"/>
  <c r="BP46" i="62"/>
  <c r="BP16" i="62"/>
  <c r="BP53" i="62"/>
  <c r="BP50" i="62"/>
  <c r="BP22" i="62"/>
  <c r="BP79" i="62"/>
  <c r="BP47" i="62"/>
  <c r="BP39" i="62"/>
  <c r="BP35" i="62"/>
  <c r="BP19" i="62"/>
  <c r="BP25" i="62"/>
  <c r="BP32" i="62"/>
  <c r="BP12" i="62"/>
  <c r="BP82" i="62"/>
  <c r="BP138" i="62"/>
  <c r="BP139" i="62"/>
  <c r="BP109" i="62"/>
  <c r="BP96" i="62"/>
  <c r="BP33" i="62"/>
  <c r="BP83" i="62"/>
  <c r="BQ8" i="62"/>
  <c r="BP68" i="62"/>
  <c r="BP126" i="62"/>
  <c r="BP162" i="62"/>
  <c r="BP116" i="62"/>
  <c r="BP186" i="62"/>
  <c r="BP189" i="62"/>
  <c r="BP177" i="62"/>
  <c r="BP100" i="62"/>
  <c r="BP137" i="62"/>
  <c r="BP13" i="62"/>
  <c r="BP17" i="62"/>
  <c r="BP26" i="62"/>
  <c r="BP67" i="62"/>
  <c r="BP165" i="62"/>
  <c r="BP89" i="62"/>
  <c r="BP171" i="62"/>
  <c r="BP23" i="62"/>
  <c r="BP183" i="62"/>
  <c r="BP14" i="62"/>
  <c r="BP51" i="62"/>
  <c r="BP76" i="62"/>
  <c r="BP174" i="62"/>
  <c r="BP54" i="62"/>
  <c r="BP106" i="62"/>
  <c r="BP180" i="62"/>
  <c r="BP123" i="62"/>
  <c r="BP103" i="62"/>
  <c r="BP136" i="62"/>
  <c r="BP48" i="62"/>
  <c r="BP40" i="62"/>
  <c r="BP168" i="62"/>
  <c r="BP20" i="62"/>
  <c r="BP36" i="62"/>
  <c r="BQ94" i="62" l="1" a="1"/>
  <c r="BQ94" i="62" s="1"/>
  <c r="K94" i="62" s="1" a="1"/>
  <c r="K94" i="62" s="1"/>
  <c r="W94" i="62" s="1"/>
  <c r="BQ64" i="62"/>
  <c r="K64" i="62" s="1" a="1"/>
  <c r="K64" i="62" s="1"/>
  <c r="W64" i="62" s="1"/>
  <c r="BQ63" i="62"/>
  <c r="K63" i="62" s="1" a="1"/>
  <c r="K63" i="62" s="1"/>
  <c r="W63" i="62" s="1"/>
  <c r="BQ65" i="62"/>
  <c r="K65" i="62" s="1" a="1"/>
  <c r="K65" i="62" s="1"/>
  <c r="W65" i="62" s="1"/>
  <c r="BQ185" i="62"/>
  <c r="K185" i="62" s="1" a="1"/>
  <c r="K185" i="62" s="1"/>
  <c r="BQ173" i="62"/>
  <c r="K173" i="62" s="1" a="1"/>
  <c r="K173" i="62" s="1"/>
  <c r="BQ188" i="62"/>
  <c r="K188" i="62" s="1" a="1"/>
  <c r="K188" i="62" s="1"/>
  <c r="BQ167" i="62"/>
  <c r="K167" i="62" s="1" a="1"/>
  <c r="K167" i="62" s="1"/>
  <c r="BQ88" i="62"/>
  <c r="K88" i="62" s="1" a="1"/>
  <c r="K88" i="62" s="1"/>
  <c r="BQ164" i="62"/>
  <c r="K164" i="62" s="1" a="1"/>
  <c r="K164" i="62" s="1"/>
  <c r="BQ99" i="62"/>
  <c r="K99" i="62" s="1" a="1"/>
  <c r="K99" i="62" s="1"/>
  <c r="BQ161" i="62"/>
  <c r="K161" i="62" s="1" a="1"/>
  <c r="K161" i="62" s="1"/>
  <c r="BQ122" i="62"/>
  <c r="K122" i="62" s="1" a="1"/>
  <c r="K122" i="62" s="1"/>
  <c r="BQ179" i="62"/>
  <c r="K179" i="62" s="1" a="1"/>
  <c r="K179" i="62" s="1"/>
  <c r="BQ176" i="62"/>
  <c r="K176" i="62" s="1" a="1"/>
  <c r="K176" i="62" s="1"/>
  <c r="BQ170" i="62"/>
  <c r="K170" i="62" s="1" a="1"/>
  <c r="K170" i="62" s="1"/>
  <c r="BQ102" i="62"/>
  <c r="K102" i="62" s="1" a="1"/>
  <c r="K102" i="62" s="1"/>
  <c r="BQ74" i="62"/>
  <c r="K74" i="62" s="1" a="1"/>
  <c r="K74" i="62" s="1"/>
  <c r="BQ39" i="62"/>
  <c r="K39" i="62" s="1" a="1"/>
  <c r="K39" i="62" s="1"/>
  <c r="BQ108" i="62" a="1"/>
  <c r="BQ108" i="62" s="1"/>
  <c r="K108" i="62" s="1" a="1"/>
  <c r="K108" i="62" s="1"/>
  <c r="W108" i="62" s="1"/>
  <c r="BQ80" i="62"/>
  <c r="K80" i="62" s="1" a="1"/>
  <c r="K80" i="62" s="1"/>
  <c r="BQ182" i="62"/>
  <c r="K182" i="62" s="1" a="1"/>
  <c r="K182" i="62" s="1"/>
  <c r="BQ32" i="62"/>
  <c r="K32" i="62" s="1" a="1"/>
  <c r="K32" i="62" s="1"/>
  <c r="BQ66" i="62"/>
  <c r="K66" i="62" s="1" a="1"/>
  <c r="K66" i="62" s="1"/>
  <c r="BQ115" i="62"/>
  <c r="K115" i="62" s="1" a="1"/>
  <c r="K115" i="62" s="1"/>
  <c r="BQ95" i="62"/>
  <c r="K95" i="62" s="1" a="1"/>
  <c r="K95" i="62" s="1"/>
  <c r="BQ72" i="62"/>
  <c r="K72" i="62" s="1" a="1"/>
  <c r="K72" i="62" s="1"/>
  <c r="W72" i="62" s="1"/>
  <c r="BQ50" i="62"/>
  <c r="K50" i="62" s="1" a="1"/>
  <c r="K50" i="62" s="1"/>
  <c r="FH50" i="62" s="1"/>
  <c r="BQ35" i="62"/>
  <c r="K35" i="62" s="1" a="1"/>
  <c r="K35" i="62" s="1"/>
  <c r="FH35" i="62" s="1"/>
  <c r="BQ125" i="62"/>
  <c r="K125" i="62" s="1" a="1"/>
  <c r="K125" i="62" s="1"/>
  <c r="BQ81" i="62"/>
  <c r="K81" i="62" s="1" a="1"/>
  <c r="K81" i="62" s="1"/>
  <c r="BQ75" i="62"/>
  <c r="K75" i="62" s="1" a="1"/>
  <c r="K75" i="62" s="1"/>
  <c r="BQ82" i="62"/>
  <c r="K82" i="62" s="1" a="1"/>
  <c r="K82" i="62" s="1"/>
  <c r="BQ53" i="62"/>
  <c r="K53" i="62" s="1" a="1"/>
  <c r="K53" i="62" s="1"/>
  <c r="BQ25" i="62"/>
  <c r="K25" i="62" s="1" a="1"/>
  <c r="K25" i="62" s="1"/>
  <c r="W25" i="62" s="1"/>
  <c r="BQ16" i="62"/>
  <c r="K16" i="62" s="1" a="1"/>
  <c r="K16" i="62" s="1"/>
  <c r="FH16" i="62" s="1"/>
  <c r="BQ98" i="62"/>
  <c r="K98" i="62" s="1" a="1"/>
  <c r="K98" i="62" s="1"/>
  <c r="W98" i="62" s="1"/>
  <c r="BQ73" i="62"/>
  <c r="K73" i="62" s="1" a="1"/>
  <c r="K73" i="62" s="1"/>
  <c r="FH73" i="62" s="1"/>
  <c r="BQ105" i="62"/>
  <c r="K105" i="62" s="1" a="1"/>
  <c r="K105" i="62" s="1"/>
  <c r="W105" i="62" s="1"/>
  <c r="BQ38" i="62"/>
  <c r="K38" i="62" s="1" a="1"/>
  <c r="K38" i="62" s="1"/>
  <c r="BQ62" i="62"/>
  <c r="K62" i="62" s="1" a="1"/>
  <c r="K62" i="62" s="1"/>
  <c r="FH62" i="62" s="1"/>
  <c r="BQ79" i="62"/>
  <c r="K79" i="62" s="1" a="1"/>
  <c r="K79" i="62" s="1"/>
  <c r="BQ47" i="62"/>
  <c r="K47" i="62" s="1" a="1"/>
  <c r="K47" i="62" s="1"/>
  <c r="FH47" i="62" s="1"/>
  <c r="BQ22" i="62"/>
  <c r="K22" i="62" s="1" a="1"/>
  <c r="K22" i="62" s="1"/>
  <c r="BQ19" i="62"/>
  <c r="K19" i="62" s="1" a="1"/>
  <c r="K19" i="62" s="1"/>
  <c r="BQ12" i="62"/>
  <c r="K12" i="62" s="1" a="1"/>
  <c r="K12" i="62" s="1"/>
  <c r="BQ46" i="62"/>
  <c r="K46" i="62" s="1" a="1"/>
  <c r="K46" i="62" s="1"/>
  <c r="BQ48" i="62"/>
  <c r="K48" i="62" s="1" a="1"/>
  <c r="K48" i="62" s="1"/>
  <c r="BQ14" i="62"/>
  <c r="BR8" i="62"/>
  <c r="BQ189" i="62"/>
  <c r="K189" i="62" s="1" a="1"/>
  <c r="K189" i="62" s="1"/>
  <c r="J38" i="120" s="1"/>
  <c r="BQ139" i="62"/>
  <c r="K139" i="62" s="1" a="1"/>
  <c r="K139" i="62" s="1"/>
  <c r="BQ116" i="62"/>
  <c r="K116" i="62" s="1" a="1"/>
  <c r="K116" i="62" s="1"/>
  <c r="BQ96" i="62"/>
  <c r="BQ177" i="62"/>
  <c r="K177" i="62" s="1" a="1"/>
  <c r="K177" i="62" s="1"/>
  <c r="J26" i="120" s="1"/>
  <c r="BQ186" i="62"/>
  <c r="K186" i="62" s="1" a="1"/>
  <c r="K186" i="62" s="1"/>
  <c r="J35" i="120" s="1"/>
  <c r="BQ40" i="62"/>
  <c r="K40" i="62" s="1" a="1"/>
  <c r="K40" i="62" s="1"/>
  <c r="BQ103" i="62"/>
  <c r="K103" i="62" s="1" a="1"/>
  <c r="K103" i="62" s="1"/>
  <c r="BQ183" i="62"/>
  <c r="K183" i="62" s="1" a="1"/>
  <c r="K183" i="62" s="1"/>
  <c r="J32" i="120" s="1"/>
  <c r="BQ51" i="62"/>
  <c r="K51" i="62" s="1" a="1"/>
  <c r="K51" i="62" s="1"/>
  <c r="BQ171" i="62"/>
  <c r="K171" i="62" s="1" a="1"/>
  <c r="K171" i="62" s="1"/>
  <c r="J20" i="120" s="1"/>
  <c r="BQ20" i="62"/>
  <c r="K20" i="62" s="1" a="1"/>
  <c r="K20" i="62" s="1"/>
  <c r="BQ180" i="62"/>
  <c r="K180" i="62" s="1" a="1"/>
  <c r="K180" i="62" s="1"/>
  <c r="J29" i="120" s="1"/>
  <c r="BQ36" i="62"/>
  <c r="K36" i="62" s="1" a="1"/>
  <c r="K36" i="62" s="1"/>
  <c r="BQ162" i="62"/>
  <c r="K162" i="62" s="1" a="1"/>
  <c r="K162" i="62" s="1"/>
  <c r="J11" i="120" s="1"/>
  <c r="BQ13" i="62"/>
  <c r="K13" i="62" s="1" a="1"/>
  <c r="K13" i="62" s="1"/>
  <c r="BQ67" i="62"/>
  <c r="K67" i="62" s="1" a="1"/>
  <c r="K67" i="62" s="1"/>
  <c r="BQ17" i="62"/>
  <c r="K17" i="62" s="1" a="1"/>
  <c r="K17" i="62" s="1"/>
  <c r="BQ106" i="62"/>
  <c r="K106" i="62" s="1" a="1"/>
  <c r="K106" i="62" s="1"/>
  <c r="BQ83" i="62"/>
  <c r="K83" i="62" s="1" a="1"/>
  <c r="K83" i="62" s="1"/>
  <c r="BQ126" i="62"/>
  <c r="K126" i="62" s="1" a="1"/>
  <c r="K126" i="62" s="1"/>
  <c r="BQ136" i="62"/>
  <c r="K136" i="62" s="1" a="1"/>
  <c r="K136" i="62" s="1"/>
  <c r="C17" i="114" s="1"/>
  <c r="BQ68" i="62"/>
  <c r="K68" i="62" s="1" a="1"/>
  <c r="K68" i="62" s="1"/>
  <c r="BQ76" i="62"/>
  <c r="K76" i="62" s="1" a="1"/>
  <c r="K76" i="62" s="1"/>
  <c r="BQ23" i="62"/>
  <c r="K23" i="62" s="1" a="1"/>
  <c r="K23" i="62" s="1"/>
  <c r="BQ174" i="62"/>
  <c r="K174" i="62" s="1" a="1"/>
  <c r="K174" i="62" s="1"/>
  <c r="J23" i="120" s="1"/>
  <c r="BQ123" i="62"/>
  <c r="K123" i="62" s="1" a="1"/>
  <c r="K123" i="62" s="1"/>
  <c r="C54" i="114" s="1"/>
  <c r="C55" i="114" s="1"/>
  <c r="BQ168" i="62"/>
  <c r="K168" i="62" s="1" a="1"/>
  <c r="K168" i="62" s="1"/>
  <c r="J17" i="120" s="1"/>
  <c r="BQ138" i="62"/>
  <c r="K138" i="62" s="1" a="1"/>
  <c r="K138" i="62" s="1"/>
  <c r="BQ109" i="62"/>
  <c r="K109" i="62" s="1" a="1"/>
  <c r="K109" i="62" s="1"/>
  <c r="BQ54" i="62"/>
  <c r="K54" i="62" s="1" a="1"/>
  <c r="K54" i="62" s="1"/>
  <c r="BQ33" i="62"/>
  <c r="BQ100" i="62"/>
  <c r="K100" i="62" s="1" a="1"/>
  <c r="K100" i="62" s="1"/>
  <c r="BQ137" i="62"/>
  <c r="K137" i="62" s="1" a="1"/>
  <c r="K137" i="62" s="1"/>
  <c r="BQ89" i="62"/>
  <c r="BQ165" i="62"/>
  <c r="K165" i="62" s="1" a="1"/>
  <c r="K165" i="62" s="1"/>
  <c r="J14" i="120" s="1"/>
  <c r="BQ26" i="62"/>
  <c r="K26" i="62" s="1" a="1"/>
  <c r="K26" i="62" s="1"/>
  <c r="BR94" i="62" l="1" a="1"/>
  <c r="BR94" i="62" s="1"/>
  <c r="BR65" i="62"/>
  <c r="BR64" i="62"/>
  <c r="BR63" i="62"/>
  <c r="BR182" i="62"/>
  <c r="BR108" i="62" a="1"/>
  <c r="BR108" i="62" s="1"/>
  <c r="BR115" i="62"/>
  <c r="BR125" i="62"/>
  <c r="BR79" i="62"/>
  <c r="BR188" i="62"/>
  <c r="BR167" i="62"/>
  <c r="BR62" i="62"/>
  <c r="BR99" i="62"/>
  <c r="BR185" i="62"/>
  <c r="BR164" i="62"/>
  <c r="BR122" i="62"/>
  <c r="BR98" i="62"/>
  <c r="BR82" i="62"/>
  <c r="BR35" i="62"/>
  <c r="BR179" i="62"/>
  <c r="BR176" i="62"/>
  <c r="BR102" i="62"/>
  <c r="BR74" i="62"/>
  <c r="BR161" i="62"/>
  <c r="BR105" i="62"/>
  <c r="BR95" i="62"/>
  <c r="BR81" i="62"/>
  <c r="BR72" i="62"/>
  <c r="BR75" i="62"/>
  <c r="BR25" i="62"/>
  <c r="BR88" i="62"/>
  <c r="BR173" i="62"/>
  <c r="BR16" i="62"/>
  <c r="BR73" i="62"/>
  <c r="BR66" i="62"/>
  <c r="BR53" i="62"/>
  <c r="BR46" i="62"/>
  <c r="BR32" i="62"/>
  <c r="BR170" i="62"/>
  <c r="BR38" i="62"/>
  <c r="BR50" i="62"/>
  <c r="BR22" i="62"/>
  <c r="BR39" i="62"/>
  <c r="BR19" i="62"/>
  <c r="BR47" i="62"/>
  <c r="BR80" i="62"/>
  <c r="BR12" i="62"/>
  <c r="W75" i="62"/>
  <c r="W81" i="62"/>
  <c r="W82" i="62"/>
  <c r="W73" i="62"/>
  <c r="W50" i="62"/>
  <c r="W35" i="62"/>
  <c r="W66" i="62"/>
  <c r="W99" i="62"/>
  <c r="W115" i="62"/>
  <c r="W16" i="62"/>
  <c r="J37" i="120"/>
  <c r="W188" i="62"/>
  <c r="V37" i="120" s="1"/>
  <c r="FH188" i="62"/>
  <c r="W79" i="62"/>
  <c r="FH79" i="62"/>
  <c r="FH122" i="62"/>
  <c r="W122" i="62"/>
  <c r="W170" i="62"/>
  <c r="V19" i="120" s="1"/>
  <c r="J19" i="120"/>
  <c r="FH170" i="62"/>
  <c r="W38" i="62"/>
  <c r="FH38" i="62"/>
  <c r="FH80" i="62"/>
  <c r="W80" i="62"/>
  <c r="W164" i="62"/>
  <c r="V13" i="120" s="1"/>
  <c r="J13" i="120"/>
  <c r="FH164" i="62"/>
  <c r="BR116" i="62"/>
  <c r="BR189" i="62"/>
  <c r="BR48" i="62"/>
  <c r="BR23" i="62"/>
  <c r="BR106" i="62"/>
  <c r="BR17" i="62"/>
  <c r="BR67" i="62"/>
  <c r="BR168" i="62"/>
  <c r="BR137" i="62"/>
  <c r="BR171" i="62"/>
  <c r="BR183" i="62"/>
  <c r="BR103" i="62"/>
  <c r="BR165" i="62"/>
  <c r="BR33" i="62"/>
  <c r="BR68" i="62"/>
  <c r="BR139" i="62"/>
  <c r="BS8" i="62"/>
  <c r="BR96" i="62"/>
  <c r="BR126" i="62"/>
  <c r="BR14" i="62"/>
  <c r="BR36" i="62"/>
  <c r="BR20" i="62"/>
  <c r="BR51" i="62"/>
  <c r="BR100" i="62"/>
  <c r="BR138" i="62"/>
  <c r="BR174" i="62"/>
  <c r="BR76" i="62"/>
  <c r="BR109" i="62"/>
  <c r="BR123" i="62"/>
  <c r="BR136" i="62"/>
  <c r="BR83" i="62"/>
  <c r="BR186" i="62"/>
  <c r="BR13" i="62"/>
  <c r="BR162" i="62"/>
  <c r="BR26" i="62"/>
  <c r="BR89" i="62"/>
  <c r="BR40" i="62"/>
  <c r="BR180" i="62"/>
  <c r="BR177" i="62"/>
  <c r="BR54" i="62"/>
  <c r="W102" i="62"/>
  <c r="FH102" i="62"/>
  <c r="W176" i="62"/>
  <c r="V25" i="120" s="1"/>
  <c r="J25" i="120"/>
  <c r="FH176" i="62"/>
  <c r="W62" i="62"/>
  <c r="W173" i="62"/>
  <c r="V22" i="120" s="1"/>
  <c r="FH173" i="62"/>
  <c r="J22" i="120"/>
  <c r="W19" i="62"/>
  <c r="FH39" i="62"/>
  <c r="W39" i="62"/>
  <c r="K14" i="62" a="1"/>
  <c r="K14" i="62" s="1"/>
  <c r="W12" i="62" s="1"/>
  <c r="C34" i="114" a="1"/>
  <c r="C34" i="114" s="1"/>
  <c r="C35" i="114" s="1"/>
  <c r="K35" i="114" s="1"/>
  <c r="FH74" i="62"/>
  <c r="W74" i="62"/>
  <c r="K96" i="62" a="1"/>
  <c r="K96" i="62" s="1"/>
  <c r="C50" i="114" a="1"/>
  <c r="C50" i="114" s="1"/>
  <c r="C51" i="114" s="1"/>
  <c r="J16" i="120"/>
  <c r="W167" i="62"/>
  <c r="V16" i="120" s="1"/>
  <c r="FH167" i="62"/>
  <c r="K33" i="62" a="1"/>
  <c r="K33" i="62" s="1"/>
  <c r="FH25" i="62" s="1"/>
  <c r="C38" i="114" a="1"/>
  <c r="C38" i="114" s="1"/>
  <c r="FH13" i="62"/>
  <c r="W13" i="62"/>
  <c r="W46" i="62"/>
  <c r="FH46" i="62"/>
  <c r="W125" i="62"/>
  <c r="FH125" i="62"/>
  <c r="FH53" i="62"/>
  <c r="W53" i="62"/>
  <c r="FH32" i="62"/>
  <c r="J31" i="120"/>
  <c r="W182" i="62"/>
  <c r="V31" i="120" s="1"/>
  <c r="FH182" i="62"/>
  <c r="FH95" i="62"/>
  <c r="W179" i="62"/>
  <c r="V28" i="120" s="1"/>
  <c r="J28" i="120"/>
  <c r="FH179" i="62"/>
  <c r="W161" i="62"/>
  <c r="V10" i="120" s="1"/>
  <c r="FH161" i="62"/>
  <c r="J10" i="120"/>
  <c r="W22" i="62"/>
  <c r="FH22" i="62"/>
  <c r="J34" i="120"/>
  <c r="FH185" i="62"/>
  <c r="W185" i="62"/>
  <c r="V34" i="120" s="1"/>
  <c r="FH12" i="62"/>
  <c r="W47" i="62"/>
  <c r="BS94" i="62" l="1" a="1"/>
  <c r="BS94" i="62" s="1"/>
  <c r="BS65" i="62"/>
  <c r="BS63" i="62"/>
  <c r="BS64" i="62"/>
  <c r="BS188" i="62"/>
  <c r="BS185" i="62"/>
  <c r="BS170" i="62"/>
  <c r="BS176" i="62"/>
  <c r="BS105" i="62"/>
  <c r="BS182" i="62"/>
  <c r="BS179" i="62"/>
  <c r="BS173" i="62"/>
  <c r="BS108" i="62" a="1"/>
  <c r="BS108" i="62" s="1"/>
  <c r="BS80" i="62"/>
  <c r="BS125" i="62"/>
  <c r="BS66" i="62"/>
  <c r="BS167" i="62"/>
  <c r="BS164" i="62"/>
  <c r="BS122" i="62"/>
  <c r="BS98" i="62"/>
  <c r="BS82" i="62"/>
  <c r="BS102" i="62"/>
  <c r="BS115" i="62"/>
  <c r="BS79" i="62"/>
  <c r="BS22" i="62"/>
  <c r="BS161" i="62"/>
  <c r="BS95" i="62"/>
  <c r="BS81" i="62"/>
  <c r="BS72" i="62"/>
  <c r="BS74" i="62"/>
  <c r="BS75" i="62"/>
  <c r="BS99" i="62"/>
  <c r="BS47" i="62"/>
  <c r="BS88" i="62"/>
  <c r="BS50" i="62"/>
  <c r="BS73" i="62"/>
  <c r="BS62" i="62"/>
  <c r="BS19" i="62"/>
  <c r="BS25" i="62"/>
  <c r="BS35" i="62"/>
  <c r="BS38" i="62"/>
  <c r="BS39" i="62"/>
  <c r="BS16" i="62"/>
  <c r="BS12" i="62"/>
  <c r="BS46" i="62"/>
  <c r="BS53" i="62"/>
  <c r="BS32" i="62"/>
  <c r="W32" i="62"/>
  <c r="W95" i="62"/>
  <c r="C39" i="114"/>
  <c r="I38" i="114"/>
  <c r="K38" i="114"/>
  <c r="BS83" i="62"/>
  <c r="BS189" i="62"/>
  <c r="BS136" i="62"/>
  <c r="BS36" i="62"/>
  <c r="BS165" i="62"/>
  <c r="BS23" i="62"/>
  <c r="BS186" i="62"/>
  <c r="BS183" i="62"/>
  <c r="BS100" i="62"/>
  <c r="BS123" i="62"/>
  <c r="BS17" i="62"/>
  <c r="BS13" i="62"/>
  <c r="BS48" i="62"/>
  <c r="BS67" i="62"/>
  <c r="BS177" i="62"/>
  <c r="BS138" i="62"/>
  <c r="BS137" i="62"/>
  <c r="BT8" i="62"/>
  <c r="BS14" i="62"/>
  <c r="BS171" i="62"/>
  <c r="BS96" i="62"/>
  <c r="BS168" i="62"/>
  <c r="BS106" i="62"/>
  <c r="BS139" i="62"/>
  <c r="BS180" i="62"/>
  <c r="BS103" i="62"/>
  <c r="BS116" i="62"/>
  <c r="BS54" i="62"/>
  <c r="BS162" i="62"/>
  <c r="BS109" i="62"/>
  <c r="BS89" i="62"/>
  <c r="BS20" i="62"/>
  <c r="BS126" i="62"/>
  <c r="BS51" i="62"/>
  <c r="BS174" i="62"/>
  <c r="BS33" i="62"/>
  <c r="BS76" i="62"/>
  <c r="BS26" i="62"/>
  <c r="BS68" i="62"/>
  <c r="BS40" i="62"/>
  <c r="I51" i="114"/>
  <c r="K51" i="114"/>
  <c r="BT94" i="62" l="1" a="1"/>
  <c r="BT94" i="62" s="1"/>
  <c r="BT64" i="62"/>
  <c r="BT63" i="62"/>
  <c r="BT65" i="62"/>
  <c r="BT185" i="62"/>
  <c r="BT188" i="62"/>
  <c r="BT167" i="62"/>
  <c r="BT164" i="62"/>
  <c r="BT161" i="62"/>
  <c r="BT125" i="62"/>
  <c r="BT122" i="62"/>
  <c r="BT102" i="62"/>
  <c r="BT176" i="62"/>
  <c r="BT98" i="62"/>
  <c r="BT99" i="62"/>
  <c r="BT81" i="62"/>
  <c r="BT182" i="62"/>
  <c r="BT179" i="62"/>
  <c r="BT173" i="62"/>
  <c r="BT108" i="62" a="1"/>
  <c r="BT108" i="62" s="1"/>
  <c r="BT115" i="62"/>
  <c r="BT82" i="62"/>
  <c r="BT72" i="62"/>
  <c r="BT73" i="62"/>
  <c r="BT74" i="62"/>
  <c r="BT170" i="62"/>
  <c r="BT105" i="62"/>
  <c r="BT79" i="62"/>
  <c r="BT75" i="62"/>
  <c r="BT62" i="62"/>
  <c r="BT66" i="62"/>
  <c r="BT53" i="62"/>
  <c r="BT50" i="62"/>
  <c r="BT46" i="62"/>
  <c r="BT47" i="62"/>
  <c r="BT38" i="62"/>
  <c r="BT39" i="62"/>
  <c r="BT35" i="62"/>
  <c r="BT19" i="62"/>
  <c r="BT95" i="62"/>
  <c r="BT88" i="62"/>
  <c r="BT12" i="62"/>
  <c r="BT25" i="62"/>
  <c r="BT22" i="62"/>
  <c r="BT32" i="62"/>
  <c r="BT16" i="62"/>
  <c r="BT80" i="62"/>
  <c r="BT139" i="62"/>
  <c r="BT180" i="62"/>
  <c r="BT106" i="62"/>
  <c r="BT136" i="62"/>
  <c r="BT162" i="62"/>
  <c r="BT183" i="62"/>
  <c r="BT83" i="62"/>
  <c r="BT76" i="62"/>
  <c r="BT123" i="62"/>
  <c r="BT189" i="62"/>
  <c r="BT14" i="62"/>
  <c r="BT174" i="62"/>
  <c r="BU8" i="62"/>
  <c r="BT23" i="62"/>
  <c r="BT67" i="62"/>
  <c r="BT54" i="62"/>
  <c r="BT116" i="62"/>
  <c r="BT48" i="62"/>
  <c r="BT13" i="62"/>
  <c r="BT186" i="62"/>
  <c r="BT40" i="62"/>
  <c r="BT17" i="62"/>
  <c r="BT103" i="62"/>
  <c r="BT171" i="62"/>
  <c r="BT137" i="62"/>
  <c r="BT89" i="62"/>
  <c r="BT168" i="62"/>
  <c r="BT138" i="62"/>
  <c r="BT51" i="62"/>
  <c r="BT109" i="62"/>
  <c r="BT68" i="62"/>
  <c r="BT100" i="62"/>
  <c r="BT165" i="62"/>
  <c r="BT96" i="62"/>
  <c r="BT33" i="62"/>
  <c r="BT26" i="62"/>
  <c r="BT20" i="62"/>
  <c r="BT36" i="62"/>
  <c r="BT126" i="62"/>
  <c r="BT177" i="62"/>
  <c r="BU94" i="62" l="1" a="1"/>
  <c r="BU94" i="62" s="1"/>
  <c r="BU64" i="62"/>
  <c r="BU65" i="62"/>
  <c r="BU63" i="62"/>
  <c r="BU182" i="62"/>
  <c r="BU185" i="62"/>
  <c r="BU179" i="62"/>
  <c r="BU176" i="62"/>
  <c r="BU173" i="62"/>
  <c r="BU164" i="62"/>
  <c r="BU108" i="62" a="1"/>
  <c r="BU108" i="62" s="1"/>
  <c r="BU170" i="62"/>
  <c r="BU167" i="62"/>
  <c r="BU98" i="62"/>
  <c r="BU115" i="62"/>
  <c r="BU105" i="62"/>
  <c r="BU102" i="62"/>
  <c r="BU82" i="62"/>
  <c r="BU188" i="62"/>
  <c r="BU95" i="62"/>
  <c r="BU88" i="62"/>
  <c r="BU79" i="62"/>
  <c r="BU80" i="62"/>
  <c r="BU81" i="62"/>
  <c r="BU73" i="62"/>
  <c r="BU50" i="62"/>
  <c r="BU122" i="62"/>
  <c r="BU62" i="62"/>
  <c r="BU53" i="62"/>
  <c r="BU16" i="62"/>
  <c r="BU161" i="62"/>
  <c r="BU66" i="62"/>
  <c r="BU72" i="62"/>
  <c r="BU125" i="62"/>
  <c r="BU47" i="62"/>
  <c r="BU38" i="62"/>
  <c r="BU39" i="62"/>
  <c r="BU32" i="62"/>
  <c r="BU19" i="62"/>
  <c r="BU75" i="62"/>
  <c r="BU12" i="62"/>
  <c r="BU99" i="62"/>
  <c r="BU46" i="62"/>
  <c r="BU22" i="62"/>
  <c r="BU35" i="62"/>
  <c r="BU25" i="62"/>
  <c r="BU74" i="62"/>
  <c r="BU183" i="62"/>
  <c r="BU26" i="62"/>
  <c r="BU33" i="62"/>
  <c r="BU67" i="62"/>
  <c r="BU174" i="62"/>
  <c r="BU68" i="62"/>
  <c r="BU40" i="62"/>
  <c r="BU23" i="62"/>
  <c r="BU138" i="62"/>
  <c r="BU51" i="62"/>
  <c r="BU83" i="62"/>
  <c r="BU162" i="62"/>
  <c r="BU123" i="62"/>
  <c r="BU13" i="62"/>
  <c r="BU106" i="62"/>
  <c r="BU14" i="62"/>
  <c r="BU96" i="62"/>
  <c r="BU103" i="62"/>
  <c r="BU136" i="62"/>
  <c r="BU89" i="62"/>
  <c r="BU126" i="62"/>
  <c r="BU17" i="62"/>
  <c r="BV8" i="62"/>
  <c r="BU139" i="62"/>
  <c r="BU109" i="62"/>
  <c r="BU20" i="62"/>
  <c r="BU48" i="62"/>
  <c r="BU76" i="62"/>
  <c r="BU180" i="62"/>
  <c r="BU186" i="62"/>
  <c r="BU100" i="62"/>
  <c r="BU165" i="62"/>
  <c r="BU36" i="62"/>
  <c r="BU54" i="62"/>
  <c r="BU189" i="62"/>
  <c r="BU171" i="62"/>
  <c r="BU116" i="62"/>
  <c r="BU177" i="62"/>
  <c r="BU168" i="62"/>
  <c r="BU137" i="62"/>
  <c r="BV94" i="62" l="1" a="1"/>
  <c r="BV94" i="62" s="1"/>
  <c r="BV64" i="62"/>
  <c r="BV63" i="62"/>
  <c r="BV65" i="62"/>
  <c r="BV179" i="62"/>
  <c r="BV182" i="62"/>
  <c r="BV161" i="62"/>
  <c r="BV185" i="62"/>
  <c r="BV188" i="62"/>
  <c r="BV99" i="62"/>
  <c r="BV170" i="62"/>
  <c r="BV167" i="62"/>
  <c r="BV72" i="62"/>
  <c r="BV115" i="62"/>
  <c r="BV105" i="62"/>
  <c r="BV102" i="62"/>
  <c r="BV125" i="62"/>
  <c r="BV98" i="62"/>
  <c r="BV95" i="62"/>
  <c r="BV46" i="62"/>
  <c r="BV79" i="62"/>
  <c r="BV73" i="62"/>
  <c r="BV176" i="62"/>
  <c r="BV164" i="62"/>
  <c r="BV12" i="62"/>
  <c r="BV108" i="62" a="1"/>
  <c r="BV108" i="62" s="1"/>
  <c r="BV62" i="62"/>
  <c r="BV122" i="62"/>
  <c r="BV88" i="62"/>
  <c r="BV80" i="62"/>
  <c r="BV74" i="62"/>
  <c r="BV53" i="62"/>
  <c r="BV39" i="62"/>
  <c r="BV32" i="62"/>
  <c r="BV25" i="62"/>
  <c r="BV22" i="62"/>
  <c r="BV19" i="62"/>
  <c r="BV16" i="62"/>
  <c r="BV35" i="62"/>
  <c r="BV47" i="62"/>
  <c r="BV38" i="62"/>
  <c r="BV75" i="62"/>
  <c r="BV81" i="62"/>
  <c r="BV82" i="62"/>
  <c r="BV50" i="62"/>
  <c r="BV66" i="62"/>
  <c r="BV173" i="62"/>
  <c r="BV14" i="62"/>
  <c r="BW8" i="62"/>
  <c r="BV162" i="62"/>
  <c r="BV33" i="62"/>
  <c r="BV76" i="62"/>
  <c r="BV136" i="62"/>
  <c r="BV67" i="62"/>
  <c r="BV116" i="62"/>
  <c r="BV109" i="62"/>
  <c r="BV100" i="62"/>
  <c r="BV13" i="62"/>
  <c r="BV177" i="62"/>
  <c r="BV54" i="62"/>
  <c r="BV168" i="62"/>
  <c r="BV26" i="62"/>
  <c r="BV103" i="62"/>
  <c r="BV174" i="62"/>
  <c r="BV83" i="62"/>
  <c r="BV189" i="62"/>
  <c r="BV36" i="62"/>
  <c r="BV139" i="62"/>
  <c r="BV23" i="62"/>
  <c r="BV68" i="62"/>
  <c r="BV106" i="62"/>
  <c r="BV165" i="62"/>
  <c r="BV20" i="62"/>
  <c r="BV123" i="62"/>
  <c r="BV137" i="62"/>
  <c r="BV186" i="62"/>
  <c r="BV171" i="62"/>
  <c r="BV48" i="62"/>
  <c r="BV180" i="62"/>
  <c r="BV17" i="62"/>
  <c r="BV138" i="62"/>
  <c r="BV126" i="62"/>
  <c r="BV40" i="62"/>
  <c r="BV51" i="62"/>
  <c r="BV96" i="62"/>
  <c r="BV89" i="62"/>
  <c r="BV183" i="62"/>
  <c r="BW94" i="62" l="1" a="1"/>
  <c r="BW94" i="62" s="1"/>
  <c r="BW64" i="62"/>
  <c r="BW65" i="62"/>
  <c r="BW63" i="62"/>
  <c r="BW176" i="62"/>
  <c r="BW188" i="62"/>
  <c r="BW125" i="62"/>
  <c r="BW161" i="62"/>
  <c r="BW73" i="62"/>
  <c r="BW182" i="62"/>
  <c r="BW179" i="62"/>
  <c r="BW173" i="62"/>
  <c r="BW170" i="62"/>
  <c r="BW164" i="62"/>
  <c r="BW108" i="62" a="1"/>
  <c r="BW108" i="62" s="1"/>
  <c r="BW115" i="62"/>
  <c r="BW98" i="62"/>
  <c r="BW167" i="62"/>
  <c r="BW81" i="62"/>
  <c r="BW47" i="62"/>
  <c r="BW105" i="62"/>
  <c r="BW185" i="62"/>
  <c r="BW79" i="62"/>
  <c r="BW102" i="62"/>
  <c r="BW95" i="62"/>
  <c r="BW80" i="62"/>
  <c r="BW74" i="62"/>
  <c r="BW72" i="62"/>
  <c r="BW66" i="62"/>
  <c r="BW75" i="62"/>
  <c r="BW62" i="62"/>
  <c r="BW82" i="62"/>
  <c r="BW46" i="62"/>
  <c r="BW35" i="62"/>
  <c r="BW38" i="62"/>
  <c r="BW19" i="62"/>
  <c r="BW39" i="62"/>
  <c r="BW32" i="62"/>
  <c r="BW12" i="62"/>
  <c r="BW88" i="62"/>
  <c r="BW50" i="62"/>
  <c r="BW25" i="62"/>
  <c r="BW16" i="62"/>
  <c r="BW22" i="62"/>
  <c r="BW99" i="62"/>
  <c r="BW122" i="62"/>
  <c r="BW53" i="62"/>
  <c r="BW168" i="62"/>
  <c r="BW136" i="62"/>
  <c r="BW123" i="62"/>
  <c r="BW51" i="62"/>
  <c r="BW54" i="62"/>
  <c r="BW103" i="62"/>
  <c r="BW17" i="62"/>
  <c r="BW40" i="62"/>
  <c r="BW162" i="62"/>
  <c r="BW106" i="62"/>
  <c r="BW138" i="62"/>
  <c r="BW171" i="62"/>
  <c r="BW76" i="62"/>
  <c r="BW177" i="62"/>
  <c r="BW109" i="62"/>
  <c r="BW126" i="62"/>
  <c r="BW183" i="62"/>
  <c r="BW26" i="62"/>
  <c r="BW36" i="62"/>
  <c r="BW89" i="62"/>
  <c r="BW14" i="62"/>
  <c r="BW68" i="62"/>
  <c r="BW20" i="62"/>
  <c r="BW165" i="62"/>
  <c r="BW174" i="62"/>
  <c r="BW67" i="62"/>
  <c r="BW13" i="62"/>
  <c r="BW116" i="62"/>
  <c r="BX8" i="62"/>
  <c r="BW180" i="62"/>
  <c r="BW100" i="62"/>
  <c r="BW33" i="62"/>
  <c r="BW186" i="62"/>
  <c r="BW189" i="62"/>
  <c r="BW139" i="62"/>
  <c r="BW48" i="62"/>
  <c r="BW83" i="62"/>
  <c r="BW137" i="62"/>
  <c r="BW96" i="62"/>
  <c r="BW23" i="62"/>
  <c r="BX94" i="62" l="1" a="1"/>
  <c r="BX94" i="62" s="1"/>
  <c r="BX63" i="62"/>
  <c r="BX65" i="62"/>
  <c r="BX64" i="62"/>
  <c r="BX173" i="62"/>
  <c r="BX188" i="62"/>
  <c r="BX122" i="62"/>
  <c r="BX185" i="62"/>
  <c r="BX179" i="62"/>
  <c r="BX95" i="62"/>
  <c r="BX74" i="62"/>
  <c r="BX161" i="62"/>
  <c r="BX105" i="62"/>
  <c r="BX75" i="62"/>
  <c r="BX170" i="62"/>
  <c r="BX164" i="62"/>
  <c r="BX125" i="62"/>
  <c r="BX182" i="62"/>
  <c r="BX176" i="62"/>
  <c r="BX88" i="62"/>
  <c r="BX38" i="62"/>
  <c r="BX81" i="62"/>
  <c r="BX98" i="62"/>
  <c r="BX99" i="62"/>
  <c r="BX108" i="62" a="1"/>
  <c r="BX108" i="62" s="1"/>
  <c r="BX79" i="62"/>
  <c r="BX167" i="62"/>
  <c r="BX82" i="62"/>
  <c r="BX46" i="62"/>
  <c r="BX80" i="62"/>
  <c r="BX53" i="62"/>
  <c r="BX115" i="62"/>
  <c r="BX50" i="62"/>
  <c r="BX22" i="62"/>
  <c r="BX102" i="62"/>
  <c r="BX72" i="62"/>
  <c r="BX62" i="62"/>
  <c r="BX47" i="62"/>
  <c r="BX39" i="62"/>
  <c r="BX35" i="62"/>
  <c r="BX32" i="62"/>
  <c r="BX25" i="62"/>
  <c r="BX12" i="62"/>
  <c r="BX73" i="62"/>
  <c r="BX16" i="62"/>
  <c r="BX19" i="62"/>
  <c r="BX66" i="62"/>
  <c r="BX171" i="62"/>
  <c r="BX174" i="62"/>
  <c r="BX13" i="62"/>
  <c r="BX123" i="62"/>
  <c r="BX40" i="62"/>
  <c r="BX89" i="62"/>
  <c r="BX136" i="62"/>
  <c r="BX189" i="62"/>
  <c r="BX83" i="62"/>
  <c r="BX68" i="62"/>
  <c r="BX33" i="62"/>
  <c r="BY8" i="62"/>
  <c r="BX103" i="62"/>
  <c r="BX51" i="62"/>
  <c r="BX36" i="62"/>
  <c r="BX162" i="62"/>
  <c r="BX14" i="62"/>
  <c r="BX139" i="62"/>
  <c r="BX168" i="62"/>
  <c r="BX106" i="62"/>
  <c r="BX186" i="62"/>
  <c r="BX67" i="62"/>
  <c r="BX177" i="62"/>
  <c r="BX20" i="62"/>
  <c r="BX116" i="62"/>
  <c r="BX96" i="62"/>
  <c r="BX183" i="62"/>
  <c r="BX180" i="62"/>
  <c r="BX17" i="62"/>
  <c r="BX126" i="62"/>
  <c r="BX54" i="62"/>
  <c r="BX100" i="62"/>
  <c r="BX137" i="62"/>
  <c r="BX26" i="62"/>
  <c r="BX138" i="62"/>
  <c r="BX76" i="62"/>
  <c r="BX23" i="62"/>
  <c r="BX48" i="62"/>
  <c r="BX165" i="62"/>
  <c r="BX109" i="62"/>
  <c r="BY94" i="62" l="1" a="1"/>
  <c r="BY94" i="62" s="1"/>
  <c r="BY64" i="62"/>
  <c r="BY63" i="62"/>
  <c r="BY65" i="62"/>
  <c r="BY185" i="62"/>
  <c r="BY188" i="62"/>
  <c r="BY179" i="62"/>
  <c r="BY122" i="62"/>
  <c r="BY88" i="62"/>
  <c r="BY173" i="62"/>
  <c r="BY105" i="62"/>
  <c r="BY170" i="62"/>
  <c r="BY164" i="62"/>
  <c r="BY125" i="62"/>
  <c r="BY99" i="62"/>
  <c r="BY72" i="62"/>
  <c r="BY39" i="62"/>
  <c r="BY161" i="62"/>
  <c r="BY108" i="62" a="1"/>
  <c r="BY108" i="62" s="1"/>
  <c r="BY102" i="62"/>
  <c r="BY80" i="62"/>
  <c r="BY82" i="62"/>
  <c r="BY73" i="62"/>
  <c r="BY32" i="62"/>
  <c r="BY176" i="62"/>
  <c r="BY182" i="62"/>
  <c r="BY95" i="62"/>
  <c r="BY74" i="62"/>
  <c r="BY79" i="62"/>
  <c r="BY46" i="62"/>
  <c r="BY22" i="62"/>
  <c r="BY98" i="62"/>
  <c r="BY62" i="62"/>
  <c r="BY66" i="62"/>
  <c r="BY53" i="62"/>
  <c r="BY16" i="62"/>
  <c r="BY12" i="62"/>
  <c r="BY167" i="62"/>
  <c r="BY19" i="62"/>
  <c r="BY25" i="62"/>
  <c r="BY81" i="62"/>
  <c r="BY50" i="62"/>
  <c r="BY115" i="62"/>
  <c r="BY75" i="62"/>
  <c r="BY47" i="62"/>
  <c r="BY38" i="62"/>
  <c r="BY35" i="62"/>
  <c r="BY168" i="62"/>
  <c r="BY123" i="62"/>
  <c r="BY162" i="62"/>
  <c r="BY116" i="62"/>
  <c r="BY89" i="62"/>
  <c r="BY20" i="62"/>
  <c r="BY23" i="62"/>
  <c r="BY26" i="62"/>
  <c r="BY96" i="62"/>
  <c r="BY165" i="62"/>
  <c r="BY139" i="62"/>
  <c r="BY103" i="62"/>
  <c r="BZ8" i="62"/>
  <c r="BY33" i="62"/>
  <c r="BY83" i="62"/>
  <c r="BY48" i="62"/>
  <c r="BY51" i="62"/>
  <c r="BY40" i="62"/>
  <c r="BY126" i="62"/>
  <c r="BY137" i="62"/>
  <c r="BY186" i="62"/>
  <c r="BY100" i="62"/>
  <c r="BY171" i="62"/>
  <c r="BY68" i="62"/>
  <c r="BY17" i="62"/>
  <c r="BY138" i="62"/>
  <c r="BY54" i="62"/>
  <c r="BY189" i="62"/>
  <c r="BY177" i="62"/>
  <c r="BY14" i="62"/>
  <c r="BY109" i="62"/>
  <c r="BY174" i="62"/>
  <c r="BY67" i="62"/>
  <c r="BY106" i="62"/>
  <c r="BY136" i="62"/>
  <c r="BY13" i="62"/>
  <c r="BY36" i="62"/>
  <c r="BY180" i="62"/>
  <c r="BY76" i="62"/>
  <c r="BY183" i="62"/>
  <c r="BZ94" i="62" l="1" a="1"/>
  <c r="BZ94" i="62" s="1"/>
  <c r="BZ65" i="62"/>
  <c r="BZ64" i="62"/>
  <c r="BZ63" i="62"/>
  <c r="BZ182" i="62"/>
  <c r="BZ173" i="62"/>
  <c r="BZ115" i="62"/>
  <c r="BZ188" i="62"/>
  <c r="BZ185" i="62"/>
  <c r="BZ176" i="62"/>
  <c r="BZ170" i="62"/>
  <c r="BZ164" i="62"/>
  <c r="BZ79" i="62"/>
  <c r="BZ122" i="62"/>
  <c r="BZ102" i="62"/>
  <c r="BZ62" i="62"/>
  <c r="BZ95" i="62"/>
  <c r="BZ80" i="62"/>
  <c r="BZ35" i="62"/>
  <c r="BZ125" i="62"/>
  <c r="BZ99" i="62"/>
  <c r="BZ88" i="62"/>
  <c r="BZ72" i="62"/>
  <c r="BZ179" i="62"/>
  <c r="BZ105" i="62"/>
  <c r="BZ167" i="62"/>
  <c r="BZ98" i="62"/>
  <c r="BZ66" i="62"/>
  <c r="BZ25" i="62"/>
  <c r="BZ82" i="62"/>
  <c r="BZ73" i="62"/>
  <c r="BZ38" i="62"/>
  <c r="BZ46" i="62"/>
  <c r="BZ161" i="62"/>
  <c r="BZ108" i="62" a="1"/>
  <c r="BZ108" i="62" s="1"/>
  <c r="BZ81" i="62"/>
  <c r="BZ16" i="62"/>
  <c r="BZ22" i="62"/>
  <c r="BZ74" i="62"/>
  <c r="BZ32" i="62"/>
  <c r="BZ50" i="62"/>
  <c r="BZ53" i="62"/>
  <c r="BZ19" i="62"/>
  <c r="BZ12" i="62"/>
  <c r="BZ39" i="62"/>
  <c r="BZ75" i="62"/>
  <c r="BZ47" i="62"/>
  <c r="BZ103" i="62"/>
  <c r="BZ126" i="62"/>
  <c r="BZ96" i="62"/>
  <c r="BZ83" i="62"/>
  <c r="BZ174" i="62"/>
  <c r="BZ33" i="62"/>
  <c r="BZ177" i="62"/>
  <c r="BZ26" i="62"/>
  <c r="BZ137" i="62"/>
  <c r="BZ51" i="62"/>
  <c r="BZ106" i="62"/>
  <c r="BZ20" i="62"/>
  <c r="BZ168" i="62"/>
  <c r="BZ183" i="62"/>
  <c r="BZ171" i="62"/>
  <c r="BZ36" i="62"/>
  <c r="BZ67" i="62"/>
  <c r="BZ162" i="62"/>
  <c r="BZ180" i="62"/>
  <c r="CA8" i="62"/>
  <c r="BZ189" i="62"/>
  <c r="BZ23" i="62"/>
  <c r="BZ123" i="62"/>
  <c r="BZ139" i="62"/>
  <c r="BZ40" i="62"/>
  <c r="BZ48" i="62"/>
  <c r="BZ186" i="62"/>
  <c r="BZ14" i="62"/>
  <c r="BZ165" i="62"/>
  <c r="BZ138" i="62"/>
  <c r="BZ76" i="62"/>
  <c r="BZ54" i="62"/>
  <c r="BZ13" i="62"/>
  <c r="BZ100" i="62"/>
  <c r="BZ68" i="62"/>
  <c r="BZ116" i="62"/>
  <c r="BZ109" i="62"/>
  <c r="BZ136" i="62"/>
  <c r="BZ89" i="62"/>
  <c r="BZ17" i="62"/>
  <c r="CA94" i="62" l="1" a="1"/>
  <c r="CA94" i="62" s="1"/>
  <c r="CA65" i="62"/>
  <c r="CA64" i="62"/>
  <c r="CA63" i="62"/>
  <c r="CA188" i="62"/>
  <c r="CA170" i="62"/>
  <c r="CA108" i="62" a="1"/>
  <c r="CA108" i="62" s="1"/>
  <c r="CA182" i="62"/>
  <c r="CA105" i="62"/>
  <c r="CA173" i="62"/>
  <c r="CA80" i="62"/>
  <c r="CA176" i="62"/>
  <c r="CA164" i="62"/>
  <c r="CA185" i="62"/>
  <c r="CA99" i="62"/>
  <c r="CA66" i="62"/>
  <c r="CA102" i="62"/>
  <c r="CA179" i="62"/>
  <c r="CA115" i="62"/>
  <c r="CA74" i="62"/>
  <c r="CA95" i="62"/>
  <c r="CA125" i="62"/>
  <c r="CA122" i="62"/>
  <c r="CA22" i="62"/>
  <c r="CA98" i="62"/>
  <c r="CA167" i="62"/>
  <c r="CA75" i="62"/>
  <c r="CA62" i="62"/>
  <c r="CA50" i="62"/>
  <c r="CA82" i="62"/>
  <c r="CA53" i="62"/>
  <c r="CA16" i="62"/>
  <c r="CA46" i="62"/>
  <c r="CA72" i="62"/>
  <c r="CA47" i="62"/>
  <c r="CA161" i="62"/>
  <c r="CA25" i="62"/>
  <c r="CA19" i="62"/>
  <c r="CA88" i="62"/>
  <c r="CA12" i="62"/>
  <c r="CA79" i="62"/>
  <c r="CA73" i="62"/>
  <c r="CA32" i="62"/>
  <c r="CA81" i="62"/>
  <c r="CA38" i="62"/>
  <c r="CA39" i="62"/>
  <c r="CA35" i="62"/>
  <c r="CB8" i="62"/>
  <c r="CA67" i="62"/>
  <c r="CA139" i="62"/>
  <c r="CA14" i="62"/>
  <c r="CA23" i="62"/>
  <c r="CA48" i="62"/>
  <c r="CA171" i="62"/>
  <c r="CA116" i="62"/>
  <c r="CA109" i="62"/>
  <c r="CA83" i="62"/>
  <c r="CA103" i="62"/>
  <c r="CA100" i="62"/>
  <c r="CA17" i="62"/>
  <c r="CA137" i="62"/>
  <c r="CA96" i="62"/>
  <c r="CA174" i="62"/>
  <c r="CA136" i="62"/>
  <c r="CA126" i="62"/>
  <c r="CA183" i="62"/>
  <c r="CA180" i="62"/>
  <c r="CA89" i="62"/>
  <c r="CA168" i="62"/>
  <c r="CA177" i="62"/>
  <c r="CA13" i="62"/>
  <c r="CA123" i="62"/>
  <c r="CA165" i="62"/>
  <c r="CA138" i="62"/>
  <c r="CA68" i="62"/>
  <c r="CA162" i="62"/>
  <c r="CA20" i="62"/>
  <c r="CA36" i="62"/>
  <c r="CA51" i="62"/>
  <c r="CA26" i="62"/>
  <c r="CA106" i="62"/>
  <c r="CA33" i="62"/>
  <c r="CA54" i="62"/>
  <c r="CA40" i="62"/>
  <c r="CA186" i="62"/>
  <c r="CA189" i="62"/>
  <c r="CA76" i="62"/>
  <c r="CB94" i="62" l="1" a="1"/>
  <c r="CB94" i="62" s="1"/>
  <c r="CB63" i="62"/>
  <c r="CB65" i="62"/>
  <c r="CB64" i="62"/>
  <c r="CB185" i="62"/>
  <c r="CB188" i="62"/>
  <c r="CB182" i="62"/>
  <c r="CB167" i="62"/>
  <c r="CB102" i="62"/>
  <c r="CB125" i="62"/>
  <c r="CB108" i="62" a="1"/>
  <c r="CB108" i="62" s="1"/>
  <c r="CB81" i="62"/>
  <c r="CB170" i="62"/>
  <c r="CB161" i="62"/>
  <c r="CB122" i="62"/>
  <c r="CB99" i="62"/>
  <c r="CB173" i="62"/>
  <c r="CB82" i="62"/>
  <c r="CB53" i="62"/>
  <c r="CB115" i="62"/>
  <c r="CB80" i="62"/>
  <c r="CB74" i="62"/>
  <c r="CB88" i="62"/>
  <c r="CB75" i="62"/>
  <c r="CB19" i="62"/>
  <c r="CB164" i="62"/>
  <c r="CB105" i="62"/>
  <c r="CB66" i="62"/>
  <c r="CB176" i="62"/>
  <c r="CB98" i="62"/>
  <c r="CB179" i="62"/>
  <c r="CB95" i="62"/>
  <c r="CB79" i="62"/>
  <c r="CB73" i="62"/>
  <c r="CB35" i="62"/>
  <c r="CB72" i="62"/>
  <c r="CB50" i="62"/>
  <c r="CB25" i="62"/>
  <c r="CB16" i="62"/>
  <c r="CB38" i="62"/>
  <c r="CB39" i="62"/>
  <c r="CB32" i="62"/>
  <c r="CB12" i="62"/>
  <c r="CB62" i="62"/>
  <c r="CB46" i="62"/>
  <c r="CB47" i="62"/>
  <c r="CB22" i="62"/>
  <c r="CB17" i="62"/>
  <c r="CB48" i="62"/>
  <c r="CB171" i="62"/>
  <c r="CB96" i="62"/>
  <c r="CB139" i="62"/>
  <c r="CC8" i="62"/>
  <c r="CB33" i="62"/>
  <c r="CB54" i="62"/>
  <c r="CB89" i="62"/>
  <c r="CB68" i="62"/>
  <c r="CB23" i="62"/>
  <c r="CB103" i="62"/>
  <c r="CB109" i="62"/>
  <c r="CB137" i="62"/>
  <c r="CB174" i="62"/>
  <c r="CB126" i="62"/>
  <c r="CB14" i="62"/>
  <c r="CB116" i="62"/>
  <c r="CB106" i="62"/>
  <c r="CB100" i="62"/>
  <c r="CB168" i="62"/>
  <c r="CB177" i="62"/>
  <c r="CB13" i="62"/>
  <c r="CB183" i="62"/>
  <c r="CB180" i="62"/>
  <c r="CB26" i="62"/>
  <c r="CB162" i="62"/>
  <c r="CB83" i="62"/>
  <c r="CB36" i="62"/>
  <c r="CB136" i="62"/>
  <c r="CB138" i="62"/>
  <c r="CB51" i="62"/>
  <c r="CB165" i="62"/>
  <c r="CB40" i="62"/>
  <c r="CB189" i="62"/>
  <c r="CB76" i="62"/>
  <c r="CB123" i="62"/>
  <c r="CB20" i="62"/>
  <c r="CB67" i="62"/>
  <c r="CB186" i="62"/>
  <c r="CC94" i="62" l="1" a="1"/>
  <c r="CC94" i="62" s="1"/>
  <c r="L94" i="62" s="1" a="1"/>
  <c r="L94" i="62" s="1"/>
  <c r="X94" i="62" s="1"/>
  <c r="CC65" i="62"/>
  <c r="L65" i="62" s="1" a="1"/>
  <c r="L65" i="62" s="1"/>
  <c r="X65" i="62" s="1"/>
  <c r="CC63" i="62"/>
  <c r="L63" i="62" s="1" a="1"/>
  <c r="L63" i="62" s="1"/>
  <c r="X63" i="62" s="1"/>
  <c r="CC64" i="62"/>
  <c r="L64" i="62" s="1" a="1"/>
  <c r="L64" i="62" s="1"/>
  <c r="X64" i="62" s="1"/>
  <c r="CC182" i="62"/>
  <c r="L182" i="62" s="1" a="1"/>
  <c r="L182" i="62" s="1"/>
  <c r="CC185" i="62"/>
  <c r="L185" i="62" s="1" a="1"/>
  <c r="L185" i="62" s="1"/>
  <c r="CC164" i="62"/>
  <c r="L164" i="62" s="1" a="1"/>
  <c r="L164" i="62" s="1"/>
  <c r="CC176" i="62"/>
  <c r="L176" i="62" s="1" a="1"/>
  <c r="L176" i="62" s="1"/>
  <c r="CC161" i="62"/>
  <c r="L161" i="62" s="1" a="1"/>
  <c r="L161" i="62" s="1"/>
  <c r="CC125" i="62"/>
  <c r="L125" i="62" s="1" a="1"/>
  <c r="L125" i="62" s="1"/>
  <c r="X125" i="62" s="1"/>
  <c r="CC122" i="62"/>
  <c r="L122" i="62" s="1" a="1"/>
  <c r="L122" i="62" s="1"/>
  <c r="CC98" i="62"/>
  <c r="L98" i="62" s="1" a="1"/>
  <c r="L98" i="62" s="1"/>
  <c r="X98" i="62" s="1"/>
  <c r="CC167" i="62"/>
  <c r="L167" i="62" s="1" a="1"/>
  <c r="L167" i="62" s="1"/>
  <c r="CC99" i="62"/>
  <c r="L99" i="62" s="1" a="1"/>
  <c r="L99" i="62" s="1"/>
  <c r="CC82" i="62"/>
  <c r="L82" i="62" s="1" a="1"/>
  <c r="L82" i="62" s="1"/>
  <c r="X82" i="62" s="1"/>
  <c r="CC108" i="62" a="1"/>
  <c r="CC108" i="62" s="1"/>
  <c r="L108" i="62" s="1" a="1"/>
  <c r="L108" i="62" s="1"/>
  <c r="X108" i="62" s="1"/>
  <c r="CC72" i="62"/>
  <c r="L72" i="62" s="1" a="1"/>
  <c r="L72" i="62" s="1"/>
  <c r="X72" i="62" s="1"/>
  <c r="CC73" i="62"/>
  <c r="L73" i="62" s="1" a="1"/>
  <c r="L73" i="62" s="1"/>
  <c r="CC74" i="62"/>
  <c r="L74" i="62" s="1" a="1"/>
  <c r="L74" i="62" s="1"/>
  <c r="CC188" i="62"/>
  <c r="L188" i="62" s="1" a="1"/>
  <c r="L188" i="62" s="1"/>
  <c r="CC75" i="62"/>
  <c r="L75" i="62" s="1" a="1"/>
  <c r="L75" i="62" s="1"/>
  <c r="X75" i="62" s="1"/>
  <c r="CC62" i="62"/>
  <c r="L62" i="62" s="1" a="1"/>
  <c r="L62" i="62" s="1"/>
  <c r="CC66" i="62"/>
  <c r="L66" i="62" s="1" a="1"/>
  <c r="L66" i="62" s="1"/>
  <c r="CC50" i="62"/>
  <c r="L50" i="62" s="1" a="1"/>
  <c r="L50" i="62" s="1"/>
  <c r="CC170" i="62"/>
  <c r="L170" i="62" s="1" a="1"/>
  <c r="L170" i="62" s="1"/>
  <c r="CC115" i="62"/>
  <c r="L115" i="62" s="1" a="1"/>
  <c r="L115" i="62" s="1"/>
  <c r="CC173" i="62"/>
  <c r="L173" i="62" s="1" a="1"/>
  <c r="L173" i="62" s="1"/>
  <c r="CC46" i="62"/>
  <c r="L46" i="62" s="1" a="1"/>
  <c r="L46" i="62" s="1"/>
  <c r="CC47" i="62"/>
  <c r="L47" i="62" s="1" a="1"/>
  <c r="L47" i="62" s="1"/>
  <c r="CC38" i="62"/>
  <c r="L38" i="62" s="1" a="1"/>
  <c r="L38" i="62" s="1"/>
  <c r="CC39" i="62"/>
  <c r="L39" i="62" s="1" a="1"/>
  <c r="L39" i="62" s="1"/>
  <c r="CC35" i="62"/>
  <c r="L35" i="62" s="1" a="1"/>
  <c r="L35" i="62" s="1"/>
  <c r="CC16" i="62"/>
  <c r="L16" i="62" s="1" a="1"/>
  <c r="L16" i="62" s="1"/>
  <c r="CC88" i="62"/>
  <c r="L88" i="62" s="1" a="1"/>
  <c r="L88" i="62" s="1"/>
  <c r="X88" i="62" s="1"/>
  <c r="CC80" i="62"/>
  <c r="L80" i="62" s="1" a="1"/>
  <c r="L80" i="62" s="1"/>
  <c r="X80" i="62" s="1"/>
  <c r="CC105" i="62"/>
  <c r="L105" i="62" s="1" a="1"/>
  <c r="L105" i="62" s="1"/>
  <c r="X105" i="62" s="1"/>
  <c r="CC79" i="62"/>
  <c r="L79" i="62" s="1" a="1"/>
  <c r="L79" i="62" s="1"/>
  <c r="X79" i="62" s="1"/>
  <c r="CC81" i="62"/>
  <c r="L81" i="62" s="1" a="1"/>
  <c r="L81" i="62" s="1"/>
  <c r="X81" i="62" s="1"/>
  <c r="CC12" i="62"/>
  <c r="L12" i="62" s="1" a="1"/>
  <c r="L12" i="62" s="1"/>
  <c r="CC25" i="62"/>
  <c r="L25" i="62" s="1" a="1"/>
  <c r="L25" i="62" s="1"/>
  <c r="X25" i="62" s="1"/>
  <c r="CC102" i="62"/>
  <c r="L102" i="62" s="1" a="1"/>
  <c r="L102" i="62" s="1"/>
  <c r="CC179" i="62"/>
  <c r="L179" i="62" s="1" a="1"/>
  <c r="L179" i="62" s="1"/>
  <c r="CC95" i="62"/>
  <c r="L95" i="62" s="1" a="1"/>
  <c r="L95" i="62" s="1"/>
  <c r="CC53" i="62"/>
  <c r="L53" i="62" s="1" a="1"/>
  <c r="L53" i="62" s="1"/>
  <c r="CC19" i="62"/>
  <c r="L19" i="62" s="1" a="1"/>
  <c r="L19" i="62" s="1"/>
  <c r="CC32" i="62"/>
  <c r="L32" i="62" s="1" a="1"/>
  <c r="L32" i="62" s="1"/>
  <c r="CC22" i="62"/>
  <c r="L22" i="62" s="1" a="1"/>
  <c r="L22" i="62" s="1"/>
  <c r="X22" i="62" s="1"/>
  <c r="CC137" i="62"/>
  <c r="L137" i="62" s="1" a="1"/>
  <c r="L137" i="62" s="1"/>
  <c r="CC103" i="62"/>
  <c r="L103" i="62" s="1" a="1"/>
  <c r="L103" i="62" s="1"/>
  <c r="CC138" i="62"/>
  <c r="L138" i="62" s="1" a="1"/>
  <c r="L138" i="62" s="1"/>
  <c r="CC14" i="62"/>
  <c r="L14" i="62" s="1" a="1"/>
  <c r="L14" i="62" s="1"/>
  <c r="CC13" i="62"/>
  <c r="L13" i="62" s="1" a="1"/>
  <c r="L13" i="62" s="1"/>
  <c r="X13" i="62" s="1"/>
  <c r="CC48" i="62"/>
  <c r="L48" i="62" s="1" a="1"/>
  <c r="L48" i="62" s="1"/>
  <c r="CC177" i="62"/>
  <c r="L177" i="62" s="1" a="1"/>
  <c r="L177" i="62" s="1"/>
  <c r="K26" i="120" s="1"/>
  <c r="CC183" i="62"/>
  <c r="L183" i="62" s="1" a="1"/>
  <c r="L183" i="62" s="1"/>
  <c r="K32" i="120" s="1"/>
  <c r="CC33" i="62"/>
  <c r="L33" i="62" s="1" a="1"/>
  <c r="L33" i="62" s="1"/>
  <c r="CC68" i="62"/>
  <c r="L68" i="62" s="1" a="1"/>
  <c r="L68" i="62" s="1"/>
  <c r="CC171" i="62"/>
  <c r="L171" i="62" s="1" a="1"/>
  <c r="L171" i="62" s="1"/>
  <c r="K20" i="120" s="1"/>
  <c r="CC76" i="62"/>
  <c r="L76" i="62" s="1" a="1"/>
  <c r="L76" i="62" s="1"/>
  <c r="CC67" i="62"/>
  <c r="L67" i="62" s="1" a="1"/>
  <c r="L67" i="62" s="1"/>
  <c r="CC17" i="62"/>
  <c r="L17" i="62" s="1" a="1"/>
  <c r="L17" i="62" s="1"/>
  <c r="CC40" i="62"/>
  <c r="L40" i="62" s="1" a="1"/>
  <c r="L40" i="62" s="1"/>
  <c r="CC54" i="62"/>
  <c r="L54" i="62" s="1" a="1"/>
  <c r="L54" i="62" s="1"/>
  <c r="CC126" i="62"/>
  <c r="L126" i="62" s="1" a="1"/>
  <c r="L126" i="62" s="1"/>
  <c r="CC123" i="62"/>
  <c r="L123" i="62" s="1" a="1"/>
  <c r="L123" i="62" s="1"/>
  <c r="CC26" i="62"/>
  <c r="L26" i="62" s="1" a="1"/>
  <c r="L26" i="62" s="1"/>
  <c r="CD8" i="62"/>
  <c r="CC116" i="62"/>
  <c r="L116" i="62" s="1" a="1"/>
  <c r="L116" i="62" s="1"/>
  <c r="CC36" i="62"/>
  <c r="L36" i="62" s="1" a="1"/>
  <c r="L36" i="62" s="1"/>
  <c r="CC106" i="62"/>
  <c r="L106" i="62" s="1" a="1"/>
  <c r="L106" i="62" s="1"/>
  <c r="CC174" i="62"/>
  <c r="L174" i="62" s="1" a="1"/>
  <c r="L174" i="62" s="1"/>
  <c r="K23" i="120" s="1"/>
  <c r="CC139" i="62"/>
  <c r="L139" i="62" s="1" a="1"/>
  <c r="L139" i="62" s="1"/>
  <c r="CC186" i="62"/>
  <c r="L186" i="62" s="1" a="1"/>
  <c r="L186" i="62" s="1"/>
  <c r="CC189" i="62"/>
  <c r="L189" i="62" s="1" a="1"/>
  <c r="L189" i="62" s="1"/>
  <c r="K38" i="120" s="1"/>
  <c r="CC83" i="62"/>
  <c r="L83" i="62" s="1" a="1"/>
  <c r="L83" i="62" s="1"/>
  <c r="CC100" i="62"/>
  <c r="L100" i="62" s="1" a="1"/>
  <c r="L100" i="62" s="1"/>
  <c r="CC51" i="62"/>
  <c r="L51" i="62" s="1" a="1"/>
  <c r="L51" i="62" s="1"/>
  <c r="CC136" i="62"/>
  <c r="L136" i="62" s="1" a="1"/>
  <c r="L136" i="62" s="1"/>
  <c r="CC96" i="62"/>
  <c r="L96" i="62" s="1" a="1"/>
  <c r="L96" i="62" s="1"/>
  <c r="CC89" i="62"/>
  <c r="L89" i="62" s="1" a="1"/>
  <c r="L89" i="62" s="1"/>
  <c r="CC162" i="62"/>
  <c r="L162" i="62" s="1" a="1"/>
  <c r="L162" i="62" s="1"/>
  <c r="K11" i="120" s="1"/>
  <c r="CC168" i="62"/>
  <c r="L168" i="62" s="1" a="1"/>
  <c r="L168" i="62" s="1"/>
  <c r="K17" i="120" s="1"/>
  <c r="CC23" i="62"/>
  <c r="L23" i="62" s="1" a="1"/>
  <c r="L23" i="62" s="1"/>
  <c r="CC165" i="62"/>
  <c r="L165" i="62" s="1" a="1"/>
  <c r="L165" i="62" s="1"/>
  <c r="K14" i="120" s="1"/>
  <c r="CC20" i="62"/>
  <c r="L20" i="62" s="1" a="1"/>
  <c r="L20" i="62" s="1"/>
  <c r="CC180" i="62"/>
  <c r="L180" i="62" s="1" a="1"/>
  <c r="L180" i="62" s="1"/>
  <c r="K29" i="120" s="1"/>
  <c r="CC109" i="62"/>
  <c r="L109" i="62" s="1" a="1"/>
  <c r="L109" i="62" s="1"/>
  <c r="CD94" i="62" l="1" a="1"/>
  <c r="CD94" i="62" s="1"/>
  <c r="CD65" i="62"/>
  <c r="CD63" i="62"/>
  <c r="CD64" i="62"/>
  <c r="X115" i="62"/>
  <c r="X73" i="62"/>
  <c r="CD179" i="62"/>
  <c r="CD182" i="62"/>
  <c r="CD176" i="62"/>
  <c r="CD173" i="62"/>
  <c r="CD161" i="62"/>
  <c r="CD170" i="62"/>
  <c r="CD167" i="62"/>
  <c r="CD164" i="62"/>
  <c r="CD99" i="62"/>
  <c r="CD115" i="62"/>
  <c r="CD105" i="62"/>
  <c r="CD102" i="62"/>
  <c r="CD98" i="62"/>
  <c r="CD72" i="62"/>
  <c r="CD125" i="62"/>
  <c r="CD95" i="62"/>
  <c r="CD88" i="62"/>
  <c r="CD79" i="62"/>
  <c r="CD80" i="62"/>
  <c r="CD81" i="62"/>
  <c r="CD82" i="62"/>
  <c r="CD122" i="62"/>
  <c r="CD188" i="62"/>
  <c r="CD185" i="62"/>
  <c r="CD46" i="62"/>
  <c r="CD53" i="62"/>
  <c r="CD50" i="62"/>
  <c r="CD12" i="62"/>
  <c r="CD75" i="62"/>
  <c r="CD47" i="62"/>
  <c r="CD73" i="62"/>
  <c r="CD62" i="62"/>
  <c r="CD66" i="62"/>
  <c r="CD19" i="62"/>
  <c r="CD25" i="62"/>
  <c r="CD35" i="62"/>
  <c r="CD22" i="62"/>
  <c r="CD16" i="62"/>
  <c r="CD74" i="62"/>
  <c r="CD38" i="62"/>
  <c r="CD108" i="62" a="1"/>
  <c r="CD108" i="62" s="1"/>
  <c r="CD32" i="62"/>
  <c r="CD39" i="62"/>
  <c r="X47" i="62"/>
  <c r="X66" i="62"/>
  <c r="X50" i="62"/>
  <c r="X39" i="62"/>
  <c r="X19" i="62"/>
  <c r="X12" i="62"/>
  <c r="X99" i="62"/>
  <c r="X53" i="62"/>
  <c r="X62" i="62"/>
  <c r="X102" i="62"/>
  <c r="X46" i="62"/>
  <c r="X74" i="62"/>
  <c r="X95" i="62"/>
  <c r="CD89" i="62"/>
  <c r="CD171" i="62"/>
  <c r="CD137" i="62"/>
  <c r="CD109" i="62"/>
  <c r="CD136" i="62"/>
  <c r="CD40" i="62"/>
  <c r="CD14" i="62"/>
  <c r="CD106" i="62"/>
  <c r="CD83" i="62"/>
  <c r="CD20" i="62"/>
  <c r="CD103" i="62"/>
  <c r="CD100" i="62"/>
  <c r="CD51" i="62"/>
  <c r="CD33" i="62"/>
  <c r="CD54" i="62"/>
  <c r="CD13" i="62"/>
  <c r="CD168" i="62"/>
  <c r="CD189" i="62"/>
  <c r="CD26" i="62"/>
  <c r="CD183" i="62"/>
  <c r="CD36" i="62"/>
  <c r="CD165" i="62"/>
  <c r="CD67" i="62"/>
  <c r="CD96" i="62"/>
  <c r="CD180" i="62"/>
  <c r="CD68" i="62"/>
  <c r="CD116" i="62"/>
  <c r="CD126" i="62"/>
  <c r="CD76" i="62"/>
  <c r="CE8" i="62"/>
  <c r="CD177" i="62"/>
  <c r="CD139" i="62"/>
  <c r="CD23" i="62"/>
  <c r="CD48" i="62"/>
  <c r="CD123" i="62"/>
  <c r="CD138" i="62"/>
  <c r="CD174" i="62"/>
  <c r="CD162" i="62"/>
  <c r="CD186" i="62"/>
  <c r="CD17" i="62"/>
  <c r="X176" i="62"/>
  <c r="W25" i="120" s="1"/>
  <c r="K25" i="120"/>
  <c r="K28" i="120"/>
  <c r="X179" i="62"/>
  <c r="W28" i="120" s="1"/>
  <c r="K34" i="120"/>
  <c r="X185" i="62"/>
  <c r="W34" i="120" s="1"/>
  <c r="K13" i="120"/>
  <c r="X164" i="62"/>
  <c r="W13" i="120" s="1"/>
  <c r="X38" i="62"/>
  <c r="X167" i="62"/>
  <c r="W16" i="120" s="1"/>
  <c r="K16" i="120"/>
  <c r="K31" i="120"/>
  <c r="X182" i="62"/>
  <c r="W31" i="120" s="1"/>
  <c r="X122" i="62"/>
  <c r="X173" i="62"/>
  <c r="W22" i="120" s="1"/>
  <c r="K22" i="120"/>
  <c r="X32" i="62"/>
  <c r="K19" i="120"/>
  <c r="X170" i="62"/>
  <c r="W19" i="120" s="1"/>
  <c r="X16" i="62"/>
  <c r="K35" i="120"/>
  <c r="L192" i="62"/>
  <c r="X161" i="62"/>
  <c r="W10" i="120" s="1"/>
  <c r="K10" i="120"/>
  <c r="X188" i="62"/>
  <c r="W37" i="120" s="1"/>
  <c r="K37" i="120"/>
  <c r="X35" i="62"/>
  <c r="CE94" i="62" l="1" a="1"/>
  <c r="CE94" i="62" s="1"/>
  <c r="CE64" i="62"/>
  <c r="CE63" i="62"/>
  <c r="CE65" i="62"/>
  <c r="CE176" i="62"/>
  <c r="CE179" i="62"/>
  <c r="CE125" i="62"/>
  <c r="CE182" i="62"/>
  <c r="CE170" i="62"/>
  <c r="CE167" i="62"/>
  <c r="CE73" i="62"/>
  <c r="CE115" i="62"/>
  <c r="CE105" i="62"/>
  <c r="CE102" i="62"/>
  <c r="CE188" i="62"/>
  <c r="CE185" i="62"/>
  <c r="CE161" i="62"/>
  <c r="CE95" i="62"/>
  <c r="CE108" i="62" a="1"/>
  <c r="CE108" i="62" s="1"/>
  <c r="CE79" i="62"/>
  <c r="CE47" i="62"/>
  <c r="CE82" i="62"/>
  <c r="CE74" i="62"/>
  <c r="CE62" i="62"/>
  <c r="CE99" i="62"/>
  <c r="CE164" i="62"/>
  <c r="CE88" i="62"/>
  <c r="CE173" i="62"/>
  <c r="CE122" i="62"/>
  <c r="CE81" i="62"/>
  <c r="CE32" i="62"/>
  <c r="CE25" i="62"/>
  <c r="CE22" i="62"/>
  <c r="CE19" i="62"/>
  <c r="CE16" i="62"/>
  <c r="CE75" i="62"/>
  <c r="CE50" i="62"/>
  <c r="CE98" i="62"/>
  <c r="CE53" i="62"/>
  <c r="CE12" i="62"/>
  <c r="CE80" i="62"/>
  <c r="CE38" i="62"/>
  <c r="CE39" i="62"/>
  <c r="CE46" i="62"/>
  <c r="CE35" i="62"/>
  <c r="CE66" i="62"/>
  <c r="CE72" i="62"/>
  <c r="CE177" i="62"/>
  <c r="CE103" i="62"/>
  <c r="CE174" i="62"/>
  <c r="CE67" i="62"/>
  <c r="CE23" i="62"/>
  <c r="CE83" i="62"/>
  <c r="CE96" i="62"/>
  <c r="CE48" i="62"/>
  <c r="CE68" i="62"/>
  <c r="CE183" i="62"/>
  <c r="CE51" i="62"/>
  <c r="CE186" i="62"/>
  <c r="CE26" i="62"/>
  <c r="CE54" i="62"/>
  <c r="CE165" i="62"/>
  <c r="CE171" i="62"/>
  <c r="CE180" i="62"/>
  <c r="CE20" i="62"/>
  <c r="CE162" i="62"/>
  <c r="CE36" i="62"/>
  <c r="CE116" i="62"/>
  <c r="CE14" i="62"/>
  <c r="CE138" i="62"/>
  <c r="CF8" i="62"/>
  <c r="CE40" i="62"/>
  <c r="CE126" i="62"/>
  <c r="CE100" i="62"/>
  <c r="CE168" i="62"/>
  <c r="CE106" i="62"/>
  <c r="CE109" i="62"/>
  <c r="CE136" i="62"/>
  <c r="CE76" i="62"/>
  <c r="CE33" i="62"/>
  <c r="CE123" i="62"/>
  <c r="CE137" i="62"/>
  <c r="CE139" i="62"/>
  <c r="CE13" i="62"/>
  <c r="CE189" i="62"/>
  <c r="CE17" i="62"/>
  <c r="CE89" i="62"/>
  <c r="CF94" i="62" l="1" a="1"/>
  <c r="CF94" i="62" s="1"/>
  <c r="CF63" i="62"/>
  <c r="CF64" i="62"/>
  <c r="CF65" i="62"/>
  <c r="CF173" i="62"/>
  <c r="CF188" i="62"/>
  <c r="CF185" i="62"/>
  <c r="CF122" i="62"/>
  <c r="CF176" i="62"/>
  <c r="CF95" i="62"/>
  <c r="CF74" i="62"/>
  <c r="CF167" i="62"/>
  <c r="CF182" i="62"/>
  <c r="CF179" i="62"/>
  <c r="CF98" i="62"/>
  <c r="CF75" i="62"/>
  <c r="CF161" i="62"/>
  <c r="CF73" i="62"/>
  <c r="CF38" i="62"/>
  <c r="CF108" i="62" a="1"/>
  <c r="CF108" i="62" s="1"/>
  <c r="CF79" i="62"/>
  <c r="CF170" i="62"/>
  <c r="CF164" i="62"/>
  <c r="CF105" i="62"/>
  <c r="CF102" i="62"/>
  <c r="CF81" i="62"/>
  <c r="CF72" i="62"/>
  <c r="CF62" i="62"/>
  <c r="CF99" i="62"/>
  <c r="CF125" i="62"/>
  <c r="CF115" i="62"/>
  <c r="CF53" i="62"/>
  <c r="CF39" i="62"/>
  <c r="CF82" i="62"/>
  <c r="CF88" i="62"/>
  <c r="CF32" i="62"/>
  <c r="CF12" i="62"/>
  <c r="CF50" i="62"/>
  <c r="CF19" i="62"/>
  <c r="CF46" i="62"/>
  <c r="CF66" i="62"/>
  <c r="CF47" i="62"/>
  <c r="CF35" i="62"/>
  <c r="CF16" i="62"/>
  <c r="CF80" i="62"/>
  <c r="CF25" i="62"/>
  <c r="CF22" i="62"/>
  <c r="CF180" i="62"/>
  <c r="CF13" i="62"/>
  <c r="CF26" i="62"/>
  <c r="CF165" i="62"/>
  <c r="CF162" i="62"/>
  <c r="CF23" i="62"/>
  <c r="CF126" i="62"/>
  <c r="CG8" i="62"/>
  <c r="CF40" i="62"/>
  <c r="CF103" i="62"/>
  <c r="CF138" i="62"/>
  <c r="CF174" i="62"/>
  <c r="CF186" i="62"/>
  <c r="CF54" i="62"/>
  <c r="CF33" i="62"/>
  <c r="CF51" i="62"/>
  <c r="CF17" i="62"/>
  <c r="CF89" i="62"/>
  <c r="CF183" i="62"/>
  <c r="CF96" i="62"/>
  <c r="CF20" i="62"/>
  <c r="CF137" i="62"/>
  <c r="CF14" i="62"/>
  <c r="CF171" i="62"/>
  <c r="CF106" i="62"/>
  <c r="CF67" i="62"/>
  <c r="CF76" i="62"/>
  <c r="CF116" i="62"/>
  <c r="CF139" i="62"/>
  <c r="CF36" i="62"/>
  <c r="CF123" i="62"/>
  <c r="CF136" i="62"/>
  <c r="CF83" i="62"/>
  <c r="CF168" i="62"/>
  <c r="CF48" i="62"/>
  <c r="CF100" i="62"/>
  <c r="CF189" i="62"/>
  <c r="CF177" i="62"/>
  <c r="CF68" i="62"/>
  <c r="CF109" i="62"/>
  <c r="CG94" i="62" l="1" a="1"/>
  <c r="CG94" i="62" s="1"/>
  <c r="CG64" i="62"/>
  <c r="CG63" i="62"/>
  <c r="CG65" i="62"/>
  <c r="CG185" i="62"/>
  <c r="CG179" i="62"/>
  <c r="CG173" i="62"/>
  <c r="CG161" i="62"/>
  <c r="CG88" i="62"/>
  <c r="CG176" i="62"/>
  <c r="CG108" i="62" a="1"/>
  <c r="CG108" i="62" s="1"/>
  <c r="CG115" i="62"/>
  <c r="CG98" i="62"/>
  <c r="CG170" i="62"/>
  <c r="CG102" i="62"/>
  <c r="CG81" i="62"/>
  <c r="CG39" i="62"/>
  <c r="CG73" i="62"/>
  <c r="CG188" i="62"/>
  <c r="CG167" i="62"/>
  <c r="CG122" i="62"/>
  <c r="CG32" i="62"/>
  <c r="CG72" i="62"/>
  <c r="CG74" i="62"/>
  <c r="CG79" i="62"/>
  <c r="CG66" i="62"/>
  <c r="CG164" i="62"/>
  <c r="CG75" i="62"/>
  <c r="CG105" i="62"/>
  <c r="CG99" i="62"/>
  <c r="CG80" i="62"/>
  <c r="CG47" i="62"/>
  <c r="CG38" i="62"/>
  <c r="CG35" i="62"/>
  <c r="CG50" i="62"/>
  <c r="CG82" i="62"/>
  <c r="CG53" i="62"/>
  <c r="CG19" i="62"/>
  <c r="CG125" i="62"/>
  <c r="CG22" i="62"/>
  <c r="CG182" i="62"/>
  <c r="CG62" i="62"/>
  <c r="CG25" i="62"/>
  <c r="CG46" i="62"/>
  <c r="CG95" i="62"/>
  <c r="CG16" i="62"/>
  <c r="CG12" i="62"/>
  <c r="CG33" i="62"/>
  <c r="CG76" i="62"/>
  <c r="CG162" i="62"/>
  <c r="CG20" i="62"/>
  <c r="CG183" i="62"/>
  <c r="CG136" i="62"/>
  <c r="CG54" i="62"/>
  <c r="CG83" i="62"/>
  <c r="CG180" i="62"/>
  <c r="CG126" i="62"/>
  <c r="CG36" i="62"/>
  <c r="CG68" i="62"/>
  <c r="CG168" i="62"/>
  <c r="CG17" i="62"/>
  <c r="CG109" i="62"/>
  <c r="CG26" i="62"/>
  <c r="CG137" i="62"/>
  <c r="CG103" i="62"/>
  <c r="CG106" i="62"/>
  <c r="CG67" i="62"/>
  <c r="CG40" i="62"/>
  <c r="CH8" i="62"/>
  <c r="CG139" i="62"/>
  <c r="CG177" i="62"/>
  <c r="CG48" i="62"/>
  <c r="CG123" i="62"/>
  <c r="CG51" i="62"/>
  <c r="CG89" i="62"/>
  <c r="CG186" i="62"/>
  <c r="CG14" i="62"/>
  <c r="CG171" i="62"/>
  <c r="CG23" i="62"/>
  <c r="CG138" i="62"/>
  <c r="CG174" i="62"/>
  <c r="CG165" i="62"/>
  <c r="CG116" i="62"/>
  <c r="CG13" i="62"/>
  <c r="CG100" i="62"/>
  <c r="CG96" i="62"/>
  <c r="CG189" i="62"/>
  <c r="CH94" i="62" l="1" a="1"/>
  <c r="CH94" i="62" s="1"/>
  <c r="CH65" i="62"/>
  <c r="CH64" i="62"/>
  <c r="CH63" i="62"/>
  <c r="CH182" i="62"/>
  <c r="CH108" i="62" a="1"/>
  <c r="CH108" i="62" s="1"/>
  <c r="CH185" i="62"/>
  <c r="CH179" i="62"/>
  <c r="CH115" i="62"/>
  <c r="CH79" i="62"/>
  <c r="CH173" i="62"/>
  <c r="CH161" i="62"/>
  <c r="CH167" i="62"/>
  <c r="CH62" i="62"/>
  <c r="CH176" i="62"/>
  <c r="CH122" i="62"/>
  <c r="CH98" i="62"/>
  <c r="CH35" i="62"/>
  <c r="CH102" i="62"/>
  <c r="CH81" i="62"/>
  <c r="CH125" i="62"/>
  <c r="CH95" i="62"/>
  <c r="CH25" i="62"/>
  <c r="CH170" i="62"/>
  <c r="CH46" i="62"/>
  <c r="CH188" i="62"/>
  <c r="CH164" i="62"/>
  <c r="CH73" i="62"/>
  <c r="CH53" i="62"/>
  <c r="CH74" i="62"/>
  <c r="CH50" i="62"/>
  <c r="CH66" i="62"/>
  <c r="CH39" i="62"/>
  <c r="CH22" i="62"/>
  <c r="CH47" i="62"/>
  <c r="CH38" i="62"/>
  <c r="CH32" i="62"/>
  <c r="CH82" i="62"/>
  <c r="CH75" i="62"/>
  <c r="CH99" i="62"/>
  <c r="CH80" i="62"/>
  <c r="CH12" i="62"/>
  <c r="CH105" i="62"/>
  <c r="CH19" i="62"/>
  <c r="CH88" i="62"/>
  <c r="CH16" i="62"/>
  <c r="CH72" i="62"/>
  <c r="CH13" i="62"/>
  <c r="CH54" i="62"/>
  <c r="CH100" i="62"/>
  <c r="CH174" i="62"/>
  <c r="CH139" i="62"/>
  <c r="CH83" i="62"/>
  <c r="CH162" i="62"/>
  <c r="CH137" i="62"/>
  <c r="CH67" i="62"/>
  <c r="CH26" i="62"/>
  <c r="CH96" i="62"/>
  <c r="CH180" i="62"/>
  <c r="CH177" i="62"/>
  <c r="CH183" i="62"/>
  <c r="CH89" i="62"/>
  <c r="CH123" i="62"/>
  <c r="CH17" i="62"/>
  <c r="CI8" i="62"/>
  <c r="CH186" i="62"/>
  <c r="CH116" i="62"/>
  <c r="CH109" i="62"/>
  <c r="CH51" i="62"/>
  <c r="CH20" i="62"/>
  <c r="CH136" i="62"/>
  <c r="CH14" i="62"/>
  <c r="CH76" i="62"/>
  <c r="CH189" i="62"/>
  <c r="CH171" i="62"/>
  <c r="CH168" i="62"/>
  <c r="CH48" i="62"/>
  <c r="CH33" i="62"/>
  <c r="CH103" i="62"/>
  <c r="CH36" i="62"/>
  <c r="CH68" i="62"/>
  <c r="CH23" i="62"/>
  <c r="CH138" i="62"/>
  <c r="CH40" i="62"/>
  <c r="CH126" i="62"/>
  <c r="CH106" i="62"/>
  <c r="CH165" i="62"/>
  <c r="CI94" i="62" l="1" a="1"/>
  <c r="CI94" i="62" s="1"/>
  <c r="CI65" i="62"/>
  <c r="CI64" i="62"/>
  <c r="CI63" i="62"/>
  <c r="CI188" i="62"/>
  <c r="CI170" i="62"/>
  <c r="CI105" i="62"/>
  <c r="CI179" i="62"/>
  <c r="CI185" i="62"/>
  <c r="CI122" i="62"/>
  <c r="CI80" i="62"/>
  <c r="CI182" i="62"/>
  <c r="CI164" i="62"/>
  <c r="CI125" i="62"/>
  <c r="CI66" i="62"/>
  <c r="CI167" i="62"/>
  <c r="CI115" i="62"/>
  <c r="CI176" i="62"/>
  <c r="CI173" i="62"/>
  <c r="CI88" i="62"/>
  <c r="CI72" i="62"/>
  <c r="CI161" i="62"/>
  <c r="CI98" i="62"/>
  <c r="CI108" i="62" a="1"/>
  <c r="CI108" i="62" s="1"/>
  <c r="CI102" i="62"/>
  <c r="CI79" i="62"/>
  <c r="CI22" i="62"/>
  <c r="CI95" i="62"/>
  <c r="CI81" i="62"/>
  <c r="CI99" i="62"/>
  <c r="CI82" i="62"/>
  <c r="CI47" i="62"/>
  <c r="CI32" i="62"/>
  <c r="CI39" i="62"/>
  <c r="CI35" i="62"/>
  <c r="CI53" i="62"/>
  <c r="CI38" i="62"/>
  <c r="CI73" i="62"/>
  <c r="CI62" i="62"/>
  <c r="CI25" i="62"/>
  <c r="CI74" i="62"/>
  <c r="CI19" i="62"/>
  <c r="CI46" i="62"/>
  <c r="CI75" i="62"/>
  <c r="CI50" i="62"/>
  <c r="CI16" i="62"/>
  <c r="CI12" i="62"/>
  <c r="CI100" i="62"/>
  <c r="CI189" i="62"/>
  <c r="CI17" i="62"/>
  <c r="CI183" i="62"/>
  <c r="CI54" i="62"/>
  <c r="CJ8" i="62"/>
  <c r="CI14" i="62"/>
  <c r="CI89" i="62"/>
  <c r="CI48" i="62"/>
  <c r="CI106" i="62"/>
  <c r="CI171" i="62"/>
  <c r="CI36" i="62"/>
  <c r="CI165" i="62"/>
  <c r="CI109" i="62"/>
  <c r="CI76" i="62"/>
  <c r="CI33" i="62"/>
  <c r="CI23" i="62"/>
  <c r="CI126" i="62"/>
  <c r="CI96" i="62"/>
  <c r="CI116" i="62"/>
  <c r="CI186" i="62"/>
  <c r="CI20" i="62"/>
  <c r="CI137" i="62"/>
  <c r="CI180" i="62"/>
  <c r="CI40" i="62"/>
  <c r="CI123" i="62"/>
  <c r="CI177" i="62"/>
  <c r="CI26" i="62"/>
  <c r="CI138" i="62"/>
  <c r="CI168" i="62"/>
  <c r="CI83" i="62"/>
  <c r="CI51" i="62"/>
  <c r="CI139" i="62"/>
  <c r="CI68" i="62"/>
  <c r="CI162" i="62"/>
  <c r="CI103" i="62"/>
  <c r="CI67" i="62"/>
  <c r="CI136" i="62"/>
  <c r="CI13" i="62"/>
  <c r="CI174" i="62"/>
  <c r="CJ94" i="62" l="1" a="1"/>
  <c r="CJ94" i="62" s="1"/>
  <c r="CJ65" i="62"/>
  <c r="CJ64" i="62"/>
  <c r="CJ63" i="62"/>
  <c r="CJ185" i="62"/>
  <c r="CJ188" i="62"/>
  <c r="CJ167" i="62"/>
  <c r="CJ173" i="62"/>
  <c r="CJ102" i="62"/>
  <c r="CJ182" i="62"/>
  <c r="CJ164" i="62"/>
  <c r="CJ108" i="62" a="1"/>
  <c r="CJ108" i="62" s="1"/>
  <c r="CJ81" i="62"/>
  <c r="CJ179" i="62"/>
  <c r="CJ122" i="62"/>
  <c r="CJ105" i="62"/>
  <c r="CJ125" i="62"/>
  <c r="CJ53" i="62"/>
  <c r="CJ88" i="62"/>
  <c r="CJ72" i="62"/>
  <c r="CJ161" i="62"/>
  <c r="CJ98" i="62"/>
  <c r="CJ176" i="62"/>
  <c r="CJ19" i="62"/>
  <c r="CJ79" i="62"/>
  <c r="CJ95" i="62"/>
  <c r="CJ38" i="62"/>
  <c r="CJ66" i="62"/>
  <c r="CJ46" i="62"/>
  <c r="CJ75" i="62"/>
  <c r="CJ62" i="62"/>
  <c r="CJ170" i="62"/>
  <c r="CJ99" i="62"/>
  <c r="CJ80" i="62"/>
  <c r="CJ74" i="62"/>
  <c r="CJ16" i="62"/>
  <c r="CJ22" i="62"/>
  <c r="CJ35" i="62"/>
  <c r="CJ39" i="62"/>
  <c r="CJ12" i="62"/>
  <c r="CJ73" i="62"/>
  <c r="CJ25" i="62"/>
  <c r="CJ82" i="62"/>
  <c r="CJ47" i="62"/>
  <c r="CJ32" i="62"/>
  <c r="CJ115" i="62"/>
  <c r="CJ50" i="62"/>
  <c r="CJ68" i="62"/>
  <c r="CJ162" i="62"/>
  <c r="CJ51" i="62"/>
  <c r="CJ54" i="62"/>
  <c r="CJ116" i="62"/>
  <c r="CJ139" i="62"/>
  <c r="CJ20" i="62"/>
  <c r="CJ103" i="62"/>
  <c r="CJ13" i="62"/>
  <c r="CJ138" i="62"/>
  <c r="CJ186" i="62"/>
  <c r="CJ76" i="62"/>
  <c r="CJ106" i="62"/>
  <c r="CJ137" i="62"/>
  <c r="CJ123" i="62"/>
  <c r="CJ17" i="62"/>
  <c r="CJ40" i="62"/>
  <c r="CJ14" i="62"/>
  <c r="CJ109" i="62"/>
  <c r="CJ89" i="62"/>
  <c r="CJ136" i="62"/>
  <c r="CJ180" i="62"/>
  <c r="CJ100" i="62"/>
  <c r="CJ171" i="62"/>
  <c r="CJ36" i="62"/>
  <c r="CJ189" i="62"/>
  <c r="CK8" i="62"/>
  <c r="CJ126" i="62"/>
  <c r="CJ67" i="62"/>
  <c r="CJ23" i="62"/>
  <c r="CJ165" i="62"/>
  <c r="CJ168" i="62"/>
  <c r="CJ177" i="62"/>
  <c r="CJ33" i="62"/>
  <c r="CJ26" i="62"/>
  <c r="CJ96" i="62"/>
  <c r="CJ48" i="62"/>
  <c r="CJ83" i="62"/>
  <c r="CJ183" i="62"/>
  <c r="CJ174" i="62"/>
  <c r="CK94" i="62" l="1" a="1"/>
  <c r="CK94" i="62" s="1"/>
  <c r="CK64" i="62"/>
  <c r="CK65" i="62"/>
  <c r="CK63" i="62"/>
  <c r="CK182" i="62"/>
  <c r="CK185" i="62"/>
  <c r="CK188" i="62"/>
  <c r="CK164" i="62"/>
  <c r="CK98" i="62"/>
  <c r="CK173" i="62"/>
  <c r="CK82" i="62"/>
  <c r="CK108" i="62" a="1"/>
  <c r="CK108" i="62" s="1"/>
  <c r="CK179" i="62"/>
  <c r="CK170" i="62"/>
  <c r="CK99" i="62"/>
  <c r="CK105" i="62"/>
  <c r="CK167" i="62"/>
  <c r="CK95" i="62"/>
  <c r="CK80" i="62"/>
  <c r="CK74" i="62"/>
  <c r="CK50" i="62"/>
  <c r="CK122" i="62"/>
  <c r="CK115" i="62"/>
  <c r="CK73" i="62"/>
  <c r="CK66" i="62"/>
  <c r="CK16" i="62"/>
  <c r="CK102" i="62"/>
  <c r="CK79" i="62"/>
  <c r="CK161" i="62"/>
  <c r="CK88" i="62"/>
  <c r="CK72" i="62"/>
  <c r="CK176" i="62"/>
  <c r="CK81" i="62"/>
  <c r="CK46" i="62"/>
  <c r="CK22" i="62"/>
  <c r="CK75" i="62"/>
  <c r="CK12" i="62"/>
  <c r="CK125" i="62"/>
  <c r="CK62" i="62"/>
  <c r="CK25" i="62"/>
  <c r="CK19" i="62"/>
  <c r="CK32" i="62"/>
  <c r="CK53" i="62"/>
  <c r="CK38" i="62"/>
  <c r="CK39" i="62"/>
  <c r="CK35" i="62"/>
  <c r="CK47" i="62"/>
  <c r="CK20" i="62"/>
  <c r="CK40" i="62"/>
  <c r="CK168" i="62"/>
  <c r="CK48" i="62"/>
  <c r="CK33" i="62"/>
  <c r="CK189" i="62"/>
  <c r="CK109" i="62"/>
  <c r="CK26" i="62"/>
  <c r="CL8" i="62"/>
  <c r="CK186" i="62"/>
  <c r="CK89" i="62"/>
  <c r="CK123" i="62"/>
  <c r="CK174" i="62"/>
  <c r="CK165" i="62"/>
  <c r="CK180" i="62"/>
  <c r="CK76" i="62"/>
  <c r="CK137" i="62"/>
  <c r="CK13" i="62"/>
  <c r="CK126" i="62"/>
  <c r="CK136" i="62"/>
  <c r="CK83" i="62"/>
  <c r="CK138" i="62"/>
  <c r="CK100" i="62"/>
  <c r="CK171" i="62"/>
  <c r="CK67" i="62"/>
  <c r="CK139" i="62"/>
  <c r="CK106" i="62"/>
  <c r="CK103" i="62"/>
  <c r="CK23" i="62"/>
  <c r="CK54" i="62"/>
  <c r="CK36" i="62"/>
  <c r="CK162" i="62"/>
  <c r="CK68" i="62"/>
  <c r="CK51" i="62"/>
  <c r="CK17" i="62"/>
  <c r="CK116" i="62"/>
  <c r="CK177" i="62"/>
  <c r="CK14" i="62"/>
  <c r="CK183" i="62"/>
  <c r="CK96" i="62"/>
  <c r="CL94" i="62" l="1" a="1"/>
  <c r="CL94" i="62" s="1"/>
  <c r="CL63" i="62"/>
  <c r="CL64" i="62"/>
  <c r="CL65" i="62"/>
  <c r="CL179" i="62"/>
  <c r="CL182" i="62"/>
  <c r="CL161" i="62"/>
  <c r="CL188" i="62"/>
  <c r="CL125" i="62"/>
  <c r="CL122" i="62"/>
  <c r="CL99" i="62"/>
  <c r="CL176" i="62"/>
  <c r="CL170" i="62"/>
  <c r="CL72" i="62"/>
  <c r="CL185" i="62"/>
  <c r="CL164" i="62"/>
  <c r="CL102" i="62"/>
  <c r="CL73" i="62"/>
  <c r="CL74" i="62"/>
  <c r="CL167" i="62"/>
  <c r="CL105" i="62"/>
  <c r="CL75" i="62"/>
  <c r="CL62" i="62"/>
  <c r="CL66" i="62"/>
  <c r="CL46" i="62"/>
  <c r="CL95" i="62"/>
  <c r="CL80" i="62"/>
  <c r="CL173" i="62"/>
  <c r="CL82" i="62"/>
  <c r="CL47" i="62"/>
  <c r="CL38" i="62"/>
  <c r="CL39" i="62"/>
  <c r="CL35" i="62"/>
  <c r="CL12" i="62"/>
  <c r="CL108" i="62" a="1"/>
  <c r="CL108" i="62" s="1"/>
  <c r="CL115" i="62"/>
  <c r="CL50" i="62"/>
  <c r="CL79" i="62"/>
  <c r="CL81" i="62"/>
  <c r="CL53" i="62"/>
  <c r="CL88" i="62"/>
  <c r="CL25" i="62"/>
  <c r="CL16" i="62"/>
  <c r="CL32" i="62"/>
  <c r="CL22" i="62"/>
  <c r="CL98" i="62"/>
  <c r="CL19" i="62"/>
  <c r="CL13" i="62"/>
  <c r="CM8" i="62"/>
  <c r="CL109" i="62"/>
  <c r="CL51" i="62"/>
  <c r="CL123" i="62"/>
  <c r="CL89" i="62"/>
  <c r="CL165" i="62"/>
  <c r="CL68" i="62"/>
  <c r="CL174" i="62"/>
  <c r="CL36" i="62"/>
  <c r="CL26" i="62"/>
  <c r="CL183" i="62"/>
  <c r="CL20" i="62"/>
  <c r="CL67" i="62"/>
  <c r="CL54" i="62"/>
  <c r="CL40" i="62"/>
  <c r="CL180" i="62"/>
  <c r="CL23" i="62"/>
  <c r="CL83" i="62"/>
  <c r="CL103" i="62"/>
  <c r="CL137" i="62"/>
  <c r="CL186" i="62"/>
  <c r="CL116" i="62"/>
  <c r="CL136" i="62"/>
  <c r="CL168" i="62"/>
  <c r="CL106" i="62"/>
  <c r="CL48" i="62"/>
  <c r="CL33" i="62"/>
  <c r="CL162" i="62"/>
  <c r="CL126" i="62"/>
  <c r="CL14" i="62"/>
  <c r="CL177" i="62"/>
  <c r="CL138" i="62"/>
  <c r="CL17" i="62"/>
  <c r="CL96" i="62"/>
  <c r="CL189" i="62"/>
  <c r="CL139" i="62"/>
  <c r="CL100" i="62"/>
  <c r="CL171" i="62"/>
  <c r="CL76" i="62"/>
  <c r="CM94" i="62" l="1" a="1"/>
  <c r="CM94" i="62" s="1"/>
  <c r="CM63" i="62"/>
  <c r="CM64" i="62"/>
  <c r="CM65" i="62"/>
  <c r="CM176" i="62"/>
  <c r="CM173" i="62"/>
  <c r="CM125" i="62"/>
  <c r="CM170" i="62"/>
  <c r="CM167" i="62"/>
  <c r="CM164" i="62"/>
  <c r="CM161" i="62"/>
  <c r="CM108" i="62" a="1"/>
  <c r="CM108" i="62" s="1"/>
  <c r="CM188" i="62"/>
  <c r="CM115" i="62"/>
  <c r="CM105" i="62"/>
  <c r="CM102" i="62"/>
  <c r="CM98" i="62"/>
  <c r="CM99" i="62"/>
  <c r="CM73" i="62"/>
  <c r="CM182" i="62"/>
  <c r="CM185" i="62"/>
  <c r="CM95" i="62"/>
  <c r="CM88" i="62"/>
  <c r="CM79" i="62"/>
  <c r="CM80" i="62"/>
  <c r="CM81" i="62"/>
  <c r="CM82" i="62"/>
  <c r="CM72" i="62"/>
  <c r="CM179" i="62"/>
  <c r="CM47" i="62"/>
  <c r="CM74" i="62"/>
  <c r="CM122" i="62"/>
  <c r="CM75" i="62"/>
  <c r="CM53" i="62"/>
  <c r="CM50" i="62"/>
  <c r="CM46" i="62"/>
  <c r="CM66" i="62"/>
  <c r="CM35" i="62"/>
  <c r="CM12" i="62"/>
  <c r="CM16" i="62"/>
  <c r="CM25" i="62"/>
  <c r="CM39" i="62"/>
  <c r="CM22" i="62"/>
  <c r="CM62" i="62"/>
  <c r="CM38" i="62"/>
  <c r="CM19" i="62"/>
  <c r="CM32" i="62"/>
  <c r="CM168" i="62"/>
  <c r="CM40" i="62"/>
  <c r="CM165" i="62"/>
  <c r="CM51" i="62"/>
  <c r="CM139" i="62"/>
  <c r="CN8" i="62"/>
  <c r="CM189" i="62"/>
  <c r="CM54" i="62"/>
  <c r="CM138" i="62"/>
  <c r="CM20" i="62"/>
  <c r="CM136" i="62"/>
  <c r="CM183" i="62"/>
  <c r="CM103" i="62"/>
  <c r="CM89" i="62"/>
  <c r="CM177" i="62"/>
  <c r="CM162" i="62"/>
  <c r="CM23" i="62"/>
  <c r="CM96" i="62"/>
  <c r="CM17" i="62"/>
  <c r="CM123" i="62"/>
  <c r="CM26" i="62"/>
  <c r="CM13" i="62"/>
  <c r="CM174" i="62"/>
  <c r="CM14" i="62"/>
  <c r="CM76" i="62"/>
  <c r="CM100" i="62"/>
  <c r="CM33" i="62"/>
  <c r="CM126" i="62"/>
  <c r="CM48" i="62"/>
  <c r="CM137" i="62"/>
  <c r="CM171" i="62"/>
  <c r="CM67" i="62"/>
  <c r="CM68" i="62"/>
  <c r="CM116" i="62"/>
  <c r="CM180" i="62"/>
  <c r="CM83" i="62"/>
  <c r="CM36" i="62"/>
  <c r="CM109" i="62"/>
  <c r="CM106" i="62"/>
  <c r="CM186" i="62"/>
  <c r="CN94" i="62" l="1" a="1"/>
  <c r="CN94" i="62" s="1"/>
  <c r="CN63" i="62"/>
  <c r="CN65" i="62"/>
  <c r="CN64" i="62"/>
  <c r="CN173" i="62"/>
  <c r="CN188" i="62"/>
  <c r="CN179" i="62"/>
  <c r="CN176" i="62"/>
  <c r="CN122" i="62"/>
  <c r="CN108" i="62" a="1"/>
  <c r="CN108" i="62" s="1"/>
  <c r="CN185" i="62"/>
  <c r="CN170" i="62"/>
  <c r="CN167" i="62"/>
  <c r="CN125" i="62"/>
  <c r="CN95" i="62"/>
  <c r="CN74" i="62"/>
  <c r="CN115" i="62"/>
  <c r="CN105" i="62"/>
  <c r="CN102" i="62"/>
  <c r="CN182" i="62"/>
  <c r="CN75" i="62"/>
  <c r="CN164" i="62"/>
  <c r="CN99" i="62"/>
  <c r="CN82" i="62"/>
  <c r="CN38" i="62"/>
  <c r="CN73" i="62"/>
  <c r="CN98" i="62"/>
  <c r="CN88" i="62"/>
  <c r="CN80" i="62"/>
  <c r="CN62" i="62"/>
  <c r="CN32" i="62"/>
  <c r="CN25" i="62"/>
  <c r="CN22" i="62"/>
  <c r="CN19" i="62"/>
  <c r="CN16" i="62"/>
  <c r="CN72" i="62"/>
  <c r="CN79" i="62"/>
  <c r="CN161" i="62"/>
  <c r="CN81" i="62"/>
  <c r="CN66" i="62"/>
  <c r="CN46" i="62"/>
  <c r="CN12" i="62"/>
  <c r="CN50" i="62"/>
  <c r="CN47" i="62"/>
  <c r="CN39" i="62"/>
  <c r="CN35" i="62"/>
  <c r="CN53" i="62"/>
  <c r="CN106" i="62"/>
  <c r="CN126" i="62"/>
  <c r="CN165" i="62"/>
  <c r="CN33" i="62"/>
  <c r="CN123" i="62"/>
  <c r="CN137" i="62"/>
  <c r="CN54" i="62"/>
  <c r="CN183" i="62"/>
  <c r="CN171" i="62"/>
  <c r="CN96" i="62"/>
  <c r="CN67" i="62"/>
  <c r="CN162" i="62"/>
  <c r="CO8" i="62"/>
  <c r="CN103" i="62"/>
  <c r="CN17" i="62"/>
  <c r="CN76" i="62"/>
  <c r="CN40" i="62"/>
  <c r="CN68" i="62"/>
  <c r="CN136" i="62"/>
  <c r="CN48" i="62"/>
  <c r="CN116" i="62"/>
  <c r="CN51" i="62"/>
  <c r="CN89" i="62"/>
  <c r="CN83" i="62"/>
  <c r="CN138" i="62"/>
  <c r="CN139" i="62"/>
  <c r="CN168" i="62"/>
  <c r="CN186" i="62"/>
  <c r="CN180" i="62"/>
  <c r="CN23" i="62"/>
  <c r="CN189" i="62"/>
  <c r="CN14" i="62"/>
  <c r="CN177" i="62"/>
  <c r="CN26" i="62"/>
  <c r="CN20" i="62"/>
  <c r="CN13" i="62"/>
  <c r="CN100" i="62"/>
  <c r="CN174" i="62"/>
  <c r="CN109" i="62"/>
  <c r="CN36" i="62"/>
  <c r="CO94" i="62" l="1" a="1"/>
  <c r="CO94" i="62" s="1"/>
  <c r="M94" i="62" s="1" a="1"/>
  <c r="M94" i="62" s="1"/>
  <c r="Y94" i="62" s="1"/>
  <c r="CO64" i="62"/>
  <c r="M64" i="62" s="1" a="1"/>
  <c r="M64" i="62" s="1"/>
  <c r="Y64" i="62" s="1"/>
  <c r="CO63" i="62"/>
  <c r="M63" i="62" s="1" a="1"/>
  <c r="M63" i="62" s="1"/>
  <c r="Y63" i="62" s="1"/>
  <c r="CO65" i="62"/>
  <c r="M65" i="62" s="1" a="1"/>
  <c r="M65" i="62" s="1"/>
  <c r="Y65" i="62" s="1"/>
  <c r="CO185" i="62"/>
  <c r="M185" i="62" s="1" a="1"/>
  <c r="M185" i="62" s="1"/>
  <c r="CO182" i="62"/>
  <c r="M182" i="62" s="1" a="1"/>
  <c r="M182" i="62" s="1"/>
  <c r="CO188" i="62"/>
  <c r="M188" i="62" s="1" a="1"/>
  <c r="M188" i="62" s="1"/>
  <c r="CO176" i="62"/>
  <c r="M176" i="62" s="1" a="1"/>
  <c r="M176" i="62" s="1"/>
  <c r="CO88" i="62"/>
  <c r="M88" i="62" s="1" a="1"/>
  <c r="M88" i="62" s="1"/>
  <c r="CO170" i="62"/>
  <c r="M170" i="62" s="1" a="1"/>
  <c r="M170" i="62" s="1"/>
  <c r="CO125" i="62"/>
  <c r="M125" i="62" s="1" a="1"/>
  <c r="M125" i="62" s="1"/>
  <c r="CO102" i="62"/>
  <c r="M102" i="62" s="1" a="1"/>
  <c r="M102" i="62" s="1"/>
  <c r="CO95" i="62"/>
  <c r="M95" i="62" s="1" a="1"/>
  <c r="M95" i="62" s="1"/>
  <c r="FI95" i="62" s="1"/>
  <c r="CO179" i="62"/>
  <c r="M179" i="62" s="1" a="1"/>
  <c r="M179" i="62" s="1"/>
  <c r="CO173" i="62"/>
  <c r="M173" i="62" s="1" a="1"/>
  <c r="M173" i="62" s="1"/>
  <c r="CO164" i="62"/>
  <c r="M164" i="62" s="1" a="1"/>
  <c r="M164" i="62" s="1"/>
  <c r="CO99" i="62"/>
  <c r="M99" i="62" s="1" a="1"/>
  <c r="M99" i="62" s="1"/>
  <c r="Y99" i="62" s="1"/>
  <c r="CO79" i="62"/>
  <c r="M79" i="62" s="1" a="1"/>
  <c r="M79" i="62" s="1"/>
  <c r="CO39" i="62"/>
  <c r="M39" i="62" s="1" a="1"/>
  <c r="M39" i="62" s="1"/>
  <c r="FI39" i="62" s="1"/>
  <c r="CO167" i="62"/>
  <c r="M167" i="62" s="1" a="1"/>
  <c r="M167" i="62" s="1"/>
  <c r="CO105" i="62"/>
  <c r="M105" i="62" s="1" a="1"/>
  <c r="M105" i="62" s="1"/>
  <c r="Y105" i="62" s="1"/>
  <c r="CO82" i="62"/>
  <c r="M82" i="62" s="1" a="1"/>
  <c r="M82" i="62" s="1"/>
  <c r="Y82" i="62" s="1"/>
  <c r="CO161" i="62"/>
  <c r="M161" i="62" s="1" a="1"/>
  <c r="M161" i="62" s="1"/>
  <c r="CO115" i="62"/>
  <c r="M115" i="62" s="1" a="1"/>
  <c r="M115" i="62" s="1"/>
  <c r="Y115" i="62" s="1"/>
  <c r="CO80" i="62"/>
  <c r="M80" i="62" s="1" a="1"/>
  <c r="M80" i="62" s="1"/>
  <c r="CO62" i="62"/>
  <c r="M62" i="62" s="1" a="1"/>
  <c r="M62" i="62" s="1"/>
  <c r="FI62" i="62" s="1"/>
  <c r="CO32" i="62"/>
  <c r="M32" i="62" s="1" a="1"/>
  <c r="M32" i="62" s="1"/>
  <c r="CO122" i="62"/>
  <c r="M122" i="62" s="1" a="1"/>
  <c r="M122" i="62" s="1"/>
  <c r="CO75" i="62"/>
  <c r="M75" i="62" s="1" a="1"/>
  <c r="M75" i="62" s="1"/>
  <c r="Y75" i="62" s="1"/>
  <c r="CO108" i="62" a="1"/>
  <c r="CO108" i="62" s="1"/>
  <c r="M108" i="62" s="1" a="1"/>
  <c r="M108" i="62" s="1"/>
  <c r="Y108" i="62" s="1"/>
  <c r="CO74" i="62"/>
  <c r="M74" i="62" s="1" a="1"/>
  <c r="M74" i="62" s="1"/>
  <c r="FI74" i="62" s="1"/>
  <c r="CO47" i="62"/>
  <c r="M47" i="62" s="1" a="1"/>
  <c r="M47" i="62" s="1"/>
  <c r="FI47" i="62" s="1"/>
  <c r="CO72" i="62"/>
  <c r="M72" i="62" s="1" a="1"/>
  <c r="M72" i="62" s="1"/>
  <c r="Y72" i="62" s="1"/>
  <c r="CO50" i="62"/>
  <c r="M50" i="62" s="1" a="1"/>
  <c r="M50" i="62" s="1"/>
  <c r="FI50" i="62" s="1"/>
  <c r="CO73" i="62"/>
  <c r="M73" i="62" s="1" a="1"/>
  <c r="M73" i="62" s="1"/>
  <c r="CO19" i="62"/>
  <c r="M19" i="62" s="1" a="1"/>
  <c r="M19" i="62" s="1"/>
  <c r="CO25" i="62"/>
  <c r="M25" i="62" s="1" a="1"/>
  <c r="M25" i="62" s="1"/>
  <c r="Y25" i="62" s="1"/>
  <c r="CO81" i="62"/>
  <c r="M81" i="62" s="1" a="1"/>
  <c r="M81" i="62" s="1"/>
  <c r="Y81" i="62" s="1"/>
  <c r="CO66" i="62"/>
  <c r="M66" i="62" s="1" a="1"/>
  <c r="M66" i="62" s="1"/>
  <c r="CO46" i="62"/>
  <c r="M46" i="62" s="1" a="1"/>
  <c r="M46" i="62" s="1"/>
  <c r="CO12" i="62"/>
  <c r="M12" i="62" s="1" a="1"/>
  <c r="M12" i="62" s="1"/>
  <c r="FI12" i="62" s="1"/>
  <c r="CO53" i="62"/>
  <c r="M53" i="62" s="1" a="1"/>
  <c r="M53" i="62" s="1"/>
  <c r="CO38" i="62"/>
  <c r="M38" i="62" s="1" a="1"/>
  <c r="M38" i="62" s="1"/>
  <c r="CO35" i="62"/>
  <c r="M35" i="62" s="1" a="1"/>
  <c r="M35" i="62" s="1"/>
  <c r="FI35" i="62" s="1"/>
  <c r="CO22" i="62"/>
  <c r="M22" i="62" s="1" a="1"/>
  <c r="M22" i="62" s="1"/>
  <c r="CO98" i="62"/>
  <c r="M98" i="62" s="1" a="1"/>
  <c r="M98" i="62" s="1"/>
  <c r="Y98" i="62" s="1"/>
  <c r="CO16" i="62"/>
  <c r="M16" i="62" s="1" a="1"/>
  <c r="M16" i="62" s="1"/>
  <c r="CO89" i="62"/>
  <c r="CO83" i="62"/>
  <c r="M83" i="62" s="1" a="1"/>
  <c r="M83" i="62" s="1"/>
  <c r="CO189" i="62"/>
  <c r="M189" i="62" s="1" a="1"/>
  <c r="M189" i="62" s="1"/>
  <c r="L38" i="120" s="1"/>
  <c r="CO23" i="62"/>
  <c r="M23" i="62" s="1" a="1"/>
  <c r="M23" i="62" s="1"/>
  <c r="CO109" i="62"/>
  <c r="M109" i="62" s="1" a="1"/>
  <c r="M109" i="62" s="1"/>
  <c r="CO186" i="62"/>
  <c r="M186" i="62" s="1" a="1"/>
  <c r="M186" i="62" s="1"/>
  <c r="L35" i="120" s="1"/>
  <c r="CO103" i="62"/>
  <c r="M103" i="62" s="1" a="1"/>
  <c r="M103" i="62" s="1"/>
  <c r="CO126" i="62"/>
  <c r="M126" i="62" s="1" a="1"/>
  <c r="M126" i="62" s="1"/>
  <c r="CO76" i="62"/>
  <c r="M76" i="62" s="1" a="1"/>
  <c r="M76" i="62" s="1"/>
  <c r="CO26" i="62"/>
  <c r="M26" i="62" s="1" a="1"/>
  <c r="M26" i="62" s="1"/>
  <c r="CO171" i="62"/>
  <c r="M171" i="62" s="1" a="1"/>
  <c r="M171" i="62" s="1"/>
  <c r="L20" i="120" s="1"/>
  <c r="CO20" i="62"/>
  <c r="M20" i="62" s="1" a="1"/>
  <c r="M20" i="62" s="1"/>
  <c r="CO177" i="62"/>
  <c r="M177" i="62" s="1" a="1"/>
  <c r="M177" i="62" s="1"/>
  <c r="L26" i="120" s="1"/>
  <c r="CO106" i="62"/>
  <c r="M106" i="62" s="1" a="1"/>
  <c r="M106" i="62" s="1"/>
  <c r="CO14" i="62"/>
  <c r="M14" i="62" s="1" a="1"/>
  <c r="M14" i="62" s="1"/>
  <c r="CO174" i="62"/>
  <c r="M174" i="62" s="1" a="1"/>
  <c r="M174" i="62" s="1"/>
  <c r="L23" i="120" s="1"/>
  <c r="CO40" i="62"/>
  <c r="M40" i="62" s="1" a="1"/>
  <c r="M40" i="62" s="1"/>
  <c r="CO17" i="62"/>
  <c r="M17" i="62" s="1" a="1"/>
  <c r="M17" i="62" s="1"/>
  <c r="CO138" i="62"/>
  <c r="M138" i="62" s="1" a="1"/>
  <c r="M138" i="62" s="1"/>
  <c r="CO183" i="62"/>
  <c r="M183" i="62" s="1" a="1"/>
  <c r="M183" i="62" s="1"/>
  <c r="L32" i="120" s="1"/>
  <c r="CO123" i="62"/>
  <c r="M123" i="62" s="1" a="1"/>
  <c r="M123" i="62" s="1"/>
  <c r="CO136" i="62"/>
  <c r="M136" i="62" s="1" a="1"/>
  <c r="M136" i="62" s="1"/>
  <c r="CO13" i="62"/>
  <c r="M13" i="62" s="1" a="1"/>
  <c r="M13" i="62" s="1"/>
  <c r="CO51" i="62"/>
  <c r="M51" i="62" s="1" a="1"/>
  <c r="M51" i="62" s="1"/>
  <c r="CO67" i="62"/>
  <c r="M67" i="62" s="1" a="1"/>
  <c r="M67" i="62" s="1"/>
  <c r="CO100" i="62"/>
  <c r="M100" i="62" s="1" a="1"/>
  <c r="M100" i="62" s="1"/>
  <c r="CO139" i="62"/>
  <c r="M139" i="62" s="1" a="1"/>
  <c r="M139" i="62" s="1"/>
  <c r="CO165" i="62"/>
  <c r="M165" i="62" s="1" a="1"/>
  <c r="M165" i="62" s="1"/>
  <c r="L14" i="120" s="1"/>
  <c r="CO168" i="62"/>
  <c r="M168" i="62" s="1" a="1"/>
  <c r="M168" i="62" s="1"/>
  <c r="L17" i="120" s="1"/>
  <c r="CO116" i="62"/>
  <c r="M116" i="62" s="1" a="1"/>
  <c r="M116" i="62" s="1"/>
  <c r="CO33" i="62"/>
  <c r="M33" i="62" s="1" a="1"/>
  <c r="M33" i="62" s="1"/>
  <c r="FI25" i="62" s="1"/>
  <c r="CO36" i="62"/>
  <c r="M36" i="62" s="1" a="1"/>
  <c r="M36" i="62" s="1"/>
  <c r="CO48" i="62"/>
  <c r="M48" i="62" s="1" a="1"/>
  <c r="M48" i="62" s="1"/>
  <c r="CO180" i="62"/>
  <c r="M180" i="62" s="1" a="1"/>
  <c r="M180" i="62" s="1"/>
  <c r="L29" i="120" s="1"/>
  <c r="CO68" i="62"/>
  <c r="M68" i="62" s="1" a="1"/>
  <c r="M68" i="62" s="1"/>
  <c r="CP8" i="62"/>
  <c r="CO54" i="62"/>
  <c r="M54" i="62" s="1" a="1"/>
  <c r="M54" i="62" s="1"/>
  <c r="CO137" i="62"/>
  <c r="M137" i="62" s="1" a="1"/>
  <c r="M137" i="62" s="1"/>
  <c r="CO96" i="62"/>
  <c r="M96" i="62" s="1" a="1"/>
  <c r="M96" i="62" s="1"/>
  <c r="CO162" i="62"/>
  <c r="M162" i="62" s="1" a="1"/>
  <c r="M162" i="62" s="1"/>
  <c r="L11" i="120" s="1"/>
  <c r="CP94" i="62" l="1" a="1"/>
  <c r="CP94" i="62" s="1"/>
  <c r="CP65" i="62"/>
  <c r="CP64" i="62"/>
  <c r="CP63" i="62"/>
  <c r="Y66" i="62"/>
  <c r="CP182" i="62"/>
  <c r="CP115" i="62"/>
  <c r="CP188" i="62"/>
  <c r="CP185" i="62"/>
  <c r="CP176" i="62"/>
  <c r="CP167" i="62"/>
  <c r="CP79" i="62"/>
  <c r="CP173" i="62"/>
  <c r="CP161" i="62"/>
  <c r="CP122" i="62"/>
  <c r="CP98" i="62"/>
  <c r="CP62" i="62"/>
  <c r="CP170" i="62"/>
  <c r="CP73" i="62"/>
  <c r="CP35" i="62"/>
  <c r="CP164" i="62"/>
  <c r="CP99" i="62"/>
  <c r="CP105" i="62"/>
  <c r="CP179" i="62"/>
  <c r="CP125" i="62"/>
  <c r="CP108" i="62" a="1"/>
  <c r="CP108" i="62" s="1"/>
  <c r="CP88" i="62"/>
  <c r="CP25" i="62"/>
  <c r="CP80" i="62"/>
  <c r="CP82" i="62"/>
  <c r="CP102" i="62"/>
  <c r="CP53" i="62"/>
  <c r="CP74" i="62"/>
  <c r="CP95" i="62"/>
  <c r="CP81" i="62"/>
  <c r="CP66" i="62"/>
  <c r="CP75" i="62"/>
  <c r="CP19" i="62"/>
  <c r="CP72" i="62"/>
  <c r="CP32" i="62"/>
  <c r="CP12" i="62"/>
  <c r="CP39" i="62"/>
  <c r="CP22" i="62"/>
  <c r="CP50" i="62"/>
  <c r="CP16" i="62"/>
  <c r="CP38" i="62"/>
  <c r="CP47" i="62"/>
  <c r="CP46" i="62"/>
  <c r="Y95" i="62"/>
  <c r="E82" i="127" s="1"/>
  <c r="Y35" i="62"/>
  <c r="E34" i="127" s="1"/>
  <c r="L25" i="120"/>
  <c r="FI176" i="62"/>
  <c r="Y176" i="62"/>
  <c r="X25" i="120" s="1"/>
  <c r="Y74" i="62"/>
  <c r="E67" i="127" s="1"/>
  <c r="FI46" i="62"/>
  <c r="Y46" i="62"/>
  <c r="E47" i="127" s="1"/>
  <c r="FI188" i="62"/>
  <c r="L37" i="120"/>
  <c r="Y188" i="62"/>
  <c r="X37" i="120" s="1"/>
  <c r="FI38" i="62"/>
  <c r="Y38" i="62"/>
  <c r="E31" i="127" s="1"/>
  <c r="FI170" i="62"/>
  <c r="Y170" i="62"/>
  <c r="X19" i="120" s="1"/>
  <c r="L19" i="120"/>
  <c r="Y102" i="62"/>
  <c r="E81" i="127" s="1"/>
  <c r="FI102" i="62"/>
  <c r="Y39" i="62"/>
  <c r="E32" i="127" s="1"/>
  <c r="FI16" i="62"/>
  <c r="Y16" i="62"/>
  <c r="E16" i="127" s="1"/>
  <c r="L22" i="120"/>
  <c r="Y173" i="62"/>
  <c r="X22" i="120" s="1"/>
  <c r="FI173" i="62"/>
  <c r="FI80" i="62"/>
  <c r="Y80" i="62"/>
  <c r="Y73" i="62"/>
  <c r="E66" i="127" s="1"/>
  <c r="FI73" i="62"/>
  <c r="Y12" i="62"/>
  <c r="E14" i="127" s="1"/>
  <c r="Y19" i="62"/>
  <c r="E17" i="127" s="1"/>
  <c r="FI125" i="62"/>
  <c r="Y125" i="62"/>
  <c r="FI13" i="62"/>
  <c r="Y13" i="62"/>
  <c r="E15" i="127" s="1"/>
  <c r="L16" i="120"/>
  <c r="FI167" i="62"/>
  <c r="Y167" i="62"/>
  <c r="X16" i="120" s="1"/>
  <c r="Y79" i="62"/>
  <c r="FI79" i="62"/>
  <c r="FI179" i="62"/>
  <c r="Y179" i="62"/>
  <c r="X28" i="120" s="1"/>
  <c r="L28" i="120"/>
  <c r="CP126" i="62"/>
  <c r="CP100" i="62"/>
  <c r="CP116" i="62"/>
  <c r="CP162" i="62"/>
  <c r="CP103" i="62"/>
  <c r="CP76" i="62"/>
  <c r="CP177" i="62"/>
  <c r="CP23" i="62"/>
  <c r="CP106" i="62"/>
  <c r="CP168" i="62"/>
  <c r="CP26" i="62"/>
  <c r="CP89" i="62"/>
  <c r="CP48" i="62"/>
  <c r="CP165" i="62"/>
  <c r="CP183" i="62"/>
  <c r="CP14" i="62"/>
  <c r="CP17" i="62"/>
  <c r="CP68" i="62"/>
  <c r="CP138" i="62"/>
  <c r="CP20" i="62"/>
  <c r="CP40" i="62"/>
  <c r="CP96" i="62"/>
  <c r="CP139" i="62"/>
  <c r="CP33" i="62"/>
  <c r="CP13" i="62"/>
  <c r="CQ8" i="62"/>
  <c r="CP186" i="62"/>
  <c r="CP36" i="62"/>
  <c r="CP109" i="62"/>
  <c r="CP83" i="62"/>
  <c r="CP67" i="62"/>
  <c r="CP171" i="62"/>
  <c r="CP54" i="62"/>
  <c r="CP137" i="62"/>
  <c r="CP51" i="62"/>
  <c r="CP189" i="62"/>
  <c r="CP180" i="62"/>
  <c r="CP136" i="62"/>
  <c r="CP123" i="62"/>
  <c r="CP174" i="62"/>
  <c r="FI32" i="62"/>
  <c r="Y32" i="62"/>
  <c r="E29" i="127" s="1"/>
  <c r="FI122" i="62"/>
  <c r="Y122" i="62"/>
  <c r="E93" i="127" s="1"/>
  <c r="FI53" i="62"/>
  <c r="Y53" i="62"/>
  <c r="E48" i="127" s="1"/>
  <c r="FI161" i="62"/>
  <c r="L10" i="120"/>
  <c r="Y161" i="62"/>
  <c r="X10" i="120" s="1"/>
  <c r="Y182" i="62"/>
  <c r="X31" i="120" s="1"/>
  <c r="FI182" i="62"/>
  <c r="L31" i="120"/>
  <c r="FI22" i="62"/>
  <c r="Y22" i="62"/>
  <c r="E79" i="127"/>
  <c r="Y164" i="62"/>
  <c r="X13" i="120" s="1"/>
  <c r="L13" i="120"/>
  <c r="FI164" i="62"/>
  <c r="E18" i="127"/>
  <c r="Y62" i="62"/>
  <c r="E62" i="127" s="1"/>
  <c r="Y47" i="62"/>
  <c r="E45" i="127" s="1"/>
  <c r="Y50" i="62"/>
  <c r="E49" i="127" s="1"/>
  <c r="L34" i="120"/>
  <c r="FI185" i="62"/>
  <c r="Y185" i="62"/>
  <c r="X34" i="120" s="1"/>
  <c r="E64" i="127"/>
  <c r="CQ94" i="62" l="1" a="1"/>
  <c r="CQ94" i="62" s="1"/>
  <c r="CQ65" i="62"/>
  <c r="CQ63" i="62"/>
  <c r="CQ64" i="62"/>
  <c r="CQ188" i="62"/>
  <c r="CQ170" i="62"/>
  <c r="CQ182" i="62"/>
  <c r="CQ105" i="62"/>
  <c r="CQ161" i="62"/>
  <c r="CQ80" i="62"/>
  <c r="CQ176" i="62"/>
  <c r="CQ167" i="62"/>
  <c r="CQ108" i="62" a="1"/>
  <c r="CQ108" i="62" s="1"/>
  <c r="CQ66" i="62"/>
  <c r="CQ185" i="62"/>
  <c r="CQ173" i="62"/>
  <c r="CQ122" i="62"/>
  <c r="CQ98" i="62"/>
  <c r="CQ125" i="62"/>
  <c r="CQ115" i="62"/>
  <c r="CQ81" i="62"/>
  <c r="CQ79" i="62"/>
  <c r="CQ73" i="62"/>
  <c r="CQ164" i="62"/>
  <c r="CQ102" i="62"/>
  <c r="CQ22" i="62"/>
  <c r="CQ88" i="62"/>
  <c r="CQ62" i="62"/>
  <c r="CQ99" i="62"/>
  <c r="CQ75" i="62"/>
  <c r="CQ39" i="62"/>
  <c r="CQ74" i="62"/>
  <c r="CQ32" i="62"/>
  <c r="CQ19" i="62"/>
  <c r="CQ50" i="62"/>
  <c r="CQ16" i="62"/>
  <c r="CQ82" i="62"/>
  <c r="CQ179" i="62"/>
  <c r="CQ53" i="62"/>
  <c r="CQ95" i="62"/>
  <c r="CQ35" i="62"/>
  <c r="CQ47" i="62"/>
  <c r="CQ12" i="62"/>
  <c r="CQ38" i="62"/>
  <c r="CQ25" i="62"/>
  <c r="CQ46" i="62"/>
  <c r="CQ72" i="62"/>
  <c r="CR8" i="62"/>
  <c r="CQ89" i="62"/>
  <c r="CQ139" i="62"/>
  <c r="CQ40" i="62"/>
  <c r="CQ14" i="62"/>
  <c r="CQ83" i="62"/>
  <c r="CQ20" i="62"/>
  <c r="CQ36" i="62"/>
  <c r="CQ126" i="62"/>
  <c r="CQ180" i="62"/>
  <c r="CQ174" i="62"/>
  <c r="CQ165" i="62"/>
  <c r="CQ68" i="62"/>
  <c r="CQ100" i="62"/>
  <c r="CQ116" i="62"/>
  <c r="CQ138" i="62"/>
  <c r="CQ67" i="62"/>
  <c r="CQ189" i="62"/>
  <c r="CQ51" i="62"/>
  <c r="CQ96" i="62"/>
  <c r="CQ13" i="62"/>
  <c r="CQ123" i="62"/>
  <c r="CQ137" i="62"/>
  <c r="CQ109" i="62"/>
  <c r="CQ183" i="62"/>
  <c r="CQ103" i="62"/>
  <c r="CQ33" i="62"/>
  <c r="CQ106" i="62"/>
  <c r="CQ186" i="62"/>
  <c r="CQ48" i="62"/>
  <c r="CQ136" i="62"/>
  <c r="CQ162" i="62"/>
  <c r="CQ76" i="62"/>
  <c r="CQ171" i="62"/>
  <c r="CQ17" i="62"/>
  <c r="CQ54" i="62"/>
  <c r="CQ23" i="62"/>
  <c r="CQ168" i="62"/>
  <c r="CQ177" i="62"/>
  <c r="CQ26" i="62"/>
  <c r="CR94" i="62" l="1" a="1"/>
  <c r="CR94" i="62" s="1"/>
  <c r="CR63" i="62"/>
  <c r="CR64" i="62"/>
  <c r="CR65" i="62"/>
  <c r="CR185" i="62"/>
  <c r="CR188" i="62"/>
  <c r="CR167" i="62"/>
  <c r="CR179" i="62"/>
  <c r="CR102" i="62"/>
  <c r="CR182" i="62"/>
  <c r="CR108" i="62" a="1"/>
  <c r="CR108" i="62" s="1"/>
  <c r="CR81" i="62"/>
  <c r="CR161" i="62"/>
  <c r="CR173" i="62"/>
  <c r="CR170" i="62"/>
  <c r="CR176" i="62"/>
  <c r="CR53" i="62"/>
  <c r="CR125" i="62"/>
  <c r="CR115" i="62"/>
  <c r="CR99" i="62"/>
  <c r="CR72" i="62"/>
  <c r="CR74" i="62"/>
  <c r="CR19" i="62"/>
  <c r="CR122" i="62"/>
  <c r="CR88" i="62"/>
  <c r="CR164" i="62"/>
  <c r="CR105" i="62"/>
  <c r="CR95" i="62"/>
  <c r="CR79" i="62"/>
  <c r="CR98" i="62"/>
  <c r="CR82" i="62"/>
  <c r="CR46" i="62"/>
  <c r="CR80" i="62"/>
  <c r="CR75" i="62"/>
  <c r="CR50" i="62"/>
  <c r="CR62" i="62"/>
  <c r="CR47" i="62"/>
  <c r="CR38" i="62"/>
  <c r="CR32" i="62"/>
  <c r="CR16" i="62"/>
  <c r="CR73" i="62"/>
  <c r="CR35" i="62"/>
  <c r="CR22" i="62"/>
  <c r="CR66" i="62"/>
  <c r="CR39" i="62"/>
  <c r="CR12" i="62"/>
  <c r="CR25" i="62"/>
  <c r="CR109" i="62"/>
  <c r="CR51" i="62"/>
  <c r="CR54" i="62"/>
  <c r="CR103" i="62"/>
  <c r="CR174" i="62"/>
  <c r="CR48" i="62"/>
  <c r="CR67" i="62"/>
  <c r="CR89" i="62"/>
  <c r="CR165" i="62"/>
  <c r="CR76" i="62"/>
  <c r="CR68" i="62"/>
  <c r="CR186" i="62"/>
  <c r="CR139" i="62"/>
  <c r="CR100" i="62"/>
  <c r="CR106" i="62"/>
  <c r="CR123" i="62"/>
  <c r="CR189" i="62"/>
  <c r="CR116" i="62"/>
  <c r="CR17" i="62"/>
  <c r="CR23" i="62"/>
  <c r="CR162" i="62"/>
  <c r="CR40" i="62"/>
  <c r="CR26" i="62"/>
  <c r="CR14" i="62"/>
  <c r="CR138" i="62"/>
  <c r="CR183" i="62"/>
  <c r="CR177" i="62"/>
  <c r="CR36" i="62"/>
  <c r="CR83" i="62"/>
  <c r="CR137" i="62"/>
  <c r="CS8" i="62"/>
  <c r="CR20" i="62"/>
  <c r="CR168" i="62"/>
  <c r="CR136" i="62"/>
  <c r="CR180" i="62"/>
  <c r="CR171" i="62"/>
  <c r="CR126" i="62"/>
  <c r="CR33" i="62"/>
  <c r="CR96" i="62"/>
  <c r="CR13" i="62"/>
  <c r="CS94" i="62" l="1" a="1"/>
  <c r="CS94" i="62" s="1"/>
  <c r="CS65" i="62"/>
  <c r="CS64" i="62"/>
  <c r="CS63" i="62"/>
  <c r="CS182" i="62"/>
  <c r="CS185" i="62"/>
  <c r="CS164" i="62"/>
  <c r="CS98" i="62"/>
  <c r="CS179" i="62"/>
  <c r="CS173" i="62"/>
  <c r="CS122" i="62"/>
  <c r="CS82" i="62"/>
  <c r="CS188" i="62"/>
  <c r="CS108" i="62" a="1"/>
  <c r="CS108" i="62" s="1"/>
  <c r="CS115" i="62"/>
  <c r="CS161" i="62"/>
  <c r="CS88" i="62"/>
  <c r="CS72" i="62"/>
  <c r="CS50" i="62"/>
  <c r="CS81" i="62"/>
  <c r="CS167" i="62"/>
  <c r="CS125" i="62"/>
  <c r="CS170" i="62"/>
  <c r="CS16" i="62"/>
  <c r="CS99" i="62"/>
  <c r="CS74" i="62"/>
  <c r="CS176" i="62"/>
  <c r="CS80" i="62"/>
  <c r="CS75" i="62"/>
  <c r="CS62" i="62"/>
  <c r="CS53" i="62"/>
  <c r="CS102" i="62"/>
  <c r="CS95" i="62"/>
  <c r="CS73" i="62"/>
  <c r="CS39" i="62"/>
  <c r="CS35" i="62"/>
  <c r="CS22" i="62"/>
  <c r="CS79" i="62"/>
  <c r="CS47" i="62"/>
  <c r="CS38" i="62"/>
  <c r="CS32" i="62"/>
  <c r="CS46" i="62"/>
  <c r="CS25" i="62"/>
  <c r="CS105" i="62"/>
  <c r="CS66" i="62"/>
  <c r="CS12" i="62"/>
  <c r="CS19" i="62"/>
  <c r="CS96" i="62"/>
  <c r="CS13" i="62"/>
  <c r="CS40" i="62"/>
  <c r="CS14" i="62"/>
  <c r="CS168" i="62"/>
  <c r="CS186" i="62"/>
  <c r="CS48" i="62"/>
  <c r="CS165" i="62"/>
  <c r="CS136" i="62"/>
  <c r="CS51" i="62"/>
  <c r="CS54" i="62"/>
  <c r="CS183" i="62"/>
  <c r="CS68" i="62"/>
  <c r="CS103" i="62"/>
  <c r="CS174" i="62"/>
  <c r="CS76" i="62"/>
  <c r="CT8" i="62"/>
  <c r="CS177" i="62"/>
  <c r="CS33" i="62"/>
  <c r="CS137" i="62"/>
  <c r="CS171" i="62"/>
  <c r="CS116" i="62"/>
  <c r="CS139" i="62"/>
  <c r="CS17" i="62"/>
  <c r="CS89" i="62"/>
  <c r="CS126" i="62"/>
  <c r="CS189" i="62"/>
  <c r="CS162" i="62"/>
  <c r="CS100" i="62"/>
  <c r="CS26" i="62"/>
  <c r="CS36" i="62"/>
  <c r="CS23" i="62"/>
  <c r="CS180" i="62"/>
  <c r="CS106" i="62"/>
  <c r="CS109" i="62"/>
  <c r="CS67" i="62"/>
  <c r="CS20" i="62"/>
  <c r="CS138" i="62"/>
  <c r="CS123" i="62"/>
  <c r="CS83" i="62"/>
  <c r="CT94" i="62" l="1" a="1"/>
  <c r="CT94" i="62" s="1"/>
  <c r="CT65" i="62"/>
  <c r="CT63" i="62"/>
  <c r="CT64" i="62"/>
  <c r="CT179" i="62"/>
  <c r="CT182" i="62"/>
  <c r="CT185" i="62"/>
  <c r="CT161" i="62"/>
  <c r="CT173" i="62"/>
  <c r="CT99" i="62"/>
  <c r="CT72" i="62"/>
  <c r="CT122" i="62"/>
  <c r="CT188" i="62"/>
  <c r="CT108" i="62" a="1"/>
  <c r="CT108" i="62" s="1"/>
  <c r="CT115" i="62"/>
  <c r="CT176" i="62"/>
  <c r="CT46" i="62"/>
  <c r="CT88" i="62"/>
  <c r="CT105" i="62"/>
  <c r="CT98" i="62"/>
  <c r="CT12" i="62"/>
  <c r="CT167" i="62"/>
  <c r="CT125" i="62"/>
  <c r="CT170" i="62"/>
  <c r="CT95" i="62"/>
  <c r="CT73" i="62"/>
  <c r="CT66" i="62"/>
  <c r="CT38" i="62"/>
  <c r="CT82" i="62"/>
  <c r="CT50" i="62"/>
  <c r="CT79" i="62"/>
  <c r="CT164" i="62"/>
  <c r="CT80" i="62"/>
  <c r="CT74" i="62"/>
  <c r="CT75" i="62"/>
  <c r="CT62" i="62"/>
  <c r="CT39" i="62"/>
  <c r="CT35" i="62"/>
  <c r="CT22" i="62"/>
  <c r="CT47" i="62"/>
  <c r="CT19" i="62"/>
  <c r="CT32" i="62"/>
  <c r="CT16" i="62"/>
  <c r="CT53" i="62"/>
  <c r="CT25" i="62"/>
  <c r="CT102" i="62"/>
  <c r="CT81" i="62"/>
  <c r="CT23" i="62"/>
  <c r="CT138" i="62"/>
  <c r="CT67" i="62"/>
  <c r="CT106" i="62"/>
  <c r="CT180" i="62"/>
  <c r="CT116" i="62"/>
  <c r="CT51" i="62"/>
  <c r="CT40" i="62"/>
  <c r="CT33" i="62"/>
  <c r="CT48" i="62"/>
  <c r="CT76" i="62"/>
  <c r="CT186" i="62"/>
  <c r="CT177" i="62"/>
  <c r="CT165" i="62"/>
  <c r="CT83" i="62"/>
  <c r="CT123" i="62"/>
  <c r="CT103" i="62"/>
  <c r="CU8" i="62"/>
  <c r="CT89" i="62"/>
  <c r="CT54" i="62"/>
  <c r="CT17" i="62"/>
  <c r="CT26" i="62"/>
  <c r="CT174" i="62"/>
  <c r="CT162" i="62"/>
  <c r="CT109" i="62"/>
  <c r="CT136" i="62"/>
  <c r="CT171" i="62"/>
  <c r="CT68" i="62"/>
  <c r="CT14" i="62"/>
  <c r="CT139" i="62"/>
  <c r="CT13" i="62"/>
  <c r="CT100" i="62"/>
  <c r="CT20" i="62"/>
  <c r="CT126" i="62"/>
  <c r="CT189" i="62"/>
  <c r="CT168" i="62"/>
  <c r="CT137" i="62"/>
  <c r="CT183" i="62"/>
  <c r="CT36" i="62"/>
  <c r="CT96" i="62"/>
  <c r="CU94" i="62" l="1" a="1"/>
  <c r="CU94" i="62" s="1"/>
  <c r="CU64" i="62"/>
  <c r="CU63" i="62"/>
  <c r="CU65" i="62"/>
  <c r="CU176" i="62"/>
  <c r="CU125" i="62"/>
  <c r="CU108" i="62" a="1"/>
  <c r="CU108" i="62" s="1"/>
  <c r="CU185" i="62"/>
  <c r="CU122" i="62"/>
  <c r="CU173" i="62"/>
  <c r="CU164" i="62"/>
  <c r="CU73" i="62"/>
  <c r="CU105" i="62"/>
  <c r="CU74" i="62"/>
  <c r="CU182" i="62"/>
  <c r="CU188" i="62"/>
  <c r="CU179" i="62"/>
  <c r="CU102" i="62"/>
  <c r="CU98" i="62"/>
  <c r="CU80" i="62"/>
  <c r="CU75" i="62"/>
  <c r="CU62" i="62"/>
  <c r="CU66" i="62"/>
  <c r="CU47" i="62"/>
  <c r="CU72" i="62"/>
  <c r="CU115" i="62"/>
  <c r="CU170" i="62"/>
  <c r="CU95" i="62"/>
  <c r="CU79" i="62"/>
  <c r="CU81" i="62"/>
  <c r="CU38" i="62"/>
  <c r="CU39" i="62"/>
  <c r="CU35" i="62"/>
  <c r="CU167" i="62"/>
  <c r="CU99" i="62"/>
  <c r="CU161" i="62"/>
  <c r="CU88" i="62"/>
  <c r="CU82" i="62"/>
  <c r="CU46" i="62"/>
  <c r="CU53" i="62"/>
  <c r="CU16" i="62"/>
  <c r="CU50" i="62"/>
  <c r="CU22" i="62"/>
  <c r="CU25" i="62"/>
  <c r="CU19" i="62"/>
  <c r="CU32" i="62"/>
  <c r="CU12" i="62"/>
  <c r="CU103" i="62"/>
  <c r="CU67" i="62"/>
  <c r="CU168" i="62"/>
  <c r="CU17" i="62"/>
  <c r="CU137" i="62"/>
  <c r="CU106" i="62"/>
  <c r="CU40" i="62"/>
  <c r="CU48" i="62"/>
  <c r="CU165" i="62"/>
  <c r="CU139" i="62"/>
  <c r="CU189" i="62"/>
  <c r="CU138" i="62"/>
  <c r="CU126" i="62"/>
  <c r="CU26" i="62"/>
  <c r="CU162" i="62"/>
  <c r="CU54" i="62"/>
  <c r="CU20" i="62"/>
  <c r="CU36" i="62"/>
  <c r="CU109" i="62"/>
  <c r="CU13" i="62"/>
  <c r="CU180" i="62"/>
  <c r="CU23" i="62"/>
  <c r="CU33" i="62"/>
  <c r="CU89" i="62"/>
  <c r="CU14" i="62"/>
  <c r="CU123" i="62"/>
  <c r="CU76" i="62"/>
  <c r="CV8" i="62"/>
  <c r="CU96" i="62"/>
  <c r="CU136" i="62"/>
  <c r="CU68" i="62"/>
  <c r="CU174" i="62"/>
  <c r="CU83" i="62"/>
  <c r="CU51" i="62"/>
  <c r="CU183" i="62"/>
  <c r="CU100" i="62"/>
  <c r="CU186" i="62"/>
  <c r="CU177" i="62"/>
  <c r="CU171" i="62"/>
  <c r="CU116" i="62"/>
  <c r="CV94" i="62" l="1" a="1"/>
  <c r="CV94" i="62" s="1"/>
  <c r="CV63" i="62"/>
  <c r="CV65" i="62"/>
  <c r="CV64" i="62"/>
  <c r="CV173" i="62"/>
  <c r="CV188" i="62"/>
  <c r="CV122" i="62"/>
  <c r="CV170" i="62"/>
  <c r="CV167" i="62"/>
  <c r="CV164" i="62"/>
  <c r="CV161" i="62"/>
  <c r="CV125" i="62"/>
  <c r="CV108" i="62" a="1"/>
  <c r="CV108" i="62" s="1"/>
  <c r="CV179" i="62"/>
  <c r="CV115" i="62"/>
  <c r="CV105" i="62"/>
  <c r="CV102" i="62"/>
  <c r="CV98" i="62"/>
  <c r="CV99" i="62"/>
  <c r="CV95" i="62"/>
  <c r="CV176" i="62"/>
  <c r="CV88" i="62"/>
  <c r="CV79" i="62"/>
  <c r="CV80" i="62"/>
  <c r="CV81" i="62"/>
  <c r="CV82" i="62"/>
  <c r="CV72" i="62"/>
  <c r="CV73" i="62"/>
  <c r="CV75" i="62"/>
  <c r="CV185" i="62"/>
  <c r="CV182" i="62"/>
  <c r="CV74" i="62"/>
  <c r="CV38" i="62"/>
  <c r="CV66" i="62"/>
  <c r="CV53" i="62"/>
  <c r="CV50" i="62"/>
  <c r="CV46" i="62"/>
  <c r="CV47" i="62"/>
  <c r="CV25" i="62"/>
  <c r="CV12" i="62"/>
  <c r="CV16" i="62"/>
  <c r="CV39" i="62"/>
  <c r="CV62" i="62"/>
  <c r="CV35" i="62"/>
  <c r="CV32" i="62"/>
  <c r="CV19" i="62"/>
  <c r="CV22" i="62"/>
  <c r="CV126" i="62"/>
  <c r="CV136" i="62"/>
  <c r="CV138" i="62"/>
  <c r="CV177" i="62"/>
  <c r="CV183" i="62"/>
  <c r="CV76" i="62"/>
  <c r="CV20" i="62"/>
  <c r="CV17" i="62"/>
  <c r="CV180" i="62"/>
  <c r="CV89" i="62"/>
  <c r="CV106" i="62"/>
  <c r="CV174" i="62"/>
  <c r="CV51" i="62"/>
  <c r="CV165" i="62"/>
  <c r="CV189" i="62"/>
  <c r="CV116" i="62"/>
  <c r="CV109" i="62"/>
  <c r="CV96" i="62"/>
  <c r="CV40" i="62"/>
  <c r="CV103" i="62"/>
  <c r="CV14" i="62"/>
  <c r="CV100" i="62"/>
  <c r="CV123" i="62"/>
  <c r="CV48" i="62"/>
  <c r="CW8" i="62"/>
  <c r="CV13" i="62"/>
  <c r="CV168" i="62"/>
  <c r="CV67" i="62"/>
  <c r="CV83" i="62"/>
  <c r="CV162" i="62"/>
  <c r="CV33" i="62"/>
  <c r="CV26" i="62"/>
  <c r="CV139" i="62"/>
  <c r="CV54" i="62"/>
  <c r="CV23" i="62"/>
  <c r="CV68" i="62"/>
  <c r="CV137" i="62"/>
  <c r="CV36" i="62"/>
  <c r="CV186" i="62"/>
  <c r="CV171" i="62"/>
  <c r="CW94" i="62" l="1" a="1"/>
  <c r="CW94" i="62" s="1"/>
  <c r="CW64" i="62"/>
  <c r="CW63" i="62"/>
  <c r="CW65" i="62"/>
  <c r="CW185" i="62"/>
  <c r="CW188" i="62"/>
  <c r="CW179" i="62"/>
  <c r="CW176" i="62"/>
  <c r="CW173" i="62"/>
  <c r="CW170" i="62"/>
  <c r="CW167" i="62"/>
  <c r="CW88" i="62"/>
  <c r="CW164" i="62"/>
  <c r="CW115" i="62"/>
  <c r="CW105" i="62"/>
  <c r="CW102" i="62"/>
  <c r="CW182" i="62"/>
  <c r="CW125" i="62"/>
  <c r="CW99" i="62"/>
  <c r="CW95" i="62"/>
  <c r="CW108" i="62" a="1"/>
  <c r="CW108" i="62" s="1"/>
  <c r="CW39" i="62"/>
  <c r="CW98" i="62"/>
  <c r="CW80" i="62"/>
  <c r="CW74" i="62"/>
  <c r="CW122" i="62"/>
  <c r="CW161" i="62"/>
  <c r="CW32" i="62"/>
  <c r="CW79" i="62"/>
  <c r="CW81" i="62"/>
  <c r="CW72" i="62"/>
  <c r="CW66" i="62"/>
  <c r="CW50" i="62"/>
  <c r="CW35" i="62"/>
  <c r="CW25" i="62"/>
  <c r="CW22" i="62"/>
  <c r="CW19" i="62"/>
  <c r="CW16" i="62"/>
  <c r="CW73" i="62"/>
  <c r="CW62" i="62"/>
  <c r="CW53" i="62"/>
  <c r="CW12" i="62"/>
  <c r="CW38" i="62"/>
  <c r="CW75" i="62"/>
  <c r="CW82" i="62"/>
  <c r="CW47" i="62"/>
  <c r="CW46" i="62"/>
  <c r="CW26" i="62"/>
  <c r="CW174" i="62"/>
  <c r="CW68" i="62"/>
  <c r="CW126" i="62"/>
  <c r="CW13" i="62"/>
  <c r="CW51" i="62"/>
  <c r="CW83" i="62"/>
  <c r="CW165" i="62"/>
  <c r="CW96" i="62"/>
  <c r="CW33" i="62"/>
  <c r="CW48" i="62"/>
  <c r="CX8" i="62"/>
  <c r="CW40" i="62"/>
  <c r="CW162" i="62"/>
  <c r="CW23" i="62"/>
  <c r="CW171" i="62"/>
  <c r="CW54" i="62"/>
  <c r="CW186" i="62"/>
  <c r="CW20" i="62"/>
  <c r="CW168" i="62"/>
  <c r="CW100" i="62"/>
  <c r="CW106" i="62"/>
  <c r="CW103" i="62"/>
  <c r="CW116" i="62"/>
  <c r="CW138" i="62"/>
  <c r="CW137" i="62"/>
  <c r="CW89" i="62"/>
  <c r="CW123" i="62"/>
  <c r="CW67" i="62"/>
  <c r="CW136" i="62"/>
  <c r="CW177" i="62"/>
  <c r="CW17" i="62"/>
  <c r="CW76" i="62"/>
  <c r="CW14" i="62"/>
  <c r="CW180" i="62"/>
  <c r="CW189" i="62"/>
  <c r="CW109" i="62"/>
  <c r="CW36" i="62"/>
  <c r="CW139" i="62"/>
  <c r="CW183" i="62"/>
  <c r="CX94" i="62" l="1" a="1"/>
  <c r="CX94" i="62" s="1"/>
  <c r="CX65" i="62"/>
  <c r="CX64" i="62"/>
  <c r="CX63" i="62"/>
  <c r="CX182" i="62"/>
  <c r="CX188" i="62"/>
  <c r="CX115" i="62"/>
  <c r="CX125" i="62"/>
  <c r="CX79" i="62"/>
  <c r="CX179" i="62"/>
  <c r="CX173" i="62"/>
  <c r="CX185" i="62"/>
  <c r="CX167" i="62"/>
  <c r="CX62" i="62"/>
  <c r="CX176" i="62"/>
  <c r="CX105" i="62"/>
  <c r="CX99" i="62"/>
  <c r="CX170" i="62"/>
  <c r="CX161" i="62"/>
  <c r="CX95" i="62"/>
  <c r="CX82" i="62"/>
  <c r="CX35" i="62"/>
  <c r="CX108" i="62" a="1"/>
  <c r="CX108" i="62" s="1"/>
  <c r="CX102" i="62"/>
  <c r="CX98" i="62"/>
  <c r="CX164" i="62"/>
  <c r="CX75" i="62"/>
  <c r="CX25" i="62"/>
  <c r="CX32" i="62"/>
  <c r="CX122" i="62"/>
  <c r="CX88" i="62"/>
  <c r="CX73" i="62"/>
  <c r="CX72" i="62"/>
  <c r="CX53" i="62"/>
  <c r="CX50" i="62"/>
  <c r="CX12" i="62"/>
  <c r="CX80" i="62"/>
  <c r="CX74" i="62"/>
  <c r="CX16" i="62"/>
  <c r="CX66" i="62"/>
  <c r="CX46" i="62"/>
  <c r="CX22" i="62"/>
  <c r="CX19" i="62"/>
  <c r="CX38" i="62"/>
  <c r="CX39" i="62"/>
  <c r="CX81" i="62"/>
  <c r="CX47" i="62"/>
  <c r="CX171" i="62"/>
  <c r="CX165" i="62"/>
  <c r="CX137" i="62"/>
  <c r="CX136" i="62"/>
  <c r="CX67" i="62"/>
  <c r="CX177" i="62"/>
  <c r="CX83" i="62"/>
  <c r="CX20" i="62"/>
  <c r="CX23" i="62"/>
  <c r="CX68" i="62"/>
  <c r="CX180" i="62"/>
  <c r="CX183" i="62"/>
  <c r="CX103" i="62"/>
  <c r="CX33" i="62"/>
  <c r="CX116" i="62"/>
  <c r="CX96" i="62"/>
  <c r="CX162" i="62"/>
  <c r="CX138" i="62"/>
  <c r="CX51" i="62"/>
  <c r="CX14" i="62"/>
  <c r="CX126" i="62"/>
  <c r="CX186" i="62"/>
  <c r="CX26" i="62"/>
  <c r="CX76" i="62"/>
  <c r="CX123" i="62"/>
  <c r="CX17" i="62"/>
  <c r="CX54" i="62"/>
  <c r="CX13" i="62"/>
  <c r="CX168" i="62"/>
  <c r="CY8" i="62"/>
  <c r="CX48" i="62"/>
  <c r="CX139" i="62"/>
  <c r="CX189" i="62"/>
  <c r="CX174" i="62"/>
  <c r="CX100" i="62"/>
  <c r="CX89" i="62"/>
  <c r="CX36" i="62"/>
  <c r="CX109" i="62"/>
  <c r="CX106" i="62"/>
  <c r="CX40" i="62"/>
  <c r="CY94" i="62" l="1" a="1"/>
  <c r="CY94" i="62" s="1"/>
  <c r="CY65" i="62"/>
  <c r="CY63" i="62"/>
  <c r="CY64" i="62"/>
  <c r="CY188" i="62"/>
  <c r="CY170" i="62"/>
  <c r="CY176" i="62"/>
  <c r="CY105" i="62"/>
  <c r="CY80" i="62"/>
  <c r="CY125" i="62"/>
  <c r="CY179" i="62"/>
  <c r="CY164" i="62"/>
  <c r="CY102" i="62"/>
  <c r="CY66" i="62"/>
  <c r="CY167" i="62"/>
  <c r="CY185" i="62"/>
  <c r="CY173" i="62"/>
  <c r="CY161" i="62"/>
  <c r="CY95" i="62"/>
  <c r="CY82" i="62"/>
  <c r="CY182" i="62"/>
  <c r="CY73" i="62"/>
  <c r="CY22" i="62"/>
  <c r="CY108" i="62" a="1"/>
  <c r="CY108" i="62" s="1"/>
  <c r="CY115" i="62"/>
  <c r="CY98" i="62"/>
  <c r="CY75" i="62"/>
  <c r="CY79" i="62"/>
  <c r="CY88" i="62"/>
  <c r="CY81" i="62"/>
  <c r="CY47" i="62"/>
  <c r="CY99" i="62"/>
  <c r="CY122" i="62"/>
  <c r="CY50" i="62"/>
  <c r="CY74" i="62"/>
  <c r="CY46" i="62"/>
  <c r="CY19" i="62"/>
  <c r="CY25" i="62"/>
  <c r="CY53" i="62"/>
  <c r="CY72" i="62"/>
  <c r="CY32" i="62"/>
  <c r="CY16" i="62"/>
  <c r="CY12" i="62"/>
  <c r="CY62" i="62"/>
  <c r="CY35" i="62"/>
  <c r="CY38" i="62"/>
  <c r="CY39" i="62"/>
  <c r="CY36" i="62"/>
  <c r="CY13" i="62"/>
  <c r="CY20" i="62"/>
  <c r="CY186" i="62"/>
  <c r="CY33" i="62"/>
  <c r="CY76" i="62"/>
  <c r="CY136" i="62"/>
  <c r="CY96" i="62"/>
  <c r="CY174" i="62"/>
  <c r="CY165" i="62"/>
  <c r="CY126" i="62"/>
  <c r="CY168" i="62"/>
  <c r="CY139" i="62"/>
  <c r="CZ8" i="62"/>
  <c r="CY26" i="62"/>
  <c r="CY177" i="62"/>
  <c r="CY100" i="62"/>
  <c r="CY171" i="62"/>
  <c r="CY51" i="62"/>
  <c r="CY48" i="62"/>
  <c r="CY123" i="62"/>
  <c r="CY103" i="62"/>
  <c r="CY138" i="62"/>
  <c r="CY162" i="62"/>
  <c r="CY17" i="62"/>
  <c r="CY40" i="62"/>
  <c r="CY106" i="62"/>
  <c r="CY68" i="62"/>
  <c r="CY23" i="62"/>
  <c r="CY137" i="62"/>
  <c r="CY54" i="62"/>
  <c r="CY67" i="62"/>
  <c r="CY189" i="62"/>
  <c r="CY109" i="62"/>
  <c r="CY180" i="62"/>
  <c r="CY89" i="62"/>
  <c r="CY14" i="62"/>
  <c r="CY183" i="62"/>
  <c r="CY116" i="62"/>
  <c r="CY83" i="62"/>
  <c r="CZ94" i="62" l="1" a="1"/>
  <c r="CZ94" i="62" s="1"/>
  <c r="CZ65" i="62"/>
  <c r="CZ63" i="62"/>
  <c r="CZ64" i="62"/>
  <c r="CZ185" i="62"/>
  <c r="CZ188" i="62"/>
  <c r="CZ167" i="62"/>
  <c r="CZ102" i="62"/>
  <c r="CZ176" i="62"/>
  <c r="CZ170" i="62"/>
  <c r="CZ81" i="62"/>
  <c r="CZ98" i="62"/>
  <c r="CZ164" i="62"/>
  <c r="CZ125" i="62"/>
  <c r="CZ122" i="62"/>
  <c r="CZ79" i="62"/>
  <c r="CZ73" i="62"/>
  <c r="CZ53" i="62"/>
  <c r="CZ173" i="62"/>
  <c r="CZ161" i="62"/>
  <c r="CZ179" i="62"/>
  <c r="CZ62" i="62"/>
  <c r="CZ19" i="62"/>
  <c r="CZ95" i="62"/>
  <c r="CZ108" i="62" a="1"/>
  <c r="CZ108" i="62" s="1"/>
  <c r="CZ115" i="62"/>
  <c r="CZ182" i="62"/>
  <c r="CZ105" i="62"/>
  <c r="CZ99" i="62"/>
  <c r="CZ66" i="62"/>
  <c r="CZ80" i="62"/>
  <c r="CZ75" i="62"/>
  <c r="CZ72" i="62"/>
  <c r="CZ88" i="62"/>
  <c r="CZ46" i="62"/>
  <c r="CZ25" i="62"/>
  <c r="CZ47" i="62"/>
  <c r="CZ38" i="62"/>
  <c r="CZ39" i="62"/>
  <c r="CZ22" i="62"/>
  <c r="CZ12" i="62"/>
  <c r="CZ32" i="62"/>
  <c r="CZ16" i="62"/>
  <c r="CZ74" i="62"/>
  <c r="CZ50" i="62"/>
  <c r="CZ82" i="62"/>
  <c r="CZ35" i="62"/>
  <c r="CZ126" i="62"/>
  <c r="CZ186" i="62"/>
  <c r="CZ138" i="62"/>
  <c r="CZ116" i="62"/>
  <c r="CZ123" i="62"/>
  <c r="CZ189" i="62"/>
  <c r="CZ96" i="62"/>
  <c r="CZ17" i="62"/>
  <c r="CZ26" i="62"/>
  <c r="CZ23" i="62"/>
  <c r="CZ83" i="62"/>
  <c r="CZ174" i="62"/>
  <c r="CZ48" i="62"/>
  <c r="CZ76" i="62"/>
  <c r="CZ13" i="62"/>
  <c r="CZ136" i="62"/>
  <c r="CZ33" i="62"/>
  <c r="CZ40" i="62"/>
  <c r="CZ54" i="62"/>
  <c r="CZ36" i="62"/>
  <c r="CZ103" i="62"/>
  <c r="CZ109" i="62"/>
  <c r="CZ89" i="62"/>
  <c r="CZ168" i="62"/>
  <c r="CZ68" i="62"/>
  <c r="CZ162" i="62"/>
  <c r="CZ180" i="62"/>
  <c r="CZ171" i="62"/>
  <c r="CZ106" i="62"/>
  <c r="CZ14" i="62"/>
  <c r="CZ51" i="62"/>
  <c r="DA8" i="62"/>
  <c r="CZ177" i="62"/>
  <c r="CZ165" i="62"/>
  <c r="CZ67" i="62"/>
  <c r="CZ100" i="62"/>
  <c r="CZ183" i="62"/>
  <c r="CZ139" i="62"/>
  <c r="CZ20" i="62"/>
  <c r="CZ137" i="62"/>
  <c r="DA94" i="62" l="1" a="1"/>
  <c r="DA94" i="62" s="1"/>
  <c r="DA64" i="62"/>
  <c r="DA65" i="62"/>
  <c r="DA63" i="62"/>
  <c r="DA182" i="62"/>
  <c r="DA185" i="62"/>
  <c r="DA164" i="62"/>
  <c r="DA98" i="62"/>
  <c r="DA161" i="62"/>
  <c r="DA108" i="62" a="1"/>
  <c r="DA108" i="62" s="1"/>
  <c r="DA82" i="62"/>
  <c r="DA170" i="62"/>
  <c r="DA102" i="62"/>
  <c r="DA176" i="62"/>
  <c r="DA167" i="62"/>
  <c r="DA173" i="62"/>
  <c r="DA179" i="62"/>
  <c r="DA99" i="62"/>
  <c r="DA50" i="62"/>
  <c r="DA122" i="62"/>
  <c r="DA79" i="62"/>
  <c r="DA73" i="62"/>
  <c r="DA115" i="62"/>
  <c r="DA105" i="62"/>
  <c r="DA16" i="62"/>
  <c r="DA62" i="62"/>
  <c r="DA125" i="62"/>
  <c r="DA95" i="62"/>
  <c r="DA72" i="62"/>
  <c r="DA53" i="62"/>
  <c r="DA39" i="62"/>
  <c r="DA81" i="62"/>
  <c r="DA188" i="62"/>
  <c r="DA32" i="62"/>
  <c r="DA19" i="62"/>
  <c r="DA46" i="62"/>
  <c r="DA88" i="62"/>
  <c r="DA35" i="62"/>
  <c r="DA25" i="62"/>
  <c r="DA47" i="62"/>
  <c r="DA80" i="62"/>
  <c r="DA75" i="62"/>
  <c r="DA12" i="62"/>
  <c r="DA74" i="62"/>
  <c r="DA66" i="62"/>
  <c r="DA38" i="62"/>
  <c r="DA22" i="62"/>
  <c r="DA162" i="62"/>
  <c r="DA89" i="62"/>
  <c r="DA17" i="62"/>
  <c r="DA68" i="62"/>
  <c r="DA106" i="62"/>
  <c r="DA123" i="62"/>
  <c r="DA180" i="62"/>
  <c r="DA186" i="62"/>
  <c r="DA165" i="62"/>
  <c r="DA126" i="62"/>
  <c r="DA20" i="62"/>
  <c r="DA139" i="62"/>
  <c r="DA116" i="62"/>
  <c r="DA137" i="62"/>
  <c r="DA36" i="62"/>
  <c r="DA138" i="62"/>
  <c r="DA48" i="62"/>
  <c r="DA76" i="62"/>
  <c r="DA40" i="62"/>
  <c r="DA171" i="62"/>
  <c r="DB8" i="62"/>
  <c r="DA96" i="62"/>
  <c r="DA109" i="62"/>
  <c r="DA174" i="62"/>
  <c r="DA67" i="62"/>
  <c r="DA183" i="62"/>
  <c r="DA14" i="62"/>
  <c r="DA136" i="62"/>
  <c r="DA54" i="62"/>
  <c r="DA51" i="62"/>
  <c r="DA33" i="62"/>
  <c r="DA23" i="62"/>
  <c r="DA100" i="62"/>
  <c r="DA83" i="62"/>
  <c r="DA177" i="62"/>
  <c r="DA103" i="62"/>
  <c r="DA13" i="62"/>
  <c r="DA168" i="62"/>
  <c r="DA26" i="62"/>
  <c r="DA189" i="62"/>
  <c r="DB94" i="62" l="1" a="1"/>
  <c r="DB94" i="62" s="1"/>
  <c r="DB63" i="62"/>
  <c r="DB65" i="62"/>
  <c r="DB64" i="62"/>
  <c r="DB179" i="62"/>
  <c r="DB182" i="62"/>
  <c r="DB161" i="62"/>
  <c r="DB108" i="62" a="1"/>
  <c r="DB108" i="62" s="1"/>
  <c r="DB99" i="62"/>
  <c r="DB176" i="62"/>
  <c r="DB167" i="62"/>
  <c r="DB72" i="62"/>
  <c r="DB188" i="62"/>
  <c r="DB122" i="62"/>
  <c r="DB98" i="62"/>
  <c r="DB105" i="62"/>
  <c r="DB81" i="62"/>
  <c r="DB46" i="62"/>
  <c r="DB170" i="62"/>
  <c r="DB185" i="62"/>
  <c r="DB102" i="62"/>
  <c r="DB125" i="62"/>
  <c r="DB88" i="62"/>
  <c r="DB80" i="62"/>
  <c r="DB82" i="62"/>
  <c r="DB12" i="62"/>
  <c r="DB173" i="62"/>
  <c r="DB73" i="62"/>
  <c r="DB74" i="62"/>
  <c r="DB115" i="62"/>
  <c r="DB95" i="62"/>
  <c r="DB79" i="62"/>
  <c r="DB32" i="62"/>
  <c r="DB19" i="62"/>
  <c r="DB164" i="62"/>
  <c r="DB47" i="62"/>
  <c r="DB38" i="62"/>
  <c r="DB22" i="62"/>
  <c r="DB50" i="62"/>
  <c r="DB75" i="62"/>
  <c r="DB25" i="62"/>
  <c r="DB66" i="62"/>
  <c r="DB39" i="62"/>
  <c r="DB35" i="62"/>
  <c r="DB53" i="62"/>
  <c r="DB16" i="62"/>
  <c r="DB62" i="62"/>
  <c r="DB100" i="62"/>
  <c r="DB26" i="62"/>
  <c r="DC8" i="62"/>
  <c r="DB48" i="62"/>
  <c r="DB36" i="62"/>
  <c r="DB76" i="62"/>
  <c r="DB165" i="62"/>
  <c r="DB67" i="62"/>
  <c r="DB183" i="62"/>
  <c r="DB83" i="62"/>
  <c r="DB68" i="62"/>
  <c r="DB14" i="62"/>
  <c r="DB40" i="62"/>
  <c r="DB180" i="62"/>
  <c r="DB186" i="62"/>
  <c r="DB139" i="62"/>
  <c r="DB20" i="62"/>
  <c r="DB109" i="62"/>
  <c r="DB189" i="62"/>
  <c r="DB23" i="62"/>
  <c r="DB138" i="62"/>
  <c r="DB123" i="62"/>
  <c r="DB168" i="62"/>
  <c r="DB136" i="62"/>
  <c r="DB54" i="62"/>
  <c r="DB116" i="62"/>
  <c r="DB106" i="62"/>
  <c r="DB162" i="62"/>
  <c r="DB13" i="62"/>
  <c r="DB174" i="62"/>
  <c r="DB177" i="62"/>
  <c r="DB96" i="62"/>
  <c r="DB33" i="62"/>
  <c r="DB89" i="62"/>
  <c r="DB126" i="62"/>
  <c r="DB17" i="62"/>
  <c r="DB51" i="62"/>
  <c r="DB103" i="62"/>
  <c r="DB171" i="62"/>
  <c r="DB137" i="62"/>
  <c r="DC94" i="62" l="1" a="1"/>
  <c r="DC94" i="62" s="1"/>
  <c r="DC65" i="62"/>
  <c r="DC63" i="62"/>
  <c r="DC64" i="62"/>
  <c r="DC176" i="62"/>
  <c r="DC182" i="62"/>
  <c r="DC125" i="62"/>
  <c r="DC179" i="62"/>
  <c r="DC185" i="62"/>
  <c r="DC122" i="62"/>
  <c r="DC73" i="62"/>
  <c r="DC167" i="62"/>
  <c r="DC161" i="62"/>
  <c r="DC108" i="62" a="1"/>
  <c r="DC108" i="62" s="1"/>
  <c r="DC170" i="62"/>
  <c r="DC74" i="62"/>
  <c r="DC188" i="62"/>
  <c r="DC88" i="62"/>
  <c r="DC47" i="62"/>
  <c r="DC105" i="62"/>
  <c r="DC99" i="62"/>
  <c r="DC81" i="62"/>
  <c r="DC164" i="62"/>
  <c r="DC80" i="62"/>
  <c r="DC82" i="62"/>
  <c r="DC173" i="62"/>
  <c r="DC98" i="62"/>
  <c r="DC102" i="62"/>
  <c r="DC75" i="62"/>
  <c r="DC62" i="62"/>
  <c r="DC46" i="62"/>
  <c r="DC72" i="62"/>
  <c r="DC115" i="62"/>
  <c r="DC95" i="62"/>
  <c r="DC53" i="62"/>
  <c r="DC66" i="62"/>
  <c r="DC50" i="62"/>
  <c r="DC38" i="62"/>
  <c r="DC22" i="62"/>
  <c r="DC32" i="62"/>
  <c r="DC25" i="62"/>
  <c r="DC39" i="62"/>
  <c r="DC35" i="62"/>
  <c r="DC12" i="62"/>
  <c r="DC19" i="62"/>
  <c r="DC16" i="62"/>
  <c r="DC79" i="62"/>
  <c r="DC36" i="62"/>
  <c r="DC189" i="62"/>
  <c r="DD8" i="62"/>
  <c r="DC13" i="62"/>
  <c r="DC165" i="62"/>
  <c r="DC40" i="62"/>
  <c r="DC48" i="62"/>
  <c r="DC171" i="62"/>
  <c r="DC116" i="62"/>
  <c r="DC20" i="62"/>
  <c r="DC23" i="62"/>
  <c r="DC67" i="62"/>
  <c r="DC177" i="62"/>
  <c r="DC137" i="62"/>
  <c r="DC180" i="62"/>
  <c r="DC106" i="62"/>
  <c r="DC109" i="62"/>
  <c r="DC139" i="62"/>
  <c r="DC68" i="62"/>
  <c r="DC33" i="62"/>
  <c r="DC126" i="62"/>
  <c r="DC186" i="62"/>
  <c r="DC103" i="62"/>
  <c r="DC174" i="62"/>
  <c r="DC96" i="62"/>
  <c r="DC89" i="62"/>
  <c r="DC54" i="62"/>
  <c r="DC14" i="62"/>
  <c r="DC51" i="62"/>
  <c r="DC136" i="62"/>
  <c r="DC138" i="62"/>
  <c r="DC83" i="62"/>
  <c r="DC183" i="62"/>
  <c r="DC100" i="62"/>
  <c r="DC76" i="62"/>
  <c r="DC26" i="62"/>
  <c r="DC17" i="62"/>
  <c r="DC162" i="62"/>
  <c r="DC168" i="62"/>
  <c r="DC123" i="62"/>
  <c r="DD94" i="62" l="1" a="1"/>
  <c r="DD94" i="62" s="1"/>
  <c r="DD63" i="62"/>
  <c r="DD65" i="62"/>
  <c r="DD64" i="62"/>
  <c r="DD173" i="62"/>
  <c r="DD188" i="62"/>
  <c r="DD122" i="62"/>
  <c r="DD185" i="62"/>
  <c r="DD108" i="62" a="1"/>
  <c r="DD108" i="62" s="1"/>
  <c r="DD179" i="62"/>
  <c r="DD182" i="62"/>
  <c r="DD95" i="62"/>
  <c r="DD176" i="62"/>
  <c r="DD115" i="62"/>
  <c r="DD75" i="62"/>
  <c r="DD170" i="62"/>
  <c r="DD164" i="62"/>
  <c r="DD72" i="62"/>
  <c r="DD62" i="62"/>
  <c r="DD66" i="62"/>
  <c r="DD38" i="62"/>
  <c r="DD88" i="62"/>
  <c r="DD105" i="62"/>
  <c r="DD167" i="62"/>
  <c r="DD74" i="62"/>
  <c r="DD39" i="62"/>
  <c r="DD35" i="62"/>
  <c r="DD161" i="62"/>
  <c r="DD99" i="62"/>
  <c r="DD98" i="62"/>
  <c r="DD81" i="62"/>
  <c r="DD125" i="62"/>
  <c r="DD82" i="62"/>
  <c r="DD47" i="62"/>
  <c r="DD22" i="62"/>
  <c r="DD73" i="62"/>
  <c r="DD50" i="62"/>
  <c r="DD46" i="62"/>
  <c r="DD80" i="62"/>
  <c r="DD25" i="62"/>
  <c r="DD12" i="62"/>
  <c r="DD32" i="62"/>
  <c r="DD19" i="62"/>
  <c r="DD102" i="62"/>
  <c r="DD79" i="62"/>
  <c r="DD53" i="62"/>
  <c r="DD16" i="62"/>
  <c r="DD13" i="62"/>
  <c r="DD14" i="62"/>
  <c r="DD106" i="62"/>
  <c r="DD139" i="62"/>
  <c r="DD126" i="62"/>
  <c r="DD180" i="62"/>
  <c r="DD26" i="62"/>
  <c r="DD137" i="62"/>
  <c r="DD36" i="62"/>
  <c r="DD83" i="62"/>
  <c r="DD67" i="62"/>
  <c r="DD20" i="62"/>
  <c r="DD33" i="62"/>
  <c r="DD76" i="62"/>
  <c r="DD171" i="62"/>
  <c r="DD177" i="62"/>
  <c r="DD183" i="62"/>
  <c r="DE8" i="62"/>
  <c r="DD68" i="62"/>
  <c r="DD89" i="62"/>
  <c r="DD48" i="62"/>
  <c r="DD186" i="62"/>
  <c r="DD109" i="62"/>
  <c r="DD165" i="62"/>
  <c r="DD40" i="62"/>
  <c r="DD174" i="62"/>
  <c r="DD100" i="62"/>
  <c r="DD136" i="62"/>
  <c r="DD17" i="62"/>
  <c r="DD54" i="62"/>
  <c r="DD123" i="62"/>
  <c r="DD116" i="62"/>
  <c r="DD103" i="62"/>
  <c r="DD51" i="62"/>
  <c r="DD189" i="62"/>
  <c r="DD162" i="62"/>
  <c r="DD23" i="62"/>
  <c r="DD138" i="62"/>
  <c r="DD168" i="62"/>
  <c r="DD96" i="62"/>
  <c r="DE94" i="62" l="1" a="1"/>
  <c r="DE94" i="62" s="1"/>
  <c r="DE64" i="62"/>
  <c r="DE63" i="62"/>
  <c r="DE65" i="62"/>
  <c r="DE185" i="62"/>
  <c r="DE188" i="62"/>
  <c r="DE182" i="62"/>
  <c r="DE173" i="62"/>
  <c r="DE170" i="62"/>
  <c r="DE167" i="62"/>
  <c r="DE164" i="62"/>
  <c r="DE161" i="62"/>
  <c r="DE125" i="62"/>
  <c r="DE122" i="62"/>
  <c r="DE115" i="62"/>
  <c r="DE105" i="62"/>
  <c r="DE102" i="62"/>
  <c r="DE98" i="62"/>
  <c r="DE99" i="62"/>
  <c r="DE88" i="62"/>
  <c r="DE179" i="62"/>
  <c r="DE108" i="62" a="1"/>
  <c r="DE108" i="62" s="1"/>
  <c r="DE79" i="62"/>
  <c r="DE80" i="62"/>
  <c r="DE81" i="62"/>
  <c r="DE82" i="62"/>
  <c r="DE72" i="62"/>
  <c r="DE73" i="62"/>
  <c r="DE74" i="62"/>
  <c r="DE75" i="62"/>
  <c r="DE39" i="62"/>
  <c r="DE176" i="62"/>
  <c r="DE53" i="62"/>
  <c r="DE50" i="62"/>
  <c r="DE46" i="62"/>
  <c r="DE47" i="62"/>
  <c r="DE38" i="62"/>
  <c r="DE32" i="62"/>
  <c r="DE95" i="62"/>
  <c r="DE66" i="62"/>
  <c r="DE35" i="62"/>
  <c r="DE16" i="62"/>
  <c r="DE12" i="62"/>
  <c r="DE22" i="62"/>
  <c r="DE62" i="62"/>
  <c r="DE25" i="62"/>
  <c r="DE19" i="62"/>
  <c r="DE51" i="62"/>
  <c r="DE139" i="62"/>
  <c r="DE171" i="62"/>
  <c r="DE67" i="62"/>
  <c r="DE54" i="62"/>
  <c r="DE162" i="62"/>
  <c r="DE83" i="62"/>
  <c r="DE89" i="62"/>
  <c r="DE116" i="62"/>
  <c r="DE180" i="62"/>
  <c r="DE165" i="62"/>
  <c r="DE40" i="62"/>
  <c r="DE189" i="62"/>
  <c r="DE123" i="62"/>
  <c r="DE76" i="62"/>
  <c r="DE183" i="62"/>
  <c r="DE138" i="62"/>
  <c r="DE14" i="62"/>
  <c r="DE26" i="62"/>
  <c r="DE177" i="62"/>
  <c r="DE109" i="62"/>
  <c r="DE168" i="62"/>
  <c r="DE137" i="62"/>
  <c r="DE48" i="62"/>
  <c r="DE126" i="62"/>
  <c r="DE96" i="62"/>
  <c r="DE136" i="62"/>
  <c r="DE100" i="62"/>
  <c r="DE103" i="62"/>
  <c r="DE17" i="62"/>
  <c r="DE20" i="62"/>
  <c r="DE36" i="62"/>
  <c r="DE186" i="62"/>
  <c r="DE106" i="62"/>
  <c r="DE68" i="62"/>
  <c r="DE174" i="62"/>
  <c r="DE33" i="62"/>
  <c r="DE23" i="62"/>
  <c r="DF8" i="62"/>
  <c r="DE13" i="62"/>
  <c r="DF94" i="62" l="1" a="1"/>
  <c r="DF94" i="62" s="1"/>
  <c r="DF65" i="62"/>
  <c r="DF64" i="62"/>
  <c r="DF63" i="62"/>
  <c r="DF182" i="62"/>
  <c r="DF185" i="62"/>
  <c r="DF179" i="62"/>
  <c r="DF176" i="62"/>
  <c r="DF173" i="62"/>
  <c r="DF115" i="62"/>
  <c r="DF188" i="62"/>
  <c r="DF170" i="62"/>
  <c r="DF167" i="62"/>
  <c r="DF164" i="62"/>
  <c r="DF79" i="62"/>
  <c r="DF122" i="62"/>
  <c r="DF105" i="62"/>
  <c r="DF102" i="62"/>
  <c r="DF161" i="62"/>
  <c r="DF95" i="62"/>
  <c r="DF88" i="62"/>
  <c r="DF62" i="62"/>
  <c r="DF108" i="62" a="1"/>
  <c r="DF108" i="62" s="1"/>
  <c r="DF80" i="62"/>
  <c r="DF72" i="62"/>
  <c r="DF74" i="62"/>
  <c r="DF66" i="62"/>
  <c r="DF25" i="62"/>
  <c r="DF38" i="62"/>
  <c r="DF22" i="62"/>
  <c r="DF19" i="62"/>
  <c r="DF16" i="62"/>
  <c r="DF75" i="62"/>
  <c r="DF98" i="62"/>
  <c r="DF46" i="62"/>
  <c r="DF39" i="62"/>
  <c r="DF12" i="62"/>
  <c r="DF99" i="62"/>
  <c r="DF47" i="62"/>
  <c r="DF35" i="62"/>
  <c r="DF73" i="62"/>
  <c r="DF81" i="62"/>
  <c r="DF53" i="62"/>
  <c r="DF50" i="62"/>
  <c r="DF82" i="62"/>
  <c r="DF125" i="62"/>
  <c r="DF32" i="62"/>
  <c r="DF89" i="62"/>
  <c r="DF136" i="62"/>
  <c r="DF26" i="62"/>
  <c r="DF180" i="62"/>
  <c r="DF20" i="62"/>
  <c r="DF137" i="62"/>
  <c r="DF54" i="62"/>
  <c r="DF100" i="62"/>
  <c r="DF165" i="62"/>
  <c r="DF139" i="62"/>
  <c r="DF76" i="62"/>
  <c r="DF109" i="62"/>
  <c r="DF116" i="62"/>
  <c r="DG8" i="62"/>
  <c r="DF23" i="62"/>
  <c r="DF177" i="62"/>
  <c r="DF162" i="62"/>
  <c r="DF174" i="62"/>
  <c r="DF126" i="62"/>
  <c r="DF68" i="62"/>
  <c r="DF96" i="62"/>
  <c r="DF183" i="62"/>
  <c r="DF14" i="62"/>
  <c r="DF17" i="62"/>
  <c r="DF171" i="62"/>
  <c r="DF48" i="62"/>
  <c r="DF13" i="62"/>
  <c r="DF106" i="62"/>
  <c r="DF138" i="62"/>
  <c r="DF51" i="62"/>
  <c r="DF103" i="62"/>
  <c r="DF67" i="62"/>
  <c r="DF186" i="62"/>
  <c r="DF83" i="62"/>
  <c r="DF168" i="62"/>
  <c r="DF189" i="62"/>
  <c r="DF40" i="62"/>
  <c r="DF33" i="62"/>
  <c r="DF36" i="62"/>
  <c r="DF123" i="62"/>
  <c r="DG94" i="62" l="1" a="1"/>
  <c r="DG94" i="62" s="1"/>
  <c r="DG65" i="62"/>
  <c r="DG64" i="62"/>
  <c r="DG63" i="62"/>
  <c r="DG188" i="62"/>
  <c r="DG170" i="62"/>
  <c r="DG185" i="62"/>
  <c r="DG105" i="62"/>
  <c r="DG182" i="62"/>
  <c r="DG173" i="62"/>
  <c r="DG80" i="62"/>
  <c r="DG164" i="62"/>
  <c r="DG115" i="62"/>
  <c r="DG99" i="62"/>
  <c r="DG66" i="62"/>
  <c r="DG179" i="62"/>
  <c r="DG161" i="62"/>
  <c r="DG122" i="62"/>
  <c r="DG125" i="62"/>
  <c r="DG176" i="62"/>
  <c r="DG102" i="62"/>
  <c r="DG22" i="62"/>
  <c r="DG88" i="62"/>
  <c r="DG74" i="62"/>
  <c r="DG98" i="62"/>
  <c r="DG79" i="62"/>
  <c r="DG50" i="62"/>
  <c r="DG35" i="62"/>
  <c r="DG32" i="62"/>
  <c r="DG25" i="62"/>
  <c r="DG167" i="62"/>
  <c r="DG108" i="62" a="1"/>
  <c r="DG108" i="62" s="1"/>
  <c r="DG72" i="62"/>
  <c r="DG75" i="62"/>
  <c r="DG62" i="62"/>
  <c r="DG73" i="62"/>
  <c r="DG53" i="62"/>
  <c r="DG82" i="62"/>
  <c r="DG12" i="62"/>
  <c r="DG95" i="62"/>
  <c r="DG38" i="62"/>
  <c r="DG39" i="62"/>
  <c r="DG16" i="62"/>
  <c r="DG47" i="62"/>
  <c r="DG46" i="62"/>
  <c r="DG19" i="62"/>
  <c r="DG81" i="62"/>
  <c r="DG123" i="62"/>
  <c r="DG100" i="62"/>
  <c r="DG33" i="62"/>
  <c r="DG83" i="62"/>
  <c r="DG106" i="62"/>
  <c r="DG138" i="62"/>
  <c r="DG177" i="62"/>
  <c r="DG48" i="62"/>
  <c r="DG139" i="62"/>
  <c r="DG17" i="62"/>
  <c r="DG126" i="62"/>
  <c r="DG36" i="62"/>
  <c r="DG54" i="62"/>
  <c r="DG116" i="62"/>
  <c r="DG23" i="62"/>
  <c r="DG103" i="62"/>
  <c r="DH8" i="62"/>
  <c r="DG189" i="62"/>
  <c r="DG13" i="62"/>
  <c r="DG89" i="62"/>
  <c r="DG180" i="62"/>
  <c r="DG26" i="62"/>
  <c r="DG51" i="62"/>
  <c r="DG162" i="62"/>
  <c r="DG14" i="62"/>
  <c r="DG171" i="62"/>
  <c r="DG96" i="62"/>
  <c r="DG20" i="62"/>
  <c r="DG76" i="62"/>
  <c r="DG40" i="62"/>
  <c r="DG136" i="62"/>
  <c r="DG168" i="62"/>
  <c r="DG137" i="62"/>
  <c r="DG174" i="62"/>
  <c r="DG67" i="62"/>
  <c r="DG186" i="62"/>
  <c r="DG183" i="62"/>
  <c r="DG165" i="62"/>
  <c r="DG109" i="62"/>
  <c r="DG68" i="62"/>
  <c r="DH94" i="62" l="1" a="1"/>
  <c r="DH94" i="62" s="1"/>
  <c r="DH63" i="62"/>
  <c r="DH64" i="62"/>
  <c r="DH65" i="62"/>
  <c r="DH185" i="62"/>
  <c r="DH188" i="62"/>
  <c r="DH167" i="62"/>
  <c r="DH108" i="62" a="1"/>
  <c r="DH108" i="62" s="1"/>
  <c r="DH102" i="62"/>
  <c r="DH125" i="62"/>
  <c r="DH81" i="62"/>
  <c r="DH182" i="62"/>
  <c r="DH173" i="62"/>
  <c r="DH115" i="62"/>
  <c r="DH99" i="62"/>
  <c r="DH179" i="62"/>
  <c r="DH170" i="62"/>
  <c r="DH176" i="62"/>
  <c r="DH98" i="62"/>
  <c r="DH95" i="62"/>
  <c r="DH82" i="62"/>
  <c r="DH53" i="62"/>
  <c r="DH164" i="62"/>
  <c r="DH80" i="62"/>
  <c r="DH122" i="62"/>
  <c r="DH72" i="62"/>
  <c r="DH75" i="62"/>
  <c r="DH19" i="62"/>
  <c r="DH105" i="62"/>
  <c r="DH66" i="62"/>
  <c r="DH161" i="62"/>
  <c r="DH88" i="62"/>
  <c r="DH79" i="62"/>
  <c r="DH74" i="62"/>
  <c r="DH25" i="62"/>
  <c r="DH38" i="62"/>
  <c r="DH39" i="62"/>
  <c r="DH35" i="62"/>
  <c r="DH16" i="62"/>
  <c r="DH46" i="62"/>
  <c r="DH32" i="62"/>
  <c r="DH22" i="62"/>
  <c r="DH62" i="62"/>
  <c r="DH47" i="62"/>
  <c r="DH50" i="62"/>
  <c r="DH12" i="62"/>
  <c r="DH73" i="62"/>
  <c r="DH23" i="62"/>
  <c r="DH100" i="62"/>
  <c r="DH103" i="62"/>
  <c r="DH116" i="62"/>
  <c r="DH109" i="62"/>
  <c r="DH54" i="62"/>
  <c r="DH137" i="62"/>
  <c r="DH40" i="62"/>
  <c r="DH48" i="62"/>
  <c r="DH171" i="62"/>
  <c r="DH183" i="62"/>
  <c r="DH174" i="62"/>
  <c r="DH67" i="62"/>
  <c r="DH168" i="62"/>
  <c r="DH83" i="62"/>
  <c r="DH51" i="62"/>
  <c r="DH136" i="62"/>
  <c r="DH177" i="62"/>
  <c r="DH180" i="62"/>
  <c r="DH89" i="62"/>
  <c r="DH106" i="62"/>
  <c r="DH26" i="62"/>
  <c r="DH186" i="62"/>
  <c r="DH126" i="62"/>
  <c r="DH96" i="62"/>
  <c r="DH13" i="62"/>
  <c r="DH33" i="62"/>
  <c r="DH189" i="62"/>
  <c r="DH162" i="62"/>
  <c r="DH76" i="62"/>
  <c r="DH36" i="62"/>
  <c r="DH14" i="62"/>
  <c r="DH123" i="62"/>
  <c r="DH20" i="62"/>
  <c r="DH139" i="62"/>
  <c r="DH165" i="62"/>
  <c r="DH68" i="62"/>
  <c r="DH17" i="62"/>
  <c r="DH138" i="62"/>
  <c r="DI8" i="62"/>
  <c r="DI94" i="62" l="1" a="1"/>
  <c r="DI94" i="62" s="1"/>
  <c r="DI64" i="62"/>
  <c r="DI65" i="62"/>
  <c r="DI63" i="62"/>
  <c r="DI182" i="62"/>
  <c r="DI185" i="62"/>
  <c r="DI164" i="62"/>
  <c r="DI176" i="62"/>
  <c r="DI98" i="62"/>
  <c r="DI179" i="62"/>
  <c r="DI173" i="62"/>
  <c r="DI82" i="62"/>
  <c r="DI125" i="62"/>
  <c r="DI188" i="62"/>
  <c r="DI105" i="62"/>
  <c r="DI108" i="62" a="1"/>
  <c r="DI108" i="62" s="1"/>
  <c r="DI115" i="62"/>
  <c r="DI50" i="62"/>
  <c r="DI95" i="62"/>
  <c r="DI170" i="62"/>
  <c r="DI161" i="62"/>
  <c r="DI79" i="62"/>
  <c r="DI81" i="62"/>
  <c r="DI16" i="62"/>
  <c r="DI72" i="62"/>
  <c r="DI75" i="62"/>
  <c r="DI122" i="62"/>
  <c r="DI102" i="62"/>
  <c r="DI80" i="62"/>
  <c r="DI47" i="62"/>
  <c r="DI167" i="62"/>
  <c r="DI74" i="62"/>
  <c r="DI88" i="62"/>
  <c r="DI66" i="62"/>
  <c r="DI25" i="62"/>
  <c r="DI99" i="62"/>
  <c r="DI62" i="62"/>
  <c r="DI19" i="62"/>
  <c r="DI35" i="62"/>
  <c r="DI32" i="62"/>
  <c r="DI38" i="62"/>
  <c r="DI39" i="62"/>
  <c r="DI22" i="62"/>
  <c r="DI46" i="62"/>
  <c r="DI12" i="62"/>
  <c r="DI73" i="62"/>
  <c r="DI53" i="62"/>
  <c r="DI123" i="62"/>
  <c r="DI138" i="62"/>
  <c r="DI51" i="62"/>
  <c r="DI20" i="62"/>
  <c r="DI76" i="62"/>
  <c r="DI126" i="62"/>
  <c r="DI36" i="62"/>
  <c r="DI96" i="62"/>
  <c r="DI116" i="62"/>
  <c r="DI33" i="62"/>
  <c r="DI54" i="62"/>
  <c r="DI89" i="62"/>
  <c r="DI13" i="62"/>
  <c r="DI168" i="62"/>
  <c r="DI162" i="62"/>
  <c r="DI48" i="62"/>
  <c r="DI14" i="62"/>
  <c r="DI171" i="62"/>
  <c r="DJ8" i="62"/>
  <c r="DI177" i="62"/>
  <c r="DI139" i="62"/>
  <c r="DI67" i="62"/>
  <c r="DI68" i="62"/>
  <c r="DI180" i="62"/>
  <c r="DI100" i="62"/>
  <c r="DI109" i="62"/>
  <c r="DI17" i="62"/>
  <c r="DI137" i="62"/>
  <c r="DI106" i="62"/>
  <c r="DI23" i="62"/>
  <c r="DI189" i="62"/>
  <c r="DI103" i="62"/>
  <c r="DI186" i="62"/>
  <c r="DI136" i="62"/>
  <c r="DI26" i="62"/>
  <c r="DI174" i="62"/>
  <c r="DI183" i="62"/>
  <c r="DI165" i="62"/>
  <c r="DI83" i="62"/>
  <c r="DI40" i="62"/>
  <c r="DJ94" i="62" l="1" a="1"/>
  <c r="DJ94" i="62" s="1"/>
  <c r="DJ63" i="62"/>
  <c r="DJ64" i="62"/>
  <c r="DJ65" i="62"/>
  <c r="DJ179" i="62"/>
  <c r="DJ182" i="62"/>
  <c r="DJ188" i="62"/>
  <c r="DJ161" i="62"/>
  <c r="DJ99" i="62"/>
  <c r="DJ185" i="62"/>
  <c r="DJ176" i="62"/>
  <c r="DJ108" i="62" a="1"/>
  <c r="DJ108" i="62" s="1"/>
  <c r="DJ72" i="62"/>
  <c r="DJ173" i="62"/>
  <c r="DJ105" i="62"/>
  <c r="DJ167" i="62"/>
  <c r="DJ79" i="62"/>
  <c r="DJ73" i="62"/>
  <c r="DJ46" i="62"/>
  <c r="DJ125" i="62"/>
  <c r="DJ115" i="62"/>
  <c r="DJ98" i="62"/>
  <c r="DJ82" i="62"/>
  <c r="DJ164" i="62"/>
  <c r="DJ102" i="62"/>
  <c r="DJ62" i="62"/>
  <c r="DJ12" i="62"/>
  <c r="DJ170" i="62"/>
  <c r="DJ81" i="62"/>
  <c r="DJ66" i="62"/>
  <c r="DJ80" i="62"/>
  <c r="DJ50" i="62"/>
  <c r="DJ19" i="62"/>
  <c r="DJ25" i="62"/>
  <c r="DJ95" i="62"/>
  <c r="DJ122" i="62"/>
  <c r="DJ74" i="62"/>
  <c r="DJ75" i="62"/>
  <c r="DJ22" i="62"/>
  <c r="DJ53" i="62"/>
  <c r="DJ32" i="62"/>
  <c r="DJ16" i="62"/>
  <c r="DJ47" i="62"/>
  <c r="DJ38" i="62"/>
  <c r="DJ35" i="62"/>
  <c r="DJ39" i="62"/>
  <c r="DJ88" i="62"/>
  <c r="DJ36" i="62"/>
  <c r="DJ100" i="62"/>
  <c r="DJ106" i="62"/>
  <c r="DJ89" i="62"/>
  <c r="DJ189" i="62"/>
  <c r="DJ13" i="62"/>
  <c r="DJ76" i="62"/>
  <c r="DJ116" i="62"/>
  <c r="DJ48" i="62"/>
  <c r="DJ23" i="62"/>
  <c r="DK8" i="62"/>
  <c r="DJ162" i="62"/>
  <c r="DJ40" i="62"/>
  <c r="DJ14" i="62"/>
  <c r="DJ33" i="62"/>
  <c r="DJ123" i="62"/>
  <c r="DJ180" i="62"/>
  <c r="DJ186" i="62"/>
  <c r="DJ138" i="62"/>
  <c r="DJ109" i="62"/>
  <c r="DJ171" i="62"/>
  <c r="DJ17" i="62"/>
  <c r="DJ165" i="62"/>
  <c r="DJ83" i="62"/>
  <c r="DJ137" i="62"/>
  <c r="DJ20" i="62"/>
  <c r="DJ51" i="62"/>
  <c r="DJ168" i="62"/>
  <c r="DJ136" i="62"/>
  <c r="DJ54" i="62"/>
  <c r="DJ26" i="62"/>
  <c r="DJ126" i="62"/>
  <c r="DJ96" i="62"/>
  <c r="DJ183" i="62"/>
  <c r="DJ103" i="62"/>
  <c r="DJ139" i="62"/>
  <c r="DJ68" i="62"/>
  <c r="DJ177" i="62"/>
  <c r="DJ174" i="62"/>
  <c r="DJ67" i="62"/>
  <c r="DK94" i="62" l="1" a="1"/>
  <c r="DK94" i="62" s="1"/>
  <c r="DK64" i="62"/>
  <c r="DK65" i="62"/>
  <c r="DK63" i="62"/>
  <c r="DK176" i="62"/>
  <c r="DK125" i="62"/>
  <c r="DK188" i="62"/>
  <c r="DK170" i="62"/>
  <c r="DK73" i="62"/>
  <c r="DK185" i="62"/>
  <c r="DK179" i="62"/>
  <c r="DK108" i="62" a="1"/>
  <c r="DK108" i="62" s="1"/>
  <c r="DK182" i="62"/>
  <c r="DK102" i="62"/>
  <c r="DK98" i="62"/>
  <c r="DK74" i="62"/>
  <c r="DK173" i="62"/>
  <c r="DK47" i="62"/>
  <c r="DK167" i="62"/>
  <c r="DK79" i="62"/>
  <c r="DK115" i="62"/>
  <c r="DK122" i="62"/>
  <c r="DK99" i="62"/>
  <c r="DK95" i="62"/>
  <c r="DK164" i="62"/>
  <c r="DK62" i="62"/>
  <c r="DK105" i="62"/>
  <c r="DK88" i="62"/>
  <c r="DK82" i="62"/>
  <c r="DK53" i="62"/>
  <c r="DK39" i="62"/>
  <c r="DK161" i="62"/>
  <c r="DK80" i="62"/>
  <c r="DK81" i="62"/>
  <c r="DK50" i="62"/>
  <c r="DK32" i="62"/>
  <c r="DK19" i="62"/>
  <c r="DK72" i="62"/>
  <c r="DK66" i="62"/>
  <c r="DK38" i="62"/>
  <c r="DK35" i="62"/>
  <c r="DK75" i="62"/>
  <c r="DK46" i="62"/>
  <c r="DK16" i="62"/>
  <c r="DK22" i="62"/>
  <c r="DK12" i="62"/>
  <c r="DK25" i="62"/>
  <c r="DK123" i="62"/>
  <c r="DK14" i="62"/>
  <c r="DK103" i="62"/>
  <c r="DK40" i="62"/>
  <c r="DK171" i="62"/>
  <c r="DK138" i="62"/>
  <c r="DK116" i="62"/>
  <c r="DK165" i="62"/>
  <c r="DK96" i="62"/>
  <c r="DK48" i="62"/>
  <c r="DK186" i="62"/>
  <c r="DK109" i="62"/>
  <c r="DK183" i="62"/>
  <c r="DK168" i="62"/>
  <c r="DK139" i="62"/>
  <c r="DK20" i="62"/>
  <c r="DK68" i="62"/>
  <c r="DL8" i="62"/>
  <c r="DK67" i="62"/>
  <c r="DK177" i="62"/>
  <c r="DK100" i="62"/>
  <c r="DK51" i="62"/>
  <c r="DK106" i="62"/>
  <c r="DK33" i="62"/>
  <c r="DK89" i="62"/>
  <c r="DK174" i="62"/>
  <c r="DK76" i="62"/>
  <c r="DK83" i="62"/>
  <c r="DK189" i="62"/>
  <c r="DK36" i="62"/>
  <c r="DK54" i="62"/>
  <c r="DK13" i="62"/>
  <c r="DK17" i="62"/>
  <c r="DK162" i="62"/>
  <c r="DK23" i="62"/>
  <c r="DK180" i="62"/>
  <c r="DK126" i="62"/>
  <c r="DK26" i="62"/>
  <c r="DK137" i="62"/>
  <c r="DK136" i="62"/>
  <c r="DL94" i="62" l="1" a="1"/>
  <c r="DL94" i="62" s="1"/>
  <c r="DL63" i="62"/>
  <c r="DL64" i="62"/>
  <c r="DL65" i="62"/>
  <c r="DL188" i="62"/>
  <c r="DL122" i="62"/>
  <c r="DL161" i="62"/>
  <c r="DL95" i="62"/>
  <c r="DL170" i="62"/>
  <c r="DL185" i="62"/>
  <c r="DL167" i="62"/>
  <c r="DL164" i="62"/>
  <c r="DL125" i="62"/>
  <c r="DL75" i="62"/>
  <c r="DL102" i="62"/>
  <c r="DL98" i="62"/>
  <c r="DL173" i="62"/>
  <c r="DL182" i="62"/>
  <c r="DL81" i="62"/>
  <c r="DL38" i="62"/>
  <c r="DL179" i="62"/>
  <c r="DL108" i="62" a="1"/>
  <c r="DL108" i="62" s="1"/>
  <c r="DL73" i="62"/>
  <c r="DL105" i="62"/>
  <c r="DL35" i="62"/>
  <c r="DL99" i="62"/>
  <c r="DL79" i="62"/>
  <c r="DL176" i="62"/>
  <c r="DL115" i="62"/>
  <c r="DL82" i="62"/>
  <c r="DL66" i="62"/>
  <c r="DL62" i="62"/>
  <c r="DL53" i="62"/>
  <c r="DL46" i="62"/>
  <c r="DL50" i="62"/>
  <c r="DL32" i="62"/>
  <c r="DL72" i="62"/>
  <c r="DL19" i="62"/>
  <c r="DL80" i="62"/>
  <c r="DL47" i="62"/>
  <c r="DL39" i="62"/>
  <c r="DL74" i="62"/>
  <c r="DL12" i="62"/>
  <c r="DL16" i="62"/>
  <c r="DL22" i="62"/>
  <c r="DL88" i="62"/>
  <c r="DL25" i="62"/>
  <c r="DL183" i="62"/>
  <c r="DL67" i="62"/>
  <c r="DL89" i="62"/>
  <c r="DL13" i="62"/>
  <c r="DL48" i="62"/>
  <c r="DL138" i="62"/>
  <c r="DL68" i="62"/>
  <c r="DL106" i="62"/>
  <c r="DL40" i="62"/>
  <c r="DL137" i="62"/>
  <c r="DL33" i="62"/>
  <c r="DL17" i="62"/>
  <c r="DL109" i="62"/>
  <c r="DL126" i="62"/>
  <c r="DL76" i="62"/>
  <c r="DL96" i="62"/>
  <c r="DL136" i="62"/>
  <c r="DL162" i="62"/>
  <c r="DL168" i="62"/>
  <c r="DL100" i="62"/>
  <c r="DL174" i="62"/>
  <c r="DL36" i="62"/>
  <c r="DL14" i="62"/>
  <c r="DL139" i="62"/>
  <c r="DL177" i="62"/>
  <c r="DL26" i="62"/>
  <c r="DL123" i="62"/>
  <c r="DL180" i="62"/>
  <c r="DL20" i="62"/>
  <c r="DL171" i="62"/>
  <c r="DM8" i="62"/>
  <c r="DL54" i="62"/>
  <c r="DL51" i="62"/>
  <c r="DL23" i="62"/>
  <c r="DL116" i="62"/>
  <c r="DL186" i="62"/>
  <c r="DL103" i="62"/>
  <c r="DL165" i="62"/>
  <c r="DL189" i="62"/>
  <c r="DL83" i="62"/>
  <c r="DM94" i="62" l="1" a="1"/>
  <c r="DM94" i="62" s="1"/>
  <c r="N94" i="62" s="1" a="1"/>
  <c r="N94" i="62" s="1"/>
  <c r="Z94" i="62" s="1"/>
  <c r="DM64" i="62"/>
  <c r="N64" i="62" s="1" a="1"/>
  <c r="N64" i="62" s="1"/>
  <c r="Z64" i="62" s="1"/>
  <c r="DM63" i="62"/>
  <c r="N63" i="62" s="1" a="1"/>
  <c r="N63" i="62" s="1"/>
  <c r="Z63" i="62" s="1"/>
  <c r="DM65" i="62"/>
  <c r="N65" i="62" s="1" a="1"/>
  <c r="N65" i="62" s="1"/>
  <c r="Z65" i="62" s="1"/>
  <c r="DM185" i="62"/>
  <c r="N185" i="62" s="1" a="1"/>
  <c r="N185" i="62" s="1"/>
  <c r="DM179" i="62"/>
  <c r="N179" i="62" s="1" a="1"/>
  <c r="N179" i="62" s="1"/>
  <c r="DM188" i="62"/>
  <c r="N188" i="62" s="1" a="1"/>
  <c r="N188" i="62" s="1"/>
  <c r="DM167" i="62"/>
  <c r="N167" i="62" s="1" a="1"/>
  <c r="N167" i="62" s="1"/>
  <c r="DM88" i="62"/>
  <c r="N88" i="62" s="1" a="1"/>
  <c r="N88" i="62" s="1"/>
  <c r="Z88" i="62" s="1"/>
  <c r="DM161" i="62"/>
  <c r="N161" i="62" s="1" a="1"/>
  <c r="N161" i="62" s="1"/>
  <c r="DM164" i="62"/>
  <c r="N164" i="62" s="1" a="1"/>
  <c r="N164" i="62" s="1"/>
  <c r="DM125" i="62"/>
  <c r="N125" i="62" s="1" a="1"/>
  <c r="N125" i="62" s="1"/>
  <c r="Z125" i="62" s="1"/>
  <c r="DM102" i="62"/>
  <c r="N102" i="62" s="1" a="1"/>
  <c r="N102" i="62" s="1"/>
  <c r="Z102" i="62" s="1"/>
  <c r="DM62" i="62"/>
  <c r="N62" i="62" s="1" a="1"/>
  <c r="N62" i="62" s="1"/>
  <c r="DM66" i="62"/>
  <c r="N66" i="62" s="1" a="1"/>
  <c r="N66" i="62" s="1"/>
  <c r="Z66" i="62" s="1"/>
  <c r="DM39" i="62"/>
  <c r="N39" i="62" s="1" a="1"/>
  <c r="N39" i="62" s="1"/>
  <c r="DM81" i="62"/>
  <c r="N81" i="62" s="1" a="1"/>
  <c r="N81" i="62" s="1"/>
  <c r="Z81" i="62" s="1"/>
  <c r="DM98" i="62"/>
  <c r="N98" i="62" s="1" a="1"/>
  <c r="N98" i="62" s="1"/>
  <c r="Z98" i="62" s="1"/>
  <c r="DM173" i="62"/>
  <c r="N173" i="62" s="1" a="1"/>
  <c r="N173" i="62" s="1"/>
  <c r="DM182" i="62"/>
  <c r="N182" i="62" s="1" a="1"/>
  <c r="N182" i="62" s="1"/>
  <c r="DM32" i="62"/>
  <c r="N32" i="62" s="1" a="1"/>
  <c r="N32" i="62" s="1"/>
  <c r="DM95" i="62"/>
  <c r="N95" i="62" s="1" a="1"/>
  <c r="N95" i="62" s="1"/>
  <c r="DM170" i="62"/>
  <c r="N170" i="62" s="1" a="1"/>
  <c r="N170" i="62" s="1"/>
  <c r="DM99" i="62"/>
  <c r="N99" i="62" s="1" a="1"/>
  <c r="N99" i="62" s="1"/>
  <c r="Z99" i="62" s="1"/>
  <c r="DM79" i="62"/>
  <c r="N79" i="62" s="1" a="1"/>
  <c r="N79" i="62" s="1"/>
  <c r="Z79" i="62" s="1"/>
  <c r="DM108" i="62" a="1"/>
  <c r="DM108" i="62" s="1"/>
  <c r="N108" i="62" s="1" a="1"/>
  <c r="N108" i="62" s="1"/>
  <c r="Z108" i="62" s="1"/>
  <c r="DM73" i="62"/>
  <c r="N73" i="62" s="1" a="1"/>
  <c r="N73" i="62" s="1"/>
  <c r="Z73" i="62" s="1"/>
  <c r="DM46" i="62"/>
  <c r="N46" i="62" s="1" a="1"/>
  <c r="N46" i="62" s="1"/>
  <c r="DM105" i="62"/>
  <c r="N105" i="62" s="1" a="1"/>
  <c r="N105" i="62" s="1"/>
  <c r="Z105" i="62" s="1"/>
  <c r="DM82" i="62"/>
  <c r="N82" i="62" s="1" a="1"/>
  <c r="N82" i="62" s="1"/>
  <c r="Z82" i="62" s="1"/>
  <c r="DM53" i="62"/>
  <c r="N53" i="62" s="1" a="1"/>
  <c r="N53" i="62" s="1"/>
  <c r="DM72" i="62"/>
  <c r="N72" i="62" s="1" a="1"/>
  <c r="N72" i="62" s="1"/>
  <c r="Z72" i="62" s="1"/>
  <c r="DM74" i="62"/>
  <c r="N74" i="62" s="1" a="1"/>
  <c r="N74" i="62" s="1"/>
  <c r="DM75" i="62"/>
  <c r="N75" i="62" s="1" a="1"/>
  <c r="N75" i="62" s="1"/>
  <c r="Z75" i="62" s="1"/>
  <c r="DM50" i="62"/>
  <c r="N50" i="62" s="1" a="1"/>
  <c r="N50" i="62" s="1"/>
  <c r="DM22" i="62"/>
  <c r="N22" i="62" s="1" a="1"/>
  <c r="N22" i="62" s="1"/>
  <c r="Z22" i="62" s="1"/>
  <c r="DM176" i="62"/>
  <c r="N176" i="62" s="1" a="1"/>
  <c r="N176" i="62" s="1"/>
  <c r="DM115" i="62"/>
  <c r="N115" i="62" s="1" a="1"/>
  <c r="N115" i="62" s="1"/>
  <c r="Z115" i="62" s="1"/>
  <c r="DM25" i="62"/>
  <c r="N25" i="62" s="1" a="1"/>
  <c r="N25" i="62" s="1"/>
  <c r="Z25" i="62" s="1"/>
  <c r="DM12" i="62"/>
  <c r="N12" i="62" s="1" a="1"/>
  <c r="N12" i="62" s="1"/>
  <c r="DM19" i="62"/>
  <c r="N19" i="62" s="1" a="1"/>
  <c r="N19" i="62" s="1"/>
  <c r="DM80" i="62"/>
  <c r="N80" i="62" s="1" a="1"/>
  <c r="N80" i="62" s="1"/>
  <c r="Z80" i="62" s="1"/>
  <c r="DM38" i="62"/>
  <c r="N38" i="62" s="1" a="1"/>
  <c r="N38" i="62" s="1"/>
  <c r="DM35" i="62"/>
  <c r="N35" i="62" s="1" a="1"/>
  <c r="N35" i="62" s="1"/>
  <c r="DM47" i="62"/>
  <c r="N47" i="62" s="1" a="1"/>
  <c r="N47" i="62" s="1"/>
  <c r="Z47" i="62" s="1"/>
  <c r="DM16" i="62"/>
  <c r="N16" i="62" s="1" a="1"/>
  <c r="N16" i="62" s="1"/>
  <c r="DM122" i="62"/>
  <c r="N122" i="62" s="1" a="1"/>
  <c r="N122" i="62" s="1"/>
  <c r="DM23" i="62"/>
  <c r="N23" i="62" s="1" a="1"/>
  <c r="N23" i="62" s="1"/>
  <c r="DM138" i="62"/>
  <c r="N138" i="62" s="1" a="1"/>
  <c r="N138" i="62" s="1"/>
  <c r="DM171" i="62"/>
  <c r="N171" i="62" s="1" a="1"/>
  <c r="N171" i="62" s="1"/>
  <c r="M20" i="120" s="1"/>
  <c r="DM106" i="62"/>
  <c r="N106" i="62" s="1" a="1"/>
  <c r="N106" i="62" s="1"/>
  <c r="DM165" i="62"/>
  <c r="N165" i="62" s="1" a="1"/>
  <c r="N165" i="62" s="1"/>
  <c r="M14" i="120" s="1"/>
  <c r="DM76" i="62"/>
  <c r="N76" i="62" s="1" a="1"/>
  <c r="N76" i="62" s="1"/>
  <c r="DM96" i="62"/>
  <c r="N96" i="62" s="1" a="1"/>
  <c r="N96" i="62" s="1"/>
  <c r="DM83" i="62"/>
  <c r="N83" i="62" s="1" a="1"/>
  <c r="N83" i="62" s="1"/>
  <c r="DM33" i="62"/>
  <c r="N33" i="62" s="1" a="1"/>
  <c r="N33" i="62" s="1"/>
  <c r="DM180" i="62"/>
  <c r="N180" i="62" s="1" a="1"/>
  <c r="N180" i="62" s="1"/>
  <c r="M29" i="120" s="1"/>
  <c r="DM100" i="62"/>
  <c r="N100" i="62" s="1" a="1"/>
  <c r="N100" i="62" s="1"/>
  <c r="DM189" i="62"/>
  <c r="N189" i="62" s="1" a="1"/>
  <c r="N189" i="62" s="1"/>
  <c r="M38" i="120" s="1"/>
  <c r="DM186" i="62"/>
  <c r="N186" i="62" s="1" a="1"/>
  <c r="N186" i="62" s="1"/>
  <c r="DM123" i="62"/>
  <c r="N123" i="62" s="1" a="1"/>
  <c r="N123" i="62" s="1"/>
  <c r="DM14" i="62"/>
  <c r="N14" i="62" s="1" a="1"/>
  <c r="N14" i="62" s="1"/>
  <c r="DM168" i="62"/>
  <c r="N168" i="62" s="1" a="1"/>
  <c r="N168" i="62" s="1"/>
  <c r="M17" i="120" s="1"/>
  <c r="DM109" i="62"/>
  <c r="N109" i="62" s="1" a="1"/>
  <c r="N109" i="62" s="1"/>
  <c r="DM162" i="62"/>
  <c r="N162" i="62" s="1" a="1"/>
  <c r="N162" i="62" s="1"/>
  <c r="M11" i="120" s="1"/>
  <c r="DM17" i="62"/>
  <c r="N17" i="62" s="1" a="1"/>
  <c r="N17" i="62" s="1"/>
  <c r="DM183" i="62"/>
  <c r="N183" i="62" s="1" a="1"/>
  <c r="N183" i="62" s="1"/>
  <c r="M32" i="120" s="1"/>
  <c r="DM126" i="62"/>
  <c r="N126" i="62" s="1" a="1"/>
  <c r="N126" i="62" s="1"/>
  <c r="DM174" i="62"/>
  <c r="N174" i="62" s="1" a="1"/>
  <c r="N174" i="62" s="1"/>
  <c r="M23" i="120" s="1"/>
  <c r="DM40" i="62"/>
  <c r="N40" i="62" s="1" a="1"/>
  <c r="N40" i="62" s="1"/>
  <c r="DM68" i="62"/>
  <c r="N68" i="62" s="1" a="1"/>
  <c r="N68" i="62" s="1"/>
  <c r="DM13" i="62"/>
  <c r="N13" i="62" s="1" a="1"/>
  <c r="N13" i="62" s="1"/>
  <c r="DM51" i="62"/>
  <c r="N51" i="62" s="1" a="1"/>
  <c r="N51" i="62" s="1"/>
  <c r="DM116" i="62"/>
  <c r="N116" i="62" s="1" a="1"/>
  <c r="N116" i="62" s="1"/>
  <c r="DM136" i="62"/>
  <c r="N136" i="62" s="1" a="1"/>
  <c r="N136" i="62" s="1"/>
  <c r="DM137" i="62"/>
  <c r="N137" i="62" s="1" a="1"/>
  <c r="N137" i="62" s="1"/>
  <c r="DM54" i="62"/>
  <c r="N54" i="62" s="1" a="1"/>
  <c r="N54" i="62" s="1"/>
  <c r="DM89" i="62"/>
  <c r="N89" i="62" s="1" a="1"/>
  <c r="N89" i="62" s="1"/>
  <c r="DM26" i="62"/>
  <c r="N26" i="62" s="1" a="1"/>
  <c r="N26" i="62" s="1"/>
  <c r="DM67" i="62"/>
  <c r="N67" i="62" s="1" a="1"/>
  <c r="N67" i="62" s="1"/>
  <c r="DM48" i="62"/>
  <c r="N48" i="62" s="1" a="1"/>
  <c r="N48" i="62" s="1"/>
  <c r="DM20" i="62"/>
  <c r="N20" i="62" s="1" a="1"/>
  <c r="N20" i="62" s="1"/>
  <c r="DM103" i="62"/>
  <c r="N103" i="62" s="1" a="1"/>
  <c r="N103" i="62" s="1"/>
  <c r="DN8" i="62"/>
  <c r="DM139" i="62"/>
  <c r="N139" i="62" s="1" a="1"/>
  <c r="N139" i="62" s="1"/>
  <c r="DM177" i="62"/>
  <c r="N177" i="62" s="1" a="1"/>
  <c r="N177" i="62" s="1"/>
  <c r="M26" i="120" s="1"/>
  <c r="DM36" i="62"/>
  <c r="N36" i="62" s="1" a="1"/>
  <c r="N36" i="62" s="1"/>
  <c r="DN94" i="62" l="1" a="1"/>
  <c r="DN94" i="62" s="1"/>
  <c r="DN65" i="62"/>
  <c r="DN64" i="62"/>
  <c r="DN63" i="62"/>
  <c r="DN182" i="62"/>
  <c r="DN173" i="62"/>
  <c r="DN170" i="62"/>
  <c r="DN167" i="62"/>
  <c r="DN164" i="62"/>
  <c r="DN161" i="62"/>
  <c r="DN125" i="62"/>
  <c r="DN122" i="62"/>
  <c r="DN115" i="62"/>
  <c r="DN179" i="62"/>
  <c r="DN105" i="62"/>
  <c r="DN102" i="62"/>
  <c r="DN98" i="62"/>
  <c r="DN99" i="62"/>
  <c r="DN79" i="62"/>
  <c r="DN188" i="62"/>
  <c r="DN176" i="62"/>
  <c r="DN108" i="62" a="1"/>
  <c r="DN108" i="62" s="1"/>
  <c r="DN80" i="62"/>
  <c r="DN81" i="62"/>
  <c r="DN82" i="62"/>
  <c r="DN72" i="62"/>
  <c r="DN73" i="62"/>
  <c r="DN62" i="62"/>
  <c r="DN185" i="62"/>
  <c r="DN88" i="62"/>
  <c r="DN74" i="62"/>
  <c r="DN75" i="62"/>
  <c r="DN53" i="62"/>
  <c r="DN50" i="62"/>
  <c r="DN46" i="62"/>
  <c r="DN47" i="62"/>
  <c r="DN38" i="62"/>
  <c r="DN39" i="62"/>
  <c r="DN25" i="62"/>
  <c r="DN95" i="62"/>
  <c r="DN12" i="62"/>
  <c r="DN22" i="62"/>
  <c r="DN32" i="62"/>
  <c r="DN19" i="62"/>
  <c r="DN35" i="62"/>
  <c r="DN16" i="62"/>
  <c r="DN66" i="62"/>
  <c r="Z46" i="62"/>
  <c r="Z32" i="62"/>
  <c r="Z95" i="62"/>
  <c r="Z35" i="62"/>
  <c r="Z122" i="62"/>
  <c r="Z62" i="62"/>
  <c r="Z167" i="62"/>
  <c r="Y16" i="120" s="1"/>
  <c r="M16" i="120"/>
  <c r="Z188" i="62"/>
  <c r="Y37" i="120" s="1"/>
  <c r="M37" i="120"/>
  <c r="Z170" i="62"/>
  <c r="Y19" i="120" s="1"/>
  <c r="M19" i="120"/>
  <c r="Z179" i="62"/>
  <c r="Y28" i="120" s="1"/>
  <c r="M28" i="120"/>
  <c r="Z50" i="62"/>
  <c r="Z12" i="62"/>
  <c r="Z164" i="62"/>
  <c r="Y13" i="120" s="1"/>
  <c r="M13" i="120"/>
  <c r="M34" i="120"/>
  <c r="Z185" i="62"/>
  <c r="Y34" i="120" s="1"/>
  <c r="Z182" i="62"/>
  <c r="Y31" i="120" s="1"/>
  <c r="M31" i="120"/>
  <c r="Z176" i="62"/>
  <c r="Y25" i="120" s="1"/>
  <c r="M25" i="120"/>
  <c r="Z74" i="62"/>
  <c r="Z39" i="62"/>
  <c r="Z161" i="62"/>
  <c r="Y10" i="120" s="1"/>
  <c r="M10" i="120"/>
  <c r="M22" i="120"/>
  <c r="Z173" i="62"/>
  <c r="Y22" i="120" s="1"/>
  <c r="DO8" i="62"/>
  <c r="DN183" i="62"/>
  <c r="DN20" i="62"/>
  <c r="DN174" i="62"/>
  <c r="DN51" i="62"/>
  <c r="DN180" i="62"/>
  <c r="DN89" i="62"/>
  <c r="DN109" i="62"/>
  <c r="DN100" i="62"/>
  <c r="DN48" i="62"/>
  <c r="DN54" i="62"/>
  <c r="DN17" i="62"/>
  <c r="DN40" i="62"/>
  <c r="DN123" i="62"/>
  <c r="DN103" i="62"/>
  <c r="DN116" i="62"/>
  <c r="DN14" i="62"/>
  <c r="DN168" i="62"/>
  <c r="DN96" i="62"/>
  <c r="DN23" i="62"/>
  <c r="DN165" i="62"/>
  <c r="DN76" i="62"/>
  <c r="DN36" i="62"/>
  <c r="DN139" i="62"/>
  <c r="DN138" i="62"/>
  <c r="DN33" i="62"/>
  <c r="DN83" i="62"/>
  <c r="DN171" i="62"/>
  <c r="DN137" i="62"/>
  <c r="DN67" i="62"/>
  <c r="DN162" i="62"/>
  <c r="DN186" i="62"/>
  <c r="DN106" i="62"/>
  <c r="DN177" i="62"/>
  <c r="DN68" i="62"/>
  <c r="DN13" i="62"/>
  <c r="DN126" i="62"/>
  <c r="DN136" i="62"/>
  <c r="DN26" i="62"/>
  <c r="DN189" i="62"/>
  <c r="Z19" i="62"/>
  <c r="N192" i="62"/>
  <c r="M35" i="120"/>
  <c r="Z16" i="62"/>
  <c r="Z38" i="62"/>
  <c r="Z53" i="62"/>
  <c r="DO94" i="62" l="1" a="1"/>
  <c r="DO94" i="62" s="1"/>
  <c r="DO65" i="62"/>
  <c r="DO63" i="62"/>
  <c r="DO64" i="62"/>
  <c r="DO188" i="62"/>
  <c r="DO182" i="62"/>
  <c r="DO179" i="62"/>
  <c r="DO176" i="62"/>
  <c r="DO170" i="62"/>
  <c r="DO173" i="62"/>
  <c r="DO105" i="62"/>
  <c r="DO167" i="62"/>
  <c r="DO122" i="62"/>
  <c r="DO115" i="62"/>
  <c r="DO80" i="62"/>
  <c r="DO102" i="62"/>
  <c r="DO95" i="62"/>
  <c r="DO88" i="62"/>
  <c r="DO79" i="62"/>
  <c r="DO66" i="62"/>
  <c r="DO99" i="62"/>
  <c r="DO72" i="62"/>
  <c r="DO74" i="62"/>
  <c r="DO125" i="62"/>
  <c r="DO82" i="62"/>
  <c r="DO73" i="62"/>
  <c r="DO22" i="62"/>
  <c r="DO185" i="62"/>
  <c r="DO164" i="62"/>
  <c r="DO19" i="62"/>
  <c r="DO16" i="62"/>
  <c r="DO161" i="62"/>
  <c r="DO62" i="62"/>
  <c r="DO35" i="62"/>
  <c r="DO53" i="62"/>
  <c r="DO46" i="62"/>
  <c r="DO12" i="62"/>
  <c r="DO50" i="62"/>
  <c r="DO108" i="62" a="1"/>
  <c r="DO108" i="62" s="1"/>
  <c r="DO98" i="62"/>
  <c r="DO81" i="62"/>
  <c r="DO75" i="62"/>
  <c r="DO47" i="62"/>
  <c r="DO32" i="62"/>
  <c r="DO39" i="62"/>
  <c r="DO38" i="62"/>
  <c r="DO25" i="62"/>
  <c r="DO17" i="62"/>
  <c r="DO83" i="62"/>
  <c r="DO33" i="62"/>
  <c r="DO40" i="62"/>
  <c r="DO137" i="62"/>
  <c r="DO36" i="62"/>
  <c r="DO51" i="62"/>
  <c r="DO76" i="62"/>
  <c r="DO23" i="62"/>
  <c r="DO13" i="62"/>
  <c r="DO116" i="62"/>
  <c r="DO48" i="62"/>
  <c r="DO67" i="62"/>
  <c r="DO103" i="62"/>
  <c r="DO96" i="62"/>
  <c r="DO106" i="62"/>
  <c r="DO165" i="62"/>
  <c r="DO139" i="62"/>
  <c r="DO54" i="62"/>
  <c r="DP8" i="62"/>
  <c r="DO177" i="62"/>
  <c r="DO109" i="62"/>
  <c r="DO189" i="62"/>
  <c r="DO186" i="62"/>
  <c r="DO20" i="62"/>
  <c r="DO168" i="62"/>
  <c r="DO171" i="62"/>
  <c r="DO180" i="62"/>
  <c r="DO14" i="62"/>
  <c r="DO123" i="62"/>
  <c r="DO68" i="62"/>
  <c r="DO183" i="62"/>
  <c r="DO174" i="62"/>
  <c r="DO26" i="62"/>
  <c r="DO162" i="62"/>
  <c r="DO138" i="62"/>
  <c r="DO89" i="62"/>
  <c r="DO126" i="62"/>
  <c r="DO136" i="62"/>
  <c r="DO100" i="62"/>
  <c r="DP94" i="62" l="1" a="1"/>
  <c r="DP94" i="62" s="1"/>
  <c r="DP65" i="62"/>
  <c r="DP63" i="62"/>
  <c r="DP64" i="62"/>
  <c r="DP185" i="62"/>
  <c r="DP188" i="62"/>
  <c r="DP167" i="62"/>
  <c r="DP108" i="62" a="1"/>
  <c r="DP108" i="62" s="1"/>
  <c r="DP102" i="62"/>
  <c r="DP173" i="62"/>
  <c r="DP170" i="62"/>
  <c r="DP176" i="62"/>
  <c r="DP164" i="62"/>
  <c r="DP81" i="62"/>
  <c r="DP122" i="62"/>
  <c r="DP115" i="62"/>
  <c r="DP105" i="62"/>
  <c r="DP182" i="62"/>
  <c r="DP161" i="62"/>
  <c r="DP53" i="62"/>
  <c r="DP99" i="62"/>
  <c r="DP88" i="62"/>
  <c r="DP72" i="62"/>
  <c r="DP179" i="62"/>
  <c r="DP80" i="62"/>
  <c r="DP19" i="62"/>
  <c r="DP82" i="62"/>
  <c r="DP73" i="62"/>
  <c r="DP125" i="62"/>
  <c r="DP38" i="62"/>
  <c r="DP35" i="62"/>
  <c r="DP32" i="62"/>
  <c r="DP25" i="62"/>
  <c r="DP22" i="62"/>
  <c r="DP79" i="62"/>
  <c r="DP46" i="62"/>
  <c r="DP95" i="62"/>
  <c r="DP75" i="62"/>
  <c r="DP47" i="62"/>
  <c r="DP16" i="62"/>
  <c r="DP62" i="62"/>
  <c r="DP12" i="62"/>
  <c r="DP98" i="62"/>
  <c r="DP74" i="62"/>
  <c r="DP39" i="62"/>
  <c r="DP50" i="62"/>
  <c r="DP66" i="62"/>
  <c r="DP23" i="62"/>
  <c r="DP13" i="62"/>
  <c r="DP109" i="62"/>
  <c r="DP100" i="62"/>
  <c r="DP68" i="62"/>
  <c r="DP33" i="62"/>
  <c r="DP186" i="62"/>
  <c r="DP54" i="62"/>
  <c r="DP126" i="62"/>
  <c r="DP139" i="62"/>
  <c r="DP96" i="62"/>
  <c r="DP165" i="62"/>
  <c r="DP137" i="62"/>
  <c r="DP116" i="62"/>
  <c r="DP36" i="62"/>
  <c r="DP76" i="62"/>
  <c r="DP40" i="62"/>
  <c r="DP174" i="62"/>
  <c r="DP106" i="62"/>
  <c r="DP67" i="62"/>
  <c r="DP168" i="62"/>
  <c r="DQ8" i="62"/>
  <c r="DP89" i="62"/>
  <c r="DP123" i="62"/>
  <c r="DP180" i="62"/>
  <c r="DP26" i="62"/>
  <c r="DP189" i="62"/>
  <c r="DP171" i="62"/>
  <c r="DP136" i="62"/>
  <c r="DP183" i="62"/>
  <c r="DP83" i="62"/>
  <c r="DP48" i="62"/>
  <c r="DP162" i="62"/>
  <c r="DP17" i="62"/>
  <c r="DP103" i="62"/>
  <c r="DP177" i="62"/>
  <c r="DP138" i="62"/>
  <c r="DP51" i="62"/>
  <c r="DP14" i="62"/>
  <c r="DP20" i="62"/>
  <c r="DQ94" i="62" l="1" a="1"/>
  <c r="DQ94" i="62" s="1"/>
  <c r="DQ64" i="62"/>
  <c r="DQ65" i="62"/>
  <c r="DQ63" i="62"/>
  <c r="DQ182" i="62"/>
  <c r="DQ185" i="62"/>
  <c r="DQ164" i="62"/>
  <c r="DQ98" i="62"/>
  <c r="DQ108" i="62" a="1"/>
  <c r="DQ108" i="62" s="1"/>
  <c r="DQ82" i="62"/>
  <c r="DQ176" i="62"/>
  <c r="DQ167" i="62"/>
  <c r="DQ188" i="62"/>
  <c r="DQ99" i="62"/>
  <c r="DQ179" i="62"/>
  <c r="DQ80" i="62"/>
  <c r="DQ50" i="62"/>
  <c r="DQ161" i="62"/>
  <c r="DQ102" i="62"/>
  <c r="DQ170" i="62"/>
  <c r="DQ115" i="62"/>
  <c r="DQ122" i="62"/>
  <c r="DQ74" i="62"/>
  <c r="DQ66" i="62"/>
  <c r="DQ16" i="62"/>
  <c r="DQ88" i="62"/>
  <c r="DQ75" i="62"/>
  <c r="DQ62" i="62"/>
  <c r="DQ173" i="62"/>
  <c r="DQ73" i="62"/>
  <c r="DQ105" i="62"/>
  <c r="DQ125" i="62"/>
  <c r="DQ81" i="62"/>
  <c r="DQ38" i="62"/>
  <c r="DQ39" i="62"/>
  <c r="DQ53" i="62"/>
  <c r="DQ46" i="62"/>
  <c r="DQ47" i="62"/>
  <c r="DQ35" i="62"/>
  <c r="DQ22" i="62"/>
  <c r="DQ79" i="62"/>
  <c r="DQ25" i="62"/>
  <c r="DQ12" i="62"/>
  <c r="DQ32" i="62"/>
  <c r="DQ72" i="62"/>
  <c r="DQ19" i="62"/>
  <c r="DQ95" i="62"/>
  <c r="DR8" i="62"/>
  <c r="DQ13" i="62"/>
  <c r="DQ33" i="62"/>
  <c r="DQ116" i="62"/>
  <c r="DQ136" i="62"/>
  <c r="DQ20" i="62"/>
  <c r="DQ106" i="62"/>
  <c r="DQ48" i="62"/>
  <c r="DQ51" i="62"/>
  <c r="DQ189" i="62"/>
  <c r="DQ126" i="62"/>
  <c r="DQ165" i="62"/>
  <c r="DQ36" i="62"/>
  <c r="DQ139" i="62"/>
  <c r="DQ109" i="62"/>
  <c r="DQ23" i="62"/>
  <c r="DQ103" i="62"/>
  <c r="DQ100" i="62"/>
  <c r="DQ138" i="62"/>
  <c r="DQ67" i="62"/>
  <c r="DQ177" i="62"/>
  <c r="DQ26" i="62"/>
  <c r="DQ89" i="62"/>
  <c r="DQ186" i="62"/>
  <c r="DQ83" i="62"/>
  <c r="DQ123" i="62"/>
  <c r="DQ96" i="62"/>
  <c r="DQ54" i="62"/>
  <c r="DQ180" i="62"/>
  <c r="DQ68" i="62"/>
  <c r="DQ183" i="62"/>
  <c r="DQ174" i="62"/>
  <c r="DQ17" i="62"/>
  <c r="DQ76" i="62"/>
  <c r="DQ162" i="62"/>
  <c r="DQ171" i="62"/>
  <c r="DQ40" i="62"/>
  <c r="DQ168" i="62"/>
  <c r="DQ137" i="62"/>
  <c r="DQ14" i="62"/>
  <c r="DR94" i="62" l="1" a="1"/>
  <c r="DR94" i="62" s="1"/>
  <c r="DR63" i="62"/>
  <c r="DR65" i="62"/>
  <c r="DR64" i="62"/>
  <c r="DR179" i="62"/>
  <c r="DR182" i="62"/>
  <c r="DR161" i="62"/>
  <c r="DR99" i="62"/>
  <c r="DR125" i="62"/>
  <c r="DR72" i="62"/>
  <c r="DR164" i="62"/>
  <c r="DR108" i="62" a="1"/>
  <c r="DR108" i="62" s="1"/>
  <c r="DR185" i="62"/>
  <c r="DR122" i="62"/>
  <c r="DR115" i="62"/>
  <c r="DR188" i="62"/>
  <c r="DR176" i="62"/>
  <c r="DR167" i="62"/>
  <c r="DR173" i="62"/>
  <c r="DR105" i="62"/>
  <c r="DR95" i="62"/>
  <c r="DR46" i="62"/>
  <c r="DR80" i="62"/>
  <c r="DR102" i="62"/>
  <c r="DR98" i="62"/>
  <c r="DR88" i="62"/>
  <c r="DR75" i="62"/>
  <c r="DR12" i="62"/>
  <c r="DR74" i="62"/>
  <c r="DR66" i="62"/>
  <c r="DR81" i="62"/>
  <c r="DR50" i="62"/>
  <c r="DR170" i="62"/>
  <c r="DR73" i="62"/>
  <c r="DR53" i="62"/>
  <c r="DR25" i="62"/>
  <c r="DR16" i="62"/>
  <c r="DR47" i="62"/>
  <c r="DR35" i="62"/>
  <c r="DR82" i="62"/>
  <c r="DR38" i="62"/>
  <c r="DR39" i="62"/>
  <c r="DR62" i="62"/>
  <c r="DR32" i="62"/>
  <c r="DR19" i="62"/>
  <c r="DR22" i="62"/>
  <c r="DR79" i="62"/>
  <c r="DR180" i="62"/>
  <c r="DR26" i="62"/>
  <c r="DR136" i="62"/>
  <c r="DS8" i="62"/>
  <c r="DR116" i="62"/>
  <c r="DR23" i="62"/>
  <c r="DR13" i="62"/>
  <c r="DR139" i="62"/>
  <c r="DR171" i="62"/>
  <c r="DR54" i="62"/>
  <c r="DR138" i="62"/>
  <c r="DR14" i="62"/>
  <c r="DR123" i="62"/>
  <c r="DR36" i="62"/>
  <c r="DR100" i="62"/>
  <c r="DR137" i="62"/>
  <c r="DR183" i="62"/>
  <c r="DR174" i="62"/>
  <c r="DR67" i="62"/>
  <c r="DR96" i="62"/>
  <c r="DR186" i="62"/>
  <c r="DR40" i="62"/>
  <c r="DR168" i="62"/>
  <c r="DR17" i="62"/>
  <c r="DR106" i="62"/>
  <c r="DR189" i="62"/>
  <c r="DR20" i="62"/>
  <c r="DR76" i="62"/>
  <c r="DR109" i="62"/>
  <c r="DR83" i="62"/>
  <c r="DR165" i="62"/>
  <c r="DR68" i="62"/>
  <c r="DR33" i="62"/>
  <c r="DR177" i="62"/>
  <c r="DR162" i="62"/>
  <c r="DR48" i="62"/>
  <c r="DR89" i="62"/>
  <c r="DR126" i="62"/>
  <c r="DR103" i="62"/>
  <c r="DR51" i="62"/>
  <c r="DS94" i="62" l="1" a="1"/>
  <c r="DS94" i="62" s="1"/>
  <c r="DS63" i="62"/>
  <c r="DS64" i="62"/>
  <c r="DS65" i="62"/>
  <c r="DS176" i="62"/>
  <c r="DS185" i="62"/>
  <c r="DS125" i="62"/>
  <c r="DS73" i="62"/>
  <c r="DS170" i="62"/>
  <c r="DS161" i="62"/>
  <c r="DS74" i="62"/>
  <c r="DS122" i="62"/>
  <c r="DS115" i="62"/>
  <c r="DS99" i="62"/>
  <c r="DS188" i="62"/>
  <c r="DS167" i="62"/>
  <c r="DS182" i="62"/>
  <c r="DS82" i="62"/>
  <c r="DS47" i="62"/>
  <c r="DS105" i="62"/>
  <c r="DS95" i="62"/>
  <c r="DS164" i="62"/>
  <c r="DS179" i="62"/>
  <c r="DS102" i="62"/>
  <c r="DS98" i="62"/>
  <c r="DS88" i="62"/>
  <c r="DS80" i="62"/>
  <c r="DS75" i="62"/>
  <c r="DS81" i="62"/>
  <c r="DS173" i="62"/>
  <c r="DS62" i="62"/>
  <c r="DS79" i="62"/>
  <c r="DS66" i="62"/>
  <c r="DS25" i="62"/>
  <c r="DS39" i="62"/>
  <c r="DS16" i="62"/>
  <c r="DS38" i="62"/>
  <c r="DS72" i="62"/>
  <c r="DS12" i="62"/>
  <c r="DS22" i="62"/>
  <c r="DS53" i="62"/>
  <c r="DS108" i="62" a="1"/>
  <c r="DS108" i="62" s="1"/>
  <c r="DS32" i="62"/>
  <c r="DS46" i="62"/>
  <c r="DS35" i="62"/>
  <c r="DS19" i="62"/>
  <c r="DS50" i="62"/>
  <c r="DS26" i="62"/>
  <c r="DS126" i="62"/>
  <c r="DS189" i="62"/>
  <c r="DS165" i="62"/>
  <c r="DS171" i="62"/>
  <c r="DS123" i="62"/>
  <c r="DS174" i="62"/>
  <c r="DS48" i="62"/>
  <c r="DS103" i="62"/>
  <c r="DS67" i="62"/>
  <c r="DS137" i="62"/>
  <c r="DS33" i="62"/>
  <c r="DS76" i="62"/>
  <c r="DS89" i="62"/>
  <c r="DS139" i="62"/>
  <c r="DS54" i="62"/>
  <c r="DS109" i="62"/>
  <c r="DS186" i="62"/>
  <c r="DT8" i="62"/>
  <c r="DS183" i="62"/>
  <c r="DS83" i="62"/>
  <c r="DS14" i="62"/>
  <c r="DS136" i="62"/>
  <c r="DS68" i="62"/>
  <c r="DS51" i="62"/>
  <c r="DS177" i="62"/>
  <c r="DS180" i="62"/>
  <c r="DS138" i="62"/>
  <c r="DS168" i="62"/>
  <c r="DS162" i="62"/>
  <c r="DS116" i="62"/>
  <c r="DS106" i="62"/>
  <c r="DS100" i="62"/>
  <c r="DS40" i="62"/>
  <c r="DS36" i="62"/>
  <c r="DS96" i="62"/>
  <c r="DS17" i="62"/>
  <c r="DS20" i="62"/>
  <c r="DS23" i="62"/>
  <c r="DS13" i="62"/>
  <c r="DT94" i="62" l="1" a="1"/>
  <c r="DT94" i="62" s="1"/>
  <c r="DT63" i="62"/>
  <c r="DT65" i="62"/>
  <c r="DT64" i="62"/>
  <c r="DT188" i="62"/>
  <c r="DT122" i="62"/>
  <c r="DT182" i="62"/>
  <c r="DT176" i="62"/>
  <c r="DT173" i="62"/>
  <c r="DT95" i="62"/>
  <c r="DT125" i="62"/>
  <c r="DT105" i="62"/>
  <c r="DT75" i="62"/>
  <c r="DT170" i="62"/>
  <c r="DT161" i="62"/>
  <c r="DT79" i="62"/>
  <c r="DT38" i="62"/>
  <c r="DT82" i="62"/>
  <c r="DT167" i="62"/>
  <c r="DT108" i="62" a="1"/>
  <c r="DT108" i="62" s="1"/>
  <c r="DT62" i="62"/>
  <c r="DT35" i="62"/>
  <c r="DT185" i="62"/>
  <c r="DT179" i="62"/>
  <c r="DT102" i="62"/>
  <c r="DT98" i="62"/>
  <c r="DT88" i="62"/>
  <c r="DT72" i="62"/>
  <c r="DT47" i="62"/>
  <c r="DT81" i="62"/>
  <c r="DT50" i="62"/>
  <c r="DT164" i="62"/>
  <c r="DT99" i="62"/>
  <c r="DT80" i="62"/>
  <c r="DT74" i="62"/>
  <c r="DT19" i="62"/>
  <c r="DT25" i="62"/>
  <c r="DT73" i="62"/>
  <c r="DT66" i="62"/>
  <c r="DT22" i="62"/>
  <c r="DT12" i="62"/>
  <c r="DT53" i="62"/>
  <c r="DT32" i="62"/>
  <c r="DT115" i="62"/>
  <c r="DT39" i="62"/>
  <c r="DT16" i="62"/>
  <c r="DT46" i="62"/>
  <c r="DT180" i="62"/>
  <c r="DT48" i="62"/>
  <c r="DT174" i="62"/>
  <c r="DT139" i="62"/>
  <c r="DT20" i="62"/>
  <c r="DT76" i="62"/>
  <c r="DT189" i="62"/>
  <c r="DT83" i="62"/>
  <c r="DT100" i="62"/>
  <c r="DT138" i="62"/>
  <c r="DT126" i="62"/>
  <c r="DT68" i="62"/>
  <c r="DT26" i="62"/>
  <c r="DT136" i="62"/>
  <c r="DT33" i="62"/>
  <c r="DT171" i="62"/>
  <c r="DT109" i="62"/>
  <c r="DT36" i="62"/>
  <c r="DT137" i="62"/>
  <c r="DT168" i="62"/>
  <c r="DT67" i="62"/>
  <c r="DT40" i="62"/>
  <c r="DU8" i="62"/>
  <c r="DT123" i="62"/>
  <c r="DT186" i="62"/>
  <c r="DT162" i="62"/>
  <c r="DT177" i="62"/>
  <c r="DT116" i="62"/>
  <c r="DT17" i="62"/>
  <c r="DT13" i="62"/>
  <c r="DT183" i="62"/>
  <c r="DT89" i="62"/>
  <c r="DT165" i="62"/>
  <c r="DT54" i="62"/>
  <c r="DT23" i="62"/>
  <c r="DT96" i="62"/>
  <c r="DT14" i="62"/>
  <c r="DT103" i="62"/>
  <c r="DT106" i="62"/>
  <c r="DT51" i="62"/>
  <c r="DU94" i="62" l="1" a="1"/>
  <c r="DU94" i="62" s="1"/>
  <c r="DU64" i="62"/>
  <c r="DU63" i="62"/>
  <c r="DU65" i="62"/>
  <c r="DU185" i="62"/>
  <c r="DU188" i="62"/>
  <c r="DU182" i="62"/>
  <c r="DU176" i="62"/>
  <c r="DU88" i="62"/>
  <c r="DU173" i="62"/>
  <c r="DU179" i="62"/>
  <c r="DU98" i="62"/>
  <c r="DU105" i="62"/>
  <c r="DU170" i="62"/>
  <c r="DU122" i="62"/>
  <c r="DU73" i="62"/>
  <c r="DU39" i="62"/>
  <c r="DU108" i="62" a="1"/>
  <c r="DU108" i="62" s="1"/>
  <c r="DU79" i="62"/>
  <c r="DU161" i="62"/>
  <c r="DU125" i="62"/>
  <c r="DU102" i="62"/>
  <c r="DU115" i="62"/>
  <c r="DU81" i="62"/>
  <c r="DU72" i="62"/>
  <c r="DU32" i="62"/>
  <c r="DU62" i="62"/>
  <c r="DU167" i="62"/>
  <c r="DU95" i="62"/>
  <c r="DU74" i="62"/>
  <c r="DU53" i="62"/>
  <c r="DU75" i="62"/>
  <c r="DU19" i="62"/>
  <c r="DU82" i="62"/>
  <c r="DU50" i="62"/>
  <c r="DU46" i="62"/>
  <c r="DU25" i="62"/>
  <c r="DU80" i="62"/>
  <c r="DU12" i="62"/>
  <c r="DU22" i="62"/>
  <c r="DU99" i="62"/>
  <c r="DU66" i="62"/>
  <c r="DU164" i="62"/>
  <c r="DU47" i="62"/>
  <c r="DU38" i="62"/>
  <c r="DU35" i="62"/>
  <c r="DU16" i="62"/>
  <c r="DU106" i="62"/>
  <c r="DU103" i="62"/>
  <c r="DU13" i="62"/>
  <c r="DV8" i="62"/>
  <c r="DU109" i="62"/>
  <c r="DU123" i="62"/>
  <c r="DU165" i="62"/>
  <c r="DU139" i="62"/>
  <c r="DU180" i="62"/>
  <c r="DU67" i="62"/>
  <c r="DU33" i="62"/>
  <c r="DU96" i="62"/>
  <c r="DU36" i="62"/>
  <c r="DU138" i="62"/>
  <c r="DU174" i="62"/>
  <c r="DU183" i="62"/>
  <c r="DU100" i="62"/>
  <c r="DU186" i="62"/>
  <c r="DU26" i="62"/>
  <c r="DU17" i="62"/>
  <c r="DU137" i="62"/>
  <c r="DU189" i="62"/>
  <c r="DU20" i="62"/>
  <c r="DU89" i="62"/>
  <c r="DU126" i="62"/>
  <c r="DU48" i="62"/>
  <c r="DU168" i="62"/>
  <c r="DU116" i="62"/>
  <c r="DU51" i="62"/>
  <c r="DU136" i="62"/>
  <c r="DU40" i="62"/>
  <c r="DU14" i="62"/>
  <c r="DU68" i="62"/>
  <c r="DU54" i="62"/>
  <c r="DU177" i="62"/>
  <c r="DU76" i="62"/>
  <c r="DU83" i="62"/>
  <c r="DU171" i="62"/>
  <c r="DU23" i="62"/>
  <c r="DU162" i="62"/>
  <c r="DV94" i="62" l="1" a="1"/>
  <c r="DV94" i="62" s="1"/>
  <c r="DV65" i="62"/>
  <c r="DV64" i="62"/>
  <c r="DV63" i="62"/>
  <c r="DV182" i="62"/>
  <c r="DV188" i="62"/>
  <c r="DV173" i="62"/>
  <c r="DV185" i="62"/>
  <c r="DV108" i="62" a="1"/>
  <c r="DV108" i="62" s="1"/>
  <c r="DV115" i="62"/>
  <c r="DV179" i="62"/>
  <c r="DV170" i="62"/>
  <c r="DV161" i="62"/>
  <c r="DV79" i="62"/>
  <c r="DV102" i="62"/>
  <c r="DV62" i="62"/>
  <c r="DV98" i="62"/>
  <c r="DV176" i="62"/>
  <c r="DV164" i="62"/>
  <c r="DV81" i="62"/>
  <c r="DV66" i="62"/>
  <c r="DV122" i="62"/>
  <c r="DV73" i="62"/>
  <c r="DV105" i="62"/>
  <c r="DV25" i="62"/>
  <c r="DV72" i="62"/>
  <c r="DV99" i="62"/>
  <c r="DV125" i="62"/>
  <c r="DV39" i="62"/>
  <c r="DV88" i="62"/>
  <c r="DV74" i="62"/>
  <c r="DV75" i="62"/>
  <c r="DV82" i="62"/>
  <c r="DV80" i="62"/>
  <c r="DV32" i="62"/>
  <c r="DV19" i="62"/>
  <c r="DV167" i="62"/>
  <c r="DV53" i="62"/>
  <c r="DV35" i="62"/>
  <c r="DV22" i="62"/>
  <c r="DV38" i="62"/>
  <c r="DV46" i="62"/>
  <c r="DV16" i="62"/>
  <c r="DV12" i="62"/>
  <c r="DV95" i="62"/>
  <c r="DV47" i="62"/>
  <c r="DV50" i="62"/>
  <c r="DV171" i="62"/>
  <c r="DV103" i="62"/>
  <c r="DV54" i="62"/>
  <c r="DV162" i="62"/>
  <c r="DV33" i="62"/>
  <c r="DV116" i="62"/>
  <c r="DV96" i="62"/>
  <c r="DV138" i="62"/>
  <c r="DV89" i="62"/>
  <c r="DV20" i="62"/>
  <c r="DV165" i="62"/>
  <c r="DV109" i="62"/>
  <c r="DV40" i="62"/>
  <c r="DV67" i="62"/>
  <c r="DV48" i="62"/>
  <c r="DV100" i="62"/>
  <c r="DV189" i="62"/>
  <c r="DV36" i="62"/>
  <c r="DV123" i="62"/>
  <c r="DV106" i="62"/>
  <c r="DV183" i="62"/>
  <c r="DV23" i="62"/>
  <c r="DV180" i="62"/>
  <c r="DV51" i="62"/>
  <c r="DV137" i="62"/>
  <c r="DV168" i="62"/>
  <c r="DV126" i="62"/>
  <c r="DV68" i="62"/>
  <c r="DV17" i="62"/>
  <c r="DV139" i="62"/>
  <c r="DV177" i="62"/>
  <c r="DW8" i="62"/>
  <c r="DV76" i="62"/>
  <c r="DV83" i="62"/>
  <c r="DV174" i="62"/>
  <c r="DV26" i="62"/>
  <c r="DV14" i="62"/>
  <c r="DV186" i="62"/>
  <c r="DV136" i="62"/>
  <c r="DV13" i="62"/>
  <c r="DW94" i="62" l="1" a="1"/>
  <c r="DW94" i="62" s="1"/>
  <c r="DW65" i="62"/>
  <c r="DW64" i="62"/>
  <c r="DW63" i="62"/>
  <c r="DW188" i="62"/>
  <c r="DW170" i="62"/>
  <c r="DW179" i="62"/>
  <c r="DW167" i="62"/>
  <c r="DW164" i="62"/>
  <c r="DW161" i="62"/>
  <c r="DW125" i="62"/>
  <c r="DW122" i="62"/>
  <c r="DW105" i="62"/>
  <c r="DW185" i="62"/>
  <c r="DW108" i="62" a="1"/>
  <c r="DW108" i="62" s="1"/>
  <c r="DW102" i="62"/>
  <c r="DW98" i="62"/>
  <c r="DW99" i="62"/>
  <c r="DW80" i="62"/>
  <c r="DW182" i="62"/>
  <c r="DW81" i="62"/>
  <c r="DW82" i="62"/>
  <c r="DW72" i="62"/>
  <c r="DW73" i="62"/>
  <c r="DW66" i="62"/>
  <c r="DW173" i="62"/>
  <c r="DW115" i="62"/>
  <c r="DW74" i="62"/>
  <c r="DW75" i="62"/>
  <c r="DW62" i="62"/>
  <c r="DW176" i="62"/>
  <c r="DW53" i="62"/>
  <c r="DW50" i="62"/>
  <c r="DW46" i="62"/>
  <c r="DW47" i="62"/>
  <c r="DW38" i="62"/>
  <c r="DW39" i="62"/>
  <c r="DW22" i="62"/>
  <c r="DW95" i="62"/>
  <c r="DW88" i="62"/>
  <c r="DW12" i="62"/>
  <c r="DW32" i="62"/>
  <c r="DW79" i="62"/>
  <c r="DW16" i="62"/>
  <c r="DW25" i="62"/>
  <c r="DW19" i="62"/>
  <c r="DW35" i="62"/>
  <c r="DW109" i="62"/>
  <c r="DW23" i="62"/>
  <c r="DW67" i="62"/>
  <c r="DW89" i="62"/>
  <c r="DW174" i="62"/>
  <c r="DW76" i="62"/>
  <c r="DW177" i="62"/>
  <c r="DW26" i="62"/>
  <c r="DW83" i="62"/>
  <c r="DW123" i="62"/>
  <c r="DW103" i="62"/>
  <c r="DW186" i="62"/>
  <c r="DW136" i="62"/>
  <c r="DW168" i="62"/>
  <c r="DW162" i="62"/>
  <c r="DW138" i="62"/>
  <c r="DW33" i="62"/>
  <c r="DW106" i="62"/>
  <c r="DW36" i="62"/>
  <c r="DW139" i="62"/>
  <c r="DW165" i="62"/>
  <c r="DW100" i="62"/>
  <c r="DW180" i="62"/>
  <c r="DW126" i="62"/>
  <c r="DW96" i="62"/>
  <c r="DW189" i="62"/>
  <c r="DW51" i="62"/>
  <c r="DW68" i="62"/>
  <c r="DW183" i="62"/>
  <c r="DW171" i="62"/>
  <c r="DW20" i="62"/>
  <c r="DW17" i="62"/>
  <c r="DW116" i="62"/>
  <c r="DW14" i="62"/>
  <c r="DW137" i="62"/>
  <c r="DW48" i="62"/>
  <c r="DW40" i="62"/>
  <c r="DW13" i="62"/>
  <c r="DX8" i="62"/>
  <c r="DW54" i="62"/>
  <c r="DX94" i="62" l="1" a="1"/>
  <c r="DX94" i="62" s="1"/>
  <c r="DX64" i="62"/>
  <c r="DX65" i="62"/>
  <c r="DX63" i="62"/>
  <c r="DX185" i="62"/>
  <c r="DX188" i="62"/>
  <c r="DX179" i="62"/>
  <c r="DX176" i="62"/>
  <c r="DX167" i="62"/>
  <c r="DX173" i="62"/>
  <c r="DX170" i="62"/>
  <c r="DX102" i="62"/>
  <c r="DX182" i="62"/>
  <c r="DX115" i="62"/>
  <c r="DX105" i="62"/>
  <c r="DX81" i="62"/>
  <c r="DX161" i="62"/>
  <c r="DX108" i="62" a="1"/>
  <c r="DX108" i="62" s="1"/>
  <c r="DX95" i="62"/>
  <c r="DX88" i="62"/>
  <c r="DX79" i="62"/>
  <c r="DX80" i="62"/>
  <c r="DX98" i="62"/>
  <c r="DX53" i="62"/>
  <c r="DX164" i="62"/>
  <c r="DX74" i="62"/>
  <c r="DX122" i="62"/>
  <c r="DX125" i="62"/>
  <c r="DX19" i="62"/>
  <c r="DX66" i="62"/>
  <c r="DX46" i="62"/>
  <c r="DX16" i="62"/>
  <c r="DX72" i="62"/>
  <c r="DX50" i="62"/>
  <c r="DX22" i="62"/>
  <c r="DX12" i="62"/>
  <c r="DX32" i="62"/>
  <c r="DX75" i="62"/>
  <c r="DX47" i="62"/>
  <c r="DX38" i="62"/>
  <c r="DX25" i="62"/>
  <c r="DX35" i="62"/>
  <c r="DX99" i="62"/>
  <c r="DX62" i="62"/>
  <c r="DX73" i="62"/>
  <c r="DX82" i="62"/>
  <c r="DX39" i="62"/>
  <c r="DX186" i="62"/>
  <c r="DX33" i="62"/>
  <c r="DX40" i="62"/>
  <c r="DX89" i="62"/>
  <c r="DX116" i="62"/>
  <c r="DX138" i="62"/>
  <c r="DX17" i="62"/>
  <c r="DX106" i="62"/>
  <c r="DX51" i="62"/>
  <c r="DX109" i="62"/>
  <c r="DX13" i="62"/>
  <c r="DX137" i="62"/>
  <c r="DX48" i="62"/>
  <c r="DX54" i="62"/>
  <c r="DX67" i="62"/>
  <c r="DX83" i="62"/>
  <c r="DX103" i="62"/>
  <c r="DX26" i="62"/>
  <c r="DX139" i="62"/>
  <c r="DX189" i="62"/>
  <c r="DX180" i="62"/>
  <c r="DX20" i="62"/>
  <c r="DX162" i="62"/>
  <c r="DX126" i="62"/>
  <c r="DX123" i="62"/>
  <c r="DX23" i="62"/>
  <c r="DX68" i="62"/>
  <c r="DX168" i="62"/>
  <c r="DY8" i="62"/>
  <c r="DX174" i="62"/>
  <c r="DX100" i="62"/>
  <c r="DX177" i="62"/>
  <c r="DX14" i="62"/>
  <c r="DX165" i="62"/>
  <c r="DX36" i="62"/>
  <c r="DX171" i="62"/>
  <c r="DX183" i="62"/>
  <c r="DX76" i="62"/>
  <c r="DX136" i="62"/>
  <c r="DX96" i="62"/>
  <c r="DY94" i="62" l="1" a="1"/>
  <c r="DY94" i="62" s="1"/>
  <c r="DY64" i="62"/>
  <c r="DY63" i="62"/>
  <c r="DY65" i="62"/>
  <c r="DY182" i="62"/>
  <c r="DY185" i="62"/>
  <c r="DY164" i="62"/>
  <c r="DY188" i="62"/>
  <c r="DY98" i="62"/>
  <c r="DY179" i="62"/>
  <c r="DY173" i="62"/>
  <c r="DY170" i="62"/>
  <c r="DY167" i="62"/>
  <c r="DY122" i="62"/>
  <c r="DY82" i="62"/>
  <c r="DY115" i="62"/>
  <c r="DY105" i="62"/>
  <c r="DY102" i="62"/>
  <c r="DY125" i="62"/>
  <c r="DY108" i="62" a="1"/>
  <c r="DY108" i="62" s="1"/>
  <c r="DY88" i="62"/>
  <c r="DY72" i="62"/>
  <c r="DY50" i="62"/>
  <c r="DY81" i="62"/>
  <c r="DY95" i="62"/>
  <c r="DY79" i="62"/>
  <c r="DY16" i="62"/>
  <c r="DY161" i="62"/>
  <c r="DY99" i="62"/>
  <c r="DY80" i="62"/>
  <c r="DY35" i="62"/>
  <c r="DY32" i="62"/>
  <c r="DY25" i="62"/>
  <c r="DY22" i="62"/>
  <c r="DY19" i="62"/>
  <c r="DY74" i="62"/>
  <c r="DY53" i="62"/>
  <c r="DY73" i="62"/>
  <c r="DY176" i="62"/>
  <c r="DY75" i="62"/>
  <c r="DY12" i="62"/>
  <c r="DY39" i="62"/>
  <c r="DY66" i="62"/>
  <c r="DY46" i="62"/>
  <c r="DY62" i="62"/>
  <c r="DY47" i="62"/>
  <c r="DY38" i="62"/>
  <c r="DY89" i="62"/>
  <c r="DY33" i="62"/>
  <c r="DY136" i="62"/>
  <c r="DY83" i="62"/>
  <c r="DY116" i="62"/>
  <c r="DY162" i="62"/>
  <c r="DY106" i="62"/>
  <c r="DY40" i="62"/>
  <c r="DY48" i="62"/>
  <c r="DY20" i="62"/>
  <c r="DY186" i="62"/>
  <c r="DY183" i="62"/>
  <c r="DY67" i="62"/>
  <c r="DY26" i="62"/>
  <c r="DY68" i="62"/>
  <c r="DY51" i="62"/>
  <c r="DY23" i="62"/>
  <c r="DY165" i="62"/>
  <c r="DY138" i="62"/>
  <c r="DY54" i="62"/>
  <c r="DY174" i="62"/>
  <c r="DY137" i="62"/>
  <c r="DY123" i="62"/>
  <c r="DY17" i="62"/>
  <c r="DY103" i="62"/>
  <c r="DY109" i="62"/>
  <c r="DY14" i="62"/>
  <c r="DY168" i="62"/>
  <c r="DY76" i="62"/>
  <c r="DY36" i="62"/>
  <c r="DY139" i="62"/>
  <c r="DY13" i="62"/>
  <c r="DY100" i="62"/>
  <c r="DY177" i="62"/>
  <c r="DY189" i="62"/>
  <c r="DY96" i="62"/>
  <c r="DZ8" i="62"/>
  <c r="DY180" i="62"/>
  <c r="DY171" i="62"/>
  <c r="DY126" i="62"/>
  <c r="DZ94" i="62" l="1" a="1"/>
  <c r="DZ94" i="62" s="1"/>
  <c r="DZ65" i="62"/>
  <c r="DZ64" i="62"/>
  <c r="DZ63" i="62"/>
  <c r="DZ179" i="62"/>
  <c r="DZ182" i="62"/>
  <c r="DZ161" i="62"/>
  <c r="DZ99" i="62"/>
  <c r="DZ188" i="62"/>
  <c r="DZ72" i="62"/>
  <c r="DZ170" i="62"/>
  <c r="DZ122" i="62"/>
  <c r="DZ185" i="62"/>
  <c r="DZ173" i="62"/>
  <c r="DZ164" i="62"/>
  <c r="DZ125" i="62"/>
  <c r="DZ102" i="62"/>
  <c r="DZ176" i="62"/>
  <c r="DZ46" i="62"/>
  <c r="DZ115" i="62"/>
  <c r="DZ98" i="62"/>
  <c r="DZ88" i="62"/>
  <c r="DZ108" i="62" a="1"/>
  <c r="DZ108" i="62" s="1"/>
  <c r="DZ167" i="62"/>
  <c r="DZ12" i="62"/>
  <c r="DZ95" i="62"/>
  <c r="DZ79" i="62"/>
  <c r="DZ81" i="62"/>
  <c r="DZ105" i="62"/>
  <c r="DZ38" i="62"/>
  <c r="DZ80" i="62"/>
  <c r="DZ66" i="62"/>
  <c r="DZ75" i="62"/>
  <c r="DZ62" i="62"/>
  <c r="DZ35" i="62"/>
  <c r="DZ22" i="62"/>
  <c r="DZ74" i="62"/>
  <c r="DZ73" i="62"/>
  <c r="DZ50" i="62"/>
  <c r="DZ47" i="62"/>
  <c r="DZ16" i="62"/>
  <c r="DZ25" i="62"/>
  <c r="DZ53" i="62"/>
  <c r="DZ39" i="62"/>
  <c r="DZ19" i="62"/>
  <c r="DZ32" i="62"/>
  <c r="DZ82" i="62"/>
  <c r="DZ186" i="62"/>
  <c r="DZ138" i="62"/>
  <c r="DZ109" i="62"/>
  <c r="DZ106" i="62"/>
  <c r="DZ67" i="62"/>
  <c r="DZ136" i="62"/>
  <c r="DZ89" i="62"/>
  <c r="DZ123" i="62"/>
  <c r="DZ174" i="62"/>
  <c r="DZ126" i="62"/>
  <c r="DZ171" i="62"/>
  <c r="DZ180" i="62"/>
  <c r="DZ76" i="62"/>
  <c r="DZ183" i="62"/>
  <c r="DZ17" i="62"/>
  <c r="DZ165" i="62"/>
  <c r="DZ14" i="62"/>
  <c r="DZ177" i="62"/>
  <c r="DZ20" i="62"/>
  <c r="DZ137" i="62"/>
  <c r="DZ54" i="62"/>
  <c r="DZ83" i="62"/>
  <c r="DZ48" i="62"/>
  <c r="DZ13" i="62"/>
  <c r="DZ116" i="62"/>
  <c r="DZ26" i="62"/>
  <c r="DZ51" i="62"/>
  <c r="DZ68" i="62"/>
  <c r="DZ189" i="62"/>
  <c r="DZ96" i="62"/>
  <c r="EA8" i="62"/>
  <c r="DZ33" i="62"/>
  <c r="DZ139" i="62"/>
  <c r="DZ100" i="62"/>
  <c r="DZ162" i="62"/>
  <c r="DZ36" i="62"/>
  <c r="DZ23" i="62"/>
  <c r="DZ103" i="62"/>
  <c r="DZ168" i="62"/>
  <c r="DZ40" i="62"/>
  <c r="EA94" i="62" l="1" a="1"/>
  <c r="EA94" i="62" s="1"/>
  <c r="EA64" i="62"/>
  <c r="EA63" i="62"/>
  <c r="EA65" i="62"/>
  <c r="EA176" i="62"/>
  <c r="EA125" i="62"/>
  <c r="EA185" i="62"/>
  <c r="EA167" i="62"/>
  <c r="EA164" i="62"/>
  <c r="EA73" i="62"/>
  <c r="EA182" i="62"/>
  <c r="EA179" i="62"/>
  <c r="EA188" i="62"/>
  <c r="EA74" i="62"/>
  <c r="EA173" i="62"/>
  <c r="EA80" i="62"/>
  <c r="EA47" i="62"/>
  <c r="EA72" i="62"/>
  <c r="EA115" i="62"/>
  <c r="EA99" i="62"/>
  <c r="EA66" i="62"/>
  <c r="EA122" i="62"/>
  <c r="EA108" i="62" a="1"/>
  <c r="EA108" i="62" s="1"/>
  <c r="EA95" i="62"/>
  <c r="EA79" i="62"/>
  <c r="EA88" i="62"/>
  <c r="EA82" i="62"/>
  <c r="EA102" i="62"/>
  <c r="EA170" i="62"/>
  <c r="EA46" i="62"/>
  <c r="EA98" i="62"/>
  <c r="EA50" i="62"/>
  <c r="EA16" i="62"/>
  <c r="EA161" i="62"/>
  <c r="EA81" i="62"/>
  <c r="EA35" i="62"/>
  <c r="EA22" i="62"/>
  <c r="EA105" i="62"/>
  <c r="EA62" i="62"/>
  <c r="EA38" i="62"/>
  <c r="EA39" i="62"/>
  <c r="EA19" i="62"/>
  <c r="EA53" i="62"/>
  <c r="EA25" i="62"/>
  <c r="EA75" i="62"/>
  <c r="EA32" i="62"/>
  <c r="EA12" i="62"/>
  <c r="EA89" i="62"/>
  <c r="EA20" i="62"/>
  <c r="EA137" i="62"/>
  <c r="EB8" i="62"/>
  <c r="EA103" i="62"/>
  <c r="EA174" i="62"/>
  <c r="EA76" i="62"/>
  <c r="EA126" i="62"/>
  <c r="EA138" i="62"/>
  <c r="EA139" i="62"/>
  <c r="EA36" i="62"/>
  <c r="EA33" i="62"/>
  <c r="EA177" i="62"/>
  <c r="EA189" i="62"/>
  <c r="EA180" i="62"/>
  <c r="EA54" i="62"/>
  <c r="EA106" i="62"/>
  <c r="EA83" i="62"/>
  <c r="EA13" i="62"/>
  <c r="EA171" i="62"/>
  <c r="EA14" i="62"/>
  <c r="EA48" i="62"/>
  <c r="EA109" i="62"/>
  <c r="EA26" i="62"/>
  <c r="EA40" i="62"/>
  <c r="EA136" i="62"/>
  <c r="EA116" i="62"/>
  <c r="EA186" i="62"/>
  <c r="EA123" i="62"/>
  <c r="EA100" i="62"/>
  <c r="EA51" i="62"/>
  <c r="EA183" i="62"/>
  <c r="EA168" i="62"/>
  <c r="EA96" i="62"/>
  <c r="EA68" i="62"/>
  <c r="EA23" i="62"/>
  <c r="EA67" i="62"/>
  <c r="EA165" i="62"/>
  <c r="EA17" i="62"/>
  <c r="EA162" i="62"/>
  <c r="EB94" i="62" l="1" a="1"/>
  <c r="EB94" i="62" s="1"/>
  <c r="EB63" i="62"/>
  <c r="EB65" i="62"/>
  <c r="EB64" i="62"/>
  <c r="EB188" i="62"/>
  <c r="EB182" i="62"/>
  <c r="EB122" i="62"/>
  <c r="EB108" i="62" a="1"/>
  <c r="EB108" i="62" s="1"/>
  <c r="EB95" i="62"/>
  <c r="EB185" i="62"/>
  <c r="EB167" i="62"/>
  <c r="EB164" i="62"/>
  <c r="EB99" i="62"/>
  <c r="EB75" i="62"/>
  <c r="EB179" i="62"/>
  <c r="EB173" i="62"/>
  <c r="EB170" i="62"/>
  <c r="EB125" i="62"/>
  <c r="EB38" i="62"/>
  <c r="EB80" i="62"/>
  <c r="EB161" i="62"/>
  <c r="EB105" i="62"/>
  <c r="EB176" i="62"/>
  <c r="EB82" i="62"/>
  <c r="EB73" i="62"/>
  <c r="EB35" i="62"/>
  <c r="EB115" i="62"/>
  <c r="EB66" i="62"/>
  <c r="EB50" i="62"/>
  <c r="EB102" i="62"/>
  <c r="EB72" i="62"/>
  <c r="EB53" i="62"/>
  <c r="EB79" i="62"/>
  <c r="EB46" i="62"/>
  <c r="EB47" i="62"/>
  <c r="EB39" i="62"/>
  <c r="EB25" i="62"/>
  <c r="EB16" i="62"/>
  <c r="EB81" i="62"/>
  <c r="EB74" i="62"/>
  <c r="EB88" i="62"/>
  <c r="EB32" i="62"/>
  <c r="EB22" i="62"/>
  <c r="EB19" i="62"/>
  <c r="EB62" i="62"/>
  <c r="EB98" i="62"/>
  <c r="EB12" i="62"/>
  <c r="EB139" i="62"/>
  <c r="EB106" i="62"/>
  <c r="EB26" i="62"/>
  <c r="EB109" i="62"/>
  <c r="EB67" i="62"/>
  <c r="EB136" i="62"/>
  <c r="EB123" i="62"/>
  <c r="EB171" i="62"/>
  <c r="EB89" i="62"/>
  <c r="EB138" i="62"/>
  <c r="EB23" i="62"/>
  <c r="EB116" i="62"/>
  <c r="EB168" i="62"/>
  <c r="EB100" i="62"/>
  <c r="EB103" i="62"/>
  <c r="EB51" i="62"/>
  <c r="EB68" i="62"/>
  <c r="EB137" i="62"/>
  <c r="EB17" i="62"/>
  <c r="EB189" i="62"/>
  <c r="EB180" i="62"/>
  <c r="EB33" i="62"/>
  <c r="EB13" i="62"/>
  <c r="EB20" i="62"/>
  <c r="EC8" i="62"/>
  <c r="EB186" i="62"/>
  <c r="EB177" i="62"/>
  <c r="EB40" i="62"/>
  <c r="EB83" i="62"/>
  <c r="EB14" i="62"/>
  <c r="EB165" i="62"/>
  <c r="EB174" i="62"/>
  <c r="EB48" i="62"/>
  <c r="EB162" i="62"/>
  <c r="EB76" i="62"/>
  <c r="EB126" i="62"/>
  <c r="EB36" i="62"/>
  <c r="EB183" i="62"/>
  <c r="EB96" i="62"/>
  <c r="EB54" i="62"/>
  <c r="EC94" i="62" l="1" a="1"/>
  <c r="EC94" i="62" s="1"/>
  <c r="EC64" i="62"/>
  <c r="EC63" i="62"/>
  <c r="EC65" i="62"/>
  <c r="EC185" i="62"/>
  <c r="EC176" i="62"/>
  <c r="EC125" i="62"/>
  <c r="EC88" i="62"/>
  <c r="EC182" i="62"/>
  <c r="EC115" i="62"/>
  <c r="EC164" i="62"/>
  <c r="EC99" i="62"/>
  <c r="EC179" i="62"/>
  <c r="EC102" i="62"/>
  <c r="EC95" i="62"/>
  <c r="EC82" i="62"/>
  <c r="EC39" i="62"/>
  <c r="EC188" i="62"/>
  <c r="EC173" i="62"/>
  <c r="EC170" i="62"/>
  <c r="EC74" i="62"/>
  <c r="EC75" i="62"/>
  <c r="EC32" i="62"/>
  <c r="EC73" i="62"/>
  <c r="EC122" i="62"/>
  <c r="EC98" i="62"/>
  <c r="EC79" i="62"/>
  <c r="EC62" i="62"/>
  <c r="EC80" i="62"/>
  <c r="EC108" i="62" a="1"/>
  <c r="EC108" i="62" s="1"/>
  <c r="EC81" i="62"/>
  <c r="EC66" i="62"/>
  <c r="EC53" i="62"/>
  <c r="EC38" i="62"/>
  <c r="EC25" i="62"/>
  <c r="EC50" i="62"/>
  <c r="EC46" i="62"/>
  <c r="EC47" i="62"/>
  <c r="EC35" i="62"/>
  <c r="EC161" i="62"/>
  <c r="EC16" i="62"/>
  <c r="EC72" i="62"/>
  <c r="EC12" i="62"/>
  <c r="EC19" i="62"/>
  <c r="EC167" i="62"/>
  <c r="EC105" i="62"/>
  <c r="EC22" i="62"/>
  <c r="EC174" i="62"/>
  <c r="EC106" i="62"/>
  <c r="EC23" i="62"/>
  <c r="EC177" i="62"/>
  <c r="EC17" i="62"/>
  <c r="EC67" i="62"/>
  <c r="EC139" i="62"/>
  <c r="EC137" i="62"/>
  <c r="EC76" i="62"/>
  <c r="EC54" i="62"/>
  <c r="EC165" i="62"/>
  <c r="EC189" i="62"/>
  <c r="EC186" i="62"/>
  <c r="EC36" i="62"/>
  <c r="EC48" i="62"/>
  <c r="EC83" i="62"/>
  <c r="EC168" i="62"/>
  <c r="EC183" i="62"/>
  <c r="EC136" i="62"/>
  <c r="EC40" i="62"/>
  <c r="EC26" i="62"/>
  <c r="EC100" i="62"/>
  <c r="EC20" i="62"/>
  <c r="EC51" i="62"/>
  <c r="ED8" i="62"/>
  <c r="EC13" i="62"/>
  <c r="EC109" i="62"/>
  <c r="EC171" i="62"/>
  <c r="EC96" i="62"/>
  <c r="EC162" i="62"/>
  <c r="EC103" i="62"/>
  <c r="EC116" i="62"/>
  <c r="EC123" i="62"/>
  <c r="EC89" i="62"/>
  <c r="EC14" i="62"/>
  <c r="EC68" i="62"/>
  <c r="EC180" i="62"/>
  <c r="EC33" i="62"/>
  <c r="EC138" i="62"/>
  <c r="EC126" i="62"/>
  <c r="ED94" i="62" l="1" a="1"/>
  <c r="ED94" i="62" s="1"/>
  <c r="ED65" i="62"/>
  <c r="ED64" i="62"/>
  <c r="ED63" i="62"/>
  <c r="ED173" i="62"/>
  <c r="ED176" i="62"/>
  <c r="ED115" i="62"/>
  <c r="ED108" i="62" a="1"/>
  <c r="ED108" i="62" s="1"/>
  <c r="ED79" i="62"/>
  <c r="ED125" i="62"/>
  <c r="ED185" i="62"/>
  <c r="ED167" i="62"/>
  <c r="ED62" i="62"/>
  <c r="ED182" i="62"/>
  <c r="ED99" i="62"/>
  <c r="ED102" i="62"/>
  <c r="ED95" i="62"/>
  <c r="ED82" i="62"/>
  <c r="ED188" i="62"/>
  <c r="ED170" i="62"/>
  <c r="ED164" i="62"/>
  <c r="ED179" i="62"/>
  <c r="ED122" i="62"/>
  <c r="ED161" i="62"/>
  <c r="ED105" i="62"/>
  <c r="ED80" i="62"/>
  <c r="ED25" i="62"/>
  <c r="ED74" i="62"/>
  <c r="ED75" i="62"/>
  <c r="ED47" i="62"/>
  <c r="ED50" i="62"/>
  <c r="ED98" i="62"/>
  <c r="ED73" i="62"/>
  <c r="ED19" i="62"/>
  <c r="ED66" i="62"/>
  <c r="ED53" i="62"/>
  <c r="ED38" i="62"/>
  <c r="ED39" i="62"/>
  <c r="ED46" i="62"/>
  <c r="ED22" i="62"/>
  <c r="ED35" i="62"/>
  <c r="ED12" i="62"/>
  <c r="ED16" i="62"/>
  <c r="ED81" i="62"/>
  <c r="ED72" i="62"/>
  <c r="ED88" i="62"/>
  <c r="ED32" i="62"/>
  <c r="ED51" i="62"/>
  <c r="ED20" i="62"/>
  <c r="ED26" i="62"/>
  <c r="ED36" i="62"/>
  <c r="ED123" i="62"/>
  <c r="ED137" i="62"/>
  <c r="ED14" i="62"/>
  <c r="ED96" i="62"/>
  <c r="ED116" i="62"/>
  <c r="ED67" i="62"/>
  <c r="ED68" i="62"/>
  <c r="ED13" i="62"/>
  <c r="ED168" i="62"/>
  <c r="ED180" i="62"/>
  <c r="ED106" i="62"/>
  <c r="ED165" i="62"/>
  <c r="ED100" i="62"/>
  <c r="EE8" i="62"/>
  <c r="ED48" i="62"/>
  <c r="ED76" i="62"/>
  <c r="ED54" i="62"/>
  <c r="ED17" i="62"/>
  <c r="ED162" i="62"/>
  <c r="ED171" i="62"/>
  <c r="ED183" i="62"/>
  <c r="ED126" i="62"/>
  <c r="ED33" i="62"/>
  <c r="ED139" i="62"/>
  <c r="ED177" i="62"/>
  <c r="ED186" i="62"/>
  <c r="ED89" i="62"/>
  <c r="ED23" i="62"/>
  <c r="ED83" i="62"/>
  <c r="ED40" i="62"/>
  <c r="ED189" i="62"/>
  <c r="ED109" i="62"/>
  <c r="ED103" i="62"/>
  <c r="ED174" i="62"/>
  <c r="ED138" i="62"/>
  <c r="ED136" i="62"/>
  <c r="EE94" i="62" l="1" a="1"/>
  <c r="EE94" i="62" s="1"/>
  <c r="EE65" i="62"/>
  <c r="EE63" i="62"/>
  <c r="EE64" i="62"/>
  <c r="EE188" i="62"/>
  <c r="EE185" i="62"/>
  <c r="EE170" i="62"/>
  <c r="EE105" i="62"/>
  <c r="EE176" i="62"/>
  <c r="EE80" i="62"/>
  <c r="EE161" i="62"/>
  <c r="EE122" i="62"/>
  <c r="EE98" i="62"/>
  <c r="EE66" i="62"/>
  <c r="EE167" i="62"/>
  <c r="EE115" i="62"/>
  <c r="EE182" i="62"/>
  <c r="EE79" i="62"/>
  <c r="EE73" i="62"/>
  <c r="EE125" i="62"/>
  <c r="EE99" i="62"/>
  <c r="EE173" i="62"/>
  <c r="EE102" i="62"/>
  <c r="EE88" i="62"/>
  <c r="EE62" i="62"/>
  <c r="EE22" i="62"/>
  <c r="EE82" i="62"/>
  <c r="EE164" i="62"/>
  <c r="EE53" i="62"/>
  <c r="EE95" i="62"/>
  <c r="EE179" i="62"/>
  <c r="EE72" i="62"/>
  <c r="EE74" i="62"/>
  <c r="EE50" i="62"/>
  <c r="EE47" i="62"/>
  <c r="EE19" i="62"/>
  <c r="EE38" i="62"/>
  <c r="EE39" i="62"/>
  <c r="EE25" i="62"/>
  <c r="EE32" i="62"/>
  <c r="EE16" i="62"/>
  <c r="EE108" i="62" a="1"/>
  <c r="EE108" i="62" s="1"/>
  <c r="EE46" i="62"/>
  <c r="EE81" i="62"/>
  <c r="EE35" i="62"/>
  <c r="EE12" i="62"/>
  <c r="EE75" i="62"/>
  <c r="EE33" i="62"/>
  <c r="EE14" i="62"/>
  <c r="EE36" i="62"/>
  <c r="EE67" i="62"/>
  <c r="EE96" i="62"/>
  <c r="EE138" i="62"/>
  <c r="EE123" i="62"/>
  <c r="EE186" i="62"/>
  <c r="EE180" i="62"/>
  <c r="EE136" i="62"/>
  <c r="EE165" i="62"/>
  <c r="EE103" i="62"/>
  <c r="EE20" i="62"/>
  <c r="EE40" i="62"/>
  <c r="EE177" i="62"/>
  <c r="EE137" i="62"/>
  <c r="EE162" i="62"/>
  <c r="EE76" i="62"/>
  <c r="EF8" i="62"/>
  <c r="EE17" i="62"/>
  <c r="EE26" i="62"/>
  <c r="EE183" i="62"/>
  <c r="EE48" i="62"/>
  <c r="EE23" i="62"/>
  <c r="EE189" i="62"/>
  <c r="EE139" i="62"/>
  <c r="EE168" i="62"/>
  <c r="EE116" i="62"/>
  <c r="EE68" i="62"/>
  <c r="EE54" i="62"/>
  <c r="EE83" i="62"/>
  <c r="EE89" i="62"/>
  <c r="EE109" i="62"/>
  <c r="EE13" i="62"/>
  <c r="EE51" i="62"/>
  <c r="EE174" i="62"/>
  <c r="EE100" i="62"/>
  <c r="EE106" i="62"/>
  <c r="EE171" i="62"/>
  <c r="EE126" i="62"/>
  <c r="EF94" i="62" l="1" a="1"/>
  <c r="EF94" i="62" s="1"/>
  <c r="EF64" i="62"/>
  <c r="EF63" i="62"/>
  <c r="EF65" i="62"/>
  <c r="EF185" i="62"/>
  <c r="EF188" i="62"/>
  <c r="EF167" i="62"/>
  <c r="EF182" i="62"/>
  <c r="EF164" i="62"/>
  <c r="EF161" i="62"/>
  <c r="EF125" i="62"/>
  <c r="EF122" i="62"/>
  <c r="EF102" i="62"/>
  <c r="EF173" i="62"/>
  <c r="EF98" i="62"/>
  <c r="EF99" i="62"/>
  <c r="EF81" i="62"/>
  <c r="EF176" i="62"/>
  <c r="EF108" i="62" a="1"/>
  <c r="EF108" i="62" s="1"/>
  <c r="EF105" i="62"/>
  <c r="EF82" i="62"/>
  <c r="EF72" i="62"/>
  <c r="EF73" i="62"/>
  <c r="EF179" i="62"/>
  <c r="EF74" i="62"/>
  <c r="EF75" i="62"/>
  <c r="EF62" i="62"/>
  <c r="EF66" i="62"/>
  <c r="EF53" i="62"/>
  <c r="EF79" i="62"/>
  <c r="EF50" i="62"/>
  <c r="EF46" i="62"/>
  <c r="EF47" i="62"/>
  <c r="EF38" i="62"/>
  <c r="EF39" i="62"/>
  <c r="EF19" i="62"/>
  <c r="EF88" i="62"/>
  <c r="EF80" i="62"/>
  <c r="EF115" i="62"/>
  <c r="EF170" i="62"/>
  <c r="EF95" i="62"/>
  <c r="EF32" i="62"/>
  <c r="EF12" i="62"/>
  <c r="EF35" i="62"/>
  <c r="EF22" i="62"/>
  <c r="EF16" i="62"/>
  <c r="EF25" i="62"/>
  <c r="EF162" i="62"/>
  <c r="EF180" i="62"/>
  <c r="EF51" i="62"/>
  <c r="EF116" i="62"/>
  <c r="EF20" i="62"/>
  <c r="EF137" i="62"/>
  <c r="EF17" i="62"/>
  <c r="EF36" i="62"/>
  <c r="EF100" i="62"/>
  <c r="EF48" i="62"/>
  <c r="EF68" i="62"/>
  <c r="EF138" i="62"/>
  <c r="EF177" i="62"/>
  <c r="EF189" i="62"/>
  <c r="EF26" i="62"/>
  <c r="EF136" i="62"/>
  <c r="EG8" i="62"/>
  <c r="EF33" i="62"/>
  <c r="EF139" i="62"/>
  <c r="EF186" i="62"/>
  <c r="EF89" i="62"/>
  <c r="EF171" i="62"/>
  <c r="EF106" i="62"/>
  <c r="EF103" i="62"/>
  <c r="EF83" i="62"/>
  <c r="EF123" i="62"/>
  <c r="EF13" i="62"/>
  <c r="EF96" i="62"/>
  <c r="EF109" i="62"/>
  <c r="EF67" i="62"/>
  <c r="EF174" i="62"/>
  <c r="EF183" i="62"/>
  <c r="EF14" i="62"/>
  <c r="EF126" i="62"/>
  <c r="EF165" i="62"/>
  <c r="EF54" i="62"/>
  <c r="EF168" i="62"/>
  <c r="EF40" i="62"/>
  <c r="EF23" i="62"/>
  <c r="EF76" i="62"/>
  <c r="EG94" i="62" l="1" a="1"/>
  <c r="EG94" i="62" s="1"/>
  <c r="EG64" i="62"/>
  <c r="EG65" i="62"/>
  <c r="EG63" i="62"/>
  <c r="EG182" i="62"/>
  <c r="EG185" i="62"/>
  <c r="EG179" i="62"/>
  <c r="EG176" i="62"/>
  <c r="EG164" i="62"/>
  <c r="EG173" i="62"/>
  <c r="EG170" i="62"/>
  <c r="EG167" i="62"/>
  <c r="EG98" i="62"/>
  <c r="EG188" i="62"/>
  <c r="EG161" i="62"/>
  <c r="EG115" i="62"/>
  <c r="EG105" i="62"/>
  <c r="EG102" i="62"/>
  <c r="EG82" i="62"/>
  <c r="EG95" i="62"/>
  <c r="EG88" i="62"/>
  <c r="EG79" i="62"/>
  <c r="EG80" i="62"/>
  <c r="EG81" i="62"/>
  <c r="EG122" i="62"/>
  <c r="EG108" i="62" a="1"/>
  <c r="EG108" i="62" s="1"/>
  <c r="EG50" i="62"/>
  <c r="EG73" i="62"/>
  <c r="EG74" i="62"/>
  <c r="EG125" i="62"/>
  <c r="EG53" i="62"/>
  <c r="EG16" i="62"/>
  <c r="EG99" i="62"/>
  <c r="EG62" i="62"/>
  <c r="EG75" i="62"/>
  <c r="EG39" i="62"/>
  <c r="EG66" i="62"/>
  <c r="EG32" i="62"/>
  <c r="EG19" i="62"/>
  <c r="EG12" i="62"/>
  <c r="EG46" i="62"/>
  <c r="EG72" i="62"/>
  <c r="EG47" i="62"/>
  <c r="EG38" i="62"/>
  <c r="EG35" i="62"/>
  <c r="EG22" i="62"/>
  <c r="EG25" i="62"/>
  <c r="EG136" i="62"/>
  <c r="EG13" i="62"/>
  <c r="EG180" i="62"/>
  <c r="EG40" i="62"/>
  <c r="EG14" i="62"/>
  <c r="EH8" i="62"/>
  <c r="EG183" i="62"/>
  <c r="EG165" i="62"/>
  <c r="EG189" i="62"/>
  <c r="EG96" i="62"/>
  <c r="EG109" i="62"/>
  <c r="EG17" i="62"/>
  <c r="EG20" i="62"/>
  <c r="EG116" i="62"/>
  <c r="EG83" i="62"/>
  <c r="EG138" i="62"/>
  <c r="EG76" i="62"/>
  <c r="EG139" i="62"/>
  <c r="EG51" i="62"/>
  <c r="EG162" i="62"/>
  <c r="EG48" i="62"/>
  <c r="EG106" i="62"/>
  <c r="EG123" i="62"/>
  <c r="EG171" i="62"/>
  <c r="EG89" i="62"/>
  <c r="EG33" i="62"/>
  <c r="EG100" i="62"/>
  <c r="EG67" i="62"/>
  <c r="EG177" i="62"/>
  <c r="EG174" i="62"/>
  <c r="EG54" i="62"/>
  <c r="EG126" i="62"/>
  <c r="EG26" i="62"/>
  <c r="EG103" i="62"/>
  <c r="EG36" i="62"/>
  <c r="EG186" i="62"/>
  <c r="EG168" i="62"/>
  <c r="EG68" i="62"/>
  <c r="EG137" i="62"/>
  <c r="EG23" i="62"/>
  <c r="EH94" i="62" l="1" a="1"/>
  <c r="EH94" i="62" s="1"/>
  <c r="EH63" i="62"/>
  <c r="EH64" i="62"/>
  <c r="EH65" i="62"/>
  <c r="EH179" i="62"/>
  <c r="EH182" i="62"/>
  <c r="EH161" i="62"/>
  <c r="EH108" i="62" a="1"/>
  <c r="EH108" i="62" s="1"/>
  <c r="EH99" i="62"/>
  <c r="EH173" i="62"/>
  <c r="EH170" i="62"/>
  <c r="EH167" i="62"/>
  <c r="EH72" i="62"/>
  <c r="EH188" i="62"/>
  <c r="EH115" i="62"/>
  <c r="EH105" i="62"/>
  <c r="EH102" i="62"/>
  <c r="EH185" i="62"/>
  <c r="EH98" i="62"/>
  <c r="EH176" i="62"/>
  <c r="EH81" i="62"/>
  <c r="EH46" i="62"/>
  <c r="EH12" i="62"/>
  <c r="EH125" i="62"/>
  <c r="EH88" i="62"/>
  <c r="EH95" i="62"/>
  <c r="EH73" i="62"/>
  <c r="EH35" i="62"/>
  <c r="EH32" i="62"/>
  <c r="EH25" i="62"/>
  <c r="EH22" i="62"/>
  <c r="EH19" i="62"/>
  <c r="EH16" i="62"/>
  <c r="EH79" i="62"/>
  <c r="EH82" i="62"/>
  <c r="EH75" i="62"/>
  <c r="EH122" i="62"/>
  <c r="EH80" i="62"/>
  <c r="EH66" i="62"/>
  <c r="EH53" i="62"/>
  <c r="EH50" i="62"/>
  <c r="EH39" i="62"/>
  <c r="EH47" i="62"/>
  <c r="EH38" i="62"/>
  <c r="EH62" i="62"/>
  <c r="EH74" i="62"/>
  <c r="EH164" i="62"/>
  <c r="EH138" i="62"/>
  <c r="EH168" i="62"/>
  <c r="EH14" i="62"/>
  <c r="EH162" i="62"/>
  <c r="EI8" i="62"/>
  <c r="EH109" i="62"/>
  <c r="EH123" i="62"/>
  <c r="EH13" i="62"/>
  <c r="EH51" i="62"/>
  <c r="EH183" i="62"/>
  <c r="EH165" i="62"/>
  <c r="EH174" i="62"/>
  <c r="EH54" i="62"/>
  <c r="EH177" i="62"/>
  <c r="EH36" i="62"/>
  <c r="EH40" i="62"/>
  <c r="EH136" i="62"/>
  <c r="EH67" i="62"/>
  <c r="EH68" i="62"/>
  <c r="EH126" i="62"/>
  <c r="EH96" i="62"/>
  <c r="EH116" i="62"/>
  <c r="EH33" i="62"/>
  <c r="EH48" i="62"/>
  <c r="EH26" i="62"/>
  <c r="EH20" i="62"/>
  <c r="EH137" i="62"/>
  <c r="EH100" i="62"/>
  <c r="EH171" i="62"/>
  <c r="EH23" i="62"/>
  <c r="EH17" i="62"/>
  <c r="EH186" i="62"/>
  <c r="EH189" i="62"/>
  <c r="EH180" i="62"/>
  <c r="EH103" i="62"/>
  <c r="EH106" i="62"/>
  <c r="EH139" i="62"/>
  <c r="EH83" i="62"/>
  <c r="EH89" i="62"/>
  <c r="EH76" i="62"/>
  <c r="EI94" i="62" l="1" a="1"/>
  <c r="EI94" i="62" s="1"/>
  <c r="EI65" i="62"/>
  <c r="EI63" i="62"/>
  <c r="EI64" i="62"/>
  <c r="EI176" i="62"/>
  <c r="EI188" i="62"/>
  <c r="EI125" i="62"/>
  <c r="EI179" i="62"/>
  <c r="EI182" i="62"/>
  <c r="EI122" i="62"/>
  <c r="EI73" i="62"/>
  <c r="EI173" i="62"/>
  <c r="EI161" i="62"/>
  <c r="EI170" i="62"/>
  <c r="EI74" i="62"/>
  <c r="EI105" i="62"/>
  <c r="EI185" i="62"/>
  <c r="EI167" i="62"/>
  <c r="EI88" i="62"/>
  <c r="EI47" i="62"/>
  <c r="EI108" i="62" a="1"/>
  <c r="EI108" i="62" s="1"/>
  <c r="EI81" i="62"/>
  <c r="EI164" i="62"/>
  <c r="EI115" i="62"/>
  <c r="EI72" i="62"/>
  <c r="EI99" i="62"/>
  <c r="EI102" i="62"/>
  <c r="EI98" i="62"/>
  <c r="EI46" i="62"/>
  <c r="EI79" i="62"/>
  <c r="EI82" i="62"/>
  <c r="EI75" i="62"/>
  <c r="EI62" i="62"/>
  <c r="EI53" i="62"/>
  <c r="EI50" i="62"/>
  <c r="EI22" i="62"/>
  <c r="EI12" i="62"/>
  <c r="EI80" i="62"/>
  <c r="EI32" i="62"/>
  <c r="EI95" i="62"/>
  <c r="EI38" i="62"/>
  <c r="EI25" i="62"/>
  <c r="EI39" i="62"/>
  <c r="EI19" i="62"/>
  <c r="EI66" i="62"/>
  <c r="EI35" i="62"/>
  <c r="EI16" i="62"/>
  <c r="EI36" i="62"/>
  <c r="EI33" i="62"/>
  <c r="EI20" i="62"/>
  <c r="EI168" i="62"/>
  <c r="EJ8" i="62"/>
  <c r="EI138" i="62"/>
  <c r="EI177" i="62"/>
  <c r="EI26" i="62"/>
  <c r="EI76" i="62"/>
  <c r="EI96" i="62"/>
  <c r="EI40" i="62"/>
  <c r="EI48" i="62"/>
  <c r="EI68" i="62"/>
  <c r="EI13" i="62"/>
  <c r="EI123" i="62"/>
  <c r="EI183" i="62"/>
  <c r="EI51" i="62"/>
  <c r="EI137" i="62"/>
  <c r="EI162" i="62"/>
  <c r="EI103" i="62"/>
  <c r="EI136" i="62"/>
  <c r="EI180" i="62"/>
  <c r="EI17" i="62"/>
  <c r="EI83" i="62"/>
  <c r="EI109" i="62"/>
  <c r="EI23" i="62"/>
  <c r="EI139" i="62"/>
  <c r="EI186" i="62"/>
  <c r="EI106" i="62"/>
  <c r="EI126" i="62"/>
  <c r="EI189" i="62"/>
  <c r="EI14" i="62"/>
  <c r="EI54" i="62"/>
  <c r="EI100" i="62"/>
  <c r="EI165" i="62"/>
  <c r="EI89" i="62"/>
  <c r="EI174" i="62"/>
  <c r="EI171" i="62"/>
  <c r="EI67" i="62"/>
  <c r="EI116" i="62"/>
  <c r="EJ94" i="62" l="1" a="1"/>
  <c r="EJ94" i="62" s="1"/>
  <c r="EJ63" i="62"/>
  <c r="EJ65" i="62"/>
  <c r="EJ64" i="62"/>
  <c r="EJ188" i="62"/>
  <c r="EJ122" i="62"/>
  <c r="EJ185" i="62"/>
  <c r="EJ179" i="62"/>
  <c r="EJ170" i="62"/>
  <c r="EJ95" i="62"/>
  <c r="EJ182" i="62"/>
  <c r="EJ176" i="62"/>
  <c r="EJ102" i="62"/>
  <c r="EJ75" i="62"/>
  <c r="EJ161" i="62"/>
  <c r="EJ173" i="62"/>
  <c r="EJ105" i="62"/>
  <c r="EJ72" i="62"/>
  <c r="EJ38" i="62"/>
  <c r="EJ88" i="62"/>
  <c r="EJ108" i="62" a="1"/>
  <c r="EJ108" i="62" s="1"/>
  <c r="EJ167" i="62"/>
  <c r="EJ98" i="62"/>
  <c r="EJ35" i="62"/>
  <c r="EJ125" i="62"/>
  <c r="EJ164" i="62"/>
  <c r="EJ81" i="62"/>
  <c r="EJ66" i="62"/>
  <c r="EJ99" i="62"/>
  <c r="EJ73" i="62"/>
  <c r="EJ115" i="62"/>
  <c r="EJ80" i="62"/>
  <c r="EJ62" i="62"/>
  <c r="EJ79" i="62"/>
  <c r="EJ22" i="62"/>
  <c r="EJ82" i="62"/>
  <c r="EJ46" i="62"/>
  <c r="EJ47" i="62"/>
  <c r="EJ39" i="62"/>
  <c r="EJ32" i="62"/>
  <c r="EJ12" i="62"/>
  <c r="EJ16" i="62"/>
  <c r="EJ50" i="62"/>
  <c r="EJ19" i="62"/>
  <c r="EJ25" i="62"/>
  <c r="EJ53" i="62"/>
  <c r="EJ74" i="62"/>
  <c r="EJ138" i="62"/>
  <c r="EJ68" i="62"/>
  <c r="EK8" i="62"/>
  <c r="EJ76" i="62"/>
  <c r="EJ36" i="62"/>
  <c r="EJ100" i="62"/>
  <c r="EJ20" i="62"/>
  <c r="EJ51" i="62"/>
  <c r="EJ180" i="62"/>
  <c r="EJ33" i="62"/>
  <c r="EJ109" i="62"/>
  <c r="EJ139" i="62"/>
  <c r="EJ23" i="62"/>
  <c r="EJ14" i="62"/>
  <c r="EJ83" i="62"/>
  <c r="EJ171" i="62"/>
  <c r="EJ103" i="62"/>
  <c r="EJ67" i="62"/>
  <c r="EJ186" i="62"/>
  <c r="EJ162" i="62"/>
  <c r="EJ165" i="62"/>
  <c r="EJ123" i="62"/>
  <c r="EJ17" i="62"/>
  <c r="EJ116" i="62"/>
  <c r="EJ174" i="62"/>
  <c r="EJ106" i="62"/>
  <c r="EJ126" i="62"/>
  <c r="EJ136" i="62"/>
  <c r="EJ13" i="62"/>
  <c r="EJ168" i="62"/>
  <c r="EJ177" i="62"/>
  <c r="EJ183" i="62"/>
  <c r="EJ26" i="62"/>
  <c r="EJ96" i="62"/>
  <c r="EJ48" i="62"/>
  <c r="EJ89" i="62"/>
  <c r="EJ54" i="62"/>
  <c r="EJ40" i="62"/>
  <c r="EJ137" i="62"/>
  <c r="EJ189" i="62"/>
  <c r="EK94" i="62" l="1" a="1"/>
  <c r="EK94" i="62" s="1"/>
  <c r="O94" i="62" s="1" a="1"/>
  <c r="O94" i="62" s="1"/>
  <c r="AA94" i="62" s="1"/>
  <c r="EK64" i="62"/>
  <c r="O64" i="62" s="1" a="1"/>
  <c r="O64" i="62" s="1"/>
  <c r="AA64" i="62" s="1"/>
  <c r="EK63" i="62"/>
  <c r="O63" i="62" s="1" a="1"/>
  <c r="O63" i="62" s="1"/>
  <c r="AA63" i="62" s="1"/>
  <c r="EK65" i="62"/>
  <c r="O65" i="62" s="1" a="1"/>
  <c r="O65" i="62" s="1"/>
  <c r="AA65" i="62" s="1"/>
  <c r="EK185" i="62"/>
  <c r="O185" i="62" s="1" a="1"/>
  <c r="O185" i="62" s="1"/>
  <c r="EK188" i="62"/>
  <c r="O188" i="62" s="1" a="1"/>
  <c r="O188" i="62" s="1"/>
  <c r="EK164" i="62"/>
  <c r="O164" i="62" s="1" a="1"/>
  <c r="O164" i="62" s="1"/>
  <c r="EK88" i="62"/>
  <c r="O88" i="62" s="1" a="1"/>
  <c r="O88" i="62" s="1"/>
  <c r="AA88" i="62" s="1"/>
  <c r="EK170" i="62"/>
  <c r="O170" i="62" s="1" a="1"/>
  <c r="O170" i="62" s="1"/>
  <c r="EK122" i="62"/>
  <c r="O122" i="62" s="1" a="1"/>
  <c r="O122" i="62" s="1"/>
  <c r="EK108" i="62" a="1"/>
  <c r="EK108" i="62" s="1"/>
  <c r="O108" i="62" s="1" a="1"/>
  <c r="O108" i="62" s="1"/>
  <c r="AA108" i="62" s="1"/>
  <c r="EK176" i="62"/>
  <c r="O176" i="62" s="1" a="1"/>
  <c r="O176" i="62" s="1"/>
  <c r="EK102" i="62"/>
  <c r="O102" i="62" s="1" a="1"/>
  <c r="O102" i="62" s="1"/>
  <c r="AA102" i="62" s="1"/>
  <c r="EK167" i="62"/>
  <c r="O167" i="62" s="1" a="1"/>
  <c r="O167" i="62" s="1"/>
  <c r="EK161" i="62"/>
  <c r="O161" i="62" s="1" a="1"/>
  <c r="O161" i="62" s="1"/>
  <c r="EK98" i="62"/>
  <c r="O98" i="62" s="1" a="1"/>
  <c r="O98" i="62" s="1"/>
  <c r="AA98" i="62" s="1"/>
  <c r="EK80" i="62"/>
  <c r="O80" i="62" s="1" a="1"/>
  <c r="O80" i="62" s="1"/>
  <c r="AA80" i="62" s="1"/>
  <c r="EK39" i="62"/>
  <c r="O39" i="62" s="1" a="1"/>
  <c r="O39" i="62" s="1"/>
  <c r="EK182" i="62"/>
  <c r="O182" i="62" s="1" a="1"/>
  <c r="O182" i="62" s="1"/>
  <c r="EK105" i="62"/>
  <c r="O105" i="62" s="1" a="1"/>
  <c r="O105" i="62" s="1"/>
  <c r="AA105" i="62" s="1"/>
  <c r="EK72" i="62"/>
  <c r="O72" i="62" s="1" a="1"/>
  <c r="O72" i="62" s="1"/>
  <c r="AA72" i="62" s="1"/>
  <c r="EK125" i="62"/>
  <c r="O125" i="62" s="1" a="1"/>
  <c r="O125" i="62" s="1"/>
  <c r="AA125" i="62" s="1"/>
  <c r="EK79" i="62"/>
  <c r="O79" i="62" s="1" a="1"/>
  <c r="O79" i="62" s="1"/>
  <c r="AA79" i="62" s="1"/>
  <c r="EK81" i="62"/>
  <c r="O81" i="62" s="1" a="1"/>
  <c r="O81" i="62" s="1"/>
  <c r="AA81" i="62" s="1"/>
  <c r="EK66" i="62"/>
  <c r="O66" i="62" s="1" a="1"/>
  <c r="O66" i="62" s="1"/>
  <c r="AA66" i="62" s="1"/>
  <c r="EK32" i="62"/>
  <c r="O32" i="62" s="1" a="1"/>
  <c r="O32" i="62" s="1"/>
  <c r="EK173" i="62"/>
  <c r="O173" i="62" s="1" a="1"/>
  <c r="O173" i="62" s="1"/>
  <c r="EK74" i="62"/>
  <c r="O74" i="62" s="1" a="1"/>
  <c r="O74" i="62" s="1"/>
  <c r="EK38" i="62"/>
  <c r="O38" i="62" s="1" a="1"/>
  <c r="O38" i="62" s="1"/>
  <c r="EK99" i="62"/>
  <c r="O99" i="62" s="1" a="1"/>
  <c r="O99" i="62" s="1"/>
  <c r="AA99" i="62" s="1"/>
  <c r="EK73" i="62"/>
  <c r="O73" i="62" s="1" a="1"/>
  <c r="O73" i="62" s="1"/>
  <c r="AA73" i="62" s="1"/>
  <c r="EK35" i="62"/>
  <c r="O35" i="62" s="1" a="1"/>
  <c r="O35" i="62" s="1"/>
  <c r="EK16" i="62"/>
  <c r="O16" i="62" s="1" a="1"/>
  <c r="O16" i="62" s="1"/>
  <c r="EK22" i="62"/>
  <c r="O22" i="62" s="1" a="1"/>
  <c r="O22" i="62" s="1"/>
  <c r="AA22" i="62" s="1"/>
  <c r="EK62" i="62"/>
  <c r="O62" i="62" s="1" a="1"/>
  <c r="O62" i="62" s="1"/>
  <c r="EK75" i="62"/>
  <c r="O75" i="62" s="1" a="1"/>
  <c r="O75" i="62" s="1"/>
  <c r="AA75" i="62" s="1"/>
  <c r="EK50" i="62"/>
  <c r="O50" i="62" s="1" a="1"/>
  <c r="O50" i="62" s="1"/>
  <c r="EK115" i="62"/>
  <c r="O115" i="62" s="1" a="1"/>
  <c r="O115" i="62" s="1"/>
  <c r="AA115" i="62" s="1"/>
  <c r="EK25" i="62"/>
  <c r="O25" i="62" s="1" a="1"/>
  <c r="O25" i="62" s="1"/>
  <c r="AA25" i="62" s="1"/>
  <c r="EK46" i="62"/>
  <c r="O46" i="62" s="1" a="1"/>
  <c r="O46" i="62" s="1"/>
  <c r="AA46" i="62" s="1"/>
  <c r="EK47" i="62"/>
  <c r="O47" i="62" s="1" a="1"/>
  <c r="O47" i="62" s="1"/>
  <c r="AA47" i="62" s="1"/>
  <c r="EK82" i="62"/>
  <c r="O82" i="62" s="1" a="1"/>
  <c r="O82" i="62" s="1"/>
  <c r="AA82" i="62" s="1"/>
  <c r="EK179" i="62"/>
  <c r="O179" i="62" s="1" a="1"/>
  <c r="O179" i="62" s="1"/>
  <c r="EK12" i="62"/>
  <c r="O12" i="62" s="1" a="1"/>
  <c r="O12" i="62" s="1"/>
  <c r="EK95" i="62"/>
  <c r="O95" i="62" s="1" a="1"/>
  <c r="O95" i="62" s="1"/>
  <c r="EK19" i="62"/>
  <c r="O19" i="62" s="1" a="1"/>
  <c r="O19" i="62" s="1"/>
  <c r="EK53" i="62"/>
  <c r="O53" i="62" s="1" a="1"/>
  <c r="O53" i="62" s="1"/>
  <c r="EK23" i="62"/>
  <c r="O23" i="62" s="1" a="1"/>
  <c r="O23" i="62" s="1"/>
  <c r="EK76" i="62"/>
  <c r="O76" i="62" s="1" a="1"/>
  <c r="O76" i="62" s="1"/>
  <c r="EK67" i="62"/>
  <c r="O67" i="62" s="1" a="1"/>
  <c r="O67" i="62" s="1"/>
  <c r="EK17" i="62"/>
  <c r="O17" i="62" s="1" a="1"/>
  <c r="O17" i="62" s="1"/>
  <c r="EK168" i="62"/>
  <c r="O168" i="62" s="1" a="1"/>
  <c r="O168" i="62" s="1"/>
  <c r="N17" i="120" s="1"/>
  <c r="EK109" i="62"/>
  <c r="O109" i="62" s="1" a="1"/>
  <c r="O109" i="62" s="1"/>
  <c r="EL8" i="62"/>
  <c r="EK171" i="62"/>
  <c r="O171" i="62" s="1" a="1"/>
  <c r="O171" i="62" s="1"/>
  <c r="N20" i="120" s="1"/>
  <c r="EK162" i="62"/>
  <c r="O162" i="62" s="1" a="1"/>
  <c r="O162" i="62" s="1"/>
  <c r="N11" i="120" s="1"/>
  <c r="EK83" i="62"/>
  <c r="O83" i="62" s="1" a="1"/>
  <c r="O83" i="62" s="1"/>
  <c r="EK183" i="62"/>
  <c r="O183" i="62" s="1" a="1"/>
  <c r="O183" i="62" s="1"/>
  <c r="N32" i="120" s="1"/>
  <c r="EK139" i="62"/>
  <c r="O139" i="62" s="1" a="1"/>
  <c r="O139" i="62" s="1"/>
  <c r="EK116" i="62"/>
  <c r="O116" i="62" s="1" a="1"/>
  <c r="O116" i="62" s="1"/>
  <c r="EK33" i="62"/>
  <c r="O33" i="62" s="1" a="1"/>
  <c r="O33" i="62" s="1"/>
  <c r="EK189" i="62"/>
  <c r="O189" i="62" s="1" a="1"/>
  <c r="O189" i="62" s="1"/>
  <c r="N38" i="120" s="1"/>
  <c r="EK180" i="62"/>
  <c r="O180" i="62" s="1" a="1"/>
  <c r="O180" i="62" s="1"/>
  <c r="N29" i="120" s="1"/>
  <c r="EK137" i="62"/>
  <c r="O137" i="62" s="1" a="1"/>
  <c r="O137" i="62" s="1"/>
  <c r="EK36" i="62"/>
  <c r="O36" i="62" s="1" a="1"/>
  <c r="O36" i="62" s="1"/>
  <c r="EK103" i="62"/>
  <c r="O103" i="62" s="1" a="1"/>
  <c r="O103" i="62" s="1"/>
  <c r="EK136" i="62"/>
  <c r="O136" i="62" s="1" a="1"/>
  <c r="O136" i="62" s="1"/>
  <c r="EK177" i="62"/>
  <c r="O177" i="62" s="1" a="1"/>
  <c r="O177" i="62" s="1"/>
  <c r="N26" i="120" s="1"/>
  <c r="EK186" i="62"/>
  <c r="O186" i="62" s="1" a="1"/>
  <c r="O186" i="62" s="1"/>
  <c r="EK126" i="62"/>
  <c r="O126" i="62" s="1" a="1"/>
  <c r="O126" i="62" s="1"/>
  <c r="EK174" i="62"/>
  <c r="O174" i="62" s="1" a="1"/>
  <c r="O174" i="62" s="1"/>
  <c r="N23" i="120" s="1"/>
  <c r="EK68" i="62"/>
  <c r="O68" i="62" s="1" a="1"/>
  <c r="O68" i="62" s="1"/>
  <c r="EK165" i="62"/>
  <c r="O165" i="62" s="1" a="1"/>
  <c r="O165" i="62" s="1"/>
  <c r="N14" i="120" s="1"/>
  <c r="EK96" i="62"/>
  <c r="O96" i="62" s="1" a="1"/>
  <c r="O96" i="62" s="1"/>
  <c r="EK106" i="62"/>
  <c r="O106" i="62" s="1" a="1"/>
  <c r="O106" i="62" s="1"/>
  <c r="EK26" i="62"/>
  <c r="O26" i="62" s="1" a="1"/>
  <c r="O26" i="62" s="1"/>
  <c r="EK40" i="62"/>
  <c r="O40" i="62" s="1" a="1"/>
  <c r="O40" i="62" s="1"/>
  <c r="EK100" i="62"/>
  <c r="O100" i="62" s="1" a="1"/>
  <c r="O100" i="62" s="1"/>
  <c r="EK54" i="62"/>
  <c r="O54" i="62" s="1" a="1"/>
  <c r="O54" i="62" s="1"/>
  <c r="EK89" i="62"/>
  <c r="O89" i="62" s="1" a="1"/>
  <c r="O89" i="62" s="1"/>
  <c r="EK138" i="62"/>
  <c r="O138" i="62" s="1" a="1"/>
  <c r="O138" i="62" s="1"/>
  <c r="EK123" i="62"/>
  <c r="O123" i="62" s="1" a="1"/>
  <c r="O123" i="62" s="1"/>
  <c r="EK14" i="62"/>
  <c r="O14" i="62" s="1" a="1"/>
  <c r="O14" i="62" s="1"/>
  <c r="EK51" i="62"/>
  <c r="O51" i="62" s="1" a="1"/>
  <c r="O51" i="62" s="1"/>
  <c r="EK13" i="62"/>
  <c r="O13" i="62" s="1" a="1"/>
  <c r="O13" i="62" s="1"/>
  <c r="EK20" i="62"/>
  <c r="O20" i="62" s="1" a="1"/>
  <c r="O20" i="62" s="1"/>
  <c r="EK48" i="62"/>
  <c r="O48" i="62" s="1" a="1"/>
  <c r="O48" i="62" s="1"/>
  <c r="EL94" i="62" l="1" a="1"/>
  <c r="EL94" i="62" s="1"/>
  <c r="EL65" i="62"/>
  <c r="EL64" i="62"/>
  <c r="EL63" i="62"/>
  <c r="AA74" i="62"/>
  <c r="AA50" i="62"/>
  <c r="EL182" i="62"/>
  <c r="EL173" i="62"/>
  <c r="EL115" i="62"/>
  <c r="EL185" i="62"/>
  <c r="EL179" i="62"/>
  <c r="EL167" i="62"/>
  <c r="EL79" i="62"/>
  <c r="EL164" i="62"/>
  <c r="EL188" i="62"/>
  <c r="EL125" i="62"/>
  <c r="EL99" i="62"/>
  <c r="EL62" i="62"/>
  <c r="EL170" i="62"/>
  <c r="EL176" i="62"/>
  <c r="EL161" i="62"/>
  <c r="EL98" i="62"/>
  <c r="EL80" i="62"/>
  <c r="EL105" i="62"/>
  <c r="EL95" i="62"/>
  <c r="EL25" i="62"/>
  <c r="EL81" i="62"/>
  <c r="EL72" i="62"/>
  <c r="EL66" i="62"/>
  <c r="EL108" i="62" a="1"/>
  <c r="EL108" i="62" s="1"/>
  <c r="EL50" i="62"/>
  <c r="EL74" i="62"/>
  <c r="EL88" i="62"/>
  <c r="EL82" i="62"/>
  <c r="EL53" i="62"/>
  <c r="EL73" i="62"/>
  <c r="EL35" i="62"/>
  <c r="EL16" i="62"/>
  <c r="EL102" i="62"/>
  <c r="EL122" i="62"/>
  <c r="EL39" i="62"/>
  <c r="EL19" i="62"/>
  <c r="EL75" i="62"/>
  <c r="EL32" i="62"/>
  <c r="EL38" i="62"/>
  <c r="EL46" i="62"/>
  <c r="EL47" i="62"/>
  <c r="EL22" i="62"/>
  <c r="EL12" i="62"/>
  <c r="AA19" i="62"/>
  <c r="AA12" i="62"/>
  <c r="AA95" i="62"/>
  <c r="N34" i="120"/>
  <c r="AA185" i="62"/>
  <c r="Z34" i="120" s="1"/>
  <c r="N35" i="120"/>
  <c r="O192" i="62"/>
  <c r="AA182" i="62"/>
  <c r="Z31" i="120" s="1"/>
  <c r="N31" i="120"/>
  <c r="AA122" i="62"/>
  <c r="AA53" i="62"/>
  <c r="AA188" i="62"/>
  <c r="Z37" i="120" s="1"/>
  <c r="N37" i="120"/>
  <c r="N19" i="120"/>
  <c r="AA170" i="62"/>
  <c r="Z19" i="120" s="1"/>
  <c r="N10" i="120"/>
  <c r="AA161" i="62"/>
  <c r="Z10" i="120" s="1"/>
  <c r="AA62" i="62"/>
  <c r="AA32" i="62"/>
  <c r="AA164" i="62"/>
  <c r="Z13" i="120" s="1"/>
  <c r="N13" i="120"/>
  <c r="AA39" i="62"/>
  <c r="AA38" i="62"/>
  <c r="AA179" i="62"/>
  <c r="Z28" i="120" s="1"/>
  <c r="N28" i="120"/>
  <c r="EL54" i="62"/>
  <c r="EL76" i="62"/>
  <c r="EL51" i="62"/>
  <c r="EM8" i="62"/>
  <c r="EL123" i="62"/>
  <c r="EL126" i="62"/>
  <c r="EL67" i="62"/>
  <c r="EL40" i="62"/>
  <c r="EL138" i="62"/>
  <c r="EL96" i="62"/>
  <c r="EL103" i="62"/>
  <c r="EL36" i="62"/>
  <c r="EL183" i="62"/>
  <c r="EL180" i="62"/>
  <c r="EL106" i="62"/>
  <c r="EL100" i="62"/>
  <c r="EL177" i="62"/>
  <c r="EL89" i="62"/>
  <c r="EL136" i="62"/>
  <c r="EL68" i="62"/>
  <c r="EL13" i="62"/>
  <c r="EL23" i="62"/>
  <c r="EL48" i="62"/>
  <c r="EL186" i="62"/>
  <c r="EL83" i="62"/>
  <c r="EL26" i="62"/>
  <c r="EL165" i="62"/>
  <c r="EL17" i="62"/>
  <c r="EL20" i="62"/>
  <c r="EL116" i="62"/>
  <c r="EL14" i="62"/>
  <c r="EL168" i="62"/>
  <c r="EL109" i="62"/>
  <c r="EL33" i="62"/>
  <c r="EL137" i="62"/>
  <c r="EL174" i="62"/>
  <c r="EL189" i="62"/>
  <c r="EL162" i="62"/>
  <c r="EL139" i="62"/>
  <c r="EL171" i="62"/>
  <c r="AA16" i="62"/>
  <c r="AA173" i="62"/>
  <c r="Z22" i="120" s="1"/>
  <c r="N22" i="120"/>
  <c r="N25" i="120"/>
  <c r="AA176" i="62"/>
  <c r="Z25" i="120" s="1"/>
  <c r="AA35" i="62"/>
  <c r="AA167" i="62"/>
  <c r="Z16" i="120" s="1"/>
  <c r="N16" i="120"/>
  <c r="EM94" i="62" l="1" a="1"/>
  <c r="EM94" i="62" s="1"/>
  <c r="EM65" i="62"/>
  <c r="EM64" i="62"/>
  <c r="EM63" i="62"/>
  <c r="EM188" i="62"/>
  <c r="EM170" i="62"/>
  <c r="EM108" i="62" a="1"/>
  <c r="EM108" i="62" s="1"/>
  <c r="EM105" i="62"/>
  <c r="EM125" i="62"/>
  <c r="EM80" i="62"/>
  <c r="EM179" i="62"/>
  <c r="EM167" i="62"/>
  <c r="EM185" i="62"/>
  <c r="EM66" i="62"/>
  <c r="EM99" i="62"/>
  <c r="EM122" i="62"/>
  <c r="EM115" i="62"/>
  <c r="EM95" i="62"/>
  <c r="EM82" i="62"/>
  <c r="EM176" i="62"/>
  <c r="EM182" i="62"/>
  <c r="EM161" i="62"/>
  <c r="EM102" i="62"/>
  <c r="EM164" i="62"/>
  <c r="EM75" i="62"/>
  <c r="EM22" i="62"/>
  <c r="EM98" i="62"/>
  <c r="EM79" i="62"/>
  <c r="EM81" i="62"/>
  <c r="EM74" i="62"/>
  <c r="EM62" i="62"/>
  <c r="EM72" i="62"/>
  <c r="EM46" i="62"/>
  <c r="EM47" i="62"/>
  <c r="EM25" i="62"/>
  <c r="EM16" i="62"/>
  <c r="EM73" i="62"/>
  <c r="EM35" i="62"/>
  <c r="EM173" i="62"/>
  <c r="EM53" i="62"/>
  <c r="EM32" i="62"/>
  <c r="EM88" i="62"/>
  <c r="EM38" i="62"/>
  <c r="EM39" i="62"/>
  <c r="EM12" i="62"/>
  <c r="EM19" i="62"/>
  <c r="EM50" i="62"/>
  <c r="EM103" i="62"/>
  <c r="EM76" i="62"/>
  <c r="EM83" i="62"/>
  <c r="EM123" i="62"/>
  <c r="EM106" i="62"/>
  <c r="EM20" i="62"/>
  <c r="EM48" i="62"/>
  <c r="EM139" i="62"/>
  <c r="EM89" i="62"/>
  <c r="EM40" i="62"/>
  <c r="EM54" i="62"/>
  <c r="EM33" i="62"/>
  <c r="EN8" i="62"/>
  <c r="EM189" i="62"/>
  <c r="EM174" i="62"/>
  <c r="EM109" i="62"/>
  <c r="EM186" i="62"/>
  <c r="EM183" i="62"/>
  <c r="EM168" i="62"/>
  <c r="EM36" i="62"/>
  <c r="EM17" i="62"/>
  <c r="EM68" i="62"/>
  <c r="EM51" i="62"/>
  <c r="EM177" i="62"/>
  <c r="EM180" i="62"/>
  <c r="EM116" i="62"/>
  <c r="EM67" i="62"/>
  <c r="EM13" i="62"/>
  <c r="EM26" i="62"/>
  <c r="EM126" i="62"/>
  <c r="EM100" i="62"/>
  <c r="EM137" i="62"/>
  <c r="EM136" i="62"/>
  <c r="EM14" i="62"/>
  <c r="EM138" i="62"/>
  <c r="EM23" i="62"/>
  <c r="EM165" i="62"/>
  <c r="EM96" i="62"/>
  <c r="EM171" i="62"/>
  <c r="EM162" i="62"/>
  <c r="EN94" i="62" l="1" a="1"/>
  <c r="EN94" i="62" s="1"/>
  <c r="EN63" i="62"/>
  <c r="EN64" i="62"/>
  <c r="EN65" i="62"/>
  <c r="EN185" i="62"/>
  <c r="EN188" i="62"/>
  <c r="EN167" i="62"/>
  <c r="EN176" i="62"/>
  <c r="EN102" i="62"/>
  <c r="EN182" i="62"/>
  <c r="EN81" i="62"/>
  <c r="EN125" i="62"/>
  <c r="EN173" i="62"/>
  <c r="EN164" i="62"/>
  <c r="EN170" i="62"/>
  <c r="EN179" i="62"/>
  <c r="EN53" i="62"/>
  <c r="EN122" i="62"/>
  <c r="EN115" i="62"/>
  <c r="EN95" i="62"/>
  <c r="EN82" i="62"/>
  <c r="EN108" i="62" a="1"/>
  <c r="EN108" i="62" s="1"/>
  <c r="EN73" i="62"/>
  <c r="EN74" i="62"/>
  <c r="EN19" i="62"/>
  <c r="EN161" i="62"/>
  <c r="EN105" i="62"/>
  <c r="EN75" i="62"/>
  <c r="EN98" i="62"/>
  <c r="EN79" i="62"/>
  <c r="EN99" i="62"/>
  <c r="EN88" i="62"/>
  <c r="EN72" i="62"/>
  <c r="EN47" i="62"/>
  <c r="EN50" i="62"/>
  <c r="EN38" i="62"/>
  <c r="EN39" i="62"/>
  <c r="EN46" i="62"/>
  <c r="EN25" i="62"/>
  <c r="EN62" i="62"/>
  <c r="EN66" i="62"/>
  <c r="EN32" i="62"/>
  <c r="EN12" i="62"/>
  <c r="EN22" i="62"/>
  <c r="EN16" i="62"/>
  <c r="EN80" i="62"/>
  <c r="EN35" i="62"/>
  <c r="EN20" i="62"/>
  <c r="EN165" i="62"/>
  <c r="EN76" i="62"/>
  <c r="EN17" i="62"/>
  <c r="EN40" i="62"/>
  <c r="EN177" i="62"/>
  <c r="EN68" i="62"/>
  <c r="EN171" i="62"/>
  <c r="EN106" i="62"/>
  <c r="EN189" i="62"/>
  <c r="EN126" i="62"/>
  <c r="EN116" i="62"/>
  <c r="EN186" i="62"/>
  <c r="EN174" i="62"/>
  <c r="EN36" i="62"/>
  <c r="EN51" i="62"/>
  <c r="EN23" i="62"/>
  <c r="EN33" i="62"/>
  <c r="EN123" i="62"/>
  <c r="EN136" i="62"/>
  <c r="EN162" i="62"/>
  <c r="EN180" i="62"/>
  <c r="EN137" i="62"/>
  <c r="EO8" i="62"/>
  <c r="EN139" i="62"/>
  <c r="EN67" i="62"/>
  <c r="EN138" i="62"/>
  <c r="EN89" i="62"/>
  <c r="EN103" i="62"/>
  <c r="EN168" i="62"/>
  <c r="EN26" i="62"/>
  <c r="EN54" i="62"/>
  <c r="EN96" i="62"/>
  <c r="EN83" i="62"/>
  <c r="EN183" i="62"/>
  <c r="EN13" i="62"/>
  <c r="EN100" i="62"/>
  <c r="EN109" i="62"/>
  <c r="EN48" i="62"/>
  <c r="EN14" i="62"/>
  <c r="EO94" i="62" l="1" a="1"/>
  <c r="EO94" i="62" s="1"/>
  <c r="EO65" i="62"/>
  <c r="EO63" i="62"/>
  <c r="EO64" i="62"/>
  <c r="EO182" i="62"/>
  <c r="EO185" i="62"/>
  <c r="EO164" i="62"/>
  <c r="EO188" i="62"/>
  <c r="EO161" i="62"/>
  <c r="EO125" i="62"/>
  <c r="EO122" i="62"/>
  <c r="EO98" i="62"/>
  <c r="EO176" i="62"/>
  <c r="EO99" i="62"/>
  <c r="EO82" i="62"/>
  <c r="EO179" i="62"/>
  <c r="EO108" i="62" a="1"/>
  <c r="EO108" i="62" s="1"/>
  <c r="EO115" i="62"/>
  <c r="EO72" i="62"/>
  <c r="EO73" i="62"/>
  <c r="EO173" i="62"/>
  <c r="EO79" i="62"/>
  <c r="EO74" i="62"/>
  <c r="EO75" i="62"/>
  <c r="EO62" i="62"/>
  <c r="EO66" i="62"/>
  <c r="EO50" i="62"/>
  <c r="EO167" i="62"/>
  <c r="EO46" i="62"/>
  <c r="EO47" i="62"/>
  <c r="EO38" i="62"/>
  <c r="EO39" i="62"/>
  <c r="EO16" i="62"/>
  <c r="EO95" i="62"/>
  <c r="EO105" i="62"/>
  <c r="EO81" i="62"/>
  <c r="EO88" i="62"/>
  <c r="EO19" i="62"/>
  <c r="EO12" i="62"/>
  <c r="EO25" i="62"/>
  <c r="EO170" i="62"/>
  <c r="EO22" i="62"/>
  <c r="EO32" i="62"/>
  <c r="EO102" i="62"/>
  <c r="EO53" i="62"/>
  <c r="EO80" i="62"/>
  <c r="EO35" i="62"/>
  <c r="EO189" i="62"/>
  <c r="EO67" i="62"/>
  <c r="EO83" i="62"/>
  <c r="EO106" i="62"/>
  <c r="EO136" i="62"/>
  <c r="EO54" i="62"/>
  <c r="EO165" i="62"/>
  <c r="EO76" i="62"/>
  <c r="EO123" i="62"/>
  <c r="EO183" i="62"/>
  <c r="EO48" i="62"/>
  <c r="EO168" i="62"/>
  <c r="EO89" i="62"/>
  <c r="EO186" i="62"/>
  <c r="EO13" i="62"/>
  <c r="EO103" i="62"/>
  <c r="EO96" i="62"/>
  <c r="EO177" i="62"/>
  <c r="EO109" i="62"/>
  <c r="EO23" i="62"/>
  <c r="EO26" i="62"/>
  <c r="EO14" i="62"/>
  <c r="EO116" i="62"/>
  <c r="EO68" i="62"/>
  <c r="EO138" i="62"/>
  <c r="EO174" i="62"/>
  <c r="EP8" i="62"/>
  <c r="EO17" i="62"/>
  <c r="EO100" i="62"/>
  <c r="EO171" i="62"/>
  <c r="EO33" i="62"/>
  <c r="EO126" i="62"/>
  <c r="EO36" i="62"/>
  <c r="EO20" i="62"/>
  <c r="EO139" i="62"/>
  <c r="EO162" i="62"/>
  <c r="EO51" i="62"/>
  <c r="EO40" i="62"/>
  <c r="EO137" i="62"/>
  <c r="EO180" i="62"/>
  <c r="EP94" i="62" l="1" a="1"/>
  <c r="EP94" i="62" s="1"/>
  <c r="EP65" i="62"/>
  <c r="EP64" i="62"/>
  <c r="EP63" i="62"/>
  <c r="EP179" i="62"/>
  <c r="EP182" i="62"/>
  <c r="EP176" i="62"/>
  <c r="EP161" i="62"/>
  <c r="EP173" i="62"/>
  <c r="EP170" i="62"/>
  <c r="EP167" i="62"/>
  <c r="EP164" i="62"/>
  <c r="EP99" i="62"/>
  <c r="EP188" i="62"/>
  <c r="EP115" i="62"/>
  <c r="EP105" i="62"/>
  <c r="EP102" i="62"/>
  <c r="EP98" i="62"/>
  <c r="EP72" i="62"/>
  <c r="EP95" i="62"/>
  <c r="EP88" i="62"/>
  <c r="EP79" i="62"/>
  <c r="EP80" i="62"/>
  <c r="EP81" i="62"/>
  <c r="EP82" i="62"/>
  <c r="EP125" i="62"/>
  <c r="EP108" i="62" a="1"/>
  <c r="EP108" i="62" s="1"/>
  <c r="EP73" i="62"/>
  <c r="EP46" i="62"/>
  <c r="EP74" i="62"/>
  <c r="EP122" i="62"/>
  <c r="EP185" i="62"/>
  <c r="EP62" i="62"/>
  <c r="EP53" i="62"/>
  <c r="EP50" i="62"/>
  <c r="EP12" i="62"/>
  <c r="EP66" i="62"/>
  <c r="EP75" i="62"/>
  <c r="EP32" i="62"/>
  <c r="EP19" i="62"/>
  <c r="EP47" i="62"/>
  <c r="EP38" i="62"/>
  <c r="EP39" i="62"/>
  <c r="EP35" i="62"/>
  <c r="EP16" i="62"/>
  <c r="EP25" i="62"/>
  <c r="EP22" i="62"/>
  <c r="EP51" i="62"/>
  <c r="EP33" i="62"/>
  <c r="EP48" i="62"/>
  <c r="EP36" i="62"/>
  <c r="EP171" i="62"/>
  <c r="EP83" i="62"/>
  <c r="EP14" i="62"/>
  <c r="EP26" i="62"/>
  <c r="EP180" i="62"/>
  <c r="EP13" i="62"/>
  <c r="EP138" i="62"/>
  <c r="EP126" i="62"/>
  <c r="EP168" i="62"/>
  <c r="EP17" i="62"/>
  <c r="EP139" i="62"/>
  <c r="EP103" i="62"/>
  <c r="EP136" i="62"/>
  <c r="EP76" i="62"/>
  <c r="EP109" i="62"/>
  <c r="EP96" i="62"/>
  <c r="EP106" i="62"/>
  <c r="EP174" i="62"/>
  <c r="EP100" i="62"/>
  <c r="EP68" i="62"/>
  <c r="EP116" i="62"/>
  <c r="EP177" i="62"/>
  <c r="EP165" i="62"/>
  <c r="EP40" i="62"/>
  <c r="EQ8" i="62"/>
  <c r="EP162" i="62"/>
  <c r="EP67" i="62"/>
  <c r="EP89" i="62"/>
  <c r="EP186" i="62"/>
  <c r="EP189" i="62"/>
  <c r="EP23" i="62"/>
  <c r="EP123" i="62"/>
  <c r="EP137" i="62"/>
  <c r="EP183" i="62"/>
  <c r="EP20" i="62"/>
  <c r="EP54" i="62"/>
  <c r="EQ94" i="62" l="1" a="1"/>
  <c r="EQ94" i="62" s="1"/>
  <c r="EQ65" i="62"/>
  <c r="EQ63" i="62"/>
  <c r="EQ64" i="62"/>
  <c r="EQ176" i="62"/>
  <c r="EQ179" i="62"/>
  <c r="EQ125" i="62"/>
  <c r="EQ173" i="62"/>
  <c r="EQ170" i="62"/>
  <c r="EQ167" i="62"/>
  <c r="EQ108" i="62" a="1"/>
  <c r="EQ108" i="62" s="1"/>
  <c r="EQ73" i="62"/>
  <c r="EQ182" i="62"/>
  <c r="EQ115" i="62"/>
  <c r="EQ105" i="62"/>
  <c r="EQ98" i="62"/>
  <c r="EQ74" i="62"/>
  <c r="EQ164" i="62"/>
  <c r="EQ188" i="62"/>
  <c r="EQ47" i="62"/>
  <c r="EQ79" i="62"/>
  <c r="EQ102" i="62"/>
  <c r="EQ62" i="62"/>
  <c r="EQ161" i="62"/>
  <c r="EQ95" i="62"/>
  <c r="EQ122" i="62"/>
  <c r="EQ88" i="62"/>
  <c r="EQ80" i="62"/>
  <c r="EQ53" i="62"/>
  <c r="EQ39" i="62"/>
  <c r="EQ35" i="62"/>
  <c r="EQ32" i="62"/>
  <c r="EQ25" i="62"/>
  <c r="EQ22" i="62"/>
  <c r="EQ19" i="62"/>
  <c r="EQ16" i="62"/>
  <c r="EQ72" i="62"/>
  <c r="EQ185" i="62"/>
  <c r="EQ12" i="62"/>
  <c r="EQ46" i="62"/>
  <c r="EQ38" i="62"/>
  <c r="EQ99" i="62"/>
  <c r="EQ81" i="62"/>
  <c r="EQ66" i="62"/>
  <c r="EQ82" i="62"/>
  <c r="EQ75" i="62"/>
  <c r="EQ50" i="62"/>
  <c r="EQ137" i="62"/>
  <c r="EQ26" i="62"/>
  <c r="EQ83" i="62"/>
  <c r="EQ174" i="62"/>
  <c r="EQ20" i="62"/>
  <c r="EQ76" i="62"/>
  <c r="EQ183" i="62"/>
  <c r="EQ109" i="62"/>
  <c r="EQ189" i="62"/>
  <c r="EQ162" i="62"/>
  <c r="EQ40" i="62"/>
  <c r="EQ186" i="62"/>
  <c r="EQ168" i="62"/>
  <c r="ER8" i="62"/>
  <c r="EQ177" i="62"/>
  <c r="EQ48" i="62"/>
  <c r="EQ126" i="62"/>
  <c r="EQ171" i="62"/>
  <c r="EQ68" i="62"/>
  <c r="EQ17" i="62"/>
  <c r="EQ100" i="62"/>
  <c r="EQ54" i="62"/>
  <c r="EQ36" i="62"/>
  <c r="EQ51" i="62"/>
  <c r="EQ103" i="62"/>
  <c r="EQ14" i="62"/>
  <c r="EQ89" i="62"/>
  <c r="EQ96" i="62"/>
  <c r="EQ123" i="62"/>
  <c r="EQ33" i="62"/>
  <c r="EQ136" i="62"/>
  <c r="EQ106" i="62"/>
  <c r="EQ67" i="62"/>
  <c r="EQ13" i="62"/>
  <c r="EQ138" i="62"/>
  <c r="EQ116" i="62"/>
  <c r="EQ180" i="62"/>
  <c r="EQ165" i="62"/>
  <c r="EQ139" i="62"/>
  <c r="EQ23" i="62"/>
  <c r="ER94" i="62" l="1" a="1"/>
  <c r="ER94" i="62" s="1"/>
  <c r="ER63" i="62"/>
  <c r="ER64" i="62"/>
  <c r="ER65" i="62"/>
  <c r="ER188" i="62"/>
  <c r="ER185" i="62"/>
  <c r="ER122" i="62"/>
  <c r="ER161" i="62"/>
  <c r="ER95" i="62"/>
  <c r="ER108" i="62" a="1"/>
  <c r="ER108" i="62" s="1"/>
  <c r="ER182" i="62"/>
  <c r="ER75" i="62"/>
  <c r="ER179" i="62"/>
  <c r="ER115" i="62"/>
  <c r="ER98" i="62"/>
  <c r="ER173" i="62"/>
  <c r="ER164" i="62"/>
  <c r="ER102" i="62"/>
  <c r="ER99" i="62"/>
  <c r="ER81" i="62"/>
  <c r="ER38" i="62"/>
  <c r="ER73" i="62"/>
  <c r="ER176" i="62"/>
  <c r="ER167" i="62"/>
  <c r="ER170" i="62"/>
  <c r="ER105" i="62"/>
  <c r="ER88" i="62"/>
  <c r="ER80" i="62"/>
  <c r="ER82" i="62"/>
  <c r="ER35" i="62"/>
  <c r="ER74" i="62"/>
  <c r="ER125" i="62"/>
  <c r="ER72" i="62"/>
  <c r="ER50" i="62"/>
  <c r="ER32" i="62"/>
  <c r="ER47" i="62"/>
  <c r="ER39" i="62"/>
  <c r="ER12" i="62"/>
  <c r="ER79" i="62"/>
  <c r="ER19" i="62"/>
  <c r="ER53" i="62"/>
  <c r="ER22" i="62"/>
  <c r="ER16" i="62"/>
  <c r="ER66" i="62"/>
  <c r="ER25" i="62"/>
  <c r="ER62" i="62"/>
  <c r="ER46" i="62"/>
  <c r="ER180" i="62"/>
  <c r="ER23" i="62"/>
  <c r="ER168" i="62"/>
  <c r="ER137" i="62"/>
  <c r="ER68" i="62"/>
  <c r="ER40" i="62"/>
  <c r="ER103" i="62"/>
  <c r="ER189" i="62"/>
  <c r="ER183" i="62"/>
  <c r="ER138" i="62"/>
  <c r="ER109" i="62"/>
  <c r="ER165" i="62"/>
  <c r="ES8" i="62"/>
  <c r="ER96" i="62"/>
  <c r="ER100" i="62"/>
  <c r="ER26" i="62"/>
  <c r="ER171" i="62"/>
  <c r="ER17" i="62"/>
  <c r="ER51" i="62"/>
  <c r="ER13" i="62"/>
  <c r="ER48" i="62"/>
  <c r="ER20" i="62"/>
  <c r="ER174" i="62"/>
  <c r="ER76" i="62"/>
  <c r="ER89" i="62"/>
  <c r="ER36" i="62"/>
  <c r="ER177" i="62"/>
  <c r="ER186" i="62"/>
  <c r="ER139" i="62"/>
  <c r="ER83" i="62"/>
  <c r="ER116" i="62"/>
  <c r="ER106" i="62"/>
  <c r="ER136" i="62"/>
  <c r="ER162" i="62"/>
  <c r="ER33" i="62"/>
  <c r="ER123" i="62"/>
  <c r="ER67" i="62"/>
  <c r="ER54" i="62"/>
  <c r="ER126" i="62"/>
  <c r="ER14" i="62"/>
  <c r="ES94" i="62" l="1" a="1"/>
  <c r="ES94" i="62" s="1"/>
  <c r="ES64" i="62"/>
  <c r="ES63" i="62"/>
  <c r="ES65" i="62"/>
  <c r="ES185" i="62"/>
  <c r="ES182" i="62"/>
  <c r="ES179" i="62"/>
  <c r="ES108" i="62" a="1"/>
  <c r="ES108" i="62" s="1"/>
  <c r="ES176" i="62"/>
  <c r="ES173" i="62"/>
  <c r="ES88" i="62"/>
  <c r="ES161" i="62"/>
  <c r="ES122" i="62"/>
  <c r="ES105" i="62"/>
  <c r="ES39" i="62"/>
  <c r="ES164" i="62"/>
  <c r="ES102" i="62"/>
  <c r="ES99" i="62"/>
  <c r="ES81" i="62"/>
  <c r="ES115" i="62"/>
  <c r="ES32" i="62"/>
  <c r="ES167" i="62"/>
  <c r="ES80" i="62"/>
  <c r="ES82" i="62"/>
  <c r="ES73" i="62"/>
  <c r="ES188" i="62"/>
  <c r="ES62" i="62"/>
  <c r="ES46" i="62"/>
  <c r="ES98" i="62"/>
  <c r="ES125" i="62"/>
  <c r="ES53" i="62"/>
  <c r="ES95" i="62"/>
  <c r="ES79" i="62"/>
  <c r="ES66" i="62"/>
  <c r="ES50" i="62"/>
  <c r="ES75" i="62"/>
  <c r="ES22" i="62"/>
  <c r="ES72" i="62"/>
  <c r="ES170" i="62"/>
  <c r="ES74" i="62"/>
  <c r="ES25" i="62"/>
  <c r="ES19" i="62"/>
  <c r="ES12" i="62"/>
  <c r="ES35" i="62"/>
  <c r="ES16" i="62"/>
  <c r="ES47" i="62"/>
  <c r="ES38" i="62"/>
  <c r="ES13" i="62"/>
  <c r="ES51" i="62"/>
  <c r="ES20" i="62"/>
  <c r="ES165" i="62"/>
  <c r="ES36" i="62"/>
  <c r="ES174" i="62"/>
  <c r="ES138" i="62"/>
  <c r="ES126" i="62"/>
  <c r="ES136" i="62"/>
  <c r="ES83" i="62"/>
  <c r="ES139" i="62"/>
  <c r="ES180" i="62"/>
  <c r="ES48" i="62"/>
  <c r="ES14" i="62"/>
  <c r="ES116" i="62"/>
  <c r="ES106" i="62"/>
  <c r="ES40" i="62"/>
  <c r="ES76" i="62"/>
  <c r="ES123" i="62"/>
  <c r="ES186" i="62"/>
  <c r="ES100" i="62"/>
  <c r="ES162" i="62"/>
  <c r="ET8" i="62"/>
  <c r="ES137" i="62"/>
  <c r="ES67" i="62"/>
  <c r="ES54" i="62"/>
  <c r="ES183" i="62"/>
  <c r="ES189" i="62"/>
  <c r="ES96" i="62"/>
  <c r="ES168" i="62"/>
  <c r="ES17" i="62"/>
  <c r="ES177" i="62"/>
  <c r="ES103" i="62"/>
  <c r="ES109" i="62"/>
  <c r="ES68" i="62"/>
  <c r="ES26" i="62"/>
  <c r="ES23" i="62"/>
  <c r="ES89" i="62"/>
  <c r="ES171" i="62"/>
  <c r="ES33" i="62"/>
  <c r="ET94" i="62" l="1" a="1"/>
  <c r="ET94" i="62" s="1"/>
  <c r="ET65" i="62"/>
  <c r="ET64" i="62"/>
  <c r="ET63" i="62"/>
  <c r="ET173" i="62"/>
  <c r="ET115" i="62"/>
  <c r="ET182" i="62"/>
  <c r="ET179" i="62"/>
  <c r="ET185" i="62"/>
  <c r="ET122" i="62"/>
  <c r="ET79" i="62"/>
  <c r="ET176" i="62"/>
  <c r="ET188" i="62"/>
  <c r="ET167" i="62"/>
  <c r="ET102" i="62"/>
  <c r="ET62" i="62"/>
  <c r="ET105" i="62"/>
  <c r="ET125" i="62"/>
  <c r="ET108" i="62" a="1"/>
  <c r="ET108" i="62" s="1"/>
  <c r="ET88" i="62"/>
  <c r="ET72" i="62"/>
  <c r="ET164" i="62"/>
  <c r="ET161" i="62"/>
  <c r="ET170" i="62"/>
  <c r="ET25" i="62"/>
  <c r="ET75" i="62"/>
  <c r="ET80" i="62"/>
  <c r="ET98" i="62"/>
  <c r="ET73" i="62"/>
  <c r="ET82" i="62"/>
  <c r="ET53" i="62"/>
  <c r="ET22" i="62"/>
  <c r="ET50" i="62"/>
  <c r="ET32" i="62"/>
  <c r="ET95" i="62"/>
  <c r="ET35" i="62"/>
  <c r="ET19" i="62"/>
  <c r="ET81" i="62"/>
  <c r="ET66" i="62"/>
  <c r="ET12" i="62"/>
  <c r="ET99" i="62"/>
  <c r="ET16" i="62"/>
  <c r="ET38" i="62"/>
  <c r="ET39" i="62"/>
  <c r="ET46" i="62"/>
  <c r="ET47" i="62"/>
  <c r="ET74" i="62"/>
  <c r="ET36" i="62"/>
  <c r="ET183" i="62"/>
  <c r="ET17" i="62"/>
  <c r="ET168" i="62"/>
  <c r="ET20" i="62"/>
  <c r="ET177" i="62"/>
  <c r="ET139" i="62"/>
  <c r="ET116" i="62"/>
  <c r="ET126" i="62"/>
  <c r="ET171" i="62"/>
  <c r="ET89" i="62"/>
  <c r="ET51" i="62"/>
  <c r="ET48" i="62"/>
  <c r="ET106" i="62"/>
  <c r="ET40" i="62"/>
  <c r="ET109" i="62"/>
  <c r="EU8" i="62"/>
  <c r="ET23" i="62"/>
  <c r="ET33" i="62"/>
  <c r="ET26" i="62"/>
  <c r="ET13" i="62"/>
  <c r="ET123" i="62"/>
  <c r="ET68" i="62"/>
  <c r="ET83" i="62"/>
  <c r="ET165" i="62"/>
  <c r="ET162" i="62"/>
  <c r="ET189" i="62"/>
  <c r="ET174" i="62"/>
  <c r="ET76" i="62"/>
  <c r="ET96" i="62"/>
  <c r="ET138" i="62"/>
  <c r="ET67" i="62"/>
  <c r="ET103" i="62"/>
  <c r="ET100" i="62"/>
  <c r="ET136" i="62"/>
  <c r="ET54" i="62"/>
  <c r="ET180" i="62"/>
  <c r="ET14" i="62"/>
  <c r="ET186" i="62"/>
  <c r="ET137" i="62"/>
  <c r="EU94" i="62" l="1" a="1"/>
  <c r="EU94" i="62" s="1"/>
  <c r="EU65" i="62"/>
  <c r="EU63" i="62"/>
  <c r="EU64" i="62"/>
  <c r="EU188" i="62"/>
  <c r="EU170" i="62"/>
  <c r="EU105" i="62"/>
  <c r="EU164" i="62"/>
  <c r="EU80" i="62"/>
  <c r="EU185" i="62"/>
  <c r="EU173" i="62"/>
  <c r="EU122" i="62"/>
  <c r="EU161" i="62"/>
  <c r="EU66" i="62"/>
  <c r="EU167" i="62"/>
  <c r="EU102" i="62"/>
  <c r="EU179" i="62"/>
  <c r="EU182" i="62"/>
  <c r="EU176" i="62"/>
  <c r="EU125" i="62"/>
  <c r="EU108" i="62" a="1"/>
  <c r="EU108" i="62" s="1"/>
  <c r="EU88" i="62"/>
  <c r="EU72" i="62"/>
  <c r="EU99" i="62"/>
  <c r="EU22" i="62"/>
  <c r="EU115" i="62"/>
  <c r="EU98" i="62"/>
  <c r="EU95" i="62"/>
  <c r="EU82" i="62"/>
  <c r="EU38" i="62"/>
  <c r="EU75" i="62"/>
  <c r="EU81" i="62"/>
  <c r="EU74" i="62"/>
  <c r="EU35" i="62"/>
  <c r="EU16" i="62"/>
  <c r="EU53" i="62"/>
  <c r="EU50" i="62"/>
  <c r="EU46" i="62"/>
  <c r="EU47" i="62"/>
  <c r="EU12" i="62"/>
  <c r="EU79" i="62"/>
  <c r="EU73" i="62"/>
  <c r="EU19" i="62"/>
  <c r="EU25" i="62"/>
  <c r="EU32" i="62"/>
  <c r="EU62" i="62"/>
  <c r="EU39" i="62"/>
  <c r="EU180" i="62"/>
  <c r="EU17" i="62"/>
  <c r="EU48" i="62"/>
  <c r="EU183" i="62"/>
  <c r="EU136" i="62"/>
  <c r="EU174" i="62"/>
  <c r="EU103" i="62"/>
  <c r="EU36" i="62"/>
  <c r="EU168" i="62"/>
  <c r="EU116" i="62"/>
  <c r="EU23" i="62"/>
  <c r="EU186" i="62"/>
  <c r="EU96" i="62"/>
  <c r="EU137" i="62"/>
  <c r="EU51" i="62"/>
  <c r="EU89" i="62"/>
  <c r="EU14" i="62"/>
  <c r="EU126" i="62"/>
  <c r="EU189" i="62"/>
  <c r="EU165" i="62"/>
  <c r="EU177" i="62"/>
  <c r="EU123" i="62"/>
  <c r="EU76" i="62"/>
  <c r="EU162" i="62"/>
  <c r="EU13" i="62"/>
  <c r="EU20" i="62"/>
  <c r="EU33" i="62"/>
  <c r="EV8" i="62"/>
  <c r="EU54" i="62"/>
  <c r="EU106" i="62"/>
  <c r="EU26" i="62"/>
  <c r="EU67" i="62"/>
  <c r="EU171" i="62"/>
  <c r="EU100" i="62"/>
  <c r="EU68" i="62"/>
  <c r="EU109" i="62"/>
  <c r="EU83" i="62"/>
  <c r="EU139" i="62"/>
  <c r="EU40" i="62"/>
  <c r="EU138" i="62"/>
  <c r="EV94" i="62" l="1" a="1"/>
  <c r="EV94" i="62" s="1"/>
  <c r="EV65" i="62"/>
  <c r="EV64" i="62"/>
  <c r="EV63" i="62"/>
  <c r="EV185" i="62"/>
  <c r="EV188" i="62"/>
  <c r="EV182" i="62"/>
  <c r="EV167" i="62"/>
  <c r="EV102" i="62"/>
  <c r="EV170" i="62"/>
  <c r="EV81" i="62"/>
  <c r="EV164" i="62"/>
  <c r="EV99" i="62"/>
  <c r="EV161" i="62"/>
  <c r="EV122" i="62"/>
  <c r="EV80" i="62"/>
  <c r="EV53" i="62"/>
  <c r="EV179" i="62"/>
  <c r="EV125" i="62"/>
  <c r="EV108" i="62" a="1"/>
  <c r="EV108" i="62" s="1"/>
  <c r="EV173" i="62"/>
  <c r="EV66" i="62"/>
  <c r="EV19" i="62"/>
  <c r="EV176" i="62"/>
  <c r="EV88" i="62"/>
  <c r="EV50" i="62"/>
  <c r="EV82" i="62"/>
  <c r="EV75" i="62"/>
  <c r="EV62" i="62"/>
  <c r="EV105" i="62"/>
  <c r="EV115" i="62"/>
  <c r="EV95" i="62"/>
  <c r="EV16" i="62"/>
  <c r="EV98" i="62"/>
  <c r="EV35" i="62"/>
  <c r="EV22" i="62"/>
  <c r="EV72" i="62"/>
  <c r="EV38" i="62"/>
  <c r="EV39" i="62"/>
  <c r="EV74" i="62"/>
  <c r="EV73" i="62"/>
  <c r="EV25" i="62"/>
  <c r="EV12" i="62"/>
  <c r="EV32" i="62"/>
  <c r="EV46" i="62"/>
  <c r="EV79" i="62"/>
  <c r="EV47" i="62"/>
  <c r="EV168" i="62"/>
  <c r="EV20" i="62"/>
  <c r="EV103" i="62"/>
  <c r="EV171" i="62"/>
  <c r="EV186" i="62"/>
  <c r="EV68" i="62"/>
  <c r="EV89" i="62"/>
  <c r="EV100" i="62"/>
  <c r="EV180" i="62"/>
  <c r="EV36" i="62"/>
  <c r="EV189" i="62"/>
  <c r="EV177" i="62"/>
  <c r="EV116" i="62"/>
  <c r="EV162" i="62"/>
  <c r="EV40" i="62"/>
  <c r="EV51" i="62"/>
  <c r="EV67" i="62"/>
  <c r="EV23" i="62"/>
  <c r="EV109" i="62"/>
  <c r="EV174" i="62"/>
  <c r="EV83" i="62"/>
  <c r="EV138" i="62"/>
  <c r="EV76" i="62"/>
  <c r="EV123" i="62"/>
  <c r="EV183" i="62"/>
  <c r="EV26" i="62"/>
  <c r="EV54" i="62"/>
  <c r="EV126" i="62"/>
  <c r="EV137" i="62"/>
  <c r="EV33" i="62"/>
  <c r="EW8" i="62"/>
  <c r="EV165" i="62"/>
  <c r="EV14" i="62"/>
  <c r="EV139" i="62"/>
  <c r="EV96" i="62"/>
  <c r="EV106" i="62"/>
  <c r="EV13" i="62"/>
  <c r="EV136" i="62"/>
  <c r="EV17" i="62"/>
  <c r="EV48" i="62"/>
  <c r="EW94" i="62" l="1" a="1"/>
  <c r="EW94" i="62" s="1"/>
  <c r="P94" i="62" s="1" a="1"/>
  <c r="P94" i="62" s="1"/>
  <c r="AB94" i="62" s="1"/>
  <c r="EW64" i="62"/>
  <c r="P64" i="62" s="1" a="1"/>
  <c r="P64" i="62" s="1"/>
  <c r="AB64" i="62" s="1"/>
  <c r="EW65" i="62"/>
  <c r="P65" i="62" s="1" a="1"/>
  <c r="P65" i="62" s="1"/>
  <c r="AB65" i="62" s="1"/>
  <c r="EW63" i="62"/>
  <c r="P63" i="62" s="1" a="1"/>
  <c r="P63" i="62" s="1"/>
  <c r="AB63" i="62" s="1"/>
  <c r="EW182" i="62"/>
  <c r="P182" i="62" s="1" a="1"/>
  <c r="P182" i="62" s="1"/>
  <c r="EW185" i="62"/>
  <c r="P185" i="62" s="1" a="1"/>
  <c r="P185" i="62" s="1"/>
  <c r="EW188" i="62"/>
  <c r="P188" i="62" s="1" a="1"/>
  <c r="P188" i="62" s="1"/>
  <c r="EW164" i="62"/>
  <c r="P164" i="62" s="1" a="1"/>
  <c r="P164" i="62" s="1"/>
  <c r="EW98" i="62"/>
  <c r="P98" i="62" s="1" a="1"/>
  <c r="P98" i="62" s="1"/>
  <c r="AB98" i="62" s="1"/>
  <c r="EW125" i="62"/>
  <c r="P125" i="62" s="1" a="1"/>
  <c r="P125" i="62" s="1"/>
  <c r="AB125" i="62" s="1"/>
  <c r="EW82" i="62"/>
  <c r="P82" i="62" s="1" a="1"/>
  <c r="P82" i="62" s="1"/>
  <c r="AB82" i="62" s="1"/>
  <c r="EW170" i="62"/>
  <c r="P170" i="62" s="1" a="1"/>
  <c r="P170" i="62" s="1"/>
  <c r="EW99" i="62"/>
  <c r="P99" i="62" s="1" a="1"/>
  <c r="P99" i="62" s="1"/>
  <c r="AB99" i="62" s="1"/>
  <c r="EW167" i="62"/>
  <c r="P167" i="62" s="1" a="1"/>
  <c r="P167" i="62" s="1"/>
  <c r="EW95" i="62"/>
  <c r="P95" i="62" s="1" a="1"/>
  <c r="P95" i="62" s="1"/>
  <c r="EW50" i="62"/>
  <c r="P50" i="62" s="1" a="1"/>
  <c r="P50" i="62" s="1"/>
  <c r="AB50" i="62" s="1"/>
  <c r="EW80" i="62"/>
  <c r="P80" i="62" s="1" a="1"/>
  <c r="P80" i="62" s="1"/>
  <c r="AB80" i="62" s="1"/>
  <c r="EW179" i="62"/>
  <c r="P179" i="62" s="1" a="1"/>
  <c r="P179" i="62" s="1"/>
  <c r="EW102" i="62"/>
  <c r="P102" i="62" s="1" a="1"/>
  <c r="P102" i="62" s="1"/>
  <c r="AB102" i="62" s="1"/>
  <c r="EW115" i="62"/>
  <c r="P115" i="62" s="1" a="1"/>
  <c r="P115" i="62" s="1"/>
  <c r="AB115" i="62" s="1"/>
  <c r="EW72" i="62"/>
  <c r="P72" i="62" s="1" a="1"/>
  <c r="P72" i="62" s="1"/>
  <c r="AB72" i="62" s="1"/>
  <c r="EW75" i="62"/>
  <c r="P75" i="62" s="1" a="1"/>
  <c r="P75" i="62" s="1"/>
  <c r="AB75" i="62" s="1"/>
  <c r="EW16" i="62"/>
  <c r="P16" i="62" s="1" a="1"/>
  <c r="P16" i="62" s="1"/>
  <c r="EW108" i="62" a="1"/>
  <c r="EW108" i="62" s="1"/>
  <c r="P108" i="62" s="1" a="1"/>
  <c r="P108" i="62" s="1"/>
  <c r="AB108" i="62" s="1"/>
  <c r="EW66" i="62"/>
  <c r="P66" i="62" s="1" a="1"/>
  <c r="P66" i="62" s="1"/>
  <c r="AB66" i="62" s="1"/>
  <c r="EW176" i="62"/>
  <c r="P176" i="62" s="1" a="1"/>
  <c r="P176" i="62" s="1"/>
  <c r="EW88" i="62"/>
  <c r="P88" i="62" s="1" a="1"/>
  <c r="P88" i="62" s="1"/>
  <c r="EW79" i="62"/>
  <c r="P79" i="62" s="1" a="1"/>
  <c r="P79" i="62" s="1"/>
  <c r="AB79" i="62" s="1"/>
  <c r="EW73" i="62"/>
  <c r="P73" i="62" s="1" a="1"/>
  <c r="P73" i="62" s="1"/>
  <c r="AB73" i="62" s="1"/>
  <c r="EW161" i="62"/>
  <c r="P161" i="62" s="1" a="1"/>
  <c r="P161" i="62" s="1"/>
  <c r="EW53" i="62"/>
  <c r="P53" i="62" s="1" a="1"/>
  <c r="P53" i="62" s="1"/>
  <c r="EW122" i="62"/>
  <c r="P122" i="62" s="1" a="1"/>
  <c r="P122" i="62" s="1"/>
  <c r="EW74" i="62"/>
  <c r="P74" i="62" s="1" a="1"/>
  <c r="P74" i="62" s="1"/>
  <c r="AB74" i="62" s="1"/>
  <c r="EW25" i="62"/>
  <c r="P25" i="62" s="1" a="1"/>
  <c r="P25" i="62" s="1"/>
  <c r="AB25" i="62" s="1"/>
  <c r="EW35" i="62"/>
  <c r="P35" i="62" s="1" a="1"/>
  <c r="P35" i="62" s="1"/>
  <c r="EW62" i="62"/>
  <c r="P62" i="62" s="1" a="1"/>
  <c r="P62" i="62" s="1"/>
  <c r="EW32" i="62"/>
  <c r="P32" i="62" s="1" a="1"/>
  <c r="P32" i="62" s="1"/>
  <c r="EW46" i="62"/>
  <c r="P46" i="62" s="1" a="1"/>
  <c r="P46" i="62" s="1"/>
  <c r="AB46" i="62" s="1"/>
  <c r="EW47" i="62"/>
  <c r="P47" i="62" s="1" a="1"/>
  <c r="P47" i="62" s="1"/>
  <c r="AB47" i="62" s="1"/>
  <c r="EW22" i="62"/>
  <c r="P22" i="62" s="1" a="1"/>
  <c r="P22" i="62" s="1"/>
  <c r="AB22" i="62" s="1"/>
  <c r="EW173" i="62"/>
  <c r="P173" i="62" s="1" a="1"/>
  <c r="P173" i="62" s="1"/>
  <c r="EW39" i="62"/>
  <c r="P39" i="62" s="1" a="1"/>
  <c r="P39" i="62" s="1"/>
  <c r="EW19" i="62"/>
  <c r="P19" i="62" s="1" a="1"/>
  <c r="P19" i="62" s="1"/>
  <c r="EW105" i="62"/>
  <c r="P105" i="62" s="1" a="1"/>
  <c r="P105" i="62" s="1"/>
  <c r="AB105" i="62" s="1"/>
  <c r="EW81" i="62"/>
  <c r="P81" i="62" s="1" a="1"/>
  <c r="P81" i="62" s="1"/>
  <c r="AB81" i="62" s="1"/>
  <c r="EW12" i="62"/>
  <c r="P12" i="62" s="1" a="1"/>
  <c r="P12" i="62" s="1"/>
  <c r="EW38" i="62"/>
  <c r="P38" i="62" s="1" a="1"/>
  <c r="P38" i="62" s="1"/>
  <c r="EW189" i="62"/>
  <c r="P189" i="62" s="1" a="1"/>
  <c r="P189" i="62" s="1"/>
  <c r="O38" i="120" s="1"/>
  <c r="EW109" i="62"/>
  <c r="P109" i="62" s="1" a="1"/>
  <c r="P109" i="62" s="1"/>
  <c r="EW137" i="62"/>
  <c r="P137" i="62" s="1" a="1"/>
  <c r="P137" i="62" s="1"/>
  <c r="EW40" i="62"/>
  <c r="P40" i="62" s="1" a="1"/>
  <c r="P40" i="62" s="1"/>
  <c r="EW180" i="62"/>
  <c r="P180" i="62" s="1" a="1"/>
  <c r="P180" i="62" s="1"/>
  <c r="O29" i="120" s="1"/>
  <c r="EW36" i="62"/>
  <c r="P36" i="62" s="1" a="1"/>
  <c r="P36" i="62" s="1"/>
  <c r="EW171" i="62"/>
  <c r="P171" i="62" s="1" a="1"/>
  <c r="P171" i="62" s="1"/>
  <c r="O20" i="120" s="1"/>
  <c r="EW106" i="62"/>
  <c r="P106" i="62" s="1" a="1"/>
  <c r="P106" i="62" s="1"/>
  <c r="EW14" i="62"/>
  <c r="P14" i="62" s="1" a="1"/>
  <c r="P14" i="62" s="1"/>
  <c r="EW186" i="62"/>
  <c r="P186" i="62" s="1" a="1"/>
  <c r="P186" i="62" s="1"/>
  <c r="O35" i="120" s="1"/>
  <c r="EW103" i="62"/>
  <c r="P103" i="62" s="1" a="1"/>
  <c r="P103" i="62" s="1"/>
  <c r="EW51" i="62"/>
  <c r="P51" i="62" s="1" a="1"/>
  <c r="P51" i="62" s="1"/>
  <c r="EW17" i="62"/>
  <c r="P17" i="62" s="1" a="1"/>
  <c r="P17" i="62" s="1"/>
  <c r="EW138" i="62"/>
  <c r="P138" i="62" s="1" a="1"/>
  <c r="P138" i="62" s="1"/>
  <c r="EW162" i="62"/>
  <c r="P162" i="62" s="1" a="1"/>
  <c r="P162" i="62" s="1"/>
  <c r="O11" i="120" s="1"/>
  <c r="EW139" i="62"/>
  <c r="P139" i="62" s="1" a="1"/>
  <c r="P139" i="62" s="1"/>
  <c r="P140" i="62" s="1"/>
  <c r="EW116" i="62"/>
  <c r="P116" i="62" s="1" a="1"/>
  <c r="P116" i="62" s="1"/>
  <c r="EW123" i="62"/>
  <c r="P123" i="62" s="1" a="1"/>
  <c r="P123" i="62" s="1"/>
  <c r="EW76" i="62"/>
  <c r="P76" i="62" s="1" a="1"/>
  <c r="P76" i="62" s="1"/>
  <c r="EW96" i="62"/>
  <c r="P96" i="62" s="1" a="1"/>
  <c r="P96" i="62" s="1"/>
  <c r="EW33" i="62"/>
  <c r="P33" i="62" s="1" a="1"/>
  <c r="P33" i="62" s="1"/>
  <c r="EW23" i="62"/>
  <c r="P23" i="62" s="1" a="1"/>
  <c r="P23" i="62" s="1"/>
  <c r="EW126" i="62"/>
  <c r="P126" i="62" s="1" a="1"/>
  <c r="P126" i="62" s="1"/>
  <c r="EW20" i="62"/>
  <c r="P20" i="62" s="1" a="1"/>
  <c r="P20" i="62" s="1"/>
  <c r="EW174" i="62"/>
  <c r="P174" i="62" s="1" a="1"/>
  <c r="P174" i="62" s="1"/>
  <c r="O23" i="120" s="1"/>
  <c r="EW168" i="62"/>
  <c r="P168" i="62" s="1" a="1"/>
  <c r="P168" i="62" s="1"/>
  <c r="O17" i="120" s="1"/>
  <c r="EW136" i="62"/>
  <c r="P136" i="62" s="1" a="1"/>
  <c r="P136" i="62" s="1"/>
  <c r="EW68" i="62"/>
  <c r="P68" i="62" s="1" a="1"/>
  <c r="P68" i="62" s="1"/>
  <c r="EW67" i="62"/>
  <c r="P67" i="62" s="1" a="1"/>
  <c r="P67" i="62" s="1"/>
  <c r="EW89" i="62"/>
  <c r="EW48" i="62"/>
  <c r="P48" i="62" s="1" a="1"/>
  <c r="P48" i="62" s="1"/>
  <c r="EW165" i="62"/>
  <c r="P165" i="62" s="1" a="1"/>
  <c r="P165" i="62" s="1"/>
  <c r="O14" i="120" s="1"/>
  <c r="EW183" i="62"/>
  <c r="P183" i="62" s="1" a="1"/>
  <c r="P183" i="62" s="1"/>
  <c r="O32" i="120" s="1"/>
  <c r="EW13" i="62"/>
  <c r="P13" i="62" s="1" a="1"/>
  <c r="P13" i="62" s="1"/>
  <c r="AB13" i="62" s="1"/>
  <c r="E15" i="75" s="1"/>
  <c r="EW100" i="62"/>
  <c r="P100" i="62" s="1" a="1"/>
  <c r="P100" i="62" s="1"/>
  <c r="EW26" i="62"/>
  <c r="P26" i="62" s="1" a="1"/>
  <c r="P26" i="62" s="1"/>
  <c r="EW177" i="62"/>
  <c r="P177" i="62" s="1" a="1"/>
  <c r="P177" i="62" s="1"/>
  <c r="O26" i="120" s="1"/>
  <c r="EW83" i="62"/>
  <c r="P83" i="62" s="1" a="1"/>
  <c r="P83" i="62" s="1"/>
  <c r="EW54" i="62"/>
  <c r="P54" i="62" s="1" a="1"/>
  <c r="P54" i="62" s="1"/>
  <c r="AB38" i="62" l="1"/>
  <c r="AB122" i="62"/>
  <c r="AB32" i="62"/>
  <c r="AB95" i="62"/>
  <c r="AB62" i="62"/>
  <c r="AB16" i="62"/>
  <c r="AB12" i="62"/>
  <c r="E14" i="75" s="1"/>
  <c r="O31" i="120"/>
  <c r="AB182" i="62"/>
  <c r="AA31" i="120" s="1"/>
  <c r="AB53" i="62"/>
  <c r="O13" i="120"/>
  <c r="AB164" i="62"/>
  <c r="AA13" i="120" s="1"/>
  <c r="O22" i="120"/>
  <c r="AB173" i="62"/>
  <c r="AA22" i="120" s="1"/>
  <c r="AB179" i="62"/>
  <c r="AA28" i="120" s="1"/>
  <c r="O28" i="120"/>
  <c r="O25" i="120"/>
  <c r="AB176" i="62"/>
  <c r="AA25" i="120" s="1"/>
  <c r="AB39" i="62"/>
  <c r="O10" i="120"/>
  <c r="AB161" i="62"/>
  <c r="AA10" i="120" s="1"/>
  <c r="AB35" i="62"/>
  <c r="AB19" i="62"/>
  <c r="AB188" i="62"/>
  <c r="AA37" i="120" s="1"/>
  <c r="O37" i="120"/>
  <c r="O34" i="120"/>
  <c r="AB185" i="62"/>
  <c r="AA34" i="120" s="1"/>
  <c r="AB167" i="62"/>
  <c r="AA16" i="120" s="1"/>
  <c r="O16" i="120"/>
  <c r="O19" i="120"/>
  <c r="AB170" i="62"/>
  <c r="AA19" i="120" s="1"/>
</calcChain>
</file>

<file path=xl/sharedStrings.xml><?xml version="1.0" encoding="utf-8"?>
<sst xmlns="http://schemas.openxmlformats.org/spreadsheetml/2006/main" count="3769" uniqueCount="955">
  <si>
    <t>Bank of Ireland</t>
  </si>
  <si>
    <t>Brandes</t>
  </si>
  <si>
    <t>Blackrock</t>
  </si>
  <si>
    <t>ASRS F2</t>
  </si>
  <si>
    <t>S&amp;P 500</t>
  </si>
  <si>
    <t>ASRF17540002</t>
  </si>
  <si>
    <t>ASRS E1</t>
  </si>
  <si>
    <t>ASRF17550002</t>
  </si>
  <si>
    <t>ASRS E2</t>
  </si>
  <si>
    <t>GSAM</t>
  </si>
  <si>
    <t>ASRF18560002</t>
  </si>
  <si>
    <t>ASRF18520002</t>
  </si>
  <si>
    <t>LSV</t>
  </si>
  <si>
    <t>ASRF18500002</t>
  </si>
  <si>
    <t>ASRF18430002</t>
  </si>
  <si>
    <t>Frontier</t>
  </si>
  <si>
    <t>ASRF18420002</t>
  </si>
  <si>
    <t>ASRS E3</t>
  </si>
  <si>
    <t>ASRF18460002</t>
  </si>
  <si>
    <t>ASRS E4</t>
  </si>
  <si>
    <t>Byram</t>
  </si>
  <si>
    <t>Columbia</t>
  </si>
  <si>
    <t>ASRF17600002</t>
  </si>
  <si>
    <t>DFA</t>
  </si>
  <si>
    <t>ASRF18380002</t>
  </si>
  <si>
    <t>ASRF17380002</t>
  </si>
  <si>
    <t>ASRF17650002</t>
  </si>
  <si>
    <t>Date</t>
  </si>
  <si>
    <t>LBA</t>
  </si>
  <si>
    <t>EAFE</t>
  </si>
  <si>
    <t>ASRF17700002</t>
  </si>
  <si>
    <t>YTD</t>
  </si>
  <si>
    <t>Inception</t>
  </si>
  <si>
    <t>BGI: SF (Passive)</t>
  </si>
  <si>
    <t>---</t>
  </si>
  <si>
    <t>1 Year</t>
  </si>
  <si>
    <t>3 Years</t>
  </si>
  <si>
    <t>Franklin LC</t>
  </si>
  <si>
    <t>BGI Equity</t>
  </si>
  <si>
    <t>INTECH</t>
  </si>
  <si>
    <t>Franklin MC</t>
  </si>
  <si>
    <t>Well</t>
  </si>
  <si>
    <t>SSGA MC</t>
  </si>
  <si>
    <t>Forst</t>
  </si>
  <si>
    <t>JPM Fixed</t>
  </si>
  <si>
    <t>5 Years</t>
  </si>
  <si>
    <t>Month</t>
  </si>
  <si>
    <t>Annualized</t>
  </si>
  <si>
    <t>3 Months</t>
  </si>
  <si>
    <t>ASRS E2: PHX (Passive)</t>
  </si>
  <si>
    <t>LSV: CHI (Active)</t>
  </si>
  <si>
    <t>Wellington: SF (Active)</t>
  </si>
  <si>
    <t>ASRS E3: PHX  (Passive)</t>
  </si>
  <si>
    <t>ASRS E4: PHX  (Passive)</t>
  </si>
  <si>
    <t>DFA: Santa Monica (Active)</t>
  </si>
  <si>
    <t>ASRS F2: PHX (Enh. Passive)</t>
  </si>
  <si>
    <t>INTERNATIONAL EQUITY</t>
  </si>
  <si>
    <t>SMALL CAP EQUITY</t>
  </si>
  <si>
    <t>MID CAP EQUITY</t>
  </si>
  <si>
    <t>LARGE CAP EQUITY</t>
  </si>
  <si>
    <t>FIXED INCOME</t>
  </si>
  <si>
    <t>Arizona State Retirement System</t>
  </si>
  <si>
    <t>Investment Management Division</t>
  </si>
  <si>
    <t>Fidelity</t>
  </si>
  <si>
    <t>ASRF18600002</t>
  </si>
  <si>
    <t>CRM</t>
  </si>
  <si>
    <t>ASRF18570002</t>
  </si>
  <si>
    <t>Bridgewater GTAA</t>
  </si>
  <si>
    <t>GSAM GTAA</t>
  </si>
  <si>
    <t>CRM: NY (Active)</t>
  </si>
  <si>
    <t>Bridgewater: CT (Active)</t>
  </si>
  <si>
    <t>GTAA</t>
  </si>
  <si>
    <t>ITD Index</t>
  </si>
  <si>
    <t>Qtr</t>
  </si>
  <si>
    <t>1Y</t>
  </si>
  <si>
    <t>3Y</t>
  </si>
  <si>
    <t>5Y</t>
  </si>
  <si>
    <t>Incep</t>
  </si>
  <si>
    <t>ASRG20000000</t>
  </si>
  <si>
    <t>Global TAA</t>
  </si>
  <si>
    <t>Alpha</t>
  </si>
  <si>
    <t>a</t>
  </si>
  <si>
    <t>SSgA</t>
  </si>
  <si>
    <t>JP Morgan</t>
  </si>
  <si>
    <t>Mellon Equity</t>
  </si>
  <si>
    <t>U.S. Equity</t>
  </si>
  <si>
    <t>Large Cap</t>
  </si>
  <si>
    <t>Dates</t>
  </si>
  <si>
    <t>Average AUM</t>
  </si>
  <si>
    <t>TOTAL</t>
  </si>
  <si>
    <t>Gross Return</t>
  </si>
  <si>
    <t>Net Return</t>
  </si>
  <si>
    <t>Market Value</t>
  </si>
  <si>
    <t>Asset Class</t>
  </si>
  <si>
    <t>Mid Cap</t>
  </si>
  <si>
    <t>Wellington</t>
  </si>
  <si>
    <t>Forstmann</t>
  </si>
  <si>
    <t>Conseco</t>
  </si>
  <si>
    <t>Small Cap</t>
  </si>
  <si>
    <t>Brandywine</t>
  </si>
  <si>
    <t>International Equity</t>
  </si>
  <si>
    <t>Capital Guardian</t>
  </si>
  <si>
    <t>Bank of New York</t>
  </si>
  <si>
    <t>Fixed Income</t>
  </si>
  <si>
    <t>WAMCO</t>
  </si>
  <si>
    <t>BlackRock</t>
  </si>
  <si>
    <t>DATE</t>
  </si>
  <si>
    <t>JPM LC</t>
  </si>
  <si>
    <t>MELLON LC</t>
  </si>
  <si>
    <t>CONSECO MC</t>
  </si>
  <si>
    <t>MELLON MC</t>
  </si>
  <si>
    <t>Goldman Sachs</t>
  </si>
  <si>
    <t>Indexes</t>
  </si>
  <si>
    <t>Net Returns (%)</t>
  </si>
  <si>
    <t>Excess Returns (basis points)</t>
  </si>
  <si>
    <t>Begin</t>
  </si>
  <si>
    <t>Term (months)</t>
  </si>
  <si>
    <t>Axe-Houghton</t>
  </si>
  <si>
    <t>Alpha (bps)</t>
  </si>
  <si>
    <t>SP500</t>
  </si>
  <si>
    <t>ASRF17730002</t>
  </si>
  <si>
    <t>ASRS External Investment Management Fees</t>
  </si>
  <si>
    <t>Combined</t>
  </si>
  <si>
    <t>Rule</t>
  </si>
  <si>
    <t>Tier</t>
  </si>
  <si>
    <t>Fee Rate</t>
  </si>
  <si>
    <t>Portfolio</t>
  </si>
  <si>
    <t>Fees</t>
  </si>
  <si>
    <t>Fee (bp)</t>
  </si>
  <si>
    <t>first</t>
  </si>
  <si>
    <t>next</t>
  </si>
  <si>
    <t>over</t>
  </si>
  <si>
    <t>BIAM</t>
  </si>
  <si>
    <t>Mellon Capital</t>
  </si>
  <si>
    <t>SSgA MC</t>
  </si>
  <si>
    <t>SSgA LC</t>
  </si>
  <si>
    <t>BGI Ehn Debt</t>
  </si>
  <si>
    <t>SP400</t>
  </si>
  <si>
    <t>CONSECO</t>
  </si>
  <si>
    <t>MELLON</t>
  </si>
  <si>
    <t>R2K Gr</t>
  </si>
  <si>
    <t>ASRF18660002</t>
  </si>
  <si>
    <t>End</t>
  </si>
  <si>
    <t>Historical Value Added Analysis</t>
  </si>
  <si>
    <t>CAP GUARD</t>
  </si>
  <si>
    <t>BRANDY SC Val</t>
  </si>
  <si>
    <t>Cumulative</t>
  </si>
  <si>
    <t>Batterymarch</t>
  </si>
  <si>
    <t>Axe-Houghton (PAC)</t>
  </si>
  <si>
    <t>MS PAC Index</t>
  </si>
  <si>
    <t>AXE-H LC</t>
  </si>
  <si>
    <t>CMC SC Gr</t>
  </si>
  <si>
    <t>TimesSquare</t>
  </si>
  <si>
    <t>TimesSquare: New York (Active)</t>
  </si>
  <si>
    <t>Russell 2500 Growth</t>
  </si>
  <si>
    <t>Bridgewater</t>
  </si>
  <si>
    <t>IDS Advisory</t>
  </si>
  <si>
    <t>AXE-HOUGH</t>
  </si>
  <si>
    <t>AXE (PAC)</t>
  </si>
  <si>
    <t>INTECH: FL (Active)</t>
  </si>
  <si>
    <t>GSAM LCG</t>
  </si>
  <si>
    <t>SP500G</t>
  </si>
  <si>
    <t>GSMA LCG</t>
  </si>
  <si>
    <t>Notes:</t>
  </si>
  <si>
    <t>Dollar Value Added</t>
  </si>
  <si>
    <r>
      <t>·</t>
    </r>
    <r>
      <rPr>
        <sz val="9"/>
        <rFont val="Arial"/>
        <family val="2"/>
      </rPr>
      <t xml:space="preserve">  In most cases, the Alpha and Dollar Value Added reflect consistent results.  However, if the portfolio size changes significantly by cash flows or market fluctuations, the two alternative methods may reflect different results.</t>
    </r>
  </si>
  <si>
    <r>
      <t>·</t>
    </r>
    <r>
      <rPr>
        <sz val="9"/>
        <rFont val="Arial"/>
        <family val="2"/>
      </rPr>
      <t xml:space="preserve">  Dollar Value Added is based on money-weighted rate of return, which takes into account cash flows and portfolio size.</t>
    </r>
  </si>
  <si>
    <r>
      <t>·</t>
    </r>
    <r>
      <rPr>
        <sz val="9"/>
        <rFont val="Arial"/>
        <family val="2"/>
      </rPr>
      <t xml:space="preserve">  Alpha is based on the time-weighted rate of return, which measures compound growth and is not influenced by cash flows or portfolio size.</t>
    </r>
  </si>
  <si>
    <r>
      <t>·</t>
    </r>
    <r>
      <rPr>
        <sz val="9"/>
        <rFont val="Arial"/>
        <family val="2"/>
      </rPr>
      <t xml:space="preserve">  Alpha and Dollar Value Added are net of fees.</t>
    </r>
  </si>
  <si>
    <t>1AZGZTOTM002</t>
  </si>
  <si>
    <t>Total Fund</t>
  </si>
  <si>
    <t>Val-Gr</t>
  </si>
  <si>
    <t>Value</t>
  </si>
  <si>
    <t>Growth</t>
  </si>
  <si>
    <t>BNY</t>
  </si>
  <si>
    <t>ACWI</t>
  </si>
  <si>
    <t>MFS</t>
  </si>
  <si>
    <t>HGI</t>
  </si>
  <si>
    <t>ASRF18680002</t>
  </si>
  <si>
    <t>ASRF18690002</t>
  </si>
  <si>
    <t>ASRF18700002</t>
  </si>
  <si>
    <t>ASRF18710002</t>
  </si>
  <si>
    <t>AXA</t>
  </si>
  <si>
    <t>DFA INTL</t>
  </si>
  <si>
    <t>Brandes: SD (LC Active)</t>
  </si>
  <si>
    <t>DFA: Santa Monica (SC Active)</t>
  </si>
  <si>
    <t>EAFE SC</t>
  </si>
  <si>
    <t>Forstmann MCG</t>
  </si>
  <si>
    <t>Frontier MCG</t>
  </si>
  <si>
    <t>SP400 G</t>
  </si>
  <si>
    <t>2 Years</t>
  </si>
  <si>
    <t>4 Years</t>
  </si>
  <si>
    <t>7 Years</t>
  </si>
  <si>
    <t>(calc)</t>
  </si>
  <si>
    <t>Hansberger</t>
  </si>
  <si>
    <t>DFA SC</t>
  </si>
  <si>
    <t>AXA Rosenberg SC</t>
  </si>
  <si>
    <t>S&amp;P 400</t>
  </si>
  <si>
    <t>S&amp;P 400 Growth</t>
  </si>
  <si>
    <t>S&amp;P 400 Value</t>
  </si>
  <si>
    <t>S&amp;P 500 Growth</t>
  </si>
  <si>
    <t>S&amp;P 500 Value</t>
  </si>
  <si>
    <t>Difference</t>
  </si>
  <si>
    <t>Total Small-Cap</t>
  </si>
  <si>
    <t>Total Mid-Cap</t>
  </si>
  <si>
    <t>Total Large-Cap</t>
  </si>
  <si>
    <t>Total Int'l LC Equity</t>
  </si>
  <si>
    <t>Total Int'l SC Equity</t>
  </si>
  <si>
    <t>MSCI EAFE Small Cap</t>
  </si>
  <si>
    <t>Total International</t>
  </si>
  <si>
    <t>Total Fixed Income</t>
  </si>
  <si>
    <t>Custom Benchmark</t>
  </si>
  <si>
    <t>Total Global TAA</t>
  </si>
  <si>
    <t>GLOBAL TAA</t>
  </si>
  <si>
    <t>Expected</t>
  </si>
  <si>
    <t>Amount</t>
  </si>
  <si>
    <t>Fee</t>
  </si>
  <si>
    <t>(basis pts.)</t>
  </si>
  <si>
    <t>($mil.)</t>
  </si>
  <si>
    <t>9 Years</t>
  </si>
  <si>
    <t>10 Year Period Ending</t>
  </si>
  <si>
    <t>BGI ACWI Tilts</t>
  </si>
  <si>
    <t>NorthPointe</t>
  </si>
  <si>
    <t>Excess Return</t>
  </si>
  <si>
    <t>IX1G00138648</t>
  </si>
  <si>
    <t>SP500 G</t>
  </si>
  <si>
    <t>EAFE G</t>
  </si>
  <si>
    <t>SP500 V</t>
  </si>
  <si>
    <t>SPMD400</t>
  </si>
  <si>
    <t>SPMD400 G</t>
  </si>
  <si>
    <t>SPMD400 V</t>
  </si>
  <si>
    <t>RUS2000</t>
  </si>
  <si>
    <t>RUS2000 G</t>
  </si>
  <si>
    <t>RUS2500 G</t>
  </si>
  <si>
    <t>RUS2000 V</t>
  </si>
  <si>
    <t>Manager Avg Assets</t>
  </si>
  <si>
    <t>Manager ROR</t>
  </si>
  <si>
    <t>Index ROR</t>
  </si>
  <si>
    <t>Start</t>
  </si>
  <si>
    <t>Franklin</t>
  </si>
  <si>
    <t>US Equity</t>
  </si>
  <si>
    <t>TF Gross</t>
  </si>
  <si>
    <t>LC Equity</t>
  </si>
  <si>
    <t>MC Equity</t>
  </si>
  <si>
    <t>SC Equity</t>
  </si>
  <si>
    <t>NonUS Equity</t>
  </si>
  <si>
    <t>Mellon</t>
  </si>
  <si>
    <t>Real Estate</t>
  </si>
  <si>
    <t>Total US Equity</t>
  </si>
  <si>
    <t>10 Years</t>
  </si>
  <si>
    <t>R2000</t>
  </si>
  <si>
    <t>TAA</t>
  </si>
  <si>
    <t>TAA/G</t>
  </si>
  <si>
    <t>TAA/GTAA Benchmark</t>
  </si>
  <si>
    <t>Weights - Board</t>
  </si>
  <si>
    <t>Weights - Strategic</t>
  </si>
  <si>
    <t>Strategic</t>
  </si>
  <si>
    <t>Board</t>
  </si>
  <si>
    <t>ASRF18790002</t>
  </si>
  <si>
    <t>Intl Equity</t>
  </si>
  <si>
    <t>R2K</t>
  </si>
  <si>
    <t>TF Benchmark (Official)</t>
  </si>
  <si>
    <t>Total Fund Gross</t>
  </si>
  <si>
    <t>NCREIF+1%</t>
  </si>
  <si>
    <t>NCREIF</t>
  </si>
  <si>
    <t>TF Benchmark (Strategic)</t>
  </si>
  <si>
    <t>RE</t>
  </si>
  <si>
    <t>Capital Markets Assumptions - Monthly</t>
  </si>
  <si>
    <t>TF</t>
  </si>
  <si>
    <t>Total Fund Fees</t>
  </si>
  <si>
    <t>R2K Val</t>
  </si>
  <si>
    <t>LARGE CAP</t>
  </si>
  <si>
    <t>MID CAP</t>
  </si>
  <si>
    <t>SMALL CAP</t>
  </si>
  <si>
    <t>Actuarial</t>
  </si>
  <si>
    <t>Assumption</t>
  </si>
  <si>
    <t>ASRS Investment Goals and Objectives</t>
  </si>
  <si>
    <t>Excess v. 8%</t>
  </si>
  <si>
    <t>SAA Benchmark</t>
  </si>
  <si>
    <t>AA Expected Return</t>
  </si>
  <si>
    <t>Custom MSCI</t>
  </si>
  <si>
    <t>LB Aggregate</t>
  </si>
  <si>
    <t>Custom</t>
  </si>
  <si>
    <t>Outperformers#</t>
  </si>
  <si>
    <t>Underperformers#</t>
  </si>
  <si>
    <r>
      <t>Goal #6:</t>
    </r>
    <r>
      <rPr>
        <sz val="10"/>
        <rFont val="Arial"/>
        <family val="2"/>
      </rPr>
      <t xml:space="preserve"> Ensure sufficient monies are available to meet cash flow requirements</t>
    </r>
  </si>
  <si>
    <t>YES</t>
  </si>
  <si>
    <t>Outperformers%</t>
  </si>
  <si>
    <r>
      <t>Goal #1:</t>
    </r>
    <r>
      <rPr>
        <sz val="10"/>
        <rFont val="Arial"/>
        <family val="2"/>
      </rPr>
      <t xml:space="preserve"> Achieve a </t>
    </r>
    <r>
      <rPr>
        <b/>
        <sz val="10"/>
        <rFont val="Arial"/>
        <family val="2"/>
      </rPr>
      <t>10-year rolling annual</t>
    </r>
    <r>
      <rPr>
        <sz val="10"/>
        <rFont val="Arial"/>
        <family val="2"/>
      </rPr>
      <t xml:space="preserve"> rate of return equal to or greater than 8%</t>
    </r>
  </si>
  <si>
    <r>
      <t>Goal #3:</t>
    </r>
    <r>
      <rPr>
        <sz val="10"/>
        <rFont val="Arial"/>
        <family val="2"/>
      </rPr>
      <t xml:space="preserve"> Achieve a </t>
    </r>
    <r>
      <rPr>
        <b/>
        <sz val="10"/>
        <rFont val="Arial"/>
        <family val="2"/>
      </rPr>
      <t>5 year rolling annual</t>
    </r>
    <r>
      <rPr>
        <sz val="10"/>
        <rFont val="Arial"/>
        <family val="2"/>
      </rPr>
      <t xml:space="preserve"> rate of return equal to or greater than the ASRS Asset Allocation Study expected rate of return</t>
    </r>
  </si>
  <si>
    <r>
      <t>Goal #4:</t>
    </r>
    <r>
      <rPr>
        <sz val="10"/>
        <rFont val="Arial"/>
        <family val="2"/>
      </rPr>
      <t xml:space="preserve"> Achieve </t>
    </r>
    <r>
      <rPr>
        <b/>
        <sz val="10"/>
        <rFont val="Arial"/>
        <family val="2"/>
      </rPr>
      <t>annual and 3 year rolling</t>
    </r>
    <r>
      <rPr>
        <sz val="10"/>
        <rFont val="Arial"/>
        <family val="2"/>
      </rPr>
      <t xml:space="preserve"> dollar-weighted composite asset class net rates of return equal to or greater than their respective broad asset class benchmark</t>
    </r>
  </si>
  <si>
    <r>
      <t>Goal #5:</t>
    </r>
    <r>
      <rPr>
        <sz val="10"/>
        <rFont val="Arial"/>
        <family val="2"/>
      </rPr>
      <t xml:space="preserve"> Achieve portfolio-level </t>
    </r>
    <r>
      <rPr>
        <b/>
        <sz val="10"/>
        <rFont val="Arial"/>
        <family val="2"/>
      </rPr>
      <t>annual and 3 year</t>
    </r>
    <r>
      <rPr>
        <sz val="10"/>
        <rFont val="Arial"/>
        <family val="2"/>
      </rPr>
      <t xml:space="preserve"> net rates of return equal to or greater than their respective asset class benchmarks</t>
    </r>
  </si>
  <si>
    <t>DJ Wilsh REIT</t>
  </si>
  <si>
    <t>IX1F00285618</t>
  </si>
  <si>
    <t>CSFB Tremont</t>
  </si>
  <si>
    <t>RUS3000</t>
  </si>
  <si>
    <t>Total LTD</t>
  </si>
  <si>
    <t>LTD FX INC</t>
  </si>
  <si>
    <t>LTD INTL</t>
  </si>
  <si>
    <t>LTD EQUITY</t>
  </si>
  <si>
    <t>1AZGZLTDCMP2</t>
  </si>
  <si>
    <t>LTD COMP</t>
  </si>
  <si>
    <t>ASRF18330702</t>
  </si>
  <si>
    <t>1AZFLTDFXDA2</t>
  </si>
  <si>
    <t>ASRF18330502</t>
  </si>
  <si>
    <t>ASRF18330402</t>
  </si>
  <si>
    <t>ASRF18330602</t>
  </si>
  <si>
    <t>1AZFLTDEQAL2</t>
  </si>
  <si>
    <t>1AZFLTDALPH2</t>
  </si>
  <si>
    <t>1AZFLTDREA02</t>
  </si>
  <si>
    <t>MSCI EAFE</t>
  </si>
  <si>
    <t>LTD Equity</t>
  </si>
  <si>
    <t>ASRS Pension and HBS Assets</t>
  </si>
  <si>
    <t>Investment Managers Performance Summary</t>
  </si>
  <si>
    <t>Long Term Disability</t>
  </si>
  <si>
    <t>ASRS Long Term Disability Assets</t>
  </si>
  <si>
    <t>LONG TERM DISABILITY</t>
  </si>
  <si>
    <t>Style</t>
  </si>
  <si>
    <t>Quantitative</t>
  </si>
  <si>
    <t>Fundamental</t>
  </si>
  <si>
    <t>Indexed</t>
  </si>
  <si>
    <t>Core</t>
  </si>
  <si>
    <t>3 Year</t>
  </si>
  <si>
    <t>5 Year</t>
  </si>
  <si>
    <t>ASRF18880002</t>
  </si>
  <si>
    <t>Jacobs Levy 120/20</t>
  </si>
  <si>
    <t>S&amp;P 600</t>
  </si>
  <si>
    <t>SP600</t>
  </si>
  <si>
    <t>SP600 G</t>
  </si>
  <si>
    <t>SP600 V</t>
  </si>
  <si>
    <t>Small Cap Core</t>
  </si>
  <si>
    <t>Benchmark</t>
  </si>
  <si>
    <t>Small Cap G</t>
  </si>
  <si>
    <t>Small Cap V</t>
  </si>
  <si>
    <t>ASRF18900002</t>
  </si>
  <si>
    <t>E6</t>
  </si>
  <si>
    <t>R2k Val/ S&amp;P 600 Value</t>
  </si>
  <si>
    <t>GTAA Benchmark</t>
  </si>
  <si>
    <t>--</t>
  </si>
  <si>
    <r>
      <t>Goal #2:</t>
    </r>
    <r>
      <rPr>
        <sz val="10"/>
        <rFont val="Arial"/>
        <family val="2"/>
      </rPr>
      <t xml:space="preserve"> Achieve </t>
    </r>
    <r>
      <rPr>
        <b/>
        <sz val="10"/>
        <rFont val="Arial"/>
        <family val="2"/>
      </rPr>
      <t>annual and 3 year rolling annual</t>
    </r>
    <r>
      <rPr>
        <sz val="10"/>
        <rFont val="Arial"/>
        <family val="2"/>
      </rPr>
      <t xml:space="preserve"> rates of return equal to or greater than the ASRS Strategic Asset Allocation Investment Policy (Total Fund Benchmark)</t>
    </r>
  </si>
  <si>
    <t>JLEM</t>
  </si>
  <si>
    <t>Domestic</t>
  </si>
  <si>
    <t>Equity Benchmark</t>
  </si>
  <si>
    <t>Pyramis</t>
  </si>
  <si>
    <t xml:space="preserve">Custom </t>
  </si>
  <si>
    <t>Russell 2000/SP600</t>
  </si>
  <si>
    <t>Public Securities Markets</t>
  </si>
  <si>
    <t>ASRF19090002</t>
  </si>
  <si>
    <t>ASRF19160002</t>
  </si>
  <si>
    <t>ASRF19180002</t>
  </si>
  <si>
    <t>CopperRock</t>
  </si>
  <si>
    <t>ASRF19170002</t>
  </si>
  <si>
    <t>Champlain</t>
  </si>
  <si>
    <t>IronBridge</t>
  </si>
  <si>
    <t>LB Int Agg</t>
  </si>
  <si>
    <t>RUS2500</t>
  </si>
  <si>
    <t>Champlain: VT (Active)</t>
  </si>
  <si>
    <t>ASRS Managers</t>
  </si>
  <si>
    <t>Manager 10Y Val Add</t>
  </si>
  <si>
    <t>LC Asset Class</t>
  </si>
  <si>
    <t>Value Add to Avg. AUM</t>
  </si>
  <si>
    <t>E1*</t>
  </si>
  <si>
    <t>E2*</t>
  </si>
  <si>
    <t>SSgA**</t>
  </si>
  <si>
    <t>** Externally managed passive portfolio</t>
  </si>
  <si>
    <t>* Internally managed indexed/enhanced indexed portfolio</t>
  </si>
  <si>
    <t>External Active Portfolios</t>
  </si>
  <si>
    <t>External Passive Portfolios</t>
  </si>
  <si>
    <t>BGI**</t>
  </si>
  <si>
    <t>E4*</t>
  </si>
  <si>
    <t>E3*</t>
  </si>
  <si>
    <t>MC Asset Class</t>
  </si>
  <si>
    <t>E6*</t>
  </si>
  <si>
    <t>SC Asset Class</t>
  </si>
  <si>
    <t>International Asset Class</t>
  </si>
  <si>
    <t>JP Morgan Int Agg</t>
  </si>
  <si>
    <t>F1</t>
  </si>
  <si>
    <t>GTAA Asset Class</t>
  </si>
  <si>
    <t>JPM Int Agg</t>
  </si>
  <si>
    <t>Internal Passive Portfolios</t>
  </si>
  <si>
    <t>F2*</t>
  </si>
  <si>
    <t>F1*</t>
  </si>
  <si>
    <t>BGI Enhanced**</t>
  </si>
  <si>
    <t>BGI ACWI ex US</t>
  </si>
  <si>
    <t>Mellon SC</t>
  </si>
  <si>
    <t>* Jacobs Levy has a performance based fee structure.</t>
  </si>
  <si>
    <t>FRANKLIN LC</t>
  </si>
  <si>
    <t>SSGA LCV</t>
  </si>
  <si>
    <t>SP500V</t>
  </si>
  <si>
    <t>5 Year Period Ending</t>
  </si>
  <si>
    <t>1AZFZMORINT2</t>
  </si>
  <si>
    <t>Deutsche (Active)</t>
  </si>
  <si>
    <t>DeAM GTAA</t>
  </si>
  <si>
    <t>NorthPointe MCG</t>
  </si>
  <si>
    <t>ASRG40000000</t>
  </si>
  <si>
    <t>Blackrock's first month of performance</t>
  </si>
  <si>
    <t>ASRF19540002</t>
  </si>
  <si>
    <t>ASRS E6: PHX (Passive)</t>
  </si>
  <si>
    <t>JP Morgan Intermed Agg</t>
  </si>
  <si>
    <t>Lehman Int Agg</t>
  </si>
  <si>
    <t>ASRF19610002</t>
  </si>
  <si>
    <t>BGI Int Agg</t>
  </si>
  <si>
    <t>BGI: SF (System Only)</t>
  </si>
  <si>
    <t xml:space="preserve">Barclays Gov/Credit Intermediate </t>
  </si>
  <si>
    <t>Barclays Aggregate</t>
  </si>
  <si>
    <t>Barclays Gov/Cr</t>
  </si>
  <si>
    <t>System</t>
  </si>
  <si>
    <t/>
  </si>
  <si>
    <t>ASRF19520002</t>
  </si>
  <si>
    <t>ASRF19530002</t>
  </si>
  <si>
    <t>10% Absolute</t>
  </si>
  <si>
    <t>NEPC</t>
  </si>
  <si>
    <t>Difference (IMD &amp; NEPC)</t>
  </si>
  <si>
    <t xml:space="preserve">Sponsor
</t>
  </si>
  <si>
    <t xml:space="preserve">Account #
</t>
  </si>
  <si>
    <t xml:space="preserve">Account Name
</t>
  </si>
  <si>
    <t xml:space="preserve">Scheme
</t>
  </si>
  <si>
    <t xml:space="preserve">Category
</t>
  </si>
  <si>
    <t>Time-Wgt
ROR (Base) 
Qtr ending
3/31/09</t>
  </si>
  <si>
    <t>Time-Wgt
ROR (Base) 
since
6/30/08</t>
  </si>
  <si>
    <t>Time-Wgt
ROR (Base) 
1 Yr ending
3/31/09</t>
  </si>
  <si>
    <t>Time-Wgt
ROR (Base) 
2 Yrs ending
3/31/09</t>
  </si>
  <si>
    <t>Time-Wgt
ROR (Base) 
3 Yrs ending
3/31/09</t>
  </si>
  <si>
    <t>Time-Wgt
ROR (Base) 
5 Yrs ending
3/31/09</t>
  </si>
  <si>
    <t>Time-Wgt
ROR (Base) 
10 Yrs ending
3/31/09</t>
  </si>
  <si>
    <t>Total Mkt Value
(Incl Accr Inc) (Base) 
As Of
3/31/09</t>
  </si>
  <si>
    <t>/RAY</t>
  </si>
  <si>
    <t>RAY0002</t>
  </si>
  <si>
    <t>TOTAL COMPOSITE</t>
  </si>
  <si>
    <t>0206</t>
  </si>
  <si>
    <t>TOTAL FUND</t>
  </si>
  <si>
    <t>TOTAL NET FEES</t>
  </si>
  <si>
    <t>RAY0001</t>
  </si>
  <si>
    <t>INTERIM POLICY</t>
  </si>
  <si>
    <t>RAY0000</t>
  </si>
  <si>
    <t>TOTAL POLICY</t>
  </si>
  <si>
    <t>RAY0004</t>
  </si>
  <si>
    <t>DOMESTIC EQUITY</t>
  </si>
  <si>
    <t>RAY0005</t>
  </si>
  <si>
    <t>US LG CAP COMP</t>
  </si>
  <si>
    <t>RAY0006</t>
  </si>
  <si>
    <t>US MID CAP COMP</t>
  </si>
  <si>
    <t>RAY0007</t>
  </si>
  <si>
    <t>US SM CAP COMP</t>
  </si>
  <si>
    <t>RAY0008</t>
  </si>
  <si>
    <t>INTL EQUITY</t>
  </si>
  <si>
    <t>RAY0011</t>
  </si>
  <si>
    <t>TOTAL FIXED</t>
  </si>
  <si>
    <t>RAY0015</t>
  </si>
  <si>
    <t>OPPORT TAA</t>
  </si>
  <si>
    <t>RAY0018</t>
  </si>
  <si>
    <t>REAL ESTATE</t>
  </si>
  <si>
    <t>RAY0029</t>
  </si>
  <si>
    <t>RE &amp; AZ PROP</t>
  </si>
  <si>
    <t>RAY0025</t>
  </si>
  <si>
    <t>PRIVATE EQUITY</t>
  </si>
  <si>
    <t>RAY0028</t>
  </si>
  <si>
    <t>RAY0050</t>
  </si>
  <si>
    <t>MELLON CASH</t>
  </si>
  <si>
    <t>RAY0100</t>
  </si>
  <si>
    <t>JACOBS LEVY</t>
  </si>
  <si>
    <t>RAY0101</t>
  </si>
  <si>
    <t>RAY0102</t>
  </si>
  <si>
    <t>RAY0103</t>
  </si>
  <si>
    <t>IM E1</t>
  </si>
  <si>
    <t>RAY0104</t>
  </si>
  <si>
    <t>IM E2</t>
  </si>
  <si>
    <t>RAY0105</t>
  </si>
  <si>
    <t>BGI LC EQ</t>
  </si>
  <si>
    <t>RAY0106</t>
  </si>
  <si>
    <t>LC TRANSITION</t>
  </si>
  <si>
    <t>RAY0200</t>
  </si>
  <si>
    <t>WELLINGTON</t>
  </si>
  <si>
    <t>RAY0201</t>
  </si>
  <si>
    <t>RAY0202</t>
  </si>
  <si>
    <t>SSGA MCC</t>
  </si>
  <si>
    <t>RAY0203</t>
  </si>
  <si>
    <t>IM E3</t>
  </si>
  <si>
    <t>RAY0204</t>
  </si>
  <si>
    <t>IM E4</t>
  </si>
  <si>
    <t>RAY0300</t>
  </si>
  <si>
    <t>CHAMPLAIN</t>
  </si>
  <si>
    <t>RAY0301</t>
  </si>
  <si>
    <t>COPPER ROCK</t>
  </si>
  <si>
    <t>RAY0302</t>
  </si>
  <si>
    <t>TIMES SQUARE</t>
  </si>
  <si>
    <t>RAY0303</t>
  </si>
  <si>
    <t>IRONBRIDGE</t>
  </si>
  <si>
    <t>RAY0304</t>
  </si>
  <si>
    <t>RAY0305</t>
  </si>
  <si>
    <t>IM E6</t>
  </si>
  <si>
    <t>RAY0306</t>
  </si>
  <si>
    <t>SC TRANSITION</t>
  </si>
  <si>
    <t>RAY0400</t>
  </si>
  <si>
    <t>BRANDES</t>
  </si>
  <si>
    <t>RAY0401</t>
  </si>
  <si>
    <t>HANSBERGER</t>
  </si>
  <si>
    <t>RAY0402</t>
  </si>
  <si>
    <t>RAY0403</t>
  </si>
  <si>
    <t>RAY0404</t>
  </si>
  <si>
    <t>AXA ROSENBERG</t>
  </si>
  <si>
    <t>RAY0405</t>
  </si>
  <si>
    <t>BGI INTL</t>
  </si>
  <si>
    <t>RAY0500</t>
  </si>
  <si>
    <t>BLACK ROCK CP</t>
  </si>
  <si>
    <t>RAY0501</t>
  </si>
  <si>
    <t>PYRAMIS</t>
  </si>
  <si>
    <t>RAY0502</t>
  </si>
  <si>
    <t>BLACK ROCK CORE</t>
  </si>
  <si>
    <t>RAY0503</t>
  </si>
  <si>
    <t>BGI FIXED</t>
  </si>
  <si>
    <t>RAY0504</t>
  </si>
  <si>
    <t>IM F2</t>
  </si>
  <si>
    <t>RAY0505</t>
  </si>
  <si>
    <t>HYPERION</t>
  </si>
  <si>
    <t>RAY0506</t>
  </si>
  <si>
    <t>GUGGENHEIM</t>
  </si>
  <si>
    <t>RAY0507</t>
  </si>
  <si>
    <t>BGI GOVT CR</t>
  </si>
  <si>
    <t>RAY0508</t>
  </si>
  <si>
    <t>BLACK ROCK MORT</t>
  </si>
  <si>
    <t>RAY0509</t>
  </si>
  <si>
    <t>TCW CREDIT</t>
  </si>
  <si>
    <t>RAY0510</t>
  </si>
  <si>
    <t>BLACK ROCK CR</t>
  </si>
  <si>
    <t>RAY0511</t>
  </si>
  <si>
    <t>OPP COMMITMENT</t>
  </si>
  <si>
    <t>RAY0600</t>
  </si>
  <si>
    <t>BGI GTAA</t>
  </si>
  <si>
    <t>RAY0601</t>
  </si>
  <si>
    <t>DEUTSCHE GTAA</t>
  </si>
  <si>
    <t>RAY0602</t>
  </si>
  <si>
    <t>BRIDGEWATER TAA</t>
  </si>
  <si>
    <t>RAY0610</t>
  </si>
  <si>
    <t>BGI GSAM EQ INX</t>
  </si>
  <si>
    <t>RAY0611</t>
  </si>
  <si>
    <t>BGI GSAM FI INX</t>
  </si>
  <si>
    <t>RAY0612</t>
  </si>
  <si>
    <t>BGI GSAM EAFE</t>
  </si>
  <si>
    <t>RAY0615</t>
  </si>
  <si>
    <t>DEUTSCHE EQUITY</t>
  </si>
  <si>
    <t>RAY0616</t>
  </si>
  <si>
    <t>DEUTSCHE FIXED</t>
  </si>
  <si>
    <t>RAY0617</t>
  </si>
  <si>
    <t>DEUTSCHE INTL</t>
  </si>
  <si>
    <t>RAY0618</t>
  </si>
  <si>
    <t>DEUTSCHE OVERLA</t>
  </si>
  <si>
    <t>RAY0620</t>
  </si>
  <si>
    <t>RAY0700</t>
  </si>
  <si>
    <t>HINES US CORE</t>
  </si>
  <si>
    <t>RAY0701</t>
  </si>
  <si>
    <t>CIM URBAN REIT</t>
  </si>
  <si>
    <t>RAY0702</t>
  </si>
  <si>
    <t>EII GLOBAL REIT</t>
  </si>
  <si>
    <t>RAY0703</t>
  </si>
  <si>
    <t>LASALLE GLOBAL</t>
  </si>
  <si>
    <t>RAY0704</t>
  </si>
  <si>
    <t>PRISA II</t>
  </si>
  <si>
    <t>RAY0705</t>
  </si>
  <si>
    <t>AEW VALUE II</t>
  </si>
  <si>
    <t>RAY0706</t>
  </si>
  <si>
    <t>HEITMAN VALUE</t>
  </si>
  <si>
    <t>RAY0707</t>
  </si>
  <si>
    <t>CAPMARK III</t>
  </si>
  <si>
    <t>RAY0708</t>
  </si>
  <si>
    <t>CBRE VALUE V</t>
  </si>
  <si>
    <t>RAY0709</t>
  </si>
  <si>
    <t>TISHMAN VI</t>
  </si>
  <si>
    <t>RAY0710</t>
  </si>
  <si>
    <t>TISHMAN VII</t>
  </si>
  <si>
    <t>RAY0711</t>
  </si>
  <si>
    <t>ROTHSCHILD IV</t>
  </si>
  <si>
    <t>RAY0712</t>
  </si>
  <si>
    <t>ROTHSCHILD V</t>
  </si>
  <si>
    <t>RAY0713</t>
  </si>
  <si>
    <t>RREEF II</t>
  </si>
  <si>
    <t>RAY0714</t>
  </si>
  <si>
    <t>DUNE I</t>
  </si>
  <si>
    <t>RAY0715</t>
  </si>
  <si>
    <t>PLA RETAIL I</t>
  </si>
  <si>
    <t>RAY0716</t>
  </si>
  <si>
    <t>PLA RESIDEN III</t>
  </si>
  <si>
    <t>RAY0717</t>
  </si>
  <si>
    <t>CARLYLE V</t>
  </si>
  <si>
    <t>RAY0718</t>
  </si>
  <si>
    <t>COLONY VIII</t>
  </si>
  <si>
    <t>RAY0719</t>
  </si>
  <si>
    <t>BLACKSTON RE VI</t>
  </si>
  <si>
    <t>RAY0720</t>
  </si>
  <si>
    <t>CIM RE III</t>
  </si>
  <si>
    <t>RAY0721</t>
  </si>
  <si>
    <t>WESTBROOK VII</t>
  </si>
  <si>
    <t>RAY0722</t>
  </si>
  <si>
    <t>AIG ASIAN RE II</t>
  </si>
  <si>
    <t>RAY0723</t>
  </si>
  <si>
    <t>FIVE MILE RE II</t>
  </si>
  <si>
    <t>RAY0724</t>
  </si>
  <si>
    <t>LONE STAR VI</t>
  </si>
  <si>
    <t>RAY0725</t>
  </si>
  <si>
    <t>CBRE SP OPP V</t>
  </si>
  <si>
    <t>RAY0726</t>
  </si>
  <si>
    <t>LONE STAR RE</t>
  </si>
  <si>
    <t>RAY0727</t>
  </si>
  <si>
    <t>RE COMMITMENT</t>
  </si>
  <si>
    <t>RAY0728</t>
  </si>
  <si>
    <t>3300 TOWER PHX</t>
  </si>
  <si>
    <t>RAY0729</t>
  </si>
  <si>
    <t>BROADWAY PROPER</t>
  </si>
  <si>
    <t>RAY0730</t>
  </si>
  <si>
    <t>JV LAND PARCEL</t>
  </si>
  <si>
    <t>RAY0800</t>
  </si>
  <si>
    <t>RAY0801</t>
  </si>
  <si>
    <t>PE COMMITMENT</t>
  </si>
  <si>
    <t>BGI Passive EAFE</t>
  </si>
  <si>
    <t>ASRF19660002</t>
  </si>
  <si>
    <t>RAY0032</t>
  </si>
  <si>
    <t>ARIZONA STATE RETIREMENT SYSTEM</t>
  </si>
  <si>
    <t>FUND ID</t>
  </si>
  <si>
    <t>FUND NAME</t>
  </si>
  <si>
    <t>PERIOD TYPE</t>
  </si>
  <si>
    <t>LEVEL</t>
  </si>
  <si>
    <t>Ending Market Value</t>
  </si>
  <si>
    <t>Return</t>
  </si>
  <si>
    <t>WELLINGTON MANAGEMENT COMPANY LLP</t>
  </si>
  <si>
    <t>TIMESSQUARE CAPITAL MANAGEMENT</t>
  </si>
  <si>
    <t>SHENKMAN CAPITAL MANAGEMENT</t>
  </si>
  <si>
    <t>LSV ASSET MANAGEMENT</t>
  </si>
  <si>
    <t>LONG TERM DISABILITY - CASH</t>
  </si>
  <si>
    <t>INTECH LARGE CAP</t>
  </si>
  <si>
    <t>HANSBERGER GLOBAL INVESTORS LC</t>
  </si>
  <si>
    <t>F2 MODEL</t>
  </si>
  <si>
    <t>E4 MODEL</t>
  </si>
  <si>
    <t>E3 MODEL</t>
  </si>
  <si>
    <t>E2 MODEL</t>
  </si>
  <si>
    <t>DIMENSIONAL FUND ADVISORS INTL SC</t>
  </si>
  <si>
    <t>DIMENSIONAL FUND ADVISORS EQFD</t>
  </si>
  <si>
    <t>CRM MID CAP VALUE</t>
  </si>
  <si>
    <t>CHAMPLAIN INVESTMENT PARTNERS LLC</t>
  </si>
  <si>
    <t>BRIDGEWATER ASSOCIATES GLBL TAA</t>
  </si>
  <si>
    <t>BRANDES INVESTMENT PARTNERS INT EQ</t>
  </si>
  <si>
    <t>BGI-LTD- R ESTATE FD</t>
  </si>
  <si>
    <t>BGI GOVT/CRDTBD INDEX</t>
  </si>
  <si>
    <t>BGI EAFE INDEX</t>
  </si>
  <si>
    <t xml:space="preserve"> </t>
  </si>
  <si>
    <t>S&amp;P/CITIGROUP 500 GROWTH</t>
  </si>
  <si>
    <t>S&amp;P/CITIGROUP 400 GROWTH</t>
  </si>
  <si>
    <t>S&amp;P/CITIGROUP 400 VALUE</t>
  </si>
  <si>
    <t>DFA BLENDED BENCHMARK</t>
  </si>
  <si>
    <t>GTAA CUSTOM BENCHMARK</t>
  </si>
  <si>
    <t>S&amp;P 600 SMALL CAP (DAILY)</t>
  </si>
  <si>
    <t>WILSHIRE RESI (DAILY)</t>
  </si>
  <si>
    <t>High Yield</t>
  </si>
  <si>
    <t>BC HY</t>
  </si>
  <si>
    <t>A1UQ</t>
  </si>
  <si>
    <t>A1UR</t>
  </si>
  <si>
    <t>Barclays HY</t>
  </si>
  <si>
    <t>RUSSELL 3000 (DAILY)</t>
  </si>
  <si>
    <t>S&amp;P 600/CITIGROUP VALUE (DAILY)</t>
  </si>
  <si>
    <t>S&amp;P 600/CITIGROUP GROWTH (DAILY)</t>
  </si>
  <si>
    <t>S&amp;P 500/CITIGROUP VALUE (DAILY)</t>
  </si>
  <si>
    <t>MSCI EAFE GROWTH GROSS (USD)</t>
  </si>
  <si>
    <t>MSCI EAFE VALUE GROSS (USD)</t>
  </si>
  <si>
    <t>TOTAL - Net Mgr</t>
  </si>
  <si>
    <t>PACIFIC INV MGMT CO (PIMCO)</t>
  </si>
  <si>
    <t>1 Month</t>
  </si>
  <si>
    <t>FORUM SECURITIES LTD.</t>
  </si>
  <si>
    <t>A1UX</t>
  </si>
  <si>
    <t>Inflation Linked</t>
  </si>
  <si>
    <t>TIPS</t>
  </si>
  <si>
    <t>Total Inflation Linked</t>
  </si>
  <si>
    <t>LONG TERM DISABILITY PLAN</t>
  </si>
  <si>
    <t>BLACKROCK EAFE SMALL CAP</t>
  </si>
  <si>
    <t>bgi_eafe_sc Rosenberg: SF (SC Active)</t>
  </si>
  <si>
    <t>for yellow cells must change the YTD separately</t>
  </si>
  <si>
    <t>COLUMBIA MANAGEMENT INV. ADVISORS, LLC</t>
  </si>
  <si>
    <t>Columbia: Minneapolis (Active)</t>
  </si>
  <si>
    <t>Blackrock: SF (Passive)</t>
  </si>
  <si>
    <t>Blackrock EAFE: SF(Passive)</t>
  </si>
  <si>
    <t>Blackrock: SF (System Only)</t>
  </si>
  <si>
    <t xml:space="preserve">** Blackrock's Enh. Passive mandate does not include the Government Module for any period after 10/22/08.  </t>
  </si>
  <si>
    <t>A1SW</t>
  </si>
  <si>
    <t>GRESHAM</t>
  </si>
  <si>
    <t>Dow Jones-UBS Commodity Index TR</t>
  </si>
  <si>
    <t>Gresham: New York (Active)</t>
  </si>
  <si>
    <t>Dow Jones UBS</t>
  </si>
  <si>
    <t xml:space="preserve">BLACKROCK EMERGING MARKETS </t>
  </si>
  <si>
    <t>A1SV</t>
  </si>
  <si>
    <t>WILLIAM BLAIR &amp; COMPANY</t>
  </si>
  <si>
    <t>MSCI EM</t>
  </si>
  <si>
    <t>William Blair: Chicago (EM Active)</t>
  </si>
  <si>
    <t>Total EM Equity</t>
  </si>
  <si>
    <t>bgi_EM Rosenberg: SF (SC Active)</t>
  </si>
  <si>
    <t>MSCI Emerging Markets</t>
  </si>
  <si>
    <t>DJ UBS Commodities Index***</t>
  </si>
  <si>
    <t>*** Performance as of 8/31/10; as such Cargill excess return a function of Index returns since 9/30/10, (ie Cargill's inception date)</t>
  </si>
  <si>
    <t>Note: The excess return for any manager with less than 1 year of history will be versus their respective benchmank. Index returns are shown starting with the earliest inception date of among the managers in a sub-asset class</t>
  </si>
  <si>
    <t>diff</t>
  </si>
  <si>
    <t>abs val</t>
  </si>
  <si>
    <t>(need to chg)</t>
  </si>
  <si>
    <t>LSV EMERGING MARKET EQUITY</t>
  </si>
  <si>
    <t>EATON VANCE EMERGING MARKET EQUITY</t>
  </si>
  <si>
    <t>LSV: Chicago (EM Active)</t>
  </si>
  <si>
    <t>Eaton Vance: Boston (EM Active)</t>
  </si>
  <si>
    <t>Blackrock EAFE SC: SF (Passive)</t>
  </si>
  <si>
    <t>Blackrock EM: SF (Passive)</t>
  </si>
  <si>
    <t>BLACKROCK DJ UBS COMM FUND B</t>
  </si>
  <si>
    <t>BLACKROCK MSCI EMERGING MARKETS FUND B</t>
  </si>
  <si>
    <t>BLACKROCK EAFE SMALL CAP FUND B</t>
  </si>
  <si>
    <t>BLACKROCK - EAFE INDEX FUND B</t>
  </si>
  <si>
    <t>BLACKROCK - RUSSELL 2000 FUND B</t>
  </si>
  <si>
    <t>BLACKROCK - RUSSELL 1000 FUND B</t>
  </si>
  <si>
    <t>BLACKROCK - US HIGH YIELD FUND B</t>
  </si>
  <si>
    <t>BLACKROCK - US DEBT FUND B</t>
  </si>
  <si>
    <t>5y</t>
  </si>
  <si>
    <t>partial month</t>
  </si>
  <si>
    <t>Russell 1000</t>
  </si>
  <si>
    <t>Blackrock Russell 2000 Fund B</t>
  </si>
  <si>
    <t>Blackrock Russell 1000 Fund B</t>
  </si>
  <si>
    <t>Blackrock US Debt Fund B</t>
  </si>
  <si>
    <t>Blackrock US High Yield Fund B</t>
  </si>
  <si>
    <t>Blackrock EAFE Index Fund B</t>
  </si>
  <si>
    <t>Blackrock EAFE SC Index Fund B</t>
  </si>
  <si>
    <t>MSCI EAFE SC</t>
  </si>
  <si>
    <t>Blackrock MSCI Emerging Markets Fund B</t>
  </si>
  <si>
    <t>Blackrock DJ UBS Commodities Fund B</t>
  </si>
  <si>
    <t>Blackrock US Real Estate Securities Fund B</t>
  </si>
  <si>
    <t>DJ UBS Commodities Index TR</t>
  </si>
  <si>
    <t>Barclay's Aggregate</t>
  </si>
  <si>
    <t>Barclay's High Yield</t>
  </si>
  <si>
    <t>DJ Wilshire Real Estate</t>
  </si>
  <si>
    <t>R1000</t>
  </si>
  <si>
    <t>Russell 2000</t>
  </si>
  <si>
    <t>BLACKROCK TRANSITION ACCOUNT</t>
  </si>
  <si>
    <t>ABERDEEN ASSET MANAGEMENT</t>
  </si>
  <si>
    <t>WALTER SCOTT &amp; PARTNERS</t>
  </si>
  <si>
    <t>FRANKLIN TEMPLETON INVESTMENTS</t>
  </si>
  <si>
    <t>Franklin Templeton: San Mateo (SC Active)</t>
  </si>
  <si>
    <t>BRANDES CUSTOM INDEX</t>
  </si>
  <si>
    <t>Brandes bench</t>
  </si>
  <si>
    <t>NCREIF-ODCE (NET) LAG 1 QTR</t>
  </si>
  <si>
    <t>A1QA</t>
  </si>
  <si>
    <t>A1QE</t>
  </si>
  <si>
    <t>A1QF</t>
  </si>
  <si>
    <t>A1QG</t>
  </si>
  <si>
    <t>A1QI</t>
  </si>
  <si>
    <t>A1QJ</t>
  </si>
  <si>
    <t>A1QL</t>
  </si>
  <si>
    <t>A1QM</t>
  </si>
  <si>
    <t>A1QN</t>
  </si>
  <si>
    <t>A1QO</t>
  </si>
  <si>
    <t>A1QP</t>
  </si>
  <si>
    <t>A1QR</t>
  </si>
  <si>
    <t>A1QV</t>
  </si>
  <si>
    <t>A1QW</t>
  </si>
  <si>
    <t>A1QX</t>
  </si>
  <si>
    <t>A1SA</t>
  </si>
  <si>
    <t>A1SU</t>
  </si>
  <si>
    <t>A1UG</t>
  </si>
  <si>
    <t>A1UL</t>
  </si>
  <si>
    <t>A1UN</t>
  </si>
  <si>
    <t>A1VE</t>
  </si>
  <si>
    <t>A1VF</t>
  </si>
  <si>
    <t>A1VG</t>
  </si>
  <si>
    <t>A1VM</t>
  </si>
  <si>
    <t>A1VN</t>
  </si>
  <si>
    <t>A1VR</t>
  </si>
  <si>
    <t>A1VU</t>
  </si>
  <si>
    <t>A1VW</t>
  </si>
  <si>
    <t>A1VX</t>
  </si>
  <si>
    <t>A1VY</t>
  </si>
  <si>
    <t>A1WA</t>
  </si>
  <si>
    <t>A1WD</t>
  </si>
  <si>
    <t>A1WE</t>
  </si>
  <si>
    <t>A1WV</t>
  </si>
  <si>
    <t>A1ZV</t>
  </si>
  <si>
    <t>A1ZY</t>
  </si>
  <si>
    <t>AZIDX010</t>
  </si>
  <si>
    <t>AZIDX020</t>
  </si>
  <si>
    <t>AZIDX026</t>
  </si>
  <si>
    <t>AZIDX027</t>
  </si>
  <si>
    <t>AZIDX031</t>
  </si>
  <si>
    <t>MSCEAFVA</t>
  </si>
  <si>
    <t>NCODLAG</t>
  </si>
  <si>
    <t>RU25GD</t>
  </si>
  <si>
    <t>SPTRSGD</t>
  </si>
  <si>
    <t>SPTRSVD</t>
  </si>
  <si>
    <t>SPTRXVD</t>
  </si>
  <si>
    <t>V3G</t>
  </si>
  <si>
    <t>X01D</t>
  </si>
  <si>
    <t>X14DD</t>
  </si>
  <si>
    <t>XDYD</t>
  </si>
  <si>
    <t>XF1D</t>
  </si>
  <si>
    <t>XF2</t>
  </si>
  <si>
    <t>XF3D</t>
  </si>
  <si>
    <t>XF5D</t>
  </si>
  <si>
    <t>XFAD</t>
  </si>
  <si>
    <t>XFCD</t>
  </si>
  <si>
    <t>XSLD</t>
  </si>
  <si>
    <t>Y5P</t>
  </si>
  <si>
    <t>Y7TD</t>
  </si>
  <si>
    <t>Y7ZD</t>
  </si>
  <si>
    <t>YDUD</t>
  </si>
  <si>
    <t>Z51D</t>
  </si>
  <si>
    <t>A1RG</t>
  </si>
  <si>
    <t>WINDHAM</t>
  </si>
  <si>
    <t>AZIDX047</t>
  </si>
  <si>
    <t>WINDHAM CUSTOM INDEX</t>
  </si>
  <si>
    <t>Windham: MA (Active)</t>
  </si>
  <si>
    <t>LSV CUSTOM INDEX</t>
  </si>
  <si>
    <t>Barclays Gov/Credit Int (Daily)</t>
  </si>
  <si>
    <t>Barclays Aggregate (Daily)</t>
  </si>
  <si>
    <t>Barclays Aggregate Intermediate</t>
  </si>
  <si>
    <t>Barclays Corp High Yield (Daily)</t>
  </si>
  <si>
    <t>91 DAY TREASURY BILL (DAILY)</t>
  </si>
  <si>
    <t>Min Vol</t>
  </si>
  <si>
    <t>A1RV</t>
  </si>
  <si>
    <t>E7</t>
  </si>
  <si>
    <t>A1RW</t>
  </si>
  <si>
    <t>E8</t>
  </si>
  <si>
    <t>MSZQG</t>
  </si>
  <si>
    <t>MSCI USA Minimum Volatility Index</t>
  </si>
  <si>
    <t>MSZRGUS</t>
  </si>
  <si>
    <t>MSCI USA High Dividend Yield Index</t>
  </si>
  <si>
    <t>Div Yld</t>
  </si>
  <si>
    <t>ASRS E7: PHX (Passive)</t>
  </si>
  <si>
    <t>ASRS E8: PHX (Passive)</t>
  </si>
  <si>
    <t>ASRS_E7: FL (Active)</t>
  </si>
  <si>
    <t>ASRS_E8: CHI (Active)</t>
  </si>
  <si>
    <t>MSCI USA High Div Yld Index</t>
  </si>
  <si>
    <t>MSCI USA Min Vol Index</t>
  </si>
  <si>
    <t>QSI - EAFE</t>
  </si>
  <si>
    <t>QSI GLOBAL GTAA</t>
  </si>
  <si>
    <t>A1P1</t>
  </si>
  <si>
    <t>BLACKROCK-LTD-EM BD INDX FD B</t>
  </si>
  <si>
    <t>A1P4</t>
  </si>
  <si>
    <t>PIMCO EMERGING MARKET DEBT LC</t>
  </si>
  <si>
    <t>A1P5</t>
  </si>
  <si>
    <t>A1P6</t>
  </si>
  <si>
    <t>ASHMORE EMERGING MKT DBT BLEND</t>
  </si>
  <si>
    <t>Blackrock Emerging Market Debt Fund B</t>
  </si>
  <si>
    <t>EMD</t>
  </si>
  <si>
    <t>PIMCO LC: Newport Beach (Active)</t>
  </si>
  <si>
    <t xml:space="preserve">Ashmore Blended: London (Active) </t>
  </si>
  <si>
    <t>AZIDX052</t>
  </si>
  <si>
    <t>EMERGING MARKETS BLENDED INDEX</t>
  </si>
  <si>
    <t>EMD LC</t>
  </si>
  <si>
    <t>EMD blend</t>
  </si>
  <si>
    <t>JP Morgan GBI EM Global Diversified</t>
  </si>
  <si>
    <t>EM Blended</t>
  </si>
  <si>
    <t>JPM GBI-EM Global Diversified Index</t>
  </si>
  <si>
    <t>JP07TUS</t>
  </si>
  <si>
    <t>A1PN</t>
  </si>
  <si>
    <t>A1PO</t>
  </si>
  <si>
    <t>AQR CAPITAL</t>
  </si>
  <si>
    <t>AXA ROSENBERG INVESTMENT MANAGEMENT SC</t>
  </si>
  <si>
    <t>ASRS Risk Factor</t>
  </si>
  <si>
    <t>AQR Capital</t>
  </si>
  <si>
    <t>EQ- International Dev SC</t>
  </si>
  <si>
    <t>BM= 41% S&amp;P 500, 9% S&amp;P 400, 9% S&amp;P 600, 25% MSCI EAFE, 5% MSCI EAFE Small Cap, 11% MSCI Emerging Markets</t>
  </si>
  <si>
    <t>Columbia Mgmt</t>
  </si>
  <si>
    <t>Shenkman Capital</t>
  </si>
  <si>
    <t>Ashmore EMD Blend</t>
  </si>
  <si>
    <t>Cargill</t>
  </si>
  <si>
    <t>Gresham</t>
  </si>
  <si>
    <t>Windham GTAA</t>
  </si>
  <si>
    <t>LTD- BR US Debt</t>
  </si>
  <si>
    <t>LTD-BR HY Fund B</t>
  </si>
  <si>
    <t>LTD-BR RUSSELL 1000</t>
  </si>
  <si>
    <t>LTD-BR RUSSELL 2000</t>
  </si>
  <si>
    <t>LTD-BR EAFE</t>
  </si>
  <si>
    <t>LTD-BR EAFE SC</t>
  </si>
  <si>
    <t>LTD-BR MSCI EM</t>
  </si>
  <si>
    <t>LTD-BR R ESTATE</t>
  </si>
  <si>
    <t>LTD-BR DJ UBS COMM</t>
  </si>
  <si>
    <t>LTD-BR EMD</t>
  </si>
  <si>
    <t>Risk Factor Portfolio</t>
  </si>
  <si>
    <t>Total Equity</t>
  </si>
  <si>
    <t>Blackrock EAFA SC</t>
  </si>
  <si>
    <t>Aberdeen</t>
  </si>
  <si>
    <t xml:space="preserve">WALTER SCOTT </t>
  </si>
  <si>
    <t>Franklin Templeton</t>
  </si>
  <si>
    <t>Blackrock EM</t>
  </si>
  <si>
    <t>William Blair</t>
  </si>
  <si>
    <t>LSV EM EQ</t>
  </si>
  <si>
    <t>Eaton Vance</t>
  </si>
  <si>
    <t>PIMCO FI CORE</t>
  </si>
  <si>
    <t>PIMCO EMD</t>
  </si>
  <si>
    <t>Ashmore EMD LC</t>
  </si>
  <si>
    <t>ASRS E7</t>
  </si>
  <si>
    <t>ASRS E8</t>
  </si>
  <si>
    <t>JP MORGAN HIGH YIELD</t>
  </si>
  <si>
    <t>HANSBERGER CUSTOM INDEX</t>
  </si>
  <si>
    <t>JPM High Yield</t>
  </si>
  <si>
    <t>A1R5</t>
  </si>
  <si>
    <t>JP Morgan High:  New York (Active)</t>
  </si>
  <si>
    <t>RISK FACTOR PORTFOLIO</t>
  </si>
  <si>
    <t>Calc</t>
  </si>
  <si>
    <t>N/A</t>
  </si>
  <si>
    <t>3 Mths</t>
  </si>
  <si>
    <t xml:space="preserve"> RUSSELL 1000 (DAILY)</t>
  </si>
  <si>
    <t xml:space="preserve"> RUSSELL 2500 (DAILY)</t>
  </si>
  <si>
    <t xml:space="preserve"> FTSE EPRA/NAREIT Developed TR</t>
  </si>
  <si>
    <t>S&amp;P400MIDCAPINDEX(DAILY)</t>
  </si>
  <si>
    <t>MSCI ACWI EX US NET (BLENDED)</t>
  </si>
  <si>
    <t>MSCI EAFE NET (BLENDED)</t>
  </si>
  <si>
    <t>MSCI EAFE SMALL CAP NET (BLENDED)</t>
  </si>
  <si>
    <t>MSCI WORLD NET (BLENDED)</t>
  </si>
  <si>
    <t>MSCI EMF NET (BLENDED)</t>
  </si>
  <si>
    <t>Barclays Global Inflation Linked: US TIP</t>
  </si>
  <si>
    <r>
      <t>EAFE SC</t>
    </r>
    <r>
      <rPr>
        <b/>
        <vertAlign val="superscript"/>
        <sz val="10"/>
        <rFont val="Arial"/>
        <family val="2"/>
      </rPr>
      <t>1</t>
    </r>
  </si>
  <si>
    <r>
      <t>EAFE</t>
    </r>
    <r>
      <rPr>
        <b/>
        <vertAlign val="superscript"/>
        <sz val="10"/>
        <rFont val="Arial"/>
        <family val="2"/>
      </rPr>
      <t>1</t>
    </r>
  </si>
  <si>
    <r>
      <t>EAFE V</t>
    </r>
    <r>
      <rPr>
        <b/>
        <vertAlign val="superscript"/>
        <sz val="10"/>
        <rFont val="Arial"/>
        <family val="2"/>
      </rPr>
      <t>1</t>
    </r>
  </si>
  <si>
    <r>
      <t>GTAA</t>
    </r>
    <r>
      <rPr>
        <b/>
        <vertAlign val="superscript"/>
        <sz val="10"/>
        <rFont val="Arial"/>
        <family val="2"/>
      </rPr>
      <t>1</t>
    </r>
  </si>
  <si>
    <r>
      <t>MSCI EM</t>
    </r>
    <r>
      <rPr>
        <b/>
        <vertAlign val="superscript"/>
        <sz val="10"/>
        <rFont val="Arial"/>
        <family val="2"/>
      </rPr>
      <t>1</t>
    </r>
  </si>
  <si>
    <r>
      <t>Brandes bench</t>
    </r>
    <r>
      <rPr>
        <b/>
        <vertAlign val="superscript"/>
        <sz val="10"/>
        <rFont val="Arial"/>
        <family val="2"/>
      </rPr>
      <t>1</t>
    </r>
  </si>
  <si>
    <r>
      <t>Hansberger bench</t>
    </r>
    <r>
      <rPr>
        <b/>
        <vertAlign val="superscript"/>
        <sz val="10"/>
        <rFont val="Arial"/>
        <family val="2"/>
      </rPr>
      <t>1</t>
    </r>
  </si>
  <si>
    <r>
      <t>Windham bench</t>
    </r>
    <r>
      <rPr>
        <b/>
        <vertAlign val="superscript"/>
        <sz val="10"/>
        <rFont val="Arial"/>
        <family val="2"/>
      </rPr>
      <t>1</t>
    </r>
  </si>
  <si>
    <t xml:space="preserve">     </t>
  </si>
  <si>
    <t xml:space="preserve"> RUSSELL 2500 GROWTH (DAILY)</t>
  </si>
  <si>
    <t>S&amp;P 500 INDEX (DAILY)</t>
  </si>
  <si>
    <t xml:space="preserve"> RUSSELL 2000 GROWTH DAILY</t>
  </si>
  <si>
    <t xml:space="preserve"> RUSSELL 2000 VALUE DAILY</t>
  </si>
  <si>
    <t>ASHMORE EMERGING MARKT DEBT LC</t>
  </si>
  <si>
    <t>BGI GLOBAL EXUS</t>
  </si>
  <si>
    <t>BGI US DEBT FD</t>
  </si>
  <si>
    <t>BGI-DOM CORE EQUITY</t>
  </si>
  <si>
    <t>BGI-LTD-EQ ALPHA TLT</t>
  </si>
  <si>
    <t>BGI-LTD-FXD CORE ACT</t>
  </si>
  <si>
    <t>BGI-LTD-INTL ALPHA T</t>
  </si>
  <si>
    <t>BLACKROCK CORE</t>
  </si>
  <si>
    <t>BLACKROCK CORE PLUS</t>
  </si>
  <si>
    <t>BLACKROCK TIPS</t>
  </si>
  <si>
    <t>CARGILL</t>
  </si>
  <si>
    <t>COLUMBIA SMALL CAP</t>
  </si>
  <si>
    <t>COPPER ROCK CAPITAL PARTNERS</t>
  </si>
  <si>
    <t>E1 MODEL</t>
  </si>
  <si>
    <t>IRONBRIDGE CAPITAL MANAGEMENT LP</t>
  </si>
  <si>
    <t>PYRAMIS GLOBAL</t>
  </si>
  <si>
    <t>QSI - BARCLAYS AGG</t>
  </si>
  <si>
    <t>QSI - OVERLAY</t>
  </si>
  <si>
    <t>QSI - S&amp;P500</t>
  </si>
  <si>
    <t>SEGALL BRYANT FIXED INCOME CORE</t>
  </si>
  <si>
    <t>SSGA-S&amp;P MID CAP FD</t>
  </si>
  <si>
    <t>BGI US Debt Fund</t>
  </si>
  <si>
    <t xml:space="preserve">AMERICAN CENTURY </t>
  </si>
  <si>
    <t>TRINITY STREET</t>
  </si>
  <si>
    <t>THOMSON, SIEGEL &amp; WALMSLEY</t>
  </si>
  <si>
    <t>Date Range: June 30, 2014 - July 31, 2014</t>
  </si>
  <si>
    <t>Trinity Street</t>
  </si>
  <si>
    <t xml:space="preserve">EQ- International Dev </t>
  </si>
  <si>
    <t>EQ- International Dev</t>
  </si>
  <si>
    <t>Trinity Street (LC Active)</t>
  </si>
  <si>
    <t>American Century (LC Active)</t>
  </si>
  <si>
    <t>Thompson, Siegel, and Walmsley (LC Active)</t>
  </si>
  <si>
    <t>Date Range: July 31, 2014 - August 31, 2014</t>
  </si>
</sst>
</file>

<file path=xl/styles.xml><?xml version="1.0" encoding="utf-8"?>
<styleSheet xmlns="http://schemas.openxmlformats.org/spreadsheetml/2006/main" xmlns:mc="http://schemas.openxmlformats.org/markup-compatibility/2006" xmlns:x14ac="http://schemas.microsoft.com/office/spreadsheetml/2009/9/ac" mc:Ignorable="x14ac">
  <numFmts count="53">
    <numFmt numFmtId="8" formatCode="&quot;$&quot;#,##0.00_);[Red]\(&quot;$&quot;#,##0.00\)"/>
    <numFmt numFmtId="44" formatCode="_(&quot;$&quot;* #,##0.00_);_(&quot;$&quot;* \(#,##0.00\);_(&quot;$&quot;* &quot;-&quot;??_);_(@_)"/>
    <numFmt numFmtId="43" formatCode="_(* #,##0.00_);_(* \(#,##0.00\);_(* &quot;-&quot;??_);_(@_)"/>
    <numFmt numFmtId="164" formatCode="#,##0.0;\-#,##0.0"/>
    <numFmt numFmtId="165" formatCode="#,##0.000;\-#,##0.000"/>
    <numFmt numFmtId="166" formatCode="#,##0.0000;\-#,##0.0000"/>
    <numFmt numFmtId="167" formatCode="#,##0.00000;\-#,##0.00000"/>
    <numFmt numFmtId="168" formatCode="#,##0.000000;\-#,##0.000000"/>
    <numFmt numFmtId="169" formatCode="#,##0.0000000;\-#,##0.0000000"/>
    <numFmt numFmtId="170" formatCode="#,##0.00000000;\-#,##0.00000000"/>
    <numFmt numFmtId="171" formatCode="#,##0.000000000;\-#,##0.000000000"/>
    <numFmt numFmtId="172" formatCode="#,##0.0000000000;\-#,##0.0000000000"/>
    <numFmt numFmtId="173" formatCode="_(* #,##0_);_(* \(#,##0\);_(* &quot;-&quot;??_);_(@_)"/>
    <numFmt numFmtId="174" formatCode="_(* #,##0.000_);_(* \(#,##0.000\);_(* &quot;-&quot;??_);_(@_)"/>
    <numFmt numFmtId="175" formatCode="mm/dd/yy;@"/>
    <numFmt numFmtId="176" formatCode="0.00000"/>
    <numFmt numFmtId="177" formatCode="0.000%"/>
    <numFmt numFmtId="178" formatCode="0.0000%"/>
    <numFmt numFmtId="179" formatCode="#,##0.0"/>
    <numFmt numFmtId="180" formatCode="[$-409]mmmm\ d\,\ yyyy;@"/>
    <numFmt numFmtId="181" formatCode="0.0000"/>
    <numFmt numFmtId="182" formatCode="0.000"/>
    <numFmt numFmtId="183" formatCode="mmm"/>
    <numFmt numFmtId="184" formatCode="0.0"/>
    <numFmt numFmtId="185" formatCode="0.0000000000%"/>
    <numFmt numFmtId="186" formatCode="0.000000000000%"/>
    <numFmt numFmtId="187" formatCode="#,##0.000"/>
    <numFmt numFmtId="188" formatCode="#,##0.00;\-#,##0.00"/>
    <numFmt numFmtId="189" formatCode="#,##0.0000"/>
    <numFmt numFmtId="190" formatCode="m/d/yy;@"/>
    <numFmt numFmtId="191" formatCode="0.00000000"/>
    <numFmt numFmtId="192" formatCode="#,##0.00000"/>
    <numFmt numFmtId="193" formatCode="#,##0.0000000"/>
    <numFmt numFmtId="194" formatCode="0.00_);[Red]\(0.00\)"/>
    <numFmt numFmtId="195" formatCode="0.00;[Red]\-0.00"/>
    <numFmt numFmtId="196" formatCode="0_);[Red]\(0\)"/>
    <numFmt numFmtId="197" formatCode="_(* #,##0.0000_);_(* \(#,##0.0000\);_(* &quot;-&quot;??_);_(@_)"/>
    <numFmt numFmtId="198" formatCode="_(* #,##0.0_);_(* \(#,##0.0\);_(* &quot;-&quot;??_);_(@_)"/>
    <numFmt numFmtId="199" formatCode="0.0%"/>
    <numFmt numFmtId="200" formatCode="_(&quot;$&quot;* #,##0.0_);_(&quot;$&quot;* \(#,##0.0\);_(&quot;$&quot;* &quot;-&quot;??_);_(@_)"/>
    <numFmt numFmtId="201" formatCode="0.000000"/>
    <numFmt numFmtId="202" formatCode="[$-409]m/d/yy\ h:mm\ AM/PM;@"/>
    <numFmt numFmtId="203" formatCode="#,##0;\-#,##0"/>
    <numFmt numFmtId="204" formatCode="0.0;[Red]\-0.0"/>
    <numFmt numFmtId="205" formatCode="&quot;$&quot;#,##0"/>
    <numFmt numFmtId="206" formatCode="#,##0.000000000000000"/>
    <numFmt numFmtId="207" formatCode="&quot;$&quot;#,##0.00"/>
    <numFmt numFmtId="208" formatCode="#,##0.00%;[Red]\(#,##0.00%\)"/>
    <numFmt numFmtId="209" formatCode="mmmm\ dd\,\ yyyy"/>
    <numFmt numFmtId="210" formatCode="###,###,###,###"/>
    <numFmt numFmtId="211" formatCode="###,###,###,###.00"/>
    <numFmt numFmtId="212" formatCode="#,##0.0000_);\(#,##0.0000\)"/>
    <numFmt numFmtId="213" formatCode="###,###,###,###.000"/>
  </numFmts>
  <fonts count="49" x14ac:knownFonts="1">
    <font>
      <sz val="10"/>
      <name val="Arial"/>
    </font>
    <font>
      <sz val="10"/>
      <name val="Arial"/>
      <family val="2"/>
    </font>
    <font>
      <b/>
      <sz val="10"/>
      <name val="Arial"/>
      <family val="2"/>
    </font>
    <font>
      <sz val="8"/>
      <name val="Arial"/>
      <family val="2"/>
    </font>
    <font>
      <sz val="10"/>
      <name val="Arial"/>
      <family val="2"/>
    </font>
    <font>
      <sz val="10"/>
      <color indexed="8"/>
      <name val="Arial"/>
      <family val="2"/>
    </font>
    <font>
      <b/>
      <sz val="10"/>
      <color indexed="8"/>
      <name val="Arial"/>
      <family val="2"/>
    </font>
    <font>
      <sz val="10"/>
      <color indexed="8"/>
      <name val="Arial"/>
      <family val="2"/>
    </font>
    <font>
      <b/>
      <sz val="10"/>
      <color indexed="10"/>
      <name val="Arial"/>
      <family val="2"/>
    </font>
    <font>
      <sz val="10"/>
      <color indexed="10"/>
      <name val="Arial"/>
      <family val="2"/>
    </font>
    <font>
      <b/>
      <sz val="14"/>
      <name val="Arial"/>
      <family val="2"/>
    </font>
    <font>
      <sz val="10"/>
      <name val="Symbol"/>
      <family val="1"/>
      <charset val="2"/>
    </font>
    <font>
      <b/>
      <sz val="16"/>
      <name val="Arial"/>
      <family val="2"/>
    </font>
    <font>
      <b/>
      <sz val="12"/>
      <color indexed="12"/>
      <name val="Arial"/>
      <family val="2"/>
    </font>
    <font>
      <b/>
      <sz val="10"/>
      <color indexed="16"/>
      <name val="Arial"/>
      <family val="2"/>
    </font>
    <font>
      <b/>
      <sz val="14"/>
      <color indexed="8"/>
      <name val="Arial"/>
      <family val="2"/>
    </font>
    <font>
      <b/>
      <sz val="12"/>
      <color indexed="8"/>
      <name val="Arial"/>
      <family val="2"/>
    </font>
    <font>
      <sz val="8"/>
      <color indexed="8"/>
      <name val="Arial"/>
      <family val="2"/>
    </font>
    <font>
      <sz val="7"/>
      <color indexed="8"/>
      <name val="Symbol"/>
      <family val="1"/>
      <charset val="2"/>
    </font>
    <font>
      <sz val="10"/>
      <color indexed="10"/>
      <name val="Arial"/>
      <family val="2"/>
    </font>
    <font>
      <sz val="10"/>
      <color indexed="9"/>
      <name val="Arial"/>
      <family val="2"/>
    </font>
    <font>
      <b/>
      <sz val="10"/>
      <color indexed="9"/>
      <name val="Arial"/>
      <family val="2"/>
    </font>
    <font>
      <sz val="9"/>
      <name val="Symbol"/>
      <family val="1"/>
      <charset val="2"/>
    </font>
    <font>
      <sz val="9"/>
      <name val="Arial"/>
      <family val="2"/>
    </font>
    <font>
      <sz val="10"/>
      <color indexed="23"/>
      <name val="Arial"/>
      <family val="2"/>
    </font>
    <font>
      <b/>
      <sz val="10"/>
      <color indexed="12"/>
      <name val="Arial"/>
      <family val="2"/>
    </font>
    <font>
      <b/>
      <sz val="12"/>
      <name val="Arial"/>
      <family val="2"/>
    </font>
    <font>
      <b/>
      <sz val="11"/>
      <color indexed="8"/>
      <name val="Arial"/>
      <family val="2"/>
    </font>
    <font>
      <b/>
      <u/>
      <sz val="10"/>
      <color indexed="8"/>
      <name val="Arial"/>
      <family val="2"/>
    </font>
    <font>
      <b/>
      <sz val="12"/>
      <color indexed="10"/>
      <name val="Arial"/>
      <family val="2"/>
    </font>
    <font>
      <sz val="10"/>
      <color indexed="55"/>
      <name val="Arial"/>
      <family val="2"/>
    </font>
    <font>
      <sz val="10"/>
      <color indexed="22"/>
      <name val="Arial"/>
      <family val="2"/>
    </font>
    <font>
      <b/>
      <sz val="10"/>
      <color indexed="22"/>
      <name val="Arial"/>
      <family val="2"/>
    </font>
    <font>
      <sz val="9"/>
      <color indexed="8"/>
      <name val="Arial"/>
      <family val="2"/>
    </font>
    <font>
      <b/>
      <sz val="11"/>
      <name val="Arial"/>
      <family val="2"/>
    </font>
    <font>
      <sz val="10"/>
      <color indexed="9"/>
      <name val="Arial"/>
      <family val="2"/>
    </font>
    <font>
      <b/>
      <u/>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color indexed="10"/>
      <name val="Arial"/>
      <family val="2"/>
    </font>
    <font>
      <b/>
      <sz val="10"/>
      <color indexed="10"/>
      <name val="Arial"/>
      <family val="2"/>
    </font>
    <font>
      <sz val="11"/>
      <color theme="1"/>
      <name val="Calibri"/>
      <family val="2"/>
      <scheme val="minor"/>
    </font>
    <font>
      <sz val="14"/>
      <color rgb="FF800000"/>
      <name val="Arial"/>
      <family val="2"/>
    </font>
    <font>
      <sz val="14"/>
      <color rgb="FF008000"/>
      <name val="Arial"/>
      <family val="2"/>
    </font>
    <font>
      <sz val="8"/>
      <color rgb="FF000000"/>
      <name val="Tahoma"/>
      <family val="2"/>
    </font>
    <font>
      <b/>
      <vertAlign val="superscript"/>
      <sz val="10"/>
      <name val="Arial"/>
      <family val="2"/>
    </font>
  </fonts>
  <fills count="18">
    <fill>
      <patternFill patternType="none"/>
    </fill>
    <fill>
      <patternFill patternType="gray125"/>
    </fill>
    <fill>
      <patternFill patternType="solid">
        <fgColor indexed="47"/>
        <bgColor indexed="64"/>
      </patternFill>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indexed="63"/>
        <bgColor indexed="64"/>
      </patternFill>
    </fill>
    <fill>
      <patternFill patternType="solid">
        <fgColor indexed="55"/>
        <bgColor indexed="64"/>
      </patternFill>
    </fill>
    <fill>
      <patternFill patternType="solid">
        <fgColor indexed="53"/>
        <bgColor indexed="64"/>
      </patternFill>
    </fill>
    <fill>
      <patternFill patternType="solid">
        <fgColor indexed="52"/>
        <bgColor indexed="64"/>
      </patternFill>
    </fill>
    <fill>
      <patternFill patternType="solid">
        <fgColor indexed="41"/>
        <bgColor indexed="64"/>
      </patternFill>
    </fill>
    <fill>
      <patternFill patternType="solid">
        <fgColor indexed="10"/>
        <bgColor indexed="64"/>
      </patternFill>
    </fill>
    <fill>
      <patternFill patternType="solid">
        <fgColor indexed="18"/>
        <bgColor indexed="64"/>
      </patternFill>
    </fill>
    <fill>
      <patternFill patternType="solid">
        <fgColor indexed="13"/>
        <bgColor indexed="64"/>
      </patternFill>
    </fill>
    <fill>
      <patternFill patternType="solid">
        <fgColor indexed="44"/>
        <bgColor indexed="64"/>
      </patternFill>
    </fill>
    <fill>
      <patternFill patternType="solid">
        <fgColor indexed="31"/>
        <bgColor indexed="64"/>
      </patternFill>
    </fill>
    <fill>
      <patternFill patternType="solid">
        <fgColor indexed="42"/>
        <bgColor indexed="64"/>
      </patternFill>
    </fill>
    <fill>
      <patternFill patternType="solid">
        <fgColor rgb="FFFFFF00"/>
        <bgColor indexed="64"/>
      </patternFill>
    </fill>
  </fills>
  <borders count="42">
    <border>
      <left/>
      <right/>
      <top/>
      <bottom/>
      <diagonal/>
    </border>
    <border>
      <left style="medium">
        <color indexed="64"/>
      </left>
      <right/>
      <top/>
      <bottom/>
      <diagonal/>
    </border>
    <border>
      <left/>
      <right style="medium">
        <color indexed="64"/>
      </right>
      <top/>
      <bottom/>
      <diagonal/>
    </border>
    <border>
      <left/>
      <right/>
      <top style="thin">
        <color indexed="64"/>
      </top>
      <bottom style="thin">
        <color indexed="64"/>
      </bottom>
      <diagonal/>
    </border>
    <border>
      <left/>
      <right/>
      <top/>
      <bottom style="medium">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top/>
      <bottom/>
      <diagonal/>
    </border>
    <border>
      <left/>
      <right/>
      <top/>
      <bottom style="thin">
        <color indexed="23"/>
      </bottom>
      <diagonal/>
    </border>
    <border>
      <left style="medium">
        <color indexed="64"/>
      </left>
      <right style="thin">
        <color indexed="64"/>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medium">
        <color indexed="64"/>
      </left>
      <right style="medium">
        <color indexed="64"/>
      </right>
      <top/>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right style="thin">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style="medium">
        <color indexed="64"/>
      </right>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s>
  <cellStyleXfs count="624">
    <xf numFmtId="0" fontId="0" fillId="0" borderId="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4" fontId="1"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4" fillId="0" borderId="0"/>
    <xf numFmtId="0" fontId="4" fillId="0" borderId="0"/>
    <xf numFmtId="0" fontId="4" fillId="0" borderId="0"/>
    <xf numFmtId="0" fontId="41" fillId="0" borderId="0"/>
    <xf numFmtId="0" fontId="4" fillId="0" borderId="0"/>
    <xf numFmtId="0" fontId="4" fillId="0" borderId="0"/>
    <xf numFmtId="0" fontId="4" fillId="0" borderId="0"/>
    <xf numFmtId="0" fontId="44" fillId="0" borderId="0"/>
    <xf numFmtId="0" fontId="4" fillId="0" borderId="0"/>
    <xf numFmtId="37" fontId="1" fillId="0" borderId="0"/>
    <xf numFmtId="203" fontId="44" fillId="0" borderId="0"/>
    <xf numFmtId="203" fontId="44" fillId="0" borderId="0"/>
    <xf numFmtId="203" fontId="44" fillId="0" borderId="0"/>
    <xf numFmtId="203" fontId="44" fillId="0" borderId="0"/>
    <xf numFmtId="203" fontId="44" fillId="0" borderId="0"/>
    <xf numFmtId="203" fontId="44" fillId="0" borderId="0"/>
    <xf numFmtId="203" fontId="44" fillId="0" borderId="0"/>
    <xf numFmtId="203" fontId="44" fillId="0" borderId="0"/>
    <xf numFmtId="203" fontId="44" fillId="0" borderId="0"/>
    <xf numFmtId="203" fontId="44" fillId="0" borderId="0"/>
    <xf numFmtId="203" fontId="44" fillId="0" borderId="0"/>
    <xf numFmtId="203" fontId="44" fillId="0" borderId="0"/>
    <xf numFmtId="37" fontId="4" fillId="0" borderId="0"/>
    <xf numFmtId="203" fontId="44" fillId="0" borderId="0"/>
    <xf numFmtId="203" fontId="44" fillId="0" borderId="0"/>
    <xf numFmtId="203" fontId="44" fillId="0" borderId="0"/>
    <xf numFmtId="203" fontId="44" fillId="0" borderId="0"/>
    <xf numFmtId="37" fontId="4" fillId="0" borderId="0"/>
    <xf numFmtId="37" fontId="4" fillId="0" borderId="0"/>
    <xf numFmtId="37" fontId="4" fillId="0" borderId="0"/>
    <xf numFmtId="203" fontId="39" fillId="0" borderId="0"/>
    <xf numFmtId="203" fontId="4" fillId="0" borderId="0"/>
    <xf numFmtId="203" fontId="4" fillId="0" borderId="0"/>
    <xf numFmtId="203" fontId="4" fillId="0" borderId="0"/>
    <xf numFmtId="203" fontId="4" fillId="0" borderId="0"/>
    <xf numFmtId="203" fontId="4" fillId="0" borderId="0"/>
    <xf numFmtId="203" fontId="44" fillId="0" borderId="0"/>
    <xf numFmtId="203" fontId="44" fillId="0" borderId="0"/>
    <xf numFmtId="203" fontId="44" fillId="0" borderId="0"/>
    <xf numFmtId="203" fontId="44" fillId="0" borderId="0"/>
    <xf numFmtId="203" fontId="39" fillId="0" borderId="0"/>
    <xf numFmtId="203" fontId="4" fillId="0" borderId="0"/>
    <xf numFmtId="203" fontId="4" fillId="0" borderId="0"/>
    <xf numFmtId="203" fontId="4" fillId="0" borderId="0"/>
    <xf numFmtId="203" fontId="4" fillId="0" borderId="0"/>
    <xf numFmtId="203" fontId="4" fillId="0" borderId="0"/>
    <xf numFmtId="203" fontId="44" fillId="0" borderId="0"/>
    <xf numFmtId="203" fontId="44" fillId="0" borderId="0"/>
    <xf numFmtId="203" fontId="44" fillId="0" borderId="0"/>
    <xf numFmtId="203" fontId="44" fillId="0" borderId="0"/>
    <xf numFmtId="203" fontId="44" fillId="0" borderId="0"/>
    <xf numFmtId="203" fontId="44" fillId="0" borderId="0"/>
    <xf numFmtId="203" fontId="44" fillId="0" borderId="0"/>
    <xf numFmtId="203" fontId="44" fillId="0" borderId="0"/>
    <xf numFmtId="203" fontId="44" fillId="0" borderId="0"/>
    <xf numFmtId="203" fontId="44" fillId="0" borderId="0"/>
    <xf numFmtId="203" fontId="44" fillId="0" borderId="0"/>
    <xf numFmtId="203" fontId="44" fillId="0" borderId="0"/>
    <xf numFmtId="172" fontId="1" fillId="0" borderId="0"/>
    <xf numFmtId="172" fontId="44" fillId="0" borderId="0"/>
    <xf numFmtId="172" fontId="44" fillId="0" borderId="0"/>
    <xf numFmtId="172" fontId="44" fillId="0" borderId="0"/>
    <xf numFmtId="172" fontId="44" fillId="0" borderId="0"/>
    <xf numFmtId="172" fontId="44" fillId="0" borderId="0"/>
    <xf numFmtId="172" fontId="44" fillId="0" borderId="0"/>
    <xf numFmtId="172" fontId="44" fillId="0" borderId="0"/>
    <xf numFmtId="172" fontId="44" fillId="0" borderId="0"/>
    <xf numFmtId="172" fontId="44" fillId="0" borderId="0"/>
    <xf numFmtId="172" fontId="44" fillId="0" borderId="0"/>
    <xf numFmtId="172" fontId="44" fillId="0" borderId="0"/>
    <xf numFmtId="172" fontId="44" fillId="0" borderId="0"/>
    <xf numFmtId="172" fontId="4" fillId="0" borderId="0"/>
    <xf numFmtId="172" fontId="44" fillId="0" borderId="0"/>
    <xf numFmtId="172" fontId="44" fillId="0" borderId="0"/>
    <xf numFmtId="172" fontId="44" fillId="0" borderId="0"/>
    <xf numFmtId="172" fontId="44" fillId="0" borderId="0"/>
    <xf numFmtId="172" fontId="4" fillId="0" borderId="0"/>
    <xf numFmtId="172" fontId="4" fillId="0" borderId="0"/>
    <xf numFmtId="172" fontId="4" fillId="0" borderId="0"/>
    <xf numFmtId="172" fontId="39" fillId="0" borderId="0"/>
    <xf numFmtId="172" fontId="4" fillId="0" borderId="0"/>
    <xf numFmtId="172" fontId="4" fillId="0" borderId="0"/>
    <xf numFmtId="172" fontId="4" fillId="0" borderId="0"/>
    <xf numFmtId="172" fontId="4" fillId="0" borderId="0"/>
    <xf numFmtId="172" fontId="4" fillId="0" borderId="0"/>
    <xf numFmtId="172" fontId="44" fillId="0" borderId="0"/>
    <xf numFmtId="172" fontId="44" fillId="0" borderId="0"/>
    <xf numFmtId="172" fontId="44" fillId="0" borderId="0"/>
    <xf numFmtId="172" fontId="44" fillId="0" borderId="0"/>
    <xf numFmtId="172" fontId="39" fillId="0" borderId="0"/>
    <xf numFmtId="172" fontId="4" fillId="0" borderId="0"/>
    <xf numFmtId="172" fontId="4" fillId="0" borderId="0"/>
    <xf numFmtId="172" fontId="4" fillId="0" borderId="0"/>
    <xf numFmtId="172" fontId="4" fillId="0" borderId="0"/>
    <xf numFmtId="172" fontId="4" fillId="0" borderId="0"/>
    <xf numFmtId="172" fontId="44" fillId="0" borderId="0"/>
    <xf numFmtId="172" fontId="44" fillId="0" borderId="0"/>
    <xf numFmtId="172" fontId="44" fillId="0" borderId="0"/>
    <xf numFmtId="172" fontId="44" fillId="0" borderId="0"/>
    <xf numFmtId="172" fontId="44" fillId="0" borderId="0"/>
    <xf numFmtId="172" fontId="44" fillId="0" borderId="0"/>
    <xf numFmtId="172" fontId="44" fillId="0" borderId="0"/>
    <xf numFmtId="172" fontId="44" fillId="0" borderId="0"/>
    <xf numFmtId="172" fontId="44" fillId="0" borderId="0"/>
    <xf numFmtId="172" fontId="44" fillId="0" borderId="0"/>
    <xf numFmtId="172" fontId="44" fillId="0" borderId="0"/>
    <xf numFmtId="172" fontId="44" fillId="0" borderId="0"/>
    <xf numFmtId="164" fontId="1" fillId="0" borderId="0"/>
    <xf numFmtId="164" fontId="44" fillId="0" borderId="0"/>
    <xf numFmtId="164" fontId="44" fillId="0" borderId="0"/>
    <xf numFmtId="164" fontId="44" fillId="0" borderId="0"/>
    <xf numFmtId="164" fontId="44" fillId="0" borderId="0"/>
    <xf numFmtId="164" fontId="44" fillId="0" borderId="0"/>
    <xf numFmtId="164" fontId="44" fillId="0" borderId="0"/>
    <xf numFmtId="164" fontId="44" fillId="0" borderId="0"/>
    <xf numFmtId="164" fontId="44" fillId="0" borderId="0"/>
    <xf numFmtId="164" fontId="44" fillId="0" borderId="0"/>
    <xf numFmtId="164" fontId="44" fillId="0" borderId="0"/>
    <xf numFmtId="164" fontId="44" fillId="0" borderId="0"/>
    <xf numFmtId="164" fontId="44" fillId="0" borderId="0"/>
    <xf numFmtId="164" fontId="4" fillId="0" borderId="0"/>
    <xf numFmtId="164" fontId="44" fillId="0" borderId="0"/>
    <xf numFmtId="164" fontId="44" fillId="0" borderId="0"/>
    <xf numFmtId="164" fontId="44" fillId="0" borderId="0"/>
    <xf numFmtId="164" fontId="44" fillId="0" borderId="0"/>
    <xf numFmtId="164" fontId="4" fillId="0" borderId="0"/>
    <xf numFmtId="164" fontId="4" fillId="0" borderId="0"/>
    <xf numFmtId="164" fontId="4" fillId="0" borderId="0"/>
    <xf numFmtId="164" fontId="39" fillId="0" borderId="0"/>
    <xf numFmtId="164" fontId="4" fillId="0" borderId="0"/>
    <xf numFmtId="164" fontId="4" fillId="0" borderId="0"/>
    <xf numFmtId="164" fontId="4" fillId="0" borderId="0"/>
    <xf numFmtId="164" fontId="4" fillId="0" borderId="0"/>
    <xf numFmtId="164" fontId="4" fillId="0" borderId="0"/>
    <xf numFmtId="164" fontId="44" fillId="0" borderId="0"/>
    <xf numFmtId="164" fontId="44" fillId="0" borderId="0"/>
    <xf numFmtId="164" fontId="44" fillId="0" borderId="0"/>
    <xf numFmtId="164" fontId="44" fillId="0" borderId="0"/>
    <xf numFmtId="164" fontId="39" fillId="0" borderId="0"/>
    <xf numFmtId="164" fontId="4" fillId="0" borderId="0"/>
    <xf numFmtId="164" fontId="4" fillId="0" borderId="0"/>
    <xf numFmtId="164" fontId="4" fillId="0" borderId="0"/>
    <xf numFmtId="164" fontId="4" fillId="0" borderId="0"/>
    <xf numFmtId="164" fontId="4" fillId="0" borderId="0"/>
    <xf numFmtId="164" fontId="44" fillId="0" borderId="0"/>
    <xf numFmtId="164" fontId="44" fillId="0" borderId="0"/>
    <xf numFmtId="164" fontId="44" fillId="0" borderId="0"/>
    <xf numFmtId="164" fontId="44" fillId="0" borderId="0"/>
    <xf numFmtId="164" fontId="44" fillId="0" borderId="0"/>
    <xf numFmtId="164" fontId="44" fillId="0" borderId="0"/>
    <xf numFmtId="164" fontId="44" fillId="0" borderId="0"/>
    <xf numFmtId="164" fontId="44" fillId="0" borderId="0"/>
    <xf numFmtId="164" fontId="44" fillId="0" borderId="0"/>
    <xf numFmtId="164" fontId="44" fillId="0" borderId="0"/>
    <xf numFmtId="164" fontId="44" fillId="0" borderId="0"/>
    <xf numFmtId="164" fontId="44" fillId="0" borderId="0"/>
    <xf numFmtId="39" fontId="1" fillId="0" borderId="0"/>
    <xf numFmtId="188" fontId="44" fillId="0" borderId="0"/>
    <xf numFmtId="188" fontId="44" fillId="0" borderId="0"/>
    <xf numFmtId="188" fontId="44" fillId="0" borderId="0"/>
    <xf numFmtId="188" fontId="44" fillId="0" borderId="0"/>
    <xf numFmtId="188" fontId="44" fillId="0" borderId="0"/>
    <xf numFmtId="188" fontId="44" fillId="0" borderId="0"/>
    <xf numFmtId="188" fontId="44" fillId="0" borderId="0"/>
    <xf numFmtId="188" fontId="44" fillId="0" borderId="0"/>
    <xf numFmtId="188" fontId="44" fillId="0" borderId="0"/>
    <xf numFmtId="188" fontId="44" fillId="0" borderId="0"/>
    <xf numFmtId="188" fontId="44" fillId="0" borderId="0"/>
    <xf numFmtId="188" fontId="44" fillId="0" borderId="0"/>
    <xf numFmtId="39" fontId="4" fillId="0" borderId="0"/>
    <xf numFmtId="188" fontId="44" fillId="0" borderId="0"/>
    <xf numFmtId="188" fontId="44" fillId="0" borderId="0"/>
    <xf numFmtId="188" fontId="44" fillId="0" borderId="0"/>
    <xf numFmtId="188" fontId="44" fillId="0" borderId="0"/>
    <xf numFmtId="39" fontId="4" fillId="0" borderId="0"/>
    <xf numFmtId="39" fontId="4" fillId="0" borderId="0"/>
    <xf numFmtId="39" fontId="4" fillId="0" borderId="0"/>
    <xf numFmtId="188" fontId="39" fillId="0" borderId="0"/>
    <xf numFmtId="188" fontId="4" fillId="0" borderId="0"/>
    <xf numFmtId="188" fontId="4" fillId="0" borderId="0"/>
    <xf numFmtId="188" fontId="4" fillId="0" borderId="0"/>
    <xf numFmtId="188" fontId="4" fillId="0" borderId="0"/>
    <xf numFmtId="188" fontId="4" fillId="0" borderId="0"/>
    <xf numFmtId="188" fontId="44" fillId="0" borderId="0"/>
    <xf numFmtId="188" fontId="44" fillId="0" borderId="0"/>
    <xf numFmtId="188" fontId="44" fillId="0" borderId="0"/>
    <xf numFmtId="188" fontId="44" fillId="0" borderId="0"/>
    <xf numFmtId="188" fontId="39" fillId="0" borderId="0"/>
    <xf numFmtId="188" fontId="4" fillId="0" borderId="0"/>
    <xf numFmtId="188" fontId="4" fillId="0" borderId="0"/>
    <xf numFmtId="188" fontId="4" fillId="0" borderId="0"/>
    <xf numFmtId="188" fontId="4" fillId="0" borderId="0"/>
    <xf numFmtId="188" fontId="4" fillId="0" borderId="0"/>
    <xf numFmtId="188" fontId="44" fillId="0" borderId="0"/>
    <xf numFmtId="188" fontId="44" fillId="0" borderId="0"/>
    <xf numFmtId="188" fontId="44" fillId="0" borderId="0"/>
    <xf numFmtId="188" fontId="44" fillId="0" borderId="0"/>
    <xf numFmtId="188" fontId="44" fillId="0" borderId="0"/>
    <xf numFmtId="188" fontId="44" fillId="0" borderId="0"/>
    <xf numFmtId="188" fontId="44" fillId="0" borderId="0"/>
    <xf numFmtId="188" fontId="44" fillId="0" borderId="0"/>
    <xf numFmtId="188" fontId="44" fillId="0" borderId="0"/>
    <xf numFmtId="188" fontId="44" fillId="0" borderId="0"/>
    <xf numFmtId="188" fontId="44" fillId="0" borderId="0"/>
    <xf numFmtId="188" fontId="44" fillId="0" borderId="0"/>
    <xf numFmtId="188" fontId="1" fillId="0" borderId="0"/>
    <xf numFmtId="188" fontId="1" fillId="0" borderId="0"/>
    <xf numFmtId="165" fontId="1" fillId="0" borderId="0"/>
    <xf numFmtId="165" fontId="44" fillId="0" borderId="0"/>
    <xf numFmtId="165" fontId="44" fillId="0" borderId="0"/>
    <xf numFmtId="165" fontId="44" fillId="0" borderId="0"/>
    <xf numFmtId="165" fontId="44" fillId="0" borderId="0"/>
    <xf numFmtId="165" fontId="44" fillId="0" borderId="0"/>
    <xf numFmtId="165" fontId="44" fillId="0" borderId="0"/>
    <xf numFmtId="165" fontId="44" fillId="0" borderId="0"/>
    <xf numFmtId="165" fontId="44" fillId="0" borderId="0"/>
    <xf numFmtId="165" fontId="44" fillId="0" borderId="0"/>
    <xf numFmtId="165" fontId="44" fillId="0" borderId="0"/>
    <xf numFmtId="165" fontId="44" fillId="0" borderId="0"/>
    <xf numFmtId="165" fontId="44" fillId="0" borderId="0"/>
    <xf numFmtId="165" fontId="4" fillId="0" borderId="0"/>
    <xf numFmtId="165" fontId="44" fillId="0" borderId="0"/>
    <xf numFmtId="165" fontId="44" fillId="0" borderId="0"/>
    <xf numFmtId="165" fontId="44" fillId="0" borderId="0"/>
    <xf numFmtId="165" fontId="44" fillId="0" borderId="0"/>
    <xf numFmtId="165" fontId="4" fillId="0" borderId="0"/>
    <xf numFmtId="165" fontId="4" fillId="0" borderId="0"/>
    <xf numFmtId="165" fontId="4" fillId="0" borderId="0"/>
    <xf numFmtId="165" fontId="39" fillId="0" borderId="0"/>
    <xf numFmtId="165" fontId="4" fillId="0" borderId="0"/>
    <xf numFmtId="165" fontId="4" fillId="0" borderId="0"/>
    <xf numFmtId="165" fontId="4" fillId="0" borderId="0"/>
    <xf numFmtId="165" fontId="4" fillId="0" borderId="0"/>
    <xf numFmtId="165" fontId="4" fillId="0" borderId="0"/>
    <xf numFmtId="165" fontId="44" fillId="0" borderId="0"/>
    <xf numFmtId="165" fontId="44" fillId="0" borderId="0"/>
    <xf numFmtId="165" fontId="44" fillId="0" borderId="0"/>
    <xf numFmtId="165" fontId="44" fillId="0" borderId="0"/>
    <xf numFmtId="165" fontId="39" fillId="0" borderId="0"/>
    <xf numFmtId="165" fontId="4" fillId="0" borderId="0"/>
    <xf numFmtId="165" fontId="4" fillId="0" borderId="0"/>
    <xf numFmtId="165" fontId="4" fillId="0" borderId="0"/>
    <xf numFmtId="165" fontId="4" fillId="0" borderId="0"/>
    <xf numFmtId="165" fontId="4" fillId="0" borderId="0"/>
    <xf numFmtId="165" fontId="44" fillId="0" borderId="0"/>
    <xf numFmtId="165" fontId="44" fillId="0" borderId="0"/>
    <xf numFmtId="165" fontId="44" fillId="0" borderId="0"/>
    <xf numFmtId="165" fontId="44" fillId="0" borderId="0"/>
    <xf numFmtId="165" fontId="44" fillId="0" borderId="0"/>
    <xf numFmtId="165" fontId="44" fillId="0" borderId="0"/>
    <xf numFmtId="165" fontId="44" fillId="0" borderId="0"/>
    <xf numFmtId="165" fontId="44" fillId="0" borderId="0"/>
    <xf numFmtId="165" fontId="44" fillId="0" borderId="0"/>
    <xf numFmtId="165" fontId="44" fillId="0" borderId="0"/>
    <xf numFmtId="165" fontId="44" fillId="0" borderId="0"/>
    <xf numFmtId="165" fontId="44" fillId="0" borderId="0"/>
    <xf numFmtId="166" fontId="1" fillId="0" borderId="0"/>
    <xf numFmtId="166" fontId="44" fillId="0" borderId="0"/>
    <xf numFmtId="166" fontId="44" fillId="0" borderId="0"/>
    <xf numFmtId="166" fontId="44" fillId="0" borderId="0"/>
    <xf numFmtId="166" fontId="44" fillId="0" borderId="0"/>
    <xf numFmtId="166" fontId="44" fillId="0" borderId="0"/>
    <xf numFmtId="166" fontId="44" fillId="0" borderId="0"/>
    <xf numFmtId="166" fontId="44" fillId="0" borderId="0"/>
    <xf numFmtId="166" fontId="44" fillId="0" borderId="0"/>
    <xf numFmtId="166" fontId="44" fillId="0" borderId="0"/>
    <xf numFmtId="166" fontId="44" fillId="0" borderId="0"/>
    <xf numFmtId="166" fontId="44" fillId="0" borderId="0"/>
    <xf numFmtId="166" fontId="44" fillId="0" borderId="0"/>
    <xf numFmtId="166" fontId="4" fillId="0" borderId="0"/>
    <xf numFmtId="166" fontId="44" fillId="0" borderId="0"/>
    <xf numFmtId="166" fontId="44" fillId="0" borderId="0"/>
    <xf numFmtId="166" fontId="44" fillId="0" borderId="0"/>
    <xf numFmtId="166" fontId="44" fillId="0" borderId="0"/>
    <xf numFmtId="166" fontId="4" fillId="0" borderId="0"/>
    <xf numFmtId="166" fontId="4" fillId="0" borderId="0"/>
    <xf numFmtId="166" fontId="4" fillId="0" borderId="0"/>
    <xf numFmtId="166" fontId="39" fillId="0" borderId="0"/>
    <xf numFmtId="166" fontId="4" fillId="0" borderId="0"/>
    <xf numFmtId="166" fontId="4" fillId="0" borderId="0"/>
    <xf numFmtId="166" fontId="4" fillId="0" borderId="0"/>
    <xf numFmtId="166" fontId="4" fillId="0" borderId="0"/>
    <xf numFmtId="166" fontId="4" fillId="0" borderId="0"/>
    <xf numFmtId="166" fontId="44" fillId="0" borderId="0"/>
    <xf numFmtId="166" fontId="44" fillId="0" borderId="0"/>
    <xf numFmtId="166" fontId="44" fillId="0" borderId="0"/>
    <xf numFmtId="166" fontId="44" fillId="0" borderId="0"/>
    <xf numFmtId="166" fontId="39" fillId="0" borderId="0"/>
    <xf numFmtId="166" fontId="4" fillId="0" borderId="0"/>
    <xf numFmtId="166" fontId="4" fillId="0" borderId="0"/>
    <xf numFmtId="166" fontId="4" fillId="0" borderId="0"/>
    <xf numFmtId="166" fontId="4" fillId="0" borderId="0"/>
    <xf numFmtId="166" fontId="4" fillId="0" borderId="0"/>
    <xf numFmtId="166" fontId="44" fillId="0" borderId="0"/>
    <xf numFmtId="166" fontId="44" fillId="0" borderId="0"/>
    <xf numFmtId="166" fontId="44" fillId="0" borderId="0"/>
    <xf numFmtId="166" fontId="44" fillId="0" borderId="0"/>
    <xf numFmtId="166" fontId="44" fillId="0" borderId="0"/>
    <xf numFmtId="166" fontId="44" fillId="0" borderId="0"/>
    <xf numFmtId="166" fontId="44" fillId="0" borderId="0"/>
    <xf numFmtId="166" fontId="44" fillId="0" borderId="0"/>
    <xf numFmtId="166" fontId="44" fillId="0" borderId="0"/>
    <xf numFmtId="166" fontId="44" fillId="0" borderId="0"/>
    <xf numFmtId="166" fontId="44" fillId="0" borderId="0"/>
    <xf numFmtId="166" fontId="44" fillId="0" borderId="0"/>
    <xf numFmtId="167" fontId="1"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167" fontId="4" fillId="0" borderId="0"/>
    <xf numFmtId="167" fontId="44" fillId="0" borderId="0"/>
    <xf numFmtId="167" fontId="44" fillId="0" borderId="0"/>
    <xf numFmtId="167" fontId="44" fillId="0" borderId="0"/>
    <xf numFmtId="167" fontId="44" fillId="0" borderId="0"/>
    <xf numFmtId="167" fontId="4" fillId="0" borderId="0"/>
    <xf numFmtId="167" fontId="4" fillId="0" borderId="0"/>
    <xf numFmtId="167" fontId="4" fillId="0" borderId="0"/>
    <xf numFmtId="167" fontId="39" fillId="0" borderId="0"/>
    <xf numFmtId="167" fontId="4" fillId="0" borderId="0"/>
    <xf numFmtId="167" fontId="4" fillId="0" borderId="0"/>
    <xf numFmtId="167" fontId="4" fillId="0" borderId="0"/>
    <xf numFmtId="167" fontId="4" fillId="0" borderId="0"/>
    <xf numFmtId="167" fontId="4" fillId="0" borderId="0"/>
    <xf numFmtId="167" fontId="44" fillId="0" borderId="0"/>
    <xf numFmtId="167" fontId="44" fillId="0" borderId="0"/>
    <xf numFmtId="167" fontId="44" fillId="0" borderId="0"/>
    <xf numFmtId="167" fontId="44" fillId="0" borderId="0"/>
    <xf numFmtId="167" fontId="39" fillId="0" borderId="0"/>
    <xf numFmtId="167" fontId="4" fillId="0" borderId="0"/>
    <xf numFmtId="167" fontId="4" fillId="0" borderId="0"/>
    <xf numFmtId="167" fontId="4" fillId="0" borderId="0"/>
    <xf numFmtId="167" fontId="4" fillId="0" borderId="0"/>
    <xf numFmtId="167" fontId="4"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168" fontId="1" fillId="0" borderId="0"/>
    <xf numFmtId="168" fontId="44" fillId="0" borderId="0"/>
    <xf numFmtId="168" fontId="44" fillId="0" borderId="0"/>
    <xf numFmtId="168" fontId="44" fillId="0" borderId="0"/>
    <xf numFmtId="168" fontId="44" fillId="0" borderId="0"/>
    <xf numFmtId="168" fontId="44" fillId="0" borderId="0"/>
    <xf numFmtId="168" fontId="44" fillId="0" borderId="0"/>
    <xf numFmtId="168" fontId="44" fillId="0" borderId="0"/>
    <xf numFmtId="168" fontId="44" fillId="0" borderId="0"/>
    <xf numFmtId="168" fontId="44" fillId="0" borderId="0"/>
    <xf numFmtId="168" fontId="44" fillId="0" borderId="0"/>
    <xf numFmtId="168" fontId="44" fillId="0" borderId="0"/>
    <xf numFmtId="168" fontId="44" fillId="0" borderId="0"/>
    <xf numFmtId="168" fontId="4" fillId="0" borderId="0"/>
    <xf numFmtId="168" fontId="44" fillId="0" borderId="0"/>
    <xf numFmtId="168" fontId="44" fillId="0" borderId="0"/>
    <xf numFmtId="168" fontId="44" fillId="0" borderId="0"/>
    <xf numFmtId="168" fontId="44" fillId="0" borderId="0"/>
    <xf numFmtId="168" fontId="4" fillId="0" borderId="0"/>
    <xf numFmtId="168" fontId="4" fillId="0" borderId="0"/>
    <xf numFmtId="168" fontId="4" fillId="0" borderId="0"/>
    <xf numFmtId="168" fontId="39" fillId="0" borderId="0"/>
    <xf numFmtId="168" fontId="4" fillId="0" borderId="0"/>
    <xf numFmtId="168" fontId="4" fillId="0" borderId="0"/>
    <xf numFmtId="168" fontId="4" fillId="0" borderId="0"/>
    <xf numFmtId="168" fontId="4" fillId="0" borderId="0"/>
    <xf numFmtId="168" fontId="4" fillId="0" borderId="0"/>
    <xf numFmtId="168" fontId="44" fillId="0" borderId="0"/>
    <xf numFmtId="168" fontId="44" fillId="0" borderId="0"/>
    <xf numFmtId="168" fontId="44" fillId="0" borderId="0"/>
    <xf numFmtId="168" fontId="44" fillId="0" borderId="0"/>
    <xf numFmtId="168" fontId="39" fillId="0" borderId="0"/>
    <xf numFmtId="168" fontId="4" fillId="0" borderId="0"/>
    <xf numFmtId="168" fontId="4" fillId="0" borderId="0"/>
    <xf numFmtId="168" fontId="4" fillId="0" borderId="0"/>
    <xf numFmtId="168" fontId="4" fillId="0" borderId="0"/>
    <xf numFmtId="168" fontId="4" fillId="0" borderId="0"/>
    <xf numFmtId="168" fontId="44" fillId="0" borderId="0"/>
    <xf numFmtId="168" fontId="44" fillId="0" borderId="0"/>
    <xf numFmtId="168" fontId="44" fillId="0" borderId="0"/>
    <xf numFmtId="168" fontId="44" fillId="0" borderId="0"/>
    <xf numFmtId="168" fontId="44" fillId="0" borderId="0"/>
    <xf numFmtId="168" fontId="44" fillId="0" borderId="0"/>
    <xf numFmtId="168" fontId="44" fillId="0" borderId="0"/>
    <xf numFmtId="168" fontId="44" fillId="0" borderId="0"/>
    <xf numFmtId="168" fontId="44" fillId="0" borderId="0"/>
    <xf numFmtId="168" fontId="44" fillId="0" borderId="0"/>
    <xf numFmtId="168" fontId="44" fillId="0" borderId="0"/>
    <xf numFmtId="168" fontId="44" fillId="0" borderId="0"/>
    <xf numFmtId="169" fontId="1" fillId="0" borderId="0"/>
    <xf numFmtId="169" fontId="44" fillId="0" borderId="0"/>
    <xf numFmtId="169" fontId="44" fillId="0" borderId="0"/>
    <xf numFmtId="169" fontId="44" fillId="0" borderId="0"/>
    <xf numFmtId="169" fontId="44" fillId="0" borderId="0"/>
    <xf numFmtId="169" fontId="44" fillId="0" borderId="0"/>
    <xf numFmtId="169" fontId="44" fillId="0" borderId="0"/>
    <xf numFmtId="169" fontId="44" fillId="0" borderId="0"/>
    <xf numFmtId="169" fontId="44" fillId="0" borderId="0"/>
    <xf numFmtId="169" fontId="44" fillId="0" borderId="0"/>
    <xf numFmtId="169" fontId="44" fillId="0" borderId="0"/>
    <xf numFmtId="169" fontId="44" fillId="0" borderId="0"/>
    <xf numFmtId="169" fontId="44" fillId="0" borderId="0"/>
    <xf numFmtId="169" fontId="4" fillId="0" borderId="0"/>
    <xf numFmtId="169" fontId="44" fillId="0" borderId="0"/>
    <xf numFmtId="169" fontId="44" fillId="0" borderId="0"/>
    <xf numFmtId="169" fontId="44" fillId="0" borderId="0"/>
    <xf numFmtId="169" fontId="44" fillId="0" borderId="0"/>
    <xf numFmtId="169" fontId="4" fillId="0" borderId="0"/>
    <xf numFmtId="169" fontId="4" fillId="0" borderId="0"/>
    <xf numFmtId="169" fontId="4" fillId="0" borderId="0"/>
    <xf numFmtId="169" fontId="39" fillId="0" borderId="0"/>
    <xf numFmtId="169" fontId="4" fillId="0" borderId="0"/>
    <xf numFmtId="169" fontId="4" fillId="0" borderId="0"/>
    <xf numFmtId="169" fontId="4" fillId="0" borderId="0"/>
    <xf numFmtId="169" fontId="4" fillId="0" borderId="0"/>
    <xf numFmtId="169" fontId="4" fillId="0" borderId="0"/>
    <xf numFmtId="169" fontId="44" fillId="0" borderId="0"/>
    <xf numFmtId="169" fontId="44" fillId="0" borderId="0"/>
    <xf numFmtId="169" fontId="44" fillId="0" borderId="0"/>
    <xf numFmtId="169" fontId="44" fillId="0" borderId="0"/>
    <xf numFmtId="169" fontId="39" fillId="0" borderId="0"/>
    <xf numFmtId="169" fontId="4" fillId="0" borderId="0"/>
    <xf numFmtId="169" fontId="4" fillId="0" borderId="0"/>
    <xf numFmtId="169" fontId="4" fillId="0" borderId="0"/>
    <xf numFmtId="169" fontId="4" fillId="0" borderId="0"/>
    <xf numFmtId="169" fontId="4" fillId="0" borderId="0"/>
    <xf numFmtId="169" fontId="44" fillId="0" borderId="0"/>
    <xf numFmtId="169" fontId="44" fillId="0" borderId="0"/>
    <xf numFmtId="169" fontId="44" fillId="0" borderId="0"/>
    <xf numFmtId="169" fontId="44" fillId="0" borderId="0"/>
    <xf numFmtId="169" fontId="44" fillId="0" borderId="0"/>
    <xf numFmtId="169" fontId="44" fillId="0" borderId="0"/>
    <xf numFmtId="169" fontId="44" fillId="0" borderId="0"/>
    <xf numFmtId="169" fontId="44" fillId="0" borderId="0"/>
    <xf numFmtId="169" fontId="44" fillId="0" borderId="0"/>
    <xf numFmtId="169" fontId="44" fillId="0" borderId="0"/>
    <xf numFmtId="169" fontId="44" fillId="0" borderId="0"/>
    <xf numFmtId="169" fontId="44" fillId="0" borderId="0"/>
    <xf numFmtId="170" fontId="1" fillId="0" borderId="0"/>
    <xf numFmtId="170" fontId="44" fillId="0" borderId="0"/>
    <xf numFmtId="170" fontId="44" fillId="0" borderId="0"/>
    <xf numFmtId="170" fontId="44" fillId="0" borderId="0"/>
    <xf numFmtId="170" fontId="44" fillId="0" borderId="0"/>
    <xf numFmtId="170" fontId="44" fillId="0" borderId="0"/>
    <xf numFmtId="170" fontId="44" fillId="0" borderId="0"/>
    <xf numFmtId="170" fontId="44" fillId="0" borderId="0"/>
    <xf numFmtId="170" fontId="44" fillId="0" borderId="0"/>
    <xf numFmtId="170" fontId="44" fillId="0" borderId="0"/>
    <xf numFmtId="170" fontId="44" fillId="0" borderId="0"/>
    <xf numFmtId="170" fontId="44" fillId="0" borderId="0"/>
    <xf numFmtId="170" fontId="44" fillId="0" borderId="0"/>
    <xf numFmtId="170" fontId="4" fillId="0" borderId="0"/>
    <xf numFmtId="170" fontId="44" fillId="0" borderId="0"/>
    <xf numFmtId="170" fontId="44" fillId="0" borderId="0"/>
    <xf numFmtId="170" fontId="44" fillId="0" borderId="0"/>
    <xf numFmtId="170" fontId="44" fillId="0" borderId="0"/>
    <xf numFmtId="170" fontId="4" fillId="0" borderId="0"/>
    <xf numFmtId="170" fontId="4" fillId="0" borderId="0"/>
    <xf numFmtId="170" fontId="4" fillId="0" borderId="0"/>
    <xf numFmtId="170" fontId="39" fillId="0" borderId="0"/>
    <xf numFmtId="170" fontId="4" fillId="0" borderId="0"/>
    <xf numFmtId="170" fontId="4" fillId="0" borderId="0"/>
    <xf numFmtId="170" fontId="4" fillId="0" borderId="0"/>
    <xf numFmtId="170" fontId="4" fillId="0" borderId="0"/>
    <xf numFmtId="170" fontId="4" fillId="0" borderId="0"/>
    <xf numFmtId="170" fontId="44" fillId="0" borderId="0"/>
    <xf numFmtId="170" fontId="44" fillId="0" borderId="0"/>
    <xf numFmtId="170" fontId="44" fillId="0" borderId="0"/>
    <xf numFmtId="170" fontId="44" fillId="0" borderId="0"/>
    <xf numFmtId="170" fontId="39" fillId="0" borderId="0"/>
    <xf numFmtId="170" fontId="4" fillId="0" borderId="0"/>
    <xf numFmtId="170" fontId="4" fillId="0" borderId="0"/>
    <xf numFmtId="170" fontId="4" fillId="0" borderId="0"/>
    <xf numFmtId="170" fontId="4" fillId="0" borderId="0"/>
    <xf numFmtId="170" fontId="4" fillId="0" borderId="0"/>
    <xf numFmtId="170" fontId="44" fillId="0" borderId="0"/>
    <xf numFmtId="170" fontId="44" fillId="0" borderId="0"/>
    <xf numFmtId="170" fontId="44" fillId="0" borderId="0"/>
    <xf numFmtId="170" fontId="44" fillId="0" borderId="0"/>
    <xf numFmtId="170" fontId="44" fillId="0" borderId="0"/>
    <xf numFmtId="170" fontId="44" fillId="0" borderId="0"/>
    <xf numFmtId="170" fontId="44" fillId="0" borderId="0"/>
    <xf numFmtId="170" fontId="44" fillId="0" borderId="0"/>
    <xf numFmtId="170" fontId="44" fillId="0" borderId="0"/>
    <xf numFmtId="170" fontId="44" fillId="0" borderId="0"/>
    <xf numFmtId="170" fontId="44" fillId="0" borderId="0"/>
    <xf numFmtId="170" fontId="44" fillId="0" borderId="0"/>
    <xf numFmtId="171" fontId="1" fillId="0" borderId="0"/>
    <xf numFmtId="171" fontId="44" fillId="0" borderId="0"/>
    <xf numFmtId="171" fontId="44" fillId="0" borderId="0"/>
    <xf numFmtId="171" fontId="44" fillId="0" borderId="0"/>
    <xf numFmtId="171" fontId="44" fillId="0" borderId="0"/>
    <xf numFmtId="171" fontId="44" fillId="0" borderId="0"/>
    <xf numFmtId="171" fontId="44" fillId="0" borderId="0"/>
    <xf numFmtId="171" fontId="44" fillId="0" borderId="0"/>
    <xf numFmtId="171" fontId="44" fillId="0" borderId="0"/>
    <xf numFmtId="171" fontId="44" fillId="0" borderId="0"/>
    <xf numFmtId="171" fontId="44" fillId="0" borderId="0"/>
    <xf numFmtId="171" fontId="44" fillId="0" borderId="0"/>
    <xf numFmtId="171" fontId="44" fillId="0" borderId="0"/>
    <xf numFmtId="171" fontId="4" fillId="0" borderId="0"/>
    <xf numFmtId="171" fontId="44" fillId="0" borderId="0"/>
    <xf numFmtId="171" fontId="44" fillId="0" borderId="0"/>
    <xf numFmtId="171" fontId="44" fillId="0" borderId="0"/>
    <xf numFmtId="171" fontId="44" fillId="0" borderId="0"/>
    <xf numFmtId="171" fontId="4" fillId="0" borderId="0"/>
    <xf numFmtId="171" fontId="4" fillId="0" borderId="0"/>
    <xf numFmtId="171" fontId="4" fillId="0" borderId="0"/>
    <xf numFmtId="171" fontId="39" fillId="0" borderId="0"/>
    <xf numFmtId="171" fontId="4" fillId="0" borderId="0"/>
    <xf numFmtId="171" fontId="4" fillId="0" borderId="0"/>
    <xf numFmtId="171" fontId="4" fillId="0" borderId="0"/>
    <xf numFmtId="171" fontId="4" fillId="0" borderId="0"/>
    <xf numFmtId="171" fontId="4" fillId="0" borderId="0"/>
    <xf numFmtId="171" fontId="44" fillId="0" borderId="0"/>
    <xf numFmtId="171" fontId="44" fillId="0" borderId="0"/>
    <xf numFmtId="171" fontId="44" fillId="0" borderId="0"/>
    <xf numFmtId="171" fontId="44" fillId="0" borderId="0"/>
    <xf numFmtId="171" fontId="39" fillId="0" borderId="0"/>
    <xf numFmtId="171" fontId="4" fillId="0" borderId="0"/>
    <xf numFmtId="171" fontId="4" fillId="0" borderId="0"/>
    <xf numFmtId="171" fontId="4" fillId="0" borderId="0"/>
    <xf numFmtId="171" fontId="4" fillId="0" borderId="0"/>
    <xf numFmtId="171" fontId="4" fillId="0" borderId="0"/>
    <xf numFmtId="171" fontId="44" fillId="0" borderId="0"/>
    <xf numFmtId="171" fontId="44" fillId="0" borderId="0"/>
    <xf numFmtId="171" fontId="44" fillId="0" borderId="0"/>
    <xf numFmtId="171" fontId="44" fillId="0" borderId="0"/>
    <xf numFmtId="171" fontId="44" fillId="0" borderId="0"/>
    <xf numFmtId="171" fontId="44" fillId="0" borderId="0"/>
    <xf numFmtId="171" fontId="44" fillId="0" borderId="0"/>
    <xf numFmtId="171" fontId="44" fillId="0" borderId="0"/>
    <xf numFmtId="171" fontId="44" fillId="0" borderId="0"/>
    <xf numFmtId="171" fontId="44" fillId="0" borderId="0"/>
    <xf numFmtId="171" fontId="44" fillId="0" borderId="0"/>
    <xf numFmtId="171" fontId="44" fillId="0" borderId="0"/>
    <xf numFmtId="9" fontId="1"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49" fontId="1" fillId="0" borderId="0"/>
    <xf numFmtId="49" fontId="44" fillId="0" borderId="0"/>
    <xf numFmtId="49" fontId="44" fillId="0" borderId="0"/>
    <xf numFmtId="49" fontId="44" fillId="0" borderId="0"/>
    <xf numFmtId="49" fontId="44" fillId="0" borderId="0"/>
    <xf numFmtId="49" fontId="44" fillId="0" borderId="0"/>
    <xf numFmtId="49" fontId="44" fillId="0" borderId="0"/>
    <xf numFmtId="49" fontId="44" fillId="0" borderId="0"/>
    <xf numFmtId="49" fontId="44" fillId="0" borderId="0"/>
    <xf numFmtId="49" fontId="44" fillId="0" borderId="0"/>
    <xf numFmtId="49" fontId="44" fillId="0" borderId="0"/>
    <xf numFmtId="49" fontId="44" fillId="0" borderId="0"/>
    <xf numFmtId="49" fontId="44" fillId="0" borderId="0"/>
    <xf numFmtId="49" fontId="4" fillId="0" borderId="0"/>
    <xf numFmtId="49" fontId="44" fillId="0" borderId="0"/>
    <xf numFmtId="49" fontId="44" fillId="0" borderId="0"/>
    <xf numFmtId="49" fontId="44" fillId="0" borderId="0"/>
    <xf numFmtId="49" fontId="44" fillId="0" borderId="0"/>
    <xf numFmtId="49" fontId="4" fillId="0" borderId="0"/>
    <xf numFmtId="49" fontId="4" fillId="0" borderId="0"/>
    <xf numFmtId="49" fontId="4" fillId="0" borderId="0"/>
    <xf numFmtId="49" fontId="39" fillId="0" borderId="0"/>
    <xf numFmtId="49" fontId="4" fillId="0" borderId="0"/>
    <xf numFmtId="49" fontId="4" fillId="0" borderId="0"/>
    <xf numFmtId="49" fontId="4" fillId="0" borderId="0"/>
    <xf numFmtId="49" fontId="4" fillId="0" borderId="0"/>
    <xf numFmtId="49" fontId="4" fillId="0" borderId="0"/>
    <xf numFmtId="49" fontId="44" fillId="0" borderId="0"/>
    <xf numFmtId="49" fontId="44" fillId="0" borderId="0"/>
    <xf numFmtId="49" fontId="44" fillId="0" borderId="0"/>
    <xf numFmtId="49" fontId="44" fillId="0" borderId="0"/>
    <xf numFmtId="49" fontId="39" fillId="0" borderId="0"/>
    <xf numFmtId="49" fontId="4" fillId="0" borderId="0"/>
    <xf numFmtId="49" fontId="4" fillId="0" borderId="0"/>
    <xf numFmtId="49" fontId="4" fillId="0" borderId="0"/>
    <xf numFmtId="49" fontId="4" fillId="0" borderId="0"/>
    <xf numFmtId="49" fontId="4" fillId="0" borderId="0"/>
    <xf numFmtId="49" fontId="44" fillId="0" borderId="0"/>
    <xf numFmtId="49" fontId="44" fillId="0" borderId="0"/>
    <xf numFmtId="49" fontId="44" fillId="0" borderId="0"/>
    <xf numFmtId="49" fontId="44" fillId="0" borderId="0"/>
    <xf numFmtId="49" fontId="44" fillId="0" borderId="0"/>
    <xf numFmtId="49" fontId="44" fillId="0" borderId="0"/>
    <xf numFmtId="49" fontId="44" fillId="0" borderId="0"/>
    <xf numFmtId="49" fontId="44" fillId="0" borderId="0"/>
    <xf numFmtId="49" fontId="44" fillId="0" borderId="0"/>
    <xf numFmtId="49" fontId="44" fillId="0" borderId="0"/>
    <xf numFmtId="49" fontId="44" fillId="0" borderId="0"/>
    <xf numFmtId="49" fontId="44" fillId="0" borderId="0"/>
  </cellStyleXfs>
  <cellXfs count="1507">
    <xf numFmtId="0" fontId="0" fillId="0" borderId="0" xfId="0"/>
    <xf numFmtId="0" fontId="2" fillId="0" borderId="0" xfId="0" applyFont="1"/>
    <xf numFmtId="0" fontId="2" fillId="0" borderId="0" xfId="0" applyFont="1" applyAlignment="1">
      <alignment horizontal="right"/>
    </xf>
    <xf numFmtId="0" fontId="2" fillId="0" borderId="0" xfId="0" applyFont="1" applyAlignment="1">
      <alignment horizontal="right" vertical="top" wrapText="1"/>
    </xf>
    <xf numFmtId="175" fontId="2" fillId="0" borderId="0" xfId="0" applyNumberFormat="1" applyFont="1" applyAlignment="1">
      <alignment horizontal="right"/>
    </xf>
    <xf numFmtId="39" fontId="1" fillId="0" borderId="0" xfId="172" applyAlignment="1">
      <alignment horizontal="right"/>
    </xf>
    <xf numFmtId="0" fontId="2" fillId="0" borderId="0" xfId="0" applyFont="1" applyFill="1" applyAlignment="1">
      <alignment horizontal="right" vertical="top" wrapText="1"/>
    </xf>
    <xf numFmtId="49" fontId="2" fillId="0" borderId="0" xfId="0" applyNumberFormat="1" applyFont="1" applyAlignment="1">
      <alignment horizontal="right"/>
    </xf>
    <xf numFmtId="3" fontId="0" fillId="0" borderId="0" xfId="0" applyNumberFormat="1"/>
    <xf numFmtId="3" fontId="7" fillId="0" borderId="0" xfId="0" applyNumberFormat="1" applyFont="1" applyFill="1" applyBorder="1"/>
    <xf numFmtId="0" fontId="9" fillId="0" borderId="0" xfId="0" applyFont="1"/>
    <xf numFmtId="0" fontId="9" fillId="0" borderId="0" xfId="0" applyFont="1" applyFill="1"/>
    <xf numFmtId="0" fontId="4" fillId="0" borderId="0" xfId="0" applyFont="1"/>
    <xf numFmtId="10" fontId="7" fillId="0" borderId="0" xfId="566" applyNumberFormat="1" applyFont="1" applyFill="1" applyBorder="1"/>
    <xf numFmtId="181" fontId="0" fillId="0" borderId="0" xfId="0" applyNumberFormat="1"/>
    <xf numFmtId="0" fontId="7" fillId="0" borderId="0" xfId="0" applyFont="1" applyFill="1" applyBorder="1"/>
    <xf numFmtId="0" fontId="7" fillId="0" borderId="0" xfId="0" applyFont="1" applyFill="1"/>
    <xf numFmtId="0" fontId="7" fillId="0" borderId="1" xfId="0" applyFont="1" applyFill="1" applyBorder="1"/>
    <xf numFmtId="0" fontId="7" fillId="0" borderId="2" xfId="0" applyFont="1" applyFill="1" applyBorder="1"/>
    <xf numFmtId="175" fontId="4" fillId="0" borderId="0" xfId="0" applyNumberFormat="1" applyFont="1" applyAlignment="1">
      <alignment horizontal="right"/>
    </xf>
    <xf numFmtId="39" fontId="1" fillId="0" borderId="0" xfId="172" applyFont="1" applyAlignment="1">
      <alignment horizontal="right"/>
    </xf>
    <xf numFmtId="0" fontId="0" fillId="0" borderId="0" xfId="0" applyAlignment="1">
      <alignment horizontal="right"/>
    </xf>
    <xf numFmtId="0" fontId="12" fillId="0" borderId="0" xfId="0" applyFont="1"/>
    <xf numFmtId="0" fontId="10" fillId="0" borderId="0" xfId="0" applyFont="1"/>
    <xf numFmtId="0" fontId="13" fillId="0" borderId="0" xfId="0" applyFont="1"/>
    <xf numFmtId="3" fontId="6" fillId="0" borderId="0" xfId="0" applyNumberFormat="1" applyFont="1" applyAlignment="1">
      <alignment horizontal="right" vertical="top" wrapText="1"/>
    </xf>
    <xf numFmtId="3" fontId="7" fillId="0" borderId="0" xfId="1" applyNumberFormat="1" applyFont="1"/>
    <xf numFmtId="3" fontId="7" fillId="0" borderId="0" xfId="172" applyNumberFormat="1" applyFont="1"/>
    <xf numFmtId="3" fontId="7" fillId="0" borderId="0" xfId="172" applyNumberFormat="1" applyFont="1" applyFill="1"/>
    <xf numFmtId="3" fontId="7" fillId="0" borderId="0" xfId="566" applyNumberFormat="1" applyFont="1" applyAlignment="1">
      <alignment horizontal="right" vertical="top" wrapText="1"/>
    </xf>
    <xf numFmtId="3" fontId="6" fillId="0" borderId="0" xfId="0" applyNumberFormat="1" applyFont="1" applyFill="1" applyAlignment="1">
      <alignment horizontal="right" vertical="top" wrapText="1"/>
    </xf>
    <xf numFmtId="3" fontId="7" fillId="0" borderId="0" xfId="1" applyNumberFormat="1" applyFont="1" applyAlignment="1">
      <alignment horizontal="right" vertical="top" wrapText="1"/>
    </xf>
    <xf numFmtId="3" fontId="6" fillId="0" borderId="0" xfId="1" applyNumberFormat="1" applyFont="1" applyAlignment="1">
      <alignment horizontal="right" vertical="top" wrapText="1"/>
    </xf>
    <xf numFmtId="3" fontId="7" fillId="0" borderId="0" xfId="1" applyNumberFormat="1" applyFont="1" applyAlignment="1">
      <alignment horizontal="right"/>
    </xf>
    <xf numFmtId="3" fontId="7" fillId="0" borderId="0" xfId="172" applyNumberFormat="1" applyFont="1" applyAlignment="1">
      <alignment horizontal="right"/>
    </xf>
    <xf numFmtId="3" fontId="7" fillId="0" borderId="0" xfId="0" applyNumberFormat="1" applyFont="1" applyAlignment="1">
      <alignment horizontal="right" vertical="top" wrapText="1"/>
    </xf>
    <xf numFmtId="0" fontId="14" fillId="2" borderId="0" xfId="0" applyFont="1" applyFill="1"/>
    <xf numFmtId="0" fontId="14" fillId="2" borderId="0" xfId="0" applyFont="1" applyFill="1" applyAlignment="1">
      <alignment horizontal="center"/>
    </xf>
    <xf numFmtId="0" fontId="0" fillId="0" borderId="0" xfId="0" applyFill="1"/>
    <xf numFmtId="173" fontId="0" fillId="0" borderId="0" xfId="1" applyNumberFormat="1" applyFont="1" applyFill="1"/>
    <xf numFmtId="3" fontId="0" fillId="0" borderId="0" xfId="0" applyNumberFormat="1" applyFill="1"/>
    <xf numFmtId="3" fontId="9" fillId="0" borderId="0" xfId="0" applyNumberFormat="1" applyFont="1" applyFill="1"/>
    <xf numFmtId="0" fontId="0" fillId="0" borderId="3" xfId="0" applyFill="1" applyBorder="1" applyAlignment="1">
      <alignment horizontal="right"/>
    </xf>
    <xf numFmtId="3" fontId="0" fillId="0" borderId="3" xfId="0" applyNumberFormat="1" applyFill="1" applyBorder="1"/>
    <xf numFmtId="0" fontId="2" fillId="0" borderId="4" xfId="0" applyFont="1" applyFill="1" applyBorder="1"/>
    <xf numFmtId="0" fontId="0" fillId="0" borderId="4" xfId="0" applyFill="1" applyBorder="1"/>
    <xf numFmtId="0" fontId="0" fillId="0" borderId="0" xfId="0" applyFill="1" applyBorder="1" applyAlignment="1">
      <alignment horizontal="right"/>
    </xf>
    <xf numFmtId="3" fontId="0" fillId="0" borderId="0" xfId="0" applyNumberFormat="1" applyFill="1" applyBorder="1"/>
    <xf numFmtId="10" fontId="0" fillId="0" borderId="0" xfId="566" applyNumberFormat="1" applyFont="1" applyFill="1" applyBorder="1"/>
    <xf numFmtId="175" fontId="0" fillId="0" borderId="0" xfId="0" applyNumberFormat="1" applyFill="1" applyAlignment="1">
      <alignment horizontal="right"/>
    </xf>
    <xf numFmtId="175" fontId="9" fillId="0" borderId="0" xfId="0" applyNumberFormat="1" applyFont="1" applyFill="1" applyAlignment="1">
      <alignment horizontal="right"/>
    </xf>
    <xf numFmtId="175" fontId="0" fillId="0" borderId="0" xfId="0" applyNumberFormat="1" applyAlignment="1">
      <alignment horizontal="right"/>
    </xf>
    <xf numFmtId="0" fontId="0" fillId="0" borderId="0" xfId="0" applyBorder="1"/>
    <xf numFmtId="0" fontId="14" fillId="2" borderId="0" xfId="0" applyFont="1" applyFill="1" applyBorder="1"/>
    <xf numFmtId="0" fontId="14" fillId="2" borderId="0" xfId="0" applyFont="1" applyFill="1" applyBorder="1" applyAlignment="1">
      <alignment horizontal="center" wrapText="1"/>
    </xf>
    <xf numFmtId="0" fontId="14" fillId="2" borderId="0" xfId="0" applyFont="1" applyFill="1" applyBorder="1" applyAlignment="1">
      <alignment horizontal="center"/>
    </xf>
    <xf numFmtId="175" fontId="7" fillId="0" borderId="0" xfId="0" applyNumberFormat="1" applyFont="1" applyFill="1"/>
    <xf numFmtId="177" fontId="7" fillId="0" borderId="0" xfId="566" applyNumberFormat="1" applyFont="1" applyFill="1"/>
    <xf numFmtId="10" fontId="7" fillId="0" borderId="0" xfId="566" applyNumberFormat="1" applyFont="1" applyFill="1"/>
    <xf numFmtId="3" fontId="7" fillId="0" borderId="0" xfId="0" applyNumberFormat="1" applyFont="1" applyFill="1"/>
    <xf numFmtId="3" fontId="7" fillId="0" borderId="0" xfId="566" applyNumberFormat="1" applyFont="1" applyFill="1" applyBorder="1"/>
    <xf numFmtId="49" fontId="7" fillId="0" borderId="0" xfId="575" applyFont="1" applyFill="1"/>
    <xf numFmtId="3" fontId="7" fillId="0" borderId="0" xfId="575" applyNumberFormat="1" applyFont="1" applyFill="1"/>
    <xf numFmtId="182" fontId="7" fillId="0" borderId="0" xfId="575" applyNumberFormat="1" applyFont="1" applyFill="1"/>
    <xf numFmtId="0" fontId="0" fillId="0" borderId="0" xfId="0" applyNumberFormat="1"/>
    <xf numFmtId="14" fontId="0" fillId="0" borderId="0" xfId="0" applyNumberFormat="1"/>
    <xf numFmtId="0" fontId="0" fillId="0" borderId="0" xfId="0" applyNumberFormat="1" applyAlignment="1">
      <alignment horizontal="center"/>
    </xf>
    <xf numFmtId="14" fontId="8" fillId="0" borderId="0" xfId="0" applyNumberFormat="1" applyFont="1"/>
    <xf numFmtId="0" fontId="2" fillId="0" borderId="0" xfId="0" applyFont="1" applyAlignment="1">
      <alignment horizontal="left" vertical="top" wrapText="1"/>
    </xf>
    <xf numFmtId="0" fontId="0" fillId="0" borderId="0" xfId="0" applyAlignment="1">
      <alignment horizontal="left"/>
    </xf>
    <xf numFmtId="166" fontId="0" fillId="0" borderId="0" xfId="0" applyNumberFormat="1"/>
    <xf numFmtId="181" fontId="2" fillId="0" borderId="0" xfId="0" applyNumberFormat="1" applyFont="1" applyAlignment="1">
      <alignment horizontal="right" vertical="top" wrapText="1"/>
    </xf>
    <xf numFmtId="181" fontId="7" fillId="0" borderId="0" xfId="566" applyNumberFormat="1" applyFont="1"/>
    <xf numFmtId="181" fontId="6" fillId="0" borderId="0" xfId="0" applyNumberFormat="1" applyFont="1" applyAlignment="1">
      <alignment horizontal="right" vertical="top" wrapText="1"/>
    </xf>
    <xf numFmtId="181" fontId="11" fillId="0" borderId="0" xfId="0" applyNumberFormat="1" applyFont="1" applyAlignment="1">
      <alignment horizontal="right"/>
    </xf>
    <xf numFmtId="181" fontId="1" fillId="0" borderId="0" xfId="272" applyNumberFormat="1" applyFont="1" applyAlignment="1">
      <alignment horizontal="right"/>
    </xf>
    <xf numFmtId="181" fontId="1" fillId="0" borderId="0" xfId="272" applyNumberFormat="1"/>
    <xf numFmtId="181" fontId="6" fillId="0" borderId="0" xfId="566" applyNumberFormat="1" applyFont="1" applyAlignment="1">
      <alignment horizontal="right" vertical="top" wrapText="1"/>
    </xf>
    <xf numFmtId="181" fontId="7" fillId="0" borderId="0" xfId="566" applyNumberFormat="1" applyFont="1" applyAlignment="1">
      <alignment horizontal="right" vertical="top" wrapText="1"/>
    </xf>
    <xf numFmtId="181" fontId="7" fillId="0" borderId="0" xfId="0" applyNumberFormat="1" applyFont="1" applyAlignment="1">
      <alignment horizontal="right" vertical="top" wrapText="1"/>
    </xf>
    <xf numFmtId="177" fontId="7" fillId="0" borderId="0" xfId="566" applyNumberFormat="1" applyFont="1" applyFill="1" applyAlignment="1">
      <alignment vertical="top" wrapText="1"/>
    </xf>
    <xf numFmtId="3" fontId="7" fillId="0" borderId="0" xfId="0" applyNumberFormat="1" applyFont="1" applyFill="1" applyAlignment="1">
      <alignment vertical="top" wrapText="1"/>
    </xf>
    <xf numFmtId="182" fontId="7" fillId="0" borderId="0" xfId="566" applyNumberFormat="1" applyFont="1" applyFill="1" applyAlignment="1">
      <alignment vertical="top" wrapText="1"/>
    </xf>
    <xf numFmtId="182" fontId="7" fillId="0" borderId="0" xfId="566" applyNumberFormat="1" applyFont="1" applyFill="1"/>
    <xf numFmtId="182" fontId="7" fillId="0" borderId="0" xfId="0" applyNumberFormat="1" applyFont="1" applyFill="1" applyAlignment="1">
      <alignment vertical="top" wrapText="1"/>
    </xf>
    <xf numFmtId="1" fontId="0" fillId="0" borderId="0" xfId="0" applyNumberFormat="1" applyFill="1"/>
    <xf numFmtId="1" fontId="9" fillId="0" borderId="0" xfId="566" applyNumberFormat="1" applyFont="1" applyFill="1"/>
    <xf numFmtId="10" fontId="7" fillId="0" borderId="0" xfId="566" applyNumberFormat="1" applyFont="1" applyFill="1" applyAlignment="1">
      <alignment vertical="top" wrapText="1"/>
    </xf>
    <xf numFmtId="0" fontId="15" fillId="0" borderId="0" xfId="0" applyFont="1"/>
    <xf numFmtId="0" fontId="5" fillId="0" borderId="0" xfId="0" applyFont="1"/>
    <xf numFmtId="3" fontId="5" fillId="0" borderId="0" xfId="0" applyNumberFormat="1" applyFont="1"/>
    <xf numFmtId="0" fontId="6" fillId="0" borderId="0" xfId="0" applyFont="1"/>
    <xf numFmtId="190" fontId="17" fillId="0" borderId="0" xfId="0" applyNumberFormat="1" applyFont="1"/>
    <xf numFmtId="3" fontId="5" fillId="0" borderId="0" xfId="1" applyNumberFormat="1" applyFont="1"/>
    <xf numFmtId="0" fontId="6" fillId="0" borderId="0" xfId="0" applyFont="1" applyAlignment="1">
      <alignment horizontal="center"/>
    </xf>
    <xf numFmtId="0" fontId="6" fillId="0" borderId="5" xfId="0" applyFont="1" applyBorder="1"/>
    <xf numFmtId="0" fontId="6" fillId="0" borderId="5" xfId="0" applyFont="1" applyBorder="1" applyAlignment="1">
      <alignment horizontal="right"/>
    </xf>
    <xf numFmtId="0" fontId="6" fillId="0" borderId="5" xfId="0" applyFont="1" applyBorder="1" applyAlignment="1">
      <alignment horizontal="center"/>
    </xf>
    <xf numFmtId="0" fontId="6" fillId="0" borderId="5" xfId="0" applyFont="1" applyFill="1" applyBorder="1" applyAlignment="1">
      <alignment horizontal="center"/>
    </xf>
    <xf numFmtId="10" fontId="5" fillId="0" borderId="0" xfId="566" applyNumberFormat="1" applyFont="1"/>
    <xf numFmtId="0" fontId="5" fillId="0" borderId="5" xfId="0" applyFont="1" applyBorder="1"/>
    <xf numFmtId="3" fontId="5" fillId="0" borderId="5" xfId="0" applyNumberFormat="1" applyFont="1" applyBorder="1"/>
    <xf numFmtId="10" fontId="5" fillId="0" borderId="5" xfId="566" applyNumberFormat="1" applyFont="1" applyBorder="1"/>
    <xf numFmtId="3" fontId="5" fillId="0" borderId="5" xfId="1" applyNumberFormat="1" applyFont="1" applyBorder="1"/>
    <xf numFmtId="184" fontId="5" fillId="0" borderId="3" xfId="0" applyNumberFormat="1" applyFont="1" applyBorder="1"/>
    <xf numFmtId="0" fontId="18" fillId="0" borderId="0" xfId="0" applyFont="1" applyAlignment="1">
      <alignment horizontal="center" vertical="center"/>
    </xf>
    <xf numFmtId="3" fontId="5" fillId="0" borderId="0" xfId="0" applyNumberFormat="1" applyFont="1" applyFill="1" applyBorder="1"/>
    <xf numFmtId="177" fontId="5" fillId="0" borderId="0" xfId="566" applyNumberFormat="1" applyFont="1"/>
    <xf numFmtId="177" fontId="5" fillId="0" borderId="5" xfId="566" applyNumberFormat="1" applyFont="1" applyBorder="1"/>
    <xf numFmtId="184" fontId="5" fillId="0" borderId="5" xfId="0" applyNumberFormat="1" applyFont="1" applyBorder="1"/>
    <xf numFmtId="0" fontId="5" fillId="0" borderId="6" xfId="0" applyFont="1" applyBorder="1"/>
    <xf numFmtId="3" fontId="5" fillId="0" borderId="6" xfId="0" applyNumberFormat="1" applyFont="1" applyBorder="1"/>
    <xf numFmtId="184" fontId="5" fillId="0" borderId="6" xfId="0" applyNumberFormat="1" applyFont="1" applyBorder="1"/>
    <xf numFmtId="3" fontId="5" fillId="0" borderId="0" xfId="1" quotePrefix="1" applyNumberFormat="1" applyFont="1"/>
    <xf numFmtId="10" fontId="7" fillId="0" borderId="0" xfId="0" applyNumberFormat="1" applyFont="1" applyFill="1" applyAlignment="1">
      <alignment vertical="top" wrapText="1"/>
    </xf>
    <xf numFmtId="1" fontId="0" fillId="0" borderId="0" xfId="566" applyNumberFormat="1" applyFont="1" applyFill="1"/>
    <xf numFmtId="10" fontId="0" fillId="0" borderId="0" xfId="566" applyNumberFormat="1" applyFont="1"/>
    <xf numFmtId="1" fontId="0" fillId="0" borderId="0" xfId="1" applyNumberFormat="1" applyFont="1" applyFill="1"/>
    <xf numFmtId="1" fontId="9" fillId="0" borderId="0" xfId="1" applyNumberFormat="1" applyFont="1" applyFill="1"/>
    <xf numFmtId="1" fontId="0" fillId="0" borderId="0" xfId="1" applyNumberFormat="1" applyFont="1" applyFill="1" applyAlignment="1">
      <alignment horizontal="right" indent="3"/>
    </xf>
    <xf numFmtId="1" fontId="0" fillId="0" borderId="0" xfId="0" applyNumberFormat="1" applyFill="1" applyAlignment="1">
      <alignment horizontal="right" indent="3"/>
    </xf>
    <xf numFmtId="1" fontId="0" fillId="0" borderId="4" xfId="0" applyNumberFormat="1" applyFill="1" applyBorder="1" applyAlignment="1">
      <alignment horizontal="right" indent="3"/>
    </xf>
    <xf numFmtId="1" fontId="0" fillId="0" borderId="0" xfId="0" applyNumberFormat="1" applyAlignment="1">
      <alignment horizontal="right" indent="3"/>
    </xf>
    <xf numFmtId="187" fontId="7" fillId="0" borderId="0" xfId="0" applyNumberFormat="1" applyFont="1" applyFill="1" applyAlignment="1">
      <alignment vertical="top" wrapText="1"/>
    </xf>
    <xf numFmtId="3" fontId="7" fillId="0" borderId="0" xfId="0" applyNumberFormat="1" applyFont="1" applyFill="1" applyAlignment="1">
      <alignment horizontal="right" vertical="top" wrapText="1"/>
    </xf>
    <xf numFmtId="10" fontId="4" fillId="0" borderId="0" xfId="566" applyNumberFormat="1" applyFont="1" applyAlignment="1">
      <alignment horizontal="right"/>
    </xf>
    <xf numFmtId="166" fontId="0" fillId="0" borderId="0" xfId="0" applyNumberFormat="1" applyAlignment="1">
      <alignment horizontal="right"/>
    </xf>
    <xf numFmtId="3" fontId="7" fillId="0" borderId="0" xfId="566" applyNumberFormat="1" applyFont="1"/>
    <xf numFmtId="166" fontId="1" fillId="0" borderId="0" xfId="272"/>
    <xf numFmtId="49" fontId="7" fillId="0" borderId="0" xfId="0" applyNumberFormat="1" applyFont="1" applyFill="1" applyAlignment="1">
      <alignment horizontal="right" vertical="top" wrapText="1"/>
    </xf>
    <xf numFmtId="182" fontId="7" fillId="0" borderId="0" xfId="0" applyNumberFormat="1" applyFont="1" applyFill="1" applyAlignment="1">
      <alignment horizontal="right" vertical="top" wrapText="1"/>
    </xf>
    <xf numFmtId="10" fontId="7" fillId="0" borderId="0" xfId="566" applyNumberFormat="1" applyFont="1" applyFill="1" applyAlignment="1">
      <alignment horizontal="right" vertical="top" wrapText="1"/>
    </xf>
    <xf numFmtId="0" fontId="7" fillId="0" borderId="0" xfId="0" applyFont="1" applyFill="1" applyAlignment="1">
      <alignment vertical="top" wrapText="1"/>
    </xf>
    <xf numFmtId="0" fontId="19" fillId="0" borderId="0" xfId="0" applyFont="1" applyFill="1"/>
    <xf numFmtId="175" fontId="19" fillId="0" borderId="0" xfId="0" applyNumberFormat="1" applyFont="1" applyFill="1" applyAlignment="1">
      <alignment horizontal="right"/>
    </xf>
    <xf numFmtId="175" fontId="19" fillId="0" borderId="0" xfId="0" quotePrefix="1" applyNumberFormat="1" applyFont="1" applyFill="1" applyAlignment="1">
      <alignment horizontal="right"/>
    </xf>
    <xf numFmtId="1" fontId="19" fillId="0" borderId="0" xfId="1" applyNumberFormat="1" applyFont="1" applyFill="1" applyAlignment="1">
      <alignment horizontal="right" indent="3"/>
    </xf>
    <xf numFmtId="1" fontId="19" fillId="0" borderId="0" xfId="0" applyNumberFormat="1" applyFont="1" applyFill="1"/>
    <xf numFmtId="3" fontId="19" fillId="0" borderId="0" xfId="0" applyNumberFormat="1" applyFont="1" applyFill="1"/>
    <xf numFmtId="1" fontId="19" fillId="0" borderId="0" xfId="566" applyNumberFormat="1" applyFont="1" applyFill="1"/>
    <xf numFmtId="182" fontId="7" fillId="0" borderId="0" xfId="0" applyNumberFormat="1" applyFont="1" applyFill="1" applyBorder="1" applyAlignment="1">
      <alignment horizontal="right" vertical="top" wrapText="1"/>
    </xf>
    <xf numFmtId="3" fontId="7" fillId="0" borderId="0" xfId="0" applyNumberFormat="1" applyFont="1" applyFill="1" applyBorder="1" applyAlignment="1">
      <alignment horizontal="right" vertical="top" wrapText="1"/>
    </xf>
    <xf numFmtId="10" fontId="4" fillId="0" borderId="0" xfId="0" applyNumberFormat="1" applyFont="1" applyBorder="1" applyAlignment="1">
      <alignment horizontal="center"/>
    </xf>
    <xf numFmtId="0" fontId="7" fillId="0" borderId="0" xfId="0" applyFont="1" applyFill="1" applyAlignment="1">
      <alignment horizontal="right" vertical="top" wrapText="1"/>
    </xf>
    <xf numFmtId="3" fontId="7" fillId="0" borderId="2" xfId="0" applyNumberFormat="1" applyFont="1" applyFill="1" applyBorder="1" applyAlignment="1">
      <alignment horizontal="right" vertical="top" wrapText="1"/>
    </xf>
    <xf numFmtId="3" fontId="7" fillId="0" borderId="2" xfId="566" applyNumberFormat="1" applyFont="1" applyFill="1" applyBorder="1"/>
    <xf numFmtId="3" fontId="7" fillId="0" borderId="2" xfId="575" applyNumberFormat="1" applyFont="1" applyFill="1" applyBorder="1"/>
    <xf numFmtId="0" fontId="7" fillId="0" borderId="2" xfId="0" applyFont="1" applyFill="1" applyBorder="1" applyAlignment="1">
      <alignment vertical="top" wrapText="1"/>
    </xf>
    <xf numFmtId="10" fontId="7" fillId="0" borderId="2" xfId="566" applyNumberFormat="1" applyFont="1" applyFill="1" applyBorder="1" applyAlignment="1">
      <alignment vertical="top" wrapText="1"/>
    </xf>
    <xf numFmtId="0" fontId="7" fillId="0" borderId="1" xfId="0" applyFont="1" applyFill="1" applyBorder="1" applyAlignment="1">
      <alignment vertical="top" wrapText="1"/>
    </xf>
    <xf numFmtId="182" fontId="7" fillId="0" borderId="1" xfId="0" applyNumberFormat="1" applyFont="1" applyFill="1" applyBorder="1" applyAlignment="1">
      <alignment vertical="top" wrapText="1"/>
    </xf>
    <xf numFmtId="182" fontId="7" fillId="0" borderId="1" xfId="566" applyNumberFormat="1" applyFont="1" applyFill="1" applyBorder="1" applyAlignment="1">
      <alignment vertical="top" wrapText="1"/>
    </xf>
    <xf numFmtId="3" fontId="7" fillId="0" borderId="2" xfId="0" applyNumberFormat="1" applyFont="1" applyFill="1" applyBorder="1" applyAlignment="1">
      <alignment vertical="top" wrapText="1"/>
    </xf>
    <xf numFmtId="1" fontId="19" fillId="0" borderId="0" xfId="1" applyNumberFormat="1" applyFont="1" applyFill="1"/>
    <xf numFmtId="192" fontId="7" fillId="0" borderId="0" xfId="0" applyNumberFormat="1" applyFont="1" applyFill="1" applyAlignment="1">
      <alignment horizontal="right" vertical="top" wrapText="1"/>
    </xf>
    <xf numFmtId="1" fontId="19" fillId="0" borderId="0" xfId="566" applyNumberFormat="1" applyFont="1"/>
    <xf numFmtId="3" fontId="19" fillId="0" borderId="0" xfId="0" applyNumberFormat="1" applyFont="1"/>
    <xf numFmtId="182" fontId="0" fillId="0" borderId="0" xfId="0" applyNumberFormat="1" applyBorder="1" applyAlignment="1">
      <alignment horizontal="right"/>
    </xf>
    <xf numFmtId="182" fontId="7" fillId="0" borderId="0" xfId="0" applyNumberFormat="1" applyFont="1" applyFill="1" applyBorder="1" applyAlignment="1">
      <alignment vertical="top" wrapText="1"/>
    </xf>
    <xf numFmtId="182" fontId="7" fillId="0" borderId="2" xfId="0" applyNumberFormat="1" applyFont="1" applyFill="1" applyBorder="1" applyAlignment="1">
      <alignment vertical="top" wrapText="1"/>
    </xf>
    <xf numFmtId="3" fontId="0" fillId="0" borderId="0" xfId="0" applyNumberFormat="1" applyFill="1" applyBorder="1" applyAlignment="1">
      <alignment horizontal="right"/>
    </xf>
    <xf numFmtId="3" fontId="0" fillId="0" borderId="2" xfId="0" applyNumberFormat="1" applyBorder="1" applyAlignment="1">
      <alignment horizontal="right"/>
    </xf>
    <xf numFmtId="49" fontId="7" fillId="0" borderId="0" xfId="0" applyNumberFormat="1" applyFont="1" applyFill="1" applyBorder="1" applyAlignment="1">
      <alignment horizontal="right" vertical="top" wrapText="1"/>
    </xf>
    <xf numFmtId="10" fontId="7" fillId="0" borderId="0" xfId="566" applyNumberFormat="1" applyFont="1" applyFill="1" applyBorder="1" applyAlignment="1">
      <alignment horizontal="right" vertical="top" wrapText="1"/>
    </xf>
    <xf numFmtId="0" fontId="7" fillId="0" borderId="0" xfId="0" applyFont="1" applyFill="1" applyBorder="1" applyAlignment="1">
      <alignment vertical="top" wrapText="1"/>
    </xf>
    <xf numFmtId="182" fontId="0" fillId="0" borderId="0" xfId="1" applyNumberFormat="1" applyFont="1" applyAlignment="1">
      <alignment horizontal="right"/>
    </xf>
    <xf numFmtId="3" fontId="7" fillId="0" borderId="7" xfId="0" applyNumberFormat="1" applyFont="1" applyFill="1" applyBorder="1" applyAlignment="1">
      <alignment horizontal="right" vertical="top" wrapText="1"/>
    </xf>
    <xf numFmtId="3" fontId="7" fillId="0" borderId="7" xfId="0" applyNumberFormat="1" applyFont="1" applyFill="1" applyBorder="1" applyAlignment="1">
      <alignment vertical="top" wrapText="1"/>
    </xf>
    <xf numFmtId="3" fontId="4" fillId="0" borderId="7" xfId="0" applyNumberFormat="1" applyFont="1" applyBorder="1" applyAlignment="1"/>
    <xf numFmtId="3" fontId="7" fillId="0" borderId="7" xfId="566" applyNumberFormat="1" applyFont="1" applyFill="1" applyBorder="1"/>
    <xf numFmtId="3" fontId="7" fillId="0" borderId="7" xfId="575" applyNumberFormat="1" applyFont="1" applyFill="1" applyBorder="1"/>
    <xf numFmtId="3" fontId="0" fillId="0" borderId="7" xfId="1" applyNumberFormat="1" applyFont="1" applyBorder="1" applyAlignment="1">
      <alignment horizontal="right"/>
    </xf>
    <xf numFmtId="3" fontId="4" fillId="0" borderId="7" xfId="1" applyNumberFormat="1" applyFont="1" applyBorder="1" applyAlignment="1">
      <alignment horizontal="right"/>
    </xf>
    <xf numFmtId="49" fontId="7" fillId="3" borderId="4" xfId="0" applyNumberFormat="1" applyFont="1" applyFill="1" applyBorder="1" applyAlignment="1">
      <alignment horizontal="right" vertical="top" wrapText="1"/>
    </xf>
    <xf numFmtId="49" fontId="7" fillId="3" borderId="8" xfId="0" applyNumberFormat="1" applyFont="1" applyFill="1" applyBorder="1" applyAlignment="1">
      <alignment horizontal="right" vertical="top" wrapText="1"/>
    </xf>
    <xf numFmtId="49" fontId="4" fillId="0" borderId="4" xfId="0" applyNumberFormat="1" applyFont="1" applyBorder="1" applyAlignment="1">
      <alignment horizontal="right"/>
    </xf>
    <xf numFmtId="49" fontId="4" fillId="0" borderId="4" xfId="1" applyNumberFormat="1" applyFont="1" applyBorder="1" applyAlignment="1">
      <alignment horizontal="right"/>
    </xf>
    <xf numFmtId="49" fontId="4" fillId="0" borderId="8" xfId="0" applyNumberFormat="1" applyFont="1" applyBorder="1" applyAlignment="1">
      <alignment horizontal="right"/>
    </xf>
    <xf numFmtId="49" fontId="4" fillId="4" borderId="4" xfId="0" applyNumberFormat="1" applyFont="1" applyFill="1" applyBorder="1" applyAlignment="1">
      <alignment horizontal="right"/>
    </xf>
    <xf numFmtId="0" fontId="4" fillId="5" borderId="4" xfId="0" applyFont="1" applyFill="1" applyBorder="1" applyAlignment="1">
      <alignment horizontal="right"/>
    </xf>
    <xf numFmtId="0" fontId="20" fillId="6" borderId="4" xfId="0" applyFont="1" applyFill="1" applyBorder="1" applyAlignment="1">
      <alignment horizontal="right"/>
    </xf>
    <xf numFmtId="49" fontId="7" fillId="0" borderId="8" xfId="575" applyFont="1" applyFill="1" applyBorder="1" applyAlignment="1">
      <alignment horizontal="right"/>
    </xf>
    <xf numFmtId="49" fontId="7" fillId="0" borderId="2" xfId="0" applyNumberFormat="1" applyFont="1" applyFill="1" applyBorder="1" applyAlignment="1">
      <alignment horizontal="right" vertical="top" wrapText="1"/>
    </xf>
    <xf numFmtId="175" fontId="7" fillId="0" borderId="2" xfId="0" applyNumberFormat="1" applyFont="1" applyFill="1" applyBorder="1" applyAlignment="1">
      <alignment horizontal="right" vertical="top" wrapText="1"/>
    </xf>
    <xf numFmtId="175" fontId="7" fillId="0" borderId="2" xfId="0" applyNumberFormat="1" applyFont="1" applyFill="1" applyBorder="1"/>
    <xf numFmtId="0" fontId="6" fillId="0" borderId="9" xfId="0" applyFont="1" applyFill="1" applyBorder="1" applyAlignment="1">
      <alignment horizontal="right"/>
    </xf>
    <xf numFmtId="49" fontId="2" fillId="4" borderId="4" xfId="0" applyNumberFormat="1" applyFont="1" applyFill="1" applyBorder="1" applyAlignment="1">
      <alignment horizontal="right"/>
    </xf>
    <xf numFmtId="0" fontId="2" fillId="5" borderId="4" xfId="0" applyFont="1" applyFill="1" applyBorder="1" applyAlignment="1">
      <alignment horizontal="right"/>
    </xf>
    <xf numFmtId="0" fontId="21" fillId="6" borderId="9" xfId="0" applyFont="1" applyFill="1" applyBorder="1" applyAlignment="1">
      <alignment horizontal="right"/>
    </xf>
    <xf numFmtId="49" fontId="7" fillId="4" borderId="9" xfId="0" applyNumberFormat="1" applyFont="1" applyFill="1" applyBorder="1" applyAlignment="1">
      <alignment horizontal="right" vertical="top" wrapText="1"/>
    </xf>
    <xf numFmtId="49" fontId="7" fillId="4" borderId="4" xfId="0" applyNumberFormat="1" applyFont="1" applyFill="1" applyBorder="1" applyAlignment="1">
      <alignment horizontal="right" vertical="top" wrapText="1"/>
    </xf>
    <xf numFmtId="0" fontId="7" fillId="7" borderId="9" xfId="0" applyFont="1" applyFill="1" applyBorder="1" applyAlignment="1">
      <alignment horizontal="right" vertical="top" wrapText="1"/>
    </xf>
    <xf numFmtId="0" fontId="7" fillId="7" borderId="4" xfId="0" applyFont="1" applyFill="1" applyBorder="1" applyAlignment="1">
      <alignment horizontal="right" vertical="top" wrapText="1"/>
    </xf>
    <xf numFmtId="0" fontId="7" fillId="7" borderId="8" xfId="0" applyFont="1" applyFill="1" applyBorder="1" applyAlignment="1">
      <alignment horizontal="right" vertical="top" wrapText="1"/>
    </xf>
    <xf numFmtId="0" fontId="7" fillId="5" borderId="4" xfId="0" applyFont="1" applyFill="1" applyBorder="1" applyAlignment="1">
      <alignment horizontal="right" vertical="top" wrapText="1"/>
    </xf>
    <xf numFmtId="49" fontId="20" fillId="6" borderId="4" xfId="0" applyNumberFormat="1" applyFont="1" applyFill="1" applyBorder="1" applyAlignment="1">
      <alignment horizontal="right" vertical="top" wrapText="1"/>
    </xf>
    <xf numFmtId="49" fontId="7" fillId="4" borderId="10" xfId="0" applyNumberFormat="1" applyFont="1" applyFill="1" applyBorder="1" applyAlignment="1">
      <alignment horizontal="right" vertical="top" wrapText="1"/>
    </xf>
    <xf numFmtId="0" fontId="7" fillId="7" borderId="10" xfId="0" applyFont="1" applyFill="1" applyBorder="1" applyAlignment="1">
      <alignment horizontal="right" vertical="top" wrapText="1"/>
    </xf>
    <xf numFmtId="3" fontId="7" fillId="0" borderId="7" xfId="0" applyNumberFormat="1" applyFont="1" applyFill="1" applyBorder="1"/>
    <xf numFmtId="0" fontId="7" fillId="5" borderId="10" xfId="0" applyFont="1" applyFill="1" applyBorder="1" applyAlignment="1">
      <alignment horizontal="right" vertical="top" wrapText="1"/>
    </xf>
    <xf numFmtId="0" fontId="20" fillId="6" borderId="10" xfId="0" applyFont="1" applyFill="1" applyBorder="1" applyAlignment="1">
      <alignment horizontal="right" vertical="top" wrapText="1"/>
    </xf>
    <xf numFmtId="49" fontId="20" fillId="6" borderId="10" xfId="0" applyNumberFormat="1" applyFont="1" applyFill="1" applyBorder="1" applyAlignment="1">
      <alignment horizontal="right" vertical="top" wrapText="1"/>
    </xf>
    <xf numFmtId="49" fontId="7" fillId="3" borderId="10" xfId="0" applyNumberFormat="1" applyFont="1" applyFill="1" applyBorder="1" applyAlignment="1">
      <alignment horizontal="right" vertical="top" wrapText="1"/>
    </xf>
    <xf numFmtId="49" fontId="20" fillId="6" borderId="8" xfId="0" applyNumberFormat="1" applyFont="1" applyFill="1" applyBorder="1" applyAlignment="1">
      <alignment horizontal="right"/>
    </xf>
    <xf numFmtId="49" fontId="20" fillId="6" borderId="4" xfId="0" applyNumberFormat="1" applyFont="1" applyFill="1" applyBorder="1" applyAlignment="1">
      <alignment horizontal="right"/>
    </xf>
    <xf numFmtId="3" fontId="7" fillId="0" borderId="0" xfId="0" applyNumberFormat="1" applyFont="1" applyFill="1" applyBorder="1" applyAlignment="1">
      <alignment vertical="top" wrapText="1"/>
    </xf>
    <xf numFmtId="182" fontId="0" fillId="0" borderId="0" xfId="1" applyNumberFormat="1" applyFont="1" applyBorder="1" applyAlignment="1">
      <alignment horizontal="right"/>
    </xf>
    <xf numFmtId="0" fontId="4" fillId="0" borderId="0" xfId="0" applyFont="1" applyBorder="1"/>
    <xf numFmtId="3" fontId="4" fillId="0" borderId="0" xfId="0" applyNumberFormat="1" applyFont="1" applyBorder="1" applyAlignment="1"/>
    <xf numFmtId="3" fontId="7" fillId="0" borderId="0" xfId="575" applyNumberFormat="1" applyFont="1" applyFill="1" applyBorder="1"/>
    <xf numFmtId="10" fontId="7" fillId="0" borderId="0" xfId="566" applyNumberFormat="1" applyFont="1" applyFill="1" applyBorder="1" applyAlignment="1">
      <alignment vertical="top" wrapText="1"/>
    </xf>
    <xf numFmtId="49" fontId="7" fillId="3" borderId="11" xfId="0" applyNumberFormat="1" applyFont="1" applyFill="1" applyBorder="1" applyAlignment="1">
      <alignment horizontal="right" vertical="top" wrapText="1"/>
    </xf>
    <xf numFmtId="49" fontId="7" fillId="0" borderId="12" xfId="0" applyNumberFormat="1" applyFont="1" applyFill="1" applyBorder="1" applyAlignment="1">
      <alignment horizontal="right" vertical="top" wrapText="1"/>
    </xf>
    <xf numFmtId="182" fontId="7" fillId="0" borderId="12" xfId="0" applyNumberFormat="1" applyFont="1" applyFill="1" applyBorder="1" applyAlignment="1">
      <alignment horizontal="right" vertical="top" wrapText="1"/>
    </xf>
    <xf numFmtId="174" fontId="4" fillId="0" borderId="12" xfId="1" applyNumberFormat="1" applyFont="1" applyBorder="1" applyAlignment="1">
      <alignment horizontal="center"/>
    </xf>
    <xf numFmtId="185" fontId="7" fillId="0" borderId="12" xfId="566" applyNumberFormat="1" applyFont="1" applyFill="1" applyBorder="1"/>
    <xf numFmtId="49" fontId="7" fillId="0" borderId="12" xfId="575" applyFont="1" applyFill="1" applyBorder="1"/>
    <xf numFmtId="2" fontId="7" fillId="0" borderId="12" xfId="575" applyNumberFormat="1" applyFont="1" applyFill="1" applyBorder="1"/>
    <xf numFmtId="182" fontId="7" fillId="0" borderId="0" xfId="566" applyNumberFormat="1" applyFont="1" applyFill="1" applyBorder="1" applyAlignment="1">
      <alignment vertical="top" wrapText="1"/>
    </xf>
    <xf numFmtId="49" fontId="2" fillId="0" borderId="4" xfId="0" applyNumberFormat="1" applyFont="1" applyBorder="1" applyAlignment="1">
      <alignment horizontal="right"/>
    </xf>
    <xf numFmtId="175" fontId="9" fillId="0" borderId="0" xfId="0" quotePrefix="1" applyNumberFormat="1" applyFont="1" applyFill="1" applyAlignment="1">
      <alignment horizontal="right"/>
    </xf>
    <xf numFmtId="0" fontId="0" fillId="0" borderId="5" xfId="0" applyBorder="1"/>
    <xf numFmtId="0" fontId="0" fillId="0" borderId="0" xfId="0" applyAlignment="1">
      <alignment horizontal="justify"/>
    </xf>
    <xf numFmtId="49" fontId="2" fillId="0" borderId="0" xfId="575" applyFont="1"/>
    <xf numFmtId="181" fontId="4" fillId="0" borderId="0" xfId="272" applyNumberFormat="1" applyFont="1"/>
    <xf numFmtId="3" fontId="4" fillId="0" borderId="0" xfId="221" applyNumberFormat="1" applyFont="1"/>
    <xf numFmtId="3" fontId="2" fillId="0" borderId="0" xfId="0" applyNumberFormat="1" applyFont="1" applyAlignment="1">
      <alignment horizontal="right" vertical="top" wrapText="1"/>
    </xf>
    <xf numFmtId="0" fontId="2" fillId="0" borderId="0" xfId="0" applyFont="1" applyAlignment="1">
      <alignment vertical="top" wrapText="1"/>
    </xf>
    <xf numFmtId="14" fontId="4" fillId="0" borderId="0" xfId="0" applyNumberFormat="1" applyFont="1" applyAlignment="1">
      <alignment vertical="top" wrapText="1"/>
    </xf>
    <xf numFmtId="181" fontId="4" fillId="0" borderId="0" xfId="0" applyNumberFormat="1" applyFont="1" applyAlignment="1">
      <alignment vertical="top" wrapText="1"/>
    </xf>
    <xf numFmtId="3" fontId="2" fillId="0" borderId="0" xfId="0" applyNumberFormat="1" applyFont="1" applyAlignment="1">
      <alignment vertical="top" wrapText="1"/>
    </xf>
    <xf numFmtId="3" fontId="1" fillId="0" borderId="0" xfId="221" applyNumberFormat="1"/>
    <xf numFmtId="3" fontId="1" fillId="0" borderId="0" xfId="272" applyNumberFormat="1"/>
    <xf numFmtId="0" fontId="0" fillId="0" borderId="0" xfId="0" applyAlignment="1">
      <alignment horizontal="center"/>
    </xf>
    <xf numFmtId="3" fontId="7" fillId="0" borderId="7" xfId="0" applyNumberFormat="1" applyFont="1" applyBorder="1"/>
    <xf numFmtId="10" fontId="4" fillId="0" borderId="0" xfId="566" applyNumberFormat="1" applyFont="1"/>
    <xf numFmtId="49" fontId="7" fillId="0" borderId="1" xfId="0" applyNumberFormat="1" applyFont="1" applyFill="1" applyBorder="1" applyAlignment="1">
      <alignment horizontal="right" vertical="top" wrapText="1"/>
    </xf>
    <xf numFmtId="0" fontId="7" fillId="0" borderId="1" xfId="0" applyFont="1" applyFill="1" applyBorder="1" applyAlignment="1">
      <alignment horizontal="left" vertical="top" wrapText="1"/>
    </xf>
    <xf numFmtId="1" fontId="9" fillId="0" borderId="0" xfId="0" applyNumberFormat="1" applyFont="1" applyFill="1"/>
    <xf numFmtId="182" fontId="0" fillId="0" borderId="0" xfId="0" applyNumberFormat="1"/>
    <xf numFmtId="182" fontId="4" fillId="0" borderId="0" xfId="0" applyNumberFormat="1" applyFont="1" applyAlignment="1">
      <alignment horizontal="right"/>
    </xf>
    <xf numFmtId="49" fontId="4" fillId="0" borderId="0" xfId="0" applyNumberFormat="1" applyFont="1" applyAlignment="1">
      <alignment horizontal="right"/>
    </xf>
    <xf numFmtId="182" fontId="4" fillId="0" borderId="0" xfId="566" applyNumberFormat="1" applyFont="1" applyAlignment="1">
      <alignment horizontal="right"/>
    </xf>
    <xf numFmtId="182" fontId="4" fillId="0" borderId="0" xfId="0" applyNumberFormat="1" applyFont="1"/>
    <xf numFmtId="182" fontId="2" fillId="0" borderId="0" xfId="0" applyNumberFormat="1" applyFont="1" applyAlignment="1">
      <alignment horizontal="right"/>
    </xf>
    <xf numFmtId="9" fontId="4" fillId="0" borderId="0" xfId="566" applyFont="1" applyAlignment="1">
      <alignment horizontal="right"/>
    </xf>
    <xf numFmtId="9" fontId="4" fillId="0" borderId="5" xfId="566" applyFont="1" applyBorder="1" applyAlignment="1">
      <alignment horizontal="right"/>
    </xf>
    <xf numFmtId="9" fontId="4" fillId="0" borderId="0" xfId="566" applyFont="1" applyBorder="1" applyAlignment="1">
      <alignment horizontal="right"/>
    </xf>
    <xf numFmtId="0" fontId="4" fillId="0" borderId="0" xfId="0" applyFont="1" applyBorder="1" applyAlignment="1">
      <alignment horizontal="right"/>
    </xf>
    <xf numFmtId="3" fontId="7" fillId="0" borderId="0" xfId="0" applyNumberFormat="1" applyFont="1" applyFill="1" applyBorder="1" applyAlignment="1">
      <alignment horizontal="right"/>
    </xf>
    <xf numFmtId="0" fontId="4" fillId="0" borderId="0" xfId="0" applyFont="1" applyAlignment="1">
      <alignment horizontal="right"/>
    </xf>
    <xf numFmtId="0" fontId="4" fillId="7" borderId="4" xfId="0" applyFont="1" applyFill="1" applyBorder="1" applyAlignment="1">
      <alignment horizontal="right"/>
    </xf>
    <xf numFmtId="1" fontId="5" fillId="0" borderId="0" xfId="0" applyNumberFormat="1" applyFont="1" applyAlignment="1">
      <alignment horizontal="right"/>
    </xf>
    <xf numFmtId="181" fontId="7" fillId="0" borderId="0" xfId="566" applyNumberFormat="1" applyFont="1" applyAlignment="1">
      <alignment horizontal="right"/>
    </xf>
    <xf numFmtId="181" fontId="7" fillId="0" borderId="0" xfId="272" applyNumberFormat="1" applyFont="1" applyAlignment="1">
      <alignment horizontal="right"/>
    </xf>
    <xf numFmtId="181" fontId="7" fillId="0" borderId="0" xfId="0" applyNumberFormat="1" applyFont="1" applyAlignment="1">
      <alignment horizontal="right"/>
    </xf>
    <xf numFmtId="3" fontId="7" fillId="0" borderId="0" xfId="566" applyNumberFormat="1" applyFont="1" applyAlignment="1">
      <alignment horizontal="right"/>
    </xf>
    <xf numFmtId="181" fontId="1" fillId="0" borderId="0" xfId="272" applyNumberFormat="1" applyAlignment="1">
      <alignment horizontal="right"/>
    </xf>
    <xf numFmtId="181" fontId="0" fillId="0" borderId="0" xfId="0" applyNumberFormat="1" applyAlignment="1">
      <alignment horizontal="right"/>
    </xf>
    <xf numFmtId="3" fontId="7" fillId="0" borderId="0" xfId="0" applyNumberFormat="1" applyFont="1" applyAlignment="1">
      <alignment horizontal="right"/>
    </xf>
    <xf numFmtId="3" fontId="7" fillId="0" borderId="0" xfId="1" applyNumberFormat="1" applyFont="1" applyFill="1" applyAlignment="1">
      <alignment horizontal="right"/>
    </xf>
    <xf numFmtId="10" fontId="7" fillId="0" borderId="0" xfId="566" applyNumberFormat="1" applyFont="1" applyAlignment="1">
      <alignment horizontal="right"/>
    </xf>
    <xf numFmtId="181" fontId="4" fillId="0" borderId="0" xfId="0" applyNumberFormat="1" applyFont="1" applyAlignment="1">
      <alignment horizontal="right"/>
    </xf>
    <xf numFmtId="3" fontId="7" fillId="0" borderId="0" xfId="1" applyNumberFormat="1" applyFont="1" applyBorder="1" applyAlignment="1">
      <alignment horizontal="right"/>
    </xf>
    <xf numFmtId="181" fontId="7" fillId="0" borderId="0" xfId="0" applyNumberFormat="1" applyFont="1" applyBorder="1" applyAlignment="1">
      <alignment horizontal="right" vertical="top" wrapText="1"/>
    </xf>
    <xf numFmtId="0" fontId="2" fillId="0" borderId="0" xfId="0" applyFont="1" applyAlignment="1">
      <alignment horizontal="left"/>
    </xf>
    <xf numFmtId="49" fontId="2" fillId="0" borderId="0" xfId="0" applyNumberFormat="1" applyFont="1" applyAlignment="1">
      <alignment horizontal="left" vertical="top"/>
    </xf>
    <xf numFmtId="49" fontId="2" fillId="0" borderId="0" xfId="0" applyNumberFormat="1" applyFont="1" applyAlignment="1">
      <alignment horizontal="left"/>
    </xf>
    <xf numFmtId="182" fontId="4" fillId="0" borderId="0" xfId="566" applyNumberFormat="1" applyFont="1" applyFill="1" applyAlignment="1">
      <alignment horizontal="right"/>
    </xf>
    <xf numFmtId="182" fontId="24" fillId="0" borderId="13" xfId="0" applyNumberFormat="1" applyFont="1" applyBorder="1" applyAlignment="1">
      <alignment horizontal="right"/>
    </xf>
    <xf numFmtId="181" fontId="4" fillId="0" borderId="0" xfId="566" applyNumberFormat="1" applyFont="1" applyAlignment="1">
      <alignment horizontal="right"/>
    </xf>
    <xf numFmtId="9" fontId="24" fillId="0" borderId="0" xfId="566" applyFont="1" applyAlignment="1">
      <alignment horizontal="right"/>
    </xf>
    <xf numFmtId="182" fontId="24" fillId="0" borderId="0" xfId="0" applyNumberFormat="1" applyFont="1" applyAlignment="1">
      <alignment horizontal="right"/>
    </xf>
    <xf numFmtId="9" fontId="24" fillId="0" borderId="5" xfId="566" applyFont="1" applyBorder="1" applyAlignment="1">
      <alignment horizontal="right"/>
    </xf>
    <xf numFmtId="182" fontId="24" fillId="0" borderId="5" xfId="0" applyNumberFormat="1" applyFont="1" applyBorder="1" applyAlignment="1">
      <alignment horizontal="right"/>
    </xf>
    <xf numFmtId="182" fontId="4" fillId="0" borderId="5" xfId="0" applyNumberFormat="1" applyFont="1" applyBorder="1" applyAlignment="1">
      <alignment horizontal="right"/>
    </xf>
    <xf numFmtId="9" fontId="24" fillId="0" borderId="13" xfId="566" applyFont="1" applyBorder="1" applyAlignment="1">
      <alignment horizontal="right"/>
    </xf>
    <xf numFmtId="181" fontId="4" fillId="0" borderId="0" xfId="566" applyNumberFormat="1" applyFont="1" applyFill="1" applyAlignment="1">
      <alignment horizontal="right"/>
    </xf>
    <xf numFmtId="181" fontId="2" fillId="4" borderId="0" xfId="0" applyNumberFormat="1" applyFont="1" applyFill="1" applyAlignment="1">
      <alignment horizontal="right"/>
    </xf>
    <xf numFmtId="181" fontId="4" fillId="4" borderId="0" xfId="0" applyNumberFormat="1" applyFont="1" applyFill="1" applyAlignment="1">
      <alignment horizontal="right"/>
    </xf>
    <xf numFmtId="181" fontId="4" fillId="4" borderId="0" xfId="566" applyNumberFormat="1" applyFont="1" applyFill="1" applyAlignment="1">
      <alignment horizontal="right"/>
    </xf>
    <xf numFmtId="181" fontId="2" fillId="4" borderId="0" xfId="566" applyNumberFormat="1" applyFont="1" applyFill="1" applyAlignment="1">
      <alignment horizontal="right"/>
    </xf>
    <xf numFmtId="181" fontId="7" fillId="0" borderId="0" xfId="566" applyNumberFormat="1" applyFont="1" applyBorder="1"/>
    <xf numFmtId="49" fontId="7" fillId="0" borderId="0" xfId="575" applyFont="1" applyFill="1" applyBorder="1"/>
    <xf numFmtId="2" fontId="7" fillId="0" borderId="0" xfId="575" applyNumberFormat="1" applyFont="1" applyFill="1" applyBorder="1"/>
    <xf numFmtId="2" fontId="7" fillId="0" borderId="7" xfId="575" applyNumberFormat="1" applyFont="1" applyFill="1" applyBorder="1"/>
    <xf numFmtId="3" fontId="7" fillId="0" borderId="12" xfId="575" applyNumberFormat="1" applyFont="1" applyFill="1" applyBorder="1"/>
    <xf numFmtId="49" fontId="7" fillId="0" borderId="4" xfId="575" applyFont="1" applyFill="1" applyBorder="1"/>
    <xf numFmtId="49" fontId="7" fillId="0" borderId="11" xfId="575" applyFont="1" applyFill="1" applyBorder="1"/>
    <xf numFmtId="182" fontId="7" fillId="0" borderId="0" xfId="566" applyNumberFormat="1" applyFont="1" applyFill="1" applyBorder="1"/>
    <xf numFmtId="177" fontId="7" fillId="0" borderId="0" xfId="566" applyNumberFormat="1" applyFont="1" applyFill="1" applyBorder="1" applyAlignment="1">
      <alignment vertical="top" wrapText="1"/>
    </xf>
    <xf numFmtId="187" fontId="7" fillId="0" borderId="0" xfId="0" applyNumberFormat="1" applyFont="1" applyFill="1" applyBorder="1" applyAlignment="1">
      <alignment vertical="top" wrapText="1"/>
    </xf>
    <xf numFmtId="10" fontId="7" fillId="0" borderId="0" xfId="0" applyNumberFormat="1" applyFont="1" applyFill="1" applyBorder="1" applyAlignment="1">
      <alignment vertical="top" wrapText="1"/>
    </xf>
    <xf numFmtId="182" fontId="7" fillId="0" borderId="12" xfId="575" applyNumberFormat="1" applyFont="1" applyFill="1" applyBorder="1"/>
    <xf numFmtId="182" fontId="7" fillId="0" borderId="4" xfId="575" applyNumberFormat="1" applyFont="1" applyFill="1" applyBorder="1"/>
    <xf numFmtId="3" fontId="7" fillId="0" borderId="4" xfId="0" applyNumberFormat="1" applyFont="1" applyFill="1" applyBorder="1"/>
    <xf numFmtId="2" fontId="7" fillId="0" borderId="0" xfId="575" applyNumberFormat="1" applyFont="1" applyFill="1" applyBorder="1" applyAlignment="1">
      <alignment horizontal="right"/>
    </xf>
    <xf numFmtId="2" fontId="7" fillId="0" borderId="2" xfId="575" applyNumberFormat="1" applyFont="1" applyFill="1" applyBorder="1"/>
    <xf numFmtId="0" fontId="7" fillId="0" borderId="4" xfId="0" applyFont="1" applyFill="1" applyBorder="1"/>
    <xf numFmtId="182" fontId="7" fillId="0" borderId="0" xfId="575" applyNumberFormat="1" applyFont="1" applyFill="1" applyBorder="1"/>
    <xf numFmtId="49" fontId="7" fillId="0" borderId="8" xfId="575" applyFont="1" applyFill="1" applyBorder="1"/>
    <xf numFmtId="1" fontId="7" fillId="0" borderId="4" xfId="575" applyNumberFormat="1" applyFont="1" applyFill="1" applyBorder="1"/>
    <xf numFmtId="3" fontId="7" fillId="0" borderId="11" xfId="575" applyNumberFormat="1" applyFont="1" applyFill="1" applyBorder="1"/>
    <xf numFmtId="1" fontId="7" fillId="0" borderId="10" xfId="575" applyNumberFormat="1" applyFont="1" applyFill="1" applyBorder="1"/>
    <xf numFmtId="182" fontId="7" fillId="0" borderId="11" xfId="575" applyNumberFormat="1" applyFont="1" applyFill="1" applyBorder="1"/>
    <xf numFmtId="1" fontId="7" fillId="0" borderId="8" xfId="575" applyNumberFormat="1" applyFont="1" applyFill="1" applyBorder="1"/>
    <xf numFmtId="3" fontId="7" fillId="0" borderId="0" xfId="0" applyNumberFormat="1" applyFont="1" applyFill="1" applyAlignment="1">
      <alignment horizontal="right"/>
    </xf>
    <xf numFmtId="0" fontId="7" fillId="0" borderId="0" xfId="0" applyFont="1" applyFill="1" applyAlignment="1">
      <alignment horizontal="right"/>
    </xf>
    <xf numFmtId="2" fontId="7" fillId="0" borderId="1" xfId="575" applyNumberFormat="1" applyFont="1" applyFill="1" applyBorder="1"/>
    <xf numFmtId="191" fontId="0" fillId="0" borderId="0" xfId="0" applyNumberFormat="1"/>
    <xf numFmtId="175" fontId="25" fillId="0" borderId="0" xfId="575" applyNumberFormat="1" applyFont="1" applyFill="1" applyAlignment="1">
      <alignment horizontal="left"/>
    </xf>
    <xf numFmtId="43" fontId="7" fillId="0" borderId="0" xfId="1" applyNumberFormat="1" applyFont="1" applyFill="1" applyBorder="1"/>
    <xf numFmtId="49" fontId="6" fillId="0" borderId="0" xfId="575" applyFont="1" applyFill="1"/>
    <xf numFmtId="49" fontId="20" fillId="0" borderId="2" xfId="0" applyNumberFormat="1" applyFont="1" applyFill="1" applyBorder="1" applyAlignment="1">
      <alignment horizontal="center" vertical="top" wrapText="1"/>
    </xf>
    <xf numFmtId="49" fontId="19" fillId="0" borderId="2" xfId="575" applyFont="1" applyFill="1" applyBorder="1" applyAlignment="1">
      <alignment horizontal="left"/>
    </xf>
    <xf numFmtId="0" fontId="2" fillId="7" borderId="4" xfId="0" applyFont="1" applyFill="1" applyBorder="1" applyAlignment="1">
      <alignment horizontal="right"/>
    </xf>
    <xf numFmtId="0" fontId="4" fillId="7" borderId="8" xfId="0" applyFont="1" applyFill="1" applyBorder="1" applyAlignment="1">
      <alignment horizontal="right"/>
    </xf>
    <xf numFmtId="49" fontId="8" fillId="3" borderId="4" xfId="0" applyNumberFormat="1" applyFont="1" applyFill="1" applyBorder="1" applyAlignment="1">
      <alignment horizontal="right" vertical="top" wrapText="1"/>
    </xf>
    <xf numFmtId="0" fontId="8" fillId="5" borderId="9" xfId="0" applyFont="1" applyFill="1" applyBorder="1" applyAlignment="1">
      <alignment horizontal="right" vertical="top" wrapText="1"/>
    </xf>
    <xf numFmtId="0" fontId="8" fillId="5" borderId="4" xfId="0" applyFont="1" applyFill="1" applyBorder="1" applyAlignment="1">
      <alignment horizontal="right" vertical="top" wrapText="1"/>
    </xf>
    <xf numFmtId="49" fontId="8" fillId="6" borderId="4" xfId="0" applyNumberFormat="1" applyFont="1" applyFill="1" applyBorder="1" applyAlignment="1">
      <alignment horizontal="right" vertical="top" wrapText="1"/>
    </xf>
    <xf numFmtId="181" fontId="4" fillId="0" borderId="0" xfId="272" applyNumberFormat="1" applyFont="1" applyAlignment="1">
      <alignment horizontal="right"/>
    </xf>
    <xf numFmtId="3" fontId="4" fillId="0" borderId="0" xfId="221" applyNumberFormat="1" applyFont="1" applyAlignment="1">
      <alignment horizontal="right"/>
    </xf>
    <xf numFmtId="3" fontId="1" fillId="0" borderId="0" xfId="221" applyNumberFormat="1" applyAlignment="1">
      <alignment horizontal="right"/>
    </xf>
    <xf numFmtId="181" fontId="24" fillId="4" borderId="0" xfId="0" applyNumberFormat="1" applyFont="1" applyFill="1" applyAlignment="1">
      <alignment horizontal="right"/>
    </xf>
    <xf numFmtId="184" fontId="0" fillId="0" borderId="0" xfId="0" applyNumberFormat="1"/>
    <xf numFmtId="181" fontId="4" fillId="0" borderId="5" xfId="566" applyNumberFormat="1" applyFont="1" applyFill="1" applyBorder="1" applyAlignment="1">
      <alignment horizontal="right"/>
    </xf>
    <xf numFmtId="182" fontId="4" fillId="0" borderId="5" xfId="0" applyNumberFormat="1" applyFont="1" applyBorder="1"/>
    <xf numFmtId="10" fontId="4" fillId="0" borderId="5" xfId="566" applyNumberFormat="1" applyFont="1" applyBorder="1"/>
    <xf numFmtId="10" fontId="4" fillId="0" borderId="0" xfId="566" applyNumberFormat="1" applyFont="1" applyBorder="1"/>
    <xf numFmtId="0" fontId="4" fillId="4" borderId="0" xfId="0" applyFont="1" applyFill="1"/>
    <xf numFmtId="181" fontId="4" fillId="4" borderId="0" xfId="0" applyNumberFormat="1" applyFont="1" applyFill="1"/>
    <xf numFmtId="182" fontId="4" fillId="4" borderId="0" xfId="0" applyNumberFormat="1" applyFont="1" applyFill="1"/>
    <xf numFmtId="178" fontId="0" fillId="0" borderId="0" xfId="566" applyNumberFormat="1" applyFont="1"/>
    <xf numFmtId="3" fontId="1" fillId="0" borderId="0" xfId="172" applyNumberFormat="1"/>
    <xf numFmtId="0" fontId="2" fillId="5" borderId="9" xfId="0" applyFont="1" applyFill="1" applyBorder="1" applyAlignment="1">
      <alignment horizontal="right"/>
    </xf>
    <xf numFmtId="1" fontId="9" fillId="0" borderId="0" xfId="1" applyNumberFormat="1" applyFont="1" applyFill="1" applyAlignment="1">
      <alignment horizontal="right" indent="3"/>
    </xf>
    <xf numFmtId="0" fontId="2" fillId="8" borderId="0" xfId="0" applyFont="1" applyFill="1" applyAlignment="1">
      <alignment horizontal="right"/>
    </xf>
    <xf numFmtId="0" fontId="2" fillId="9" borderId="0" xfId="0" applyFont="1" applyFill="1" applyAlignment="1">
      <alignment horizontal="right"/>
    </xf>
    <xf numFmtId="0" fontId="2" fillId="0" borderId="0" xfId="0" applyFont="1" applyAlignment="1">
      <alignment horizontal="center"/>
    </xf>
    <xf numFmtId="49" fontId="2" fillId="0" borderId="0" xfId="0" applyNumberFormat="1" applyFont="1" applyAlignment="1">
      <alignment horizontal="center"/>
    </xf>
    <xf numFmtId="2" fontId="4" fillId="0" borderId="0" xfId="0" applyNumberFormat="1" applyFont="1"/>
    <xf numFmtId="0" fontId="4" fillId="0" borderId="5" xfId="0" applyFont="1" applyBorder="1"/>
    <xf numFmtId="2" fontId="4" fillId="0" borderId="5" xfId="0" applyNumberFormat="1" applyFont="1" applyBorder="1"/>
    <xf numFmtId="49" fontId="1" fillId="0" borderId="0" xfId="575"/>
    <xf numFmtId="175" fontId="4" fillId="0" borderId="0" xfId="0" applyNumberFormat="1" applyFont="1" applyAlignment="1">
      <alignment horizontal="right" vertical="top" wrapText="1"/>
    </xf>
    <xf numFmtId="3" fontId="1" fillId="0" borderId="0" xfId="172" applyNumberFormat="1" applyAlignment="1">
      <alignment horizontal="right"/>
    </xf>
    <xf numFmtId="3" fontId="2" fillId="0" borderId="0" xfId="0" applyNumberFormat="1" applyFont="1" applyFill="1" applyAlignment="1">
      <alignment horizontal="right" vertical="top" wrapText="1"/>
    </xf>
    <xf numFmtId="3" fontId="1" fillId="0" borderId="0" xfId="172" applyNumberFormat="1" applyFill="1" applyAlignment="1">
      <alignment horizontal="right"/>
    </xf>
    <xf numFmtId="2" fontId="0" fillId="0" borderId="0" xfId="0" applyNumberFormat="1" applyAlignment="1">
      <alignment horizontal="center"/>
    </xf>
    <xf numFmtId="2" fontId="0" fillId="0" borderId="0" xfId="0" applyNumberFormat="1" applyAlignment="1">
      <alignment horizontal="right"/>
    </xf>
    <xf numFmtId="2" fontId="4" fillId="0" borderId="0" xfId="0" applyNumberFormat="1" applyFont="1" applyAlignment="1">
      <alignment horizontal="right"/>
    </xf>
    <xf numFmtId="2" fontId="0" fillId="0" borderId="0" xfId="0" applyNumberFormat="1"/>
    <xf numFmtId="2" fontId="0" fillId="0" borderId="0" xfId="566" applyNumberFormat="1" applyFont="1"/>
    <xf numFmtId="3" fontId="1" fillId="0" borderId="0" xfId="1" applyNumberFormat="1"/>
    <xf numFmtId="3" fontId="5" fillId="4" borderId="0" xfId="0" applyNumberFormat="1" applyFont="1" applyFill="1"/>
    <xf numFmtId="14" fontId="7" fillId="0" borderId="0" xfId="0" applyNumberFormat="1" applyFont="1" applyAlignment="1">
      <alignment horizontal="left"/>
    </xf>
    <xf numFmtId="0" fontId="6" fillId="4" borderId="0" xfId="0" applyFont="1" applyFill="1"/>
    <xf numFmtId="0" fontId="5" fillId="4" borderId="0" xfId="0" applyFont="1" applyFill="1"/>
    <xf numFmtId="0" fontId="6" fillId="0" borderId="0" xfId="0" applyFont="1" applyFill="1"/>
    <xf numFmtId="3" fontId="5" fillId="0" borderId="0" xfId="0" applyNumberFormat="1" applyFont="1" applyFill="1"/>
    <xf numFmtId="0" fontId="5" fillId="0" borderId="0" xfId="0" applyFont="1" applyFill="1"/>
    <xf numFmtId="0" fontId="6" fillId="0" borderId="0" xfId="0" applyFont="1" applyFill="1" applyBorder="1"/>
    <xf numFmtId="0" fontId="5" fillId="0" borderId="0" xfId="0" applyFont="1" applyFill="1" applyBorder="1"/>
    <xf numFmtId="189" fontId="7" fillId="0" borderId="0" xfId="566" applyNumberFormat="1" applyFont="1" applyAlignment="1">
      <alignment horizontal="right"/>
    </xf>
    <xf numFmtId="189" fontId="4" fillId="0" borderId="0" xfId="0" applyNumberFormat="1" applyFont="1"/>
    <xf numFmtId="39" fontId="1" fillId="0" borderId="0" xfId="172"/>
    <xf numFmtId="173" fontId="7" fillId="0" borderId="0" xfId="1" applyNumberFormat="1" applyFont="1" applyAlignment="1">
      <alignment horizontal="right"/>
    </xf>
    <xf numFmtId="0" fontId="26" fillId="0" borderId="0" xfId="0" applyFont="1"/>
    <xf numFmtId="0" fontId="2" fillId="0" borderId="4" xfId="0" applyFont="1" applyBorder="1" applyAlignment="1">
      <alignment horizontal="right"/>
    </xf>
    <xf numFmtId="195" fontId="0" fillId="0" borderId="0" xfId="0" applyNumberFormat="1" applyAlignment="1">
      <alignment horizontal="right"/>
    </xf>
    <xf numFmtId="195" fontId="0" fillId="0" borderId="0" xfId="0" applyNumberFormat="1" applyBorder="1" applyAlignment="1">
      <alignment horizontal="right"/>
    </xf>
    <xf numFmtId="9" fontId="0" fillId="0" borderId="0" xfId="0" applyNumberFormat="1" applyBorder="1"/>
    <xf numFmtId="9" fontId="0" fillId="0" borderId="0" xfId="0" applyNumberFormat="1"/>
    <xf numFmtId="195" fontId="0" fillId="0" borderId="0" xfId="0" quotePrefix="1" applyNumberFormat="1" applyAlignment="1">
      <alignment horizontal="right"/>
    </xf>
    <xf numFmtId="194" fontId="0" fillId="0" borderId="0" xfId="0" applyNumberFormat="1"/>
    <xf numFmtId="196" fontId="0" fillId="0" borderId="0" xfId="0" applyNumberFormat="1"/>
    <xf numFmtId="0" fontId="27" fillId="0" borderId="0" xfId="0" applyFont="1" applyAlignment="1">
      <alignment horizontal="left"/>
    </xf>
    <xf numFmtId="0" fontId="7" fillId="0" borderId="0" xfId="0" applyFont="1"/>
    <xf numFmtId="0" fontId="15" fillId="0" borderId="0" xfId="0" applyFont="1" applyAlignment="1">
      <alignment horizontal="center"/>
    </xf>
    <xf numFmtId="0" fontId="15" fillId="0" borderId="0" xfId="0" applyFont="1" applyAlignment="1">
      <alignment horizontal="right"/>
    </xf>
    <xf numFmtId="0" fontId="7" fillId="0" borderId="0" xfId="0" applyFont="1" applyAlignment="1">
      <alignment horizontal="right"/>
    </xf>
    <xf numFmtId="0" fontId="7" fillId="0" borderId="0" xfId="0" applyFont="1" applyBorder="1" applyAlignment="1">
      <alignment horizontal="right"/>
    </xf>
    <xf numFmtId="0" fontId="7" fillId="0" borderId="0" xfId="0" applyFont="1" applyAlignment="1">
      <alignment horizontal="left"/>
    </xf>
    <xf numFmtId="0" fontId="27" fillId="0" borderId="0" xfId="0" applyFont="1" applyAlignment="1">
      <alignment horizontal="left" vertical="top"/>
    </xf>
    <xf numFmtId="0" fontId="7" fillId="0" borderId="0" xfId="0" quotePrefix="1" applyFont="1" applyAlignment="1">
      <alignment horizontal="right"/>
    </xf>
    <xf numFmtId="180" fontId="6" fillId="10" borderId="14" xfId="0" applyNumberFormat="1" applyFont="1" applyFill="1" applyBorder="1" applyAlignment="1"/>
    <xf numFmtId="0" fontId="7" fillId="10" borderId="15" xfId="0" applyFont="1" applyFill="1" applyBorder="1" applyAlignment="1"/>
    <xf numFmtId="175" fontId="6" fillId="10" borderId="16" xfId="0" applyNumberFormat="1" applyFont="1" applyFill="1" applyBorder="1" applyAlignment="1"/>
    <xf numFmtId="0" fontId="7" fillId="0" borderId="17" xfId="0" applyFont="1" applyFill="1" applyBorder="1" applyAlignment="1"/>
    <xf numFmtId="180" fontId="6" fillId="0" borderId="0" xfId="0" applyNumberFormat="1" applyFont="1" applyFill="1" applyBorder="1" applyAlignment="1">
      <alignment horizontal="center"/>
    </xf>
    <xf numFmtId="180" fontId="7" fillId="0" borderId="0" xfId="0" applyNumberFormat="1" applyFont="1" applyBorder="1" applyAlignment="1">
      <alignment horizontal="right"/>
    </xf>
    <xf numFmtId="175" fontId="7" fillId="0" borderId="0" xfId="0" applyNumberFormat="1" applyFont="1" applyBorder="1" applyAlignment="1">
      <alignment horizontal="right"/>
    </xf>
    <xf numFmtId="0" fontId="7" fillId="0" borderId="0" xfId="0" applyFont="1" applyBorder="1" applyAlignment="1">
      <alignment horizontal="left"/>
    </xf>
    <xf numFmtId="180" fontId="6" fillId="2" borderId="0" xfId="0" applyNumberFormat="1" applyFont="1" applyFill="1" applyBorder="1" applyAlignment="1">
      <alignment horizontal="left"/>
    </xf>
    <xf numFmtId="0" fontId="7" fillId="0" borderId="0" xfId="0" applyFont="1" applyBorder="1"/>
    <xf numFmtId="180" fontId="6" fillId="10" borderId="18" xfId="0" quotePrefix="1" applyNumberFormat="1" applyFont="1" applyFill="1" applyBorder="1" applyAlignment="1"/>
    <xf numFmtId="0" fontId="6" fillId="10" borderId="0" xfId="0" applyFont="1" applyFill="1" applyBorder="1" applyAlignment="1">
      <alignment horizontal="center"/>
    </xf>
    <xf numFmtId="0" fontId="6" fillId="10" borderId="7" xfId="0" applyFont="1" applyFill="1" applyBorder="1" applyAlignment="1">
      <alignment horizontal="center"/>
    </xf>
    <xf numFmtId="0" fontId="6" fillId="10" borderId="12" xfId="0" applyFont="1" applyFill="1" applyBorder="1" applyAlignment="1"/>
    <xf numFmtId="180" fontId="6" fillId="10" borderId="0" xfId="0" applyNumberFormat="1" applyFont="1" applyFill="1" applyBorder="1" applyAlignment="1"/>
    <xf numFmtId="180" fontId="6" fillId="0" borderId="19" xfId="0" applyNumberFormat="1" applyFont="1" applyFill="1" applyBorder="1" applyAlignment="1">
      <alignment horizontal="center"/>
    </xf>
    <xf numFmtId="180" fontId="6" fillId="0" borderId="0" xfId="0" applyNumberFormat="1" applyFont="1" applyBorder="1" applyAlignment="1">
      <alignment horizontal="right"/>
    </xf>
    <xf numFmtId="0" fontId="6" fillId="10" borderId="20" xfId="0" applyFont="1" applyFill="1" applyBorder="1" applyAlignment="1"/>
    <xf numFmtId="0" fontId="6" fillId="10" borderId="5" xfId="0" applyFont="1" applyFill="1" applyBorder="1" applyAlignment="1">
      <alignment horizontal="center" wrapText="1"/>
    </xf>
    <xf numFmtId="0" fontId="6" fillId="10" borderId="21" xfId="0" applyFont="1" applyFill="1" applyBorder="1" applyAlignment="1">
      <alignment horizontal="center" wrapText="1"/>
    </xf>
    <xf numFmtId="183" fontId="6" fillId="10" borderId="22" xfId="0" applyNumberFormat="1" applyFont="1" applyFill="1" applyBorder="1" applyAlignment="1">
      <alignment horizontal="right" wrapText="1"/>
    </xf>
    <xf numFmtId="0" fontId="6" fillId="10" borderId="5" xfId="0" applyFont="1" applyFill="1" applyBorder="1" applyAlignment="1">
      <alignment horizontal="right" wrapText="1"/>
    </xf>
    <xf numFmtId="0" fontId="6" fillId="10" borderId="5" xfId="0" applyFont="1" applyFill="1" applyBorder="1" applyAlignment="1">
      <alignment horizontal="right"/>
    </xf>
    <xf numFmtId="0" fontId="6" fillId="10" borderId="21" xfId="0" applyFont="1" applyFill="1" applyBorder="1" applyAlignment="1">
      <alignment horizontal="right"/>
    </xf>
    <xf numFmtId="0" fontId="6" fillId="10" borderId="23" xfId="0" applyFont="1" applyFill="1" applyBorder="1" applyAlignment="1">
      <alignment horizontal="right"/>
    </xf>
    <xf numFmtId="0" fontId="6" fillId="0" borderId="24" xfId="0" applyFont="1" applyFill="1" applyBorder="1" applyAlignment="1">
      <alignment horizontal="center" wrapText="1"/>
    </xf>
    <xf numFmtId="0" fontId="6" fillId="0" borderId="0" xfId="0" applyFont="1" applyFill="1" applyBorder="1" applyAlignment="1">
      <alignment horizontal="right"/>
    </xf>
    <xf numFmtId="0" fontId="6" fillId="0" borderId="0" xfId="0" applyFont="1" applyBorder="1" applyAlignment="1">
      <alignment horizontal="right" wrapText="1"/>
    </xf>
    <xf numFmtId="175" fontId="7" fillId="0" borderId="0" xfId="0" applyNumberFormat="1" applyFont="1" applyFill="1" applyBorder="1" applyAlignment="1">
      <alignment horizontal="right"/>
    </xf>
    <xf numFmtId="0" fontId="6" fillId="0" borderId="0" xfId="0" applyFont="1" applyBorder="1" applyAlignment="1">
      <alignment horizontal="right"/>
    </xf>
    <xf numFmtId="0" fontId="7" fillId="0" borderId="18" xfId="0" applyFont="1" applyFill="1" applyBorder="1" applyAlignment="1"/>
    <xf numFmtId="0" fontId="7" fillId="0" borderId="0" xfId="0" applyFont="1" applyFill="1" applyBorder="1" applyAlignment="1"/>
    <xf numFmtId="0" fontId="7" fillId="0" borderId="0" xfId="0" applyFont="1" applyFill="1" applyBorder="1" applyAlignment="1">
      <alignment horizontal="right"/>
    </xf>
    <xf numFmtId="184" fontId="7" fillId="0" borderId="7" xfId="0" applyNumberFormat="1" applyFont="1" applyFill="1" applyBorder="1" applyAlignment="1">
      <alignment horizontal="right"/>
    </xf>
    <xf numFmtId="0" fontId="7" fillId="0" borderId="12" xfId="0" applyFont="1" applyFill="1" applyBorder="1" applyAlignment="1">
      <alignment horizontal="right"/>
    </xf>
    <xf numFmtId="0" fontId="7" fillId="0" borderId="7" xfId="0" applyFont="1" applyFill="1" applyBorder="1" applyAlignment="1">
      <alignment horizontal="right"/>
    </xf>
    <xf numFmtId="0" fontId="7" fillId="0" borderId="2" xfId="0" applyFont="1" applyFill="1" applyBorder="1" applyAlignment="1">
      <alignment horizontal="right"/>
    </xf>
    <xf numFmtId="0" fontId="7" fillId="0" borderId="19" xfId="0" applyFont="1" applyFill="1" applyBorder="1" applyAlignment="1"/>
    <xf numFmtId="174" fontId="7" fillId="0" borderId="0" xfId="1" applyNumberFormat="1" applyFont="1" applyBorder="1" applyAlignment="1">
      <alignment horizontal="right"/>
    </xf>
    <xf numFmtId="0" fontId="28" fillId="0" borderId="18" xfId="0" applyFont="1" applyFill="1" applyBorder="1" applyAlignment="1"/>
    <xf numFmtId="0" fontId="6" fillId="0" borderId="0" xfId="0" applyFont="1" applyFill="1" applyBorder="1" applyAlignment="1"/>
    <xf numFmtId="184" fontId="6" fillId="0" borderId="7" xfId="0" applyNumberFormat="1" applyFont="1" applyFill="1" applyBorder="1" applyAlignment="1">
      <alignment horizontal="right"/>
    </xf>
    <xf numFmtId="0" fontId="6" fillId="0" borderId="12" xfId="0" applyFont="1" applyFill="1" applyBorder="1" applyAlignment="1">
      <alignment horizontal="right"/>
    </xf>
    <xf numFmtId="2" fontId="7" fillId="0" borderId="2" xfId="0" applyNumberFormat="1" applyFont="1" applyFill="1" applyBorder="1" applyAlignment="1">
      <alignment horizontal="right"/>
    </xf>
    <xf numFmtId="175" fontId="7" fillId="0" borderId="0" xfId="0" applyNumberFormat="1" applyFont="1" applyFill="1" applyBorder="1" applyAlignment="1"/>
    <xf numFmtId="2" fontId="7" fillId="0" borderId="12" xfId="566" applyNumberFormat="1" applyFont="1" applyFill="1" applyBorder="1" applyAlignment="1">
      <alignment horizontal="right"/>
    </xf>
    <xf numFmtId="2" fontId="7" fillId="0" borderId="0" xfId="566" applyNumberFormat="1" applyFont="1" applyFill="1" applyBorder="1" applyAlignment="1">
      <alignment horizontal="right"/>
    </xf>
    <xf numFmtId="2" fontId="7" fillId="0" borderId="7" xfId="566" applyNumberFormat="1" applyFont="1" applyFill="1" applyBorder="1" applyAlignment="1">
      <alignment horizontal="right"/>
    </xf>
    <xf numFmtId="3" fontId="7" fillId="0" borderId="0" xfId="566" quotePrefix="1" applyNumberFormat="1" applyFont="1" applyFill="1" applyBorder="1" applyAlignment="1">
      <alignment horizontal="right"/>
    </xf>
    <xf numFmtId="3" fontId="7" fillId="0" borderId="2" xfId="566" quotePrefix="1" applyNumberFormat="1" applyFont="1" applyFill="1" applyBorder="1" applyAlignment="1">
      <alignment horizontal="right"/>
    </xf>
    <xf numFmtId="1" fontId="7" fillId="0" borderId="19" xfId="566" quotePrefix="1" applyNumberFormat="1" applyFont="1" applyFill="1" applyBorder="1" applyAlignment="1">
      <alignment horizontal="center"/>
    </xf>
    <xf numFmtId="10" fontId="7" fillId="0" borderId="0" xfId="566" quotePrefix="1" applyNumberFormat="1" applyFont="1" applyFill="1" applyBorder="1" applyAlignment="1">
      <alignment horizontal="right"/>
    </xf>
    <xf numFmtId="2" fontId="7" fillId="0" borderId="0" xfId="566" quotePrefix="1" applyNumberFormat="1" applyFont="1" applyBorder="1" applyAlignment="1">
      <alignment horizontal="right"/>
    </xf>
    <xf numFmtId="182" fontId="7" fillId="0" borderId="0" xfId="1" applyNumberFormat="1" applyFont="1" applyBorder="1" applyAlignment="1">
      <alignment horizontal="right"/>
    </xf>
    <xf numFmtId="182" fontId="7" fillId="0" borderId="0" xfId="0" applyNumberFormat="1" applyFont="1" applyBorder="1" applyAlignment="1">
      <alignment horizontal="right"/>
    </xf>
    <xf numFmtId="2" fontId="7" fillId="0" borderId="0" xfId="1" applyNumberFormat="1" applyFont="1" applyBorder="1" applyAlignment="1">
      <alignment horizontal="right"/>
    </xf>
    <xf numFmtId="2" fontId="7" fillId="0" borderId="0" xfId="0" applyNumberFormat="1" applyFont="1" applyBorder="1" applyAlignment="1">
      <alignment horizontal="right"/>
    </xf>
    <xf numFmtId="1" fontId="7" fillId="0" borderId="0" xfId="0" applyNumberFormat="1" applyFont="1" applyFill="1" applyBorder="1" applyAlignment="1">
      <alignment horizontal="right"/>
    </xf>
    <xf numFmtId="179" fontId="7" fillId="0" borderId="7" xfId="1" applyNumberFormat="1" applyFont="1" applyFill="1" applyBorder="1" applyAlignment="1">
      <alignment horizontal="right"/>
    </xf>
    <xf numFmtId="0" fontId="7" fillId="0" borderId="20" xfId="0" applyFont="1" applyFill="1" applyBorder="1" applyAlignment="1"/>
    <xf numFmtId="175" fontId="7" fillId="0" borderId="5" xfId="0" applyNumberFormat="1" applyFont="1" applyFill="1" applyBorder="1" applyAlignment="1"/>
    <xf numFmtId="1" fontId="7" fillId="0" borderId="5" xfId="0" applyNumberFormat="1" applyFont="1" applyFill="1" applyBorder="1" applyAlignment="1">
      <alignment horizontal="right"/>
    </xf>
    <xf numFmtId="179" fontId="7" fillId="0" borderId="21" xfId="1" applyNumberFormat="1" applyFont="1" applyFill="1" applyBorder="1" applyAlignment="1">
      <alignment horizontal="right"/>
    </xf>
    <xf numFmtId="2" fontId="7" fillId="0" borderId="22" xfId="566" applyNumberFormat="1" applyFont="1" applyFill="1" applyBorder="1" applyAlignment="1">
      <alignment horizontal="right"/>
    </xf>
    <xf numFmtId="2" fontId="7" fillId="0" borderId="5" xfId="566" applyNumberFormat="1" applyFont="1" applyFill="1" applyBorder="1" applyAlignment="1">
      <alignment horizontal="right"/>
    </xf>
    <xf numFmtId="2" fontId="7" fillId="0" borderId="21" xfId="566" applyNumberFormat="1" applyFont="1" applyFill="1" applyBorder="1" applyAlignment="1">
      <alignment horizontal="right"/>
    </xf>
    <xf numFmtId="3" fontId="7" fillId="0" borderId="5" xfId="566" quotePrefix="1" applyNumberFormat="1" applyFont="1" applyFill="1" applyBorder="1" applyAlignment="1">
      <alignment horizontal="right"/>
    </xf>
    <xf numFmtId="3" fontId="7" fillId="0" borderId="23" xfId="566" quotePrefix="1" applyNumberFormat="1" applyFont="1" applyFill="1" applyBorder="1" applyAlignment="1">
      <alignment horizontal="right"/>
    </xf>
    <xf numFmtId="1" fontId="7" fillId="0" borderId="24" xfId="566" quotePrefix="1" applyNumberFormat="1" applyFont="1" applyFill="1" applyBorder="1" applyAlignment="1">
      <alignment horizontal="center"/>
    </xf>
    <xf numFmtId="10" fontId="7" fillId="0" borderId="0" xfId="0" applyNumberFormat="1" applyFont="1" applyBorder="1" applyAlignment="1">
      <alignment horizontal="right"/>
    </xf>
    <xf numFmtId="0" fontId="7" fillId="0" borderId="18" xfId="0" applyFont="1" applyFill="1" applyBorder="1" applyAlignment="1">
      <alignment horizontal="right"/>
    </xf>
    <xf numFmtId="179" fontId="7" fillId="0" borderId="7" xfId="0" applyNumberFormat="1" applyFont="1" applyFill="1" applyBorder="1" applyAlignment="1">
      <alignment horizontal="right"/>
    </xf>
    <xf numFmtId="2" fontId="7" fillId="0" borderId="7" xfId="566" quotePrefix="1" applyNumberFormat="1" applyFont="1" applyFill="1" applyBorder="1" applyAlignment="1">
      <alignment horizontal="right"/>
    </xf>
    <xf numFmtId="3" fontId="7" fillId="0" borderId="2" xfId="0" applyNumberFormat="1" applyFont="1" applyFill="1" applyBorder="1" applyAlignment="1">
      <alignment horizontal="right"/>
    </xf>
    <xf numFmtId="1" fontId="7" fillId="0" borderId="19" xfId="0" applyNumberFormat="1" applyFont="1" applyFill="1" applyBorder="1" applyAlignment="1">
      <alignment horizontal="center"/>
    </xf>
    <xf numFmtId="9" fontId="7" fillId="0" borderId="12" xfId="566" applyFont="1" applyFill="1" applyBorder="1" applyAlignment="1">
      <alignment horizontal="right"/>
    </xf>
    <xf numFmtId="3" fontId="7" fillId="0" borderId="5" xfId="0" applyNumberFormat="1" applyFont="1" applyFill="1" applyBorder="1" applyAlignment="1">
      <alignment horizontal="right"/>
    </xf>
    <xf numFmtId="0" fontId="7" fillId="0" borderId="19" xfId="0" applyFont="1" applyFill="1" applyBorder="1" applyAlignment="1">
      <alignment horizontal="center"/>
    </xf>
    <xf numFmtId="0" fontId="7" fillId="0" borderId="18" xfId="0" applyFont="1" applyFill="1" applyBorder="1" applyAlignment="1">
      <alignment horizontal="left"/>
    </xf>
    <xf numFmtId="175" fontId="7" fillId="0" borderId="0" xfId="0" applyNumberFormat="1" applyFont="1" applyFill="1" applyBorder="1" applyAlignment="1">
      <alignment horizontal="left"/>
    </xf>
    <xf numFmtId="2" fontId="7" fillId="0" borderId="12" xfId="0" applyNumberFormat="1" applyFont="1" applyFill="1" applyBorder="1" applyAlignment="1">
      <alignment horizontal="right"/>
    </xf>
    <xf numFmtId="2" fontId="7" fillId="0" borderId="0" xfId="0" applyNumberFormat="1" applyFont="1" applyFill="1" applyBorder="1" applyAlignment="1">
      <alignment horizontal="right"/>
    </xf>
    <xf numFmtId="2" fontId="7" fillId="0" borderId="7" xfId="0" applyNumberFormat="1" applyFont="1" applyFill="1" applyBorder="1" applyAlignment="1">
      <alignment horizontal="right"/>
    </xf>
    <xf numFmtId="175" fontId="6" fillId="0" borderId="0" xfId="0" applyNumberFormat="1" applyFont="1" applyFill="1" applyBorder="1" applyAlignment="1"/>
    <xf numFmtId="179" fontId="6" fillId="0" borderId="7" xfId="0" applyNumberFormat="1" applyFont="1" applyFill="1" applyBorder="1" applyAlignment="1">
      <alignment horizontal="right"/>
    </xf>
    <xf numFmtId="2" fontId="6" fillId="0" borderId="12" xfId="0" applyNumberFormat="1" applyFont="1" applyFill="1" applyBorder="1" applyAlignment="1">
      <alignment horizontal="right"/>
    </xf>
    <xf numFmtId="2" fontId="6" fillId="0" borderId="0" xfId="0" applyNumberFormat="1" applyFont="1" applyFill="1" applyBorder="1" applyAlignment="1">
      <alignment horizontal="right"/>
    </xf>
    <xf numFmtId="2" fontId="7" fillId="0" borderId="0" xfId="566" applyNumberFormat="1" applyFont="1" applyBorder="1" applyAlignment="1">
      <alignment horizontal="right"/>
    </xf>
    <xf numFmtId="173" fontId="7" fillId="0" borderId="19" xfId="1" applyNumberFormat="1" applyFont="1" applyFill="1" applyBorder="1" applyAlignment="1">
      <alignment horizontal="center"/>
    </xf>
    <xf numFmtId="4" fontId="7" fillId="0" borderId="0" xfId="0" applyNumberFormat="1" applyFont="1" applyFill="1" applyBorder="1" applyAlignment="1">
      <alignment horizontal="right"/>
    </xf>
    <xf numFmtId="2" fontId="7" fillId="0" borderId="0" xfId="566" quotePrefix="1" applyNumberFormat="1" applyFont="1" applyFill="1" applyBorder="1" applyAlignment="1">
      <alignment horizontal="right"/>
    </xf>
    <xf numFmtId="10" fontId="7" fillId="0" borderId="0" xfId="0" applyNumberFormat="1" applyFont="1" applyFill="1" applyBorder="1"/>
    <xf numFmtId="0" fontId="7" fillId="0" borderId="24" xfId="0" applyFont="1" applyFill="1" applyBorder="1" applyAlignment="1">
      <alignment horizontal="center"/>
    </xf>
    <xf numFmtId="2" fontId="7" fillId="0" borderId="5" xfId="566" quotePrefix="1" applyNumberFormat="1" applyFont="1" applyFill="1" applyBorder="1" applyAlignment="1">
      <alignment horizontal="right"/>
    </xf>
    <xf numFmtId="0" fontId="6" fillId="0" borderId="18" xfId="0" applyFont="1" applyFill="1" applyBorder="1" applyAlignment="1">
      <alignment horizontal="right"/>
    </xf>
    <xf numFmtId="3" fontId="7" fillId="0" borderId="2" xfId="566" applyNumberFormat="1" applyFont="1" applyFill="1" applyBorder="1" applyAlignment="1">
      <alignment horizontal="right"/>
    </xf>
    <xf numFmtId="182" fontId="7" fillId="0" borderId="0" xfId="1" applyNumberFormat="1" applyFont="1" applyFill="1" applyBorder="1" applyAlignment="1">
      <alignment horizontal="right"/>
    </xf>
    <xf numFmtId="2" fontId="7" fillId="0" borderId="12" xfId="566" quotePrefix="1" applyNumberFormat="1" applyFont="1" applyFill="1" applyBorder="1" applyAlignment="1">
      <alignment horizontal="right"/>
    </xf>
    <xf numFmtId="2" fontId="7" fillId="0" borderId="22" xfId="566" quotePrefix="1" applyNumberFormat="1" applyFont="1" applyFill="1" applyBorder="1" applyAlignment="1">
      <alignment horizontal="right"/>
    </xf>
    <xf numFmtId="175" fontId="6" fillId="0" borderId="0" xfId="0" applyNumberFormat="1" applyFont="1" applyFill="1" applyBorder="1" applyAlignment="1">
      <alignment horizontal="right"/>
    </xf>
    <xf numFmtId="10" fontId="7" fillId="0" borderId="0" xfId="566" applyNumberFormat="1" applyFont="1" applyBorder="1" applyAlignment="1">
      <alignment horizontal="right"/>
    </xf>
    <xf numFmtId="0" fontId="7" fillId="0" borderId="1" xfId="0" applyFont="1" applyFill="1" applyBorder="1" applyAlignment="1">
      <alignment horizontal="right"/>
    </xf>
    <xf numFmtId="3" fontId="7" fillId="0" borderId="12" xfId="0" applyNumberFormat="1" applyFont="1" applyFill="1" applyBorder="1" applyAlignment="1">
      <alignment horizontal="right"/>
    </xf>
    <xf numFmtId="3" fontId="7" fillId="0" borderId="0" xfId="0" applyNumberFormat="1" applyFont="1" applyBorder="1"/>
    <xf numFmtId="190" fontId="7" fillId="0" borderId="0" xfId="0" applyNumberFormat="1" applyFont="1" applyFill="1" applyBorder="1" applyAlignment="1">
      <alignment horizontal="left"/>
    </xf>
    <xf numFmtId="2" fontId="7" fillId="0" borderId="0" xfId="0" applyNumberFormat="1" applyFont="1" applyAlignment="1">
      <alignment horizontal="right"/>
    </xf>
    <xf numFmtId="14" fontId="29" fillId="0" borderId="0" xfId="0" applyNumberFormat="1" applyFont="1" applyAlignment="1">
      <alignment horizontal="right"/>
    </xf>
    <xf numFmtId="2" fontId="0" fillId="0" borderId="5" xfId="0" applyNumberFormat="1" applyBorder="1" applyAlignment="1">
      <alignment horizontal="right"/>
    </xf>
    <xf numFmtId="194" fontId="0" fillId="0" borderId="5" xfId="0" applyNumberFormat="1" applyBorder="1"/>
    <xf numFmtId="0" fontId="2" fillId="0" borderId="5" xfId="0" applyFont="1" applyBorder="1"/>
    <xf numFmtId="175" fontId="7" fillId="0" borderId="0" xfId="0" applyNumberFormat="1" applyFont="1" applyAlignment="1">
      <alignment horizontal="right" vertical="top" wrapText="1"/>
    </xf>
    <xf numFmtId="0" fontId="2" fillId="4" borderId="25" xfId="0" applyFont="1" applyFill="1" applyBorder="1" applyAlignment="1">
      <alignment horizontal="right"/>
    </xf>
    <xf numFmtId="175" fontId="2" fillId="4" borderId="4" xfId="0" applyNumberFormat="1" applyFont="1" applyFill="1" applyBorder="1" applyAlignment="1">
      <alignment horizontal="right"/>
    </xf>
    <xf numFmtId="3" fontId="4" fillId="4" borderId="4" xfId="0" applyNumberFormat="1" applyFont="1" applyFill="1" applyBorder="1" applyAlignment="1">
      <alignment horizontal="right"/>
    </xf>
    <xf numFmtId="179" fontId="2" fillId="4" borderId="10" xfId="0" applyNumberFormat="1" applyFont="1" applyFill="1" applyBorder="1" applyAlignment="1">
      <alignment horizontal="right"/>
    </xf>
    <xf numFmtId="0" fontId="4" fillId="0" borderId="0" xfId="0" applyFont="1" applyFill="1" applyBorder="1"/>
    <xf numFmtId="2" fontId="4" fillId="0" borderId="0" xfId="566" quotePrefix="1" applyNumberFormat="1" applyFont="1" applyBorder="1" applyAlignment="1">
      <alignment horizontal="right"/>
    </xf>
    <xf numFmtId="182" fontId="4" fillId="0" borderId="0" xfId="1" applyNumberFormat="1" applyFont="1" applyBorder="1" applyAlignment="1">
      <alignment horizontal="right"/>
    </xf>
    <xf numFmtId="0" fontId="4" fillId="0" borderId="0" xfId="0" applyFont="1" applyBorder="1" applyAlignment="1">
      <alignment horizontal="left"/>
    </xf>
    <xf numFmtId="2" fontId="4" fillId="0" borderId="0" xfId="1" applyNumberFormat="1" applyFont="1" applyBorder="1" applyAlignment="1">
      <alignment horizontal="right"/>
    </xf>
    <xf numFmtId="2" fontId="4" fillId="0" borderId="0" xfId="0" applyNumberFormat="1" applyFont="1" applyBorder="1" applyAlignment="1">
      <alignment horizontal="right"/>
    </xf>
    <xf numFmtId="2" fontId="4" fillId="0" borderId="0" xfId="566" quotePrefix="1" applyNumberFormat="1" applyFont="1" applyFill="1" applyBorder="1" applyAlignment="1">
      <alignment horizontal="right"/>
    </xf>
    <xf numFmtId="2" fontId="4" fillId="0" borderId="0" xfId="566" applyNumberFormat="1" applyFont="1" applyBorder="1" applyAlignment="1">
      <alignment horizontal="right"/>
    </xf>
    <xf numFmtId="3" fontId="2" fillId="4" borderId="4" xfId="0" applyNumberFormat="1" applyFont="1" applyFill="1" applyBorder="1" applyAlignment="1">
      <alignment horizontal="right"/>
    </xf>
    <xf numFmtId="10" fontId="4" fillId="0" borderId="0" xfId="566" applyNumberFormat="1" applyFont="1" applyBorder="1" applyAlignment="1">
      <alignment horizontal="right"/>
    </xf>
    <xf numFmtId="0" fontId="2" fillId="4" borderId="9" xfId="0" applyFont="1" applyFill="1" applyBorder="1" applyAlignment="1">
      <alignment horizontal="right"/>
    </xf>
    <xf numFmtId="184" fontId="4" fillId="0" borderId="0" xfId="0" applyNumberFormat="1" applyFont="1" applyBorder="1" applyAlignment="1">
      <alignment horizontal="right"/>
    </xf>
    <xf numFmtId="49" fontId="4" fillId="0" borderId="0" xfId="0" applyNumberFormat="1" applyFont="1" applyBorder="1" applyAlignment="1">
      <alignment horizontal="left"/>
    </xf>
    <xf numFmtId="2" fontId="7" fillId="0" borderId="0" xfId="0" applyNumberFormat="1" applyFont="1" applyFill="1" applyBorder="1"/>
    <xf numFmtId="0" fontId="7" fillId="0" borderId="0" xfId="0" applyFont="1" applyFill="1" applyBorder="1" applyAlignment="1">
      <alignment horizontal="left"/>
    </xf>
    <xf numFmtId="0" fontId="4" fillId="0" borderId="0" xfId="0" applyFont="1" applyFill="1" applyBorder="1" applyAlignment="1"/>
    <xf numFmtId="175" fontId="2" fillId="0" borderId="0" xfId="0" applyNumberFormat="1" applyFont="1" applyFill="1" applyBorder="1" applyAlignment="1">
      <alignment horizontal="center"/>
    </xf>
    <xf numFmtId="180" fontId="2" fillId="0" borderId="0" xfId="0" applyNumberFormat="1" applyFont="1" applyFill="1" applyBorder="1" applyAlignment="1">
      <alignment horizontal="center"/>
    </xf>
    <xf numFmtId="2" fontId="4" fillId="0" borderId="0" xfId="0" applyNumberFormat="1" applyFont="1" applyFill="1" applyBorder="1" applyAlignment="1">
      <alignment horizontal="right"/>
    </xf>
    <xf numFmtId="0" fontId="4" fillId="0" borderId="0" xfId="0" applyFont="1" applyFill="1" applyBorder="1" applyAlignment="1">
      <alignment horizontal="right"/>
    </xf>
    <xf numFmtId="0" fontId="4" fillId="0" borderId="0" xfId="0" applyFont="1" applyFill="1" applyBorder="1" applyAlignment="1">
      <alignment horizontal="left"/>
    </xf>
    <xf numFmtId="180" fontId="2" fillId="0" borderId="0" xfId="0" applyNumberFormat="1" applyFont="1" applyFill="1" applyBorder="1" applyAlignment="1"/>
    <xf numFmtId="175" fontId="2" fillId="0" borderId="0" xfId="0" applyNumberFormat="1" applyFont="1" applyFill="1" applyBorder="1" applyAlignment="1"/>
    <xf numFmtId="0" fontId="7" fillId="0" borderId="12" xfId="0" applyFont="1" applyFill="1" applyBorder="1"/>
    <xf numFmtId="0" fontId="7" fillId="0" borderId="7" xfId="0" applyFont="1" applyBorder="1"/>
    <xf numFmtId="0" fontId="7" fillId="0" borderId="7" xfId="0" applyFont="1" applyFill="1" applyBorder="1"/>
    <xf numFmtId="0" fontId="4" fillId="0" borderId="0" xfId="0" applyFont="1" applyFill="1"/>
    <xf numFmtId="2" fontId="4" fillId="0" borderId="0" xfId="0" applyNumberFormat="1" applyFont="1" applyFill="1" applyAlignment="1">
      <alignment horizontal="right"/>
    </xf>
    <xf numFmtId="0" fontId="4" fillId="0" borderId="0" xfId="0" applyFont="1" applyFill="1" applyAlignment="1">
      <alignment horizontal="right"/>
    </xf>
    <xf numFmtId="0" fontId="4" fillId="0" borderId="0" xfId="0" applyFont="1" applyFill="1" applyAlignment="1">
      <alignment horizontal="left"/>
    </xf>
    <xf numFmtId="0" fontId="2" fillId="0" borderId="0" xfId="0" applyFont="1" applyFill="1" applyBorder="1" applyAlignment="1">
      <alignment horizontal="center" wrapText="1"/>
    </xf>
    <xf numFmtId="0" fontId="2" fillId="0" borderId="7" xfId="0" applyFont="1" applyFill="1" applyBorder="1" applyAlignment="1">
      <alignment horizontal="center" wrapText="1"/>
    </xf>
    <xf numFmtId="183" fontId="2" fillId="0" borderId="0" xfId="0" applyNumberFormat="1" applyFont="1" applyFill="1" applyBorder="1" applyAlignment="1">
      <alignment horizontal="right" wrapText="1"/>
    </xf>
    <xf numFmtId="0" fontId="2" fillId="0" borderId="0" xfId="0" applyFont="1" applyFill="1" applyBorder="1" applyAlignment="1">
      <alignment horizontal="right" wrapText="1"/>
    </xf>
    <xf numFmtId="0" fontId="2" fillId="0" borderId="0" xfId="0" applyFont="1" applyFill="1" applyBorder="1" applyAlignment="1">
      <alignment horizontal="right"/>
    </xf>
    <xf numFmtId="0" fontId="2" fillId="0" borderId="7" xfId="0" applyFont="1" applyFill="1" applyBorder="1" applyAlignment="1">
      <alignment horizontal="right"/>
    </xf>
    <xf numFmtId="49" fontId="1" fillId="0" borderId="0" xfId="575" applyFont="1" applyFill="1"/>
    <xf numFmtId="2" fontId="31" fillId="0" borderId="12" xfId="566" applyNumberFormat="1" applyFont="1" applyFill="1" applyBorder="1" applyAlignment="1">
      <alignment horizontal="right"/>
    </xf>
    <xf numFmtId="2" fontId="31" fillId="0" borderId="0" xfId="566" applyNumberFormat="1" applyFont="1" applyFill="1" applyBorder="1" applyAlignment="1">
      <alignment horizontal="right"/>
    </xf>
    <xf numFmtId="2" fontId="31" fillId="0" borderId="7" xfId="0" quotePrefix="1" applyNumberFormat="1" applyFont="1" applyFill="1" applyBorder="1" applyAlignment="1">
      <alignment horizontal="right"/>
    </xf>
    <xf numFmtId="3" fontId="31" fillId="0" borderId="0" xfId="0" applyNumberFormat="1" applyFont="1" applyFill="1" applyBorder="1" applyAlignment="1">
      <alignment horizontal="right"/>
    </xf>
    <xf numFmtId="3" fontId="31" fillId="0" borderId="0" xfId="566" quotePrefix="1" applyNumberFormat="1" applyFont="1" applyFill="1" applyBorder="1" applyAlignment="1">
      <alignment horizontal="right"/>
    </xf>
    <xf numFmtId="3" fontId="31" fillId="0" borderId="2" xfId="566" applyNumberFormat="1" applyFont="1" applyFill="1" applyBorder="1" applyAlignment="1">
      <alignment horizontal="right"/>
    </xf>
    <xf numFmtId="0" fontId="31" fillId="0" borderId="19" xfId="0" applyFont="1" applyFill="1" applyBorder="1" applyAlignment="1">
      <alignment horizontal="center"/>
    </xf>
    <xf numFmtId="0" fontId="4" fillId="0" borderId="5" xfId="0" applyFont="1" applyFill="1" applyBorder="1" applyAlignment="1"/>
    <xf numFmtId="0" fontId="4" fillId="0" borderId="5" xfId="0" applyFont="1" applyFill="1" applyBorder="1"/>
    <xf numFmtId="2" fontId="4" fillId="0" borderId="5" xfId="0" applyNumberFormat="1" applyFont="1" applyFill="1" applyBorder="1" applyAlignment="1">
      <alignment horizontal="right"/>
    </xf>
    <xf numFmtId="0" fontId="4" fillId="0" borderId="5" xfId="0" applyFont="1" applyFill="1" applyBorder="1" applyAlignment="1">
      <alignment horizontal="right"/>
    </xf>
    <xf numFmtId="0" fontId="4" fillId="0" borderId="5" xfId="0" applyFont="1" applyFill="1" applyBorder="1" applyAlignment="1">
      <alignment horizontal="left"/>
    </xf>
    <xf numFmtId="0" fontId="7" fillId="0" borderId="26" xfId="0" applyFont="1" applyFill="1" applyBorder="1" applyAlignment="1"/>
    <xf numFmtId="0" fontId="7" fillId="0" borderId="27" xfId="0" applyFont="1" applyBorder="1" applyAlignment="1">
      <alignment horizontal="center"/>
    </xf>
    <xf numFmtId="1" fontId="7" fillId="0" borderId="21" xfId="566" applyNumberFormat="1" applyFont="1" applyFill="1" applyBorder="1" applyAlignment="1">
      <alignment horizontal="center"/>
    </xf>
    <xf numFmtId="0" fontId="7" fillId="0" borderId="7" xfId="0" applyFont="1" applyFill="1" applyBorder="1" applyAlignment="1">
      <alignment horizontal="center"/>
    </xf>
    <xf numFmtId="1" fontId="7" fillId="0" borderId="21" xfId="566" quotePrefix="1" applyNumberFormat="1" applyFont="1" applyFill="1" applyBorder="1" applyAlignment="1">
      <alignment horizontal="center"/>
    </xf>
    <xf numFmtId="0" fontId="2" fillId="0" borderId="2" xfId="0" applyFont="1" applyFill="1" applyBorder="1" applyAlignment="1">
      <alignment horizontal="right"/>
    </xf>
    <xf numFmtId="0" fontId="2" fillId="0" borderId="28" xfId="0" applyFont="1" applyFill="1" applyBorder="1" applyAlignment="1"/>
    <xf numFmtId="0" fontId="2" fillId="0" borderId="15" xfId="0" applyFont="1" applyFill="1" applyBorder="1" applyAlignment="1">
      <alignment horizontal="center" wrapText="1"/>
    </xf>
    <xf numFmtId="0" fontId="2" fillId="0" borderId="16" xfId="0" applyFont="1" applyFill="1" applyBorder="1" applyAlignment="1">
      <alignment horizontal="center" wrapText="1"/>
    </xf>
    <xf numFmtId="183" fontId="2" fillId="0" borderId="15" xfId="0" applyNumberFormat="1" applyFont="1" applyFill="1" applyBorder="1" applyAlignment="1">
      <alignment horizontal="right" wrapText="1"/>
    </xf>
    <xf numFmtId="0" fontId="2" fillId="0" borderId="15" xfId="0" applyFont="1" applyFill="1" applyBorder="1" applyAlignment="1">
      <alignment horizontal="right" wrapText="1"/>
    </xf>
    <xf numFmtId="0" fontId="2" fillId="0" borderId="15" xfId="0" applyFont="1" applyFill="1" applyBorder="1" applyAlignment="1">
      <alignment horizontal="right"/>
    </xf>
    <xf numFmtId="0" fontId="2" fillId="0" borderId="16" xfId="0" applyFont="1" applyFill="1" applyBorder="1" applyAlignment="1">
      <alignment horizontal="right"/>
    </xf>
    <xf numFmtId="0" fontId="2" fillId="0" borderId="29" xfId="0" applyFont="1" applyFill="1" applyBorder="1" applyAlignment="1">
      <alignment horizontal="right"/>
    </xf>
    <xf numFmtId="197" fontId="0" fillId="0" borderId="0" xfId="0" applyNumberFormat="1"/>
    <xf numFmtId="14" fontId="6" fillId="0" borderId="0" xfId="0" applyNumberFormat="1" applyFont="1" applyFill="1" applyBorder="1" applyAlignment="1"/>
    <xf numFmtId="179" fontId="6" fillId="0" borderId="0" xfId="0" applyNumberFormat="1" applyFont="1" applyFill="1" applyBorder="1" applyAlignment="1">
      <alignment horizontal="right"/>
    </xf>
    <xf numFmtId="2" fontId="30" fillId="0" borderId="0" xfId="0" applyNumberFormat="1" applyFont="1" applyFill="1" applyBorder="1" applyAlignment="1">
      <alignment horizontal="right"/>
    </xf>
    <xf numFmtId="3" fontId="30" fillId="0" borderId="0" xfId="0" applyNumberFormat="1" applyFont="1" applyFill="1" applyBorder="1" applyAlignment="1">
      <alignment horizontal="right"/>
    </xf>
    <xf numFmtId="0" fontId="30" fillId="0" borderId="0" xfId="0" applyFont="1" applyFill="1" applyBorder="1" applyAlignment="1">
      <alignment horizontal="center"/>
    </xf>
    <xf numFmtId="2" fontId="7" fillId="0" borderId="0" xfId="1" applyNumberFormat="1" applyFont="1" applyFill="1" applyBorder="1" applyAlignment="1">
      <alignment horizontal="right"/>
    </xf>
    <xf numFmtId="184" fontId="11" fillId="0" borderId="0" xfId="0" applyNumberFormat="1" applyFont="1" applyAlignment="1">
      <alignment horizontal="right"/>
    </xf>
    <xf numFmtId="184" fontId="2" fillId="0" borderId="0" xfId="0" applyNumberFormat="1" applyFont="1" applyAlignment="1">
      <alignment horizontal="right" vertical="top" wrapText="1"/>
    </xf>
    <xf numFmtId="184" fontId="6" fillId="0" borderId="0" xfId="0" applyNumberFormat="1" applyFont="1" applyAlignment="1">
      <alignment horizontal="right" vertical="top" wrapText="1"/>
    </xf>
    <xf numFmtId="184" fontId="6" fillId="0" borderId="0" xfId="566" applyNumberFormat="1" applyFont="1" applyAlignment="1">
      <alignment horizontal="right" vertical="top" wrapText="1"/>
    </xf>
    <xf numFmtId="184" fontId="7" fillId="0" borderId="0" xfId="566" applyNumberFormat="1" applyFont="1" applyAlignment="1">
      <alignment horizontal="right"/>
    </xf>
    <xf numFmtId="184" fontId="0" fillId="0" borderId="0" xfId="0" applyNumberFormat="1" applyAlignment="1">
      <alignment horizontal="right"/>
    </xf>
    <xf numFmtId="0" fontId="28" fillId="0" borderId="1" xfId="0" applyFont="1" applyFill="1" applyBorder="1" applyAlignment="1"/>
    <xf numFmtId="14" fontId="7" fillId="0" borderId="0" xfId="0" applyNumberFormat="1" applyFont="1" applyFill="1"/>
    <xf numFmtId="2" fontId="7" fillId="0" borderId="0" xfId="0" applyNumberFormat="1" applyFont="1" applyFill="1"/>
    <xf numFmtId="49" fontId="7" fillId="0" borderId="0" xfId="0" applyNumberFormat="1" applyFont="1" applyAlignment="1">
      <alignment horizontal="left"/>
    </xf>
    <xf numFmtId="0" fontId="2" fillId="7" borderId="9" xfId="0" applyFont="1" applyFill="1" applyBorder="1" applyAlignment="1">
      <alignment horizontal="right"/>
    </xf>
    <xf numFmtId="179" fontId="2" fillId="7" borderId="10" xfId="0" applyNumberFormat="1" applyFont="1" applyFill="1" applyBorder="1" applyAlignment="1">
      <alignment horizontal="right"/>
    </xf>
    <xf numFmtId="0" fontId="31" fillId="0" borderId="0" xfId="0" applyFont="1" applyBorder="1" applyAlignment="1">
      <alignment horizontal="right"/>
    </xf>
    <xf numFmtId="0" fontId="31" fillId="0" borderId="0" xfId="0" applyFont="1" applyBorder="1" applyAlignment="1">
      <alignment horizontal="left"/>
    </xf>
    <xf numFmtId="2" fontId="31" fillId="0" borderId="0" xfId="0" applyNumberFormat="1" applyFont="1" applyBorder="1" applyAlignment="1">
      <alignment horizontal="right"/>
    </xf>
    <xf numFmtId="0" fontId="31" fillId="0" borderId="0" xfId="0" applyFont="1" applyBorder="1"/>
    <xf numFmtId="0" fontId="32" fillId="0" borderId="1" xfId="0" applyFont="1" applyFill="1" applyBorder="1" applyAlignment="1">
      <alignment horizontal="right"/>
    </xf>
    <xf numFmtId="0" fontId="31" fillId="0" borderId="0" xfId="0" applyFont="1" applyFill="1" applyBorder="1" applyAlignment="1">
      <alignment horizontal="right"/>
    </xf>
    <xf numFmtId="179" fontId="31" fillId="0" borderId="7" xfId="0" applyNumberFormat="1" applyFont="1" applyFill="1" applyBorder="1" applyAlignment="1">
      <alignment horizontal="right"/>
    </xf>
    <xf numFmtId="2" fontId="31" fillId="0" borderId="0" xfId="0" applyNumberFormat="1" applyFont="1" applyFill="1" applyBorder="1" applyAlignment="1">
      <alignment horizontal="right"/>
    </xf>
    <xf numFmtId="3" fontId="31" fillId="0" borderId="30" xfId="0" applyNumberFormat="1" applyFont="1" applyFill="1" applyBorder="1" applyAlignment="1">
      <alignment horizontal="right"/>
    </xf>
    <xf numFmtId="3" fontId="31" fillId="0" borderId="0" xfId="0" applyNumberFormat="1" applyFont="1" applyBorder="1" applyAlignment="1">
      <alignment horizontal="right"/>
    </xf>
    <xf numFmtId="3" fontId="31" fillId="0" borderId="29" xfId="0" applyNumberFormat="1" applyFont="1" applyBorder="1" applyAlignment="1">
      <alignment horizontal="right"/>
    </xf>
    <xf numFmtId="0" fontId="31" fillId="0" borderId="17" xfId="0" applyFont="1" applyBorder="1" applyAlignment="1">
      <alignment horizontal="center"/>
    </xf>
    <xf numFmtId="10" fontId="4" fillId="0" borderId="0" xfId="0" applyNumberFormat="1" applyFont="1" applyFill="1" applyBorder="1"/>
    <xf numFmtId="0" fontId="31" fillId="0" borderId="0" xfId="0" applyFont="1"/>
    <xf numFmtId="0" fontId="30" fillId="0" borderId="0" xfId="0" applyFont="1"/>
    <xf numFmtId="0" fontId="2" fillId="7" borderId="9" xfId="0" applyFont="1" applyFill="1" applyBorder="1" applyAlignment="1">
      <alignment horizontal="left"/>
    </xf>
    <xf numFmtId="2" fontId="4" fillId="4" borderId="11" xfId="566" applyNumberFormat="1" applyFont="1" applyFill="1" applyBorder="1" applyAlignment="1">
      <alignment horizontal="right"/>
    </xf>
    <xf numFmtId="2" fontId="4" fillId="4" borderId="4" xfId="566" applyNumberFormat="1" applyFont="1" applyFill="1" applyBorder="1" applyAlignment="1">
      <alignment horizontal="right"/>
    </xf>
    <xf numFmtId="2" fontId="4" fillId="4" borderId="10" xfId="0" quotePrefix="1" applyNumberFormat="1" applyFont="1" applyFill="1" applyBorder="1" applyAlignment="1">
      <alignment horizontal="right"/>
    </xf>
    <xf numFmtId="3" fontId="4" fillId="4" borderId="8" xfId="0" applyNumberFormat="1" applyFont="1" applyFill="1" applyBorder="1" applyAlignment="1">
      <alignment horizontal="right"/>
    </xf>
    <xf numFmtId="0" fontId="4" fillId="4" borderId="31" xfId="0" applyFont="1" applyFill="1" applyBorder="1" applyAlignment="1">
      <alignment horizontal="center"/>
    </xf>
    <xf numFmtId="3" fontId="4" fillId="4" borderId="4" xfId="566" quotePrefix="1" applyNumberFormat="1" applyFont="1" applyFill="1" applyBorder="1" applyAlignment="1">
      <alignment horizontal="right"/>
    </xf>
    <xf numFmtId="3" fontId="4" fillId="4" borderId="8" xfId="566" applyNumberFormat="1" applyFont="1" applyFill="1" applyBorder="1" applyAlignment="1">
      <alignment horizontal="right"/>
    </xf>
    <xf numFmtId="3" fontId="4" fillId="4" borderId="11" xfId="0" applyNumberFormat="1" applyFont="1" applyFill="1" applyBorder="1" applyAlignment="1">
      <alignment horizontal="right"/>
    </xf>
    <xf numFmtId="3" fontId="4" fillId="7" borderId="11" xfId="0" applyNumberFormat="1" applyFont="1" applyFill="1" applyBorder="1" applyAlignment="1">
      <alignment horizontal="right"/>
    </xf>
    <xf numFmtId="3" fontId="4" fillId="7" borderId="4" xfId="0" applyNumberFormat="1" applyFont="1" applyFill="1" applyBorder="1" applyAlignment="1">
      <alignment horizontal="right"/>
    </xf>
    <xf numFmtId="3" fontId="4" fillId="7" borderId="8" xfId="0" applyNumberFormat="1" applyFont="1" applyFill="1" applyBorder="1" applyAlignment="1">
      <alignment horizontal="right"/>
    </xf>
    <xf numFmtId="0" fontId="4" fillId="7" borderId="31" xfId="0" applyFont="1" applyFill="1" applyBorder="1" applyAlignment="1">
      <alignment horizontal="center"/>
    </xf>
    <xf numFmtId="1" fontId="4" fillId="7" borderId="21" xfId="566" quotePrefix="1" applyNumberFormat="1" applyFont="1" applyFill="1" applyBorder="1" applyAlignment="1">
      <alignment horizontal="center"/>
    </xf>
    <xf numFmtId="173" fontId="1" fillId="0" borderId="0" xfId="1" applyNumberFormat="1"/>
    <xf numFmtId="49" fontId="1" fillId="0" borderId="0" xfId="575" applyFont="1"/>
    <xf numFmtId="188" fontId="1" fillId="0" borderId="0" xfId="272" applyNumberFormat="1"/>
    <xf numFmtId="2" fontId="4" fillId="0" borderId="0" xfId="566" applyNumberFormat="1" applyFont="1" applyBorder="1"/>
    <xf numFmtId="0" fontId="2" fillId="0" borderId="0" xfId="0" applyFont="1" applyBorder="1"/>
    <xf numFmtId="0" fontId="2" fillId="0" borderId="0" xfId="0" applyFont="1" applyFill="1" applyBorder="1"/>
    <xf numFmtId="180" fontId="6" fillId="10" borderId="15" xfId="0" applyNumberFormat="1" applyFont="1" applyFill="1" applyBorder="1" applyAlignment="1"/>
    <xf numFmtId="180" fontId="6" fillId="10" borderId="0" xfId="0" quotePrefix="1" applyNumberFormat="1" applyFont="1" applyFill="1" applyBorder="1" applyAlignment="1"/>
    <xf numFmtId="0" fontId="28" fillId="0" borderId="0" xfId="0" applyFont="1" applyFill="1" applyBorder="1" applyAlignment="1"/>
    <xf numFmtId="0" fontId="7" fillId="0" borderId="5" xfId="0" applyFont="1" applyFill="1" applyBorder="1" applyAlignment="1"/>
    <xf numFmtId="0" fontId="2" fillId="4" borderId="4" xfId="0" applyFont="1" applyFill="1" applyBorder="1" applyAlignment="1">
      <alignment horizontal="right"/>
    </xf>
    <xf numFmtId="0" fontId="2" fillId="0" borderId="15" xfId="0" applyFont="1" applyFill="1" applyBorder="1" applyAlignment="1"/>
    <xf numFmtId="0" fontId="2" fillId="7" borderId="4" xfId="0" applyFont="1" applyFill="1" applyBorder="1" applyAlignment="1">
      <alignment horizontal="left"/>
    </xf>
    <xf numFmtId="175" fontId="2" fillId="4" borderId="4" xfId="0" applyNumberFormat="1" applyFont="1" applyFill="1" applyBorder="1" applyAlignment="1"/>
    <xf numFmtId="0" fontId="31" fillId="0" borderId="15" xfId="0" applyFont="1" applyFill="1" applyBorder="1" applyAlignment="1"/>
    <xf numFmtId="14" fontId="2" fillId="7" borderId="4" xfId="0" applyNumberFormat="1" applyFont="1" applyFill="1" applyBorder="1" applyAlignment="1"/>
    <xf numFmtId="0" fontId="2" fillId="4" borderId="11" xfId="0" applyFont="1" applyFill="1" applyBorder="1" applyAlignment="1">
      <alignment horizontal="right"/>
    </xf>
    <xf numFmtId="0" fontId="32" fillId="0" borderId="12" xfId="0" applyFont="1" applyFill="1" applyBorder="1" applyAlignment="1">
      <alignment horizontal="right"/>
    </xf>
    <xf numFmtId="0" fontId="2" fillId="7" borderId="11" xfId="0" applyFont="1" applyFill="1" applyBorder="1" applyAlignment="1">
      <alignment horizontal="right"/>
    </xf>
    <xf numFmtId="199" fontId="7" fillId="0" borderId="0" xfId="566" applyNumberFormat="1" applyFont="1" applyAlignment="1">
      <alignment horizontal="right"/>
    </xf>
    <xf numFmtId="14" fontId="27" fillId="0" borderId="0" xfId="0" applyNumberFormat="1" applyFont="1" applyAlignment="1">
      <alignment horizontal="left"/>
    </xf>
    <xf numFmtId="14" fontId="27" fillId="0" borderId="0" xfId="0" applyNumberFormat="1" applyFont="1" applyAlignment="1">
      <alignment horizontal="left" vertical="top"/>
    </xf>
    <xf numFmtId="14" fontId="7" fillId="0" borderId="0" xfId="0" applyNumberFormat="1" applyFont="1"/>
    <xf numFmtId="14" fontId="7" fillId="0" borderId="0" xfId="0" applyNumberFormat="1" applyFont="1" applyFill="1" applyBorder="1"/>
    <xf numFmtId="14" fontId="7" fillId="0" borderId="0" xfId="0" applyNumberFormat="1" applyFont="1" applyBorder="1"/>
    <xf numFmtId="4" fontId="7" fillId="0" borderId="0" xfId="0" applyNumberFormat="1" applyFont="1"/>
    <xf numFmtId="4" fontId="7" fillId="0" borderId="0" xfId="0" applyNumberFormat="1" applyFont="1" applyFill="1" applyBorder="1"/>
    <xf numFmtId="4" fontId="0" fillId="0" borderId="0" xfId="0" applyNumberFormat="1"/>
    <xf numFmtId="3" fontId="27" fillId="0" borderId="0" xfId="0" applyNumberFormat="1" applyFont="1" applyAlignment="1">
      <alignment horizontal="left"/>
    </xf>
    <xf numFmtId="3" fontId="27" fillId="0" borderId="0" xfId="0" applyNumberFormat="1" applyFont="1" applyAlignment="1">
      <alignment horizontal="left" vertical="top"/>
    </xf>
    <xf numFmtId="3" fontId="7" fillId="0" borderId="0" xfId="0" applyNumberFormat="1" applyFont="1"/>
    <xf numFmtId="3" fontId="28" fillId="0" borderId="0" xfId="0" applyNumberFormat="1" applyFont="1" applyFill="1" applyBorder="1" applyAlignment="1"/>
    <xf numFmtId="200" fontId="7" fillId="0" borderId="0" xfId="10" applyNumberFormat="1" applyFont="1"/>
    <xf numFmtId="200" fontId="7" fillId="0" borderId="0" xfId="10" applyNumberFormat="1" applyFont="1" applyFill="1"/>
    <xf numFmtId="200" fontId="0" fillId="0" borderId="0" xfId="10" applyNumberFormat="1" applyFont="1"/>
    <xf numFmtId="180" fontId="6" fillId="10" borderId="28" xfId="0" applyNumberFormat="1" applyFont="1" applyFill="1" applyBorder="1" applyAlignment="1"/>
    <xf numFmtId="180" fontId="6" fillId="10" borderId="1" xfId="0" quotePrefix="1" applyNumberFormat="1" applyFont="1" applyFill="1" applyBorder="1" applyAlignment="1"/>
    <xf numFmtId="0" fontId="6" fillId="10" borderId="26" xfId="0" applyFont="1" applyFill="1" applyBorder="1" applyAlignment="1"/>
    <xf numFmtId="0" fontId="0" fillId="0" borderId="12" xfId="0" applyFill="1" applyBorder="1"/>
    <xf numFmtId="0" fontId="0" fillId="0" borderId="0" xfId="0" applyFill="1" applyBorder="1"/>
    <xf numFmtId="1" fontId="7" fillId="0" borderId="0" xfId="566" applyNumberFormat="1" applyFont="1" applyFill="1" applyBorder="1" applyAlignment="1">
      <alignment horizontal="center"/>
    </xf>
    <xf numFmtId="0" fontId="7" fillId="0" borderId="0" xfId="0" applyFont="1" applyFill="1" applyBorder="1" applyAlignment="1">
      <alignment horizontal="center"/>
    </xf>
    <xf numFmtId="3" fontId="4" fillId="0" borderId="12" xfId="566" quotePrefix="1" applyNumberFormat="1" applyFont="1" applyFill="1" applyBorder="1" applyAlignment="1">
      <alignment horizontal="right"/>
    </xf>
    <xf numFmtId="1" fontId="4" fillId="0" borderId="0" xfId="566" quotePrefix="1" applyNumberFormat="1" applyFont="1" applyFill="1" applyBorder="1" applyAlignment="1">
      <alignment horizontal="center"/>
    </xf>
    <xf numFmtId="1" fontId="4" fillId="7" borderId="4" xfId="0" applyNumberFormat="1" applyFont="1" applyFill="1" applyBorder="1" applyAlignment="1">
      <alignment horizontal="right"/>
    </xf>
    <xf numFmtId="4" fontId="15" fillId="0" borderId="0" xfId="0" applyNumberFormat="1" applyFont="1" applyAlignment="1">
      <alignment horizontal="center"/>
    </xf>
    <xf numFmtId="4" fontId="6" fillId="10" borderId="32" xfId="0" applyNumberFormat="1" applyFont="1" applyFill="1" applyBorder="1" applyAlignment="1"/>
    <xf numFmtId="4" fontId="6" fillId="10" borderId="0" xfId="0" applyNumberFormat="1" applyFont="1" applyFill="1" applyBorder="1" applyAlignment="1"/>
    <xf numFmtId="4" fontId="6" fillId="10" borderId="22" xfId="0" applyNumberFormat="1" applyFont="1" applyFill="1" applyBorder="1" applyAlignment="1">
      <alignment horizontal="right" wrapText="1"/>
    </xf>
    <xf numFmtId="4" fontId="6" fillId="10" borderId="5" xfId="0" applyNumberFormat="1" applyFont="1" applyFill="1" applyBorder="1" applyAlignment="1">
      <alignment horizontal="right" wrapText="1"/>
    </xf>
    <xf numFmtId="4" fontId="6" fillId="10" borderId="5" xfId="0" applyNumberFormat="1" applyFont="1" applyFill="1" applyBorder="1" applyAlignment="1">
      <alignment horizontal="right"/>
    </xf>
    <xf numFmtId="4" fontId="6" fillId="10" borderId="21" xfId="0" applyNumberFormat="1" applyFont="1" applyFill="1" applyBorder="1" applyAlignment="1">
      <alignment horizontal="right"/>
    </xf>
    <xf numFmtId="4" fontId="7" fillId="0" borderId="12" xfId="0" applyNumberFormat="1" applyFont="1" applyBorder="1"/>
    <xf numFmtId="4" fontId="2" fillId="0" borderId="0" xfId="0" applyNumberFormat="1" applyFont="1" applyFill="1" applyBorder="1" applyAlignment="1">
      <alignment horizontal="right" wrapText="1"/>
    </xf>
    <xf numFmtId="4" fontId="2" fillId="0" borderId="0" xfId="0" applyNumberFormat="1" applyFont="1" applyFill="1" applyBorder="1" applyAlignment="1">
      <alignment horizontal="right"/>
    </xf>
    <xf numFmtId="4" fontId="7" fillId="0" borderId="5" xfId="566" applyNumberFormat="1" applyFont="1" applyFill="1" applyBorder="1" applyAlignment="1">
      <alignment horizontal="right"/>
    </xf>
    <xf numFmtId="4" fontId="7" fillId="0" borderId="0" xfId="0" applyNumberFormat="1" applyFont="1" applyFill="1"/>
    <xf numFmtId="4" fontId="7" fillId="0" borderId="12" xfId="0" applyNumberFormat="1" applyFont="1" applyFill="1" applyBorder="1"/>
    <xf numFmtId="4" fontId="2" fillId="0" borderId="12" xfId="0" applyNumberFormat="1" applyFont="1" applyFill="1" applyBorder="1" applyAlignment="1">
      <alignment horizontal="center" wrapText="1"/>
    </xf>
    <xf numFmtId="4" fontId="7" fillId="0" borderId="22" xfId="1" applyNumberFormat="1" applyFont="1" applyFill="1" applyBorder="1" applyAlignment="1">
      <alignment horizontal="right"/>
    </xf>
    <xf numFmtId="4" fontId="7" fillId="0" borderId="6" xfId="0" applyNumberFormat="1" applyFont="1" applyBorder="1"/>
    <xf numFmtId="0" fontId="7" fillId="0" borderId="1" xfId="0" applyFont="1" applyBorder="1"/>
    <xf numFmtId="0" fontId="7" fillId="10" borderId="30" xfId="0" applyFont="1" applyFill="1" applyBorder="1" applyAlignment="1"/>
    <xf numFmtId="0" fontId="6" fillId="10" borderId="12" xfId="0" applyFont="1" applyFill="1" applyBorder="1" applyAlignment="1">
      <alignment horizontal="center"/>
    </xf>
    <xf numFmtId="0" fontId="6" fillId="10" borderId="22" xfId="0" applyFont="1" applyFill="1" applyBorder="1" applyAlignment="1">
      <alignment horizontal="center" wrapText="1"/>
    </xf>
    <xf numFmtId="14" fontId="28" fillId="0" borderId="12" xfId="0" applyNumberFormat="1" applyFont="1" applyFill="1" applyBorder="1" applyAlignment="1"/>
    <xf numFmtId="14" fontId="7" fillId="0" borderId="22" xfId="0" applyNumberFormat="1" applyFont="1" applyFill="1" applyBorder="1" applyAlignment="1"/>
    <xf numFmtId="14" fontId="7" fillId="0" borderId="12" xfId="0" applyNumberFormat="1" applyFont="1" applyFill="1" applyBorder="1" applyAlignment="1">
      <alignment horizontal="right"/>
    </xf>
    <xf numFmtId="14" fontId="7" fillId="0" borderId="12" xfId="0" applyNumberFormat="1" applyFont="1" applyFill="1" applyBorder="1"/>
    <xf numFmtId="1" fontId="7" fillId="0" borderId="32" xfId="0" applyNumberFormat="1" applyFont="1" applyBorder="1"/>
    <xf numFmtId="1" fontId="7" fillId="0" borderId="6" xfId="0" applyNumberFormat="1" applyFont="1" applyBorder="1"/>
    <xf numFmtId="1" fontId="2" fillId="0" borderId="12" xfId="0" applyNumberFormat="1" applyFont="1" applyFill="1" applyBorder="1" applyAlignment="1">
      <alignment horizontal="right"/>
    </xf>
    <xf numFmtId="1" fontId="2" fillId="0" borderId="0" xfId="0" applyNumberFormat="1" applyFont="1" applyFill="1" applyBorder="1" applyAlignment="1">
      <alignment horizontal="right"/>
    </xf>
    <xf numFmtId="1" fontId="2" fillId="0" borderId="0" xfId="0" applyNumberFormat="1" applyFont="1" applyFill="1" applyBorder="1" applyAlignment="1">
      <alignment horizontal="right" wrapText="1"/>
    </xf>
    <xf numFmtId="1" fontId="7" fillId="0" borderId="22" xfId="566" applyNumberFormat="1" applyFont="1" applyFill="1" applyBorder="1" applyAlignment="1">
      <alignment horizontal="right"/>
    </xf>
    <xf numFmtId="1" fontId="7" fillId="0" borderId="12" xfId="0" applyNumberFormat="1" applyFont="1" applyFill="1" applyBorder="1" applyAlignment="1">
      <alignment horizontal="right"/>
    </xf>
    <xf numFmtId="1" fontId="7" fillId="0" borderId="12" xfId="0" applyNumberFormat="1" applyFont="1" applyFill="1" applyBorder="1"/>
    <xf numFmtId="1" fontId="7" fillId="0" borderId="0" xfId="0" applyNumberFormat="1" applyFont="1" applyFill="1" applyBorder="1"/>
    <xf numFmtId="1" fontId="7" fillId="0" borderId="0" xfId="0" applyNumberFormat="1" applyFont="1" applyFill="1"/>
    <xf numFmtId="0" fontId="2" fillId="4" borderId="9" xfId="0" applyFont="1" applyFill="1" applyBorder="1" applyAlignment="1">
      <alignment horizontal="left"/>
    </xf>
    <xf numFmtId="14" fontId="4" fillId="4" borderId="11" xfId="0" applyNumberFormat="1" applyFont="1" applyFill="1" applyBorder="1" applyAlignment="1">
      <alignment horizontal="center"/>
    </xf>
    <xf numFmtId="1" fontId="4" fillId="4" borderId="4" xfId="10" applyNumberFormat="1" applyFont="1" applyFill="1" applyBorder="1" applyAlignment="1">
      <alignment horizontal="right"/>
    </xf>
    <xf numFmtId="4" fontId="4" fillId="4" borderId="11" xfId="0" applyNumberFormat="1" applyFont="1" applyFill="1" applyBorder="1" applyAlignment="1">
      <alignment horizontal="right"/>
    </xf>
    <xf numFmtId="4" fontId="4" fillId="4" borderId="4" xfId="566" applyNumberFormat="1" applyFont="1" applyFill="1" applyBorder="1" applyAlignment="1">
      <alignment horizontal="right"/>
    </xf>
    <xf numFmtId="1" fontId="4" fillId="4" borderId="11" xfId="566" applyNumberFormat="1" applyFont="1" applyFill="1" applyBorder="1" applyAlignment="1">
      <alignment horizontal="right"/>
    </xf>
    <xf numFmtId="1" fontId="4" fillId="4" borderId="4" xfId="566" quotePrefix="1" applyNumberFormat="1" applyFont="1" applyFill="1" applyBorder="1" applyAlignment="1">
      <alignment horizontal="right"/>
    </xf>
    <xf numFmtId="1" fontId="4" fillId="4" borderId="10" xfId="566" quotePrefix="1" applyNumberFormat="1" applyFont="1" applyFill="1" applyBorder="1" applyAlignment="1">
      <alignment horizontal="right"/>
    </xf>
    <xf numFmtId="0" fontId="33" fillId="0" borderId="0" xfId="0" applyFont="1" applyFill="1" applyBorder="1"/>
    <xf numFmtId="2" fontId="7" fillId="0" borderId="0" xfId="566" applyNumberFormat="1" applyFont="1" applyAlignment="1">
      <alignment horizontal="right"/>
    </xf>
    <xf numFmtId="2" fontId="1" fillId="0" borderId="0" xfId="272" applyNumberFormat="1" applyFill="1"/>
    <xf numFmtId="2" fontId="1" fillId="0" borderId="0" xfId="272" applyNumberFormat="1"/>
    <xf numFmtId="2" fontId="7" fillId="0" borderId="0" xfId="172" applyNumberFormat="1" applyFont="1" applyAlignment="1">
      <alignment horizontal="right"/>
    </xf>
    <xf numFmtId="0" fontId="6" fillId="10" borderId="5" xfId="0" applyFont="1" applyFill="1" applyBorder="1" applyAlignment="1">
      <alignment horizontal="center"/>
    </xf>
    <xf numFmtId="198" fontId="7" fillId="0" borderId="21" xfId="1" applyNumberFormat="1" applyFont="1" applyFill="1" applyBorder="1" applyAlignment="1"/>
    <xf numFmtId="0" fontId="2" fillId="0" borderId="0" xfId="0" applyFont="1" applyBorder="1" applyAlignment="1">
      <alignment horizontal="center"/>
    </xf>
    <xf numFmtId="2" fontId="4" fillId="7" borderId="10" xfId="0" applyNumberFormat="1" applyFont="1" applyFill="1" applyBorder="1" applyAlignment="1">
      <alignment horizontal="right"/>
    </xf>
    <xf numFmtId="202" fontId="26" fillId="0" borderId="0" xfId="0" applyNumberFormat="1" applyFont="1"/>
    <xf numFmtId="184" fontId="2" fillId="4" borderId="4" xfId="10" applyNumberFormat="1" applyFont="1" applyFill="1" applyBorder="1" applyAlignment="1">
      <alignment horizontal="right"/>
    </xf>
    <xf numFmtId="2" fontId="30" fillId="7" borderId="11" xfId="566" applyNumberFormat="1" applyFont="1" applyFill="1" applyBorder="1" applyAlignment="1">
      <alignment horizontal="right"/>
    </xf>
    <xf numFmtId="2" fontId="30" fillId="7" borderId="4" xfId="566" applyNumberFormat="1" applyFont="1" applyFill="1" applyBorder="1" applyAlignment="1">
      <alignment horizontal="right"/>
    </xf>
    <xf numFmtId="2" fontId="30" fillId="7" borderId="4" xfId="0" applyNumberFormat="1" applyFont="1" applyFill="1" applyBorder="1" applyAlignment="1">
      <alignment horizontal="right"/>
    </xf>
    <xf numFmtId="0" fontId="2" fillId="2" borderId="33" xfId="0" applyFont="1" applyFill="1" applyBorder="1" applyAlignment="1">
      <alignment horizontal="center"/>
    </xf>
    <xf numFmtId="0" fontId="2" fillId="2" borderId="34" xfId="0" applyFont="1" applyFill="1" applyBorder="1" applyAlignment="1">
      <alignment horizontal="center"/>
    </xf>
    <xf numFmtId="0" fontId="8" fillId="2" borderId="33"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0" fontId="21" fillId="0" borderId="0" xfId="0" applyFont="1" applyAlignment="1">
      <alignment horizontal="center"/>
    </xf>
    <xf numFmtId="0" fontId="0" fillId="2" borderId="35" xfId="0" applyFill="1" applyBorder="1"/>
    <xf numFmtId="9" fontId="0" fillId="2" borderId="3" xfId="566" applyFont="1" applyFill="1" applyBorder="1"/>
    <xf numFmtId="195" fontId="0" fillId="2" borderId="3" xfId="0" quotePrefix="1" applyNumberFormat="1" applyFill="1" applyBorder="1" applyAlignment="1">
      <alignment horizontal="right"/>
    </xf>
    <xf numFmtId="195" fontId="0" fillId="2" borderId="34" xfId="0" quotePrefix="1" applyNumberFormat="1" applyFill="1" applyBorder="1" applyAlignment="1">
      <alignment horizontal="right"/>
    </xf>
    <xf numFmtId="194" fontId="2" fillId="2" borderId="33" xfId="0" applyNumberFormat="1" applyFont="1" applyFill="1" applyBorder="1"/>
    <xf numFmtId="0" fontId="2" fillId="0" borderId="0" xfId="0" applyFont="1" applyFill="1" applyBorder="1" applyAlignment="1">
      <alignment horizontal="left" wrapText="1"/>
    </xf>
    <xf numFmtId="0" fontId="4" fillId="0" borderId="0" xfId="0" applyFont="1" applyFill="1" applyBorder="1" applyAlignment="1">
      <alignment horizontal="left" wrapText="1"/>
    </xf>
    <xf numFmtId="0" fontId="34" fillId="0" borderId="0" xfId="0" applyFont="1" applyFill="1" applyBorder="1" applyAlignment="1">
      <alignment horizontal="center" wrapText="1"/>
    </xf>
    <xf numFmtId="9" fontId="2" fillId="0" borderId="0" xfId="566" applyFont="1" applyFill="1" applyBorder="1" applyAlignment="1">
      <alignment horizontal="center"/>
    </xf>
    <xf numFmtId="201" fontId="7" fillId="0" borderId="0" xfId="566" applyNumberFormat="1" applyFont="1" applyAlignment="1">
      <alignment horizontal="right"/>
    </xf>
    <xf numFmtId="0" fontId="7" fillId="0" borderId="15" xfId="0" applyFont="1" applyFill="1" applyBorder="1"/>
    <xf numFmtId="0" fontId="19" fillId="0" borderId="0" xfId="0" applyFont="1"/>
    <xf numFmtId="4" fontId="7" fillId="0" borderId="7" xfId="0" applyNumberFormat="1" applyFont="1" applyFill="1" applyBorder="1" applyAlignment="1">
      <alignment horizontal="right"/>
    </xf>
    <xf numFmtId="37" fontId="1" fillId="0" borderId="0" xfId="172" applyNumberFormat="1"/>
    <xf numFmtId="2" fontId="4" fillId="0" borderId="0" xfId="0" applyNumberFormat="1" applyFont="1" applyAlignment="1">
      <alignment horizontal="right" vertical="top" wrapText="1"/>
    </xf>
    <xf numFmtId="181" fontId="4" fillId="0" borderId="0" xfId="0" applyNumberFormat="1" applyFont="1"/>
    <xf numFmtId="0" fontId="4" fillId="4" borderId="28" xfId="0" applyFont="1" applyFill="1" applyBorder="1"/>
    <xf numFmtId="0" fontId="4" fillId="4" borderId="29" xfId="0" applyFont="1" applyFill="1" applyBorder="1"/>
    <xf numFmtId="3" fontId="0" fillId="0" borderId="0" xfId="0" applyNumberFormat="1" applyBorder="1" applyAlignment="1">
      <alignment horizontal="right"/>
    </xf>
    <xf numFmtId="3" fontId="0" fillId="0" borderId="2" xfId="0" applyNumberFormat="1" applyFill="1" applyBorder="1" applyAlignment="1">
      <alignment horizontal="right"/>
    </xf>
    <xf numFmtId="49" fontId="20" fillId="6" borderId="29" xfId="0" applyNumberFormat="1" applyFont="1" applyFill="1" applyBorder="1" applyAlignment="1">
      <alignment horizontal="right" vertical="top" wrapText="1"/>
    </xf>
    <xf numFmtId="3" fontId="7" fillId="0" borderId="1" xfId="0" applyNumberFormat="1" applyFont="1" applyFill="1" applyBorder="1" applyAlignment="1">
      <alignment horizontal="right" vertical="top" wrapText="1"/>
    </xf>
    <xf numFmtId="3" fontId="0" fillId="0" borderId="1" xfId="0" applyNumberFormat="1" applyBorder="1" applyAlignment="1">
      <alignment horizontal="right"/>
    </xf>
    <xf numFmtId="3" fontId="7" fillId="0" borderId="1" xfId="0" applyNumberFormat="1" applyFont="1" applyFill="1" applyBorder="1" applyAlignment="1">
      <alignment vertical="top" wrapText="1"/>
    </xf>
    <xf numFmtId="3" fontId="7" fillId="0" borderId="1" xfId="575" applyNumberFormat="1" applyFont="1" applyFill="1" applyBorder="1"/>
    <xf numFmtId="1" fontId="7" fillId="0" borderId="9" xfId="575" applyNumberFormat="1" applyFont="1" applyFill="1" applyBorder="1"/>
    <xf numFmtId="49" fontId="8" fillId="6" borderId="28" xfId="0" applyNumberFormat="1" applyFont="1" applyFill="1" applyBorder="1" applyAlignment="1">
      <alignment horizontal="right" vertical="top" wrapText="1"/>
    </xf>
    <xf numFmtId="3" fontId="9" fillId="0" borderId="0" xfId="0" applyNumberFormat="1" applyFont="1"/>
    <xf numFmtId="182" fontId="4" fillId="0" borderId="0" xfId="0" applyNumberFormat="1" applyFont="1" applyBorder="1" applyAlignment="1">
      <alignment horizontal="right"/>
    </xf>
    <xf numFmtId="182" fontId="4" fillId="0" borderId="0" xfId="0" applyNumberFormat="1" applyFont="1" applyBorder="1"/>
    <xf numFmtId="2" fontId="4" fillId="0" borderId="0" xfId="0" applyNumberFormat="1" applyFont="1" applyBorder="1"/>
    <xf numFmtId="204" fontId="0" fillId="0" borderId="0" xfId="0" applyNumberFormat="1" applyBorder="1" applyAlignment="1">
      <alignment horizontal="right"/>
    </xf>
    <xf numFmtId="204" fontId="0" fillId="0" borderId="0" xfId="0" applyNumberFormat="1" applyAlignment="1">
      <alignment horizontal="right"/>
    </xf>
    <xf numFmtId="184" fontId="4" fillId="0" borderId="0" xfId="0" applyNumberFormat="1" applyFont="1" applyFill="1" applyBorder="1" applyAlignment="1">
      <alignment horizontal="left" wrapText="1"/>
    </xf>
    <xf numFmtId="3" fontId="4" fillId="0" borderId="0" xfId="0" applyNumberFormat="1" applyFont="1" applyFill="1" applyBorder="1"/>
    <xf numFmtId="43" fontId="4" fillId="0" borderId="0" xfId="0" applyNumberFormat="1" applyFont="1" applyFill="1" applyBorder="1"/>
    <xf numFmtId="43" fontId="5" fillId="0" borderId="0" xfId="1" applyFont="1"/>
    <xf numFmtId="43" fontId="5" fillId="0" borderId="0" xfId="0" applyNumberFormat="1" applyFont="1"/>
    <xf numFmtId="173" fontId="5" fillId="0" borderId="0" xfId="1" applyNumberFormat="1" applyFont="1"/>
    <xf numFmtId="2" fontId="4" fillId="0" borderId="0" xfId="0" applyNumberFormat="1" applyFont="1" applyFill="1" applyBorder="1"/>
    <xf numFmtId="182" fontId="7" fillId="0" borderId="1" xfId="0" applyNumberFormat="1" applyFont="1" applyFill="1" applyBorder="1" applyAlignment="1">
      <alignment horizontal="right" vertical="top" wrapText="1"/>
    </xf>
    <xf numFmtId="181" fontId="7" fillId="0" borderId="12" xfId="566" applyNumberFormat="1" applyFont="1" applyBorder="1"/>
    <xf numFmtId="0" fontId="7" fillId="0" borderId="15" xfId="0" applyFont="1" applyFill="1" applyBorder="1" applyAlignment="1">
      <alignment vertical="top" wrapText="1"/>
    </xf>
    <xf numFmtId="177" fontId="0" fillId="0" borderId="0" xfId="566" applyNumberFormat="1" applyFont="1"/>
    <xf numFmtId="0" fontId="35" fillId="11" borderId="0" xfId="0" applyFont="1" applyFill="1" applyAlignment="1">
      <alignment horizontal="center"/>
    </xf>
    <xf numFmtId="0" fontId="35" fillId="12" borderId="0" xfId="0" applyFont="1" applyFill="1" applyAlignment="1">
      <alignment horizontal="center"/>
    </xf>
    <xf numFmtId="2" fontId="35" fillId="11" borderId="0" xfId="0" applyNumberFormat="1" applyFont="1" applyFill="1" applyAlignment="1">
      <alignment horizontal="center"/>
    </xf>
    <xf numFmtId="175" fontId="7" fillId="0" borderId="0" xfId="0" applyNumberFormat="1" applyFont="1" applyFill="1" applyBorder="1"/>
    <xf numFmtId="0" fontId="7" fillId="0" borderId="0" xfId="0" applyFont="1" applyFill="1" applyBorder="1" applyAlignment="1">
      <alignment horizontal="right" vertical="top" wrapText="1"/>
    </xf>
    <xf numFmtId="2" fontId="1" fillId="0" borderId="0" xfId="221" applyNumberFormat="1"/>
    <xf numFmtId="2" fontId="4" fillId="0" borderId="0" xfId="221" applyNumberFormat="1" applyFont="1"/>
    <xf numFmtId="2" fontId="1" fillId="0" borderId="0" xfId="172" applyNumberFormat="1" applyAlignment="1">
      <alignment horizontal="right"/>
    </xf>
    <xf numFmtId="203" fontId="1" fillId="0" borderId="0" xfId="222" applyNumberFormat="1" applyFill="1"/>
    <xf numFmtId="184" fontId="0" fillId="0" borderId="0" xfId="0" applyNumberFormat="1" applyFill="1"/>
    <xf numFmtId="184" fontId="0" fillId="0" borderId="5" xfId="0" applyNumberFormat="1" applyFill="1" applyBorder="1"/>
    <xf numFmtId="184" fontId="0" fillId="0" borderId="0" xfId="0" quotePrefix="1" applyNumberFormat="1" applyFill="1" applyAlignment="1">
      <alignment horizontal="right"/>
    </xf>
    <xf numFmtId="184" fontId="0" fillId="0" borderId="5" xfId="0" applyNumberFormat="1" applyFill="1" applyBorder="1" applyAlignment="1">
      <alignment horizontal="right"/>
    </xf>
    <xf numFmtId="196" fontId="0" fillId="13" borderId="0" xfId="0" applyNumberFormat="1" applyFill="1"/>
    <xf numFmtId="166" fontId="6" fillId="0" borderId="0" xfId="272" applyNumberFormat="1" applyFont="1"/>
    <xf numFmtId="188" fontId="7" fillId="0" borderId="0" xfId="272" applyNumberFormat="1" applyFont="1"/>
    <xf numFmtId="43" fontId="0" fillId="0" borderId="0" xfId="1" applyFont="1"/>
    <xf numFmtId="43" fontId="0" fillId="0" borderId="0" xfId="0" applyNumberFormat="1"/>
    <xf numFmtId="181" fontId="0" fillId="0" borderId="0" xfId="0" applyNumberFormat="1" applyBorder="1"/>
    <xf numFmtId="2" fontId="0" fillId="0" borderId="0" xfId="0" applyNumberFormat="1" applyBorder="1"/>
    <xf numFmtId="197" fontId="1" fillId="0" borderId="0" xfId="1" applyNumberFormat="1" applyFill="1" applyBorder="1" applyAlignment="1"/>
    <xf numFmtId="43" fontId="0" fillId="0" borderId="0" xfId="0" applyNumberFormat="1" applyBorder="1"/>
    <xf numFmtId="181" fontId="0" fillId="0" borderId="0" xfId="0" applyNumberFormat="1" applyFill="1" applyBorder="1"/>
    <xf numFmtId="205" fontId="0" fillId="0" borderId="0" xfId="0" applyNumberFormat="1" applyFill="1" applyBorder="1" applyAlignment="1">
      <alignment horizontal="center"/>
    </xf>
    <xf numFmtId="44" fontId="0" fillId="0" borderId="0" xfId="10" applyFont="1"/>
    <xf numFmtId="14" fontId="7" fillId="0" borderId="0" xfId="0" applyNumberFormat="1" applyFont="1" applyAlignment="1">
      <alignment horizontal="right"/>
    </xf>
    <xf numFmtId="182" fontId="7" fillId="0" borderId="0" xfId="0" applyNumberFormat="1" applyFont="1" applyFill="1" applyBorder="1" applyAlignment="1">
      <alignment horizontal="right"/>
    </xf>
    <xf numFmtId="2" fontId="4" fillId="3" borderId="0" xfId="566" applyNumberFormat="1" applyFont="1" applyFill="1" applyBorder="1" applyAlignment="1">
      <alignment horizontal="right"/>
    </xf>
    <xf numFmtId="3" fontId="4" fillId="3" borderId="0" xfId="0" applyNumberFormat="1" applyFont="1" applyFill="1" applyBorder="1"/>
    <xf numFmtId="2" fontId="4" fillId="3" borderId="0" xfId="0" applyNumberFormat="1" applyFont="1" applyFill="1" applyBorder="1"/>
    <xf numFmtId="0" fontId="4" fillId="3" borderId="0" xfId="0" applyFont="1" applyFill="1" applyBorder="1"/>
    <xf numFmtId="184" fontId="0" fillId="0" borderId="5" xfId="0" quotePrefix="1" applyNumberFormat="1" applyFill="1" applyBorder="1" applyAlignment="1">
      <alignment horizontal="right"/>
    </xf>
    <xf numFmtId="43" fontId="4" fillId="0" borderId="0" xfId="1" applyFont="1"/>
    <xf numFmtId="43" fontId="1" fillId="0" borderId="0" xfId="1" applyFill="1"/>
    <xf numFmtId="181" fontId="2" fillId="0" borderId="0" xfId="0" applyNumberFormat="1" applyFont="1" applyAlignment="1">
      <alignment vertical="top" wrapText="1"/>
    </xf>
    <xf numFmtId="181" fontId="1" fillId="0" borderId="0" xfId="172" applyNumberFormat="1"/>
    <xf numFmtId="4" fontId="6" fillId="0" borderId="0" xfId="272" applyNumberFormat="1" applyFont="1"/>
    <xf numFmtId="4" fontId="7" fillId="0" borderId="0" xfId="272" applyNumberFormat="1" applyFont="1" applyFill="1"/>
    <xf numFmtId="4" fontId="6" fillId="0" borderId="0" xfId="272" applyNumberFormat="1" applyFont="1" applyFill="1"/>
    <xf numFmtId="4" fontId="4" fillId="0" borderId="0" xfId="221" applyNumberFormat="1" applyFont="1"/>
    <xf numFmtId="206" fontId="4" fillId="0" borderId="0" xfId="0" applyNumberFormat="1" applyFont="1"/>
    <xf numFmtId="0" fontId="5" fillId="0" borderId="0" xfId="0" applyFont="1" applyBorder="1"/>
    <xf numFmtId="3" fontId="5" fillId="0" borderId="0" xfId="0" applyNumberFormat="1" applyFont="1" applyBorder="1"/>
    <xf numFmtId="184" fontId="5" fillId="0" borderId="0" xfId="0" applyNumberFormat="1" applyFont="1" applyBorder="1"/>
    <xf numFmtId="0" fontId="7" fillId="0" borderId="7" xfId="0" applyFont="1" applyFill="1" applyBorder="1" applyAlignment="1">
      <alignment vertical="top" wrapText="1"/>
    </xf>
    <xf numFmtId="10" fontId="7" fillId="0" borderId="7" xfId="566" applyNumberFormat="1" applyFont="1" applyFill="1" applyBorder="1" applyAlignment="1">
      <alignment vertical="top" wrapText="1"/>
    </xf>
    <xf numFmtId="49" fontId="5" fillId="4" borderId="4" xfId="0" applyNumberFormat="1" applyFont="1" applyFill="1" applyBorder="1" applyAlignment="1">
      <alignment horizontal="right" vertical="top" wrapText="1"/>
    </xf>
    <xf numFmtId="175" fontId="7" fillId="14" borderId="2" xfId="0" applyNumberFormat="1" applyFont="1" applyFill="1" applyBorder="1"/>
    <xf numFmtId="182" fontId="7" fillId="14" borderId="0" xfId="566" applyNumberFormat="1" applyFont="1" applyFill="1"/>
    <xf numFmtId="3" fontId="7" fillId="14" borderId="7" xfId="566" applyNumberFormat="1" applyFont="1" applyFill="1" applyBorder="1"/>
    <xf numFmtId="182" fontId="37" fillId="14" borderId="0" xfId="1" applyNumberFormat="1" applyFont="1" applyFill="1" applyAlignment="1">
      <alignment horizontal="right"/>
    </xf>
    <xf numFmtId="3" fontId="37" fillId="14" borderId="7" xfId="1" applyNumberFormat="1" applyFont="1" applyFill="1" applyBorder="1" applyAlignment="1">
      <alignment horizontal="right"/>
    </xf>
    <xf numFmtId="3" fontId="7" fillId="14" borderId="0" xfId="566" applyNumberFormat="1" applyFont="1" applyFill="1" applyBorder="1"/>
    <xf numFmtId="185" fontId="7" fillId="14" borderId="12" xfId="566" applyNumberFormat="1" applyFont="1" applyFill="1" applyBorder="1"/>
    <xf numFmtId="3" fontId="7" fillId="14" borderId="2" xfId="566" applyNumberFormat="1" applyFont="1" applyFill="1" applyBorder="1"/>
    <xf numFmtId="175" fontId="7" fillId="14" borderId="0" xfId="0" applyNumberFormat="1" applyFont="1" applyFill="1"/>
    <xf numFmtId="3" fontId="7" fillId="14" borderId="7" xfId="0" applyNumberFormat="1" applyFont="1" applyFill="1" applyBorder="1" applyAlignment="1">
      <alignment horizontal="right" vertical="top" wrapText="1"/>
    </xf>
    <xf numFmtId="3" fontId="7" fillId="14" borderId="0" xfId="0" applyNumberFormat="1" applyFont="1" applyFill="1" applyBorder="1" applyAlignment="1">
      <alignment horizontal="right" vertical="top" wrapText="1"/>
    </xf>
    <xf numFmtId="0" fontId="7" fillId="14" borderId="1" xfId="0" applyFont="1" applyFill="1" applyBorder="1" applyAlignment="1">
      <alignment horizontal="left" vertical="top" wrapText="1"/>
    </xf>
    <xf numFmtId="3" fontId="7" fillId="14" borderId="7" xfId="0" applyNumberFormat="1" applyFont="1" applyFill="1" applyBorder="1" applyAlignment="1">
      <alignment vertical="top" wrapText="1"/>
    </xf>
    <xf numFmtId="3" fontId="7" fillId="14" borderId="0" xfId="0" applyNumberFormat="1" applyFont="1" applyFill="1" applyBorder="1" applyAlignment="1">
      <alignment vertical="top" wrapText="1"/>
    </xf>
    <xf numFmtId="177" fontId="7" fillId="14" borderId="0" xfId="566" applyNumberFormat="1" applyFont="1" applyFill="1" applyAlignment="1">
      <alignment vertical="top" wrapText="1"/>
    </xf>
    <xf numFmtId="3" fontId="7" fillId="14" borderId="2" xfId="0" applyNumberFormat="1" applyFont="1" applyFill="1" applyBorder="1" applyAlignment="1">
      <alignment vertical="top" wrapText="1"/>
    </xf>
    <xf numFmtId="182" fontId="7" fillId="14" borderId="0" xfId="0" applyNumberFormat="1" applyFont="1" applyFill="1" applyAlignment="1">
      <alignment vertical="top" wrapText="1"/>
    </xf>
    <xf numFmtId="181" fontId="7" fillId="14" borderId="0" xfId="566" applyNumberFormat="1" applyFont="1" applyFill="1"/>
    <xf numFmtId="3" fontId="7" fillId="14" borderId="7" xfId="0" applyNumberFormat="1" applyFont="1" applyFill="1" applyBorder="1"/>
    <xf numFmtId="187" fontId="7" fillId="14" borderId="0" xfId="0" applyNumberFormat="1" applyFont="1" applyFill="1" applyAlignment="1">
      <alignment vertical="top" wrapText="1"/>
    </xf>
    <xf numFmtId="3" fontId="7" fillId="14" borderId="0" xfId="0" applyNumberFormat="1" applyFont="1" applyFill="1" applyAlignment="1">
      <alignment vertical="top" wrapText="1"/>
    </xf>
    <xf numFmtId="0" fontId="7" fillId="14" borderId="0" xfId="0" applyFont="1" applyFill="1" applyAlignment="1">
      <alignment horizontal="right" vertical="top" wrapText="1"/>
    </xf>
    <xf numFmtId="3" fontId="7" fillId="14" borderId="1" xfId="0" applyNumberFormat="1" applyFont="1" applyFill="1" applyBorder="1" applyAlignment="1">
      <alignment vertical="top" wrapText="1"/>
    </xf>
    <xf numFmtId="182" fontId="7" fillId="14" borderId="1" xfId="566" applyNumberFormat="1" applyFont="1" applyFill="1" applyBorder="1" applyAlignment="1">
      <alignment vertical="top" wrapText="1"/>
    </xf>
    <xf numFmtId="10" fontId="7" fillId="14" borderId="0" xfId="566" applyNumberFormat="1" applyFont="1" applyFill="1" applyBorder="1" applyAlignment="1">
      <alignment vertical="top" wrapText="1"/>
    </xf>
    <xf numFmtId="10" fontId="7" fillId="14" borderId="2" xfId="566" applyNumberFormat="1" applyFont="1" applyFill="1" applyBorder="1" applyAlignment="1">
      <alignment vertical="top" wrapText="1"/>
    </xf>
    <xf numFmtId="10" fontId="7" fillId="14" borderId="0" xfId="566" applyNumberFormat="1" applyFont="1" applyFill="1" applyAlignment="1">
      <alignment vertical="top" wrapText="1"/>
    </xf>
    <xf numFmtId="10" fontId="7" fillId="14" borderId="7" xfId="566" applyNumberFormat="1" applyFont="1" applyFill="1" applyBorder="1" applyAlignment="1">
      <alignment vertical="top" wrapText="1"/>
    </xf>
    <xf numFmtId="0" fontId="7" fillId="14" borderId="0" xfId="0" applyFont="1" applyFill="1" applyAlignment="1">
      <alignment vertical="top" wrapText="1"/>
    </xf>
    <xf numFmtId="0" fontId="7" fillId="14" borderId="2" xfId="0" applyFont="1" applyFill="1" applyBorder="1" applyAlignment="1">
      <alignment vertical="top" wrapText="1"/>
    </xf>
    <xf numFmtId="0" fontId="7" fillId="14" borderId="0" xfId="0" applyFont="1" applyFill="1" applyBorder="1" applyAlignment="1">
      <alignment vertical="top" wrapText="1"/>
    </xf>
    <xf numFmtId="0" fontId="7" fillId="14" borderId="1" xfId="0" applyFont="1" applyFill="1" applyBorder="1" applyAlignment="1">
      <alignment vertical="top" wrapText="1"/>
    </xf>
    <xf numFmtId="182" fontId="7" fillId="14" borderId="1" xfId="0" applyNumberFormat="1" applyFont="1" applyFill="1" applyBorder="1" applyAlignment="1">
      <alignment vertical="top" wrapText="1"/>
    </xf>
    <xf numFmtId="10" fontId="7" fillId="14" borderId="0" xfId="0" applyNumberFormat="1" applyFont="1" applyFill="1" applyAlignment="1">
      <alignment vertical="top" wrapText="1"/>
    </xf>
    <xf numFmtId="182" fontId="7" fillId="14" borderId="2" xfId="0" applyNumberFormat="1" applyFont="1" applyFill="1" applyBorder="1" applyAlignment="1">
      <alignment vertical="top" wrapText="1"/>
    </xf>
    <xf numFmtId="3" fontId="7" fillId="14" borderId="7" xfId="1" applyNumberFormat="1" applyFont="1" applyFill="1" applyBorder="1"/>
    <xf numFmtId="181" fontId="7" fillId="14" borderId="0" xfId="566" applyNumberFormat="1" applyFont="1" applyFill="1" applyAlignment="1">
      <alignment horizontal="right"/>
    </xf>
    <xf numFmtId="3" fontId="7" fillId="14" borderId="7" xfId="1" applyNumberFormat="1" applyFont="1" applyFill="1" applyBorder="1" applyAlignment="1">
      <alignment horizontal="right"/>
    </xf>
    <xf numFmtId="3" fontId="7" fillId="14" borderId="0" xfId="1" applyNumberFormat="1" applyFont="1" applyFill="1" applyBorder="1"/>
    <xf numFmtId="177" fontId="7" fillId="14" borderId="1" xfId="566" applyNumberFormat="1" applyFont="1" applyFill="1" applyBorder="1" applyAlignment="1">
      <alignment horizontal="right"/>
    </xf>
    <xf numFmtId="3" fontId="7" fillId="14" borderId="0" xfId="0" applyNumberFormat="1" applyFont="1" applyFill="1" applyBorder="1"/>
    <xf numFmtId="10" fontId="7" fillId="14" borderId="0" xfId="566" applyNumberFormat="1" applyFont="1" applyFill="1"/>
    <xf numFmtId="0" fontId="7" fillId="14" borderId="0" xfId="0" applyFont="1" applyFill="1"/>
    <xf numFmtId="0" fontId="7" fillId="14" borderId="2" xfId="0" applyFont="1" applyFill="1" applyBorder="1"/>
    <xf numFmtId="0" fontId="7" fillId="14" borderId="0" xfId="0" applyFont="1" applyFill="1" applyBorder="1"/>
    <xf numFmtId="0" fontId="7" fillId="14" borderId="1" xfId="0" applyFont="1" applyFill="1" applyBorder="1"/>
    <xf numFmtId="175" fontId="7" fillId="14" borderId="2" xfId="575" applyNumberFormat="1" applyFont="1" applyFill="1" applyBorder="1"/>
    <xf numFmtId="175" fontId="7" fillId="14" borderId="0" xfId="575" applyNumberFormat="1" applyFont="1" applyFill="1"/>
    <xf numFmtId="193" fontId="7" fillId="14" borderId="0" xfId="566" applyNumberFormat="1" applyFont="1" applyFill="1"/>
    <xf numFmtId="10" fontId="7" fillId="14" borderId="2" xfId="0" applyNumberFormat="1" applyFont="1" applyFill="1" applyBorder="1" applyAlignment="1">
      <alignment vertical="top" wrapText="1"/>
    </xf>
    <xf numFmtId="182" fontId="7" fillId="14" borderId="0" xfId="1" applyNumberFormat="1" applyFont="1" applyFill="1"/>
    <xf numFmtId="3" fontId="7" fillId="14" borderId="0" xfId="566" applyNumberFormat="1" applyFont="1" applyFill="1"/>
    <xf numFmtId="182" fontId="7" fillId="14" borderId="0" xfId="1" applyNumberFormat="1" applyFont="1" applyFill="1" applyBorder="1"/>
    <xf numFmtId="182" fontId="7" fillId="14" borderId="12" xfId="566" applyNumberFormat="1" applyFont="1" applyFill="1" applyBorder="1"/>
    <xf numFmtId="175" fontId="7" fillId="14" borderId="0" xfId="575" applyNumberFormat="1" applyFont="1" applyFill="1" applyBorder="1"/>
    <xf numFmtId="182" fontId="7" fillId="14" borderId="0" xfId="566" applyNumberFormat="1" applyFont="1" applyFill="1" applyBorder="1" applyAlignment="1">
      <alignment vertical="top" wrapText="1"/>
    </xf>
    <xf numFmtId="182" fontId="7" fillId="14" borderId="2" xfId="566" applyNumberFormat="1" applyFont="1" applyFill="1" applyBorder="1" applyAlignment="1">
      <alignment vertical="top" wrapText="1"/>
    </xf>
    <xf numFmtId="182" fontId="7" fillId="14" borderId="1" xfId="566" applyNumberFormat="1" applyFont="1" applyFill="1" applyBorder="1" applyAlignment="1">
      <alignment horizontal="right"/>
    </xf>
    <xf numFmtId="182" fontId="7" fillId="14" borderId="1" xfId="566" applyNumberFormat="1" applyFont="1" applyFill="1" applyBorder="1"/>
    <xf numFmtId="10" fontId="7" fillId="14" borderId="0" xfId="566" applyNumberFormat="1" applyFont="1" applyFill="1" applyBorder="1"/>
    <xf numFmtId="182" fontId="7" fillId="14" borderId="0" xfId="0" applyNumberFormat="1" applyFont="1" applyFill="1"/>
    <xf numFmtId="3" fontId="7" fillId="14" borderId="1" xfId="0" applyNumberFormat="1" applyFont="1" applyFill="1" applyBorder="1"/>
    <xf numFmtId="3" fontId="7" fillId="14" borderId="2" xfId="0" applyNumberFormat="1" applyFont="1" applyFill="1" applyBorder="1"/>
    <xf numFmtId="3" fontId="7" fillId="14" borderId="0" xfId="0" applyNumberFormat="1" applyFont="1" applyFill="1"/>
    <xf numFmtId="182" fontId="7" fillId="14" borderId="0" xfId="0" applyNumberFormat="1" applyFont="1" applyFill="1" applyBorder="1"/>
    <xf numFmtId="4" fontId="7" fillId="14" borderId="0" xfId="1" applyNumberFormat="1" applyFont="1" applyFill="1" applyBorder="1"/>
    <xf numFmtId="3" fontId="7" fillId="14" borderId="0" xfId="1" applyNumberFormat="1" applyFont="1" applyFill="1" applyBorder="1" applyAlignment="1">
      <alignment horizontal="right"/>
    </xf>
    <xf numFmtId="181" fontId="7" fillId="14" borderId="0" xfId="0" applyNumberFormat="1" applyFont="1" applyFill="1" applyBorder="1"/>
    <xf numFmtId="0" fontId="4" fillId="14" borderId="1" xfId="0" applyFont="1" applyFill="1" applyBorder="1"/>
    <xf numFmtId="10" fontId="7" fillId="14" borderId="1" xfId="566" applyNumberFormat="1" applyFont="1" applyFill="1" applyBorder="1" applyAlignment="1">
      <alignment vertical="top" wrapText="1"/>
    </xf>
    <xf numFmtId="182" fontId="7" fillId="14" borderId="0" xfId="566" applyNumberFormat="1" applyFont="1" applyFill="1" applyAlignment="1">
      <alignment vertical="top" wrapText="1"/>
    </xf>
    <xf numFmtId="187" fontId="7" fillId="14" borderId="0" xfId="566" applyNumberFormat="1" applyFont="1" applyFill="1"/>
    <xf numFmtId="3" fontId="7" fillId="14" borderId="7" xfId="172" applyNumberFormat="1" applyFont="1" applyFill="1" applyBorder="1" applyAlignment="1">
      <alignment horizontal="right"/>
    </xf>
    <xf numFmtId="2" fontId="7" fillId="14" borderId="7" xfId="10" applyNumberFormat="1" applyFont="1" applyFill="1" applyBorder="1"/>
    <xf numFmtId="3" fontId="7" fillId="14" borderId="7" xfId="566" applyNumberFormat="1" applyFont="1" applyFill="1" applyBorder="1" applyAlignment="1">
      <alignment horizontal="right"/>
    </xf>
    <xf numFmtId="182" fontId="7" fillId="14" borderId="0" xfId="566" applyNumberFormat="1" applyFont="1" applyFill="1" applyBorder="1"/>
    <xf numFmtId="177" fontId="7" fillId="14" borderId="0" xfId="566" applyNumberFormat="1" applyFont="1" applyFill="1" applyBorder="1" applyAlignment="1">
      <alignment vertical="top" wrapText="1"/>
    </xf>
    <xf numFmtId="181" fontId="7" fillId="14" borderId="0" xfId="566" applyNumberFormat="1" applyFont="1" applyFill="1" applyBorder="1"/>
    <xf numFmtId="187" fontId="7" fillId="14" borderId="0" xfId="0" applyNumberFormat="1" applyFont="1" applyFill="1" applyBorder="1" applyAlignment="1">
      <alignment vertical="top" wrapText="1"/>
    </xf>
    <xf numFmtId="182" fontId="7" fillId="14" borderId="0" xfId="0" applyNumberFormat="1" applyFont="1" applyFill="1" applyBorder="1" applyAlignment="1">
      <alignment vertical="top" wrapText="1"/>
    </xf>
    <xf numFmtId="10" fontId="7" fillId="14" borderId="0" xfId="0" applyNumberFormat="1" applyFont="1" applyFill="1" applyBorder="1" applyAlignment="1">
      <alignment vertical="top" wrapText="1"/>
    </xf>
    <xf numFmtId="177" fontId="7" fillId="14" borderId="0" xfId="566" applyNumberFormat="1" applyFont="1" applyFill="1"/>
    <xf numFmtId="173" fontId="7" fillId="14" borderId="7" xfId="1" applyNumberFormat="1" applyFont="1" applyFill="1" applyBorder="1" applyAlignment="1">
      <alignment horizontal="right"/>
    </xf>
    <xf numFmtId="177" fontId="7" fillId="14" borderId="1" xfId="566" applyNumberFormat="1" applyFont="1" applyFill="1" applyBorder="1"/>
    <xf numFmtId="181" fontId="7" fillId="14" borderId="1" xfId="0" applyNumberFormat="1" applyFont="1" applyFill="1" applyBorder="1"/>
    <xf numFmtId="166" fontId="1" fillId="14" borderId="0" xfId="272" applyFill="1"/>
    <xf numFmtId="173" fontId="1" fillId="14" borderId="7" xfId="1" applyNumberFormat="1" applyFill="1" applyBorder="1"/>
    <xf numFmtId="182" fontId="7" fillId="14" borderId="2" xfId="566" applyNumberFormat="1" applyFont="1" applyFill="1" applyBorder="1"/>
    <xf numFmtId="187" fontId="7" fillId="14" borderId="0" xfId="1" applyNumberFormat="1" applyFont="1" applyFill="1" applyBorder="1"/>
    <xf numFmtId="3" fontId="7" fillId="14" borderId="0" xfId="1" applyNumberFormat="1" applyFont="1" applyFill="1"/>
    <xf numFmtId="186" fontId="7" fillId="14" borderId="0" xfId="566" applyNumberFormat="1" applyFont="1" applyFill="1"/>
    <xf numFmtId="177" fontId="7" fillId="14" borderId="12" xfId="566" applyNumberFormat="1" applyFont="1" applyFill="1" applyBorder="1"/>
    <xf numFmtId="2" fontId="7" fillId="14" borderId="0" xfId="566" applyNumberFormat="1" applyFont="1" applyFill="1"/>
    <xf numFmtId="2" fontId="7" fillId="14" borderId="0" xfId="575" applyNumberFormat="1" applyFont="1" applyFill="1"/>
    <xf numFmtId="3" fontId="7" fillId="14" borderId="7" xfId="172" applyNumberFormat="1" applyFont="1" applyFill="1" applyBorder="1"/>
    <xf numFmtId="49" fontId="7" fillId="14" borderId="0" xfId="575" applyFont="1" applyFill="1"/>
    <xf numFmtId="3" fontId="7" fillId="14" borderId="7" xfId="575" applyNumberFormat="1" applyFont="1" applyFill="1" applyBorder="1"/>
    <xf numFmtId="3" fontId="7" fillId="14" borderId="0" xfId="575" applyNumberFormat="1" applyFont="1" applyFill="1"/>
    <xf numFmtId="49" fontId="7" fillId="14" borderId="12" xfId="575" applyFont="1" applyFill="1" applyBorder="1"/>
    <xf numFmtId="3" fontId="7" fillId="14" borderId="2" xfId="575" applyNumberFormat="1" applyFont="1" applyFill="1" applyBorder="1"/>
    <xf numFmtId="182" fontId="7" fillId="14" borderId="0" xfId="575" applyNumberFormat="1" applyFont="1" applyFill="1"/>
    <xf numFmtId="3" fontId="7" fillId="14" borderId="0" xfId="575" applyNumberFormat="1" applyFont="1" applyFill="1" applyBorder="1"/>
    <xf numFmtId="3" fontId="1" fillId="14" borderId="7" xfId="172" applyNumberFormat="1" applyFill="1" applyBorder="1" applyAlignment="1">
      <alignment horizontal="right"/>
    </xf>
    <xf numFmtId="175" fontId="7" fillId="14" borderId="8" xfId="575" applyNumberFormat="1" applyFont="1" applyFill="1" applyBorder="1"/>
    <xf numFmtId="49" fontId="7" fillId="14" borderId="4" xfId="575" applyFont="1" applyFill="1" applyBorder="1"/>
    <xf numFmtId="3" fontId="7" fillId="14" borderId="10" xfId="575" applyNumberFormat="1" applyFont="1" applyFill="1" applyBorder="1"/>
    <xf numFmtId="3" fontId="7" fillId="14" borderId="4" xfId="575" applyNumberFormat="1" applyFont="1" applyFill="1" applyBorder="1"/>
    <xf numFmtId="49" fontId="7" fillId="14" borderId="11" xfId="575" applyFont="1" applyFill="1" applyBorder="1"/>
    <xf numFmtId="3" fontId="7" fillId="14" borderId="8" xfId="575" applyNumberFormat="1" applyFont="1" applyFill="1" applyBorder="1"/>
    <xf numFmtId="3" fontId="7" fillId="14" borderId="10" xfId="172" applyNumberFormat="1" applyFont="1" applyFill="1" applyBorder="1"/>
    <xf numFmtId="182" fontId="7" fillId="14" borderId="4" xfId="575" applyNumberFormat="1" applyFont="1" applyFill="1" applyBorder="1"/>
    <xf numFmtId="3" fontId="7" fillId="14" borderId="10" xfId="0" applyNumberFormat="1" applyFont="1" applyFill="1" applyBorder="1"/>
    <xf numFmtId="3" fontId="7" fillId="14" borderId="4" xfId="0" applyNumberFormat="1" applyFont="1" applyFill="1" applyBorder="1"/>
    <xf numFmtId="3" fontId="7" fillId="14" borderId="8" xfId="0" applyNumberFormat="1" applyFont="1" applyFill="1" applyBorder="1"/>
    <xf numFmtId="0" fontId="7" fillId="14" borderId="9" xfId="0" applyFont="1" applyFill="1" applyBorder="1"/>
    <xf numFmtId="182" fontId="7" fillId="14" borderId="4" xfId="566" applyNumberFormat="1" applyFont="1" applyFill="1" applyBorder="1"/>
    <xf numFmtId="0" fontId="7" fillId="14" borderId="4" xfId="0" applyFont="1" applyFill="1" applyBorder="1"/>
    <xf numFmtId="3" fontId="7" fillId="14" borderId="9" xfId="0" applyNumberFormat="1" applyFont="1" applyFill="1" applyBorder="1"/>
    <xf numFmtId="10" fontId="7" fillId="14" borderId="9" xfId="566" applyNumberFormat="1" applyFont="1" applyFill="1" applyBorder="1" applyAlignment="1">
      <alignment vertical="top" wrapText="1"/>
    </xf>
    <xf numFmtId="10" fontId="7" fillId="14" borderId="4" xfId="566" applyNumberFormat="1" applyFont="1" applyFill="1" applyBorder="1" applyAlignment="1">
      <alignment vertical="top" wrapText="1"/>
    </xf>
    <xf numFmtId="10" fontId="7" fillId="14" borderId="8" xfId="566" applyNumberFormat="1" applyFont="1" applyFill="1" applyBorder="1" applyAlignment="1">
      <alignment vertical="top" wrapText="1"/>
    </xf>
    <xf numFmtId="0" fontId="7" fillId="14" borderId="8" xfId="0" applyFont="1" applyFill="1" applyBorder="1"/>
    <xf numFmtId="49" fontId="5" fillId="0" borderId="2" xfId="575" applyFont="1" applyFill="1" applyBorder="1" applyAlignment="1">
      <alignment horizontal="left"/>
    </xf>
    <xf numFmtId="3" fontId="0" fillId="0" borderId="0" xfId="1" applyNumberFormat="1" applyFont="1" applyBorder="1" applyAlignment="1">
      <alignment horizontal="right"/>
    </xf>
    <xf numFmtId="185" fontId="7" fillId="0" borderId="0" xfId="566" applyNumberFormat="1" applyFont="1" applyFill="1" applyBorder="1"/>
    <xf numFmtId="0" fontId="7" fillId="0" borderId="0" xfId="0" applyFont="1" applyFill="1" applyBorder="1" applyAlignment="1">
      <alignment horizontal="left" vertical="top" wrapText="1"/>
    </xf>
    <xf numFmtId="181" fontId="7" fillId="14" borderId="4" xfId="566" applyNumberFormat="1" applyFont="1" applyFill="1" applyBorder="1"/>
    <xf numFmtId="181" fontId="7" fillId="14" borderId="4" xfId="566" applyNumberFormat="1" applyFont="1" applyFill="1" applyBorder="1" applyAlignment="1">
      <alignment horizontal="right"/>
    </xf>
    <xf numFmtId="3" fontId="1" fillId="14" borderId="10" xfId="172" applyNumberFormat="1" applyFill="1" applyBorder="1" applyAlignment="1">
      <alignment horizontal="right"/>
    </xf>
    <xf numFmtId="187" fontId="7" fillId="14" borderId="4" xfId="0" applyNumberFormat="1" applyFont="1" applyFill="1" applyBorder="1" applyAlignment="1">
      <alignment vertical="top" wrapText="1"/>
    </xf>
    <xf numFmtId="3" fontId="7" fillId="14" borderId="10" xfId="0" applyNumberFormat="1" applyFont="1" applyFill="1" applyBorder="1" applyAlignment="1">
      <alignment vertical="top" wrapText="1"/>
    </xf>
    <xf numFmtId="182" fontId="7" fillId="14" borderId="4" xfId="566" applyNumberFormat="1" applyFont="1" applyFill="1" applyBorder="1" applyAlignment="1">
      <alignment vertical="top" wrapText="1"/>
    </xf>
    <xf numFmtId="2" fontId="7" fillId="14" borderId="10" xfId="10" applyNumberFormat="1" applyFont="1" applyFill="1" applyBorder="1"/>
    <xf numFmtId="182" fontId="7" fillId="14" borderId="4" xfId="0" applyNumberFormat="1" applyFont="1" applyFill="1" applyBorder="1" applyAlignment="1">
      <alignment vertical="top" wrapText="1"/>
    </xf>
    <xf numFmtId="0" fontId="4" fillId="0" borderId="3" xfId="0" applyFont="1" applyFill="1" applyBorder="1" applyAlignment="1"/>
    <xf numFmtId="0" fontId="0" fillId="0" borderId="0" xfId="0" applyFont="1" applyFill="1"/>
    <xf numFmtId="0" fontId="36" fillId="0" borderId="0" xfId="0" applyFont="1" applyFill="1"/>
    <xf numFmtId="0" fontId="42" fillId="0" borderId="0" xfId="0" applyFont="1"/>
    <xf numFmtId="1" fontId="42" fillId="0" borderId="0" xfId="0" applyNumberFormat="1" applyFont="1" applyFill="1"/>
    <xf numFmtId="3" fontId="42" fillId="0" borderId="0" xfId="0" applyNumberFormat="1" applyFont="1"/>
    <xf numFmtId="0" fontId="21" fillId="6" borderId="4" xfId="0" applyFont="1" applyFill="1" applyBorder="1" applyAlignment="1">
      <alignment horizontal="right"/>
    </xf>
    <xf numFmtId="3" fontId="7" fillId="14" borderId="0" xfId="172" applyNumberFormat="1" applyFont="1" applyFill="1" applyBorder="1"/>
    <xf numFmtId="3" fontId="7" fillId="14" borderId="4" xfId="172" applyNumberFormat="1" applyFont="1" applyFill="1" applyBorder="1"/>
    <xf numFmtId="0" fontId="20" fillId="6" borderId="4" xfId="0" applyFont="1" applyFill="1" applyBorder="1" applyAlignment="1">
      <alignment horizontal="right" vertical="top" wrapText="1"/>
    </xf>
    <xf numFmtId="3" fontId="7" fillId="0" borderId="7" xfId="0" applyNumberFormat="1" applyFont="1" applyFill="1" applyBorder="1" applyAlignment="1">
      <alignment horizontal="right"/>
    </xf>
    <xf numFmtId="0" fontId="20" fillId="6" borderId="12" xfId="0" applyFont="1" applyFill="1" applyBorder="1" applyAlignment="1">
      <alignment horizontal="right" vertical="top" wrapText="1"/>
    </xf>
    <xf numFmtId="3" fontId="7" fillId="0" borderId="12" xfId="0" applyNumberFormat="1" applyFont="1" applyFill="1" applyBorder="1" applyAlignment="1">
      <alignment horizontal="right" vertical="top" wrapText="1"/>
    </xf>
    <xf numFmtId="3" fontId="7" fillId="0" borderId="12" xfId="0" applyNumberFormat="1" applyFont="1" applyFill="1" applyBorder="1" applyAlignment="1">
      <alignment vertical="top" wrapText="1"/>
    </xf>
    <xf numFmtId="3" fontId="7" fillId="14" borderId="12" xfId="0" applyNumberFormat="1" applyFont="1" applyFill="1" applyBorder="1" applyAlignment="1">
      <alignment vertical="top" wrapText="1"/>
    </xf>
    <xf numFmtId="187" fontId="7" fillId="14" borderId="12" xfId="0" applyNumberFormat="1" applyFont="1" applyFill="1" applyBorder="1" applyAlignment="1">
      <alignment vertical="top" wrapText="1"/>
    </xf>
    <xf numFmtId="3" fontId="7" fillId="14" borderId="12" xfId="172" applyNumberFormat="1" applyFont="1" applyFill="1" applyBorder="1"/>
    <xf numFmtId="3" fontId="7" fillId="0" borderId="12" xfId="0" applyNumberFormat="1" applyFont="1" applyFill="1" applyBorder="1"/>
    <xf numFmtId="1" fontId="7" fillId="0" borderId="11" xfId="575" applyNumberFormat="1" applyFont="1" applyFill="1" applyBorder="1"/>
    <xf numFmtId="3" fontId="7" fillId="14" borderId="11" xfId="172" applyNumberFormat="1" applyFont="1" applyFill="1" applyBorder="1"/>
    <xf numFmtId="39" fontId="4" fillId="0" borderId="0" xfId="172" applyFont="1" applyAlignment="1">
      <alignment horizontal="right"/>
    </xf>
    <xf numFmtId="190" fontId="0" fillId="0" borderId="0" xfId="0" applyNumberFormat="1"/>
    <xf numFmtId="190" fontId="13" fillId="0" borderId="0" xfId="0" applyNumberFormat="1" applyFont="1" applyAlignment="1">
      <alignment horizontal="center"/>
    </xf>
    <xf numFmtId="190" fontId="0" fillId="0" borderId="0" xfId="0" quotePrefix="1" applyNumberFormat="1"/>
    <xf numFmtId="190" fontId="0" fillId="0" borderId="0" xfId="0" applyNumberFormat="1" applyBorder="1"/>
    <xf numFmtId="190" fontId="14" fillId="2" borderId="0" xfId="0" applyNumberFormat="1" applyFont="1" applyFill="1" applyBorder="1" applyAlignment="1">
      <alignment horizontal="center" wrapText="1"/>
    </xf>
    <xf numFmtId="190" fontId="0" fillId="0" borderId="4" xfId="0" applyNumberFormat="1" applyFill="1" applyBorder="1"/>
    <xf numFmtId="190" fontId="0" fillId="0" borderId="0" xfId="0" applyNumberFormat="1" applyFill="1"/>
    <xf numFmtId="190" fontId="0" fillId="0" borderId="0" xfId="0" applyNumberFormat="1" applyFill="1" applyAlignment="1">
      <alignment horizontal="right"/>
    </xf>
    <xf numFmtId="190" fontId="9" fillId="0" borderId="0" xfId="0" applyNumberFormat="1" applyFont="1" applyFill="1" applyAlignment="1">
      <alignment horizontal="right"/>
    </xf>
    <xf numFmtId="190" fontId="19" fillId="0" borderId="0" xfId="0" applyNumberFormat="1" applyFont="1" applyFill="1" applyAlignment="1">
      <alignment horizontal="right"/>
    </xf>
    <xf numFmtId="190" fontId="0" fillId="0" borderId="4" xfId="0" applyNumberFormat="1" applyFill="1" applyBorder="1" applyAlignment="1">
      <alignment horizontal="right"/>
    </xf>
    <xf numFmtId="190" fontId="4" fillId="0" borderId="0" xfId="0" applyNumberFormat="1" applyFont="1" applyFill="1" applyAlignment="1">
      <alignment horizontal="right"/>
    </xf>
    <xf numFmtId="190" fontId="8" fillId="0" borderId="0" xfId="0" applyNumberFormat="1" applyFont="1" applyFill="1" applyAlignment="1">
      <alignment horizontal="right"/>
    </xf>
    <xf numFmtId="190" fontId="0" fillId="0" borderId="0" xfId="0" applyNumberFormat="1" applyAlignment="1">
      <alignment horizontal="right"/>
    </xf>
    <xf numFmtId="190" fontId="42" fillId="0" borderId="0" xfId="0" applyNumberFormat="1" applyFont="1" applyAlignment="1">
      <alignment horizontal="right"/>
    </xf>
    <xf numFmtId="190" fontId="9" fillId="0" borderId="0" xfId="0" applyNumberFormat="1" applyFont="1" applyAlignment="1">
      <alignment horizontal="right"/>
    </xf>
    <xf numFmtId="190" fontId="0" fillId="0" borderId="5" xfId="0" applyNumberFormat="1" applyBorder="1"/>
    <xf numFmtId="175" fontId="0" fillId="0" borderId="0" xfId="0" applyNumberFormat="1"/>
    <xf numFmtId="175" fontId="0" fillId="0" borderId="0" xfId="0" applyNumberFormat="1" applyBorder="1"/>
    <xf numFmtId="175" fontId="14" fillId="2" borderId="0" xfId="0" applyNumberFormat="1" applyFont="1" applyFill="1" applyBorder="1" applyAlignment="1">
      <alignment horizontal="center" wrapText="1"/>
    </xf>
    <xf numFmtId="175" fontId="0" fillId="0" borderId="4" xfId="0" applyNumberFormat="1" applyFill="1" applyBorder="1"/>
    <xf numFmtId="175" fontId="0" fillId="0" borderId="0" xfId="0" applyNumberFormat="1" applyFill="1"/>
    <xf numFmtId="175" fontId="0" fillId="0" borderId="0" xfId="0" quotePrefix="1" applyNumberFormat="1" applyFill="1" applyAlignment="1">
      <alignment horizontal="right"/>
    </xf>
    <xf numFmtId="175" fontId="4" fillId="0" borderId="0" xfId="0" quotePrefix="1" applyNumberFormat="1" applyFont="1" applyFill="1" applyAlignment="1">
      <alignment horizontal="right"/>
    </xf>
    <xf numFmtId="175" fontId="0" fillId="0" borderId="4" xfId="0" applyNumberFormat="1" applyFill="1" applyBorder="1" applyAlignment="1">
      <alignment horizontal="right"/>
    </xf>
    <xf numFmtId="175" fontId="42" fillId="0" borderId="0" xfId="0" quotePrefix="1" applyNumberFormat="1" applyFont="1" applyFill="1" applyAlignment="1">
      <alignment horizontal="right"/>
    </xf>
    <xf numFmtId="175" fontId="0" fillId="0" borderId="5" xfId="0" applyNumberFormat="1" applyBorder="1"/>
    <xf numFmtId="2" fontId="7" fillId="7" borderId="9" xfId="0" applyNumberFormat="1" applyFont="1" applyFill="1" applyBorder="1" applyAlignment="1">
      <alignment horizontal="right" vertical="top" wrapText="1"/>
    </xf>
    <xf numFmtId="2" fontId="7" fillId="0" borderId="1" xfId="0" applyNumberFormat="1" applyFont="1" applyFill="1" applyBorder="1" applyAlignment="1">
      <alignment horizontal="right" vertical="top" wrapText="1"/>
    </xf>
    <xf numFmtId="2" fontId="7" fillId="0" borderId="1" xfId="0" applyNumberFormat="1" applyFont="1" applyFill="1" applyBorder="1" applyAlignment="1">
      <alignment horizontal="left" vertical="top" wrapText="1"/>
    </xf>
    <xf numFmtId="2" fontId="7" fillId="0" borderId="0" xfId="0" applyNumberFormat="1" applyFont="1" applyFill="1" applyBorder="1" applyAlignment="1">
      <alignment horizontal="left" vertical="top" wrapText="1"/>
    </xf>
    <xf numFmtId="2" fontId="7" fillId="14" borderId="1" xfId="0" applyNumberFormat="1" applyFont="1" applyFill="1" applyBorder="1" applyAlignment="1">
      <alignment horizontal="left" vertical="top" wrapText="1"/>
    </xf>
    <xf numFmtId="2" fontId="7" fillId="14" borderId="1" xfId="566" applyNumberFormat="1" applyFont="1" applyFill="1" applyBorder="1" applyAlignment="1">
      <alignment horizontal="right"/>
    </xf>
    <xf numFmtId="2" fontId="7" fillId="14" borderId="1" xfId="566" applyNumberFormat="1" applyFont="1" applyFill="1" applyBorder="1"/>
    <xf numFmtId="2" fontId="7" fillId="14" borderId="1" xfId="0" applyNumberFormat="1" applyFont="1" applyFill="1" applyBorder="1"/>
    <xf numFmtId="2" fontId="7" fillId="14" borderId="9" xfId="0" applyNumberFormat="1" applyFont="1" applyFill="1" applyBorder="1"/>
    <xf numFmtId="2" fontId="7" fillId="0" borderId="4" xfId="0" applyNumberFormat="1" applyFont="1" applyFill="1" applyBorder="1"/>
    <xf numFmtId="2" fontId="7" fillId="14" borderId="0" xfId="0" applyNumberFormat="1" applyFont="1" applyFill="1" applyBorder="1"/>
    <xf numFmtId="2" fontId="7" fillId="0" borderId="0" xfId="0" applyNumberFormat="1" applyFont="1"/>
    <xf numFmtId="2" fontId="4" fillId="0" borderId="0" xfId="10" applyNumberFormat="1" applyFont="1" applyAlignment="1">
      <alignment horizontal="right" vertical="top" wrapText="1"/>
    </xf>
    <xf numFmtId="0" fontId="43" fillId="0" borderId="0" xfId="0" applyFont="1"/>
    <xf numFmtId="3" fontId="4" fillId="0" borderId="0" xfId="0" applyNumberFormat="1" applyFont="1"/>
    <xf numFmtId="173" fontId="0" fillId="0" borderId="0" xfId="1" applyNumberFormat="1" applyFont="1"/>
    <xf numFmtId="2" fontId="4" fillId="0" borderId="21" xfId="566" quotePrefix="1" applyNumberFormat="1" applyFont="1" applyFill="1" applyBorder="1" applyAlignment="1">
      <alignment horizontal="right"/>
    </xf>
    <xf numFmtId="2" fontId="4" fillId="0" borderId="7" xfId="566" applyNumberFormat="1" applyFont="1" applyFill="1" applyBorder="1" applyAlignment="1">
      <alignment horizontal="right"/>
    </xf>
    <xf numFmtId="1" fontId="4" fillId="0" borderId="5" xfId="566" quotePrefix="1" applyNumberFormat="1" applyFont="1" applyFill="1" applyBorder="1" applyAlignment="1">
      <alignment horizontal="right"/>
    </xf>
    <xf numFmtId="3" fontId="7" fillId="0" borderId="29" xfId="0" applyNumberFormat="1" applyFont="1" applyFill="1" applyBorder="1" applyAlignment="1">
      <alignment horizontal="right"/>
    </xf>
    <xf numFmtId="1" fontId="4" fillId="0" borderId="23" xfId="566" quotePrefix="1" applyNumberFormat="1" applyFont="1" applyFill="1" applyBorder="1" applyAlignment="1">
      <alignment horizontal="right"/>
    </xf>
    <xf numFmtId="0" fontId="2" fillId="0" borderId="3" xfId="0" applyFont="1" applyFill="1" applyBorder="1" applyAlignment="1"/>
    <xf numFmtId="0" fontId="2" fillId="0" borderId="3" xfId="0" applyFont="1" applyFill="1" applyBorder="1" applyAlignment="1">
      <alignment horizontal="right"/>
    </xf>
    <xf numFmtId="3" fontId="2" fillId="0" borderId="3" xfId="0" applyNumberFormat="1" applyFont="1" applyFill="1" applyBorder="1"/>
    <xf numFmtId="0" fontId="2" fillId="0" borderId="0" xfId="0" applyFont="1" applyFill="1"/>
    <xf numFmtId="10" fontId="2" fillId="0" borderId="3" xfId="566" applyNumberFormat="1" applyFont="1" applyFill="1" applyBorder="1"/>
    <xf numFmtId="0" fontId="2" fillId="0" borderId="3" xfId="0" applyFont="1" applyBorder="1"/>
    <xf numFmtId="49" fontId="5" fillId="3" borderId="11" xfId="0" applyNumberFormat="1" applyFont="1" applyFill="1" applyBorder="1" applyAlignment="1">
      <alignment horizontal="right" vertical="top" wrapText="1"/>
    </xf>
    <xf numFmtId="177" fontId="7" fillId="14" borderId="0" xfId="566" applyNumberFormat="1" applyFont="1" applyFill="1" applyBorder="1"/>
    <xf numFmtId="2" fontId="7" fillId="14" borderId="0" xfId="566" applyNumberFormat="1" applyFont="1" applyFill="1" applyBorder="1"/>
    <xf numFmtId="2" fontId="7" fillId="14" borderId="0" xfId="566" applyNumberFormat="1" applyFont="1" applyFill="1" applyBorder="1" applyAlignment="1">
      <alignment vertical="top" wrapText="1"/>
    </xf>
    <xf numFmtId="2" fontId="7" fillId="3" borderId="0" xfId="566" applyNumberFormat="1" applyFont="1" applyFill="1" applyBorder="1" applyAlignment="1">
      <alignment horizontal="right"/>
    </xf>
    <xf numFmtId="0" fontId="7" fillId="3" borderId="0" xfId="0" applyFont="1" applyFill="1" applyBorder="1" applyAlignment="1">
      <alignment horizontal="right"/>
    </xf>
    <xf numFmtId="182" fontId="7" fillId="3" borderId="0" xfId="1" applyNumberFormat="1" applyFont="1" applyFill="1" applyBorder="1" applyAlignment="1">
      <alignment horizontal="right"/>
    </xf>
    <xf numFmtId="2" fontId="7" fillId="3" borderId="0" xfId="1" applyNumberFormat="1" applyFont="1" applyFill="1" applyBorder="1" applyAlignment="1">
      <alignment horizontal="right"/>
    </xf>
    <xf numFmtId="2" fontId="7" fillId="3" borderId="0" xfId="0" applyNumberFormat="1" applyFont="1" applyFill="1" applyBorder="1" applyAlignment="1">
      <alignment horizontal="right"/>
    </xf>
    <xf numFmtId="0" fontId="7" fillId="3" borderId="0" xfId="0" applyFont="1" applyFill="1" applyBorder="1"/>
    <xf numFmtId="0" fontId="42" fillId="0" borderId="0" xfId="0" applyFont="1" applyFill="1"/>
    <xf numFmtId="190" fontId="42" fillId="0" borderId="0" xfId="0" applyNumberFormat="1" applyFont="1" applyFill="1" applyAlignment="1">
      <alignment horizontal="right"/>
    </xf>
    <xf numFmtId="3" fontId="42" fillId="0" borderId="0" xfId="0" applyNumberFormat="1" applyFont="1" applyFill="1"/>
    <xf numFmtId="3" fontId="0" fillId="0" borderId="5" xfId="0" applyNumberFormat="1" applyFill="1" applyBorder="1"/>
    <xf numFmtId="10" fontId="0" fillId="0" borderId="5" xfId="566" applyNumberFormat="1" applyFont="1" applyFill="1" applyBorder="1"/>
    <xf numFmtId="3" fontId="2" fillId="0" borderId="5" xfId="0" applyNumberFormat="1" applyFont="1" applyFill="1" applyBorder="1"/>
    <xf numFmtId="10" fontId="2" fillId="0" borderId="5" xfId="566" applyNumberFormat="1" applyFont="1" applyFill="1" applyBorder="1"/>
    <xf numFmtId="3" fontId="4" fillId="0" borderId="0" xfId="0" applyNumberFormat="1" applyFont="1" applyFill="1"/>
    <xf numFmtId="3" fontId="4" fillId="0" borderId="0" xfId="1" applyNumberFormat="1" applyFont="1" applyFill="1"/>
    <xf numFmtId="173" fontId="4" fillId="0" borderId="0" xfId="1" applyNumberFormat="1" applyFont="1" applyFill="1"/>
    <xf numFmtId="1" fontId="4" fillId="0" borderId="0" xfId="0" applyNumberFormat="1" applyFont="1" applyFill="1"/>
    <xf numFmtId="0" fontId="42" fillId="13" borderId="0" xfId="0" applyFont="1" applyFill="1"/>
    <xf numFmtId="190" fontId="42" fillId="13" borderId="0" xfId="0" applyNumberFormat="1" applyFont="1" applyFill="1" applyAlignment="1">
      <alignment horizontal="right"/>
    </xf>
    <xf numFmtId="175" fontId="42" fillId="13" borderId="0" xfId="0" quotePrefix="1" applyNumberFormat="1" applyFont="1" applyFill="1" applyAlignment="1">
      <alignment horizontal="right"/>
    </xf>
    <xf numFmtId="1" fontId="19" fillId="13" borderId="0" xfId="1" applyNumberFormat="1" applyFont="1" applyFill="1" applyAlignment="1">
      <alignment horizontal="right" indent="3"/>
    </xf>
    <xf numFmtId="1" fontId="42" fillId="13" borderId="0" xfId="0" applyNumberFormat="1" applyFont="1" applyFill="1"/>
    <xf numFmtId="3" fontId="42" fillId="13" borderId="0" xfId="0" applyNumberFormat="1" applyFont="1" applyFill="1"/>
    <xf numFmtId="0" fontId="9" fillId="13" borderId="0" xfId="0" applyFont="1" applyFill="1"/>
    <xf numFmtId="190" fontId="9" fillId="13" borderId="0" xfId="0" applyNumberFormat="1" applyFont="1" applyFill="1" applyAlignment="1">
      <alignment horizontal="right"/>
    </xf>
    <xf numFmtId="175" fontId="9" fillId="13" borderId="0" xfId="0" quotePrefix="1" applyNumberFormat="1" applyFont="1" applyFill="1" applyAlignment="1">
      <alignment horizontal="right"/>
    </xf>
    <xf numFmtId="1" fontId="19" fillId="13" borderId="0" xfId="566" applyNumberFormat="1" applyFont="1" applyFill="1"/>
    <xf numFmtId="3" fontId="19" fillId="13" borderId="0" xfId="0" applyNumberFormat="1" applyFont="1" applyFill="1"/>
    <xf numFmtId="3" fontId="9" fillId="13" borderId="0" xfId="0" applyNumberFormat="1" applyFont="1" applyFill="1"/>
    <xf numFmtId="175" fontId="9" fillId="13" borderId="0" xfId="0" applyNumberFormat="1" applyFont="1" applyFill="1" applyAlignment="1">
      <alignment horizontal="right"/>
    </xf>
    <xf numFmtId="1" fontId="9" fillId="13" borderId="0" xfId="566" applyNumberFormat="1" applyFont="1" applyFill="1"/>
    <xf numFmtId="1" fontId="9" fillId="13" borderId="0" xfId="0" applyNumberFormat="1" applyFont="1" applyFill="1"/>
    <xf numFmtId="1" fontId="9" fillId="13" borderId="0" xfId="1" applyNumberFormat="1" applyFont="1" applyFill="1" applyAlignment="1">
      <alignment horizontal="right" indent="3"/>
    </xf>
    <xf numFmtId="1" fontId="9" fillId="13" borderId="0" xfId="1" applyNumberFormat="1" applyFont="1" applyFill="1"/>
    <xf numFmtId="0" fontId="19" fillId="13" borderId="0" xfId="0" applyFont="1" applyFill="1"/>
    <xf numFmtId="175" fontId="19" fillId="13" borderId="0" xfId="0" applyNumberFormat="1" applyFont="1" applyFill="1" applyAlignment="1">
      <alignment horizontal="right"/>
    </xf>
    <xf numFmtId="1" fontId="19" fillId="13" borderId="0" xfId="1" applyNumberFormat="1" applyFont="1" applyFill="1"/>
    <xf numFmtId="188" fontId="38" fillId="0" borderId="0" xfId="172" applyNumberFormat="1" applyFont="1"/>
    <xf numFmtId="166" fontId="38" fillId="0" borderId="0" xfId="272" applyFont="1"/>
    <xf numFmtId="0" fontId="5" fillId="0" borderId="20" xfId="0" applyFont="1" applyFill="1" applyBorder="1" applyAlignment="1"/>
    <xf numFmtId="181" fontId="4" fillId="0" borderId="0" xfId="0" applyNumberFormat="1" applyFont="1" applyBorder="1"/>
    <xf numFmtId="10" fontId="4" fillId="0" borderId="0" xfId="0" applyNumberFormat="1" applyFont="1" applyBorder="1"/>
    <xf numFmtId="166" fontId="2" fillId="0" borderId="0" xfId="293" applyFont="1"/>
    <xf numFmtId="0" fontId="5" fillId="0" borderId="0" xfId="0" applyFont="1" applyBorder="1" applyAlignment="1">
      <alignment horizontal="left"/>
    </xf>
    <xf numFmtId="0" fontId="43" fillId="2" borderId="33" xfId="0" applyFont="1" applyFill="1" applyBorder="1" applyAlignment="1">
      <alignment horizontal="center"/>
    </xf>
    <xf numFmtId="184" fontId="42" fillId="0" borderId="0" xfId="0" applyNumberFormat="1" applyFont="1" applyAlignment="1">
      <alignment horizontal="right"/>
    </xf>
    <xf numFmtId="189" fontId="0" fillId="0" borderId="0" xfId="0" applyNumberFormat="1"/>
    <xf numFmtId="175" fontId="7" fillId="15" borderId="2" xfId="575" applyNumberFormat="1" applyFont="1" applyFill="1" applyBorder="1"/>
    <xf numFmtId="186" fontId="7" fillId="15" borderId="0" xfId="566" applyNumberFormat="1" applyFont="1" applyFill="1"/>
    <xf numFmtId="3" fontId="7" fillId="15" borderId="7" xfId="566" applyNumberFormat="1" applyFont="1" applyFill="1" applyBorder="1"/>
    <xf numFmtId="3" fontId="7" fillId="15" borderId="0" xfId="566" applyNumberFormat="1" applyFont="1" applyFill="1"/>
    <xf numFmtId="181" fontId="7" fillId="15" borderId="0" xfId="566" applyNumberFormat="1" applyFont="1" applyFill="1"/>
    <xf numFmtId="3" fontId="7" fillId="15" borderId="0" xfId="1" applyNumberFormat="1" applyFont="1" applyFill="1"/>
    <xf numFmtId="177" fontId="7" fillId="15" borderId="12" xfId="566" applyNumberFormat="1" applyFont="1" applyFill="1" applyBorder="1"/>
    <xf numFmtId="3" fontId="7" fillId="15" borderId="2" xfId="566" applyNumberFormat="1" applyFont="1" applyFill="1" applyBorder="1"/>
    <xf numFmtId="181" fontId="7" fillId="15" borderId="0" xfId="566" applyNumberFormat="1" applyFont="1" applyFill="1" applyAlignment="1">
      <alignment horizontal="right"/>
    </xf>
    <xf numFmtId="3" fontId="7" fillId="15" borderId="7" xfId="1" applyNumberFormat="1" applyFont="1" applyFill="1" applyBorder="1" applyAlignment="1">
      <alignment horizontal="right"/>
    </xf>
    <xf numFmtId="2" fontId="7" fillId="15" borderId="0" xfId="566" applyNumberFormat="1" applyFont="1" applyFill="1" applyBorder="1"/>
    <xf numFmtId="175" fontId="7" fillId="15" borderId="0" xfId="575" applyNumberFormat="1" applyFont="1" applyFill="1"/>
    <xf numFmtId="3" fontId="7" fillId="15" borderId="7" xfId="1" applyNumberFormat="1" applyFont="1" applyFill="1" applyBorder="1"/>
    <xf numFmtId="187" fontId="7" fillId="15" borderId="0" xfId="1" applyNumberFormat="1" applyFont="1" applyFill="1" applyBorder="1"/>
    <xf numFmtId="177" fontId="7" fillId="15" borderId="1" xfId="566" applyNumberFormat="1" applyFont="1" applyFill="1" applyBorder="1"/>
    <xf numFmtId="3" fontId="7" fillId="15" borderId="7" xfId="0" applyNumberFormat="1" applyFont="1" applyFill="1" applyBorder="1"/>
    <xf numFmtId="2" fontId="7" fillId="15" borderId="1" xfId="566" applyNumberFormat="1" applyFont="1" applyFill="1" applyBorder="1"/>
    <xf numFmtId="3" fontId="7" fillId="15" borderId="0" xfId="1" applyNumberFormat="1" applyFont="1" applyFill="1" applyBorder="1" applyAlignment="1">
      <alignment horizontal="right"/>
    </xf>
    <xf numFmtId="182" fontId="7" fillId="15" borderId="0" xfId="566" applyNumberFormat="1" applyFont="1" applyFill="1" applyAlignment="1">
      <alignment vertical="top" wrapText="1"/>
    </xf>
    <xf numFmtId="3" fontId="7" fillId="15" borderId="2" xfId="0" applyNumberFormat="1" applyFont="1" applyFill="1" applyBorder="1" applyAlignment="1">
      <alignment vertical="top" wrapText="1"/>
    </xf>
    <xf numFmtId="0" fontId="7" fillId="15" borderId="0" xfId="0" applyFont="1" applyFill="1"/>
    <xf numFmtId="187" fontId="7" fillId="15" borderId="0" xfId="0" applyNumberFormat="1" applyFont="1" applyFill="1" applyAlignment="1">
      <alignment vertical="top" wrapText="1"/>
    </xf>
    <xf numFmtId="3" fontId="7" fillId="15" borderId="7" xfId="0" applyNumberFormat="1" applyFont="1" applyFill="1" applyBorder="1" applyAlignment="1">
      <alignment vertical="top" wrapText="1"/>
    </xf>
    <xf numFmtId="3" fontId="7" fillId="15" borderId="0" xfId="1" applyNumberFormat="1" applyFont="1" applyFill="1" applyBorder="1"/>
    <xf numFmtId="187" fontId="7" fillId="15" borderId="12" xfId="0" applyNumberFormat="1" applyFont="1" applyFill="1" applyBorder="1" applyAlignment="1">
      <alignment vertical="top" wrapText="1"/>
    </xf>
    <xf numFmtId="182" fontId="7" fillId="15" borderId="0" xfId="566" applyNumberFormat="1" applyFont="1" applyFill="1"/>
    <xf numFmtId="182" fontId="7" fillId="15" borderId="0" xfId="0" applyNumberFormat="1" applyFont="1" applyFill="1"/>
    <xf numFmtId="3" fontId="7" fillId="15" borderId="0" xfId="0" applyNumberFormat="1" applyFont="1" applyFill="1" applyBorder="1"/>
    <xf numFmtId="3" fontId="7" fillId="15" borderId="1" xfId="0" applyNumberFormat="1" applyFont="1" applyFill="1" applyBorder="1"/>
    <xf numFmtId="3" fontId="7" fillId="15" borderId="2" xfId="0" applyNumberFormat="1" applyFont="1" applyFill="1" applyBorder="1"/>
    <xf numFmtId="3" fontId="7" fillId="15" borderId="0" xfId="0" applyNumberFormat="1" applyFont="1" applyFill="1"/>
    <xf numFmtId="182" fontId="7" fillId="15" borderId="1" xfId="566" applyNumberFormat="1" applyFont="1" applyFill="1" applyBorder="1" applyAlignment="1">
      <alignment vertical="top" wrapText="1"/>
    </xf>
    <xf numFmtId="10" fontId="7" fillId="15" borderId="0" xfId="566" applyNumberFormat="1" applyFont="1" applyFill="1" applyAlignment="1">
      <alignment vertical="top" wrapText="1"/>
    </xf>
    <xf numFmtId="10" fontId="7" fillId="15" borderId="0" xfId="566" applyNumberFormat="1" applyFont="1" applyFill="1" applyBorder="1" applyAlignment="1">
      <alignment vertical="top" wrapText="1"/>
    </xf>
    <xf numFmtId="2" fontId="7" fillId="15" borderId="0" xfId="566" applyNumberFormat="1" applyFont="1" applyFill="1" applyBorder="1" applyAlignment="1">
      <alignment vertical="top" wrapText="1"/>
    </xf>
    <xf numFmtId="182" fontId="7" fillId="15" borderId="0" xfId="566" applyNumberFormat="1" applyFont="1" applyFill="1" applyBorder="1" applyAlignment="1">
      <alignment vertical="top" wrapText="1"/>
    </xf>
    <xf numFmtId="182" fontId="7" fillId="15" borderId="2" xfId="566" applyNumberFormat="1" applyFont="1" applyFill="1" applyBorder="1" applyAlignment="1">
      <alignment vertical="top" wrapText="1"/>
    </xf>
    <xf numFmtId="2" fontId="7" fillId="15" borderId="7" xfId="10" applyNumberFormat="1" applyFont="1" applyFill="1" applyBorder="1"/>
    <xf numFmtId="182" fontId="7" fillId="15" borderId="2" xfId="566" applyNumberFormat="1" applyFont="1" applyFill="1" applyBorder="1"/>
    <xf numFmtId="0" fontId="7" fillId="15" borderId="0" xfId="0" applyFont="1" applyFill="1" applyBorder="1"/>
    <xf numFmtId="2" fontId="7" fillId="15" borderId="0" xfId="0" applyNumberFormat="1" applyFont="1" applyFill="1" applyBorder="1"/>
    <xf numFmtId="181" fontId="7" fillId="15" borderId="0" xfId="0" applyNumberFormat="1" applyFont="1" applyFill="1" applyBorder="1"/>
    <xf numFmtId="181" fontId="7" fillId="15" borderId="1" xfId="0" applyNumberFormat="1" applyFont="1" applyFill="1" applyBorder="1"/>
    <xf numFmtId="10" fontId="7" fillId="15" borderId="1" xfId="566" applyNumberFormat="1" applyFont="1" applyFill="1" applyBorder="1" applyAlignment="1">
      <alignment vertical="top" wrapText="1"/>
    </xf>
    <xf numFmtId="182" fontId="7" fillId="15" borderId="0" xfId="0" applyNumberFormat="1" applyFont="1" applyFill="1" applyAlignment="1">
      <alignment vertical="top" wrapText="1"/>
    </xf>
    <xf numFmtId="182" fontId="7" fillId="15" borderId="1" xfId="0" applyNumberFormat="1" applyFont="1" applyFill="1" applyBorder="1" applyAlignment="1">
      <alignment vertical="top" wrapText="1"/>
    </xf>
    <xf numFmtId="182" fontId="7" fillId="15" borderId="0" xfId="0" applyNumberFormat="1" applyFont="1" applyFill="1" applyBorder="1" applyAlignment="1">
      <alignment vertical="top" wrapText="1"/>
    </xf>
    <xf numFmtId="0" fontId="7" fillId="15" borderId="2" xfId="0" applyFont="1" applyFill="1" applyBorder="1"/>
    <xf numFmtId="0" fontId="7" fillId="15" borderId="1" xfId="0" applyFont="1" applyFill="1" applyBorder="1"/>
    <xf numFmtId="177" fontId="7" fillId="15" borderId="0" xfId="566" applyNumberFormat="1" applyFont="1" applyFill="1"/>
    <xf numFmtId="10" fontId="7" fillId="15" borderId="0" xfId="566" applyNumberFormat="1" applyFont="1" applyFill="1"/>
    <xf numFmtId="3" fontId="7" fillId="15" borderId="0" xfId="172" applyNumberFormat="1" applyFont="1" applyFill="1"/>
    <xf numFmtId="3" fontId="7" fillId="15" borderId="7" xfId="172" applyNumberFormat="1" applyFont="1" applyFill="1" applyBorder="1" applyAlignment="1">
      <alignment horizontal="right"/>
    </xf>
    <xf numFmtId="3" fontId="7" fillId="15" borderId="7" xfId="172" applyNumberFormat="1" applyFont="1" applyFill="1" applyBorder="1"/>
    <xf numFmtId="3" fontId="7" fillId="15" borderId="0" xfId="172" applyNumberFormat="1" applyFont="1" applyFill="1" applyBorder="1" applyAlignment="1">
      <alignment horizontal="right"/>
    </xf>
    <xf numFmtId="3" fontId="7" fillId="15" borderId="0" xfId="172" applyNumberFormat="1" applyFont="1" applyFill="1" applyBorder="1"/>
    <xf numFmtId="49" fontId="7" fillId="15" borderId="0" xfId="575" applyFont="1" applyFill="1"/>
    <xf numFmtId="3" fontId="7" fillId="15" borderId="7" xfId="575" applyNumberFormat="1" applyFont="1" applyFill="1" applyBorder="1"/>
    <xf numFmtId="3" fontId="7" fillId="15" borderId="0" xfId="575" applyNumberFormat="1" applyFont="1" applyFill="1"/>
    <xf numFmtId="49" fontId="7" fillId="15" borderId="12" xfId="575" applyFont="1" applyFill="1" applyBorder="1"/>
    <xf numFmtId="3" fontId="7" fillId="15" borderId="2" xfId="575" applyNumberFormat="1" applyFont="1" applyFill="1" applyBorder="1"/>
    <xf numFmtId="2" fontId="7" fillId="15" borderId="0" xfId="575" applyNumberFormat="1" applyFont="1" applyFill="1" applyBorder="1"/>
    <xf numFmtId="2" fontId="7" fillId="15" borderId="1" xfId="0" applyNumberFormat="1" applyFont="1" applyFill="1" applyBorder="1"/>
    <xf numFmtId="181" fontId="7" fillId="15" borderId="1" xfId="566" applyNumberFormat="1" applyFont="1" applyFill="1" applyBorder="1" applyAlignment="1">
      <alignment horizontal="right"/>
    </xf>
    <xf numFmtId="3" fontId="7" fillId="15" borderId="2" xfId="172" applyNumberFormat="1" applyFont="1" applyFill="1" applyBorder="1" applyAlignment="1">
      <alignment horizontal="right"/>
    </xf>
    <xf numFmtId="181" fontId="7" fillId="15" borderId="2" xfId="0" applyNumberFormat="1" applyFont="1" applyFill="1" applyBorder="1"/>
    <xf numFmtId="3" fontId="7" fillId="15" borderId="0" xfId="172" applyNumberFormat="1" applyFont="1" applyFill="1" applyAlignment="1">
      <alignment horizontal="right"/>
    </xf>
    <xf numFmtId="2" fontId="7" fillId="15" borderId="12" xfId="575" applyNumberFormat="1" applyFont="1" applyFill="1" applyBorder="1"/>
    <xf numFmtId="3" fontId="7" fillId="15" borderId="2" xfId="1" applyNumberFormat="1" applyFont="1" applyFill="1" applyBorder="1"/>
    <xf numFmtId="174" fontId="7" fillId="15" borderId="0" xfId="1" applyNumberFormat="1" applyFont="1" applyFill="1"/>
    <xf numFmtId="177" fontId="7" fillId="15" borderId="2" xfId="566" applyNumberFormat="1" applyFont="1" applyFill="1" applyBorder="1"/>
    <xf numFmtId="182" fontId="7" fillId="15" borderId="0" xfId="575" applyNumberFormat="1" applyFont="1" applyFill="1"/>
    <xf numFmtId="3" fontId="7" fillId="15" borderId="12" xfId="0" applyNumberFormat="1" applyFont="1" applyFill="1" applyBorder="1" applyAlignment="1">
      <alignment vertical="top" wrapText="1"/>
    </xf>
    <xf numFmtId="3" fontId="7" fillId="15" borderId="0" xfId="566" applyNumberFormat="1" applyFont="1" applyFill="1" applyAlignment="1">
      <alignment horizontal="right"/>
    </xf>
    <xf numFmtId="3" fontId="7" fillId="15" borderId="7" xfId="566" applyNumberFormat="1" applyFont="1" applyFill="1" applyBorder="1" applyAlignment="1">
      <alignment horizontal="right"/>
    </xf>
    <xf numFmtId="3" fontId="7" fillId="15" borderId="0" xfId="566" applyNumberFormat="1" applyFont="1" applyFill="1" applyBorder="1" applyAlignment="1">
      <alignment horizontal="right"/>
    </xf>
    <xf numFmtId="3" fontId="7" fillId="15" borderId="2" xfId="566" applyNumberFormat="1" applyFont="1" applyFill="1" applyBorder="1" applyAlignment="1">
      <alignment horizontal="right"/>
    </xf>
    <xf numFmtId="189" fontId="7" fillId="15" borderId="0" xfId="172" applyNumberFormat="1" applyFont="1" applyFill="1" applyBorder="1" applyAlignment="1">
      <alignment horizontal="right"/>
    </xf>
    <xf numFmtId="189" fontId="7" fillId="15" borderId="0" xfId="0" applyNumberFormat="1" applyFont="1" applyFill="1"/>
    <xf numFmtId="3" fontId="7" fillId="15" borderId="12" xfId="172" applyNumberFormat="1" applyFont="1" applyFill="1" applyBorder="1"/>
    <xf numFmtId="189" fontId="7" fillId="15" borderId="0" xfId="566" applyNumberFormat="1" applyFont="1" applyFill="1" applyBorder="1" applyAlignment="1">
      <alignment horizontal="right"/>
    </xf>
    <xf numFmtId="3" fontId="7" fillId="15" borderId="0" xfId="575" applyNumberFormat="1" applyFont="1" applyFill="1" applyBorder="1"/>
    <xf numFmtId="2" fontId="7" fillId="15" borderId="0" xfId="566" applyNumberFormat="1" applyFont="1" applyFill="1"/>
    <xf numFmtId="10" fontId="7" fillId="15" borderId="2" xfId="566" applyNumberFormat="1" applyFont="1" applyFill="1" applyBorder="1" applyAlignment="1">
      <alignment vertical="top" wrapText="1"/>
    </xf>
    <xf numFmtId="4" fontId="7" fillId="15" borderId="0" xfId="0" applyNumberFormat="1" applyFont="1" applyFill="1" applyBorder="1"/>
    <xf numFmtId="189" fontId="7" fillId="15" borderId="0" xfId="0" applyNumberFormat="1" applyFont="1" applyFill="1" applyBorder="1"/>
    <xf numFmtId="173" fontId="7" fillId="15" borderId="0" xfId="1" applyNumberFormat="1" applyFont="1" applyFill="1"/>
    <xf numFmtId="166" fontId="1" fillId="15" borderId="0" xfId="272" applyFill="1"/>
    <xf numFmtId="39" fontId="1" fillId="15" borderId="0" xfId="172" applyFill="1"/>
    <xf numFmtId="173" fontId="7" fillId="15" borderId="7" xfId="1" applyNumberFormat="1" applyFont="1" applyFill="1" applyBorder="1" applyAlignment="1">
      <alignment horizontal="right"/>
    </xf>
    <xf numFmtId="173" fontId="7" fillId="15" borderId="2" xfId="1" applyNumberFormat="1" applyFont="1" applyFill="1" applyBorder="1" applyAlignment="1">
      <alignment horizontal="right"/>
    </xf>
    <xf numFmtId="173" fontId="1" fillId="15" borderId="7" xfId="1" applyNumberFormat="1" applyFill="1" applyBorder="1"/>
    <xf numFmtId="166" fontId="1" fillId="15" borderId="1" xfId="272" applyFill="1" applyBorder="1"/>
    <xf numFmtId="173" fontId="1" fillId="15" borderId="2" xfId="1" applyNumberFormat="1" applyFill="1" applyBorder="1"/>
    <xf numFmtId="2" fontId="7" fillId="15" borderId="0" xfId="172" applyNumberFormat="1" applyFont="1" applyFill="1" applyAlignment="1">
      <alignment horizontal="right"/>
    </xf>
    <xf numFmtId="2" fontId="7" fillId="15" borderId="7" xfId="172" applyNumberFormat="1" applyFont="1" applyFill="1" applyBorder="1" applyAlignment="1">
      <alignment horizontal="right"/>
    </xf>
    <xf numFmtId="2" fontId="1" fillId="15" borderId="0" xfId="172" applyNumberFormat="1" applyFill="1" applyAlignment="1">
      <alignment horizontal="right"/>
    </xf>
    <xf numFmtId="2" fontId="1" fillId="15" borderId="7" xfId="172" applyNumberFormat="1" applyFill="1" applyBorder="1" applyAlignment="1">
      <alignment horizontal="right"/>
    </xf>
    <xf numFmtId="3" fontId="1" fillId="15" borderId="2" xfId="172" applyNumberFormat="1" applyFill="1" applyBorder="1" applyAlignment="1">
      <alignment horizontal="right"/>
    </xf>
    <xf numFmtId="4" fontId="7" fillId="15" borderId="1" xfId="0" applyNumberFormat="1" applyFont="1" applyFill="1" applyBorder="1"/>
    <xf numFmtId="4" fontId="7" fillId="15" borderId="0" xfId="0" applyNumberFormat="1" applyFont="1" applyFill="1"/>
    <xf numFmtId="3" fontId="1" fillId="15" borderId="0" xfId="172" applyNumberFormat="1" applyFill="1" applyAlignment="1">
      <alignment horizontal="right"/>
    </xf>
    <xf numFmtId="3" fontId="1" fillId="15" borderId="7" xfId="172" applyNumberFormat="1" applyFill="1" applyBorder="1" applyAlignment="1">
      <alignment horizontal="right"/>
    </xf>
    <xf numFmtId="175" fontId="7" fillId="15" borderId="0" xfId="575" applyNumberFormat="1" applyFont="1" applyFill="1" applyBorder="1"/>
    <xf numFmtId="166" fontId="39" fillId="0" borderId="0" xfId="303"/>
    <xf numFmtId="0" fontId="5" fillId="0" borderId="18" xfId="0" applyFont="1" applyFill="1" applyBorder="1" applyAlignment="1"/>
    <xf numFmtId="0" fontId="43" fillId="0" borderId="0" xfId="0" applyFont="1" applyAlignment="1">
      <alignment horizontal="center"/>
    </xf>
    <xf numFmtId="166" fontId="4" fillId="0" borderId="0" xfId="290"/>
    <xf numFmtId="3" fontId="4" fillId="0" borderId="0" xfId="1" applyNumberFormat="1" applyFont="1"/>
    <xf numFmtId="166" fontId="2" fillId="0" borderId="0" xfId="290" applyFont="1"/>
    <xf numFmtId="166" fontId="40" fillId="0" borderId="0" xfId="272" applyFont="1"/>
    <xf numFmtId="166" fontId="2" fillId="0" borderId="0" xfId="0" applyNumberFormat="1" applyFont="1" applyAlignment="1">
      <alignment vertical="top" wrapText="1"/>
    </xf>
    <xf numFmtId="184" fontId="4" fillId="0" borderId="0" xfId="0" applyNumberFormat="1" applyFont="1"/>
    <xf numFmtId="3" fontId="7" fillId="14" borderId="12" xfId="0" applyNumberFormat="1" applyFont="1" applyFill="1" applyBorder="1" applyAlignment="1">
      <alignment horizontal="right" vertical="top" wrapText="1"/>
    </xf>
    <xf numFmtId="3" fontId="7" fillId="14" borderId="12" xfId="1" applyNumberFormat="1" applyFont="1" applyFill="1" applyBorder="1"/>
    <xf numFmtId="4" fontId="7" fillId="14" borderId="12" xfId="1" applyNumberFormat="1" applyFont="1" applyFill="1" applyBorder="1"/>
    <xf numFmtId="3" fontId="7" fillId="15" borderId="12" xfId="1" applyNumberFormat="1" applyFont="1" applyFill="1" applyBorder="1"/>
    <xf numFmtId="3" fontId="7" fillId="15" borderId="12" xfId="566" applyNumberFormat="1" applyFont="1" applyFill="1" applyBorder="1"/>
    <xf numFmtId="3" fontId="7" fillId="14" borderId="12" xfId="0" applyNumberFormat="1" applyFont="1" applyFill="1" applyBorder="1"/>
    <xf numFmtId="3" fontId="7" fillId="14" borderId="11" xfId="0" applyNumberFormat="1" applyFont="1" applyFill="1" applyBorder="1"/>
    <xf numFmtId="49" fontId="5" fillId="4" borderId="11" xfId="0" applyNumberFormat="1" applyFont="1" applyFill="1" applyBorder="1" applyAlignment="1">
      <alignment horizontal="right" vertical="top" wrapText="1"/>
    </xf>
    <xf numFmtId="189" fontId="7" fillId="14" borderId="0" xfId="0" applyNumberFormat="1" applyFont="1" applyFill="1" applyBorder="1"/>
    <xf numFmtId="189" fontId="7" fillId="14" borderId="12" xfId="0" applyNumberFormat="1" applyFont="1" applyFill="1" applyBorder="1"/>
    <xf numFmtId="3" fontId="7" fillId="15" borderId="0" xfId="566" applyNumberFormat="1" applyFont="1" applyFill="1" applyBorder="1"/>
    <xf numFmtId="49" fontId="4" fillId="4" borderId="10" xfId="0" applyNumberFormat="1" applyFont="1" applyFill="1" applyBorder="1" applyAlignment="1">
      <alignment horizontal="right"/>
    </xf>
    <xf numFmtId="182" fontId="7" fillId="14" borderId="7" xfId="566" applyNumberFormat="1" applyFont="1" applyFill="1" applyBorder="1" applyAlignment="1">
      <alignment vertical="top" wrapText="1"/>
    </xf>
    <xf numFmtId="182" fontId="7" fillId="15" borderId="7" xfId="566" applyNumberFormat="1" applyFont="1" applyFill="1" applyBorder="1" applyAlignment="1">
      <alignment vertical="top" wrapText="1"/>
    </xf>
    <xf numFmtId="0" fontId="7" fillId="15" borderId="7" xfId="0" applyFont="1" applyFill="1" applyBorder="1"/>
    <xf numFmtId="0" fontId="7" fillId="14" borderId="7" xfId="0" applyFont="1" applyFill="1" applyBorder="1"/>
    <xf numFmtId="0" fontId="7" fillId="14" borderId="10" xfId="0" applyFont="1" applyFill="1" applyBorder="1"/>
    <xf numFmtId="189" fontId="7" fillId="15" borderId="7" xfId="0" applyNumberFormat="1" applyFont="1" applyFill="1" applyBorder="1"/>
    <xf numFmtId="189" fontId="7" fillId="14" borderId="7" xfId="0" applyNumberFormat="1" applyFont="1" applyFill="1" applyBorder="1"/>
    <xf numFmtId="0" fontId="7" fillId="14" borderId="5" xfId="0" applyFont="1" applyFill="1" applyBorder="1"/>
    <xf numFmtId="49" fontId="4" fillId="4" borderId="5" xfId="0" applyNumberFormat="1" applyFont="1" applyFill="1" applyBorder="1" applyAlignment="1">
      <alignment horizontal="right"/>
    </xf>
    <xf numFmtId="175" fontId="2" fillId="0" borderId="0" xfId="0" applyNumberFormat="1" applyFont="1" applyAlignment="1">
      <alignment horizontal="right" vertical="top" wrapText="1"/>
    </xf>
    <xf numFmtId="181" fontId="2" fillId="0" borderId="0" xfId="0" applyNumberFormat="1" applyFont="1" applyAlignment="1">
      <alignment horizontal="right"/>
    </xf>
    <xf numFmtId="166" fontId="2" fillId="0" borderId="0" xfId="272" applyFont="1"/>
    <xf numFmtId="173" fontId="4" fillId="0" borderId="0" xfId="1" applyNumberFormat="1" applyFont="1" applyAlignment="1">
      <alignment horizontal="right"/>
    </xf>
    <xf numFmtId="173" fontId="1" fillId="0" borderId="0" xfId="1" applyNumberFormat="1" applyAlignment="1">
      <alignment horizontal="right"/>
    </xf>
    <xf numFmtId="173" fontId="6" fillId="0" borderId="0" xfId="1" applyNumberFormat="1" applyFont="1" applyAlignment="1">
      <alignment horizontal="right"/>
    </xf>
    <xf numFmtId="166" fontId="2" fillId="0" borderId="0" xfId="290" applyFont="1" applyFill="1"/>
    <xf numFmtId="207" fontId="2" fillId="0" borderId="0" xfId="290" applyNumberFormat="1" applyFont="1" applyFill="1"/>
    <xf numFmtId="49" fontId="20" fillId="6" borderId="0" xfId="0" applyNumberFormat="1" applyFont="1" applyFill="1" applyBorder="1" applyAlignment="1">
      <alignment horizontal="right" vertical="top" wrapText="1"/>
    </xf>
    <xf numFmtId="49" fontId="20" fillId="6" borderId="0" xfId="0" applyNumberFormat="1" applyFont="1" applyFill="1" applyBorder="1" applyAlignment="1">
      <alignment horizontal="right"/>
    </xf>
    <xf numFmtId="0" fontId="5" fillId="0" borderId="5" xfId="0" applyFont="1" applyFill="1" applyBorder="1" applyAlignment="1"/>
    <xf numFmtId="0" fontId="7" fillId="13" borderId="0" xfId="0" applyFont="1" applyFill="1" applyBorder="1" applyAlignment="1">
      <alignment horizontal="right"/>
    </xf>
    <xf numFmtId="0" fontId="7" fillId="3" borderId="1" xfId="0" applyFont="1" applyFill="1" applyBorder="1" applyAlignment="1">
      <alignment horizontal="right"/>
    </xf>
    <xf numFmtId="175" fontId="6" fillId="3" borderId="0" xfId="0" applyNumberFormat="1" applyFont="1" applyFill="1" applyBorder="1" applyAlignment="1">
      <alignment horizontal="right"/>
    </xf>
    <xf numFmtId="3" fontId="7" fillId="3" borderId="0" xfId="0" applyNumberFormat="1" applyFont="1" applyFill="1" applyBorder="1" applyAlignment="1">
      <alignment horizontal="right"/>
    </xf>
    <xf numFmtId="179" fontId="6" fillId="3" borderId="7" xfId="0" applyNumberFormat="1" applyFont="1" applyFill="1" applyBorder="1" applyAlignment="1">
      <alignment horizontal="right"/>
    </xf>
    <xf numFmtId="2" fontId="7" fillId="3" borderId="12" xfId="566" applyNumberFormat="1" applyFont="1" applyFill="1" applyBorder="1" applyAlignment="1">
      <alignment horizontal="right"/>
    </xf>
    <xf numFmtId="2" fontId="7" fillId="3" borderId="7" xfId="0" applyNumberFormat="1" applyFont="1" applyFill="1" applyBorder="1" applyAlignment="1">
      <alignment horizontal="right"/>
    </xf>
    <xf numFmtId="3" fontId="7" fillId="3" borderId="2" xfId="0" applyNumberFormat="1" applyFont="1" applyFill="1" applyBorder="1" applyAlignment="1">
      <alignment horizontal="right"/>
    </xf>
    <xf numFmtId="0" fontId="7" fillId="3" borderId="7" xfId="0" applyFont="1" applyFill="1" applyBorder="1" applyAlignment="1">
      <alignment horizontal="center"/>
    </xf>
    <xf numFmtId="10" fontId="7" fillId="3" borderId="0" xfId="566" applyNumberFormat="1" applyFont="1" applyFill="1" applyBorder="1" applyAlignment="1">
      <alignment horizontal="right"/>
    </xf>
    <xf numFmtId="0" fontId="7" fillId="3" borderId="0" xfId="0" applyFont="1" applyFill="1" applyAlignment="1">
      <alignment horizontal="right"/>
    </xf>
    <xf numFmtId="0" fontId="7" fillId="3" borderId="0" xfId="0" applyFont="1" applyFill="1" applyAlignment="1">
      <alignment horizontal="left"/>
    </xf>
    <xf numFmtId="182" fontId="7" fillId="3" borderId="0" xfId="0" applyNumberFormat="1" applyFont="1" applyFill="1" applyBorder="1" applyAlignment="1">
      <alignment horizontal="right"/>
    </xf>
    <xf numFmtId="0" fontId="7" fillId="3" borderId="0" xfId="0" applyFont="1" applyFill="1"/>
    <xf numFmtId="2" fontId="7" fillId="3" borderId="0" xfId="566" quotePrefix="1" applyNumberFormat="1" applyFont="1" applyFill="1" applyBorder="1" applyAlignment="1">
      <alignment horizontal="right"/>
    </xf>
    <xf numFmtId="0" fontId="7" fillId="3" borderId="0" xfId="0" applyFont="1" applyFill="1" applyBorder="1" applyAlignment="1">
      <alignment horizontal="left"/>
    </xf>
    <xf numFmtId="184" fontId="7" fillId="3" borderId="0" xfId="0" applyNumberFormat="1" applyFont="1" applyFill="1" applyBorder="1" applyAlignment="1">
      <alignment horizontal="right"/>
    </xf>
    <xf numFmtId="0" fontId="5" fillId="3" borderId="18" xfId="0" applyFont="1" applyFill="1" applyBorder="1" applyAlignment="1">
      <alignment horizontal="right"/>
    </xf>
    <xf numFmtId="0" fontId="7" fillId="3" borderId="19" xfId="0" applyFont="1" applyFill="1" applyBorder="1" applyAlignment="1">
      <alignment horizontal="center"/>
    </xf>
    <xf numFmtId="0" fontId="7" fillId="3" borderId="18" xfId="0" applyFont="1" applyFill="1" applyBorder="1" applyAlignment="1">
      <alignment horizontal="right"/>
    </xf>
    <xf numFmtId="175" fontId="7" fillId="3" borderId="0" xfId="0" applyNumberFormat="1" applyFont="1" applyFill="1" applyBorder="1" applyAlignment="1">
      <alignment horizontal="right"/>
    </xf>
    <xf numFmtId="3" fontId="7" fillId="3" borderId="2" xfId="566" applyNumberFormat="1" applyFont="1" applyFill="1" applyBorder="1" applyAlignment="1">
      <alignment horizontal="right"/>
    </xf>
    <xf numFmtId="179" fontId="7" fillId="3" borderId="7" xfId="0" applyNumberFormat="1" applyFont="1" applyFill="1" applyBorder="1" applyAlignment="1">
      <alignment horizontal="right"/>
    </xf>
    <xf numFmtId="2" fontId="7" fillId="3" borderId="7" xfId="566" quotePrefix="1" applyNumberFormat="1" applyFont="1" applyFill="1" applyBorder="1" applyAlignment="1">
      <alignment horizontal="right"/>
    </xf>
    <xf numFmtId="175" fontId="7" fillId="3" borderId="0" xfId="0" applyNumberFormat="1" applyFont="1" applyFill="1" applyBorder="1" applyAlignment="1"/>
    <xf numFmtId="4" fontId="7" fillId="3" borderId="0" xfId="0" applyNumberFormat="1" applyFont="1" applyFill="1" applyBorder="1" applyAlignment="1">
      <alignment horizontal="right"/>
    </xf>
    <xf numFmtId="173" fontId="7" fillId="3" borderId="19" xfId="1" applyNumberFormat="1" applyFont="1" applyFill="1" applyBorder="1" applyAlignment="1">
      <alignment horizontal="center"/>
    </xf>
    <xf numFmtId="1" fontId="7" fillId="3" borderId="19" xfId="0" applyNumberFormat="1" applyFont="1" applyFill="1" applyBorder="1" applyAlignment="1">
      <alignment horizontal="center"/>
    </xf>
    <xf numFmtId="181" fontId="4" fillId="13" borderId="0" xfId="272" applyNumberFormat="1" applyFont="1" applyFill="1"/>
    <xf numFmtId="166" fontId="40" fillId="13" borderId="0" xfId="272" applyFont="1" applyFill="1"/>
    <xf numFmtId="181" fontId="4" fillId="13" borderId="0" xfId="0" applyNumberFormat="1" applyFont="1" applyFill="1" applyAlignment="1">
      <alignment horizontal="right"/>
    </xf>
    <xf numFmtId="182" fontId="4" fillId="13" borderId="0" xfId="0" applyNumberFormat="1" applyFont="1" applyFill="1" applyAlignment="1">
      <alignment horizontal="right"/>
    </xf>
    <xf numFmtId="2" fontId="2" fillId="13" borderId="0" xfId="272" applyNumberFormat="1" applyFont="1" applyFill="1"/>
    <xf numFmtId="0" fontId="4" fillId="8" borderId="0" xfId="0" applyFont="1" applyFill="1"/>
    <xf numFmtId="205" fontId="2" fillId="0" borderId="0" xfId="290" applyNumberFormat="1" applyFont="1" applyFill="1"/>
    <xf numFmtId="2" fontId="2" fillId="0" borderId="0" xfId="290" applyNumberFormat="1" applyFont="1" applyFill="1"/>
    <xf numFmtId="0" fontId="5" fillId="0" borderId="0" xfId="0" quotePrefix="1" applyFont="1"/>
    <xf numFmtId="0" fontId="5" fillId="0" borderId="18" xfId="0" applyFont="1" applyFill="1" applyBorder="1" applyAlignment="1">
      <alignment horizontal="left"/>
    </xf>
    <xf numFmtId="0" fontId="5" fillId="0" borderId="20" xfId="0" applyFont="1" applyFill="1" applyBorder="1" applyAlignment="1">
      <alignment horizontal="left"/>
    </xf>
    <xf numFmtId="0" fontId="7" fillId="0" borderId="5" xfId="0" applyFont="1" applyFill="1" applyBorder="1"/>
    <xf numFmtId="2" fontId="7" fillId="0" borderId="5" xfId="0" applyNumberFormat="1" applyFont="1" applyBorder="1" applyAlignment="1">
      <alignment horizontal="right"/>
    </xf>
    <xf numFmtId="182" fontId="7" fillId="0" borderId="5" xfId="1" applyNumberFormat="1" applyFont="1" applyBorder="1" applyAlignment="1">
      <alignment horizontal="right"/>
    </xf>
    <xf numFmtId="0" fontId="7" fillId="0" borderId="5" xfId="0" applyFont="1" applyBorder="1" applyAlignment="1">
      <alignment horizontal="right"/>
    </xf>
    <xf numFmtId="0" fontId="7" fillId="0" borderId="5" xfId="0" applyFont="1" applyBorder="1"/>
    <xf numFmtId="0" fontId="5" fillId="0" borderId="0" xfId="0" applyFont="1" applyFill="1" applyBorder="1" applyAlignment="1">
      <alignment horizontal="left"/>
    </xf>
    <xf numFmtId="0" fontId="5" fillId="0" borderId="5" xfId="0" applyFont="1" applyFill="1" applyBorder="1" applyAlignment="1">
      <alignment horizontal="left"/>
    </xf>
    <xf numFmtId="175" fontId="5" fillId="0" borderId="0" xfId="0" applyNumberFormat="1" applyFont="1" applyFill="1" applyBorder="1" applyAlignment="1">
      <alignment horizontal="right"/>
    </xf>
    <xf numFmtId="175" fontId="5" fillId="0" borderId="5" xfId="0" applyNumberFormat="1" applyFont="1" applyFill="1" applyBorder="1" applyAlignment="1">
      <alignment horizontal="right"/>
    </xf>
    <xf numFmtId="1" fontId="5" fillId="13" borderId="0" xfId="0" applyNumberFormat="1" applyFont="1" applyFill="1" applyAlignment="1">
      <alignment horizontal="right"/>
    </xf>
    <xf numFmtId="182" fontId="5" fillId="0" borderId="0" xfId="1" applyNumberFormat="1" applyFont="1" applyBorder="1" applyAlignment="1">
      <alignment horizontal="right"/>
    </xf>
    <xf numFmtId="0" fontId="2" fillId="0" borderId="0" xfId="16" applyNumberFormat="1" applyFont="1" applyFill="1" applyAlignment="1">
      <alignment wrapText="1"/>
    </xf>
    <xf numFmtId="0" fontId="4" fillId="0" borderId="0" xfId="16"/>
    <xf numFmtId="0" fontId="4" fillId="16" borderId="0" xfId="16" applyNumberFormat="1" applyFont="1" applyFill="1" applyAlignment="1"/>
    <xf numFmtId="208" fontId="4" fillId="16" borderId="0" xfId="16" applyNumberFormat="1" applyFont="1" applyFill="1" applyAlignment="1"/>
    <xf numFmtId="8" fontId="4" fillId="16" borderId="0" xfId="16" applyNumberFormat="1" applyFont="1" applyFill="1" applyAlignment="1"/>
    <xf numFmtId="0" fontId="4" fillId="0" borderId="0" xfId="16" applyNumberFormat="1" applyFont="1" applyFill="1" applyAlignment="1"/>
    <xf numFmtId="208" fontId="4" fillId="0" borderId="0" xfId="16" applyNumberFormat="1" applyFont="1" applyFill="1" applyAlignment="1"/>
    <xf numFmtId="8" fontId="4" fillId="0" borderId="0" xfId="16" applyNumberFormat="1" applyFont="1" applyFill="1" applyAlignment="1"/>
    <xf numFmtId="49" fontId="4" fillId="0" borderId="0" xfId="575" applyFont="1" applyAlignment="1">
      <alignment horizontal="right"/>
    </xf>
    <xf numFmtId="49" fontId="4" fillId="0" borderId="0" xfId="575" applyFont="1"/>
    <xf numFmtId="184" fontId="4" fillId="0" borderId="0" xfId="0" applyNumberFormat="1" applyFont="1" applyFill="1" applyAlignment="1">
      <alignment horizontal="right"/>
    </xf>
    <xf numFmtId="184" fontId="0" fillId="0" borderId="0" xfId="1" applyNumberFormat="1" applyFont="1" applyAlignment="1">
      <alignment horizontal="right"/>
    </xf>
    <xf numFmtId="198" fontId="0" fillId="0" borderId="0" xfId="1" applyNumberFormat="1" applyFont="1" applyAlignment="1">
      <alignment horizontal="right"/>
    </xf>
    <xf numFmtId="210" fontId="4" fillId="0" borderId="0" xfId="16" applyNumberFormat="1" applyFont="1" applyFill="1" applyAlignment="1"/>
    <xf numFmtId="2" fontId="4" fillId="0" borderId="0" xfId="16" applyNumberFormat="1" applyFont="1" applyFill="1" applyAlignment="1"/>
    <xf numFmtId="3" fontId="4" fillId="0" borderId="0" xfId="172" applyNumberFormat="1" applyFont="1" applyFill="1" applyAlignment="1">
      <alignment horizontal="right"/>
    </xf>
    <xf numFmtId="181" fontId="4" fillId="13" borderId="0" xfId="272" applyNumberFormat="1" applyFont="1" applyFill="1" applyAlignment="1">
      <alignment horizontal="right"/>
    </xf>
    <xf numFmtId="0" fontId="7" fillId="0" borderId="5" xfId="0" applyFont="1" applyFill="1" applyBorder="1" applyAlignment="1">
      <alignment horizontal="right"/>
    </xf>
    <xf numFmtId="181" fontId="4" fillId="0" borderId="0" xfId="0" applyNumberFormat="1" applyFont="1" applyFill="1" applyAlignment="1">
      <alignment horizontal="right"/>
    </xf>
    <xf numFmtId="0" fontId="0" fillId="0" borderId="0" xfId="0" applyNumberFormat="1" applyFont="1" applyFill="1" applyAlignment="1"/>
    <xf numFmtId="209" fontId="0" fillId="0" borderId="0" xfId="0" applyNumberFormat="1" applyFont="1" applyFill="1" applyAlignment="1"/>
    <xf numFmtId="176" fontId="0" fillId="0" borderId="0" xfId="0" applyNumberFormat="1" applyFont="1" applyFill="1" applyAlignment="1"/>
    <xf numFmtId="211" fontId="0" fillId="0" borderId="0" xfId="0" applyNumberFormat="1" applyFont="1" applyFill="1" applyAlignment="1"/>
    <xf numFmtId="2" fontId="0" fillId="0" borderId="0" xfId="0" applyNumberFormat="1" applyFont="1" applyFill="1" applyAlignment="1"/>
    <xf numFmtId="0" fontId="2" fillId="0" borderId="0" xfId="16" applyFont="1" applyAlignment="1">
      <alignment horizontal="left"/>
    </xf>
    <xf numFmtId="181" fontId="4" fillId="13" borderId="0" xfId="290" applyNumberFormat="1" applyFont="1" applyFill="1" applyAlignment="1">
      <alignment horizontal="right"/>
    </xf>
    <xf numFmtId="0" fontId="2" fillId="0" borderId="0" xfId="16" applyFont="1" applyAlignment="1">
      <alignment horizontal="right" vertical="top" wrapText="1"/>
    </xf>
    <xf numFmtId="181" fontId="2" fillId="0" borderId="0" xfId="16" applyNumberFormat="1" applyFont="1" applyAlignment="1">
      <alignment horizontal="right" vertical="top" wrapText="1"/>
    </xf>
    <xf numFmtId="175" fontId="4" fillId="0" borderId="0" xfId="16" applyNumberFormat="1" applyFont="1" applyAlignment="1">
      <alignment horizontal="right" vertical="top" wrapText="1"/>
    </xf>
    <xf numFmtId="3" fontId="2" fillId="0" borderId="0" xfId="16" applyNumberFormat="1" applyFont="1" applyAlignment="1">
      <alignment horizontal="right" vertical="top" wrapText="1"/>
    </xf>
    <xf numFmtId="181" fontId="6" fillId="0" borderId="0" xfId="16" applyNumberFormat="1" applyFont="1" applyAlignment="1">
      <alignment horizontal="right" vertical="top" wrapText="1"/>
    </xf>
    <xf numFmtId="3" fontId="6" fillId="0" borderId="0" xfId="16" applyNumberFormat="1" applyFont="1" applyAlignment="1">
      <alignment horizontal="right" vertical="top" wrapText="1"/>
    </xf>
    <xf numFmtId="3" fontId="6" fillId="0" borderId="0" xfId="2" applyNumberFormat="1" applyFont="1" applyAlignment="1">
      <alignment horizontal="right" vertical="top" wrapText="1"/>
    </xf>
    <xf numFmtId="181" fontId="5" fillId="0" borderId="0" xfId="16" applyNumberFormat="1" applyFont="1" applyAlignment="1">
      <alignment horizontal="right" vertical="top" wrapText="1"/>
    </xf>
    <xf numFmtId="3" fontId="5" fillId="0" borderId="0" xfId="2" applyNumberFormat="1" applyFont="1" applyAlignment="1">
      <alignment horizontal="right"/>
    </xf>
    <xf numFmtId="181" fontId="5" fillId="0" borderId="0" xfId="567" applyNumberFormat="1" applyFont="1" applyAlignment="1">
      <alignment horizontal="right"/>
    </xf>
    <xf numFmtId="181" fontId="4" fillId="0" borderId="0" xfId="16" applyNumberFormat="1"/>
    <xf numFmtId="3" fontId="5" fillId="0" borderId="0" xfId="190" applyNumberFormat="1" applyFont="1" applyAlignment="1">
      <alignment horizontal="right"/>
    </xf>
    <xf numFmtId="181" fontId="5" fillId="0" borderId="0" xfId="16" applyNumberFormat="1" applyFont="1" applyAlignment="1">
      <alignment horizontal="right"/>
    </xf>
    <xf numFmtId="3" fontId="5" fillId="0" borderId="0" xfId="567" applyNumberFormat="1" applyFont="1" applyAlignment="1">
      <alignment horizontal="right"/>
    </xf>
    <xf numFmtId="2" fontId="4" fillId="0" borderId="0" xfId="16" applyNumberFormat="1"/>
    <xf numFmtId="181" fontId="4" fillId="0" borderId="0" xfId="16" applyNumberFormat="1" applyAlignment="1">
      <alignment horizontal="right"/>
    </xf>
    <xf numFmtId="3" fontId="4" fillId="0" borderId="0" xfId="190" applyNumberFormat="1" applyAlignment="1">
      <alignment horizontal="right"/>
    </xf>
    <xf numFmtId="0" fontId="4" fillId="0" borderId="0" xfId="16" applyAlignment="1">
      <alignment horizontal="right"/>
    </xf>
    <xf numFmtId="181" fontId="4" fillId="0" borderId="0" xfId="290" applyNumberFormat="1" applyAlignment="1">
      <alignment horizontal="right"/>
    </xf>
    <xf numFmtId="0" fontId="5" fillId="0" borderId="0" xfId="0" applyFont="1" applyFill="1" applyBorder="1" applyAlignment="1"/>
    <xf numFmtId="181" fontId="0" fillId="0" borderId="0" xfId="0" applyNumberFormat="1" applyFont="1" applyFill="1" applyAlignment="1"/>
    <xf numFmtId="2" fontId="4" fillId="0" borderId="0" xfId="566" applyNumberFormat="1" applyFont="1" applyFill="1" applyBorder="1" applyAlignment="1">
      <alignment horizontal="right"/>
    </xf>
    <xf numFmtId="182" fontId="4" fillId="0" borderId="0" xfId="1" applyNumberFormat="1" applyFont="1" applyFill="1" applyBorder="1" applyAlignment="1">
      <alignment horizontal="right"/>
    </xf>
    <xf numFmtId="182" fontId="4" fillId="0" borderId="0" xfId="16" applyNumberFormat="1"/>
    <xf numFmtId="0" fontId="5" fillId="13" borderId="0" xfId="0" applyFont="1" applyFill="1" applyBorder="1"/>
    <xf numFmtId="2" fontId="7" fillId="13" borderId="0" xfId="566" quotePrefix="1" applyNumberFormat="1" applyFont="1" applyFill="1" applyBorder="1" applyAlignment="1">
      <alignment horizontal="right"/>
    </xf>
    <xf numFmtId="176" fontId="0" fillId="0" borderId="0" xfId="0" applyNumberFormat="1"/>
    <xf numFmtId="187" fontId="4" fillId="0" borderId="0" xfId="0" applyNumberFormat="1" applyFont="1" applyFill="1" applyBorder="1"/>
    <xf numFmtId="181" fontId="0" fillId="0" borderId="0" xfId="0" applyNumberFormat="1" applyFill="1" applyAlignment="1">
      <alignment horizontal="right"/>
    </xf>
    <xf numFmtId="181" fontId="1" fillId="0" borderId="0" xfId="272" applyNumberFormat="1" applyFill="1" applyAlignment="1">
      <alignment horizontal="right"/>
    </xf>
    <xf numFmtId="0" fontId="2" fillId="13" borderId="0" xfId="0" applyFont="1" applyFill="1" applyAlignment="1">
      <alignment horizontal="center"/>
    </xf>
    <xf numFmtId="2" fontId="4" fillId="0" borderId="5" xfId="566" applyNumberFormat="1" applyFont="1" applyBorder="1"/>
    <xf numFmtId="0" fontId="7" fillId="0" borderId="5" xfId="0" applyFont="1" applyBorder="1" applyAlignment="1">
      <alignment horizontal="left"/>
    </xf>
    <xf numFmtId="0" fontId="5" fillId="0" borderId="5" xfId="0" applyFont="1" applyBorder="1" applyAlignment="1">
      <alignment horizontal="left"/>
    </xf>
    <xf numFmtId="182" fontId="7" fillId="0" borderId="5" xfId="0" applyNumberFormat="1" applyFont="1" applyFill="1" applyBorder="1" applyAlignment="1">
      <alignment horizontal="right"/>
    </xf>
    <xf numFmtId="2" fontId="7" fillId="0" borderId="5" xfId="1" applyNumberFormat="1" applyFont="1" applyFill="1" applyBorder="1" applyAlignment="1">
      <alignment horizontal="right"/>
    </xf>
    <xf numFmtId="2" fontId="7" fillId="0" borderId="5" xfId="0" applyNumberFormat="1" applyFont="1" applyFill="1" applyBorder="1" applyAlignment="1">
      <alignment horizontal="right"/>
    </xf>
    <xf numFmtId="179" fontId="6" fillId="0" borderId="0" xfId="0" applyNumberFormat="1" applyFont="1" applyBorder="1"/>
    <xf numFmtId="2" fontId="4" fillId="0" borderId="0" xfId="566" applyNumberFormat="1" applyFont="1" applyFill="1" applyAlignment="1">
      <alignment horizontal="right"/>
    </xf>
    <xf numFmtId="0" fontId="2" fillId="0" borderId="0" xfId="16" applyFont="1"/>
    <xf numFmtId="0" fontId="2" fillId="0" borderId="5" xfId="16" applyFont="1" applyBorder="1" applyAlignment="1">
      <alignment horizontal="center"/>
    </xf>
    <xf numFmtId="3" fontId="0" fillId="0" borderId="0" xfId="1" applyNumberFormat="1" applyFont="1"/>
    <xf numFmtId="3" fontId="4" fillId="0" borderId="0" xfId="16" applyNumberFormat="1" applyFont="1" applyFill="1" applyAlignment="1"/>
    <xf numFmtId="3" fontId="0" fillId="0" borderId="0" xfId="0" applyNumberFormat="1" applyFont="1" applyFill="1" applyAlignment="1"/>
    <xf numFmtId="0" fontId="5" fillId="0" borderId="1" xfId="0" applyFont="1" applyFill="1" applyBorder="1" applyAlignment="1"/>
    <xf numFmtId="181" fontId="1" fillId="13" borderId="0" xfId="272" applyNumberFormat="1" applyFill="1" applyAlignment="1">
      <alignment horizontal="right"/>
    </xf>
    <xf numFmtId="3" fontId="1" fillId="13" borderId="0" xfId="172" applyNumberFormat="1" applyFill="1" applyAlignment="1">
      <alignment horizontal="right"/>
    </xf>
    <xf numFmtId="181" fontId="0" fillId="13" borderId="0" xfId="0" applyNumberFormat="1" applyFill="1" applyAlignment="1">
      <alignment horizontal="right"/>
    </xf>
    <xf numFmtId="0" fontId="5" fillId="0" borderId="26" xfId="0" applyFont="1" applyFill="1" applyBorder="1" applyAlignment="1"/>
    <xf numFmtId="0" fontId="5" fillId="3" borderId="1" xfId="0" applyFont="1" applyFill="1" applyBorder="1" applyAlignment="1">
      <alignment horizontal="right"/>
    </xf>
    <xf numFmtId="0" fontId="5" fillId="0" borderId="1" xfId="0" applyFont="1" applyFill="1" applyBorder="1" applyAlignment="1">
      <alignment horizontal="right"/>
    </xf>
    <xf numFmtId="166" fontId="1" fillId="7" borderId="0" xfId="272" applyFill="1"/>
    <xf numFmtId="2" fontId="7" fillId="7" borderId="22" xfId="566" applyNumberFormat="1" applyFont="1" applyFill="1" applyBorder="1" applyAlignment="1">
      <alignment horizontal="right"/>
    </xf>
    <xf numFmtId="2" fontId="7" fillId="7" borderId="5" xfId="566" applyNumberFormat="1" applyFont="1" applyFill="1" applyBorder="1" applyAlignment="1">
      <alignment horizontal="right"/>
    </xf>
    <xf numFmtId="2" fontId="7" fillId="7" borderId="21" xfId="566" applyNumberFormat="1" applyFont="1" applyFill="1" applyBorder="1" applyAlignment="1">
      <alignment horizontal="right"/>
    </xf>
    <xf numFmtId="3" fontId="7" fillId="7" borderId="5" xfId="566" quotePrefix="1" applyNumberFormat="1" applyFont="1" applyFill="1" applyBorder="1" applyAlignment="1">
      <alignment horizontal="right"/>
    </xf>
    <xf numFmtId="3" fontId="7" fillId="7" borderId="23" xfId="566" quotePrefix="1" applyNumberFormat="1" applyFont="1" applyFill="1" applyBorder="1" applyAlignment="1">
      <alignment horizontal="right"/>
    </xf>
    <xf numFmtId="14" fontId="7" fillId="0" borderId="32" xfId="0" applyNumberFormat="1" applyFont="1" applyBorder="1"/>
    <xf numFmtId="3" fontId="7" fillId="0" borderId="6" xfId="0" applyNumberFormat="1" applyFont="1" applyBorder="1"/>
    <xf numFmtId="184" fontId="7" fillId="0" borderId="27" xfId="10" applyNumberFormat="1" applyFont="1" applyBorder="1"/>
    <xf numFmtId="184" fontId="2" fillId="0" borderId="7" xfId="10" applyNumberFormat="1" applyFont="1" applyFill="1" applyBorder="1" applyAlignment="1">
      <alignment horizontal="center" wrapText="1"/>
    </xf>
    <xf numFmtId="184" fontId="7" fillId="0" borderId="7" xfId="10" applyNumberFormat="1" applyFont="1" applyFill="1" applyBorder="1" applyAlignment="1">
      <alignment horizontal="right"/>
    </xf>
    <xf numFmtId="184" fontId="7" fillId="0" borderId="7" xfId="10" applyNumberFormat="1" applyFont="1" applyFill="1" applyBorder="1"/>
    <xf numFmtId="184" fontId="7" fillId="0" borderId="21" xfId="0" applyNumberFormat="1" applyFont="1" applyFill="1" applyBorder="1" applyAlignment="1"/>
    <xf numFmtId="1" fontId="7" fillId="0" borderId="5" xfId="0" applyNumberFormat="1" applyFont="1" applyFill="1" applyBorder="1" applyAlignment="1"/>
    <xf numFmtId="4" fontId="7" fillId="0" borderId="32" xfId="1" applyNumberFormat="1" applyFont="1" applyFill="1" applyBorder="1" applyAlignment="1">
      <alignment horizontal="right"/>
    </xf>
    <xf numFmtId="4" fontId="7" fillId="0" borderId="6" xfId="566" applyNumberFormat="1" applyFont="1" applyFill="1" applyBorder="1" applyAlignment="1">
      <alignment horizontal="right"/>
    </xf>
    <xf numFmtId="4" fontId="7" fillId="0" borderId="27" xfId="566" applyNumberFormat="1" applyFont="1" applyFill="1" applyBorder="1" applyAlignment="1">
      <alignment horizontal="right"/>
    </xf>
    <xf numFmtId="1" fontId="7" fillId="0" borderId="21" xfId="566" applyNumberFormat="1" applyFont="1" applyFill="1" applyBorder="1" applyAlignment="1">
      <alignment horizontal="right"/>
    </xf>
    <xf numFmtId="1" fontId="7" fillId="0" borderId="5" xfId="566" applyNumberFormat="1" applyFont="1" applyFill="1" applyBorder="1" applyAlignment="1">
      <alignment horizontal="right"/>
    </xf>
    <xf numFmtId="14" fontId="29" fillId="0" borderId="0" xfId="0" applyNumberFormat="1" applyFont="1" applyFill="1" applyBorder="1" applyAlignment="1">
      <alignment horizontal="right"/>
    </xf>
    <xf numFmtId="1" fontId="7" fillId="0" borderId="27" xfId="0" applyNumberFormat="1" applyFont="1" applyBorder="1"/>
    <xf numFmtId="1" fontId="2" fillId="0" borderId="7" xfId="0" applyNumberFormat="1" applyFont="1" applyFill="1" applyBorder="1" applyAlignment="1">
      <alignment horizontal="right"/>
    </xf>
    <xf numFmtId="3" fontId="7" fillId="3" borderId="0" xfId="566" quotePrefix="1" applyNumberFormat="1" applyFont="1" applyFill="1" applyBorder="1" applyAlignment="1">
      <alignment horizontal="right"/>
    </xf>
    <xf numFmtId="212" fontId="0" fillId="0" borderId="0" xfId="1" applyNumberFormat="1" applyFont="1"/>
    <xf numFmtId="182" fontId="6" fillId="0" borderId="0" xfId="0" applyNumberFormat="1" applyFont="1" applyFill="1" applyBorder="1"/>
    <xf numFmtId="10" fontId="7" fillId="0" borderId="0" xfId="566" applyNumberFormat="1" applyFont="1" applyFill="1" applyBorder="1" applyAlignment="1">
      <alignment horizontal="right"/>
    </xf>
    <xf numFmtId="2" fontId="5" fillId="0" borderId="22" xfId="566" quotePrefix="1" applyNumberFormat="1" applyFont="1" applyFill="1" applyBorder="1" applyAlignment="1">
      <alignment horizontal="right"/>
    </xf>
    <xf numFmtId="181" fontId="4" fillId="0" borderId="0" xfId="16" applyNumberFormat="1" applyFont="1" applyFill="1" applyAlignment="1"/>
    <xf numFmtId="181" fontId="5" fillId="0" borderId="0" xfId="0" applyNumberFormat="1" applyFont="1" applyAlignment="1">
      <alignment horizontal="right"/>
    </xf>
    <xf numFmtId="181" fontId="1" fillId="0" borderId="0" xfId="575" applyNumberFormat="1"/>
    <xf numFmtId="181" fontId="4" fillId="0" borderId="0" xfId="290" applyNumberFormat="1"/>
    <xf numFmtId="181" fontId="5" fillId="13" borderId="0" xfId="16" applyNumberFormat="1" applyFont="1" applyFill="1" applyAlignment="1">
      <alignment horizontal="right"/>
    </xf>
    <xf numFmtId="181" fontId="4" fillId="0" borderId="0" xfId="16" applyNumberFormat="1" applyFont="1"/>
    <xf numFmtId="181" fontId="5" fillId="13" borderId="0" xfId="0" applyNumberFormat="1" applyFont="1" applyFill="1" applyAlignment="1">
      <alignment horizontal="right"/>
    </xf>
    <xf numFmtId="181" fontId="4" fillId="0" borderId="0" xfId="575" applyNumberFormat="1" applyFont="1" applyFill="1" applyAlignment="1">
      <alignment horizontal="right"/>
    </xf>
    <xf numFmtId="181" fontId="4" fillId="0" borderId="0" xfId="575" applyNumberFormat="1" applyFont="1"/>
    <xf numFmtId="181" fontId="4" fillId="0" borderId="0" xfId="575" applyNumberFormat="1" applyFont="1" applyAlignment="1">
      <alignment horizontal="right"/>
    </xf>
    <xf numFmtId="181" fontId="1" fillId="0" borderId="0" xfId="272" applyNumberFormat="1" applyFill="1"/>
    <xf numFmtId="181" fontId="7" fillId="0" borderId="0" xfId="172" applyNumberFormat="1" applyFont="1" applyAlignment="1">
      <alignment horizontal="right"/>
    </xf>
    <xf numFmtId="3" fontId="1" fillId="0" borderId="0" xfId="172" applyNumberFormat="1" applyFont="1" applyAlignment="1">
      <alignment horizontal="right"/>
    </xf>
    <xf numFmtId="3" fontId="0" fillId="0" borderId="0" xfId="0" applyNumberFormat="1" applyAlignment="1">
      <alignment horizontal="right"/>
    </xf>
    <xf numFmtId="3" fontId="1" fillId="0" borderId="0" xfId="1" applyNumberFormat="1" applyAlignment="1">
      <alignment horizontal="right"/>
    </xf>
    <xf numFmtId="3" fontId="4" fillId="0" borderId="0" xfId="0" applyNumberFormat="1" applyFont="1" applyAlignment="1">
      <alignment horizontal="right"/>
    </xf>
    <xf numFmtId="3" fontId="4" fillId="0" borderId="0" xfId="0" applyNumberFormat="1" applyFont="1" applyFill="1" applyAlignment="1">
      <alignment horizontal="right"/>
    </xf>
    <xf numFmtId="3" fontId="4" fillId="0" borderId="0" xfId="190" applyNumberFormat="1" applyFont="1" applyAlignment="1">
      <alignment horizontal="right"/>
    </xf>
    <xf numFmtId="3" fontId="4" fillId="0" borderId="0" xfId="2" applyNumberFormat="1"/>
    <xf numFmtId="3" fontId="4" fillId="0" borderId="0" xfId="172" applyNumberFormat="1" applyFont="1" applyAlignment="1">
      <alignment horizontal="right"/>
    </xf>
    <xf numFmtId="3" fontId="1" fillId="0" borderId="0" xfId="172" applyNumberFormat="1" applyFont="1" applyFill="1" applyAlignment="1">
      <alignment horizontal="right"/>
    </xf>
    <xf numFmtId="182" fontId="6" fillId="0" borderId="5" xfId="0" applyNumberFormat="1" applyFont="1" applyFill="1" applyBorder="1"/>
    <xf numFmtId="2" fontId="7" fillId="0" borderId="5" xfId="566" applyNumberFormat="1" applyFont="1" applyBorder="1" applyAlignment="1">
      <alignment horizontal="right"/>
    </xf>
    <xf numFmtId="2" fontId="7" fillId="0" borderId="5" xfId="1" applyNumberFormat="1" applyFont="1" applyBorder="1" applyAlignment="1">
      <alignment horizontal="right"/>
    </xf>
    <xf numFmtId="0" fontId="7" fillId="3" borderId="12" xfId="0" applyFont="1" applyFill="1" applyBorder="1" applyAlignment="1">
      <alignment horizontal="right"/>
    </xf>
    <xf numFmtId="3" fontId="7" fillId="3" borderId="12" xfId="0" applyNumberFormat="1" applyFont="1" applyFill="1" applyBorder="1" applyAlignment="1">
      <alignment horizontal="right"/>
    </xf>
    <xf numFmtId="10" fontId="7" fillId="0" borderId="5" xfId="0" applyNumberFormat="1" applyFont="1" applyFill="1" applyBorder="1" applyAlignment="1">
      <alignment horizontal="right"/>
    </xf>
    <xf numFmtId="2" fontId="7" fillId="0" borderId="21" xfId="566" quotePrefix="1" applyNumberFormat="1" applyFont="1" applyFill="1" applyBorder="1" applyAlignment="1">
      <alignment horizontal="right"/>
    </xf>
    <xf numFmtId="10" fontId="5" fillId="0" borderId="0" xfId="0" applyNumberFormat="1" applyFont="1" applyFill="1" applyBorder="1"/>
    <xf numFmtId="0" fontId="4" fillId="4" borderId="0" xfId="0" applyFont="1" applyFill="1" applyAlignment="1">
      <alignment horizontal="right"/>
    </xf>
    <xf numFmtId="10" fontId="4" fillId="4" borderId="0" xfId="566" applyNumberFormat="1" applyFont="1" applyFill="1" applyBorder="1" applyAlignment="1">
      <alignment horizontal="right"/>
    </xf>
    <xf numFmtId="182" fontId="4" fillId="4" borderId="0" xfId="0" applyNumberFormat="1" applyFont="1" applyFill="1" applyBorder="1" applyAlignment="1">
      <alignment horizontal="right"/>
    </xf>
    <xf numFmtId="10" fontId="4" fillId="4" borderId="0" xfId="566" applyNumberFormat="1" applyFont="1" applyFill="1" applyBorder="1"/>
    <xf numFmtId="182" fontId="4" fillId="4" borderId="0" xfId="0" applyNumberFormat="1" applyFont="1" applyFill="1" applyBorder="1"/>
    <xf numFmtId="2" fontId="4" fillId="4" borderId="0" xfId="566" applyNumberFormat="1" applyFont="1" applyFill="1" applyBorder="1"/>
    <xf numFmtId="2" fontId="4" fillId="4" borderId="0" xfId="0" applyNumberFormat="1" applyFont="1" applyFill="1" applyBorder="1"/>
    <xf numFmtId="181" fontId="4" fillId="0" borderId="0" xfId="16" applyNumberFormat="1" applyFill="1"/>
    <xf numFmtId="0" fontId="4" fillId="0" borderId="0" xfId="16" applyFill="1"/>
    <xf numFmtId="182" fontId="7" fillId="0" borderId="5" xfId="1" applyNumberFormat="1" applyFont="1" applyFill="1" applyBorder="1" applyAlignment="1">
      <alignment horizontal="right"/>
    </xf>
    <xf numFmtId="0" fontId="5" fillId="0" borderId="18" xfId="0" applyFont="1" applyFill="1" applyBorder="1" applyAlignment="1">
      <alignment horizontal="right"/>
    </xf>
    <xf numFmtId="49" fontId="7" fillId="0" borderId="0" xfId="0" applyNumberFormat="1" applyFont="1" applyFill="1" applyAlignment="1">
      <alignment horizontal="left"/>
    </xf>
    <xf numFmtId="2" fontId="4" fillId="0" borderId="0" xfId="0" applyNumberFormat="1" applyFont="1" applyFill="1"/>
    <xf numFmtId="0" fontId="7" fillId="0" borderId="0" xfId="0" applyFont="1" applyFill="1" applyAlignment="1">
      <alignment horizontal="left"/>
    </xf>
    <xf numFmtId="2" fontId="7" fillId="0" borderId="0" xfId="0" applyNumberFormat="1" applyFont="1" applyFill="1" applyAlignment="1">
      <alignment horizontal="right"/>
    </xf>
    <xf numFmtId="10" fontId="7" fillId="0" borderId="5" xfId="566" quotePrefix="1" applyNumberFormat="1" applyFont="1" applyFill="1" applyBorder="1" applyAlignment="1">
      <alignment horizontal="right"/>
    </xf>
    <xf numFmtId="2" fontId="7" fillId="0" borderId="5" xfId="566" quotePrefix="1" applyNumberFormat="1" applyFont="1" applyBorder="1" applyAlignment="1">
      <alignment horizontal="right"/>
    </xf>
    <xf numFmtId="49" fontId="4" fillId="0" borderId="0" xfId="0" applyNumberFormat="1" applyFont="1" applyAlignment="1">
      <alignment horizontal="center"/>
    </xf>
    <xf numFmtId="181" fontId="4" fillId="0" borderId="0" xfId="290" applyNumberFormat="1" applyFont="1" applyAlignment="1">
      <alignment horizontal="right"/>
    </xf>
    <xf numFmtId="181" fontId="4" fillId="0" borderId="0" xfId="16" applyNumberFormat="1" applyFont="1" applyAlignment="1">
      <alignment horizontal="right"/>
    </xf>
    <xf numFmtId="181" fontId="4" fillId="0" borderId="0" xfId="20" applyNumberFormat="1" applyFont="1" applyFill="1" applyAlignment="1"/>
    <xf numFmtId="3" fontId="4" fillId="0" borderId="0" xfId="16" applyNumberFormat="1"/>
    <xf numFmtId="0" fontId="2" fillId="0" borderId="0" xfId="17" applyFont="1" applyAlignment="1">
      <alignment horizontal="left"/>
    </xf>
    <xf numFmtId="0" fontId="2" fillId="0" borderId="18" xfId="0" applyFont="1" applyFill="1" applyBorder="1" applyAlignment="1">
      <alignment horizontal="right"/>
    </xf>
    <xf numFmtId="175" fontId="2" fillId="0" borderId="0" xfId="0" applyNumberFormat="1" applyFont="1" applyFill="1" applyBorder="1" applyAlignment="1">
      <alignment horizontal="right"/>
    </xf>
    <xf numFmtId="3" fontId="4" fillId="0" borderId="0" xfId="0" applyNumberFormat="1" applyFont="1" applyFill="1" applyBorder="1" applyAlignment="1">
      <alignment horizontal="right"/>
    </xf>
    <xf numFmtId="179" fontId="2" fillId="0" borderId="7" xfId="0" applyNumberFormat="1" applyFont="1" applyFill="1" applyBorder="1" applyAlignment="1">
      <alignment horizontal="right"/>
    </xf>
    <xf numFmtId="2" fontId="4" fillId="0" borderId="12" xfId="566" applyNumberFormat="1" applyFont="1" applyFill="1" applyBorder="1" applyAlignment="1">
      <alignment horizontal="right"/>
    </xf>
    <xf numFmtId="2" fontId="4" fillId="0" borderId="7" xfId="0" quotePrefix="1" applyNumberFormat="1" applyFont="1" applyFill="1" applyBorder="1" applyAlignment="1">
      <alignment horizontal="right"/>
    </xf>
    <xf numFmtId="3" fontId="4" fillId="0" borderId="2" xfId="566" applyNumberFormat="1" applyFont="1" applyFill="1" applyBorder="1" applyAlignment="1">
      <alignment horizontal="right"/>
    </xf>
    <xf numFmtId="0" fontId="4" fillId="0" borderId="19" xfId="0" applyFont="1" applyFill="1" applyBorder="1" applyAlignment="1">
      <alignment horizontal="center"/>
    </xf>
    <xf numFmtId="2" fontId="4" fillId="0" borderId="0" xfId="1" applyNumberFormat="1" applyFont="1" applyFill="1" applyBorder="1" applyAlignment="1">
      <alignment horizontal="right"/>
    </xf>
    <xf numFmtId="182" fontId="5" fillId="0" borderId="0" xfId="0" applyNumberFormat="1" applyFont="1" applyFill="1" applyBorder="1" applyAlignment="1">
      <alignment horizontal="right"/>
    </xf>
    <xf numFmtId="0" fontId="4" fillId="0" borderId="20" xfId="0" applyFont="1" applyFill="1" applyBorder="1" applyAlignment="1">
      <alignment horizontal="right"/>
    </xf>
    <xf numFmtId="175" fontId="4" fillId="0" borderId="5" xfId="0" applyNumberFormat="1" applyFont="1" applyFill="1" applyBorder="1" applyAlignment="1">
      <alignment horizontal="right"/>
    </xf>
    <xf numFmtId="3" fontId="4" fillId="0" borderId="5" xfId="0" applyNumberFormat="1" applyFont="1" applyFill="1" applyBorder="1" applyAlignment="1">
      <alignment horizontal="right"/>
    </xf>
    <xf numFmtId="179" fontId="4" fillId="0" borderId="21" xfId="0" applyNumberFormat="1" applyFont="1" applyFill="1" applyBorder="1" applyAlignment="1">
      <alignment horizontal="right"/>
    </xf>
    <xf numFmtId="2" fontId="4" fillId="0" borderId="22" xfId="566" applyNumberFormat="1" applyFont="1" applyFill="1" applyBorder="1" applyAlignment="1">
      <alignment horizontal="right"/>
    </xf>
    <xf numFmtId="2" fontId="4" fillId="0" borderId="5" xfId="566" applyNumberFormat="1" applyFont="1" applyFill="1" applyBorder="1" applyAlignment="1">
      <alignment horizontal="right"/>
    </xf>
    <xf numFmtId="2" fontId="4" fillId="0" borderId="21" xfId="0" quotePrefix="1" applyNumberFormat="1" applyFont="1" applyFill="1" applyBorder="1" applyAlignment="1">
      <alignment horizontal="right"/>
    </xf>
    <xf numFmtId="0" fontId="4" fillId="0" borderId="24" xfId="0" applyFont="1" applyFill="1" applyBorder="1" applyAlignment="1">
      <alignment horizontal="center"/>
    </xf>
    <xf numFmtId="0" fontId="7" fillId="0" borderId="36" xfId="0" applyFont="1" applyFill="1" applyBorder="1" applyAlignment="1">
      <alignment horizontal="center"/>
    </xf>
    <xf numFmtId="3" fontId="7" fillId="0" borderId="12" xfId="566" quotePrefix="1" applyNumberFormat="1" applyFont="1" applyFill="1" applyBorder="1" applyAlignment="1">
      <alignment horizontal="right"/>
    </xf>
    <xf numFmtId="2" fontId="4" fillId="0" borderId="0" xfId="0" quotePrefix="1" applyNumberFormat="1" applyFont="1" applyFill="1" applyBorder="1" applyAlignment="1">
      <alignment horizontal="right"/>
    </xf>
    <xf numFmtId="179" fontId="5" fillId="0" borderId="0" xfId="2" applyNumberFormat="1" applyFont="1" applyFill="1" applyBorder="1" applyAlignment="1">
      <alignment horizontal="right"/>
    </xf>
    <xf numFmtId="3" fontId="5" fillId="0" borderId="0" xfId="16" applyNumberFormat="1" applyFont="1" applyFill="1" applyBorder="1" applyAlignment="1">
      <alignment horizontal="right"/>
    </xf>
    <xf numFmtId="0" fontId="5" fillId="0" borderId="18" xfId="16" applyFont="1" applyFill="1" applyBorder="1" applyAlignment="1"/>
    <xf numFmtId="0" fontId="5" fillId="0" borderId="0" xfId="16" applyFont="1" applyFill="1" applyBorder="1" applyAlignment="1"/>
    <xf numFmtId="175" fontId="5" fillId="0" borderId="0" xfId="16" applyNumberFormat="1" applyFont="1" applyFill="1" applyBorder="1" applyAlignment="1"/>
    <xf numFmtId="2" fontId="4" fillId="0" borderId="21" xfId="566" applyNumberFormat="1" applyFont="1" applyFill="1" applyBorder="1" applyAlignment="1">
      <alignment horizontal="right"/>
    </xf>
    <xf numFmtId="3" fontId="4" fillId="0" borderId="0" xfId="17" applyNumberFormat="1" applyAlignment="1">
      <alignment horizontal="right"/>
    </xf>
    <xf numFmtId="3" fontId="4" fillId="0" borderId="0" xfId="17" applyNumberFormat="1" applyFont="1" applyAlignment="1">
      <alignment horizontal="right"/>
    </xf>
    <xf numFmtId="3" fontId="4" fillId="0" borderId="0" xfId="16" applyNumberFormat="1" applyAlignment="1">
      <alignment horizontal="right"/>
    </xf>
    <xf numFmtId="3" fontId="4" fillId="0" borderId="0" xfId="185" applyNumberFormat="1" applyFont="1" applyAlignment="1">
      <alignment horizontal="right"/>
    </xf>
    <xf numFmtId="181" fontId="4" fillId="0" borderId="0" xfId="285" applyNumberFormat="1" applyFont="1" applyAlignment="1">
      <alignment horizontal="right"/>
    </xf>
    <xf numFmtId="181" fontId="4" fillId="0" borderId="0" xfId="588" applyNumberFormat="1" applyFont="1" applyAlignment="1">
      <alignment horizontal="right"/>
    </xf>
    <xf numFmtId="181" fontId="4" fillId="0" borderId="0" xfId="291" applyNumberFormat="1" applyFont="1" applyFill="1" applyAlignment="1">
      <alignment horizontal="right"/>
    </xf>
    <xf numFmtId="0" fontId="2" fillId="0" borderId="0" xfId="16" applyNumberFormat="1" applyFont="1" applyFill="1" applyAlignment="1"/>
    <xf numFmtId="4" fontId="7" fillId="0" borderId="0" xfId="566" applyNumberFormat="1" applyFont="1" applyFill="1" applyBorder="1" applyAlignment="1">
      <alignment horizontal="right"/>
    </xf>
    <xf numFmtId="181" fontId="0" fillId="0" borderId="0" xfId="1" applyNumberFormat="1" applyFont="1"/>
    <xf numFmtId="3" fontId="5" fillId="0" borderId="5" xfId="566" quotePrefix="1" applyNumberFormat="1" applyFont="1" applyFill="1" applyBorder="1" applyAlignment="1">
      <alignment horizontal="right"/>
    </xf>
    <xf numFmtId="0" fontId="2" fillId="0" borderId="0" xfId="0" applyNumberFormat="1" applyFont="1" applyFill="1" applyAlignment="1"/>
    <xf numFmtId="176" fontId="4" fillId="0" borderId="0" xfId="16" applyNumberFormat="1"/>
    <xf numFmtId="176" fontId="2" fillId="0" borderId="0" xfId="16" applyNumberFormat="1" applyFont="1" applyAlignment="1">
      <alignment horizontal="center"/>
    </xf>
    <xf numFmtId="176" fontId="2" fillId="0" borderId="5" xfId="16" applyNumberFormat="1" applyFont="1" applyBorder="1"/>
    <xf numFmtId="176" fontId="4" fillId="0" borderId="0" xfId="16" applyNumberFormat="1" applyFill="1"/>
    <xf numFmtId="0" fontId="5" fillId="3" borderId="0" xfId="0" applyFont="1" applyFill="1" applyBorder="1" applyAlignment="1">
      <alignment horizontal="right"/>
    </xf>
    <xf numFmtId="2" fontId="4" fillId="0" borderId="0" xfId="566" applyNumberFormat="1" applyFont="1" applyBorder="1" applyAlignment="1">
      <alignment horizontal="center"/>
    </xf>
    <xf numFmtId="181" fontId="5" fillId="0" borderId="0" xfId="16" applyNumberFormat="1" applyFont="1" applyFill="1" applyAlignment="1">
      <alignment horizontal="right"/>
    </xf>
    <xf numFmtId="181" fontId="4" fillId="0" borderId="0" xfId="290" applyNumberFormat="1" applyFont="1" applyFill="1" applyAlignment="1">
      <alignment horizontal="right"/>
    </xf>
    <xf numFmtId="2" fontId="7" fillId="17" borderId="0" xfId="566" applyNumberFormat="1" applyFont="1" applyFill="1" applyBorder="1" applyAlignment="1">
      <alignment horizontal="right"/>
    </xf>
    <xf numFmtId="3" fontId="1" fillId="0" borderId="0" xfId="190" applyNumberFormat="1" applyFont="1" applyAlignment="1">
      <alignment horizontal="right"/>
    </xf>
    <xf numFmtId="189" fontId="1" fillId="0" borderId="0" xfId="172" applyNumberFormat="1" applyAlignment="1">
      <alignment horizontal="right"/>
    </xf>
    <xf numFmtId="213" fontId="0" fillId="0" borderId="0" xfId="0" applyNumberFormat="1" applyFont="1" applyFill="1" applyAlignment="1"/>
    <xf numFmtId="182" fontId="0" fillId="0" borderId="0" xfId="0" applyNumberFormat="1" applyFont="1" applyFill="1" applyAlignment="1"/>
    <xf numFmtId="49" fontId="2" fillId="8" borderId="5" xfId="0" applyNumberFormat="1" applyFont="1" applyFill="1" applyBorder="1" applyAlignment="1">
      <alignment horizontal="center"/>
    </xf>
    <xf numFmtId="49" fontId="2" fillId="9" borderId="0" xfId="0" applyNumberFormat="1" applyFont="1" applyFill="1" applyBorder="1" applyAlignment="1">
      <alignment horizontal="center"/>
    </xf>
    <xf numFmtId="0" fontId="2" fillId="0" borderId="0" xfId="0" applyFont="1" applyAlignment="1">
      <alignment horizontal="center"/>
    </xf>
    <xf numFmtId="180" fontId="6" fillId="2" borderId="0" xfId="0" applyNumberFormat="1" applyFont="1" applyFill="1" applyBorder="1" applyAlignment="1">
      <alignment horizontal="center"/>
    </xf>
    <xf numFmtId="0" fontId="6" fillId="0" borderId="0" xfId="0" applyFont="1" applyBorder="1" applyAlignment="1">
      <alignment horizontal="center"/>
    </xf>
    <xf numFmtId="175" fontId="6" fillId="10" borderId="37" xfId="0" applyNumberFormat="1" applyFont="1" applyFill="1" applyBorder="1" applyAlignment="1">
      <alignment horizontal="center"/>
    </xf>
    <xf numFmtId="175" fontId="6" fillId="10" borderId="38" xfId="0" applyNumberFormat="1" applyFont="1" applyFill="1" applyBorder="1" applyAlignment="1">
      <alignment horizontal="center"/>
    </xf>
    <xf numFmtId="175" fontId="6" fillId="10" borderId="39" xfId="0" applyNumberFormat="1" applyFont="1" applyFill="1" applyBorder="1" applyAlignment="1">
      <alignment horizontal="center"/>
    </xf>
    <xf numFmtId="180" fontId="6" fillId="10" borderId="38" xfId="0" applyNumberFormat="1" applyFont="1" applyFill="1" applyBorder="1" applyAlignment="1">
      <alignment horizontal="center"/>
    </xf>
    <xf numFmtId="180" fontId="6" fillId="10" borderId="40" xfId="0" applyNumberFormat="1" applyFont="1" applyFill="1" applyBorder="1" applyAlignment="1">
      <alignment horizontal="center"/>
    </xf>
    <xf numFmtId="180" fontId="6" fillId="10" borderId="5" xfId="0" applyNumberFormat="1" applyFont="1" applyFill="1" applyBorder="1" applyAlignment="1">
      <alignment horizontal="center"/>
    </xf>
    <xf numFmtId="180" fontId="6" fillId="10" borderId="21" xfId="0" applyNumberFormat="1" applyFont="1" applyFill="1" applyBorder="1" applyAlignment="1">
      <alignment horizontal="center"/>
    </xf>
    <xf numFmtId="180" fontId="6" fillId="10" borderId="3" xfId="0" applyNumberFormat="1" applyFont="1" applyFill="1" applyBorder="1" applyAlignment="1">
      <alignment horizontal="center"/>
    </xf>
    <xf numFmtId="180" fontId="6" fillId="10" borderId="41" xfId="0" applyNumberFormat="1" applyFont="1" applyFill="1" applyBorder="1" applyAlignment="1">
      <alignment horizontal="center"/>
    </xf>
    <xf numFmtId="180" fontId="6" fillId="2" borderId="0" xfId="0" quotePrefix="1" applyNumberFormat="1" applyFont="1" applyFill="1" applyBorder="1" applyAlignment="1">
      <alignment horizontal="center"/>
    </xf>
    <xf numFmtId="4" fontId="6" fillId="10" borderId="37" xfId="0" applyNumberFormat="1" applyFont="1" applyFill="1" applyBorder="1" applyAlignment="1">
      <alignment horizontal="center"/>
    </xf>
    <xf numFmtId="4" fontId="6" fillId="10" borderId="38" xfId="0" applyNumberFormat="1" applyFont="1" applyFill="1" applyBorder="1" applyAlignment="1">
      <alignment horizontal="center"/>
    </xf>
    <xf numFmtId="4" fontId="6" fillId="10" borderId="39" xfId="0" applyNumberFormat="1" applyFont="1" applyFill="1" applyBorder="1" applyAlignment="1">
      <alignment horizontal="center"/>
    </xf>
    <xf numFmtId="4" fontId="6" fillId="10" borderId="5" xfId="0" applyNumberFormat="1" applyFont="1" applyFill="1" applyBorder="1" applyAlignment="1">
      <alignment horizontal="center"/>
    </xf>
    <xf numFmtId="4" fontId="6" fillId="10" borderId="21" xfId="0" applyNumberFormat="1" applyFont="1" applyFill="1" applyBorder="1" applyAlignment="1">
      <alignment horizontal="center"/>
    </xf>
    <xf numFmtId="0" fontId="0" fillId="0" borderId="0" xfId="0" applyAlignment="1">
      <alignment horizontal="center"/>
    </xf>
    <xf numFmtId="180" fontId="16" fillId="0" borderId="0" xfId="0" applyNumberFormat="1" applyFont="1" applyAlignment="1">
      <alignment horizontal="left"/>
    </xf>
    <xf numFmtId="0" fontId="22" fillId="0" borderId="0" xfId="0" applyFont="1" applyAlignment="1">
      <alignment horizontal="left" wrapText="1"/>
    </xf>
    <xf numFmtId="180" fontId="13" fillId="0" borderId="0" xfId="0" applyNumberFormat="1" applyFont="1" applyAlignment="1">
      <alignment horizontal="left"/>
    </xf>
    <xf numFmtId="0" fontId="14" fillId="2" borderId="5" xfId="0" applyFont="1" applyFill="1" applyBorder="1" applyAlignment="1">
      <alignment horizontal="center"/>
    </xf>
    <xf numFmtId="43" fontId="14" fillId="2" borderId="5" xfId="1" applyFont="1" applyFill="1" applyBorder="1" applyAlignment="1"/>
    <xf numFmtId="0" fontId="22" fillId="0" borderId="0" xfId="0" applyFont="1" applyAlignment="1">
      <alignment horizontal="left"/>
    </xf>
    <xf numFmtId="0" fontId="2" fillId="0" borderId="5" xfId="0" applyFont="1" applyBorder="1" applyAlignment="1">
      <alignment horizontal="left" wrapText="1"/>
    </xf>
    <xf numFmtId="0" fontId="0" fillId="0" borderId="5" xfId="0" applyBorder="1" applyAlignment="1">
      <alignment horizontal="left" wrapText="1"/>
    </xf>
    <xf numFmtId="0" fontId="2" fillId="0" borderId="5" xfId="0" applyFont="1" applyBorder="1" applyAlignment="1">
      <alignment horizontal="left"/>
    </xf>
    <xf numFmtId="0" fontId="4" fillId="0" borderId="5" xfId="0" applyFont="1" applyBorder="1" applyAlignment="1">
      <alignment horizontal="left"/>
    </xf>
    <xf numFmtId="0" fontId="2" fillId="0" borderId="5" xfId="0" applyFont="1" applyFill="1" applyBorder="1" applyAlignment="1">
      <alignment horizontal="left" wrapText="1"/>
    </xf>
    <xf numFmtId="0" fontId="4" fillId="0" borderId="5" xfId="0" applyFont="1" applyFill="1" applyBorder="1" applyAlignment="1">
      <alignment horizontal="left" wrapText="1"/>
    </xf>
    <xf numFmtId="0" fontId="4" fillId="0" borderId="5" xfId="0" applyFont="1" applyBorder="1" applyAlignment="1">
      <alignment horizontal="left" wrapText="1"/>
    </xf>
  </cellXfs>
  <cellStyles count="624">
    <cellStyle name="Comma" xfId="1" builtinId="3"/>
    <cellStyle name="Comma 2" xfId="2"/>
    <cellStyle name="Comma 2 2" xfId="3"/>
    <cellStyle name="Comma 2 3" xfId="4"/>
    <cellStyle name="Comma 3" xfId="5"/>
    <cellStyle name="Comma 3 2" xfId="6"/>
    <cellStyle name="Comma 3 3" xfId="7"/>
    <cellStyle name="Comma 4" xfId="8"/>
    <cellStyle name="Comma 5" xfId="9"/>
    <cellStyle name="Currency" xfId="10" builtinId="4"/>
    <cellStyle name="Currency 2" xfId="11"/>
    <cellStyle name="Currency 2 2" xfId="12"/>
    <cellStyle name="Currency 2 3" xfId="13"/>
    <cellStyle name="Currency 3" xfId="14"/>
    <cellStyle name="Currency 4" xfId="15"/>
    <cellStyle name="Normal" xfId="0" builtinId="0"/>
    <cellStyle name="Normal 2 2" xfId="16"/>
    <cellStyle name="Normal 2 2 2" xfId="17"/>
    <cellStyle name="Normal 2 2 3" xfId="18"/>
    <cellStyle name="Normal 2 3" xfId="19"/>
    <cellStyle name="Normal 2 3 2" xfId="20"/>
    <cellStyle name="Normal 2 4" xfId="21"/>
    <cellStyle name="Normal 2 5" xfId="22"/>
    <cellStyle name="Normal 3 2" xfId="23"/>
    <cellStyle name="Normal 4 2" xfId="24"/>
    <cellStyle name="Number0DecimalStyle" xfId="25"/>
    <cellStyle name="Number0DecimalStyle 10" xfId="26"/>
    <cellStyle name="Number0DecimalStyle 10 2" xfId="27"/>
    <cellStyle name="Number0DecimalStyle 10 2 2" xfId="28"/>
    <cellStyle name="Number0DecimalStyle 10 3" xfId="29"/>
    <cellStyle name="Number0DecimalStyle 11" xfId="30"/>
    <cellStyle name="Number0DecimalStyle 11 2" xfId="31"/>
    <cellStyle name="Number0DecimalStyle 11 2 2" xfId="32"/>
    <cellStyle name="Number0DecimalStyle 11 3" xfId="33"/>
    <cellStyle name="Number0DecimalStyle 12" xfId="34"/>
    <cellStyle name="Number0DecimalStyle 12 2" xfId="35"/>
    <cellStyle name="Number0DecimalStyle 12 2 2" xfId="36"/>
    <cellStyle name="Number0DecimalStyle 12 3" xfId="37"/>
    <cellStyle name="Number0DecimalStyle 13" xfId="38"/>
    <cellStyle name="Number0DecimalStyle 2" xfId="39"/>
    <cellStyle name="Number0DecimalStyle 2 2" xfId="40"/>
    <cellStyle name="Number0DecimalStyle 2 2 2" xfId="41"/>
    <cellStyle name="Number0DecimalStyle 2 3" xfId="42"/>
    <cellStyle name="Number0DecimalStyle 3" xfId="43"/>
    <cellStyle name="Number0DecimalStyle 3 2" xfId="44"/>
    <cellStyle name="Number0DecimalStyle 3 3" xfId="45"/>
    <cellStyle name="Number0DecimalStyle 4" xfId="46"/>
    <cellStyle name="Number0DecimalStyle 4 2" xfId="47"/>
    <cellStyle name="Number0DecimalStyle 4 2 2" xfId="48"/>
    <cellStyle name="Number0DecimalStyle 4 2 3" xfId="49"/>
    <cellStyle name="Number0DecimalStyle 4 3" xfId="50"/>
    <cellStyle name="Number0DecimalStyle 4 4" xfId="51"/>
    <cellStyle name="Number0DecimalStyle 5" xfId="52"/>
    <cellStyle name="Number0DecimalStyle 5 2" xfId="53"/>
    <cellStyle name="Number0DecimalStyle 5 2 2" xfId="54"/>
    <cellStyle name="Number0DecimalStyle 5 3" xfId="55"/>
    <cellStyle name="Number0DecimalStyle 6" xfId="56"/>
    <cellStyle name="Number0DecimalStyle 6 2" xfId="57"/>
    <cellStyle name="Number0DecimalStyle 6 2 2" xfId="58"/>
    <cellStyle name="Number0DecimalStyle 6 2 3" xfId="59"/>
    <cellStyle name="Number0DecimalStyle 6 3" xfId="60"/>
    <cellStyle name="Number0DecimalStyle 6 4" xfId="61"/>
    <cellStyle name="Number0DecimalStyle 7" xfId="62"/>
    <cellStyle name="Number0DecimalStyle 7 2" xfId="63"/>
    <cellStyle name="Number0DecimalStyle 7 2 2" xfId="64"/>
    <cellStyle name="Number0DecimalStyle 7 3" xfId="65"/>
    <cellStyle name="Number0DecimalStyle 8" xfId="66"/>
    <cellStyle name="Number0DecimalStyle 8 2" xfId="67"/>
    <cellStyle name="Number0DecimalStyle 8 2 2" xfId="68"/>
    <cellStyle name="Number0DecimalStyle 8 3" xfId="69"/>
    <cellStyle name="Number0DecimalStyle 9" xfId="70"/>
    <cellStyle name="Number0DecimalStyle 9 2" xfId="71"/>
    <cellStyle name="Number0DecimalStyle 9 2 2" xfId="72"/>
    <cellStyle name="Number0DecimalStyle 9 3" xfId="73"/>
    <cellStyle name="Number10DecimalStyle" xfId="74"/>
    <cellStyle name="Number10DecimalStyle 10" xfId="75"/>
    <cellStyle name="Number10DecimalStyle 10 2" xfId="76"/>
    <cellStyle name="Number10DecimalStyle 10 2 2" xfId="77"/>
    <cellStyle name="Number10DecimalStyle 10 3" xfId="78"/>
    <cellStyle name="Number10DecimalStyle 11" xfId="79"/>
    <cellStyle name="Number10DecimalStyle 11 2" xfId="80"/>
    <cellStyle name="Number10DecimalStyle 11 2 2" xfId="81"/>
    <cellStyle name="Number10DecimalStyle 11 3" xfId="82"/>
    <cellStyle name="Number10DecimalStyle 12" xfId="83"/>
    <cellStyle name="Number10DecimalStyle 12 2" xfId="84"/>
    <cellStyle name="Number10DecimalStyle 12 2 2" xfId="85"/>
    <cellStyle name="Number10DecimalStyle 12 3" xfId="86"/>
    <cellStyle name="Number10DecimalStyle 13" xfId="87"/>
    <cellStyle name="Number10DecimalStyle 2" xfId="88"/>
    <cellStyle name="Number10DecimalStyle 2 2" xfId="89"/>
    <cellStyle name="Number10DecimalStyle 2 2 2" xfId="90"/>
    <cellStyle name="Number10DecimalStyle 2 3" xfId="91"/>
    <cellStyle name="Number10DecimalStyle 3" xfId="92"/>
    <cellStyle name="Number10DecimalStyle 3 2" xfId="93"/>
    <cellStyle name="Number10DecimalStyle 3 3" xfId="94"/>
    <cellStyle name="Number10DecimalStyle 4" xfId="95"/>
    <cellStyle name="Number10DecimalStyle 4 2" xfId="96"/>
    <cellStyle name="Number10DecimalStyle 4 2 2" xfId="97"/>
    <cellStyle name="Number10DecimalStyle 4 2 3" xfId="98"/>
    <cellStyle name="Number10DecimalStyle 4 3" xfId="99"/>
    <cellStyle name="Number10DecimalStyle 4 4" xfId="100"/>
    <cellStyle name="Number10DecimalStyle 5" xfId="101"/>
    <cellStyle name="Number10DecimalStyle 5 2" xfId="102"/>
    <cellStyle name="Number10DecimalStyle 5 2 2" xfId="103"/>
    <cellStyle name="Number10DecimalStyle 5 3" xfId="104"/>
    <cellStyle name="Number10DecimalStyle 6" xfId="105"/>
    <cellStyle name="Number10DecimalStyle 6 2" xfId="106"/>
    <cellStyle name="Number10DecimalStyle 6 2 2" xfId="107"/>
    <cellStyle name="Number10DecimalStyle 6 2 3" xfId="108"/>
    <cellStyle name="Number10DecimalStyle 6 3" xfId="109"/>
    <cellStyle name="Number10DecimalStyle 6 4" xfId="110"/>
    <cellStyle name="Number10DecimalStyle 7" xfId="111"/>
    <cellStyle name="Number10DecimalStyle 7 2" xfId="112"/>
    <cellStyle name="Number10DecimalStyle 7 2 2" xfId="113"/>
    <cellStyle name="Number10DecimalStyle 7 3" xfId="114"/>
    <cellStyle name="Number10DecimalStyle 8" xfId="115"/>
    <cellStyle name="Number10DecimalStyle 8 2" xfId="116"/>
    <cellStyle name="Number10DecimalStyle 8 2 2" xfId="117"/>
    <cellStyle name="Number10DecimalStyle 8 3" xfId="118"/>
    <cellStyle name="Number10DecimalStyle 9" xfId="119"/>
    <cellStyle name="Number10DecimalStyle 9 2" xfId="120"/>
    <cellStyle name="Number10DecimalStyle 9 2 2" xfId="121"/>
    <cellStyle name="Number10DecimalStyle 9 3" xfId="122"/>
    <cellStyle name="Number1DecimalStyle" xfId="123"/>
    <cellStyle name="Number1DecimalStyle 10" xfId="124"/>
    <cellStyle name="Number1DecimalStyle 10 2" xfId="125"/>
    <cellStyle name="Number1DecimalStyle 10 2 2" xfId="126"/>
    <cellStyle name="Number1DecimalStyle 10 3" xfId="127"/>
    <cellStyle name="Number1DecimalStyle 11" xfId="128"/>
    <cellStyle name="Number1DecimalStyle 11 2" xfId="129"/>
    <cellStyle name="Number1DecimalStyle 11 2 2" xfId="130"/>
    <cellStyle name="Number1DecimalStyle 11 3" xfId="131"/>
    <cellStyle name="Number1DecimalStyle 12" xfId="132"/>
    <cellStyle name="Number1DecimalStyle 12 2" xfId="133"/>
    <cellStyle name="Number1DecimalStyle 12 2 2" xfId="134"/>
    <cellStyle name="Number1DecimalStyle 12 3" xfId="135"/>
    <cellStyle name="Number1DecimalStyle 13" xfId="136"/>
    <cellStyle name="Number1DecimalStyle 2" xfId="137"/>
    <cellStyle name="Number1DecimalStyle 2 2" xfId="138"/>
    <cellStyle name="Number1DecimalStyle 2 2 2" xfId="139"/>
    <cellStyle name="Number1DecimalStyle 2 3" xfId="140"/>
    <cellStyle name="Number1DecimalStyle 3" xfId="141"/>
    <cellStyle name="Number1DecimalStyle 3 2" xfId="142"/>
    <cellStyle name="Number1DecimalStyle 3 3" xfId="143"/>
    <cellStyle name="Number1DecimalStyle 4" xfId="144"/>
    <cellStyle name="Number1DecimalStyle 4 2" xfId="145"/>
    <cellStyle name="Number1DecimalStyle 4 2 2" xfId="146"/>
    <cellStyle name="Number1DecimalStyle 4 2 3" xfId="147"/>
    <cellStyle name="Number1DecimalStyle 4 3" xfId="148"/>
    <cellStyle name="Number1DecimalStyle 4 4" xfId="149"/>
    <cellStyle name="Number1DecimalStyle 5" xfId="150"/>
    <cellStyle name="Number1DecimalStyle 5 2" xfId="151"/>
    <cellStyle name="Number1DecimalStyle 5 2 2" xfId="152"/>
    <cellStyle name="Number1DecimalStyle 5 3" xfId="153"/>
    <cellStyle name="Number1DecimalStyle 6" xfId="154"/>
    <cellStyle name="Number1DecimalStyle 6 2" xfId="155"/>
    <cellStyle name="Number1DecimalStyle 6 2 2" xfId="156"/>
    <cellStyle name="Number1DecimalStyle 6 2 3" xfId="157"/>
    <cellStyle name="Number1DecimalStyle 6 3" xfId="158"/>
    <cellStyle name="Number1DecimalStyle 6 4" xfId="159"/>
    <cellStyle name="Number1DecimalStyle 7" xfId="160"/>
    <cellStyle name="Number1DecimalStyle 7 2" xfId="161"/>
    <cellStyle name="Number1DecimalStyle 7 2 2" xfId="162"/>
    <cellStyle name="Number1DecimalStyle 7 3" xfId="163"/>
    <cellStyle name="Number1DecimalStyle 8" xfId="164"/>
    <cellStyle name="Number1DecimalStyle 8 2" xfId="165"/>
    <cellStyle name="Number1DecimalStyle 8 2 2" xfId="166"/>
    <cellStyle name="Number1DecimalStyle 8 3" xfId="167"/>
    <cellStyle name="Number1DecimalStyle 9" xfId="168"/>
    <cellStyle name="Number1DecimalStyle 9 2" xfId="169"/>
    <cellStyle name="Number1DecimalStyle 9 2 2" xfId="170"/>
    <cellStyle name="Number1DecimalStyle 9 3" xfId="171"/>
    <cellStyle name="Number2DecimalStyle" xfId="172"/>
    <cellStyle name="Number2DecimalStyle 10" xfId="173"/>
    <cellStyle name="Number2DecimalStyle 10 2" xfId="174"/>
    <cellStyle name="Number2DecimalStyle 10 2 2" xfId="175"/>
    <cellStyle name="Number2DecimalStyle 10 3" xfId="176"/>
    <cellStyle name="Number2DecimalStyle 11" xfId="177"/>
    <cellStyle name="Number2DecimalStyle 11 2" xfId="178"/>
    <cellStyle name="Number2DecimalStyle 11 2 2" xfId="179"/>
    <cellStyle name="Number2DecimalStyle 11 3" xfId="180"/>
    <cellStyle name="Number2DecimalStyle 12" xfId="181"/>
    <cellStyle name="Number2DecimalStyle 12 2" xfId="182"/>
    <cellStyle name="Number2DecimalStyle 12 2 2" xfId="183"/>
    <cellStyle name="Number2DecimalStyle 12 3" xfId="184"/>
    <cellStyle name="Number2DecimalStyle 13" xfId="185"/>
    <cellStyle name="Number2DecimalStyle 2" xfId="186"/>
    <cellStyle name="Number2DecimalStyle 2 2" xfId="187"/>
    <cellStyle name="Number2DecimalStyle 2 2 2" xfId="188"/>
    <cellStyle name="Number2DecimalStyle 2 3" xfId="189"/>
    <cellStyle name="Number2DecimalStyle 3" xfId="190"/>
    <cellStyle name="Number2DecimalStyle 3 2" xfId="191"/>
    <cellStyle name="Number2DecimalStyle 3 3" xfId="192"/>
    <cellStyle name="Number2DecimalStyle 4" xfId="193"/>
    <cellStyle name="Number2DecimalStyle 4 2" xfId="194"/>
    <cellStyle name="Number2DecimalStyle 4 2 2" xfId="195"/>
    <cellStyle name="Number2DecimalStyle 4 2 3" xfId="196"/>
    <cellStyle name="Number2DecimalStyle 4 3" xfId="197"/>
    <cellStyle name="Number2DecimalStyle 4 4" xfId="198"/>
    <cellStyle name="Number2DecimalStyle 5" xfId="199"/>
    <cellStyle name="Number2DecimalStyle 5 2" xfId="200"/>
    <cellStyle name="Number2DecimalStyle 5 2 2" xfId="201"/>
    <cellStyle name="Number2DecimalStyle 5 3" xfId="202"/>
    <cellStyle name="Number2DecimalStyle 6" xfId="203"/>
    <cellStyle name="Number2DecimalStyle 6 2" xfId="204"/>
    <cellStyle name="Number2DecimalStyle 6 2 2" xfId="205"/>
    <cellStyle name="Number2DecimalStyle 6 2 3" xfId="206"/>
    <cellStyle name="Number2DecimalStyle 6 3" xfId="207"/>
    <cellStyle name="Number2DecimalStyle 6 4" xfId="208"/>
    <cellStyle name="Number2DecimalStyle 7" xfId="209"/>
    <cellStyle name="Number2DecimalStyle 7 2" xfId="210"/>
    <cellStyle name="Number2DecimalStyle 7 2 2" xfId="211"/>
    <cellStyle name="Number2DecimalStyle 7 3" xfId="212"/>
    <cellStyle name="Number2DecimalStyle 8" xfId="213"/>
    <cellStyle name="Number2DecimalStyle 8 2" xfId="214"/>
    <cellStyle name="Number2DecimalStyle 8 2 2" xfId="215"/>
    <cellStyle name="Number2DecimalStyle 8 3" xfId="216"/>
    <cellStyle name="Number2DecimalStyle 9" xfId="217"/>
    <cellStyle name="Number2DecimalStyle 9 2" xfId="218"/>
    <cellStyle name="Number2DecimalStyle 9 2 2" xfId="219"/>
    <cellStyle name="Number2DecimalStyle 9 3" xfId="220"/>
    <cellStyle name="Number2DecimalStyle_Arizona Composites" xfId="221"/>
    <cellStyle name="Number2DecimalStyle_TF" xfId="222"/>
    <cellStyle name="Number3DecimalStyle" xfId="223"/>
    <cellStyle name="Number3DecimalStyle 10" xfId="224"/>
    <cellStyle name="Number3DecimalStyle 10 2" xfId="225"/>
    <cellStyle name="Number3DecimalStyle 10 2 2" xfId="226"/>
    <cellStyle name="Number3DecimalStyle 10 3" xfId="227"/>
    <cellStyle name="Number3DecimalStyle 11" xfId="228"/>
    <cellStyle name="Number3DecimalStyle 11 2" xfId="229"/>
    <cellStyle name="Number3DecimalStyle 11 2 2" xfId="230"/>
    <cellStyle name="Number3DecimalStyle 11 3" xfId="231"/>
    <cellStyle name="Number3DecimalStyle 12" xfId="232"/>
    <cellStyle name="Number3DecimalStyle 12 2" xfId="233"/>
    <cellStyle name="Number3DecimalStyle 12 2 2" xfId="234"/>
    <cellStyle name="Number3DecimalStyle 12 3" xfId="235"/>
    <cellStyle name="Number3DecimalStyle 13" xfId="236"/>
    <cellStyle name="Number3DecimalStyle 2" xfId="237"/>
    <cellStyle name="Number3DecimalStyle 2 2" xfId="238"/>
    <cellStyle name="Number3DecimalStyle 2 2 2" xfId="239"/>
    <cellStyle name="Number3DecimalStyle 2 3" xfId="240"/>
    <cellStyle name="Number3DecimalStyle 3" xfId="241"/>
    <cellStyle name="Number3DecimalStyle 3 2" xfId="242"/>
    <cellStyle name="Number3DecimalStyle 3 3" xfId="243"/>
    <cellStyle name="Number3DecimalStyle 4" xfId="244"/>
    <cellStyle name="Number3DecimalStyle 4 2" xfId="245"/>
    <cellStyle name="Number3DecimalStyle 4 2 2" xfId="246"/>
    <cellStyle name="Number3DecimalStyle 4 2 3" xfId="247"/>
    <cellStyle name="Number3DecimalStyle 4 3" xfId="248"/>
    <cellStyle name="Number3DecimalStyle 4 4" xfId="249"/>
    <cellStyle name="Number3DecimalStyle 5" xfId="250"/>
    <cellStyle name="Number3DecimalStyle 5 2" xfId="251"/>
    <cellStyle name="Number3DecimalStyle 5 2 2" xfId="252"/>
    <cellStyle name="Number3DecimalStyle 5 3" xfId="253"/>
    <cellStyle name="Number3DecimalStyle 6" xfId="254"/>
    <cellStyle name="Number3DecimalStyle 6 2" xfId="255"/>
    <cellStyle name="Number3DecimalStyle 6 2 2" xfId="256"/>
    <cellStyle name="Number3DecimalStyle 6 2 3" xfId="257"/>
    <cellStyle name="Number3DecimalStyle 6 3" xfId="258"/>
    <cellStyle name="Number3DecimalStyle 6 4" xfId="259"/>
    <cellStyle name="Number3DecimalStyle 7" xfId="260"/>
    <cellStyle name="Number3DecimalStyle 7 2" xfId="261"/>
    <cellStyle name="Number3DecimalStyle 7 2 2" xfId="262"/>
    <cellStyle name="Number3DecimalStyle 7 3" xfId="263"/>
    <cellStyle name="Number3DecimalStyle 8" xfId="264"/>
    <cellStyle name="Number3DecimalStyle 8 2" xfId="265"/>
    <cellStyle name="Number3DecimalStyle 8 2 2" xfId="266"/>
    <cellStyle name="Number3DecimalStyle 8 3" xfId="267"/>
    <cellStyle name="Number3DecimalStyle 9" xfId="268"/>
    <cellStyle name="Number3DecimalStyle 9 2" xfId="269"/>
    <cellStyle name="Number3DecimalStyle 9 2 2" xfId="270"/>
    <cellStyle name="Number3DecimalStyle 9 3" xfId="271"/>
    <cellStyle name="Number4DecimalStyle" xfId="272"/>
    <cellStyle name="Number4DecimalStyle 10" xfId="273"/>
    <cellStyle name="Number4DecimalStyle 10 2" xfId="274"/>
    <cellStyle name="Number4DecimalStyle 10 2 2" xfId="275"/>
    <cellStyle name="Number4DecimalStyle 10 3" xfId="276"/>
    <cellStyle name="Number4DecimalStyle 11" xfId="277"/>
    <cellStyle name="Number4DecimalStyle 11 2" xfId="278"/>
    <cellStyle name="Number4DecimalStyle 11 2 2" xfId="279"/>
    <cellStyle name="Number4DecimalStyle 11 3" xfId="280"/>
    <cellStyle name="Number4DecimalStyle 12" xfId="281"/>
    <cellStyle name="Number4DecimalStyle 12 2" xfId="282"/>
    <cellStyle name="Number4DecimalStyle 12 2 2" xfId="283"/>
    <cellStyle name="Number4DecimalStyle 12 3" xfId="284"/>
    <cellStyle name="Number4DecimalStyle 13" xfId="285"/>
    <cellStyle name="Number4DecimalStyle 2" xfId="286"/>
    <cellStyle name="Number4DecimalStyle 2 2" xfId="287"/>
    <cellStyle name="Number4DecimalStyle 2 2 2" xfId="288"/>
    <cellStyle name="Number4DecimalStyle 2 3" xfId="289"/>
    <cellStyle name="Number4DecimalStyle 3" xfId="290"/>
    <cellStyle name="Number4DecimalStyle 3 2" xfId="291"/>
    <cellStyle name="Number4DecimalStyle 3 3" xfId="292"/>
    <cellStyle name="Number4DecimalStyle 4" xfId="293"/>
    <cellStyle name="Number4DecimalStyle 4 2" xfId="294"/>
    <cellStyle name="Number4DecimalStyle 4 2 2" xfId="295"/>
    <cellStyle name="Number4DecimalStyle 4 2 3" xfId="296"/>
    <cellStyle name="Number4DecimalStyle 4 3" xfId="297"/>
    <cellStyle name="Number4DecimalStyle 4 4" xfId="298"/>
    <cellStyle name="Number4DecimalStyle 5" xfId="299"/>
    <cellStyle name="Number4DecimalStyle 5 2" xfId="300"/>
    <cellStyle name="Number4DecimalStyle 5 2 2" xfId="301"/>
    <cellStyle name="Number4DecimalStyle 5 3" xfId="302"/>
    <cellStyle name="Number4DecimalStyle 6" xfId="303"/>
    <cellStyle name="Number4DecimalStyle 6 2" xfId="304"/>
    <cellStyle name="Number4DecimalStyle 6 2 2" xfId="305"/>
    <cellStyle name="Number4DecimalStyle 6 2 3" xfId="306"/>
    <cellStyle name="Number4DecimalStyle 6 3" xfId="307"/>
    <cellStyle name="Number4DecimalStyle 6 4" xfId="308"/>
    <cellStyle name="Number4DecimalStyle 7" xfId="309"/>
    <cellStyle name="Number4DecimalStyle 7 2" xfId="310"/>
    <cellStyle name="Number4DecimalStyle 7 2 2" xfId="311"/>
    <cellStyle name="Number4DecimalStyle 7 3" xfId="312"/>
    <cellStyle name="Number4DecimalStyle 8" xfId="313"/>
    <cellStyle name="Number4DecimalStyle 8 2" xfId="314"/>
    <cellStyle name="Number4DecimalStyle 8 2 2" xfId="315"/>
    <cellStyle name="Number4DecimalStyle 8 3" xfId="316"/>
    <cellStyle name="Number4DecimalStyle 9" xfId="317"/>
    <cellStyle name="Number4DecimalStyle 9 2" xfId="318"/>
    <cellStyle name="Number4DecimalStyle 9 2 2" xfId="319"/>
    <cellStyle name="Number4DecimalStyle 9 3" xfId="320"/>
    <cellStyle name="Number5DecimalStyle" xfId="321"/>
    <cellStyle name="Number5DecimalStyle 10" xfId="322"/>
    <cellStyle name="Number5DecimalStyle 10 2" xfId="323"/>
    <cellStyle name="Number5DecimalStyle 10 2 2" xfId="324"/>
    <cellStyle name="Number5DecimalStyle 10 3" xfId="325"/>
    <cellStyle name="Number5DecimalStyle 11" xfId="326"/>
    <cellStyle name="Number5DecimalStyle 11 2" xfId="327"/>
    <cellStyle name="Number5DecimalStyle 11 2 2" xfId="328"/>
    <cellStyle name="Number5DecimalStyle 11 3" xfId="329"/>
    <cellStyle name="Number5DecimalStyle 12" xfId="330"/>
    <cellStyle name="Number5DecimalStyle 12 2" xfId="331"/>
    <cellStyle name="Number5DecimalStyle 12 2 2" xfId="332"/>
    <cellStyle name="Number5DecimalStyle 12 3" xfId="333"/>
    <cellStyle name="Number5DecimalStyle 13" xfId="334"/>
    <cellStyle name="Number5DecimalStyle 2" xfId="335"/>
    <cellStyle name="Number5DecimalStyle 2 2" xfId="336"/>
    <cellStyle name="Number5DecimalStyle 2 2 2" xfId="337"/>
    <cellStyle name="Number5DecimalStyle 2 3" xfId="338"/>
    <cellStyle name="Number5DecimalStyle 3" xfId="339"/>
    <cellStyle name="Number5DecimalStyle 3 2" xfId="340"/>
    <cellStyle name="Number5DecimalStyle 3 3" xfId="341"/>
    <cellStyle name="Number5DecimalStyle 4" xfId="342"/>
    <cellStyle name="Number5DecimalStyle 4 2" xfId="343"/>
    <cellStyle name="Number5DecimalStyle 4 2 2" xfId="344"/>
    <cellStyle name="Number5DecimalStyle 4 2 3" xfId="345"/>
    <cellStyle name="Number5DecimalStyle 4 3" xfId="346"/>
    <cellStyle name="Number5DecimalStyle 4 4" xfId="347"/>
    <cellStyle name="Number5DecimalStyle 5" xfId="348"/>
    <cellStyle name="Number5DecimalStyle 5 2" xfId="349"/>
    <cellStyle name="Number5DecimalStyle 5 2 2" xfId="350"/>
    <cellStyle name="Number5DecimalStyle 5 3" xfId="351"/>
    <cellStyle name="Number5DecimalStyle 6" xfId="352"/>
    <cellStyle name="Number5DecimalStyle 6 2" xfId="353"/>
    <cellStyle name="Number5DecimalStyle 6 2 2" xfId="354"/>
    <cellStyle name="Number5DecimalStyle 6 2 3" xfId="355"/>
    <cellStyle name="Number5DecimalStyle 6 3" xfId="356"/>
    <cellStyle name="Number5DecimalStyle 6 4" xfId="357"/>
    <cellStyle name="Number5DecimalStyle 7" xfId="358"/>
    <cellStyle name="Number5DecimalStyle 7 2" xfId="359"/>
    <cellStyle name="Number5DecimalStyle 7 2 2" xfId="360"/>
    <cellStyle name="Number5DecimalStyle 7 3" xfId="361"/>
    <cellStyle name="Number5DecimalStyle 8" xfId="362"/>
    <cellStyle name="Number5DecimalStyle 8 2" xfId="363"/>
    <cellStyle name="Number5DecimalStyle 8 2 2" xfId="364"/>
    <cellStyle name="Number5DecimalStyle 8 3" xfId="365"/>
    <cellStyle name="Number5DecimalStyle 9" xfId="366"/>
    <cellStyle name="Number5DecimalStyle 9 2" xfId="367"/>
    <cellStyle name="Number5DecimalStyle 9 2 2" xfId="368"/>
    <cellStyle name="Number5DecimalStyle 9 3" xfId="369"/>
    <cellStyle name="Number6DecimalStyle" xfId="370"/>
    <cellStyle name="Number6DecimalStyle 10" xfId="371"/>
    <cellStyle name="Number6DecimalStyle 10 2" xfId="372"/>
    <cellStyle name="Number6DecimalStyle 10 2 2" xfId="373"/>
    <cellStyle name="Number6DecimalStyle 10 3" xfId="374"/>
    <cellStyle name="Number6DecimalStyle 11" xfId="375"/>
    <cellStyle name="Number6DecimalStyle 11 2" xfId="376"/>
    <cellStyle name="Number6DecimalStyle 11 2 2" xfId="377"/>
    <cellStyle name="Number6DecimalStyle 11 3" xfId="378"/>
    <cellStyle name="Number6DecimalStyle 12" xfId="379"/>
    <cellStyle name="Number6DecimalStyle 12 2" xfId="380"/>
    <cellStyle name="Number6DecimalStyle 12 2 2" xfId="381"/>
    <cellStyle name="Number6DecimalStyle 12 3" xfId="382"/>
    <cellStyle name="Number6DecimalStyle 13" xfId="383"/>
    <cellStyle name="Number6DecimalStyle 2" xfId="384"/>
    <cellStyle name="Number6DecimalStyle 2 2" xfId="385"/>
    <cellStyle name="Number6DecimalStyle 2 2 2" xfId="386"/>
    <cellStyle name="Number6DecimalStyle 2 3" xfId="387"/>
    <cellStyle name="Number6DecimalStyle 3" xfId="388"/>
    <cellStyle name="Number6DecimalStyle 3 2" xfId="389"/>
    <cellStyle name="Number6DecimalStyle 3 3" xfId="390"/>
    <cellStyle name="Number6DecimalStyle 4" xfId="391"/>
    <cellStyle name="Number6DecimalStyle 4 2" xfId="392"/>
    <cellStyle name="Number6DecimalStyle 4 2 2" xfId="393"/>
    <cellStyle name="Number6DecimalStyle 4 2 3" xfId="394"/>
    <cellStyle name="Number6DecimalStyle 4 3" xfId="395"/>
    <cellStyle name="Number6DecimalStyle 4 4" xfId="396"/>
    <cellStyle name="Number6DecimalStyle 5" xfId="397"/>
    <cellStyle name="Number6DecimalStyle 5 2" xfId="398"/>
    <cellStyle name="Number6DecimalStyle 5 2 2" xfId="399"/>
    <cellStyle name="Number6DecimalStyle 5 3" xfId="400"/>
    <cellStyle name="Number6DecimalStyle 6" xfId="401"/>
    <cellStyle name="Number6DecimalStyle 6 2" xfId="402"/>
    <cellStyle name="Number6DecimalStyle 6 2 2" xfId="403"/>
    <cellStyle name="Number6DecimalStyle 6 2 3" xfId="404"/>
    <cellStyle name="Number6DecimalStyle 6 3" xfId="405"/>
    <cellStyle name="Number6DecimalStyle 6 4" xfId="406"/>
    <cellStyle name="Number6DecimalStyle 7" xfId="407"/>
    <cellStyle name="Number6DecimalStyle 7 2" xfId="408"/>
    <cellStyle name="Number6DecimalStyle 7 2 2" xfId="409"/>
    <cellStyle name="Number6DecimalStyle 7 3" xfId="410"/>
    <cellStyle name="Number6DecimalStyle 8" xfId="411"/>
    <cellStyle name="Number6DecimalStyle 8 2" xfId="412"/>
    <cellStyle name="Number6DecimalStyle 8 2 2" xfId="413"/>
    <cellStyle name="Number6DecimalStyle 8 3" xfId="414"/>
    <cellStyle name="Number6DecimalStyle 9" xfId="415"/>
    <cellStyle name="Number6DecimalStyle 9 2" xfId="416"/>
    <cellStyle name="Number6DecimalStyle 9 2 2" xfId="417"/>
    <cellStyle name="Number6DecimalStyle 9 3" xfId="418"/>
    <cellStyle name="Number7DecimalStyle" xfId="419"/>
    <cellStyle name="Number7DecimalStyle 10" xfId="420"/>
    <cellStyle name="Number7DecimalStyle 10 2" xfId="421"/>
    <cellStyle name="Number7DecimalStyle 10 2 2" xfId="422"/>
    <cellStyle name="Number7DecimalStyle 10 3" xfId="423"/>
    <cellStyle name="Number7DecimalStyle 11" xfId="424"/>
    <cellStyle name="Number7DecimalStyle 11 2" xfId="425"/>
    <cellStyle name="Number7DecimalStyle 11 2 2" xfId="426"/>
    <cellStyle name="Number7DecimalStyle 11 3" xfId="427"/>
    <cellStyle name="Number7DecimalStyle 12" xfId="428"/>
    <cellStyle name="Number7DecimalStyle 12 2" xfId="429"/>
    <cellStyle name="Number7DecimalStyle 12 2 2" xfId="430"/>
    <cellStyle name="Number7DecimalStyle 12 3" xfId="431"/>
    <cellStyle name="Number7DecimalStyle 13" xfId="432"/>
    <cellStyle name="Number7DecimalStyle 2" xfId="433"/>
    <cellStyle name="Number7DecimalStyle 2 2" xfId="434"/>
    <cellStyle name="Number7DecimalStyle 2 2 2" xfId="435"/>
    <cellStyle name="Number7DecimalStyle 2 3" xfId="436"/>
    <cellStyle name="Number7DecimalStyle 3" xfId="437"/>
    <cellStyle name="Number7DecimalStyle 3 2" xfId="438"/>
    <cellStyle name="Number7DecimalStyle 3 3" xfId="439"/>
    <cellStyle name="Number7DecimalStyle 4" xfId="440"/>
    <cellStyle name="Number7DecimalStyle 4 2" xfId="441"/>
    <cellStyle name="Number7DecimalStyle 4 2 2" xfId="442"/>
    <cellStyle name="Number7DecimalStyle 4 2 3" xfId="443"/>
    <cellStyle name="Number7DecimalStyle 4 3" xfId="444"/>
    <cellStyle name="Number7DecimalStyle 4 4" xfId="445"/>
    <cellStyle name="Number7DecimalStyle 5" xfId="446"/>
    <cellStyle name="Number7DecimalStyle 5 2" xfId="447"/>
    <cellStyle name="Number7DecimalStyle 5 2 2" xfId="448"/>
    <cellStyle name="Number7DecimalStyle 5 3" xfId="449"/>
    <cellStyle name="Number7DecimalStyle 6" xfId="450"/>
    <cellStyle name="Number7DecimalStyle 6 2" xfId="451"/>
    <cellStyle name="Number7DecimalStyle 6 2 2" xfId="452"/>
    <cellStyle name="Number7DecimalStyle 6 2 3" xfId="453"/>
    <cellStyle name="Number7DecimalStyle 6 3" xfId="454"/>
    <cellStyle name="Number7DecimalStyle 6 4" xfId="455"/>
    <cellStyle name="Number7DecimalStyle 7" xfId="456"/>
    <cellStyle name="Number7DecimalStyle 7 2" xfId="457"/>
    <cellStyle name="Number7DecimalStyle 7 2 2" xfId="458"/>
    <cellStyle name="Number7DecimalStyle 7 3" xfId="459"/>
    <cellStyle name="Number7DecimalStyle 8" xfId="460"/>
    <cellStyle name="Number7DecimalStyle 8 2" xfId="461"/>
    <cellStyle name="Number7DecimalStyle 8 2 2" xfId="462"/>
    <cellStyle name="Number7DecimalStyle 8 3" xfId="463"/>
    <cellStyle name="Number7DecimalStyle 9" xfId="464"/>
    <cellStyle name="Number7DecimalStyle 9 2" xfId="465"/>
    <cellStyle name="Number7DecimalStyle 9 2 2" xfId="466"/>
    <cellStyle name="Number7DecimalStyle 9 3" xfId="467"/>
    <cellStyle name="Number8DecimalStyle" xfId="468"/>
    <cellStyle name="Number8DecimalStyle 10" xfId="469"/>
    <cellStyle name="Number8DecimalStyle 10 2" xfId="470"/>
    <cellStyle name="Number8DecimalStyle 10 2 2" xfId="471"/>
    <cellStyle name="Number8DecimalStyle 10 3" xfId="472"/>
    <cellStyle name="Number8DecimalStyle 11" xfId="473"/>
    <cellStyle name="Number8DecimalStyle 11 2" xfId="474"/>
    <cellStyle name="Number8DecimalStyle 11 2 2" xfId="475"/>
    <cellStyle name="Number8DecimalStyle 11 3" xfId="476"/>
    <cellStyle name="Number8DecimalStyle 12" xfId="477"/>
    <cellStyle name="Number8DecimalStyle 12 2" xfId="478"/>
    <cellStyle name="Number8DecimalStyle 12 2 2" xfId="479"/>
    <cellStyle name="Number8DecimalStyle 12 3" xfId="480"/>
    <cellStyle name="Number8DecimalStyle 13" xfId="481"/>
    <cellStyle name="Number8DecimalStyle 2" xfId="482"/>
    <cellStyle name="Number8DecimalStyle 2 2" xfId="483"/>
    <cellStyle name="Number8DecimalStyle 2 2 2" xfId="484"/>
    <cellStyle name="Number8DecimalStyle 2 3" xfId="485"/>
    <cellStyle name="Number8DecimalStyle 3" xfId="486"/>
    <cellStyle name="Number8DecimalStyle 3 2" xfId="487"/>
    <cellStyle name="Number8DecimalStyle 3 3" xfId="488"/>
    <cellStyle name="Number8DecimalStyle 4" xfId="489"/>
    <cellStyle name="Number8DecimalStyle 4 2" xfId="490"/>
    <cellStyle name="Number8DecimalStyle 4 2 2" xfId="491"/>
    <cellStyle name="Number8DecimalStyle 4 2 3" xfId="492"/>
    <cellStyle name="Number8DecimalStyle 4 3" xfId="493"/>
    <cellStyle name="Number8DecimalStyle 4 4" xfId="494"/>
    <cellStyle name="Number8DecimalStyle 5" xfId="495"/>
    <cellStyle name="Number8DecimalStyle 5 2" xfId="496"/>
    <cellStyle name="Number8DecimalStyle 5 2 2" xfId="497"/>
    <cellStyle name="Number8DecimalStyle 5 3" xfId="498"/>
    <cellStyle name="Number8DecimalStyle 6" xfId="499"/>
    <cellStyle name="Number8DecimalStyle 6 2" xfId="500"/>
    <cellStyle name="Number8DecimalStyle 6 2 2" xfId="501"/>
    <cellStyle name="Number8DecimalStyle 6 2 3" xfId="502"/>
    <cellStyle name="Number8DecimalStyle 6 3" xfId="503"/>
    <cellStyle name="Number8DecimalStyle 6 4" xfId="504"/>
    <cellStyle name="Number8DecimalStyle 7" xfId="505"/>
    <cellStyle name="Number8DecimalStyle 7 2" xfId="506"/>
    <cellStyle name="Number8DecimalStyle 7 2 2" xfId="507"/>
    <cellStyle name="Number8DecimalStyle 7 3" xfId="508"/>
    <cellStyle name="Number8DecimalStyle 8" xfId="509"/>
    <cellStyle name="Number8DecimalStyle 8 2" xfId="510"/>
    <cellStyle name="Number8DecimalStyle 8 2 2" xfId="511"/>
    <cellStyle name="Number8DecimalStyle 8 3" xfId="512"/>
    <cellStyle name="Number8DecimalStyle 9" xfId="513"/>
    <cellStyle name="Number8DecimalStyle 9 2" xfId="514"/>
    <cellStyle name="Number8DecimalStyle 9 2 2" xfId="515"/>
    <cellStyle name="Number8DecimalStyle 9 3" xfId="516"/>
    <cellStyle name="Number9DecimalStyle" xfId="517"/>
    <cellStyle name="Number9DecimalStyle 10" xfId="518"/>
    <cellStyle name="Number9DecimalStyle 10 2" xfId="519"/>
    <cellStyle name="Number9DecimalStyle 10 2 2" xfId="520"/>
    <cellStyle name="Number9DecimalStyle 10 3" xfId="521"/>
    <cellStyle name="Number9DecimalStyle 11" xfId="522"/>
    <cellStyle name="Number9DecimalStyle 11 2" xfId="523"/>
    <cellStyle name="Number9DecimalStyle 11 2 2" xfId="524"/>
    <cellStyle name="Number9DecimalStyle 11 3" xfId="525"/>
    <cellStyle name="Number9DecimalStyle 12" xfId="526"/>
    <cellStyle name="Number9DecimalStyle 12 2" xfId="527"/>
    <cellStyle name="Number9DecimalStyle 12 2 2" xfId="528"/>
    <cellStyle name="Number9DecimalStyle 12 3" xfId="529"/>
    <cellStyle name="Number9DecimalStyle 13" xfId="530"/>
    <cellStyle name="Number9DecimalStyle 2" xfId="531"/>
    <cellStyle name="Number9DecimalStyle 2 2" xfId="532"/>
    <cellStyle name="Number9DecimalStyle 2 2 2" xfId="533"/>
    <cellStyle name="Number9DecimalStyle 2 3" xfId="534"/>
    <cellStyle name="Number9DecimalStyle 3" xfId="535"/>
    <cellStyle name="Number9DecimalStyle 3 2" xfId="536"/>
    <cellStyle name="Number9DecimalStyle 3 3" xfId="537"/>
    <cellStyle name="Number9DecimalStyle 4" xfId="538"/>
    <cellStyle name="Number9DecimalStyle 4 2" xfId="539"/>
    <cellStyle name="Number9DecimalStyle 4 2 2" xfId="540"/>
    <cellStyle name="Number9DecimalStyle 4 2 3" xfId="541"/>
    <cellStyle name="Number9DecimalStyle 4 3" xfId="542"/>
    <cellStyle name="Number9DecimalStyle 4 4" xfId="543"/>
    <cellStyle name="Number9DecimalStyle 5" xfId="544"/>
    <cellStyle name="Number9DecimalStyle 5 2" xfId="545"/>
    <cellStyle name="Number9DecimalStyle 5 2 2" xfId="546"/>
    <cellStyle name="Number9DecimalStyle 5 3" xfId="547"/>
    <cellStyle name="Number9DecimalStyle 6" xfId="548"/>
    <cellStyle name="Number9DecimalStyle 6 2" xfId="549"/>
    <cellStyle name="Number9DecimalStyle 6 2 2" xfId="550"/>
    <cellStyle name="Number9DecimalStyle 6 2 3" xfId="551"/>
    <cellStyle name="Number9DecimalStyle 6 3" xfId="552"/>
    <cellStyle name="Number9DecimalStyle 6 4" xfId="553"/>
    <cellStyle name="Number9DecimalStyle 7" xfId="554"/>
    <cellStyle name="Number9DecimalStyle 7 2" xfId="555"/>
    <cellStyle name="Number9DecimalStyle 7 2 2" xfId="556"/>
    <cellStyle name="Number9DecimalStyle 7 3" xfId="557"/>
    <cellStyle name="Number9DecimalStyle 8" xfId="558"/>
    <cellStyle name="Number9DecimalStyle 8 2" xfId="559"/>
    <cellStyle name="Number9DecimalStyle 8 2 2" xfId="560"/>
    <cellStyle name="Number9DecimalStyle 8 3" xfId="561"/>
    <cellStyle name="Number9DecimalStyle 9" xfId="562"/>
    <cellStyle name="Number9DecimalStyle 9 2" xfId="563"/>
    <cellStyle name="Number9DecimalStyle 9 2 2" xfId="564"/>
    <cellStyle name="Number9DecimalStyle 9 3" xfId="565"/>
    <cellStyle name="Percent" xfId="566" builtinId="5"/>
    <cellStyle name="Percent 2" xfId="567"/>
    <cellStyle name="Percent 2 2" xfId="568"/>
    <cellStyle name="Percent 2 3" xfId="569"/>
    <cellStyle name="Percent 3" xfId="570"/>
    <cellStyle name="Percent 3 2" xfId="571"/>
    <cellStyle name="Percent 3 3" xfId="572"/>
    <cellStyle name="Percent 4" xfId="573"/>
    <cellStyle name="Percent 5" xfId="574"/>
    <cellStyle name="TextStyle" xfId="575"/>
    <cellStyle name="TextStyle 10" xfId="576"/>
    <cellStyle name="TextStyle 10 2" xfId="577"/>
    <cellStyle name="TextStyle 10 2 2" xfId="578"/>
    <cellStyle name="TextStyle 10 3" xfId="579"/>
    <cellStyle name="TextStyle 11" xfId="580"/>
    <cellStyle name="TextStyle 11 2" xfId="581"/>
    <cellStyle name="TextStyle 11 2 2" xfId="582"/>
    <cellStyle name="TextStyle 11 3" xfId="583"/>
    <cellStyle name="TextStyle 12" xfId="584"/>
    <cellStyle name="TextStyle 12 2" xfId="585"/>
    <cellStyle name="TextStyle 12 2 2" xfId="586"/>
    <cellStyle name="TextStyle 12 3" xfId="587"/>
    <cellStyle name="TextStyle 13" xfId="588"/>
    <cellStyle name="TextStyle 2" xfId="589"/>
    <cellStyle name="TextStyle 2 2" xfId="590"/>
    <cellStyle name="TextStyle 2 2 2" xfId="591"/>
    <cellStyle name="TextStyle 2 3" xfId="592"/>
    <cellStyle name="TextStyle 3" xfId="593"/>
    <cellStyle name="TextStyle 3 2" xfId="594"/>
    <cellStyle name="TextStyle 3 3" xfId="595"/>
    <cellStyle name="TextStyle 4" xfId="596"/>
    <cellStyle name="TextStyle 4 2" xfId="597"/>
    <cellStyle name="TextStyle 4 2 2" xfId="598"/>
    <cellStyle name="TextStyle 4 2 3" xfId="599"/>
    <cellStyle name="TextStyle 4 3" xfId="600"/>
    <cellStyle name="TextStyle 4 4" xfId="601"/>
    <cellStyle name="TextStyle 5" xfId="602"/>
    <cellStyle name="TextStyle 5 2" xfId="603"/>
    <cellStyle name="TextStyle 5 2 2" xfId="604"/>
    <cellStyle name="TextStyle 5 3" xfId="605"/>
    <cellStyle name="TextStyle 6" xfId="606"/>
    <cellStyle name="TextStyle 6 2" xfId="607"/>
    <cellStyle name="TextStyle 6 2 2" xfId="608"/>
    <cellStyle name="TextStyle 6 2 3" xfId="609"/>
    <cellStyle name="TextStyle 6 3" xfId="610"/>
    <cellStyle name="TextStyle 6 4" xfId="611"/>
    <cellStyle name="TextStyle 7" xfId="612"/>
    <cellStyle name="TextStyle 7 2" xfId="613"/>
    <cellStyle name="TextStyle 7 2 2" xfId="614"/>
    <cellStyle name="TextStyle 7 3" xfId="615"/>
    <cellStyle name="TextStyle 8" xfId="616"/>
    <cellStyle name="TextStyle 8 2" xfId="617"/>
    <cellStyle name="TextStyle 8 2 2" xfId="618"/>
    <cellStyle name="TextStyle 8 3" xfId="619"/>
    <cellStyle name="TextStyle 9" xfId="620"/>
    <cellStyle name="TextStyle 9 2" xfId="621"/>
    <cellStyle name="TextStyle 9 2 2" xfId="622"/>
    <cellStyle name="TextStyle 9 3" xfId="623"/>
  </cellStyles>
  <dxfs count="22">
    <dxf>
      <font>
        <condense val="0"/>
        <extend val="0"/>
        <color indexed="10"/>
      </font>
    </dxf>
    <dxf>
      <font>
        <color rgb="FFFF0000"/>
      </font>
    </dxf>
    <dxf>
      <font>
        <condense val="0"/>
        <extend val="0"/>
        <color rgb="FF9C0006"/>
      </font>
    </dxf>
    <dxf>
      <font>
        <color auto="1"/>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9C0006"/>
      </font>
      <fill>
        <patternFill>
          <bgColor rgb="FFFFC7CE"/>
        </patternFill>
      </fill>
    </dxf>
    <dxf>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07" Type="http://schemas.openxmlformats.org/officeDocument/2006/relationships/styles" Target="styles.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chartsheet" Target="chartsheets/sheet2.xml"/><Relationship Id="rId110"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chartsheet" Target="chartsheets/sheet3.xml"/><Relationship Id="rId108"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chartsheet" Target="chartsheets/sheet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calcChain" Target="calcChain.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chartsheet" Target="chartsheets/sheet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t>Wellington Management
Active Risk v. S&amp;P MidCap 400
Jul 2002 to Oct 2005</a:t>
            </a:r>
          </a:p>
        </c:rich>
      </c:tx>
      <c:overlay val="0"/>
      <c:spPr>
        <a:noFill/>
        <a:ln w="25400">
          <a:noFill/>
        </a:ln>
      </c:spPr>
    </c:title>
    <c:autoTitleDeleted val="0"/>
    <c:plotArea>
      <c:layout/>
      <c:lineChart>
        <c:grouping val="standard"/>
        <c:varyColors val="0"/>
        <c:ser>
          <c:idx val="0"/>
          <c:order val="0"/>
          <c:tx>
            <c:v>2 Year Rolling</c:v>
          </c:tx>
          <c:spPr>
            <a:ln w="12700">
              <a:solidFill>
                <a:srgbClr val="000080"/>
              </a:solidFill>
              <a:prstDash val="solid"/>
            </a:ln>
          </c:spPr>
          <c:marker>
            <c:symbol val="none"/>
          </c:marker>
          <c:cat>
            <c:numRef>
              <c:f>Well!$A$350:$A$366</c:f>
              <c:numCache>
                <c:formatCode>mm/dd/yy;@</c:formatCode>
                <c:ptCount val="17"/>
                <c:pt idx="0">
                  <c:v>38168</c:v>
                </c:pt>
                <c:pt idx="1">
                  <c:v>38199</c:v>
                </c:pt>
                <c:pt idx="2">
                  <c:v>38230</c:v>
                </c:pt>
                <c:pt idx="3">
                  <c:v>38260</c:v>
                </c:pt>
                <c:pt idx="4">
                  <c:v>38291</c:v>
                </c:pt>
                <c:pt idx="5">
                  <c:v>38321</c:v>
                </c:pt>
                <c:pt idx="6">
                  <c:v>38352</c:v>
                </c:pt>
                <c:pt idx="7">
                  <c:v>38383</c:v>
                </c:pt>
                <c:pt idx="8">
                  <c:v>38411</c:v>
                </c:pt>
                <c:pt idx="9">
                  <c:v>38442</c:v>
                </c:pt>
                <c:pt idx="10">
                  <c:v>38472</c:v>
                </c:pt>
                <c:pt idx="11">
                  <c:v>38503</c:v>
                </c:pt>
                <c:pt idx="12">
                  <c:v>38533</c:v>
                </c:pt>
                <c:pt idx="13">
                  <c:v>38564</c:v>
                </c:pt>
                <c:pt idx="14">
                  <c:v>38595</c:v>
                </c:pt>
                <c:pt idx="15">
                  <c:v>38625</c:v>
                </c:pt>
                <c:pt idx="16">
                  <c:v>38656</c:v>
                </c:pt>
              </c:numCache>
            </c:numRef>
          </c:cat>
          <c:val>
            <c:numRef>
              <c:f>Well!#REF!</c:f>
              <c:numCache>
                <c:formatCode>General</c:formatCode>
                <c:ptCount val="1"/>
                <c:pt idx="0">
                  <c:v>1</c:v>
                </c:pt>
              </c:numCache>
            </c:numRef>
          </c:val>
          <c:smooth val="0"/>
        </c:ser>
        <c:ser>
          <c:idx val="1"/>
          <c:order val="1"/>
          <c:tx>
            <c:v>3 Year Rolling</c:v>
          </c:tx>
          <c:spPr>
            <a:ln w="12700">
              <a:solidFill>
                <a:srgbClr val="FF00FF"/>
              </a:solidFill>
              <a:prstDash val="solid"/>
            </a:ln>
          </c:spPr>
          <c:marker>
            <c:symbol val="none"/>
          </c:marker>
          <c:cat>
            <c:numRef>
              <c:f>Well!$A$350:$A$366</c:f>
              <c:numCache>
                <c:formatCode>mm/dd/yy;@</c:formatCode>
                <c:ptCount val="17"/>
                <c:pt idx="0">
                  <c:v>38168</c:v>
                </c:pt>
                <c:pt idx="1">
                  <c:v>38199</c:v>
                </c:pt>
                <c:pt idx="2">
                  <c:v>38230</c:v>
                </c:pt>
                <c:pt idx="3">
                  <c:v>38260</c:v>
                </c:pt>
                <c:pt idx="4">
                  <c:v>38291</c:v>
                </c:pt>
                <c:pt idx="5">
                  <c:v>38321</c:v>
                </c:pt>
                <c:pt idx="6">
                  <c:v>38352</c:v>
                </c:pt>
                <c:pt idx="7">
                  <c:v>38383</c:v>
                </c:pt>
                <c:pt idx="8">
                  <c:v>38411</c:v>
                </c:pt>
                <c:pt idx="9">
                  <c:v>38442</c:v>
                </c:pt>
                <c:pt idx="10">
                  <c:v>38472</c:v>
                </c:pt>
                <c:pt idx="11">
                  <c:v>38503</c:v>
                </c:pt>
                <c:pt idx="12">
                  <c:v>38533</c:v>
                </c:pt>
                <c:pt idx="13">
                  <c:v>38564</c:v>
                </c:pt>
                <c:pt idx="14">
                  <c:v>38595</c:v>
                </c:pt>
                <c:pt idx="15">
                  <c:v>38625</c:v>
                </c:pt>
                <c:pt idx="16">
                  <c:v>38656</c:v>
                </c:pt>
              </c:numCache>
            </c:numRef>
          </c:cat>
          <c:val>
            <c:numRef>
              <c:f>Well!#REF!</c:f>
              <c:numCache>
                <c:formatCode>General</c:formatCode>
                <c:ptCount val="1"/>
                <c:pt idx="0">
                  <c:v>1</c:v>
                </c:pt>
              </c:numCache>
            </c:numRef>
          </c:val>
          <c:smooth val="0"/>
        </c:ser>
        <c:dLbls>
          <c:showLegendKey val="0"/>
          <c:showVal val="0"/>
          <c:showCatName val="0"/>
          <c:showSerName val="0"/>
          <c:showPercent val="0"/>
          <c:showBubbleSize val="0"/>
        </c:dLbls>
        <c:marker val="1"/>
        <c:smooth val="0"/>
        <c:axId val="330889856"/>
        <c:axId val="79196544"/>
      </c:lineChart>
      <c:dateAx>
        <c:axId val="330889856"/>
        <c:scaling>
          <c:orientation val="minMax"/>
        </c:scaling>
        <c:delete val="0"/>
        <c:axPos val="b"/>
        <c:numFmt formatCode="m/d/yyyy" sourceLinked="0"/>
        <c:majorTickMark val="out"/>
        <c:minorTickMark val="none"/>
        <c:tickLblPos val="nextTo"/>
        <c:spPr>
          <a:ln w="3175">
            <a:solidFill>
              <a:srgbClr val="000000"/>
            </a:solidFill>
            <a:prstDash val="solid"/>
          </a:ln>
        </c:spPr>
        <c:txPr>
          <a:bodyPr rot="-2700000" vert="horz"/>
          <a:lstStyle/>
          <a:p>
            <a:pPr>
              <a:defRPr sz="100" b="0" i="0" u="none" strike="noStrike" baseline="0">
                <a:solidFill>
                  <a:srgbClr val="000000"/>
                </a:solidFill>
                <a:latin typeface="Arial"/>
                <a:ea typeface="Arial"/>
                <a:cs typeface="Arial"/>
              </a:defRPr>
            </a:pPr>
            <a:endParaRPr lang="en-US"/>
          </a:p>
        </c:txPr>
        <c:crossAx val="79196544"/>
        <c:crosses val="autoZero"/>
        <c:auto val="1"/>
        <c:lblOffset val="100"/>
        <c:baseTimeUnit val="days"/>
        <c:majorUnit val="1"/>
        <c:majorTimeUnit val="days"/>
        <c:minorUnit val="1"/>
        <c:minorTimeUnit val="days"/>
      </c:dateAx>
      <c:valAx>
        <c:axId val="79196544"/>
        <c:scaling>
          <c:orientation val="minMax"/>
          <c:max val="5"/>
          <c:min val="0.5"/>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t>Percent Annualized</a:t>
                </a:r>
              </a:p>
            </c:rich>
          </c:tx>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30889856"/>
        <c:crosses val="autoZero"/>
        <c:crossBetween val="between"/>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Large Cap US Equity (S&amp;P 500)
Value v. Growth
December 1980 to August 2008</a:t>
            </a:r>
          </a:p>
        </c:rich>
      </c:tx>
      <c:layout>
        <c:manualLayout>
          <c:xMode val="edge"/>
          <c:yMode val="edge"/>
          <c:x val="0.34899324663068804"/>
          <c:y val="7.6452023251694767E-3"/>
        </c:manualLayout>
      </c:layout>
      <c:overlay val="0"/>
      <c:spPr>
        <a:noFill/>
        <a:ln w="25400">
          <a:noFill/>
        </a:ln>
      </c:spPr>
    </c:title>
    <c:autoTitleDeleted val="0"/>
    <c:plotArea>
      <c:layout>
        <c:manualLayout>
          <c:layoutTarget val="inner"/>
          <c:xMode val="edge"/>
          <c:yMode val="edge"/>
          <c:x val="9.7315436241610737E-2"/>
          <c:y val="0.12232415902140673"/>
          <c:w val="0.89261744966442957"/>
          <c:h val="0.7155963302752294"/>
        </c:manualLayout>
      </c:layout>
      <c:lineChart>
        <c:grouping val="standard"/>
        <c:varyColors val="0"/>
        <c:ser>
          <c:idx val="1"/>
          <c:order val="0"/>
          <c:spPr>
            <a:ln w="12700">
              <a:solidFill>
                <a:srgbClr val="FF0000"/>
              </a:solidFill>
              <a:prstDash val="solid"/>
            </a:ln>
          </c:spPr>
          <c:marker>
            <c:symbol val="none"/>
          </c:marker>
          <c:cat>
            <c:numRef>
              <c:f>'Returns Value_Growth'!$A$68:$A$400</c:f>
              <c:numCache>
                <c:formatCode>mm/dd/yy;@</c:formatCode>
                <c:ptCount val="333"/>
                <c:pt idx="0">
                  <c:v>29586</c:v>
                </c:pt>
                <c:pt idx="1">
                  <c:v>29617</c:v>
                </c:pt>
                <c:pt idx="2">
                  <c:v>29645</c:v>
                </c:pt>
                <c:pt idx="3">
                  <c:v>29676</c:v>
                </c:pt>
                <c:pt idx="4">
                  <c:v>29706</c:v>
                </c:pt>
                <c:pt idx="5">
                  <c:v>29737</c:v>
                </c:pt>
                <c:pt idx="6">
                  <c:v>29767</c:v>
                </c:pt>
                <c:pt idx="7">
                  <c:v>29798</c:v>
                </c:pt>
                <c:pt idx="8">
                  <c:v>29829</c:v>
                </c:pt>
                <c:pt idx="9">
                  <c:v>29859</c:v>
                </c:pt>
                <c:pt idx="10">
                  <c:v>29890</c:v>
                </c:pt>
                <c:pt idx="11">
                  <c:v>29920</c:v>
                </c:pt>
                <c:pt idx="12">
                  <c:v>29951</c:v>
                </c:pt>
                <c:pt idx="13">
                  <c:v>29982</c:v>
                </c:pt>
                <c:pt idx="14">
                  <c:v>30010</c:v>
                </c:pt>
                <c:pt idx="15">
                  <c:v>30041</c:v>
                </c:pt>
                <c:pt idx="16">
                  <c:v>30071</c:v>
                </c:pt>
                <c:pt idx="17">
                  <c:v>30102</c:v>
                </c:pt>
                <c:pt idx="18">
                  <c:v>30132</c:v>
                </c:pt>
                <c:pt idx="19">
                  <c:v>30163</c:v>
                </c:pt>
                <c:pt idx="20">
                  <c:v>30194</c:v>
                </c:pt>
                <c:pt idx="21">
                  <c:v>30224</c:v>
                </c:pt>
                <c:pt idx="22">
                  <c:v>30255</c:v>
                </c:pt>
                <c:pt idx="23">
                  <c:v>30285</c:v>
                </c:pt>
                <c:pt idx="24">
                  <c:v>30316</c:v>
                </c:pt>
                <c:pt idx="25">
                  <c:v>30347</c:v>
                </c:pt>
                <c:pt idx="26">
                  <c:v>30375</c:v>
                </c:pt>
                <c:pt idx="27">
                  <c:v>30406</c:v>
                </c:pt>
                <c:pt idx="28">
                  <c:v>30436</c:v>
                </c:pt>
                <c:pt idx="29">
                  <c:v>30467</c:v>
                </c:pt>
                <c:pt idx="30">
                  <c:v>30497</c:v>
                </c:pt>
                <c:pt idx="31">
                  <c:v>30528</c:v>
                </c:pt>
                <c:pt idx="32">
                  <c:v>30559</c:v>
                </c:pt>
                <c:pt idx="33">
                  <c:v>30589</c:v>
                </c:pt>
                <c:pt idx="34">
                  <c:v>30620</c:v>
                </c:pt>
                <c:pt idx="35">
                  <c:v>30650</c:v>
                </c:pt>
                <c:pt idx="36">
                  <c:v>30681</c:v>
                </c:pt>
                <c:pt idx="37">
                  <c:v>30712</c:v>
                </c:pt>
                <c:pt idx="38">
                  <c:v>30741</c:v>
                </c:pt>
                <c:pt idx="39">
                  <c:v>30772</c:v>
                </c:pt>
                <c:pt idx="40">
                  <c:v>30802</c:v>
                </c:pt>
                <c:pt idx="41">
                  <c:v>30833</c:v>
                </c:pt>
                <c:pt idx="42">
                  <c:v>30863</c:v>
                </c:pt>
                <c:pt idx="43">
                  <c:v>30894</c:v>
                </c:pt>
                <c:pt idx="44">
                  <c:v>30925</c:v>
                </c:pt>
                <c:pt idx="45">
                  <c:v>30955</c:v>
                </c:pt>
                <c:pt idx="46">
                  <c:v>30986</c:v>
                </c:pt>
                <c:pt idx="47">
                  <c:v>31016</c:v>
                </c:pt>
                <c:pt idx="48">
                  <c:v>31047</c:v>
                </c:pt>
                <c:pt idx="49">
                  <c:v>31078</c:v>
                </c:pt>
                <c:pt idx="50">
                  <c:v>31106</c:v>
                </c:pt>
                <c:pt idx="51">
                  <c:v>31137</c:v>
                </c:pt>
                <c:pt idx="52">
                  <c:v>31167</c:v>
                </c:pt>
                <c:pt idx="53">
                  <c:v>31198</c:v>
                </c:pt>
                <c:pt idx="54">
                  <c:v>31228</c:v>
                </c:pt>
                <c:pt idx="55">
                  <c:v>31259</c:v>
                </c:pt>
                <c:pt idx="56">
                  <c:v>31290</c:v>
                </c:pt>
                <c:pt idx="57">
                  <c:v>31320</c:v>
                </c:pt>
                <c:pt idx="58">
                  <c:v>31351</c:v>
                </c:pt>
                <c:pt idx="59">
                  <c:v>31381</c:v>
                </c:pt>
                <c:pt idx="60">
                  <c:v>31412</c:v>
                </c:pt>
                <c:pt idx="61">
                  <c:v>31443</c:v>
                </c:pt>
                <c:pt idx="62">
                  <c:v>31471</c:v>
                </c:pt>
                <c:pt idx="63">
                  <c:v>31502</c:v>
                </c:pt>
                <c:pt idx="64">
                  <c:v>31532</c:v>
                </c:pt>
                <c:pt idx="65">
                  <c:v>31563</c:v>
                </c:pt>
                <c:pt idx="66">
                  <c:v>31593</c:v>
                </c:pt>
                <c:pt idx="67">
                  <c:v>31624</c:v>
                </c:pt>
                <c:pt idx="68">
                  <c:v>31655</c:v>
                </c:pt>
                <c:pt idx="69">
                  <c:v>31685</c:v>
                </c:pt>
                <c:pt idx="70">
                  <c:v>31716</c:v>
                </c:pt>
                <c:pt idx="71">
                  <c:v>31746</c:v>
                </c:pt>
                <c:pt idx="72">
                  <c:v>31777</c:v>
                </c:pt>
                <c:pt idx="73">
                  <c:v>31808</c:v>
                </c:pt>
                <c:pt idx="74">
                  <c:v>31836</c:v>
                </c:pt>
                <c:pt idx="75">
                  <c:v>31867</c:v>
                </c:pt>
                <c:pt idx="76">
                  <c:v>31897</c:v>
                </c:pt>
                <c:pt idx="77">
                  <c:v>31928</c:v>
                </c:pt>
                <c:pt idx="78">
                  <c:v>31958</c:v>
                </c:pt>
                <c:pt idx="79">
                  <c:v>31989</c:v>
                </c:pt>
                <c:pt idx="80">
                  <c:v>32020</c:v>
                </c:pt>
                <c:pt idx="81">
                  <c:v>32050</c:v>
                </c:pt>
                <c:pt idx="82">
                  <c:v>32081</c:v>
                </c:pt>
                <c:pt idx="83">
                  <c:v>32111</c:v>
                </c:pt>
                <c:pt idx="84">
                  <c:v>32142</c:v>
                </c:pt>
                <c:pt idx="85">
                  <c:v>32173</c:v>
                </c:pt>
                <c:pt idx="86">
                  <c:v>32202</c:v>
                </c:pt>
                <c:pt idx="87">
                  <c:v>32233</c:v>
                </c:pt>
                <c:pt idx="88">
                  <c:v>32263</c:v>
                </c:pt>
                <c:pt idx="89">
                  <c:v>32294</c:v>
                </c:pt>
                <c:pt idx="90">
                  <c:v>32324</c:v>
                </c:pt>
                <c:pt idx="91">
                  <c:v>32355</c:v>
                </c:pt>
                <c:pt idx="92">
                  <c:v>32386</c:v>
                </c:pt>
                <c:pt idx="93">
                  <c:v>32416</c:v>
                </c:pt>
                <c:pt idx="94">
                  <c:v>32447</c:v>
                </c:pt>
                <c:pt idx="95">
                  <c:v>32477</c:v>
                </c:pt>
                <c:pt idx="96">
                  <c:v>32508</c:v>
                </c:pt>
                <c:pt idx="97">
                  <c:v>32539</c:v>
                </c:pt>
                <c:pt idx="98">
                  <c:v>32567</c:v>
                </c:pt>
                <c:pt idx="99">
                  <c:v>32598</c:v>
                </c:pt>
                <c:pt idx="100">
                  <c:v>32628</c:v>
                </c:pt>
                <c:pt idx="101">
                  <c:v>32659</c:v>
                </c:pt>
                <c:pt idx="102">
                  <c:v>32689</c:v>
                </c:pt>
                <c:pt idx="103">
                  <c:v>32720</c:v>
                </c:pt>
                <c:pt idx="104">
                  <c:v>32751</c:v>
                </c:pt>
                <c:pt idx="105">
                  <c:v>32781</c:v>
                </c:pt>
                <c:pt idx="106">
                  <c:v>32812</c:v>
                </c:pt>
                <c:pt idx="107">
                  <c:v>32842</c:v>
                </c:pt>
                <c:pt idx="108">
                  <c:v>32873</c:v>
                </c:pt>
                <c:pt idx="109">
                  <c:v>32904</c:v>
                </c:pt>
                <c:pt idx="110">
                  <c:v>32932</c:v>
                </c:pt>
                <c:pt idx="111">
                  <c:v>32963</c:v>
                </c:pt>
                <c:pt idx="112">
                  <c:v>32993</c:v>
                </c:pt>
                <c:pt idx="113">
                  <c:v>33024</c:v>
                </c:pt>
                <c:pt idx="114">
                  <c:v>33054</c:v>
                </c:pt>
                <c:pt idx="115">
                  <c:v>33085</c:v>
                </c:pt>
                <c:pt idx="116">
                  <c:v>33116</c:v>
                </c:pt>
                <c:pt idx="117">
                  <c:v>33146</c:v>
                </c:pt>
                <c:pt idx="118">
                  <c:v>33177</c:v>
                </c:pt>
                <c:pt idx="119">
                  <c:v>33207</c:v>
                </c:pt>
                <c:pt idx="120">
                  <c:v>33238</c:v>
                </c:pt>
                <c:pt idx="121">
                  <c:v>33269</c:v>
                </c:pt>
                <c:pt idx="122">
                  <c:v>33297</c:v>
                </c:pt>
                <c:pt idx="123">
                  <c:v>33328</c:v>
                </c:pt>
                <c:pt idx="124">
                  <c:v>33358</c:v>
                </c:pt>
                <c:pt idx="125">
                  <c:v>33389</c:v>
                </c:pt>
                <c:pt idx="126">
                  <c:v>33419</c:v>
                </c:pt>
                <c:pt idx="127">
                  <c:v>33450</c:v>
                </c:pt>
                <c:pt idx="128">
                  <c:v>33481</c:v>
                </c:pt>
                <c:pt idx="129">
                  <c:v>33511</c:v>
                </c:pt>
                <c:pt idx="130">
                  <c:v>33542</c:v>
                </c:pt>
                <c:pt idx="131">
                  <c:v>33572</c:v>
                </c:pt>
                <c:pt idx="132">
                  <c:v>33603</c:v>
                </c:pt>
                <c:pt idx="133">
                  <c:v>33634</c:v>
                </c:pt>
                <c:pt idx="134">
                  <c:v>33663</c:v>
                </c:pt>
                <c:pt idx="135">
                  <c:v>33694</c:v>
                </c:pt>
                <c:pt idx="136">
                  <c:v>33724</c:v>
                </c:pt>
                <c:pt idx="137">
                  <c:v>33755</c:v>
                </c:pt>
                <c:pt idx="138">
                  <c:v>33785</c:v>
                </c:pt>
                <c:pt idx="139">
                  <c:v>33816</c:v>
                </c:pt>
                <c:pt idx="140">
                  <c:v>33847</c:v>
                </c:pt>
                <c:pt idx="141">
                  <c:v>33877</c:v>
                </c:pt>
                <c:pt idx="142">
                  <c:v>33908</c:v>
                </c:pt>
                <c:pt idx="143">
                  <c:v>33938</c:v>
                </c:pt>
                <c:pt idx="144">
                  <c:v>33969</c:v>
                </c:pt>
                <c:pt idx="145">
                  <c:v>34000</c:v>
                </c:pt>
                <c:pt idx="146">
                  <c:v>34028</c:v>
                </c:pt>
                <c:pt idx="147">
                  <c:v>34059</c:v>
                </c:pt>
                <c:pt idx="148">
                  <c:v>34089</c:v>
                </c:pt>
                <c:pt idx="149">
                  <c:v>34120</c:v>
                </c:pt>
                <c:pt idx="150">
                  <c:v>34150</c:v>
                </c:pt>
                <c:pt idx="151">
                  <c:v>34181</c:v>
                </c:pt>
                <c:pt idx="152">
                  <c:v>34212</c:v>
                </c:pt>
                <c:pt idx="153">
                  <c:v>34242</c:v>
                </c:pt>
                <c:pt idx="154">
                  <c:v>34273</c:v>
                </c:pt>
                <c:pt idx="155">
                  <c:v>34303</c:v>
                </c:pt>
                <c:pt idx="156">
                  <c:v>34334</c:v>
                </c:pt>
                <c:pt idx="157">
                  <c:v>34365</c:v>
                </c:pt>
                <c:pt idx="158">
                  <c:v>34393</c:v>
                </c:pt>
                <c:pt idx="159">
                  <c:v>34424</c:v>
                </c:pt>
                <c:pt idx="160">
                  <c:v>34454</c:v>
                </c:pt>
                <c:pt idx="161">
                  <c:v>34485</c:v>
                </c:pt>
                <c:pt idx="162">
                  <c:v>34515</c:v>
                </c:pt>
                <c:pt idx="163">
                  <c:v>34546</c:v>
                </c:pt>
                <c:pt idx="164">
                  <c:v>34577</c:v>
                </c:pt>
                <c:pt idx="165">
                  <c:v>34607</c:v>
                </c:pt>
                <c:pt idx="166">
                  <c:v>34638</c:v>
                </c:pt>
                <c:pt idx="167">
                  <c:v>34668</c:v>
                </c:pt>
                <c:pt idx="168">
                  <c:v>34699</c:v>
                </c:pt>
                <c:pt idx="169">
                  <c:v>34730</c:v>
                </c:pt>
                <c:pt idx="170">
                  <c:v>34758</c:v>
                </c:pt>
                <c:pt idx="171">
                  <c:v>34789</c:v>
                </c:pt>
                <c:pt idx="172">
                  <c:v>34819</c:v>
                </c:pt>
                <c:pt idx="173">
                  <c:v>34850</c:v>
                </c:pt>
                <c:pt idx="174">
                  <c:v>34880</c:v>
                </c:pt>
                <c:pt idx="175">
                  <c:v>34911</c:v>
                </c:pt>
                <c:pt idx="176">
                  <c:v>34942</c:v>
                </c:pt>
                <c:pt idx="177">
                  <c:v>34972</c:v>
                </c:pt>
                <c:pt idx="178">
                  <c:v>35003</c:v>
                </c:pt>
                <c:pt idx="179">
                  <c:v>35033</c:v>
                </c:pt>
                <c:pt idx="180">
                  <c:v>35064</c:v>
                </c:pt>
                <c:pt idx="181">
                  <c:v>35095</c:v>
                </c:pt>
                <c:pt idx="182">
                  <c:v>35124</c:v>
                </c:pt>
                <c:pt idx="183">
                  <c:v>35155</c:v>
                </c:pt>
                <c:pt idx="184">
                  <c:v>35185</c:v>
                </c:pt>
                <c:pt idx="185">
                  <c:v>35216</c:v>
                </c:pt>
                <c:pt idx="186">
                  <c:v>35246</c:v>
                </c:pt>
                <c:pt idx="187">
                  <c:v>35277</c:v>
                </c:pt>
                <c:pt idx="188">
                  <c:v>35308</c:v>
                </c:pt>
                <c:pt idx="189">
                  <c:v>35338</c:v>
                </c:pt>
                <c:pt idx="190">
                  <c:v>35369</c:v>
                </c:pt>
                <c:pt idx="191">
                  <c:v>35399</c:v>
                </c:pt>
                <c:pt idx="192">
                  <c:v>35430</c:v>
                </c:pt>
                <c:pt idx="193">
                  <c:v>35461</c:v>
                </c:pt>
                <c:pt idx="194">
                  <c:v>35489</c:v>
                </c:pt>
                <c:pt idx="195">
                  <c:v>35520</c:v>
                </c:pt>
                <c:pt idx="196">
                  <c:v>35550</c:v>
                </c:pt>
                <c:pt idx="197">
                  <c:v>35581</c:v>
                </c:pt>
                <c:pt idx="198">
                  <c:v>35611</c:v>
                </c:pt>
                <c:pt idx="199">
                  <c:v>35642</c:v>
                </c:pt>
                <c:pt idx="200">
                  <c:v>35673</c:v>
                </c:pt>
                <c:pt idx="201">
                  <c:v>35703</c:v>
                </c:pt>
                <c:pt idx="202">
                  <c:v>35734</c:v>
                </c:pt>
                <c:pt idx="203">
                  <c:v>35764</c:v>
                </c:pt>
                <c:pt idx="204">
                  <c:v>35795</c:v>
                </c:pt>
                <c:pt idx="205">
                  <c:v>35826</c:v>
                </c:pt>
                <c:pt idx="206">
                  <c:v>35854</c:v>
                </c:pt>
                <c:pt idx="207">
                  <c:v>35885</c:v>
                </c:pt>
                <c:pt idx="208">
                  <c:v>35915</c:v>
                </c:pt>
                <c:pt idx="209">
                  <c:v>35946</c:v>
                </c:pt>
                <c:pt idx="210">
                  <c:v>35976</c:v>
                </c:pt>
                <c:pt idx="211">
                  <c:v>36007</c:v>
                </c:pt>
                <c:pt idx="212">
                  <c:v>36038</c:v>
                </c:pt>
                <c:pt idx="213">
                  <c:v>36068</c:v>
                </c:pt>
                <c:pt idx="214">
                  <c:v>36099</c:v>
                </c:pt>
                <c:pt idx="215">
                  <c:v>36129</c:v>
                </c:pt>
                <c:pt idx="216">
                  <c:v>36160</c:v>
                </c:pt>
                <c:pt idx="217">
                  <c:v>36191</c:v>
                </c:pt>
                <c:pt idx="218">
                  <c:v>36219</c:v>
                </c:pt>
                <c:pt idx="219">
                  <c:v>36250</c:v>
                </c:pt>
                <c:pt idx="220">
                  <c:v>36280</c:v>
                </c:pt>
                <c:pt idx="221">
                  <c:v>36311</c:v>
                </c:pt>
                <c:pt idx="222">
                  <c:v>36341</c:v>
                </c:pt>
                <c:pt idx="223">
                  <c:v>36372</c:v>
                </c:pt>
                <c:pt idx="224">
                  <c:v>36403</c:v>
                </c:pt>
                <c:pt idx="225">
                  <c:v>36433</c:v>
                </c:pt>
                <c:pt idx="226">
                  <c:v>36464</c:v>
                </c:pt>
                <c:pt idx="227">
                  <c:v>36494</c:v>
                </c:pt>
                <c:pt idx="228">
                  <c:v>36525</c:v>
                </c:pt>
                <c:pt idx="229">
                  <c:v>36556</c:v>
                </c:pt>
                <c:pt idx="230">
                  <c:v>36585</c:v>
                </c:pt>
                <c:pt idx="231">
                  <c:v>36616</c:v>
                </c:pt>
                <c:pt idx="232">
                  <c:v>36646</c:v>
                </c:pt>
                <c:pt idx="233">
                  <c:v>36677</c:v>
                </c:pt>
                <c:pt idx="234">
                  <c:v>36707</c:v>
                </c:pt>
                <c:pt idx="235">
                  <c:v>36738</c:v>
                </c:pt>
                <c:pt idx="236">
                  <c:v>36769</c:v>
                </c:pt>
                <c:pt idx="237">
                  <c:v>36799</c:v>
                </c:pt>
                <c:pt idx="238">
                  <c:v>36830</c:v>
                </c:pt>
                <c:pt idx="239">
                  <c:v>36860</c:v>
                </c:pt>
                <c:pt idx="240">
                  <c:v>36891</c:v>
                </c:pt>
                <c:pt idx="241">
                  <c:v>36922</c:v>
                </c:pt>
                <c:pt idx="242">
                  <c:v>36950</c:v>
                </c:pt>
                <c:pt idx="243">
                  <c:v>36981</c:v>
                </c:pt>
                <c:pt idx="244">
                  <c:v>37011</c:v>
                </c:pt>
                <c:pt idx="245">
                  <c:v>37042</c:v>
                </c:pt>
                <c:pt idx="246">
                  <c:v>37072</c:v>
                </c:pt>
                <c:pt idx="247">
                  <c:v>37103</c:v>
                </c:pt>
                <c:pt idx="248">
                  <c:v>37134</c:v>
                </c:pt>
                <c:pt idx="249">
                  <c:v>37164</c:v>
                </c:pt>
                <c:pt idx="250">
                  <c:v>37195</c:v>
                </c:pt>
                <c:pt idx="251">
                  <c:v>37225</c:v>
                </c:pt>
                <c:pt idx="252">
                  <c:v>37256</c:v>
                </c:pt>
                <c:pt idx="253">
                  <c:v>37287</c:v>
                </c:pt>
                <c:pt idx="254">
                  <c:v>37315</c:v>
                </c:pt>
                <c:pt idx="255">
                  <c:v>37346</c:v>
                </c:pt>
                <c:pt idx="256">
                  <c:v>37376</c:v>
                </c:pt>
                <c:pt idx="257">
                  <c:v>37407</c:v>
                </c:pt>
                <c:pt idx="258">
                  <c:v>37437</c:v>
                </c:pt>
                <c:pt idx="259">
                  <c:v>37468</c:v>
                </c:pt>
                <c:pt idx="260">
                  <c:v>37499</c:v>
                </c:pt>
                <c:pt idx="261">
                  <c:v>37529</c:v>
                </c:pt>
                <c:pt idx="262">
                  <c:v>37560</c:v>
                </c:pt>
                <c:pt idx="263">
                  <c:v>37590</c:v>
                </c:pt>
                <c:pt idx="264">
                  <c:v>37621</c:v>
                </c:pt>
                <c:pt idx="265">
                  <c:v>37652</c:v>
                </c:pt>
                <c:pt idx="266">
                  <c:v>37680</c:v>
                </c:pt>
                <c:pt idx="267">
                  <c:v>37711</c:v>
                </c:pt>
                <c:pt idx="268">
                  <c:v>37741</c:v>
                </c:pt>
                <c:pt idx="269">
                  <c:v>37772</c:v>
                </c:pt>
                <c:pt idx="270">
                  <c:v>37802</c:v>
                </c:pt>
                <c:pt idx="271">
                  <c:v>37833</c:v>
                </c:pt>
                <c:pt idx="272">
                  <c:v>37864</c:v>
                </c:pt>
                <c:pt idx="273">
                  <c:v>37894</c:v>
                </c:pt>
                <c:pt idx="274">
                  <c:v>37925</c:v>
                </c:pt>
                <c:pt idx="275">
                  <c:v>37955</c:v>
                </c:pt>
                <c:pt idx="276">
                  <c:v>37986</c:v>
                </c:pt>
                <c:pt idx="277">
                  <c:v>38017</c:v>
                </c:pt>
                <c:pt idx="278">
                  <c:v>38046</c:v>
                </c:pt>
                <c:pt idx="279">
                  <c:v>38077</c:v>
                </c:pt>
                <c:pt idx="280">
                  <c:v>38107</c:v>
                </c:pt>
                <c:pt idx="281">
                  <c:v>38138</c:v>
                </c:pt>
                <c:pt idx="282">
                  <c:v>38168</c:v>
                </c:pt>
                <c:pt idx="283">
                  <c:v>38199</c:v>
                </c:pt>
                <c:pt idx="284">
                  <c:v>38230</c:v>
                </c:pt>
                <c:pt idx="285">
                  <c:v>38260</c:v>
                </c:pt>
                <c:pt idx="286">
                  <c:v>38291</c:v>
                </c:pt>
                <c:pt idx="287">
                  <c:v>38321</c:v>
                </c:pt>
                <c:pt idx="288">
                  <c:v>38352</c:v>
                </c:pt>
                <c:pt idx="289">
                  <c:v>38383</c:v>
                </c:pt>
                <c:pt idx="290">
                  <c:v>38411</c:v>
                </c:pt>
                <c:pt idx="291">
                  <c:v>38442</c:v>
                </c:pt>
                <c:pt idx="292">
                  <c:v>38472</c:v>
                </c:pt>
                <c:pt idx="293">
                  <c:v>38503</c:v>
                </c:pt>
                <c:pt idx="294">
                  <c:v>38533</c:v>
                </c:pt>
                <c:pt idx="295">
                  <c:v>38564</c:v>
                </c:pt>
                <c:pt idx="296">
                  <c:v>38595</c:v>
                </c:pt>
                <c:pt idx="297">
                  <c:v>38625</c:v>
                </c:pt>
                <c:pt idx="298">
                  <c:v>38656</c:v>
                </c:pt>
                <c:pt idx="299">
                  <c:v>38686</c:v>
                </c:pt>
                <c:pt idx="300">
                  <c:v>38717</c:v>
                </c:pt>
                <c:pt idx="301">
                  <c:v>38748</c:v>
                </c:pt>
                <c:pt idx="302">
                  <c:v>38776</c:v>
                </c:pt>
                <c:pt idx="303">
                  <c:v>38807</c:v>
                </c:pt>
                <c:pt idx="304">
                  <c:v>38837</c:v>
                </c:pt>
                <c:pt idx="305">
                  <c:v>38868</c:v>
                </c:pt>
                <c:pt idx="306">
                  <c:v>38898</c:v>
                </c:pt>
                <c:pt idx="307">
                  <c:v>38929</c:v>
                </c:pt>
                <c:pt idx="308">
                  <c:v>38960</c:v>
                </c:pt>
                <c:pt idx="309">
                  <c:v>38990</c:v>
                </c:pt>
                <c:pt idx="310">
                  <c:v>39021</c:v>
                </c:pt>
                <c:pt idx="311">
                  <c:v>39051</c:v>
                </c:pt>
                <c:pt idx="312">
                  <c:v>39082</c:v>
                </c:pt>
                <c:pt idx="313">
                  <c:v>39113</c:v>
                </c:pt>
                <c:pt idx="314">
                  <c:v>39141</c:v>
                </c:pt>
                <c:pt idx="315">
                  <c:v>39172</c:v>
                </c:pt>
                <c:pt idx="316">
                  <c:v>39202</c:v>
                </c:pt>
                <c:pt idx="317">
                  <c:v>39233</c:v>
                </c:pt>
                <c:pt idx="318">
                  <c:v>39263</c:v>
                </c:pt>
                <c:pt idx="319">
                  <c:v>39294</c:v>
                </c:pt>
                <c:pt idx="320">
                  <c:v>39325</c:v>
                </c:pt>
                <c:pt idx="321">
                  <c:v>39355</c:v>
                </c:pt>
                <c:pt idx="322">
                  <c:v>39386</c:v>
                </c:pt>
                <c:pt idx="323">
                  <c:v>39416</c:v>
                </c:pt>
                <c:pt idx="324">
                  <c:v>39447</c:v>
                </c:pt>
                <c:pt idx="325">
                  <c:v>39478</c:v>
                </c:pt>
                <c:pt idx="326">
                  <c:v>39507</c:v>
                </c:pt>
                <c:pt idx="327">
                  <c:v>39538</c:v>
                </c:pt>
                <c:pt idx="328">
                  <c:v>39568</c:v>
                </c:pt>
                <c:pt idx="329">
                  <c:v>39599</c:v>
                </c:pt>
                <c:pt idx="330">
                  <c:v>39629</c:v>
                </c:pt>
                <c:pt idx="331">
                  <c:v>39660</c:v>
                </c:pt>
                <c:pt idx="332">
                  <c:v>39691</c:v>
                </c:pt>
              </c:numCache>
            </c:numRef>
          </c:cat>
          <c:val>
            <c:numRef>
              <c:f>'Returns Value_Growth'!$G$68:$G$400</c:f>
              <c:numCache>
                <c:formatCode>0.00</c:formatCode>
                <c:ptCount val="333"/>
                <c:pt idx="24">
                  <c:v>-0.96109646515398772</c:v>
                </c:pt>
                <c:pt idx="25">
                  <c:v>0.16381334049233587</c:v>
                </c:pt>
                <c:pt idx="26">
                  <c:v>-0.37404005781311866</c:v>
                </c:pt>
                <c:pt idx="27">
                  <c:v>0.42917654975618191</c:v>
                </c:pt>
                <c:pt idx="28">
                  <c:v>-0.10802469992971808</c:v>
                </c:pt>
                <c:pt idx="29">
                  <c:v>0.15472645950012165</c:v>
                </c:pt>
                <c:pt idx="30">
                  <c:v>-0.8178433000880716</c:v>
                </c:pt>
                <c:pt idx="31">
                  <c:v>1.2437176883794745</c:v>
                </c:pt>
                <c:pt idx="32">
                  <c:v>2.7552963821542349</c:v>
                </c:pt>
                <c:pt idx="33">
                  <c:v>3.641230600920343</c:v>
                </c:pt>
                <c:pt idx="34">
                  <c:v>5.4743313358053278</c:v>
                </c:pt>
                <c:pt idx="35">
                  <c:v>8.1895818047606141</c:v>
                </c:pt>
                <c:pt idx="36">
                  <c:v>7.5207652351840792</c:v>
                </c:pt>
                <c:pt idx="37">
                  <c:v>7.7619785794069038</c:v>
                </c:pt>
                <c:pt idx="38">
                  <c:v>8.8174820660885445</c:v>
                </c:pt>
                <c:pt idx="39">
                  <c:v>8.084841923378459</c:v>
                </c:pt>
                <c:pt idx="40">
                  <c:v>6.6798123183740898</c:v>
                </c:pt>
                <c:pt idx="41">
                  <c:v>6.177078167187001</c:v>
                </c:pt>
                <c:pt idx="42">
                  <c:v>5.073450412130498</c:v>
                </c:pt>
                <c:pt idx="43">
                  <c:v>5.5388710160144674</c:v>
                </c:pt>
                <c:pt idx="44">
                  <c:v>5.8345764467825809</c:v>
                </c:pt>
                <c:pt idx="45">
                  <c:v>6.2175547805795688</c:v>
                </c:pt>
                <c:pt idx="46">
                  <c:v>6.5890027683366483</c:v>
                </c:pt>
                <c:pt idx="47">
                  <c:v>6.7344879884693611</c:v>
                </c:pt>
                <c:pt idx="48">
                  <c:v>6.6832392590327814</c:v>
                </c:pt>
                <c:pt idx="49">
                  <c:v>6.8491074213969725</c:v>
                </c:pt>
                <c:pt idx="50">
                  <c:v>-1.9927503350369875</c:v>
                </c:pt>
                <c:pt idx="51">
                  <c:v>4.9900870785708484</c:v>
                </c:pt>
                <c:pt idx="52">
                  <c:v>6.9434138842044959</c:v>
                </c:pt>
                <c:pt idx="53">
                  <c:v>6.5313467430381671</c:v>
                </c:pt>
                <c:pt idx="54">
                  <c:v>6.3470876154671849</c:v>
                </c:pt>
                <c:pt idx="55">
                  <c:v>7.2342783707719711</c:v>
                </c:pt>
                <c:pt idx="56">
                  <c:v>6.6306319342225741</c:v>
                </c:pt>
                <c:pt idx="57">
                  <c:v>7.324527050212513</c:v>
                </c:pt>
                <c:pt idx="58">
                  <c:v>7.4543601443625143</c:v>
                </c:pt>
                <c:pt idx="59">
                  <c:v>6.8710929923727413</c:v>
                </c:pt>
                <c:pt idx="60">
                  <c:v>6.0836824829392704</c:v>
                </c:pt>
                <c:pt idx="61">
                  <c:v>5.7887111140691587</c:v>
                </c:pt>
                <c:pt idx="62">
                  <c:v>6.1830097850073855</c:v>
                </c:pt>
                <c:pt idx="63">
                  <c:v>5.6838137513001605</c:v>
                </c:pt>
                <c:pt idx="64">
                  <c:v>3.7842144999970877</c:v>
                </c:pt>
                <c:pt idx="65">
                  <c:v>3.4682411629269438</c:v>
                </c:pt>
                <c:pt idx="66">
                  <c:v>4.7373379805941482</c:v>
                </c:pt>
                <c:pt idx="67">
                  <c:v>4.3340604805489846</c:v>
                </c:pt>
                <c:pt idx="68">
                  <c:v>4.6323861230542569</c:v>
                </c:pt>
                <c:pt idx="69">
                  <c:v>6.5047523424617957</c:v>
                </c:pt>
                <c:pt idx="70">
                  <c:v>5.4629004564558521</c:v>
                </c:pt>
                <c:pt idx="71">
                  <c:v>4.994208963044386</c:v>
                </c:pt>
                <c:pt idx="72">
                  <c:v>4.3344372632784705</c:v>
                </c:pt>
                <c:pt idx="73">
                  <c:v>2.1270502340317918</c:v>
                </c:pt>
                <c:pt idx="74">
                  <c:v>-0.79896241815211511</c:v>
                </c:pt>
                <c:pt idx="75">
                  <c:v>-2.3752245644349301E-2</c:v>
                </c:pt>
                <c:pt idx="76">
                  <c:v>0.15955137603991432</c:v>
                </c:pt>
                <c:pt idx="77">
                  <c:v>0.20185544588955295</c:v>
                </c:pt>
                <c:pt idx="78">
                  <c:v>0.91464703279022785</c:v>
                </c:pt>
                <c:pt idx="79">
                  <c:v>1.2212464421645208</c:v>
                </c:pt>
                <c:pt idx="80">
                  <c:v>0.1121960195798799</c:v>
                </c:pt>
                <c:pt idx="81">
                  <c:v>-0.86048606701716324</c:v>
                </c:pt>
                <c:pt idx="82">
                  <c:v>1.0058227479178257</c:v>
                </c:pt>
                <c:pt idx="83">
                  <c:v>0.98439427392760237</c:v>
                </c:pt>
                <c:pt idx="84">
                  <c:v>0.24592092431599255</c:v>
                </c:pt>
                <c:pt idx="85">
                  <c:v>2.197071721604992</c:v>
                </c:pt>
                <c:pt idx="86">
                  <c:v>2.2528971711894847</c:v>
                </c:pt>
                <c:pt idx="87">
                  <c:v>2.7254499482451511</c:v>
                </c:pt>
                <c:pt idx="88">
                  <c:v>1.9567490461597004</c:v>
                </c:pt>
                <c:pt idx="89">
                  <c:v>2.6110302746340288</c:v>
                </c:pt>
                <c:pt idx="90">
                  <c:v>2.6790932841270543</c:v>
                </c:pt>
                <c:pt idx="91">
                  <c:v>2.8261669531209019</c:v>
                </c:pt>
                <c:pt idx="92">
                  <c:v>2.7654004498965286</c:v>
                </c:pt>
                <c:pt idx="93">
                  <c:v>2.2482218437448651</c:v>
                </c:pt>
                <c:pt idx="94">
                  <c:v>2.3118941244022899</c:v>
                </c:pt>
                <c:pt idx="95">
                  <c:v>3.8544898466548858</c:v>
                </c:pt>
                <c:pt idx="96">
                  <c:v>4.4219804340816395</c:v>
                </c:pt>
                <c:pt idx="97">
                  <c:v>3.8981903497187673</c:v>
                </c:pt>
                <c:pt idx="98">
                  <c:v>3.9652433131575968</c:v>
                </c:pt>
                <c:pt idx="99">
                  <c:v>4.4149511191662789</c:v>
                </c:pt>
                <c:pt idx="100">
                  <c:v>5.4329718594925627</c:v>
                </c:pt>
                <c:pt idx="101">
                  <c:v>5.1530922087446029</c:v>
                </c:pt>
                <c:pt idx="102">
                  <c:v>5.397727388271111</c:v>
                </c:pt>
                <c:pt idx="103">
                  <c:v>3.4486997055776385</c:v>
                </c:pt>
                <c:pt idx="104">
                  <c:v>1.7993867444430407</c:v>
                </c:pt>
                <c:pt idx="105">
                  <c:v>-0.35319749365323361</c:v>
                </c:pt>
                <c:pt idx="106">
                  <c:v>-0.46445731017132985</c:v>
                </c:pt>
                <c:pt idx="107">
                  <c:v>-1.0748745842909404</c:v>
                </c:pt>
                <c:pt idx="108">
                  <c:v>-0.85095369194514348</c:v>
                </c:pt>
                <c:pt idx="109">
                  <c:v>-4.7292035462144E-2</c:v>
                </c:pt>
                <c:pt idx="110">
                  <c:v>2.3478517725780126</c:v>
                </c:pt>
                <c:pt idx="111">
                  <c:v>0.98632906580007251</c:v>
                </c:pt>
                <c:pt idx="112">
                  <c:v>0.11532684140243177</c:v>
                </c:pt>
                <c:pt idx="113">
                  <c:v>-0.92898475768963173</c:v>
                </c:pt>
                <c:pt idx="114">
                  <c:v>-1.6767991361885883</c:v>
                </c:pt>
                <c:pt idx="115">
                  <c:v>-1.0408402056020449</c:v>
                </c:pt>
                <c:pt idx="116">
                  <c:v>-0.62070458187681865</c:v>
                </c:pt>
                <c:pt idx="117">
                  <c:v>-0.6964777859075344</c:v>
                </c:pt>
                <c:pt idx="118">
                  <c:v>-2.6376150985423461</c:v>
                </c:pt>
                <c:pt idx="119">
                  <c:v>-3.0679668258986723</c:v>
                </c:pt>
                <c:pt idx="120">
                  <c:v>-2.5778519282084531</c:v>
                </c:pt>
                <c:pt idx="121">
                  <c:v>-4.0507815944369696</c:v>
                </c:pt>
                <c:pt idx="122">
                  <c:v>-4.4710424524476053</c:v>
                </c:pt>
                <c:pt idx="123">
                  <c:v>-6.3691450841166777</c:v>
                </c:pt>
                <c:pt idx="124">
                  <c:v>-6.1429045771882453</c:v>
                </c:pt>
                <c:pt idx="125">
                  <c:v>-6.2029194542021475</c:v>
                </c:pt>
                <c:pt idx="126">
                  <c:v>-6.0946226254612768</c:v>
                </c:pt>
                <c:pt idx="127">
                  <c:v>-6.9136093695586034</c:v>
                </c:pt>
                <c:pt idx="128">
                  <c:v>-8.1451006003750095</c:v>
                </c:pt>
                <c:pt idx="129">
                  <c:v>-7.2916115941433084</c:v>
                </c:pt>
                <c:pt idx="130">
                  <c:v>-7.4707383310426358</c:v>
                </c:pt>
                <c:pt idx="131">
                  <c:v>-8.9604050015120507</c:v>
                </c:pt>
                <c:pt idx="132">
                  <c:v>-10.739539777784881</c:v>
                </c:pt>
                <c:pt idx="133">
                  <c:v>-9.1151464622441623</c:v>
                </c:pt>
                <c:pt idx="134">
                  <c:v>-8.881219511479264</c:v>
                </c:pt>
                <c:pt idx="135">
                  <c:v>-8.6715393359812811</c:v>
                </c:pt>
                <c:pt idx="136">
                  <c:v>-6.9803412252599877</c:v>
                </c:pt>
                <c:pt idx="137">
                  <c:v>-6.9073098993733595</c:v>
                </c:pt>
                <c:pt idx="138">
                  <c:v>-6.5512247506171573</c:v>
                </c:pt>
                <c:pt idx="139">
                  <c:v>-5.4253537533642362</c:v>
                </c:pt>
                <c:pt idx="140">
                  <c:v>-6.2474724334336429</c:v>
                </c:pt>
                <c:pt idx="141">
                  <c:v>-5.8243486295878277</c:v>
                </c:pt>
                <c:pt idx="142">
                  <c:v>-6.0703104996337132</c:v>
                </c:pt>
                <c:pt idx="143">
                  <c:v>-5.7623672871654819</c:v>
                </c:pt>
                <c:pt idx="144">
                  <c:v>-5.295688422578392</c:v>
                </c:pt>
                <c:pt idx="145">
                  <c:v>-4.6428654802014755</c:v>
                </c:pt>
                <c:pt idx="146">
                  <c:v>-3.5926556949018131</c:v>
                </c:pt>
                <c:pt idx="147">
                  <c:v>-2.0563747900036908</c:v>
                </c:pt>
                <c:pt idx="148">
                  <c:v>0.26717125424908694</c:v>
                </c:pt>
                <c:pt idx="149">
                  <c:v>0.78769468682946453</c:v>
                </c:pt>
                <c:pt idx="150">
                  <c:v>2.424649011632372</c:v>
                </c:pt>
                <c:pt idx="151">
                  <c:v>3.4133915987992314</c:v>
                </c:pt>
                <c:pt idx="152">
                  <c:v>3.4895319534823379</c:v>
                </c:pt>
                <c:pt idx="153">
                  <c:v>3.9119607568398376</c:v>
                </c:pt>
                <c:pt idx="154">
                  <c:v>3.5389934305346316</c:v>
                </c:pt>
                <c:pt idx="155">
                  <c:v>2.4966512752371735</c:v>
                </c:pt>
                <c:pt idx="156">
                  <c:v>3.210396930794456</c:v>
                </c:pt>
                <c:pt idx="157">
                  <c:v>3.9271556800133851</c:v>
                </c:pt>
                <c:pt idx="158">
                  <c:v>3.5303626058587287</c:v>
                </c:pt>
                <c:pt idx="159">
                  <c:v>4.6622426486959911</c:v>
                </c:pt>
                <c:pt idx="160">
                  <c:v>4.9161559594453896</c:v>
                </c:pt>
                <c:pt idx="161">
                  <c:v>4.5414055162757085</c:v>
                </c:pt>
                <c:pt idx="162">
                  <c:v>4.640128508030239</c:v>
                </c:pt>
                <c:pt idx="163">
                  <c:v>5.1653764471128572</c:v>
                </c:pt>
                <c:pt idx="164">
                  <c:v>4.9438869339515357</c:v>
                </c:pt>
                <c:pt idx="165">
                  <c:v>3.7837307901307025</c:v>
                </c:pt>
                <c:pt idx="166">
                  <c:v>3.5986914443975504</c:v>
                </c:pt>
                <c:pt idx="167">
                  <c:v>4.4632090233408537</c:v>
                </c:pt>
                <c:pt idx="168">
                  <c:v>5.9301342741160168</c:v>
                </c:pt>
                <c:pt idx="169">
                  <c:v>4.8126950813649927</c:v>
                </c:pt>
                <c:pt idx="170">
                  <c:v>4.3316357946529891</c:v>
                </c:pt>
                <c:pt idx="171">
                  <c:v>3.9848649744312237</c:v>
                </c:pt>
                <c:pt idx="172">
                  <c:v>2.8654038791451786</c:v>
                </c:pt>
                <c:pt idx="173">
                  <c:v>3.3954267047793696</c:v>
                </c:pt>
                <c:pt idx="174">
                  <c:v>1.8292825436346138</c:v>
                </c:pt>
                <c:pt idx="175">
                  <c:v>2.2431672796951805</c:v>
                </c:pt>
                <c:pt idx="176">
                  <c:v>3.3830818667034208</c:v>
                </c:pt>
                <c:pt idx="177">
                  <c:v>2.9090991729073572</c:v>
                </c:pt>
                <c:pt idx="178">
                  <c:v>2.8750143162243216</c:v>
                </c:pt>
                <c:pt idx="179">
                  <c:v>3.9773893560663751</c:v>
                </c:pt>
                <c:pt idx="180">
                  <c:v>4.1665554018795561</c:v>
                </c:pt>
                <c:pt idx="181">
                  <c:v>2.4209825019444686</c:v>
                </c:pt>
                <c:pt idx="182">
                  <c:v>0.80042279128173988</c:v>
                </c:pt>
                <c:pt idx="183">
                  <c:v>1.3421052270831559</c:v>
                </c:pt>
                <c:pt idx="184">
                  <c:v>-0.68444145590251892</c:v>
                </c:pt>
                <c:pt idx="185">
                  <c:v>-0.86886856495869225</c:v>
                </c:pt>
                <c:pt idx="186">
                  <c:v>-2.3883403148542861</c:v>
                </c:pt>
                <c:pt idx="187">
                  <c:v>-3.4736843037219707</c:v>
                </c:pt>
                <c:pt idx="188">
                  <c:v>-3.0755804020127684</c:v>
                </c:pt>
                <c:pt idx="189">
                  <c:v>-4.7147927310163134</c:v>
                </c:pt>
                <c:pt idx="190">
                  <c:v>-3.0379969504898305</c:v>
                </c:pt>
                <c:pt idx="191">
                  <c:v>-2.357049890771254</c:v>
                </c:pt>
                <c:pt idx="192">
                  <c:v>-2.4542139609239335</c:v>
                </c:pt>
                <c:pt idx="193">
                  <c:v>-4.6799430850568378</c:v>
                </c:pt>
                <c:pt idx="194">
                  <c:v>-4.0120315656160237</c:v>
                </c:pt>
                <c:pt idx="195">
                  <c:v>-3.666440420322246</c:v>
                </c:pt>
                <c:pt idx="196">
                  <c:v>-6.0861176120687439</c:v>
                </c:pt>
                <c:pt idx="197">
                  <c:v>-6.0488868793705279</c:v>
                </c:pt>
                <c:pt idx="198">
                  <c:v>-6.4229864850168283</c:v>
                </c:pt>
                <c:pt idx="199">
                  <c:v>-6.5663133298881071</c:v>
                </c:pt>
                <c:pt idx="200">
                  <c:v>-4.3835383781517763</c:v>
                </c:pt>
                <c:pt idx="201">
                  <c:v>-3.3258165854272548</c:v>
                </c:pt>
                <c:pt idx="202">
                  <c:v>-3.4265791565053263</c:v>
                </c:pt>
                <c:pt idx="203">
                  <c:v>-3.8442659215008916</c:v>
                </c:pt>
                <c:pt idx="204">
                  <c:v>-3.2091946175732495</c:v>
                </c:pt>
                <c:pt idx="205">
                  <c:v>-5.2660478412399847</c:v>
                </c:pt>
                <c:pt idx="206">
                  <c:v>-5.0867066410362298</c:v>
                </c:pt>
                <c:pt idx="207">
                  <c:v>-5.0043871688511246</c:v>
                </c:pt>
                <c:pt idx="208">
                  <c:v>-5.1168105482353425</c:v>
                </c:pt>
                <c:pt idx="209">
                  <c:v>-5.1198895998543676</c:v>
                </c:pt>
                <c:pt idx="210">
                  <c:v>-6.5041068771129318</c:v>
                </c:pt>
                <c:pt idx="211">
                  <c:v>-7.4291248053284029</c:v>
                </c:pt>
                <c:pt idx="212">
                  <c:v>-8.9765941259930315</c:v>
                </c:pt>
                <c:pt idx="213">
                  <c:v>-8.700616745504707</c:v>
                </c:pt>
                <c:pt idx="214">
                  <c:v>-8.1632500404073625</c:v>
                </c:pt>
                <c:pt idx="215">
                  <c:v>-9.4886555858877166</c:v>
                </c:pt>
                <c:pt idx="216">
                  <c:v>-11.939418676607488</c:v>
                </c:pt>
                <c:pt idx="217">
                  <c:v>-13.304059032741744</c:v>
                </c:pt>
                <c:pt idx="218">
                  <c:v>-12.366524515898369</c:v>
                </c:pt>
                <c:pt idx="219">
                  <c:v>-14.395337769097228</c:v>
                </c:pt>
                <c:pt idx="220">
                  <c:v>-10.489268697529841</c:v>
                </c:pt>
                <c:pt idx="221">
                  <c:v>-8.9281664500546327</c:v>
                </c:pt>
                <c:pt idx="222">
                  <c:v>-9.6880030721610204</c:v>
                </c:pt>
                <c:pt idx="223">
                  <c:v>-9.8685492339854548</c:v>
                </c:pt>
                <c:pt idx="224">
                  <c:v>-12.002038680090667</c:v>
                </c:pt>
                <c:pt idx="225">
                  <c:v>-11.573430642723206</c:v>
                </c:pt>
                <c:pt idx="226">
                  <c:v>-12.707331796488152</c:v>
                </c:pt>
                <c:pt idx="227">
                  <c:v>-14.519409786792316</c:v>
                </c:pt>
                <c:pt idx="228">
                  <c:v>-16.636372631966758</c:v>
                </c:pt>
                <c:pt idx="229">
                  <c:v>-13.297812488655449</c:v>
                </c:pt>
                <c:pt idx="230">
                  <c:v>-16.574374689869529</c:v>
                </c:pt>
                <c:pt idx="231">
                  <c:v>-17.472201366498982</c:v>
                </c:pt>
                <c:pt idx="232">
                  <c:v>-13.487575701990259</c:v>
                </c:pt>
                <c:pt idx="233">
                  <c:v>-11.478287884636405</c:v>
                </c:pt>
                <c:pt idx="234">
                  <c:v>-15.59220185978225</c:v>
                </c:pt>
                <c:pt idx="235">
                  <c:v>-12.643494572194379</c:v>
                </c:pt>
                <c:pt idx="236">
                  <c:v>-13.712902204241905</c:v>
                </c:pt>
                <c:pt idx="237">
                  <c:v>-9.5547770683451994</c:v>
                </c:pt>
                <c:pt idx="238">
                  <c:v>-7.6286530549344995</c:v>
                </c:pt>
                <c:pt idx="239">
                  <c:v>-4.4924100644859291</c:v>
                </c:pt>
                <c:pt idx="240">
                  <c:v>-1.3139118924915927</c:v>
                </c:pt>
                <c:pt idx="241">
                  <c:v>0.88061085765220959</c:v>
                </c:pt>
                <c:pt idx="242">
                  <c:v>2.6541321325100453</c:v>
                </c:pt>
                <c:pt idx="243">
                  <c:v>4.4384502031730388</c:v>
                </c:pt>
                <c:pt idx="244">
                  <c:v>3.7201368839709925</c:v>
                </c:pt>
                <c:pt idx="245">
                  <c:v>3.8177970088085322</c:v>
                </c:pt>
                <c:pt idx="246">
                  <c:v>5.1888871813830395</c:v>
                </c:pt>
                <c:pt idx="247">
                  <c:v>5.417230392034722</c:v>
                </c:pt>
                <c:pt idx="248">
                  <c:v>7.2212324310528597</c:v>
                </c:pt>
                <c:pt idx="249">
                  <c:v>6.0443642975950844</c:v>
                </c:pt>
                <c:pt idx="250">
                  <c:v>4.8942148234205067</c:v>
                </c:pt>
                <c:pt idx="251">
                  <c:v>4.6325015244276351</c:v>
                </c:pt>
                <c:pt idx="252">
                  <c:v>6.287106117262331</c:v>
                </c:pt>
                <c:pt idx="253">
                  <c:v>6.5942243680769286</c:v>
                </c:pt>
                <c:pt idx="254">
                  <c:v>6.7075428330508942</c:v>
                </c:pt>
                <c:pt idx="255">
                  <c:v>8.1254493128218197</c:v>
                </c:pt>
                <c:pt idx="256">
                  <c:v>5.9154590736903216</c:v>
                </c:pt>
                <c:pt idx="257">
                  <c:v>6.3182419922599991</c:v>
                </c:pt>
                <c:pt idx="258">
                  <c:v>7.5620802947008015</c:v>
                </c:pt>
                <c:pt idx="259">
                  <c:v>5.4750828027250513</c:v>
                </c:pt>
                <c:pt idx="260">
                  <c:v>6.6893189429431352</c:v>
                </c:pt>
                <c:pt idx="261">
                  <c:v>6.8088359367364895</c:v>
                </c:pt>
                <c:pt idx="262">
                  <c:v>6.9599804965103758</c:v>
                </c:pt>
                <c:pt idx="263">
                  <c:v>9.0709564006184138</c:v>
                </c:pt>
                <c:pt idx="264">
                  <c:v>10.10811783461245</c:v>
                </c:pt>
                <c:pt idx="265">
                  <c:v>9.0691915607007072</c:v>
                </c:pt>
                <c:pt idx="266">
                  <c:v>10.835592150323247</c:v>
                </c:pt>
                <c:pt idx="267">
                  <c:v>9.6371478400996597</c:v>
                </c:pt>
                <c:pt idx="268">
                  <c:v>9.5696612983552907</c:v>
                </c:pt>
                <c:pt idx="269">
                  <c:v>9.6270750231741804</c:v>
                </c:pt>
                <c:pt idx="270">
                  <c:v>12.78393450973334</c:v>
                </c:pt>
                <c:pt idx="271">
                  <c:v>11.224277571808772</c:v>
                </c:pt>
                <c:pt idx="272">
                  <c:v>10.939405425488326</c:v>
                </c:pt>
                <c:pt idx="273">
                  <c:v>7.5685001166901467</c:v>
                </c:pt>
                <c:pt idx="274">
                  <c:v>7.0285720271711769</c:v>
                </c:pt>
                <c:pt idx="275">
                  <c:v>5.3765226703636912</c:v>
                </c:pt>
                <c:pt idx="276">
                  <c:v>3.0161206639176208</c:v>
                </c:pt>
                <c:pt idx="277">
                  <c:v>2.5369168638688322</c:v>
                </c:pt>
                <c:pt idx="278">
                  <c:v>1.3413480983039183</c:v>
                </c:pt>
                <c:pt idx="279">
                  <c:v>0.11244178641698355</c:v>
                </c:pt>
                <c:pt idx="280">
                  <c:v>0.14812664721071123</c:v>
                </c:pt>
                <c:pt idx="281">
                  <c:v>-0.25787947200163197</c:v>
                </c:pt>
                <c:pt idx="282">
                  <c:v>0.52393317044591159</c:v>
                </c:pt>
                <c:pt idx="283">
                  <c:v>1.9643534984034261</c:v>
                </c:pt>
                <c:pt idx="284">
                  <c:v>2.1327718943245921</c:v>
                </c:pt>
                <c:pt idx="285">
                  <c:v>3.8214712636710724</c:v>
                </c:pt>
                <c:pt idx="286">
                  <c:v>5.0557556502977663</c:v>
                </c:pt>
                <c:pt idx="287">
                  <c:v>6.3625313932443532</c:v>
                </c:pt>
                <c:pt idx="288">
                  <c:v>5.8387153129159763</c:v>
                </c:pt>
                <c:pt idx="289">
                  <c:v>6.7289080199242619</c:v>
                </c:pt>
                <c:pt idx="290">
                  <c:v>5.8870517422627389</c:v>
                </c:pt>
                <c:pt idx="291">
                  <c:v>4.869779296588006</c:v>
                </c:pt>
                <c:pt idx="292">
                  <c:v>4.0435996295613785</c:v>
                </c:pt>
                <c:pt idx="293">
                  <c:v>3.256641975024599</c:v>
                </c:pt>
                <c:pt idx="294">
                  <c:v>3.6628394782849849</c:v>
                </c:pt>
                <c:pt idx="295">
                  <c:v>5.8398277381461519</c:v>
                </c:pt>
                <c:pt idx="296">
                  <c:v>5.9109054814271857</c:v>
                </c:pt>
                <c:pt idx="297">
                  <c:v>6.8041279113810536</c:v>
                </c:pt>
                <c:pt idx="298">
                  <c:v>6.8406106028714007</c:v>
                </c:pt>
                <c:pt idx="299">
                  <c:v>5.9979498057022731</c:v>
                </c:pt>
                <c:pt idx="300">
                  <c:v>5.7728332017862307</c:v>
                </c:pt>
                <c:pt idx="301">
                  <c:v>6.2186928915516795</c:v>
                </c:pt>
                <c:pt idx="302">
                  <c:v>7.8355066418803521</c:v>
                </c:pt>
                <c:pt idx="303">
                  <c:v>9.0297194454860303</c:v>
                </c:pt>
                <c:pt idx="304">
                  <c:v>8.7866617271852299</c:v>
                </c:pt>
                <c:pt idx="305">
                  <c:v>7.4354496854868177</c:v>
                </c:pt>
                <c:pt idx="306">
                  <c:v>7.9570244079020247</c:v>
                </c:pt>
                <c:pt idx="307">
                  <c:v>7.8829026452496889</c:v>
                </c:pt>
                <c:pt idx="308">
                  <c:v>7.1147492134491221</c:v>
                </c:pt>
                <c:pt idx="309">
                  <c:v>7.8322748662713835</c:v>
                </c:pt>
                <c:pt idx="310">
                  <c:v>7.0019560825069993</c:v>
                </c:pt>
                <c:pt idx="311">
                  <c:v>6.9315789050295784</c:v>
                </c:pt>
                <c:pt idx="312">
                  <c:v>6.9304811590621629</c:v>
                </c:pt>
                <c:pt idx="313">
                  <c:v>7.1564796072746804</c:v>
                </c:pt>
                <c:pt idx="314">
                  <c:v>6.6497612450767907</c:v>
                </c:pt>
                <c:pt idx="315">
                  <c:v>6.2278009712721794</c:v>
                </c:pt>
                <c:pt idx="316">
                  <c:v>6.8798356603156261</c:v>
                </c:pt>
                <c:pt idx="317">
                  <c:v>7.3423538962385422</c:v>
                </c:pt>
                <c:pt idx="318">
                  <c:v>6.7789715341041834</c:v>
                </c:pt>
                <c:pt idx="319">
                  <c:v>5.0393509677462163</c:v>
                </c:pt>
                <c:pt idx="320">
                  <c:v>4.4343684317772247</c:v>
                </c:pt>
                <c:pt idx="321">
                  <c:v>3.3839189694113028</c:v>
                </c:pt>
                <c:pt idx="322">
                  <c:v>2.9952085041591516</c:v>
                </c:pt>
                <c:pt idx="323">
                  <c:v>1.7905177048182406</c:v>
                </c:pt>
                <c:pt idx="324">
                  <c:v>1.241226665603623</c:v>
                </c:pt>
                <c:pt idx="325">
                  <c:v>3.0791320794776755</c:v>
                </c:pt>
                <c:pt idx="326">
                  <c:v>1.8048855776412243</c:v>
                </c:pt>
                <c:pt idx="327">
                  <c:v>1.7937854091654826</c:v>
                </c:pt>
                <c:pt idx="328">
                  <c:v>1.1806137165724753</c:v>
                </c:pt>
                <c:pt idx="329">
                  <c:v>0.38117712249357005</c:v>
                </c:pt>
                <c:pt idx="330">
                  <c:v>-2.5998188896390495</c:v>
                </c:pt>
                <c:pt idx="331">
                  <c:v>-0.77699405919002817</c:v>
                </c:pt>
                <c:pt idx="332">
                  <c:v>-0.96752863003874978</c:v>
                </c:pt>
              </c:numCache>
            </c:numRef>
          </c:val>
          <c:smooth val="0"/>
        </c:ser>
        <c:ser>
          <c:idx val="0"/>
          <c:order val="1"/>
          <c:spPr>
            <a:ln w="12700">
              <a:solidFill>
                <a:srgbClr val="000080"/>
              </a:solidFill>
              <a:prstDash val="solid"/>
            </a:ln>
          </c:spPr>
          <c:marker>
            <c:symbol val="none"/>
          </c:marker>
          <c:cat>
            <c:numRef>
              <c:f>'Returns Value_Growth'!$A$68:$A$400</c:f>
              <c:numCache>
                <c:formatCode>mm/dd/yy;@</c:formatCode>
                <c:ptCount val="333"/>
                <c:pt idx="0">
                  <c:v>29586</c:v>
                </c:pt>
                <c:pt idx="1">
                  <c:v>29617</c:v>
                </c:pt>
                <c:pt idx="2">
                  <c:v>29645</c:v>
                </c:pt>
                <c:pt idx="3">
                  <c:v>29676</c:v>
                </c:pt>
                <c:pt idx="4">
                  <c:v>29706</c:v>
                </c:pt>
                <c:pt idx="5">
                  <c:v>29737</c:v>
                </c:pt>
                <c:pt idx="6">
                  <c:v>29767</c:v>
                </c:pt>
                <c:pt idx="7">
                  <c:v>29798</c:v>
                </c:pt>
                <c:pt idx="8">
                  <c:v>29829</c:v>
                </c:pt>
                <c:pt idx="9">
                  <c:v>29859</c:v>
                </c:pt>
                <c:pt idx="10">
                  <c:v>29890</c:v>
                </c:pt>
                <c:pt idx="11">
                  <c:v>29920</c:v>
                </c:pt>
                <c:pt idx="12">
                  <c:v>29951</c:v>
                </c:pt>
                <c:pt idx="13">
                  <c:v>29982</c:v>
                </c:pt>
                <c:pt idx="14">
                  <c:v>30010</c:v>
                </c:pt>
                <c:pt idx="15">
                  <c:v>30041</c:v>
                </c:pt>
                <c:pt idx="16">
                  <c:v>30071</c:v>
                </c:pt>
                <c:pt idx="17">
                  <c:v>30102</c:v>
                </c:pt>
                <c:pt idx="18">
                  <c:v>30132</c:v>
                </c:pt>
                <c:pt idx="19">
                  <c:v>30163</c:v>
                </c:pt>
                <c:pt idx="20">
                  <c:v>30194</c:v>
                </c:pt>
                <c:pt idx="21">
                  <c:v>30224</c:v>
                </c:pt>
                <c:pt idx="22">
                  <c:v>30255</c:v>
                </c:pt>
                <c:pt idx="23">
                  <c:v>30285</c:v>
                </c:pt>
                <c:pt idx="24">
                  <c:v>30316</c:v>
                </c:pt>
                <c:pt idx="25">
                  <c:v>30347</c:v>
                </c:pt>
                <c:pt idx="26">
                  <c:v>30375</c:v>
                </c:pt>
                <c:pt idx="27">
                  <c:v>30406</c:v>
                </c:pt>
                <c:pt idx="28">
                  <c:v>30436</c:v>
                </c:pt>
                <c:pt idx="29">
                  <c:v>30467</c:v>
                </c:pt>
                <c:pt idx="30">
                  <c:v>30497</c:v>
                </c:pt>
                <c:pt idx="31">
                  <c:v>30528</c:v>
                </c:pt>
                <c:pt idx="32">
                  <c:v>30559</c:v>
                </c:pt>
                <c:pt idx="33">
                  <c:v>30589</c:v>
                </c:pt>
                <c:pt idx="34">
                  <c:v>30620</c:v>
                </c:pt>
                <c:pt idx="35">
                  <c:v>30650</c:v>
                </c:pt>
                <c:pt idx="36">
                  <c:v>30681</c:v>
                </c:pt>
                <c:pt idx="37">
                  <c:v>30712</c:v>
                </c:pt>
                <c:pt idx="38">
                  <c:v>30741</c:v>
                </c:pt>
                <c:pt idx="39">
                  <c:v>30772</c:v>
                </c:pt>
                <c:pt idx="40">
                  <c:v>30802</c:v>
                </c:pt>
                <c:pt idx="41">
                  <c:v>30833</c:v>
                </c:pt>
                <c:pt idx="42">
                  <c:v>30863</c:v>
                </c:pt>
                <c:pt idx="43">
                  <c:v>30894</c:v>
                </c:pt>
                <c:pt idx="44">
                  <c:v>30925</c:v>
                </c:pt>
                <c:pt idx="45">
                  <c:v>30955</c:v>
                </c:pt>
                <c:pt idx="46">
                  <c:v>30986</c:v>
                </c:pt>
                <c:pt idx="47">
                  <c:v>31016</c:v>
                </c:pt>
                <c:pt idx="48">
                  <c:v>31047</c:v>
                </c:pt>
                <c:pt idx="49">
                  <c:v>31078</c:v>
                </c:pt>
                <c:pt idx="50">
                  <c:v>31106</c:v>
                </c:pt>
                <c:pt idx="51">
                  <c:v>31137</c:v>
                </c:pt>
                <c:pt idx="52">
                  <c:v>31167</c:v>
                </c:pt>
                <c:pt idx="53">
                  <c:v>31198</c:v>
                </c:pt>
                <c:pt idx="54">
                  <c:v>31228</c:v>
                </c:pt>
                <c:pt idx="55">
                  <c:v>31259</c:v>
                </c:pt>
                <c:pt idx="56">
                  <c:v>31290</c:v>
                </c:pt>
                <c:pt idx="57">
                  <c:v>31320</c:v>
                </c:pt>
                <c:pt idx="58">
                  <c:v>31351</c:v>
                </c:pt>
                <c:pt idx="59">
                  <c:v>31381</c:v>
                </c:pt>
                <c:pt idx="60">
                  <c:v>31412</c:v>
                </c:pt>
                <c:pt idx="61">
                  <c:v>31443</c:v>
                </c:pt>
                <c:pt idx="62">
                  <c:v>31471</c:v>
                </c:pt>
                <c:pt idx="63">
                  <c:v>31502</c:v>
                </c:pt>
                <c:pt idx="64">
                  <c:v>31532</c:v>
                </c:pt>
                <c:pt idx="65">
                  <c:v>31563</c:v>
                </c:pt>
                <c:pt idx="66">
                  <c:v>31593</c:v>
                </c:pt>
                <c:pt idx="67">
                  <c:v>31624</c:v>
                </c:pt>
                <c:pt idx="68">
                  <c:v>31655</c:v>
                </c:pt>
                <c:pt idx="69">
                  <c:v>31685</c:v>
                </c:pt>
                <c:pt idx="70">
                  <c:v>31716</c:v>
                </c:pt>
                <c:pt idx="71">
                  <c:v>31746</c:v>
                </c:pt>
                <c:pt idx="72">
                  <c:v>31777</c:v>
                </c:pt>
                <c:pt idx="73">
                  <c:v>31808</c:v>
                </c:pt>
                <c:pt idx="74">
                  <c:v>31836</c:v>
                </c:pt>
                <c:pt idx="75">
                  <c:v>31867</c:v>
                </c:pt>
                <c:pt idx="76">
                  <c:v>31897</c:v>
                </c:pt>
                <c:pt idx="77">
                  <c:v>31928</c:v>
                </c:pt>
                <c:pt idx="78">
                  <c:v>31958</c:v>
                </c:pt>
                <c:pt idx="79">
                  <c:v>31989</c:v>
                </c:pt>
                <c:pt idx="80">
                  <c:v>32020</c:v>
                </c:pt>
                <c:pt idx="81">
                  <c:v>32050</c:v>
                </c:pt>
                <c:pt idx="82">
                  <c:v>32081</c:v>
                </c:pt>
                <c:pt idx="83">
                  <c:v>32111</c:v>
                </c:pt>
                <c:pt idx="84">
                  <c:v>32142</c:v>
                </c:pt>
                <c:pt idx="85">
                  <c:v>32173</c:v>
                </c:pt>
                <c:pt idx="86">
                  <c:v>32202</c:v>
                </c:pt>
                <c:pt idx="87">
                  <c:v>32233</c:v>
                </c:pt>
                <c:pt idx="88">
                  <c:v>32263</c:v>
                </c:pt>
                <c:pt idx="89">
                  <c:v>32294</c:v>
                </c:pt>
                <c:pt idx="90">
                  <c:v>32324</c:v>
                </c:pt>
                <c:pt idx="91">
                  <c:v>32355</c:v>
                </c:pt>
                <c:pt idx="92">
                  <c:v>32386</c:v>
                </c:pt>
                <c:pt idx="93">
                  <c:v>32416</c:v>
                </c:pt>
                <c:pt idx="94">
                  <c:v>32447</c:v>
                </c:pt>
                <c:pt idx="95">
                  <c:v>32477</c:v>
                </c:pt>
                <c:pt idx="96">
                  <c:v>32508</c:v>
                </c:pt>
                <c:pt idx="97">
                  <c:v>32539</c:v>
                </c:pt>
                <c:pt idx="98">
                  <c:v>32567</c:v>
                </c:pt>
                <c:pt idx="99">
                  <c:v>32598</c:v>
                </c:pt>
                <c:pt idx="100">
                  <c:v>32628</c:v>
                </c:pt>
                <c:pt idx="101">
                  <c:v>32659</c:v>
                </c:pt>
                <c:pt idx="102">
                  <c:v>32689</c:v>
                </c:pt>
                <c:pt idx="103">
                  <c:v>32720</c:v>
                </c:pt>
                <c:pt idx="104">
                  <c:v>32751</c:v>
                </c:pt>
                <c:pt idx="105">
                  <c:v>32781</c:v>
                </c:pt>
                <c:pt idx="106">
                  <c:v>32812</c:v>
                </c:pt>
                <c:pt idx="107">
                  <c:v>32842</c:v>
                </c:pt>
                <c:pt idx="108">
                  <c:v>32873</c:v>
                </c:pt>
                <c:pt idx="109">
                  <c:v>32904</c:v>
                </c:pt>
                <c:pt idx="110">
                  <c:v>32932</c:v>
                </c:pt>
                <c:pt idx="111">
                  <c:v>32963</c:v>
                </c:pt>
                <c:pt idx="112">
                  <c:v>32993</c:v>
                </c:pt>
                <c:pt idx="113">
                  <c:v>33024</c:v>
                </c:pt>
                <c:pt idx="114">
                  <c:v>33054</c:v>
                </c:pt>
                <c:pt idx="115">
                  <c:v>33085</c:v>
                </c:pt>
                <c:pt idx="116">
                  <c:v>33116</c:v>
                </c:pt>
                <c:pt idx="117">
                  <c:v>33146</c:v>
                </c:pt>
                <c:pt idx="118">
                  <c:v>33177</c:v>
                </c:pt>
                <c:pt idx="119">
                  <c:v>33207</c:v>
                </c:pt>
                <c:pt idx="120">
                  <c:v>33238</c:v>
                </c:pt>
                <c:pt idx="121">
                  <c:v>33269</c:v>
                </c:pt>
                <c:pt idx="122">
                  <c:v>33297</c:v>
                </c:pt>
                <c:pt idx="123">
                  <c:v>33328</c:v>
                </c:pt>
                <c:pt idx="124">
                  <c:v>33358</c:v>
                </c:pt>
                <c:pt idx="125">
                  <c:v>33389</c:v>
                </c:pt>
                <c:pt idx="126">
                  <c:v>33419</c:v>
                </c:pt>
                <c:pt idx="127">
                  <c:v>33450</c:v>
                </c:pt>
                <c:pt idx="128">
                  <c:v>33481</c:v>
                </c:pt>
                <c:pt idx="129">
                  <c:v>33511</c:v>
                </c:pt>
                <c:pt idx="130">
                  <c:v>33542</c:v>
                </c:pt>
                <c:pt idx="131">
                  <c:v>33572</c:v>
                </c:pt>
                <c:pt idx="132">
                  <c:v>33603</c:v>
                </c:pt>
                <c:pt idx="133">
                  <c:v>33634</c:v>
                </c:pt>
                <c:pt idx="134">
                  <c:v>33663</c:v>
                </c:pt>
                <c:pt idx="135">
                  <c:v>33694</c:v>
                </c:pt>
                <c:pt idx="136">
                  <c:v>33724</c:v>
                </c:pt>
                <c:pt idx="137">
                  <c:v>33755</c:v>
                </c:pt>
                <c:pt idx="138">
                  <c:v>33785</c:v>
                </c:pt>
                <c:pt idx="139">
                  <c:v>33816</c:v>
                </c:pt>
                <c:pt idx="140">
                  <c:v>33847</c:v>
                </c:pt>
                <c:pt idx="141">
                  <c:v>33877</c:v>
                </c:pt>
                <c:pt idx="142">
                  <c:v>33908</c:v>
                </c:pt>
                <c:pt idx="143">
                  <c:v>33938</c:v>
                </c:pt>
                <c:pt idx="144">
                  <c:v>33969</c:v>
                </c:pt>
                <c:pt idx="145">
                  <c:v>34000</c:v>
                </c:pt>
                <c:pt idx="146">
                  <c:v>34028</c:v>
                </c:pt>
                <c:pt idx="147">
                  <c:v>34059</c:v>
                </c:pt>
                <c:pt idx="148">
                  <c:v>34089</c:v>
                </c:pt>
                <c:pt idx="149">
                  <c:v>34120</c:v>
                </c:pt>
                <c:pt idx="150">
                  <c:v>34150</c:v>
                </c:pt>
                <c:pt idx="151">
                  <c:v>34181</c:v>
                </c:pt>
                <c:pt idx="152">
                  <c:v>34212</c:v>
                </c:pt>
                <c:pt idx="153">
                  <c:v>34242</c:v>
                </c:pt>
                <c:pt idx="154">
                  <c:v>34273</c:v>
                </c:pt>
                <c:pt idx="155">
                  <c:v>34303</c:v>
                </c:pt>
                <c:pt idx="156">
                  <c:v>34334</c:v>
                </c:pt>
                <c:pt idx="157">
                  <c:v>34365</c:v>
                </c:pt>
                <c:pt idx="158">
                  <c:v>34393</c:v>
                </c:pt>
                <c:pt idx="159">
                  <c:v>34424</c:v>
                </c:pt>
                <c:pt idx="160">
                  <c:v>34454</c:v>
                </c:pt>
                <c:pt idx="161">
                  <c:v>34485</c:v>
                </c:pt>
                <c:pt idx="162">
                  <c:v>34515</c:v>
                </c:pt>
                <c:pt idx="163">
                  <c:v>34546</c:v>
                </c:pt>
                <c:pt idx="164">
                  <c:v>34577</c:v>
                </c:pt>
                <c:pt idx="165">
                  <c:v>34607</c:v>
                </c:pt>
                <c:pt idx="166">
                  <c:v>34638</c:v>
                </c:pt>
                <c:pt idx="167">
                  <c:v>34668</c:v>
                </c:pt>
                <c:pt idx="168">
                  <c:v>34699</c:v>
                </c:pt>
                <c:pt idx="169">
                  <c:v>34730</c:v>
                </c:pt>
                <c:pt idx="170">
                  <c:v>34758</c:v>
                </c:pt>
                <c:pt idx="171">
                  <c:v>34789</c:v>
                </c:pt>
                <c:pt idx="172">
                  <c:v>34819</c:v>
                </c:pt>
                <c:pt idx="173">
                  <c:v>34850</c:v>
                </c:pt>
                <c:pt idx="174">
                  <c:v>34880</c:v>
                </c:pt>
                <c:pt idx="175">
                  <c:v>34911</c:v>
                </c:pt>
                <c:pt idx="176">
                  <c:v>34942</c:v>
                </c:pt>
                <c:pt idx="177">
                  <c:v>34972</c:v>
                </c:pt>
                <c:pt idx="178">
                  <c:v>35003</c:v>
                </c:pt>
                <c:pt idx="179">
                  <c:v>35033</c:v>
                </c:pt>
                <c:pt idx="180">
                  <c:v>35064</c:v>
                </c:pt>
                <c:pt idx="181">
                  <c:v>35095</c:v>
                </c:pt>
                <c:pt idx="182">
                  <c:v>35124</c:v>
                </c:pt>
                <c:pt idx="183">
                  <c:v>35155</c:v>
                </c:pt>
                <c:pt idx="184">
                  <c:v>35185</c:v>
                </c:pt>
                <c:pt idx="185">
                  <c:v>35216</c:v>
                </c:pt>
                <c:pt idx="186">
                  <c:v>35246</c:v>
                </c:pt>
                <c:pt idx="187">
                  <c:v>35277</c:v>
                </c:pt>
                <c:pt idx="188">
                  <c:v>35308</c:v>
                </c:pt>
                <c:pt idx="189">
                  <c:v>35338</c:v>
                </c:pt>
                <c:pt idx="190">
                  <c:v>35369</c:v>
                </c:pt>
                <c:pt idx="191">
                  <c:v>35399</c:v>
                </c:pt>
                <c:pt idx="192">
                  <c:v>35430</c:v>
                </c:pt>
                <c:pt idx="193">
                  <c:v>35461</c:v>
                </c:pt>
                <c:pt idx="194">
                  <c:v>35489</c:v>
                </c:pt>
                <c:pt idx="195">
                  <c:v>35520</c:v>
                </c:pt>
                <c:pt idx="196">
                  <c:v>35550</c:v>
                </c:pt>
                <c:pt idx="197">
                  <c:v>35581</c:v>
                </c:pt>
                <c:pt idx="198">
                  <c:v>35611</c:v>
                </c:pt>
                <c:pt idx="199">
                  <c:v>35642</c:v>
                </c:pt>
                <c:pt idx="200">
                  <c:v>35673</c:v>
                </c:pt>
                <c:pt idx="201">
                  <c:v>35703</c:v>
                </c:pt>
                <c:pt idx="202">
                  <c:v>35734</c:v>
                </c:pt>
                <c:pt idx="203">
                  <c:v>35764</c:v>
                </c:pt>
                <c:pt idx="204">
                  <c:v>35795</c:v>
                </c:pt>
                <c:pt idx="205">
                  <c:v>35826</c:v>
                </c:pt>
                <c:pt idx="206">
                  <c:v>35854</c:v>
                </c:pt>
                <c:pt idx="207">
                  <c:v>35885</c:v>
                </c:pt>
                <c:pt idx="208">
                  <c:v>35915</c:v>
                </c:pt>
                <c:pt idx="209">
                  <c:v>35946</c:v>
                </c:pt>
                <c:pt idx="210">
                  <c:v>35976</c:v>
                </c:pt>
                <c:pt idx="211">
                  <c:v>36007</c:v>
                </c:pt>
                <c:pt idx="212">
                  <c:v>36038</c:v>
                </c:pt>
                <c:pt idx="213">
                  <c:v>36068</c:v>
                </c:pt>
                <c:pt idx="214">
                  <c:v>36099</c:v>
                </c:pt>
                <c:pt idx="215">
                  <c:v>36129</c:v>
                </c:pt>
                <c:pt idx="216">
                  <c:v>36160</c:v>
                </c:pt>
                <c:pt idx="217">
                  <c:v>36191</c:v>
                </c:pt>
                <c:pt idx="218">
                  <c:v>36219</c:v>
                </c:pt>
                <c:pt idx="219">
                  <c:v>36250</c:v>
                </c:pt>
                <c:pt idx="220">
                  <c:v>36280</c:v>
                </c:pt>
                <c:pt idx="221">
                  <c:v>36311</c:v>
                </c:pt>
                <c:pt idx="222">
                  <c:v>36341</c:v>
                </c:pt>
                <c:pt idx="223">
                  <c:v>36372</c:v>
                </c:pt>
                <c:pt idx="224">
                  <c:v>36403</c:v>
                </c:pt>
                <c:pt idx="225">
                  <c:v>36433</c:v>
                </c:pt>
                <c:pt idx="226">
                  <c:v>36464</c:v>
                </c:pt>
                <c:pt idx="227">
                  <c:v>36494</c:v>
                </c:pt>
                <c:pt idx="228">
                  <c:v>36525</c:v>
                </c:pt>
                <c:pt idx="229">
                  <c:v>36556</c:v>
                </c:pt>
                <c:pt idx="230">
                  <c:v>36585</c:v>
                </c:pt>
                <c:pt idx="231">
                  <c:v>36616</c:v>
                </c:pt>
                <c:pt idx="232">
                  <c:v>36646</c:v>
                </c:pt>
                <c:pt idx="233">
                  <c:v>36677</c:v>
                </c:pt>
                <c:pt idx="234">
                  <c:v>36707</c:v>
                </c:pt>
                <c:pt idx="235">
                  <c:v>36738</c:v>
                </c:pt>
                <c:pt idx="236">
                  <c:v>36769</c:v>
                </c:pt>
                <c:pt idx="237">
                  <c:v>36799</c:v>
                </c:pt>
                <c:pt idx="238">
                  <c:v>36830</c:v>
                </c:pt>
                <c:pt idx="239">
                  <c:v>36860</c:v>
                </c:pt>
                <c:pt idx="240">
                  <c:v>36891</c:v>
                </c:pt>
                <c:pt idx="241">
                  <c:v>36922</c:v>
                </c:pt>
                <c:pt idx="242">
                  <c:v>36950</c:v>
                </c:pt>
                <c:pt idx="243">
                  <c:v>36981</c:v>
                </c:pt>
                <c:pt idx="244">
                  <c:v>37011</c:v>
                </c:pt>
                <c:pt idx="245">
                  <c:v>37042</c:v>
                </c:pt>
                <c:pt idx="246">
                  <c:v>37072</c:v>
                </c:pt>
                <c:pt idx="247">
                  <c:v>37103</c:v>
                </c:pt>
                <c:pt idx="248">
                  <c:v>37134</c:v>
                </c:pt>
                <c:pt idx="249">
                  <c:v>37164</c:v>
                </c:pt>
                <c:pt idx="250">
                  <c:v>37195</c:v>
                </c:pt>
                <c:pt idx="251">
                  <c:v>37225</c:v>
                </c:pt>
                <c:pt idx="252">
                  <c:v>37256</c:v>
                </c:pt>
                <c:pt idx="253">
                  <c:v>37287</c:v>
                </c:pt>
                <c:pt idx="254">
                  <c:v>37315</c:v>
                </c:pt>
                <c:pt idx="255">
                  <c:v>37346</c:v>
                </c:pt>
                <c:pt idx="256">
                  <c:v>37376</c:v>
                </c:pt>
                <c:pt idx="257">
                  <c:v>37407</c:v>
                </c:pt>
                <c:pt idx="258">
                  <c:v>37437</c:v>
                </c:pt>
                <c:pt idx="259">
                  <c:v>37468</c:v>
                </c:pt>
                <c:pt idx="260">
                  <c:v>37499</c:v>
                </c:pt>
                <c:pt idx="261">
                  <c:v>37529</c:v>
                </c:pt>
                <c:pt idx="262">
                  <c:v>37560</c:v>
                </c:pt>
                <c:pt idx="263">
                  <c:v>37590</c:v>
                </c:pt>
                <c:pt idx="264">
                  <c:v>37621</c:v>
                </c:pt>
                <c:pt idx="265">
                  <c:v>37652</c:v>
                </c:pt>
                <c:pt idx="266">
                  <c:v>37680</c:v>
                </c:pt>
                <c:pt idx="267">
                  <c:v>37711</c:v>
                </c:pt>
                <c:pt idx="268">
                  <c:v>37741</c:v>
                </c:pt>
                <c:pt idx="269">
                  <c:v>37772</c:v>
                </c:pt>
                <c:pt idx="270">
                  <c:v>37802</c:v>
                </c:pt>
                <c:pt idx="271">
                  <c:v>37833</c:v>
                </c:pt>
                <c:pt idx="272">
                  <c:v>37864</c:v>
                </c:pt>
                <c:pt idx="273">
                  <c:v>37894</c:v>
                </c:pt>
                <c:pt idx="274">
                  <c:v>37925</c:v>
                </c:pt>
                <c:pt idx="275">
                  <c:v>37955</c:v>
                </c:pt>
                <c:pt idx="276">
                  <c:v>37986</c:v>
                </c:pt>
                <c:pt idx="277">
                  <c:v>38017</c:v>
                </c:pt>
                <c:pt idx="278">
                  <c:v>38046</c:v>
                </c:pt>
                <c:pt idx="279">
                  <c:v>38077</c:v>
                </c:pt>
                <c:pt idx="280">
                  <c:v>38107</c:v>
                </c:pt>
                <c:pt idx="281">
                  <c:v>38138</c:v>
                </c:pt>
                <c:pt idx="282">
                  <c:v>38168</c:v>
                </c:pt>
                <c:pt idx="283">
                  <c:v>38199</c:v>
                </c:pt>
                <c:pt idx="284">
                  <c:v>38230</c:v>
                </c:pt>
                <c:pt idx="285">
                  <c:v>38260</c:v>
                </c:pt>
                <c:pt idx="286">
                  <c:v>38291</c:v>
                </c:pt>
                <c:pt idx="287">
                  <c:v>38321</c:v>
                </c:pt>
                <c:pt idx="288">
                  <c:v>38352</c:v>
                </c:pt>
                <c:pt idx="289">
                  <c:v>38383</c:v>
                </c:pt>
                <c:pt idx="290">
                  <c:v>38411</c:v>
                </c:pt>
                <c:pt idx="291">
                  <c:v>38442</c:v>
                </c:pt>
                <c:pt idx="292">
                  <c:v>38472</c:v>
                </c:pt>
                <c:pt idx="293">
                  <c:v>38503</c:v>
                </c:pt>
                <c:pt idx="294">
                  <c:v>38533</c:v>
                </c:pt>
                <c:pt idx="295">
                  <c:v>38564</c:v>
                </c:pt>
                <c:pt idx="296">
                  <c:v>38595</c:v>
                </c:pt>
                <c:pt idx="297">
                  <c:v>38625</c:v>
                </c:pt>
                <c:pt idx="298">
                  <c:v>38656</c:v>
                </c:pt>
                <c:pt idx="299">
                  <c:v>38686</c:v>
                </c:pt>
                <c:pt idx="300">
                  <c:v>38717</c:v>
                </c:pt>
                <c:pt idx="301">
                  <c:v>38748</c:v>
                </c:pt>
                <c:pt idx="302">
                  <c:v>38776</c:v>
                </c:pt>
                <c:pt idx="303">
                  <c:v>38807</c:v>
                </c:pt>
                <c:pt idx="304">
                  <c:v>38837</c:v>
                </c:pt>
                <c:pt idx="305">
                  <c:v>38868</c:v>
                </c:pt>
                <c:pt idx="306">
                  <c:v>38898</c:v>
                </c:pt>
                <c:pt idx="307">
                  <c:v>38929</c:v>
                </c:pt>
                <c:pt idx="308">
                  <c:v>38960</c:v>
                </c:pt>
                <c:pt idx="309">
                  <c:v>38990</c:v>
                </c:pt>
                <c:pt idx="310">
                  <c:v>39021</c:v>
                </c:pt>
                <c:pt idx="311">
                  <c:v>39051</c:v>
                </c:pt>
                <c:pt idx="312">
                  <c:v>39082</c:v>
                </c:pt>
                <c:pt idx="313">
                  <c:v>39113</c:v>
                </c:pt>
                <c:pt idx="314">
                  <c:v>39141</c:v>
                </c:pt>
                <c:pt idx="315">
                  <c:v>39172</c:v>
                </c:pt>
                <c:pt idx="316">
                  <c:v>39202</c:v>
                </c:pt>
                <c:pt idx="317">
                  <c:v>39233</c:v>
                </c:pt>
                <c:pt idx="318">
                  <c:v>39263</c:v>
                </c:pt>
                <c:pt idx="319">
                  <c:v>39294</c:v>
                </c:pt>
                <c:pt idx="320">
                  <c:v>39325</c:v>
                </c:pt>
                <c:pt idx="321">
                  <c:v>39355</c:v>
                </c:pt>
                <c:pt idx="322">
                  <c:v>39386</c:v>
                </c:pt>
                <c:pt idx="323">
                  <c:v>39416</c:v>
                </c:pt>
                <c:pt idx="324">
                  <c:v>39447</c:v>
                </c:pt>
                <c:pt idx="325">
                  <c:v>39478</c:v>
                </c:pt>
                <c:pt idx="326">
                  <c:v>39507</c:v>
                </c:pt>
                <c:pt idx="327">
                  <c:v>39538</c:v>
                </c:pt>
                <c:pt idx="328">
                  <c:v>39568</c:v>
                </c:pt>
                <c:pt idx="329">
                  <c:v>39599</c:v>
                </c:pt>
                <c:pt idx="330">
                  <c:v>39629</c:v>
                </c:pt>
                <c:pt idx="331">
                  <c:v>39660</c:v>
                </c:pt>
                <c:pt idx="332">
                  <c:v>39691</c:v>
                </c:pt>
              </c:numCache>
            </c:numRef>
          </c:cat>
          <c:val>
            <c:numRef>
              <c:f>'Returns Value_Growth'!$D$68:$D$400</c:f>
              <c:numCache>
                <c:formatCode>0.00</c:formatCode>
                <c:ptCount val="333"/>
                <c:pt idx="0">
                  <c:v>-16.164311166885213</c:v>
                </c:pt>
                <c:pt idx="1">
                  <c:v>-7.7714686108559796</c:v>
                </c:pt>
                <c:pt idx="2">
                  <c:v>-10.289651311413085</c:v>
                </c:pt>
                <c:pt idx="3">
                  <c:v>-8.3809004497332538</c:v>
                </c:pt>
                <c:pt idx="4">
                  <c:v>-6.0726903564052748</c:v>
                </c:pt>
                <c:pt idx="5">
                  <c:v>-5.5786986954966302</c:v>
                </c:pt>
                <c:pt idx="6">
                  <c:v>-2.298634393442601</c:v>
                </c:pt>
                <c:pt idx="7">
                  <c:v>-2.9239167739125271</c:v>
                </c:pt>
                <c:pt idx="8">
                  <c:v>-1.1086177937145392</c:v>
                </c:pt>
                <c:pt idx="9">
                  <c:v>4.4429933856003689</c:v>
                </c:pt>
                <c:pt idx="10">
                  <c:v>5.2651151876796254</c:v>
                </c:pt>
                <c:pt idx="11">
                  <c:v>12.484566563201906</c:v>
                </c:pt>
                <c:pt idx="12">
                  <c:v>10.059154177865404</c:v>
                </c:pt>
                <c:pt idx="13">
                  <c:v>4.8349256272531171</c:v>
                </c:pt>
                <c:pt idx="14">
                  <c:v>23.21144886704495</c:v>
                </c:pt>
                <c:pt idx="15">
                  <c:v>9.1938163725275857</c:v>
                </c:pt>
                <c:pt idx="16">
                  <c:v>3.5954715101548587</c:v>
                </c:pt>
                <c:pt idx="17">
                  <c:v>3.4050609206783253</c:v>
                </c:pt>
                <c:pt idx="18">
                  <c:v>2.0408631966562183</c:v>
                </c:pt>
                <c:pt idx="19">
                  <c:v>3.0277092348546368</c:v>
                </c:pt>
                <c:pt idx="20">
                  <c:v>3.6197243540256441</c:v>
                </c:pt>
                <c:pt idx="21">
                  <c:v>3.1498326061996096E-2</c:v>
                </c:pt>
                <c:pt idx="22">
                  <c:v>3.0340653877587194</c:v>
                </c:pt>
                <c:pt idx="23">
                  <c:v>0.13951461796215625</c:v>
                </c:pt>
                <c:pt idx="24">
                  <c:v>-0.99406793037801933</c:v>
                </c:pt>
                <c:pt idx="25">
                  <c:v>2.61987624481905</c:v>
                </c:pt>
                <c:pt idx="26">
                  <c:v>-30.77152101643636</c:v>
                </c:pt>
                <c:pt idx="27">
                  <c:v>-4.9665954832321333</c:v>
                </c:pt>
                <c:pt idx="28">
                  <c:v>0.77157149147161874</c:v>
                </c:pt>
                <c:pt idx="29">
                  <c:v>1.6568962882600431</c:v>
                </c:pt>
                <c:pt idx="30">
                  <c:v>-3.9007304988594171</c:v>
                </c:pt>
                <c:pt idx="31">
                  <c:v>3.7313172312503937</c:v>
                </c:pt>
                <c:pt idx="32">
                  <c:v>6.7450059729877481</c:v>
                </c:pt>
                <c:pt idx="33">
                  <c:v>6.9931306770571311</c:v>
                </c:pt>
                <c:pt idx="34">
                  <c:v>8.3294664983174513</c:v>
                </c:pt>
                <c:pt idx="35">
                  <c:v>10.995761844035904</c:v>
                </c:pt>
                <c:pt idx="36">
                  <c:v>12.649903267518294</c:v>
                </c:pt>
                <c:pt idx="37">
                  <c:v>15.871008757246475</c:v>
                </c:pt>
                <c:pt idx="38">
                  <c:v>17.898315464705881</c:v>
                </c:pt>
                <c:pt idx="39">
                  <c:v>16.073142869474211</c:v>
                </c:pt>
                <c:pt idx="40">
                  <c:v>13.765585945801851</c:v>
                </c:pt>
                <c:pt idx="41">
                  <c:v>11.652044279043583</c:v>
                </c:pt>
                <c:pt idx="42">
                  <c:v>13.255622796565547</c:v>
                </c:pt>
                <c:pt idx="43">
                  <c:v>8.9743168311990686</c:v>
                </c:pt>
                <c:pt idx="44">
                  <c:v>7.2681386640700349</c:v>
                </c:pt>
                <c:pt idx="45">
                  <c:v>11.405528700553436</c:v>
                </c:pt>
                <c:pt idx="46">
                  <c:v>8.350144739148746</c:v>
                </c:pt>
                <c:pt idx="47">
                  <c:v>9.0171092548567486</c:v>
                </c:pt>
                <c:pt idx="48">
                  <c:v>8.1825079770582185</c:v>
                </c:pt>
                <c:pt idx="49">
                  <c:v>1.8183688517465519</c:v>
                </c:pt>
                <c:pt idx="50">
                  <c:v>-0.63836825208800718</c:v>
                </c:pt>
                <c:pt idx="51">
                  <c:v>1.0288126249962559</c:v>
                </c:pt>
                <c:pt idx="52">
                  <c:v>3.7206484530515578</c:v>
                </c:pt>
                <c:pt idx="53">
                  <c:v>3.4506569968024223</c:v>
                </c:pt>
                <c:pt idx="54">
                  <c:v>4.7919917595690791</c:v>
                </c:pt>
                <c:pt idx="55">
                  <c:v>7.3040987405133464</c:v>
                </c:pt>
                <c:pt idx="56">
                  <c:v>5.6803686702818332</c:v>
                </c:pt>
                <c:pt idx="57">
                  <c:v>2.9669028463124469</c:v>
                </c:pt>
                <c:pt idx="58">
                  <c:v>5.5776999911863143</c:v>
                </c:pt>
                <c:pt idx="59">
                  <c:v>-0.15808409462190198</c:v>
                </c:pt>
                <c:pt idx="60">
                  <c:v>-3.6374604743078187</c:v>
                </c:pt>
                <c:pt idx="61">
                  <c:v>-0.49160928115394853</c:v>
                </c:pt>
                <c:pt idx="62">
                  <c:v>-0.22814377732347779</c:v>
                </c:pt>
                <c:pt idx="63">
                  <c:v>-2.1016373262765953</c:v>
                </c:pt>
                <c:pt idx="64">
                  <c:v>-9.5201655710280875</c:v>
                </c:pt>
                <c:pt idx="65">
                  <c:v>-8.0334034373026135</c:v>
                </c:pt>
                <c:pt idx="66">
                  <c:v>-7.5736543300949322</c:v>
                </c:pt>
                <c:pt idx="67">
                  <c:v>-4.7892271722250968</c:v>
                </c:pt>
                <c:pt idx="68">
                  <c:v>-0.12149609713887344</c:v>
                </c:pt>
                <c:pt idx="69">
                  <c:v>4.3537270180630046</c:v>
                </c:pt>
                <c:pt idx="70">
                  <c:v>1.6770565040930663</c:v>
                </c:pt>
                <c:pt idx="71">
                  <c:v>5.0448621660267285</c:v>
                </c:pt>
                <c:pt idx="72">
                  <c:v>7.1735024764992392</c:v>
                </c:pt>
                <c:pt idx="73">
                  <c:v>5.3170036257282689</c:v>
                </c:pt>
                <c:pt idx="74">
                  <c:v>-1.5344041992353858</c:v>
                </c:pt>
                <c:pt idx="75">
                  <c:v>0.76485731026103565</c:v>
                </c:pt>
                <c:pt idx="76">
                  <c:v>5.3258718307192865</c:v>
                </c:pt>
                <c:pt idx="77">
                  <c:v>4.5736826410298619</c:v>
                </c:pt>
                <c:pt idx="78">
                  <c:v>5.0370841018105175</c:v>
                </c:pt>
                <c:pt idx="79">
                  <c:v>1.3543119522560332</c:v>
                </c:pt>
                <c:pt idx="80">
                  <c:v>-5.9876457618548642</c:v>
                </c:pt>
                <c:pt idx="81">
                  <c:v>-11.330791254161767</c:v>
                </c:pt>
                <c:pt idx="82">
                  <c:v>-3.6302990284265757</c:v>
                </c:pt>
                <c:pt idx="83">
                  <c:v>-1.2422247553818933</c:v>
                </c:pt>
                <c:pt idx="84">
                  <c:v>-2.8200962085034531</c:v>
                </c:pt>
                <c:pt idx="85">
                  <c:v>2.0006955261161026</c:v>
                </c:pt>
                <c:pt idx="86">
                  <c:v>6.909191051376129</c:v>
                </c:pt>
                <c:pt idx="87">
                  <c:v>7.2873923937704195</c:v>
                </c:pt>
                <c:pt idx="88">
                  <c:v>7.2990351512632667</c:v>
                </c:pt>
                <c:pt idx="89">
                  <c:v>8.3640684850157854</c:v>
                </c:pt>
                <c:pt idx="90">
                  <c:v>7.8800705654017307</c:v>
                </c:pt>
                <c:pt idx="91">
                  <c:v>8.8832982754683307</c:v>
                </c:pt>
                <c:pt idx="92">
                  <c:v>9.669308638788042</c:v>
                </c:pt>
                <c:pt idx="93">
                  <c:v>9.0386379404666073</c:v>
                </c:pt>
                <c:pt idx="94">
                  <c:v>9.2429943006550062</c:v>
                </c:pt>
                <c:pt idx="95">
                  <c:v>9.1837620578131478</c:v>
                </c:pt>
                <c:pt idx="96">
                  <c:v>9.7288237581478967</c:v>
                </c:pt>
                <c:pt idx="97">
                  <c:v>4.8663658029745491</c:v>
                </c:pt>
                <c:pt idx="98">
                  <c:v>5.2720921541389067</c:v>
                </c:pt>
                <c:pt idx="99">
                  <c:v>4.0176652058722127</c:v>
                </c:pt>
                <c:pt idx="100">
                  <c:v>2.9203420809954537</c:v>
                </c:pt>
                <c:pt idx="101">
                  <c:v>1.2350947456672756</c:v>
                </c:pt>
                <c:pt idx="102">
                  <c:v>2.3720641613863123</c:v>
                </c:pt>
                <c:pt idx="103">
                  <c:v>-2.9275987037115776</c:v>
                </c:pt>
                <c:pt idx="104">
                  <c:v>-3.6198944623760312</c:v>
                </c:pt>
                <c:pt idx="105">
                  <c:v>-4.3650429705619729</c:v>
                </c:pt>
                <c:pt idx="106">
                  <c:v>-7.3745137218313097</c:v>
                </c:pt>
                <c:pt idx="107">
                  <c:v>-11.672654982235152</c:v>
                </c:pt>
                <c:pt idx="108">
                  <c:v>-10.270846128218139</c:v>
                </c:pt>
                <c:pt idx="109">
                  <c:v>-7.1394683602538773</c:v>
                </c:pt>
                <c:pt idx="110">
                  <c:v>-6.3341246747620428</c:v>
                </c:pt>
                <c:pt idx="111">
                  <c:v>-10.240463053350512</c:v>
                </c:pt>
                <c:pt idx="112">
                  <c:v>-10.860519771424126</c:v>
                </c:pt>
                <c:pt idx="113">
                  <c:v>-14.44710937079514</c:v>
                </c:pt>
                <c:pt idx="114">
                  <c:v>-17.439955855524538</c:v>
                </c:pt>
                <c:pt idx="115">
                  <c:v>-11.404440756319858</c:v>
                </c:pt>
                <c:pt idx="116">
                  <c:v>-10.382671947580469</c:v>
                </c:pt>
                <c:pt idx="117">
                  <c:v>-8.2108845318166086</c:v>
                </c:pt>
                <c:pt idx="118">
                  <c:v>-8.6695853172339525</c:v>
                </c:pt>
                <c:pt idx="119">
                  <c:v>-6.2250583860842141</c:v>
                </c:pt>
                <c:pt idx="120">
                  <c:v>-7.0469731923845096</c:v>
                </c:pt>
                <c:pt idx="121">
                  <c:v>-9.1512068699527429</c:v>
                </c:pt>
                <c:pt idx="122">
                  <c:v>-12.630628726112892</c:v>
                </c:pt>
                <c:pt idx="123">
                  <c:v>-12.686018682431133</c:v>
                </c:pt>
                <c:pt idx="124">
                  <c:v>-9.7583697048904128</c:v>
                </c:pt>
                <c:pt idx="125">
                  <c:v>-4.7987164620743261</c:v>
                </c:pt>
                <c:pt idx="126">
                  <c:v>-3.1018026658624409</c:v>
                </c:pt>
                <c:pt idx="127">
                  <c:v>-5.4662326359108846</c:v>
                </c:pt>
                <c:pt idx="128">
                  <c:v>-8.9265450478946953</c:v>
                </c:pt>
                <c:pt idx="129">
                  <c:v>-8.4444818276829139</c:v>
                </c:pt>
                <c:pt idx="130">
                  <c:v>-5.4883238272788404</c:v>
                </c:pt>
                <c:pt idx="131">
                  <c:v>-9.6387739059040634</c:v>
                </c:pt>
                <c:pt idx="132">
                  <c:v>-15.811172583618706</c:v>
                </c:pt>
                <c:pt idx="133">
                  <c:v>-11.157071735563441</c:v>
                </c:pt>
                <c:pt idx="134">
                  <c:v>-7.572580406963338</c:v>
                </c:pt>
                <c:pt idx="135">
                  <c:v>-3.2933313271980236</c:v>
                </c:pt>
                <c:pt idx="136">
                  <c:v>-0.26723129386980737</c:v>
                </c:pt>
                <c:pt idx="137">
                  <c:v>-1.846506538784908</c:v>
                </c:pt>
                <c:pt idx="138">
                  <c:v>0.4706304119493474</c:v>
                </c:pt>
                <c:pt idx="139">
                  <c:v>0.97946049136092839</c:v>
                </c:pt>
                <c:pt idx="140">
                  <c:v>0.87655211561312818</c:v>
                </c:pt>
                <c:pt idx="141">
                  <c:v>-0.47297089580045082</c:v>
                </c:pt>
                <c:pt idx="142">
                  <c:v>-3.2499399852668365</c:v>
                </c:pt>
                <c:pt idx="143">
                  <c:v>-1.2789431199288224</c:v>
                </c:pt>
                <c:pt idx="144">
                  <c:v>5.4676656560936232</c:v>
                </c:pt>
                <c:pt idx="145">
                  <c:v>5.8670716921683344</c:v>
                </c:pt>
                <c:pt idx="146">
                  <c:v>8.9470267584051513</c:v>
                </c:pt>
                <c:pt idx="147">
                  <c:v>9.9538823764961251</c:v>
                </c:pt>
                <c:pt idx="148">
                  <c:v>10.091543190840113</c:v>
                </c:pt>
                <c:pt idx="149">
                  <c:v>9.0348861724544705</c:v>
                </c:pt>
                <c:pt idx="150">
                  <c:v>10.207064963463418</c:v>
                </c:pt>
                <c:pt idx="151">
                  <c:v>14.299375813657388</c:v>
                </c:pt>
                <c:pt idx="152">
                  <c:v>17.506957870827655</c:v>
                </c:pt>
                <c:pt idx="153">
                  <c:v>18.963913164485113</c:v>
                </c:pt>
                <c:pt idx="154">
                  <c:v>18.359614872192509</c:v>
                </c:pt>
                <c:pt idx="155">
                  <c:v>17.095662462510617</c:v>
                </c:pt>
                <c:pt idx="156">
                  <c:v>16.92629668200636</c:v>
                </c:pt>
                <c:pt idx="157">
                  <c:v>15.819461685847955</c:v>
                </c:pt>
                <c:pt idx="158">
                  <c:v>8.6005748243491951</c:v>
                </c:pt>
                <c:pt idx="159">
                  <c:v>7.2537364455306559</c:v>
                </c:pt>
                <c:pt idx="160">
                  <c:v>4.7038923050022774</c:v>
                </c:pt>
                <c:pt idx="161">
                  <c:v>6.3951027158161811</c:v>
                </c:pt>
                <c:pt idx="162">
                  <c:v>3.3682924265328373</c:v>
                </c:pt>
                <c:pt idx="163">
                  <c:v>0.20878560324315565</c:v>
                </c:pt>
                <c:pt idx="164">
                  <c:v>-2.6179302517828296</c:v>
                </c:pt>
                <c:pt idx="165">
                  <c:v>-6.1942708785021727</c:v>
                </c:pt>
                <c:pt idx="166">
                  <c:v>-3.2928581764685161</c:v>
                </c:pt>
                <c:pt idx="167">
                  <c:v>-2.2630605411865679</c:v>
                </c:pt>
                <c:pt idx="168">
                  <c:v>-3.7684644740593964</c:v>
                </c:pt>
                <c:pt idx="169">
                  <c:v>-5.9694114794922593</c:v>
                </c:pt>
                <c:pt idx="170">
                  <c:v>-4.3755282761662064</c:v>
                </c:pt>
                <c:pt idx="171">
                  <c:v>-5.7454928462783208</c:v>
                </c:pt>
                <c:pt idx="172">
                  <c:v>-6.9703186517642965</c:v>
                </c:pt>
                <c:pt idx="173">
                  <c:v>-6.1597032016699629</c:v>
                </c:pt>
                <c:pt idx="174">
                  <c:v>-9.4183570230170552</c:v>
                </c:pt>
                <c:pt idx="175">
                  <c:v>-9.344999294619516</c:v>
                </c:pt>
                <c:pt idx="176">
                  <c:v>-4.6408049881151001</c:v>
                </c:pt>
                <c:pt idx="177">
                  <c:v>-4.204118965422829</c:v>
                </c:pt>
                <c:pt idx="178">
                  <c:v>-6.6955795642440243</c:v>
                </c:pt>
                <c:pt idx="179">
                  <c:v>-4.0046391032227504</c:v>
                </c:pt>
                <c:pt idx="180">
                  <c:v>-1.1373288055031239</c:v>
                </c:pt>
                <c:pt idx="181">
                  <c:v>-2.5554413749935065</c:v>
                </c:pt>
                <c:pt idx="182">
                  <c:v>-2.4260951665571184</c:v>
                </c:pt>
                <c:pt idx="183">
                  <c:v>1.7184009537289029</c:v>
                </c:pt>
                <c:pt idx="184">
                  <c:v>-0.36682055284840231</c:v>
                </c:pt>
                <c:pt idx="185">
                  <c:v>-4.1537238817459325</c:v>
                </c:pt>
                <c:pt idx="186">
                  <c:v>-2.4679297675245913</c:v>
                </c:pt>
                <c:pt idx="187">
                  <c:v>-2.0943710793578809</c:v>
                </c:pt>
                <c:pt idx="188">
                  <c:v>-2.0409145677858334</c:v>
                </c:pt>
                <c:pt idx="189">
                  <c:v>-3.4057445110466915</c:v>
                </c:pt>
                <c:pt idx="190">
                  <c:v>0.8997481849296598</c:v>
                </c:pt>
                <c:pt idx="191">
                  <c:v>-0.87170763027122078</c:v>
                </c:pt>
                <c:pt idx="192">
                  <c:v>-1.9732858904711676</c:v>
                </c:pt>
                <c:pt idx="193">
                  <c:v>-4.8565056220636116</c:v>
                </c:pt>
                <c:pt idx="194">
                  <c:v>-5.0120573683516874</c:v>
                </c:pt>
                <c:pt idx="195">
                  <c:v>-6.3780347425578476</c:v>
                </c:pt>
                <c:pt idx="196">
                  <c:v>-10.622543232554229</c:v>
                </c:pt>
                <c:pt idx="197">
                  <c:v>-7.8280772117601991</c:v>
                </c:pt>
                <c:pt idx="198">
                  <c:v>-7.436840146619339</c:v>
                </c:pt>
                <c:pt idx="199">
                  <c:v>-8.9049241717434882</c:v>
                </c:pt>
                <c:pt idx="200">
                  <c:v>-6.8176681632938099</c:v>
                </c:pt>
                <c:pt idx="201">
                  <c:v>-2.2616125682358259</c:v>
                </c:pt>
                <c:pt idx="202">
                  <c:v>-4.6072838290828173</c:v>
                </c:pt>
                <c:pt idx="203">
                  <c:v>-6.6723758610054418</c:v>
                </c:pt>
                <c:pt idx="204">
                  <c:v>-6.5439332105712502</c:v>
                </c:pt>
                <c:pt idx="205">
                  <c:v>-8.1410660603719265</c:v>
                </c:pt>
                <c:pt idx="206">
                  <c:v>-7.8227222009415129</c:v>
                </c:pt>
                <c:pt idx="207">
                  <c:v>-10.773085897895676</c:v>
                </c:pt>
                <c:pt idx="208">
                  <c:v>-4.0354337248197822</c:v>
                </c:pt>
                <c:pt idx="209">
                  <c:v>-3.3679116587670208</c:v>
                </c:pt>
                <c:pt idx="210">
                  <c:v>-9.7583366494919943</c:v>
                </c:pt>
                <c:pt idx="211">
                  <c:v>-11.574339119060783</c:v>
                </c:pt>
                <c:pt idx="212">
                  <c:v>-16.789752470907715</c:v>
                </c:pt>
                <c:pt idx="213">
                  <c:v>-18.351412388636554</c:v>
                </c:pt>
                <c:pt idx="214">
                  <c:v>-20.30766986767949</c:v>
                </c:pt>
                <c:pt idx="215">
                  <c:v>-20.492495877788897</c:v>
                </c:pt>
                <c:pt idx="216">
                  <c:v>-27.479167301568982</c:v>
                </c:pt>
                <c:pt idx="217">
                  <c:v>-27.479831182071489</c:v>
                </c:pt>
                <c:pt idx="218">
                  <c:v>-23.283590328691517</c:v>
                </c:pt>
                <c:pt idx="219">
                  <c:v>-24.960494591874664</c:v>
                </c:pt>
                <c:pt idx="220">
                  <c:v>-15.851836416127398</c:v>
                </c:pt>
                <c:pt idx="221">
                  <c:v>-15.066653390518937</c:v>
                </c:pt>
                <c:pt idx="222">
                  <c:v>-11.645663372884972</c:v>
                </c:pt>
                <c:pt idx="223">
                  <c:v>-8.7385242013181781</c:v>
                </c:pt>
                <c:pt idx="224">
                  <c:v>-10.651287150201185</c:v>
                </c:pt>
                <c:pt idx="225">
                  <c:v>-11.892332412083139</c:v>
                </c:pt>
                <c:pt idx="226">
                  <c:v>-12.548956842319736</c:v>
                </c:pt>
                <c:pt idx="227">
                  <c:v>-16.028933421040261</c:v>
                </c:pt>
                <c:pt idx="228">
                  <c:v>-15.519879612070266</c:v>
                </c:pt>
                <c:pt idx="229">
                  <c:v>-5.8346090404311157</c:v>
                </c:pt>
                <c:pt idx="230">
                  <c:v>-17.383634667988623</c:v>
                </c:pt>
                <c:pt idx="231">
                  <c:v>-15.06144842251167</c:v>
                </c:pt>
                <c:pt idx="232">
                  <c:v>-18.50508217846696</c:v>
                </c:pt>
                <c:pt idx="233">
                  <c:v>-14.954340937154843</c:v>
                </c:pt>
                <c:pt idx="234">
                  <c:v>-23.651967622101477</c:v>
                </c:pt>
                <c:pt idx="235">
                  <c:v>-17.105294827325249</c:v>
                </c:pt>
                <c:pt idx="236">
                  <c:v>-12.725585060100418</c:v>
                </c:pt>
                <c:pt idx="237">
                  <c:v>1.7066762707754073</c:v>
                </c:pt>
                <c:pt idx="238">
                  <c:v>7.6121547800499521</c:v>
                </c:pt>
                <c:pt idx="239">
                  <c:v>17.204824028345801</c:v>
                </c:pt>
                <c:pt idx="240">
                  <c:v>28.161970922201515</c:v>
                </c:pt>
                <c:pt idx="241">
                  <c:v>28.334525919594356</c:v>
                </c:pt>
                <c:pt idx="242">
                  <c:v>39.518246439686919</c:v>
                </c:pt>
                <c:pt idx="243">
                  <c:v>37.117936918824874</c:v>
                </c:pt>
                <c:pt idx="244">
                  <c:v>35.511295617799291</c:v>
                </c:pt>
                <c:pt idx="245">
                  <c:v>33.102951071584606</c:v>
                </c:pt>
                <c:pt idx="246">
                  <c:v>40.352407773675438</c:v>
                </c:pt>
                <c:pt idx="247">
                  <c:v>33.442823167438</c:v>
                </c:pt>
                <c:pt idx="248">
                  <c:v>29.615490381997191</c:v>
                </c:pt>
                <c:pt idx="249">
                  <c:v>18.811465853763622</c:v>
                </c:pt>
                <c:pt idx="250">
                  <c:v>13.142468938855288</c:v>
                </c:pt>
                <c:pt idx="251">
                  <c:v>8.075402919595442</c:v>
                </c:pt>
                <c:pt idx="252">
                  <c:v>1.0233183343014591</c:v>
                </c:pt>
                <c:pt idx="253">
                  <c:v>-2.3296150896014343</c:v>
                </c:pt>
                <c:pt idx="254">
                  <c:v>-5.7164139655613173</c:v>
                </c:pt>
                <c:pt idx="255">
                  <c:v>-9.1243831487591187</c:v>
                </c:pt>
                <c:pt idx="256">
                  <c:v>-4.2105295524007431</c:v>
                </c:pt>
                <c:pt idx="257">
                  <c:v>-2.8168020446544979</c:v>
                </c:pt>
                <c:pt idx="258">
                  <c:v>0.41133593428505222</c:v>
                </c:pt>
                <c:pt idx="259">
                  <c:v>-3.4490619234204623</c:v>
                </c:pt>
                <c:pt idx="260">
                  <c:v>-4.4690558994971319</c:v>
                </c:pt>
                <c:pt idx="261">
                  <c:v>-2.8838323730597715</c:v>
                </c:pt>
                <c:pt idx="262">
                  <c:v>-0.75156192775138742</c:v>
                </c:pt>
                <c:pt idx="263">
                  <c:v>2.9108779934208133</c:v>
                </c:pt>
                <c:pt idx="264">
                  <c:v>2.7310671213541369</c:v>
                </c:pt>
                <c:pt idx="265">
                  <c:v>4.5327402904717466</c:v>
                </c:pt>
                <c:pt idx="266">
                  <c:v>1.0341835134807589</c:v>
                </c:pt>
                <c:pt idx="267">
                  <c:v>-2.5812608914755693</c:v>
                </c:pt>
                <c:pt idx="268">
                  <c:v>-2.3989347593279522</c:v>
                </c:pt>
                <c:pt idx="269">
                  <c:v>-1.1277966143333877</c:v>
                </c:pt>
                <c:pt idx="270">
                  <c:v>-4.1660252716920638</c:v>
                </c:pt>
                <c:pt idx="271">
                  <c:v>3.6065089433419573</c:v>
                </c:pt>
                <c:pt idx="272">
                  <c:v>4.0511384453510555</c:v>
                </c:pt>
                <c:pt idx="273">
                  <c:v>4.1063028466053808</c:v>
                </c:pt>
                <c:pt idx="274">
                  <c:v>7.7154060735688894</c:v>
                </c:pt>
                <c:pt idx="275">
                  <c:v>5.0326304199507454</c:v>
                </c:pt>
                <c:pt idx="276">
                  <c:v>6.1389782170103508</c:v>
                </c:pt>
                <c:pt idx="277">
                  <c:v>6.5699630781755225</c:v>
                </c:pt>
                <c:pt idx="278">
                  <c:v>12.562139102869054</c:v>
                </c:pt>
                <c:pt idx="279">
                  <c:v>17.420269277880671</c:v>
                </c:pt>
                <c:pt idx="280">
                  <c:v>9.8999713064123576</c:v>
                </c:pt>
                <c:pt idx="281">
                  <c:v>4.3925253191771567</c:v>
                </c:pt>
                <c:pt idx="282">
                  <c:v>6.2394973663947511</c:v>
                </c:pt>
                <c:pt idx="283">
                  <c:v>8.2235647065555852</c:v>
                </c:pt>
                <c:pt idx="284">
                  <c:v>9.1566407114999322</c:v>
                </c:pt>
                <c:pt idx="285">
                  <c:v>12.955020464849818</c:v>
                </c:pt>
                <c:pt idx="286">
                  <c:v>9.9754277772817979</c:v>
                </c:pt>
                <c:pt idx="287">
                  <c:v>12.103693559606434</c:v>
                </c:pt>
                <c:pt idx="288">
                  <c:v>9.5758505754840257</c:v>
                </c:pt>
                <c:pt idx="289">
                  <c:v>9.3298583639908514</c:v>
                </c:pt>
                <c:pt idx="290">
                  <c:v>6.9343572729525746</c:v>
                </c:pt>
                <c:pt idx="291">
                  <c:v>5.1044292043715735</c:v>
                </c:pt>
                <c:pt idx="292">
                  <c:v>6.760987345283076</c:v>
                </c:pt>
                <c:pt idx="293">
                  <c:v>7.3266371724810551</c:v>
                </c:pt>
                <c:pt idx="294">
                  <c:v>9.6399084290675461</c:v>
                </c:pt>
                <c:pt idx="295">
                  <c:v>5.7376788098521629</c:v>
                </c:pt>
                <c:pt idx="296">
                  <c:v>4.5009098376557208</c:v>
                </c:pt>
                <c:pt idx="297">
                  <c:v>3.1557911284798337</c:v>
                </c:pt>
                <c:pt idx="298">
                  <c:v>2.9169076438385391</c:v>
                </c:pt>
                <c:pt idx="299">
                  <c:v>1.0339229359222388</c:v>
                </c:pt>
                <c:pt idx="300">
                  <c:v>1.8175114153651917</c:v>
                </c:pt>
                <c:pt idx="301">
                  <c:v>2.6042105169865373</c:v>
                </c:pt>
                <c:pt idx="302">
                  <c:v>4.9014617959737929</c:v>
                </c:pt>
                <c:pt idx="303">
                  <c:v>6.077481161731324</c:v>
                </c:pt>
                <c:pt idx="304">
                  <c:v>9.8941565200171038</c:v>
                </c:pt>
                <c:pt idx="305">
                  <c:v>10.32201288289667</c:v>
                </c:pt>
                <c:pt idx="306">
                  <c:v>7.7754552967775235</c:v>
                </c:pt>
                <c:pt idx="307">
                  <c:v>9.5354021601129269</c:v>
                </c:pt>
                <c:pt idx="308">
                  <c:v>7.6477986317828206</c:v>
                </c:pt>
                <c:pt idx="309">
                  <c:v>7.4645872031441352</c:v>
                </c:pt>
                <c:pt idx="310">
                  <c:v>8.2029640463250999</c:v>
                </c:pt>
                <c:pt idx="311">
                  <c:v>7.9034254777697228</c:v>
                </c:pt>
                <c:pt idx="312">
                  <c:v>9.7947961586732468</c:v>
                </c:pt>
                <c:pt idx="313">
                  <c:v>9.5263062620703813</c:v>
                </c:pt>
                <c:pt idx="314">
                  <c:v>8.1535873435168558</c:v>
                </c:pt>
                <c:pt idx="315">
                  <c:v>7.5511290174761658</c:v>
                </c:pt>
                <c:pt idx="316">
                  <c:v>3.9856581247823986</c:v>
                </c:pt>
                <c:pt idx="317">
                  <c:v>3.9554029909504749</c:v>
                </c:pt>
                <c:pt idx="318">
                  <c:v>2.3964342541273211</c:v>
                </c:pt>
                <c:pt idx="319">
                  <c:v>-0.63754907442767816</c:v>
                </c:pt>
                <c:pt idx="320">
                  <c:v>0.96680039740864032</c:v>
                </c:pt>
                <c:pt idx="321">
                  <c:v>-0.6684176533702022</c:v>
                </c:pt>
                <c:pt idx="322">
                  <c:v>-2.0519723479898602</c:v>
                </c:pt>
                <c:pt idx="323">
                  <c:v>-3.2219008740769004</c:v>
                </c:pt>
                <c:pt idx="324">
                  <c:v>-7.1334689676930241</c:v>
                </c:pt>
                <c:pt idx="325">
                  <c:v>-2.020967842811483</c:v>
                </c:pt>
                <c:pt idx="326">
                  <c:v>-6.4282803470734002</c:v>
                </c:pt>
                <c:pt idx="327">
                  <c:v>-6.7512908062616663</c:v>
                </c:pt>
                <c:pt idx="328">
                  <c:v>-8.3484015290196343</c:v>
                </c:pt>
                <c:pt idx="329">
                  <c:v>-10.876551845963878</c:v>
                </c:pt>
                <c:pt idx="330">
                  <c:v>-14.418767493118477</c:v>
                </c:pt>
                <c:pt idx="331">
                  <c:v>-9.5613402283229902</c:v>
                </c:pt>
                <c:pt idx="332">
                  <c:v>-9.4661139849314679</c:v>
                </c:pt>
              </c:numCache>
            </c:numRef>
          </c:val>
          <c:smooth val="0"/>
        </c:ser>
        <c:dLbls>
          <c:showLegendKey val="0"/>
          <c:showVal val="0"/>
          <c:showCatName val="0"/>
          <c:showSerName val="0"/>
          <c:showPercent val="0"/>
          <c:showBubbleSize val="0"/>
        </c:dLbls>
        <c:marker val="1"/>
        <c:smooth val="0"/>
        <c:axId val="396436608"/>
        <c:axId val="396438528"/>
      </c:lineChart>
      <c:dateAx>
        <c:axId val="396436608"/>
        <c:scaling>
          <c:orientation val="minMax"/>
        </c:scaling>
        <c:delete val="0"/>
        <c:axPos val="b"/>
        <c:title>
          <c:tx>
            <c:rich>
              <a:bodyPr/>
              <a:lstStyle/>
              <a:p>
                <a:pPr>
                  <a:defRPr sz="1200" b="0" i="0" u="none" strike="noStrike" baseline="0">
                    <a:solidFill>
                      <a:srgbClr val="000000"/>
                    </a:solidFill>
                    <a:latin typeface="Arial"/>
                    <a:ea typeface="Arial"/>
                    <a:cs typeface="Arial"/>
                  </a:defRPr>
                </a:pPr>
                <a:r>
                  <a:rPr lang="en-US" sz="1000" b="1" i="0" u="none" strike="noStrike" baseline="0">
                    <a:solidFill>
                      <a:srgbClr val="000080"/>
                    </a:solidFill>
                    <a:latin typeface="Arial"/>
                    <a:cs typeface="Arial"/>
                  </a:rPr>
                  <a:t>-  Rolling 1 Year</a:t>
                </a:r>
                <a:endParaRPr lang="en-US" sz="1000" b="1" i="0" u="none" strike="noStrike" baseline="0">
                  <a:solidFill>
                    <a:srgbClr val="0000FF"/>
                  </a:solidFill>
                  <a:latin typeface="Arial"/>
                  <a:cs typeface="Arial"/>
                </a:endParaRPr>
              </a:p>
              <a:p>
                <a:pPr>
                  <a:defRPr sz="1200" b="0" i="0" u="none" strike="noStrike" baseline="0">
                    <a:solidFill>
                      <a:srgbClr val="000000"/>
                    </a:solidFill>
                    <a:latin typeface="Arial"/>
                    <a:ea typeface="Arial"/>
                    <a:cs typeface="Arial"/>
                  </a:defRPr>
                </a:pPr>
                <a:r>
                  <a:rPr lang="en-US" sz="1000" b="1" i="0" u="none" strike="noStrike" baseline="0">
                    <a:solidFill>
                      <a:srgbClr val="FF0000"/>
                    </a:solidFill>
                    <a:latin typeface="Arial"/>
                    <a:cs typeface="Arial"/>
                  </a:rPr>
                  <a:t>- Rolling 3 Year</a:t>
                </a:r>
              </a:p>
            </c:rich>
          </c:tx>
          <c:layout>
            <c:manualLayout>
              <c:xMode val="edge"/>
              <c:yMode val="edge"/>
              <c:x val="0.87136465245215144"/>
              <c:y val="0.76146788399916265"/>
            </c:manualLayout>
          </c:layout>
          <c:overlay val="0"/>
          <c:spPr>
            <a:noFill/>
            <a:ln w="25400">
              <a:noFill/>
            </a:ln>
          </c:spPr>
        </c:title>
        <c:numFmt formatCode="mmm\-yy" sourceLinked="0"/>
        <c:majorTickMark val="out"/>
        <c:minorTickMark val="none"/>
        <c:tickLblPos val="low"/>
        <c:spPr>
          <a:ln w="25400">
            <a:solidFill>
              <a:srgbClr val="000000"/>
            </a:solidFill>
            <a:prstDash val="solid"/>
          </a:ln>
        </c:spPr>
        <c:txPr>
          <a:bodyPr rot="-2700000" vert="horz"/>
          <a:lstStyle/>
          <a:p>
            <a:pPr>
              <a:defRPr sz="1000" b="0" i="0" u="none" strike="noStrike" baseline="0">
                <a:solidFill>
                  <a:srgbClr val="000000"/>
                </a:solidFill>
                <a:latin typeface="Arial"/>
                <a:ea typeface="Arial"/>
                <a:cs typeface="Arial"/>
              </a:defRPr>
            </a:pPr>
            <a:endParaRPr lang="en-US"/>
          </a:p>
        </c:txPr>
        <c:crossAx val="396438528"/>
        <c:crosses val="autoZero"/>
        <c:auto val="1"/>
        <c:lblOffset val="100"/>
        <c:baseTimeUnit val="months"/>
        <c:majorUnit val="1"/>
        <c:majorTimeUnit val="years"/>
        <c:minorUnit val="6"/>
        <c:minorTimeUnit val="months"/>
      </c:dateAx>
      <c:valAx>
        <c:axId val="396438528"/>
        <c:scaling>
          <c:orientation val="minMax"/>
          <c:max val="4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t>Annualized %</a:t>
                </a:r>
              </a:p>
            </c:rich>
          </c:tx>
          <c:layout>
            <c:manualLayout>
              <c:xMode val="edge"/>
              <c:yMode val="edge"/>
              <c:x val="1.3422867085434546E-2"/>
              <c:y val="0.3944954350031399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96436608"/>
        <c:crosses val="autoZero"/>
        <c:crossBetween val="between"/>
        <c:majorUnit val="5"/>
      </c:valAx>
      <c:spPr>
        <a:solidFill>
          <a:srgbClr val="C0C0C0"/>
        </a:solidFill>
        <a:ln w="12700">
          <a:solidFill>
            <a:srgbClr val="808080"/>
          </a:solidFill>
          <a:prstDash val="solid"/>
        </a:ln>
      </c:spPr>
    </c:plotArea>
    <c:plotVisOnly val="1"/>
    <c:dispBlanksAs val="gap"/>
    <c:showDLblsOverMax val="0"/>
  </c:chart>
  <c:spPr>
    <a:noFill/>
    <a:ln w="9525">
      <a:noFill/>
    </a:ln>
  </c:spPr>
  <c:txPr>
    <a:bodyPr/>
    <a:lstStyle/>
    <a:p>
      <a:pPr>
        <a:defRPr sz="1200" b="0" i="0" u="none" strike="noStrike" baseline="0">
          <a:solidFill>
            <a:srgbClr val="000000"/>
          </a:solidFill>
          <a:latin typeface="Arial"/>
          <a:ea typeface="Arial"/>
          <a:cs typeface="Arial"/>
        </a:defRPr>
      </a:pPr>
      <a:endParaRPr lang="en-US"/>
    </a:p>
  </c:txPr>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Mid Cap US Equity (S&amp;P MidCap)
Value v. Growth
December 1992 to August 2008</a:t>
            </a:r>
          </a:p>
        </c:rich>
      </c:tx>
      <c:layout>
        <c:manualLayout>
          <c:xMode val="edge"/>
          <c:yMode val="edge"/>
          <c:x val="0.34004470789465924"/>
          <c:y val="4.5872180087918454E-3"/>
        </c:manualLayout>
      </c:layout>
      <c:overlay val="0"/>
      <c:spPr>
        <a:noFill/>
        <a:ln w="25400">
          <a:noFill/>
        </a:ln>
      </c:spPr>
    </c:title>
    <c:autoTitleDeleted val="0"/>
    <c:plotArea>
      <c:layout>
        <c:manualLayout>
          <c:layoutTarget val="inner"/>
          <c:xMode val="edge"/>
          <c:yMode val="edge"/>
          <c:x val="9.2841163310961969E-2"/>
          <c:y val="0.14067278287461774"/>
          <c:w val="0.90044742729306493"/>
          <c:h val="0.7155963302752294"/>
        </c:manualLayout>
      </c:layout>
      <c:lineChart>
        <c:grouping val="standard"/>
        <c:varyColors val="0"/>
        <c:ser>
          <c:idx val="1"/>
          <c:order val="0"/>
          <c:spPr>
            <a:ln w="12700">
              <a:solidFill>
                <a:srgbClr val="FF0000"/>
              </a:solidFill>
              <a:prstDash val="solid"/>
            </a:ln>
          </c:spPr>
          <c:marker>
            <c:symbol val="none"/>
          </c:marker>
          <c:cat>
            <c:numRef>
              <c:f>'Returns Value_Growth'!$A$212:$A$400</c:f>
              <c:numCache>
                <c:formatCode>mm/dd/yy;@</c:formatCode>
                <c:ptCount val="189"/>
                <c:pt idx="0">
                  <c:v>33969</c:v>
                </c:pt>
                <c:pt idx="1">
                  <c:v>34000</c:v>
                </c:pt>
                <c:pt idx="2">
                  <c:v>34028</c:v>
                </c:pt>
                <c:pt idx="3">
                  <c:v>34059</c:v>
                </c:pt>
                <c:pt idx="4">
                  <c:v>34089</c:v>
                </c:pt>
                <c:pt idx="5">
                  <c:v>34120</c:v>
                </c:pt>
                <c:pt idx="6">
                  <c:v>34150</c:v>
                </c:pt>
                <c:pt idx="7">
                  <c:v>34181</c:v>
                </c:pt>
                <c:pt idx="8">
                  <c:v>34212</c:v>
                </c:pt>
                <c:pt idx="9">
                  <c:v>34242</c:v>
                </c:pt>
                <c:pt idx="10">
                  <c:v>34273</c:v>
                </c:pt>
                <c:pt idx="11">
                  <c:v>34303</c:v>
                </c:pt>
                <c:pt idx="12">
                  <c:v>34334</c:v>
                </c:pt>
                <c:pt idx="13">
                  <c:v>34365</c:v>
                </c:pt>
                <c:pt idx="14">
                  <c:v>34393</c:v>
                </c:pt>
                <c:pt idx="15">
                  <c:v>34424</c:v>
                </c:pt>
                <c:pt idx="16">
                  <c:v>34454</c:v>
                </c:pt>
                <c:pt idx="17">
                  <c:v>34485</c:v>
                </c:pt>
                <c:pt idx="18">
                  <c:v>34515</c:v>
                </c:pt>
                <c:pt idx="19">
                  <c:v>34546</c:v>
                </c:pt>
                <c:pt idx="20">
                  <c:v>34577</c:v>
                </c:pt>
                <c:pt idx="21">
                  <c:v>34607</c:v>
                </c:pt>
                <c:pt idx="22">
                  <c:v>34638</c:v>
                </c:pt>
                <c:pt idx="23">
                  <c:v>34668</c:v>
                </c:pt>
                <c:pt idx="24">
                  <c:v>34699</c:v>
                </c:pt>
                <c:pt idx="25">
                  <c:v>34730</c:v>
                </c:pt>
                <c:pt idx="26">
                  <c:v>34758</c:v>
                </c:pt>
                <c:pt idx="27">
                  <c:v>34789</c:v>
                </c:pt>
                <c:pt idx="28">
                  <c:v>34819</c:v>
                </c:pt>
                <c:pt idx="29">
                  <c:v>34850</c:v>
                </c:pt>
                <c:pt idx="30">
                  <c:v>34880</c:v>
                </c:pt>
                <c:pt idx="31">
                  <c:v>34911</c:v>
                </c:pt>
                <c:pt idx="32">
                  <c:v>34942</c:v>
                </c:pt>
                <c:pt idx="33">
                  <c:v>34972</c:v>
                </c:pt>
                <c:pt idx="34">
                  <c:v>35003</c:v>
                </c:pt>
                <c:pt idx="35">
                  <c:v>35033</c:v>
                </c:pt>
                <c:pt idx="36">
                  <c:v>35064</c:v>
                </c:pt>
                <c:pt idx="37">
                  <c:v>35095</c:v>
                </c:pt>
                <c:pt idx="38">
                  <c:v>35124</c:v>
                </c:pt>
                <c:pt idx="39">
                  <c:v>35155</c:v>
                </c:pt>
                <c:pt idx="40">
                  <c:v>35185</c:v>
                </c:pt>
                <c:pt idx="41">
                  <c:v>35216</c:v>
                </c:pt>
                <c:pt idx="42">
                  <c:v>35246</c:v>
                </c:pt>
                <c:pt idx="43">
                  <c:v>35277</c:v>
                </c:pt>
                <c:pt idx="44">
                  <c:v>35308</c:v>
                </c:pt>
                <c:pt idx="45">
                  <c:v>35338</c:v>
                </c:pt>
                <c:pt idx="46">
                  <c:v>35369</c:v>
                </c:pt>
                <c:pt idx="47">
                  <c:v>35399</c:v>
                </c:pt>
                <c:pt idx="48">
                  <c:v>35430</c:v>
                </c:pt>
                <c:pt idx="49">
                  <c:v>35461</c:v>
                </c:pt>
                <c:pt idx="50">
                  <c:v>35489</c:v>
                </c:pt>
                <c:pt idx="51">
                  <c:v>35520</c:v>
                </c:pt>
                <c:pt idx="52">
                  <c:v>35550</c:v>
                </c:pt>
                <c:pt idx="53">
                  <c:v>35581</c:v>
                </c:pt>
                <c:pt idx="54">
                  <c:v>35611</c:v>
                </c:pt>
                <c:pt idx="55">
                  <c:v>35642</c:v>
                </c:pt>
                <c:pt idx="56">
                  <c:v>35673</c:v>
                </c:pt>
                <c:pt idx="57">
                  <c:v>35703</c:v>
                </c:pt>
                <c:pt idx="58">
                  <c:v>35734</c:v>
                </c:pt>
                <c:pt idx="59">
                  <c:v>35764</c:v>
                </c:pt>
                <c:pt idx="60">
                  <c:v>35795</c:v>
                </c:pt>
                <c:pt idx="61">
                  <c:v>35826</c:v>
                </c:pt>
                <c:pt idx="62">
                  <c:v>35854</c:v>
                </c:pt>
                <c:pt idx="63">
                  <c:v>35885</c:v>
                </c:pt>
                <c:pt idx="64">
                  <c:v>35915</c:v>
                </c:pt>
                <c:pt idx="65">
                  <c:v>35946</c:v>
                </c:pt>
                <c:pt idx="66">
                  <c:v>35976</c:v>
                </c:pt>
                <c:pt idx="67">
                  <c:v>36007</c:v>
                </c:pt>
                <c:pt idx="68">
                  <c:v>36038</c:v>
                </c:pt>
                <c:pt idx="69">
                  <c:v>36068</c:v>
                </c:pt>
                <c:pt idx="70">
                  <c:v>36099</c:v>
                </c:pt>
                <c:pt idx="71">
                  <c:v>36129</c:v>
                </c:pt>
                <c:pt idx="72">
                  <c:v>36160</c:v>
                </c:pt>
                <c:pt idx="73">
                  <c:v>36191</c:v>
                </c:pt>
                <c:pt idx="74">
                  <c:v>36219</c:v>
                </c:pt>
                <c:pt idx="75">
                  <c:v>36250</c:v>
                </c:pt>
                <c:pt idx="76">
                  <c:v>36280</c:v>
                </c:pt>
                <c:pt idx="77">
                  <c:v>36311</c:v>
                </c:pt>
                <c:pt idx="78">
                  <c:v>36341</c:v>
                </c:pt>
                <c:pt idx="79">
                  <c:v>36372</c:v>
                </c:pt>
                <c:pt idx="80">
                  <c:v>36403</c:v>
                </c:pt>
                <c:pt idx="81">
                  <c:v>36433</c:v>
                </c:pt>
                <c:pt idx="82">
                  <c:v>36464</c:v>
                </c:pt>
                <c:pt idx="83">
                  <c:v>36494</c:v>
                </c:pt>
                <c:pt idx="84">
                  <c:v>36525</c:v>
                </c:pt>
                <c:pt idx="85">
                  <c:v>36556</c:v>
                </c:pt>
                <c:pt idx="86">
                  <c:v>36585</c:v>
                </c:pt>
                <c:pt idx="87">
                  <c:v>36616</c:v>
                </c:pt>
                <c:pt idx="88">
                  <c:v>36646</c:v>
                </c:pt>
                <c:pt idx="89">
                  <c:v>36677</c:v>
                </c:pt>
                <c:pt idx="90">
                  <c:v>36707</c:v>
                </c:pt>
                <c:pt idx="91">
                  <c:v>36738</c:v>
                </c:pt>
                <c:pt idx="92">
                  <c:v>36769</c:v>
                </c:pt>
                <c:pt idx="93">
                  <c:v>36799</c:v>
                </c:pt>
                <c:pt idx="94">
                  <c:v>36830</c:v>
                </c:pt>
                <c:pt idx="95">
                  <c:v>36860</c:v>
                </c:pt>
                <c:pt idx="96">
                  <c:v>36891</c:v>
                </c:pt>
                <c:pt idx="97">
                  <c:v>36922</c:v>
                </c:pt>
                <c:pt idx="98">
                  <c:v>36950</c:v>
                </c:pt>
                <c:pt idx="99">
                  <c:v>36981</c:v>
                </c:pt>
                <c:pt idx="100">
                  <c:v>37011</c:v>
                </c:pt>
                <c:pt idx="101">
                  <c:v>37042</c:v>
                </c:pt>
                <c:pt idx="102">
                  <c:v>37072</c:v>
                </c:pt>
                <c:pt idx="103">
                  <c:v>37103</c:v>
                </c:pt>
                <c:pt idx="104">
                  <c:v>37134</c:v>
                </c:pt>
                <c:pt idx="105">
                  <c:v>37164</c:v>
                </c:pt>
                <c:pt idx="106">
                  <c:v>37195</c:v>
                </c:pt>
                <c:pt idx="107">
                  <c:v>37225</c:v>
                </c:pt>
                <c:pt idx="108">
                  <c:v>37256</c:v>
                </c:pt>
                <c:pt idx="109">
                  <c:v>37287</c:v>
                </c:pt>
                <c:pt idx="110">
                  <c:v>37315</c:v>
                </c:pt>
                <c:pt idx="111">
                  <c:v>37346</c:v>
                </c:pt>
                <c:pt idx="112">
                  <c:v>37376</c:v>
                </c:pt>
                <c:pt idx="113">
                  <c:v>37407</c:v>
                </c:pt>
                <c:pt idx="114">
                  <c:v>37437</c:v>
                </c:pt>
                <c:pt idx="115">
                  <c:v>37468</c:v>
                </c:pt>
                <c:pt idx="116">
                  <c:v>37499</c:v>
                </c:pt>
                <c:pt idx="117">
                  <c:v>37529</c:v>
                </c:pt>
                <c:pt idx="118">
                  <c:v>37560</c:v>
                </c:pt>
                <c:pt idx="119">
                  <c:v>37590</c:v>
                </c:pt>
                <c:pt idx="120">
                  <c:v>37621</c:v>
                </c:pt>
                <c:pt idx="121">
                  <c:v>37652</c:v>
                </c:pt>
                <c:pt idx="122">
                  <c:v>37680</c:v>
                </c:pt>
                <c:pt idx="123">
                  <c:v>37711</c:v>
                </c:pt>
                <c:pt idx="124">
                  <c:v>37741</c:v>
                </c:pt>
                <c:pt idx="125">
                  <c:v>37772</c:v>
                </c:pt>
                <c:pt idx="126">
                  <c:v>37802</c:v>
                </c:pt>
                <c:pt idx="127">
                  <c:v>37833</c:v>
                </c:pt>
                <c:pt idx="128">
                  <c:v>37864</c:v>
                </c:pt>
                <c:pt idx="129">
                  <c:v>37894</c:v>
                </c:pt>
                <c:pt idx="130">
                  <c:v>37925</c:v>
                </c:pt>
                <c:pt idx="131">
                  <c:v>37955</c:v>
                </c:pt>
                <c:pt idx="132">
                  <c:v>37986</c:v>
                </c:pt>
                <c:pt idx="133">
                  <c:v>38017</c:v>
                </c:pt>
                <c:pt idx="134">
                  <c:v>38046</c:v>
                </c:pt>
                <c:pt idx="135">
                  <c:v>38077</c:v>
                </c:pt>
                <c:pt idx="136">
                  <c:v>38107</c:v>
                </c:pt>
                <c:pt idx="137">
                  <c:v>38138</c:v>
                </c:pt>
                <c:pt idx="138">
                  <c:v>38168</c:v>
                </c:pt>
                <c:pt idx="139">
                  <c:v>38199</c:v>
                </c:pt>
                <c:pt idx="140">
                  <c:v>38230</c:v>
                </c:pt>
                <c:pt idx="141">
                  <c:v>38260</c:v>
                </c:pt>
                <c:pt idx="142">
                  <c:v>38291</c:v>
                </c:pt>
                <c:pt idx="143">
                  <c:v>38321</c:v>
                </c:pt>
                <c:pt idx="144">
                  <c:v>38352</c:v>
                </c:pt>
                <c:pt idx="145">
                  <c:v>38383</c:v>
                </c:pt>
                <c:pt idx="146">
                  <c:v>38411</c:v>
                </c:pt>
                <c:pt idx="147">
                  <c:v>38442</c:v>
                </c:pt>
                <c:pt idx="148">
                  <c:v>38472</c:v>
                </c:pt>
                <c:pt idx="149">
                  <c:v>38503</c:v>
                </c:pt>
                <c:pt idx="150">
                  <c:v>38533</c:v>
                </c:pt>
                <c:pt idx="151">
                  <c:v>38564</c:v>
                </c:pt>
                <c:pt idx="152">
                  <c:v>38595</c:v>
                </c:pt>
                <c:pt idx="153">
                  <c:v>38625</c:v>
                </c:pt>
                <c:pt idx="154">
                  <c:v>38656</c:v>
                </c:pt>
                <c:pt idx="155">
                  <c:v>38686</c:v>
                </c:pt>
                <c:pt idx="156">
                  <c:v>38717</c:v>
                </c:pt>
                <c:pt idx="157">
                  <c:v>38748</c:v>
                </c:pt>
                <c:pt idx="158">
                  <c:v>38776</c:v>
                </c:pt>
                <c:pt idx="159">
                  <c:v>38807</c:v>
                </c:pt>
                <c:pt idx="160">
                  <c:v>38837</c:v>
                </c:pt>
                <c:pt idx="161">
                  <c:v>38868</c:v>
                </c:pt>
                <c:pt idx="162">
                  <c:v>38898</c:v>
                </c:pt>
                <c:pt idx="163">
                  <c:v>38929</c:v>
                </c:pt>
                <c:pt idx="164">
                  <c:v>38960</c:v>
                </c:pt>
                <c:pt idx="165">
                  <c:v>38990</c:v>
                </c:pt>
                <c:pt idx="166">
                  <c:v>39021</c:v>
                </c:pt>
                <c:pt idx="167">
                  <c:v>39051</c:v>
                </c:pt>
                <c:pt idx="168">
                  <c:v>39082</c:v>
                </c:pt>
                <c:pt idx="169">
                  <c:v>39113</c:v>
                </c:pt>
                <c:pt idx="170">
                  <c:v>39141</c:v>
                </c:pt>
                <c:pt idx="171">
                  <c:v>39172</c:v>
                </c:pt>
                <c:pt idx="172">
                  <c:v>39202</c:v>
                </c:pt>
                <c:pt idx="173">
                  <c:v>39233</c:v>
                </c:pt>
                <c:pt idx="174">
                  <c:v>39263</c:v>
                </c:pt>
                <c:pt idx="175">
                  <c:v>39294</c:v>
                </c:pt>
                <c:pt idx="176">
                  <c:v>39325</c:v>
                </c:pt>
                <c:pt idx="177">
                  <c:v>39355</c:v>
                </c:pt>
                <c:pt idx="178">
                  <c:v>39386</c:v>
                </c:pt>
                <c:pt idx="179">
                  <c:v>39416</c:v>
                </c:pt>
                <c:pt idx="180">
                  <c:v>39447</c:v>
                </c:pt>
                <c:pt idx="181">
                  <c:v>39478</c:v>
                </c:pt>
                <c:pt idx="182">
                  <c:v>39507</c:v>
                </c:pt>
                <c:pt idx="183">
                  <c:v>39538</c:v>
                </c:pt>
                <c:pt idx="184">
                  <c:v>39568</c:v>
                </c:pt>
                <c:pt idx="185">
                  <c:v>39599</c:v>
                </c:pt>
                <c:pt idx="186">
                  <c:v>39629</c:v>
                </c:pt>
                <c:pt idx="187">
                  <c:v>39660</c:v>
                </c:pt>
                <c:pt idx="188">
                  <c:v>39691</c:v>
                </c:pt>
              </c:numCache>
            </c:numRef>
          </c:cat>
          <c:val>
            <c:numRef>
              <c:f>'Returns Value_Growth'!$N$212:$N$400</c:f>
              <c:numCache>
                <c:formatCode>0.00</c:formatCode>
                <c:ptCount val="189"/>
                <c:pt idx="24">
                  <c:v>5.1984252227374563</c:v>
                </c:pt>
                <c:pt idx="25">
                  <c:v>5.2329473879744173</c:v>
                </c:pt>
                <c:pt idx="26">
                  <c:v>4.2369512280947754</c:v>
                </c:pt>
                <c:pt idx="27">
                  <c:v>2.9921026882812729</c:v>
                </c:pt>
                <c:pt idx="28">
                  <c:v>1.5227860217294609</c:v>
                </c:pt>
                <c:pt idx="29">
                  <c:v>2.0668664573142195</c:v>
                </c:pt>
                <c:pt idx="30">
                  <c:v>0.28872140566993387</c:v>
                </c:pt>
                <c:pt idx="31">
                  <c:v>-0.10076050582197382</c:v>
                </c:pt>
                <c:pt idx="32">
                  <c:v>3.0665655563399952E-2</c:v>
                </c:pt>
                <c:pt idx="33">
                  <c:v>0.24924743254764081</c:v>
                </c:pt>
                <c:pt idx="34">
                  <c:v>2.2039290046447899</c:v>
                </c:pt>
                <c:pt idx="35">
                  <c:v>3.7804075834853226</c:v>
                </c:pt>
                <c:pt idx="36">
                  <c:v>4.3608554806551219</c:v>
                </c:pt>
                <c:pt idx="37">
                  <c:v>3.9514466206243881</c:v>
                </c:pt>
                <c:pt idx="38">
                  <c:v>0.64991515291645818</c:v>
                </c:pt>
                <c:pt idx="39">
                  <c:v>0.31527155690658404</c:v>
                </c:pt>
                <c:pt idx="40">
                  <c:v>-2.0084079164386353</c:v>
                </c:pt>
                <c:pt idx="41">
                  <c:v>-0.31276538233404594</c:v>
                </c:pt>
                <c:pt idx="42">
                  <c:v>0.72622461189204657</c:v>
                </c:pt>
                <c:pt idx="43">
                  <c:v>1.4236805843984577</c:v>
                </c:pt>
                <c:pt idx="44">
                  <c:v>1.6577199662174191</c:v>
                </c:pt>
                <c:pt idx="45">
                  <c:v>1.0479403513692596</c:v>
                </c:pt>
                <c:pt idx="46">
                  <c:v>2.5872710933821033</c:v>
                </c:pt>
                <c:pt idx="47">
                  <c:v>3.1422259422082774</c:v>
                </c:pt>
                <c:pt idx="48">
                  <c:v>4.7915391406775356</c:v>
                </c:pt>
                <c:pt idx="49">
                  <c:v>3.5945010932126209</c:v>
                </c:pt>
                <c:pt idx="50">
                  <c:v>5.1236026909030166</c:v>
                </c:pt>
                <c:pt idx="51">
                  <c:v>5.1304968292582132</c:v>
                </c:pt>
                <c:pt idx="52">
                  <c:v>3.8730633918787181</c:v>
                </c:pt>
                <c:pt idx="53">
                  <c:v>1.2077130798758375</c:v>
                </c:pt>
                <c:pt idx="54">
                  <c:v>-4.9229937868865647E-2</c:v>
                </c:pt>
                <c:pt idx="55">
                  <c:v>-2.6174832719429979</c:v>
                </c:pt>
                <c:pt idx="56">
                  <c:v>-0.77586223015830669</c:v>
                </c:pt>
                <c:pt idx="57">
                  <c:v>-0.30299284403081472</c:v>
                </c:pt>
                <c:pt idx="58">
                  <c:v>1.3158266756325929</c:v>
                </c:pt>
                <c:pt idx="59">
                  <c:v>2.1344079145766663</c:v>
                </c:pt>
                <c:pt idx="60">
                  <c:v>3.815515220903265</c:v>
                </c:pt>
                <c:pt idx="61">
                  <c:v>2.3084620348925</c:v>
                </c:pt>
                <c:pt idx="62">
                  <c:v>1.9462041278942799</c:v>
                </c:pt>
                <c:pt idx="63">
                  <c:v>3.0241968979465739</c:v>
                </c:pt>
                <c:pt idx="64">
                  <c:v>1.5106127898428561</c:v>
                </c:pt>
                <c:pt idx="65">
                  <c:v>1.2761532082087754</c:v>
                </c:pt>
                <c:pt idx="66">
                  <c:v>1.260759697674338</c:v>
                </c:pt>
                <c:pt idx="67">
                  <c:v>1.5652025561585283</c:v>
                </c:pt>
                <c:pt idx="68">
                  <c:v>3.2634139630157044</c:v>
                </c:pt>
                <c:pt idx="69">
                  <c:v>2.267501563621277</c:v>
                </c:pt>
                <c:pt idx="70">
                  <c:v>0.31315942792167206</c:v>
                </c:pt>
                <c:pt idx="71">
                  <c:v>-2.1499856320204032</c:v>
                </c:pt>
                <c:pt idx="72">
                  <c:v>-8.8276617729951212</c:v>
                </c:pt>
                <c:pt idx="73">
                  <c:v>-10.019025839111784</c:v>
                </c:pt>
                <c:pt idx="74">
                  <c:v>-8.1902708581211847</c:v>
                </c:pt>
                <c:pt idx="75">
                  <c:v>-8.8958018157786682</c:v>
                </c:pt>
                <c:pt idx="76">
                  <c:v>-6.0445292965537476</c:v>
                </c:pt>
                <c:pt idx="77">
                  <c:v>-5.223850291087075</c:v>
                </c:pt>
                <c:pt idx="78">
                  <c:v>-8.698492233851951</c:v>
                </c:pt>
                <c:pt idx="79">
                  <c:v>-8.8773268188270471</c:v>
                </c:pt>
                <c:pt idx="80">
                  <c:v>-8.705343320168744</c:v>
                </c:pt>
                <c:pt idx="81">
                  <c:v>-8.7433082200444101</c:v>
                </c:pt>
                <c:pt idx="82">
                  <c:v>-12.316208432980222</c:v>
                </c:pt>
                <c:pt idx="83">
                  <c:v>-14.94298123956621</c:v>
                </c:pt>
                <c:pt idx="84">
                  <c:v>-18.360002834454892</c:v>
                </c:pt>
                <c:pt idx="85">
                  <c:v>-17.980112674277706</c:v>
                </c:pt>
                <c:pt idx="86">
                  <c:v>-27.634751758916188</c:v>
                </c:pt>
                <c:pt idx="87">
                  <c:v>-25.123648650861519</c:v>
                </c:pt>
                <c:pt idx="88">
                  <c:v>-22.221375434171598</c:v>
                </c:pt>
                <c:pt idx="89">
                  <c:v>-16.392269458909993</c:v>
                </c:pt>
                <c:pt idx="90">
                  <c:v>-21.206861100079543</c:v>
                </c:pt>
                <c:pt idx="91">
                  <c:v>-17.086983141867449</c:v>
                </c:pt>
                <c:pt idx="92">
                  <c:v>-21.180403249481024</c:v>
                </c:pt>
                <c:pt idx="93">
                  <c:v>-19.055308964201622</c:v>
                </c:pt>
                <c:pt idx="94">
                  <c:v>-18.460358955360043</c:v>
                </c:pt>
                <c:pt idx="95">
                  <c:v>-12.755465739520599</c:v>
                </c:pt>
                <c:pt idx="96">
                  <c:v>-12.704925141606637</c:v>
                </c:pt>
                <c:pt idx="97">
                  <c:v>-10.833608691931641</c:v>
                </c:pt>
                <c:pt idx="98">
                  <c:v>-7.7495906252136972</c:v>
                </c:pt>
                <c:pt idx="99">
                  <c:v>-5.0238288926326202</c:v>
                </c:pt>
                <c:pt idx="100">
                  <c:v>-5.8293788814989043</c:v>
                </c:pt>
                <c:pt idx="101">
                  <c:v>-6.6099136749669931</c:v>
                </c:pt>
                <c:pt idx="102">
                  <c:v>-5.154040046635334</c:v>
                </c:pt>
                <c:pt idx="103">
                  <c:v>-3.6804777026582229</c:v>
                </c:pt>
                <c:pt idx="104">
                  <c:v>-5.0493184150264732</c:v>
                </c:pt>
                <c:pt idx="105">
                  <c:v>-2.4765351042103987</c:v>
                </c:pt>
                <c:pt idx="106">
                  <c:v>-3.8160788224699491</c:v>
                </c:pt>
                <c:pt idx="107">
                  <c:v>-2.8914791366621007</c:v>
                </c:pt>
                <c:pt idx="108">
                  <c:v>2.9590506510224426</c:v>
                </c:pt>
                <c:pt idx="109">
                  <c:v>4.4455083623939693</c:v>
                </c:pt>
                <c:pt idx="110">
                  <c:v>5.8755930507919718</c:v>
                </c:pt>
                <c:pt idx="111">
                  <c:v>6.8327266347021549</c:v>
                </c:pt>
                <c:pt idx="112">
                  <c:v>6.9714854893891527</c:v>
                </c:pt>
                <c:pt idx="113">
                  <c:v>6.0113882882332224</c:v>
                </c:pt>
                <c:pt idx="114">
                  <c:v>8.6612721232946157</c:v>
                </c:pt>
                <c:pt idx="115">
                  <c:v>7.3402738287508429</c:v>
                </c:pt>
                <c:pt idx="116">
                  <c:v>7.9767740276288199</c:v>
                </c:pt>
                <c:pt idx="117">
                  <c:v>7.8269935926788552</c:v>
                </c:pt>
                <c:pt idx="118">
                  <c:v>9.6359596561281791</c:v>
                </c:pt>
                <c:pt idx="119">
                  <c:v>12.19371056056292</c:v>
                </c:pt>
                <c:pt idx="120">
                  <c:v>13.886375282685936</c:v>
                </c:pt>
                <c:pt idx="121">
                  <c:v>14.488950127573052</c:v>
                </c:pt>
                <c:pt idx="122">
                  <c:v>20.51538168093979</c:v>
                </c:pt>
                <c:pt idx="123">
                  <c:v>15.805148417349502</c:v>
                </c:pt>
                <c:pt idx="124">
                  <c:v>15.279926605209969</c:v>
                </c:pt>
                <c:pt idx="125">
                  <c:v>13.928148019709418</c:v>
                </c:pt>
                <c:pt idx="126">
                  <c:v>17.51389911021235</c:v>
                </c:pt>
                <c:pt idx="127">
                  <c:v>15.732380620465058</c:v>
                </c:pt>
                <c:pt idx="128">
                  <c:v>18.108383574018937</c:v>
                </c:pt>
                <c:pt idx="129">
                  <c:v>17.093126571251481</c:v>
                </c:pt>
                <c:pt idx="130">
                  <c:v>16.518043047258402</c:v>
                </c:pt>
                <c:pt idx="131">
                  <c:v>11.962218265461534</c:v>
                </c:pt>
                <c:pt idx="132">
                  <c:v>11.401979482092772</c:v>
                </c:pt>
                <c:pt idx="133">
                  <c:v>10.194623377212785</c:v>
                </c:pt>
                <c:pt idx="134">
                  <c:v>8.794093335779074</c:v>
                </c:pt>
                <c:pt idx="135">
                  <c:v>6.2965438918239025</c:v>
                </c:pt>
                <c:pt idx="136">
                  <c:v>6.9950873896840839</c:v>
                </c:pt>
                <c:pt idx="137">
                  <c:v>7.2625035566836074</c:v>
                </c:pt>
                <c:pt idx="138">
                  <c:v>7.51506203416199</c:v>
                </c:pt>
                <c:pt idx="139">
                  <c:v>6.6065487712534843</c:v>
                </c:pt>
                <c:pt idx="140">
                  <c:v>6.437291862182426</c:v>
                </c:pt>
                <c:pt idx="141">
                  <c:v>5.7287660784761876</c:v>
                </c:pt>
                <c:pt idx="142">
                  <c:v>7.2492062014622105</c:v>
                </c:pt>
                <c:pt idx="143">
                  <c:v>9.0054431912442556</c:v>
                </c:pt>
                <c:pt idx="144">
                  <c:v>7.9830096893128033</c:v>
                </c:pt>
                <c:pt idx="145">
                  <c:v>7.3927618774966666</c:v>
                </c:pt>
                <c:pt idx="146">
                  <c:v>5.6203447894350518</c:v>
                </c:pt>
                <c:pt idx="147">
                  <c:v>5.3971608538240909</c:v>
                </c:pt>
                <c:pt idx="148">
                  <c:v>3.9774746496238578</c:v>
                </c:pt>
                <c:pt idx="149">
                  <c:v>4.0683973868207</c:v>
                </c:pt>
                <c:pt idx="150">
                  <c:v>3.118663287285429</c:v>
                </c:pt>
                <c:pt idx="151">
                  <c:v>4.1647660884617004</c:v>
                </c:pt>
                <c:pt idx="152">
                  <c:v>3.8291748506125352</c:v>
                </c:pt>
                <c:pt idx="153">
                  <c:v>5.6759233305180956</c:v>
                </c:pt>
                <c:pt idx="154">
                  <c:v>5.1883079482450505</c:v>
                </c:pt>
                <c:pt idx="155">
                  <c:v>4.1637025639575285</c:v>
                </c:pt>
                <c:pt idx="156">
                  <c:v>3.7159937361134681</c:v>
                </c:pt>
                <c:pt idx="157">
                  <c:v>4.5696563135642094</c:v>
                </c:pt>
                <c:pt idx="158">
                  <c:v>5.0702578099686129</c:v>
                </c:pt>
                <c:pt idx="159">
                  <c:v>6.2223327890248648</c:v>
                </c:pt>
                <c:pt idx="160">
                  <c:v>6.0253677921110018</c:v>
                </c:pt>
                <c:pt idx="161">
                  <c:v>5.1244371466982805</c:v>
                </c:pt>
                <c:pt idx="162">
                  <c:v>5.7270068851343687</c:v>
                </c:pt>
                <c:pt idx="163">
                  <c:v>6.5373366738789223</c:v>
                </c:pt>
                <c:pt idx="164">
                  <c:v>6.3392191920667909</c:v>
                </c:pt>
                <c:pt idx="165">
                  <c:v>5.5738425729447325</c:v>
                </c:pt>
                <c:pt idx="166">
                  <c:v>5.3556098070506124</c:v>
                </c:pt>
                <c:pt idx="167">
                  <c:v>4.8796042897953456</c:v>
                </c:pt>
                <c:pt idx="168">
                  <c:v>3.9064500157169668</c:v>
                </c:pt>
                <c:pt idx="169">
                  <c:v>3.3576682644691047</c:v>
                </c:pt>
                <c:pt idx="170">
                  <c:v>3.5057976322342412</c:v>
                </c:pt>
                <c:pt idx="171">
                  <c:v>3.4766421198093589</c:v>
                </c:pt>
                <c:pt idx="172">
                  <c:v>3.8551980517275624</c:v>
                </c:pt>
                <c:pt idx="173">
                  <c:v>3.4054663254111013</c:v>
                </c:pt>
                <c:pt idx="174">
                  <c:v>2.3619629109522311</c:v>
                </c:pt>
                <c:pt idx="175">
                  <c:v>1.6513262721498787</c:v>
                </c:pt>
                <c:pt idx="176">
                  <c:v>0.75959726268217764</c:v>
                </c:pt>
                <c:pt idx="177">
                  <c:v>5.7136123185763665E-2</c:v>
                </c:pt>
                <c:pt idx="178">
                  <c:v>-7.8017040298536955E-3</c:v>
                </c:pt>
                <c:pt idx="179">
                  <c:v>-1.3920166298696302</c:v>
                </c:pt>
                <c:pt idx="180">
                  <c:v>-1.4361298072500084</c:v>
                </c:pt>
                <c:pt idx="181">
                  <c:v>-0.43338056173127626</c:v>
                </c:pt>
                <c:pt idx="182">
                  <c:v>-1.2748020024800466</c:v>
                </c:pt>
                <c:pt idx="183">
                  <c:v>-1.0125673226295095</c:v>
                </c:pt>
                <c:pt idx="184">
                  <c:v>-1.4302384214809578</c:v>
                </c:pt>
                <c:pt idx="185">
                  <c:v>-1.8496763638398814</c:v>
                </c:pt>
                <c:pt idx="186">
                  <c:v>-3.60480710855271</c:v>
                </c:pt>
                <c:pt idx="187">
                  <c:v>-2.6933009203842673</c:v>
                </c:pt>
                <c:pt idx="188">
                  <c:v>-2.4396512540673765</c:v>
                </c:pt>
              </c:numCache>
            </c:numRef>
          </c:val>
          <c:smooth val="0"/>
        </c:ser>
        <c:ser>
          <c:idx val="0"/>
          <c:order val="1"/>
          <c:spPr>
            <a:ln w="12700">
              <a:solidFill>
                <a:srgbClr val="000080"/>
              </a:solidFill>
              <a:prstDash val="solid"/>
            </a:ln>
          </c:spPr>
          <c:marker>
            <c:symbol val="none"/>
          </c:marker>
          <c:cat>
            <c:numRef>
              <c:f>'Returns Value_Growth'!$A$212:$A$400</c:f>
              <c:numCache>
                <c:formatCode>mm/dd/yy;@</c:formatCode>
                <c:ptCount val="189"/>
                <c:pt idx="0">
                  <c:v>33969</c:v>
                </c:pt>
                <c:pt idx="1">
                  <c:v>34000</c:v>
                </c:pt>
                <c:pt idx="2">
                  <c:v>34028</c:v>
                </c:pt>
                <c:pt idx="3">
                  <c:v>34059</c:v>
                </c:pt>
                <c:pt idx="4">
                  <c:v>34089</c:v>
                </c:pt>
                <c:pt idx="5">
                  <c:v>34120</c:v>
                </c:pt>
                <c:pt idx="6">
                  <c:v>34150</c:v>
                </c:pt>
                <c:pt idx="7">
                  <c:v>34181</c:v>
                </c:pt>
                <c:pt idx="8">
                  <c:v>34212</c:v>
                </c:pt>
                <c:pt idx="9">
                  <c:v>34242</c:v>
                </c:pt>
                <c:pt idx="10">
                  <c:v>34273</c:v>
                </c:pt>
                <c:pt idx="11">
                  <c:v>34303</c:v>
                </c:pt>
                <c:pt idx="12">
                  <c:v>34334</c:v>
                </c:pt>
                <c:pt idx="13">
                  <c:v>34365</c:v>
                </c:pt>
                <c:pt idx="14">
                  <c:v>34393</c:v>
                </c:pt>
                <c:pt idx="15">
                  <c:v>34424</c:v>
                </c:pt>
                <c:pt idx="16">
                  <c:v>34454</c:v>
                </c:pt>
                <c:pt idx="17">
                  <c:v>34485</c:v>
                </c:pt>
                <c:pt idx="18">
                  <c:v>34515</c:v>
                </c:pt>
                <c:pt idx="19">
                  <c:v>34546</c:v>
                </c:pt>
                <c:pt idx="20">
                  <c:v>34577</c:v>
                </c:pt>
                <c:pt idx="21">
                  <c:v>34607</c:v>
                </c:pt>
                <c:pt idx="22">
                  <c:v>34638</c:v>
                </c:pt>
                <c:pt idx="23">
                  <c:v>34668</c:v>
                </c:pt>
                <c:pt idx="24">
                  <c:v>34699</c:v>
                </c:pt>
                <c:pt idx="25">
                  <c:v>34730</c:v>
                </c:pt>
                <c:pt idx="26">
                  <c:v>34758</c:v>
                </c:pt>
                <c:pt idx="27">
                  <c:v>34789</c:v>
                </c:pt>
                <c:pt idx="28">
                  <c:v>34819</c:v>
                </c:pt>
                <c:pt idx="29">
                  <c:v>34850</c:v>
                </c:pt>
                <c:pt idx="30">
                  <c:v>34880</c:v>
                </c:pt>
                <c:pt idx="31">
                  <c:v>34911</c:v>
                </c:pt>
                <c:pt idx="32">
                  <c:v>34942</c:v>
                </c:pt>
                <c:pt idx="33">
                  <c:v>34972</c:v>
                </c:pt>
                <c:pt idx="34">
                  <c:v>35003</c:v>
                </c:pt>
                <c:pt idx="35">
                  <c:v>35033</c:v>
                </c:pt>
                <c:pt idx="36">
                  <c:v>35064</c:v>
                </c:pt>
                <c:pt idx="37">
                  <c:v>35095</c:v>
                </c:pt>
                <c:pt idx="38">
                  <c:v>35124</c:v>
                </c:pt>
                <c:pt idx="39">
                  <c:v>35155</c:v>
                </c:pt>
                <c:pt idx="40">
                  <c:v>35185</c:v>
                </c:pt>
                <c:pt idx="41">
                  <c:v>35216</c:v>
                </c:pt>
                <c:pt idx="42">
                  <c:v>35246</c:v>
                </c:pt>
                <c:pt idx="43">
                  <c:v>35277</c:v>
                </c:pt>
                <c:pt idx="44">
                  <c:v>35308</c:v>
                </c:pt>
                <c:pt idx="45">
                  <c:v>35338</c:v>
                </c:pt>
                <c:pt idx="46">
                  <c:v>35369</c:v>
                </c:pt>
                <c:pt idx="47">
                  <c:v>35399</c:v>
                </c:pt>
                <c:pt idx="48">
                  <c:v>35430</c:v>
                </c:pt>
                <c:pt idx="49">
                  <c:v>35461</c:v>
                </c:pt>
                <c:pt idx="50">
                  <c:v>35489</c:v>
                </c:pt>
                <c:pt idx="51">
                  <c:v>35520</c:v>
                </c:pt>
                <c:pt idx="52">
                  <c:v>35550</c:v>
                </c:pt>
                <c:pt idx="53">
                  <c:v>35581</c:v>
                </c:pt>
                <c:pt idx="54">
                  <c:v>35611</c:v>
                </c:pt>
                <c:pt idx="55">
                  <c:v>35642</c:v>
                </c:pt>
                <c:pt idx="56">
                  <c:v>35673</c:v>
                </c:pt>
                <c:pt idx="57">
                  <c:v>35703</c:v>
                </c:pt>
                <c:pt idx="58">
                  <c:v>35734</c:v>
                </c:pt>
                <c:pt idx="59">
                  <c:v>35764</c:v>
                </c:pt>
                <c:pt idx="60">
                  <c:v>35795</c:v>
                </c:pt>
                <c:pt idx="61">
                  <c:v>35826</c:v>
                </c:pt>
                <c:pt idx="62">
                  <c:v>35854</c:v>
                </c:pt>
                <c:pt idx="63">
                  <c:v>35885</c:v>
                </c:pt>
                <c:pt idx="64">
                  <c:v>35915</c:v>
                </c:pt>
                <c:pt idx="65">
                  <c:v>35946</c:v>
                </c:pt>
                <c:pt idx="66">
                  <c:v>35976</c:v>
                </c:pt>
                <c:pt idx="67">
                  <c:v>36007</c:v>
                </c:pt>
                <c:pt idx="68">
                  <c:v>36038</c:v>
                </c:pt>
                <c:pt idx="69">
                  <c:v>36068</c:v>
                </c:pt>
                <c:pt idx="70">
                  <c:v>36099</c:v>
                </c:pt>
                <c:pt idx="71">
                  <c:v>36129</c:v>
                </c:pt>
                <c:pt idx="72">
                  <c:v>36160</c:v>
                </c:pt>
                <c:pt idx="73">
                  <c:v>36191</c:v>
                </c:pt>
                <c:pt idx="74">
                  <c:v>36219</c:v>
                </c:pt>
                <c:pt idx="75">
                  <c:v>36250</c:v>
                </c:pt>
                <c:pt idx="76">
                  <c:v>36280</c:v>
                </c:pt>
                <c:pt idx="77">
                  <c:v>36311</c:v>
                </c:pt>
                <c:pt idx="78">
                  <c:v>36341</c:v>
                </c:pt>
                <c:pt idx="79">
                  <c:v>36372</c:v>
                </c:pt>
                <c:pt idx="80">
                  <c:v>36403</c:v>
                </c:pt>
                <c:pt idx="81">
                  <c:v>36433</c:v>
                </c:pt>
                <c:pt idx="82">
                  <c:v>36464</c:v>
                </c:pt>
                <c:pt idx="83">
                  <c:v>36494</c:v>
                </c:pt>
                <c:pt idx="84">
                  <c:v>36525</c:v>
                </c:pt>
                <c:pt idx="85">
                  <c:v>36556</c:v>
                </c:pt>
                <c:pt idx="86">
                  <c:v>36585</c:v>
                </c:pt>
                <c:pt idx="87">
                  <c:v>36616</c:v>
                </c:pt>
                <c:pt idx="88">
                  <c:v>36646</c:v>
                </c:pt>
                <c:pt idx="89">
                  <c:v>36677</c:v>
                </c:pt>
                <c:pt idx="90">
                  <c:v>36707</c:v>
                </c:pt>
                <c:pt idx="91">
                  <c:v>36738</c:v>
                </c:pt>
                <c:pt idx="92">
                  <c:v>36769</c:v>
                </c:pt>
                <c:pt idx="93">
                  <c:v>36799</c:v>
                </c:pt>
                <c:pt idx="94">
                  <c:v>36830</c:v>
                </c:pt>
                <c:pt idx="95">
                  <c:v>36860</c:v>
                </c:pt>
                <c:pt idx="96">
                  <c:v>36891</c:v>
                </c:pt>
                <c:pt idx="97">
                  <c:v>36922</c:v>
                </c:pt>
                <c:pt idx="98">
                  <c:v>36950</c:v>
                </c:pt>
                <c:pt idx="99">
                  <c:v>36981</c:v>
                </c:pt>
                <c:pt idx="100">
                  <c:v>37011</c:v>
                </c:pt>
                <c:pt idx="101">
                  <c:v>37042</c:v>
                </c:pt>
                <c:pt idx="102">
                  <c:v>37072</c:v>
                </c:pt>
                <c:pt idx="103">
                  <c:v>37103</c:v>
                </c:pt>
                <c:pt idx="104">
                  <c:v>37134</c:v>
                </c:pt>
                <c:pt idx="105">
                  <c:v>37164</c:v>
                </c:pt>
                <c:pt idx="106">
                  <c:v>37195</c:v>
                </c:pt>
                <c:pt idx="107">
                  <c:v>37225</c:v>
                </c:pt>
                <c:pt idx="108">
                  <c:v>37256</c:v>
                </c:pt>
                <c:pt idx="109">
                  <c:v>37287</c:v>
                </c:pt>
                <c:pt idx="110">
                  <c:v>37315</c:v>
                </c:pt>
                <c:pt idx="111">
                  <c:v>37346</c:v>
                </c:pt>
                <c:pt idx="112">
                  <c:v>37376</c:v>
                </c:pt>
                <c:pt idx="113">
                  <c:v>37407</c:v>
                </c:pt>
                <c:pt idx="114">
                  <c:v>37437</c:v>
                </c:pt>
                <c:pt idx="115">
                  <c:v>37468</c:v>
                </c:pt>
                <c:pt idx="116">
                  <c:v>37499</c:v>
                </c:pt>
                <c:pt idx="117">
                  <c:v>37529</c:v>
                </c:pt>
                <c:pt idx="118">
                  <c:v>37560</c:v>
                </c:pt>
                <c:pt idx="119">
                  <c:v>37590</c:v>
                </c:pt>
                <c:pt idx="120">
                  <c:v>37621</c:v>
                </c:pt>
                <c:pt idx="121">
                  <c:v>37652</c:v>
                </c:pt>
                <c:pt idx="122">
                  <c:v>37680</c:v>
                </c:pt>
                <c:pt idx="123">
                  <c:v>37711</c:v>
                </c:pt>
                <c:pt idx="124">
                  <c:v>37741</c:v>
                </c:pt>
                <c:pt idx="125">
                  <c:v>37772</c:v>
                </c:pt>
                <c:pt idx="126">
                  <c:v>37802</c:v>
                </c:pt>
                <c:pt idx="127">
                  <c:v>37833</c:v>
                </c:pt>
                <c:pt idx="128">
                  <c:v>37864</c:v>
                </c:pt>
                <c:pt idx="129">
                  <c:v>37894</c:v>
                </c:pt>
                <c:pt idx="130">
                  <c:v>37925</c:v>
                </c:pt>
                <c:pt idx="131">
                  <c:v>37955</c:v>
                </c:pt>
                <c:pt idx="132">
                  <c:v>37986</c:v>
                </c:pt>
                <c:pt idx="133">
                  <c:v>38017</c:v>
                </c:pt>
                <c:pt idx="134">
                  <c:v>38046</c:v>
                </c:pt>
                <c:pt idx="135">
                  <c:v>38077</c:v>
                </c:pt>
                <c:pt idx="136">
                  <c:v>38107</c:v>
                </c:pt>
                <c:pt idx="137">
                  <c:v>38138</c:v>
                </c:pt>
                <c:pt idx="138">
                  <c:v>38168</c:v>
                </c:pt>
                <c:pt idx="139">
                  <c:v>38199</c:v>
                </c:pt>
                <c:pt idx="140">
                  <c:v>38230</c:v>
                </c:pt>
                <c:pt idx="141">
                  <c:v>38260</c:v>
                </c:pt>
                <c:pt idx="142">
                  <c:v>38291</c:v>
                </c:pt>
                <c:pt idx="143">
                  <c:v>38321</c:v>
                </c:pt>
                <c:pt idx="144">
                  <c:v>38352</c:v>
                </c:pt>
                <c:pt idx="145">
                  <c:v>38383</c:v>
                </c:pt>
                <c:pt idx="146">
                  <c:v>38411</c:v>
                </c:pt>
                <c:pt idx="147">
                  <c:v>38442</c:v>
                </c:pt>
                <c:pt idx="148">
                  <c:v>38472</c:v>
                </c:pt>
                <c:pt idx="149">
                  <c:v>38503</c:v>
                </c:pt>
                <c:pt idx="150">
                  <c:v>38533</c:v>
                </c:pt>
                <c:pt idx="151">
                  <c:v>38564</c:v>
                </c:pt>
                <c:pt idx="152">
                  <c:v>38595</c:v>
                </c:pt>
                <c:pt idx="153">
                  <c:v>38625</c:v>
                </c:pt>
                <c:pt idx="154">
                  <c:v>38656</c:v>
                </c:pt>
                <c:pt idx="155">
                  <c:v>38686</c:v>
                </c:pt>
                <c:pt idx="156">
                  <c:v>38717</c:v>
                </c:pt>
                <c:pt idx="157">
                  <c:v>38748</c:v>
                </c:pt>
                <c:pt idx="158">
                  <c:v>38776</c:v>
                </c:pt>
                <c:pt idx="159">
                  <c:v>38807</c:v>
                </c:pt>
                <c:pt idx="160">
                  <c:v>38837</c:v>
                </c:pt>
                <c:pt idx="161">
                  <c:v>38868</c:v>
                </c:pt>
                <c:pt idx="162">
                  <c:v>38898</c:v>
                </c:pt>
                <c:pt idx="163">
                  <c:v>38929</c:v>
                </c:pt>
                <c:pt idx="164">
                  <c:v>38960</c:v>
                </c:pt>
                <c:pt idx="165">
                  <c:v>38990</c:v>
                </c:pt>
                <c:pt idx="166">
                  <c:v>39021</c:v>
                </c:pt>
                <c:pt idx="167">
                  <c:v>39051</c:v>
                </c:pt>
                <c:pt idx="168">
                  <c:v>39082</c:v>
                </c:pt>
                <c:pt idx="169">
                  <c:v>39113</c:v>
                </c:pt>
                <c:pt idx="170">
                  <c:v>39141</c:v>
                </c:pt>
                <c:pt idx="171">
                  <c:v>39172</c:v>
                </c:pt>
                <c:pt idx="172">
                  <c:v>39202</c:v>
                </c:pt>
                <c:pt idx="173">
                  <c:v>39233</c:v>
                </c:pt>
                <c:pt idx="174">
                  <c:v>39263</c:v>
                </c:pt>
                <c:pt idx="175">
                  <c:v>39294</c:v>
                </c:pt>
                <c:pt idx="176">
                  <c:v>39325</c:v>
                </c:pt>
                <c:pt idx="177">
                  <c:v>39355</c:v>
                </c:pt>
                <c:pt idx="178">
                  <c:v>39386</c:v>
                </c:pt>
                <c:pt idx="179">
                  <c:v>39416</c:v>
                </c:pt>
                <c:pt idx="180">
                  <c:v>39447</c:v>
                </c:pt>
                <c:pt idx="181">
                  <c:v>39478</c:v>
                </c:pt>
                <c:pt idx="182">
                  <c:v>39507</c:v>
                </c:pt>
                <c:pt idx="183">
                  <c:v>39538</c:v>
                </c:pt>
                <c:pt idx="184">
                  <c:v>39568</c:v>
                </c:pt>
                <c:pt idx="185">
                  <c:v>39599</c:v>
                </c:pt>
                <c:pt idx="186">
                  <c:v>39629</c:v>
                </c:pt>
                <c:pt idx="187">
                  <c:v>39660</c:v>
                </c:pt>
                <c:pt idx="188">
                  <c:v>39691</c:v>
                </c:pt>
              </c:numCache>
            </c:numRef>
          </c:cat>
          <c:val>
            <c:numRef>
              <c:f>'Returns Value_Growth'!$K$212:$K$400</c:f>
              <c:numCache>
                <c:formatCode>0.00</c:formatCode>
                <c:ptCount val="189"/>
                <c:pt idx="0">
                  <c:v>9.0773509252321851</c:v>
                </c:pt>
                <c:pt idx="1">
                  <c:v>7.9042010507051055</c:v>
                </c:pt>
                <c:pt idx="2">
                  <c:v>11.632514612345579</c:v>
                </c:pt>
                <c:pt idx="3">
                  <c:v>11.70092919418164</c:v>
                </c:pt>
                <c:pt idx="4">
                  <c:v>7.5362596651050495</c:v>
                </c:pt>
                <c:pt idx="5">
                  <c:v>3.0656073115375087</c:v>
                </c:pt>
                <c:pt idx="6">
                  <c:v>2.039389576977868</c:v>
                </c:pt>
                <c:pt idx="7">
                  <c:v>2.5640146876112055</c:v>
                </c:pt>
                <c:pt idx="8">
                  <c:v>1.0010100570445388</c:v>
                </c:pt>
                <c:pt idx="9">
                  <c:v>-0.12235593598395411</c:v>
                </c:pt>
                <c:pt idx="10">
                  <c:v>0.70882530654458975</c:v>
                </c:pt>
                <c:pt idx="11">
                  <c:v>3.188770499427342</c:v>
                </c:pt>
                <c:pt idx="12">
                  <c:v>-0.23658790179368339</c:v>
                </c:pt>
                <c:pt idx="13">
                  <c:v>-1.6365541283074769</c:v>
                </c:pt>
                <c:pt idx="14">
                  <c:v>-8.8646762575203901</c:v>
                </c:pt>
                <c:pt idx="15">
                  <c:v>-6.8835963577785977</c:v>
                </c:pt>
                <c:pt idx="16">
                  <c:v>-6.3398764876983149</c:v>
                </c:pt>
                <c:pt idx="17">
                  <c:v>0.74731582346716507</c:v>
                </c:pt>
                <c:pt idx="18">
                  <c:v>2.41304132766198</c:v>
                </c:pt>
                <c:pt idx="19">
                  <c:v>4.3174055653680821</c:v>
                </c:pt>
                <c:pt idx="20">
                  <c:v>2.6795907262769925</c:v>
                </c:pt>
                <c:pt idx="21">
                  <c:v>2.7154858493849465</c:v>
                </c:pt>
                <c:pt idx="22">
                  <c:v>3.1799942925734959</c:v>
                </c:pt>
                <c:pt idx="23">
                  <c:v>4.1477760502948264</c:v>
                </c:pt>
                <c:pt idx="24">
                  <c:v>6.415247898585374</c:v>
                </c:pt>
                <c:pt idx="25">
                  <c:v>8.5757237510323936</c:v>
                </c:pt>
                <c:pt idx="26">
                  <c:v>8.8217049531976066</c:v>
                </c:pt>
                <c:pt idx="27">
                  <c:v>4.9213029740799108</c:v>
                </c:pt>
                <c:pt idx="28">
                  <c:v>3.6318382399683777</c:v>
                </c:pt>
                <c:pt idx="29">
                  <c:v>2.54470198487431</c:v>
                </c:pt>
                <c:pt idx="30">
                  <c:v>-4.0836412111893807</c:v>
                </c:pt>
                <c:pt idx="31">
                  <c:v>-8.3030127933114919</c:v>
                </c:pt>
                <c:pt idx="32">
                  <c:v>-3.9821414956449743</c:v>
                </c:pt>
                <c:pt idx="33">
                  <c:v>-2.4458481857691154</c:v>
                </c:pt>
                <c:pt idx="34">
                  <c:v>2.5120831109679749</c:v>
                </c:pt>
                <c:pt idx="35">
                  <c:v>3.901900567618835</c:v>
                </c:pt>
                <c:pt idx="36">
                  <c:v>6.7410074229962795</c:v>
                </c:pt>
                <c:pt idx="37">
                  <c:v>3.8189931238433488</c:v>
                </c:pt>
                <c:pt idx="38">
                  <c:v>0.91629672018649444</c:v>
                </c:pt>
                <c:pt idx="39">
                  <c:v>3.5497422125388525</c:v>
                </c:pt>
                <c:pt idx="40">
                  <c:v>-3.5123491604849058</c:v>
                </c:pt>
                <c:pt idx="41">
                  <c:v>-4.8461163010137476</c:v>
                </c:pt>
                <c:pt idx="42">
                  <c:v>3.4206052470957538</c:v>
                </c:pt>
                <c:pt idx="43">
                  <c:v>6.7787511579588724</c:v>
                </c:pt>
                <c:pt idx="44">
                  <c:v>5.7656670347405523</c:v>
                </c:pt>
                <c:pt idx="45">
                  <c:v>2.3163440758549712</c:v>
                </c:pt>
                <c:pt idx="46">
                  <c:v>1.9564130615809638</c:v>
                </c:pt>
                <c:pt idx="47">
                  <c:v>1.2027983338434893</c:v>
                </c:pt>
                <c:pt idx="48">
                  <c:v>0.88552767078522621</c:v>
                </c:pt>
                <c:pt idx="49">
                  <c:v>-3.1267799955857463</c:v>
                </c:pt>
                <c:pt idx="50">
                  <c:v>4.5938978586776535</c:v>
                </c:pt>
                <c:pt idx="51">
                  <c:v>6.6712050992293381</c:v>
                </c:pt>
                <c:pt idx="52">
                  <c:v>10.390509477246869</c:v>
                </c:pt>
                <c:pt idx="53">
                  <c:v>5.4103614214860514</c:v>
                </c:pt>
                <c:pt idx="54">
                  <c:v>0.48676476670956959</c:v>
                </c:pt>
                <c:pt idx="55">
                  <c:v>-8.6300170756082153</c:v>
                </c:pt>
                <c:pt idx="56">
                  <c:v>-5.1928044110446336</c:v>
                </c:pt>
                <c:pt idx="57">
                  <c:v>-1.1407257797058747</c:v>
                </c:pt>
                <c:pt idx="58">
                  <c:v>-0.73011563883269304</c:v>
                </c:pt>
                <c:pt idx="59">
                  <c:v>1.4283981207063654</c:v>
                </c:pt>
                <c:pt idx="60">
                  <c:v>4.0995599319273879</c:v>
                </c:pt>
                <c:pt idx="61">
                  <c:v>6.4402244625799909</c:v>
                </c:pt>
                <c:pt idx="62">
                  <c:v>-5.7592542731768503E-2</c:v>
                </c:pt>
                <c:pt idx="63">
                  <c:v>-2.5688924829419904</c:v>
                </c:pt>
                <c:pt idx="64">
                  <c:v>-4.6656713601358248</c:v>
                </c:pt>
                <c:pt idx="65">
                  <c:v>2.9502944142458105</c:v>
                </c:pt>
                <c:pt idx="66">
                  <c:v>-0.20743110085679106</c:v>
                </c:pt>
                <c:pt idx="67">
                  <c:v>3.9124096214307791</c:v>
                </c:pt>
                <c:pt idx="68">
                  <c:v>6.6631091264543807</c:v>
                </c:pt>
                <c:pt idx="69">
                  <c:v>4.4366081639845234</c:v>
                </c:pt>
                <c:pt idx="70">
                  <c:v>-0.35197962609776479</c:v>
                </c:pt>
                <c:pt idx="71">
                  <c:v>-8.3607851903999979</c:v>
                </c:pt>
                <c:pt idx="72">
                  <c:v>-30.183853840000467</c:v>
                </c:pt>
                <c:pt idx="73">
                  <c:v>-32.032293817241552</c:v>
                </c:pt>
                <c:pt idx="74">
                  <c:v>-25.293541378740137</c:v>
                </c:pt>
                <c:pt idx="75">
                  <c:v>-27.008637719481875</c:v>
                </c:pt>
                <c:pt idx="76">
                  <c:v>-22.72668792731708</c:v>
                </c:pt>
                <c:pt idx="77">
                  <c:v>-22.307972940485435</c:v>
                </c:pt>
                <c:pt idx="78">
                  <c:v>-25.254260464623471</c:v>
                </c:pt>
                <c:pt idx="79">
                  <c:v>-22.692633289830731</c:v>
                </c:pt>
                <c:pt idx="80">
                  <c:v>-35.781929979155947</c:v>
                </c:pt>
                <c:pt idx="81">
                  <c:v>-32.943757329212509</c:v>
                </c:pt>
                <c:pt idx="82">
                  <c:v>-36.383723105701328</c:v>
                </c:pt>
                <c:pt idx="83">
                  <c:v>-37.744794782807411</c:v>
                </c:pt>
                <c:pt idx="84">
                  <c:v>-26.41169266434451</c:v>
                </c:pt>
                <c:pt idx="85">
                  <c:v>-26.735022345345705</c:v>
                </c:pt>
                <c:pt idx="86">
                  <c:v>-56.427556620081546</c:v>
                </c:pt>
                <c:pt idx="87">
                  <c:v>-42.301307437286418</c:v>
                </c:pt>
                <c:pt idx="88">
                  <c:v>-35.806527245326556</c:v>
                </c:pt>
                <c:pt idx="89">
                  <c:v>-28.054495036359395</c:v>
                </c:pt>
                <c:pt idx="90">
                  <c:v>-36.616818452038373</c:v>
                </c:pt>
                <c:pt idx="91">
                  <c:v>-34.452886459981414</c:v>
                </c:pt>
                <c:pt idx="92">
                  <c:v>-48.363987304503468</c:v>
                </c:pt>
                <c:pt idx="93">
                  <c:v>-38.229568263138972</c:v>
                </c:pt>
                <c:pt idx="94">
                  <c:v>-21.183318400399198</c:v>
                </c:pt>
                <c:pt idx="95">
                  <c:v>6.5100854354709377</c:v>
                </c:pt>
                <c:pt idx="96">
                  <c:v>18.684755404760288</c:v>
                </c:pt>
                <c:pt idx="97">
                  <c:v>28.785445789742113</c:v>
                </c:pt>
                <c:pt idx="98">
                  <c:v>52.926986121501557</c:v>
                </c:pt>
                <c:pt idx="99">
                  <c:v>41.04756721075259</c:v>
                </c:pt>
                <c:pt idx="100">
                  <c:v>37.439639441335302</c:v>
                </c:pt>
                <c:pt idx="101">
                  <c:v>28.72897730510596</c:v>
                </c:pt>
                <c:pt idx="102">
                  <c:v>43.082758153140816</c:v>
                </c:pt>
                <c:pt idx="103">
                  <c:v>40.146447534977497</c:v>
                </c:pt>
                <c:pt idx="104">
                  <c:v>44.050836134196288</c:v>
                </c:pt>
                <c:pt idx="105">
                  <c:v>37.864974983515502</c:v>
                </c:pt>
                <c:pt idx="106">
                  <c:v>31.55426819059992</c:v>
                </c:pt>
                <c:pt idx="107">
                  <c:v>18.070526173156498</c:v>
                </c:pt>
                <c:pt idx="108">
                  <c:v>15.108233518091584</c:v>
                </c:pt>
                <c:pt idx="109">
                  <c:v>11.467889831330258</c:v>
                </c:pt>
                <c:pt idx="110">
                  <c:v>11.527952558675103</c:v>
                </c:pt>
                <c:pt idx="111">
                  <c:v>5.6585894268485148</c:v>
                </c:pt>
                <c:pt idx="112">
                  <c:v>13.721167660501999</c:v>
                </c:pt>
                <c:pt idx="113">
                  <c:v>13.844942196473598</c:v>
                </c:pt>
                <c:pt idx="114">
                  <c:v>15.521624950758483</c:v>
                </c:pt>
                <c:pt idx="115">
                  <c:v>10.245842340204192</c:v>
                </c:pt>
                <c:pt idx="116">
                  <c:v>8.9644160079164426</c:v>
                </c:pt>
                <c:pt idx="117">
                  <c:v>2.9029352060732201</c:v>
                </c:pt>
                <c:pt idx="118">
                  <c:v>7.828401831775933</c:v>
                </c:pt>
                <c:pt idx="119">
                  <c:v>11.236573816744233</c:v>
                </c:pt>
                <c:pt idx="120">
                  <c:v>9.0622161730356865</c:v>
                </c:pt>
                <c:pt idx="121">
                  <c:v>7.052629429459655</c:v>
                </c:pt>
                <c:pt idx="122">
                  <c:v>3.6328884809736728</c:v>
                </c:pt>
                <c:pt idx="123">
                  <c:v>1.2566802779970025</c:v>
                </c:pt>
                <c:pt idx="124">
                  <c:v>-0.69079299559535912</c:v>
                </c:pt>
                <c:pt idx="125">
                  <c:v>1.8589281503218142</c:v>
                </c:pt>
                <c:pt idx="126">
                  <c:v>-3.5226859568072033</c:v>
                </c:pt>
                <c:pt idx="127">
                  <c:v>-3.4753784832502141</c:v>
                </c:pt>
                <c:pt idx="128">
                  <c:v>-3.247670565616545</c:v>
                </c:pt>
                <c:pt idx="129">
                  <c:v>2.893884409755529</c:v>
                </c:pt>
                <c:pt idx="130">
                  <c:v>5.3450884884427694</c:v>
                </c:pt>
                <c:pt idx="131">
                  <c:v>4.9201527395685645</c:v>
                </c:pt>
                <c:pt idx="132">
                  <c:v>9.2635557650826463</c:v>
                </c:pt>
                <c:pt idx="133">
                  <c:v>12.660876817862651</c:v>
                </c:pt>
                <c:pt idx="134">
                  <c:v>13.180419901221676</c:v>
                </c:pt>
                <c:pt idx="135">
                  <c:v>15.90029101584669</c:v>
                </c:pt>
                <c:pt idx="136">
                  <c:v>10.510320430841144</c:v>
                </c:pt>
                <c:pt idx="137">
                  <c:v>6.4146637485998923</c:v>
                </c:pt>
                <c:pt idx="138">
                  <c:v>10.750403943917309</c:v>
                </c:pt>
                <c:pt idx="139">
                  <c:v>11.918785745535931</c:v>
                </c:pt>
                <c:pt idx="140">
                  <c:v>12.35628442970653</c:v>
                </c:pt>
                <c:pt idx="141">
                  <c:v>11.70975805465353</c:v>
                </c:pt>
                <c:pt idx="142">
                  <c:v>8.0037796404173847</c:v>
                </c:pt>
                <c:pt idx="143">
                  <c:v>9.6917572536460845</c:v>
                </c:pt>
                <c:pt idx="144">
                  <c:v>4.9261153849041506</c:v>
                </c:pt>
                <c:pt idx="145">
                  <c:v>3.1934041118433907</c:v>
                </c:pt>
                <c:pt idx="146">
                  <c:v>2.1611690193483746</c:v>
                </c:pt>
                <c:pt idx="147">
                  <c:v>2.967357245793778</c:v>
                </c:pt>
                <c:pt idx="148">
                  <c:v>4.6069628887632108</c:v>
                </c:pt>
                <c:pt idx="149">
                  <c:v>4.6066441907549383</c:v>
                </c:pt>
                <c:pt idx="150">
                  <c:v>3.8931000541915672</c:v>
                </c:pt>
                <c:pt idx="151">
                  <c:v>4.317946579373853</c:v>
                </c:pt>
                <c:pt idx="152">
                  <c:v>1.8089078546070354</c:v>
                </c:pt>
                <c:pt idx="153">
                  <c:v>2.074850787590087</c:v>
                </c:pt>
                <c:pt idx="154">
                  <c:v>2.0290948699810869</c:v>
                </c:pt>
                <c:pt idx="155">
                  <c:v>-2.2046634686054176</c:v>
                </c:pt>
                <c:pt idx="156">
                  <c:v>-2.0919053602940654</c:v>
                </c:pt>
                <c:pt idx="157">
                  <c:v>-0.9219112835970229</c:v>
                </c:pt>
                <c:pt idx="158">
                  <c:v>1.6442474477796871</c:v>
                </c:pt>
                <c:pt idx="159">
                  <c:v>1.7720151440901795</c:v>
                </c:pt>
                <c:pt idx="160">
                  <c:v>3.3308423303423993</c:v>
                </c:pt>
                <c:pt idx="161">
                  <c:v>4.4565027494680276</c:v>
                </c:pt>
                <c:pt idx="162">
                  <c:v>3.0844024521897921</c:v>
                </c:pt>
                <c:pt idx="163">
                  <c:v>3.5620035387645466</c:v>
                </c:pt>
                <c:pt idx="164">
                  <c:v>4.4661031293150133</c:v>
                </c:pt>
                <c:pt idx="165">
                  <c:v>3.0388943331184803</c:v>
                </c:pt>
                <c:pt idx="166">
                  <c:v>5.8524245856738091</c:v>
                </c:pt>
                <c:pt idx="167">
                  <c:v>6.9406334873307376</c:v>
                </c:pt>
                <c:pt idx="168">
                  <c:v>8.8117388738925051</c:v>
                </c:pt>
                <c:pt idx="169">
                  <c:v>7.2768407122876919</c:v>
                </c:pt>
                <c:pt idx="170">
                  <c:v>6.5531921605983987</c:v>
                </c:pt>
                <c:pt idx="171">
                  <c:v>5.4818733307891776</c:v>
                </c:pt>
                <c:pt idx="172">
                  <c:v>3.5225172885125389</c:v>
                </c:pt>
                <c:pt idx="173">
                  <c:v>1.0238455393214423</c:v>
                </c:pt>
                <c:pt idx="174">
                  <c:v>1.292352065922131E-2</c:v>
                </c:pt>
                <c:pt idx="175">
                  <c:v>-2.9764947676446756</c:v>
                </c:pt>
                <c:pt idx="176">
                  <c:v>-4.2784249835865253</c:v>
                </c:pt>
                <c:pt idx="177">
                  <c:v>-5.228359453864396</c:v>
                </c:pt>
                <c:pt idx="178">
                  <c:v>-8.0857945716910749</c:v>
                </c:pt>
                <c:pt idx="179">
                  <c:v>-8.6805187623503421</c:v>
                </c:pt>
                <c:pt idx="180">
                  <c:v>-10.852837272026683</c:v>
                </c:pt>
                <c:pt idx="181">
                  <c:v>-7.0287860836130474</c:v>
                </c:pt>
                <c:pt idx="182">
                  <c:v>-10.443981513264633</c:v>
                </c:pt>
                <c:pt idx="183">
                  <c:v>-8.7073941252110991</c:v>
                </c:pt>
                <c:pt idx="184">
                  <c:v>-9.3935779188248816</c:v>
                </c:pt>
                <c:pt idx="185">
                  <c:v>-9.4694664777850051</c:v>
                </c:pt>
                <c:pt idx="186">
                  <c:v>-11.882757647765875</c:v>
                </c:pt>
                <c:pt idx="187">
                  <c:v>-8.1501908763236273</c:v>
                </c:pt>
                <c:pt idx="188">
                  <c:v>-7.1217612476346943</c:v>
                </c:pt>
              </c:numCache>
            </c:numRef>
          </c:val>
          <c:smooth val="0"/>
        </c:ser>
        <c:dLbls>
          <c:showLegendKey val="0"/>
          <c:showVal val="0"/>
          <c:showCatName val="0"/>
          <c:showSerName val="0"/>
          <c:showPercent val="0"/>
          <c:showBubbleSize val="0"/>
        </c:dLbls>
        <c:marker val="1"/>
        <c:smooth val="0"/>
        <c:axId val="390255744"/>
        <c:axId val="390257664"/>
      </c:lineChart>
      <c:dateAx>
        <c:axId val="390255744"/>
        <c:scaling>
          <c:orientation val="minMax"/>
        </c:scaling>
        <c:delete val="0"/>
        <c:axPos val="b"/>
        <c:title>
          <c:tx>
            <c:rich>
              <a:bodyPr/>
              <a:lstStyle/>
              <a:p>
                <a:pPr>
                  <a:defRPr sz="1200" b="0" i="0" u="none" strike="noStrike" baseline="0">
                    <a:solidFill>
                      <a:srgbClr val="000000"/>
                    </a:solidFill>
                    <a:latin typeface="Arial"/>
                    <a:ea typeface="Arial"/>
                    <a:cs typeface="Arial"/>
                  </a:defRPr>
                </a:pPr>
                <a:r>
                  <a:rPr lang="en-US" sz="1000" b="1" i="0" u="none" strike="noStrike" baseline="0">
                    <a:solidFill>
                      <a:srgbClr val="000080"/>
                    </a:solidFill>
                    <a:latin typeface="Arial"/>
                    <a:cs typeface="Arial"/>
                  </a:rPr>
                  <a:t>- Rolling 1 Year</a:t>
                </a:r>
                <a:endParaRPr lang="en-US" sz="1000" b="1" i="0" u="none" strike="noStrike" baseline="0">
                  <a:solidFill>
                    <a:srgbClr val="000000"/>
                  </a:solidFill>
                  <a:latin typeface="Arial"/>
                  <a:cs typeface="Arial"/>
                </a:endParaRPr>
              </a:p>
              <a:p>
                <a:pPr>
                  <a:defRPr sz="1200" b="0" i="0" u="none" strike="noStrike" baseline="0">
                    <a:solidFill>
                      <a:srgbClr val="000000"/>
                    </a:solidFill>
                    <a:latin typeface="Arial"/>
                    <a:ea typeface="Arial"/>
                    <a:cs typeface="Arial"/>
                  </a:defRPr>
                </a:pPr>
                <a:r>
                  <a:rPr lang="en-US" sz="1000" b="1" i="0" u="none" strike="noStrike" baseline="0">
                    <a:solidFill>
                      <a:srgbClr val="FF0000"/>
                    </a:solidFill>
                    <a:latin typeface="Arial"/>
                    <a:cs typeface="Arial"/>
                  </a:rPr>
                  <a:t>- Rolling 3 Year</a:t>
                </a:r>
              </a:p>
            </c:rich>
          </c:tx>
          <c:layout>
            <c:manualLayout>
              <c:xMode val="edge"/>
              <c:yMode val="edge"/>
              <c:x val="0.87248317555811139"/>
              <c:y val="0.77828752234191589"/>
            </c:manualLayout>
          </c:layout>
          <c:overlay val="0"/>
          <c:spPr>
            <a:noFill/>
            <a:ln w="25400">
              <a:noFill/>
            </a:ln>
          </c:spPr>
        </c:title>
        <c:numFmt formatCode="mmm\-yy" sourceLinked="0"/>
        <c:majorTickMark val="out"/>
        <c:minorTickMark val="none"/>
        <c:tickLblPos val="low"/>
        <c:spPr>
          <a:ln w="25400">
            <a:solidFill>
              <a:srgbClr val="000000"/>
            </a:solidFill>
            <a:prstDash val="solid"/>
          </a:ln>
        </c:spPr>
        <c:txPr>
          <a:bodyPr rot="-2700000" vert="horz"/>
          <a:lstStyle/>
          <a:p>
            <a:pPr>
              <a:defRPr sz="1000" b="0" i="0" u="none" strike="noStrike" baseline="0">
                <a:solidFill>
                  <a:srgbClr val="000000"/>
                </a:solidFill>
                <a:latin typeface="Arial"/>
                <a:ea typeface="Arial"/>
                <a:cs typeface="Arial"/>
              </a:defRPr>
            </a:pPr>
            <a:endParaRPr lang="en-US"/>
          </a:p>
        </c:txPr>
        <c:crossAx val="390257664"/>
        <c:crosses val="autoZero"/>
        <c:auto val="1"/>
        <c:lblOffset val="100"/>
        <c:baseTimeUnit val="months"/>
        <c:majorUnit val="6"/>
        <c:majorTimeUnit val="months"/>
        <c:minorUnit val="3"/>
        <c:minorTimeUnit val="months"/>
      </c:dateAx>
      <c:valAx>
        <c:axId val="390257664"/>
        <c:scaling>
          <c:orientation val="minMax"/>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t>Annualized %</a:t>
                </a:r>
              </a:p>
            </c:rich>
          </c:tx>
          <c:layout>
            <c:manualLayout>
              <c:xMode val="edge"/>
              <c:yMode val="edge"/>
              <c:x val="8.9485387360287837E-3"/>
              <c:y val="0.4128439849926734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90255744"/>
        <c:crosses val="autoZero"/>
        <c:crossBetween val="between"/>
      </c:valAx>
      <c:spPr>
        <a:solidFill>
          <a:srgbClr val="C0C0C0"/>
        </a:solidFill>
        <a:ln w="12700">
          <a:solidFill>
            <a:srgbClr val="808080"/>
          </a:solidFill>
          <a:prstDash val="solid"/>
        </a:ln>
      </c:spPr>
    </c:plotArea>
    <c:plotVisOnly val="1"/>
    <c:dispBlanksAs val="gap"/>
    <c:showDLblsOverMax val="0"/>
  </c:chart>
  <c:spPr>
    <a:noFill/>
    <a:ln w="9525">
      <a:noFill/>
    </a:ln>
  </c:spPr>
  <c:txPr>
    <a:bodyPr/>
    <a:lstStyle/>
    <a:p>
      <a:pPr>
        <a:defRPr sz="12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Small Cap US Equity (S&amp;P SmallCap)
Value v. Growth
January 1995 to August 2008</a:t>
            </a:r>
          </a:p>
        </c:rich>
      </c:tx>
      <c:layout>
        <c:manualLayout>
          <c:xMode val="edge"/>
          <c:yMode val="edge"/>
          <c:x val="0.33892618478869913"/>
          <c:y val="7.6452023251694767E-3"/>
        </c:manualLayout>
      </c:layout>
      <c:overlay val="0"/>
      <c:spPr>
        <a:noFill/>
        <a:ln w="25400">
          <a:noFill/>
        </a:ln>
      </c:spPr>
    </c:title>
    <c:autoTitleDeleted val="0"/>
    <c:plotArea>
      <c:layout>
        <c:manualLayout>
          <c:layoutTarget val="inner"/>
          <c:xMode val="edge"/>
          <c:yMode val="edge"/>
          <c:x val="8.612975391498881E-2"/>
          <c:y val="0.13914373088685014"/>
          <c:w val="0.90268456375838924"/>
          <c:h val="0.70948012232415902"/>
        </c:manualLayout>
      </c:layout>
      <c:lineChart>
        <c:grouping val="standard"/>
        <c:varyColors val="0"/>
        <c:ser>
          <c:idx val="1"/>
          <c:order val="0"/>
          <c:spPr>
            <a:ln w="12700">
              <a:solidFill>
                <a:srgbClr val="FF0000"/>
              </a:solidFill>
              <a:prstDash val="solid"/>
            </a:ln>
          </c:spPr>
          <c:marker>
            <c:symbol val="none"/>
          </c:marker>
          <c:cat>
            <c:numRef>
              <c:f>'Returns Value_Growth'!$A$237:$A$400</c:f>
              <c:numCache>
                <c:formatCode>mm/dd/yy;@</c:formatCode>
                <c:ptCount val="164"/>
                <c:pt idx="0">
                  <c:v>34730</c:v>
                </c:pt>
                <c:pt idx="1">
                  <c:v>34758</c:v>
                </c:pt>
                <c:pt idx="2">
                  <c:v>34789</c:v>
                </c:pt>
                <c:pt idx="3">
                  <c:v>34819</c:v>
                </c:pt>
                <c:pt idx="4">
                  <c:v>34850</c:v>
                </c:pt>
                <c:pt idx="5">
                  <c:v>34880</c:v>
                </c:pt>
                <c:pt idx="6">
                  <c:v>34911</c:v>
                </c:pt>
                <c:pt idx="7">
                  <c:v>34942</c:v>
                </c:pt>
                <c:pt idx="8">
                  <c:v>34972</c:v>
                </c:pt>
                <c:pt idx="9">
                  <c:v>35003</c:v>
                </c:pt>
                <c:pt idx="10">
                  <c:v>35033</c:v>
                </c:pt>
                <c:pt idx="11">
                  <c:v>35064</c:v>
                </c:pt>
                <c:pt idx="12">
                  <c:v>35095</c:v>
                </c:pt>
                <c:pt idx="13">
                  <c:v>35124</c:v>
                </c:pt>
                <c:pt idx="14">
                  <c:v>35155</c:v>
                </c:pt>
                <c:pt idx="15">
                  <c:v>35185</c:v>
                </c:pt>
                <c:pt idx="16">
                  <c:v>35216</c:v>
                </c:pt>
                <c:pt idx="17">
                  <c:v>35246</c:v>
                </c:pt>
                <c:pt idx="18">
                  <c:v>35277</c:v>
                </c:pt>
                <c:pt idx="19">
                  <c:v>35308</c:v>
                </c:pt>
                <c:pt idx="20">
                  <c:v>35338</c:v>
                </c:pt>
                <c:pt idx="21">
                  <c:v>35369</c:v>
                </c:pt>
                <c:pt idx="22">
                  <c:v>35399</c:v>
                </c:pt>
                <c:pt idx="23">
                  <c:v>35430</c:v>
                </c:pt>
                <c:pt idx="24">
                  <c:v>35461</c:v>
                </c:pt>
                <c:pt idx="25">
                  <c:v>35489</c:v>
                </c:pt>
                <c:pt idx="26">
                  <c:v>35520</c:v>
                </c:pt>
                <c:pt idx="27">
                  <c:v>35550</c:v>
                </c:pt>
                <c:pt idx="28">
                  <c:v>35581</c:v>
                </c:pt>
                <c:pt idx="29">
                  <c:v>35611</c:v>
                </c:pt>
                <c:pt idx="30">
                  <c:v>35642</c:v>
                </c:pt>
                <c:pt idx="31">
                  <c:v>35673</c:v>
                </c:pt>
                <c:pt idx="32">
                  <c:v>35703</c:v>
                </c:pt>
                <c:pt idx="33">
                  <c:v>35734</c:v>
                </c:pt>
                <c:pt idx="34">
                  <c:v>35764</c:v>
                </c:pt>
                <c:pt idx="35">
                  <c:v>35795</c:v>
                </c:pt>
                <c:pt idx="36">
                  <c:v>35826</c:v>
                </c:pt>
                <c:pt idx="37">
                  <c:v>35854</c:v>
                </c:pt>
                <c:pt idx="38">
                  <c:v>35885</c:v>
                </c:pt>
                <c:pt idx="39">
                  <c:v>35915</c:v>
                </c:pt>
                <c:pt idx="40">
                  <c:v>35946</c:v>
                </c:pt>
                <c:pt idx="41">
                  <c:v>35976</c:v>
                </c:pt>
                <c:pt idx="42">
                  <c:v>36007</c:v>
                </c:pt>
                <c:pt idx="43">
                  <c:v>36038</c:v>
                </c:pt>
                <c:pt idx="44">
                  <c:v>36068</c:v>
                </c:pt>
                <c:pt idx="45">
                  <c:v>36099</c:v>
                </c:pt>
                <c:pt idx="46">
                  <c:v>36129</c:v>
                </c:pt>
                <c:pt idx="47">
                  <c:v>36160</c:v>
                </c:pt>
                <c:pt idx="48">
                  <c:v>36191</c:v>
                </c:pt>
                <c:pt idx="49">
                  <c:v>36219</c:v>
                </c:pt>
                <c:pt idx="50">
                  <c:v>36250</c:v>
                </c:pt>
                <c:pt idx="51">
                  <c:v>36280</c:v>
                </c:pt>
                <c:pt idx="52">
                  <c:v>36311</c:v>
                </c:pt>
                <c:pt idx="53">
                  <c:v>36341</c:v>
                </c:pt>
                <c:pt idx="54">
                  <c:v>36372</c:v>
                </c:pt>
                <c:pt idx="55">
                  <c:v>36403</c:v>
                </c:pt>
                <c:pt idx="56">
                  <c:v>36433</c:v>
                </c:pt>
                <c:pt idx="57">
                  <c:v>36464</c:v>
                </c:pt>
                <c:pt idx="58">
                  <c:v>36494</c:v>
                </c:pt>
                <c:pt idx="59">
                  <c:v>36525</c:v>
                </c:pt>
                <c:pt idx="60">
                  <c:v>36556</c:v>
                </c:pt>
                <c:pt idx="61">
                  <c:v>36585</c:v>
                </c:pt>
                <c:pt idx="62">
                  <c:v>36616</c:v>
                </c:pt>
                <c:pt idx="63">
                  <c:v>36646</c:v>
                </c:pt>
                <c:pt idx="64">
                  <c:v>36677</c:v>
                </c:pt>
                <c:pt idx="65">
                  <c:v>36707</c:v>
                </c:pt>
                <c:pt idx="66">
                  <c:v>36738</c:v>
                </c:pt>
                <c:pt idx="67">
                  <c:v>36769</c:v>
                </c:pt>
                <c:pt idx="68">
                  <c:v>36799</c:v>
                </c:pt>
                <c:pt idx="69">
                  <c:v>36830</c:v>
                </c:pt>
                <c:pt idx="70">
                  <c:v>36860</c:v>
                </c:pt>
                <c:pt idx="71">
                  <c:v>36891</c:v>
                </c:pt>
                <c:pt idx="72">
                  <c:v>36922</c:v>
                </c:pt>
                <c:pt idx="73">
                  <c:v>36950</c:v>
                </c:pt>
                <c:pt idx="74">
                  <c:v>36981</c:v>
                </c:pt>
                <c:pt idx="75">
                  <c:v>37011</c:v>
                </c:pt>
                <c:pt idx="76">
                  <c:v>37042</c:v>
                </c:pt>
                <c:pt idx="77">
                  <c:v>37072</c:v>
                </c:pt>
                <c:pt idx="78">
                  <c:v>37103</c:v>
                </c:pt>
                <c:pt idx="79">
                  <c:v>37134</c:v>
                </c:pt>
                <c:pt idx="80">
                  <c:v>37164</c:v>
                </c:pt>
                <c:pt idx="81">
                  <c:v>37195</c:v>
                </c:pt>
                <c:pt idx="82">
                  <c:v>37225</c:v>
                </c:pt>
                <c:pt idx="83">
                  <c:v>37256</c:v>
                </c:pt>
                <c:pt idx="84">
                  <c:v>37287</c:v>
                </c:pt>
                <c:pt idx="85">
                  <c:v>37315</c:v>
                </c:pt>
                <c:pt idx="86">
                  <c:v>37346</c:v>
                </c:pt>
                <c:pt idx="87">
                  <c:v>37376</c:v>
                </c:pt>
                <c:pt idx="88">
                  <c:v>37407</c:v>
                </c:pt>
                <c:pt idx="89">
                  <c:v>37437</c:v>
                </c:pt>
                <c:pt idx="90">
                  <c:v>37468</c:v>
                </c:pt>
                <c:pt idx="91">
                  <c:v>37499</c:v>
                </c:pt>
                <c:pt idx="92">
                  <c:v>37529</c:v>
                </c:pt>
                <c:pt idx="93">
                  <c:v>37560</c:v>
                </c:pt>
                <c:pt idx="94">
                  <c:v>37590</c:v>
                </c:pt>
                <c:pt idx="95">
                  <c:v>37621</c:v>
                </c:pt>
                <c:pt idx="96">
                  <c:v>37652</c:v>
                </c:pt>
                <c:pt idx="97">
                  <c:v>37680</c:v>
                </c:pt>
                <c:pt idx="98">
                  <c:v>37711</c:v>
                </c:pt>
                <c:pt idx="99">
                  <c:v>37741</c:v>
                </c:pt>
                <c:pt idx="100">
                  <c:v>37772</c:v>
                </c:pt>
                <c:pt idx="101">
                  <c:v>37802</c:v>
                </c:pt>
                <c:pt idx="102">
                  <c:v>37833</c:v>
                </c:pt>
                <c:pt idx="103">
                  <c:v>37864</c:v>
                </c:pt>
                <c:pt idx="104">
                  <c:v>37894</c:v>
                </c:pt>
                <c:pt idx="105">
                  <c:v>37925</c:v>
                </c:pt>
                <c:pt idx="106">
                  <c:v>37955</c:v>
                </c:pt>
                <c:pt idx="107">
                  <c:v>37986</c:v>
                </c:pt>
                <c:pt idx="108">
                  <c:v>38017</c:v>
                </c:pt>
                <c:pt idx="109">
                  <c:v>38046</c:v>
                </c:pt>
                <c:pt idx="110">
                  <c:v>38077</c:v>
                </c:pt>
                <c:pt idx="111">
                  <c:v>38107</c:v>
                </c:pt>
                <c:pt idx="112">
                  <c:v>38138</c:v>
                </c:pt>
                <c:pt idx="113">
                  <c:v>38168</c:v>
                </c:pt>
                <c:pt idx="114">
                  <c:v>38199</c:v>
                </c:pt>
                <c:pt idx="115">
                  <c:v>38230</c:v>
                </c:pt>
                <c:pt idx="116">
                  <c:v>38260</c:v>
                </c:pt>
                <c:pt idx="117">
                  <c:v>38291</c:v>
                </c:pt>
                <c:pt idx="118">
                  <c:v>38321</c:v>
                </c:pt>
                <c:pt idx="119">
                  <c:v>38352</c:v>
                </c:pt>
                <c:pt idx="120">
                  <c:v>38383</c:v>
                </c:pt>
                <c:pt idx="121">
                  <c:v>38411</c:v>
                </c:pt>
                <c:pt idx="122">
                  <c:v>38442</c:v>
                </c:pt>
                <c:pt idx="123">
                  <c:v>38472</c:v>
                </c:pt>
                <c:pt idx="124">
                  <c:v>38503</c:v>
                </c:pt>
                <c:pt idx="125">
                  <c:v>38533</c:v>
                </c:pt>
                <c:pt idx="126">
                  <c:v>38564</c:v>
                </c:pt>
                <c:pt idx="127">
                  <c:v>38595</c:v>
                </c:pt>
                <c:pt idx="128">
                  <c:v>38625</c:v>
                </c:pt>
                <c:pt idx="129">
                  <c:v>38656</c:v>
                </c:pt>
                <c:pt idx="130">
                  <c:v>38686</c:v>
                </c:pt>
                <c:pt idx="131">
                  <c:v>38717</c:v>
                </c:pt>
                <c:pt idx="132">
                  <c:v>38748</c:v>
                </c:pt>
                <c:pt idx="133">
                  <c:v>38776</c:v>
                </c:pt>
                <c:pt idx="134">
                  <c:v>38807</c:v>
                </c:pt>
                <c:pt idx="135">
                  <c:v>38837</c:v>
                </c:pt>
                <c:pt idx="136">
                  <c:v>38868</c:v>
                </c:pt>
                <c:pt idx="137">
                  <c:v>38898</c:v>
                </c:pt>
                <c:pt idx="138">
                  <c:v>38929</c:v>
                </c:pt>
                <c:pt idx="139">
                  <c:v>38960</c:v>
                </c:pt>
                <c:pt idx="140">
                  <c:v>38990</c:v>
                </c:pt>
                <c:pt idx="141">
                  <c:v>39021</c:v>
                </c:pt>
                <c:pt idx="142">
                  <c:v>39051</c:v>
                </c:pt>
                <c:pt idx="143">
                  <c:v>39082</c:v>
                </c:pt>
                <c:pt idx="144">
                  <c:v>39113</c:v>
                </c:pt>
                <c:pt idx="145">
                  <c:v>39141</c:v>
                </c:pt>
                <c:pt idx="146">
                  <c:v>39172</c:v>
                </c:pt>
                <c:pt idx="147">
                  <c:v>39202</c:v>
                </c:pt>
                <c:pt idx="148">
                  <c:v>39233</c:v>
                </c:pt>
                <c:pt idx="149">
                  <c:v>39263</c:v>
                </c:pt>
                <c:pt idx="150">
                  <c:v>39294</c:v>
                </c:pt>
                <c:pt idx="151">
                  <c:v>39325</c:v>
                </c:pt>
                <c:pt idx="152">
                  <c:v>39355</c:v>
                </c:pt>
                <c:pt idx="153">
                  <c:v>39386</c:v>
                </c:pt>
                <c:pt idx="154">
                  <c:v>39416</c:v>
                </c:pt>
                <c:pt idx="155">
                  <c:v>39447</c:v>
                </c:pt>
                <c:pt idx="156">
                  <c:v>39478</c:v>
                </c:pt>
                <c:pt idx="157">
                  <c:v>39507</c:v>
                </c:pt>
                <c:pt idx="158">
                  <c:v>39538</c:v>
                </c:pt>
                <c:pt idx="159">
                  <c:v>39568</c:v>
                </c:pt>
                <c:pt idx="160">
                  <c:v>39599</c:v>
                </c:pt>
                <c:pt idx="161">
                  <c:v>39629</c:v>
                </c:pt>
                <c:pt idx="162">
                  <c:v>39660</c:v>
                </c:pt>
                <c:pt idx="163">
                  <c:v>39691</c:v>
                </c:pt>
              </c:numCache>
            </c:numRef>
          </c:cat>
          <c:val>
            <c:numRef>
              <c:f>'Returns Value_Growth'!$U$237:$U$400</c:f>
              <c:numCache>
                <c:formatCode>0.00</c:formatCode>
                <c:ptCount val="164"/>
                <c:pt idx="24">
                  <c:v>3.6252132361904952</c:v>
                </c:pt>
                <c:pt idx="25">
                  <c:v>5.629336660753804</c:v>
                </c:pt>
                <c:pt idx="26">
                  <c:v>6.4775380622756238</c:v>
                </c:pt>
                <c:pt idx="27">
                  <c:v>5.5638657219705827</c:v>
                </c:pt>
                <c:pt idx="28">
                  <c:v>3.8299539200339545</c:v>
                </c:pt>
                <c:pt idx="29">
                  <c:v>3.844139997102161</c:v>
                </c:pt>
                <c:pt idx="30">
                  <c:v>3.0389393491929049</c:v>
                </c:pt>
                <c:pt idx="31">
                  <c:v>3.7658285376994662</c:v>
                </c:pt>
                <c:pt idx="32">
                  <c:v>4.6613081838434738</c:v>
                </c:pt>
                <c:pt idx="33">
                  <c:v>7.5089230338923478</c:v>
                </c:pt>
                <c:pt idx="34">
                  <c:v>8.499575718684472</c:v>
                </c:pt>
                <c:pt idx="35">
                  <c:v>9.8174596982173448</c:v>
                </c:pt>
                <c:pt idx="36">
                  <c:v>9.0259036312461127</c:v>
                </c:pt>
                <c:pt idx="37">
                  <c:v>8.8117152417324967</c:v>
                </c:pt>
                <c:pt idx="38">
                  <c:v>9.5410233965125286</c:v>
                </c:pt>
                <c:pt idx="39">
                  <c:v>7.626744209144686</c:v>
                </c:pt>
                <c:pt idx="40">
                  <c:v>8.2317191735727704</c:v>
                </c:pt>
                <c:pt idx="41">
                  <c:v>8.7968333418289681</c:v>
                </c:pt>
                <c:pt idx="42">
                  <c:v>10.109009684455561</c:v>
                </c:pt>
                <c:pt idx="43">
                  <c:v>10.982845086919312</c:v>
                </c:pt>
                <c:pt idx="44">
                  <c:v>11.354104143366373</c:v>
                </c:pt>
                <c:pt idx="45">
                  <c:v>10.492508061043672</c:v>
                </c:pt>
                <c:pt idx="46">
                  <c:v>9.835056818836696</c:v>
                </c:pt>
                <c:pt idx="47">
                  <c:v>7.4538620028463001</c:v>
                </c:pt>
                <c:pt idx="48">
                  <c:v>6.6293858776917531</c:v>
                </c:pt>
                <c:pt idx="49">
                  <c:v>7.3073029754072927</c:v>
                </c:pt>
                <c:pt idx="50">
                  <c:v>6.6131054674204215</c:v>
                </c:pt>
                <c:pt idx="51">
                  <c:v>7.8204547002572502</c:v>
                </c:pt>
                <c:pt idx="52">
                  <c:v>7.7703655371064597</c:v>
                </c:pt>
                <c:pt idx="53">
                  <c:v>6.7071855138516536</c:v>
                </c:pt>
                <c:pt idx="54">
                  <c:v>5.5843726113074652</c:v>
                </c:pt>
                <c:pt idx="55">
                  <c:v>6.6516351068213186</c:v>
                </c:pt>
                <c:pt idx="56">
                  <c:v>5.5880472372366707</c:v>
                </c:pt>
                <c:pt idx="57">
                  <c:v>3.50485725097578</c:v>
                </c:pt>
                <c:pt idx="58">
                  <c:v>1.7181933896028845</c:v>
                </c:pt>
                <c:pt idx="59">
                  <c:v>-0.71329704806439764</c:v>
                </c:pt>
                <c:pt idx="60">
                  <c:v>0.11364234594286771</c:v>
                </c:pt>
                <c:pt idx="61">
                  <c:v>-4.6312304346348245</c:v>
                </c:pt>
                <c:pt idx="62">
                  <c:v>-4.6521958725098678</c:v>
                </c:pt>
                <c:pt idx="63">
                  <c:v>-3.3130530761375638</c:v>
                </c:pt>
                <c:pt idx="64">
                  <c:v>-1.1944712189238409</c:v>
                </c:pt>
                <c:pt idx="65">
                  <c:v>-2.8542865092131997</c:v>
                </c:pt>
                <c:pt idx="66">
                  <c:v>-0.78264265825098711</c:v>
                </c:pt>
                <c:pt idx="67">
                  <c:v>-1.7831012546720704</c:v>
                </c:pt>
                <c:pt idx="68">
                  <c:v>-1.1397672902600187</c:v>
                </c:pt>
                <c:pt idx="69">
                  <c:v>-3.4850392637246754</c:v>
                </c:pt>
                <c:pt idx="70">
                  <c:v>-2.4392179231125244</c:v>
                </c:pt>
                <c:pt idx="71">
                  <c:v>-3.0242347792109214</c:v>
                </c:pt>
                <c:pt idx="72">
                  <c:v>-3.6420724720328757</c:v>
                </c:pt>
                <c:pt idx="73">
                  <c:v>-1.079905452557206</c:v>
                </c:pt>
                <c:pt idx="74">
                  <c:v>-0.50712087128554906</c:v>
                </c:pt>
                <c:pt idx="75">
                  <c:v>-1.6389876319481855</c:v>
                </c:pt>
                <c:pt idx="76">
                  <c:v>-2.4856228065310848</c:v>
                </c:pt>
                <c:pt idx="77">
                  <c:v>-2.2476049025579083</c:v>
                </c:pt>
                <c:pt idx="78">
                  <c:v>-1.2889565797322255</c:v>
                </c:pt>
                <c:pt idx="79">
                  <c:v>-2.6284607248223466</c:v>
                </c:pt>
                <c:pt idx="80">
                  <c:v>-1.7685858315516612</c:v>
                </c:pt>
                <c:pt idx="81">
                  <c:v>-1.8762947735135196</c:v>
                </c:pt>
                <c:pt idx="82">
                  <c:v>-0.90224733222325959</c:v>
                </c:pt>
                <c:pt idx="83">
                  <c:v>9.3083734753871994E-2</c:v>
                </c:pt>
                <c:pt idx="84">
                  <c:v>1.5611857707263486</c:v>
                </c:pt>
                <c:pt idx="85">
                  <c:v>1.3521756988297042</c:v>
                </c:pt>
                <c:pt idx="86">
                  <c:v>1.7004127151520461</c:v>
                </c:pt>
                <c:pt idx="87">
                  <c:v>2.0858184585537121</c:v>
                </c:pt>
                <c:pt idx="88">
                  <c:v>2.0250298378273506</c:v>
                </c:pt>
                <c:pt idx="89">
                  <c:v>3.3044217370755904</c:v>
                </c:pt>
                <c:pt idx="90">
                  <c:v>2.8889540590067098</c:v>
                </c:pt>
                <c:pt idx="91">
                  <c:v>1.3772899063954069</c:v>
                </c:pt>
                <c:pt idx="92">
                  <c:v>2.7072869743126171</c:v>
                </c:pt>
                <c:pt idx="93">
                  <c:v>2.7026144720180056</c:v>
                </c:pt>
                <c:pt idx="94">
                  <c:v>3.333483929888903</c:v>
                </c:pt>
                <c:pt idx="95">
                  <c:v>5.9328852417672051</c:v>
                </c:pt>
                <c:pt idx="96">
                  <c:v>5.2165675633283781</c:v>
                </c:pt>
                <c:pt idx="97">
                  <c:v>7.2222884486932912</c:v>
                </c:pt>
                <c:pt idx="98">
                  <c:v>5.7365176143103547</c:v>
                </c:pt>
                <c:pt idx="99">
                  <c:v>5.1733867594754734</c:v>
                </c:pt>
                <c:pt idx="100">
                  <c:v>4.5729690205961182</c:v>
                </c:pt>
                <c:pt idx="101">
                  <c:v>5.2417118431143939</c:v>
                </c:pt>
                <c:pt idx="102">
                  <c:v>4.1700141774625443</c:v>
                </c:pt>
                <c:pt idx="103">
                  <c:v>5.2543079074287791</c:v>
                </c:pt>
                <c:pt idx="104">
                  <c:v>4.2720153682333839</c:v>
                </c:pt>
                <c:pt idx="105">
                  <c:v>4.9793087291934102</c:v>
                </c:pt>
                <c:pt idx="106">
                  <c:v>3.5403666304676413</c:v>
                </c:pt>
                <c:pt idx="107">
                  <c:v>3.923982061722131</c:v>
                </c:pt>
                <c:pt idx="108">
                  <c:v>4.0932647560556692</c:v>
                </c:pt>
                <c:pt idx="109">
                  <c:v>2.2895231531546507</c:v>
                </c:pt>
                <c:pt idx="110">
                  <c:v>1.2637481043597631</c:v>
                </c:pt>
                <c:pt idx="111">
                  <c:v>2.1295771985173184</c:v>
                </c:pt>
                <c:pt idx="112">
                  <c:v>1.9843365653849254</c:v>
                </c:pt>
                <c:pt idx="113">
                  <c:v>1.9456131257395981</c:v>
                </c:pt>
                <c:pt idx="114">
                  <c:v>1.1817624789997039</c:v>
                </c:pt>
                <c:pt idx="115">
                  <c:v>0.30507985766379164</c:v>
                </c:pt>
                <c:pt idx="116">
                  <c:v>-0.60964220239341316</c:v>
                </c:pt>
                <c:pt idx="117">
                  <c:v>0.10513303781283057</c:v>
                </c:pt>
                <c:pt idx="118">
                  <c:v>0.45289519566667025</c:v>
                </c:pt>
                <c:pt idx="119">
                  <c:v>0.80621136553624595</c:v>
                </c:pt>
                <c:pt idx="120">
                  <c:v>-0.47851222941990201</c:v>
                </c:pt>
                <c:pt idx="121">
                  <c:v>-0.61175156307446876</c:v>
                </c:pt>
                <c:pt idx="122">
                  <c:v>-0.51845467557141234</c:v>
                </c:pt>
                <c:pt idx="123">
                  <c:v>-1.7815552295867398</c:v>
                </c:pt>
                <c:pt idx="124">
                  <c:v>-1.9851610865913258</c:v>
                </c:pt>
                <c:pt idx="125">
                  <c:v>-3.1914155494649386</c:v>
                </c:pt>
                <c:pt idx="126">
                  <c:v>-2.9910225222425915</c:v>
                </c:pt>
                <c:pt idx="127">
                  <c:v>-1.7465908182410672</c:v>
                </c:pt>
                <c:pt idx="128">
                  <c:v>-1.9272932303778809</c:v>
                </c:pt>
                <c:pt idx="129">
                  <c:v>-0.48061611303640461</c:v>
                </c:pt>
                <c:pt idx="130">
                  <c:v>0.30517051941434303</c:v>
                </c:pt>
                <c:pt idx="131">
                  <c:v>-0.41550015198210488</c:v>
                </c:pt>
                <c:pt idx="132">
                  <c:v>0.54464626896721668</c:v>
                </c:pt>
                <c:pt idx="133">
                  <c:v>0.9553386897022591</c:v>
                </c:pt>
                <c:pt idx="134">
                  <c:v>1.082903660028812</c:v>
                </c:pt>
                <c:pt idx="135">
                  <c:v>1.0021191244955041</c:v>
                </c:pt>
                <c:pt idx="136">
                  <c:v>1.1945903221519671</c:v>
                </c:pt>
                <c:pt idx="137">
                  <c:v>1.4707715417260339</c:v>
                </c:pt>
                <c:pt idx="138">
                  <c:v>1.2888034985053949</c:v>
                </c:pt>
                <c:pt idx="139">
                  <c:v>2.1775888266084777</c:v>
                </c:pt>
                <c:pt idx="140">
                  <c:v>3.0216357538445742</c:v>
                </c:pt>
                <c:pt idx="141">
                  <c:v>3.6599744045561238</c:v>
                </c:pt>
                <c:pt idx="142">
                  <c:v>3.1337606793657251</c:v>
                </c:pt>
                <c:pt idx="143">
                  <c:v>2.4277150412528563</c:v>
                </c:pt>
                <c:pt idx="144">
                  <c:v>2.6381917262127583</c:v>
                </c:pt>
                <c:pt idx="145">
                  <c:v>2.4874775476867228</c:v>
                </c:pt>
                <c:pt idx="146">
                  <c:v>1.9951708906917442</c:v>
                </c:pt>
                <c:pt idx="147">
                  <c:v>2.3540914531729111</c:v>
                </c:pt>
                <c:pt idx="148">
                  <c:v>2.1536030359535978</c:v>
                </c:pt>
                <c:pt idx="149">
                  <c:v>1.249095223819241</c:v>
                </c:pt>
                <c:pt idx="150">
                  <c:v>0.61843949985784974</c:v>
                </c:pt>
                <c:pt idx="151">
                  <c:v>-0.13927699684706063</c:v>
                </c:pt>
                <c:pt idx="152">
                  <c:v>-0.78934885002339605</c:v>
                </c:pt>
                <c:pt idx="153">
                  <c:v>-0.61853341256652428</c:v>
                </c:pt>
                <c:pt idx="154">
                  <c:v>-0.83755073677447278</c:v>
                </c:pt>
                <c:pt idx="155">
                  <c:v>-0.77945304631810153</c:v>
                </c:pt>
                <c:pt idx="156">
                  <c:v>0.65360862819103804</c:v>
                </c:pt>
                <c:pt idx="157">
                  <c:v>-8.5907886652702992E-2</c:v>
                </c:pt>
                <c:pt idx="158">
                  <c:v>0.26708630404057576</c:v>
                </c:pt>
                <c:pt idx="159">
                  <c:v>-0.25688093748454932</c:v>
                </c:pt>
                <c:pt idx="160">
                  <c:v>-0.43677914563837739</c:v>
                </c:pt>
                <c:pt idx="161">
                  <c:v>-1.5956722854842065</c:v>
                </c:pt>
                <c:pt idx="162">
                  <c:v>-0.82685817143337559</c:v>
                </c:pt>
                <c:pt idx="163">
                  <c:v>-0.9191154015951053</c:v>
                </c:pt>
              </c:numCache>
            </c:numRef>
          </c:val>
          <c:smooth val="0"/>
        </c:ser>
        <c:ser>
          <c:idx val="0"/>
          <c:order val="1"/>
          <c:spPr>
            <a:ln w="12700">
              <a:solidFill>
                <a:srgbClr val="000080"/>
              </a:solidFill>
              <a:prstDash val="solid"/>
            </a:ln>
          </c:spPr>
          <c:marker>
            <c:symbol val="none"/>
          </c:marker>
          <c:cat>
            <c:numRef>
              <c:f>'Returns Value_Growth'!$A$237:$A$400</c:f>
              <c:numCache>
                <c:formatCode>mm/dd/yy;@</c:formatCode>
                <c:ptCount val="164"/>
                <c:pt idx="0">
                  <c:v>34730</c:v>
                </c:pt>
                <c:pt idx="1">
                  <c:v>34758</c:v>
                </c:pt>
                <c:pt idx="2">
                  <c:v>34789</c:v>
                </c:pt>
                <c:pt idx="3">
                  <c:v>34819</c:v>
                </c:pt>
                <c:pt idx="4">
                  <c:v>34850</c:v>
                </c:pt>
                <c:pt idx="5">
                  <c:v>34880</c:v>
                </c:pt>
                <c:pt idx="6">
                  <c:v>34911</c:v>
                </c:pt>
                <c:pt idx="7">
                  <c:v>34942</c:v>
                </c:pt>
                <c:pt idx="8">
                  <c:v>34972</c:v>
                </c:pt>
                <c:pt idx="9">
                  <c:v>35003</c:v>
                </c:pt>
                <c:pt idx="10">
                  <c:v>35033</c:v>
                </c:pt>
                <c:pt idx="11">
                  <c:v>35064</c:v>
                </c:pt>
                <c:pt idx="12">
                  <c:v>35095</c:v>
                </c:pt>
                <c:pt idx="13">
                  <c:v>35124</c:v>
                </c:pt>
                <c:pt idx="14">
                  <c:v>35155</c:v>
                </c:pt>
                <c:pt idx="15">
                  <c:v>35185</c:v>
                </c:pt>
                <c:pt idx="16">
                  <c:v>35216</c:v>
                </c:pt>
                <c:pt idx="17">
                  <c:v>35246</c:v>
                </c:pt>
                <c:pt idx="18">
                  <c:v>35277</c:v>
                </c:pt>
                <c:pt idx="19">
                  <c:v>35308</c:v>
                </c:pt>
                <c:pt idx="20">
                  <c:v>35338</c:v>
                </c:pt>
                <c:pt idx="21">
                  <c:v>35369</c:v>
                </c:pt>
                <c:pt idx="22">
                  <c:v>35399</c:v>
                </c:pt>
                <c:pt idx="23">
                  <c:v>35430</c:v>
                </c:pt>
                <c:pt idx="24">
                  <c:v>35461</c:v>
                </c:pt>
                <c:pt idx="25">
                  <c:v>35489</c:v>
                </c:pt>
                <c:pt idx="26">
                  <c:v>35520</c:v>
                </c:pt>
                <c:pt idx="27">
                  <c:v>35550</c:v>
                </c:pt>
                <c:pt idx="28">
                  <c:v>35581</c:v>
                </c:pt>
                <c:pt idx="29">
                  <c:v>35611</c:v>
                </c:pt>
                <c:pt idx="30">
                  <c:v>35642</c:v>
                </c:pt>
                <c:pt idx="31">
                  <c:v>35673</c:v>
                </c:pt>
                <c:pt idx="32">
                  <c:v>35703</c:v>
                </c:pt>
                <c:pt idx="33">
                  <c:v>35734</c:v>
                </c:pt>
                <c:pt idx="34">
                  <c:v>35764</c:v>
                </c:pt>
                <c:pt idx="35">
                  <c:v>35795</c:v>
                </c:pt>
                <c:pt idx="36">
                  <c:v>35826</c:v>
                </c:pt>
                <c:pt idx="37">
                  <c:v>35854</c:v>
                </c:pt>
                <c:pt idx="38">
                  <c:v>35885</c:v>
                </c:pt>
                <c:pt idx="39">
                  <c:v>35915</c:v>
                </c:pt>
                <c:pt idx="40">
                  <c:v>35946</c:v>
                </c:pt>
                <c:pt idx="41">
                  <c:v>35976</c:v>
                </c:pt>
                <c:pt idx="42">
                  <c:v>36007</c:v>
                </c:pt>
                <c:pt idx="43">
                  <c:v>36038</c:v>
                </c:pt>
                <c:pt idx="44">
                  <c:v>36068</c:v>
                </c:pt>
                <c:pt idx="45">
                  <c:v>36099</c:v>
                </c:pt>
                <c:pt idx="46">
                  <c:v>36129</c:v>
                </c:pt>
                <c:pt idx="47">
                  <c:v>36160</c:v>
                </c:pt>
                <c:pt idx="48">
                  <c:v>36191</c:v>
                </c:pt>
                <c:pt idx="49">
                  <c:v>36219</c:v>
                </c:pt>
                <c:pt idx="50">
                  <c:v>36250</c:v>
                </c:pt>
                <c:pt idx="51">
                  <c:v>36280</c:v>
                </c:pt>
                <c:pt idx="52">
                  <c:v>36311</c:v>
                </c:pt>
                <c:pt idx="53">
                  <c:v>36341</c:v>
                </c:pt>
                <c:pt idx="54">
                  <c:v>36372</c:v>
                </c:pt>
                <c:pt idx="55">
                  <c:v>36403</c:v>
                </c:pt>
                <c:pt idx="56">
                  <c:v>36433</c:v>
                </c:pt>
                <c:pt idx="57">
                  <c:v>36464</c:v>
                </c:pt>
                <c:pt idx="58">
                  <c:v>36494</c:v>
                </c:pt>
                <c:pt idx="59">
                  <c:v>36525</c:v>
                </c:pt>
                <c:pt idx="60">
                  <c:v>36556</c:v>
                </c:pt>
                <c:pt idx="61">
                  <c:v>36585</c:v>
                </c:pt>
                <c:pt idx="62">
                  <c:v>36616</c:v>
                </c:pt>
                <c:pt idx="63">
                  <c:v>36646</c:v>
                </c:pt>
                <c:pt idx="64">
                  <c:v>36677</c:v>
                </c:pt>
                <c:pt idx="65">
                  <c:v>36707</c:v>
                </c:pt>
                <c:pt idx="66">
                  <c:v>36738</c:v>
                </c:pt>
                <c:pt idx="67">
                  <c:v>36769</c:v>
                </c:pt>
                <c:pt idx="68">
                  <c:v>36799</c:v>
                </c:pt>
                <c:pt idx="69">
                  <c:v>36830</c:v>
                </c:pt>
                <c:pt idx="70">
                  <c:v>36860</c:v>
                </c:pt>
                <c:pt idx="71">
                  <c:v>36891</c:v>
                </c:pt>
                <c:pt idx="72">
                  <c:v>36922</c:v>
                </c:pt>
                <c:pt idx="73">
                  <c:v>36950</c:v>
                </c:pt>
                <c:pt idx="74">
                  <c:v>36981</c:v>
                </c:pt>
                <c:pt idx="75">
                  <c:v>37011</c:v>
                </c:pt>
                <c:pt idx="76">
                  <c:v>37042</c:v>
                </c:pt>
                <c:pt idx="77">
                  <c:v>37072</c:v>
                </c:pt>
                <c:pt idx="78">
                  <c:v>37103</c:v>
                </c:pt>
                <c:pt idx="79">
                  <c:v>37134</c:v>
                </c:pt>
                <c:pt idx="80">
                  <c:v>37164</c:v>
                </c:pt>
                <c:pt idx="81">
                  <c:v>37195</c:v>
                </c:pt>
                <c:pt idx="82">
                  <c:v>37225</c:v>
                </c:pt>
                <c:pt idx="83">
                  <c:v>37256</c:v>
                </c:pt>
                <c:pt idx="84">
                  <c:v>37287</c:v>
                </c:pt>
                <c:pt idx="85">
                  <c:v>37315</c:v>
                </c:pt>
                <c:pt idx="86">
                  <c:v>37346</c:v>
                </c:pt>
                <c:pt idx="87">
                  <c:v>37376</c:v>
                </c:pt>
                <c:pt idx="88">
                  <c:v>37407</c:v>
                </c:pt>
                <c:pt idx="89">
                  <c:v>37437</c:v>
                </c:pt>
                <c:pt idx="90">
                  <c:v>37468</c:v>
                </c:pt>
                <c:pt idx="91">
                  <c:v>37499</c:v>
                </c:pt>
                <c:pt idx="92">
                  <c:v>37529</c:v>
                </c:pt>
                <c:pt idx="93">
                  <c:v>37560</c:v>
                </c:pt>
                <c:pt idx="94">
                  <c:v>37590</c:v>
                </c:pt>
                <c:pt idx="95">
                  <c:v>37621</c:v>
                </c:pt>
                <c:pt idx="96">
                  <c:v>37652</c:v>
                </c:pt>
                <c:pt idx="97">
                  <c:v>37680</c:v>
                </c:pt>
                <c:pt idx="98">
                  <c:v>37711</c:v>
                </c:pt>
                <c:pt idx="99">
                  <c:v>37741</c:v>
                </c:pt>
                <c:pt idx="100">
                  <c:v>37772</c:v>
                </c:pt>
                <c:pt idx="101">
                  <c:v>37802</c:v>
                </c:pt>
                <c:pt idx="102">
                  <c:v>37833</c:v>
                </c:pt>
                <c:pt idx="103">
                  <c:v>37864</c:v>
                </c:pt>
                <c:pt idx="104">
                  <c:v>37894</c:v>
                </c:pt>
                <c:pt idx="105">
                  <c:v>37925</c:v>
                </c:pt>
                <c:pt idx="106">
                  <c:v>37955</c:v>
                </c:pt>
                <c:pt idx="107">
                  <c:v>37986</c:v>
                </c:pt>
                <c:pt idx="108">
                  <c:v>38017</c:v>
                </c:pt>
                <c:pt idx="109">
                  <c:v>38046</c:v>
                </c:pt>
                <c:pt idx="110">
                  <c:v>38077</c:v>
                </c:pt>
                <c:pt idx="111">
                  <c:v>38107</c:v>
                </c:pt>
                <c:pt idx="112">
                  <c:v>38138</c:v>
                </c:pt>
                <c:pt idx="113">
                  <c:v>38168</c:v>
                </c:pt>
                <c:pt idx="114">
                  <c:v>38199</c:v>
                </c:pt>
                <c:pt idx="115">
                  <c:v>38230</c:v>
                </c:pt>
                <c:pt idx="116">
                  <c:v>38260</c:v>
                </c:pt>
                <c:pt idx="117">
                  <c:v>38291</c:v>
                </c:pt>
                <c:pt idx="118">
                  <c:v>38321</c:v>
                </c:pt>
                <c:pt idx="119">
                  <c:v>38352</c:v>
                </c:pt>
                <c:pt idx="120">
                  <c:v>38383</c:v>
                </c:pt>
                <c:pt idx="121">
                  <c:v>38411</c:v>
                </c:pt>
                <c:pt idx="122">
                  <c:v>38442</c:v>
                </c:pt>
                <c:pt idx="123">
                  <c:v>38472</c:v>
                </c:pt>
                <c:pt idx="124">
                  <c:v>38503</c:v>
                </c:pt>
                <c:pt idx="125">
                  <c:v>38533</c:v>
                </c:pt>
                <c:pt idx="126">
                  <c:v>38564</c:v>
                </c:pt>
                <c:pt idx="127">
                  <c:v>38595</c:v>
                </c:pt>
                <c:pt idx="128">
                  <c:v>38625</c:v>
                </c:pt>
                <c:pt idx="129">
                  <c:v>38656</c:v>
                </c:pt>
                <c:pt idx="130">
                  <c:v>38686</c:v>
                </c:pt>
                <c:pt idx="131">
                  <c:v>38717</c:v>
                </c:pt>
                <c:pt idx="132">
                  <c:v>38748</c:v>
                </c:pt>
                <c:pt idx="133">
                  <c:v>38776</c:v>
                </c:pt>
                <c:pt idx="134">
                  <c:v>38807</c:v>
                </c:pt>
                <c:pt idx="135">
                  <c:v>38837</c:v>
                </c:pt>
                <c:pt idx="136">
                  <c:v>38868</c:v>
                </c:pt>
                <c:pt idx="137">
                  <c:v>38898</c:v>
                </c:pt>
                <c:pt idx="138">
                  <c:v>38929</c:v>
                </c:pt>
                <c:pt idx="139">
                  <c:v>38960</c:v>
                </c:pt>
                <c:pt idx="140">
                  <c:v>38990</c:v>
                </c:pt>
                <c:pt idx="141">
                  <c:v>39021</c:v>
                </c:pt>
                <c:pt idx="142">
                  <c:v>39051</c:v>
                </c:pt>
                <c:pt idx="143">
                  <c:v>39082</c:v>
                </c:pt>
                <c:pt idx="144">
                  <c:v>39113</c:v>
                </c:pt>
                <c:pt idx="145">
                  <c:v>39141</c:v>
                </c:pt>
                <c:pt idx="146">
                  <c:v>39172</c:v>
                </c:pt>
                <c:pt idx="147">
                  <c:v>39202</c:v>
                </c:pt>
                <c:pt idx="148">
                  <c:v>39233</c:v>
                </c:pt>
                <c:pt idx="149">
                  <c:v>39263</c:v>
                </c:pt>
                <c:pt idx="150">
                  <c:v>39294</c:v>
                </c:pt>
                <c:pt idx="151">
                  <c:v>39325</c:v>
                </c:pt>
                <c:pt idx="152">
                  <c:v>39355</c:v>
                </c:pt>
                <c:pt idx="153">
                  <c:v>39386</c:v>
                </c:pt>
                <c:pt idx="154">
                  <c:v>39416</c:v>
                </c:pt>
                <c:pt idx="155">
                  <c:v>39447</c:v>
                </c:pt>
                <c:pt idx="156">
                  <c:v>39478</c:v>
                </c:pt>
                <c:pt idx="157">
                  <c:v>39507</c:v>
                </c:pt>
                <c:pt idx="158">
                  <c:v>39538</c:v>
                </c:pt>
                <c:pt idx="159">
                  <c:v>39568</c:v>
                </c:pt>
                <c:pt idx="160">
                  <c:v>39599</c:v>
                </c:pt>
                <c:pt idx="161">
                  <c:v>39629</c:v>
                </c:pt>
                <c:pt idx="162">
                  <c:v>39660</c:v>
                </c:pt>
                <c:pt idx="163">
                  <c:v>39691</c:v>
                </c:pt>
              </c:numCache>
            </c:numRef>
          </c:cat>
          <c:val>
            <c:numRef>
              <c:f>'Returns Value_Growth'!$R$237:$R$400</c:f>
              <c:numCache>
                <c:formatCode>0.00</c:formatCode>
                <c:ptCount val="164"/>
                <c:pt idx="0">
                  <c:v>2.7785178011359033</c:v>
                </c:pt>
                <c:pt idx="1">
                  <c:v>1.5384859896399701</c:v>
                </c:pt>
                <c:pt idx="2">
                  <c:v>-1.0276574225767776</c:v>
                </c:pt>
                <c:pt idx="3">
                  <c:v>1.1095962337046572</c:v>
                </c:pt>
                <c:pt idx="4">
                  <c:v>1.0761713537548161</c:v>
                </c:pt>
                <c:pt idx="5">
                  <c:v>-3.6878853903201652</c:v>
                </c:pt>
                <c:pt idx="6">
                  <c:v>-11.755787198595606</c:v>
                </c:pt>
                <c:pt idx="7">
                  <c:v>-6.127387674290862</c:v>
                </c:pt>
                <c:pt idx="8">
                  <c:v>-4.8734459201394529</c:v>
                </c:pt>
                <c:pt idx="9">
                  <c:v>-1.1320903647258582</c:v>
                </c:pt>
                <c:pt idx="10">
                  <c:v>-1.9438821644786053</c:v>
                </c:pt>
                <c:pt idx="11">
                  <c:v>1.7587618528901885</c:v>
                </c:pt>
                <c:pt idx="12">
                  <c:v>-1.4180465650968337</c:v>
                </c:pt>
                <c:pt idx="13">
                  <c:v>-1.1186700434253858</c:v>
                </c:pt>
                <c:pt idx="14">
                  <c:v>0.86316942401041175</c:v>
                </c:pt>
                <c:pt idx="15">
                  <c:v>-6.6585831743454023</c:v>
                </c:pt>
                <c:pt idx="16">
                  <c:v>-7.8505105286838415</c:v>
                </c:pt>
                <c:pt idx="17">
                  <c:v>-1.3197728673917766</c:v>
                </c:pt>
                <c:pt idx="18">
                  <c:v>8.5112132362552551</c:v>
                </c:pt>
                <c:pt idx="19">
                  <c:v>6.3463894412060693</c:v>
                </c:pt>
                <c:pt idx="20">
                  <c:v>5.4750801383553593</c:v>
                </c:pt>
                <c:pt idx="21">
                  <c:v>10.054216963229299</c:v>
                </c:pt>
                <c:pt idx="22">
                  <c:v>12.121654619735089</c:v>
                </c:pt>
                <c:pt idx="23">
                  <c:v>9.9880083521597598</c:v>
                </c:pt>
                <c:pt idx="24">
                  <c:v>9.3071437508486881</c:v>
                </c:pt>
                <c:pt idx="25">
                  <c:v>16.49062366263918</c:v>
                </c:pt>
                <c:pt idx="26">
                  <c:v>18.851730391136201</c:v>
                </c:pt>
                <c:pt idx="27">
                  <c:v>19.17820807958055</c:v>
                </c:pt>
                <c:pt idx="28">
                  <c:v>16.038311745521703</c:v>
                </c:pt>
                <c:pt idx="29">
                  <c:v>16.462464810078249</c:v>
                </c:pt>
                <c:pt idx="30">
                  <c:v>12.090234731565474</c:v>
                </c:pt>
                <c:pt idx="31">
                  <c:v>11.521869518854992</c:v>
                </c:pt>
                <c:pt idx="32">
                  <c:v>14.016317940142638</c:v>
                </c:pt>
                <c:pt idx="33">
                  <c:v>14.114803592269663</c:v>
                </c:pt>
                <c:pt idx="34">
                  <c:v>14.728790984990315</c:v>
                </c:pt>
                <c:pt idx="35">
                  <c:v>17.421585941516017</c:v>
                </c:pt>
                <c:pt idx="36">
                  <c:v>18.31395716404818</c:v>
                </c:pt>
                <c:pt idx="37">
                  <c:v>10.108417453097758</c:v>
                </c:pt>
                <c:pt idx="38">
                  <c:v>6.3751239092851222</c:v>
                </c:pt>
                <c:pt idx="39">
                  <c:v>6.4589315797935356</c:v>
                </c:pt>
                <c:pt idx="40">
                  <c:v>13.932188340349814</c:v>
                </c:pt>
                <c:pt idx="41">
                  <c:v>10.869565173438646</c:v>
                </c:pt>
                <c:pt idx="42">
                  <c:v>9.935686117083419</c:v>
                </c:pt>
                <c:pt idx="43">
                  <c:v>13.460286535731891</c:v>
                </c:pt>
                <c:pt idx="44">
                  <c:v>13.30779476951912</c:v>
                </c:pt>
                <c:pt idx="45">
                  <c:v>8.0077914997860198</c:v>
                </c:pt>
                <c:pt idx="46">
                  <c:v>4.1457212134387582</c:v>
                </c:pt>
                <c:pt idx="47">
                  <c:v>-2.542418278775127</c:v>
                </c:pt>
                <c:pt idx="48">
                  <c:v>-5.183057775160826</c:v>
                </c:pt>
                <c:pt idx="49">
                  <c:v>-1.2829629257379302</c:v>
                </c:pt>
                <c:pt idx="50">
                  <c:v>-2.812946601045418</c:v>
                </c:pt>
                <c:pt idx="51">
                  <c:v>-1.1943468361029108</c:v>
                </c:pt>
                <c:pt idx="52">
                  <c:v>-3.8034591952107117</c:v>
                </c:pt>
                <c:pt idx="53">
                  <c:v>-4.601251994554211</c:v>
                </c:pt>
                <c:pt idx="54">
                  <c:v>-3.850979098437346</c:v>
                </c:pt>
                <c:pt idx="55">
                  <c:v>-8.741640865181143</c:v>
                </c:pt>
                <c:pt idx="56">
                  <c:v>-13.214651864219174</c:v>
                </c:pt>
                <c:pt idx="57">
                  <c:v>-11.297803695006927</c:v>
                </c:pt>
                <c:pt idx="58">
                  <c:v>-12.669419206410581</c:v>
                </c:pt>
                <c:pt idx="59">
                  <c:v>-14.815643731915797</c:v>
                </c:pt>
                <c:pt idx="60">
                  <c:v>-10.55047520495962</c:v>
                </c:pt>
                <c:pt idx="61">
                  <c:v>-24.650653015893557</c:v>
                </c:pt>
                <c:pt idx="62">
                  <c:v>-16.799312297775359</c:v>
                </c:pt>
                <c:pt idx="63">
                  <c:v>-14.037321211547503</c:v>
                </c:pt>
                <c:pt idx="64">
                  <c:v>-11.818678893749791</c:v>
                </c:pt>
                <c:pt idx="65">
                  <c:v>-13.898763190633989</c:v>
                </c:pt>
                <c:pt idx="66">
                  <c:v>-9.0918870779215215</c:v>
                </c:pt>
                <c:pt idx="67">
                  <c:v>-18.329707926018891</c:v>
                </c:pt>
                <c:pt idx="68">
                  <c:v>-10.316030503158217</c:v>
                </c:pt>
                <c:pt idx="69">
                  <c:v>-10.794212112742052</c:v>
                </c:pt>
                <c:pt idx="70">
                  <c:v>6.1785137229763976E-2</c:v>
                </c:pt>
                <c:pt idx="71">
                  <c:v>8.1823244198490528</c:v>
                </c:pt>
                <c:pt idx="72">
                  <c:v>5.7981670203942812</c:v>
                </c:pt>
                <c:pt idx="73">
                  <c:v>16.384832807717466</c:v>
                </c:pt>
                <c:pt idx="74">
                  <c:v>14.605438797444759</c:v>
                </c:pt>
                <c:pt idx="75">
                  <c:v>8.9567097300541789</c:v>
                </c:pt>
                <c:pt idx="76">
                  <c:v>8.4126930014783561</c:v>
                </c:pt>
                <c:pt idx="77">
                  <c:v>11.718316314826026</c:v>
                </c:pt>
                <c:pt idx="78">
                  <c:v>9.1824929782326823</c:v>
                </c:pt>
                <c:pt idx="79">
                  <c:v>14.624148806697034</c:v>
                </c:pt>
                <c:pt idx="80">
                  <c:v>13.108044497006066</c:v>
                </c:pt>
                <c:pt idx="81">
                  <c:v>12.63774311265421</c:v>
                </c:pt>
                <c:pt idx="82">
                  <c:v>9.9985180340492299</c:v>
                </c:pt>
                <c:pt idx="83">
                  <c:v>6.5163650831859368</c:v>
                </c:pt>
                <c:pt idx="84">
                  <c:v>9.2296790321863114</c:v>
                </c:pt>
                <c:pt idx="85">
                  <c:v>5.5361951028966017</c:v>
                </c:pt>
                <c:pt idx="86">
                  <c:v>2.9552752445993562</c:v>
                </c:pt>
                <c:pt idx="87">
                  <c:v>10.2600349953746</c:v>
                </c:pt>
                <c:pt idx="88">
                  <c:v>9.1402546646076388</c:v>
                </c:pt>
                <c:pt idx="89">
                  <c:v>10.770333474703143</c:v>
                </c:pt>
                <c:pt idx="90">
                  <c:v>7.2327211753594263</c:v>
                </c:pt>
                <c:pt idx="91">
                  <c:v>3.3030434025637216</c:v>
                </c:pt>
                <c:pt idx="92">
                  <c:v>1.5046293956048951</c:v>
                </c:pt>
                <c:pt idx="93">
                  <c:v>2.759631157298903</c:v>
                </c:pt>
                <c:pt idx="94">
                  <c:v>0.55239325210476586</c:v>
                </c:pt>
                <c:pt idx="95">
                  <c:v>3.6407582232387146</c:v>
                </c:pt>
                <c:pt idx="96">
                  <c:v>1.4712788328760986</c:v>
                </c:pt>
                <c:pt idx="97">
                  <c:v>0.94794572746224048</c:v>
                </c:pt>
                <c:pt idx="98">
                  <c:v>0.40376155525610002</c:v>
                </c:pt>
                <c:pt idx="99">
                  <c:v>-1.2270549511685935</c:v>
                </c:pt>
                <c:pt idx="100">
                  <c:v>-2.2283046047170014</c:v>
                </c:pt>
                <c:pt idx="101">
                  <c:v>-5.7394909678503474</c:v>
                </c:pt>
                <c:pt idx="102">
                  <c:v>-5.3914341164200685</c:v>
                </c:pt>
                <c:pt idx="103">
                  <c:v>-3.719710255435583</c:v>
                </c:pt>
                <c:pt idx="104">
                  <c:v>-4.8942974152008887</c:v>
                </c:pt>
                <c:pt idx="105">
                  <c:v>-3.1553019112963412</c:v>
                </c:pt>
                <c:pt idx="106">
                  <c:v>-2.3507937282385427E-2</c:v>
                </c:pt>
                <c:pt idx="107">
                  <c:v>0.69620802930982961</c:v>
                </c:pt>
                <c:pt idx="108">
                  <c:v>0.9498649472440519</c:v>
                </c:pt>
                <c:pt idx="109">
                  <c:v>-0.15553537770527015</c:v>
                </c:pt>
                <c:pt idx="110">
                  <c:v>0.63162159415382035</c:v>
                </c:pt>
                <c:pt idx="111">
                  <c:v>-1.9429532066152575</c:v>
                </c:pt>
                <c:pt idx="112">
                  <c:v>-0.47579753689594639</c:v>
                </c:pt>
                <c:pt idx="113">
                  <c:v>0.7414079641814908</c:v>
                </c:pt>
                <c:pt idx="114">
                  <c:v>-0.50379724349373944</c:v>
                </c:pt>
                <c:pt idx="115">
                  <c:v>0.25375477452935868</c:v>
                </c:pt>
                <c:pt idx="116">
                  <c:v>0.92840738099679854</c:v>
                </c:pt>
                <c:pt idx="117">
                  <c:v>-0.2750242918939243</c:v>
                </c:pt>
                <c:pt idx="118">
                  <c:v>0.74950780120111204</c:v>
                </c:pt>
                <c:pt idx="119">
                  <c:v>-3.235285340100269</c:v>
                </c:pt>
                <c:pt idx="120">
                  <c:v>-4.3435863465738365</c:v>
                </c:pt>
                <c:pt idx="121">
                  <c:v>-3.1669783915126324</c:v>
                </c:pt>
                <c:pt idx="122">
                  <c:v>-2.6669734684741329</c:v>
                </c:pt>
                <c:pt idx="123">
                  <c:v>-2.2741381464031161</c:v>
                </c:pt>
                <c:pt idx="124">
                  <c:v>-2.9145635691632208</c:v>
                </c:pt>
                <c:pt idx="125">
                  <c:v>-3.3978160234555475</c:v>
                </c:pt>
                <c:pt idx="126">
                  <c:v>-3.0020933226438302</c:v>
                </c:pt>
                <c:pt idx="127">
                  <c:v>-1.9092537184480136</c:v>
                </c:pt>
                <c:pt idx="128">
                  <c:v>-1.8674182162662589</c:v>
                </c:pt>
                <c:pt idx="129">
                  <c:v>1.6315783241832804</c:v>
                </c:pt>
                <c:pt idx="130">
                  <c:v>0.17566520692247067</c:v>
                </c:pt>
                <c:pt idx="131">
                  <c:v>1.2057062574193367</c:v>
                </c:pt>
                <c:pt idx="132">
                  <c:v>5.2242643276631853</c:v>
                </c:pt>
                <c:pt idx="133">
                  <c:v>5.7983074846971192</c:v>
                </c:pt>
                <c:pt idx="134">
                  <c:v>5.5199538901721255</c:v>
                </c:pt>
                <c:pt idx="135">
                  <c:v>7.6417070022933196</c:v>
                </c:pt>
                <c:pt idx="136">
                  <c:v>6.843145880810809</c:v>
                </c:pt>
                <c:pt idx="137">
                  <c:v>6.950598643083671</c:v>
                </c:pt>
                <c:pt idx="138">
                  <c:v>6.2966797767233462</c:v>
                </c:pt>
                <c:pt idx="139">
                  <c:v>7.4066186940940248</c:v>
                </c:pt>
                <c:pt idx="140">
                  <c:v>9.1108726798193143</c:v>
                </c:pt>
                <c:pt idx="141">
                  <c:v>9.60145389388558</c:v>
                </c:pt>
                <c:pt idx="142">
                  <c:v>8.3803576581709116</c:v>
                </c:pt>
                <c:pt idx="143">
                  <c:v>9.0286138219239263</c:v>
                </c:pt>
                <c:pt idx="144">
                  <c:v>6.7778029944734364</c:v>
                </c:pt>
                <c:pt idx="145">
                  <c:v>4.5880769209933003</c:v>
                </c:pt>
                <c:pt idx="146">
                  <c:v>3.3251798621719342</c:v>
                </c:pt>
                <c:pt idx="147">
                  <c:v>2.5031051759952341</c:v>
                </c:pt>
                <c:pt idx="148">
                  <c:v>2.5978635175710103</c:v>
                </c:pt>
                <c:pt idx="149">
                  <c:v>0.18534762524637927</c:v>
                </c:pt>
                <c:pt idx="150">
                  <c:v>-2.3939842551413903</c:v>
                </c:pt>
                <c:pt idx="151">
                  <c:v>-6.6064242958208776</c:v>
                </c:pt>
                <c:pt idx="152">
                  <c:v>-10.413076901699814</c:v>
                </c:pt>
                <c:pt idx="153">
                  <c:v>-12.653296515998711</c:v>
                </c:pt>
                <c:pt idx="154">
                  <c:v>-9.8967251258009199</c:v>
                </c:pt>
                <c:pt idx="155">
                  <c:v>-11.137963355330381</c:v>
                </c:pt>
                <c:pt idx="156">
                  <c:v>-8.176829466483893</c:v>
                </c:pt>
                <c:pt idx="157">
                  <c:v>-8.6176685650827807</c:v>
                </c:pt>
                <c:pt idx="158">
                  <c:v>-6.1302549655435037</c:v>
                </c:pt>
                <c:pt idx="159">
                  <c:v>-8.0635025384984687</c:v>
                </c:pt>
                <c:pt idx="160">
                  <c:v>-8.3985691141308045</c:v>
                </c:pt>
                <c:pt idx="161">
                  <c:v>-9.2829756131192127</c:v>
                </c:pt>
                <c:pt idx="162">
                  <c:v>-5.8601164426696597</c:v>
                </c:pt>
                <c:pt idx="163">
                  <c:v>-3.5437138647325233</c:v>
                </c:pt>
              </c:numCache>
            </c:numRef>
          </c:val>
          <c:smooth val="0"/>
        </c:ser>
        <c:dLbls>
          <c:showLegendKey val="0"/>
          <c:showVal val="0"/>
          <c:showCatName val="0"/>
          <c:showSerName val="0"/>
          <c:showPercent val="0"/>
          <c:showBubbleSize val="0"/>
        </c:dLbls>
        <c:marker val="1"/>
        <c:smooth val="0"/>
        <c:axId val="396592640"/>
        <c:axId val="396594560"/>
      </c:lineChart>
      <c:dateAx>
        <c:axId val="396592640"/>
        <c:scaling>
          <c:orientation val="minMax"/>
        </c:scaling>
        <c:delete val="0"/>
        <c:axPos val="b"/>
        <c:title>
          <c:tx>
            <c:rich>
              <a:bodyPr/>
              <a:lstStyle/>
              <a:p>
                <a:pPr>
                  <a:defRPr sz="1200" b="0" i="0" u="none" strike="noStrike" baseline="0">
                    <a:solidFill>
                      <a:srgbClr val="000000"/>
                    </a:solidFill>
                    <a:latin typeface="Arial"/>
                    <a:ea typeface="Arial"/>
                    <a:cs typeface="Arial"/>
                  </a:defRPr>
                </a:pPr>
                <a:r>
                  <a:rPr lang="en-US" sz="1000" b="1" i="0" u="none" strike="noStrike" baseline="0">
                    <a:solidFill>
                      <a:srgbClr val="000080"/>
                    </a:solidFill>
                    <a:latin typeface="Arial"/>
                    <a:cs typeface="Arial"/>
                  </a:rPr>
                  <a:t>- Rolling 1 Year</a:t>
                </a:r>
                <a:endParaRPr lang="en-US" sz="1000" b="1" i="0" u="none" strike="noStrike" baseline="0">
                  <a:solidFill>
                    <a:srgbClr val="000000"/>
                  </a:solidFill>
                  <a:latin typeface="Arial"/>
                  <a:cs typeface="Arial"/>
                </a:endParaRPr>
              </a:p>
              <a:p>
                <a:pPr>
                  <a:defRPr sz="1200" b="0" i="0" u="none" strike="noStrike" baseline="0">
                    <a:solidFill>
                      <a:srgbClr val="000000"/>
                    </a:solidFill>
                    <a:latin typeface="Arial"/>
                    <a:ea typeface="Arial"/>
                    <a:cs typeface="Arial"/>
                  </a:defRPr>
                </a:pPr>
                <a:r>
                  <a:rPr lang="en-US" sz="1000" b="1" i="0" u="none" strike="noStrike" baseline="0">
                    <a:solidFill>
                      <a:srgbClr val="FF0000"/>
                    </a:solidFill>
                    <a:latin typeface="Arial"/>
                    <a:cs typeface="Arial"/>
                  </a:rPr>
                  <a:t>- Rolling 3 Year</a:t>
                </a:r>
              </a:p>
            </c:rich>
          </c:tx>
          <c:layout>
            <c:manualLayout>
              <c:xMode val="edge"/>
              <c:yMode val="edge"/>
              <c:x val="0.87136465245215144"/>
              <c:y val="0.77981643398869616"/>
            </c:manualLayout>
          </c:layout>
          <c:overlay val="0"/>
          <c:spPr>
            <a:noFill/>
            <a:ln w="25400">
              <a:noFill/>
            </a:ln>
          </c:spPr>
        </c:title>
        <c:numFmt formatCode="mmm\-yy" sourceLinked="0"/>
        <c:majorTickMark val="out"/>
        <c:minorTickMark val="none"/>
        <c:tickLblPos val="low"/>
        <c:spPr>
          <a:ln w="25400">
            <a:solidFill>
              <a:srgbClr val="000000"/>
            </a:solidFill>
            <a:prstDash val="solid"/>
          </a:ln>
        </c:spPr>
        <c:txPr>
          <a:bodyPr rot="-2700000" vert="horz"/>
          <a:lstStyle/>
          <a:p>
            <a:pPr>
              <a:defRPr sz="1025" b="0" i="0" u="none" strike="noStrike" baseline="0">
                <a:solidFill>
                  <a:srgbClr val="000000"/>
                </a:solidFill>
                <a:latin typeface="Arial"/>
                <a:ea typeface="Arial"/>
                <a:cs typeface="Arial"/>
              </a:defRPr>
            </a:pPr>
            <a:endParaRPr lang="en-US"/>
          </a:p>
        </c:txPr>
        <c:crossAx val="396594560"/>
        <c:crosses val="autoZero"/>
        <c:auto val="1"/>
        <c:lblOffset val="100"/>
        <c:baseTimeUnit val="months"/>
        <c:majorUnit val="6"/>
        <c:majorTimeUnit val="months"/>
        <c:minorUnit val="3"/>
        <c:minorTimeUnit val="months"/>
      </c:dateAx>
      <c:valAx>
        <c:axId val="396594560"/>
        <c:scaling>
          <c:orientation val="minMax"/>
          <c:max val="4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t>Annualized %</a:t>
                </a:r>
              </a:p>
            </c:rich>
          </c:tx>
          <c:layout>
            <c:manualLayout>
              <c:xMode val="edge"/>
              <c:yMode val="edge"/>
              <c:x val="0"/>
              <c:y val="0.4082569280066985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96592640"/>
        <c:crosses val="autoZero"/>
        <c:crossBetween val="between"/>
        <c:majorUnit val="5"/>
      </c:valAx>
      <c:spPr>
        <a:solidFill>
          <a:srgbClr val="C0C0C0"/>
        </a:solidFill>
        <a:ln w="12700">
          <a:solidFill>
            <a:srgbClr val="808080"/>
          </a:solidFill>
          <a:prstDash val="solid"/>
        </a:ln>
      </c:spPr>
    </c:plotArea>
    <c:plotVisOnly val="1"/>
    <c:dispBlanksAs val="gap"/>
    <c:showDLblsOverMax val="0"/>
  </c:chart>
  <c:spPr>
    <a:noFill/>
    <a:ln w="9525">
      <a:noFill/>
    </a:ln>
  </c:spPr>
  <c:txPr>
    <a:bodyPr/>
    <a:lstStyle/>
    <a:p>
      <a:pPr>
        <a:defRPr sz="1200" b="0" i="0" u="none" strike="noStrike" baseline="0">
          <a:solidFill>
            <a:srgbClr val="000000"/>
          </a:solidFill>
          <a:latin typeface="Arial"/>
          <a:ea typeface="Arial"/>
          <a:cs typeface="Arial"/>
        </a:defRPr>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International Equity (MSCI EAFE)
Value v. Growth
December 1980 to August 2008</a:t>
            </a:r>
          </a:p>
        </c:rich>
      </c:tx>
      <c:layout>
        <c:manualLayout>
          <c:xMode val="edge"/>
          <c:yMode val="edge"/>
          <c:x val="0.34340039517532223"/>
          <c:y val="7.6452023251694767E-3"/>
        </c:manualLayout>
      </c:layout>
      <c:overlay val="0"/>
      <c:spPr>
        <a:noFill/>
        <a:ln w="25400">
          <a:noFill/>
        </a:ln>
      </c:spPr>
    </c:title>
    <c:autoTitleDeleted val="0"/>
    <c:plotArea>
      <c:layout>
        <c:manualLayout>
          <c:layoutTarget val="inner"/>
          <c:xMode val="edge"/>
          <c:yMode val="edge"/>
          <c:x val="7.9861544152618508E-2"/>
          <c:y val="0.14322120285423037"/>
          <c:w val="0.90044742729306493"/>
          <c:h val="0.7155963302752294"/>
        </c:manualLayout>
      </c:layout>
      <c:lineChart>
        <c:grouping val="standard"/>
        <c:varyColors val="0"/>
        <c:ser>
          <c:idx val="1"/>
          <c:order val="0"/>
          <c:spPr>
            <a:ln w="12700">
              <a:solidFill>
                <a:srgbClr val="FF0000"/>
              </a:solidFill>
              <a:prstDash val="solid"/>
            </a:ln>
          </c:spPr>
          <c:marker>
            <c:symbol val="none"/>
          </c:marker>
          <c:cat>
            <c:numRef>
              <c:f>'Returns Value_Growth'!$A$68:$A$400</c:f>
              <c:numCache>
                <c:formatCode>mm/dd/yy;@</c:formatCode>
                <c:ptCount val="333"/>
                <c:pt idx="0">
                  <c:v>29586</c:v>
                </c:pt>
                <c:pt idx="1">
                  <c:v>29617</c:v>
                </c:pt>
                <c:pt idx="2">
                  <c:v>29645</c:v>
                </c:pt>
                <c:pt idx="3">
                  <c:v>29676</c:v>
                </c:pt>
                <c:pt idx="4">
                  <c:v>29706</c:v>
                </c:pt>
                <c:pt idx="5">
                  <c:v>29737</c:v>
                </c:pt>
                <c:pt idx="6">
                  <c:v>29767</c:v>
                </c:pt>
                <c:pt idx="7">
                  <c:v>29798</c:v>
                </c:pt>
                <c:pt idx="8">
                  <c:v>29829</c:v>
                </c:pt>
                <c:pt idx="9">
                  <c:v>29859</c:v>
                </c:pt>
                <c:pt idx="10">
                  <c:v>29890</c:v>
                </c:pt>
                <c:pt idx="11">
                  <c:v>29920</c:v>
                </c:pt>
                <c:pt idx="12">
                  <c:v>29951</c:v>
                </c:pt>
                <c:pt idx="13">
                  <c:v>29982</c:v>
                </c:pt>
                <c:pt idx="14">
                  <c:v>30010</c:v>
                </c:pt>
                <c:pt idx="15">
                  <c:v>30041</c:v>
                </c:pt>
                <c:pt idx="16">
                  <c:v>30071</c:v>
                </c:pt>
                <c:pt idx="17">
                  <c:v>30102</c:v>
                </c:pt>
                <c:pt idx="18">
                  <c:v>30132</c:v>
                </c:pt>
                <c:pt idx="19">
                  <c:v>30163</c:v>
                </c:pt>
                <c:pt idx="20">
                  <c:v>30194</c:v>
                </c:pt>
                <c:pt idx="21">
                  <c:v>30224</c:v>
                </c:pt>
                <c:pt idx="22">
                  <c:v>30255</c:v>
                </c:pt>
                <c:pt idx="23">
                  <c:v>30285</c:v>
                </c:pt>
                <c:pt idx="24">
                  <c:v>30316</c:v>
                </c:pt>
                <c:pt idx="25">
                  <c:v>30347</c:v>
                </c:pt>
                <c:pt idx="26">
                  <c:v>30375</c:v>
                </c:pt>
                <c:pt idx="27">
                  <c:v>30406</c:v>
                </c:pt>
                <c:pt idx="28">
                  <c:v>30436</c:v>
                </c:pt>
                <c:pt idx="29">
                  <c:v>30467</c:v>
                </c:pt>
                <c:pt idx="30">
                  <c:v>30497</c:v>
                </c:pt>
                <c:pt idx="31">
                  <c:v>30528</c:v>
                </c:pt>
                <c:pt idx="32">
                  <c:v>30559</c:v>
                </c:pt>
                <c:pt idx="33">
                  <c:v>30589</c:v>
                </c:pt>
                <c:pt idx="34">
                  <c:v>30620</c:v>
                </c:pt>
                <c:pt idx="35">
                  <c:v>30650</c:v>
                </c:pt>
                <c:pt idx="36">
                  <c:v>30681</c:v>
                </c:pt>
                <c:pt idx="37">
                  <c:v>30712</c:v>
                </c:pt>
                <c:pt idx="38">
                  <c:v>30741</c:v>
                </c:pt>
                <c:pt idx="39">
                  <c:v>30772</c:v>
                </c:pt>
                <c:pt idx="40">
                  <c:v>30802</c:v>
                </c:pt>
                <c:pt idx="41">
                  <c:v>30833</c:v>
                </c:pt>
                <c:pt idx="42">
                  <c:v>30863</c:v>
                </c:pt>
                <c:pt idx="43">
                  <c:v>30894</c:v>
                </c:pt>
                <c:pt idx="44">
                  <c:v>30925</c:v>
                </c:pt>
                <c:pt idx="45">
                  <c:v>30955</c:v>
                </c:pt>
                <c:pt idx="46">
                  <c:v>30986</c:v>
                </c:pt>
                <c:pt idx="47">
                  <c:v>31016</c:v>
                </c:pt>
                <c:pt idx="48">
                  <c:v>31047</c:v>
                </c:pt>
                <c:pt idx="49">
                  <c:v>31078</c:v>
                </c:pt>
                <c:pt idx="50">
                  <c:v>31106</c:v>
                </c:pt>
                <c:pt idx="51">
                  <c:v>31137</c:v>
                </c:pt>
                <c:pt idx="52">
                  <c:v>31167</c:v>
                </c:pt>
                <c:pt idx="53">
                  <c:v>31198</c:v>
                </c:pt>
                <c:pt idx="54">
                  <c:v>31228</c:v>
                </c:pt>
                <c:pt idx="55">
                  <c:v>31259</c:v>
                </c:pt>
                <c:pt idx="56">
                  <c:v>31290</c:v>
                </c:pt>
                <c:pt idx="57">
                  <c:v>31320</c:v>
                </c:pt>
                <c:pt idx="58">
                  <c:v>31351</c:v>
                </c:pt>
                <c:pt idx="59">
                  <c:v>31381</c:v>
                </c:pt>
                <c:pt idx="60">
                  <c:v>31412</c:v>
                </c:pt>
                <c:pt idx="61">
                  <c:v>31443</c:v>
                </c:pt>
                <c:pt idx="62">
                  <c:v>31471</c:v>
                </c:pt>
                <c:pt idx="63">
                  <c:v>31502</c:v>
                </c:pt>
                <c:pt idx="64">
                  <c:v>31532</c:v>
                </c:pt>
                <c:pt idx="65">
                  <c:v>31563</c:v>
                </c:pt>
                <c:pt idx="66">
                  <c:v>31593</c:v>
                </c:pt>
                <c:pt idx="67">
                  <c:v>31624</c:v>
                </c:pt>
                <c:pt idx="68">
                  <c:v>31655</c:v>
                </c:pt>
                <c:pt idx="69">
                  <c:v>31685</c:v>
                </c:pt>
                <c:pt idx="70">
                  <c:v>31716</c:v>
                </c:pt>
                <c:pt idx="71">
                  <c:v>31746</c:v>
                </c:pt>
                <c:pt idx="72">
                  <c:v>31777</c:v>
                </c:pt>
                <c:pt idx="73">
                  <c:v>31808</c:v>
                </c:pt>
                <c:pt idx="74">
                  <c:v>31836</c:v>
                </c:pt>
                <c:pt idx="75">
                  <c:v>31867</c:v>
                </c:pt>
                <c:pt idx="76">
                  <c:v>31897</c:v>
                </c:pt>
                <c:pt idx="77">
                  <c:v>31928</c:v>
                </c:pt>
                <c:pt idx="78">
                  <c:v>31958</c:v>
                </c:pt>
                <c:pt idx="79">
                  <c:v>31989</c:v>
                </c:pt>
                <c:pt idx="80">
                  <c:v>32020</c:v>
                </c:pt>
                <c:pt idx="81">
                  <c:v>32050</c:v>
                </c:pt>
                <c:pt idx="82">
                  <c:v>32081</c:v>
                </c:pt>
                <c:pt idx="83">
                  <c:v>32111</c:v>
                </c:pt>
                <c:pt idx="84">
                  <c:v>32142</c:v>
                </c:pt>
                <c:pt idx="85">
                  <c:v>32173</c:v>
                </c:pt>
                <c:pt idx="86">
                  <c:v>32202</c:v>
                </c:pt>
                <c:pt idx="87">
                  <c:v>32233</c:v>
                </c:pt>
                <c:pt idx="88">
                  <c:v>32263</c:v>
                </c:pt>
                <c:pt idx="89">
                  <c:v>32294</c:v>
                </c:pt>
                <c:pt idx="90">
                  <c:v>32324</c:v>
                </c:pt>
                <c:pt idx="91">
                  <c:v>32355</c:v>
                </c:pt>
                <c:pt idx="92">
                  <c:v>32386</c:v>
                </c:pt>
                <c:pt idx="93">
                  <c:v>32416</c:v>
                </c:pt>
                <c:pt idx="94">
                  <c:v>32447</c:v>
                </c:pt>
                <c:pt idx="95">
                  <c:v>32477</c:v>
                </c:pt>
                <c:pt idx="96">
                  <c:v>32508</c:v>
                </c:pt>
                <c:pt idx="97">
                  <c:v>32539</c:v>
                </c:pt>
                <c:pt idx="98">
                  <c:v>32567</c:v>
                </c:pt>
                <c:pt idx="99">
                  <c:v>32598</c:v>
                </c:pt>
                <c:pt idx="100">
                  <c:v>32628</c:v>
                </c:pt>
                <c:pt idx="101">
                  <c:v>32659</c:v>
                </c:pt>
                <c:pt idx="102">
                  <c:v>32689</c:v>
                </c:pt>
                <c:pt idx="103">
                  <c:v>32720</c:v>
                </c:pt>
                <c:pt idx="104">
                  <c:v>32751</c:v>
                </c:pt>
                <c:pt idx="105">
                  <c:v>32781</c:v>
                </c:pt>
                <c:pt idx="106">
                  <c:v>32812</c:v>
                </c:pt>
                <c:pt idx="107">
                  <c:v>32842</c:v>
                </c:pt>
                <c:pt idx="108">
                  <c:v>32873</c:v>
                </c:pt>
                <c:pt idx="109">
                  <c:v>32904</c:v>
                </c:pt>
                <c:pt idx="110">
                  <c:v>32932</c:v>
                </c:pt>
                <c:pt idx="111">
                  <c:v>32963</c:v>
                </c:pt>
                <c:pt idx="112">
                  <c:v>32993</c:v>
                </c:pt>
                <c:pt idx="113">
                  <c:v>33024</c:v>
                </c:pt>
                <c:pt idx="114">
                  <c:v>33054</c:v>
                </c:pt>
                <c:pt idx="115">
                  <c:v>33085</c:v>
                </c:pt>
                <c:pt idx="116">
                  <c:v>33116</c:v>
                </c:pt>
                <c:pt idx="117">
                  <c:v>33146</c:v>
                </c:pt>
                <c:pt idx="118">
                  <c:v>33177</c:v>
                </c:pt>
                <c:pt idx="119">
                  <c:v>33207</c:v>
                </c:pt>
                <c:pt idx="120">
                  <c:v>33238</c:v>
                </c:pt>
                <c:pt idx="121">
                  <c:v>33269</c:v>
                </c:pt>
                <c:pt idx="122">
                  <c:v>33297</c:v>
                </c:pt>
                <c:pt idx="123">
                  <c:v>33328</c:v>
                </c:pt>
                <c:pt idx="124">
                  <c:v>33358</c:v>
                </c:pt>
                <c:pt idx="125">
                  <c:v>33389</c:v>
                </c:pt>
                <c:pt idx="126">
                  <c:v>33419</c:v>
                </c:pt>
                <c:pt idx="127">
                  <c:v>33450</c:v>
                </c:pt>
                <c:pt idx="128">
                  <c:v>33481</c:v>
                </c:pt>
                <c:pt idx="129">
                  <c:v>33511</c:v>
                </c:pt>
                <c:pt idx="130">
                  <c:v>33542</c:v>
                </c:pt>
                <c:pt idx="131">
                  <c:v>33572</c:v>
                </c:pt>
                <c:pt idx="132">
                  <c:v>33603</c:v>
                </c:pt>
                <c:pt idx="133">
                  <c:v>33634</c:v>
                </c:pt>
                <c:pt idx="134">
                  <c:v>33663</c:v>
                </c:pt>
                <c:pt idx="135">
                  <c:v>33694</c:v>
                </c:pt>
                <c:pt idx="136">
                  <c:v>33724</c:v>
                </c:pt>
                <c:pt idx="137">
                  <c:v>33755</c:v>
                </c:pt>
                <c:pt idx="138">
                  <c:v>33785</c:v>
                </c:pt>
                <c:pt idx="139">
                  <c:v>33816</c:v>
                </c:pt>
                <c:pt idx="140">
                  <c:v>33847</c:v>
                </c:pt>
                <c:pt idx="141">
                  <c:v>33877</c:v>
                </c:pt>
                <c:pt idx="142">
                  <c:v>33908</c:v>
                </c:pt>
                <c:pt idx="143">
                  <c:v>33938</c:v>
                </c:pt>
                <c:pt idx="144">
                  <c:v>33969</c:v>
                </c:pt>
                <c:pt idx="145">
                  <c:v>34000</c:v>
                </c:pt>
                <c:pt idx="146">
                  <c:v>34028</c:v>
                </c:pt>
                <c:pt idx="147">
                  <c:v>34059</c:v>
                </c:pt>
                <c:pt idx="148">
                  <c:v>34089</c:v>
                </c:pt>
                <c:pt idx="149">
                  <c:v>34120</c:v>
                </c:pt>
                <c:pt idx="150">
                  <c:v>34150</c:v>
                </c:pt>
                <c:pt idx="151">
                  <c:v>34181</c:v>
                </c:pt>
                <c:pt idx="152">
                  <c:v>34212</c:v>
                </c:pt>
                <c:pt idx="153">
                  <c:v>34242</c:v>
                </c:pt>
                <c:pt idx="154">
                  <c:v>34273</c:v>
                </c:pt>
                <c:pt idx="155">
                  <c:v>34303</c:v>
                </c:pt>
                <c:pt idx="156">
                  <c:v>34334</c:v>
                </c:pt>
                <c:pt idx="157">
                  <c:v>34365</c:v>
                </c:pt>
                <c:pt idx="158">
                  <c:v>34393</c:v>
                </c:pt>
                <c:pt idx="159">
                  <c:v>34424</c:v>
                </c:pt>
                <c:pt idx="160">
                  <c:v>34454</c:v>
                </c:pt>
                <c:pt idx="161">
                  <c:v>34485</c:v>
                </c:pt>
                <c:pt idx="162">
                  <c:v>34515</c:v>
                </c:pt>
                <c:pt idx="163">
                  <c:v>34546</c:v>
                </c:pt>
                <c:pt idx="164">
                  <c:v>34577</c:v>
                </c:pt>
                <c:pt idx="165">
                  <c:v>34607</c:v>
                </c:pt>
                <c:pt idx="166">
                  <c:v>34638</c:v>
                </c:pt>
                <c:pt idx="167">
                  <c:v>34668</c:v>
                </c:pt>
                <c:pt idx="168">
                  <c:v>34699</c:v>
                </c:pt>
                <c:pt idx="169">
                  <c:v>34730</c:v>
                </c:pt>
                <c:pt idx="170">
                  <c:v>34758</c:v>
                </c:pt>
                <c:pt idx="171">
                  <c:v>34789</c:v>
                </c:pt>
                <c:pt idx="172">
                  <c:v>34819</c:v>
                </c:pt>
                <c:pt idx="173">
                  <c:v>34850</c:v>
                </c:pt>
                <c:pt idx="174">
                  <c:v>34880</c:v>
                </c:pt>
                <c:pt idx="175">
                  <c:v>34911</c:v>
                </c:pt>
                <c:pt idx="176">
                  <c:v>34942</c:v>
                </c:pt>
                <c:pt idx="177">
                  <c:v>34972</c:v>
                </c:pt>
                <c:pt idx="178">
                  <c:v>35003</c:v>
                </c:pt>
                <c:pt idx="179">
                  <c:v>35033</c:v>
                </c:pt>
                <c:pt idx="180">
                  <c:v>35064</c:v>
                </c:pt>
                <c:pt idx="181">
                  <c:v>35095</c:v>
                </c:pt>
                <c:pt idx="182">
                  <c:v>35124</c:v>
                </c:pt>
                <c:pt idx="183">
                  <c:v>35155</c:v>
                </c:pt>
                <c:pt idx="184">
                  <c:v>35185</c:v>
                </c:pt>
                <c:pt idx="185">
                  <c:v>35216</c:v>
                </c:pt>
                <c:pt idx="186">
                  <c:v>35246</c:v>
                </c:pt>
                <c:pt idx="187">
                  <c:v>35277</c:v>
                </c:pt>
                <c:pt idx="188">
                  <c:v>35308</c:v>
                </c:pt>
                <c:pt idx="189">
                  <c:v>35338</c:v>
                </c:pt>
                <c:pt idx="190">
                  <c:v>35369</c:v>
                </c:pt>
                <c:pt idx="191">
                  <c:v>35399</c:v>
                </c:pt>
                <c:pt idx="192">
                  <c:v>35430</c:v>
                </c:pt>
                <c:pt idx="193">
                  <c:v>35461</c:v>
                </c:pt>
                <c:pt idx="194">
                  <c:v>35489</c:v>
                </c:pt>
                <c:pt idx="195">
                  <c:v>35520</c:v>
                </c:pt>
                <c:pt idx="196">
                  <c:v>35550</c:v>
                </c:pt>
                <c:pt idx="197">
                  <c:v>35581</c:v>
                </c:pt>
                <c:pt idx="198">
                  <c:v>35611</c:v>
                </c:pt>
                <c:pt idx="199">
                  <c:v>35642</c:v>
                </c:pt>
                <c:pt idx="200">
                  <c:v>35673</c:v>
                </c:pt>
                <c:pt idx="201">
                  <c:v>35703</c:v>
                </c:pt>
                <c:pt idx="202">
                  <c:v>35734</c:v>
                </c:pt>
                <c:pt idx="203">
                  <c:v>35764</c:v>
                </c:pt>
                <c:pt idx="204">
                  <c:v>35795</c:v>
                </c:pt>
                <c:pt idx="205">
                  <c:v>35826</c:v>
                </c:pt>
                <c:pt idx="206">
                  <c:v>35854</c:v>
                </c:pt>
                <c:pt idx="207">
                  <c:v>35885</c:v>
                </c:pt>
                <c:pt idx="208">
                  <c:v>35915</c:v>
                </c:pt>
                <c:pt idx="209">
                  <c:v>35946</c:v>
                </c:pt>
                <c:pt idx="210">
                  <c:v>35976</c:v>
                </c:pt>
                <c:pt idx="211">
                  <c:v>36007</c:v>
                </c:pt>
                <c:pt idx="212">
                  <c:v>36038</c:v>
                </c:pt>
                <c:pt idx="213">
                  <c:v>36068</c:v>
                </c:pt>
                <c:pt idx="214">
                  <c:v>36099</c:v>
                </c:pt>
                <c:pt idx="215">
                  <c:v>36129</c:v>
                </c:pt>
                <c:pt idx="216">
                  <c:v>36160</c:v>
                </c:pt>
                <c:pt idx="217">
                  <c:v>36191</c:v>
                </c:pt>
                <c:pt idx="218">
                  <c:v>36219</c:v>
                </c:pt>
                <c:pt idx="219">
                  <c:v>36250</c:v>
                </c:pt>
                <c:pt idx="220">
                  <c:v>36280</c:v>
                </c:pt>
                <c:pt idx="221">
                  <c:v>36311</c:v>
                </c:pt>
                <c:pt idx="222">
                  <c:v>36341</c:v>
                </c:pt>
                <c:pt idx="223">
                  <c:v>36372</c:v>
                </c:pt>
                <c:pt idx="224">
                  <c:v>36403</c:v>
                </c:pt>
                <c:pt idx="225">
                  <c:v>36433</c:v>
                </c:pt>
                <c:pt idx="226">
                  <c:v>36464</c:v>
                </c:pt>
                <c:pt idx="227">
                  <c:v>36494</c:v>
                </c:pt>
                <c:pt idx="228">
                  <c:v>36525</c:v>
                </c:pt>
                <c:pt idx="229">
                  <c:v>36556</c:v>
                </c:pt>
                <c:pt idx="230">
                  <c:v>36585</c:v>
                </c:pt>
                <c:pt idx="231">
                  <c:v>36616</c:v>
                </c:pt>
                <c:pt idx="232">
                  <c:v>36646</c:v>
                </c:pt>
                <c:pt idx="233">
                  <c:v>36677</c:v>
                </c:pt>
                <c:pt idx="234">
                  <c:v>36707</c:v>
                </c:pt>
                <c:pt idx="235">
                  <c:v>36738</c:v>
                </c:pt>
                <c:pt idx="236">
                  <c:v>36769</c:v>
                </c:pt>
                <c:pt idx="237">
                  <c:v>36799</c:v>
                </c:pt>
                <c:pt idx="238">
                  <c:v>36830</c:v>
                </c:pt>
                <c:pt idx="239">
                  <c:v>36860</c:v>
                </c:pt>
                <c:pt idx="240">
                  <c:v>36891</c:v>
                </c:pt>
                <c:pt idx="241">
                  <c:v>36922</c:v>
                </c:pt>
                <c:pt idx="242">
                  <c:v>36950</c:v>
                </c:pt>
                <c:pt idx="243">
                  <c:v>36981</c:v>
                </c:pt>
                <c:pt idx="244">
                  <c:v>37011</c:v>
                </c:pt>
                <c:pt idx="245">
                  <c:v>37042</c:v>
                </c:pt>
                <c:pt idx="246">
                  <c:v>37072</c:v>
                </c:pt>
                <c:pt idx="247">
                  <c:v>37103</c:v>
                </c:pt>
                <c:pt idx="248">
                  <c:v>37134</c:v>
                </c:pt>
                <c:pt idx="249">
                  <c:v>37164</c:v>
                </c:pt>
                <c:pt idx="250">
                  <c:v>37195</c:v>
                </c:pt>
                <c:pt idx="251">
                  <c:v>37225</c:v>
                </c:pt>
                <c:pt idx="252">
                  <c:v>37256</c:v>
                </c:pt>
                <c:pt idx="253">
                  <c:v>37287</c:v>
                </c:pt>
                <c:pt idx="254">
                  <c:v>37315</c:v>
                </c:pt>
                <c:pt idx="255">
                  <c:v>37346</c:v>
                </c:pt>
                <c:pt idx="256">
                  <c:v>37376</c:v>
                </c:pt>
                <c:pt idx="257">
                  <c:v>37407</c:v>
                </c:pt>
                <c:pt idx="258">
                  <c:v>37437</c:v>
                </c:pt>
                <c:pt idx="259">
                  <c:v>37468</c:v>
                </c:pt>
                <c:pt idx="260">
                  <c:v>37499</c:v>
                </c:pt>
                <c:pt idx="261">
                  <c:v>37529</c:v>
                </c:pt>
                <c:pt idx="262">
                  <c:v>37560</c:v>
                </c:pt>
                <c:pt idx="263">
                  <c:v>37590</c:v>
                </c:pt>
                <c:pt idx="264">
                  <c:v>37621</c:v>
                </c:pt>
                <c:pt idx="265">
                  <c:v>37652</c:v>
                </c:pt>
                <c:pt idx="266">
                  <c:v>37680</c:v>
                </c:pt>
                <c:pt idx="267">
                  <c:v>37711</c:v>
                </c:pt>
                <c:pt idx="268">
                  <c:v>37741</c:v>
                </c:pt>
                <c:pt idx="269">
                  <c:v>37772</c:v>
                </c:pt>
                <c:pt idx="270">
                  <c:v>37802</c:v>
                </c:pt>
                <c:pt idx="271">
                  <c:v>37833</c:v>
                </c:pt>
                <c:pt idx="272">
                  <c:v>37864</c:v>
                </c:pt>
                <c:pt idx="273">
                  <c:v>37894</c:v>
                </c:pt>
                <c:pt idx="274">
                  <c:v>37925</c:v>
                </c:pt>
                <c:pt idx="275">
                  <c:v>37955</c:v>
                </c:pt>
                <c:pt idx="276">
                  <c:v>37986</c:v>
                </c:pt>
                <c:pt idx="277">
                  <c:v>38017</c:v>
                </c:pt>
                <c:pt idx="278">
                  <c:v>38046</c:v>
                </c:pt>
                <c:pt idx="279">
                  <c:v>38077</c:v>
                </c:pt>
                <c:pt idx="280">
                  <c:v>38107</c:v>
                </c:pt>
                <c:pt idx="281">
                  <c:v>38138</c:v>
                </c:pt>
                <c:pt idx="282">
                  <c:v>38168</c:v>
                </c:pt>
                <c:pt idx="283">
                  <c:v>38199</c:v>
                </c:pt>
                <c:pt idx="284">
                  <c:v>38230</c:v>
                </c:pt>
                <c:pt idx="285">
                  <c:v>38260</c:v>
                </c:pt>
                <c:pt idx="286">
                  <c:v>38291</c:v>
                </c:pt>
                <c:pt idx="287">
                  <c:v>38321</c:v>
                </c:pt>
                <c:pt idx="288">
                  <c:v>38352</c:v>
                </c:pt>
                <c:pt idx="289">
                  <c:v>38383</c:v>
                </c:pt>
                <c:pt idx="290">
                  <c:v>38411</c:v>
                </c:pt>
                <c:pt idx="291">
                  <c:v>38442</c:v>
                </c:pt>
                <c:pt idx="292">
                  <c:v>38472</c:v>
                </c:pt>
                <c:pt idx="293">
                  <c:v>38503</c:v>
                </c:pt>
                <c:pt idx="294">
                  <c:v>38533</c:v>
                </c:pt>
                <c:pt idx="295">
                  <c:v>38564</c:v>
                </c:pt>
                <c:pt idx="296">
                  <c:v>38595</c:v>
                </c:pt>
                <c:pt idx="297">
                  <c:v>38625</c:v>
                </c:pt>
                <c:pt idx="298">
                  <c:v>38656</c:v>
                </c:pt>
                <c:pt idx="299">
                  <c:v>38686</c:v>
                </c:pt>
                <c:pt idx="300">
                  <c:v>38717</c:v>
                </c:pt>
                <c:pt idx="301">
                  <c:v>38748</c:v>
                </c:pt>
                <c:pt idx="302">
                  <c:v>38776</c:v>
                </c:pt>
                <c:pt idx="303">
                  <c:v>38807</c:v>
                </c:pt>
                <c:pt idx="304">
                  <c:v>38837</c:v>
                </c:pt>
                <c:pt idx="305">
                  <c:v>38868</c:v>
                </c:pt>
                <c:pt idx="306">
                  <c:v>38898</c:v>
                </c:pt>
                <c:pt idx="307">
                  <c:v>38929</c:v>
                </c:pt>
                <c:pt idx="308">
                  <c:v>38960</c:v>
                </c:pt>
                <c:pt idx="309">
                  <c:v>38990</c:v>
                </c:pt>
                <c:pt idx="310">
                  <c:v>39021</c:v>
                </c:pt>
                <c:pt idx="311">
                  <c:v>39051</c:v>
                </c:pt>
                <c:pt idx="312">
                  <c:v>39082</c:v>
                </c:pt>
                <c:pt idx="313">
                  <c:v>39113</c:v>
                </c:pt>
                <c:pt idx="314">
                  <c:v>39141</c:v>
                </c:pt>
                <c:pt idx="315">
                  <c:v>39172</c:v>
                </c:pt>
                <c:pt idx="316">
                  <c:v>39202</c:v>
                </c:pt>
                <c:pt idx="317">
                  <c:v>39233</c:v>
                </c:pt>
                <c:pt idx="318">
                  <c:v>39263</c:v>
                </c:pt>
                <c:pt idx="319">
                  <c:v>39294</c:v>
                </c:pt>
                <c:pt idx="320">
                  <c:v>39325</c:v>
                </c:pt>
                <c:pt idx="321">
                  <c:v>39355</c:v>
                </c:pt>
                <c:pt idx="322">
                  <c:v>39386</c:v>
                </c:pt>
                <c:pt idx="323">
                  <c:v>39416</c:v>
                </c:pt>
                <c:pt idx="324">
                  <c:v>39447</c:v>
                </c:pt>
                <c:pt idx="325">
                  <c:v>39478</c:v>
                </c:pt>
                <c:pt idx="326">
                  <c:v>39507</c:v>
                </c:pt>
                <c:pt idx="327">
                  <c:v>39538</c:v>
                </c:pt>
                <c:pt idx="328">
                  <c:v>39568</c:v>
                </c:pt>
                <c:pt idx="329">
                  <c:v>39599</c:v>
                </c:pt>
                <c:pt idx="330">
                  <c:v>39629</c:v>
                </c:pt>
                <c:pt idx="331">
                  <c:v>39660</c:v>
                </c:pt>
                <c:pt idx="332">
                  <c:v>39691</c:v>
                </c:pt>
              </c:numCache>
            </c:numRef>
          </c:cat>
          <c:val>
            <c:numRef>
              <c:f>'Returns Value_Growth'!$AB$68:$AB$400</c:f>
              <c:numCache>
                <c:formatCode>0.00</c:formatCode>
                <c:ptCount val="333"/>
                <c:pt idx="24">
                  <c:v>5.737715696216239</c:v>
                </c:pt>
                <c:pt idx="25">
                  <c:v>6.3696858610346796</c:v>
                </c:pt>
                <c:pt idx="26">
                  <c:v>6.8944276712094021</c:v>
                </c:pt>
                <c:pt idx="27">
                  <c:v>6.9620814049815571</c:v>
                </c:pt>
                <c:pt idx="28">
                  <c:v>6.92354892937621</c:v>
                </c:pt>
                <c:pt idx="29">
                  <c:v>6.9594871127226279</c:v>
                </c:pt>
                <c:pt idx="30">
                  <c:v>6.9158197472058749</c:v>
                </c:pt>
                <c:pt idx="31">
                  <c:v>6.527865902391671</c:v>
                </c:pt>
                <c:pt idx="32">
                  <c:v>6.7322906883515943</c:v>
                </c:pt>
                <c:pt idx="33">
                  <c:v>8.0147535427492311</c:v>
                </c:pt>
                <c:pt idx="34">
                  <c:v>9.0321021421557628</c:v>
                </c:pt>
                <c:pt idx="35">
                  <c:v>9.3636374777819942</c:v>
                </c:pt>
                <c:pt idx="36">
                  <c:v>8.4676857611807748</c:v>
                </c:pt>
                <c:pt idx="37">
                  <c:v>8.7774357841448953</c:v>
                </c:pt>
                <c:pt idx="38">
                  <c:v>8.3814758734903627</c:v>
                </c:pt>
                <c:pt idx="39">
                  <c:v>5.847090417478416</c:v>
                </c:pt>
                <c:pt idx="40">
                  <c:v>3.731816963861867</c:v>
                </c:pt>
                <c:pt idx="41">
                  <c:v>4.331347314615198</c:v>
                </c:pt>
                <c:pt idx="42">
                  <c:v>2.5830431041298887</c:v>
                </c:pt>
                <c:pt idx="43">
                  <c:v>2.7207953506221738</c:v>
                </c:pt>
                <c:pt idx="44">
                  <c:v>2.7925352070927953</c:v>
                </c:pt>
                <c:pt idx="45">
                  <c:v>1.8739897784713726</c:v>
                </c:pt>
                <c:pt idx="46">
                  <c:v>0.24341979804864877</c:v>
                </c:pt>
                <c:pt idx="47">
                  <c:v>-0.95627877719814869</c:v>
                </c:pt>
                <c:pt idx="48">
                  <c:v>-0.69300230543854013</c:v>
                </c:pt>
                <c:pt idx="49">
                  <c:v>-0.52336793358678158</c:v>
                </c:pt>
                <c:pt idx="50">
                  <c:v>-2.1480472883463904</c:v>
                </c:pt>
                <c:pt idx="51">
                  <c:v>-2.1624114511272126</c:v>
                </c:pt>
                <c:pt idx="52">
                  <c:v>-1.7589544525774112</c:v>
                </c:pt>
                <c:pt idx="53">
                  <c:v>-1.714605663219082</c:v>
                </c:pt>
                <c:pt idx="54">
                  <c:v>-1.2538608116374945</c:v>
                </c:pt>
                <c:pt idx="55">
                  <c:v>-0.24683916915262571</c:v>
                </c:pt>
                <c:pt idx="56">
                  <c:v>0.52035376311136972</c:v>
                </c:pt>
                <c:pt idx="57">
                  <c:v>2.8685639060181316</c:v>
                </c:pt>
                <c:pt idx="58">
                  <c:v>2.0397531982257142</c:v>
                </c:pt>
                <c:pt idx="59">
                  <c:v>1.8022949240474198</c:v>
                </c:pt>
                <c:pt idx="60">
                  <c:v>1.0321475096221491</c:v>
                </c:pt>
                <c:pt idx="61">
                  <c:v>0.67423870393483654</c:v>
                </c:pt>
                <c:pt idx="62">
                  <c:v>0.3543694817631291</c:v>
                </c:pt>
                <c:pt idx="63">
                  <c:v>-0.97040033758106148</c:v>
                </c:pt>
                <c:pt idx="64">
                  <c:v>0.73833085558943168</c:v>
                </c:pt>
                <c:pt idx="65">
                  <c:v>0.17537273420558108</c:v>
                </c:pt>
                <c:pt idx="66">
                  <c:v>0.37233976585211082</c:v>
                </c:pt>
                <c:pt idx="67">
                  <c:v>-1.9785605312404613</c:v>
                </c:pt>
                <c:pt idx="68">
                  <c:v>-1.1153838021757494</c:v>
                </c:pt>
                <c:pt idx="69">
                  <c:v>-1.4085790889772909</c:v>
                </c:pt>
                <c:pt idx="70">
                  <c:v>-0.37986135065579418</c:v>
                </c:pt>
                <c:pt idx="71">
                  <c:v>-0.30595984365871232</c:v>
                </c:pt>
                <c:pt idx="72">
                  <c:v>-0.97700574007304652</c:v>
                </c:pt>
                <c:pt idx="73">
                  <c:v>-5.9680802682790812</c:v>
                </c:pt>
                <c:pt idx="74">
                  <c:v>-5.5579037543586267</c:v>
                </c:pt>
                <c:pt idx="75">
                  <c:v>-5.8366254534697006</c:v>
                </c:pt>
                <c:pt idx="76">
                  <c:v>-7.9367148261740397</c:v>
                </c:pt>
                <c:pt idx="77">
                  <c:v>-6.0914678543031187</c:v>
                </c:pt>
                <c:pt idx="78">
                  <c:v>-1.508678306194831</c:v>
                </c:pt>
                <c:pt idx="79">
                  <c:v>-0.62354553748557606</c:v>
                </c:pt>
                <c:pt idx="80">
                  <c:v>-1.8281808811675617</c:v>
                </c:pt>
                <c:pt idx="81">
                  <c:v>1.9064998873822319</c:v>
                </c:pt>
                <c:pt idx="82">
                  <c:v>3.5256480969291246</c:v>
                </c:pt>
                <c:pt idx="83">
                  <c:v>4.9220697272978242</c:v>
                </c:pt>
                <c:pt idx="84">
                  <c:v>7.1049173809419059</c:v>
                </c:pt>
                <c:pt idx="85">
                  <c:v>5.8950400195789001</c:v>
                </c:pt>
                <c:pt idx="86">
                  <c:v>6.7856496874506789</c:v>
                </c:pt>
                <c:pt idx="87">
                  <c:v>8.035617516557835</c:v>
                </c:pt>
                <c:pt idx="88">
                  <c:v>8.5235945345012851</c:v>
                </c:pt>
                <c:pt idx="89">
                  <c:v>9.2572683704092782</c:v>
                </c:pt>
                <c:pt idx="90">
                  <c:v>10.146898942017941</c:v>
                </c:pt>
                <c:pt idx="91">
                  <c:v>11.571123484420639</c:v>
                </c:pt>
                <c:pt idx="92">
                  <c:v>9.0944418531391946</c:v>
                </c:pt>
                <c:pt idx="93">
                  <c:v>6.7646184330103267</c:v>
                </c:pt>
                <c:pt idx="94">
                  <c:v>5.9433520180918649</c:v>
                </c:pt>
                <c:pt idx="95">
                  <c:v>5.0741228321629279</c:v>
                </c:pt>
                <c:pt idx="96">
                  <c:v>4.7037871210868545</c:v>
                </c:pt>
                <c:pt idx="97">
                  <c:v>5.307040413439907</c:v>
                </c:pt>
                <c:pt idx="98">
                  <c:v>5.9912635182452334</c:v>
                </c:pt>
                <c:pt idx="99">
                  <c:v>6.4411100769488066</c:v>
                </c:pt>
                <c:pt idx="100">
                  <c:v>5.3130538173694148</c:v>
                </c:pt>
                <c:pt idx="101">
                  <c:v>6.8366543147648571</c:v>
                </c:pt>
                <c:pt idx="102">
                  <c:v>6.5382382570542852</c:v>
                </c:pt>
                <c:pt idx="103">
                  <c:v>8.6214716963325593</c:v>
                </c:pt>
                <c:pt idx="104">
                  <c:v>7.5841805372294679</c:v>
                </c:pt>
                <c:pt idx="105">
                  <c:v>7.9549777586217303</c:v>
                </c:pt>
                <c:pt idx="106">
                  <c:v>7.1256059161921357</c:v>
                </c:pt>
                <c:pt idx="107">
                  <c:v>7.0547823993462693</c:v>
                </c:pt>
                <c:pt idx="108">
                  <c:v>7.7154664573397618</c:v>
                </c:pt>
                <c:pt idx="109">
                  <c:v>11.364716509584751</c:v>
                </c:pt>
                <c:pt idx="110">
                  <c:v>11.409880404628094</c:v>
                </c:pt>
                <c:pt idx="111">
                  <c:v>13.399568684833996</c:v>
                </c:pt>
                <c:pt idx="112">
                  <c:v>14.20813384508137</c:v>
                </c:pt>
                <c:pt idx="113">
                  <c:v>11.75129208000256</c:v>
                </c:pt>
                <c:pt idx="114">
                  <c:v>9.8252244775535189</c:v>
                </c:pt>
                <c:pt idx="115">
                  <c:v>9.1564340157169521</c:v>
                </c:pt>
                <c:pt idx="116">
                  <c:v>9.4946640371093132</c:v>
                </c:pt>
                <c:pt idx="117">
                  <c:v>8.0986702335414726</c:v>
                </c:pt>
                <c:pt idx="118">
                  <c:v>7.773414832653657</c:v>
                </c:pt>
                <c:pt idx="119">
                  <c:v>7.1708484749505752</c:v>
                </c:pt>
                <c:pt idx="120">
                  <c:v>5.3965180202096619</c:v>
                </c:pt>
                <c:pt idx="121">
                  <c:v>5.8482204719098485</c:v>
                </c:pt>
                <c:pt idx="122">
                  <c:v>6.5936261923162922</c:v>
                </c:pt>
                <c:pt idx="123">
                  <c:v>5.5174018692404792</c:v>
                </c:pt>
                <c:pt idx="124">
                  <c:v>4.6001512438033849</c:v>
                </c:pt>
                <c:pt idx="125">
                  <c:v>3.9894766417079452</c:v>
                </c:pt>
                <c:pt idx="126">
                  <c:v>3.2463434923613255</c:v>
                </c:pt>
                <c:pt idx="127">
                  <c:v>2.5390091815386873</c:v>
                </c:pt>
                <c:pt idx="128">
                  <c:v>3.285731603587716</c:v>
                </c:pt>
                <c:pt idx="129">
                  <c:v>4.1637451637670297</c:v>
                </c:pt>
                <c:pt idx="130">
                  <c:v>3.766174075082207</c:v>
                </c:pt>
                <c:pt idx="131">
                  <c:v>3.1038091073610103</c:v>
                </c:pt>
                <c:pt idx="132">
                  <c:v>3.0616916390373783</c:v>
                </c:pt>
                <c:pt idx="133">
                  <c:v>3.3865139244792957</c:v>
                </c:pt>
                <c:pt idx="134">
                  <c:v>3.0391847127162923</c:v>
                </c:pt>
                <c:pt idx="135">
                  <c:v>2.9831852694536254</c:v>
                </c:pt>
                <c:pt idx="136">
                  <c:v>4.2270667811829306</c:v>
                </c:pt>
                <c:pt idx="137">
                  <c:v>3.2683095782788496</c:v>
                </c:pt>
                <c:pt idx="138">
                  <c:v>2.7474161794841301</c:v>
                </c:pt>
                <c:pt idx="139">
                  <c:v>2.5085287863444989</c:v>
                </c:pt>
                <c:pt idx="140">
                  <c:v>1.4569477371173862</c:v>
                </c:pt>
                <c:pt idx="141">
                  <c:v>1.2517059681540159</c:v>
                </c:pt>
                <c:pt idx="142">
                  <c:v>1.1450217590937122</c:v>
                </c:pt>
                <c:pt idx="143">
                  <c:v>1.2178926783308892</c:v>
                </c:pt>
                <c:pt idx="144">
                  <c:v>1.1216981882919512</c:v>
                </c:pt>
                <c:pt idx="145">
                  <c:v>1.1899166770773064</c:v>
                </c:pt>
                <c:pt idx="146">
                  <c:v>0.75439102421845927</c:v>
                </c:pt>
                <c:pt idx="147">
                  <c:v>0.92616110800947116</c:v>
                </c:pt>
                <c:pt idx="148">
                  <c:v>1.6129155934544226</c:v>
                </c:pt>
                <c:pt idx="149">
                  <c:v>1.6873594088936628</c:v>
                </c:pt>
                <c:pt idx="150">
                  <c:v>0.82064428942041356</c:v>
                </c:pt>
                <c:pt idx="151">
                  <c:v>1.0019982793096904</c:v>
                </c:pt>
                <c:pt idx="152">
                  <c:v>1.3799041101077991</c:v>
                </c:pt>
                <c:pt idx="153">
                  <c:v>0.49566927585216192</c:v>
                </c:pt>
                <c:pt idx="154">
                  <c:v>1.6174375908146743</c:v>
                </c:pt>
                <c:pt idx="155">
                  <c:v>2.5142549606588238</c:v>
                </c:pt>
                <c:pt idx="156">
                  <c:v>3.778823761539396</c:v>
                </c:pt>
                <c:pt idx="157">
                  <c:v>4.7930672103391192</c:v>
                </c:pt>
                <c:pt idx="158">
                  <c:v>4.3809017034299078</c:v>
                </c:pt>
                <c:pt idx="159">
                  <c:v>5.1721534207312283</c:v>
                </c:pt>
                <c:pt idx="160">
                  <c:v>5.3009930392480022</c:v>
                </c:pt>
                <c:pt idx="161">
                  <c:v>5.8338729690463396</c:v>
                </c:pt>
                <c:pt idx="162">
                  <c:v>6.2180723185552669</c:v>
                </c:pt>
                <c:pt idx="163">
                  <c:v>5.8119749184875724</c:v>
                </c:pt>
                <c:pt idx="164">
                  <c:v>6.0460741858899603</c:v>
                </c:pt>
                <c:pt idx="165">
                  <c:v>5.6073150808595873</c:v>
                </c:pt>
                <c:pt idx="166">
                  <c:v>7.0895304137470694</c:v>
                </c:pt>
                <c:pt idx="167">
                  <c:v>7.7207488990439721</c:v>
                </c:pt>
                <c:pt idx="168">
                  <c:v>7.0916459219088726</c:v>
                </c:pt>
                <c:pt idx="169">
                  <c:v>6.0806582822460662</c:v>
                </c:pt>
                <c:pt idx="170">
                  <c:v>5.6924936447731111</c:v>
                </c:pt>
                <c:pt idx="171">
                  <c:v>5.8491988611803816</c:v>
                </c:pt>
                <c:pt idx="172">
                  <c:v>3.3752873069953022</c:v>
                </c:pt>
                <c:pt idx="173">
                  <c:v>3.7844820425076975</c:v>
                </c:pt>
                <c:pt idx="174">
                  <c:v>4.3224404698468462</c:v>
                </c:pt>
                <c:pt idx="175">
                  <c:v>5.0845224730004208</c:v>
                </c:pt>
                <c:pt idx="176">
                  <c:v>6.3027156484517306</c:v>
                </c:pt>
                <c:pt idx="177">
                  <c:v>6.0784098933437622</c:v>
                </c:pt>
                <c:pt idx="178">
                  <c:v>6.1826191918469267</c:v>
                </c:pt>
                <c:pt idx="179">
                  <c:v>6.598442629717205</c:v>
                </c:pt>
                <c:pt idx="180">
                  <c:v>6.8000788067892781</c:v>
                </c:pt>
                <c:pt idx="181">
                  <c:v>6.3594775606887559</c:v>
                </c:pt>
                <c:pt idx="182">
                  <c:v>6.1778702878822145</c:v>
                </c:pt>
                <c:pt idx="183">
                  <c:v>4.7038132369325858</c:v>
                </c:pt>
                <c:pt idx="184">
                  <c:v>4.0230190789525295</c:v>
                </c:pt>
                <c:pt idx="185">
                  <c:v>4.7308606265541</c:v>
                </c:pt>
                <c:pt idx="186">
                  <c:v>5.4851532661473801</c:v>
                </c:pt>
                <c:pt idx="187">
                  <c:v>5.2062384859859145</c:v>
                </c:pt>
                <c:pt idx="188">
                  <c:v>5.0234357660306594</c:v>
                </c:pt>
                <c:pt idx="189">
                  <c:v>4.8863656248752116</c:v>
                </c:pt>
                <c:pt idx="190">
                  <c:v>4.7218780070936726</c:v>
                </c:pt>
                <c:pt idx="191">
                  <c:v>4.6593343171190913</c:v>
                </c:pt>
                <c:pt idx="192">
                  <c:v>4.1097081924363676</c:v>
                </c:pt>
                <c:pt idx="193">
                  <c:v>3.8816946406875941</c:v>
                </c:pt>
                <c:pt idx="194">
                  <c:v>3.6473661702411508</c:v>
                </c:pt>
                <c:pt idx="195">
                  <c:v>3.085471958407938</c:v>
                </c:pt>
                <c:pt idx="196">
                  <c:v>2.6424525603603977</c:v>
                </c:pt>
                <c:pt idx="197">
                  <c:v>2.6932460163409999</c:v>
                </c:pt>
                <c:pt idx="198">
                  <c:v>2.1705589909312373</c:v>
                </c:pt>
                <c:pt idx="199">
                  <c:v>1.5471972887421082</c:v>
                </c:pt>
                <c:pt idx="200">
                  <c:v>1.6310125174195278</c:v>
                </c:pt>
                <c:pt idx="201">
                  <c:v>0.81362785254874836</c:v>
                </c:pt>
                <c:pt idx="202">
                  <c:v>1.8326166003102662</c:v>
                </c:pt>
                <c:pt idx="203">
                  <c:v>1.4956682826657852</c:v>
                </c:pt>
                <c:pt idx="204">
                  <c:v>1.6737910766963404</c:v>
                </c:pt>
                <c:pt idx="205">
                  <c:v>1.7592442949178722</c:v>
                </c:pt>
                <c:pt idx="206">
                  <c:v>1.8308258085353089</c:v>
                </c:pt>
                <c:pt idx="207">
                  <c:v>3.1193285757405782</c:v>
                </c:pt>
                <c:pt idx="208">
                  <c:v>3.40620441572168</c:v>
                </c:pt>
                <c:pt idx="209">
                  <c:v>3.6102659799389869</c:v>
                </c:pt>
                <c:pt idx="210">
                  <c:v>2.9181351107850233</c:v>
                </c:pt>
                <c:pt idx="211">
                  <c:v>3.393274153514203</c:v>
                </c:pt>
                <c:pt idx="212">
                  <c:v>1.635011939634734</c:v>
                </c:pt>
                <c:pt idx="213">
                  <c:v>1.622849277981353</c:v>
                </c:pt>
                <c:pt idx="214">
                  <c:v>1.8670398530911134</c:v>
                </c:pt>
                <c:pt idx="215">
                  <c:v>2.0529279571950276</c:v>
                </c:pt>
                <c:pt idx="216">
                  <c:v>0.38163417130765254</c:v>
                </c:pt>
                <c:pt idx="217">
                  <c:v>-0.47342746500611455</c:v>
                </c:pt>
                <c:pt idx="218">
                  <c:v>0.19208130874781482</c:v>
                </c:pt>
                <c:pt idx="219">
                  <c:v>2.3419191279818952</c:v>
                </c:pt>
                <c:pt idx="220">
                  <c:v>4.086128880311791</c:v>
                </c:pt>
                <c:pt idx="221">
                  <c:v>3.2861304110763268</c:v>
                </c:pt>
                <c:pt idx="222">
                  <c:v>3.0922559240319494</c:v>
                </c:pt>
                <c:pt idx="223">
                  <c:v>3.6255179399551807</c:v>
                </c:pt>
                <c:pt idx="224">
                  <c:v>3.396005759970631</c:v>
                </c:pt>
                <c:pt idx="225">
                  <c:v>3.0479674219713093</c:v>
                </c:pt>
                <c:pt idx="226">
                  <c:v>2.1276421106353638</c:v>
                </c:pt>
                <c:pt idx="227">
                  <c:v>-1.1706651282900271</c:v>
                </c:pt>
                <c:pt idx="228">
                  <c:v>-3.1712500720820529</c:v>
                </c:pt>
                <c:pt idx="229">
                  <c:v>-4.3107999495313187</c:v>
                </c:pt>
                <c:pt idx="230">
                  <c:v>-6.6232852656767278</c:v>
                </c:pt>
                <c:pt idx="231">
                  <c:v>-4.9480897027058361</c:v>
                </c:pt>
                <c:pt idx="232">
                  <c:v>-3.3971574769537263</c:v>
                </c:pt>
                <c:pt idx="233">
                  <c:v>-0.92039540117658802</c:v>
                </c:pt>
                <c:pt idx="234">
                  <c:v>-0.46872752101551995</c:v>
                </c:pt>
                <c:pt idx="235">
                  <c:v>1.6000114304202775</c:v>
                </c:pt>
                <c:pt idx="236">
                  <c:v>1.3119184507592436</c:v>
                </c:pt>
                <c:pt idx="237">
                  <c:v>3.330209723632116</c:v>
                </c:pt>
                <c:pt idx="238">
                  <c:v>3.6358280280501143</c:v>
                </c:pt>
                <c:pt idx="239">
                  <c:v>4.8389427137005558</c:v>
                </c:pt>
                <c:pt idx="240">
                  <c:v>6.3494420962698639</c:v>
                </c:pt>
                <c:pt idx="241">
                  <c:v>6.3768486732793459</c:v>
                </c:pt>
                <c:pt idx="242">
                  <c:v>8.1260942326382146</c:v>
                </c:pt>
                <c:pt idx="243">
                  <c:v>6.8868988855955049</c:v>
                </c:pt>
                <c:pt idx="244">
                  <c:v>7.2300519973354849</c:v>
                </c:pt>
                <c:pt idx="245">
                  <c:v>7.3708127341718495</c:v>
                </c:pt>
                <c:pt idx="246">
                  <c:v>8.1842344878656945</c:v>
                </c:pt>
                <c:pt idx="247">
                  <c:v>8.1177743892773435</c:v>
                </c:pt>
                <c:pt idx="248">
                  <c:v>11.071555582198133</c:v>
                </c:pt>
                <c:pt idx="249">
                  <c:v>10.498239402908084</c:v>
                </c:pt>
                <c:pt idx="250">
                  <c:v>9.218920796136576</c:v>
                </c:pt>
                <c:pt idx="251">
                  <c:v>8.1292654180786563</c:v>
                </c:pt>
                <c:pt idx="252">
                  <c:v>9.1544394463379462</c:v>
                </c:pt>
                <c:pt idx="253">
                  <c:v>9.5716890250862949</c:v>
                </c:pt>
                <c:pt idx="254">
                  <c:v>8.6965376318479883</c:v>
                </c:pt>
                <c:pt idx="255">
                  <c:v>7.9699260720654479</c:v>
                </c:pt>
                <c:pt idx="256">
                  <c:v>6.1891695942734906</c:v>
                </c:pt>
                <c:pt idx="257">
                  <c:v>7.489556632230066</c:v>
                </c:pt>
                <c:pt idx="258">
                  <c:v>6.3985935668411482</c:v>
                </c:pt>
                <c:pt idx="259">
                  <c:v>6.0671010030806434</c:v>
                </c:pt>
                <c:pt idx="260">
                  <c:v>6.4866755918140733</c:v>
                </c:pt>
                <c:pt idx="261">
                  <c:v>5.2694176537414386</c:v>
                </c:pt>
                <c:pt idx="262">
                  <c:v>6.0049971959455828</c:v>
                </c:pt>
                <c:pt idx="263">
                  <c:v>8.9903910130272671</c:v>
                </c:pt>
                <c:pt idx="264">
                  <c:v>9.1613151529507437</c:v>
                </c:pt>
                <c:pt idx="265">
                  <c:v>10.126203421854663</c:v>
                </c:pt>
                <c:pt idx="266">
                  <c:v>11.480585226684026</c:v>
                </c:pt>
                <c:pt idx="267">
                  <c:v>9.6763598146844547</c:v>
                </c:pt>
                <c:pt idx="268">
                  <c:v>9.928562520305773</c:v>
                </c:pt>
                <c:pt idx="269">
                  <c:v>8.4724646461099891</c:v>
                </c:pt>
                <c:pt idx="270">
                  <c:v>8.6425495169008002</c:v>
                </c:pt>
                <c:pt idx="271">
                  <c:v>8.2451220028215708</c:v>
                </c:pt>
                <c:pt idx="272">
                  <c:v>8.7302817386408229</c:v>
                </c:pt>
                <c:pt idx="273">
                  <c:v>7.6337176677748086</c:v>
                </c:pt>
                <c:pt idx="274">
                  <c:v>6.6586097553016028</c:v>
                </c:pt>
                <c:pt idx="275">
                  <c:v>6.1535975636592521</c:v>
                </c:pt>
                <c:pt idx="276">
                  <c:v>5.7586079852617766</c:v>
                </c:pt>
                <c:pt idx="277">
                  <c:v>5.2965674993616041</c:v>
                </c:pt>
                <c:pt idx="278">
                  <c:v>3.8799712953383914</c:v>
                </c:pt>
                <c:pt idx="279">
                  <c:v>4.1290248056880197</c:v>
                </c:pt>
                <c:pt idx="280">
                  <c:v>4.1021620265150212</c:v>
                </c:pt>
                <c:pt idx="281">
                  <c:v>4.1520475357246234</c:v>
                </c:pt>
                <c:pt idx="282">
                  <c:v>4.3135474411509334</c:v>
                </c:pt>
                <c:pt idx="283">
                  <c:v>4.4538171118090109</c:v>
                </c:pt>
                <c:pt idx="284">
                  <c:v>3.3254510315437358</c:v>
                </c:pt>
                <c:pt idx="285">
                  <c:v>4.09121596170261</c:v>
                </c:pt>
                <c:pt idx="286">
                  <c:v>5.1184492974398745</c:v>
                </c:pt>
                <c:pt idx="287">
                  <c:v>6.1293694106163041</c:v>
                </c:pt>
                <c:pt idx="288">
                  <c:v>6.3038859271151928</c:v>
                </c:pt>
                <c:pt idx="289">
                  <c:v>6.673969213444364</c:v>
                </c:pt>
                <c:pt idx="290">
                  <c:v>7.4633564632869298</c:v>
                </c:pt>
                <c:pt idx="291">
                  <c:v>6.1004986964196437</c:v>
                </c:pt>
                <c:pt idx="292">
                  <c:v>5.6512038754844571</c:v>
                </c:pt>
                <c:pt idx="293">
                  <c:v>4.7159299495979976</c:v>
                </c:pt>
                <c:pt idx="294">
                  <c:v>6.2576977857264904</c:v>
                </c:pt>
                <c:pt idx="295">
                  <c:v>5.8752083762679366</c:v>
                </c:pt>
                <c:pt idx="296">
                  <c:v>5.2530812088145815</c:v>
                </c:pt>
                <c:pt idx="297">
                  <c:v>7.58758458431479</c:v>
                </c:pt>
                <c:pt idx="298">
                  <c:v>7.4484556683114711</c:v>
                </c:pt>
                <c:pt idx="299">
                  <c:v>6.6056976637764535</c:v>
                </c:pt>
                <c:pt idx="300">
                  <c:v>7.1653762684315474</c:v>
                </c:pt>
                <c:pt idx="301">
                  <c:v>6.7095130130816045</c:v>
                </c:pt>
                <c:pt idx="302">
                  <c:v>7.6686727193502122</c:v>
                </c:pt>
                <c:pt idx="303">
                  <c:v>8.1122768094031663</c:v>
                </c:pt>
                <c:pt idx="304">
                  <c:v>7.3129874764222862</c:v>
                </c:pt>
                <c:pt idx="305">
                  <c:v>6.7094665085059049</c:v>
                </c:pt>
                <c:pt idx="306">
                  <c:v>6.0009559693761751</c:v>
                </c:pt>
                <c:pt idx="307">
                  <c:v>5.5177117811687566</c:v>
                </c:pt>
                <c:pt idx="308">
                  <c:v>5.3334170074298441</c:v>
                </c:pt>
                <c:pt idx="309">
                  <c:v>6.092850285861573</c:v>
                </c:pt>
                <c:pt idx="310">
                  <c:v>6.057810441653654</c:v>
                </c:pt>
                <c:pt idx="311">
                  <c:v>6.2257976748591091</c:v>
                </c:pt>
                <c:pt idx="312">
                  <c:v>5.6928766208666381</c:v>
                </c:pt>
                <c:pt idx="313">
                  <c:v>5.9968087440207114</c:v>
                </c:pt>
                <c:pt idx="314">
                  <c:v>5.6813015078396738</c:v>
                </c:pt>
                <c:pt idx="315">
                  <c:v>4.7269994400762378</c:v>
                </c:pt>
                <c:pt idx="316">
                  <c:v>4.7834667083328277</c:v>
                </c:pt>
                <c:pt idx="317">
                  <c:v>4.1692776878796245</c:v>
                </c:pt>
                <c:pt idx="318">
                  <c:v>3.2959971378631074</c:v>
                </c:pt>
                <c:pt idx="319">
                  <c:v>2.0860823210993047</c:v>
                </c:pt>
                <c:pt idx="320">
                  <c:v>1.3279427414087266</c:v>
                </c:pt>
                <c:pt idx="321">
                  <c:v>0.52304410876298135</c:v>
                </c:pt>
                <c:pt idx="322">
                  <c:v>0.4095169952075679</c:v>
                </c:pt>
                <c:pt idx="323">
                  <c:v>-0.60464995169877866</c:v>
                </c:pt>
                <c:pt idx="324">
                  <c:v>-0.80404917487142313</c:v>
                </c:pt>
                <c:pt idx="325">
                  <c:v>-1.1700324633261872</c:v>
                </c:pt>
                <c:pt idx="326">
                  <c:v>-2.352012607720221</c:v>
                </c:pt>
                <c:pt idx="327">
                  <c:v>-1.9423522072427026</c:v>
                </c:pt>
                <c:pt idx="328">
                  <c:v>-1.3046642422252859</c:v>
                </c:pt>
                <c:pt idx="329">
                  <c:v>-2.1204216945364109</c:v>
                </c:pt>
                <c:pt idx="330">
                  <c:v>-3.5603175396520701</c:v>
                </c:pt>
                <c:pt idx="331">
                  <c:v>-3.2829289526800309</c:v>
                </c:pt>
                <c:pt idx="332">
                  <c:v>-2.4338368879070158</c:v>
                </c:pt>
              </c:numCache>
            </c:numRef>
          </c:val>
          <c:smooth val="0"/>
        </c:ser>
        <c:ser>
          <c:idx val="0"/>
          <c:order val="1"/>
          <c:spPr>
            <a:ln w="12700">
              <a:solidFill>
                <a:srgbClr val="000080"/>
              </a:solidFill>
              <a:prstDash val="solid"/>
            </a:ln>
          </c:spPr>
          <c:marker>
            <c:symbol val="none"/>
          </c:marker>
          <c:cat>
            <c:numRef>
              <c:f>'Returns Value_Growth'!$A$68:$A$400</c:f>
              <c:numCache>
                <c:formatCode>mm/dd/yy;@</c:formatCode>
                <c:ptCount val="333"/>
                <c:pt idx="0">
                  <c:v>29586</c:v>
                </c:pt>
                <c:pt idx="1">
                  <c:v>29617</c:v>
                </c:pt>
                <c:pt idx="2">
                  <c:v>29645</c:v>
                </c:pt>
                <c:pt idx="3">
                  <c:v>29676</c:v>
                </c:pt>
                <c:pt idx="4">
                  <c:v>29706</c:v>
                </c:pt>
                <c:pt idx="5">
                  <c:v>29737</c:v>
                </c:pt>
                <c:pt idx="6">
                  <c:v>29767</c:v>
                </c:pt>
                <c:pt idx="7">
                  <c:v>29798</c:v>
                </c:pt>
                <c:pt idx="8">
                  <c:v>29829</c:v>
                </c:pt>
                <c:pt idx="9">
                  <c:v>29859</c:v>
                </c:pt>
                <c:pt idx="10">
                  <c:v>29890</c:v>
                </c:pt>
                <c:pt idx="11">
                  <c:v>29920</c:v>
                </c:pt>
                <c:pt idx="12">
                  <c:v>29951</c:v>
                </c:pt>
                <c:pt idx="13">
                  <c:v>29982</c:v>
                </c:pt>
                <c:pt idx="14">
                  <c:v>30010</c:v>
                </c:pt>
                <c:pt idx="15">
                  <c:v>30041</c:v>
                </c:pt>
                <c:pt idx="16">
                  <c:v>30071</c:v>
                </c:pt>
                <c:pt idx="17">
                  <c:v>30102</c:v>
                </c:pt>
                <c:pt idx="18">
                  <c:v>30132</c:v>
                </c:pt>
                <c:pt idx="19">
                  <c:v>30163</c:v>
                </c:pt>
                <c:pt idx="20">
                  <c:v>30194</c:v>
                </c:pt>
                <c:pt idx="21">
                  <c:v>30224</c:v>
                </c:pt>
                <c:pt idx="22">
                  <c:v>30255</c:v>
                </c:pt>
                <c:pt idx="23">
                  <c:v>30285</c:v>
                </c:pt>
                <c:pt idx="24">
                  <c:v>30316</c:v>
                </c:pt>
                <c:pt idx="25">
                  <c:v>30347</c:v>
                </c:pt>
                <c:pt idx="26">
                  <c:v>30375</c:v>
                </c:pt>
                <c:pt idx="27">
                  <c:v>30406</c:v>
                </c:pt>
                <c:pt idx="28">
                  <c:v>30436</c:v>
                </c:pt>
                <c:pt idx="29">
                  <c:v>30467</c:v>
                </c:pt>
                <c:pt idx="30">
                  <c:v>30497</c:v>
                </c:pt>
                <c:pt idx="31">
                  <c:v>30528</c:v>
                </c:pt>
                <c:pt idx="32">
                  <c:v>30559</c:v>
                </c:pt>
                <c:pt idx="33">
                  <c:v>30589</c:v>
                </c:pt>
                <c:pt idx="34">
                  <c:v>30620</c:v>
                </c:pt>
                <c:pt idx="35">
                  <c:v>30650</c:v>
                </c:pt>
                <c:pt idx="36">
                  <c:v>30681</c:v>
                </c:pt>
                <c:pt idx="37">
                  <c:v>30712</c:v>
                </c:pt>
                <c:pt idx="38">
                  <c:v>30741</c:v>
                </c:pt>
                <c:pt idx="39">
                  <c:v>30772</c:v>
                </c:pt>
                <c:pt idx="40">
                  <c:v>30802</c:v>
                </c:pt>
                <c:pt idx="41">
                  <c:v>30833</c:v>
                </c:pt>
                <c:pt idx="42">
                  <c:v>30863</c:v>
                </c:pt>
                <c:pt idx="43">
                  <c:v>30894</c:v>
                </c:pt>
                <c:pt idx="44">
                  <c:v>30925</c:v>
                </c:pt>
                <c:pt idx="45">
                  <c:v>30955</c:v>
                </c:pt>
                <c:pt idx="46">
                  <c:v>30986</c:v>
                </c:pt>
                <c:pt idx="47">
                  <c:v>31016</c:v>
                </c:pt>
                <c:pt idx="48">
                  <c:v>31047</c:v>
                </c:pt>
                <c:pt idx="49">
                  <c:v>31078</c:v>
                </c:pt>
                <c:pt idx="50">
                  <c:v>31106</c:v>
                </c:pt>
                <c:pt idx="51">
                  <c:v>31137</c:v>
                </c:pt>
                <c:pt idx="52">
                  <c:v>31167</c:v>
                </c:pt>
                <c:pt idx="53">
                  <c:v>31198</c:v>
                </c:pt>
                <c:pt idx="54">
                  <c:v>31228</c:v>
                </c:pt>
                <c:pt idx="55">
                  <c:v>31259</c:v>
                </c:pt>
                <c:pt idx="56">
                  <c:v>31290</c:v>
                </c:pt>
                <c:pt idx="57">
                  <c:v>31320</c:v>
                </c:pt>
                <c:pt idx="58">
                  <c:v>31351</c:v>
                </c:pt>
                <c:pt idx="59">
                  <c:v>31381</c:v>
                </c:pt>
                <c:pt idx="60">
                  <c:v>31412</c:v>
                </c:pt>
                <c:pt idx="61">
                  <c:v>31443</c:v>
                </c:pt>
                <c:pt idx="62">
                  <c:v>31471</c:v>
                </c:pt>
                <c:pt idx="63">
                  <c:v>31502</c:v>
                </c:pt>
                <c:pt idx="64">
                  <c:v>31532</c:v>
                </c:pt>
                <c:pt idx="65">
                  <c:v>31563</c:v>
                </c:pt>
                <c:pt idx="66">
                  <c:v>31593</c:v>
                </c:pt>
                <c:pt idx="67">
                  <c:v>31624</c:v>
                </c:pt>
                <c:pt idx="68">
                  <c:v>31655</c:v>
                </c:pt>
                <c:pt idx="69">
                  <c:v>31685</c:v>
                </c:pt>
                <c:pt idx="70">
                  <c:v>31716</c:v>
                </c:pt>
                <c:pt idx="71">
                  <c:v>31746</c:v>
                </c:pt>
                <c:pt idx="72">
                  <c:v>31777</c:v>
                </c:pt>
                <c:pt idx="73">
                  <c:v>31808</c:v>
                </c:pt>
                <c:pt idx="74">
                  <c:v>31836</c:v>
                </c:pt>
                <c:pt idx="75">
                  <c:v>31867</c:v>
                </c:pt>
                <c:pt idx="76">
                  <c:v>31897</c:v>
                </c:pt>
                <c:pt idx="77">
                  <c:v>31928</c:v>
                </c:pt>
                <c:pt idx="78">
                  <c:v>31958</c:v>
                </c:pt>
                <c:pt idx="79">
                  <c:v>31989</c:v>
                </c:pt>
                <c:pt idx="80">
                  <c:v>32020</c:v>
                </c:pt>
                <c:pt idx="81">
                  <c:v>32050</c:v>
                </c:pt>
                <c:pt idx="82">
                  <c:v>32081</c:v>
                </c:pt>
                <c:pt idx="83">
                  <c:v>32111</c:v>
                </c:pt>
                <c:pt idx="84">
                  <c:v>32142</c:v>
                </c:pt>
                <c:pt idx="85">
                  <c:v>32173</c:v>
                </c:pt>
                <c:pt idx="86">
                  <c:v>32202</c:v>
                </c:pt>
                <c:pt idx="87">
                  <c:v>32233</c:v>
                </c:pt>
                <c:pt idx="88">
                  <c:v>32263</c:v>
                </c:pt>
                <c:pt idx="89">
                  <c:v>32294</c:v>
                </c:pt>
                <c:pt idx="90">
                  <c:v>32324</c:v>
                </c:pt>
                <c:pt idx="91">
                  <c:v>32355</c:v>
                </c:pt>
                <c:pt idx="92">
                  <c:v>32386</c:v>
                </c:pt>
                <c:pt idx="93">
                  <c:v>32416</c:v>
                </c:pt>
                <c:pt idx="94">
                  <c:v>32447</c:v>
                </c:pt>
                <c:pt idx="95">
                  <c:v>32477</c:v>
                </c:pt>
                <c:pt idx="96">
                  <c:v>32508</c:v>
                </c:pt>
                <c:pt idx="97">
                  <c:v>32539</c:v>
                </c:pt>
                <c:pt idx="98">
                  <c:v>32567</c:v>
                </c:pt>
                <c:pt idx="99">
                  <c:v>32598</c:v>
                </c:pt>
                <c:pt idx="100">
                  <c:v>32628</c:v>
                </c:pt>
                <c:pt idx="101">
                  <c:v>32659</c:v>
                </c:pt>
                <c:pt idx="102">
                  <c:v>32689</c:v>
                </c:pt>
                <c:pt idx="103">
                  <c:v>32720</c:v>
                </c:pt>
                <c:pt idx="104">
                  <c:v>32751</c:v>
                </c:pt>
                <c:pt idx="105">
                  <c:v>32781</c:v>
                </c:pt>
                <c:pt idx="106">
                  <c:v>32812</c:v>
                </c:pt>
                <c:pt idx="107">
                  <c:v>32842</c:v>
                </c:pt>
                <c:pt idx="108">
                  <c:v>32873</c:v>
                </c:pt>
                <c:pt idx="109">
                  <c:v>32904</c:v>
                </c:pt>
                <c:pt idx="110">
                  <c:v>32932</c:v>
                </c:pt>
                <c:pt idx="111">
                  <c:v>32963</c:v>
                </c:pt>
                <c:pt idx="112">
                  <c:v>32993</c:v>
                </c:pt>
                <c:pt idx="113">
                  <c:v>33024</c:v>
                </c:pt>
                <c:pt idx="114">
                  <c:v>33054</c:v>
                </c:pt>
                <c:pt idx="115">
                  <c:v>33085</c:v>
                </c:pt>
                <c:pt idx="116">
                  <c:v>33116</c:v>
                </c:pt>
                <c:pt idx="117">
                  <c:v>33146</c:v>
                </c:pt>
                <c:pt idx="118">
                  <c:v>33177</c:v>
                </c:pt>
                <c:pt idx="119">
                  <c:v>33207</c:v>
                </c:pt>
                <c:pt idx="120">
                  <c:v>33238</c:v>
                </c:pt>
                <c:pt idx="121">
                  <c:v>33269</c:v>
                </c:pt>
                <c:pt idx="122">
                  <c:v>33297</c:v>
                </c:pt>
                <c:pt idx="123">
                  <c:v>33328</c:v>
                </c:pt>
                <c:pt idx="124">
                  <c:v>33358</c:v>
                </c:pt>
                <c:pt idx="125">
                  <c:v>33389</c:v>
                </c:pt>
                <c:pt idx="126">
                  <c:v>33419</c:v>
                </c:pt>
                <c:pt idx="127">
                  <c:v>33450</c:v>
                </c:pt>
                <c:pt idx="128">
                  <c:v>33481</c:v>
                </c:pt>
                <c:pt idx="129">
                  <c:v>33511</c:v>
                </c:pt>
                <c:pt idx="130">
                  <c:v>33542</c:v>
                </c:pt>
                <c:pt idx="131">
                  <c:v>33572</c:v>
                </c:pt>
                <c:pt idx="132">
                  <c:v>33603</c:v>
                </c:pt>
                <c:pt idx="133">
                  <c:v>33634</c:v>
                </c:pt>
                <c:pt idx="134">
                  <c:v>33663</c:v>
                </c:pt>
                <c:pt idx="135">
                  <c:v>33694</c:v>
                </c:pt>
                <c:pt idx="136">
                  <c:v>33724</c:v>
                </c:pt>
                <c:pt idx="137">
                  <c:v>33755</c:v>
                </c:pt>
                <c:pt idx="138">
                  <c:v>33785</c:v>
                </c:pt>
                <c:pt idx="139">
                  <c:v>33816</c:v>
                </c:pt>
                <c:pt idx="140">
                  <c:v>33847</c:v>
                </c:pt>
                <c:pt idx="141">
                  <c:v>33877</c:v>
                </c:pt>
                <c:pt idx="142">
                  <c:v>33908</c:v>
                </c:pt>
                <c:pt idx="143">
                  <c:v>33938</c:v>
                </c:pt>
                <c:pt idx="144">
                  <c:v>33969</c:v>
                </c:pt>
                <c:pt idx="145">
                  <c:v>34000</c:v>
                </c:pt>
                <c:pt idx="146">
                  <c:v>34028</c:v>
                </c:pt>
                <c:pt idx="147">
                  <c:v>34059</c:v>
                </c:pt>
                <c:pt idx="148">
                  <c:v>34089</c:v>
                </c:pt>
                <c:pt idx="149">
                  <c:v>34120</c:v>
                </c:pt>
                <c:pt idx="150">
                  <c:v>34150</c:v>
                </c:pt>
                <c:pt idx="151">
                  <c:v>34181</c:v>
                </c:pt>
                <c:pt idx="152">
                  <c:v>34212</c:v>
                </c:pt>
                <c:pt idx="153">
                  <c:v>34242</c:v>
                </c:pt>
                <c:pt idx="154">
                  <c:v>34273</c:v>
                </c:pt>
                <c:pt idx="155">
                  <c:v>34303</c:v>
                </c:pt>
                <c:pt idx="156">
                  <c:v>34334</c:v>
                </c:pt>
                <c:pt idx="157">
                  <c:v>34365</c:v>
                </c:pt>
                <c:pt idx="158">
                  <c:v>34393</c:v>
                </c:pt>
                <c:pt idx="159">
                  <c:v>34424</c:v>
                </c:pt>
                <c:pt idx="160">
                  <c:v>34454</c:v>
                </c:pt>
                <c:pt idx="161">
                  <c:v>34485</c:v>
                </c:pt>
                <c:pt idx="162">
                  <c:v>34515</c:v>
                </c:pt>
                <c:pt idx="163">
                  <c:v>34546</c:v>
                </c:pt>
                <c:pt idx="164">
                  <c:v>34577</c:v>
                </c:pt>
                <c:pt idx="165">
                  <c:v>34607</c:v>
                </c:pt>
                <c:pt idx="166">
                  <c:v>34638</c:v>
                </c:pt>
                <c:pt idx="167">
                  <c:v>34668</c:v>
                </c:pt>
                <c:pt idx="168">
                  <c:v>34699</c:v>
                </c:pt>
                <c:pt idx="169">
                  <c:v>34730</c:v>
                </c:pt>
                <c:pt idx="170">
                  <c:v>34758</c:v>
                </c:pt>
                <c:pt idx="171">
                  <c:v>34789</c:v>
                </c:pt>
                <c:pt idx="172">
                  <c:v>34819</c:v>
                </c:pt>
                <c:pt idx="173">
                  <c:v>34850</c:v>
                </c:pt>
                <c:pt idx="174">
                  <c:v>34880</c:v>
                </c:pt>
                <c:pt idx="175">
                  <c:v>34911</c:v>
                </c:pt>
                <c:pt idx="176">
                  <c:v>34942</c:v>
                </c:pt>
                <c:pt idx="177">
                  <c:v>34972</c:v>
                </c:pt>
                <c:pt idx="178">
                  <c:v>35003</c:v>
                </c:pt>
                <c:pt idx="179">
                  <c:v>35033</c:v>
                </c:pt>
                <c:pt idx="180">
                  <c:v>35064</c:v>
                </c:pt>
                <c:pt idx="181">
                  <c:v>35095</c:v>
                </c:pt>
                <c:pt idx="182">
                  <c:v>35124</c:v>
                </c:pt>
                <c:pt idx="183">
                  <c:v>35155</c:v>
                </c:pt>
                <c:pt idx="184">
                  <c:v>35185</c:v>
                </c:pt>
                <c:pt idx="185">
                  <c:v>35216</c:v>
                </c:pt>
                <c:pt idx="186">
                  <c:v>35246</c:v>
                </c:pt>
                <c:pt idx="187">
                  <c:v>35277</c:v>
                </c:pt>
                <c:pt idx="188">
                  <c:v>35308</c:v>
                </c:pt>
                <c:pt idx="189">
                  <c:v>35338</c:v>
                </c:pt>
                <c:pt idx="190">
                  <c:v>35369</c:v>
                </c:pt>
                <c:pt idx="191">
                  <c:v>35399</c:v>
                </c:pt>
                <c:pt idx="192">
                  <c:v>35430</c:v>
                </c:pt>
                <c:pt idx="193">
                  <c:v>35461</c:v>
                </c:pt>
                <c:pt idx="194">
                  <c:v>35489</c:v>
                </c:pt>
                <c:pt idx="195">
                  <c:v>35520</c:v>
                </c:pt>
                <c:pt idx="196">
                  <c:v>35550</c:v>
                </c:pt>
                <c:pt idx="197">
                  <c:v>35581</c:v>
                </c:pt>
                <c:pt idx="198">
                  <c:v>35611</c:v>
                </c:pt>
                <c:pt idx="199">
                  <c:v>35642</c:v>
                </c:pt>
                <c:pt idx="200">
                  <c:v>35673</c:v>
                </c:pt>
                <c:pt idx="201">
                  <c:v>35703</c:v>
                </c:pt>
                <c:pt idx="202">
                  <c:v>35734</c:v>
                </c:pt>
                <c:pt idx="203">
                  <c:v>35764</c:v>
                </c:pt>
                <c:pt idx="204">
                  <c:v>35795</c:v>
                </c:pt>
                <c:pt idx="205">
                  <c:v>35826</c:v>
                </c:pt>
                <c:pt idx="206">
                  <c:v>35854</c:v>
                </c:pt>
                <c:pt idx="207">
                  <c:v>35885</c:v>
                </c:pt>
                <c:pt idx="208">
                  <c:v>35915</c:v>
                </c:pt>
                <c:pt idx="209">
                  <c:v>35946</c:v>
                </c:pt>
                <c:pt idx="210">
                  <c:v>35976</c:v>
                </c:pt>
                <c:pt idx="211">
                  <c:v>36007</c:v>
                </c:pt>
                <c:pt idx="212">
                  <c:v>36038</c:v>
                </c:pt>
                <c:pt idx="213">
                  <c:v>36068</c:v>
                </c:pt>
                <c:pt idx="214">
                  <c:v>36099</c:v>
                </c:pt>
                <c:pt idx="215">
                  <c:v>36129</c:v>
                </c:pt>
                <c:pt idx="216">
                  <c:v>36160</c:v>
                </c:pt>
                <c:pt idx="217">
                  <c:v>36191</c:v>
                </c:pt>
                <c:pt idx="218">
                  <c:v>36219</c:v>
                </c:pt>
                <c:pt idx="219">
                  <c:v>36250</c:v>
                </c:pt>
                <c:pt idx="220">
                  <c:v>36280</c:v>
                </c:pt>
                <c:pt idx="221">
                  <c:v>36311</c:v>
                </c:pt>
                <c:pt idx="222">
                  <c:v>36341</c:v>
                </c:pt>
                <c:pt idx="223">
                  <c:v>36372</c:v>
                </c:pt>
                <c:pt idx="224">
                  <c:v>36403</c:v>
                </c:pt>
                <c:pt idx="225">
                  <c:v>36433</c:v>
                </c:pt>
                <c:pt idx="226">
                  <c:v>36464</c:v>
                </c:pt>
                <c:pt idx="227">
                  <c:v>36494</c:v>
                </c:pt>
                <c:pt idx="228">
                  <c:v>36525</c:v>
                </c:pt>
                <c:pt idx="229">
                  <c:v>36556</c:v>
                </c:pt>
                <c:pt idx="230">
                  <c:v>36585</c:v>
                </c:pt>
                <c:pt idx="231">
                  <c:v>36616</c:v>
                </c:pt>
                <c:pt idx="232">
                  <c:v>36646</c:v>
                </c:pt>
                <c:pt idx="233">
                  <c:v>36677</c:v>
                </c:pt>
                <c:pt idx="234">
                  <c:v>36707</c:v>
                </c:pt>
                <c:pt idx="235">
                  <c:v>36738</c:v>
                </c:pt>
                <c:pt idx="236">
                  <c:v>36769</c:v>
                </c:pt>
                <c:pt idx="237">
                  <c:v>36799</c:v>
                </c:pt>
                <c:pt idx="238">
                  <c:v>36830</c:v>
                </c:pt>
                <c:pt idx="239">
                  <c:v>36860</c:v>
                </c:pt>
                <c:pt idx="240">
                  <c:v>36891</c:v>
                </c:pt>
                <c:pt idx="241">
                  <c:v>36922</c:v>
                </c:pt>
                <c:pt idx="242">
                  <c:v>36950</c:v>
                </c:pt>
                <c:pt idx="243">
                  <c:v>36981</c:v>
                </c:pt>
                <c:pt idx="244">
                  <c:v>37011</c:v>
                </c:pt>
                <c:pt idx="245">
                  <c:v>37042</c:v>
                </c:pt>
                <c:pt idx="246">
                  <c:v>37072</c:v>
                </c:pt>
                <c:pt idx="247">
                  <c:v>37103</c:v>
                </c:pt>
                <c:pt idx="248">
                  <c:v>37134</c:v>
                </c:pt>
                <c:pt idx="249">
                  <c:v>37164</c:v>
                </c:pt>
                <c:pt idx="250">
                  <c:v>37195</c:v>
                </c:pt>
                <c:pt idx="251">
                  <c:v>37225</c:v>
                </c:pt>
                <c:pt idx="252">
                  <c:v>37256</c:v>
                </c:pt>
                <c:pt idx="253">
                  <c:v>37287</c:v>
                </c:pt>
                <c:pt idx="254">
                  <c:v>37315</c:v>
                </c:pt>
                <c:pt idx="255">
                  <c:v>37346</c:v>
                </c:pt>
                <c:pt idx="256">
                  <c:v>37376</c:v>
                </c:pt>
                <c:pt idx="257">
                  <c:v>37407</c:v>
                </c:pt>
                <c:pt idx="258">
                  <c:v>37437</c:v>
                </c:pt>
                <c:pt idx="259">
                  <c:v>37468</c:v>
                </c:pt>
                <c:pt idx="260">
                  <c:v>37499</c:v>
                </c:pt>
                <c:pt idx="261">
                  <c:v>37529</c:v>
                </c:pt>
                <c:pt idx="262">
                  <c:v>37560</c:v>
                </c:pt>
                <c:pt idx="263">
                  <c:v>37590</c:v>
                </c:pt>
                <c:pt idx="264">
                  <c:v>37621</c:v>
                </c:pt>
                <c:pt idx="265">
                  <c:v>37652</c:v>
                </c:pt>
                <c:pt idx="266">
                  <c:v>37680</c:v>
                </c:pt>
                <c:pt idx="267">
                  <c:v>37711</c:v>
                </c:pt>
                <c:pt idx="268">
                  <c:v>37741</c:v>
                </c:pt>
                <c:pt idx="269">
                  <c:v>37772</c:v>
                </c:pt>
                <c:pt idx="270">
                  <c:v>37802</c:v>
                </c:pt>
                <c:pt idx="271">
                  <c:v>37833</c:v>
                </c:pt>
                <c:pt idx="272">
                  <c:v>37864</c:v>
                </c:pt>
                <c:pt idx="273">
                  <c:v>37894</c:v>
                </c:pt>
                <c:pt idx="274">
                  <c:v>37925</c:v>
                </c:pt>
                <c:pt idx="275">
                  <c:v>37955</c:v>
                </c:pt>
                <c:pt idx="276">
                  <c:v>37986</c:v>
                </c:pt>
                <c:pt idx="277">
                  <c:v>38017</c:v>
                </c:pt>
                <c:pt idx="278">
                  <c:v>38046</c:v>
                </c:pt>
                <c:pt idx="279">
                  <c:v>38077</c:v>
                </c:pt>
                <c:pt idx="280">
                  <c:v>38107</c:v>
                </c:pt>
                <c:pt idx="281">
                  <c:v>38138</c:v>
                </c:pt>
                <c:pt idx="282">
                  <c:v>38168</c:v>
                </c:pt>
                <c:pt idx="283">
                  <c:v>38199</c:v>
                </c:pt>
                <c:pt idx="284">
                  <c:v>38230</c:v>
                </c:pt>
                <c:pt idx="285">
                  <c:v>38260</c:v>
                </c:pt>
                <c:pt idx="286">
                  <c:v>38291</c:v>
                </c:pt>
                <c:pt idx="287">
                  <c:v>38321</c:v>
                </c:pt>
                <c:pt idx="288">
                  <c:v>38352</c:v>
                </c:pt>
                <c:pt idx="289">
                  <c:v>38383</c:v>
                </c:pt>
                <c:pt idx="290">
                  <c:v>38411</c:v>
                </c:pt>
                <c:pt idx="291">
                  <c:v>38442</c:v>
                </c:pt>
                <c:pt idx="292">
                  <c:v>38472</c:v>
                </c:pt>
                <c:pt idx="293">
                  <c:v>38503</c:v>
                </c:pt>
                <c:pt idx="294">
                  <c:v>38533</c:v>
                </c:pt>
                <c:pt idx="295">
                  <c:v>38564</c:v>
                </c:pt>
                <c:pt idx="296">
                  <c:v>38595</c:v>
                </c:pt>
                <c:pt idx="297">
                  <c:v>38625</c:v>
                </c:pt>
                <c:pt idx="298">
                  <c:v>38656</c:v>
                </c:pt>
                <c:pt idx="299">
                  <c:v>38686</c:v>
                </c:pt>
                <c:pt idx="300">
                  <c:v>38717</c:v>
                </c:pt>
                <c:pt idx="301">
                  <c:v>38748</c:v>
                </c:pt>
                <c:pt idx="302">
                  <c:v>38776</c:v>
                </c:pt>
                <c:pt idx="303">
                  <c:v>38807</c:v>
                </c:pt>
                <c:pt idx="304">
                  <c:v>38837</c:v>
                </c:pt>
                <c:pt idx="305">
                  <c:v>38868</c:v>
                </c:pt>
                <c:pt idx="306">
                  <c:v>38898</c:v>
                </c:pt>
                <c:pt idx="307">
                  <c:v>38929</c:v>
                </c:pt>
                <c:pt idx="308">
                  <c:v>38960</c:v>
                </c:pt>
                <c:pt idx="309">
                  <c:v>38990</c:v>
                </c:pt>
                <c:pt idx="310">
                  <c:v>39021</c:v>
                </c:pt>
                <c:pt idx="311">
                  <c:v>39051</c:v>
                </c:pt>
                <c:pt idx="312">
                  <c:v>39082</c:v>
                </c:pt>
                <c:pt idx="313">
                  <c:v>39113</c:v>
                </c:pt>
                <c:pt idx="314">
                  <c:v>39141</c:v>
                </c:pt>
                <c:pt idx="315">
                  <c:v>39172</c:v>
                </c:pt>
                <c:pt idx="316">
                  <c:v>39202</c:v>
                </c:pt>
                <c:pt idx="317">
                  <c:v>39233</c:v>
                </c:pt>
                <c:pt idx="318">
                  <c:v>39263</c:v>
                </c:pt>
                <c:pt idx="319">
                  <c:v>39294</c:v>
                </c:pt>
                <c:pt idx="320">
                  <c:v>39325</c:v>
                </c:pt>
                <c:pt idx="321">
                  <c:v>39355</c:v>
                </c:pt>
                <c:pt idx="322">
                  <c:v>39386</c:v>
                </c:pt>
                <c:pt idx="323">
                  <c:v>39416</c:v>
                </c:pt>
                <c:pt idx="324">
                  <c:v>39447</c:v>
                </c:pt>
                <c:pt idx="325">
                  <c:v>39478</c:v>
                </c:pt>
                <c:pt idx="326">
                  <c:v>39507</c:v>
                </c:pt>
                <c:pt idx="327">
                  <c:v>39538</c:v>
                </c:pt>
                <c:pt idx="328">
                  <c:v>39568</c:v>
                </c:pt>
                <c:pt idx="329">
                  <c:v>39599</c:v>
                </c:pt>
                <c:pt idx="330">
                  <c:v>39629</c:v>
                </c:pt>
                <c:pt idx="331">
                  <c:v>39660</c:v>
                </c:pt>
                <c:pt idx="332">
                  <c:v>39691</c:v>
                </c:pt>
              </c:numCache>
            </c:numRef>
          </c:cat>
          <c:val>
            <c:numRef>
              <c:f>'Returns Value_Growth'!$Y$68:$Y$400</c:f>
              <c:numCache>
                <c:formatCode>0.00</c:formatCode>
                <c:ptCount val="333"/>
                <c:pt idx="0">
                  <c:v>-5.2211991597710394</c:v>
                </c:pt>
                <c:pt idx="1">
                  <c:v>-2.3647218269652992</c:v>
                </c:pt>
                <c:pt idx="2">
                  <c:v>-0.30520017577968517</c:v>
                </c:pt>
                <c:pt idx="3">
                  <c:v>0.63998859082025916</c:v>
                </c:pt>
                <c:pt idx="4">
                  <c:v>8.3448409348274595</c:v>
                </c:pt>
                <c:pt idx="5">
                  <c:v>9.2168229056886357</c:v>
                </c:pt>
                <c:pt idx="6">
                  <c:v>11.408934034413921</c:v>
                </c:pt>
                <c:pt idx="7">
                  <c:v>11.565709265388435</c:v>
                </c:pt>
                <c:pt idx="8">
                  <c:v>11.221338605045549</c:v>
                </c:pt>
                <c:pt idx="9">
                  <c:v>13.633042952325514</c:v>
                </c:pt>
                <c:pt idx="10">
                  <c:v>16.618427837117789</c:v>
                </c:pt>
                <c:pt idx="11">
                  <c:v>22.087831909433621</c:v>
                </c:pt>
                <c:pt idx="12">
                  <c:v>17.090912984639338</c:v>
                </c:pt>
                <c:pt idx="13">
                  <c:v>15.734194760884968</c:v>
                </c:pt>
                <c:pt idx="14">
                  <c:v>16.313851672831525</c:v>
                </c:pt>
                <c:pt idx="15">
                  <c:v>11.480564520712822</c:v>
                </c:pt>
                <c:pt idx="16">
                  <c:v>7.2990423234328912</c:v>
                </c:pt>
                <c:pt idx="17">
                  <c:v>6.6338094153658211</c:v>
                </c:pt>
                <c:pt idx="18">
                  <c:v>2.664419431847973</c:v>
                </c:pt>
                <c:pt idx="19">
                  <c:v>0.31881764182338657</c:v>
                </c:pt>
                <c:pt idx="20">
                  <c:v>1.1878728402232142</c:v>
                </c:pt>
                <c:pt idx="21">
                  <c:v>-1.9743986250387859</c:v>
                </c:pt>
                <c:pt idx="22">
                  <c:v>-1.0048873146584647</c:v>
                </c:pt>
                <c:pt idx="23">
                  <c:v>-0.77941696743917177</c:v>
                </c:pt>
                <c:pt idx="24">
                  <c:v>3.02779994972322</c:v>
                </c:pt>
                <c:pt idx="25">
                  <c:v>4.3708924928430815</c:v>
                </c:pt>
                <c:pt idx="26">
                  <c:v>2.6802590584242836</c:v>
                </c:pt>
                <c:pt idx="27">
                  <c:v>5.9210336946906814</c:v>
                </c:pt>
                <c:pt idx="28">
                  <c:v>4.8321502858133858</c:v>
                </c:pt>
                <c:pt idx="29">
                  <c:v>4.8826893427717195</c:v>
                </c:pt>
                <c:pt idx="30">
                  <c:v>7.6647149468003448</c:v>
                </c:pt>
                <c:pt idx="31">
                  <c:v>9.2581205214456546</c:v>
                </c:pt>
                <c:pt idx="32">
                  <c:v>9.2046294092394056</c:v>
                </c:pt>
                <c:pt idx="33">
                  <c:v>13.53648059540884</c:v>
                </c:pt>
                <c:pt idx="34">
                  <c:v>11.417634906703245</c:v>
                </c:pt>
                <c:pt idx="35">
                  <c:v>7.0328272080939982</c:v>
                </c:pt>
                <c:pt idx="36">
                  <c:v>4.2407655977530609</c:v>
                </c:pt>
                <c:pt idx="37">
                  <c:v>5.118680766299466</c:v>
                </c:pt>
                <c:pt idx="38">
                  <c:v>4.00367644425328</c:v>
                </c:pt>
                <c:pt idx="39">
                  <c:v>-3.5150177328975332</c:v>
                </c:pt>
                <c:pt idx="40">
                  <c:v>-2.6357101071496274</c:v>
                </c:pt>
                <c:pt idx="41">
                  <c:v>0.85791701703494816</c:v>
                </c:pt>
                <c:pt idx="42">
                  <c:v>-1.9477048968534536</c:v>
                </c:pt>
                <c:pt idx="43">
                  <c:v>0.38583523129172015</c:v>
                </c:pt>
                <c:pt idx="44">
                  <c:v>-0.77627313255530339</c:v>
                </c:pt>
                <c:pt idx="45">
                  <c:v>-2.9751839732322436</c:v>
                </c:pt>
                <c:pt idx="46">
                  <c:v>-7.3847344087430109</c:v>
                </c:pt>
                <c:pt idx="47">
                  <c:v>-7.9196270588909998</c:v>
                </c:pt>
                <c:pt idx="48">
                  <c:v>-9.0269619266084575</c:v>
                </c:pt>
                <c:pt idx="49">
                  <c:v>-10.29186494355314</c:v>
                </c:pt>
                <c:pt idx="50">
                  <c:v>-11.727874375168511</c:v>
                </c:pt>
                <c:pt idx="51">
                  <c:v>-8.0599823377645592</c:v>
                </c:pt>
                <c:pt idx="52">
                  <c:v>-6.8175389883063708</c:v>
                </c:pt>
                <c:pt idx="53">
                  <c:v>-11.106666508539599</c:v>
                </c:pt>
                <c:pt idx="54">
                  <c:v>-8.8566479052690141</c:v>
                </c:pt>
                <c:pt idx="55">
                  <c:v>-10.986848423831219</c:v>
                </c:pt>
                <c:pt idx="56">
                  <c:v>-6.7226196373593439</c:v>
                </c:pt>
                <c:pt idx="57">
                  <c:v>-0.58746313738937772</c:v>
                </c:pt>
                <c:pt idx="58">
                  <c:v>4.3267354127494428</c:v>
                </c:pt>
                <c:pt idx="59">
                  <c:v>9.1077036819295856</c:v>
                </c:pt>
                <c:pt idx="60">
                  <c:v>11.533677324067803</c:v>
                </c:pt>
                <c:pt idx="61">
                  <c:v>11.562870331940807</c:v>
                </c:pt>
                <c:pt idx="62">
                  <c:v>15.685643566768135</c:v>
                </c:pt>
                <c:pt idx="63">
                  <c:v>15.47749443575448</c:v>
                </c:pt>
                <c:pt idx="64">
                  <c:v>20.38156225563138</c:v>
                </c:pt>
                <c:pt idx="65">
                  <c:v>16.108488044730365</c:v>
                </c:pt>
                <c:pt idx="66">
                  <c:v>18.406934293737066</c:v>
                </c:pt>
                <c:pt idx="67">
                  <c:v>6.3042260283959735</c:v>
                </c:pt>
                <c:pt idx="68">
                  <c:v>7.0352613109750735</c:v>
                </c:pt>
                <c:pt idx="69">
                  <c:v>0.36594004969508376</c:v>
                </c:pt>
                <c:pt idx="70">
                  <c:v>4.7447590608907078</c:v>
                </c:pt>
                <c:pt idx="71">
                  <c:v>1.0338704132872465</c:v>
                </c:pt>
                <c:pt idx="72">
                  <c:v>-1.827405697416296</c:v>
                </c:pt>
                <c:pt idx="73">
                  <c:v>-18.356246692412554</c:v>
                </c:pt>
                <c:pt idx="74">
                  <c:v>-15.479908069453558</c:v>
                </c:pt>
                <c:pt idx="75">
                  <c:v>-20.173347902288221</c:v>
                </c:pt>
                <c:pt idx="76">
                  <c:v>-32.544575302629681</c:v>
                </c:pt>
                <c:pt idx="77">
                  <c:v>-19.771628550565154</c:v>
                </c:pt>
                <c:pt idx="78">
                  <c:v>-8.6842223280911384</c:v>
                </c:pt>
                <c:pt idx="79">
                  <c:v>5.0751193419372953</c:v>
                </c:pt>
                <c:pt idx="80">
                  <c:v>-2.7035086331142821</c:v>
                </c:pt>
                <c:pt idx="81">
                  <c:v>5.5820091259970894</c:v>
                </c:pt>
                <c:pt idx="82">
                  <c:v>1.7668438184208526</c:v>
                </c:pt>
                <c:pt idx="83">
                  <c:v>4.2857085498301259</c:v>
                </c:pt>
                <c:pt idx="84">
                  <c:v>10.033354920960733</c:v>
                </c:pt>
                <c:pt idx="85">
                  <c:v>16.828033660918365</c:v>
                </c:pt>
                <c:pt idx="86">
                  <c:v>16.23940501040153</c:v>
                </c:pt>
                <c:pt idx="87">
                  <c:v>23.68025977930921</c:v>
                </c:pt>
                <c:pt idx="88">
                  <c:v>28.129308136908925</c:v>
                </c:pt>
                <c:pt idx="89">
                  <c:v>22.088018686173939</c:v>
                </c:pt>
                <c:pt idx="90">
                  <c:v>17.415210294252372</c:v>
                </c:pt>
                <c:pt idx="91">
                  <c:v>18.626896078918321</c:v>
                </c:pt>
                <c:pt idx="92">
                  <c:v>16.8163368114453</c:v>
                </c:pt>
                <c:pt idx="93">
                  <c:v>10.456879415849119</c:v>
                </c:pt>
                <c:pt idx="94">
                  <c:v>10.609768179673495</c:v>
                </c:pt>
                <c:pt idx="95">
                  <c:v>8.9194370544072967</c:v>
                </c:pt>
                <c:pt idx="96">
                  <c:v>4.1035300849298757</c:v>
                </c:pt>
                <c:pt idx="97">
                  <c:v>8.8968039255417963</c:v>
                </c:pt>
                <c:pt idx="98">
                  <c:v>10.803101949580363</c:v>
                </c:pt>
                <c:pt idx="99">
                  <c:v>8.4153448304720833</c:v>
                </c:pt>
                <c:pt idx="100">
                  <c:v>6.8838792676069618</c:v>
                </c:pt>
                <c:pt idx="101">
                  <c:v>7.1303979207210091</c:v>
                </c:pt>
                <c:pt idx="102">
                  <c:v>5.4922204757374979</c:v>
                </c:pt>
                <c:pt idx="103">
                  <c:v>0.26359878314821117</c:v>
                </c:pt>
                <c:pt idx="104">
                  <c:v>3.9500873483090366</c:v>
                </c:pt>
                <c:pt idx="105">
                  <c:v>6.6448614184381647</c:v>
                </c:pt>
                <c:pt idx="106">
                  <c:v>8.3298129825435829</c:v>
                </c:pt>
                <c:pt idx="107">
                  <c:v>7.759395548806669</c:v>
                </c:pt>
                <c:pt idx="108">
                  <c:v>8.7445855587557908</c:v>
                </c:pt>
                <c:pt idx="109">
                  <c:v>8.3493615751507377</c:v>
                </c:pt>
                <c:pt idx="110">
                  <c:v>7.8453996064293374</c:v>
                </c:pt>
                <c:pt idx="111">
                  <c:v>9.3817953540500483</c:v>
                </c:pt>
                <c:pt idx="112">
                  <c:v>8.5618608277207446</c:v>
                </c:pt>
                <c:pt idx="113">
                  <c:v>5.9972909034661566</c:v>
                </c:pt>
                <c:pt idx="114">
                  <c:v>6.4534437455450844</c:v>
                </c:pt>
                <c:pt idx="115">
                  <c:v>7.8347889625274281</c:v>
                </c:pt>
                <c:pt idx="116">
                  <c:v>6.4442290435232188</c:v>
                </c:pt>
                <c:pt idx="117">
                  <c:v>6.819903106778014</c:v>
                </c:pt>
                <c:pt idx="118">
                  <c:v>5.1301495535662998</c:v>
                </c:pt>
                <c:pt idx="119">
                  <c:v>5.320910497496147</c:v>
                </c:pt>
                <c:pt idx="120">
                  <c:v>3.5526901017734467</c:v>
                </c:pt>
                <c:pt idx="121">
                  <c:v>1.6945621749495992</c:v>
                </c:pt>
                <c:pt idx="122">
                  <c:v>1.8196264738502776</c:v>
                </c:pt>
                <c:pt idx="123">
                  <c:v>-1.699933305425172</c:v>
                </c:pt>
                <c:pt idx="124">
                  <c:v>-2.3863300118324826</c:v>
                </c:pt>
                <c:pt idx="125">
                  <c:v>-0.6268975877293137</c:v>
                </c:pt>
                <c:pt idx="126">
                  <c:v>-1.3525505057402007</c:v>
                </c:pt>
                <c:pt idx="127">
                  <c:v>-0.97792813753387886</c:v>
                </c:pt>
                <c:pt idx="128">
                  <c:v>-0.90604133065801395</c:v>
                </c:pt>
                <c:pt idx="129">
                  <c:v>-3.2635531236191007</c:v>
                </c:pt>
                <c:pt idx="130">
                  <c:v>-2.4834343336728404</c:v>
                </c:pt>
                <c:pt idx="131">
                  <c:v>-4.8035567860684525</c:v>
                </c:pt>
                <c:pt idx="132">
                  <c:v>-3.5995297001297999</c:v>
                </c:pt>
                <c:pt idx="133">
                  <c:v>0.44767004587675796</c:v>
                </c:pt>
                <c:pt idx="134">
                  <c:v>-0.41090560271171928</c:v>
                </c:pt>
                <c:pt idx="135">
                  <c:v>0.51726255757712547</c:v>
                </c:pt>
                <c:pt idx="136">
                  <c:v>5.4253960881048942</c:v>
                </c:pt>
                <c:pt idx="137">
                  <c:v>4.6666967157913293</c:v>
                </c:pt>
                <c:pt idx="138">
                  <c:v>3.7678369260904399</c:v>
                </c:pt>
                <c:pt idx="139">
                  <c:v>0.74061556727372846</c:v>
                </c:pt>
                <c:pt idx="140">
                  <c:v>-1.8462908907787567</c:v>
                </c:pt>
                <c:pt idx="141">
                  <c:v>-2.5375410536733867</c:v>
                </c:pt>
                <c:pt idx="142">
                  <c:v>0.11085592871414995</c:v>
                </c:pt>
                <c:pt idx="143">
                  <c:v>1.4669137278756175</c:v>
                </c:pt>
                <c:pt idx="144">
                  <c:v>1.9938958404558615</c:v>
                </c:pt>
                <c:pt idx="145">
                  <c:v>1.2453899291518074</c:v>
                </c:pt>
                <c:pt idx="146">
                  <c:v>0.91636702650158597</c:v>
                </c:pt>
                <c:pt idx="147">
                  <c:v>4.2747092966329401</c:v>
                </c:pt>
                <c:pt idx="148">
                  <c:v>1.1692055343849326</c:v>
                </c:pt>
                <c:pt idx="149">
                  <c:v>0.92169581940886403</c:v>
                </c:pt>
                <c:pt idx="150">
                  <c:v>0.18330383168067854</c:v>
                </c:pt>
                <c:pt idx="151">
                  <c:v>4.0839235252554857</c:v>
                </c:pt>
                <c:pt idx="152">
                  <c:v>8.3443945511826776</c:v>
                </c:pt>
                <c:pt idx="153">
                  <c:v>8.4917057444713571</c:v>
                </c:pt>
                <c:pt idx="154">
                  <c:v>9.1589191661241429</c:v>
                </c:pt>
                <c:pt idx="155">
                  <c:v>12.247178458071438</c:v>
                </c:pt>
                <c:pt idx="156">
                  <c:v>14.974481224528333</c:v>
                </c:pt>
                <c:pt idx="157">
                  <c:v>15.979413986915553</c:v>
                </c:pt>
                <c:pt idx="158">
                  <c:v>16.30304171825891</c:v>
                </c:pt>
                <c:pt idx="159">
                  <c:v>12.202944410683305</c:v>
                </c:pt>
                <c:pt idx="160">
                  <c:v>8.955952170733152</c:v>
                </c:pt>
                <c:pt idx="161">
                  <c:v>11.916811535000283</c:v>
                </c:pt>
                <c:pt idx="162">
                  <c:v>14.878144019828389</c:v>
                </c:pt>
                <c:pt idx="163">
                  <c:v>13.438114359626805</c:v>
                </c:pt>
                <c:pt idx="164">
                  <c:v>12.66753884811631</c:v>
                </c:pt>
                <c:pt idx="165">
                  <c:v>12.570541893943108</c:v>
                </c:pt>
                <c:pt idx="166">
                  <c:v>13.885121458853767</c:v>
                </c:pt>
                <c:pt idx="167">
                  <c:v>11.136824558263857</c:v>
                </c:pt>
                <c:pt idx="168">
                  <c:v>6.6245362775617656</c:v>
                </c:pt>
                <c:pt idx="169">
                  <c:v>4.2956506238065577</c:v>
                </c:pt>
                <c:pt idx="170">
                  <c:v>2.9252047318125363</c:v>
                </c:pt>
                <c:pt idx="171">
                  <c:v>1.8006346247212424</c:v>
                </c:pt>
                <c:pt idx="172">
                  <c:v>0.20795806158981911</c:v>
                </c:pt>
                <c:pt idx="173">
                  <c:v>-1.1769177233692973</c:v>
                </c:pt>
                <c:pt idx="174">
                  <c:v>-1.4044738856167083</c:v>
                </c:pt>
                <c:pt idx="175">
                  <c:v>-1.9599129154054484</c:v>
                </c:pt>
                <c:pt idx="176">
                  <c:v>-1.1745565228208354</c:v>
                </c:pt>
                <c:pt idx="177">
                  <c:v>-2.2602845246886716</c:v>
                </c:pt>
                <c:pt idx="178">
                  <c:v>-3.1058244335336327</c:v>
                </c:pt>
                <c:pt idx="179">
                  <c:v>-2.5873795142957512</c:v>
                </c:pt>
                <c:pt idx="180">
                  <c:v>2.9815616104599485E-2</c:v>
                </c:pt>
                <c:pt idx="181">
                  <c:v>0.81668902005820243</c:v>
                </c:pt>
                <c:pt idx="182">
                  <c:v>1.4128148174235484</c:v>
                </c:pt>
                <c:pt idx="183">
                  <c:v>0.85772449747561019</c:v>
                </c:pt>
                <c:pt idx="184">
                  <c:v>3.3155328177246091</c:v>
                </c:pt>
                <c:pt idx="185">
                  <c:v>3.9375673197349137</c:v>
                </c:pt>
                <c:pt idx="186">
                  <c:v>4.0185389946379768</c:v>
                </c:pt>
                <c:pt idx="187">
                  <c:v>4.6492281364180821</c:v>
                </c:pt>
                <c:pt idx="188">
                  <c:v>4.2078217050238509</c:v>
                </c:pt>
                <c:pt idx="189">
                  <c:v>4.6044315642532299</c:v>
                </c:pt>
                <c:pt idx="190">
                  <c:v>4.1680691487385531</c:v>
                </c:pt>
                <c:pt idx="191">
                  <c:v>5.8656958464383244</c:v>
                </c:pt>
                <c:pt idx="192">
                  <c:v>5.5188520966963139</c:v>
                </c:pt>
                <c:pt idx="193">
                  <c:v>6.0925058621410511</c:v>
                </c:pt>
                <c:pt idx="194">
                  <c:v>6.3657136003707482</c:v>
                </c:pt>
                <c:pt idx="195">
                  <c:v>6.3199890705439632</c:v>
                </c:pt>
                <c:pt idx="196">
                  <c:v>4.3224891711165174</c:v>
                </c:pt>
                <c:pt idx="197">
                  <c:v>5.453205256662331</c:v>
                </c:pt>
                <c:pt idx="198">
                  <c:v>4.2925173692385243</c:v>
                </c:pt>
                <c:pt idx="199">
                  <c:v>1.8802586266823518</c:v>
                </c:pt>
                <c:pt idx="200">
                  <c:v>2.0710549648544685</c:v>
                </c:pt>
                <c:pt idx="201">
                  <c:v>0.15992671532287872</c:v>
                </c:pt>
                <c:pt idx="202">
                  <c:v>4.8009354892034395</c:v>
                </c:pt>
                <c:pt idx="203">
                  <c:v>1.3777153800051178</c:v>
                </c:pt>
                <c:pt idx="204">
                  <c:v>-0.5139249463868456</c:v>
                </c:pt>
                <c:pt idx="205">
                  <c:v>-2.0369436501239004</c:v>
                </c:pt>
                <c:pt idx="206">
                  <c:v>-2.8304862513828013</c:v>
                </c:pt>
                <c:pt idx="207">
                  <c:v>1.7462230201977107</c:v>
                </c:pt>
                <c:pt idx="208">
                  <c:v>2.3734168906743633</c:v>
                </c:pt>
                <c:pt idx="209">
                  <c:v>1.3793648368937816</c:v>
                </c:pt>
                <c:pt idx="210">
                  <c:v>0.59347672967982046</c:v>
                </c:pt>
                <c:pt idx="211">
                  <c:v>3.452082519387667</c:v>
                </c:pt>
                <c:pt idx="212">
                  <c:v>-1.1437800083892058</c:v>
                </c:pt>
                <c:pt idx="213">
                  <c:v>0.28851955817138464</c:v>
                </c:pt>
                <c:pt idx="214">
                  <c:v>-3.4861650492731275</c:v>
                </c:pt>
                <c:pt idx="215">
                  <c:v>-1.1388561878545005</c:v>
                </c:pt>
                <c:pt idx="216">
                  <c:v>-4.3708334241001836</c:v>
                </c:pt>
                <c:pt idx="217">
                  <c:v>-6.2071752930429103</c:v>
                </c:pt>
                <c:pt idx="218">
                  <c:v>-3.3274688412128217</c:v>
                </c:pt>
                <c:pt idx="219">
                  <c:v>-1.2888857116494901</c:v>
                </c:pt>
                <c:pt idx="220">
                  <c:v>5.3655863823232073</c:v>
                </c:pt>
                <c:pt idx="221">
                  <c:v>2.974177083462437</c:v>
                </c:pt>
                <c:pt idx="222">
                  <c:v>4.4762997138571228</c:v>
                </c:pt>
                <c:pt idx="223">
                  <c:v>5.4109734476040829</c:v>
                </c:pt>
                <c:pt idx="224">
                  <c:v>10.576012530362267</c:v>
                </c:pt>
                <c:pt idx="225">
                  <c:v>10.23513647710805</c:v>
                </c:pt>
                <c:pt idx="226">
                  <c:v>5.2675014453098754</c:v>
                </c:pt>
                <c:pt idx="227">
                  <c:v>-4.2841656066069831</c:v>
                </c:pt>
                <c:pt idx="228">
                  <c:v>-5.1665525212072367</c:v>
                </c:pt>
                <c:pt idx="229">
                  <c:v>-4.7843878350839262</c:v>
                </c:pt>
                <c:pt idx="230">
                  <c:v>-14.605005230322064</c:v>
                </c:pt>
                <c:pt idx="231">
                  <c:v>-16.271755819734281</c:v>
                </c:pt>
                <c:pt idx="232">
                  <c:v>-18.049734593797019</c:v>
                </c:pt>
                <c:pt idx="233">
                  <c:v>-7.7024632387555858</c:v>
                </c:pt>
                <c:pt idx="234">
                  <c:v>-7.0140594388592632</c:v>
                </c:pt>
                <c:pt idx="235">
                  <c:v>-4.0897405600245786</c:v>
                </c:pt>
                <c:pt idx="236">
                  <c:v>-4.0803171392115312</c:v>
                </c:pt>
                <c:pt idx="237">
                  <c:v>1.2087031008472859</c:v>
                </c:pt>
                <c:pt idx="238">
                  <c:v>8.5933024514840533</c:v>
                </c:pt>
                <c:pt idx="239">
                  <c:v>16.155187631652257</c:v>
                </c:pt>
                <c:pt idx="240">
                  <c:v>21.57536468467972</c:v>
                </c:pt>
                <c:pt idx="241">
                  <c:v>24.936559150028792</c:v>
                </c:pt>
                <c:pt idx="242">
                  <c:v>31.949393683843883</c:v>
                </c:pt>
                <c:pt idx="243">
                  <c:v>26.02670639912612</c:v>
                </c:pt>
                <c:pt idx="244">
                  <c:v>27.109593332339731</c:v>
                </c:pt>
                <c:pt idx="245">
                  <c:v>21.37352100007638</c:v>
                </c:pt>
                <c:pt idx="246">
                  <c:v>20.450440375609951</c:v>
                </c:pt>
                <c:pt idx="247">
                  <c:v>18.624897889111992</c:v>
                </c:pt>
                <c:pt idx="248">
                  <c:v>21.305427655372043</c:v>
                </c:pt>
                <c:pt idx="249">
                  <c:v>16.378020256208078</c:v>
                </c:pt>
                <c:pt idx="250">
                  <c:v>11.675208796458438</c:v>
                </c:pt>
                <c:pt idx="251">
                  <c:v>8.9364790084818218</c:v>
                </c:pt>
                <c:pt idx="252">
                  <c:v>6.1868914768725141</c:v>
                </c:pt>
                <c:pt idx="253">
                  <c:v>5.6514598791174606</c:v>
                </c:pt>
                <c:pt idx="254">
                  <c:v>0.63576949137353722</c:v>
                </c:pt>
                <c:pt idx="255">
                  <c:v>2.9873832992476483</c:v>
                </c:pt>
                <c:pt idx="256">
                  <c:v>2.8780217011199714</c:v>
                </c:pt>
                <c:pt idx="257">
                  <c:v>3.8850635266346032</c:v>
                </c:pt>
                <c:pt idx="258">
                  <c:v>-0.10955089034495558</c:v>
                </c:pt>
                <c:pt idx="259">
                  <c:v>0.36218823151459389</c:v>
                </c:pt>
                <c:pt idx="260">
                  <c:v>-2.1378876970655867</c:v>
                </c:pt>
                <c:pt idx="261">
                  <c:v>-4.7060232788010321</c:v>
                </c:pt>
                <c:pt idx="262">
                  <c:v>-2.9812872904178889</c:v>
                </c:pt>
                <c:pt idx="263">
                  <c:v>2.0621414978409849</c:v>
                </c:pt>
                <c:pt idx="264">
                  <c:v>0.16295607324902051</c:v>
                </c:pt>
                <c:pt idx="265">
                  <c:v>1.3801861269797779</c:v>
                </c:pt>
                <c:pt idx="266">
                  <c:v>2.1487417882343429</c:v>
                </c:pt>
                <c:pt idx="267">
                  <c:v>-1.7177735758584269</c:v>
                </c:pt>
                <c:pt idx="268">
                  <c:v>-0.38272993306301117</c:v>
                </c:pt>
                <c:pt idx="269">
                  <c:v>-0.75355805219281535</c:v>
                </c:pt>
                <c:pt idx="270">
                  <c:v>3.1377489715295637</c:v>
                </c:pt>
                <c:pt idx="271">
                  <c:v>3.9993131189364197</c:v>
                </c:pt>
                <c:pt idx="272">
                  <c:v>4.1786374849822616</c:v>
                </c:pt>
                <c:pt idx="273">
                  <c:v>9.7435456041204738</c:v>
                </c:pt>
                <c:pt idx="274">
                  <c:v>11.62316044034506</c:v>
                </c:pt>
                <c:pt idx="275">
                  <c:v>7.2760012991196277</c:v>
                </c:pt>
                <c:pt idx="276">
                  <c:v>13.477446831859474</c:v>
                </c:pt>
                <c:pt idx="277">
                  <c:v>10.367980622664106</c:v>
                </c:pt>
                <c:pt idx="278">
                  <c:v>12.524577769534503</c:v>
                </c:pt>
                <c:pt idx="279">
                  <c:v>17.250188446265582</c:v>
                </c:pt>
                <c:pt idx="280">
                  <c:v>13.146823356670097</c:v>
                </c:pt>
                <c:pt idx="281">
                  <c:v>11.685562758865895</c:v>
                </c:pt>
                <c:pt idx="282">
                  <c:v>12.216478738372459</c:v>
                </c:pt>
                <c:pt idx="283">
                  <c:v>10.917207189951707</c:v>
                </c:pt>
                <c:pt idx="284">
                  <c:v>10.103015074433831</c:v>
                </c:pt>
                <c:pt idx="285">
                  <c:v>11.092326430272383</c:v>
                </c:pt>
                <c:pt idx="286">
                  <c:v>9.8911616653745806</c:v>
                </c:pt>
                <c:pt idx="287">
                  <c:v>10.464457236681589</c:v>
                </c:pt>
                <c:pt idx="288">
                  <c:v>8.40230832746769</c:v>
                </c:pt>
                <c:pt idx="289">
                  <c:v>10.465532747961227</c:v>
                </c:pt>
                <c:pt idx="290">
                  <c:v>10.425764081840615</c:v>
                </c:pt>
                <c:pt idx="291">
                  <c:v>8.8373714993254637</c:v>
                </c:pt>
                <c:pt idx="292">
                  <c:v>7.3806021031246338</c:v>
                </c:pt>
                <c:pt idx="293">
                  <c:v>5.6198518910002271</c:v>
                </c:pt>
                <c:pt idx="294">
                  <c:v>4.7362990339485211</c:v>
                </c:pt>
                <c:pt idx="295">
                  <c:v>3.0817731521122234</c:v>
                </c:pt>
                <c:pt idx="296">
                  <c:v>1.5520470094689145</c:v>
                </c:pt>
                <c:pt idx="297">
                  <c:v>1.8178487985851071</c:v>
                </c:pt>
                <c:pt idx="298">
                  <c:v>1.1255329208644831</c:v>
                </c:pt>
                <c:pt idx="299">
                  <c:v>2.4554383654601608</c:v>
                </c:pt>
                <c:pt idx="300">
                  <c:v>0.75597603273176617</c:v>
                </c:pt>
                <c:pt idx="301">
                  <c:v>-0.41101248878072738</c:v>
                </c:pt>
                <c:pt idx="302">
                  <c:v>1.0689159846235974</c:v>
                </c:pt>
                <c:pt idx="303">
                  <c:v>-9.3876155990457733E-2</c:v>
                </c:pt>
                <c:pt idx="304">
                  <c:v>1.5979439599248053</c:v>
                </c:pt>
                <c:pt idx="305">
                  <c:v>3.076598210940972</c:v>
                </c:pt>
                <c:pt idx="306">
                  <c:v>1.4258586927778047</c:v>
                </c:pt>
                <c:pt idx="307">
                  <c:v>2.6530718052710114</c:v>
                </c:pt>
                <c:pt idx="308">
                  <c:v>4.298768125084429</c:v>
                </c:pt>
                <c:pt idx="309">
                  <c:v>5.2536258653865104</c:v>
                </c:pt>
                <c:pt idx="310">
                  <c:v>7.2543656192147061</c:v>
                </c:pt>
                <c:pt idx="311">
                  <c:v>6.0878645875541473</c:v>
                </c:pt>
                <c:pt idx="312">
                  <c:v>8.3194470257005548</c:v>
                </c:pt>
                <c:pt idx="313">
                  <c:v>7.6426439395338868</c:v>
                </c:pt>
                <c:pt idx="314">
                  <c:v>5.5923617340531528</c:v>
                </c:pt>
                <c:pt idx="315">
                  <c:v>5.0791262603125702</c:v>
                </c:pt>
                <c:pt idx="316">
                  <c:v>4.9077097674195223</c:v>
                </c:pt>
                <c:pt idx="317">
                  <c:v>3.6276212353771236</c:v>
                </c:pt>
                <c:pt idx="318">
                  <c:v>3.5489099214476738</c:v>
                </c:pt>
                <c:pt idx="319">
                  <c:v>0.50106643760552316</c:v>
                </c:pt>
                <c:pt idx="320">
                  <c:v>-1.7237432934410712</c:v>
                </c:pt>
                <c:pt idx="321">
                  <c:v>-5.7158880183543666</c:v>
                </c:pt>
                <c:pt idx="322">
                  <c:v>-7.0508233051387776</c:v>
                </c:pt>
                <c:pt idx="323">
                  <c:v>-9.8892468784889971</c:v>
                </c:pt>
                <c:pt idx="324">
                  <c:v>-10.352216757383403</c:v>
                </c:pt>
                <c:pt idx="325">
                  <c:v>-9.1434646658238421</c:v>
                </c:pt>
                <c:pt idx="326">
                  <c:v>-11.88514252775189</c:v>
                </c:pt>
                <c:pt idx="327">
                  <c:v>-9.0396904035806802</c:v>
                </c:pt>
                <c:pt idx="328">
                  <c:v>-8.5061836052007003</c:v>
                </c:pt>
                <c:pt idx="329">
                  <c:v>-10.447640258792923</c:v>
                </c:pt>
                <c:pt idx="330">
                  <c:v>-11.978346342822199</c:v>
                </c:pt>
                <c:pt idx="331">
                  <c:v>-10.068330383258518</c:v>
                </c:pt>
                <c:pt idx="332">
                  <c:v>-7.5043710823383236</c:v>
                </c:pt>
              </c:numCache>
            </c:numRef>
          </c:val>
          <c:smooth val="0"/>
        </c:ser>
        <c:dLbls>
          <c:showLegendKey val="0"/>
          <c:showVal val="0"/>
          <c:showCatName val="0"/>
          <c:showSerName val="0"/>
          <c:showPercent val="0"/>
          <c:showBubbleSize val="0"/>
        </c:dLbls>
        <c:marker val="1"/>
        <c:smooth val="0"/>
        <c:axId val="396931840"/>
        <c:axId val="396933760"/>
      </c:lineChart>
      <c:dateAx>
        <c:axId val="396931840"/>
        <c:scaling>
          <c:orientation val="minMax"/>
        </c:scaling>
        <c:delete val="0"/>
        <c:axPos val="b"/>
        <c:title>
          <c:tx>
            <c:rich>
              <a:bodyPr/>
              <a:lstStyle/>
              <a:p>
                <a:pPr>
                  <a:defRPr sz="1200" b="0" i="0" u="none" strike="noStrike" baseline="0">
                    <a:solidFill>
                      <a:srgbClr val="000000"/>
                    </a:solidFill>
                    <a:latin typeface="Arial"/>
                    <a:ea typeface="Arial"/>
                    <a:cs typeface="Arial"/>
                  </a:defRPr>
                </a:pPr>
                <a:r>
                  <a:rPr lang="en-US" sz="1000" b="1" i="0" u="none" strike="noStrike" baseline="0">
                    <a:solidFill>
                      <a:srgbClr val="000080"/>
                    </a:solidFill>
                    <a:latin typeface="Arial"/>
                    <a:cs typeface="Arial"/>
                  </a:rPr>
                  <a:t>- Rolling 1 Year</a:t>
                </a:r>
                <a:endParaRPr lang="en-US" sz="1000" b="1" i="0" u="none" strike="noStrike" baseline="0">
                  <a:solidFill>
                    <a:srgbClr val="000000"/>
                  </a:solidFill>
                  <a:latin typeface="Arial"/>
                  <a:cs typeface="Arial"/>
                </a:endParaRPr>
              </a:p>
              <a:p>
                <a:pPr>
                  <a:defRPr sz="1200" b="0" i="0" u="none" strike="noStrike" baseline="0">
                    <a:solidFill>
                      <a:srgbClr val="000000"/>
                    </a:solidFill>
                    <a:latin typeface="Arial"/>
                    <a:ea typeface="Arial"/>
                    <a:cs typeface="Arial"/>
                  </a:defRPr>
                </a:pPr>
                <a:r>
                  <a:rPr lang="en-US" sz="1000" b="1" i="0" u="none" strike="noStrike" baseline="0">
                    <a:solidFill>
                      <a:srgbClr val="FF0000"/>
                    </a:solidFill>
                    <a:latin typeface="Arial"/>
                    <a:cs typeface="Arial"/>
                  </a:rPr>
                  <a:t>- Rolling 3 Year</a:t>
                </a:r>
              </a:p>
            </c:rich>
          </c:tx>
          <c:layout>
            <c:manualLayout>
              <c:xMode val="edge"/>
              <c:yMode val="edge"/>
              <c:x val="0.83557049750803625"/>
              <c:y val="0.74159026134003181"/>
            </c:manualLayout>
          </c:layout>
          <c:overlay val="0"/>
          <c:spPr>
            <a:noFill/>
            <a:ln w="25400">
              <a:noFill/>
            </a:ln>
          </c:spPr>
        </c:title>
        <c:numFmt formatCode="mmm\-yy" sourceLinked="0"/>
        <c:majorTickMark val="out"/>
        <c:minorTickMark val="none"/>
        <c:tickLblPos val="low"/>
        <c:spPr>
          <a:ln w="25400">
            <a:solidFill>
              <a:srgbClr val="000000"/>
            </a:solidFill>
            <a:prstDash val="solid"/>
          </a:ln>
        </c:spPr>
        <c:txPr>
          <a:bodyPr rot="-2700000" vert="horz"/>
          <a:lstStyle/>
          <a:p>
            <a:pPr>
              <a:defRPr sz="1000" b="0" i="0" u="none" strike="noStrike" baseline="0">
                <a:solidFill>
                  <a:srgbClr val="000000"/>
                </a:solidFill>
                <a:latin typeface="Arial"/>
                <a:ea typeface="Arial"/>
                <a:cs typeface="Arial"/>
              </a:defRPr>
            </a:pPr>
            <a:endParaRPr lang="en-US"/>
          </a:p>
        </c:txPr>
        <c:crossAx val="396933760"/>
        <c:crosses val="autoZero"/>
        <c:auto val="1"/>
        <c:lblOffset val="100"/>
        <c:baseTimeUnit val="months"/>
        <c:majorUnit val="1"/>
        <c:majorTimeUnit val="years"/>
        <c:minorUnit val="6"/>
        <c:minorTimeUnit val="months"/>
      </c:dateAx>
      <c:valAx>
        <c:axId val="396933760"/>
        <c:scaling>
          <c:orientation val="minMax"/>
          <c:max val="4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t>Annualized %</a:t>
                </a:r>
              </a:p>
            </c:rich>
          </c:tx>
          <c:layout>
            <c:manualLayout>
              <c:xMode val="edge"/>
              <c:yMode val="edge"/>
              <c:x val="8.9485387360287837E-3"/>
              <c:y val="0.4113149123230762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96931840"/>
        <c:crosses val="autoZero"/>
        <c:crossBetween val="between"/>
        <c:majorUnit val="5"/>
      </c:valAx>
      <c:spPr>
        <a:solidFill>
          <a:srgbClr val="C0C0C0"/>
        </a:solidFill>
        <a:ln w="12700">
          <a:solidFill>
            <a:srgbClr val="808080"/>
          </a:solidFill>
          <a:prstDash val="solid"/>
        </a:ln>
      </c:spPr>
    </c:plotArea>
    <c:plotVisOnly val="1"/>
    <c:dispBlanksAs val="gap"/>
    <c:showDLblsOverMax val="0"/>
  </c:chart>
  <c:spPr>
    <a:noFill/>
    <a:ln w="9525">
      <a:noFill/>
    </a:ln>
  </c:spPr>
  <c:txPr>
    <a:bodyPr/>
    <a:lstStyle/>
    <a:p>
      <a:pPr>
        <a:defRPr sz="12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3.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4.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5.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6.bin"/></Relationships>
</file>

<file path=xl/chartsheets/sheet1.xml><?xml version="1.0" encoding="utf-8"?>
<chartsheet xmlns="http://schemas.openxmlformats.org/spreadsheetml/2006/main" xmlns:r="http://schemas.openxmlformats.org/officeDocument/2006/relationships">
  <sheetPr codeName="Chart51"/>
  <sheetViews>
    <sheetView workbookViewId="0"/>
  </sheetViews>
  <pageMargins left="0.78740157480314965" right="0.78740157480314965" top="0.78740157480314965" bottom="0.78740157480314965" header="0.51181102362204722" footer="0.51181102362204722"/>
  <pageSetup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Chart49"/>
  <sheetViews>
    <sheetView workbookViewId="0"/>
  </sheetViews>
  <pageMargins left="0.78740157480314965" right="0.78740157480314965" top="0.78740157480314965" bottom="0.78740157480314965" header="0.51181102362204722" footer="0.51181102362204722"/>
  <pageSetup orientation="landscape" r:id="rId1"/>
  <headerFooter alignWithMargins="0"/>
  <drawing r:id="rId2"/>
</chartsheet>
</file>

<file path=xl/chartsheets/sheet3.xml><?xml version="1.0" encoding="utf-8"?>
<chartsheet xmlns="http://schemas.openxmlformats.org/spreadsheetml/2006/main" xmlns:r="http://schemas.openxmlformats.org/officeDocument/2006/relationships">
  <sheetPr codeName="Chart50"/>
  <sheetViews>
    <sheetView workbookViewId="0"/>
  </sheetViews>
  <pageMargins left="0.78740157480314965" right="0.78740157480314965" top="0.78740157480314965" bottom="0.78740157480314965" header="0.51181102362204722" footer="0.51181102362204722"/>
  <pageSetup orientation="landscape" r:id="rId1"/>
  <headerFooter alignWithMargins="0"/>
  <drawing r:id="rId2"/>
</chartsheet>
</file>

<file path=xl/chartsheets/sheet4.xml><?xml version="1.0" encoding="utf-8"?>
<chartsheet xmlns="http://schemas.openxmlformats.org/spreadsheetml/2006/main" xmlns:r="http://schemas.openxmlformats.org/officeDocument/2006/relationships">
  <sheetPr codeName="Chart52"/>
  <sheetViews>
    <sheetView workbookViewId="0"/>
  </sheetViews>
  <pageMargins left="0.78740157480314965" right="0.78740157480314965" top="0.78740157480314965" bottom="0.78740157480314965" header="0.51181102362204722" footer="0.51181102362204722"/>
  <pageSetup orientation="landscape" r:id="rId1"/>
  <headerFooter alignWithMargins="0"/>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B5"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485775</xdr:colOff>
          <xdr:row>2</xdr:row>
          <xdr:rowOff>133350</xdr:rowOff>
        </xdr:from>
        <xdr:to>
          <xdr:col>2</xdr:col>
          <xdr:colOff>571500</xdr:colOff>
          <xdr:row>7</xdr:row>
          <xdr:rowOff>66675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400" b="0" i="0" u="none" strike="noStrike" baseline="0">
                  <a:solidFill>
                    <a:srgbClr val="800000"/>
                  </a:solidFill>
                  <a:latin typeface="Arial"/>
                  <a:cs typeface="Arial"/>
                </a:rPr>
                <a:t>Import Mellon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2</xdr:row>
          <xdr:rowOff>142875</xdr:rowOff>
        </xdr:from>
        <xdr:to>
          <xdr:col>6</xdr:col>
          <xdr:colOff>390525</xdr:colOff>
          <xdr:row>7</xdr:row>
          <xdr:rowOff>76200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400" b="0" i="0" u="none" strike="noStrike" baseline="0">
                  <a:solidFill>
                    <a:srgbClr val="008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314325</xdr:colOff>
          <xdr:row>9</xdr:row>
          <xdr:rowOff>19050</xdr:rowOff>
        </xdr:from>
        <xdr:to>
          <xdr:col>6</xdr:col>
          <xdr:colOff>266700</xdr:colOff>
          <xdr:row>11</xdr:row>
          <xdr:rowOff>114300</xdr:rowOff>
        </xdr:to>
        <xdr:sp macro="" textlink="">
          <xdr:nvSpPr>
            <xdr:cNvPr id="1030" name="Check Box 6" hidden="1">
              <a:extLst>
                <a:ext uri="{63B3BB69-23CF-44E3-9099-C40C66FF867C}">
                  <a14:compatExt spid="_x0000_s10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Final</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0</xdr:colOff>
      <xdr:row>345</xdr:row>
      <xdr:rowOff>0</xdr:rowOff>
    </xdr:from>
    <xdr:to>
      <xdr:col>5</xdr:col>
      <xdr:colOff>0</xdr:colOff>
      <xdr:row>367</xdr:row>
      <xdr:rowOff>123825</xdr:rowOff>
    </xdr:to>
    <xdr:graphicFrame macro="">
      <xdr:nvGraphicFramePr>
        <xdr:cNvPr id="165585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428625</xdr:colOff>
      <xdr:row>0</xdr:row>
      <xdr:rowOff>38100</xdr:rowOff>
    </xdr:from>
    <xdr:to>
      <xdr:col>10</xdr:col>
      <xdr:colOff>0</xdr:colOff>
      <xdr:row>5</xdr:row>
      <xdr:rowOff>76200</xdr:rowOff>
    </xdr:to>
    <xdr:pic>
      <xdr:nvPicPr>
        <xdr:cNvPr id="1657903" name="Picture 1" descr="ASRS Logo in color large"/>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77075" y="38100"/>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428625</xdr:colOff>
      <xdr:row>0</xdr:row>
      <xdr:rowOff>38100</xdr:rowOff>
    </xdr:from>
    <xdr:to>
      <xdr:col>10</xdr:col>
      <xdr:colOff>0</xdr:colOff>
      <xdr:row>5</xdr:row>
      <xdr:rowOff>76200</xdr:rowOff>
    </xdr:to>
    <xdr:pic>
      <xdr:nvPicPr>
        <xdr:cNvPr id="1658927" name="Picture 1" descr="ASRS Logo in color large"/>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77075" y="38100"/>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absoluteAnchor>
    <xdr:pos x="0" y="0"/>
    <xdr:ext cx="8477250" cy="62103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0.10075</cdr:x>
      <cdr:y>0.124</cdr:y>
    </cdr:from>
    <cdr:to>
      <cdr:x>0.28525</cdr:x>
      <cdr:y>0.16975</cdr:y>
    </cdr:to>
    <cdr:sp macro="" textlink="">
      <cdr:nvSpPr>
        <cdr:cNvPr id="20481" name="Text Box 1"/>
        <cdr:cNvSpPr txBox="1">
          <a:spLocks xmlns:a="http://schemas.openxmlformats.org/drawingml/2006/main" noChangeArrowheads="1"/>
        </cdr:cNvSpPr>
      </cdr:nvSpPr>
      <cdr:spPr bwMode="auto">
        <a:xfrm xmlns:a="http://schemas.openxmlformats.org/drawingml/2006/main">
          <a:off x="857922" y="772439"/>
          <a:ext cx="1571082" cy="28499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7432" rIns="0" bIns="27432" anchor="ctr" upright="1"/>
        <a:lstStyle xmlns:a="http://schemas.openxmlformats.org/drawingml/2006/main"/>
        <a:p xmlns:a="http://schemas.openxmlformats.org/drawingml/2006/main">
          <a:pPr algn="l" rtl="0">
            <a:defRPr sz="1000"/>
          </a:pPr>
          <a:r>
            <a:rPr lang="en-US" sz="1200" b="1" i="0" strike="noStrike">
              <a:solidFill>
                <a:srgbClr val="993300"/>
              </a:solidFill>
              <a:latin typeface="Arial"/>
              <a:cs typeface="Arial"/>
            </a:rPr>
            <a:t>Value outperforms</a:t>
          </a:r>
        </a:p>
      </cdr:txBody>
    </cdr:sp>
  </cdr:relSizeAnchor>
  <cdr:relSizeAnchor xmlns:cdr="http://schemas.openxmlformats.org/drawingml/2006/chartDrawing">
    <cdr:from>
      <cdr:x>0.10175</cdr:x>
      <cdr:y>0.79375</cdr:y>
    </cdr:from>
    <cdr:to>
      <cdr:x>0.28625</cdr:x>
      <cdr:y>0.8395</cdr:y>
    </cdr:to>
    <cdr:sp macro="" textlink="">
      <cdr:nvSpPr>
        <cdr:cNvPr id="20484" name="Text Box 4"/>
        <cdr:cNvSpPr txBox="1">
          <a:spLocks xmlns:a="http://schemas.openxmlformats.org/drawingml/2006/main" noChangeArrowheads="1"/>
        </cdr:cNvSpPr>
      </cdr:nvSpPr>
      <cdr:spPr bwMode="auto">
        <a:xfrm xmlns:a="http://schemas.openxmlformats.org/drawingml/2006/main">
          <a:off x="866437" y="4944547"/>
          <a:ext cx="1571082" cy="28499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7432" rIns="0" bIns="27432" anchor="ctr" upright="1"/>
        <a:lstStyle xmlns:a="http://schemas.openxmlformats.org/drawingml/2006/main"/>
        <a:p xmlns:a="http://schemas.openxmlformats.org/drawingml/2006/main">
          <a:pPr algn="l" rtl="0">
            <a:defRPr sz="1000"/>
          </a:pPr>
          <a:r>
            <a:rPr lang="en-US" sz="1200" b="1" i="0" strike="noStrike">
              <a:solidFill>
                <a:srgbClr val="993300"/>
              </a:solidFill>
              <a:latin typeface="Arial"/>
              <a:cs typeface="Arial"/>
            </a:rPr>
            <a:t>Growth outperforms</a:t>
          </a:r>
        </a:p>
      </cdr:txBody>
    </cdr:sp>
  </cdr:relSizeAnchor>
</c:userShapes>
</file>

<file path=xl/drawings/drawing7.xml><?xml version="1.0" encoding="utf-8"?>
<xdr:wsDr xmlns:xdr="http://schemas.openxmlformats.org/drawingml/2006/spreadsheetDrawing" xmlns:a="http://schemas.openxmlformats.org/drawingml/2006/main">
  <xdr:absoluteAnchor>
    <xdr:pos x="0" y="0"/>
    <xdr:ext cx="8477250" cy="62103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0.0955</cdr:x>
      <cdr:y>0.1515</cdr:y>
    </cdr:from>
    <cdr:to>
      <cdr:x>0.28</cdr:x>
      <cdr:y>0.19725</cdr:y>
    </cdr:to>
    <cdr:sp macro="" textlink="">
      <cdr:nvSpPr>
        <cdr:cNvPr id="18436" name="Text Box 4"/>
        <cdr:cNvSpPr txBox="1">
          <a:spLocks xmlns:a="http://schemas.openxmlformats.org/drawingml/2006/main" noChangeArrowheads="1"/>
        </cdr:cNvSpPr>
      </cdr:nvSpPr>
      <cdr:spPr bwMode="auto">
        <a:xfrm xmlns:a="http://schemas.openxmlformats.org/drawingml/2006/main">
          <a:off x="813216" y="943747"/>
          <a:ext cx="1571082" cy="28499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7432" rIns="0" bIns="27432" anchor="ctr" upright="1"/>
        <a:lstStyle xmlns:a="http://schemas.openxmlformats.org/drawingml/2006/main"/>
        <a:p xmlns:a="http://schemas.openxmlformats.org/drawingml/2006/main">
          <a:pPr algn="l" rtl="0">
            <a:defRPr sz="1000"/>
          </a:pPr>
          <a:r>
            <a:rPr lang="en-US" sz="1200" b="1" i="0" strike="noStrike">
              <a:solidFill>
                <a:srgbClr val="993300"/>
              </a:solidFill>
              <a:latin typeface="Arial"/>
              <a:cs typeface="Arial"/>
            </a:rPr>
            <a:t>Value outperforms</a:t>
          </a:r>
        </a:p>
      </cdr:txBody>
    </cdr:sp>
  </cdr:relSizeAnchor>
  <cdr:relSizeAnchor xmlns:cdr="http://schemas.openxmlformats.org/drawingml/2006/chartDrawing">
    <cdr:from>
      <cdr:x>0.0955</cdr:x>
      <cdr:y>0.79475</cdr:y>
    </cdr:from>
    <cdr:to>
      <cdr:x>0.28</cdr:x>
      <cdr:y>0.8405</cdr:y>
    </cdr:to>
    <cdr:sp macro="" textlink="">
      <cdr:nvSpPr>
        <cdr:cNvPr id="18437" name="Text Box 5"/>
        <cdr:cNvSpPr txBox="1">
          <a:spLocks xmlns:a="http://schemas.openxmlformats.org/drawingml/2006/main" noChangeArrowheads="1"/>
        </cdr:cNvSpPr>
      </cdr:nvSpPr>
      <cdr:spPr bwMode="auto">
        <a:xfrm xmlns:a="http://schemas.openxmlformats.org/drawingml/2006/main">
          <a:off x="813216" y="4950776"/>
          <a:ext cx="1571082" cy="28499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7432" rIns="0" bIns="27432" anchor="ctr" upright="1"/>
        <a:lstStyle xmlns:a="http://schemas.openxmlformats.org/drawingml/2006/main"/>
        <a:p xmlns:a="http://schemas.openxmlformats.org/drawingml/2006/main">
          <a:pPr algn="l" rtl="0">
            <a:defRPr sz="1000"/>
          </a:pPr>
          <a:r>
            <a:rPr lang="en-US" sz="1200" b="1" i="0" strike="noStrike">
              <a:solidFill>
                <a:srgbClr val="993300"/>
              </a:solidFill>
              <a:latin typeface="Arial"/>
              <a:cs typeface="Arial"/>
            </a:rPr>
            <a:t>Growth outperforms</a:t>
          </a:r>
        </a:p>
      </cdr:txBody>
    </cdr:sp>
  </cdr:relSizeAnchor>
</c:userShapes>
</file>

<file path=xl/drawings/drawing9.xml><?xml version="1.0" encoding="utf-8"?>
<xdr:wsDr xmlns:xdr="http://schemas.openxmlformats.org/drawingml/2006/spreadsheetDrawing" xmlns:a="http://schemas.openxmlformats.org/drawingml/2006/main">
  <xdr:absoluteAnchor>
    <xdr:pos x="0" y="0"/>
    <xdr:ext cx="8477250" cy="62103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0.08</cdr:x>
      <cdr:y>0.14475</cdr:y>
    </cdr:from>
    <cdr:to>
      <cdr:x>0.269</cdr:x>
      <cdr:y>0.1935</cdr:y>
    </cdr:to>
    <cdr:sp macro="" textlink="">
      <cdr:nvSpPr>
        <cdr:cNvPr id="19460" name="Text Box 4"/>
        <cdr:cNvSpPr txBox="1">
          <a:spLocks xmlns:a="http://schemas.openxmlformats.org/drawingml/2006/main" noChangeArrowheads="1"/>
        </cdr:cNvSpPr>
      </cdr:nvSpPr>
      <cdr:spPr bwMode="auto">
        <a:xfrm xmlns:a="http://schemas.openxmlformats.org/drawingml/2006/main">
          <a:off x="668455" y="897026"/>
          <a:ext cx="1611530" cy="30523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7432" rIns="0" bIns="27432" anchor="ctr" upright="1"/>
        <a:lstStyle xmlns:a="http://schemas.openxmlformats.org/drawingml/2006/main"/>
        <a:p xmlns:a="http://schemas.openxmlformats.org/drawingml/2006/main">
          <a:pPr algn="l" rtl="0">
            <a:defRPr sz="1000"/>
          </a:pPr>
          <a:r>
            <a:rPr lang="en-US" sz="1200" b="1" i="0" strike="noStrike">
              <a:solidFill>
                <a:srgbClr val="993300"/>
              </a:solidFill>
              <a:latin typeface="Arial"/>
              <a:cs typeface="Arial"/>
            </a:rPr>
            <a:t>Value outperforms</a:t>
          </a:r>
        </a:p>
      </cdr:txBody>
    </cdr:sp>
  </cdr:relSizeAnchor>
  <cdr:relSizeAnchor xmlns:cdr="http://schemas.openxmlformats.org/drawingml/2006/chartDrawing">
    <cdr:from>
      <cdr:x>0.08175</cdr:x>
      <cdr:y>0.82</cdr:y>
    </cdr:from>
    <cdr:to>
      <cdr:x>0.269</cdr:x>
      <cdr:y>0.86575</cdr:y>
    </cdr:to>
    <cdr:sp macro="" textlink="">
      <cdr:nvSpPr>
        <cdr:cNvPr id="19461" name="Text Box 5"/>
        <cdr:cNvSpPr txBox="1">
          <a:spLocks xmlns:a="http://schemas.openxmlformats.org/drawingml/2006/main" noChangeArrowheads="1"/>
        </cdr:cNvSpPr>
      </cdr:nvSpPr>
      <cdr:spPr bwMode="auto">
        <a:xfrm xmlns:a="http://schemas.openxmlformats.org/drawingml/2006/main">
          <a:off x="683357" y="5108067"/>
          <a:ext cx="1596628" cy="28655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7432" rIns="0" bIns="27432" anchor="ctr" upright="1"/>
        <a:lstStyle xmlns:a="http://schemas.openxmlformats.org/drawingml/2006/main"/>
        <a:p xmlns:a="http://schemas.openxmlformats.org/drawingml/2006/main">
          <a:pPr algn="l" rtl="0">
            <a:defRPr sz="1000"/>
          </a:pPr>
          <a:r>
            <a:rPr lang="en-US" sz="1200" b="1" i="0" strike="noStrike">
              <a:solidFill>
                <a:srgbClr val="993300"/>
              </a:solidFill>
              <a:latin typeface="Arial"/>
              <a:cs typeface="Arial"/>
            </a:rPr>
            <a:t>Growth outperforms</a:t>
          </a:r>
        </a:p>
      </cdr:txBody>
    </cdr:sp>
  </cdr:relSizeAnchor>
</c:userShapes>
</file>

<file path=xl/drawings/drawing11.xml><?xml version="1.0" encoding="utf-8"?>
<xdr:wsDr xmlns:xdr="http://schemas.openxmlformats.org/drawingml/2006/spreadsheetDrawing" xmlns:a="http://schemas.openxmlformats.org/drawingml/2006/main">
  <xdr:absoluteAnchor>
    <xdr:pos x="0" y="0"/>
    <xdr:ext cx="8477250" cy="62103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c:userShapes xmlns:c="http://schemas.openxmlformats.org/drawingml/2006/chart">
  <cdr:relSizeAnchor xmlns:cdr="http://schemas.openxmlformats.org/drawingml/2006/chartDrawing">
    <cdr:from>
      <cdr:x>0.10725</cdr:x>
      <cdr:y>0.14275</cdr:y>
    </cdr:from>
    <cdr:to>
      <cdr:x>0.2935</cdr:x>
      <cdr:y>0.19</cdr:y>
    </cdr:to>
    <cdr:sp macro="" textlink="">
      <cdr:nvSpPr>
        <cdr:cNvPr id="21508" name="Text Box 1028"/>
        <cdr:cNvSpPr txBox="1">
          <a:spLocks xmlns:a="http://schemas.openxmlformats.org/drawingml/2006/main" noChangeArrowheads="1"/>
        </cdr:cNvSpPr>
      </cdr:nvSpPr>
      <cdr:spPr bwMode="auto">
        <a:xfrm xmlns:a="http://schemas.openxmlformats.org/drawingml/2006/main">
          <a:off x="913271" y="889240"/>
          <a:ext cx="1585984" cy="29433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7432" rIns="0" bIns="27432" anchor="ctr" upright="1"/>
        <a:lstStyle xmlns:a="http://schemas.openxmlformats.org/drawingml/2006/main"/>
        <a:p xmlns:a="http://schemas.openxmlformats.org/drawingml/2006/main">
          <a:pPr algn="l" rtl="0">
            <a:defRPr sz="1000"/>
          </a:pPr>
          <a:r>
            <a:rPr lang="en-US" sz="1200" b="1" i="0" strike="noStrike">
              <a:solidFill>
                <a:srgbClr val="993300"/>
              </a:solidFill>
              <a:latin typeface="Arial"/>
              <a:cs typeface="Arial"/>
            </a:rPr>
            <a:t>Value outperforms</a:t>
          </a:r>
        </a:p>
      </cdr:txBody>
    </cdr:sp>
  </cdr:relSizeAnchor>
  <cdr:relSizeAnchor xmlns:cdr="http://schemas.openxmlformats.org/drawingml/2006/chartDrawing">
    <cdr:from>
      <cdr:x>0.11075</cdr:x>
      <cdr:y>0.79525</cdr:y>
    </cdr:from>
    <cdr:to>
      <cdr:x>0.2935</cdr:x>
      <cdr:y>0.83975</cdr:y>
    </cdr:to>
    <cdr:sp macro="" textlink="">
      <cdr:nvSpPr>
        <cdr:cNvPr id="21509" name="Text Box 1029"/>
        <cdr:cNvSpPr txBox="1">
          <a:spLocks xmlns:a="http://schemas.openxmlformats.org/drawingml/2006/main" noChangeArrowheads="1"/>
        </cdr:cNvSpPr>
      </cdr:nvSpPr>
      <cdr:spPr bwMode="auto">
        <a:xfrm xmlns:a="http://schemas.openxmlformats.org/drawingml/2006/main">
          <a:off x="943075" y="4953891"/>
          <a:ext cx="1556180" cy="27720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7432" rIns="0" bIns="27432" anchor="ctr" upright="1"/>
        <a:lstStyle xmlns:a="http://schemas.openxmlformats.org/drawingml/2006/main"/>
        <a:p xmlns:a="http://schemas.openxmlformats.org/drawingml/2006/main">
          <a:pPr algn="l" rtl="0">
            <a:defRPr sz="1000"/>
          </a:pPr>
          <a:r>
            <a:rPr lang="en-US" sz="1200" b="1" i="0" strike="noStrike">
              <a:solidFill>
                <a:srgbClr val="993300"/>
              </a:solidFill>
              <a:latin typeface="Arial"/>
              <a:cs typeface="Arial"/>
            </a:rPr>
            <a:t>Growth outperforms</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ericg\AppData\Local\Microsoft\Windows\Temporary%20Internet%20Files\Content.Outlook\TFU9N416\Performance%20Measurement%20-%20Dec%202009%20final.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Imported Mellon Data"/>
      <sheetName val="Imported SS Data"/>
      <sheetName val="Index_Returns"/>
      <sheetName val="Return Summary"/>
      <sheetName val="LTD Summary"/>
      <sheetName val="Invest Goals"/>
      <sheetName val="NEPC data"/>
      <sheetName val="JLEM_LC"/>
      <sheetName val="ASRS_E1"/>
      <sheetName val="ASRS_E2"/>
      <sheetName val="BGI_Equity"/>
      <sheetName val="Intech"/>
      <sheetName val="LSV"/>
      <sheetName val="Well"/>
      <sheetName val="SSGA_MC"/>
      <sheetName val="ASRS_E3"/>
      <sheetName val="CRM"/>
      <sheetName val="ASRS_E4"/>
      <sheetName val="TS"/>
      <sheetName val="Copper"/>
      <sheetName val="DFA"/>
      <sheetName val="E6"/>
      <sheetName val="Champlain"/>
      <sheetName val="Iron"/>
      <sheetName val="Brandes"/>
      <sheetName val="MFS"/>
      <sheetName val="HGI"/>
      <sheetName val="AXA"/>
      <sheetName val="DFA_INTL"/>
      <sheetName val="BGI_ACWI"/>
      <sheetName val="BGI_EAFE"/>
      <sheetName val="Fidelity"/>
      <sheetName val="Blackrock"/>
      <sheetName val="JPM_Fixed"/>
      <sheetName val="BGI_Enh"/>
      <sheetName val="ASRS_F2"/>
      <sheetName val="JPM_INT_AGG"/>
      <sheetName val="BGI_INT_AGG"/>
      <sheetName val="Guggenheim"/>
      <sheetName val="Hyperion"/>
      <sheetName val="Riversource"/>
      <sheetName val="Shenkman"/>
      <sheetName val="Bridge_GTAA"/>
      <sheetName val="Deutsche"/>
      <sheetName val="LTD_EQUITY"/>
      <sheetName val="LTD_INTL"/>
      <sheetName val="LTD_FX_INC"/>
      <sheetName val="LTD_RE"/>
      <sheetName val="LTD_COMP"/>
      <sheetName val="TF"/>
      <sheetName val="US Eq"/>
      <sheetName val="LCE"/>
      <sheetName val="MCE"/>
      <sheetName val="SCE"/>
      <sheetName val="NonUS Eq"/>
      <sheetName val="Fx Inc"/>
      <sheetName val="GTAA"/>
      <sheetName val="RE"/>
      <sheetName val="TF gross"/>
      <sheetName val="Fees"/>
      <sheetName val="5Y Value Added"/>
      <sheetName val="10Y Value Added"/>
      <sheetName val="Terminated Managers"/>
      <sheetName val="Returns Value_Growth"/>
      <sheetName val="Chart LC Val_Gr"/>
      <sheetName val="Chart MC Val_Gr"/>
      <sheetName val="Chart SC Val_Gr"/>
      <sheetName val="Chart EAFE  Val_Gr"/>
    </sheetNames>
    <sheetDataSet>
      <sheetData sheetId="0" refreshError="1"/>
      <sheetData sheetId="1" refreshError="1"/>
      <sheetData sheetId="2" refreshError="1"/>
      <sheetData sheetId="3">
        <row r="1">
          <cell r="A1" t="str">
            <v>Indexes</v>
          </cell>
          <cell r="B1" t="str">
            <v>IX1F00079488</v>
          </cell>
          <cell r="C1" t="str">
            <v>IX1F00306278</v>
          </cell>
          <cell r="D1" t="str">
            <v>IX1F00306288</v>
          </cell>
          <cell r="E1" t="str">
            <v>IX1F00028598</v>
          </cell>
          <cell r="F1" t="str">
            <v>IX1F00306528</v>
          </cell>
          <cell r="G1" t="str">
            <v>IX1F00306538</v>
          </cell>
          <cell r="H1" t="str">
            <v>IX1F00003878</v>
          </cell>
          <cell r="I1" t="str">
            <v>IX1F00039058</v>
          </cell>
          <cell r="J1" t="str">
            <v>IX1F00039298</v>
          </cell>
          <cell r="K1" t="str">
            <v>IX1F00055348</v>
          </cell>
          <cell r="L1" t="str">
            <v>IX1F00306508</v>
          </cell>
          <cell r="M1" t="str">
            <v>IX1F00306518</v>
          </cell>
          <cell r="N1" t="str">
            <v>Small Cap Core</v>
          </cell>
          <cell r="O1" t="str">
            <v>Small Cap G</v>
          </cell>
          <cell r="P1" t="str">
            <v>Small Cap V</v>
          </cell>
          <cell r="Q1" t="str">
            <v>IX1F00061148</v>
          </cell>
          <cell r="R1" t="str">
            <v>IX1F00003908</v>
          </cell>
          <cell r="S1" t="str">
            <v>IX1F00003858</v>
          </cell>
          <cell r="T1" t="str">
            <v>(calc)</v>
          </cell>
          <cell r="U1" t="str">
            <v>IX1F00091498</v>
          </cell>
          <cell r="V1" t="str">
            <v>IX1F00272338</v>
          </cell>
          <cell r="W1" t="str">
            <v>IX1F00003848</v>
          </cell>
          <cell r="X1" t="str">
            <v>IX1F00088148</v>
          </cell>
          <cell r="Y1" t="str">
            <v>IX1F00021828</v>
          </cell>
          <cell r="Z1" t="str">
            <v>IX1F00285618</v>
          </cell>
          <cell r="AA1" t="str">
            <v>IX1F00036368</v>
          </cell>
          <cell r="AB1" t="str">
            <v>IX1G00138648</v>
          </cell>
          <cell r="AC1" t="str">
            <v>IX1G00136478</v>
          </cell>
          <cell r="AD1" t="str">
            <v>(calc)</v>
          </cell>
          <cell r="AE1" t="str">
            <v>(calc)</v>
          </cell>
          <cell r="AF1" t="str">
            <v>(calc)</v>
          </cell>
          <cell r="AG1" t="str">
            <v>IX1F00078628</v>
          </cell>
          <cell r="AH1" t="str">
            <v>IX1F0001009C</v>
          </cell>
          <cell r="AK1" t="str">
            <v>Weights - Board</v>
          </cell>
          <cell r="AS1" t="str">
            <v>Board</v>
          </cell>
          <cell r="AT1" t="str">
            <v>System</v>
          </cell>
          <cell r="AU1" t="str">
            <v>Weights - Strategic</v>
          </cell>
          <cell r="BF1" t="str">
            <v>Strategic</v>
          </cell>
        </row>
        <row r="2">
          <cell r="A2" t="str">
            <v>Date</v>
          </cell>
          <cell r="B2" t="str">
            <v>SP500</v>
          </cell>
          <cell r="C2" t="str">
            <v>SP500 G</v>
          </cell>
          <cell r="D2" t="str">
            <v>SP500 V</v>
          </cell>
          <cell r="E2" t="str">
            <v>SPMD400</v>
          </cell>
          <cell r="F2" t="str">
            <v>SPMD400 G</v>
          </cell>
          <cell r="G2" t="str">
            <v>SPMD400 V</v>
          </cell>
          <cell r="H2" t="str">
            <v>RUS2000</v>
          </cell>
          <cell r="I2" t="str">
            <v>RUS2000 G</v>
          </cell>
          <cell r="J2" t="str">
            <v>RUS2000 V</v>
          </cell>
          <cell r="K2" t="str">
            <v>SP600</v>
          </cell>
          <cell r="L2" t="str">
            <v>SP600 G</v>
          </cell>
          <cell r="M2" t="str">
            <v>SP600 V</v>
          </cell>
          <cell r="N2" t="str">
            <v>Benchmark</v>
          </cell>
          <cell r="O2" t="str">
            <v>Benchmark</v>
          </cell>
          <cell r="P2" t="str">
            <v>Benchmark</v>
          </cell>
          <cell r="Q2" t="str">
            <v>RUS2500 G</v>
          </cell>
          <cell r="R2" t="str">
            <v>RUS2500</v>
          </cell>
          <cell r="S2" t="str">
            <v>RUS3000</v>
          </cell>
          <cell r="T2" t="str">
            <v>LTD Equity</v>
          </cell>
          <cell r="U2" t="str">
            <v>ACWI</v>
          </cell>
          <cell r="V2" t="str">
            <v>EAFE SC</v>
          </cell>
          <cell r="W2" t="str">
            <v>LBA</v>
          </cell>
          <cell r="X2" t="str">
            <v>LB Int Agg</v>
          </cell>
          <cell r="Y2" t="str">
            <v>Barclays Gov/Cr</v>
          </cell>
          <cell r="Z2" t="str">
            <v>CSFB Tremont</v>
          </cell>
          <cell r="AA2" t="str">
            <v>EAFE</v>
          </cell>
          <cell r="AB2" t="str">
            <v>EAFE G</v>
          </cell>
          <cell r="AC2" t="str">
            <v>EAFE V</v>
          </cell>
          <cell r="AD2" t="str">
            <v>GTAA</v>
          </cell>
          <cell r="AE2" t="str">
            <v>TAA/G</v>
          </cell>
          <cell r="AF2" t="str">
            <v>Intl Equity</v>
          </cell>
          <cell r="AG2" t="str">
            <v>NCREIF</v>
          </cell>
          <cell r="AH2" t="str">
            <v>DJ Wilsh REIT</v>
          </cell>
          <cell r="AI2" t="str">
            <v>BC HY</v>
          </cell>
          <cell r="AK2" t="str">
            <v>SP500</v>
          </cell>
          <cell r="AL2" t="str">
            <v>SP400</v>
          </cell>
          <cell r="AM2" t="str">
            <v>SP600</v>
          </cell>
          <cell r="AN2" t="str">
            <v>LBA</v>
          </cell>
          <cell r="AO2" t="str">
            <v>EAFE</v>
          </cell>
          <cell r="AP2" t="str">
            <v>ACWI</v>
          </cell>
          <cell r="AQ2" t="str">
            <v>NCREIF+1%</v>
          </cell>
          <cell r="AR2" t="str">
            <v>TOTAL</v>
          </cell>
          <cell r="AS2" t="str">
            <v>Total Fund</v>
          </cell>
          <cell r="AU2" t="str">
            <v>SP500</v>
          </cell>
          <cell r="AV2" t="str">
            <v>SP400</v>
          </cell>
          <cell r="AW2" t="str">
            <v>R2000</v>
          </cell>
          <cell r="AX2" t="str">
            <v>SP600</v>
          </cell>
          <cell r="AY2" t="str">
            <v>EAFE</v>
          </cell>
          <cell r="AZ2" t="str">
            <v>ACWI</v>
          </cell>
          <cell r="BA2" t="str">
            <v>EAFE SC</v>
          </cell>
          <cell r="BB2" t="str">
            <v>LBA</v>
          </cell>
          <cell r="BC2" t="str">
            <v>NCREIF+1%</v>
          </cell>
          <cell r="BD2" t="str">
            <v>TAA</v>
          </cell>
          <cell r="BE2" t="str">
            <v>TOTAL</v>
          </cell>
          <cell r="BF2" t="str">
            <v>Total Fund</v>
          </cell>
        </row>
        <row r="3">
          <cell r="A3">
            <v>27606</v>
          </cell>
          <cell r="B3">
            <v>-6.4398</v>
          </cell>
          <cell r="C3">
            <v>-8.8300999999999998</v>
          </cell>
          <cell r="D3">
            <v>-4.12</v>
          </cell>
          <cell r="AA3">
            <v>-4.1040000000000001</v>
          </cell>
          <cell r="AB3">
            <v>-3.7361</v>
          </cell>
          <cell r="AC3">
            <v>-4.3648999999999996</v>
          </cell>
          <cell r="AF3">
            <v>-4.1040000000000001</v>
          </cell>
          <cell r="AK3">
            <v>0.4</v>
          </cell>
          <cell r="AN3">
            <v>0.6</v>
          </cell>
          <cell r="AO3">
            <v>0</v>
          </cell>
          <cell r="AP3">
            <v>0</v>
          </cell>
          <cell r="AR3">
            <v>1</v>
          </cell>
          <cell r="AS3">
            <v>-2.57592</v>
          </cell>
          <cell r="AT3">
            <v>-2.57592</v>
          </cell>
        </row>
        <row r="4">
          <cell r="A4">
            <v>27637</v>
          </cell>
          <cell r="B4">
            <v>-1.7577</v>
          </cell>
          <cell r="C4">
            <v>-1.9588000000000001</v>
          </cell>
          <cell r="D4">
            <v>-0.94</v>
          </cell>
          <cell r="AA4">
            <v>-0.13300000000000001</v>
          </cell>
          <cell r="AB4">
            <v>-0.75519999999999998</v>
          </cell>
          <cell r="AC4">
            <v>0.42880000000000001</v>
          </cell>
          <cell r="AF4">
            <v>-0.13300000000000001</v>
          </cell>
          <cell r="AK4">
            <v>0.4</v>
          </cell>
          <cell r="AN4">
            <v>0.6</v>
          </cell>
          <cell r="AO4">
            <v>0</v>
          </cell>
          <cell r="AP4">
            <v>0</v>
          </cell>
          <cell r="AR4">
            <v>1</v>
          </cell>
          <cell r="AS4">
            <v>-0.70308000000000004</v>
          </cell>
          <cell r="AT4">
            <v>-0.70308000000000004</v>
          </cell>
        </row>
        <row r="5">
          <cell r="A5">
            <v>27667</v>
          </cell>
          <cell r="B5">
            <v>-3.1192000000000002</v>
          </cell>
          <cell r="C5">
            <v>-4.1500000000000004</v>
          </cell>
          <cell r="D5">
            <v>-2.19</v>
          </cell>
          <cell r="AA5">
            <v>-4.532</v>
          </cell>
          <cell r="AB5">
            <v>-4.5349000000000004</v>
          </cell>
          <cell r="AC5">
            <v>-4.1989000000000001</v>
          </cell>
          <cell r="AF5">
            <v>-4.532</v>
          </cell>
          <cell r="AK5">
            <v>0.4</v>
          </cell>
          <cell r="AN5">
            <v>0.6</v>
          </cell>
          <cell r="AO5">
            <v>0</v>
          </cell>
          <cell r="AP5">
            <v>0</v>
          </cell>
          <cell r="AR5">
            <v>1</v>
          </cell>
          <cell r="AS5">
            <v>-1.2476800000000001</v>
          </cell>
          <cell r="AT5">
            <v>-1.2476800000000001</v>
          </cell>
        </row>
        <row r="6">
          <cell r="A6">
            <v>27698</v>
          </cell>
          <cell r="B6">
            <v>6.5339</v>
          </cell>
          <cell r="C6">
            <v>7.9196</v>
          </cell>
          <cell r="D6">
            <v>5.04</v>
          </cell>
          <cell r="AA6">
            <v>8.641</v>
          </cell>
          <cell r="AB6">
            <v>7.5274000000000001</v>
          </cell>
          <cell r="AC6">
            <v>9.7279</v>
          </cell>
          <cell r="AF6">
            <v>8.641</v>
          </cell>
          <cell r="AK6">
            <v>0.4</v>
          </cell>
          <cell r="AN6">
            <v>0.6</v>
          </cell>
          <cell r="AO6">
            <v>0</v>
          </cell>
          <cell r="AP6">
            <v>0</v>
          </cell>
          <cell r="AR6">
            <v>1</v>
          </cell>
          <cell r="AS6">
            <v>2.6135600000000001</v>
          </cell>
          <cell r="AT6">
            <v>2.6135600000000001</v>
          </cell>
        </row>
        <row r="7">
          <cell r="A7">
            <v>27728</v>
          </cell>
          <cell r="B7">
            <v>2.819</v>
          </cell>
          <cell r="C7">
            <v>3.5388999999999999</v>
          </cell>
          <cell r="D7">
            <v>2.5</v>
          </cell>
          <cell r="AA7">
            <v>2.3860000000000001</v>
          </cell>
          <cell r="AB7">
            <v>2.3658000000000001</v>
          </cell>
          <cell r="AC7">
            <v>2.4045000000000001</v>
          </cell>
          <cell r="AF7">
            <v>2.3860000000000001</v>
          </cell>
          <cell r="AK7">
            <v>0.4</v>
          </cell>
          <cell r="AN7">
            <v>0.6</v>
          </cell>
          <cell r="AO7">
            <v>0</v>
          </cell>
          <cell r="AP7">
            <v>0</v>
          </cell>
          <cell r="AR7">
            <v>1</v>
          </cell>
          <cell r="AS7">
            <v>1.1275999999999999</v>
          </cell>
          <cell r="AT7">
            <v>1.1275999999999999</v>
          </cell>
        </row>
        <row r="8">
          <cell r="A8">
            <v>27759</v>
          </cell>
          <cell r="B8">
            <v>-0.81100000000000005</v>
          </cell>
          <cell r="C8">
            <v>-2.4893999999999998</v>
          </cell>
          <cell r="D8">
            <v>0.67</v>
          </cell>
          <cell r="AA8">
            <v>2.1629999999999998</v>
          </cell>
          <cell r="AB8">
            <v>1.3871</v>
          </cell>
          <cell r="AC8">
            <v>2.8372000000000002</v>
          </cell>
          <cell r="AF8">
            <v>2.1629999999999998</v>
          </cell>
          <cell r="AK8">
            <v>0.4</v>
          </cell>
          <cell r="AN8">
            <v>0.6</v>
          </cell>
          <cell r="AO8">
            <v>0</v>
          </cell>
          <cell r="AP8">
            <v>0</v>
          </cell>
          <cell r="AR8">
            <v>1</v>
          </cell>
          <cell r="AS8">
            <v>-0.32440000000000002</v>
          </cell>
          <cell r="AT8">
            <v>-0.32440000000000002</v>
          </cell>
        </row>
        <row r="9">
          <cell r="A9">
            <v>27790</v>
          </cell>
          <cell r="B9">
            <v>12.174300000000001</v>
          </cell>
          <cell r="C9">
            <v>11.9407</v>
          </cell>
          <cell r="D9">
            <v>11.76</v>
          </cell>
          <cell r="W9">
            <v>1.95</v>
          </cell>
          <cell r="X9">
            <v>1.29</v>
          </cell>
          <cell r="AA9">
            <v>5.2960000000000003</v>
          </cell>
          <cell r="AB9">
            <v>4.2880000000000003</v>
          </cell>
          <cell r="AC9">
            <v>6.1661999999999999</v>
          </cell>
          <cell r="AF9">
            <v>5.2960000000000003</v>
          </cell>
          <cell r="AK9">
            <v>0.4</v>
          </cell>
          <cell r="AN9">
            <v>0.6</v>
          </cell>
          <cell r="AO9">
            <v>0</v>
          </cell>
          <cell r="AP9">
            <v>0</v>
          </cell>
          <cell r="AR9">
            <v>1</v>
          </cell>
          <cell r="AS9">
            <v>6.0397200000000009</v>
          </cell>
          <cell r="AT9">
            <v>6.0397200000000009</v>
          </cell>
        </row>
        <row r="10">
          <cell r="A10">
            <v>27819</v>
          </cell>
          <cell r="B10">
            <v>-0.84279999999999999</v>
          </cell>
          <cell r="C10">
            <v>-2.1798999999999999</v>
          </cell>
          <cell r="D10">
            <v>1.0900000000000001</v>
          </cell>
          <cell r="W10">
            <v>0.755</v>
          </cell>
          <cell r="X10">
            <v>0.51</v>
          </cell>
          <cell r="AA10">
            <v>-0.754</v>
          </cell>
          <cell r="AB10">
            <v>-0.99050000000000005</v>
          </cell>
          <cell r="AC10">
            <v>-0.65200000000000002</v>
          </cell>
          <cell r="AF10">
            <v>-0.754</v>
          </cell>
          <cell r="AK10">
            <v>0.4</v>
          </cell>
          <cell r="AN10">
            <v>0.6</v>
          </cell>
          <cell r="AO10">
            <v>0</v>
          </cell>
          <cell r="AP10">
            <v>0</v>
          </cell>
          <cell r="AR10">
            <v>1</v>
          </cell>
          <cell r="AS10">
            <v>0.11587999999999993</v>
          </cell>
          <cell r="AT10">
            <v>0.11587999999999993</v>
          </cell>
        </row>
        <row r="11">
          <cell r="A11">
            <v>27850</v>
          </cell>
          <cell r="B11">
            <v>3.3698000000000001</v>
          </cell>
          <cell r="C11">
            <v>3.2783000000000002</v>
          </cell>
          <cell r="D11">
            <v>3.26</v>
          </cell>
          <cell r="W11">
            <v>1.1970000000000001</v>
          </cell>
          <cell r="X11">
            <v>0.9</v>
          </cell>
          <cell r="AA11">
            <v>-1.679</v>
          </cell>
          <cell r="AB11">
            <v>-2.1440000000000001</v>
          </cell>
          <cell r="AC11">
            <v>-1.1325000000000001</v>
          </cell>
          <cell r="AF11">
            <v>-1.679</v>
          </cell>
          <cell r="AK11">
            <v>0.4</v>
          </cell>
          <cell r="AN11">
            <v>0.6</v>
          </cell>
          <cell r="AO11">
            <v>0</v>
          </cell>
          <cell r="AP11">
            <v>0</v>
          </cell>
          <cell r="AR11">
            <v>1</v>
          </cell>
          <cell r="AS11">
            <v>2.0661200000000002</v>
          </cell>
          <cell r="AT11">
            <v>2.0661200000000002</v>
          </cell>
        </row>
        <row r="12">
          <cell r="A12">
            <v>27880</v>
          </cell>
          <cell r="B12">
            <v>-0.77839999999999998</v>
          </cell>
          <cell r="C12">
            <v>-2.62</v>
          </cell>
          <cell r="D12">
            <v>0.75</v>
          </cell>
          <cell r="W12">
            <v>0.55800000000000005</v>
          </cell>
          <cell r="X12">
            <v>0.74</v>
          </cell>
          <cell r="AA12">
            <v>-0.45</v>
          </cell>
          <cell r="AB12">
            <v>-0.63229999999999997</v>
          </cell>
          <cell r="AC12">
            <v>-0.35539999999999999</v>
          </cell>
          <cell r="AF12">
            <v>-0.45</v>
          </cell>
          <cell r="AK12">
            <v>0.4</v>
          </cell>
          <cell r="AN12">
            <v>0.6</v>
          </cell>
          <cell r="AO12">
            <v>0</v>
          </cell>
          <cell r="AP12">
            <v>0</v>
          </cell>
          <cell r="AR12">
            <v>1</v>
          </cell>
          <cell r="AS12">
            <v>2.3440000000000016E-2</v>
          </cell>
          <cell r="AT12">
            <v>2.3440000000000016E-2</v>
          </cell>
        </row>
        <row r="13">
          <cell r="A13">
            <v>27911</v>
          </cell>
          <cell r="B13">
            <v>-1.1117999999999999</v>
          </cell>
          <cell r="C13">
            <v>-1.4595</v>
          </cell>
          <cell r="D13">
            <v>-0.16</v>
          </cell>
          <cell r="W13">
            <v>-0.90900000000000003</v>
          </cell>
          <cell r="X13">
            <v>-0.69</v>
          </cell>
          <cell r="AA13">
            <v>-2.6989999999999998</v>
          </cell>
          <cell r="AB13">
            <v>-2.9937</v>
          </cell>
          <cell r="AC13">
            <v>-2.4335</v>
          </cell>
          <cell r="AF13">
            <v>-2.6989999999999998</v>
          </cell>
          <cell r="AK13">
            <v>0.4</v>
          </cell>
          <cell r="AN13">
            <v>0.6</v>
          </cell>
          <cell r="AO13">
            <v>0</v>
          </cell>
          <cell r="AP13">
            <v>0</v>
          </cell>
          <cell r="AR13">
            <v>1</v>
          </cell>
          <cell r="AS13">
            <v>-0.99012</v>
          </cell>
          <cell r="AT13">
            <v>-0.99012</v>
          </cell>
        </row>
        <row r="14">
          <cell r="A14">
            <v>27941</v>
          </cell>
          <cell r="B14">
            <v>4.4320000000000004</v>
          </cell>
          <cell r="C14">
            <v>4.5511999999999997</v>
          </cell>
          <cell r="D14">
            <v>4.0999999999999996</v>
          </cell>
          <cell r="W14">
            <v>1.419</v>
          </cell>
          <cell r="X14">
            <v>1.29</v>
          </cell>
          <cell r="AA14">
            <v>1.6839999999999999</v>
          </cell>
          <cell r="AB14">
            <v>1.5641</v>
          </cell>
          <cell r="AC14">
            <v>1.7866</v>
          </cell>
          <cell r="AF14">
            <v>1.6839999999999999</v>
          </cell>
          <cell r="AK14">
            <v>0.4</v>
          </cell>
          <cell r="AN14">
            <v>0.6</v>
          </cell>
          <cell r="AO14">
            <v>0</v>
          </cell>
          <cell r="AP14">
            <v>0</v>
          </cell>
          <cell r="AR14">
            <v>1</v>
          </cell>
          <cell r="AS14">
            <v>2.6242000000000001</v>
          </cell>
          <cell r="AT14">
            <v>2.6242000000000001</v>
          </cell>
        </row>
        <row r="15">
          <cell r="A15">
            <v>27972</v>
          </cell>
          <cell r="B15">
            <v>-0.47949999999999998</v>
          </cell>
          <cell r="C15">
            <v>-1.5313000000000001</v>
          </cell>
          <cell r="D15">
            <v>0.21</v>
          </cell>
          <cell r="W15">
            <v>1.171</v>
          </cell>
          <cell r="X15">
            <v>1.04</v>
          </cell>
          <cell r="AA15">
            <v>-1.1659999999999999</v>
          </cell>
          <cell r="AB15">
            <v>-1.0510999999999999</v>
          </cell>
          <cell r="AC15">
            <v>-1.4177</v>
          </cell>
          <cell r="AF15">
            <v>-1.1659999999999999</v>
          </cell>
          <cell r="AK15">
            <v>0.4</v>
          </cell>
          <cell r="AN15">
            <v>0.6</v>
          </cell>
          <cell r="AO15">
            <v>0</v>
          </cell>
          <cell r="AP15">
            <v>0</v>
          </cell>
          <cell r="AR15">
            <v>1</v>
          </cell>
          <cell r="AS15">
            <v>0.51080000000000003</v>
          </cell>
          <cell r="AT15">
            <v>0.51080000000000003</v>
          </cell>
        </row>
        <row r="16">
          <cell r="A16">
            <v>28003</v>
          </cell>
          <cell r="B16">
            <v>-0.1837</v>
          </cell>
          <cell r="C16">
            <v>-0.16889999999999999</v>
          </cell>
          <cell r="D16">
            <v>0.49</v>
          </cell>
          <cell r="W16">
            <v>1.788</v>
          </cell>
          <cell r="X16">
            <v>1.38</v>
          </cell>
          <cell r="AA16">
            <v>6.8000000000000005E-2</v>
          </cell>
          <cell r="AB16">
            <v>7.5499999999999998E-2</v>
          </cell>
          <cell r="AC16">
            <v>0.16200000000000001</v>
          </cell>
          <cell r="AF16">
            <v>6.8000000000000005E-2</v>
          </cell>
          <cell r="AK16">
            <v>0.4</v>
          </cell>
          <cell r="AN16">
            <v>0.6</v>
          </cell>
          <cell r="AO16">
            <v>0</v>
          </cell>
          <cell r="AP16">
            <v>0</v>
          </cell>
          <cell r="AR16">
            <v>1</v>
          </cell>
          <cell r="AS16">
            <v>0.99931999999999999</v>
          </cell>
          <cell r="AT16">
            <v>0.99931999999999999</v>
          </cell>
        </row>
        <row r="17">
          <cell r="A17">
            <v>28033</v>
          </cell>
          <cell r="B17">
            <v>2.5848</v>
          </cell>
          <cell r="C17">
            <v>1.6589</v>
          </cell>
          <cell r="D17">
            <v>3.23</v>
          </cell>
          <cell r="W17">
            <v>1.377</v>
          </cell>
          <cell r="X17">
            <v>1.07</v>
          </cell>
          <cell r="AA17">
            <v>-1.7170000000000001</v>
          </cell>
          <cell r="AB17">
            <v>-2.4946999999999999</v>
          </cell>
          <cell r="AC17">
            <v>-1.5035000000000001</v>
          </cell>
          <cell r="AF17">
            <v>-1.7170000000000001</v>
          </cell>
          <cell r="AK17">
            <v>0.4</v>
          </cell>
          <cell r="AN17">
            <v>0.6</v>
          </cell>
          <cell r="AO17">
            <v>0</v>
          </cell>
          <cell r="AP17">
            <v>0</v>
          </cell>
          <cell r="AR17">
            <v>1</v>
          </cell>
          <cell r="AS17">
            <v>1.8601199999999998</v>
          </cell>
          <cell r="AT17">
            <v>1.8601199999999998</v>
          </cell>
        </row>
        <row r="18">
          <cell r="A18">
            <v>28064</v>
          </cell>
          <cell r="B18">
            <v>-1.8624000000000001</v>
          </cell>
          <cell r="C18">
            <v>-2.1789000000000001</v>
          </cell>
          <cell r="D18">
            <v>-1.76</v>
          </cell>
          <cell r="W18">
            <v>1.0760000000000001</v>
          </cell>
          <cell r="X18">
            <v>1.22</v>
          </cell>
          <cell r="AA18">
            <v>-6.3719999999999999</v>
          </cell>
          <cell r="AB18">
            <v>-6.5572999999999997</v>
          </cell>
          <cell r="AC18">
            <v>-6.2938000000000001</v>
          </cell>
          <cell r="AF18">
            <v>-6.3719999999999999</v>
          </cell>
          <cell r="AK18">
            <v>0.4</v>
          </cell>
          <cell r="AN18">
            <v>0.6</v>
          </cell>
          <cell r="AO18">
            <v>0</v>
          </cell>
          <cell r="AP18">
            <v>0</v>
          </cell>
          <cell r="AR18">
            <v>1</v>
          </cell>
          <cell r="AS18">
            <v>-9.9360000000000004E-2</v>
          </cell>
          <cell r="AT18">
            <v>-9.9360000000000004E-2</v>
          </cell>
        </row>
        <row r="19">
          <cell r="A19">
            <v>28094</v>
          </cell>
          <cell r="B19">
            <v>-0.40820000000000001</v>
          </cell>
          <cell r="C19">
            <v>-1.5215000000000001</v>
          </cell>
          <cell r="D19">
            <v>1.47</v>
          </cell>
          <cell r="W19">
            <v>2.4180000000000001</v>
          </cell>
          <cell r="X19">
            <v>2.2400000000000002</v>
          </cell>
          <cell r="AA19">
            <v>1.234</v>
          </cell>
          <cell r="AB19">
            <v>1.4175</v>
          </cell>
          <cell r="AC19">
            <v>1.1577</v>
          </cell>
          <cell r="AF19">
            <v>1.234</v>
          </cell>
          <cell r="AK19">
            <v>0.4</v>
          </cell>
          <cell r="AN19">
            <v>0.6</v>
          </cell>
          <cell r="AO19">
            <v>0</v>
          </cell>
          <cell r="AP19">
            <v>0</v>
          </cell>
          <cell r="AR19">
            <v>1</v>
          </cell>
          <cell r="AS19">
            <v>1.28752</v>
          </cell>
          <cell r="AT19">
            <v>1.28752</v>
          </cell>
        </row>
        <row r="20">
          <cell r="A20">
            <v>28125</v>
          </cell>
          <cell r="B20">
            <v>5.6120999999999999</v>
          </cell>
          <cell r="C20">
            <v>4.22</v>
          </cell>
          <cell r="D20">
            <v>6.59</v>
          </cell>
          <cell r="W20">
            <v>1.823</v>
          </cell>
          <cell r="X20">
            <v>1.04</v>
          </cell>
          <cell r="AA20">
            <v>11.263999999999999</v>
          </cell>
          <cell r="AB20">
            <v>11.825900000000001</v>
          </cell>
          <cell r="AC20">
            <v>10.674300000000001</v>
          </cell>
          <cell r="AF20">
            <v>11.263999999999999</v>
          </cell>
          <cell r="AK20">
            <v>0.4</v>
          </cell>
          <cell r="AN20">
            <v>0.6</v>
          </cell>
          <cell r="AO20">
            <v>0</v>
          </cell>
          <cell r="AP20">
            <v>0</v>
          </cell>
          <cell r="AR20">
            <v>1</v>
          </cell>
          <cell r="AS20">
            <v>3.3386399999999998</v>
          </cell>
          <cell r="AT20">
            <v>3.3386399999999998</v>
          </cell>
        </row>
        <row r="21">
          <cell r="A21">
            <v>28156</v>
          </cell>
          <cell r="B21">
            <v>-4.7272999999999996</v>
          </cell>
          <cell r="C21">
            <v>-7.6485000000000003</v>
          </cell>
          <cell r="D21">
            <v>-2.08</v>
          </cell>
          <cell r="W21">
            <v>-1.92</v>
          </cell>
          <cell r="X21">
            <v>-1.52</v>
          </cell>
          <cell r="AA21">
            <v>-0.57999999999999996</v>
          </cell>
          <cell r="AB21">
            <v>-0.66439999999999999</v>
          </cell>
          <cell r="AC21">
            <v>-0.29870000000000002</v>
          </cell>
          <cell r="AF21">
            <v>-0.57999999999999996</v>
          </cell>
          <cell r="AK21">
            <v>0.4</v>
          </cell>
          <cell r="AN21">
            <v>0.6</v>
          </cell>
          <cell r="AO21">
            <v>0</v>
          </cell>
          <cell r="AP21">
            <v>0</v>
          </cell>
          <cell r="AR21">
            <v>1</v>
          </cell>
          <cell r="AS21">
            <v>-3.0429199999999996</v>
          </cell>
          <cell r="AT21">
            <v>-3.0429199999999996</v>
          </cell>
        </row>
        <row r="22">
          <cell r="A22">
            <v>28184</v>
          </cell>
          <cell r="B22">
            <v>-1.823</v>
          </cell>
          <cell r="C22">
            <v>-1.5908</v>
          </cell>
          <cell r="D22">
            <v>-1.44</v>
          </cell>
          <cell r="W22">
            <v>0.379</v>
          </cell>
          <cell r="X22">
            <v>0.53</v>
          </cell>
          <cell r="AA22">
            <v>2.2200000000000002</v>
          </cell>
          <cell r="AB22">
            <v>1.7957000000000001</v>
          </cell>
          <cell r="AC22">
            <v>2.6459999999999999</v>
          </cell>
          <cell r="AF22">
            <v>2.2200000000000002</v>
          </cell>
          <cell r="AK22">
            <v>0.4</v>
          </cell>
          <cell r="AN22">
            <v>0.6</v>
          </cell>
          <cell r="AO22">
            <v>0</v>
          </cell>
          <cell r="AP22">
            <v>0</v>
          </cell>
          <cell r="AR22">
            <v>1</v>
          </cell>
          <cell r="AS22">
            <v>-0.50180000000000002</v>
          </cell>
          <cell r="AT22">
            <v>-0.50180000000000002</v>
          </cell>
        </row>
        <row r="23">
          <cell r="A23">
            <v>28215</v>
          </cell>
          <cell r="B23">
            <v>-1.0519000000000001</v>
          </cell>
          <cell r="C23">
            <v>-1.78</v>
          </cell>
          <cell r="D23">
            <v>-0.66</v>
          </cell>
          <cell r="W23">
            <v>0.747</v>
          </cell>
          <cell r="X23">
            <v>0.76</v>
          </cell>
          <cell r="AA23">
            <v>0.32600000000000001</v>
          </cell>
          <cell r="AB23">
            <v>-1.1289</v>
          </cell>
          <cell r="AC23">
            <v>1.8025</v>
          </cell>
          <cell r="AF23">
            <v>0.32600000000000001</v>
          </cell>
          <cell r="AK23">
            <v>0.4</v>
          </cell>
          <cell r="AN23">
            <v>0.6</v>
          </cell>
          <cell r="AO23">
            <v>0</v>
          </cell>
          <cell r="AP23">
            <v>0</v>
          </cell>
          <cell r="AR23">
            <v>1</v>
          </cell>
          <cell r="AS23">
            <v>2.7439999999999964E-2</v>
          </cell>
          <cell r="AT23">
            <v>2.7439999999999964E-2</v>
          </cell>
        </row>
        <row r="24">
          <cell r="A24">
            <v>28245</v>
          </cell>
          <cell r="B24">
            <v>0.41660000000000003</v>
          </cell>
          <cell r="C24">
            <v>-2.1004999999999998</v>
          </cell>
          <cell r="D24">
            <v>2.2799999999999998</v>
          </cell>
          <cell r="W24">
            <v>0.90700000000000003</v>
          </cell>
          <cell r="X24">
            <v>0.72</v>
          </cell>
          <cell r="AA24">
            <v>2.9350000000000001</v>
          </cell>
          <cell r="AB24">
            <v>2.3330000000000002</v>
          </cell>
          <cell r="AC24">
            <v>3.3679000000000001</v>
          </cell>
          <cell r="AF24">
            <v>2.9350000000000001</v>
          </cell>
          <cell r="AK24">
            <v>0.4</v>
          </cell>
          <cell r="AN24">
            <v>0.6</v>
          </cell>
          <cell r="AO24">
            <v>0</v>
          </cell>
          <cell r="AP24">
            <v>0</v>
          </cell>
          <cell r="AR24">
            <v>1</v>
          </cell>
          <cell r="AS24">
            <v>0.71084000000000003</v>
          </cell>
          <cell r="AT24">
            <v>0.71084000000000003</v>
          </cell>
        </row>
        <row r="25">
          <cell r="A25">
            <v>28276</v>
          </cell>
          <cell r="B25">
            <v>-1.9605999999999999</v>
          </cell>
          <cell r="C25">
            <v>-2.6688000000000001</v>
          </cell>
          <cell r="D25">
            <v>-0.47</v>
          </cell>
          <cell r="W25">
            <v>0.69099999999999995</v>
          </cell>
          <cell r="X25">
            <v>0.5</v>
          </cell>
          <cell r="AA25">
            <v>-0.40100000000000002</v>
          </cell>
          <cell r="AB25">
            <v>-0.47349999999999998</v>
          </cell>
          <cell r="AC25">
            <v>-0.35920000000000002</v>
          </cell>
          <cell r="AF25">
            <v>-0.40100000000000002</v>
          </cell>
          <cell r="AK25">
            <v>0.4</v>
          </cell>
          <cell r="AN25">
            <v>0.6</v>
          </cell>
          <cell r="AO25">
            <v>0</v>
          </cell>
          <cell r="AP25">
            <v>0</v>
          </cell>
          <cell r="AR25">
            <v>1</v>
          </cell>
          <cell r="AS25">
            <v>-0.36964000000000008</v>
          </cell>
          <cell r="AT25">
            <v>-0.36964000000000008</v>
          </cell>
        </row>
        <row r="26">
          <cell r="A26">
            <v>28306</v>
          </cell>
          <cell r="B26">
            <v>4.9417</v>
          </cell>
          <cell r="C26">
            <v>6.1403999999999996</v>
          </cell>
          <cell r="D26">
            <v>3.43</v>
          </cell>
          <cell r="W26">
            <v>1.4159999999999999</v>
          </cell>
          <cell r="X26">
            <v>1.18</v>
          </cell>
          <cell r="AA26">
            <v>2.2480000000000002</v>
          </cell>
          <cell r="AB26">
            <v>2.4100999999999999</v>
          </cell>
          <cell r="AC26">
            <v>2.1221999999999999</v>
          </cell>
          <cell r="AF26">
            <v>2.2480000000000002</v>
          </cell>
          <cell r="AK26">
            <v>0.4</v>
          </cell>
          <cell r="AN26">
            <v>0.6</v>
          </cell>
          <cell r="AO26">
            <v>0</v>
          </cell>
          <cell r="AP26">
            <v>0</v>
          </cell>
          <cell r="AR26">
            <v>1</v>
          </cell>
          <cell r="AS26">
            <v>2.8262799999999997</v>
          </cell>
          <cell r="AT26">
            <v>2.8262799999999997</v>
          </cell>
        </row>
        <row r="27">
          <cell r="A27">
            <v>28337</v>
          </cell>
          <cell r="B27">
            <v>-1.244</v>
          </cell>
          <cell r="C27">
            <v>-1.4711000000000001</v>
          </cell>
          <cell r="D27">
            <v>-1.56</v>
          </cell>
          <cell r="W27">
            <v>-5.8999999999999997E-2</v>
          </cell>
          <cell r="X27">
            <v>-0.21</v>
          </cell>
          <cell r="AA27">
            <v>-1.492</v>
          </cell>
          <cell r="AB27">
            <v>-2.6928000000000001</v>
          </cell>
          <cell r="AC27">
            <v>-0.27439999999999998</v>
          </cell>
          <cell r="AF27">
            <v>-1.492</v>
          </cell>
          <cell r="AK27">
            <v>0.4</v>
          </cell>
          <cell r="AN27">
            <v>0.6</v>
          </cell>
          <cell r="AO27">
            <v>0</v>
          </cell>
          <cell r="AP27">
            <v>0</v>
          </cell>
          <cell r="AR27">
            <v>1</v>
          </cell>
          <cell r="AS27">
            <v>-0.53300000000000003</v>
          </cell>
          <cell r="AT27">
            <v>-0.53300000000000003</v>
          </cell>
        </row>
        <row r="28">
          <cell r="A28">
            <v>28368</v>
          </cell>
          <cell r="B28">
            <v>-1.7198</v>
          </cell>
          <cell r="C28">
            <v>0.94040000000000001</v>
          </cell>
          <cell r="D28">
            <v>-3.62</v>
          </cell>
          <cell r="W28">
            <v>0.95699999999999996</v>
          </cell>
          <cell r="X28">
            <v>0.68</v>
          </cell>
          <cell r="AA28">
            <v>4.431</v>
          </cell>
          <cell r="AB28">
            <v>4.8122999999999996</v>
          </cell>
          <cell r="AC28">
            <v>4.0025000000000004</v>
          </cell>
          <cell r="AF28">
            <v>4.431</v>
          </cell>
          <cell r="AK28">
            <v>0.4</v>
          </cell>
          <cell r="AN28">
            <v>0.6</v>
          </cell>
          <cell r="AO28">
            <v>0</v>
          </cell>
          <cell r="AP28">
            <v>0</v>
          </cell>
          <cell r="AR28">
            <v>1</v>
          </cell>
          <cell r="AS28">
            <v>-0.11372000000000015</v>
          </cell>
          <cell r="AT28">
            <v>-0.11372000000000015</v>
          </cell>
        </row>
        <row r="29">
          <cell r="A29">
            <v>28398</v>
          </cell>
          <cell r="B29">
            <v>0.155</v>
          </cell>
          <cell r="C29">
            <v>-0.80010000000000003</v>
          </cell>
          <cell r="D29">
            <v>0.88</v>
          </cell>
          <cell r="W29">
            <v>1E-3</v>
          </cell>
          <cell r="X29">
            <v>0.12</v>
          </cell>
          <cell r="AA29">
            <v>2.9849999999999999</v>
          </cell>
          <cell r="AB29">
            <v>4.1546000000000003</v>
          </cell>
          <cell r="AC29">
            <v>1.7463</v>
          </cell>
          <cell r="AF29">
            <v>2.9849999999999999</v>
          </cell>
          <cell r="AK29">
            <v>0.4</v>
          </cell>
          <cell r="AN29">
            <v>0.6</v>
          </cell>
          <cell r="AO29">
            <v>0</v>
          </cell>
          <cell r="AP29">
            <v>0</v>
          </cell>
          <cell r="AR29">
            <v>1</v>
          </cell>
          <cell r="AS29">
            <v>6.2600000000000003E-2</v>
          </cell>
          <cell r="AT29">
            <v>6.2600000000000003E-2</v>
          </cell>
        </row>
        <row r="30">
          <cell r="A30">
            <v>28429</v>
          </cell>
          <cell r="B30">
            <v>-3.8952</v>
          </cell>
          <cell r="C30">
            <v>-4.5395000000000003</v>
          </cell>
          <cell r="D30">
            <v>-3.68</v>
          </cell>
          <cell r="W30">
            <v>-0.52900000000000003</v>
          </cell>
          <cell r="X30">
            <v>-0.45</v>
          </cell>
          <cell r="AA30">
            <v>2.5190000000000001</v>
          </cell>
          <cell r="AB30">
            <v>2.1941000000000002</v>
          </cell>
          <cell r="AC30">
            <v>2.8132000000000001</v>
          </cell>
          <cell r="AF30">
            <v>2.5190000000000001</v>
          </cell>
          <cell r="AK30">
            <v>0.4</v>
          </cell>
          <cell r="AN30">
            <v>0.6</v>
          </cell>
          <cell r="AO30">
            <v>0</v>
          </cell>
          <cell r="AP30">
            <v>0</v>
          </cell>
          <cell r="AR30">
            <v>1</v>
          </cell>
          <cell r="AS30">
            <v>-1.87548</v>
          </cell>
          <cell r="AT30">
            <v>-1.87548</v>
          </cell>
        </row>
        <row r="31">
          <cell r="A31">
            <v>28459</v>
          </cell>
          <cell r="B31">
            <v>3.1621999999999999</v>
          </cell>
          <cell r="C31">
            <v>3.8298999999999999</v>
          </cell>
          <cell r="D31">
            <v>3.41</v>
          </cell>
          <cell r="W31">
            <v>0.89400000000000002</v>
          </cell>
          <cell r="X31">
            <v>0.94</v>
          </cell>
          <cell r="AA31">
            <v>-0.82799999999999996</v>
          </cell>
          <cell r="AB31">
            <v>-1.0403</v>
          </cell>
          <cell r="AC31">
            <v>-0.59730000000000005</v>
          </cell>
          <cell r="AF31">
            <v>-0.82799999999999996</v>
          </cell>
          <cell r="AK31">
            <v>0.4</v>
          </cell>
          <cell r="AN31">
            <v>0.6</v>
          </cell>
          <cell r="AO31">
            <v>0</v>
          </cell>
          <cell r="AP31">
            <v>0</v>
          </cell>
          <cell r="AR31">
            <v>1</v>
          </cell>
          <cell r="AS31">
            <v>1.80128</v>
          </cell>
          <cell r="AT31">
            <v>1.80128</v>
          </cell>
        </row>
        <row r="32">
          <cell r="A32">
            <v>28490</v>
          </cell>
          <cell r="B32">
            <v>0.74870000000000003</v>
          </cell>
          <cell r="C32">
            <v>-0.12089999999999999</v>
          </cell>
          <cell r="D32">
            <v>1.24</v>
          </cell>
          <cell r="W32">
            <v>-0.45100000000000001</v>
          </cell>
          <cell r="X32">
            <v>-0.06</v>
          </cell>
          <cell r="AA32">
            <v>3.7360000000000002</v>
          </cell>
          <cell r="AB32">
            <v>2.4388000000000001</v>
          </cell>
          <cell r="AC32">
            <v>5.0282</v>
          </cell>
          <cell r="AF32">
            <v>3.7360000000000002</v>
          </cell>
          <cell r="AK32">
            <v>0.4</v>
          </cell>
          <cell r="AN32">
            <v>0.6</v>
          </cell>
          <cell r="AO32">
            <v>0</v>
          </cell>
          <cell r="AP32">
            <v>0</v>
          </cell>
          <cell r="AR32">
            <v>1</v>
          </cell>
          <cell r="AS32">
            <v>2.8880000000000017E-2</v>
          </cell>
          <cell r="AT32">
            <v>2.8880000000000017E-2</v>
          </cell>
        </row>
        <row r="33">
          <cell r="A33">
            <v>28521</v>
          </cell>
          <cell r="B33">
            <v>-5.7412999999999998</v>
          </cell>
          <cell r="C33">
            <v>-6.1997999999999998</v>
          </cell>
          <cell r="D33">
            <v>-5.71</v>
          </cell>
          <cell r="W33">
            <v>-0.22700000000000001</v>
          </cell>
          <cell r="X33">
            <v>-0.03</v>
          </cell>
          <cell r="AA33">
            <v>1.31</v>
          </cell>
          <cell r="AB33">
            <v>1.4181999999999999</v>
          </cell>
          <cell r="AC33">
            <v>1.1007</v>
          </cell>
          <cell r="AF33">
            <v>1.31</v>
          </cell>
          <cell r="AK33">
            <v>0.4</v>
          </cell>
          <cell r="AN33">
            <v>0.6</v>
          </cell>
          <cell r="AO33">
            <v>0</v>
          </cell>
          <cell r="AP33">
            <v>0</v>
          </cell>
          <cell r="AR33">
            <v>1</v>
          </cell>
          <cell r="AS33">
            <v>-2.4327200000000002</v>
          </cell>
          <cell r="AT33">
            <v>-2.4327200000000002</v>
          </cell>
        </row>
        <row r="34">
          <cell r="A34">
            <v>28549</v>
          </cell>
          <cell r="B34">
            <v>-2.028</v>
          </cell>
          <cell r="C34">
            <v>-2.859</v>
          </cell>
          <cell r="D34">
            <v>-0.28000000000000003</v>
          </cell>
          <cell r="W34">
            <v>0.38700000000000001</v>
          </cell>
          <cell r="X34">
            <v>0.36</v>
          </cell>
          <cell r="AA34">
            <v>1.1759999999999999</v>
          </cell>
          <cell r="AB34">
            <v>1.0435000000000001</v>
          </cell>
          <cell r="AC34">
            <v>1.2330000000000001</v>
          </cell>
          <cell r="AF34">
            <v>1.1759999999999999</v>
          </cell>
          <cell r="AK34">
            <v>0.4</v>
          </cell>
          <cell r="AN34">
            <v>0.6</v>
          </cell>
          <cell r="AO34">
            <v>0</v>
          </cell>
          <cell r="AP34">
            <v>0</v>
          </cell>
          <cell r="AR34">
            <v>1</v>
          </cell>
          <cell r="AS34">
            <v>-0.57900000000000007</v>
          </cell>
          <cell r="AT34">
            <v>-0.57900000000000007</v>
          </cell>
        </row>
        <row r="35">
          <cell r="A35">
            <v>28580</v>
          </cell>
          <cell r="B35">
            <v>2.9411999999999998</v>
          </cell>
          <cell r="C35">
            <v>1.5794999999999999</v>
          </cell>
          <cell r="D35">
            <v>3.73</v>
          </cell>
          <cell r="W35">
            <v>0.31900000000000001</v>
          </cell>
          <cell r="X35">
            <v>0.38</v>
          </cell>
          <cell r="AA35">
            <v>7.3140000000000001</v>
          </cell>
          <cell r="AB35">
            <v>7.1120000000000001</v>
          </cell>
          <cell r="AC35">
            <v>7.5456000000000003</v>
          </cell>
          <cell r="AF35">
            <v>7.3140000000000001</v>
          </cell>
          <cell r="AK35">
            <v>0.4</v>
          </cell>
          <cell r="AN35">
            <v>0.6</v>
          </cell>
          <cell r="AO35">
            <v>0</v>
          </cell>
          <cell r="AP35">
            <v>0</v>
          </cell>
          <cell r="AR35">
            <v>1</v>
          </cell>
          <cell r="AS35">
            <v>1.36788</v>
          </cell>
          <cell r="AT35">
            <v>1.36788</v>
          </cell>
        </row>
        <row r="36">
          <cell r="A36">
            <v>28610</v>
          </cell>
          <cell r="B36">
            <v>9.0236999999999998</v>
          </cell>
          <cell r="C36">
            <v>11.2089</v>
          </cell>
          <cell r="D36">
            <v>6.35</v>
          </cell>
          <cell r="W36">
            <v>0.14199999999999999</v>
          </cell>
          <cell r="X36">
            <v>0.26</v>
          </cell>
          <cell r="AA36">
            <v>-0.69599999999999995</v>
          </cell>
          <cell r="AB36">
            <v>-0.67559999999999998</v>
          </cell>
          <cell r="AC36">
            <v>-0.64680000000000004</v>
          </cell>
          <cell r="AF36">
            <v>-0.69599999999999995</v>
          </cell>
          <cell r="AG36">
            <v>0.95860000000000001</v>
          </cell>
          <cell r="AK36">
            <v>0.4</v>
          </cell>
          <cell r="AN36">
            <v>0.6</v>
          </cell>
          <cell r="AO36">
            <v>0</v>
          </cell>
          <cell r="AP36">
            <v>0</v>
          </cell>
          <cell r="AR36">
            <v>1</v>
          </cell>
          <cell r="AS36">
            <v>3.69468</v>
          </cell>
          <cell r="AT36">
            <v>3.69468</v>
          </cell>
        </row>
        <row r="37">
          <cell r="A37">
            <v>28641</v>
          </cell>
          <cell r="B37">
            <v>0.91910000000000003</v>
          </cell>
          <cell r="C37">
            <v>1.5095000000000001</v>
          </cell>
          <cell r="D37">
            <v>1.22</v>
          </cell>
          <cell r="W37">
            <v>-0.45100000000000001</v>
          </cell>
          <cell r="X37">
            <v>-0.09</v>
          </cell>
          <cell r="AA37">
            <v>2.0750000000000002</v>
          </cell>
          <cell r="AB37">
            <v>1.2696000000000001</v>
          </cell>
          <cell r="AC37">
            <v>2.7877999999999998</v>
          </cell>
          <cell r="AF37">
            <v>2.0750000000000002</v>
          </cell>
          <cell r="AG37">
            <v>0.95860000000000001</v>
          </cell>
          <cell r="AK37">
            <v>0.4</v>
          </cell>
          <cell r="AN37">
            <v>0.6</v>
          </cell>
          <cell r="AO37">
            <v>0</v>
          </cell>
          <cell r="AP37">
            <v>0</v>
          </cell>
          <cell r="AR37">
            <v>1</v>
          </cell>
          <cell r="AS37">
            <v>9.7040000000000015E-2</v>
          </cell>
          <cell r="AT37">
            <v>9.7040000000000015E-2</v>
          </cell>
        </row>
        <row r="38">
          <cell r="A38">
            <v>28671</v>
          </cell>
          <cell r="B38">
            <v>-1.3773</v>
          </cell>
          <cell r="C38">
            <v>-0.98860000000000003</v>
          </cell>
          <cell r="D38">
            <v>-2.13</v>
          </cell>
          <cell r="W38">
            <v>-2.5000000000000001E-2</v>
          </cell>
          <cell r="X38">
            <v>-0.15</v>
          </cell>
          <cell r="AA38">
            <v>4.5439999999999996</v>
          </cell>
          <cell r="AB38">
            <v>4.8876999999999997</v>
          </cell>
          <cell r="AC38">
            <v>4.4657999999999998</v>
          </cell>
          <cell r="AF38">
            <v>4.5439999999999996</v>
          </cell>
          <cell r="AG38">
            <v>0.95860000000000001</v>
          </cell>
          <cell r="AK38">
            <v>0.4</v>
          </cell>
          <cell r="AN38">
            <v>0.6</v>
          </cell>
          <cell r="AO38">
            <v>0</v>
          </cell>
          <cell r="AP38">
            <v>0</v>
          </cell>
          <cell r="AR38">
            <v>1</v>
          </cell>
          <cell r="AS38">
            <v>-0.56591999999999998</v>
          </cell>
          <cell r="AT38">
            <v>-0.56591999999999998</v>
          </cell>
        </row>
        <row r="39">
          <cell r="A39">
            <v>28702</v>
          </cell>
          <cell r="B39">
            <v>5.8305999999999996</v>
          </cell>
          <cell r="C39">
            <v>7.0205000000000002</v>
          </cell>
          <cell r="D39">
            <v>4.13</v>
          </cell>
          <cell r="W39">
            <v>1.1399999999999999</v>
          </cell>
          <cell r="X39">
            <v>1</v>
          </cell>
          <cell r="AA39">
            <v>8.7420000000000009</v>
          </cell>
          <cell r="AB39">
            <v>8.1713000000000005</v>
          </cell>
          <cell r="AC39">
            <v>8.1376000000000008</v>
          </cell>
          <cell r="AF39">
            <v>8.7420000000000009</v>
          </cell>
          <cell r="AG39">
            <v>1.0114000000000001</v>
          </cell>
          <cell r="AK39">
            <v>0.4</v>
          </cell>
          <cell r="AN39">
            <v>0.6</v>
          </cell>
          <cell r="AO39">
            <v>0</v>
          </cell>
          <cell r="AP39">
            <v>0</v>
          </cell>
          <cell r="AR39">
            <v>1</v>
          </cell>
          <cell r="AS39">
            <v>3.0162399999999998</v>
          </cell>
          <cell r="AT39">
            <v>3.0162399999999998</v>
          </cell>
        </row>
        <row r="40">
          <cell r="A40">
            <v>28733</v>
          </cell>
          <cell r="B40">
            <v>3.0095000000000001</v>
          </cell>
          <cell r="C40">
            <v>2.7383999999999999</v>
          </cell>
          <cell r="D40">
            <v>4</v>
          </cell>
          <cell r="W40">
            <v>1.583</v>
          </cell>
          <cell r="X40">
            <v>1.1299999999999999</v>
          </cell>
          <cell r="AA40">
            <v>2.06</v>
          </cell>
          <cell r="AB40">
            <v>2.1735000000000002</v>
          </cell>
          <cell r="AC40">
            <v>1.93</v>
          </cell>
          <cell r="AF40">
            <v>2.06</v>
          </cell>
          <cell r="AG40">
            <v>1.0114000000000001</v>
          </cell>
          <cell r="AK40">
            <v>0.4</v>
          </cell>
          <cell r="AN40">
            <v>0.6</v>
          </cell>
          <cell r="AO40">
            <v>0</v>
          </cell>
          <cell r="AP40">
            <v>0</v>
          </cell>
          <cell r="AR40">
            <v>1</v>
          </cell>
          <cell r="AS40">
            <v>2.1536</v>
          </cell>
          <cell r="AT40">
            <v>2.1536</v>
          </cell>
        </row>
        <row r="41">
          <cell r="A41">
            <v>28763</v>
          </cell>
          <cell r="B41">
            <v>-0.31950000000000001</v>
          </cell>
          <cell r="C41">
            <v>-2.0897000000000001</v>
          </cell>
          <cell r="D41">
            <v>1.36</v>
          </cell>
          <cell r="W41">
            <v>-4.1000000000000002E-2</v>
          </cell>
          <cell r="X41">
            <v>0.19</v>
          </cell>
          <cell r="AA41">
            <v>3.0129999999999999</v>
          </cell>
          <cell r="AB41">
            <v>3.4676999999999998</v>
          </cell>
          <cell r="AC41">
            <v>2.4971000000000001</v>
          </cell>
          <cell r="AF41">
            <v>3.0129999999999999</v>
          </cell>
          <cell r="AG41">
            <v>1.0114000000000001</v>
          </cell>
          <cell r="AK41">
            <v>0.4</v>
          </cell>
          <cell r="AN41">
            <v>0.6</v>
          </cell>
          <cell r="AO41">
            <v>0</v>
          </cell>
          <cell r="AP41">
            <v>0</v>
          </cell>
          <cell r="AR41">
            <v>1</v>
          </cell>
          <cell r="AS41">
            <v>-0.15240000000000001</v>
          </cell>
          <cell r="AT41">
            <v>-0.15240000000000001</v>
          </cell>
        </row>
        <row r="42">
          <cell r="A42">
            <v>28794</v>
          </cell>
          <cell r="B42">
            <v>-8.7185000000000006</v>
          </cell>
          <cell r="C42">
            <v>-8.4597999999999995</v>
          </cell>
          <cell r="D42">
            <v>-9.23</v>
          </cell>
          <cell r="W42">
            <v>-1.4119999999999999</v>
          </cell>
          <cell r="X42">
            <v>-0.97</v>
          </cell>
          <cell r="AA42">
            <v>5.79</v>
          </cell>
          <cell r="AB42">
            <v>5.3963000000000001</v>
          </cell>
          <cell r="AC42">
            <v>6.2374999999999998</v>
          </cell>
          <cell r="AF42">
            <v>5.79</v>
          </cell>
          <cell r="AG42">
            <v>1.1189</v>
          </cell>
          <cell r="AK42">
            <v>0.4</v>
          </cell>
          <cell r="AN42">
            <v>0.6</v>
          </cell>
          <cell r="AO42">
            <v>0</v>
          </cell>
          <cell r="AP42">
            <v>0</v>
          </cell>
          <cell r="AR42">
            <v>1</v>
          </cell>
          <cell r="AS42">
            <v>-4.3346</v>
          </cell>
          <cell r="AT42">
            <v>-4.3346</v>
          </cell>
        </row>
        <row r="43">
          <cell r="A43">
            <v>28824</v>
          </cell>
          <cell r="B43">
            <v>2.1471</v>
          </cell>
          <cell r="C43">
            <v>1.9395</v>
          </cell>
          <cell r="D43">
            <v>3.16</v>
          </cell>
          <cell r="W43">
            <v>0.97699999999999998</v>
          </cell>
          <cell r="X43">
            <v>0.75</v>
          </cell>
          <cell r="AA43">
            <v>-9.2680000000000007</v>
          </cell>
          <cell r="AB43">
            <v>-10.1732</v>
          </cell>
          <cell r="AC43">
            <v>-8.3778000000000006</v>
          </cell>
          <cell r="AF43">
            <v>-9.2680000000000007</v>
          </cell>
          <cell r="AG43">
            <v>1.1189</v>
          </cell>
          <cell r="AK43">
            <v>0.4</v>
          </cell>
          <cell r="AN43">
            <v>0.6</v>
          </cell>
          <cell r="AO43">
            <v>0</v>
          </cell>
          <cell r="AP43">
            <v>0</v>
          </cell>
          <cell r="AR43">
            <v>1</v>
          </cell>
          <cell r="AS43">
            <v>1.4450400000000001</v>
          </cell>
          <cell r="AT43">
            <v>1.4450400000000001</v>
          </cell>
        </row>
        <row r="44">
          <cell r="A44">
            <v>28855</v>
          </cell>
          <cell r="B44">
            <v>1.9641</v>
          </cell>
          <cell r="C44">
            <v>2.7509000000000001</v>
          </cell>
          <cell r="D44">
            <v>0.51</v>
          </cell>
          <cell r="W44">
            <v>-0.95899999999999996</v>
          </cell>
          <cell r="X44">
            <v>-0.62</v>
          </cell>
          <cell r="AA44">
            <v>4.992</v>
          </cell>
          <cell r="AB44">
            <v>4.1802000000000001</v>
          </cell>
          <cell r="AC44">
            <v>5.6235999999999997</v>
          </cell>
          <cell r="AF44">
            <v>4.992</v>
          </cell>
          <cell r="AG44">
            <v>1.1189</v>
          </cell>
          <cell r="AK44">
            <v>0.4</v>
          </cell>
          <cell r="AN44">
            <v>0.6</v>
          </cell>
          <cell r="AO44">
            <v>0</v>
          </cell>
          <cell r="AP44">
            <v>0</v>
          </cell>
          <cell r="AR44">
            <v>1</v>
          </cell>
          <cell r="AS44">
            <v>0.21024000000000009</v>
          </cell>
          <cell r="AT44">
            <v>0.21024000000000009</v>
          </cell>
        </row>
        <row r="45">
          <cell r="A45">
            <v>28886</v>
          </cell>
          <cell r="B45">
            <v>4.4324000000000003</v>
          </cell>
          <cell r="C45">
            <v>3.1507999999999998</v>
          </cell>
          <cell r="D45">
            <v>5.37</v>
          </cell>
          <cell r="H45">
            <v>9.2550000000000008</v>
          </cell>
          <cell r="I45">
            <v>8.3390000000000004</v>
          </cell>
          <cell r="J45">
            <v>10.223000000000001</v>
          </cell>
          <cell r="N45">
            <v>9.2550000000000008</v>
          </cell>
          <cell r="O45">
            <v>8.3390000000000004</v>
          </cell>
          <cell r="P45">
            <v>10.223000000000001</v>
          </cell>
          <cell r="R45">
            <v>7.59</v>
          </cell>
          <cell r="S45">
            <v>4.8959999999999999</v>
          </cell>
          <cell r="W45">
            <v>1.871</v>
          </cell>
          <cell r="X45">
            <v>1.82</v>
          </cell>
          <cell r="AA45">
            <v>0.63500000000000001</v>
          </cell>
          <cell r="AB45">
            <v>-0.17419999999999999</v>
          </cell>
          <cell r="AC45">
            <v>1.3297000000000001</v>
          </cell>
          <cell r="AF45">
            <v>0.63500000000000001</v>
          </cell>
          <cell r="AG45">
            <v>1.925</v>
          </cell>
          <cell r="AK45">
            <v>0.4</v>
          </cell>
          <cell r="AN45">
            <v>0.6</v>
          </cell>
          <cell r="AO45">
            <v>0</v>
          </cell>
          <cell r="AP45">
            <v>0</v>
          </cell>
          <cell r="AR45">
            <v>1</v>
          </cell>
          <cell r="AS45">
            <v>2.8955600000000006</v>
          </cell>
          <cell r="AT45">
            <v>2.8955600000000006</v>
          </cell>
        </row>
        <row r="46">
          <cell r="A46">
            <v>28914</v>
          </cell>
          <cell r="B46">
            <v>-3.2122000000000002</v>
          </cell>
          <cell r="C46">
            <v>-3.5508999999999999</v>
          </cell>
          <cell r="D46">
            <v>-2.04</v>
          </cell>
          <cell r="H46">
            <v>-2.8010000000000002</v>
          </cell>
          <cell r="I46">
            <v>-3.1259999999999999</v>
          </cell>
          <cell r="J46">
            <v>-2.4660000000000002</v>
          </cell>
          <cell r="N46">
            <v>-2.8010000000000002</v>
          </cell>
          <cell r="O46">
            <v>-3.1259999999999999</v>
          </cell>
          <cell r="P46">
            <v>-2.4660000000000002</v>
          </cell>
          <cell r="R46">
            <v>-2.59</v>
          </cell>
          <cell r="S46">
            <v>-2.7650000000000001</v>
          </cell>
          <cell r="W46">
            <v>-0.42299999999999999</v>
          </cell>
          <cell r="X46">
            <v>0.04</v>
          </cell>
          <cell r="AA46">
            <v>-0.499</v>
          </cell>
          <cell r="AB46">
            <v>-0.73040000000000005</v>
          </cell>
          <cell r="AC46">
            <v>-0.22950000000000001</v>
          </cell>
          <cell r="AF46">
            <v>-0.499</v>
          </cell>
          <cell r="AG46">
            <v>1.925</v>
          </cell>
          <cell r="AK46">
            <v>0.4</v>
          </cell>
          <cell r="AN46">
            <v>0.6</v>
          </cell>
          <cell r="AO46">
            <v>0</v>
          </cell>
          <cell r="AP46">
            <v>0</v>
          </cell>
          <cell r="AR46">
            <v>1</v>
          </cell>
          <cell r="AS46">
            <v>-1.5386800000000003</v>
          </cell>
          <cell r="AT46">
            <v>-1.5386800000000003</v>
          </cell>
        </row>
        <row r="47">
          <cell r="A47">
            <v>28945</v>
          </cell>
          <cell r="B47">
            <v>5.9618000000000002</v>
          </cell>
          <cell r="C47">
            <v>5.5509000000000004</v>
          </cell>
          <cell r="D47">
            <v>5.8</v>
          </cell>
          <cell r="H47">
            <v>10.063000000000001</v>
          </cell>
          <cell r="I47">
            <v>11.522</v>
          </cell>
          <cell r="J47">
            <v>8.6959999999999997</v>
          </cell>
          <cell r="N47">
            <v>10.063000000000001</v>
          </cell>
          <cell r="O47">
            <v>11.522</v>
          </cell>
          <cell r="P47">
            <v>8.6959999999999997</v>
          </cell>
          <cell r="R47">
            <v>8.99</v>
          </cell>
          <cell r="S47">
            <v>6.6109999999999998</v>
          </cell>
          <cell r="W47">
            <v>1.028</v>
          </cell>
          <cell r="X47">
            <v>0.96</v>
          </cell>
          <cell r="AA47">
            <v>2.339</v>
          </cell>
          <cell r="AB47">
            <v>2.6082999999999998</v>
          </cell>
          <cell r="AC47">
            <v>1.5757000000000001</v>
          </cell>
          <cell r="AF47">
            <v>2.339</v>
          </cell>
          <cell r="AG47">
            <v>1.925</v>
          </cell>
          <cell r="AK47">
            <v>0.4</v>
          </cell>
          <cell r="AN47">
            <v>0.6</v>
          </cell>
          <cell r="AO47">
            <v>0</v>
          </cell>
          <cell r="AP47">
            <v>0</v>
          </cell>
          <cell r="AR47">
            <v>1</v>
          </cell>
          <cell r="AS47">
            <v>3.0015200000000002</v>
          </cell>
          <cell r="AT47">
            <v>3.0015200000000002</v>
          </cell>
        </row>
        <row r="48">
          <cell r="A48">
            <v>28975</v>
          </cell>
          <cell r="B48">
            <v>0.63</v>
          </cell>
          <cell r="C48">
            <v>0.24859999999999999</v>
          </cell>
          <cell r="D48">
            <v>0.6</v>
          </cell>
          <cell r="H48">
            <v>2.492</v>
          </cell>
          <cell r="I48">
            <v>2.2370000000000001</v>
          </cell>
          <cell r="J48">
            <v>2.7549999999999999</v>
          </cell>
          <cell r="N48">
            <v>2.492</v>
          </cell>
          <cell r="O48">
            <v>2.2370000000000001</v>
          </cell>
          <cell r="P48">
            <v>2.7549999999999999</v>
          </cell>
          <cell r="R48">
            <v>2.12</v>
          </cell>
          <cell r="S48">
            <v>0.73099999999999998</v>
          </cell>
          <cell r="W48">
            <v>-0.16200000000000001</v>
          </cell>
          <cell r="X48">
            <v>0.14000000000000001</v>
          </cell>
          <cell r="AA48">
            <v>-0.37</v>
          </cell>
          <cell r="AB48">
            <v>-0.99809999999999999</v>
          </cell>
          <cell r="AC48">
            <v>-0.1002</v>
          </cell>
          <cell r="AF48">
            <v>-0.37</v>
          </cell>
          <cell r="AG48">
            <v>1.2546999999999999</v>
          </cell>
          <cell r="AK48">
            <v>0.4</v>
          </cell>
          <cell r="AN48">
            <v>0.6</v>
          </cell>
          <cell r="AO48">
            <v>0</v>
          </cell>
          <cell r="AP48">
            <v>0</v>
          </cell>
          <cell r="AR48">
            <v>1</v>
          </cell>
          <cell r="AS48">
            <v>0.15479999999999999</v>
          </cell>
          <cell r="AT48">
            <v>0.15479999999999999</v>
          </cell>
        </row>
        <row r="49">
          <cell r="A49">
            <v>29006</v>
          </cell>
          <cell r="B49">
            <v>-2.1718000000000002</v>
          </cell>
          <cell r="C49">
            <v>-2.0992000000000002</v>
          </cell>
          <cell r="D49">
            <v>-1.17</v>
          </cell>
          <cell r="H49">
            <v>-1.401</v>
          </cell>
          <cell r="I49">
            <v>-1.9810000000000001</v>
          </cell>
          <cell r="J49">
            <v>-0.86599999999999999</v>
          </cell>
          <cell r="N49">
            <v>-1.401</v>
          </cell>
          <cell r="O49">
            <v>-1.9810000000000001</v>
          </cell>
          <cell r="P49">
            <v>-0.86599999999999999</v>
          </cell>
          <cell r="R49">
            <v>-1.29</v>
          </cell>
          <cell r="S49">
            <v>-1.3660000000000001</v>
          </cell>
          <cell r="W49">
            <v>1.869</v>
          </cell>
          <cell r="X49">
            <v>1.59</v>
          </cell>
          <cell r="AA49">
            <v>-2.0569999999999999</v>
          </cell>
          <cell r="AB49">
            <v>-2.0358999999999998</v>
          </cell>
          <cell r="AC49">
            <v>-2.0116000000000001</v>
          </cell>
          <cell r="AF49">
            <v>-2.0569999999999999</v>
          </cell>
          <cell r="AG49">
            <v>1.2546999999999999</v>
          </cell>
          <cell r="AK49">
            <v>0.4</v>
          </cell>
          <cell r="AN49">
            <v>0.6</v>
          </cell>
          <cell r="AO49">
            <v>0</v>
          </cell>
          <cell r="AP49">
            <v>0</v>
          </cell>
          <cell r="AR49">
            <v>1</v>
          </cell>
          <cell r="AS49">
            <v>0.25267999999999979</v>
          </cell>
          <cell r="AT49">
            <v>0.25267999999999979</v>
          </cell>
        </row>
        <row r="50">
          <cell r="A50">
            <v>29036</v>
          </cell>
          <cell r="B50">
            <v>4.3499999999999996</v>
          </cell>
          <cell r="C50">
            <v>3.2593999999999999</v>
          </cell>
          <cell r="D50">
            <v>4.82</v>
          </cell>
          <cell r="H50">
            <v>5.6</v>
          </cell>
          <cell r="I50">
            <v>5.9459999999999997</v>
          </cell>
          <cell r="J50">
            <v>5.3079999999999998</v>
          </cell>
          <cell r="N50">
            <v>5.6</v>
          </cell>
          <cell r="O50">
            <v>5.9459999999999997</v>
          </cell>
          <cell r="P50">
            <v>5.3079999999999998</v>
          </cell>
          <cell r="R50">
            <v>5.75</v>
          </cell>
          <cell r="S50">
            <v>4.6849999999999996</v>
          </cell>
          <cell r="W50">
            <v>2.177</v>
          </cell>
          <cell r="X50">
            <v>1.94</v>
          </cell>
          <cell r="AA50">
            <v>1.8089999999999999</v>
          </cell>
          <cell r="AB50">
            <v>1.4017999999999999</v>
          </cell>
          <cell r="AC50">
            <v>1.9979</v>
          </cell>
          <cell r="AF50">
            <v>1.8089999999999999</v>
          </cell>
          <cell r="AG50">
            <v>1.2546999999999999</v>
          </cell>
          <cell r="AK50">
            <v>0.4</v>
          </cell>
          <cell r="AN50">
            <v>0.6</v>
          </cell>
          <cell r="AO50">
            <v>0</v>
          </cell>
          <cell r="AP50">
            <v>0</v>
          </cell>
          <cell r="AR50">
            <v>1</v>
          </cell>
          <cell r="AS50">
            <v>3.0461999999999998</v>
          </cell>
          <cell r="AT50">
            <v>3.0461999999999998</v>
          </cell>
        </row>
        <row r="51">
          <cell r="A51">
            <v>29067</v>
          </cell>
          <cell r="B51">
            <v>1.341</v>
          </cell>
          <cell r="C51">
            <v>0.76060000000000005</v>
          </cell>
          <cell r="D51">
            <v>1.54</v>
          </cell>
          <cell r="H51">
            <v>3.1459999999999999</v>
          </cell>
          <cell r="I51">
            <v>2.1920000000000002</v>
          </cell>
          <cell r="J51">
            <v>4.0620000000000003</v>
          </cell>
          <cell r="N51">
            <v>3.1459999999999999</v>
          </cell>
          <cell r="O51">
            <v>2.1920000000000002</v>
          </cell>
          <cell r="P51">
            <v>4.0620000000000003</v>
          </cell>
          <cell r="R51">
            <v>2.91</v>
          </cell>
          <cell r="S51">
            <v>1.5029999999999999</v>
          </cell>
          <cell r="W51">
            <v>3.9E-2</v>
          </cell>
          <cell r="X51">
            <v>0.08</v>
          </cell>
          <cell r="AA51">
            <v>1.196</v>
          </cell>
          <cell r="AB51">
            <v>1.4729000000000001</v>
          </cell>
          <cell r="AC51">
            <v>0.8599</v>
          </cell>
          <cell r="AF51">
            <v>1.196</v>
          </cell>
          <cell r="AG51">
            <v>1.4195</v>
          </cell>
          <cell r="AK51">
            <v>0.4</v>
          </cell>
          <cell r="AN51">
            <v>0.6</v>
          </cell>
          <cell r="AO51">
            <v>0</v>
          </cell>
          <cell r="AP51">
            <v>0</v>
          </cell>
          <cell r="AR51">
            <v>1</v>
          </cell>
          <cell r="AS51">
            <v>0.55979999999999996</v>
          </cell>
          <cell r="AT51">
            <v>0.55979999999999996</v>
          </cell>
        </row>
        <row r="52">
          <cell r="A52">
            <v>29098</v>
          </cell>
          <cell r="B52">
            <v>5.7702</v>
          </cell>
          <cell r="C52">
            <v>6.39</v>
          </cell>
          <cell r="D52">
            <v>5.78</v>
          </cell>
          <cell r="H52">
            <v>8.1720000000000006</v>
          </cell>
          <cell r="I52">
            <v>9.0329999999999995</v>
          </cell>
          <cell r="J52">
            <v>7.3710000000000004</v>
          </cell>
          <cell r="N52">
            <v>8.1720000000000006</v>
          </cell>
          <cell r="O52">
            <v>9.0329999999999995</v>
          </cell>
          <cell r="P52">
            <v>7.3710000000000004</v>
          </cell>
          <cell r="R52">
            <v>7.72</v>
          </cell>
          <cell r="S52">
            <v>6.55</v>
          </cell>
          <cell r="W52">
            <v>-0.249</v>
          </cell>
          <cell r="X52">
            <v>-0.37</v>
          </cell>
          <cell r="AA52">
            <v>2.4329999999999998</v>
          </cell>
          <cell r="AB52">
            <v>2.238</v>
          </cell>
          <cell r="AC52">
            <v>2.5295000000000001</v>
          </cell>
          <cell r="AF52">
            <v>2.4329999999999998</v>
          </cell>
          <cell r="AG52">
            <v>1.4195</v>
          </cell>
          <cell r="AK52">
            <v>0.4</v>
          </cell>
          <cell r="AN52">
            <v>0.6</v>
          </cell>
          <cell r="AO52">
            <v>0</v>
          </cell>
          <cell r="AP52">
            <v>0</v>
          </cell>
          <cell r="AR52">
            <v>1</v>
          </cell>
          <cell r="AS52">
            <v>2.1586799999999999</v>
          </cell>
          <cell r="AT52">
            <v>2.1586799999999999</v>
          </cell>
        </row>
        <row r="53">
          <cell r="A53">
            <v>29128</v>
          </cell>
          <cell r="B53">
            <v>0.4299</v>
          </cell>
          <cell r="C53">
            <v>-0.25009999999999999</v>
          </cell>
          <cell r="D53">
            <v>0.78</v>
          </cell>
          <cell r="H53">
            <v>-0.42599999999999999</v>
          </cell>
          <cell r="I53">
            <v>0.41399999999999998</v>
          </cell>
          <cell r="J53">
            <v>-1.2789999999999999</v>
          </cell>
          <cell r="N53">
            <v>-0.42599999999999999</v>
          </cell>
          <cell r="O53">
            <v>0.41399999999999998</v>
          </cell>
          <cell r="P53">
            <v>-1.2789999999999999</v>
          </cell>
          <cell r="R53">
            <v>-0.18</v>
          </cell>
          <cell r="S53">
            <v>0.21099999999999999</v>
          </cell>
          <cell r="W53">
            <v>-1.052</v>
          </cell>
          <cell r="X53">
            <v>-0.44</v>
          </cell>
          <cell r="AA53">
            <v>4.4130000000000003</v>
          </cell>
          <cell r="AB53">
            <v>4.9332000000000003</v>
          </cell>
          <cell r="AC53">
            <v>3.8812000000000002</v>
          </cell>
          <cell r="AF53">
            <v>4.4130000000000003</v>
          </cell>
          <cell r="AG53">
            <v>1.4195</v>
          </cell>
          <cell r="AK53">
            <v>0.4</v>
          </cell>
          <cell r="AN53">
            <v>0.6</v>
          </cell>
          <cell r="AO53">
            <v>0</v>
          </cell>
          <cell r="AP53">
            <v>0</v>
          </cell>
          <cell r="AR53">
            <v>1</v>
          </cell>
          <cell r="AS53">
            <v>-0.45923999999999998</v>
          </cell>
          <cell r="AT53">
            <v>-0.45923999999999998</v>
          </cell>
        </row>
        <row r="54">
          <cell r="A54">
            <v>29159</v>
          </cell>
          <cell r="B54">
            <v>-6.4032</v>
          </cell>
          <cell r="C54">
            <v>-5.6105</v>
          </cell>
          <cell r="D54">
            <v>-7.48</v>
          </cell>
          <cell r="H54">
            <v>-11.06</v>
          </cell>
          <cell r="I54">
            <v>-10.531000000000001</v>
          </cell>
          <cell r="J54">
            <v>-11.622999999999999</v>
          </cell>
          <cell r="N54">
            <v>-11.06</v>
          </cell>
          <cell r="O54">
            <v>-10.531000000000001</v>
          </cell>
          <cell r="P54">
            <v>-11.622999999999999</v>
          </cell>
          <cell r="R54">
            <v>-9.75</v>
          </cell>
          <cell r="S54">
            <v>-7.234</v>
          </cell>
          <cell r="W54">
            <v>-6.0709999999999997</v>
          </cell>
          <cell r="X54">
            <v>-4.4800000000000004</v>
          </cell>
          <cell r="AA54">
            <v>-7.9610000000000003</v>
          </cell>
          <cell r="AB54">
            <v>-7.2727000000000004</v>
          </cell>
          <cell r="AC54">
            <v>-8.9442000000000004</v>
          </cell>
          <cell r="AF54">
            <v>-7.9610000000000003</v>
          </cell>
          <cell r="AG54">
            <v>1.56</v>
          </cell>
          <cell r="AK54">
            <v>0.4</v>
          </cell>
          <cell r="AN54">
            <v>0.6</v>
          </cell>
          <cell r="AO54">
            <v>0</v>
          </cell>
          <cell r="AP54">
            <v>0</v>
          </cell>
          <cell r="AR54">
            <v>1</v>
          </cell>
          <cell r="AS54">
            <v>-6.2038799999999998</v>
          </cell>
          <cell r="AT54">
            <v>-6.2038799999999998</v>
          </cell>
        </row>
        <row r="55">
          <cell r="A55">
            <v>29189</v>
          </cell>
          <cell r="B55">
            <v>4.7534999999999998</v>
          </cell>
          <cell r="C55">
            <v>5.9100999999999999</v>
          </cell>
          <cell r="D55">
            <v>4.33</v>
          </cell>
          <cell r="H55">
            <v>8.4700000000000006</v>
          </cell>
          <cell r="I55">
            <v>10.721</v>
          </cell>
          <cell r="J55">
            <v>6.1539999999999999</v>
          </cell>
          <cell r="N55">
            <v>8.4700000000000006</v>
          </cell>
          <cell r="O55">
            <v>10.721</v>
          </cell>
          <cell r="P55">
            <v>6.1539999999999999</v>
          </cell>
          <cell r="R55">
            <v>7.97</v>
          </cell>
          <cell r="S55">
            <v>6.19</v>
          </cell>
          <cell r="W55">
            <v>2.9089999999999998</v>
          </cell>
          <cell r="X55">
            <v>3.1</v>
          </cell>
          <cell r="AA55">
            <v>1.266</v>
          </cell>
          <cell r="AB55">
            <v>1.3266</v>
          </cell>
          <cell r="AC55">
            <v>0.7954</v>
          </cell>
          <cell r="AF55">
            <v>1.266</v>
          </cell>
          <cell r="AG55">
            <v>1.56</v>
          </cell>
          <cell r="AK55">
            <v>0.4</v>
          </cell>
          <cell r="AN55">
            <v>0.6</v>
          </cell>
          <cell r="AO55">
            <v>0</v>
          </cell>
          <cell r="AP55">
            <v>0</v>
          </cell>
          <cell r="AR55">
            <v>1</v>
          </cell>
          <cell r="AS55">
            <v>3.6467999999999998</v>
          </cell>
          <cell r="AT55">
            <v>3.6467999999999998</v>
          </cell>
        </row>
        <row r="56">
          <cell r="A56">
            <v>29220</v>
          </cell>
          <cell r="B56">
            <v>2.1383000000000001</v>
          </cell>
          <cell r="C56">
            <v>1.7202</v>
          </cell>
          <cell r="D56">
            <v>1.89</v>
          </cell>
          <cell r="H56">
            <v>7.0330000000000004</v>
          </cell>
          <cell r="I56">
            <v>9.5150000000000006</v>
          </cell>
          <cell r="J56">
            <v>4.3639999999999999</v>
          </cell>
          <cell r="N56">
            <v>7.0330000000000004</v>
          </cell>
          <cell r="O56">
            <v>9.5150000000000006</v>
          </cell>
          <cell r="P56">
            <v>4.3639999999999999</v>
          </cell>
          <cell r="R56">
            <v>5.42</v>
          </cell>
          <cell r="S56">
            <v>2.7850000000000001</v>
          </cell>
          <cell r="W56">
            <v>0.27700000000000002</v>
          </cell>
          <cell r="X56">
            <v>0.68</v>
          </cell>
          <cell r="AA56">
            <v>3.3940000000000001</v>
          </cell>
          <cell r="AB56">
            <v>2.9666999999999999</v>
          </cell>
          <cell r="AC56">
            <v>4.0080999999999998</v>
          </cell>
          <cell r="AF56">
            <v>3.3940000000000001</v>
          </cell>
          <cell r="AG56">
            <v>1.56</v>
          </cell>
          <cell r="AK56">
            <v>0.4</v>
          </cell>
          <cell r="AN56">
            <v>0.6</v>
          </cell>
          <cell r="AO56">
            <v>0</v>
          </cell>
          <cell r="AP56">
            <v>0</v>
          </cell>
          <cell r="AR56">
            <v>1</v>
          </cell>
          <cell r="AS56">
            <v>1.0215200000000002</v>
          </cell>
          <cell r="AT56">
            <v>1.0215200000000002</v>
          </cell>
        </row>
        <row r="57">
          <cell r="A57">
            <v>29251</v>
          </cell>
          <cell r="B57">
            <v>6.2164000000000001</v>
          </cell>
          <cell r="C57">
            <v>6.3392999999999997</v>
          </cell>
          <cell r="D57">
            <v>5.71</v>
          </cell>
          <cell r="H57">
            <v>8.4169999999999998</v>
          </cell>
          <cell r="I57">
            <v>9.7189999999999994</v>
          </cell>
          <cell r="J57">
            <v>7.0860000000000003</v>
          </cell>
          <cell r="N57">
            <v>8.4169999999999998</v>
          </cell>
          <cell r="O57">
            <v>9.7189999999999994</v>
          </cell>
          <cell r="P57">
            <v>7.0860000000000003</v>
          </cell>
          <cell r="R57">
            <v>7.14</v>
          </cell>
          <cell r="S57">
            <v>6.3559999999999999</v>
          </cell>
          <cell r="W57">
            <v>-3.0459999999999998</v>
          </cell>
          <cell r="X57">
            <v>-1.41</v>
          </cell>
          <cell r="AA57">
            <v>4.8440000000000003</v>
          </cell>
          <cell r="AB57">
            <v>5.2084000000000001</v>
          </cell>
          <cell r="AC57">
            <v>4.2026000000000003</v>
          </cell>
          <cell r="AF57">
            <v>4.8440000000000003</v>
          </cell>
          <cell r="AG57">
            <v>2.0211000000000001</v>
          </cell>
          <cell r="AK57">
            <v>0.5</v>
          </cell>
          <cell r="AN57">
            <v>0.5</v>
          </cell>
          <cell r="AO57">
            <v>0</v>
          </cell>
          <cell r="AP57">
            <v>0</v>
          </cell>
          <cell r="AR57">
            <v>1</v>
          </cell>
          <cell r="AS57">
            <v>1.5852000000000002</v>
          </cell>
          <cell r="AT57">
            <v>1.5852000000000002</v>
          </cell>
        </row>
        <row r="58">
          <cell r="A58">
            <v>29280</v>
          </cell>
          <cell r="B58">
            <v>-8.8000000000000005E-3</v>
          </cell>
          <cell r="C58">
            <v>9.9000000000000008E-3</v>
          </cell>
          <cell r="D58">
            <v>0.68</v>
          </cell>
          <cell r="H58">
            <v>-1.798</v>
          </cell>
          <cell r="I58">
            <v>-0.16600000000000001</v>
          </cell>
          <cell r="J58">
            <v>-3.5030000000000001</v>
          </cell>
          <cell r="N58">
            <v>-1.798</v>
          </cell>
          <cell r="O58">
            <v>-0.16600000000000001</v>
          </cell>
          <cell r="P58">
            <v>-3.5030000000000001</v>
          </cell>
          <cell r="R58">
            <v>-1.97</v>
          </cell>
          <cell r="S58">
            <v>0</v>
          </cell>
          <cell r="W58">
            <v>-5.915</v>
          </cell>
          <cell r="X58">
            <v>-4.83</v>
          </cell>
          <cell r="AA58">
            <v>-0.40100000000000002</v>
          </cell>
          <cell r="AB58">
            <v>-0.1168</v>
          </cell>
          <cell r="AC58">
            <v>-0.85440000000000005</v>
          </cell>
          <cell r="AF58">
            <v>-0.40100000000000002</v>
          </cell>
          <cell r="AG58">
            <v>2.0211000000000001</v>
          </cell>
          <cell r="AK58">
            <v>0.5</v>
          </cell>
          <cell r="AN58">
            <v>0.5</v>
          </cell>
          <cell r="AO58">
            <v>0</v>
          </cell>
          <cell r="AP58">
            <v>0</v>
          </cell>
          <cell r="AR58">
            <v>1</v>
          </cell>
          <cell r="AS58">
            <v>-2.9619</v>
          </cell>
          <cell r="AT58">
            <v>-2.9619</v>
          </cell>
        </row>
        <row r="59">
          <cell r="A59">
            <v>29311</v>
          </cell>
          <cell r="B59">
            <v>-9.7219999999999995</v>
          </cell>
          <cell r="C59">
            <v>-9.1788000000000007</v>
          </cell>
          <cell r="D59">
            <v>-10.53</v>
          </cell>
          <cell r="H59">
            <v>-18.111000000000001</v>
          </cell>
          <cell r="I59">
            <v>-20.483000000000001</v>
          </cell>
          <cell r="J59">
            <v>-15.52</v>
          </cell>
          <cell r="N59">
            <v>-18.111000000000001</v>
          </cell>
          <cell r="O59">
            <v>-20.483000000000001</v>
          </cell>
          <cell r="P59">
            <v>-15.52</v>
          </cell>
          <cell r="R59">
            <v>-16.55</v>
          </cell>
          <cell r="S59">
            <v>-11.91</v>
          </cell>
          <cell r="W59">
            <v>0.08</v>
          </cell>
          <cell r="X59">
            <v>0.3</v>
          </cell>
          <cell r="AA59">
            <v>-10.617000000000001</v>
          </cell>
          <cell r="AB59">
            <v>-11.630800000000001</v>
          </cell>
          <cell r="AC59">
            <v>-9.6969999999999992</v>
          </cell>
          <cell r="AF59">
            <v>-10.617000000000001</v>
          </cell>
          <cell r="AG59">
            <v>2.0211000000000001</v>
          </cell>
          <cell r="AK59">
            <v>0.5</v>
          </cell>
          <cell r="AN59">
            <v>0.5</v>
          </cell>
          <cell r="AO59">
            <v>0</v>
          </cell>
          <cell r="AP59">
            <v>0</v>
          </cell>
          <cell r="AR59">
            <v>1</v>
          </cell>
          <cell r="AS59">
            <v>-4.8209999999999997</v>
          </cell>
          <cell r="AT59">
            <v>-4.8209999999999997</v>
          </cell>
        </row>
        <row r="60">
          <cell r="A60">
            <v>29341</v>
          </cell>
          <cell r="B60">
            <v>4.6234000000000002</v>
          </cell>
          <cell r="C60">
            <v>2.9186000000000001</v>
          </cell>
          <cell r="D60">
            <v>5.77</v>
          </cell>
          <cell r="H60">
            <v>6.2709999999999999</v>
          </cell>
          <cell r="I60">
            <v>6.3390000000000004</v>
          </cell>
          <cell r="J60">
            <v>6.2140000000000004</v>
          </cell>
          <cell r="N60">
            <v>6.2709999999999999</v>
          </cell>
          <cell r="O60">
            <v>6.3390000000000004</v>
          </cell>
          <cell r="P60">
            <v>6.2140000000000004</v>
          </cell>
          <cell r="R60">
            <v>6.56</v>
          </cell>
          <cell r="S60">
            <v>5.0209999999999999</v>
          </cell>
          <cell r="W60">
            <v>11.337</v>
          </cell>
          <cell r="X60">
            <v>9.99</v>
          </cell>
          <cell r="AA60">
            <v>9.4619999999999997</v>
          </cell>
          <cell r="AB60">
            <v>9.4609000000000005</v>
          </cell>
          <cell r="AC60">
            <v>9.4061000000000003</v>
          </cell>
          <cell r="AF60">
            <v>9.4619999999999997</v>
          </cell>
          <cell r="AG60">
            <v>1.8121</v>
          </cell>
          <cell r="AK60">
            <v>0.5</v>
          </cell>
          <cell r="AN60">
            <v>0.5</v>
          </cell>
          <cell r="AO60">
            <v>0</v>
          </cell>
          <cell r="AP60">
            <v>0</v>
          </cell>
          <cell r="AR60">
            <v>1</v>
          </cell>
          <cell r="AS60">
            <v>7.9802</v>
          </cell>
          <cell r="AT60">
            <v>7.9802</v>
          </cell>
        </row>
        <row r="61">
          <cell r="A61">
            <v>29372</v>
          </cell>
          <cell r="B61">
            <v>5.1463000000000001</v>
          </cell>
          <cell r="C61">
            <v>5.3109999999999999</v>
          </cell>
          <cell r="D61">
            <v>5.86</v>
          </cell>
          <cell r="H61">
            <v>8.34</v>
          </cell>
          <cell r="I61">
            <v>8.2710000000000008</v>
          </cell>
          <cell r="J61">
            <v>8.4670000000000005</v>
          </cell>
          <cell r="N61">
            <v>8.34</v>
          </cell>
          <cell r="O61">
            <v>8.2710000000000008</v>
          </cell>
          <cell r="P61">
            <v>8.4670000000000005</v>
          </cell>
          <cell r="R61">
            <v>8.27</v>
          </cell>
          <cell r="S61">
            <v>6.0970000000000004</v>
          </cell>
          <cell r="W61">
            <v>4.7149999999999999</v>
          </cell>
          <cell r="X61">
            <v>4.07</v>
          </cell>
          <cell r="AA61">
            <v>4.6680000000000001</v>
          </cell>
          <cell r="AB61">
            <v>5.0201000000000002</v>
          </cell>
          <cell r="AC61">
            <v>4.1614000000000004</v>
          </cell>
          <cell r="AF61">
            <v>4.6680000000000001</v>
          </cell>
          <cell r="AG61">
            <v>1.8121</v>
          </cell>
          <cell r="AK61">
            <v>0.5</v>
          </cell>
          <cell r="AN61">
            <v>0.5</v>
          </cell>
          <cell r="AO61">
            <v>0</v>
          </cell>
          <cell r="AP61">
            <v>0</v>
          </cell>
          <cell r="AR61">
            <v>1</v>
          </cell>
          <cell r="AS61">
            <v>4.93065</v>
          </cell>
          <cell r="AT61">
            <v>4.93065</v>
          </cell>
        </row>
        <row r="62">
          <cell r="A62">
            <v>29402</v>
          </cell>
          <cell r="B62">
            <v>3.1642999999999999</v>
          </cell>
          <cell r="C62">
            <v>3.5497999999999998</v>
          </cell>
          <cell r="D62">
            <v>2.3199999999999998</v>
          </cell>
          <cell r="H62">
            <v>4.399</v>
          </cell>
          <cell r="I62">
            <v>5.1879999999999997</v>
          </cell>
          <cell r="J62">
            <v>3.5670000000000002</v>
          </cell>
          <cell r="N62">
            <v>4.399</v>
          </cell>
          <cell r="O62">
            <v>5.1879999999999997</v>
          </cell>
          <cell r="P62">
            <v>3.5670000000000002</v>
          </cell>
          <cell r="R62">
            <v>4.46</v>
          </cell>
          <cell r="S62">
            <v>3.5790000000000002</v>
          </cell>
          <cell r="W62">
            <v>1.885</v>
          </cell>
          <cell r="X62">
            <v>1.4</v>
          </cell>
          <cell r="AA62">
            <v>6.3869999999999996</v>
          </cell>
          <cell r="AB62">
            <v>6.0774999999999997</v>
          </cell>
          <cell r="AC62">
            <v>6.7119</v>
          </cell>
          <cell r="AF62">
            <v>6.3869999999999996</v>
          </cell>
          <cell r="AG62">
            <v>1.8121</v>
          </cell>
          <cell r="AK62">
            <v>0.5</v>
          </cell>
          <cell r="AN62">
            <v>0.5</v>
          </cell>
          <cell r="AO62">
            <v>0</v>
          </cell>
          <cell r="AP62">
            <v>0</v>
          </cell>
          <cell r="AR62">
            <v>1</v>
          </cell>
          <cell r="AS62">
            <v>2.5246499999999998</v>
          </cell>
          <cell r="AT62">
            <v>2.5246499999999998</v>
          </cell>
        </row>
        <row r="63">
          <cell r="A63">
            <v>29433</v>
          </cell>
          <cell r="B63">
            <v>6.9589999999999996</v>
          </cell>
          <cell r="C63">
            <v>7.8902000000000001</v>
          </cell>
          <cell r="D63">
            <v>5.37</v>
          </cell>
          <cell r="H63">
            <v>11.224</v>
          </cell>
          <cell r="I63">
            <v>13.073</v>
          </cell>
          <cell r="J63">
            <v>9.3369999999999997</v>
          </cell>
          <cell r="N63">
            <v>11.224</v>
          </cell>
          <cell r="O63">
            <v>13.073</v>
          </cell>
          <cell r="P63">
            <v>9.3369999999999997</v>
          </cell>
          <cell r="R63">
            <v>10.06</v>
          </cell>
          <cell r="S63">
            <v>7.0350000000000001</v>
          </cell>
          <cell r="W63">
            <v>-2.0680000000000001</v>
          </cell>
          <cell r="X63">
            <v>-1.1599999999999999</v>
          </cell>
          <cell r="AA63">
            <v>-0.495</v>
          </cell>
          <cell r="AB63">
            <v>-0.50370000000000004</v>
          </cell>
          <cell r="AC63">
            <v>-0.60370000000000001</v>
          </cell>
          <cell r="AF63">
            <v>-0.495</v>
          </cell>
          <cell r="AG63">
            <v>0.77969999999999995</v>
          </cell>
          <cell r="AK63">
            <v>0.5</v>
          </cell>
          <cell r="AN63">
            <v>0.5</v>
          </cell>
          <cell r="AO63">
            <v>0</v>
          </cell>
          <cell r="AP63">
            <v>0</v>
          </cell>
          <cell r="AR63">
            <v>1</v>
          </cell>
          <cell r="AS63">
            <v>2.4455</v>
          </cell>
          <cell r="AT63">
            <v>2.4455</v>
          </cell>
        </row>
        <row r="64">
          <cell r="A64">
            <v>29464</v>
          </cell>
          <cell r="B64">
            <v>1.0108999999999999</v>
          </cell>
          <cell r="C64">
            <v>1.1304000000000001</v>
          </cell>
          <cell r="D64">
            <v>1.48</v>
          </cell>
          <cell r="H64">
            <v>6.8959999999999999</v>
          </cell>
          <cell r="I64">
            <v>8.3109999999999999</v>
          </cell>
          <cell r="J64">
            <v>5.2249999999999996</v>
          </cell>
          <cell r="N64">
            <v>6.8959999999999999</v>
          </cell>
          <cell r="O64">
            <v>8.3109999999999999</v>
          </cell>
          <cell r="P64">
            <v>5.2249999999999996</v>
          </cell>
          <cell r="R64">
            <v>5.16</v>
          </cell>
          <cell r="S64">
            <v>2.2509999999999999</v>
          </cell>
          <cell r="W64">
            <v>-3.58</v>
          </cell>
          <cell r="X64">
            <v>-3.18</v>
          </cell>
          <cell r="AA64">
            <v>3.4740000000000002</v>
          </cell>
          <cell r="AB64">
            <v>3.7210000000000001</v>
          </cell>
          <cell r="AC64">
            <v>3.2362000000000002</v>
          </cell>
          <cell r="AF64">
            <v>3.4740000000000002</v>
          </cell>
          <cell r="AG64">
            <v>0.77969999999999995</v>
          </cell>
          <cell r="AK64">
            <v>0.5</v>
          </cell>
          <cell r="AN64">
            <v>0.5</v>
          </cell>
          <cell r="AO64">
            <v>0</v>
          </cell>
          <cell r="AP64">
            <v>0</v>
          </cell>
          <cell r="AR64">
            <v>1</v>
          </cell>
          <cell r="AS64">
            <v>-1.2845500000000001</v>
          </cell>
          <cell r="AT64">
            <v>-1.2845500000000001</v>
          </cell>
        </row>
        <row r="65">
          <cell r="A65">
            <v>29494</v>
          </cell>
          <cell r="B65">
            <v>2.9417</v>
          </cell>
          <cell r="C65">
            <v>4.3291000000000004</v>
          </cell>
          <cell r="D65">
            <v>0.94</v>
          </cell>
          <cell r="H65">
            <v>3.1560000000000001</v>
          </cell>
          <cell r="I65">
            <v>5.0629999999999997</v>
          </cell>
          <cell r="J65">
            <v>1.359</v>
          </cell>
          <cell r="N65">
            <v>3.1560000000000001</v>
          </cell>
          <cell r="O65">
            <v>5.0629999999999997</v>
          </cell>
          <cell r="P65">
            <v>1.359</v>
          </cell>
          <cell r="R65">
            <v>3.19</v>
          </cell>
          <cell r="S65">
            <v>2.956</v>
          </cell>
          <cell r="W65">
            <v>-1.0469999999999999</v>
          </cell>
          <cell r="X65">
            <v>-0.33</v>
          </cell>
          <cell r="AA65">
            <v>3.5019999999999998</v>
          </cell>
          <cell r="AB65">
            <v>4.7815000000000003</v>
          </cell>
          <cell r="AC65">
            <v>1.9771000000000001</v>
          </cell>
          <cell r="AF65">
            <v>3.5019999999999998</v>
          </cell>
          <cell r="AG65">
            <v>0.77969999999999995</v>
          </cell>
          <cell r="AK65">
            <v>0.5</v>
          </cell>
          <cell r="AN65">
            <v>0.5</v>
          </cell>
          <cell r="AO65">
            <v>0</v>
          </cell>
          <cell r="AP65">
            <v>0</v>
          </cell>
          <cell r="AR65">
            <v>1</v>
          </cell>
          <cell r="AS65">
            <v>0.94735000000000003</v>
          </cell>
          <cell r="AT65">
            <v>0.94735000000000003</v>
          </cell>
        </row>
        <row r="66">
          <cell r="A66">
            <v>29525</v>
          </cell>
          <cell r="B66">
            <v>2.0245000000000002</v>
          </cell>
          <cell r="C66">
            <v>3.4196</v>
          </cell>
          <cell r="D66">
            <v>-0.01</v>
          </cell>
          <cell r="H66">
            <v>4.0659999999999998</v>
          </cell>
          <cell r="I66">
            <v>6.133</v>
          </cell>
          <cell r="J66">
            <v>1.952</v>
          </cell>
          <cell r="N66">
            <v>4.0659999999999998</v>
          </cell>
          <cell r="O66">
            <v>6.133</v>
          </cell>
          <cell r="P66">
            <v>1.952</v>
          </cell>
          <cell r="R66">
            <v>2.2599999999999998</v>
          </cell>
          <cell r="S66">
            <v>2.2599999999999998</v>
          </cell>
          <cell r="W66">
            <v>-1.1459999999999999</v>
          </cell>
          <cell r="X66">
            <v>-1.03</v>
          </cell>
          <cell r="AA66">
            <v>4.2119999999999997</v>
          </cell>
          <cell r="AB66">
            <v>5.6116000000000001</v>
          </cell>
          <cell r="AC66">
            <v>2.573</v>
          </cell>
          <cell r="AF66">
            <v>4.2119999999999997</v>
          </cell>
          <cell r="AG66">
            <v>1.2463</v>
          </cell>
          <cell r="AK66">
            <v>0.5</v>
          </cell>
          <cell r="AN66">
            <v>0.5</v>
          </cell>
          <cell r="AO66">
            <v>0</v>
          </cell>
          <cell r="AP66">
            <v>0</v>
          </cell>
          <cell r="AR66">
            <v>1</v>
          </cell>
          <cell r="AS66">
            <v>0.43925000000000014</v>
          </cell>
          <cell r="AT66">
            <v>0.43925000000000014</v>
          </cell>
        </row>
        <row r="67">
          <cell r="A67">
            <v>29555</v>
          </cell>
          <cell r="B67">
            <v>10.653499999999999</v>
          </cell>
          <cell r="C67">
            <v>14.251300000000001</v>
          </cell>
          <cell r="D67">
            <v>6.44</v>
          </cell>
          <cell r="H67">
            <v>7.2990000000000004</v>
          </cell>
          <cell r="I67">
            <v>11.288</v>
          </cell>
          <cell r="J67">
            <v>2.915</v>
          </cell>
          <cell r="N67">
            <v>7.2990000000000004</v>
          </cell>
          <cell r="O67">
            <v>11.288</v>
          </cell>
          <cell r="P67">
            <v>2.915</v>
          </cell>
          <cell r="R67">
            <v>7.1</v>
          </cell>
          <cell r="S67">
            <v>10.37</v>
          </cell>
          <cell r="W67">
            <v>-0.187</v>
          </cell>
          <cell r="X67">
            <v>-0.27</v>
          </cell>
          <cell r="AA67">
            <v>-2.0169999999999999</v>
          </cell>
          <cell r="AB67">
            <v>-1.2169000000000001</v>
          </cell>
          <cell r="AC67">
            <v>-2.9577</v>
          </cell>
          <cell r="AF67">
            <v>-2.0169999999999999</v>
          </cell>
          <cell r="AG67">
            <v>1.2463</v>
          </cell>
          <cell r="AK67">
            <v>0.5</v>
          </cell>
          <cell r="AN67">
            <v>0.5</v>
          </cell>
          <cell r="AO67">
            <v>0</v>
          </cell>
          <cell r="AP67">
            <v>0</v>
          </cell>
          <cell r="AR67">
            <v>1</v>
          </cell>
          <cell r="AS67">
            <v>5.23325</v>
          </cell>
          <cell r="AT67">
            <v>5.23325</v>
          </cell>
        </row>
        <row r="68">
          <cell r="A68">
            <v>29586</v>
          </cell>
          <cell r="B68">
            <v>-3.0173999999999999</v>
          </cell>
          <cell r="C68">
            <v>-4.1510999999999996</v>
          </cell>
          <cell r="D68">
            <v>-1.38</v>
          </cell>
          <cell r="H68">
            <v>-3.4369999999999998</v>
          </cell>
          <cell r="I68">
            <v>-5.0220000000000002</v>
          </cell>
          <cell r="J68">
            <v>-1.6160000000000001</v>
          </cell>
          <cell r="N68">
            <v>-3.4369999999999998</v>
          </cell>
          <cell r="O68">
            <v>-5.0220000000000002</v>
          </cell>
          <cell r="P68">
            <v>-1.6160000000000001</v>
          </cell>
          <cell r="R68">
            <v>-2.83</v>
          </cell>
          <cell r="S68">
            <v>-3.637</v>
          </cell>
          <cell r="W68">
            <v>2.722</v>
          </cell>
          <cell r="X68">
            <v>2.6</v>
          </cell>
          <cell r="AA68">
            <v>0.51</v>
          </cell>
          <cell r="AB68">
            <v>-1.1442000000000001</v>
          </cell>
          <cell r="AC68">
            <v>2.4474999999999998</v>
          </cell>
          <cell r="AF68">
            <v>0.51</v>
          </cell>
          <cell r="AG68">
            <v>1.2463</v>
          </cell>
          <cell r="AK68">
            <v>0.5</v>
          </cell>
          <cell r="AN68">
            <v>0.5</v>
          </cell>
          <cell r="AO68">
            <v>0</v>
          </cell>
          <cell r="AP68">
            <v>0</v>
          </cell>
          <cell r="AR68">
            <v>1</v>
          </cell>
          <cell r="AS68">
            <v>-0.14769999999999994</v>
          </cell>
          <cell r="AT68">
            <v>-0.14769999999999994</v>
          </cell>
        </row>
        <row r="69">
          <cell r="A69">
            <v>29617</v>
          </cell>
          <cell r="B69">
            <v>-4.1839000000000004</v>
          </cell>
          <cell r="C69">
            <v>-6.9324000000000003</v>
          </cell>
          <cell r="D69">
            <v>-2.0299999999999998</v>
          </cell>
          <cell r="H69">
            <v>-0.373</v>
          </cell>
          <cell r="I69">
            <v>-3.0270000000000001</v>
          </cell>
          <cell r="J69">
            <v>2.3959999999999999</v>
          </cell>
          <cell r="N69">
            <v>-0.373</v>
          </cell>
          <cell r="O69">
            <v>-3.0270000000000001</v>
          </cell>
          <cell r="P69">
            <v>2.3959999999999999</v>
          </cell>
          <cell r="R69">
            <v>-1.04</v>
          </cell>
          <cell r="S69">
            <v>-4.0439999999999996</v>
          </cell>
          <cell r="W69">
            <v>4.7E-2</v>
          </cell>
          <cell r="X69">
            <v>0.34</v>
          </cell>
          <cell r="AA69">
            <v>-1.365</v>
          </cell>
          <cell r="AB69">
            <v>-1.9438</v>
          </cell>
          <cell r="AC69">
            <v>-0.72809999999999997</v>
          </cell>
          <cell r="AF69">
            <v>-1.365</v>
          </cell>
          <cell r="AG69">
            <v>1.7417</v>
          </cell>
          <cell r="AK69">
            <v>0.5</v>
          </cell>
          <cell r="AN69">
            <v>0.5</v>
          </cell>
          <cell r="AO69">
            <v>0</v>
          </cell>
          <cell r="AP69">
            <v>0</v>
          </cell>
          <cell r="AR69">
            <v>1</v>
          </cell>
          <cell r="AS69">
            <v>-2.0684500000000003</v>
          </cell>
          <cell r="AT69">
            <v>-2.0684500000000003</v>
          </cell>
        </row>
        <row r="70">
          <cell r="A70">
            <v>29645</v>
          </cell>
          <cell r="B70">
            <v>1.7367999999999999</v>
          </cell>
          <cell r="C70">
            <v>2.7294</v>
          </cell>
          <cell r="D70">
            <v>1.39</v>
          </cell>
          <cell r="H70">
            <v>0.61199999999999999</v>
          </cell>
          <cell r="I70">
            <v>-0.85799999999999998</v>
          </cell>
          <cell r="J70">
            <v>2.0419999999999998</v>
          </cell>
          <cell r="N70">
            <v>0.61199999999999999</v>
          </cell>
          <cell r="O70">
            <v>-0.85799999999999998</v>
          </cell>
          <cell r="P70">
            <v>2.0419999999999998</v>
          </cell>
          <cell r="R70">
            <v>1.27</v>
          </cell>
          <cell r="S70">
            <v>1.627</v>
          </cell>
          <cell r="W70">
            <v>-1.89</v>
          </cell>
          <cell r="X70">
            <v>-1.35</v>
          </cell>
          <cell r="AA70">
            <v>-1.323</v>
          </cell>
          <cell r="AB70">
            <v>-1.8458000000000001</v>
          </cell>
          <cell r="AC70">
            <v>-0.83540000000000003</v>
          </cell>
          <cell r="AF70">
            <v>-1.323</v>
          </cell>
          <cell r="AG70">
            <v>1.7417</v>
          </cell>
          <cell r="AK70">
            <v>0.5</v>
          </cell>
          <cell r="AN70">
            <v>0.5</v>
          </cell>
          <cell r="AO70">
            <v>0</v>
          </cell>
          <cell r="AP70">
            <v>0</v>
          </cell>
          <cell r="AR70">
            <v>1</v>
          </cell>
          <cell r="AS70">
            <v>-7.6600000000000001E-2</v>
          </cell>
          <cell r="AT70">
            <v>-7.6600000000000001E-2</v>
          </cell>
        </row>
        <row r="71">
          <cell r="A71">
            <v>29676</v>
          </cell>
          <cell r="B71">
            <v>3.9994000000000001</v>
          </cell>
          <cell r="C71">
            <v>3.2904</v>
          </cell>
          <cell r="D71">
            <v>4.33</v>
          </cell>
          <cell r="E71">
            <v>6.6085000000000003</v>
          </cell>
          <cell r="H71">
            <v>8.0329999999999995</v>
          </cell>
          <cell r="I71">
            <v>7.9950000000000001</v>
          </cell>
          <cell r="J71">
            <v>8.0619999999999994</v>
          </cell>
          <cell r="N71">
            <v>8.0329999999999995</v>
          </cell>
          <cell r="O71">
            <v>7.9950000000000001</v>
          </cell>
          <cell r="P71">
            <v>8.0619999999999994</v>
          </cell>
          <cell r="R71">
            <v>8.15</v>
          </cell>
          <cell r="S71">
            <v>4.423</v>
          </cell>
          <cell r="W71">
            <v>2.3769999999999998</v>
          </cell>
          <cell r="X71">
            <v>2.33</v>
          </cell>
          <cell r="AA71">
            <v>3.6139999999999999</v>
          </cell>
          <cell r="AB71">
            <v>2.1244999999999998</v>
          </cell>
          <cell r="AC71">
            <v>5.1364000000000001</v>
          </cell>
          <cell r="AF71">
            <v>3.6139999999999999</v>
          </cell>
          <cell r="AG71">
            <v>1.7417</v>
          </cell>
          <cell r="AK71">
            <v>0.5</v>
          </cell>
          <cell r="AN71">
            <v>0.5</v>
          </cell>
          <cell r="AO71">
            <v>0</v>
          </cell>
          <cell r="AP71">
            <v>0</v>
          </cell>
          <cell r="AR71">
            <v>1</v>
          </cell>
          <cell r="AS71">
            <v>3.1882000000000001</v>
          </cell>
          <cell r="AT71">
            <v>3.1882000000000001</v>
          </cell>
        </row>
        <row r="72">
          <cell r="A72">
            <v>29706</v>
          </cell>
          <cell r="B72">
            <v>-1.9338</v>
          </cell>
          <cell r="C72">
            <v>-4.1207000000000003</v>
          </cell>
          <cell r="D72">
            <v>-0.1</v>
          </cell>
          <cell r="E72">
            <v>0.60860000000000003</v>
          </cell>
          <cell r="H72">
            <v>2.7010000000000001</v>
          </cell>
          <cell r="I72">
            <v>1.821</v>
          </cell>
          <cell r="J72">
            <v>3.6739999999999999</v>
          </cell>
          <cell r="N72">
            <v>2.7010000000000001</v>
          </cell>
          <cell r="O72">
            <v>1.821</v>
          </cell>
          <cell r="P72">
            <v>3.6739999999999999</v>
          </cell>
          <cell r="R72">
            <v>2.0699999999999998</v>
          </cell>
          <cell r="S72">
            <v>-1.2909999999999999</v>
          </cell>
          <cell r="W72">
            <v>-3.5659999999999998</v>
          </cell>
          <cell r="X72">
            <v>-2.63</v>
          </cell>
          <cell r="AA72">
            <v>2.7160000000000002</v>
          </cell>
          <cell r="AB72">
            <v>-0.44440000000000002</v>
          </cell>
          <cell r="AC72">
            <v>5.8292999999999999</v>
          </cell>
          <cell r="AF72">
            <v>2.7160000000000002</v>
          </cell>
          <cell r="AG72">
            <v>0.97599999999999998</v>
          </cell>
          <cell r="AK72">
            <v>0.5</v>
          </cell>
          <cell r="AN72">
            <v>0.5</v>
          </cell>
          <cell r="AO72">
            <v>0</v>
          </cell>
          <cell r="AP72">
            <v>0</v>
          </cell>
          <cell r="AR72">
            <v>1</v>
          </cell>
          <cell r="AS72">
            <v>-2.7498999999999998</v>
          </cell>
          <cell r="AT72">
            <v>-2.7498999999999998</v>
          </cell>
        </row>
        <row r="73">
          <cell r="A73">
            <v>29737</v>
          </cell>
          <cell r="B73">
            <v>0.25600000000000001</v>
          </cell>
          <cell r="C73">
            <v>0.23</v>
          </cell>
          <cell r="D73">
            <v>0.92</v>
          </cell>
          <cell r="E73">
            <v>4.5707000000000004</v>
          </cell>
          <cell r="H73">
            <v>3.335</v>
          </cell>
          <cell r="I73">
            <v>4.7779999999999996</v>
          </cell>
          <cell r="J73">
            <v>1.758</v>
          </cell>
          <cell r="N73">
            <v>3.335</v>
          </cell>
          <cell r="O73">
            <v>4.7779999999999996</v>
          </cell>
          <cell r="P73">
            <v>1.758</v>
          </cell>
          <cell r="R73">
            <v>2.91</v>
          </cell>
          <cell r="S73">
            <v>1.129</v>
          </cell>
          <cell r="W73">
            <v>3.5920000000000001</v>
          </cell>
          <cell r="X73">
            <v>2.82</v>
          </cell>
          <cell r="AA73">
            <v>-4.2089999999999996</v>
          </cell>
          <cell r="AB73">
            <v>-4.4699</v>
          </cell>
          <cell r="AC73">
            <v>-3.9472999999999998</v>
          </cell>
          <cell r="AF73">
            <v>-4.2089999999999996</v>
          </cell>
          <cell r="AG73">
            <v>0.97599999999999998</v>
          </cell>
          <cell r="AK73">
            <v>0.5</v>
          </cell>
          <cell r="AN73">
            <v>0.5</v>
          </cell>
          <cell r="AO73">
            <v>0</v>
          </cell>
          <cell r="AP73">
            <v>0</v>
          </cell>
          <cell r="AR73">
            <v>1</v>
          </cell>
          <cell r="AS73">
            <v>1.9239999999999999</v>
          </cell>
          <cell r="AT73">
            <v>1.9239999999999999</v>
          </cell>
        </row>
        <row r="74">
          <cell r="A74">
            <v>29767</v>
          </cell>
          <cell r="B74">
            <v>-0.626</v>
          </cell>
          <cell r="C74">
            <v>-1.5401</v>
          </cell>
          <cell r="D74">
            <v>-0.17</v>
          </cell>
          <cell r="E74">
            <v>0.63470000000000004</v>
          </cell>
          <cell r="H74">
            <v>-2.274</v>
          </cell>
          <cell r="I74">
            <v>-5.6029999999999998</v>
          </cell>
          <cell r="J74">
            <v>1.4259999999999999</v>
          </cell>
          <cell r="N74">
            <v>-2.274</v>
          </cell>
          <cell r="O74">
            <v>-5.6029999999999998</v>
          </cell>
          <cell r="P74">
            <v>1.4259999999999999</v>
          </cell>
          <cell r="R74">
            <v>-1.76</v>
          </cell>
          <cell r="S74">
            <v>-1.05</v>
          </cell>
          <cell r="W74">
            <v>-0.22900000000000001</v>
          </cell>
          <cell r="X74">
            <v>0.04</v>
          </cell>
          <cell r="AA74">
            <v>0.71299999999999997</v>
          </cell>
          <cell r="AB74">
            <v>-1.0446</v>
          </cell>
          <cell r="AC74">
            <v>2.0510000000000002</v>
          </cell>
          <cell r="AF74">
            <v>0.71299999999999997</v>
          </cell>
          <cell r="AG74">
            <v>0.97599999999999998</v>
          </cell>
          <cell r="AK74">
            <v>0.5</v>
          </cell>
          <cell r="AN74">
            <v>0.5</v>
          </cell>
          <cell r="AO74">
            <v>0</v>
          </cell>
          <cell r="AP74">
            <v>0</v>
          </cell>
          <cell r="AR74">
            <v>1</v>
          </cell>
          <cell r="AS74">
            <v>-0.42749999999999999</v>
          </cell>
          <cell r="AT74">
            <v>-0.42749999999999999</v>
          </cell>
        </row>
        <row r="75">
          <cell r="A75">
            <v>29798</v>
          </cell>
          <cell r="B75">
            <v>0.20580000000000001</v>
          </cell>
          <cell r="C75">
            <v>1.6807000000000001</v>
          </cell>
          <cell r="D75">
            <v>-1.37</v>
          </cell>
          <cell r="E75">
            <v>-0.60740000000000005</v>
          </cell>
          <cell r="H75">
            <v>-2.4380000000000002</v>
          </cell>
          <cell r="I75">
            <v>-2.8170000000000002</v>
          </cell>
          <cell r="J75">
            <v>-2.069</v>
          </cell>
          <cell r="N75">
            <v>-2.4380000000000002</v>
          </cell>
          <cell r="O75">
            <v>-2.8170000000000002</v>
          </cell>
          <cell r="P75">
            <v>-2.069</v>
          </cell>
          <cell r="R75">
            <v>-2.12</v>
          </cell>
          <cell r="S75">
            <v>-0.21199999999999999</v>
          </cell>
          <cell r="W75">
            <v>-1.927</v>
          </cell>
          <cell r="X75">
            <v>-1.57</v>
          </cell>
          <cell r="AA75">
            <v>-4.0410000000000004</v>
          </cell>
          <cell r="AB75">
            <v>-4.2862</v>
          </cell>
          <cell r="AC75">
            <v>-3.8700999999999999</v>
          </cell>
          <cell r="AF75">
            <v>-4.0410000000000004</v>
          </cell>
          <cell r="AG75">
            <v>1.3916999999999999</v>
          </cell>
          <cell r="AK75">
            <v>0.5</v>
          </cell>
          <cell r="AN75">
            <v>0.5</v>
          </cell>
          <cell r="AO75">
            <v>0</v>
          </cell>
          <cell r="AP75">
            <v>0</v>
          </cell>
          <cell r="AR75">
            <v>1</v>
          </cell>
          <cell r="AS75">
            <v>-0.86060000000000003</v>
          </cell>
          <cell r="AT75">
            <v>-0.86060000000000003</v>
          </cell>
        </row>
        <row r="76">
          <cell r="A76">
            <v>29829</v>
          </cell>
          <cell r="B76">
            <v>-5.7744999999999997</v>
          </cell>
          <cell r="C76">
            <v>-6.3507999999999996</v>
          </cell>
          <cell r="D76">
            <v>-4.5599999999999996</v>
          </cell>
          <cell r="E76">
            <v>-4.4257</v>
          </cell>
          <cell r="H76">
            <v>-7.7350000000000003</v>
          </cell>
          <cell r="I76">
            <v>-9.8000000000000007</v>
          </cell>
          <cell r="J76">
            <v>-5.5819999999999999</v>
          </cell>
          <cell r="N76">
            <v>-7.7350000000000003</v>
          </cell>
          <cell r="O76">
            <v>-9.8000000000000007</v>
          </cell>
          <cell r="P76">
            <v>-5.5819999999999999</v>
          </cell>
          <cell r="R76">
            <v>-6.74</v>
          </cell>
          <cell r="S76">
            <v>-5.7190000000000003</v>
          </cell>
          <cell r="W76">
            <v>-2.11</v>
          </cell>
          <cell r="X76">
            <v>-1.47</v>
          </cell>
          <cell r="AA76">
            <v>2.3660000000000001</v>
          </cell>
          <cell r="AB76">
            <v>2.7101000000000002</v>
          </cell>
          <cell r="AC76">
            <v>2.0142000000000002</v>
          </cell>
          <cell r="AF76">
            <v>2.3660000000000001</v>
          </cell>
          <cell r="AG76">
            <v>1.3916999999999999</v>
          </cell>
          <cell r="AK76">
            <v>0.5</v>
          </cell>
          <cell r="AN76">
            <v>0.5</v>
          </cell>
          <cell r="AO76">
            <v>0</v>
          </cell>
          <cell r="AP76">
            <v>0</v>
          </cell>
          <cell r="AR76">
            <v>1</v>
          </cell>
          <cell r="AS76">
            <v>-3.9422499999999996</v>
          </cell>
          <cell r="AT76">
            <v>-3.9422499999999996</v>
          </cell>
        </row>
        <row r="77">
          <cell r="A77">
            <v>29859</v>
          </cell>
          <cell r="B77">
            <v>-4.9271000000000003</v>
          </cell>
          <cell r="C77">
            <v>-6.1401000000000003</v>
          </cell>
          <cell r="D77">
            <v>-3.91</v>
          </cell>
          <cell r="E77">
            <v>-6.2971000000000004</v>
          </cell>
          <cell r="H77">
            <v>-8.3840000000000003</v>
          </cell>
          <cell r="I77">
            <v>-10.212999999999999</v>
          </cell>
          <cell r="J77">
            <v>-6.5590000000000002</v>
          </cell>
          <cell r="N77">
            <v>-8.3840000000000003</v>
          </cell>
          <cell r="O77">
            <v>-10.212999999999999</v>
          </cell>
          <cell r="P77">
            <v>-6.5590000000000002</v>
          </cell>
          <cell r="R77">
            <v>-7.39</v>
          </cell>
          <cell r="S77">
            <v>-6.3029999999999999</v>
          </cell>
          <cell r="W77">
            <v>-6.6000000000000003E-2</v>
          </cell>
          <cell r="X77">
            <v>0.74</v>
          </cell>
          <cell r="AA77">
            <v>-9.9320000000000004</v>
          </cell>
          <cell r="AB77">
            <v>-10.667899999999999</v>
          </cell>
          <cell r="AC77">
            <v>-9.2716999999999992</v>
          </cell>
          <cell r="AF77">
            <v>-9.9320000000000004</v>
          </cell>
          <cell r="AG77">
            <v>1.3916999999999999</v>
          </cell>
          <cell r="AK77">
            <v>0.5</v>
          </cell>
          <cell r="AN77">
            <v>0.5</v>
          </cell>
          <cell r="AO77">
            <v>0</v>
          </cell>
          <cell r="AP77">
            <v>0</v>
          </cell>
          <cell r="AR77">
            <v>1</v>
          </cell>
          <cell r="AS77">
            <v>-2.49655</v>
          </cell>
          <cell r="AT77">
            <v>-2.49655</v>
          </cell>
        </row>
        <row r="78">
          <cell r="A78">
            <v>29890</v>
          </cell>
          <cell r="B78">
            <v>5.3967999999999998</v>
          </cell>
          <cell r="C78">
            <v>6.7005999999999997</v>
          </cell>
          <cell r="D78">
            <v>3.85</v>
          </cell>
          <cell r="E78">
            <v>7.4329999999999998</v>
          </cell>
          <cell r="H78">
            <v>8.4649999999999999</v>
          </cell>
          <cell r="I78">
            <v>10.345000000000001</v>
          </cell>
          <cell r="J78">
            <v>6.577</v>
          </cell>
          <cell r="N78">
            <v>8.4649999999999999</v>
          </cell>
          <cell r="O78">
            <v>10.345000000000001</v>
          </cell>
          <cell r="P78">
            <v>6.577</v>
          </cell>
          <cell r="R78">
            <v>7.14</v>
          </cell>
          <cell r="S78">
            <v>6.0430000000000001</v>
          </cell>
          <cell r="W78">
            <v>5.8528000000000002</v>
          </cell>
          <cell r="X78">
            <v>5.39</v>
          </cell>
          <cell r="AA78">
            <v>1.663</v>
          </cell>
          <cell r="AB78">
            <v>1.2607999999999999</v>
          </cell>
          <cell r="AC78">
            <v>2.0821999999999998</v>
          </cell>
          <cell r="AF78">
            <v>1.663</v>
          </cell>
          <cell r="AG78">
            <v>1.06</v>
          </cell>
          <cell r="AK78">
            <v>0.5</v>
          </cell>
          <cell r="AN78">
            <v>0.5</v>
          </cell>
          <cell r="AO78">
            <v>0</v>
          </cell>
          <cell r="AP78">
            <v>0</v>
          </cell>
          <cell r="AR78">
            <v>1</v>
          </cell>
          <cell r="AS78">
            <v>5.6248000000000005</v>
          </cell>
          <cell r="AT78">
            <v>5.6248000000000005</v>
          </cell>
        </row>
        <row r="79">
          <cell r="A79">
            <v>29920</v>
          </cell>
          <cell r="B79">
            <v>4.1266999999999996</v>
          </cell>
          <cell r="C79">
            <v>3.9207000000000001</v>
          </cell>
          <cell r="D79">
            <v>4.78</v>
          </cell>
          <cell r="E79">
            <v>5.3369</v>
          </cell>
          <cell r="H79">
            <v>3.2090000000000001</v>
          </cell>
          <cell r="I79">
            <v>1.927</v>
          </cell>
          <cell r="J79">
            <v>4.6139999999999999</v>
          </cell>
          <cell r="N79">
            <v>3.2090000000000001</v>
          </cell>
          <cell r="O79">
            <v>1.927</v>
          </cell>
          <cell r="P79">
            <v>4.6139999999999999</v>
          </cell>
          <cell r="R79">
            <v>3.54</v>
          </cell>
          <cell r="S79">
            <v>4.5640000000000001</v>
          </cell>
          <cell r="W79">
            <v>8.5231999999999992</v>
          </cell>
          <cell r="X79">
            <v>7.51</v>
          </cell>
          <cell r="AA79">
            <v>11.13</v>
          </cell>
          <cell r="AB79">
            <v>10.1196</v>
          </cell>
          <cell r="AC79">
            <v>11.7447</v>
          </cell>
          <cell r="AF79">
            <v>11.13</v>
          </cell>
          <cell r="AG79">
            <v>1.06</v>
          </cell>
          <cell r="AK79">
            <v>0.5</v>
          </cell>
          <cell r="AN79">
            <v>0.5</v>
          </cell>
          <cell r="AO79">
            <v>0</v>
          </cell>
          <cell r="AP79">
            <v>0</v>
          </cell>
          <cell r="AR79">
            <v>1</v>
          </cell>
          <cell r="AS79">
            <v>6.3249499999999994</v>
          </cell>
          <cell r="AT79">
            <v>6.3249499999999994</v>
          </cell>
        </row>
        <row r="80">
          <cell r="A80">
            <v>29951</v>
          </cell>
          <cell r="B80">
            <v>-2.5642999999999998</v>
          </cell>
          <cell r="C80">
            <v>-2.8512</v>
          </cell>
          <cell r="D80">
            <v>-2.57</v>
          </cell>
          <cell r="E80">
            <v>-2.7521</v>
          </cell>
          <cell r="H80">
            <v>-1.5960000000000001</v>
          </cell>
          <cell r="I80">
            <v>-1.9410000000000001</v>
          </cell>
          <cell r="J80">
            <v>-1.3149999999999999</v>
          </cell>
          <cell r="N80">
            <v>-1.5960000000000001</v>
          </cell>
          <cell r="O80">
            <v>-1.9410000000000001</v>
          </cell>
          <cell r="P80">
            <v>-1.3149999999999999</v>
          </cell>
          <cell r="R80">
            <v>-1.82</v>
          </cell>
          <cell r="S80">
            <v>-2.7879999999999998</v>
          </cell>
          <cell r="W80">
            <v>-3.7410000000000001</v>
          </cell>
          <cell r="X80">
            <v>-2.99</v>
          </cell>
          <cell r="AA80">
            <v>-0.92300000000000004</v>
          </cell>
          <cell r="AB80">
            <v>-0.3528</v>
          </cell>
          <cell r="AC80">
            <v>-1.4802</v>
          </cell>
          <cell r="AF80">
            <v>-0.92300000000000004</v>
          </cell>
          <cell r="AG80">
            <v>1.06</v>
          </cell>
          <cell r="AK80">
            <v>0.5</v>
          </cell>
          <cell r="AN80">
            <v>0.5</v>
          </cell>
          <cell r="AO80">
            <v>0</v>
          </cell>
          <cell r="AP80">
            <v>0</v>
          </cell>
          <cell r="AR80">
            <v>1</v>
          </cell>
          <cell r="AS80">
            <v>-3.15265</v>
          </cell>
          <cell r="AT80">
            <v>-3.15265</v>
          </cell>
        </row>
        <row r="81">
          <cell r="A81">
            <v>29982</v>
          </cell>
          <cell r="B81">
            <v>-1.3056000000000001</v>
          </cell>
          <cell r="C81">
            <v>-1.3589</v>
          </cell>
          <cell r="D81">
            <v>-1.87</v>
          </cell>
          <cell r="E81">
            <v>-4.0880999999999998</v>
          </cell>
          <cell r="H81">
            <v>-3.5009999999999999</v>
          </cell>
          <cell r="I81">
            <v>-4.8949999999999996</v>
          </cell>
          <cell r="J81">
            <v>-2.0699999999999998</v>
          </cell>
          <cell r="N81">
            <v>-3.5009999999999999</v>
          </cell>
          <cell r="O81">
            <v>-4.8949999999999996</v>
          </cell>
          <cell r="P81">
            <v>-2.0699999999999998</v>
          </cell>
          <cell r="R81">
            <v>-3.83</v>
          </cell>
          <cell r="S81">
            <v>-2.5859999999999999</v>
          </cell>
          <cell r="W81">
            <v>0.63300000000000001</v>
          </cell>
          <cell r="X81">
            <v>0.84</v>
          </cell>
          <cell r="AA81">
            <v>-0.65700000000000003</v>
          </cell>
          <cell r="AB81">
            <v>-0.79869999999999997</v>
          </cell>
          <cell r="AC81">
            <v>-1.0079</v>
          </cell>
          <cell r="AF81">
            <v>-0.65700000000000003</v>
          </cell>
          <cell r="AG81">
            <v>1.7343</v>
          </cell>
          <cell r="AK81">
            <v>0.5</v>
          </cell>
          <cell r="AN81">
            <v>0.5</v>
          </cell>
          <cell r="AO81">
            <v>0</v>
          </cell>
          <cell r="AP81">
            <v>0</v>
          </cell>
          <cell r="AR81">
            <v>1</v>
          </cell>
          <cell r="AS81">
            <v>-0.33630000000000004</v>
          </cell>
          <cell r="AT81">
            <v>-0.33630000000000004</v>
          </cell>
        </row>
        <row r="82">
          <cell r="A82">
            <v>30010</v>
          </cell>
          <cell r="B82">
            <v>-5.5896999999999997</v>
          </cell>
          <cell r="C82">
            <v>-22.221800000000002</v>
          </cell>
          <cell r="D82">
            <v>-3.45</v>
          </cell>
          <cell r="E82">
            <v>-2.6703999999999999</v>
          </cell>
          <cell r="H82">
            <v>-4.968</v>
          </cell>
          <cell r="I82">
            <v>-7.0940000000000003</v>
          </cell>
          <cell r="J82">
            <v>-2.8580000000000001</v>
          </cell>
          <cell r="N82">
            <v>-4.968</v>
          </cell>
          <cell r="O82">
            <v>-7.0940000000000003</v>
          </cell>
          <cell r="P82">
            <v>-2.8580000000000001</v>
          </cell>
          <cell r="R82">
            <v>-4.41</v>
          </cell>
          <cell r="S82">
            <v>-5.0919999999999996</v>
          </cell>
          <cell r="W82">
            <v>1.946</v>
          </cell>
          <cell r="X82">
            <v>1.84</v>
          </cell>
          <cell r="AA82">
            <v>-6.36</v>
          </cell>
          <cell r="AB82">
            <v>-7.5528000000000004</v>
          </cell>
          <cell r="AC82">
            <v>-5.2168000000000001</v>
          </cell>
          <cell r="AF82">
            <v>-6.36</v>
          </cell>
          <cell r="AG82">
            <v>1.7343</v>
          </cell>
          <cell r="AK82">
            <v>0.5</v>
          </cell>
          <cell r="AN82">
            <v>0.5</v>
          </cell>
          <cell r="AO82">
            <v>0</v>
          </cell>
          <cell r="AP82">
            <v>0</v>
          </cell>
          <cell r="AR82">
            <v>1</v>
          </cell>
          <cell r="AS82">
            <v>-1.82185</v>
          </cell>
          <cell r="AT82">
            <v>-1.82185</v>
          </cell>
        </row>
        <row r="83">
          <cell r="A83">
            <v>30041</v>
          </cell>
          <cell r="B83">
            <v>-0.52159999999999995</v>
          </cell>
          <cell r="C83">
            <v>18.0608</v>
          </cell>
          <cell r="D83">
            <v>0.28999999999999998</v>
          </cell>
          <cell r="E83">
            <v>-0.83360000000000001</v>
          </cell>
          <cell r="H83">
            <v>-1.117</v>
          </cell>
          <cell r="I83">
            <v>-2.75</v>
          </cell>
          <cell r="J83">
            <v>0.35699999999999998</v>
          </cell>
          <cell r="N83">
            <v>-1.117</v>
          </cell>
          <cell r="O83">
            <v>-2.75</v>
          </cell>
          <cell r="P83">
            <v>0.35699999999999998</v>
          </cell>
          <cell r="R83">
            <v>-0.95</v>
          </cell>
          <cell r="S83">
            <v>-0.90300000000000002</v>
          </cell>
          <cell r="W83">
            <v>1.27</v>
          </cell>
          <cell r="X83">
            <v>0.97</v>
          </cell>
          <cell r="AA83">
            <v>-4.8499999999999996</v>
          </cell>
          <cell r="AB83">
            <v>-4.5094000000000003</v>
          </cell>
          <cell r="AC83">
            <v>-5.5704000000000002</v>
          </cell>
          <cell r="AF83">
            <v>-4.8499999999999996</v>
          </cell>
          <cell r="AG83">
            <v>1.7343</v>
          </cell>
          <cell r="AK83">
            <v>0.5</v>
          </cell>
          <cell r="AN83">
            <v>0.5</v>
          </cell>
          <cell r="AO83">
            <v>0</v>
          </cell>
          <cell r="AP83">
            <v>0</v>
          </cell>
          <cell r="AR83">
            <v>1</v>
          </cell>
          <cell r="AS83">
            <v>0.37420000000000003</v>
          </cell>
          <cell r="AT83">
            <v>0.37420000000000003</v>
          </cell>
        </row>
        <row r="84">
          <cell r="A84">
            <v>30071</v>
          </cell>
          <cell r="B84">
            <v>4.5194999999999999</v>
          </cell>
          <cell r="C84">
            <v>5.4991000000000003</v>
          </cell>
          <cell r="D84">
            <v>2.82</v>
          </cell>
          <cell r="E84">
            <v>4.7729999999999997</v>
          </cell>
          <cell r="H84">
            <v>5.327</v>
          </cell>
          <cell r="I84">
            <v>6.1689999999999996</v>
          </cell>
          <cell r="J84">
            <v>4.4470000000000001</v>
          </cell>
          <cell r="N84">
            <v>5.327</v>
          </cell>
          <cell r="O84">
            <v>6.1689999999999996</v>
          </cell>
          <cell r="P84">
            <v>4.4470000000000001</v>
          </cell>
          <cell r="R84">
            <v>5.0999999999999996</v>
          </cell>
          <cell r="S84">
            <v>4.2210000000000001</v>
          </cell>
          <cell r="W84">
            <v>2.8090000000000002</v>
          </cell>
          <cell r="X84">
            <v>2.38</v>
          </cell>
          <cell r="AA84">
            <v>6.5030000000000001</v>
          </cell>
          <cell r="AB84">
            <v>6.0251000000000001</v>
          </cell>
          <cell r="AC84">
            <v>7.0323000000000002</v>
          </cell>
          <cell r="AF84">
            <v>6.5030000000000001</v>
          </cell>
          <cell r="AG84">
            <v>0.82389999999999997</v>
          </cell>
          <cell r="AK84">
            <v>0.5</v>
          </cell>
          <cell r="AN84">
            <v>0.5</v>
          </cell>
          <cell r="AO84">
            <v>0</v>
          </cell>
          <cell r="AP84">
            <v>0</v>
          </cell>
          <cell r="AR84">
            <v>1</v>
          </cell>
          <cell r="AS84">
            <v>3.66425</v>
          </cell>
          <cell r="AT84">
            <v>3.66425</v>
          </cell>
        </row>
        <row r="85">
          <cell r="A85">
            <v>30102</v>
          </cell>
          <cell r="B85">
            <v>-3.4095</v>
          </cell>
          <cell r="C85">
            <v>-3.0392999999999999</v>
          </cell>
          <cell r="D85">
            <v>-2.4500000000000002</v>
          </cell>
          <cell r="E85">
            <v>-1.6755</v>
          </cell>
          <cell r="H85">
            <v>-2.835</v>
          </cell>
          <cell r="I85">
            <v>-3.4740000000000002</v>
          </cell>
          <cell r="J85">
            <v>-2.19</v>
          </cell>
          <cell r="N85">
            <v>-2.835</v>
          </cell>
          <cell r="O85">
            <v>-3.4740000000000002</v>
          </cell>
          <cell r="P85">
            <v>-2.19</v>
          </cell>
          <cell r="R85">
            <v>-2.91</v>
          </cell>
          <cell r="S85">
            <v>-2.7080000000000002</v>
          </cell>
          <cell r="W85">
            <v>1.617</v>
          </cell>
          <cell r="X85">
            <v>1.64</v>
          </cell>
          <cell r="AA85">
            <v>-1.296</v>
          </cell>
          <cell r="AB85">
            <v>-1.2128000000000001</v>
          </cell>
          <cell r="AC85">
            <v>-1.617</v>
          </cell>
          <cell r="AF85">
            <v>-1.296</v>
          </cell>
          <cell r="AG85">
            <v>0.82389999999999997</v>
          </cell>
          <cell r="AK85">
            <v>0.5</v>
          </cell>
          <cell r="AN85">
            <v>0.5</v>
          </cell>
          <cell r="AO85">
            <v>0</v>
          </cell>
          <cell r="AP85">
            <v>0</v>
          </cell>
          <cell r="AR85">
            <v>1</v>
          </cell>
          <cell r="AS85">
            <v>-0.89624999999999999</v>
          </cell>
          <cell r="AT85">
            <v>-0.89624999999999999</v>
          </cell>
        </row>
        <row r="86">
          <cell r="A86">
            <v>30132</v>
          </cell>
          <cell r="B86">
            <v>-1.5016</v>
          </cell>
          <cell r="C86">
            <v>-1.6603000000000001</v>
          </cell>
          <cell r="D86">
            <v>-1.78</v>
          </cell>
          <cell r="E86">
            <v>-2.6579000000000002</v>
          </cell>
          <cell r="H86">
            <v>-3.6930000000000001</v>
          </cell>
          <cell r="I86">
            <v>-4.18</v>
          </cell>
          <cell r="J86">
            <v>-3.1419999999999999</v>
          </cell>
          <cell r="N86">
            <v>-3.6930000000000001</v>
          </cell>
          <cell r="O86">
            <v>-4.18</v>
          </cell>
          <cell r="P86">
            <v>-3.1419999999999999</v>
          </cell>
          <cell r="R86">
            <v>-2.84</v>
          </cell>
          <cell r="S86">
            <v>-2.4289999999999998</v>
          </cell>
          <cell r="W86">
            <v>-1.571</v>
          </cell>
          <cell r="X86">
            <v>-1.1200000000000001</v>
          </cell>
          <cell r="AA86">
            <v>-7.468</v>
          </cell>
          <cell r="AB86">
            <v>-6.9215999999999998</v>
          </cell>
          <cell r="AC86">
            <v>-7.8423999999999996</v>
          </cell>
          <cell r="AF86">
            <v>-7.468</v>
          </cell>
          <cell r="AG86">
            <v>0.82389999999999997</v>
          </cell>
          <cell r="AK86">
            <v>0.5</v>
          </cell>
          <cell r="AN86">
            <v>0.5</v>
          </cell>
          <cell r="AO86">
            <v>0</v>
          </cell>
          <cell r="AP86">
            <v>0</v>
          </cell>
          <cell r="AR86">
            <v>1</v>
          </cell>
          <cell r="AS86">
            <v>-1.5363</v>
          </cell>
          <cell r="AT86">
            <v>-1.5363</v>
          </cell>
        </row>
        <row r="87">
          <cell r="A87">
            <v>30163</v>
          </cell>
          <cell r="B87">
            <v>-1.7789999999999999</v>
          </cell>
          <cell r="C87">
            <v>-1.151</v>
          </cell>
          <cell r="D87">
            <v>-2.97</v>
          </cell>
          <cell r="E87">
            <v>-3.4188000000000001</v>
          </cell>
          <cell r="H87">
            <v>-1.474</v>
          </cell>
          <cell r="I87">
            <v>-2.004</v>
          </cell>
          <cell r="J87">
            <v>-0.91500000000000004</v>
          </cell>
          <cell r="N87">
            <v>-1.474</v>
          </cell>
          <cell r="O87">
            <v>-2.004</v>
          </cell>
          <cell r="P87">
            <v>-0.91500000000000004</v>
          </cell>
          <cell r="R87">
            <v>-1.46</v>
          </cell>
          <cell r="S87">
            <v>-2.036</v>
          </cell>
          <cell r="W87">
            <v>4.2990000000000004</v>
          </cell>
          <cell r="X87">
            <v>4.04</v>
          </cell>
          <cell r="AA87">
            <v>-1.1539999999999999</v>
          </cell>
          <cell r="AB87">
            <v>-1.9E-3</v>
          </cell>
          <cell r="AC87">
            <v>-2.3231999999999999</v>
          </cell>
          <cell r="AF87">
            <v>-1.1539999999999999</v>
          </cell>
          <cell r="AG87">
            <v>0.68520000000000003</v>
          </cell>
          <cell r="AK87">
            <v>0.5</v>
          </cell>
          <cell r="AN87">
            <v>0.5</v>
          </cell>
          <cell r="AO87">
            <v>0</v>
          </cell>
          <cell r="AP87">
            <v>0</v>
          </cell>
          <cell r="AR87">
            <v>1</v>
          </cell>
          <cell r="AS87">
            <v>1.2600000000000002</v>
          </cell>
          <cell r="AT87">
            <v>1.2600000000000002</v>
          </cell>
        </row>
        <row r="88">
          <cell r="A88">
            <v>30194</v>
          </cell>
          <cell r="B88">
            <v>12.1393</v>
          </cell>
          <cell r="C88">
            <v>11.471299999999999</v>
          </cell>
          <cell r="D88">
            <v>13.62</v>
          </cell>
          <cell r="E88">
            <v>10.4359</v>
          </cell>
          <cell r="H88">
            <v>7.9930000000000003</v>
          </cell>
          <cell r="I88">
            <v>7.5330000000000004</v>
          </cell>
          <cell r="J88">
            <v>8.7200000000000006</v>
          </cell>
          <cell r="N88">
            <v>7.9930000000000003</v>
          </cell>
          <cell r="O88">
            <v>7.5330000000000004</v>
          </cell>
          <cell r="P88">
            <v>8.7200000000000006</v>
          </cell>
          <cell r="R88">
            <v>10.1</v>
          </cell>
          <cell r="S88">
            <v>11.978999999999999</v>
          </cell>
          <cell r="W88">
            <v>5.4649999999999999</v>
          </cell>
          <cell r="X88">
            <v>4.6399999999999997</v>
          </cell>
          <cell r="AA88">
            <v>6.5000000000000002E-2</v>
          </cell>
          <cell r="AB88">
            <v>-0.1109</v>
          </cell>
          <cell r="AC88">
            <v>0.2374</v>
          </cell>
          <cell r="AF88">
            <v>6.5000000000000002E-2</v>
          </cell>
          <cell r="AG88">
            <v>0.68520000000000003</v>
          </cell>
          <cell r="AK88">
            <v>0.5</v>
          </cell>
          <cell r="AN88">
            <v>0.5</v>
          </cell>
          <cell r="AO88">
            <v>0</v>
          </cell>
          <cell r="AP88">
            <v>0</v>
          </cell>
          <cell r="AR88">
            <v>1</v>
          </cell>
          <cell r="AS88">
            <v>8.802150000000001</v>
          </cell>
          <cell r="AT88">
            <v>8.802150000000001</v>
          </cell>
        </row>
        <row r="89">
          <cell r="A89">
            <v>30224</v>
          </cell>
          <cell r="B89">
            <v>1.2467999999999999</v>
          </cell>
          <cell r="C89">
            <v>1.6389</v>
          </cell>
          <cell r="D89">
            <v>0.5</v>
          </cell>
          <cell r="E89">
            <v>3.2437999999999998</v>
          </cell>
          <cell r="H89">
            <v>3.887</v>
          </cell>
          <cell r="I89">
            <v>3.8260000000000001</v>
          </cell>
          <cell r="J89">
            <v>3.6459999999999999</v>
          </cell>
          <cell r="N89">
            <v>3.887</v>
          </cell>
          <cell r="O89">
            <v>3.8260000000000001</v>
          </cell>
          <cell r="P89">
            <v>3.6459999999999999</v>
          </cell>
          <cell r="R89">
            <v>3.43</v>
          </cell>
          <cell r="S89">
            <v>1.69</v>
          </cell>
          <cell r="W89">
            <v>4.0419999999999998</v>
          </cell>
          <cell r="X89">
            <v>3.27</v>
          </cell>
          <cell r="AA89">
            <v>-0.63100000000000001</v>
          </cell>
          <cell r="AB89">
            <v>0.38490000000000002</v>
          </cell>
          <cell r="AC89">
            <v>-1.544</v>
          </cell>
          <cell r="AF89">
            <v>-0.63100000000000001</v>
          </cell>
          <cell r="AG89">
            <v>0.68520000000000003</v>
          </cell>
          <cell r="AK89">
            <v>0.5</v>
          </cell>
          <cell r="AN89">
            <v>0.5</v>
          </cell>
          <cell r="AO89">
            <v>0</v>
          </cell>
          <cell r="AP89">
            <v>0</v>
          </cell>
          <cell r="AR89">
            <v>1</v>
          </cell>
          <cell r="AS89">
            <v>2.6444000000000001</v>
          </cell>
          <cell r="AT89">
            <v>2.6444000000000001</v>
          </cell>
        </row>
        <row r="90">
          <cell r="A90">
            <v>30255</v>
          </cell>
          <cell r="B90">
            <v>11.5097</v>
          </cell>
          <cell r="C90">
            <v>11.350300000000001</v>
          </cell>
          <cell r="D90">
            <v>11.21</v>
          </cell>
          <cell r="E90">
            <v>10.3804</v>
          </cell>
          <cell r="H90">
            <v>14.372</v>
          </cell>
          <cell r="I90">
            <v>16.518000000000001</v>
          </cell>
          <cell r="J90">
            <v>12.192</v>
          </cell>
          <cell r="N90">
            <v>14.372</v>
          </cell>
          <cell r="O90">
            <v>16.518000000000001</v>
          </cell>
          <cell r="P90">
            <v>12.192</v>
          </cell>
          <cell r="R90">
            <v>14.26</v>
          </cell>
          <cell r="S90">
            <v>11.868</v>
          </cell>
          <cell r="W90">
            <v>5.2969999999999997</v>
          </cell>
          <cell r="X90">
            <v>4.3099999999999996</v>
          </cell>
          <cell r="AA90">
            <v>0.42699999999999999</v>
          </cell>
          <cell r="AB90">
            <v>-0.51359999999999995</v>
          </cell>
          <cell r="AC90">
            <v>1.3180000000000001</v>
          </cell>
          <cell r="AF90">
            <v>0.42699999999999999</v>
          </cell>
          <cell r="AG90">
            <v>0.50470000000000004</v>
          </cell>
          <cell r="AK90">
            <v>0.5</v>
          </cell>
          <cell r="AN90">
            <v>0.5</v>
          </cell>
          <cell r="AO90">
            <v>0</v>
          </cell>
          <cell r="AP90">
            <v>0</v>
          </cell>
          <cell r="AR90">
            <v>1</v>
          </cell>
          <cell r="AS90">
            <v>8.4033499999999997</v>
          </cell>
          <cell r="AT90">
            <v>8.4033499999999997</v>
          </cell>
        </row>
        <row r="91">
          <cell r="A91">
            <v>30285</v>
          </cell>
          <cell r="B91">
            <v>4.0385999999999997</v>
          </cell>
          <cell r="C91">
            <v>5.2907000000000002</v>
          </cell>
          <cell r="D91">
            <v>3.55</v>
          </cell>
          <cell r="E91">
            <v>5.9405999999999999</v>
          </cell>
          <cell r="H91">
            <v>9.1120000000000001</v>
          </cell>
          <cell r="I91">
            <v>10.811999999999999</v>
          </cell>
          <cell r="J91">
            <v>7.359</v>
          </cell>
          <cell r="N91">
            <v>9.1120000000000001</v>
          </cell>
          <cell r="O91">
            <v>10.811999999999999</v>
          </cell>
          <cell r="P91">
            <v>7.359</v>
          </cell>
          <cell r="R91">
            <v>8.07</v>
          </cell>
          <cell r="S91">
            <v>5.1639999999999997</v>
          </cell>
          <cell r="W91">
            <v>0.97699999999999998</v>
          </cell>
          <cell r="X91">
            <v>0.94</v>
          </cell>
          <cell r="AA91">
            <v>8.032</v>
          </cell>
          <cell r="AB91">
            <v>7.3265000000000002</v>
          </cell>
          <cell r="AC91">
            <v>9.1521000000000008</v>
          </cell>
          <cell r="AF91">
            <v>8.032</v>
          </cell>
          <cell r="AG91">
            <v>0.50470000000000004</v>
          </cell>
          <cell r="AK91">
            <v>0.5</v>
          </cell>
          <cell r="AN91">
            <v>0.5</v>
          </cell>
          <cell r="AO91">
            <v>0</v>
          </cell>
          <cell r="AP91">
            <v>0</v>
          </cell>
          <cell r="AR91">
            <v>1</v>
          </cell>
          <cell r="AS91">
            <v>2.5078</v>
          </cell>
          <cell r="AT91">
            <v>2.5078</v>
          </cell>
        </row>
        <row r="92">
          <cell r="A92">
            <v>30316</v>
          </cell>
          <cell r="B92">
            <v>1.9272</v>
          </cell>
          <cell r="C92">
            <v>1.9997</v>
          </cell>
          <cell r="D92">
            <v>1.34</v>
          </cell>
          <cell r="E92">
            <v>2.6303000000000001</v>
          </cell>
          <cell r="H92">
            <v>1.3460000000000001</v>
          </cell>
          <cell r="I92">
            <v>1.4970000000000001</v>
          </cell>
          <cell r="J92">
            <v>1.163</v>
          </cell>
          <cell r="N92">
            <v>1.3460000000000001</v>
          </cell>
          <cell r="O92">
            <v>1.4970000000000001</v>
          </cell>
          <cell r="P92">
            <v>1.163</v>
          </cell>
          <cell r="R92">
            <v>1.28</v>
          </cell>
          <cell r="S92">
            <v>1.502</v>
          </cell>
          <cell r="W92">
            <v>2.016</v>
          </cell>
          <cell r="X92">
            <v>2.04</v>
          </cell>
          <cell r="AA92">
            <v>7.984</v>
          </cell>
          <cell r="AB92">
            <v>6.5698999999999996</v>
          </cell>
          <cell r="AC92">
            <v>9.5768000000000004</v>
          </cell>
          <cell r="AF92">
            <v>7.984</v>
          </cell>
          <cell r="AG92">
            <v>0.50470000000000004</v>
          </cell>
          <cell r="AK92">
            <v>0.5</v>
          </cell>
          <cell r="AN92">
            <v>0.5</v>
          </cell>
          <cell r="AO92">
            <v>0</v>
          </cell>
          <cell r="AP92">
            <v>0</v>
          </cell>
          <cell r="AR92">
            <v>1</v>
          </cell>
          <cell r="AS92">
            <v>1.9716</v>
          </cell>
          <cell r="AT92">
            <v>1.9716</v>
          </cell>
        </row>
        <row r="93">
          <cell r="A93">
            <v>30347</v>
          </cell>
          <cell r="B93">
            <v>3.7187000000000001</v>
          </cell>
          <cell r="C93">
            <v>2.2603</v>
          </cell>
          <cell r="D93">
            <v>4.6900000000000004</v>
          </cell>
          <cell r="E93">
            <v>5.0274999999999999</v>
          </cell>
          <cell r="H93">
            <v>7.6050000000000004</v>
          </cell>
          <cell r="I93">
            <v>8.7560000000000002</v>
          </cell>
          <cell r="J93">
            <v>6.4660000000000002</v>
          </cell>
          <cell r="N93">
            <v>7.6050000000000004</v>
          </cell>
          <cell r="O93">
            <v>8.7560000000000002</v>
          </cell>
          <cell r="P93">
            <v>6.4660000000000002</v>
          </cell>
          <cell r="R93">
            <v>5.58</v>
          </cell>
          <cell r="S93">
            <v>3.8639999999999999</v>
          </cell>
          <cell r="W93">
            <v>0.16300000000000001</v>
          </cell>
          <cell r="X93">
            <v>0.56999999999999995</v>
          </cell>
          <cell r="AA93">
            <v>-0.84299999999999997</v>
          </cell>
          <cell r="AB93">
            <v>-1.0618000000000001</v>
          </cell>
          <cell r="AC93">
            <v>6.1199999999999997E-2</v>
          </cell>
          <cell r="AF93">
            <v>-0.84299999999999997</v>
          </cell>
          <cell r="AG93">
            <v>1.0038</v>
          </cell>
          <cell r="AK93">
            <v>0.5</v>
          </cell>
          <cell r="AN93">
            <v>0.5</v>
          </cell>
          <cell r="AO93">
            <v>0</v>
          </cell>
          <cell r="AP93">
            <v>0</v>
          </cell>
          <cell r="AR93">
            <v>1</v>
          </cell>
          <cell r="AS93">
            <v>1.94085</v>
          </cell>
          <cell r="AT93">
            <v>1.94085</v>
          </cell>
        </row>
        <row r="94">
          <cell r="A94">
            <v>30375</v>
          </cell>
          <cell r="B94">
            <v>2.2917999999999998</v>
          </cell>
          <cell r="C94">
            <v>2.9203000000000001</v>
          </cell>
          <cell r="D94">
            <v>2.16</v>
          </cell>
          <cell r="E94">
            <v>3.2513000000000001</v>
          </cell>
          <cell r="H94">
            <v>6.2329999999999997</v>
          </cell>
          <cell r="I94">
            <v>7.3710000000000004</v>
          </cell>
          <cell r="J94">
            <v>5.19</v>
          </cell>
          <cell r="N94">
            <v>6.2329999999999997</v>
          </cell>
          <cell r="O94">
            <v>7.3710000000000004</v>
          </cell>
          <cell r="P94">
            <v>5.19</v>
          </cell>
          <cell r="R94">
            <v>5.54</v>
          </cell>
          <cell r="S94">
            <v>3.14</v>
          </cell>
          <cell r="W94">
            <v>2.8690000000000002</v>
          </cell>
          <cell r="X94">
            <v>2.39</v>
          </cell>
          <cell r="AA94">
            <v>2.7869999999999999</v>
          </cell>
          <cell r="AB94">
            <v>2.4689999999999999</v>
          </cell>
          <cell r="AC94">
            <v>3.0375000000000001</v>
          </cell>
          <cell r="AF94">
            <v>2.7869999999999999</v>
          </cell>
          <cell r="AG94">
            <v>1.0038</v>
          </cell>
          <cell r="AK94">
            <v>0.5</v>
          </cell>
          <cell r="AN94">
            <v>0.5</v>
          </cell>
          <cell r="AO94">
            <v>0</v>
          </cell>
          <cell r="AP94">
            <v>0</v>
          </cell>
          <cell r="AR94">
            <v>1</v>
          </cell>
          <cell r="AS94">
            <v>2.5804</v>
          </cell>
          <cell r="AT94">
            <v>2.5804</v>
          </cell>
        </row>
        <row r="95">
          <cell r="A95">
            <v>30406</v>
          </cell>
          <cell r="B95">
            <v>3.6943999999999999</v>
          </cell>
          <cell r="C95">
            <v>3.34</v>
          </cell>
          <cell r="D95">
            <v>3.91</v>
          </cell>
          <cell r="E95">
            <v>4.1676000000000002</v>
          </cell>
          <cell r="H95">
            <v>2.7410000000000001</v>
          </cell>
          <cell r="I95">
            <v>0.629</v>
          </cell>
          <cell r="J95">
            <v>4.867</v>
          </cell>
          <cell r="N95">
            <v>2.7410000000000001</v>
          </cell>
          <cell r="O95">
            <v>0.629</v>
          </cell>
          <cell r="P95">
            <v>4.867</v>
          </cell>
          <cell r="R95">
            <v>3.51</v>
          </cell>
          <cell r="S95">
            <v>3.4350000000000001</v>
          </cell>
          <cell r="W95">
            <v>0.26700000000000002</v>
          </cell>
          <cell r="X95">
            <v>0.06</v>
          </cell>
          <cell r="AA95">
            <v>3.9039999999999999</v>
          </cell>
          <cell r="AB95">
            <v>3.1177999999999999</v>
          </cell>
          <cell r="AC95">
            <v>4.5617000000000001</v>
          </cell>
          <cell r="AF95">
            <v>3.9039999999999999</v>
          </cell>
          <cell r="AG95">
            <v>1.0038</v>
          </cell>
          <cell r="AK95">
            <v>0.5</v>
          </cell>
          <cell r="AN95">
            <v>0.5</v>
          </cell>
          <cell r="AO95">
            <v>0</v>
          </cell>
          <cell r="AP95">
            <v>0</v>
          </cell>
          <cell r="AR95">
            <v>1</v>
          </cell>
          <cell r="AS95">
            <v>1.9806999999999999</v>
          </cell>
          <cell r="AT95">
            <v>1.9806999999999999</v>
          </cell>
        </row>
        <row r="96">
          <cell r="A96">
            <v>30436</v>
          </cell>
          <cell r="B96">
            <v>7.8779000000000003</v>
          </cell>
          <cell r="C96">
            <v>6.79</v>
          </cell>
          <cell r="D96">
            <v>8.2899999999999991</v>
          </cell>
          <cell r="E96">
            <v>6.1111000000000004</v>
          </cell>
          <cell r="H96">
            <v>7.29</v>
          </cell>
          <cell r="I96">
            <v>7.351</v>
          </cell>
          <cell r="J96">
            <v>7.22</v>
          </cell>
          <cell r="N96">
            <v>7.29</v>
          </cell>
          <cell r="O96">
            <v>7.351</v>
          </cell>
          <cell r="P96">
            <v>7.22</v>
          </cell>
          <cell r="R96">
            <v>6.62</v>
          </cell>
          <cell r="S96">
            <v>7.2560000000000002</v>
          </cell>
          <cell r="W96">
            <v>2.782</v>
          </cell>
          <cell r="X96">
            <v>2.08</v>
          </cell>
          <cell r="AA96">
            <v>5.7279999999999998</v>
          </cell>
          <cell r="AB96">
            <v>5.6326999999999998</v>
          </cell>
          <cell r="AC96">
            <v>5.7016999999999998</v>
          </cell>
          <cell r="AF96">
            <v>5.7279999999999998</v>
          </cell>
          <cell r="AG96">
            <v>0.57999999999999996</v>
          </cell>
          <cell r="AK96">
            <v>0.5</v>
          </cell>
          <cell r="AN96">
            <v>0.5</v>
          </cell>
          <cell r="AO96">
            <v>0</v>
          </cell>
          <cell r="AP96">
            <v>0</v>
          </cell>
          <cell r="AR96">
            <v>1</v>
          </cell>
          <cell r="AS96">
            <v>5.3299500000000002</v>
          </cell>
          <cell r="AT96">
            <v>5.3299500000000002</v>
          </cell>
        </row>
        <row r="97">
          <cell r="A97">
            <v>30467</v>
          </cell>
          <cell r="B97">
            <v>-0.86970000000000003</v>
          </cell>
          <cell r="C97">
            <v>-1.1501999999999999</v>
          </cell>
          <cell r="D97">
            <v>0.02</v>
          </cell>
          <cell r="E97">
            <v>3.972</v>
          </cell>
          <cell r="H97">
            <v>7.1980000000000004</v>
          </cell>
          <cell r="I97">
            <v>8.1039999999999992</v>
          </cell>
          <cell r="J97">
            <v>6.3029999999999999</v>
          </cell>
          <cell r="N97">
            <v>7.1980000000000004</v>
          </cell>
          <cell r="O97">
            <v>8.1039999999999992</v>
          </cell>
          <cell r="P97">
            <v>6.3029999999999999</v>
          </cell>
          <cell r="R97">
            <v>6</v>
          </cell>
          <cell r="S97">
            <v>1.147</v>
          </cell>
          <cell r="W97">
            <v>-1.3109999999999999</v>
          </cell>
          <cell r="X97">
            <v>-0.65</v>
          </cell>
          <cell r="AA97">
            <v>-0.47099999999999997</v>
          </cell>
          <cell r="AB97">
            <v>-0.2621</v>
          </cell>
          <cell r="AC97">
            <v>-0.66690000000000005</v>
          </cell>
          <cell r="AF97">
            <v>-0.47099999999999997</v>
          </cell>
          <cell r="AG97">
            <v>0.57999999999999996</v>
          </cell>
          <cell r="AK97">
            <v>0.5</v>
          </cell>
          <cell r="AN97">
            <v>0.5</v>
          </cell>
          <cell r="AO97">
            <v>0</v>
          </cell>
          <cell r="AP97">
            <v>0</v>
          </cell>
          <cell r="AR97">
            <v>1</v>
          </cell>
          <cell r="AS97">
            <v>-1.0903499999999999</v>
          </cell>
          <cell r="AT97">
            <v>-1.0903499999999999</v>
          </cell>
        </row>
        <row r="98">
          <cell r="A98">
            <v>30497</v>
          </cell>
          <cell r="B98">
            <v>3.8919000000000001</v>
          </cell>
          <cell r="C98">
            <v>5.7194000000000003</v>
          </cell>
          <cell r="D98">
            <v>1.94</v>
          </cell>
          <cell r="E98">
            <v>3.3296000000000001</v>
          </cell>
          <cell r="H98">
            <v>4.5890000000000004</v>
          </cell>
          <cell r="I98">
            <v>5.7549999999999999</v>
          </cell>
          <cell r="J98">
            <v>3.32</v>
          </cell>
          <cell r="N98">
            <v>4.5890000000000004</v>
          </cell>
          <cell r="O98">
            <v>5.7549999999999999</v>
          </cell>
          <cell r="P98">
            <v>3.32</v>
          </cell>
          <cell r="R98">
            <v>3.96</v>
          </cell>
          <cell r="S98">
            <v>4.0330000000000004</v>
          </cell>
          <cell r="W98">
            <v>0.107</v>
          </cell>
          <cell r="X98">
            <v>0.12</v>
          </cell>
          <cell r="AA98">
            <v>2.2999999999999998</v>
          </cell>
          <cell r="AB98">
            <v>1.9196</v>
          </cell>
          <cell r="AC98">
            <v>2.6646000000000001</v>
          </cell>
          <cell r="AF98">
            <v>2.2999999999999998</v>
          </cell>
          <cell r="AG98">
            <v>0.57999999999999996</v>
          </cell>
          <cell r="AK98">
            <v>0.5</v>
          </cell>
          <cell r="AN98">
            <v>0.5</v>
          </cell>
          <cell r="AO98">
            <v>0</v>
          </cell>
          <cell r="AP98">
            <v>0</v>
          </cell>
          <cell r="AR98">
            <v>1</v>
          </cell>
          <cell r="AS98">
            <v>1.9994500000000002</v>
          </cell>
          <cell r="AT98">
            <v>1.9994500000000002</v>
          </cell>
        </row>
        <row r="99">
          <cell r="A99">
            <v>30528</v>
          </cell>
          <cell r="B99">
            <v>-2.9504000000000001</v>
          </cell>
          <cell r="C99">
            <v>-4.4794</v>
          </cell>
          <cell r="D99">
            <v>-1.65</v>
          </cell>
          <cell r="E99">
            <v>-1.5327999999999999</v>
          </cell>
          <cell r="H99">
            <v>-2.895</v>
          </cell>
          <cell r="I99">
            <v>-5.5330000000000004</v>
          </cell>
          <cell r="J99">
            <v>-0.152</v>
          </cell>
          <cell r="N99">
            <v>-2.895</v>
          </cell>
          <cell r="O99">
            <v>-5.5330000000000004</v>
          </cell>
          <cell r="P99">
            <v>-0.152</v>
          </cell>
          <cell r="R99">
            <v>-2.86</v>
          </cell>
          <cell r="S99">
            <v>-3.0750000000000002</v>
          </cell>
          <cell r="W99">
            <v>-2.36</v>
          </cell>
          <cell r="X99">
            <v>-1.69</v>
          </cell>
          <cell r="AA99">
            <v>0.251</v>
          </cell>
          <cell r="AB99">
            <v>0.89559999999999995</v>
          </cell>
          <cell r="AC99">
            <v>-0.34949999999999998</v>
          </cell>
          <cell r="AF99">
            <v>0.251</v>
          </cell>
          <cell r="AG99">
            <v>0.83930000000000005</v>
          </cell>
          <cell r="AK99">
            <v>0.5</v>
          </cell>
          <cell r="AN99">
            <v>0.5</v>
          </cell>
          <cell r="AO99">
            <v>0</v>
          </cell>
          <cell r="AP99">
            <v>0</v>
          </cell>
          <cell r="AR99">
            <v>1</v>
          </cell>
          <cell r="AS99">
            <v>-2.6551999999999998</v>
          </cell>
          <cell r="AT99">
            <v>-2.6551999999999998</v>
          </cell>
        </row>
        <row r="100">
          <cell r="A100">
            <v>30559</v>
          </cell>
          <cell r="B100">
            <v>1.5009999999999999</v>
          </cell>
          <cell r="C100">
            <v>-0.46010000000000001</v>
          </cell>
          <cell r="D100">
            <v>3.87</v>
          </cell>
          <cell r="E100">
            <v>-1.5817000000000001</v>
          </cell>
          <cell r="H100">
            <v>-3.7789999999999999</v>
          </cell>
          <cell r="I100">
            <v>-5.1849999999999996</v>
          </cell>
          <cell r="J100">
            <v>-2.3860000000000001</v>
          </cell>
          <cell r="N100">
            <v>-3.7789999999999999</v>
          </cell>
          <cell r="O100">
            <v>-5.1849999999999996</v>
          </cell>
          <cell r="P100">
            <v>-2.3860000000000001</v>
          </cell>
          <cell r="R100">
            <v>-2.52</v>
          </cell>
          <cell r="S100">
            <v>0.53</v>
          </cell>
          <cell r="W100">
            <v>0.69599999999999995</v>
          </cell>
          <cell r="X100">
            <v>0.78</v>
          </cell>
          <cell r="AA100">
            <v>-1.5760000000000001</v>
          </cell>
          <cell r="AB100">
            <v>-1.7385999999999999</v>
          </cell>
          <cell r="AC100">
            <v>-1.3254999999999999</v>
          </cell>
          <cell r="AF100">
            <v>-1.5760000000000001</v>
          </cell>
          <cell r="AG100">
            <v>0.83930000000000005</v>
          </cell>
          <cell r="AK100">
            <v>0.5</v>
          </cell>
          <cell r="AN100">
            <v>0.5</v>
          </cell>
          <cell r="AO100">
            <v>0</v>
          </cell>
          <cell r="AP100">
            <v>0</v>
          </cell>
          <cell r="AR100">
            <v>1</v>
          </cell>
          <cell r="AS100">
            <v>1.0985</v>
          </cell>
          <cell r="AT100">
            <v>1.0985</v>
          </cell>
        </row>
        <row r="101">
          <cell r="A101">
            <v>30589</v>
          </cell>
          <cell r="B101">
            <v>1.3808</v>
          </cell>
          <cell r="C101">
            <v>1.8301000000000001</v>
          </cell>
          <cell r="D101">
            <v>0.85</v>
          </cell>
          <cell r="E101">
            <v>3.4927999999999999</v>
          </cell>
          <cell r="H101">
            <v>1.782</v>
          </cell>
          <cell r="I101">
            <v>0.60399999999999998</v>
          </cell>
          <cell r="J101">
            <v>2.8759999999999999</v>
          </cell>
          <cell r="N101">
            <v>1.782</v>
          </cell>
          <cell r="O101">
            <v>0.60399999999999998</v>
          </cell>
          <cell r="P101">
            <v>2.8759999999999999</v>
          </cell>
          <cell r="R101">
            <v>2.58</v>
          </cell>
          <cell r="S101">
            <v>1.6619999999999999</v>
          </cell>
          <cell r="W101">
            <v>3.2930000000000001</v>
          </cell>
          <cell r="X101">
            <v>2.93</v>
          </cell>
          <cell r="AA101">
            <v>3.9060000000000001</v>
          </cell>
          <cell r="AB101">
            <v>3.4597000000000002</v>
          </cell>
          <cell r="AC101">
            <v>4.3964999999999996</v>
          </cell>
          <cell r="AF101">
            <v>3.9060000000000001</v>
          </cell>
          <cell r="AG101">
            <v>0.83930000000000005</v>
          </cell>
          <cell r="AK101">
            <v>0.5</v>
          </cell>
          <cell r="AN101">
            <v>0.5</v>
          </cell>
          <cell r="AO101">
            <v>0</v>
          </cell>
          <cell r="AP101">
            <v>0</v>
          </cell>
          <cell r="AR101">
            <v>1</v>
          </cell>
          <cell r="AS101">
            <v>2.3369</v>
          </cell>
          <cell r="AT101">
            <v>2.3369</v>
          </cell>
        </row>
        <row r="102">
          <cell r="A102">
            <v>30620</v>
          </cell>
          <cell r="B102">
            <v>-1.1560999999999999</v>
          </cell>
          <cell r="C102">
            <v>-2.1008</v>
          </cell>
          <cell r="D102">
            <v>-0.57999999999999996</v>
          </cell>
          <cell r="E102">
            <v>-4.3941999999999997</v>
          </cell>
          <cell r="H102">
            <v>-6.9180000000000001</v>
          </cell>
          <cell r="I102">
            <v>-9.36</v>
          </cell>
          <cell r="J102">
            <v>-4.3490000000000002</v>
          </cell>
          <cell r="N102">
            <v>-6.9180000000000001</v>
          </cell>
          <cell r="O102">
            <v>-9.36</v>
          </cell>
          <cell r="P102">
            <v>-4.3490000000000002</v>
          </cell>
          <cell r="R102">
            <v>-5.71</v>
          </cell>
          <cell r="S102">
            <v>-2.7189999999999999</v>
          </cell>
          <cell r="W102">
            <v>0.36399999999999999</v>
          </cell>
          <cell r="X102">
            <v>0.7</v>
          </cell>
          <cell r="AA102">
            <v>-6.2E-2</v>
          </cell>
          <cell r="AB102">
            <v>-0.16109999999999999</v>
          </cell>
          <cell r="AC102">
            <v>0.1583</v>
          </cell>
          <cell r="AF102">
            <v>-6.2E-2</v>
          </cell>
          <cell r="AG102">
            <v>0.9758</v>
          </cell>
          <cell r="AK102">
            <v>0.5</v>
          </cell>
          <cell r="AN102">
            <v>0.5</v>
          </cell>
          <cell r="AO102">
            <v>0</v>
          </cell>
          <cell r="AP102">
            <v>0</v>
          </cell>
          <cell r="AR102">
            <v>1</v>
          </cell>
          <cell r="AS102">
            <v>-0.39604999999999996</v>
          </cell>
          <cell r="AT102">
            <v>-0.39604999999999996</v>
          </cell>
        </row>
        <row r="103">
          <cell r="A103">
            <v>30650</v>
          </cell>
          <cell r="B103">
            <v>2.1093999999999999</v>
          </cell>
          <cell r="C103">
            <v>2.0200999999999998</v>
          </cell>
          <cell r="D103">
            <v>2.63</v>
          </cell>
          <cell r="E103">
            <v>3.3616999999999999</v>
          </cell>
          <cell r="H103">
            <v>5.2460000000000004</v>
          </cell>
          <cell r="I103">
            <v>5.3819999999999997</v>
          </cell>
          <cell r="J103">
            <v>5.1059999999999999</v>
          </cell>
          <cell r="N103">
            <v>5.2460000000000004</v>
          </cell>
          <cell r="O103">
            <v>5.3819999999999997</v>
          </cell>
          <cell r="P103">
            <v>5.1059999999999999</v>
          </cell>
          <cell r="R103">
            <v>5.04</v>
          </cell>
          <cell r="S103">
            <v>2.8919999999999999</v>
          </cell>
          <cell r="W103">
            <v>1.139</v>
          </cell>
          <cell r="X103">
            <v>1.02</v>
          </cell>
          <cell r="AA103">
            <v>2.399</v>
          </cell>
          <cell r="AB103">
            <v>2.8776999999999999</v>
          </cell>
          <cell r="AC103">
            <v>1.6398999999999999</v>
          </cell>
          <cell r="AF103">
            <v>2.399</v>
          </cell>
          <cell r="AG103">
            <v>0.9758</v>
          </cell>
          <cell r="AK103">
            <v>0.5</v>
          </cell>
          <cell r="AN103">
            <v>0.5</v>
          </cell>
          <cell r="AO103">
            <v>0</v>
          </cell>
          <cell r="AP103">
            <v>0</v>
          </cell>
          <cell r="AR103">
            <v>1</v>
          </cell>
          <cell r="AS103">
            <v>1.6242000000000001</v>
          </cell>
          <cell r="AT103">
            <v>1.6242000000000001</v>
          </cell>
        </row>
        <row r="104">
          <cell r="A104">
            <v>30681</v>
          </cell>
          <cell r="B104">
            <v>-0.52280000000000004</v>
          </cell>
          <cell r="C104">
            <v>-0.97009999999999996</v>
          </cell>
          <cell r="D104">
            <v>-0.08</v>
          </cell>
          <cell r="E104">
            <v>-1.2010000000000001</v>
          </cell>
          <cell r="H104">
            <v>-1.891</v>
          </cell>
          <cell r="I104">
            <v>-3.218</v>
          </cell>
          <cell r="J104">
            <v>-0.55800000000000005</v>
          </cell>
          <cell r="N104">
            <v>-1.891</v>
          </cell>
          <cell r="O104">
            <v>-3.218</v>
          </cell>
          <cell r="P104">
            <v>-0.55800000000000005</v>
          </cell>
          <cell r="R104">
            <v>-2.0699999999999998</v>
          </cell>
          <cell r="S104">
            <v>-1.0129999999999999</v>
          </cell>
          <cell r="W104">
            <v>0.192</v>
          </cell>
          <cell r="X104">
            <v>0.44</v>
          </cell>
          <cell r="AA104">
            <v>4.18</v>
          </cell>
          <cell r="AB104">
            <v>3.7536999999999998</v>
          </cell>
          <cell r="AC104">
            <v>4.5350000000000001</v>
          </cell>
          <cell r="AF104">
            <v>4.18</v>
          </cell>
          <cell r="AG104">
            <v>0.9758</v>
          </cell>
          <cell r="AK104">
            <v>0.5</v>
          </cell>
          <cell r="AN104">
            <v>0.5</v>
          </cell>
          <cell r="AO104">
            <v>0</v>
          </cell>
          <cell r="AP104">
            <v>0</v>
          </cell>
          <cell r="AR104">
            <v>1</v>
          </cell>
          <cell r="AS104">
            <v>-0.16540000000000002</v>
          </cell>
          <cell r="AT104">
            <v>-0.16540000000000002</v>
          </cell>
        </row>
        <row r="105">
          <cell r="A105">
            <v>30712</v>
          </cell>
          <cell r="B105">
            <v>-0.55779999999999996</v>
          </cell>
          <cell r="C105">
            <v>-3.2595999999999998</v>
          </cell>
          <cell r="D105">
            <v>2.21</v>
          </cell>
          <cell r="E105">
            <v>-2.8571</v>
          </cell>
          <cell r="H105">
            <v>-1.671</v>
          </cell>
          <cell r="I105">
            <v>-4.3970000000000002</v>
          </cell>
          <cell r="J105">
            <v>1.2450000000000001</v>
          </cell>
          <cell r="N105">
            <v>-1.671</v>
          </cell>
          <cell r="O105">
            <v>-4.3970000000000002</v>
          </cell>
          <cell r="P105">
            <v>1.2450000000000001</v>
          </cell>
          <cell r="R105">
            <v>-2.85</v>
          </cell>
          <cell r="S105">
            <v>-1.6419999999999999</v>
          </cell>
          <cell r="W105">
            <v>2.0619999999999998</v>
          </cell>
          <cell r="X105">
            <v>1.86</v>
          </cell>
          <cell r="AA105">
            <v>4.4909999999999997</v>
          </cell>
          <cell r="AB105">
            <v>3.6137999999999999</v>
          </cell>
          <cell r="AC105">
            <v>5.3239000000000001</v>
          </cell>
          <cell r="AF105">
            <v>4.4909999999999997</v>
          </cell>
          <cell r="AG105">
            <v>1.74</v>
          </cell>
          <cell r="AK105">
            <v>0.6</v>
          </cell>
          <cell r="AN105">
            <v>0.4</v>
          </cell>
          <cell r="AO105">
            <v>0</v>
          </cell>
          <cell r="AP105">
            <v>0</v>
          </cell>
          <cell r="AR105">
            <v>1</v>
          </cell>
          <cell r="AS105">
            <v>0.49012</v>
          </cell>
          <cell r="AT105">
            <v>0.49012</v>
          </cell>
        </row>
        <row r="106">
          <cell r="A106">
            <v>30741</v>
          </cell>
          <cell r="B106">
            <v>-3.5188000000000001</v>
          </cell>
          <cell r="C106">
            <v>-4.1996000000000002</v>
          </cell>
          <cell r="D106">
            <v>-2.37</v>
          </cell>
          <cell r="E106">
            <v>-4.8068999999999997</v>
          </cell>
          <cell r="H106">
            <v>-5.6820000000000004</v>
          </cell>
          <cell r="I106">
            <v>-6.7309999999999999</v>
          </cell>
          <cell r="J106">
            <v>-4.6890000000000001</v>
          </cell>
          <cell r="N106">
            <v>-5.6820000000000004</v>
          </cell>
          <cell r="O106">
            <v>-6.7309999999999999</v>
          </cell>
          <cell r="P106">
            <v>-4.6890000000000001</v>
          </cell>
          <cell r="R106">
            <v>-5.82</v>
          </cell>
          <cell r="S106">
            <v>-4.0880000000000001</v>
          </cell>
          <cell r="W106">
            <v>-0.50800000000000001</v>
          </cell>
          <cell r="X106">
            <v>-0.1</v>
          </cell>
          <cell r="AA106">
            <v>0.93200000000000005</v>
          </cell>
          <cell r="AB106">
            <v>1.0648</v>
          </cell>
          <cell r="AC106">
            <v>0.81979999999999997</v>
          </cell>
          <cell r="AF106">
            <v>0.93200000000000005</v>
          </cell>
          <cell r="AG106">
            <v>1.74</v>
          </cell>
          <cell r="AK106">
            <v>0.6</v>
          </cell>
          <cell r="AN106">
            <v>0.4</v>
          </cell>
          <cell r="AO106">
            <v>0</v>
          </cell>
          <cell r="AP106">
            <v>0</v>
          </cell>
          <cell r="AR106">
            <v>1</v>
          </cell>
          <cell r="AS106">
            <v>-2.3144799999999996</v>
          </cell>
          <cell r="AT106">
            <v>-2.3144799999999996</v>
          </cell>
        </row>
        <row r="107">
          <cell r="A107">
            <v>30772</v>
          </cell>
          <cell r="B107">
            <v>1.7318</v>
          </cell>
          <cell r="C107">
            <v>2.1097999999999999</v>
          </cell>
          <cell r="D107">
            <v>1.28</v>
          </cell>
          <cell r="E107">
            <v>1.5797000000000001</v>
          </cell>
          <cell r="H107">
            <v>0.59499999999999997</v>
          </cell>
          <cell r="I107">
            <v>-0.48799999999999999</v>
          </cell>
          <cell r="J107">
            <v>1.657</v>
          </cell>
          <cell r="K107">
            <v>0.4637</v>
          </cell>
          <cell r="N107">
            <v>0.59499999999999997</v>
          </cell>
          <cell r="O107">
            <v>-0.48799999999999999</v>
          </cell>
          <cell r="P107">
            <v>1.657</v>
          </cell>
          <cell r="R107">
            <v>0.79</v>
          </cell>
          <cell r="S107">
            <v>1.4039999999999999</v>
          </cell>
          <cell r="W107">
            <v>-1.127</v>
          </cell>
          <cell r="X107">
            <v>-0.86</v>
          </cell>
          <cell r="AA107">
            <v>9.4169999999999998</v>
          </cell>
          <cell r="AB107">
            <v>11.747400000000001</v>
          </cell>
          <cell r="AC107">
            <v>7.0312000000000001</v>
          </cell>
          <cell r="AF107">
            <v>9.4169999999999998</v>
          </cell>
          <cell r="AG107">
            <v>1.74</v>
          </cell>
          <cell r="AK107">
            <v>0.6</v>
          </cell>
          <cell r="AN107">
            <v>0.4</v>
          </cell>
          <cell r="AO107">
            <v>0</v>
          </cell>
          <cell r="AP107">
            <v>0</v>
          </cell>
          <cell r="AR107">
            <v>1</v>
          </cell>
          <cell r="AS107">
            <v>0.58827999999999991</v>
          </cell>
          <cell r="AT107">
            <v>0.58827999999999991</v>
          </cell>
        </row>
        <row r="108">
          <cell r="A108">
            <v>30802</v>
          </cell>
          <cell r="B108">
            <v>0.9486</v>
          </cell>
          <cell r="C108">
            <v>0.60929999999999995</v>
          </cell>
          <cell r="D108">
            <v>0.75</v>
          </cell>
          <cell r="E108">
            <v>-1.2518</v>
          </cell>
          <cell r="H108">
            <v>-0.55100000000000005</v>
          </cell>
          <cell r="I108">
            <v>-0.64200000000000002</v>
          </cell>
          <cell r="J108">
            <v>-0.49099999999999999</v>
          </cell>
          <cell r="K108">
            <v>-0.6159</v>
          </cell>
          <cell r="N108">
            <v>-0.55100000000000005</v>
          </cell>
          <cell r="O108">
            <v>-0.64200000000000002</v>
          </cell>
          <cell r="P108">
            <v>-0.49099999999999999</v>
          </cell>
          <cell r="R108">
            <v>-0.67</v>
          </cell>
          <cell r="S108">
            <v>0.373</v>
          </cell>
          <cell r="W108">
            <v>-0.19600000000000001</v>
          </cell>
          <cell r="X108">
            <v>0.09</v>
          </cell>
          <cell r="AA108">
            <v>-1.633</v>
          </cell>
          <cell r="AB108">
            <v>-1.9218999999999999</v>
          </cell>
          <cell r="AC108">
            <v>-1.3619000000000001</v>
          </cell>
          <cell r="AF108">
            <v>-1.633</v>
          </cell>
          <cell r="AG108">
            <v>1.1047</v>
          </cell>
          <cell r="AK108">
            <v>0.6</v>
          </cell>
          <cell r="AN108">
            <v>0.4</v>
          </cell>
          <cell r="AO108">
            <v>0</v>
          </cell>
          <cell r="AP108">
            <v>0</v>
          </cell>
          <cell r="AR108">
            <v>1</v>
          </cell>
          <cell r="AS108">
            <v>0.49075999999999997</v>
          </cell>
          <cell r="AT108">
            <v>0.49075999999999997</v>
          </cell>
        </row>
        <row r="109">
          <cell r="A109">
            <v>30833</v>
          </cell>
          <cell r="B109">
            <v>-5.5358000000000001</v>
          </cell>
          <cell r="C109">
            <v>-5.0993000000000004</v>
          </cell>
          <cell r="D109">
            <v>-5.41</v>
          </cell>
          <cell r="E109">
            <v>-4.2397999999999998</v>
          </cell>
          <cell r="H109">
            <v>-5.1740000000000004</v>
          </cell>
          <cell r="I109">
            <v>-5.819</v>
          </cell>
          <cell r="J109">
            <v>-4.4850000000000003</v>
          </cell>
          <cell r="K109">
            <v>-5.5326000000000004</v>
          </cell>
          <cell r="N109">
            <v>-5.1740000000000004</v>
          </cell>
          <cell r="O109">
            <v>-5.819</v>
          </cell>
          <cell r="P109">
            <v>-4.4850000000000003</v>
          </cell>
          <cell r="R109">
            <v>-5.0999999999999996</v>
          </cell>
          <cell r="S109">
            <v>-5.2859999999999996</v>
          </cell>
          <cell r="W109">
            <v>-3.1120000000000001</v>
          </cell>
          <cell r="X109">
            <v>-2.58</v>
          </cell>
          <cell r="AA109">
            <v>-10.125</v>
          </cell>
          <cell r="AB109">
            <v>-11.2361</v>
          </cell>
          <cell r="AC109">
            <v>-9.0482999999999993</v>
          </cell>
          <cell r="AF109">
            <v>-10.125</v>
          </cell>
          <cell r="AG109">
            <v>1.1047</v>
          </cell>
          <cell r="AK109">
            <v>0.6</v>
          </cell>
          <cell r="AN109">
            <v>0.4</v>
          </cell>
          <cell r="AO109">
            <v>0</v>
          </cell>
          <cell r="AP109">
            <v>0</v>
          </cell>
          <cell r="AR109">
            <v>1</v>
          </cell>
          <cell r="AS109">
            <v>-4.5662799999999999</v>
          </cell>
          <cell r="AT109">
            <v>-4.5662799999999999</v>
          </cell>
        </row>
        <row r="110">
          <cell r="A110">
            <v>30863</v>
          </cell>
          <cell r="B110">
            <v>2.1720000000000002</v>
          </cell>
          <cell r="C110">
            <v>3.0594000000000001</v>
          </cell>
          <cell r="D110">
            <v>1.25</v>
          </cell>
          <cell r="E110">
            <v>3.7686000000000002</v>
          </cell>
          <cell r="H110">
            <v>2.8530000000000002</v>
          </cell>
          <cell r="I110">
            <v>3.6</v>
          </cell>
          <cell r="J110">
            <v>2.1429999999999998</v>
          </cell>
          <cell r="K110">
            <v>2.8595000000000002</v>
          </cell>
          <cell r="N110">
            <v>2.8530000000000002</v>
          </cell>
          <cell r="O110">
            <v>3.6</v>
          </cell>
          <cell r="P110">
            <v>2.1429999999999998</v>
          </cell>
          <cell r="R110">
            <v>3.11</v>
          </cell>
          <cell r="S110">
            <v>2.5379999999999998</v>
          </cell>
          <cell r="W110">
            <v>1.2749999999999999</v>
          </cell>
          <cell r="X110">
            <v>1.21</v>
          </cell>
          <cell r="AA110">
            <v>-0.09</v>
          </cell>
          <cell r="AB110">
            <v>0.79490000000000005</v>
          </cell>
          <cell r="AC110">
            <v>-0.97870000000000001</v>
          </cell>
          <cell r="AF110">
            <v>-0.09</v>
          </cell>
          <cell r="AG110">
            <v>1.1047</v>
          </cell>
          <cell r="AK110">
            <v>0.6</v>
          </cell>
          <cell r="AN110">
            <v>0.4</v>
          </cell>
          <cell r="AO110">
            <v>0</v>
          </cell>
          <cell r="AP110">
            <v>0</v>
          </cell>
          <cell r="AR110">
            <v>1</v>
          </cell>
          <cell r="AS110">
            <v>1.8132000000000001</v>
          </cell>
          <cell r="AT110">
            <v>1.8132000000000001</v>
          </cell>
        </row>
        <row r="111">
          <cell r="A111">
            <v>30894</v>
          </cell>
          <cell r="B111">
            <v>-1.2403999999999999</v>
          </cell>
          <cell r="C111">
            <v>-0.62970000000000004</v>
          </cell>
          <cell r="D111">
            <v>-2.31</v>
          </cell>
          <cell r="E111">
            <v>-3.9178000000000002</v>
          </cell>
          <cell r="H111">
            <v>-4.8710000000000004</v>
          </cell>
          <cell r="I111">
            <v>-6.1050000000000004</v>
          </cell>
          <cell r="J111">
            <v>-3.5510000000000002</v>
          </cell>
          <cell r="K111">
            <v>-4.6463999999999999</v>
          </cell>
          <cell r="N111">
            <v>-4.8710000000000004</v>
          </cell>
          <cell r="O111">
            <v>-6.1050000000000004</v>
          </cell>
          <cell r="P111">
            <v>-3.5510000000000002</v>
          </cell>
          <cell r="R111">
            <v>-4.0599999999999996</v>
          </cell>
          <cell r="S111">
            <v>-1.931</v>
          </cell>
          <cell r="W111">
            <v>4.5</v>
          </cell>
          <cell r="X111">
            <v>3.79</v>
          </cell>
          <cell r="AA111">
            <v>-6.3780000000000001</v>
          </cell>
          <cell r="AB111">
            <v>-6.8006000000000002</v>
          </cell>
          <cell r="AC111">
            <v>-5.9766000000000004</v>
          </cell>
          <cell r="AF111">
            <v>-6.3780000000000001</v>
          </cell>
          <cell r="AG111">
            <v>1.0408999999999999</v>
          </cell>
          <cell r="AK111">
            <v>0.6</v>
          </cell>
          <cell r="AN111">
            <v>0.4</v>
          </cell>
          <cell r="AO111">
            <v>0</v>
          </cell>
          <cell r="AP111">
            <v>0</v>
          </cell>
          <cell r="AR111">
            <v>1</v>
          </cell>
          <cell r="AS111">
            <v>1.0557600000000003</v>
          </cell>
          <cell r="AT111">
            <v>1.0557600000000003</v>
          </cell>
        </row>
        <row r="112">
          <cell r="A112">
            <v>30925</v>
          </cell>
          <cell r="B112">
            <v>11.044700000000001</v>
          </cell>
          <cell r="C112">
            <v>10.2202</v>
          </cell>
          <cell r="D112">
            <v>12.29</v>
          </cell>
          <cell r="E112">
            <v>11.7165</v>
          </cell>
          <cell r="H112">
            <v>11.769</v>
          </cell>
          <cell r="I112">
            <v>13.343</v>
          </cell>
          <cell r="J112">
            <v>10.161</v>
          </cell>
          <cell r="K112">
            <v>12.1936</v>
          </cell>
          <cell r="N112">
            <v>11.769</v>
          </cell>
          <cell r="O112">
            <v>13.343</v>
          </cell>
          <cell r="P112">
            <v>10.161</v>
          </cell>
          <cell r="R112">
            <v>12.2</v>
          </cell>
          <cell r="S112">
            <v>11.481999999999999</v>
          </cell>
          <cell r="W112">
            <v>1.6839999999999999</v>
          </cell>
          <cell r="X112">
            <v>1.39</v>
          </cell>
          <cell r="AA112">
            <v>8.5090000000000003</v>
          </cell>
          <cell r="AB112">
            <v>8.8792000000000009</v>
          </cell>
          <cell r="AC112">
            <v>8.1954999999999991</v>
          </cell>
          <cell r="AF112">
            <v>8.5090000000000003</v>
          </cell>
          <cell r="AG112">
            <v>1.0408999999999999</v>
          </cell>
          <cell r="AK112">
            <v>0.6</v>
          </cell>
          <cell r="AN112">
            <v>0.4</v>
          </cell>
          <cell r="AO112">
            <v>0</v>
          </cell>
          <cell r="AP112">
            <v>0</v>
          </cell>
          <cell r="AR112">
            <v>1</v>
          </cell>
          <cell r="AS112">
            <v>7.3004200000000008</v>
          </cell>
          <cell r="AT112">
            <v>7.3004200000000008</v>
          </cell>
        </row>
        <row r="113">
          <cell r="A113">
            <v>30955</v>
          </cell>
          <cell r="B113">
            <v>2.4E-2</v>
          </cell>
          <cell r="C113">
            <v>-1.4604999999999999</v>
          </cell>
          <cell r="D113">
            <v>1.6</v>
          </cell>
          <cell r="E113">
            <v>-0.1593</v>
          </cell>
          <cell r="H113">
            <v>-0.77800000000000002</v>
          </cell>
          <cell r="I113">
            <v>-2.7250000000000001</v>
          </cell>
          <cell r="J113">
            <v>1.2809999999999999</v>
          </cell>
          <cell r="K113">
            <v>-0.66810000000000003</v>
          </cell>
          <cell r="N113">
            <v>-0.77800000000000002</v>
          </cell>
          <cell r="O113">
            <v>-2.7250000000000001</v>
          </cell>
          <cell r="P113">
            <v>1.2809999999999999</v>
          </cell>
          <cell r="R113">
            <v>-0.31</v>
          </cell>
          <cell r="S113">
            <v>-1.6E-2</v>
          </cell>
          <cell r="W113">
            <v>2.375</v>
          </cell>
          <cell r="X113">
            <v>2.12</v>
          </cell>
          <cell r="AA113">
            <v>-0.84899999999999998</v>
          </cell>
          <cell r="AB113">
            <v>-0.35399999999999998</v>
          </cell>
          <cell r="AC113">
            <v>-1.4897</v>
          </cell>
          <cell r="AF113">
            <v>-0.84899999999999998</v>
          </cell>
          <cell r="AG113">
            <v>1.0408999999999999</v>
          </cell>
          <cell r="AK113">
            <v>0.6</v>
          </cell>
          <cell r="AN113">
            <v>0.4</v>
          </cell>
          <cell r="AO113">
            <v>0</v>
          </cell>
          <cell r="AP113">
            <v>0</v>
          </cell>
          <cell r="AR113">
            <v>1</v>
          </cell>
          <cell r="AS113">
            <v>0.96440000000000003</v>
          </cell>
          <cell r="AT113">
            <v>0.96440000000000003</v>
          </cell>
        </row>
        <row r="114">
          <cell r="A114">
            <v>30986</v>
          </cell>
          <cell r="B114">
            <v>0.38529999999999998</v>
          </cell>
          <cell r="C114">
            <v>1.0401</v>
          </cell>
          <cell r="D114">
            <v>-0.46</v>
          </cell>
          <cell r="E114">
            <v>-0.63990000000000002</v>
          </cell>
          <cell r="H114">
            <v>-1.837</v>
          </cell>
          <cell r="I114">
            <v>-2.8130000000000002</v>
          </cell>
          <cell r="J114">
            <v>-0.82299999999999995</v>
          </cell>
          <cell r="K114">
            <v>-1.7228000000000001</v>
          </cell>
          <cell r="N114">
            <v>-1.837</v>
          </cell>
          <cell r="O114">
            <v>-2.8130000000000002</v>
          </cell>
          <cell r="P114">
            <v>-0.82299999999999995</v>
          </cell>
          <cell r="R114">
            <v>-1.04</v>
          </cell>
          <cell r="S114">
            <v>7.0000000000000007E-2</v>
          </cell>
          <cell r="W114">
            <v>4.2430000000000003</v>
          </cell>
          <cell r="X114">
            <v>3.68</v>
          </cell>
          <cell r="AA114">
            <v>2.5350000000000001</v>
          </cell>
          <cell r="AB114">
            <v>4.37</v>
          </cell>
          <cell r="AC114">
            <v>0.72770000000000001</v>
          </cell>
          <cell r="AF114">
            <v>2.5350000000000001</v>
          </cell>
          <cell r="AG114">
            <v>0.81240000000000001</v>
          </cell>
          <cell r="AK114">
            <v>0.6</v>
          </cell>
          <cell r="AN114">
            <v>0.4</v>
          </cell>
          <cell r="AO114">
            <v>0</v>
          </cell>
          <cell r="AP114">
            <v>0</v>
          </cell>
          <cell r="AR114">
            <v>1</v>
          </cell>
          <cell r="AS114">
            <v>1.9283800000000002</v>
          </cell>
          <cell r="AT114">
            <v>1.9283800000000002</v>
          </cell>
        </row>
        <row r="115">
          <cell r="A115">
            <v>31016</v>
          </cell>
          <cell r="B115">
            <v>-1.1198999999999999</v>
          </cell>
          <cell r="C115">
            <v>-1.7498</v>
          </cell>
          <cell r="D115">
            <v>-0.26</v>
          </cell>
          <cell r="E115">
            <v>-0.34370000000000001</v>
          </cell>
          <cell r="H115">
            <v>-2.6619999999999999</v>
          </cell>
          <cell r="I115">
            <v>-4.3419999999999996</v>
          </cell>
          <cell r="J115">
            <v>-0.92600000000000005</v>
          </cell>
          <cell r="K115">
            <v>-3.6267</v>
          </cell>
          <cell r="N115">
            <v>-2.6619999999999999</v>
          </cell>
          <cell r="O115">
            <v>-4.3419999999999996</v>
          </cell>
          <cell r="P115">
            <v>-0.92600000000000005</v>
          </cell>
          <cell r="R115">
            <v>-1.34</v>
          </cell>
          <cell r="S115">
            <v>-1.1040000000000001</v>
          </cell>
          <cell r="W115">
            <v>1.7889999999999999</v>
          </cell>
          <cell r="X115">
            <v>1.93</v>
          </cell>
          <cell r="AA115">
            <v>0.41199999999999998</v>
          </cell>
          <cell r="AB115">
            <v>1.3196000000000001</v>
          </cell>
          <cell r="AC115">
            <v>-0.50649999999999995</v>
          </cell>
          <cell r="AF115">
            <v>0.41199999999999998</v>
          </cell>
          <cell r="AG115">
            <v>0.81240000000000001</v>
          </cell>
          <cell r="AK115">
            <v>0.6</v>
          </cell>
          <cell r="AN115">
            <v>0.4</v>
          </cell>
          <cell r="AO115">
            <v>0</v>
          </cell>
          <cell r="AP115">
            <v>0</v>
          </cell>
          <cell r="AR115">
            <v>1</v>
          </cell>
          <cell r="AS115">
            <v>4.3660000000000143E-2</v>
          </cell>
          <cell r="AT115">
            <v>4.3660000000000143E-2</v>
          </cell>
        </row>
        <row r="116">
          <cell r="A116">
            <v>31047</v>
          </cell>
          <cell r="B116">
            <v>2.6347999999999998</v>
          </cell>
          <cell r="C116">
            <v>2.5703</v>
          </cell>
          <cell r="D116">
            <v>2.42</v>
          </cell>
          <cell r="E116">
            <v>3.4426999999999999</v>
          </cell>
          <cell r="H116">
            <v>1.625</v>
          </cell>
          <cell r="I116">
            <v>1.669</v>
          </cell>
          <cell r="J116">
            <v>1.5609999999999999</v>
          </cell>
          <cell r="K116">
            <v>1.7379</v>
          </cell>
          <cell r="N116">
            <v>1.625</v>
          </cell>
          <cell r="O116">
            <v>1.669</v>
          </cell>
          <cell r="P116">
            <v>1.5609999999999999</v>
          </cell>
          <cell r="R116">
            <v>2.0699999999999998</v>
          </cell>
          <cell r="S116">
            <v>2.484</v>
          </cell>
          <cell r="W116">
            <v>1.4610000000000001</v>
          </cell>
          <cell r="X116">
            <v>1.48</v>
          </cell>
          <cell r="AA116">
            <v>2.0449999999999999</v>
          </cell>
          <cell r="AB116">
            <v>2.6661999999999999</v>
          </cell>
          <cell r="AC116">
            <v>2.2654000000000001</v>
          </cell>
          <cell r="AF116">
            <v>2.0449999999999999</v>
          </cell>
          <cell r="AG116">
            <v>0.81240000000000001</v>
          </cell>
          <cell r="AK116">
            <v>0.6</v>
          </cell>
          <cell r="AN116">
            <v>0.4</v>
          </cell>
          <cell r="AO116">
            <v>0</v>
          </cell>
          <cell r="AP116">
            <v>0</v>
          </cell>
          <cell r="AR116">
            <v>1</v>
          </cell>
          <cell r="AS116">
            <v>2.1652800000000001</v>
          </cell>
          <cell r="AT116">
            <v>2.1652800000000001</v>
          </cell>
        </row>
        <row r="117">
          <cell r="A117">
            <v>31078</v>
          </cell>
          <cell r="B117">
            <v>7.7911999999999999</v>
          </cell>
          <cell r="C117">
            <v>7.9698000000000002</v>
          </cell>
          <cell r="D117">
            <v>7.31</v>
          </cell>
          <cell r="E117">
            <v>8.5325000000000006</v>
          </cell>
          <cell r="H117">
            <v>13.253</v>
          </cell>
          <cell r="I117">
            <v>14.391999999999999</v>
          </cell>
          <cell r="J117">
            <v>12.082000000000001</v>
          </cell>
          <cell r="K117">
            <v>13.32</v>
          </cell>
          <cell r="N117">
            <v>13.253</v>
          </cell>
          <cell r="O117">
            <v>14.391999999999999</v>
          </cell>
          <cell r="P117">
            <v>12.082000000000001</v>
          </cell>
          <cell r="R117">
            <v>11.58</v>
          </cell>
          <cell r="S117">
            <v>8.5150000000000006</v>
          </cell>
          <cell r="W117">
            <v>2.2770000000000001</v>
          </cell>
          <cell r="X117">
            <v>1.94</v>
          </cell>
          <cell r="AA117">
            <v>2.2799999999999998</v>
          </cell>
          <cell r="AB117">
            <v>2.1551</v>
          </cell>
          <cell r="AC117">
            <v>2.4272999999999998</v>
          </cell>
          <cell r="AF117">
            <v>2.2799999999999998</v>
          </cell>
          <cell r="AG117">
            <v>1.3853</v>
          </cell>
          <cell r="AK117">
            <v>0.6</v>
          </cell>
          <cell r="AN117">
            <v>0.4</v>
          </cell>
          <cell r="AO117">
            <v>0</v>
          </cell>
          <cell r="AP117">
            <v>0</v>
          </cell>
          <cell r="AR117">
            <v>1</v>
          </cell>
          <cell r="AS117">
            <v>5.5855199999999998</v>
          </cell>
          <cell r="AT117">
            <v>5.5855199999999998</v>
          </cell>
        </row>
        <row r="118">
          <cell r="A118">
            <v>31106</v>
          </cell>
          <cell r="B118">
            <v>1.2246999999999999</v>
          </cell>
          <cell r="C118">
            <v>1.5097</v>
          </cell>
          <cell r="D118">
            <v>1.29</v>
          </cell>
          <cell r="E118">
            <v>0.85880000000000001</v>
          </cell>
          <cell r="H118">
            <v>2.6859999999999999</v>
          </cell>
          <cell r="I118">
            <v>3.3039999999999998</v>
          </cell>
          <cell r="J118">
            <v>2.0819999999999999</v>
          </cell>
          <cell r="K118">
            <v>2.7484000000000002</v>
          </cell>
          <cell r="N118">
            <v>2.6859999999999999</v>
          </cell>
          <cell r="O118">
            <v>3.3039999999999998</v>
          </cell>
          <cell r="P118">
            <v>2.0819999999999999</v>
          </cell>
          <cell r="R118">
            <v>2.16</v>
          </cell>
          <cell r="S118">
            <v>1.7250000000000001</v>
          </cell>
          <cell r="W118">
            <v>-2.0449999999999999</v>
          </cell>
          <cell r="X118">
            <v>-1.41</v>
          </cell>
          <cell r="AA118">
            <v>-0.56100000000000005</v>
          </cell>
          <cell r="AB118">
            <v>0.27239999999999998</v>
          </cell>
          <cell r="AC118">
            <v>-1.4870000000000001</v>
          </cell>
          <cell r="AF118">
            <v>-0.56100000000000005</v>
          </cell>
          <cell r="AG118">
            <v>1.3853</v>
          </cell>
          <cell r="AK118">
            <v>0.6</v>
          </cell>
          <cell r="AN118">
            <v>0.4</v>
          </cell>
          <cell r="AO118">
            <v>0</v>
          </cell>
          <cell r="AP118">
            <v>0</v>
          </cell>
          <cell r="AR118">
            <v>1</v>
          </cell>
          <cell r="AS118">
            <v>-8.3180000000000143E-2</v>
          </cell>
          <cell r="AT118">
            <v>-8.3180000000000143E-2</v>
          </cell>
        </row>
        <row r="119">
          <cell r="A119">
            <v>31137</v>
          </cell>
          <cell r="B119">
            <v>6.6199999999999995E-2</v>
          </cell>
          <cell r="C119">
            <v>-0.23960000000000001</v>
          </cell>
          <cell r="D119">
            <v>0.34</v>
          </cell>
          <cell r="E119">
            <v>0.81830000000000003</v>
          </cell>
          <cell r="H119">
            <v>-2.048</v>
          </cell>
          <cell r="I119">
            <v>-2.5259999999999998</v>
          </cell>
          <cell r="J119">
            <v>-1.5549999999999999</v>
          </cell>
          <cell r="K119">
            <v>-1.7727999999999999</v>
          </cell>
          <cell r="N119">
            <v>-2.048</v>
          </cell>
          <cell r="O119">
            <v>-2.5259999999999998</v>
          </cell>
          <cell r="P119">
            <v>-1.5549999999999999</v>
          </cell>
          <cell r="R119">
            <v>-1.41</v>
          </cell>
          <cell r="S119">
            <v>-0.24299999999999999</v>
          </cell>
          <cell r="W119">
            <v>2.0430000000000001</v>
          </cell>
          <cell r="X119">
            <v>1.88</v>
          </cell>
          <cell r="AA119">
            <v>7.7889999999999997</v>
          </cell>
          <cell r="AB119">
            <v>8.1294000000000004</v>
          </cell>
          <cell r="AC119">
            <v>7.1375000000000002</v>
          </cell>
          <cell r="AF119">
            <v>7.7889999999999997</v>
          </cell>
          <cell r="AG119">
            <v>1.3853</v>
          </cell>
          <cell r="AK119">
            <v>0.6</v>
          </cell>
          <cell r="AN119">
            <v>0.4</v>
          </cell>
          <cell r="AO119">
            <v>0</v>
          </cell>
          <cell r="AP119">
            <v>0</v>
          </cell>
          <cell r="AR119">
            <v>1</v>
          </cell>
          <cell r="AS119">
            <v>0.85692000000000013</v>
          </cell>
          <cell r="AT119">
            <v>0.85692000000000013</v>
          </cell>
        </row>
        <row r="120">
          <cell r="A120">
            <v>31167</v>
          </cell>
          <cell r="B120">
            <v>-9.4100000000000003E-2</v>
          </cell>
          <cell r="C120">
            <v>-1.4899</v>
          </cell>
          <cell r="D120">
            <v>0.94</v>
          </cell>
          <cell r="E120">
            <v>0.9042</v>
          </cell>
          <cell r="H120">
            <v>-1.246</v>
          </cell>
          <cell r="I120">
            <v>-1.96</v>
          </cell>
          <cell r="J120">
            <v>-0.53100000000000003</v>
          </cell>
          <cell r="K120">
            <v>-1.1292</v>
          </cell>
          <cell r="N120">
            <v>-1.246</v>
          </cell>
          <cell r="O120">
            <v>-1.96</v>
          </cell>
          <cell r="P120">
            <v>-0.53100000000000003</v>
          </cell>
          <cell r="R120">
            <v>-0.83</v>
          </cell>
          <cell r="S120">
            <v>-0.23</v>
          </cell>
          <cell r="W120">
            <v>2.0640000000000001</v>
          </cell>
          <cell r="X120">
            <v>1.96</v>
          </cell>
          <cell r="AA120">
            <v>-0.311</v>
          </cell>
          <cell r="AB120">
            <v>-1.2378</v>
          </cell>
          <cell r="AC120">
            <v>0.62480000000000002</v>
          </cell>
          <cell r="AF120">
            <v>-0.311</v>
          </cell>
          <cell r="AG120">
            <v>0.69010000000000005</v>
          </cell>
          <cell r="AK120">
            <v>0.6</v>
          </cell>
          <cell r="AN120">
            <v>0.4</v>
          </cell>
          <cell r="AO120">
            <v>0</v>
          </cell>
          <cell r="AP120">
            <v>0</v>
          </cell>
          <cell r="AR120">
            <v>1</v>
          </cell>
          <cell r="AS120">
            <v>0.76914000000000016</v>
          </cell>
          <cell r="AT120">
            <v>0.76914000000000016</v>
          </cell>
        </row>
        <row r="121">
          <cell r="A121">
            <v>31198</v>
          </cell>
          <cell r="B121">
            <v>5.7777000000000003</v>
          </cell>
          <cell r="C121">
            <v>6.4093</v>
          </cell>
          <cell r="D121">
            <v>5.49</v>
          </cell>
          <cell r="E121">
            <v>4.9630999999999998</v>
          </cell>
          <cell r="H121">
            <v>3.6760000000000002</v>
          </cell>
          <cell r="I121">
            <v>4.2309999999999999</v>
          </cell>
          <cell r="J121">
            <v>3.1970000000000001</v>
          </cell>
          <cell r="K121">
            <v>3.9596</v>
          </cell>
          <cell r="N121">
            <v>3.6760000000000002</v>
          </cell>
          <cell r="O121">
            <v>4.2309999999999999</v>
          </cell>
          <cell r="P121">
            <v>3.1970000000000001</v>
          </cell>
          <cell r="R121">
            <v>4.4800000000000004</v>
          </cell>
          <cell r="S121">
            <v>5.76</v>
          </cell>
          <cell r="W121">
            <v>5.226</v>
          </cell>
          <cell r="X121">
            <v>4.3099999999999996</v>
          </cell>
          <cell r="AA121">
            <v>4.28</v>
          </cell>
          <cell r="AB121">
            <v>4.3574999999999999</v>
          </cell>
          <cell r="AC121">
            <v>4.1353</v>
          </cell>
          <cell r="AF121">
            <v>4.28</v>
          </cell>
          <cell r="AG121">
            <v>0.69010000000000005</v>
          </cell>
          <cell r="AK121">
            <v>0.6</v>
          </cell>
          <cell r="AN121">
            <v>0.4</v>
          </cell>
          <cell r="AO121">
            <v>0</v>
          </cell>
          <cell r="AP121">
            <v>0</v>
          </cell>
          <cell r="AR121">
            <v>1</v>
          </cell>
          <cell r="AS121">
            <v>5.5570200000000005</v>
          </cell>
          <cell r="AT121">
            <v>5.5570200000000005</v>
          </cell>
        </row>
        <row r="122">
          <cell r="A122">
            <v>31228</v>
          </cell>
          <cell r="B122">
            <v>1.5669</v>
          </cell>
          <cell r="C122">
            <v>1.9004000000000001</v>
          </cell>
          <cell r="D122">
            <v>1.1599999999999999</v>
          </cell>
          <cell r="E122">
            <v>4.1974999999999998</v>
          </cell>
          <cell r="H122">
            <v>1.133</v>
          </cell>
          <cell r="I122">
            <v>0.94899999999999995</v>
          </cell>
          <cell r="J122">
            <v>1.2230000000000001</v>
          </cell>
          <cell r="K122">
            <v>1.0891999999999999</v>
          </cell>
          <cell r="N122">
            <v>1.133</v>
          </cell>
          <cell r="O122">
            <v>0.94899999999999995</v>
          </cell>
          <cell r="P122">
            <v>1.2230000000000001</v>
          </cell>
          <cell r="R122">
            <v>1.95</v>
          </cell>
          <cell r="S122">
            <v>1.829</v>
          </cell>
          <cell r="W122">
            <v>1.0569999999999999</v>
          </cell>
          <cell r="X122">
            <v>1.1000000000000001</v>
          </cell>
          <cell r="AA122">
            <v>2.6</v>
          </cell>
          <cell r="AB122">
            <v>2.5145</v>
          </cell>
          <cell r="AC122">
            <v>2.8073999999999999</v>
          </cell>
          <cell r="AF122">
            <v>2.6</v>
          </cell>
          <cell r="AG122">
            <v>0.69010000000000005</v>
          </cell>
          <cell r="AK122">
            <v>0.6</v>
          </cell>
          <cell r="AN122">
            <v>0.4</v>
          </cell>
          <cell r="AO122">
            <v>0</v>
          </cell>
          <cell r="AP122">
            <v>0</v>
          </cell>
          <cell r="AR122">
            <v>1</v>
          </cell>
          <cell r="AS122">
            <v>1.36294</v>
          </cell>
          <cell r="AT122">
            <v>1.36294</v>
          </cell>
        </row>
        <row r="123">
          <cell r="A123">
            <v>31259</v>
          </cell>
          <cell r="B123">
            <v>-0.1459</v>
          </cell>
          <cell r="C123">
            <v>-0.37990000000000002</v>
          </cell>
          <cell r="D123">
            <v>-0.23</v>
          </cell>
          <cell r="E123">
            <v>8.2699999999999996E-2</v>
          </cell>
          <cell r="H123">
            <v>2.794</v>
          </cell>
          <cell r="I123">
            <v>3.0390000000000001</v>
          </cell>
          <cell r="J123">
            <v>2.5979999999999999</v>
          </cell>
          <cell r="K123">
            <v>2.7381000000000002</v>
          </cell>
          <cell r="N123">
            <v>2.794</v>
          </cell>
          <cell r="O123">
            <v>3.0390000000000001</v>
          </cell>
          <cell r="P123">
            <v>2.5979999999999999</v>
          </cell>
          <cell r="R123">
            <v>1.78</v>
          </cell>
          <cell r="S123">
            <v>-0.26600000000000001</v>
          </cell>
          <cell r="W123">
            <v>-0.34899999999999998</v>
          </cell>
          <cell r="X123">
            <v>-0.1</v>
          </cell>
          <cell r="AA123">
            <v>5.1970000000000001</v>
          </cell>
          <cell r="AB123">
            <v>5.1275000000000004</v>
          </cell>
          <cell r="AC123">
            <v>5.2735000000000003</v>
          </cell>
          <cell r="AF123">
            <v>5.1970000000000001</v>
          </cell>
          <cell r="AG123">
            <v>0.85799999999999998</v>
          </cell>
          <cell r="AK123">
            <v>0.6</v>
          </cell>
          <cell r="AN123">
            <v>0.4</v>
          </cell>
          <cell r="AO123">
            <v>0</v>
          </cell>
          <cell r="AP123">
            <v>0</v>
          </cell>
          <cell r="AR123">
            <v>1</v>
          </cell>
          <cell r="AS123">
            <v>-0.22714000000000001</v>
          </cell>
          <cell r="AT123">
            <v>-0.22714000000000001</v>
          </cell>
        </row>
        <row r="124">
          <cell r="A124">
            <v>31290</v>
          </cell>
          <cell r="B124">
            <v>-0.8538</v>
          </cell>
          <cell r="C124">
            <v>-1.2304999999999999</v>
          </cell>
          <cell r="D124">
            <v>-0.09</v>
          </cell>
          <cell r="E124">
            <v>-0.71360000000000001</v>
          </cell>
          <cell r="H124">
            <v>-0.96199999999999997</v>
          </cell>
          <cell r="I124">
            <v>-1.528</v>
          </cell>
          <cell r="J124">
            <v>-0.45700000000000002</v>
          </cell>
          <cell r="K124">
            <v>-1.2715000000000001</v>
          </cell>
          <cell r="N124">
            <v>-0.96199999999999997</v>
          </cell>
          <cell r="O124">
            <v>-1.528</v>
          </cell>
          <cell r="P124">
            <v>-0.45700000000000002</v>
          </cell>
          <cell r="R124">
            <v>-0.55000000000000004</v>
          </cell>
          <cell r="S124">
            <v>-0.39</v>
          </cell>
          <cell r="W124">
            <v>1.88</v>
          </cell>
          <cell r="X124">
            <v>1.62</v>
          </cell>
          <cell r="AA124">
            <v>3.2429999999999999</v>
          </cell>
          <cell r="AB124">
            <v>2.1171000000000002</v>
          </cell>
          <cell r="AC124">
            <v>4.3696000000000002</v>
          </cell>
          <cell r="AF124">
            <v>3.2429999999999999</v>
          </cell>
          <cell r="AG124">
            <v>0.85799999999999998</v>
          </cell>
          <cell r="AK124">
            <v>0.6</v>
          </cell>
          <cell r="AN124">
            <v>0.4</v>
          </cell>
          <cell r="AO124">
            <v>0</v>
          </cell>
          <cell r="AP124">
            <v>0</v>
          </cell>
          <cell r="AR124">
            <v>1</v>
          </cell>
          <cell r="AS124">
            <v>0.23972000000000004</v>
          </cell>
          <cell r="AT124">
            <v>0.23972000000000004</v>
          </cell>
        </row>
        <row r="125">
          <cell r="A125">
            <v>31320</v>
          </cell>
          <cell r="B125">
            <v>-3.1278000000000001</v>
          </cell>
          <cell r="C125">
            <v>-3.6598999999999999</v>
          </cell>
          <cell r="D125">
            <v>-2.84</v>
          </cell>
          <cell r="E125">
            <v>-4.7811000000000003</v>
          </cell>
          <cell r="H125">
            <v>-6.0519999999999996</v>
          </cell>
          <cell r="I125">
            <v>-7.2430000000000003</v>
          </cell>
          <cell r="J125">
            <v>-4.9029999999999996</v>
          </cell>
          <cell r="K125">
            <v>-6.5274000000000001</v>
          </cell>
          <cell r="N125">
            <v>-6.0519999999999996</v>
          </cell>
          <cell r="O125">
            <v>-7.2430000000000003</v>
          </cell>
          <cell r="P125">
            <v>-4.9029999999999996</v>
          </cell>
          <cell r="R125">
            <v>-5.41</v>
          </cell>
          <cell r="S125">
            <v>-3.863</v>
          </cell>
          <cell r="W125">
            <v>0.60299999999999998</v>
          </cell>
          <cell r="X125">
            <v>0.83</v>
          </cell>
          <cell r="AA125">
            <v>5.8840000000000003</v>
          </cell>
          <cell r="AB125">
            <v>4.03</v>
          </cell>
          <cell r="AC125">
            <v>7.7481</v>
          </cell>
          <cell r="AF125">
            <v>5.8840000000000003</v>
          </cell>
          <cell r="AG125">
            <v>0.85799999999999998</v>
          </cell>
          <cell r="AK125">
            <v>0.6</v>
          </cell>
          <cell r="AN125">
            <v>0.4</v>
          </cell>
          <cell r="AO125">
            <v>0</v>
          </cell>
          <cell r="AP125">
            <v>0</v>
          </cell>
          <cell r="AR125">
            <v>1</v>
          </cell>
          <cell r="AS125">
            <v>-1.6354799999999998</v>
          </cell>
          <cell r="AT125">
            <v>-1.6354799999999998</v>
          </cell>
        </row>
        <row r="126">
          <cell r="A126">
            <v>31351</v>
          </cell>
          <cell r="B126">
            <v>4.6188000000000002</v>
          </cell>
          <cell r="C126">
            <v>4.1901999999999999</v>
          </cell>
          <cell r="D126">
            <v>4.8099999999999996</v>
          </cell>
          <cell r="E126">
            <v>5.5457000000000001</v>
          </cell>
          <cell r="H126">
            <v>3.8029999999999999</v>
          </cell>
          <cell r="I126">
            <v>4.2140000000000004</v>
          </cell>
          <cell r="J126">
            <v>3.4249999999999998</v>
          </cell>
          <cell r="K126">
            <v>4.4809999999999999</v>
          </cell>
          <cell r="N126">
            <v>3.8029999999999999</v>
          </cell>
          <cell r="O126">
            <v>4.2140000000000004</v>
          </cell>
          <cell r="P126">
            <v>3.4249999999999998</v>
          </cell>
          <cell r="R126">
            <v>3.99</v>
          </cell>
          <cell r="S126">
            <v>4.6360000000000001</v>
          </cell>
          <cell r="W126">
            <v>2.0960000000000001</v>
          </cell>
          <cell r="X126">
            <v>1.74</v>
          </cell>
          <cell r="AA126">
            <v>6.8339999999999996</v>
          </cell>
          <cell r="AB126">
            <v>7.0853999999999999</v>
          </cell>
          <cell r="AC126">
            <v>6.8623000000000003</v>
          </cell>
          <cell r="AF126">
            <v>6.8339999999999996</v>
          </cell>
          <cell r="AG126">
            <v>0.78920000000000001</v>
          </cell>
          <cell r="AK126">
            <v>0.6</v>
          </cell>
          <cell r="AN126">
            <v>0.4</v>
          </cell>
          <cell r="AO126">
            <v>0</v>
          </cell>
          <cell r="AP126">
            <v>0</v>
          </cell>
          <cell r="AR126">
            <v>1</v>
          </cell>
          <cell r="AS126">
            <v>3.60968</v>
          </cell>
          <cell r="AT126">
            <v>3.60968</v>
          </cell>
        </row>
        <row r="127">
          <cell r="A127">
            <v>31381</v>
          </cell>
          <cell r="B127">
            <v>6.8590999999999998</v>
          </cell>
          <cell r="C127">
            <v>8.8999000000000006</v>
          </cell>
          <cell r="D127">
            <v>5.36</v>
          </cell>
          <cell r="E127">
            <v>6.2153999999999998</v>
          </cell>
          <cell r="H127">
            <v>7.1950000000000003</v>
          </cell>
          <cell r="I127">
            <v>7.2809999999999997</v>
          </cell>
          <cell r="J127">
            <v>7.1130000000000004</v>
          </cell>
          <cell r="K127">
            <v>7.9165000000000001</v>
          </cell>
          <cell r="N127">
            <v>7.1950000000000003</v>
          </cell>
          <cell r="O127">
            <v>7.2809999999999997</v>
          </cell>
          <cell r="P127">
            <v>7.1130000000000004</v>
          </cell>
          <cell r="R127">
            <v>7.16</v>
          </cell>
          <cell r="S127">
            <v>7.0709999999999997</v>
          </cell>
          <cell r="W127">
            <v>2.403</v>
          </cell>
          <cell r="X127">
            <v>2.0099999999999998</v>
          </cell>
          <cell r="AA127">
            <v>4.1349999999999998</v>
          </cell>
          <cell r="AB127">
            <v>3.4695999999999998</v>
          </cell>
          <cell r="AC127">
            <v>4.7168999999999999</v>
          </cell>
          <cell r="AF127">
            <v>4.1349999999999998</v>
          </cell>
          <cell r="AG127">
            <v>0.78920000000000001</v>
          </cell>
          <cell r="AK127">
            <v>0.6</v>
          </cell>
          <cell r="AN127">
            <v>0.4</v>
          </cell>
          <cell r="AO127">
            <v>0</v>
          </cell>
          <cell r="AP127">
            <v>0</v>
          </cell>
          <cell r="AR127">
            <v>1</v>
          </cell>
          <cell r="AS127">
            <v>5.0766599999999995</v>
          </cell>
          <cell r="AT127">
            <v>5.0766599999999995</v>
          </cell>
        </row>
        <row r="128">
          <cell r="A128">
            <v>31412</v>
          </cell>
          <cell r="B128">
            <v>4.8375000000000004</v>
          </cell>
          <cell r="C128">
            <v>6.1303999999999998</v>
          </cell>
          <cell r="D128">
            <v>3.21</v>
          </cell>
          <cell r="E128">
            <v>4.9508000000000001</v>
          </cell>
          <cell r="H128">
            <v>4.399</v>
          </cell>
          <cell r="I128">
            <v>4.75</v>
          </cell>
          <cell r="J128">
            <v>4.0419999999999998</v>
          </cell>
          <cell r="K128">
            <v>4.1060999999999996</v>
          </cell>
          <cell r="N128">
            <v>4.399</v>
          </cell>
          <cell r="O128">
            <v>4.75</v>
          </cell>
          <cell r="P128">
            <v>4.0419999999999998</v>
          </cell>
          <cell r="R128">
            <v>4.16</v>
          </cell>
          <cell r="S128">
            <v>4.3869999999999996</v>
          </cell>
          <cell r="W128">
            <v>3.0569999999999999</v>
          </cell>
          <cell r="X128">
            <v>2.42</v>
          </cell>
          <cell r="AA128">
            <v>4.766</v>
          </cell>
          <cell r="AB128">
            <v>4.2525000000000004</v>
          </cell>
          <cell r="AC128">
            <v>5.3266999999999998</v>
          </cell>
          <cell r="AF128">
            <v>4.766</v>
          </cell>
          <cell r="AG128">
            <v>0.78920000000000001</v>
          </cell>
          <cell r="AK128">
            <v>0.6</v>
          </cell>
          <cell r="AN128">
            <v>0.4</v>
          </cell>
          <cell r="AO128">
            <v>0</v>
          </cell>
          <cell r="AP128">
            <v>0</v>
          </cell>
          <cell r="AR128">
            <v>1</v>
          </cell>
          <cell r="AS128">
            <v>4.1253000000000002</v>
          </cell>
          <cell r="AT128">
            <v>4.1253000000000002</v>
          </cell>
        </row>
        <row r="129">
          <cell r="A129">
            <v>31443</v>
          </cell>
          <cell r="B129">
            <v>0.5585</v>
          </cell>
          <cell r="C129">
            <v>-0.43059999999999998</v>
          </cell>
          <cell r="D129">
            <v>1.33</v>
          </cell>
          <cell r="E129">
            <v>1.6672</v>
          </cell>
          <cell r="H129">
            <v>1.581</v>
          </cell>
          <cell r="I129">
            <v>2.2839999999999998</v>
          </cell>
          <cell r="J129">
            <v>0.86899999999999999</v>
          </cell>
          <cell r="K129">
            <v>1.3960999999999999</v>
          </cell>
          <cell r="N129">
            <v>1.581</v>
          </cell>
          <cell r="O129">
            <v>2.2839999999999998</v>
          </cell>
          <cell r="P129">
            <v>0.86899999999999999</v>
          </cell>
          <cell r="Q129">
            <v>2.2763</v>
          </cell>
          <cell r="R129">
            <v>1.784</v>
          </cell>
          <cell r="S129">
            <v>1.1259999999999999</v>
          </cell>
          <cell r="W129">
            <v>0.55600000000000005</v>
          </cell>
          <cell r="X129">
            <v>0.57999999999999996</v>
          </cell>
          <cell r="AA129">
            <v>2.536</v>
          </cell>
          <cell r="AB129">
            <v>2.2572999999999999</v>
          </cell>
          <cell r="AC129">
            <v>2.5409000000000002</v>
          </cell>
          <cell r="AF129">
            <v>2.536</v>
          </cell>
          <cell r="AG129">
            <v>1.2282999999999999</v>
          </cell>
          <cell r="AK129">
            <v>0.6</v>
          </cell>
          <cell r="AN129">
            <v>0.4</v>
          </cell>
          <cell r="AO129">
            <v>0</v>
          </cell>
          <cell r="AP129">
            <v>0</v>
          </cell>
          <cell r="AR129">
            <v>1</v>
          </cell>
          <cell r="AS129">
            <v>0.55750000000000011</v>
          </cell>
          <cell r="AT129">
            <v>0.55750000000000011</v>
          </cell>
        </row>
        <row r="130">
          <cell r="A130">
            <v>31471</v>
          </cell>
          <cell r="B130">
            <v>7.4747000000000003</v>
          </cell>
          <cell r="C130">
            <v>7.5705999999999998</v>
          </cell>
          <cell r="D130">
            <v>7.58</v>
          </cell>
          <cell r="E130">
            <v>7.3714000000000004</v>
          </cell>
          <cell r="H130">
            <v>7.18</v>
          </cell>
          <cell r="I130">
            <v>7.3760000000000003</v>
          </cell>
          <cell r="J130">
            <v>7.0049999999999999</v>
          </cell>
          <cell r="K130">
            <v>6.6185999999999998</v>
          </cell>
          <cell r="N130">
            <v>7.18</v>
          </cell>
          <cell r="O130">
            <v>7.3760000000000003</v>
          </cell>
          <cell r="P130">
            <v>7.0049999999999999</v>
          </cell>
          <cell r="Q130">
            <v>7.7474999999999996</v>
          </cell>
          <cell r="R130">
            <v>7.3259999999999996</v>
          </cell>
          <cell r="S130">
            <v>7.657</v>
          </cell>
          <cell r="W130">
            <v>3.9430000000000001</v>
          </cell>
          <cell r="X130">
            <v>2.4500000000000002</v>
          </cell>
          <cell r="AA130">
            <v>11.108000000000001</v>
          </cell>
          <cell r="AB130">
            <v>11.367699999999999</v>
          </cell>
          <cell r="AC130">
            <v>11.135400000000001</v>
          </cell>
          <cell r="AF130">
            <v>11.108000000000001</v>
          </cell>
          <cell r="AG130">
            <v>1.2282999999999999</v>
          </cell>
          <cell r="AK130">
            <v>0.6</v>
          </cell>
          <cell r="AN130">
            <v>0.4</v>
          </cell>
          <cell r="AO130">
            <v>0</v>
          </cell>
          <cell r="AP130">
            <v>0</v>
          </cell>
          <cell r="AR130">
            <v>1</v>
          </cell>
          <cell r="AS130">
            <v>6.0620200000000004</v>
          </cell>
          <cell r="AT130">
            <v>6.0620200000000004</v>
          </cell>
        </row>
        <row r="131">
          <cell r="A131">
            <v>31502</v>
          </cell>
          <cell r="B131">
            <v>5.5791000000000004</v>
          </cell>
          <cell r="C131">
            <v>5.8795000000000002</v>
          </cell>
          <cell r="D131">
            <v>5.0599999999999996</v>
          </cell>
          <cell r="E131">
            <v>4.8197999999999999</v>
          </cell>
          <cell r="H131">
            <v>4.8529999999999998</v>
          </cell>
          <cell r="I131">
            <v>4.5410000000000004</v>
          </cell>
          <cell r="J131">
            <v>5.1550000000000002</v>
          </cell>
          <cell r="K131">
            <v>4.2207999999999997</v>
          </cell>
          <cell r="N131">
            <v>4.8529999999999998</v>
          </cell>
          <cell r="O131">
            <v>4.5410000000000004</v>
          </cell>
          <cell r="P131">
            <v>5.1550000000000002</v>
          </cell>
          <cell r="Q131">
            <v>5.3211000000000004</v>
          </cell>
          <cell r="R131">
            <v>5.3979999999999997</v>
          </cell>
          <cell r="S131">
            <v>5.3479999999999999</v>
          </cell>
          <cell r="W131">
            <v>3.1059999999999999</v>
          </cell>
          <cell r="X131">
            <v>2.29</v>
          </cell>
          <cell r="AA131">
            <v>14.09</v>
          </cell>
          <cell r="AB131">
            <v>14.842700000000001</v>
          </cell>
          <cell r="AC131">
            <v>13.0992</v>
          </cell>
          <cell r="AF131">
            <v>14.09</v>
          </cell>
          <cell r="AG131">
            <v>1.2282999999999999</v>
          </cell>
          <cell r="AK131">
            <v>0.6</v>
          </cell>
          <cell r="AN131">
            <v>0.4</v>
          </cell>
          <cell r="AO131">
            <v>0</v>
          </cell>
          <cell r="AP131">
            <v>0</v>
          </cell>
          <cell r="AR131">
            <v>1</v>
          </cell>
          <cell r="AS131">
            <v>4.5898599999999998</v>
          </cell>
          <cell r="AT131">
            <v>4.5898599999999998</v>
          </cell>
        </row>
        <row r="132">
          <cell r="A132">
            <v>31532</v>
          </cell>
          <cell r="B132">
            <v>-1.1259999999999999</v>
          </cell>
          <cell r="C132">
            <v>0.2104</v>
          </cell>
          <cell r="D132">
            <v>-2.79</v>
          </cell>
          <cell r="E132">
            <v>0.74780000000000002</v>
          </cell>
          <cell r="H132">
            <v>1.472</v>
          </cell>
          <cell r="I132">
            <v>2.4489999999999998</v>
          </cell>
          <cell r="J132">
            <v>0.505</v>
          </cell>
          <cell r="K132">
            <v>1.4870000000000001</v>
          </cell>
          <cell r="N132">
            <v>1.472</v>
          </cell>
          <cell r="O132">
            <v>2.4489999999999998</v>
          </cell>
          <cell r="P132">
            <v>0.505</v>
          </cell>
          <cell r="Q132">
            <v>2.2763</v>
          </cell>
          <cell r="R132">
            <v>0.99</v>
          </cell>
          <cell r="S132">
            <v>-0.83</v>
          </cell>
          <cell r="W132">
            <v>0.53</v>
          </cell>
          <cell r="X132">
            <v>0.72</v>
          </cell>
          <cell r="AA132">
            <v>6.5750000000000002</v>
          </cell>
          <cell r="AB132">
            <v>4.5777999999999999</v>
          </cell>
          <cell r="AC132">
            <v>8.6237999999999992</v>
          </cell>
          <cell r="AF132">
            <v>6.5750000000000002</v>
          </cell>
          <cell r="AG132">
            <v>0.67349999999999999</v>
          </cell>
          <cell r="AK132">
            <v>0.6</v>
          </cell>
          <cell r="AN132">
            <v>0.4</v>
          </cell>
          <cell r="AO132">
            <v>0</v>
          </cell>
          <cell r="AP132">
            <v>0</v>
          </cell>
          <cell r="AR132">
            <v>1</v>
          </cell>
          <cell r="AS132">
            <v>-0.46359999999999985</v>
          </cell>
          <cell r="AT132">
            <v>-0.46359999999999985</v>
          </cell>
        </row>
        <row r="133">
          <cell r="A133">
            <v>31563</v>
          </cell>
          <cell r="B133">
            <v>5.3201000000000001</v>
          </cell>
          <cell r="C133">
            <v>5.3597999999999999</v>
          </cell>
          <cell r="D133">
            <v>5.57</v>
          </cell>
          <cell r="E133">
            <v>3.9340999999999999</v>
          </cell>
          <cell r="H133">
            <v>3.4550000000000001</v>
          </cell>
          <cell r="I133">
            <v>3.665</v>
          </cell>
          <cell r="J133">
            <v>3.2429999999999999</v>
          </cell>
          <cell r="K133">
            <v>3.2945000000000002</v>
          </cell>
          <cell r="N133">
            <v>3.4550000000000001</v>
          </cell>
          <cell r="O133">
            <v>3.665</v>
          </cell>
          <cell r="P133">
            <v>3.2429999999999999</v>
          </cell>
          <cell r="Q133">
            <v>4.9383999999999997</v>
          </cell>
          <cell r="R133">
            <v>4.5190000000000001</v>
          </cell>
          <cell r="S133">
            <v>5.2110000000000003</v>
          </cell>
          <cell r="W133">
            <v>-1.915</v>
          </cell>
          <cell r="X133">
            <v>-1.28</v>
          </cell>
          <cell r="AA133">
            <v>-4.423</v>
          </cell>
          <cell r="AB133">
            <v>-3.6217999999999999</v>
          </cell>
          <cell r="AC133">
            <v>-5.1787000000000001</v>
          </cell>
          <cell r="AF133">
            <v>-4.423</v>
          </cell>
          <cell r="AG133">
            <v>0.67349999999999999</v>
          </cell>
          <cell r="AK133">
            <v>0.6</v>
          </cell>
          <cell r="AN133">
            <v>0.4</v>
          </cell>
          <cell r="AO133">
            <v>0</v>
          </cell>
          <cell r="AP133">
            <v>0</v>
          </cell>
          <cell r="AR133">
            <v>1</v>
          </cell>
          <cell r="AS133">
            <v>2.4260600000000001</v>
          </cell>
          <cell r="AT133">
            <v>2.4260600000000001</v>
          </cell>
        </row>
        <row r="134">
          <cell r="A134">
            <v>31593</v>
          </cell>
          <cell r="B134">
            <v>1.6899</v>
          </cell>
          <cell r="C134">
            <v>1.8298000000000001</v>
          </cell>
          <cell r="D134">
            <v>1.44</v>
          </cell>
          <cell r="E134">
            <v>2.6669999999999998</v>
          </cell>
          <cell r="H134">
            <v>-0.125</v>
          </cell>
          <cell r="I134">
            <v>0.32100000000000001</v>
          </cell>
          <cell r="J134">
            <v>-0.627</v>
          </cell>
          <cell r="K134">
            <v>6.0100000000000001E-2</v>
          </cell>
          <cell r="N134">
            <v>-0.125</v>
          </cell>
          <cell r="O134">
            <v>0.32100000000000001</v>
          </cell>
          <cell r="P134">
            <v>-0.627</v>
          </cell>
          <cell r="Q134">
            <v>1.417</v>
          </cell>
          <cell r="R134">
            <v>0.77200000000000002</v>
          </cell>
          <cell r="S134">
            <v>1.5129999999999999</v>
          </cell>
          <cell r="W134">
            <v>2.621</v>
          </cell>
          <cell r="X134">
            <v>2.1</v>
          </cell>
          <cell r="AA134">
            <v>6.8440000000000003</v>
          </cell>
          <cell r="AB134">
            <v>6.2161</v>
          </cell>
          <cell r="AC134">
            <v>7.4463999999999997</v>
          </cell>
          <cell r="AF134">
            <v>6.8440000000000003</v>
          </cell>
          <cell r="AG134">
            <v>0.67349999999999999</v>
          </cell>
          <cell r="AK134">
            <v>0.6</v>
          </cell>
          <cell r="AN134">
            <v>0.4</v>
          </cell>
          <cell r="AO134">
            <v>0</v>
          </cell>
          <cell r="AP134">
            <v>0</v>
          </cell>
          <cell r="AR134">
            <v>1</v>
          </cell>
          <cell r="AS134">
            <v>2.0623399999999998</v>
          </cell>
          <cell r="AT134">
            <v>2.0623399999999998</v>
          </cell>
        </row>
        <row r="135">
          <cell r="A135">
            <v>31624</v>
          </cell>
          <cell r="B135">
            <v>-5.5932000000000004</v>
          </cell>
          <cell r="C135">
            <v>-6.65</v>
          </cell>
          <cell r="D135">
            <v>-4.76</v>
          </cell>
          <cell r="E135">
            <v>-4.9424000000000001</v>
          </cell>
          <cell r="H135">
            <v>-9.3539999999999992</v>
          </cell>
          <cell r="I135">
            <v>-10.747</v>
          </cell>
          <cell r="J135">
            <v>-7.992</v>
          </cell>
          <cell r="K135">
            <v>-8.8131000000000004</v>
          </cell>
          <cell r="N135">
            <v>-9.3539999999999992</v>
          </cell>
          <cell r="O135">
            <v>-10.747</v>
          </cell>
          <cell r="P135">
            <v>-7.992</v>
          </cell>
          <cell r="Q135">
            <v>-9.3485999999999994</v>
          </cell>
          <cell r="R135">
            <v>-8.2010000000000005</v>
          </cell>
          <cell r="S135">
            <v>-5.9349999999999996</v>
          </cell>
          <cell r="W135">
            <v>0.88500000000000001</v>
          </cell>
          <cell r="X135">
            <v>1.25</v>
          </cell>
          <cell r="AA135">
            <v>6.19</v>
          </cell>
          <cell r="AB135">
            <v>9.7492999999999999</v>
          </cell>
          <cell r="AC135">
            <v>3.0720999999999998</v>
          </cell>
          <cell r="AF135">
            <v>6.19</v>
          </cell>
          <cell r="AG135">
            <v>0.64949999999999997</v>
          </cell>
          <cell r="AK135">
            <v>0.6</v>
          </cell>
          <cell r="AN135">
            <v>0.4</v>
          </cell>
          <cell r="AO135">
            <v>0</v>
          </cell>
          <cell r="AP135">
            <v>0</v>
          </cell>
          <cell r="AR135">
            <v>1</v>
          </cell>
          <cell r="AS135">
            <v>-3.0019200000000001</v>
          </cell>
          <cell r="AT135">
            <v>-3.0019200000000001</v>
          </cell>
        </row>
        <row r="136">
          <cell r="A136">
            <v>31655</v>
          </cell>
          <cell r="B136">
            <v>7.4157000000000002</v>
          </cell>
          <cell r="C136">
            <v>4.9001000000000001</v>
          </cell>
          <cell r="D136">
            <v>10.06</v>
          </cell>
          <cell r="E136">
            <v>5.4653</v>
          </cell>
          <cell r="H136">
            <v>3.1779999999999999</v>
          </cell>
          <cell r="I136">
            <v>2.1520000000000001</v>
          </cell>
          <cell r="J136">
            <v>4.141</v>
          </cell>
          <cell r="K136">
            <v>3.0165999999999999</v>
          </cell>
          <cell r="N136">
            <v>3.1779999999999999</v>
          </cell>
          <cell r="O136">
            <v>2.1520000000000001</v>
          </cell>
          <cell r="P136">
            <v>4.141</v>
          </cell>
          <cell r="Q136">
            <v>3.5019</v>
          </cell>
          <cell r="R136">
            <v>4.984</v>
          </cell>
          <cell r="S136">
            <v>6.8120000000000003</v>
          </cell>
          <cell r="W136">
            <v>2.4820000000000002</v>
          </cell>
          <cell r="X136">
            <v>2.15</v>
          </cell>
          <cell r="AA136">
            <v>9.8810000000000002</v>
          </cell>
          <cell r="AB136">
            <v>8.4257000000000009</v>
          </cell>
          <cell r="AC136">
            <v>11.000299999999999</v>
          </cell>
          <cell r="AF136">
            <v>9.8810000000000002</v>
          </cell>
          <cell r="AG136">
            <v>0.64949999999999997</v>
          </cell>
          <cell r="AK136">
            <v>0.6</v>
          </cell>
          <cell r="AN136">
            <v>0.4</v>
          </cell>
          <cell r="AO136">
            <v>0</v>
          </cell>
          <cell r="AP136">
            <v>0</v>
          </cell>
          <cell r="AR136">
            <v>1</v>
          </cell>
          <cell r="AS136">
            <v>5.4422199999999998</v>
          </cell>
          <cell r="AT136">
            <v>5.4422199999999998</v>
          </cell>
        </row>
        <row r="137">
          <cell r="A137">
            <v>31685</v>
          </cell>
          <cell r="B137">
            <v>-8.2670999999999992</v>
          </cell>
          <cell r="C137">
            <v>-10.2202</v>
          </cell>
          <cell r="D137">
            <v>-6.32</v>
          </cell>
          <cell r="E137">
            <v>-7.8951000000000002</v>
          </cell>
          <cell r="H137">
            <v>-6.1710000000000003</v>
          </cell>
          <cell r="I137">
            <v>-8.14</v>
          </cell>
          <cell r="J137">
            <v>-4.3570000000000002</v>
          </cell>
          <cell r="K137">
            <v>-6.8727999999999998</v>
          </cell>
          <cell r="N137">
            <v>-6.1710000000000003</v>
          </cell>
          <cell r="O137">
            <v>-8.14</v>
          </cell>
          <cell r="P137">
            <v>-4.3570000000000002</v>
          </cell>
          <cell r="Q137">
            <v>-7.6501000000000001</v>
          </cell>
          <cell r="R137">
            <v>-6.3639999999999999</v>
          </cell>
          <cell r="S137">
            <v>-8.1280000000000001</v>
          </cell>
          <cell r="W137">
            <v>-0.98399999999999999</v>
          </cell>
          <cell r="X137">
            <v>-0.56999999999999995</v>
          </cell>
          <cell r="AA137">
            <v>-1.0029999999999999</v>
          </cell>
          <cell r="AB137">
            <v>-1.1226</v>
          </cell>
          <cell r="AC137">
            <v>-0.87490000000000001</v>
          </cell>
          <cell r="AF137">
            <v>-1.0029999999999999</v>
          </cell>
          <cell r="AG137">
            <v>0.64949999999999997</v>
          </cell>
          <cell r="AK137">
            <v>0.6</v>
          </cell>
          <cell r="AN137">
            <v>0.4</v>
          </cell>
          <cell r="AO137">
            <v>0</v>
          </cell>
          <cell r="AP137">
            <v>0</v>
          </cell>
          <cell r="AR137">
            <v>1</v>
          </cell>
          <cell r="AS137">
            <v>-5.3538599999999992</v>
          </cell>
          <cell r="AT137">
            <v>-5.3538599999999992</v>
          </cell>
        </row>
        <row r="138">
          <cell r="A138">
            <v>31716</v>
          </cell>
          <cell r="B138">
            <v>5.7668999999999997</v>
          </cell>
          <cell r="C138">
            <v>6.3301999999999996</v>
          </cell>
          <cell r="D138">
            <v>4.79</v>
          </cell>
          <cell r="E138">
            <v>4.1923000000000004</v>
          </cell>
          <cell r="H138">
            <v>3.964</v>
          </cell>
          <cell r="I138">
            <v>5.077</v>
          </cell>
          <cell r="J138">
            <v>2.8679999999999999</v>
          </cell>
          <cell r="K138">
            <v>3.9424000000000001</v>
          </cell>
          <cell r="N138">
            <v>3.964</v>
          </cell>
          <cell r="O138">
            <v>5.077</v>
          </cell>
          <cell r="P138">
            <v>2.8679999999999999</v>
          </cell>
          <cell r="Q138">
            <v>5.25</v>
          </cell>
          <cell r="R138">
            <v>4.0049999999999999</v>
          </cell>
          <cell r="S138">
            <v>5.29</v>
          </cell>
          <cell r="W138">
            <v>1.446</v>
          </cell>
          <cell r="X138">
            <v>1.32</v>
          </cell>
          <cell r="AA138">
            <v>-6.6580000000000004</v>
          </cell>
          <cell r="AB138">
            <v>-7.8037999999999998</v>
          </cell>
          <cell r="AC138">
            <v>-5.5130999999999997</v>
          </cell>
          <cell r="AF138">
            <v>-6.6580000000000004</v>
          </cell>
          <cell r="AG138">
            <v>0.49619999999999997</v>
          </cell>
          <cell r="AK138">
            <v>0.6</v>
          </cell>
          <cell r="AN138">
            <v>0.4</v>
          </cell>
          <cell r="AO138">
            <v>0</v>
          </cell>
          <cell r="AP138">
            <v>0</v>
          </cell>
          <cell r="AR138">
            <v>1</v>
          </cell>
          <cell r="AS138">
            <v>4.0385399999999994</v>
          </cell>
          <cell r="AT138">
            <v>4.0385399999999994</v>
          </cell>
        </row>
        <row r="139">
          <cell r="A139">
            <v>31746</v>
          </cell>
          <cell r="B139">
            <v>2.4304999999999999</v>
          </cell>
          <cell r="C139">
            <v>2.8498999999999999</v>
          </cell>
          <cell r="D139">
            <v>2.2400000000000002</v>
          </cell>
          <cell r="E139">
            <v>-3.9399999999999998E-2</v>
          </cell>
          <cell r="H139">
            <v>-0.34200000000000003</v>
          </cell>
          <cell r="I139">
            <v>-0.44</v>
          </cell>
          <cell r="J139">
            <v>-0.23200000000000001</v>
          </cell>
          <cell r="K139">
            <v>-0.70389999999999997</v>
          </cell>
          <cell r="N139">
            <v>-0.34200000000000003</v>
          </cell>
          <cell r="O139">
            <v>-0.44</v>
          </cell>
          <cell r="P139">
            <v>-0.23200000000000001</v>
          </cell>
          <cell r="Q139">
            <v>0.20730000000000001</v>
          </cell>
          <cell r="R139">
            <v>0.05</v>
          </cell>
          <cell r="S139">
            <v>1.6180000000000001</v>
          </cell>
          <cell r="W139">
            <v>1.399</v>
          </cell>
          <cell r="X139">
            <v>1.28</v>
          </cell>
          <cell r="AA139">
            <v>5.7859999999999996</v>
          </cell>
          <cell r="AB139">
            <v>6.3798000000000004</v>
          </cell>
          <cell r="AC139">
            <v>5.2742000000000004</v>
          </cell>
          <cell r="AF139">
            <v>5.7859999999999996</v>
          </cell>
          <cell r="AG139">
            <v>0.49619999999999997</v>
          </cell>
          <cell r="AK139">
            <v>0.6</v>
          </cell>
          <cell r="AN139">
            <v>0.4</v>
          </cell>
          <cell r="AO139">
            <v>0</v>
          </cell>
          <cell r="AP139">
            <v>0</v>
          </cell>
          <cell r="AR139">
            <v>1</v>
          </cell>
          <cell r="AS139">
            <v>2.0179</v>
          </cell>
          <cell r="AT139">
            <v>2.0179</v>
          </cell>
        </row>
        <row r="140">
          <cell r="A140">
            <v>31777</v>
          </cell>
          <cell r="B140">
            <v>-2.552</v>
          </cell>
          <cell r="C140">
            <v>-2.3300999999999998</v>
          </cell>
          <cell r="D140">
            <v>-3</v>
          </cell>
          <cell r="E140">
            <v>-1.7664</v>
          </cell>
          <cell r="H140">
            <v>-2.8879999999999999</v>
          </cell>
          <cell r="I140">
            <v>-3.359</v>
          </cell>
          <cell r="J140">
            <v>-2.4180000000000001</v>
          </cell>
          <cell r="K140">
            <v>-3.2614000000000001</v>
          </cell>
          <cell r="N140">
            <v>-2.8879999999999999</v>
          </cell>
          <cell r="O140">
            <v>-3.359</v>
          </cell>
          <cell r="P140">
            <v>-2.4180000000000001</v>
          </cell>
          <cell r="Q140">
            <v>-2.9411999999999998</v>
          </cell>
          <cell r="R140">
            <v>-2.63</v>
          </cell>
          <cell r="S140">
            <v>-2.7189999999999999</v>
          </cell>
          <cell r="W140">
            <v>0.372</v>
          </cell>
          <cell r="X140">
            <v>0.35</v>
          </cell>
          <cell r="AA140">
            <v>5.3250000000000002</v>
          </cell>
          <cell r="AB140">
            <v>5.6338999999999997</v>
          </cell>
          <cell r="AC140">
            <v>4.9356</v>
          </cell>
          <cell r="AF140">
            <v>5.3250000000000002</v>
          </cell>
          <cell r="AG140">
            <v>0.49619999999999997</v>
          </cell>
          <cell r="AK140">
            <v>0.6</v>
          </cell>
          <cell r="AN140">
            <v>0.4</v>
          </cell>
          <cell r="AO140">
            <v>0</v>
          </cell>
          <cell r="AP140">
            <v>0</v>
          </cell>
          <cell r="AR140">
            <v>1</v>
          </cell>
          <cell r="AS140">
            <v>-1.3823999999999999</v>
          </cell>
          <cell r="AT140">
            <v>-1.3823999999999999</v>
          </cell>
        </row>
        <row r="141">
          <cell r="A141">
            <v>31808</v>
          </cell>
          <cell r="B141">
            <v>13.4657</v>
          </cell>
          <cell r="C141">
            <v>13.620200000000001</v>
          </cell>
          <cell r="D141">
            <v>13.24</v>
          </cell>
          <cell r="E141">
            <v>12.8733</v>
          </cell>
          <cell r="H141">
            <v>11.64</v>
          </cell>
          <cell r="I141">
            <v>12.867000000000001</v>
          </cell>
          <cell r="J141">
            <v>10.416</v>
          </cell>
          <cell r="K141">
            <v>10.8894</v>
          </cell>
          <cell r="N141">
            <v>11.64</v>
          </cell>
          <cell r="O141">
            <v>12.867000000000001</v>
          </cell>
          <cell r="P141">
            <v>10.416</v>
          </cell>
          <cell r="Q141">
            <v>13.0451</v>
          </cell>
          <cell r="R141">
            <v>11.772</v>
          </cell>
          <cell r="S141">
            <v>12.827999999999999</v>
          </cell>
          <cell r="W141">
            <v>1.4159999999999999</v>
          </cell>
          <cell r="X141">
            <v>1.18</v>
          </cell>
          <cell r="AA141">
            <v>10.643000000000001</v>
          </cell>
          <cell r="AB141">
            <v>15.459</v>
          </cell>
          <cell r="AC141">
            <v>5.8845999999999998</v>
          </cell>
          <cell r="AF141">
            <v>10.643000000000001</v>
          </cell>
          <cell r="AG141">
            <v>0.8478</v>
          </cell>
          <cell r="AK141">
            <v>0.6</v>
          </cell>
          <cell r="AN141">
            <v>0.4</v>
          </cell>
          <cell r="AO141">
            <v>0</v>
          </cell>
          <cell r="AP141">
            <v>0</v>
          </cell>
          <cell r="AR141">
            <v>1</v>
          </cell>
          <cell r="AS141">
            <v>8.6458199999999987</v>
          </cell>
          <cell r="AT141">
            <v>8.6458199999999987</v>
          </cell>
        </row>
        <row r="142">
          <cell r="A142">
            <v>31836</v>
          </cell>
          <cell r="B142">
            <v>3.9514</v>
          </cell>
          <cell r="C142">
            <v>6.7702999999999998</v>
          </cell>
          <cell r="D142">
            <v>1.39</v>
          </cell>
          <cell r="E142">
            <v>4.6589</v>
          </cell>
          <cell r="H142">
            <v>8.4269999999999996</v>
          </cell>
          <cell r="I142">
            <v>9.6829999999999998</v>
          </cell>
          <cell r="J142">
            <v>7.1470000000000002</v>
          </cell>
          <cell r="K142">
            <v>7.2675999999999998</v>
          </cell>
          <cell r="N142">
            <v>8.4269999999999996</v>
          </cell>
          <cell r="O142">
            <v>9.6829999999999998</v>
          </cell>
          <cell r="P142">
            <v>7.1470000000000002</v>
          </cell>
          <cell r="Q142">
            <v>8.7129999999999992</v>
          </cell>
          <cell r="R142">
            <v>7.3230000000000004</v>
          </cell>
          <cell r="S142">
            <v>4.7149999999999999</v>
          </cell>
          <cell r="W142">
            <v>0.69299999999999995</v>
          </cell>
          <cell r="X142">
            <v>0.6</v>
          </cell>
          <cell r="AA142">
            <v>3.0179999999999998</v>
          </cell>
          <cell r="AB142">
            <v>2.6606999999999998</v>
          </cell>
          <cell r="AC142">
            <v>3.3652000000000002</v>
          </cell>
          <cell r="AF142">
            <v>3.0179999999999998</v>
          </cell>
          <cell r="AG142">
            <v>0.8478</v>
          </cell>
          <cell r="AK142">
            <v>0.6</v>
          </cell>
          <cell r="AN142">
            <v>0.4</v>
          </cell>
          <cell r="AO142">
            <v>0</v>
          </cell>
          <cell r="AP142">
            <v>0</v>
          </cell>
          <cell r="AR142">
            <v>1</v>
          </cell>
          <cell r="AS142">
            <v>2.6480399999999999</v>
          </cell>
          <cell r="AT142">
            <v>2.6480399999999999</v>
          </cell>
        </row>
        <row r="143">
          <cell r="A143">
            <v>31867</v>
          </cell>
          <cell r="B143">
            <v>2.8853</v>
          </cell>
          <cell r="C143">
            <v>2.2195999999999998</v>
          </cell>
          <cell r="D143">
            <v>3.27</v>
          </cell>
          <cell r="E143">
            <v>2.3574999999999999</v>
          </cell>
          <cell r="H143">
            <v>2.6989999999999998</v>
          </cell>
          <cell r="I143">
            <v>2.7429999999999999</v>
          </cell>
          <cell r="J143">
            <v>2.6539999999999999</v>
          </cell>
          <cell r="K143">
            <v>1.5629</v>
          </cell>
          <cell r="N143">
            <v>2.6989999999999998</v>
          </cell>
          <cell r="O143">
            <v>2.7429999999999999</v>
          </cell>
          <cell r="P143">
            <v>2.6539999999999999</v>
          </cell>
          <cell r="Q143">
            <v>1.7756000000000001</v>
          </cell>
          <cell r="R143">
            <v>1.7330000000000001</v>
          </cell>
          <cell r="S143">
            <v>2.0649999999999999</v>
          </cell>
          <cell r="W143">
            <v>-0.45100000000000001</v>
          </cell>
          <cell r="X143">
            <v>-0.19</v>
          </cell>
          <cell r="AA143">
            <v>8.2189999999999994</v>
          </cell>
          <cell r="AB143">
            <v>10.8438</v>
          </cell>
          <cell r="AC143">
            <v>5.5117000000000003</v>
          </cell>
          <cell r="AF143">
            <v>8.2189999999999994</v>
          </cell>
          <cell r="AG143">
            <v>0.8478</v>
          </cell>
          <cell r="AK143">
            <v>0.6</v>
          </cell>
          <cell r="AN143">
            <v>0.4</v>
          </cell>
          <cell r="AO143">
            <v>0</v>
          </cell>
          <cell r="AP143">
            <v>0</v>
          </cell>
          <cell r="AR143">
            <v>1</v>
          </cell>
          <cell r="AS143">
            <v>1.55078</v>
          </cell>
          <cell r="AT143">
            <v>1.55078</v>
          </cell>
        </row>
        <row r="144">
          <cell r="A144">
            <v>31897</v>
          </cell>
          <cell r="B144">
            <v>-0.88790000000000002</v>
          </cell>
          <cell r="C144">
            <v>-1.1897</v>
          </cell>
          <cell r="D144">
            <v>-0.62</v>
          </cell>
          <cell r="E144">
            <v>-3.3153999999999999</v>
          </cell>
          <cell r="H144">
            <v>-2.8660000000000001</v>
          </cell>
          <cell r="I144">
            <v>-3.0960000000000001</v>
          </cell>
          <cell r="J144">
            <v>-2.6280000000000001</v>
          </cell>
          <cell r="K144">
            <v>-3.8477000000000001</v>
          </cell>
          <cell r="N144">
            <v>-2.8660000000000001</v>
          </cell>
          <cell r="O144">
            <v>-3.0960000000000001</v>
          </cell>
          <cell r="P144">
            <v>-2.6280000000000001</v>
          </cell>
          <cell r="Q144">
            <v>-2.7098</v>
          </cell>
          <cell r="R144">
            <v>-2.5920000000000001</v>
          </cell>
          <cell r="S144">
            <v>-1.681</v>
          </cell>
          <cell r="W144">
            <v>-2.742</v>
          </cell>
          <cell r="X144">
            <v>-2.16</v>
          </cell>
          <cell r="AA144">
            <v>10.599</v>
          </cell>
          <cell r="AB144">
            <v>12.291</v>
          </cell>
          <cell r="AC144">
            <v>8.8210999999999995</v>
          </cell>
          <cell r="AF144">
            <v>10.599</v>
          </cell>
          <cell r="AG144">
            <v>0.60580000000000001</v>
          </cell>
          <cell r="AK144">
            <v>0.6</v>
          </cell>
          <cell r="AN144">
            <v>0.4</v>
          </cell>
          <cell r="AO144">
            <v>0</v>
          </cell>
          <cell r="AP144">
            <v>0</v>
          </cell>
          <cell r="AR144">
            <v>1</v>
          </cell>
          <cell r="AS144">
            <v>-1.62954</v>
          </cell>
          <cell r="AT144">
            <v>-1.62954</v>
          </cell>
        </row>
        <row r="145">
          <cell r="A145">
            <v>31928</v>
          </cell>
          <cell r="B145">
            <v>0.86699999999999999</v>
          </cell>
          <cell r="C145">
            <v>1.1399999999999999</v>
          </cell>
          <cell r="D145">
            <v>0.9</v>
          </cell>
          <cell r="E145">
            <v>-1.0218</v>
          </cell>
          <cell r="H145">
            <v>-0.32800000000000001</v>
          </cell>
          <cell r="I145">
            <v>-0.70299999999999996</v>
          </cell>
          <cell r="J145">
            <v>6.2E-2</v>
          </cell>
          <cell r="K145">
            <v>-1.4977</v>
          </cell>
          <cell r="N145">
            <v>-0.32800000000000001</v>
          </cell>
          <cell r="O145">
            <v>-0.70299999999999996</v>
          </cell>
          <cell r="P145">
            <v>6.2E-2</v>
          </cell>
          <cell r="Q145">
            <v>0.47360000000000002</v>
          </cell>
          <cell r="R145">
            <v>0.33400000000000002</v>
          </cell>
          <cell r="S145">
            <v>0.623</v>
          </cell>
          <cell r="W145">
            <v>-0.39100000000000001</v>
          </cell>
          <cell r="X145">
            <v>-0.25</v>
          </cell>
          <cell r="AA145">
            <v>1.7999999999999999E-2</v>
          </cell>
          <cell r="AB145">
            <v>-3.1273</v>
          </cell>
          <cell r="AC145">
            <v>3.4035000000000002</v>
          </cell>
          <cell r="AF145">
            <v>1.7999999999999999E-2</v>
          </cell>
          <cell r="AG145">
            <v>0.60580000000000001</v>
          </cell>
          <cell r="AK145">
            <v>0.6</v>
          </cell>
          <cell r="AN145">
            <v>0.4</v>
          </cell>
          <cell r="AO145">
            <v>0</v>
          </cell>
          <cell r="AP145">
            <v>0</v>
          </cell>
          <cell r="AR145">
            <v>1</v>
          </cell>
          <cell r="AS145">
            <v>0.36380000000000001</v>
          </cell>
          <cell r="AT145">
            <v>0.36380000000000001</v>
          </cell>
        </row>
        <row r="146">
          <cell r="A146">
            <v>31958</v>
          </cell>
          <cell r="B146">
            <v>5.05</v>
          </cell>
          <cell r="C146">
            <v>5.0598000000000001</v>
          </cell>
          <cell r="D146">
            <v>4.92</v>
          </cell>
          <cell r="E146">
            <v>3.6109</v>
          </cell>
          <cell r="H146">
            <v>2.5579999999999998</v>
          </cell>
          <cell r="I146">
            <v>2.48</v>
          </cell>
          <cell r="J146">
            <v>2.6389999999999998</v>
          </cell>
          <cell r="K146">
            <v>1.9651000000000001</v>
          </cell>
          <cell r="N146">
            <v>2.5579999999999998</v>
          </cell>
          <cell r="O146">
            <v>2.48</v>
          </cell>
          <cell r="P146">
            <v>2.6389999999999998</v>
          </cell>
          <cell r="Q146">
            <v>2.5468999999999999</v>
          </cell>
          <cell r="R146">
            <v>2.9289999999999998</v>
          </cell>
          <cell r="S146">
            <v>4.5549999999999997</v>
          </cell>
          <cell r="W146">
            <v>1.3759999999999999</v>
          </cell>
          <cell r="X146">
            <v>1.41</v>
          </cell>
          <cell r="AA146">
            <v>-3.1680000000000001</v>
          </cell>
          <cell r="AB146">
            <v>-6.5490000000000004</v>
          </cell>
          <cell r="AC146">
            <v>0.1966</v>
          </cell>
          <cell r="AF146">
            <v>-3.1680000000000001</v>
          </cell>
          <cell r="AG146">
            <v>0.60580000000000001</v>
          </cell>
          <cell r="AK146">
            <v>0.6</v>
          </cell>
          <cell r="AN146">
            <v>0.4</v>
          </cell>
          <cell r="AO146">
            <v>0</v>
          </cell>
          <cell r="AP146">
            <v>0</v>
          </cell>
          <cell r="AR146">
            <v>1</v>
          </cell>
          <cell r="AS146">
            <v>3.5804</v>
          </cell>
          <cell r="AT146">
            <v>3.5804</v>
          </cell>
        </row>
        <row r="147">
          <cell r="A147">
            <v>31989</v>
          </cell>
          <cell r="B147">
            <v>5.0658000000000003</v>
          </cell>
          <cell r="C147">
            <v>5.51</v>
          </cell>
          <cell r="D147">
            <v>4.4000000000000004</v>
          </cell>
          <cell r="E147">
            <v>2.8096999999999999</v>
          </cell>
          <cell r="H147">
            <v>3.113</v>
          </cell>
          <cell r="I147">
            <v>2.3919999999999999</v>
          </cell>
          <cell r="J147">
            <v>3.843</v>
          </cell>
          <cell r="K147">
            <v>3.1610999999999998</v>
          </cell>
          <cell r="N147">
            <v>3.113</v>
          </cell>
          <cell r="O147">
            <v>2.3919999999999999</v>
          </cell>
          <cell r="P147">
            <v>3.843</v>
          </cell>
          <cell r="Q147">
            <v>3.2648000000000001</v>
          </cell>
          <cell r="R147">
            <v>3.77</v>
          </cell>
          <cell r="S147">
            <v>4.2670000000000003</v>
          </cell>
          <cell r="W147">
            <v>-7.6999999999999999E-2</v>
          </cell>
          <cell r="X147">
            <v>0.28000000000000003</v>
          </cell>
          <cell r="AA147">
            <v>-0.157</v>
          </cell>
          <cell r="AB147">
            <v>-1.5058</v>
          </cell>
          <cell r="AC147">
            <v>1.1077999999999999</v>
          </cell>
          <cell r="AF147">
            <v>-0.157</v>
          </cell>
          <cell r="AG147">
            <v>0.39350000000000002</v>
          </cell>
          <cell r="AK147">
            <v>0.6</v>
          </cell>
          <cell r="AN147">
            <v>0.4</v>
          </cell>
          <cell r="AO147">
            <v>0</v>
          </cell>
          <cell r="AP147">
            <v>0</v>
          </cell>
          <cell r="AR147">
            <v>1</v>
          </cell>
          <cell r="AS147">
            <v>3.00868</v>
          </cell>
          <cell r="AT147">
            <v>3.00868</v>
          </cell>
        </row>
        <row r="148">
          <cell r="A148">
            <v>32020</v>
          </cell>
          <cell r="B148">
            <v>3.7311999999999999</v>
          </cell>
          <cell r="C148">
            <v>4.1501000000000001</v>
          </cell>
          <cell r="D148">
            <v>3.49</v>
          </cell>
          <cell r="E148">
            <v>3.6261000000000001</v>
          </cell>
          <cell r="H148">
            <v>2.9390000000000001</v>
          </cell>
          <cell r="I148">
            <v>2.891</v>
          </cell>
          <cell r="J148">
            <v>2.9860000000000002</v>
          </cell>
          <cell r="K148">
            <v>3.4407999999999999</v>
          </cell>
          <cell r="N148">
            <v>2.9390000000000001</v>
          </cell>
          <cell r="O148">
            <v>2.891</v>
          </cell>
          <cell r="P148">
            <v>2.9860000000000002</v>
          </cell>
          <cell r="Q148">
            <v>3.5169000000000001</v>
          </cell>
          <cell r="R148">
            <v>3.1059999999999999</v>
          </cell>
          <cell r="S148">
            <v>4.04</v>
          </cell>
          <cell r="W148">
            <v>-0.53500000000000003</v>
          </cell>
          <cell r="X148">
            <v>-0.32</v>
          </cell>
          <cell r="AA148">
            <v>7.5190000000000001</v>
          </cell>
          <cell r="AB148">
            <v>9.1449999999999996</v>
          </cell>
          <cell r="AC148">
            <v>6.0010000000000003</v>
          </cell>
          <cell r="AF148">
            <v>7.5190000000000001</v>
          </cell>
          <cell r="AG148">
            <v>0.39350000000000002</v>
          </cell>
          <cell r="AK148">
            <v>0.6</v>
          </cell>
          <cell r="AN148">
            <v>0.4</v>
          </cell>
          <cell r="AO148">
            <v>0</v>
          </cell>
          <cell r="AP148">
            <v>0</v>
          </cell>
          <cell r="AR148">
            <v>1</v>
          </cell>
          <cell r="AS148">
            <v>2.0247199999999999</v>
          </cell>
          <cell r="AT148">
            <v>2.0247199999999999</v>
          </cell>
        </row>
        <row r="149">
          <cell r="A149">
            <v>32050</v>
          </cell>
          <cell r="B149">
            <v>-2.1922000000000001</v>
          </cell>
          <cell r="C149">
            <v>-2.5901999999999998</v>
          </cell>
          <cell r="D149">
            <v>-1.81</v>
          </cell>
          <cell r="E149">
            <v>-1.9309000000000001</v>
          </cell>
          <cell r="H149">
            <v>-1.843</v>
          </cell>
          <cell r="I149">
            <v>-1.9970000000000001</v>
          </cell>
          <cell r="J149">
            <v>-1.6890000000000001</v>
          </cell>
          <cell r="K149">
            <v>-2.5914000000000001</v>
          </cell>
          <cell r="N149">
            <v>-1.843</v>
          </cell>
          <cell r="O149">
            <v>-1.9970000000000001</v>
          </cell>
          <cell r="P149">
            <v>-1.6890000000000001</v>
          </cell>
          <cell r="Q149">
            <v>-2.3913000000000002</v>
          </cell>
          <cell r="R149">
            <v>-1.9590000000000001</v>
          </cell>
          <cell r="S149">
            <v>-2.1800000000000002</v>
          </cell>
          <cell r="W149">
            <v>-2.129</v>
          </cell>
          <cell r="X149">
            <v>-1.55</v>
          </cell>
          <cell r="AA149">
            <v>-1.556</v>
          </cell>
          <cell r="AB149">
            <v>-4.5122999999999998</v>
          </cell>
          <cell r="AC149">
            <v>1.3517999999999999</v>
          </cell>
          <cell r="AF149">
            <v>-1.556</v>
          </cell>
          <cell r="AG149">
            <v>0.39350000000000002</v>
          </cell>
          <cell r="AK149">
            <v>0.6</v>
          </cell>
          <cell r="AN149">
            <v>0.4</v>
          </cell>
          <cell r="AO149">
            <v>0</v>
          </cell>
          <cell r="AP149">
            <v>0</v>
          </cell>
          <cell r="AR149">
            <v>1</v>
          </cell>
          <cell r="AS149">
            <v>-2.1669200000000002</v>
          </cell>
          <cell r="AT149">
            <v>-2.1669200000000002</v>
          </cell>
        </row>
        <row r="150">
          <cell r="A150">
            <v>32081</v>
          </cell>
          <cell r="B150">
            <v>-21.536200000000001</v>
          </cell>
          <cell r="C150">
            <v>-22.709900000000001</v>
          </cell>
          <cell r="D150">
            <v>-20.32</v>
          </cell>
          <cell r="E150">
            <v>-23.6358</v>
          </cell>
          <cell r="H150">
            <v>-30.614999999999998</v>
          </cell>
          <cell r="I150">
            <v>-32.950000000000003</v>
          </cell>
          <cell r="J150">
            <v>-28.285</v>
          </cell>
          <cell r="K150">
            <v>-29.795100000000001</v>
          </cell>
          <cell r="N150">
            <v>-30.614999999999998</v>
          </cell>
          <cell r="O150">
            <v>-32.950000000000003</v>
          </cell>
          <cell r="P150">
            <v>-28.285</v>
          </cell>
          <cell r="Q150">
            <v>-30.876799999999999</v>
          </cell>
          <cell r="R150">
            <v>-28.297000000000001</v>
          </cell>
          <cell r="S150">
            <v>-22.428000000000001</v>
          </cell>
          <cell r="W150">
            <v>3.5619999999999998</v>
          </cell>
          <cell r="X150">
            <v>2.91</v>
          </cell>
          <cell r="AA150">
            <v>-13.993</v>
          </cell>
          <cell r="AB150">
            <v>-12.8253</v>
          </cell>
          <cell r="AC150">
            <v>-12.906700000000001</v>
          </cell>
          <cell r="AF150">
            <v>-13.993</v>
          </cell>
          <cell r="AG150">
            <v>0.69320000000000004</v>
          </cell>
          <cell r="AK150">
            <v>0.6</v>
          </cell>
          <cell r="AN150">
            <v>0.4</v>
          </cell>
          <cell r="AO150">
            <v>0</v>
          </cell>
          <cell r="AP150">
            <v>0</v>
          </cell>
          <cell r="AR150">
            <v>1</v>
          </cell>
          <cell r="AS150">
            <v>-11.496920000000001</v>
          </cell>
          <cell r="AT150">
            <v>-11.496920000000001</v>
          </cell>
        </row>
        <row r="151">
          <cell r="A151">
            <v>32111</v>
          </cell>
          <cell r="B151">
            <v>-8.2409999999999997</v>
          </cell>
          <cell r="C151">
            <v>-8.8602000000000007</v>
          </cell>
          <cell r="D151">
            <v>-7.47</v>
          </cell>
          <cell r="E151">
            <v>-4.9359999999999999</v>
          </cell>
          <cell r="H151">
            <v>-5.3659999999999997</v>
          </cell>
          <cell r="I151">
            <v>-6.6109999999999998</v>
          </cell>
          <cell r="J151">
            <v>-4.2</v>
          </cell>
          <cell r="K151">
            <v>-6.4866000000000001</v>
          </cell>
          <cell r="N151">
            <v>-5.3659999999999997</v>
          </cell>
          <cell r="O151">
            <v>-6.6109999999999998</v>
          </cell>
          <cell r="P151">
            <v>-4.2</v>
          </cell>
          <cell r="Q151">
            <v>-5.5450999999999997</v>
          </cell>
          <cell r="R151">
            <v>-4.6660000000000004</v>
          </cell>
          <cell r="S151">
            <v>-7.5410000000000004</v>
          </cell>
          <cell r="W151">
            <v>0.80100000000000005</v>
          </cell>
          <cell r="X151">
            <v>0.84</v>
          </cell>
          <cell r="AA151">
            <v>1.008</v>
          </cell>
          <cell r="AB151">
            <v>0.51890000000000003</v>
          </cell>
          <cell r="AC151">
            <v>1.4983</v>
          </cell>
          <cell r="AF151">
            <v>1.008</v>
          </cell>
          <cell r="AG151">
            <v>0.69320000000000004</v>
          </cell>
          <cell r="AK151">
            <v>0.6</v>
          </cell>
          <cell r="AN151">
            <v>0.4</v>
          </cell>
          <cell r="AO151">
            <v>0</v>
          </cell>
          <cell r="AP151">
            <v>0</v>
          </cell>
          <cell r="AR151">
            <v>1</v>
          </cell>
          <cell r="AS151">
            <v>-4.6241999999999992</v>
          </cell>
          <cell r="AT151">
            <v>-4.6241999999999992</v>
          </cell>
        </row>
        <row r="152">
          <cell r="A152">
            <v>32142</v>
          </cell>
          <cell r="B152">
            <v>7.6074999999999999</v>
          </cell>
          <cell r="C152">
            <v>8.4802999999999997</v>
          </cell>
          <cell r="D152">
            <v>6.26</v>
          </cell>
          <cell r="E152">
            <v>7.7320000000000002</v>
          </cell>
          <cell r="H152">
            <v>8.0380000000000003</v>
          </cell>
          <cell r="I152">
            <v>10.404</v>
          </cell>
          <cell r="J152">
            <v>5.8840000000000003</v>
          </cell>
          <cell r="K152">
            <v>8.6455000000000002</v>
          </cell>
          <cell r="N152">
            <v>8.0380000000000003</v>
          </cell>
          <cell r="O152">
            <v>10.404</v>
          </cell>
          <cell r="P152">
            <v>5.8840000000000003</v>
          </cell>
          <cell r="Q152">
            <v>11.545</v>
          </cell>
          <cell r="R152">
            <v>8.2859999999999996</v>
          </cell>
          <cell r="S152">
            <v>7.3819999999999997</v>
          </cell>
          <cell r="W152">
            <v>1.3620000000000001</v>
          </cell>
          <cell r="X152">
            <v>1.1399999999999999</v>
          </cell>
          <cell r="AA152">
            <v>2.9940000000000002</v>
          </cell>
          <cell r="AB152">
            <v>0.88739999999999997</v>
          </cell>
          <cell r="AC152">
            <v>4.9718999999999998</v>
          </cell>
          <cell r="AF152">
            <v>2.9940000000000002</v>
          </cell>
          <cell r="AG152">
            <v>0.69320000000000004</v>
          </cell>
          <cell r="AK152">
            <v>0.6</v>
          </cell>
          <cell r="AN152">
            <v>0.4</v>
          </cell>
          <cell r="AO152">
            <v>0</v>
          </cell>
          <cell r="AP152">
            <v>0</v>
          </cell>
          <cell r="AR152">
            <v>1</v>
          </cell>
          <cell r="AS152">
            <v>5.1093000000000002</v>
          </cell>
          <cell r="AT152">
            <v>5.1093000000000002</v>
          </cell>
        </row>
        <row r="153">
          <cell r="A153">
            <v>32173</v>
          </cell>
          <cell r="B153">
            <v>4.2061000000000002</v>
          </cell>
          <cell r="C153">
            <v>2.0301999999999998</v>
          </cell>
          <cell r="D153">
            <v>6.64</v>
          </cell>
          <cell r="E153">
            <v>4.5801999999999996</v>
          </cell>
          <cell r="H153">
            <v>4.3460000000000001</v>
          </cell>
          <cell r="I153">
            <v>1.952</v>
          </cell>
          <cell r="J153">
            <v>6.75</v>
          </cell>
          <cell r="K153">
            <v>3.9285999999999999</v>
          </cell>
          <cell r="N153">
            <v>4.3460000000000001</v>
          </cell>
          <cell r="O153">
            <v>1.952</v>
          </cell>
          <cell r="P153">
            <v>6.75</v>
          </cell>
          <cell r="Q153">
            <v>1.1527000000000001</v>
          </cell>
          <cell r="R153">
            <v>4.3959999999999999</v>
          </cell>
          <cell r="S153">
            <v>4.484</v>
          </cell>
          <cell r="U153">
            <v>1.68</v>
          </cell>
          <cell r="W153">
            <v>3.5150000000000001</v>
          </cell>
          <cell r="X153">
            <v>2.96</v>
          </cell>
          <cell r="AA153">
            <v>1.8080000000000001</v>
          </cell>
          <cell r="AB153">
            <v>2.9839000000000002</v>
          </cell>
          <cell r="AC153">
            <v>0.80079999999999996</v>
          </cell>
          <cell r="AF153">
            <v>1.8080000000000001</v>
          </cell>
          <cell r="AG153">
            <v>0.88129999999999997</v>
          </cell>
          <cell r="AK153">
            <v>0.6</v>
          </cell>
          <cell r="AN153">
            <v>0.4</v>
          </cell>
          <cell r="AO153">
            <v>0</v>
          </cell>
          <cell r="AP153">
            <v>0</v>
          </cell>
          <cell r="AR153">
            <v>1</v>
          </cell>
          <cell r="AS153">
            <v>3.9296600000000002</v>
          </cell>
          <cell r="AT153">
            <v>3.9296600000000002</v>
          </cell>
        </row>
        <row r="154">
          <cell r="A154">
            <v>32202</v>
          </cell>
          <cell r="B154">
            <v>4.6615000000000002</v>
          </cell>
          <cell r="C154">
            <v>4.7198000000000002</v>
          </cell>
          <cell r="D154">
            <v>4.58</v>
          </cell>
          <cell r="E154">
            <v>6.3475000000000001</v>
          </cell>
          <cell r="H154">
            <v>8.9979999999999993</v>
          </cell>
          <cell r="I154">
            <v>9.31</v>
          </cell>
          <cell r="J154">
            <v>8.6940000000000008</v>
          </cell>
          <cell r="K154">
            <v>8.0587999999999997</v>
          </cell>
          <cell r="N154">
            <v>8.9979999999999993</v>
          </cell>
          <cell r="O154">
            <v>9.31</v>
          </cell>
          <cell r="P154">
            <v>8.6940000000000008</v>
          </cell>
          <cell r="Q154">
            <v>9.2631999999999994</v>
          </cell>
          <cell r="R154">
            <v>8.4139999999999997</v>
          </cell>
          <cell r="S154">
            <v>5.2359999999999998</v>
          </cell>
          <cell r="U154">
            <v>6.6260000000000003</v>
          </cell>
          <cell r="W154">
            <v>1.1870000000000001</v>
          </cell>
          <cell r="X154">
            <v>1.17</v>
          </cell>
          <cell r="AA154">
            <v>6.6909999999999998</v>
          </cell>
          <cell r="AB154">
            <v>6.8422000000000001</v>
          </cell>
          <cell r="AC154">
            <v>6.5213000000000001</v>
          </cell>
          <cell r="AF154">
            <v>6.6909999999999998</v>
          </cell>
          <cell r="AG154">
            <v>0.88129999999999997</v>
          </cell>
          <cell r="AK154">
            <v>0.6</v>
          </cell>
          <cell r="AN154">
            <v>0.4</v>
          </cell>
          <cell r="AO154">
            <v>0</v>
          </cell>
          <cell r="AP154">
            <v>0</v>
          </cell>
          <cell r="AR154">
            <v>1</v>
          </cell>
          <cell r="AS154">
            <v>3.2717000000000001</v>
          </cell>
          <cell r="AT154">
            <v>3.2717000000000001</v>
          </cell>
        </row>
        <row r="155">
          <cell r="A155">
            <v>32233</v>
          </cell>
          <cell r="B155">
            <v>-3.0891999999999999</v>
          </cell>
          <cell r="C155">
            <v>-3.9100999999999999</v>
          </cell>
          <cell r="D155">
            <v>-2.11</v>
          </cell>
          <cell r="E155">
            <v>1.6249</v>
          </cell>
          <cell r="H155">
            <v>4.6929999999999996</v>
          </cell>
          <cell r="I155">
            <v>5.3559999999999999</v>
          </cell>
          <cell r="J155">
            <v>4.05</v>
          </cell>
          <cell r="K155">
            <v>3.4811000000000001</v>
          </cell>
          <cell r="N155">
            <v>4.6929999999999996</v>
          </cell>
          <cell r="O155">
            <v>5.3559999999999999</v>
          </cell>
          <cell r="P155">
            <v>4.05</v>
          </cell>
          <cell r="Q155">
            <v>3.2290999999999999</v>
          </cell>
          <cell r="R155">
            <v>2.5179999999999998</v>
          </cell>
          <cell r="S155">
            <v>-2.0470000000000002</v>
          </cell>
          <cell r="U155">
            <v>6.25</v>
          </cell>
          <cell r="W155">
            <v>-0.93799999999999994</v>
          </cell>
          <cell r="X155">
            <v>-0.51</v>
          </cell>
          <cell r="AA155">
            <v>6.1680000000000001</v>
          </cell>
          <cell r="AB155">
            <v>5.2903000000000002</v>
          </cell>
          <cell r="AC155">
            <v>6.99</v>
          </cell>
          <cell r="AF155">
            <v>6.1680000000000001</v>
          </cell>
          <cell r="AG155">
            <v>0.88129999999999997</v>
          </cell>
          <cell r="AK155">
            <v>0.6</v>
          </cell>
          <cell r="AN155">
            <v>0.4</v>
          </cell>
          <cell r="AO155">
            <v>0</v>
          </cell>
          <cell r="AP155">
            <v>0</v>
          </cell>
          <cell r="AR155">
            <v>1</v>
          </cell>
          <cell r="AS155">
            <v>-2.22872</v>
          </cell>
          <cell r="AT155">
            <v>-2.22872</v>
          </cell>
        </row>
        <row r="156">
          <cell r="A156">
            <v>32263</v>
          </cell>
          <cell r="B156">
            <v>1.1059000000000001</v>
          </cell>
          <cell r="C156">
            <v>0.81020000000000003</v>
          </cell>
          <cell r="D156">
            <v>1.25</v>
          </cell>
          <cell r="E156">
            <v>0.50470000000000004</v>
          </cell>
          <cell r="H156">
            <v>2.266</v>
          </cell>
          <cell r="I156">
            <v>2.415</v>
          </cell>
          <cell r="J156">
            <v>2.121</v>
          </cell>
          <cell r="K156">
            <v>1.3290999999999999</v>
          </cell>
          <cell r="N156">
            <v>2.266</v>
          </cell>
          <cell r="O156">
            <v>2.415</v>
          </cell>
          <cell r="P156">
            <v>2.121</v>
          </cell>
          <cell r="Q156">
            <v>1.0183</v>
          </cell>
          <cell r="R156">
            <v>1.1379999999999999</v>
          </cell>
          <cell r="S156">
            <v>0.94899999999999995</v>
          </cell>
          <cell r="U156">
            <v>1.46</v>
          </cell>
          <cell r="W156">
            <v>-0.54</v>
          </cell>
          <cell r="X156">
            <v>-0.26</v>
          </cell>
          <cell r="AA156">
            <v>1.472</v>
          </cell>
          <cell r="AB156">
            <v>3.2199999999999999E-2</v>
          </cell>
          <cell r="AC156">
            <v>2.8043999999999998</v>
          </cell>
          <cell r="AF156">
            <v>1.472</v>
          </cell>
          <cell r="AG156">
            <v>0.6109</v>
          </cell>
          <cell r="AK156">
            <v>0.6</v>
          </cell>
          <cell r="AN156">
            <v>0.4</v>
          </cell>
          <cell r="AO156">
            <v>0</v>
          </cell>
          <cell r="AP156">
            <v>0</v>
          </cell>
          <cell r="AR156">
            <v>1</v>
          </cell>
          <cell r="AS156">
            <v>0.44753999999999999</v>
          </cell>
          <cell r="AT156">
            <v>0.44753999999999999</v>
          </cell>
        </row>
        <row r="157">
          <cell r="A157">
            <v>32294</v>
          </cell>
          <cell r="B157">
            <v>0.86499999999999999</v>
          </cell>
          <cell r="C157">
            <v>0.30020000000000002</v>
          </cell>
          <cell r="D157">
            <v>1.23</v>
          </cell>
          <cell r="E157">
            <v>-2.0888</v>
          </cell>
          <cell r="H157">
            <v>-2.714</v>
          </cell>
          <cell r="I157">
            <v>-3.2959999999999998</v>
          </cell>
          <cell r="J157">
            <v>-2.145</v>
          </cell>
          <cell r="K157">
            <v>-2.2650000000000001</v>
          </cell>
          <cell r="N157">
            <v>-2.714</v>
          </cell>
          <cell r="O157">
            <v>-3.2959999999999998</v>
          </cell>
          <cell r="P157">
            <v>-2.145</v>
          </cell>
          <cell r="Q157">
            <v>-2.5444</v>
          </cell>
          <cell r="R157">
            <v>-1.4239999999999999</v>
          </cell>
          <cell r="S157">
            <v>0.31</v>
          </cell>
          <cell r="U157">
            <v>-3.1579999999999999</v>
          </cell>
          <cell r="W157">
            <v>-0.67200000000000004</v>
          </cell>
          <cell r="X157">
            <v>-0.53</v>
          </cell>
          <cell r="AA157">
            <v>-3.1829999999999998</v>
          </cell>
          <cell r="AB157">
            <v>-4.0197000000000003</v>
          </cell>
          <cell r="AC157">
            <v>-2.3967999999999998</v>
          </cell>
          <cell r="AF157">
            <v>-3.1829999999999998</v>
          </cell>
          <cell r="AG157">
            <v>0.6109</v>
          </cell>
          <cell r="AK157">
            <v>0.6</v>
          </cell>
          <cell r="AN157">
            <v>0.4</v>
          </cell>
          <cell r="AO157">
            <v>0</v>
          </cell>
          <cell r="AP157">
            <v>0</v>
          </cell>
          <cell r="AR157">
            <v>1</v>
          </cell>
          <cell r="AS157">
            <v>0.25019999999999998</v>
          </cell>
          <cell r="AT157">
            <v>0.25019999999999998</v>
          </cell>
        </row>
        <row r="158">
          <cell r="A158">
            <v>32324</v>
          </cell>
          <cell r="B158">
            <v>4.5890000000000004</v>
          </cell>
          <cell r="C158">
            <v>4.9398</v>
          </cell>
          <cell r="D158">
            <v>4.29</v>
          </cell>
          <cell r="E158">
            <v>7.2064000000000004</v>
          </cell>
          <cell r="H158">
            <v>7.1369999999999996</v>
          </cell>
          <cell r="I158">
            <v>7.3789999999999996</v>
          </cell>
          <cell r="J158">
            <v>6.9029999999999996</v>
          </cell>
          <cell r="K158">
            <v>6.7416999999999998</v>
          </cell>
          <cell r="N158">
            <v>7.1369999999999996</v>
          </cell>
          <cell r="O158">
            <v>7.3789999999999996</v>
          </cell>
          <cell r="P158">
            <v>6.9029999999999996</v>
          </cell>
          <cell r="Q158">
            <v>7.3917999999999999</v>
          </cell>
          <cell r="R158">
            <v>7.11</v>
          </cell>
          <cell r="S158">
            <v>5.2969999999999997</v>
          </cell>
          <cell r="U158">
            <v>-2.1930000000000001</v>
          </cell>
          <cell r="W158">
            <v>2.4129999999999998</v>
          </cell>
          <cell r="X158">
            <v>2.02</v>
          </cell>
          <cell r="AA158">
            <v>-2.6150000000000002</v>
          </cell>
          <cell r="AB158">
            <v>-3.8559999999999999</v>
          </cell>
          <cell r="AC158">
            <v>-1.4856</v>
          </cell>
          <cell r="AF158">
            <v>-2.6150000000000002</v>
          </cell>
          <cell r="AG158">
            <v>0.6109</v>
          </cell>
          <cell r="AK158">
            <v>0.6</v>
          </cell>
          <cell r="AN158">
            <v>0.4</v>
          </cell>
          <cell r="AO158">
            <v>0</v>
          </cell>
          <cell r="AP158">
            <v>0</v>
          </cell>
          <cell r="AR158">
            <v>1</v>
          </cell>
          <cell r="AS158">
            <v>3.7185999999999999</v>
          </cell>
          <cell r="AT158">
            <v>3.7185999999999999</v>
          </cell>
        </row>
        <row r="159">
          <cell r="A159">
            <v>32355</v>
          </cell>
          <cell r="B159">
            <v>-0.37930000000000003</v>
          </cell>
          <cell r="C159">
            <v>-0.64990000000000003</v>
          </cell>
          <cell r="D159">
            <v>-0.12</v>
          </cell>
          <cell r="E159">
            <v>-2.6871</v>
          </cell>
          <cell r="H159">
            <v>-0.95799999999999996</v>
          </cell>
          <cell r="I159">
            <v>-1.861</v>
          </cell>
          <cell r="J159">
            <v>-5.7000000000000002E-2</v>
          </cell>
          <cell r="K159">
            <v>-1.4730000000000001</v>
          </cell>
          <cell r="N159">
            <v>-0.95799999999999996</v>
          </cell>
          <cell r="O159">
            <v>-1.861</v>
          </cell>
          <cell r="P159">
            <v>-5.7000000000000002E-2</v>
          </cell>
          <cell r="Q159">
            <v>-2.5815000000000001</v>
          </cell>
          <cell r="R159">
            <v>-1.5149999999999999</v>
          </cell>
          <cell r="S159">
            <v>-0.80700000000000005</v>
          </cell>
          <cell r="U159">
            <v>2.9129999999999998</v>
          </cell>
          <cell r="W159">
            <v>-0.52400000000000002</v>
          </cell>
          <cell r="X159">
            <v>-0.25</v>
          </cell>
          <cell r="AA159">
            <v>3.1579999999999999</v>
          </cell>
          <cell r="AB159">
            <v>1.3852</v>
          </cell>
          <cell r="AC159">
            <v>4.6943000000000001</v>
          </cell>
          <cell r="AF159">
            <v>3.1579999999999999</v>
          </cell>
          <cell r="AG159">
            <v>0.66100000000000003</v>
          </cell>
          <cell r="AK159">
            <v>0.6</v>
          </cell>
          <cell r="AN159">
            <v>0.4</v>
          </cell>
          <cell r="AO159">
            <v>0</v>
          </cell>
          <cell r="AP159">
            <v>0</v>
          </cell>
          <cell r="AR159">
            <v>1</v>
          </cell>
          <cell r="AS159">
            <v>-0.43718000000000001</v>
          </cell>
          <cell r="AT159">
            <v>-0.43718000000000001</v>
          </cell>
        </row>
        <row r="160">
          <cell r="A160">
            <v>32386</v>
          </cell>
          <cell r="B160">
            <v>-3.3948999999999998</v>
          </cell>
          <cell r="C160">
            <v>-3.7702</v>
          </cell>
          <cell r="D160">
            <v>-2.75</v>
          </cell>
          <cell r="E160">
            <v>-2.3210000000000002</v>
          </cell>
          <cell r="H160">
            <v>-2.5590000000000002</v>
          </cell>
          <cell r="I160">
            <v>-3.6360000000000001</v>
          </cell>
          <cell r="J160">
            <v>-1.514</v>
          </cell>
          <cell r="K160">
            <v>-3.4660000000000002</v>
          </cell>
          <cell r="N160">
            <v>-2.5590000000000002</v>
          </cell>
          <cell r="O160">
            <v>-3.6360000000000001</v>
          </cell>
          <cell r="P160">
            <v>-1.514</v>
          </cell>
          <cell r="Q160">
            <v>-3.6610999999999998</v>
          </cell>
          <cell r="R160">
            <v>-2.3029999999999999</v>
          </cell>
          <cell r="S160">
            <v>-2.7770000000000001</v>
          </cell>
          <cell r="U160">
            <v>-6.43</v>
          </cell>
          <cell r="W160">
            <v>0.26200000000000001</v>
          </cell>
          <cell r="X160">
            <v>0.17</v>
          </cell>
          <cell r="AA160">
            <v>-6.4820000000000002</v>
          </cell>
          <cell r="AB160">
            <v>-5.2736000000000001</v>
          </cell>
          <cell r="AC160">
            <v>-7.4207999999999998</v>
          </cell>
          <cell r="AF160">
            <v>-6.4820000000000002</v>
          </cell>
          <cell r="AG160">
            <v>0.66100000000000003</v>
          </cell>
          <cell r="AK160">
            <v>0.6</v>
          </cell>
          <cell r="AN160">
            <v>0.4</v>
          </cell>
          <cell r="AO160">
            <v>0</v>
          </cell>
          <cell r="AP160">
            <v>0</v>
          </cell>
          <cell r="AR160">
            <v>1</v>
          </cell>
          <cell r="AS160">
            <v>-1.93214</v>
          </cell>
          <cell r="AT160">
            <v>-1.93214</v>
          </cell>
        </row>
        <row r="161">
          <cell r="A161">
            <v>32416</v>
          </cell>
          <cell r="B161">
            <v>4.2606000000000002</v>
          </cell>
          <cell r="C161">
            <v>4.5399000000000003</v>
          </cell>
          <cell r="D161">
            <v>3.87</v>
          </cell>
          <cell r="E161">
            <v>3.8246000000000002</v>
          </cell>
          <cell r="H161">
            <v>2.6429999999999998</v>
          </cell>
          <cell r="I161">
            <v>2.8319999999999999</v>
          </cell>
          <cell r="J161">
            <v>2.4609999999999999</v>
          </cell>
          <cell r="K161">
            <v>2.3159000000000001</v>
          </cell>
          <cell r="N161">
            <v>2.6429999999999998</v>
          </cell>
          <cell r="O161">
            <v>2.8319999999999999</v>
          </cell>
          <cell r="P161">
            <v>2.4609999999999999</v>
          </cell>
          <cell r="Q161">
            <v>3.4517000000000002</v>
          </cell>
          <cell r="R161">
            <v>3.077</v>
          </cell>
          <cell r="S161">
            <v>4.016</v>
          </cell>
          <cell r="U161">
            <v>4.3490000000000002</v>
          </cell>
          <cell r="W161">
            <v>2.2639999999999998</v>
          </cell>
          <cell r="X161">
            <v>1.99</v>
          </cell>
          <cell r="AA161">
            <v>4.3890000000000002</v>
          </cell>
          <cell r="AB161">
            <v>5.1117999999999997</v>
          </cell>
          <cell r="AC161">
            <v>3.6808999999999998</v>
          </cell>
          <cell r="AF161">
            <v>4.3890000000000002</v>
          </cell>
          <cell r="AG161">
            <v>0.66100000000000003</v>
          </cell>
          <cell r="AK161">
            <v>0.6</v>
          </cell>
          <cell r="AN161">
            <v>0.4</v>
          </cell>
          <cell r="AO161">
            <v>0</v>
          </cell>
          <cell r="AP161">
            <v>0</v>
          </cell>
          <cell r="AR161">
            <v>1</v>
          </cell>
          <cell r="AS161">
            <v>3.4619600000000004</v>
          </cell>
          <cell r="AT161">
            <v>3.4619600000000004</v>
          </cell>
        </row>
        <row r="162">
          <cell r="A162">
            <v>32447</v>
          </cell>
          <cell r="B162">
            <v>2.7844000000000002</v>
          </cell>
          <cell r="C162">
            <v>2.3502999999999998</v>
          </cell>
          <cell r="D162">
            <v>3.16</v>
          </cell>
          <cell r="E162">
            <v>0.68910000000000005</v>
          </cell>
          <cell r="H162">
            <v>-1.111</v>
          </cell>
          <cell r="I162">
            <v>-1.663</v>
          </cell>
          <cell r="J162">
            <v>-0.57899999999999996</v>
          </cell>
          <cell r="K162">
            <v>-0.16919999999999999</v>
          </cell>
          <cell r="N162">
            <v>-1.111</v>
          </cell>
          <cell r="O162">
            <v>-1.663</v>
          </cell>
          <cell r="P162">
            <v>-0.57899999999999996</v>
          </cell>
          <cell r="Q162">
            <v>-1.1626000000000001</v>
          </cell>
          <cell r="R162">
            <v>-0.46899999999999997</v>
          </cell>
          <cell r="S162">
            <v>1.8460000000000001</v>
          </cell>
          <cell r="U162">
            <v>8.2219999999999995</v>
          </cell>
          <cell r="W162">
            <v>1.883</v>
          </cell>
          <cell r="X162">
            <v>1.64</v>
          </cell>
          <cell r="AA162">
            <v>8.58</v>
          </cell>
          <cell r="AB162">
            <v>9.7114999999999991</v>
          </cell>
          <cell r="AC162">
            <v>7.5114000000000001</v>
          </cell>
          <cell r="AF162">
            <v>8.58</v>
          </cell>
          <cell r="AG162">
            <v>0.79169999999999996</v>
          </cell>
          <cell r="AK162">
            <v>0.6</v>
          </cell>
          <cell r="AN162">
            <v>0.4</v>
          </cell>
          <cell r="AO162">
            <v>0</v>
          </cell>
          <cell r="AP162">
            <v>0</v>
          </cell>
          <cell r="AR162">
            <v>1</v>
          </cell>
          <cell r="AS162">
            <v>2.4238400000000002</v>
          </cell>
          <cell r="AT162">
            <v>2.4238400000000002</v>
          </cell>
        </row>
        <row r="163">
          <cell r="A163">
            <v>32477</v>
          </cell>
          <cell r="B163">
            <v>-1.4251</v>
          </cell>
          <cell r="C163">
            <v>-1.8504</v>
          </cell>
          <cell r="D163">
            <v>-0.95</v>
          </cell>
          <cell r="E163">
            <v>-1.9482999999999999</v>
          </cell>
          <cell r="H163">
            <v>-3.331</v>
          </cell>
          <cell r="I163">
            <v>-3.895</v>
          </cell>
          <cell r="J163">
            <v>-2.7930000000000001</v>
          </cell>
          <cell r="K163">
            <v>-3.1867999999999999</v>
          </cell>
          <cell r="N163">
            <v>-3.331</v>
          </cell>
          <cell r="O163">
            <v>-3.895</v>
          </cell>
          <cell r="P163">
            <v>-2.7930000000000001</v>
          </cell>
          <cell r="Q163">
            <v>-3.1072000000000002</v>
          </cell>
          <cell r="R163">
            <v>-2.859</v>
          </cell>
          <cell r="S163">
            <v>-1.6839999999999999</v>
          </cell>
          <cell r="U163">
            <v>5.5789999999999997</v>
          </cell>
          <cell r="W163">
            <v>-1.2150000000000001</v>
          </cell>
          <cell r="X163">
            <v>-1.05</v>
          </cell>
          <cell r="AA163">
            <v>5.9779999999999998</v>
          </cell>
          <cell r="AB163">
            <v>6.3742999999999999</v>
          </cell>
          <cell r="AC163">
            <v>5.6184000000000003</v>
          </cell>
          <cell r="AF163">
            <v>5.9779999999999998</v>
          </cell>
          <cell r="AG163">
            <v>0.79169999999999996</v>
          </cell>
          <cell r="AK163">
            <v>0.6</v>
          </cell>
          <cell r="AN163">
            <v>0.4</v>
          </cell>
          <cell r="AO163">
            <v>0</v>
          </cell>
          <cell r="AP163">
            <v>0</v>
          </cell>
          <cell r="AR163">
            <v>1</v>
          </cell>
          <cell r="AS163">
            <v>-1.3410600000000001</v>
          </cell>
          <cell r="AT163">
            <v>-1.3410600000000001</v>
          </cell>
        </row>
        <row r="164">
          <cell r="A164">
            <v>32508</v>
          </cell>
          <cell r="B164">
            <v>1.7444999999999999</v>
          </cell>
          <cell r="C164">
            <v>2.3504</v>
          </cell>
          <cell r="D164">
            <v>1.1399999999999999</v>
          </cell>
          <cell r="E164">
            <v>4.0370999999999997</v>
          </cell>
          <cell r="H164">
            <v>3.9159999999999999</v>
          </cell>
          <cell r="I164">
            <v>4.8899999999999997</v>
          </cell>
          <cell r="J164">
            <v>2.9929999999999999</v>
          </cell>
          <cell r="K164">
            <v>3.4117999999999999</v>
          </cell>
          <cell r="N164">
            <v>3.9159999999999999</v>
          </cell>
          <cell r="O164">
            <v>4.8899999999999997</v>
          </cell>
          <cell r="P164">
            <v>2.9929999999999999</v>
          </cell>
          <cell r="Q164">
            <v>4.2313999999999998</v>
          </cell>
          <cell r="R164">
            <v>3.2970000000000002</v>
          </cell>
          <cell r="S164">
            <v>2.145</v>
          </cell>
          <cell r="U164">
            <v>0.628</v>
          </cell>
          <cell r="W164">
            <v>0.113</v>
          </cell>
          <cell r="X164">
            <v>-0.12</v>
          </cell>
          <cell r="AA164">
            <v>0.57499999999999996</v>
          </cell>
          <cell r="AB164">
            <v>0.45619999999999999</v>
          </cell>
          <cell r="AC164">
            <v>0.83620000000000005</v>
          </cell>
          <cell r="AF164">
            <v>0.57499999999999996</v>
          </cell>
          <cell r="AG164">
            <v>0.79169999999999996</v>
          </cell>
          <cell r="AK164">
            <v>0.6</v>
          </cell>
          <cell r="AN164">
            <v>0.4</v>
          </cell>
          <cell r="AO164">
            <v>0</v>
          </cell>
          <cell r="AP164">
            <v>0</v>
          </cell>
          <cell r="AR164">
            <v>1</v>
          </cell>
          <cell r="AS164">
            <v>1.0918999999999999</v>
          </cell>
          <cell r="AT164">
            <v>1.0918999999999999</v>
          </cell>
        </row>
        <row r="165">
          <cell r="A165">
            <v>32539</v>
          </cell>
          <cell r="B165">
            <v>7.3227000000000002</v>
          </cell>
          <cell r="C165">
            <v>7.1795</v>
          </cell>
          <cell r="D165">
            <v>7.33</v>
          </cell>
          <cell r="E165">
            <v>6.8132000000000001</v>
          </cell>
          <cell r="H165">
            <v>4.4589999999999996</v>
          </cell>
          <cell r="I165">
            <v>4.2679999999999998</v>
          </cell>
          <cell r="J165">
            <v>4.6520000000000001</v>
          </cell>
          <cell r="K165">
            <v>2.5714999999999999</v>
          </cell>
          <cell r="N165">
            <v>4.4589999999999996</v>
          </cell>
          <cell r="O165">
            <v>4.2679999999999998</v>
          </cell>
          <cell r="P165">
            <v>4.6520000000000001</v>
          </cell>
          <cell r="Q165">
            <v>5.1386000000000003</v>
          </cell>
          <cell r="R165">
            <v>5.1840000000000002</v>
          </cell>
          <cell r="S165">
            <v>6.7279999999999998</v>
          </cell>
          <cell r="U165">
            <v>1.984</v>
          </cell>
          <cell r="W165">
            <v>1.4390000000000001</v>
          </cell>
          <cell r="X165">
            <v>1.28</v>
          </cell>
          <cell r="AA165">
            <v>1.78</v>
          </cell>
          <cell r="AB165">
            <v>0.96409999999999996</v>
          </cell>
          <cell r="AC165">
            <v>2.5836000000000001</v>
          </cell>
          <cell r="AF165">
            <v>1.78</v>
          </cell>
          <cell r="AG165">
            <v>1.0134000000000001</v>
          </cell>
          <cell r="AK165">
            <v>0.6</v>
          </cell>
          <cell r="AN165">
            <v>0.4</v>
          </cell>
          <cell r="AO165">
            <v>0</v>
          </cell>
          <cell r="AP165">
            <v>0</v>
          </cell>
          <cell r="AR165">
            <v>1</v>
          </cell>
          <cell r="AS165">
            <v>4.96922</v>
          </cell>
          <cell r="AT165">
            <v>4.96922</v>
          </cell>
        </row>
        <row r="166">
          <cell r="A166">
            <v>32567</v>
          </cell>
          <cell r="B166">
            <v>-2.492</v>
          </cell>
          <cell r="C166">
            <v>-2.6698</v>
          </cell>
          <cell r="D166">
            <v>-2.16</v>
          </cell>
          <cell r="E166">
            <v>0.32879999999999998</v>
          </cell>
          <cell r="H166">
            <v>0.73599999999999999</v>
          </cell>
          <cell r="I166">
            <v>0.24299999999999999</v>
          </cell>
          <cell r="J166">
            <v>1.228</v>
          </cell>
          <cell r="K166">
            <v>0.54190000000000005</v>
          </cell>
          <cell r="N166">
            <v>0.73599999999999999</v>
          </cell>
          <cell r="O166">
            <v>0.24299999999999999</v>
          </cell>
          <cell r="P166">
            <v>1.228</v>
          </cell>
          <cell r="Q166">
            <v>0.35199999999999998</v>
          </cell>
          <cell r="R166">
            <v>0.51400000000000001</v>
          </cell>
          <cell r="S166">
            <v>-1.75</v>
          </cell>
          <cell r="U166">
            <v>0.44800000000000001</v>
          </cell>
          <cell r="W166">
            <v>-0.73299999999999998</v>
          </cell>
          <cell r="X166">
            <v>-0.49</v>
          </cell>
          <cell r="AA166">
            <v>0.53300000000000003</v>
          </cell>
          <cell r="AB166">
            <v>-0.40050000000000002</v>
          </cell>
          <cell r="AC166">
            <v>1.3105</v>
          </cell>
          <cell r="AF166">
            <v>0.53300000000000003</v>
          </cell>
          <cell r="AG166">
            <v>1.0134000000000001</v>
          </cell>
          <cell r="AK166">
            <v>0.6</v>
          </cell>
          <cell r="AN166">
            <v>0.4</v>
          </cell>
          <cell r="AO166">
            <v>0</v>
          </cell>
          <cell r="AP166">
            <v>0</v>
          </cell>
          <cell r="AR166">
            <v>1</v>
          </cell>
          <cell r="AS166">
            <v>-1.7883999999999998</v>
          </cell>
          <cell r="AT166">
            <v>-1.7883999999999998</v>
          </cell>
        </row>
        <row r="167">
          <cell r="A167">
            <v>32598</v>
          </cell>
          <cell r="B167">
            <v>2.3329</v>
          </cell>
          <cell r="C167">
            <v>2.0802999999999998</v>
          </cell>
          <cell r="D167">
            <v>2.64</v>
          </cell>
          <cell r="E167">
            <v>2.2214999999999998</v>
          </cell>
          <cell r="H167">
            <v>2.3530000000000002</v>
          </cell>
          <cell r="I167">
            <v>2.7759999999999998</v>
          </cell>
          <cell r="J167">
            <v>1.9339999999999999</v>
          </cell>
          <cell r="K167">
            <v>1.7393000000000001</v>
          </cell>
          <cell r="N167">
            <v>2.3530000000000002</v>
          </cell>
          <cell r="O167">
            <v>2.7759999999999998</v>
          </cell>
          <cell r="P167">
            <v>1.9339999999999999</v>
          </cell>
          <cell r="Q167">
            <v>2.0160999999999998</v>
          </cell>
          <cell r="R167">
            <v>1.895</v>
          </cell>
          <cell r="S167">
            <v>2.2799999999999998</v>
          </cell>
          <cell r="U167">
            <v>-1.712</v>
          </cell>
          <cell r="W167">
            <v>0.438</v>
          </cell>
          <cell r="X167">
            <v>0.33</v>
          </cell>
          <cell r="AA167">
            <v>-1.9430000000000001</v>
          </cell>
          <cell r="AB167">
            <v>-2.0783999999999998</v>
          </cell>
          <cell r="AC167">
            <v>-1.8779999999999999</v>
          </cell>
          <cell r="AF167">
            <v>-1.9430000000000001</v>
          </cell>
          <cell r="AG167">
            <v>1.0134000000000001</v>
          </cell>
          <cell r="AK167">
            <v>0.6</v>
          </cell>
          <cell r="AN167">
            <v>0.4</v>
          </cell>
          <cell r="AO167">
            <v>0</v>
          </cell>
          <cell r="AP167">
            <v>0</v>
          </cell>
          <cell r="AR167">
            <v>1</v>
          </cell>
          <cell r="AS167">
            <v>1.57494</v>
          </cell>
          <cell r="AT167">
            <v>1.57494</v>
          </cell>
        </row>
        <row r="168">
          <cell r="A168">
            <v>32628</v>
          </cell>
          <cell r="B168">
            <v>5.1920999999999999</v>
          </cell>
          <cell r="C168">
            <v>5.4198000000000004</v>
          </cell>
          <cell r="D168">
            <v>4.8</v>
          </cell>
          <cell r="E168">
            <v>5.4111000000000002</v>
          </cell>
          <cell r="H168">
            <v>4.3600000000000003</v>
          </cell>
          <cell r="I168">
            <v>4.9850000000000003</v>
          </cell>
          <cell r="J168">
            <v>3.7320000000000002</v>
          </cell>
          <cell r="K168">
            <v>4.8140999999999998</v>
          </cell>
          <cell r="N168">
            <v>4.3600000000000003</v>
          </cell>
          <cell r="O168">
            <v>4.9850000000000003</v>
          </cell>
          <cell r="P168">
            <v>3.7320000000000002</v>
          </cell>
          <cell r="Q168">
            <v>5.4348999999999998</v>
          </cell>
          <cell r="R168">
            <v>4.7469999999999999</v>
          </cell>
          <cell r="S168">
            <v>5.0069999999999997</v>
          </cell>
          <cell r="U168">
            <v>1.266</v>
          </cell>
          <cell r="W168">
            <v>2.0960000000000001</v>
          </cell>
          <cell r="X168">
            <v>2.0099999999999998</v>
          </cell>
          <cell r="AA168">
            <v>0.94699999999999995</v>
          </cell>
          <cell r="AB168">
            <v>0.2868</v>
          </cell>
          <cell r="AC168">
            <v>1.6897</v>
          </cell>
          <cell r="AF168">
            <v>0.94699999999999995</v>
          </cell>
          <cell r="AG168">
            <v>0.58009999999999995</v>
          </cell>
          <cell r="AK168">
            <v>0.6</v>
          </cell>
          <cell r="AN168">
            <v>0.4</v>
          </cell>
          <cell r="AO168">
            <v>0</v>
          </cell>
          <cell r="AP168">
            <v>0</v>
          </cell>
          <cell r="AR168">
            <v>1</v>
          </cell>
          <cell r="AS168">
            <v>3.9536599999999997</v>
          </cell>
          <cell r="AT168">
            <v>3.9536599999999997</v>
          </cell>
        </row>
        <row r="169">
          <cell r="A169">
            <v>32659</v>
          </cell>
          <cell r="B169">
            <v>4.0457999999999998</v>
          </cell>
          <cell r="C169">
            <v>4.2897999999999996</v>
          </cell>
          <cell r="D169">
            <v>3.79</v>
          </cell>
          <cell r="E169">
            <v>4.8273000000000001</v>
          </cell>
          <cell r="H169">
            <v>4.3010000000000002</v>
          </cell>
          <cell r="I169">
            <v>4.79</v>
          </cell>
          <cell r="J169">
            <v>3.8</v>
          </cell>
          <cell r="K169">
            <v>3.7423999999999999</v>
          </cell>
          <cell r="N169">
            <v>4.3010000000000002</v>
          </cell>
          <cell r="O169">
            <v>4.79</v>
          </cell>
          <cell r="P169">
            <v>3.8</v>
          </cell>
          <cell r="Q169">
            <v>5.1197999999999997</v>
          </cell>
          <cell r="R169">
            <v>4.343</v>
          </cell>
          <cell r="S169">
            <v>4.2670000000000003</v>
          </cell>
          <cell r="U169">
            <v>-5.101</v>
          </cell>
          <cell r="W169">
            <v>2.6280000000000001</v>
          </cell>
          <cell r="X169">
            <v>2.36</v>
          </cell>
          <cell r="AA169">
            <v>-5.423</v>
          </cell>
          <cell r="AB169">
            <v>-6.4023000000000003</v>
          </cell>
          <cell r="AC169">
            <v>-4.4645999999999999</v>
          </cell>
          <cell r="AF169">
            <v>-5.423</v>
          </cell>
          <cell r="AG169">
            <v>0.58009999999999995</v>
          </cell>
          <cell r="AK169">
            <v>0.6</v>
          </cell>
          <cell r="AN169">
            <v>0.4</v>
          </cell>
          <cell r="AO169">
            <v>0</v>
          </cell>
          <cell r="AP169">
            <v>0</v>
          </cell>
          <cell r="AR169">
            <v>1</v>
          </cell>
          <cell r="AS169">
            <v>3.4786799999999998</v>
          </cell>
          <cell r="AT169">
            <v>3.4786799999999998</v>
          </cell>
        </row>
        <row r="170">
          <cell r="A170">
            <v>32689</v>
          </cell>
          <cell r="B170">
            <v>-0.56720000000000004</v>
          </cell>
          <cell r="C170">
            <v>-0.73</v>
          </cell>
          <cell r="D170">
            <v>-0.36</v>
          </cell>
          <cell r="E170">
            <v>-0.44529999999999997</v>
          </cell>
          <cell r="H170">
            <v>-2.2799999999999998</v>
          </cell>
          <cell r="I170">
            <v>-3.22</v>
          </cell>
          <cell r="J170">
            <v>-1.3049999999999999</v>
          </cell>
          <cell r="K170">
            <v>-1.1866000000000001</v>
          </cell>
          <cell r="N170">
            <v>-2.2799999999999998</v>
          </cell>
          <cell r="O170">
            <v>-3.22</v>
          </cell>
          <cell r="P170">
            <v>-1.3049999999999999</v>
          </cell>
          <cell r="Q170">
            <v>-2.5041000000000002</v>
          </cell>
          <cell r="R170">
            <v>-1.5609999999999999</v>
          </cell>
          <cell r="S170">
            <v>-0.66700000000000004</v>
          </cell>
          <cell r="U170">
            <v>-1.875</v>
          </cell>
          <cell r="W170">
            <v>3.0449999999999999</v>
          </cell>
          <cell r="X170">
            <v>2.5</v>
          </cell>
          <cell r="AA170">
            <v>-1.661</v>
          </cell>
          <cell r="AB170">
            <v>-2.1052</v>
          </cell>
          <cell r="AC170">
            <v>-1.2425999999999999</v>
          </cell>
          <cell r="AF170">
            <v>-1.661</v>
          </cell>
          <cell r="AG170">
            <v>0.58009999999999995</v>
          </cell>
          <cell r="AK170">
            <v>0.6</v>
          </cell>
          <cell r="AN170">
            <v>0.4</v>
          </cell>
          <cell r="AO170">
            <v>0</v>
          </cell>
          <cell r="AP170">
            <v>0</v>
          </cell>
          <cell r="AR170">
            <v>1</v>
          </cell>
          <cell r="AS170">
            <v>0.87768000000000002</v>
          </cell>
          <cell r="AT170">
            <v>0.87768000000000002</v>
          </cell>
        </row>
        <row r="171">
          <cell r="A171">
            <v>32720</v>
          </cell>
          <cell r="B171">
            <v>9.0289999999999999</v>
          </cell>
          <cell r="C171">
            <v>10.8802</v>
          </cell>
          <cell r="D171">
            <v>6.9</v>
          </cell>
          <cell r="E171">
            <v>5.9398999999999997</v>
          </cell>
          <cell r="H171">
            <v>3.891</v>
          </cell>
          <cell r="I171">
            <v>4.6870000000000003</v>
          </cell>
          <cell r="J171">
            <v>3.109</v>
          </cell>
          <cell r="K171">
            <v>3.3873000000000002</v>
          </cell>
          <cell r="N171">
            <v>3.891</v>
          </cell>
          <cell r="O171">
            <v>4.6870000000000003</v>
          </cell>
          <cell r="P171">
            <v>3.109</v>
          </cell>
          <cell r="Q171">
            <v>5.7408000000000001</v>
          </cell>
          <cell r="R171">
            <v>4.6950000000000003</v>
          </cell>
          <cell r="S171">
            <v>8.0449999999999999</v>
          </cell>
          <cell r="U171">
            <v>12.327999999999999</v>
          </cell>
          <cell r="W171">
            <v>2.1259999999999999</v>
          </cell>
          <cell r="X171">
            <v>2.12</v>
          </cell>
          <cell r="AA171">
            <v>12.577999999999999</v>
          </cell>
          <cell r="AB171">
            <v>13.4802</v>
          </cell>
          <cell r="AC171">
            <v>11.712300000000001</v>
          </cell>
          <cell r="AF171">
            <v>12.577999999999999</v>
          </cell>
          <cell r="AG171">
            <v>0.6623</v>
          </cell>
          <cell r="AK171">
            <v>0.6</v>
          </cell>
          <cell r="AN171">
            <v>0.4</v>
          </cell>
          <cell r="AO171">
            <v>0</v>
          </cell>
          <cell r="AP171">
            <v>0</v>
          </cell>
          <cell r="AR171">
            <v>1</v>
          </cell>
          <cell r="AS171">
            <v>6.2677999999999994</v>
          </cell>
          <cell r="AT171">
            <v>6.2677999999999994</v>
          </cell>
        </row>
        <row r="172">
          <cell r="A172">
            <v>32751</v>
          </cell>
          <cell r="B172">
            <v>1.9550000000000001</v>
          </cell>
          <cell r="C172">
            <v>1.5201</v>
          </cell>
          <cell r="D172">
            <v>2.2000000000000002</v>
          </cell>
          <cell r="E172">
            <v>3.5520999999999998</v>
          </cell>
          <cell r="H172">
            <v>2.4340000000000002</v>
          </cell>
          <cell r="I172">
            <v>2.875</v>
          </cell>
          <cell r="J172">
            <v>1.9970000000000001</v>
          </cell>
          <cell r="K172">
            <v>2.1234999999999999</v>
          </cell>
          <cell r="N172">
            <v>2.4340000000000002</v>
          </cell>
          <cell r="O172">
            <v>2.875</v>
          </cell>
          <cell r="P172">
            <v>1.9970000000000001</v>
          </cell>
          <cell r="Q172">
            <v>2.9403000000000001</v>
          </cell>
          <cell r="R172">
            <v>3</v>
          </cell>
          <cell r="S172">
            <v>2.093</v>
          </cell>
          <cell r="U172">
            <v>-4.1529999999999996</v>
          </cell>
          <cell r="W172">
            <v>-1.482</v>
          </cell>
          <cell r="X172">
            <v>-1.29</v>
          </cell>
          <cell r="AA172">
            <v>-4.4790000000000001</v>
          </cell>
          <cell r="AB172">
            <v>-4.8285999999999998</v>
          </cell>
          <cell r="AC172">
            <v>-4.1456999999999997</v>
          </cell>
          <cell r="AF172">
            <v>-4.4790000000000001</v>
          </cell>
          <cell r="AG172">
            <v>0.6623</v>
          </cell>
          <cell r="AK172">
            <v>0.6</v>
          </cell>
          <cell r="AN172">
            <v>0.4</v>
          </cell>
          <cell r="AO172">
            <v>0</v>
          </cell>
          <cell r="AP172">
            <v>0</v>
          </cell>
          <cell r="AR172">
            <v>1</v>
          </cell>
          <cell r="AS172">
            <v>0.58020000000000005</v>
          </cell>
          <cell r="AT172">
            <v>0.58020000000000005</v>
          </cell>
        </row>
        <row r="173">
          <cell r="A173">
            <v>32781</v>
          </cell>
          <cell r="B173">
            <v>-0.40579999999999999</v>
          </cell>
          <cell r="C173">
            <v>0.25</v>
          </cell>
          <cell r="D173">
            <v>-1.07</v>
          </cell>
          <cell r="E173">
            <v>1.1028</v>
          </cell>
          <cell r="H173">
            <v>0.312</v>
          </cell>
          <cell r="I173">
            <v>1.149</v>
          </cell>
          <cell r="J173">
            <v>-0.52</v>
          </cell>
          <cell r="K173">
            <v>5.3699999999999998E-2</v>
          </cell>
          <cell r="N173">
            <v>0.312</v>
          </cell>
          <cell r="O173">
            <v>1.149</v>
          </cell>
          <cell r="P173">
            <v>-0.52</v>
          </cell>
          <cell r="Q173">
            <v>0.63229999999999997</v>
          </cell>
          <cell r="R173">
            <v>-0.49299999999999999</v>
          </cell>
          <cell r="S173">
            <v>-0.216</v>
          </cell>
          <cell r="U173">
            <v>4.6150000000000002</v>
          </cell>
          <cell r="W173">
            <v>0.51200000000000001</v>
          </cell>
          <cell r="X173">
            <v>0.55000000000000004</v>
          </cell>
          <cell r="AA173">
            <v>4.5739999999999998</v>
          </cell>
          <cell r="AB173">
            <v>4.1508000000000003</v>
          </cell>
          <cell r="AC173">
            <v>5.0095000000000001</v>
          </cell>
          <cell r="AF173">
            <v>4.5739999999999998</v>
          </cell>
          <cell r="AG173">
            <v>0.6623</v>
          </cell>
          <cell r="AK173">
            <v>0.6</v>
          </cell>
          <cell r="AN173">
            <v>0.4</v>
          </cell>
          <cell r="AO173">
            <v>0</v>
          </cell>
          <cell r="AP173">
            <v>0</v>
          </cell>
          <cell r="AR173">
            <v>1</v>
          </cell>
          <cell r="AS173">
            <v>-3.8679999999999964E-2</v>
          </cell>
          <cell r="AT173">
            <v>-3.8679999999999964E-2</v>
          </cell>
        </row>
        <row r="174">
          <cell r="A174">
            <v>32812</v>
          </cell>
          <cell r="B174">
            <v>-2.3220000000000001</v>
          </cell>
          <cell r="C174">
            <v>-1.5001</v>
          </cell>
          <cell r="D174">
            <v>-3.23</v>
          </cell>
          <cell r="E174">
            <v>-4.2049000000000003</v>
          </cell>
          <cell r="H174">
            <v>-5.9269999999999996</v>
          </cell>
          <cell r="I174">
            <v>-5.4720000000000004</v>
          </cell>
          <cell r="J174">
            <v>-6.39</v>
          </cell>
          <cell r="K174">
            <v>-5.9581</v>
          </cell>
          <cell r="N174">
            <v>-5.9269999999999996</v>
          </cell>
          <cell r="O174">
            <v>-5.4720000000000004</v>
          </cell>
          <cell r="P174">
            <v>-6.39</v>
          </cell>
          <cell r="Q174">
            <v>-4.4198000000000004</v>
          </cell>
          <cell r="R174">
            <v>-5.1950000000000003</v>
          </cell>
          <cell r="S174">
            <v>-2.9129999999999998</v>
          </cell>
          <cell r="U174">
            <v>-3.6619999999999999</v>
          </cell>
          <cell r="W174">
            <v>2.4649999999999999</v>
          </cell>
          <cell r="X174">
            <v>2.1800000000000002</v>
          </cell>
          <cell r="AA174">
            <v>-3.9980000000000002</v>
          </cell>
          <cell r="AB174">
            <v>-4.1085000000000003</v>
          </cell>
          <cell r="AC174">
            <v>-3.879</v>
          </cell>
          <cell r="AF174">
            <v>-3.9980000000000002</v>
          </cell>
          <cell r="AG174">
            <v>0.67720000000000002</v>
          </cell>
          <cell r="AK174">
            <v>0.6</v>
          </cell>
          <cell r="AN174">
            <v>0.4</v>
          </cell>
          <cell r="AO174">
            <v>0</v>
          </cell>
          <cell r="AP174">
            <v>0</v>
          </cell>
          <cell r="AR174">
            <v>1</v>
          </cell>
          <cell r="AS174">
            <v>-0.40720000000000001</v>
          </cell>
          <cell r="AT174">
            <v>-0.40720000000000001</v>
          </cell>
        </row>
        <row r="175">
          <cell r="A175">
            <v>32842</v>
          </cell>
          <cell r="B175">
            <v>2.0394000000000001</v>
          </cell>
          <cell r="C175">
            <v>3.12</v>
          </cell>
          <cell r="D175">
            <v>0.89</v>
          </cell>
          <cell r="E175">
            <v>2.2086999999999999</v>
          </cell>
          <cell r="H175">
            <v>0.63800000000000001</v>
          </cell>
          <cell r="I175">
            <v>0.88700000000000001</v>
          </cell>
          <cell r="J175">
            <v>0.38500000000000001</v>
          </cell>
          <cell r="K175">
            <v>0.94720000000000004</v>
          </cell>
          <cell r="N175">
            <v>0.63800000000000001</v>
          </cell>
          <cell r="O175">
            <v>0.88700000000000001</v>
          </cell>
          <cell r="P175">
            <v>0.38500000000000001</v>
          </cell>
          <cell r="Q175">
            <v>1.1936</v>
          </cell>
          <cell r="R175">
            <v>0.79100000000000004</v>
          </cell>
          <cell r="S175">
            <v>1.7929999999999999</v>
          </cell>
          <cell r="U175">
            <v>4.8079999999999998</v>
          </cell>
          <cell r="W175">
            <v>0.95299999999999996</v>
          </cell>
          <cell r="X175">
            <v>1</v>
          </cell>
          <cell r="AA175">
            <v>5.0469999999999997</v>
          </cell>
          <cell r="AB175">
            <v>5.7504999999999997</v>
          </cell>
          <cell r="AC175">
            <v>4.5099</v>
          </cell>
          <cell r="AF175">
            <v>5.0469999999999997</v>
          </cell>
          <cell r="AG175">
            <v>0.67720000000000002</v>
          </cell>
          <cell r="AK175">
            <v>0.6</v>
          </cell>
          <cell r="AN175">
            <v>0.4</v>
          </cell>
          <cell r="AO175">
            <v>0</v>
          </cell>
          <cell r="AP175">
            <v>0</v>
          </cell>
          <cell r="AR175">
            <v>1</v>
          </cell>
          <cell r="AS175">
            <v>1.60484</v>
          </cell>
          <cell r="AT175">
            <v>1.60484</v>
          </cell>
        </row>
        <row r="176">
          <cell r="A176">
            <v>32873</v>
          </cell>
          <cell r="B176">
            <v>2.4015</v>
          </cell>
          <cell r="C176">
            <v>2.39</v>
          </cell>
          <cell r="D176">
            <v>2.3199999999999998</v>
          </cell>
          <cell r="E176">
            <v>3.5720999999999998</v>
          </cell>
          <cell r="H176">
            <v>0.39900000000000002</v>
          </cell>
          <cell r="I176">
            <v>1.1339999999999999</v>
          </cell>
          <cell r="J176">
            <v>-0.34799999999999998</v>
          </cell>
          <cell r="K176">
            <v>0.73440000000000005</v>
          </cell>
          <cell r="N176">
            <v>0.39900000000000002</v>
          </cell>
          <cell r="O176">
            <v>1.1339999999999999</v>
          </cell>
          <cell r="P176">
            <v>-0.34799999999999998</v>
          </cell>
          <cell r="Q176">
            <v>1.0394000000000001</v>
          </cell>
          <cell r="R176">
            <v>0.495</v>
          </cell>
          <cell r="S176">
            <v>1.923</v>
          </cell>
          <cell r="U176">
            <v>3.754</v>
          </cell>
          <cell r="W176">
            <v>0.26800000000000002</v>
          </cell>
          <cell r="X176">
            <v>0.39</v>
          </cell>
          <cell r="AA176">
            <v>3.714</v>
          </cell>
          <cell r="AB176">
            <v>3.1402999999999999</v>
          </cell>
          <cell r="AC176">
            <v>4.2343000000000002</v>
          </cell>
          <cell r="AF176">
            <v>3.714</v>
          </cell>
          <cell r="AG176">
            <v>0.67720000000000002</v>
          </cell>
          <cell r="AK176">
            <v>0.6</v>
          </cell>
          <cell r="AN176">
            <v>0.4</v>
          </cell>
          <cell r="AO176">
            <v>0</v>
          </cell>
          <cell r="AP176">
            <v>0</v>
          </cell>
          <cell r="AR176">
            <v>1</v>
          </cell>
          <cell r="AS176">
            <v>1.5480999999999998</v>
          </cell>
          <cell r="AT176">
            <v>1.5480999999999998</v>
          </cell>
        </row>
        <row r="177">
          <cell r="A177">
            <v>32904</v>
          </cell>
          <cell r="B177">
            <v>-6.7135999999999996</v>
          </cell>
          <cell r="C177">
            <v>-7.47</v>
          </cell>
          <cell r="D177">
            <v>-5.87</v>
          </cell>
          <cell r="E177">
            <v>-8.4573999999999998</v>
          </cell>
          <cell r="H177">
            <v>-8.734</v>
          </cell>
          <cell r="I177">
            <v>-10.321999999999999</v>
          </cell>
          <cell r="J177">
            <v>-7.0880000000000001</v>
          </cell>
          <cell r="K177">
            <v>-9.2177000000000007</v>
          </cell>
          <cell r="N177">
            <v>-8.734</v>
          </cell>
          <cell r="O177">
            <v>-10.321999999999999</v>
          </cell>
          <cell r="P177">
            <v>-7.0880000000000001</v>
          </cell>
          <cell r="Q177">
            <v>-9.9884000000000004</v>
          </cell>
          <cell r="R177">
            <v>-8.3390000000000004</v>
          </cell>
          <cell r="S177">
            <v>-7.25</v>
          </cell>
          <cell r="U177">
            <v>-3.75</v>
          </cell>
          <cell r="W177">
            <v>-1.1879999999999999</v>
          </cell>
          <cell r="X177">
            <v>-0.66</v>
          </cell>
          <cell r="AA177">
            <v>-3.7010000000000001</v>
          </cell>
          <cell r="AB177">
            <v>-4.4600999999999997</v>
          </cell>
          <cell r="AC177">
            <v>-2.8612000000000002</v>
          </cell>
          <cell r="AF177">
            <v>-3.7010000000000001</v>
          </cell>
          <cell r="AG177">
            <v>0.58069999999999999</v>
          </cell>
          <cell r="AK177">
            <v>0.6</v>
          </cell>
          <cell r="AN177">
            <v>0.4</v>
          </cell>
          <cell r="AO177">
            <v>0</v>
          </cell>
          <cell r="AP177">
            <v>0</v>
          </cell>
          <cell r="AR177">
            <v>1</v>
          </cell>
          <cell r="AS177">
            <v>-4.5033599999999998</v>
          </cell>
          <cell r="AT177">
            <v>-4.5033599999999998</v>
          </cell>
        </row>
        <row r="178">
          <cell r="A178">
            <v>32932</v>
          </cell>
          <cell r="B178">
            <v>1.288</v>
          </cell>
          <cell r="C178">
            <v>0.57999999999999996</v>
          </cell>
          <cell r="D178">
            <v>2.0299999999999998</v>
          </cell>
          <cell r="E178">
            <v>3.5918999999999999</v>
          </cell>
          <cell r="H178">
            <v>3.1030000000000002</v>
          </cell>
          <cell r="I178">
            <v>3.7909999999999999</v>
          </cell>
          <cell r="J178">
            <v>2.4049999999999998</v>
          </cell>
          <cell r="K178">
            <v>2.4641999999999999</v>
          </cell>
          <cell r="N178">
            <v>3.1030000000000002</v>
          </cell>
          <cell r="O178">
            <v>3.7909999999999999</v>
          </cell>
          <cell r="P178">
            <v>2.4049999999999998</v>
          </cell>
          <cell r="Q178">
            <v>3.0089999999999999</v>
          </cell>
          <cell r="R178">
            <v>2.8010000000000002</v>
          </cell>
          <cell r="S178">
            <v>1.7190000000000001</v>
          </cell>
          <cell r="U178">
            <v>-6.6429999999999998</v>
          </cell>
          <cell r="W178">
            <v>0.32100000000000001</v>
          </cell>
          <cell r="X178">
            <v>0.45</v>
          </cell>
          <cell r="AA178">
            <v>-6.9580000000000002</v>
          </cell>
          <cell r="AB178">
            <v>-7.8753000000000002</v>
          </cell>
          <cell r="AC178">
            <v>-6.1787999999999998</v>
          </cell>
          <cell r="AF178">
            <v>-6.9580000000000002</v>
          </cell>
          <cell r="AG178">
            <v>0.58069999999999999</v>
          </cell>
          <cell r="AK178">
            <v>0.6</v>
          </cell>
          <cell r="AN178">
            <v>0.4</v>
          </cell>
          <cell r="AO178">
            <v>0</v>
          </cell>
          <cell r="AP178">
            <v>0</v>
          </cell>
          <cell r="AR178">
            <v>1</v>
          </cell>
          <cell r="AS178">
            <v>0.9012</v>
          </cell>
          <cell r="AT178">
            <v>0.9012</v>
          </cell>
        </row>
        <row r="179">
          <cell r="A179">
            <v>32963</v>
          </cell>
          <cell r="B179">
            <v>2.6497999999999999</v>
          </cell>
          <cell r="C179">
            <v>3.9902000000000002</v>
          </cell>
          <cell r="D179">
            <v>1.19</v>
          </cell>
          <cell r="E179">
            <v>2.1625000000000001</v>
          </cell>
          <cell r="H179">
            <v>3.9220000000000002</v>
          </cell>
          <cell r="I179">
            <v>4.5830000000000002</v>
          </cell>
          <cell r="J179">
            <v>3.2389999999999999</v>
          </cell>
          <cell r="K179">
            <v>3.1074999999999999</v>
          </cell>
          <cell r="N179">
            <v>3.9220000000000002</v>
          </cell>
          <cell r="O179">
            <v>4.5830000000000002</v>
          </cell>
          <cell r="P179">
            <v>3.2389999999999999</v>
          </cell>
          <cell r="Q179">
            <v>4.7484000000000002</v>
          </cell>
          <cell r="R179">
            <v>3.1749999999999998</v>
          </cell>
          <cell r="S179">
            <v>2.5840000000000001</v>
          </cell>
          <cell r="U179">
            <v>-10.137</v>
          </cell>
          <cell r="W179">
            <v>7.3999999999999996E-2</v>
          </cell>
          <cell r="X179">
            <v>0.17</v>
          </cell>
          <cell r="AA179">
            <v>-10.397</v>
          </cell>
          <cell r="AB179">
            <v>-11.509499999999999</v>
          </cell>
          <cell r="AC179">
            <v>-9.1021000000000001</v>
          </cell>
          <cell r="AF179">
            <v>-10.397</v>
          </cell>
          <cell r="AG179">
            <v>0.58069999999999999</v>
          </cell>
          <cell r="AK179">
            <v>0.6</v>
          </cell>
          <cell r="AN179">
            <v>0.4</v>
          </cell>
          <cell r="AO179">
            <v>0</v>
          </cell>
          <cell r="AP179">
            <v>0</v>
          </cell>
          <cell r="AR179">
            <v>1</v>
          </cell>
          <cell r="AS179">
            <v>1.61948</v>
          </cell>
          <cell r="AT179">
            <v>1.61948</v>
          </cell>
        </row>
        <row r="180">
          <cell r="A180">
            <v>32993</v>
          </cell>
          <cell r="B180">
            <v>-2.4946999999999999</v>
          </cell>
          <cell r="C180">
            <v>-1.62</v>
          </cell>
          <cell r="D180">
            <v>-3.4</v>
          </cell>
          <cell r="E180">
            <v>-3.8818000000000001</v>
          </cell>
          <cell r="H180">
            <v>-3.2679999999999998</v>
          </cell>
          <cell r="I180">
            <v>-2.9670000000000001</v>
          </cell>
          <cell r="J180">
            <v>-3.5859999999999999</v>
          </cell>
          <cell r="K180">
            <v>-4.1576000000000004</v>
          </cell>
          <cell r="N180">
            <v>-3.2679999999999998</v>
          </cell>
          <cell r="O180">
            <v>-2.9670000000000001</v>
          </cell>
          <cell r="P180">
            <v>-3.5859999999999999</v>
          </cell>
          <cell r="Q180">
            <v>-2.5461999999999998</v>
          </cell>
          <cell r="R180">
            <v>-3.6840000000000002</v>
          </cell>
          <cell r="S180">
            <v>-2.641</v>
          </cell>
          <cell r="U180">
            <v>-0.84799999999999998</v>
          </cell>
          <cell r="W180">
            <v>-0.91600000000000004</v>
          </cell>
          <cell r="X180">
            <v>-0.55000000000000004</v>
          </cell>
          <cell r="AA180">
            <v>-0.76700000000000002</v>
          </cell>
          <cell r="AB180">
            <v>-1.1229</v>
          </cell>
          <cell r="AC180">
            <v>-0.4874</v>
          </cell>
          <cell r="AF180">
            <v>-0.76700000000000002</v>
          </cell>
          <cell r="AG180">
            <v>0.45700000000000002</v>
          </cell>
          <cell r="AK180">
            <v>0.6</v>
          </cell>
          <cell r="AN180">
            <v>0.4</v>
          </cell>
          <cell r="AO180">
            <v>0</v>
          </cell>
          <cell r="AP180">
            <v>0</v>
          </cell>
          <cell r="AR180">
            <v>1</v>
          </cell>
          <cell r="AS180">
            <v>-1.8632199999999999</v>
          </cell>
          <cell r="AT180">
            <v>-1.8632199999999999</v>
          </cell>
        </row>
        <row r="181">
          <cell r="A181">
            <v>33024</v>
          </cell>
          <cell r="B181">
            <v>9.7505000000000006</v>
          </cell>
          <cell r="C181">
            <v>11.319800000000001</v>
          </cell>
          <cell r="D181">
            <v>7.96</v>
          </cell>
          <cell r="E181">
            <v>9.7622</v>
          </cell>
          <cell r="H181">
            <v>7.0830000000000002</v>
          </cell>
          <cell r="I181">
            <v>8.9149999999999991</v>
          </cell>
          <cell r="J181">
            <v>5.125</v>
          </cell>
          <cell r="K181">
            <v>7.0559000000000003</v>
          </cell>
          <cell r="N181">
            <v>7.0830000000000002</v>
          </cell>
          <cell r="O181">
            <v>8.9149999999999991</v>
          </cell>
          <cell r="P181">
            <v>5.125</v>
          </cell>
          <cell r="Q181">
            <v>9.4292999999999996</v>
          </cell>
          <cell r="R181">
            <v>7.9029999999999996</v>
          </cell>
          <cell r="S181">
            <v>9.2070000000000007</v>
          </cell>
          <cell r="U181">
            <v>11.066000000000001</v>
          </cell>
          <cell r="W181">
            <v>2.9609999999999999</v>
          </cell>
          <cell r="X181">
            <v>2.5299999999999998</v>
          </cell>
          <cell r="AA181">
            <v>11.441000000000001</v>
          </cell>
          <cell r="AB181">
            <v>12.5693</v>
          </cell>
          <cell r="AC181">
            <v>10.4139</v>
          </cell>
          <cell r="AF181">
            <v>11.441000000000001</v>
          </cell>
          <cell r="AG181">
            <v>0.45700000000000002</v>
          </cell>
          <cell r="AK181">
            <v>0.6</v>
          </cell>
          <cell r="AN181">
            <v>0.4</v>
          </cell>
          <cell r="AO181">
            <v>0</v>
          </cell>
          <cell r="AP181">
            <v>0</v>
          </cell>
          <cell r="AR181">
            <v>1</v>
          </cell>
          <cell r="AS181">
            <v>7.0347</v>
          </cell>
          <cell r="AT181">
            <v>7.0347</v>
          </cell>
        </row>
        <row r="182">
          <cell r="A182">
            <v>33054</v>
          </cell>
          <cell r="B182">
            <v>-0.67459999999999998</v>
          </cell>
          <cell r="C182">
            <v>0.33</v>
          </cell>
          <cell r="D182">
            <v>-1.89</v>
          </cell>
          <cell r="E182">
            <v>0.41070000000000001</v>
          </cell>
          <cell r="H182">
            <v>0.26400000000000001</v>
          </cell>
          <cell r="I182">
            <v>0.59299999999999997</v>
          </cell>
          <cell r="J182">
            <v>-0.10100000000000001</v>
          </cell>
          <cell r="K182">
            <v>-7.3599999999999999E-2</v>
          </cell>
          <cell r="N182">
            <v>0.26400000000000001</v>
          </cell>
          <cell r="O182">
            <v>0.59299999999999997</v>
          </cell>
          <cell r="P182">
            <v>-0.10100000000000001</v>
          </cell>
          <cell r="Q182">
            <v>0.74529999999999996</v>
          </cell>
          <cell r="R182">
            <v>5.0000000000000001E-3</v>
          </cell>
          <cell r="S182">
            <v>-0.496</v>
          </cell>
          <cell r="U182">
            <v>-0.82599999999999996</v>
          </cell>
          <cell r="W182">
            <v>1.605</v>
          </cell>
          <cell r="X182">
            <v>1.43</v>
          </cell>
          <cell r="AA182">
            <v>-0.85699999999999998</v>
          </cell>
          <cell r="AB182">
            <v>-1.4779</v>
          </cell>
          <cell r="AC182">
            <v>-0.22</v>
          </cell>
          <cell r="AF182">
            <v>-0.85699999999999998</v>
          </cell>
          <cell r="AG182">
            <v>0.45700000000000002</v>
          </cell>
          <cell r="AK182">
            <v>0.6</v>
          </cell>
          <cell r="AN182">
            <v>0.4</v>
          </cell>
          <cell r="AO182">
            <v>0</v>
          </cell>
          <cell r="AP182">
            <v>0</v>
          </cell>
          <cell r="AR182">
            <v>1</v>
          </cell>
          <cell r="AS182">
            <v>0.23724000000000006</v>
          </cell>
          <cell r="AT182">
            <v>0.23724000000000006</v>
          </cell>
        </row>
        <row r="183">
          <cell r="A183">
            <v>33085</v>
          </cell>
          <cell r="B183">
            <v>-0.32069999999999999</v>
          </cell>
          <cell r="C183">
            <v>-0.62990000000000002</v>
          </cell>
          <cell r="D183">
            <v>0.01</v>
          </cell>
          <cell r="E183">
            <v>-2.2862</v>
          </cell>
          <cell r="H183">
            <v>-4.3840000000000003</v>
          </cell>
          <cell r="I183">
            <v>-4.5410000000000004</v>
          </cell>
          <cell r="J183">
            <v>-4.2240000000000002</v>
          </cell>
          <cell r="K183">
            <v>-5.2927</v>
          </cell>
          <cell r="N183">
            <v>-4.3840000000000003</v>
          </cell>
          <cell r="O183">
            <v>-4.5410000000000004</v>
          </cell>
          <cell r="P183">
            <v>-4.2240000000000002</v>
          </cell>
          <cell r="Q183">
            <v>-3.3862999999999999</v>
          </cell>
          <cell r="R183">
            <v>-3.585</v>
          </cell>
          <cell r="S183">
            <v>-1.093</v>
          </cell>
          <cell r="U183">
            <v>1.603</v>
          </cell>
          <cell r="W183">
            <v>1.383</v>
          </cell>
          <cell r="X183">
            <v>1.52</v>
          </cell>
          <cell r="AA183">
            <v>1.4339999999999999</v>
          </cell>
          <cell r="AB183">
            <v>1.1175999999999999</v>
          </cell>
          <cell r="AC183">
            <v>1.7198</v>
          </cell>
          <cell r="AF183">
            <v>1.4339999999999999</v>
          </cell>
          <cell r="AG183">
            <v>0.50339999999999996</v>
          </cell>
          <cell r="AK183">
            <v>0.6</v>
          </cell>
          <cell r="AN183">
            <v>0.4</v>
          </cell>
          <cell r="AO183">
            <v>0</v>
          </cell>
          <cell r="AP183">
            <v>0</v>
          </cell>
          <cell r="AR183">
            <v>1</v>
          </cell>
          <cell r="AS183">
            <v>0.36078000000000005</v>
          </cell>
          <cell r="AT183">
            <v>0.36078000000000005</v>
          </cell>
        </row>
        <row r="184">
          <cell r="A184">
            <v>33116</v>
          </cell>
          <cell r="B184">
            <v>-9.0389999999999997</v>
          </cell>
          <cell r="C184">
            <v>-9.2200000000000006</v>
          </cell>
          <cell r="D184">
            <v>-8.8000000000000007</v>
          </cell>
          <cell r="E184">
            <v>-10.366099999999999</v>
          </cell>
          <cell r="H184">
            <v>-13.375999999999999</v>
          </cell>
          <cell r="I184">
            <v>-14.478</v>
          </cell>
          <cell r="J184">
            <v>-12.254</v>
          </cell>
          <cell r="K184">
            <v>-12.3332</v>
          </cell>
          <cell r="N184">
            <v>-13.375999999999999</v>
          </cell>
          <cell r="O184">
            <v>-14.478</v>
          </cell>
          <cell r="P184">
            <v>-12.254</v>
          </cell>
          <cell r="Q184">
            <v>-13.7425</v>
          </cell>
          <cell r="R184">
            <v>-12.032999999999999</v>
          </cell>
          <cell r="S184">
            <v>-9.42</v>
          </cell>
          <cell r="U184">
            <v>-9.5280000000000005</v>
          </cell>
          <cell r="W184">
            <v>-1.335</v>
          </cell>
          <cell r="X184">
            <v>-0.65</v>
          </cell>
          <cell r="AA184">
            <v>-9.6839999999999993</v>
          </cell>
          <cell r="AB184">
            <v>-9.5115999999999996</v>
          </cell>
          <cell r="AC184">
            <v>-9.8516999999999992</v>
          </cell>
          <cell r="AF184">
            <v>-9.6839999999999993</v>
          </cell>
          <cell r="AG184">
            <v>0.50339999999999996</v>
          </cell>
          <cell r="AK184">
            <v>0.6</v>
          </cell>
          <cell r="AN184">
            <v>0.4</v>
          </cell>
          <cell r="AO184">
            <v>0</v>
          </cell>
          <cell r="AP184">
            <v>0</v>
          </cell>
          <cell r="AR184">
            <v>1</v>
          </cell>
          <cell r="AS184">
            <v>-5.9573999999999998</v>
          </cell>
          <cell r="AT184">
            <v>-5.9573999999999998</v>
          </cell>
        </row>
        <row r="185">
          <cell r="A185">
            <v>33146</v>
          </cell>
          <cell r="B185">
            <v>-4.8666</v>
          </cell>
          <cell r="C185">
            <v>-5.1599000000000004</v>
          </cell>
          <cell r="D185">
            <v>-4.63</v>
          </cell>
          <cell r="E185">
            <v>-6.1238999999999999</v>
          </cell>
          <cell r="H185">
            <v>-8.891</v>
          </cell>
          <cell r="I185">
            <v>-9.4730000000000008</v>
          </cell>
          <cell r="J185">
            <v>-8.3089999999999993</v>
          </cell>
          <cell r="K185">
            <v>-9.3130000000000006</v>
          </cell>
          <cell r="N185">
            <v>-8.891</v>
          </cell>
          <cell r="O185">
            <v>-9.4730000000000008</v>
          </cell>
          <cell r="P185">
            <v>-8.3089999999999993</v>
          </cell>
          <cell r="Q185">
            <v>-8.9098000000000006</v>
          </cell>
          <cell r="R185">
            <v>-8.0090000000000003</v>
          </cell>
          <cell r="S185">
            <v>-5.3129999999999997</v>
          </cell>
          <cell r="U185">
            <v>-13.33</v>
          </cell>
          <cell r="W185">
            <v>0.82699999999999996</v>
          </cell>
          <cell r="X185">
            <v>0.79</v>
          </cell>
          <cell r="AA185">
            <v>-13.907</v>
          </cell>
          <cell r="AB185">
            <v>-15.162800000000001</v>
          </cell>
          <cell r="AC185">
            <v>-12.6622</v>
          </cell>
          <cell r="AF185">
            <v>-13.907</v>
          </cell>
          <cell r="AG185">
            <v>0.50339999999999996</v>
          </cell>
          <cell r="AK185">
            <v>0.6</v>
          </cell>
          <cell r="AN185">
            <v>0.4</v>
          </cell>
          <cell r="AO185">
            <v>0</v>
          </cell>
          <cell r="AP185">
            <v>0</v>
          </cell>
          <cell r="AR185">
            <v>1</v>
          </cell>
          <cell r="AS185">
            <v>-2.5891600000000001</v>
          </cell>
          <cell r="AT185">
            <v>-2.5891600000000001</v>
          </cell>
        </row>
        <row r="186">
          <cell r="A186">
            <v>33177</v>
          </cell>
          <cell r="B186">
            <v>-0.4259</v>
          </cell>
          <cell r="C186">
            <v>0.65990000000000004</v>
          </cell>
          <cell r="D186">
            <v>-1.42</v>
          </cell>
          <cell r="E186">
            <v>-3.0461999999999998</v>
          </cell>
          <cell r="H186">
            <v>-6.1050000000000004</v>
          </cell>
          <cell r="I186">
            <v>-5.6070000000000002</v>
          </cell>
          <cell r="J186">
            <v>-6.601</v>
          </cell>
          <cell r="K186">
            <v>-7.0464000000000002</v>
          </cell>
          <cell r="N186">
            <v>-6.1050000000000004</v>
          </cell>
          <cell r="O186">
            <v>-5.6070000000000002</v>
          </cell>
          <cell r="P186">
            <v>-6.601</v>
          </cell>
          <cell r="Q186">
            <v>-4.4915000000000003</v>
          </cell>
          <cell r="R186">
            <v>-4.7530000000000001</v>
          </cell>
          <cell r="S186">
            <v>-0.78200000000000003</v>
          </cell>
          <cell r="U186">
            <v>14.355</v>
          </cell>
          <cell r="W186">
            <v>1.27</v>
          </cell>
          <cell r="X186">
            <v>1.1499999999999999</v>
          </cell>
          <cell r="AA186">
            <v>15.614000000000001</v>
          </cell>
          <cell r="AB186">
            <v>17.614999999999998</v>
          </cell>
          <cell r="AC186">
            <v>13.8141</v>
          </cell>
          <cell r="AF186">
            <v>15.614000000000001</v>
          </cell>
          <cell r="AG186">
            <v>0.27879999999999999</v>
          </cell>
          <cell r="AK186">
            <v>0.6</v>
          </cell>
          <cell r="AN186">
            <v>0.4</v>
          </cell>
          <cell r="AO186">
            <v>0</v>
          </cell>
          <cell r="AP186">
            <v>0</v>
          </cell>
          <cell r="AR186">
            <v>1</v>
          </cell>
          <cell r="AS186">
            <v>0.25246000000000002</v>
          </cell>
          <cell r="AT186">
            <v>0.25246000000000002</v>
          </cell>
        </row>
        <row r="187">
          <cell r="A187">
            <v>33207</v>
          </cell>
          <cell r="B187">
            <v>6.4640000000000004</v>
          </cell>
          <cell r="C187">
            <v>6.0399000000000003</v>
          </cell>
          <cell r="D187">
            <v>6.83</v>
          </cell>
          <cell r="E187">
            <v>9.6112000000000002</v>
          </cell>
          <cell r="H187">
            <v>7.6289999999999996</v>
          </cell>
          <cell r="I187">
            <v>9.1929999999999996</v>
          </cell>
          <cell r="J187">
            <v>6.05</v>
          </cell>
          <cell r="K187">
            <v>7.2423000000000002</v>
          </cell>
          <cell r="N187">
            <v>7.6289999999999996</v>
          </cell>
          <cell r="O187">
            <v>9.1929999999999996</v>
          </cell>
          <cell r="P187">
            <v>6.05</v>
          </cell>
          <cell r="Q187">
            <v>9.9146999999999998</v>
          </cell>
          <cell r="R187">
            <v>8.5239999999999991</v>
          </cell>
          <cell r="S187">
            <v>6.8739999999999997</v>
          </cell>
          <cell r="U187">
            <v>-5.5579999999999998</v>
          </cell>
          <cell r="W187">
            <v>2.153</v>
          </cell>
          <cell r="X187">
            <v>1.74</v>
          </cell>
          <cell r="AA187">
            <v>-5.87</v>
          </cell>
          <cell r="AB187">
            <v>-5.7525000000000004</v>
          </cell>
          <cell r="AC187">
            <v>-5.9904000000000002</v>
          </cell>
          <cell r="AF187">
            <v>-5.87</v>
          </cell>
          <cell r="AG187">
            <v>0.27879999999999999</v>
          </cell>
          <cell r="AK187">
            <v>0.6</v>
          </cell>
          <cell r="AN187">
            <v>0.4</v>
          </cell>
          <cell r="AO187">
            <v>0</v>
          </cell>
          <cell r="AP187">
            <v>0</v>
          </cell>
          <cell r="AR187">
            <v>1</v>
          </cell>
          <cell r="AS187">
            <v>4.7396000000000003</v>
          </cell>
          <cell r="AT187">
            <v>4.7396000000000003</v>
          </cell>
        </row>
        <row r="188">
          <cell r="A188">
            <v>33238</v>
          </cell>
          <cell r="B188">
            <v>2.7858000000000001</v>
          </cell>
          <cell r="C188">
            <v>3.1800999999999999</v>
          </cell>
          <cell r="D188">
            <v>2.2599999999999998</v>
          </cell>
          <cell r="E188">
            <v>5.8053999999999997</v>
          </cell>
          <cell r="H188">
            <v>3.927</v>
          </cell>
          <cell r="I188">
            <v>4.7699999999999996</v>
          </cell>
          <cell r="J188">
            <v>3.048</v>
          </cell>
          <cell r="K188">
            <v>3.3932000000000002</v>
          </cell>
          <cell r="N188">
            <v>3.927</v>
          </cell>
          <cell r="O188">
            <v>4.7699999999999996</v>
          </cell>
          <cell r="P188">
            <v>3.048</v>
          </cell>
          <cell r="Q188">
            <v>5.5833000000000004</v>
          </cell>
          <cell r="R188">
            <v>4.4569999999999999</v>
          </cell>
          <cell r="S188">
            <v>3.0819999999999999</v>
          </cell>
          <cell r="U188">
            <v>1.8260000000000001</v>
          </cell>
          <cell r="W188">
            <v>1.5580000000000001</v>
          </cell>
          <cell r="X188">
            <v>1.48</v>
          </cell>
          <cell r="AA188">
            <v>1.659</v>
          </cell>
          <cell r="AB188">
            <v>2.2277999999999998</v>
          </cell>
          <cell r="AC188">
            <v>1.1006</v>
          </cell>
          <cell r="AF188">
            <v>1.659</v>
          </cell>
          <cell r="AG188">
            <v>0.27879999999999999</v>
          </cell>
          <cell r="AK188">
            <v>0.6</v>
          </cell>
          <cell r="AN188">
            <v>0.4</v>
          </cell>
          <cell r="AO188">
            <v>0</v>
          </cell>
          <cell r="AP188">
            <v>0</v>
          </cell>
          <cell r="AR188">
            <v>1</v>
          </cell>
          <cell r="AS188">
            <v>2.2946800000000001</v>
          </cell>
          <cell r="AT188">
            <v>2.2946800000000001</v>
          </cell>
        </row>
        <row r="189">
          <cell r="A189">
            <v>33269</v>
          </cell>
          <cell r="B189">
            <v>4.3548999999999998</v>
          </cell>
          <cell r="C189">
            <v>4.1601999999999997</v>
          </cell>
          <cell r="D189">
            <v>4.7300000000000004</v>
          </cell>
          <cell r="E189">
            <v>7.9</v>
          </cell>
          <cell r="H189">
            <v>9.01</v>
          </cell>
          <cell r="I189">
            <v>9.391</v>
          </cell>
          <cell r="J189">
            <v>8.6029999999999998</v>
          </cell>
          <cell r="K189">
            <v>7.1809000000000003</v>
          </cell>
          <cell r="N189">
            <v>9.01</v>
          </cell>
          <cell r="O189">
            <v>9.391</v>
          </cell>
          <cell r="P189">
            <v>8.6029999999999998</v>
          </cell>
          <cell r="Q189">
            <v>9.3035999999999994</v>
          </cell>
          <cell r="R189">
            <v>7.9530000000000003</v>
          </cell>
          <cell r="S189">
            <v>5.0179999999999998</v>
          </cell>
          <cell r="U189">
            <v>3.125</v>
          </cell>
          <cell r="W189">
            <v>1.236</v>
          </cell>
          <cell r="X189">
            <v>1.2</v>
          </cell>
          <cell r="AA189">
            <v>3.2629999999999999</v>
          </cell>
          <cell r="AB189">
            <v>3.7370000000000001</v>
          </cell>
          <cell r="AC189">
            <v>2.8028</v>
          </cell>
          <cell r="AF189">
            <v>3.2629999999999999</v>
          </cell>
          <cell r="AG189">
            <v>-0.47989999999999999</v>
          </cell>
          <cell r="AK189">
            <v>0.6</v>
          </cell>
          <cell r="AN189">
            <v>0.4</v>
          </cell>
          <cell r="AO189">
            <v>0</v>
          </cell>
          <cell r="AP189">
            <v>0</v>
          </cell>
          <cell r="AR189">
            <v>1</v>
          </cell>
          <cell r="AS189">
            <v>3.1073399999999998</v>
          </cell>
          <cell r="AT189">
            <v>3.1073399999999998</v>
          </cell>
        </row>
        <row r="190">
          <cell r="A190">
            <v>33297</v>
          </cell>
          <cell r="B190">
            <v>7.1516000000000002</v>
          </cell>
          <cell r="C190">
            <v>7.7497999999999996</v>
          </cell>
          <cell r="D190">
            <v>6.52</v>
          </cell>
          <cell r="E190">
            <v>8.9786000000000001</v>
          </cell>
          <cell r="H190">
            <v>11.215</v>
          </cell>
          <cell r="I190">
            <v>11.489000000000001</v>
          </cell>
          <cell r="J190">
            <v>10.92</v>
          </cell>
          <cell r="K190">
            <v>11.3184</v>
          </cell>
          <cell r="N190">
            <v>11.215</v>
          </cell>
          <cell r="O190">
            <v>11.489000000000001</v>
          </cell>
          <cell r="P190">
            <v>10.92</v>
          </cell>
          <cell r="Q190">
            <v>10.809799999999999</v>
          </cell>
          <cell r="R190">
            <v>10.19</v>
          </cell>
          <cell r="S190">
            <v>7.5</v>
          </cell>
          <cell r="U190">
            <v>10.74</v>
          </cell>
          <cell r="W190">
            <v>0.85360000000000003</v>
          </cell>
          <cell r="X190">
            <v>0.81</v>
          </cell>
          <cell r="AA190">
            <v>10.749000000000001</v>
          </cell>
          <cell r="AB190">
            <v>9.8383000000000003</v>
          </cell>
          <cell r="AC190">
            <v>11.6348</v>
          </cell>
          <cell r="AF190">
            <v>10.749000000000001</v>
          </cell>
          <cell r="AG190">
            <v>-0.47989999999999999</v>
          </cell>
          <cell r="AK190">
            <v>0.6</v>
          </cell>
          <cell r="AN190">
            <v>0.4</v>
          </cell>
          <cell r="AO190">
            <v>0</v>
          </cell>
          <cell r="AP190">
            <v>0</v>
          </cell>
          <cell r="AR190">
            <v>1</v>
          </cell>
          <cell r="AS190">
            <v>4.6324000000000005</v>
          </cell>
          <cell r="AT190">
            <v>4.6324000000000005</v>
          </cell>
        </row>
        <row r="191">
          <cell r="A191">
            <v>33328</v>
          </cell>
          <cell r="B191">
            <v>2.4215</v>
          </cell>
          <cell r="C191">
            <v>3.7801999999999998</v>
          </cell>
          <cell r="D191">
            <v>0.91</v>
          </cell>
          <cell r="E191">
            <v>4.5621999999999998</v>
          </cell>
          <cell r="H191">
            <v>7.0129999999999999</v>
          </cell>
          <cell r="I191">
            <v>7.0449999999999999</v>
          </cell>
          <cell r="J191">
            <v>6.9790000000000001</v>
          </cell>
          <cell r="K191">
            <v>6.2854999999999999</v>
          </cell>
          <cell r="N191">
            <v>7.0129999999999999</v>
          </cell>
          <cell r="O191">
            <v>7.0449999999999999</v>
          </cell>
          <cell r="P191">
            <v>6.9790000000000001</v>
          </cell>
          <cell r="Q191">
            <v>6.3963999999999999</v>
          </cell>
          <cell r="R191">
            <v>5.4740000000000002</v>
          </cell>
          <cell r="S191">
            <v>2.952</v>
          </cell>
          <cell r="U191">
            <v>-5.5030000000000001</v>
          </cell>
          <cell r="W191">
            <v>0.68799999999999994</v>
          </cell>
          <cell r="X191">
            <v>0.68</v>
          </cell>
          <cell r="AA191">
            <v>-5.9790000000000001</v>
          </cell>
          <cell r="AB191">
            <v>-5.6616</v>
          </cell>
          <cell r="AC191">
            <v>-6.4343000000000004</v>
          </cell>
          <cell r="AF191">
            <v>-5.9790000000000001</v>
          </cell>
          <cell r="AG191">
            <v>-0.47989999999999999</v>
          </cell>
          <cell r="AK191">
            <v>0.6</v>
          </cell>
          <cell r="AN191">
            <v>0.4</v>
          </cell>
          <cell r="AO191">
            <v>0</v>
          </cell>
          <cell r="AP191">
            <v>0</v>
          </cell>
          <cell r="AR191">
            <v>1</v>
          </cell>
          <cell r="AS191">
            <v>1.7281</v>
          </cell>
          <cell r="AT191">
            <v>1.7281</v>
          </cell>
        </row>
        <row r="192">
          <cell r="A192">
            <v>33358</v>
          </cell>
          <cell r="B192">
            <v>0.23669999999999999</v>
          </cell>
          <cell r="C192">
            <v>-0.19020000000000001</v>
          </cell>
          <cell r="D192">
            <v>0.79</v>
          </cell>
          <cell r="E192">
            <v>-2.46E-2</v>
          </cell>
          <cell r="H192">
            <v>-0.25800000000000001</v>
          </cell>
          <cell r="I192">
            <v>-1.19</v>
          </cell>
          <cell r="J192">
            <v>0.76700000000000002</v>
          </cell>
          <cell r="K192">
            <v>0.22889999999999999</v>
          </cell>
          <cell r="N192">
            <v>-0.25800000000000001</v>
          </cell>
          <cell r="O192">
            <v>-1.19</v>
          </cell>
          <cell r="P192">
            <v>0.76700000000000002</v>
          </cell>
          <cell r="Q192">
            <v>-2.2448999999999999</v>
          </cell>
          <cell r="R192">
            <v>-0.219</v>
          </cell>
          <cell r="S192">
            <v>0.10100000000000001</v>
          </cell>
          <cell r="U192">
            <v>1.0860000000000001</v>
          </cell>
          <cell r="W192">
            <v>1.0832999999999999</v>
          </cell>
          <cell r="X192">
            <v>1.03</v>
          </cell>
          <cell r="AA192">
            <v>1.0109999999999999</v>
          </cell>
          <cell r="AB192">
            <v>1.0548999999999999</v>
          </cell>
          <cell r="AC192">
            <v>1.0711999999999999</v>
          </cell>
          <cell r="AF192">
            <v>1.0109999999999999</v>
          </cell>
          <cell r="AG192">
            <v>1.5299999999999999E-2</v>
          </cell>
          <cell r="AK192">
            <v>0.6</v>
          </cell>
          <cell r="AN192">
            <v>0.4</v>
          </cell>
          <cell r="AO192">
            <v>0</v>
          </cell>
          <cell r="AP192">
            <v>0</v>
          </cell>
          <cell r="AR192">
            <v>1</v>
          </cell>
          <cell r="AS192">
            <v>0.57533999999999996</v>
          </cell>
          <cell r="AT192">
            <v>0.57533999999999996</v>
          </cell>
        </row>
        <row r="193">
          <cell r="A193">
            <v>33389</v>
          </cell>
          <cell r="B193">
            <v>4.3140999999999998</v>
          </cell>
          <cell r="C193">
            <v>3.78</v>
          </cell>
          <cell r="D193">
            <v>4.7699999999999996</v>
          </cell>
          <cell r="E193">
            <v>4.6092000000000004</v>
          </cell>
          <cell r="H193">
            <v>4.7629999999999999</v>
          </cell>
          <cell r="I193">
            <v>4.8289999999999997</v>
          </cell>
          <cell r="J193">
            <v>4.6909999999999998</v>
          </cell>
          <cell r="K193">
            <v>3.9419</v>
          </cell>
          <cell r="N193">
            <v>4.7629999999999999</v>
          </cell>
          <cell r="O193">
            <v>4.8289999999999997</v>
          </cell>
          <cell r="P193">
            <v>4.6909999999999998</v>
          </cell>
          <cell r="Q193">
            <v>5.0972</v>
          </cell>
          <cell r="R193">
            <v>4.593</v>
          </cell>
          <cell r="S193">
            <v>4.1369999999999996</v>
          </cell>
          <cell r="U193">
            <v>1.42</v>
          </cell>
          <cell r="W193">
            <v>0.58479999999999999</v>
          </cell>
          <cell r="X193">
            <v>0.71</v>
          </cell>
          <cell r="AA193">
            <v>1.073</v>
          </cell>
          <cell r="AB193">
            <v>1.2324999999999999</v>
          </cell>
          <cell r="AC193">
            <v>0.91339999999999999</v>
          </cell>
          <cell r="AF193">
            <v>1.073</v>
          </cell>
          <cell r="AG193">
            <v>1.5299999999999999E-2</v>
          </cell>
          <cell r="AK193">
            <v>0.6</v>
          </cell>
          <cell r="AN193">
            <v>0.4</v>
          </cell>
          <cell r="AO193">
            <v>0</v>
          </cell>
          <cell r="AP193">
            <v>0</v>
          </cell>
          <cell r="AR193">
            <v>1</v>
          </cell>
          <cell r="AS193">
            <v>2.8223799999999999</v>
          </cell>
          <cell r="AT193">
            <v>2.8223799999999999</v>
          </cell>
        </row>
        <row r="194">
          <cell r="A194">
            <v>33419</v>
          </cell>
          <cell r="B194">
            <v>-4.5812999999999997</v>
          </cell>
          <cell r="C194">
            <v>-4.1798999999999999</v>
          </cell>
          <cell r="D194">
            <v>-4.97</v>
          </cell>
          <cell r="E194">
            <v>-5.0843999999999996</v>
          </cell>
          <cell r="H194">
            <v>-5.7830000000000004</v>
          </cell>
          <cell r="I194">
            <v>-6.806</v>
          </cell>
          <cell r="J194">
            <v>-4.6820000000000004</v>
          </cell>
          <cell r="K194">
            <v>-4.3125</v>
          </cell>
          <cell r="N194">
            <v>-5.7830000000000004</v>
          </cell>
          <cell r="O194">
            <v>-6.806</v>
          </cell>
          <cell r="P194">
            <v>-4.6820000000000004</v>
          </cell>
          <cell r="Q194">
            <v>-5.4874000000000001</v>
          </cell>
          <cell r="R194">
            <v>-4.3620000000000001</v>
          </cell>
          <cell r="S194">
            <v>-4.556</v>
          </cell>
          <cell r="U194">
            <v>-6.9550000000000001</v>
          </cell>
          <cell r="W194">
            <v>-5.0799999999999998E-2</v>
          </cell>
          <cell r="X194">
            <v>0.08</v>
          </cell>
          <cell r="AA194">
            <v>-7.3220000000000001</v>
          </cell>
          <cell r="AB194">
            <v>-7.476</v>
          </cell>
          <cell r="AC194">
            <v>-7.0997000000000003</v>
          </cell>
          <cell r="AF194">
            <v>-7.3220000000000001</v>
          </cell>
          <cell r="AG194">
            <v>1.5299999999999999E-2</v>
          </cell>
          <cell r="AK194">
            <v>0.6</v>
          </cell>
          <cell r="AN194">
            <v>0.4</v>
          </cell>
          <cell r="AO194">
            <v>0</v>
          </cell>
          <cell r="AP194">
            <v>0</v>
          </cell>
          <cell r="AR194">
            <v>1</v>
          </cell>
          <cell r="AS194">
            <v>-2.7690999999999995</v>
          </cell>
          <cell r="AT194">
            <v>-2.7690999999999995</v>
          </cell>
        </row>
        <row r="195">
          <cell r="A195">
            <v>33450</v>
          </cell>
          <cell r="B195">
            <v>4.6608999999999998</v>
          </cell>
          <cell r="C195">
            <v>5.3497000000000003</v>
          </cell>
          <cell r="D195">
            <v>3.97</v>
          </cell>
          <cell r="E195">
            <v>6.0183999999999997</v>
          </cell>
          <cell r="F195">
            <v>6.8197000000000001</v>
          </cell>
          <cell r="G195">
            <v>5.1002000000000001</v>
          </cell>
          <cell r="H195">
            <v>3.4990000000000001</v>
          </cell>
          <cell r="I195">
            <v>4.532</v>
          </cell>
          <cell r="J195">
            <v>2.597</v>
          </cell>
          <cell r="K195">
            <v>3.9407999999999999</v>
          </cell>
          <cell r="N195">
            <v>3.4990000000000001</v>
          </cell>
          <cell r="O195">
            <v>4.532</v>
          </cell>
          <cell r="P195">
            <v>2.597</v>
          </cell>
          <cell r="Q195">
            <v>5.6303999999999998</v>
          </cell>
          <cell r="R195">
            <v>4.6779999999999999</v>
          </cell>
          <cell r="S195">
            <v>4.72</v>
          </cell>
          <cell r="U195">
            <v>4.8049999999999997</v>
          </cell>
          <cell r="W195">
            <v>1.3867</v>
          </cell>
          <cell r="X195">
            <v>1.33</v>
          </cell>
          <cell r="AA195">
            <v>4.9400000000000004</v>
          </cell>
          <cell r="AB195">
            <v>4.3520000000000003</v>
          </cell>
          <cell r="AC195">
            <v>5.4557000000000002</v>
          </cell>
          <cell r="AF195">
            <v>4.9400000000000004</v>
          </cell>
          <cell r="AG195">
            <v>4.0000000000000001E-3</v>
          </cell>
          <cell r="AK195">
            <v>0.6</v>
          </cell>
          <cell r="AN195">
            <v>0.4</v>
          </cell>
          <cell r="AO195">
            <v>0</v>
          </cell>
          <cell r="AP195">
            <v>0</v>
          </cell>
          <cell r="AR195">
            <v>1</v>
          </cell>
          <cell r="AS195">
            <v>3.3512199999999996</v>
          </cell>
          <cell r="AT195">
            <v>3.3512199999999996</v>
          </cell>
        </row>
        <row r="196">
          <cell r="A196">
            <v>33481</v>
          </cell>
          <cell r="B196">
            <v>2.3692000000000002</v>
          </cell>
          <cell r="C196">
            <v>3.22</v>
          </cell>
          <cell r="D196">
            <v>1.45</v>
          </cell>
          <cell r="E196">
            <v>3.6412</v>
          </cell>
          <cell r="F196">
            <v>3.83</v>
          </cell>
          <cell r="G196">
            <v>3.3298999999999999</v>
          </cell>
          <cell r="H196">
            <v>3.6880000000000002</v>
          </cell>
          <cell r="I196">
            <v>4.4139999999999997</v>
          </cell>
          <cell r="J196">
            <v>3.0350000000000001</v>
          </cell>
          <cell r="K196">
            <v>4.3804999999999996</v>
          </cell>
          <cell r="N196">
            <v>3.6880000000000002</v>
          </cell>
          <cell r="O196">
            <v>4.4139999999999997</v>
          </cell>
          <cell r="P196">
            <v>3.0350000000000001</v>
          </cell>
          <cell r="Q196">
            <v>4.3254000000000001</v>
          </cell>
          <cell r="R196">
            <v>3.75</v>
          </cell>
          <cell r="S196">
            <v>2.6749999999999998</v>
          </cell>
          <cell r="U196">
            <v>-1.7170000000000001</v>
          </cell>
          <cell r="W196">
            <v>2.1640000000000001</v>
          </cell>
          <cell r="X196">
            <v>1.88</v>
          </cell>
          <cell r="AA196">
            <v>-2.0059999999999998</v>
          </cell>
          <cell r="AB196">
            <v>-1.8935999999999999</v>
          </cell>
          <cell r="AC196">
            <v>-2.1101999999999999</v>
          </cell>
          <cell r="AF196">
            <v>-2.0059999999999998</v>
          </cell>
          <cell r="AG196">
            <v>4.0000000000000001E-3</v>
          </cell>
          <cell r="AK196">
            <v>0.6</v>
          </cell>
          <cell r="AN196">
            <v>0.4</v>
          </cell>
          <cell r="AO196">
            <v>0</v>
          </cell>
          <cell r="AP196">
            <v>0</v>
          </cell>
          <cell r="AR196">
            <v>1</v>
          </cell>
          <cell r="AS196">
            <v>2.2871200000000003</v>
          </cell>
          <cell r="AT196">
            <v>2.2871200000000003</v>
          </cell>
        </row>
        <row r="197">
          <cell r="A197">
            <v>33511</v>
          </cell>
          <cell r="B197">
            <v>-1.6734</v>
          </cell>
          <cell r="C197">
            <v>-2.19</v>
          </cell>
          <cell r="D197">
            <v>-1.05</v>
          </cell>
          <cell r="E197">
            <v>-0.32300000000000001</v>
          </cell>
          <cell r="F197">
            <v>-0.42930000000000001</v>
          </cell>
          <cell r="G197">
            <v>-0.2903</v>
          </cell>
          <cell r="H197">
            <v>0.78</v>
          </cell>
          <cell r="I197">
            <v>1.508</v>
          </cell>
          <cell r="J197">
            <v>0.11600000000000001</v>
          </cell>
          <cell r="K197">
            <v>0.83799999999999997</v>
          </cell>
          <cell r="N197">
            <v>0.78</v>
          </cell>
          <cell r="O197">
            <v>1.508</v>
          </cell>
          <cell r="P197">
            <v>0.11600000000000001</v>
          </cell>
          <cell r="Q197">
            <v>1.1476</v>
          </cell>
          <cell r="R197">
            <v>-8.9999999999999993E-3</v>
          </cell>
          <cell r="S197">
            <v>-1.139</v>
          </cell>
          <cell r="U197">
            <v>5.0880000000000001</v>
          </cell>
          <cell r="W197">
            <v>2.0263</v>
          </cell>
          <cell r="X197">
            <v>1.78</v>
          </cell>
          <cell r="AA197">
            <v>5.6660000000000004</v>
          </cell>
          <cell r="AB197">
            <v>5.1010999999999997</v>
          </cell>
          <cell r="AC197">
            <v>6.3144999999999998</v>
          </cell>
          <cell r="AF197">
            <v>5.6660000000000004</v>
          </cell>
          <cell r="AG197">
            <v>4.0000000000000001E-3</v>
          </cell>
          <cell r="AK197">
            <v>0.6</v>
          </cell>
          <cell r="AN197">
            <v>0.4</v>
          </cell>
          <cell r="AO197">
            <v>0</v>
          </cell>
          <cell r="AP197">
            <v>0</v>
          </cell>
          <cell r="AR197">
            <v>1</v>
          </cell>
          <cell r="AS197">
            <v>-0.19352000000000003</v>
          </cell>
          <cell r="AT197">
            <v>-0.19352000000000003</v>
          </cell>
        </row>
        <row r="198">
          <cell r="A198">
            <v>33542</v>
          </cell>
          <cell r="B198">
            <v>1.3444</v>
          </cell>
          <cell r="C198">
            <v>1.2199</v>
          </cell>
          <cell r="D198">
            <v>1.46</v>
          </cell>
          <cell r="E198">
            <v>3.9175</v>
          </cell>
          <cell r="F198">
            <v>4.6997999999999998</v>
          </cell>
          <cell r="G198">
            <v>2.9803000000000002</v>
          </cell>
          <cell r="H198">
            <v>2.6440000000000001</v>
          </cell>
          <cell r="I198">
            <v>4.258</v>
          </cell>
          <cell r="J198">
            <v>1.137</v>
          </cell>
          <cell r="K198">
            <v>3.5251000000000001</v>
          </cell>
          <cell r="N198">
            <v>2.6440000000000001</v>
          </cell>
          <cell r="O198">
            <v>4.258</v>
          </cell>
          <cell r="P198">
            <v>1.137</v>
          </cell>
          <cell r="Q198">
            <v>3.3858000000000001</v>
          </cell>
          <cell r="R198">
            <v>2.2639999999999998</v>
          </cell>
          <cell r="S198">
            <v>1.6679999999999999</v>
          </cell>
          <cell r="U198">
            <v>1.748</v>
          </cell>
          <cell r="W198">
            <v>1.1133999999999999</v>
          </cell>
          <cell r="X198">
            <v>1.34</v>
          </cell>
          <cell r="AA198">
            <v>1.4430000000000001</v>
          </cell>
          <cell r="AB198">
            <v>2.9599000000000002</v>
          </cell>
          <cell r="AC198">
            <v>-1.55E-2</v>
          </cell>
          <cell r="AF198">
            <v>1.4430000000000001</v>
          </cell>
          <cell r="AG198">
            <v>-0.1114</v>
          </cell>
          <cell r="AK198">
            <v>0.6</v>
          </cell>
          <cell r="AN198">
            <v>0.4</v>
          </cell>
          <cell r="AO198">
            <v>0</v>
          </cell>
          <cell r="AP198">
            <v>0</v>
          </cell>
          <cell r="AR198">
            <v>1</v>
          </cell>
          <cell r="AS198">
            <v>1.252</v>
          </cell>
          <cell r="AT198">
            <v>1.252</v>
          </cell>
        </row>
        <row r="199">
          <cell r="A199">
            <v>33572</v>
          </cell>
          <cell r="B199">
            <v>-4.0292000000000003</v>
          </cell>
          <cell r="C199">
            <v>-2.5497999999999998</v>
          </cell>
          <cell r="D199">
            <v>-5.58</v>
          </cell>
          <cell r="E199">
            <v>-3.3696000000000002</v>
          </cell>
          <cell r="F199">
            <v>-2.8506999999999998</v>
          </cell>
          <cell r="G199">
            <v>-3.8799000000000001</v>
          </cell>
          <cell r="H199">
            <v>-4.6280000000000001</v>
          </cell>
          <cell r="I199">
            <v>-5.2169999999999996</v>
          </cell>
          <cell r="J199">
            <v>-4.0579999999999998</v>
          </cell>
          <cell r="K199">
            <v>-4.4894999999999996</v>
          </cell>
          <cell r="N199">
            <v>-4.6280000000000001</v>
          </cell>
          <cell r="O199">
            <v>-5.2169999999999996</v>
          </cell>
          <cell r="P199">
            <v>-4.0579999999999998</v>
          </cell>
          <cell r="Q199">
            <v>-4.2141999999999999</v>
          </cell>
          <cell r="R199">
            <v>-3.9950000000000001</v>
          </cell>
          <cell r="S199">
            <v>-3.8340000000000001</v>
          </cell>
          <cell r="U199">
            <v>-4.4539999999999997</v>
          </cell>
          <cell r="W199">
            <v>0.91690000000000005</v>
          </cell>
          <cell r="X199">
            <v>0.99</v>
          </cell>
          <cell r="AA199">
            <v>-4.6420000000000003</v>
          </cell>
          <cell r="AB199">
            <v>-3.5064000000000002</v>
          </cell>
          <cell r="AC199">
            <v>-5.7530000000000001</v>
          </cell>
          <cell r="AF199">
            <v>-4.6420000000000003</v>
          </cell>
          <cell r="AG199">
            <v>-0.1114</v>
          </cell>
          <cell r="AK199">
            <v>0.6</v>
          </cell>
          <cell r="AN199">
            <v>0.4</v>
          </cell>
          <cell r="AO199">
            <v>0</v>
          </cell>
          <cell r="AP199">
            <v>0</v>
          </cell>
          <cell r="AR199">
            <v>1</v>
          </cell>
          <cell r="AS199">
            <v>-2.0507599999999999</v>
          </cell>
          <cell r="AT199">
            <v>-2.0507599999999999</v>
          </cell>
        </row>
        <row r="200">
          <cell r="A200">
            <v>33603</v>
          </cell>
          <cell r="B200">
            <v>11.436500000000001</v>
          </cell>
          <cell r="C200">
            <v>14.0898</v>
          </cell>
          <cell r="D200">
            <v>8.51</v>
          </cell>
          <cell r="E200">
            <v>11.8203</v>
          </cell>
          <cell r="F200">
            <v>14.4504</v>
          </cell>
          <cell r="G200">
            <v>8.9896999999999991</v>
          </cell>
          <cell r="H200">
            <v>8.0020000000000007</v>
          </cell>
          <cell r="I200">
            <v>9.5760000000000005</v>
          </cell>
          <cell r="J200">
            <v>6.484</v>
          </cell>
          <cell r="K200">
            <v>8.5838000000000001</v>
          </cell>
          <cell r="N200">
            <v>8.0020000000000007</v>
          </cell>
          <cell r="O200">
            <v>9.5760000000000005</v>
          </cell>
          <cell r="P200">
            <v>6.484</v>
          </cell>
          <cell r="Q200">
            <v>12.234500000000001</v>
          </cell>
          <cell r="R200">
            <v>9.8770000000000007</v>
          </cell>
          <cell r="S200">
            <v>11.215</v>
          </cell>
          <cell r="U200">
            <v>5.1909999999999998</v>
          </cell>
          <cell r="W200">
            <v>2.9698000000000002</v>
          </cell>
          <cell r="X200">
            <v>2.21</v>
          </cell>
          <cell r="AA200">
            <v>5.1959999999999997</v>
          </cell>
          <cell r="AB200">
            <v>5.1374000000000004</v>
          </cell>
          <cell r="AC200">
            <v>5.2523</v>
          </cell>
          <cell r="AF200">
            <v>5.1959999999999997</v>
          </cell>
          <cell r="AG200">
            <v>-0.1114</v>
          </cell>
          <cell r="AK200">
            <v>0.6</v>
          </cell>
          <cell r="AN200">
            <v>0.4</v>
          </cell>
          <cell r="AO200">
            <v>0</v>
          </cell>
          <cell r="AP200">
            <v>0</v>
          </cell>
          <cell r="AR200">
            <v>1</v>
          </cell>
          <cell r="AS200">
            <v>8.0498200000000004</v>
          </cell>
          <cell r="AT200">
            <v>8.0498200000000004</v>
          </cell>
        </row>
        <row r="201">
          <cell r="A201">
            <v>33634</v>
          </cell>
          <cell r="B201">
            <v>-1.8634999999999999</v>
          </cell>
          <cell r="C201">
            <v>-3.5099</v>
          </cell>
          <cell r="D201">
            <v>0</v>
          </cell>
          <cell r="E201">
            <v>1.7690999999999999</v>
          </cell>
          <cell r="F201">
            <v>0.52</v>
          </cell>
          <cell r="G201">
            <v>3.1297999999999999</v>
          </cell>
          <cell r="H201">
            <v>8.11</v>
          </cell>
          <cell r="I201">
            <v>7.8550000000000004</v>
          </cell>
          <cell r="J201">
            <v>8.3650000000000002</v>
          </cell>
          <cell r="K201">
            <v>7.5899000000000001</v>
          </cell>
          <cell r="N201">
            <v>8.11</v>
          </cell>
          <cell r="O201">
            <v>7.8550000000000004</v>
          </cell>
          <cell r="P201">
            <v>8.3650000000000002</v>
          </cell>
          <cell r="Q201">
            <v>4.2298999999999998</v>
          </cell>
          <cell r="R201">
            <v>4.95</v>
          </cell>
          <cell r="S201">
            <v>-0.67900000000000005</v>
          </cell>
          <cell r="U201">
            <v>-1.3939999999999999</v>
          </cell>
          <cell r="W201">
            <v>-1.3604000000000001</v>
          </cell>
          <cell r="X201">
            <v>-0.98</v>
          </cell>
          <cell r="AA201">
            <v>-2.1070000000000002</v>
          </cell>
          <cell r="AB201">
            <v>-3.4110999999999998</v>
          </cell>
          <cell r="AC201">
            <v>-0.75439999999999996</v>
          </cell>
          <cell r="AF201">
            <v>-2.1070000000000002</v>
          </cell>
          <cell r="AG201">
            <v>-1.8103</v>
          </cell>
          <cell r="AK201">
            <v>0.5</v>
          </cell>
          <cell r="AN201">
            <v>0.4</v>
          </cell>
          <cell r="AO201">
            <v>0.1</v>
          </cell>
          <cell r="AP201">
            <v>0</v>
          </cell>
          <cell r="AR201">
            <v>1</v>
          </cell>
          <cell r="AS201">
            <v>-1.6866100000000002</v>
          </cell>
          <cell r="AT201">
            <v>-1.6866100000000002</v>
          </cell>
        </row>
        <row r="202">
          <cell r="A202">
            <v>33663</v>
          </cell>
          <cell r="B202">
            <v>1.2950999999999999</v>
          </cell>
          <cell r="C202">
            <v>0.59019999999999995</v>
          </cell>
          <cell r="D202">
            <v>2.0299999999999998</v>
          </cell>
          <cell r="E202">
            <v>1.5911</v>
          </cell>
          <cell r="F202">
            <v>0.43020000000000003</v>
          </cell>
          <cell r="G202">
            <v>2.67</v>
          </cell>
          <cell r="H202">
            <v>2.919</v>
          </cell>
          <cell r="I202">
            <v>1.0669999999999999</v>
          </cell>
          <cell r="J202">
            <v>4.7699999999999996</v>
          </cell>
          <cell r="K202">
            <v>2.0985</v>
          </cell>
          <cell r="N202">
            <v>2.919</v>
          </cell>
          <cell r="O202">
            <v>1.0669999999999999</v>
          </cell>
          <cell r="P202">
            <v>4.7699999999999996</v>
          </cell>
          <cell r="Q202">
            <v>0.98529999999999995</v>
          </cell>
          <cell r="R202">
            <v>2.64</v>
          </cell>
          <cell r="S202">
            <v>1.329</v>
          </cell>
          <cell r="U202">
            <v>-3.0710000000000002</v>
          </cell>
          <cell r="W202">
            <v>0.6502</v>
          </cell>
          <cell r="X202">
            <v>0.6</v>
          </cell>
          <cell r="AA202">
            <v>-3.552</v>
          </cell>
          <cell r="AB202">
            <v>-3.9176000000000002</v>
          </cell>
          <cell r="AC202">
            <v>-3.1840000000000002</v>
          </cell>
          <cell r="AF202">
            <v>-3.552</v>
          </cell>
          <cell r="AG202">
            <v>-1.8103</v>
          </cell>
          <cell r="AK202">
            <v>0.5</v>
          </cell>
          <cell r="AN202">
            <v>0.4</v>
          </cell>
          <cell r="AO202">
            <v>0.1</v>
          </cell>
          <cell r="AP202">
            <v>0</v>
          </cell>
          <cell r="AR202">
            <v>1</v>
          </cell>
          <cell r="AS202">
            <v>0.55242999999999998</v>
          </cell>
          <cell r="AT202">
            <v>0.55242999999999998</v>
          </cell>
        </row>
        <row r="203">
          <cell r="A203">
            <v>33694</v>
          </cell>
          <cell r="B203">
            <v>-1.9449000000000001</v>
          </cell>
          <cell r="C203">
            <v>-2.3201000000000001</v>
          </cell>
          <cell r="D203">
            <v>-1.57</v>
          </cell>
          <cell r="E203">
            <v>-3.7660999999999998</v>
          </cell>
          <cell r="F203">
            <v>-4.4897</v>
          </cell>
          <cell r="G203">
            <v>-3.0893000000000002</v>
          </cell>
          <cell r="H203">
            <v>-3.3839999999999999</v>
          </cell>
          <cell r="I203">
            <v>-5.7510000000000003</v>
          </cell>
          <cell r="J203">
            <v>-1.0880000000000001</v>
          </cell>
          <cell r="K203">
            <v>-2.7879999999999998</v>
          </cell>
          <cell r="N203">
            <v>-3.3839999999999999</v>
          </cell>
          <cell r="O203">
            <v>-5.7510000000000003</v>
          </cell>
          <cell r="P203">
            <v>-1.0880000000000001</v>
          </cell>
          <cell r="Q203">
            <v>-5.7023000000000001</v>
          </cell>
          <cell r="R203">
            <v>-3.1960000000000002</v>
          </cell>
          <cell r="S203">
            <v>-2.2130000000000001</v>
          </cell>
          <cell r="U203">
            <v>-6.048</v>
          </cell>
          <cell r="W203">
            <v>-0.56379999999999997</v>
          </cell>
          <cell r="X203">
            <v>-0.48</v>
          </cell>
          <cell r="AA203">
            <v>-6.5739999999999998</v>
          </cell>
          <cell r="AB203">
            <v>-6.6426999999999996</v>
          </cell>
          <cell r="AC203">
            <v>-6.4751000000000003</v>
          </cell>
          <cell r="AF203">
            <v>-6.5739999999999998</v>
          </cell>
          <cell r="AG203">
            <v>-1.8103</v>
          </cell>
          <cell r="AK203">
            <v>0.5</v>
          </cell>
          <cell r="AN203">
            <v>0.4</v>
          </cell>
          <cell r="AO203">
            <v>0.1</v>
          </cell>
          <cell r="AP203">
            <v>0</v>
          </cell>
          <cell r="AR203">
            <v>1</v>
          </cell>
          <cell r="AS203">
            <v>-1.85537</v>
          </cell>
          <cell r="AT203">
            <v>-1.85537</v>
          </cell>
        </row>
        <row r="204">
          <cell r="A204">
            <v>33724</v>
          </cell>
          <cell r="B204">
            <v>2.9361000000000002</v>
          </cell>
          <cell r="C204">
            <v>1.06</v>
          </cell>
          <cell r="D204">
            <v>4.88</v>
          </cell>
          <cell r="E204">
            <v>-1.1943999999999999</v>
          </cell>
          <cell r="F204">
            <v>-3.8500999999999999</v>
          </cell>
          <cell r="G204">
            <v>1.4092</v>
          </cell>
          <cell r="H204">
            <v>-3.5110000000000001</v>
          </cell>
          <cell r="I204">
            <v>-5.806</v>
          </cell>
          <cell r="J204">
            <v>-1.385</v>
          </cell>
          <cell r="K204">
            <v>-4.0274000000000001</v>
          </cell>
          <cell r="N204">
            <v>-3.5110000000000001</v>
          </cell>
          <cell r="O204">
            <v>-5.806</v>
          </cell>
          <cell r="P204">
            <v>-1.385</v>
          </cell>
          <cell r="Q204">
            <v>-5.2126000000000001</v>
          </cell>
          <cell r="R204">
            <v>-1.994</v>
          </cell>
          <cell r="S204">
            <v>2.024</v>
          </cell>
          <cell r="U204">
            <v>0.32800000000000001</v>
          </cell>
          <cell r="W204">
            <v>0.72230000000000005</v>
          </cell>
          <cell r="X204">
            <v>0.92</v>
          </cell>
          <cell r="AA204">
            <v>0.501</v>
          </cell>
          <cell r="AB204">
            <v>-2.2090999999999998</v>
          </cell>
          <cell r="AC204">
            <v>3.1770999999999998</v>
          </cell>
          <cell r="AF204">
            <v>0.501</v>
          </cell>
          <cell r="AG204">
            <v>-8.6E-3</v>
          </cell>
          <cell r="AK204">
            <v>0.5</v>
          </cell>
          <cell r="AN204">
            <v>0.4</v>
          </cell>
          <cell r="AO204">
            <v>0.1</v>
          </cell>
          <cell r="AP204">
            <v>0</v>
          </cell>
          <cell r="AR204">
            <v>1</v>
          </cell>
          <cell r="AS204">
            <v>1.8070700000000002</v>
          </cell>
          <cell r="AT204">
            <v>1.8070700000000002</v>
          </cell>
        </row>
        <row r="205">
          <cell r="A205">
            <v>33755</v>
          </cell>
          <cell r="B205">
            <v>0.49020000000000002</v>
          </cell>
          <cell r="C205">
            <v>0.78</v>
          </cell>
          <cell r="D205">
            <v>0.28000000000000003</v>
          </cell>
          <cell r="E205">
            <v>0.94679999999999997</v>
          </cell>
          <cell r="F205">
            <v>0.96940000000000004</v>
          </cell>
          <cell r="G205">
            <v>0.93020000000000003</v>
          </cell>
          <cell r="H205">
            <v>1.33</v>
          </cell>
          <cell r="I205">
            <v>-0.224</v>
          </cell>
          <cell r="J205">
            <v>2.7189999999999999</v>
          </cell>
          <cell r="K205">
            <v>1.1506000000000001</v>
          </cell>
          <cell r="N205">
            <v>1.33</v>
          </cell>
          <cell r="O205">
            <v>-0.224</v>
          </cell>
          <cell r="P205">
            <v>2.7189999999999999</v>
          </cell>
          <cell r="Q205">
            <v>0.1759</v>
          </cell>
          <cell r="R205">
            <v>0.91100000000000003</v>
          </cell>
          <cell r="S205">
            <v>0.66600000000000004</v>
          </cell>
          <cell r="U205">
            <v>6.0720000000000001</v>
          </cell>
          <cell r="W205">
            <v>1.887</v>
          </cell>
          <cell r="X205">
            <v>1.64</v>
          </cell>
          <cell r="AA205">
            <v>6.7240000000000002</v>
          </cell>
          <cell r="AB205">
            <v>7.5</v>
          </cell>
          <cell r="AC205">
            <v>5.9936999999999996</v>
          </cell>
          <cell r="AF205">
            <v>6.7240000000000002</v>
          </cell>
          <cell r="AG205">
            <v>-8.6E-3</v>
          </cell>
          <cell r="AK205">
            <v>0.5</v>
          </cell>
          <cell r="AN205">
            <v>0.4</v>
          </cell>
          <cell r="AO205">
            <v>0.1</v>
          </cell>
          <cell r="AP205">
            <v>0</v>
          </cell>
          <cell r="AR205">
            <v>1</v>
          </cell>
          <cell r="AS205">
            <v>1.6723000000000001</v>
          </cell>
          <cell r="AT205">
            <v>1.6723000000000001</v>
          </cell>
        </row>
        <row r="206">
          <cell r="A206">
            <v>33785</v>
          </cell>
          <cell r="B206">
            <v>-1.4877</v>
          </cell>
          <cell r="C206">
            <v>-2.0699999999999998</v>
          </cell>
          <cell r="D206">
            <v>-0.82</v>
          </cell>
          <cell r="E206">
            <v>-2.8555000000000001</v>
          </cell>
          <cell r="F206">
            <v>-3.9693999999999998</v>
          </cell>
          <cell r="G206">
            <v>-1.89</v>
          </cell>
          <cell r="H206">
            <v>-4.6989999999999998</v>
          </cell>
          <cell r="I206">
            <v>-6.3769999999999998</v>
          </cell>
          <cell r="J206">
            <v>-3.238</v>
          </cell>
          <cell r="K206">
            <v>-3.8304999999999998</v>
          </cell>
          <cell r="N206">
            <v>-4.6989999999999998</v>
          </cell>
          <cell r="O206">
            <v>-6.3769999999999998</v>
          </cell>
          <cell r="P206">
            <v>-3.238</v>
          </cell>
          <cell r="Q206">
            <v>-5.4389000000000003</v>
          </cell>
          <cell r="R206">
            <v>-3.4769999999999999</v>
          </cell>
          <cell r="S206">
            <v>-1.7989999999999999</v>
          </cell>
          <cell r="U206">
            <v>-4.8259999999999996</v>
          </cell>
          <cell r="W206">
            <v>1.3762000000000001</v>
          </cell>
          <cell r="X206">
            <v>1.36</v>
          </cell>
          <cell r="AA206">
            <v>-4.71</v>
          </cell>
          <cell r="AB206">
            <v>-4.4063999999999997</v>
          </cell>
          <cell r="AC206">
            <v>-5.0026000000000002</v>
          </cell>
          <cell r="AF206">
            <v>-4.71</v>
          </cell>
          <cell r="AG206">
            <v>-8.6E-3</v>
          </cell>
          <cell r="AK206">
            <v>0.5</v>
          </cell>
          <cell r="AN206">
            <v>0.4</v>
          </cell>
          <cell r="AO206">
            <v>0.1</v>
          </cell>
          <cell r="AP206">
            <v>0</v>
          </cell>
          <cell r="AR206">
            <v>1</v>
          </cell>
          <cell r="AS206">
            <v>-0.66436999999999991</v>
          </cell>
          <cell r="AT206">
            <v>-0.66436999999999991</v>
          </cell>
        </row>
        <row r="207">
          <cell r="A207">
            <v>33816</v>
          </cell>
          <cell r="B207">
            <v>4.0852000000000004</v>
          </cell>
          <cell r="C207">
            <v>4.5098000000000003</v>
          </cell>
          <cell r="D207">
            <v>3.61</v>
          </cell>
          <cell r="E207">
            <v>4.9649000000000001</v>
          </cell>
          <cell r="F207">
            <v>5.1599000000000004</v>
          </cell>
          <cell r="G207">
            <v>4.3800999999999997</v>
          </cell>
          <cell r="H207">
            <v>3.476</v>
          </cell>
          <cell r="I207">
            <v>3.1389999999999998</v>
          </cell>
          <cell r="J207">
            <v>3.7669999999999999</v>
          </cell>
          <cell r="K207">
            <v>3.7248000000000001</v>
          </cell>
          <cell r="N207">
            <v>3.476</v>
          </cell>
          <cell r="O207">
            <v>3.1389999999999998</v>
          </cell>
          <cell r="P207">
            <v>3.7669999999999999</v>
          </cell>
          <cell r="Q207">
            <v>3.8866000000000001</v>
          </cell>
          <cell r="R207">
            <v>3.7429999999999999</v>
          </cell>
          <cell r="S207">
            <v>4.1319999999999997</v>
          </cell>
          <cell r="U207">
            <v>-2.1269999999999998</v>
          </cell>
          <cell r="W207">
            <v>2.0402</v>
          </cell>
          <cell r="X207">
            <v>1.56</v>
          </cell>
          <cell r="AA207">
            <v>-2.5270000000000001</v>
          </cell>
          <cell r="AB207">
            <v>-1.5564</v>
          </cell>
          <cell r="AC207">
            <v>-3.4352</v>
          </cell>
          <cell r="AF207">
            <v>-2.5270000000000001</v>
          </cell>
          <cell r="AG207">
            <v>-0.34560000000000002</v>
          </cell>
          <cell r="AK207">
            <v>0.5</v>
          </cell>
          <cell r="AN207">
            <v>0.4</v>
          </cell>
          <cell r="AO207">
            <v>0.1</v>
          </cell>
          <cell r="AP207">
            <v>0</v>
          </cell>
          <cell r="AR207">
            <v>1</v>
          </cell>
          <cell r="AS207">
            <v>2.6059800000000002</v>
          </cell>
          <cell r="AT207">
            <v>2.6059800000000002</v>
          </cell>
        </row>
        <row r="208">
          <cell r="A208">
            <v>33847</v>
          </cell>
          <cell r="B208">
            <v>-2.0466000000000002</v>
          </cell>
          <cell r="C208">
            <v>-1.1498999999999999</v>
          </cell>
          <cell r="D208">
            <v>-2.9</v>
          </cell>
          <cell r="E208">
            <v>-2.3919000000000001</v>
          </cell>
          <cell r="F208">
            <v>-2.5102000000000002</v>
          </cell>
          <cell r="G208">
            <v>-2.2900999999999998</v>
          </cell>
          <cell r="H208">
            <v>-2.8279999999999998</v>
          </cell>
          <cell r="I208">
            <v>-3.85</v>
          </cell>
          <cell r="J208">
            <v>-1.9490000000000001</v>
          </cell>
          <cell r="K208">
            <v>-2.8511000000000002</v>
          </cell>
          <cell r="N208">
            <v>-2.8279999999999998</v>
          </cell>
          <cell r="O208">
            <v>-3.85</v>
          </cell>
          <cell r="P208">
            <v>-1.9490000000000001</v>
          </cell>
          <cell r="Q208">
            <v>-2.9504000000000001</v>
          </cell>
          <cell r="R208">
            <v>-2.6309999999999998</v>
          </cell>
          <cell r="S208">
            <v>-2.16</v>
          </cell>
          <cell r="U208">
            <v>5.3330000000000002</v>
          </cell>
          <cell r="W208">
            <v>1.0129999999999999</v>
          </cell>
          <cell r="X208">
            <v>1.1100000000000001</v>
          </cell>
          <cell r="AA208">
            <v>6.306</v>
          </cell>
          <cell r="AB208">
            <v>7.8606999999999996</v>
          </cell>
          <cell r="AC208">
            <v>4.8238000000000003</v>
          </cell>
          <cell r="AF208">
            <v>6.306</v>
          </cell>
          <cell r="AG208">
            <v>-0.34560000000000002</v>
          </cell>
          <cell r="AK208">
            <v>0.5</v>
          </cell>
          <cell r="AN208">
            <v>0.4</v>
          </cell>
          <cell r="AO208">
            <v>0.1</v>
          </cell>
          <cell r="AP208">
            <v>0</v>
          </cell>
          <cell r="AR208">
            <v>1</v>
          </cell>
          <cell r="AS208">
            <v>1.2499999999999956E-2</v>
          </cell>
          <cell r="AT208">
            <v>1.2499999999999956E-2</v>
          </cell>
        </row>
        <row r="209">
          <cell r="A209">
            <v>33877</v>
          </cell>
          <cell r="B209">
            <v>1.175</v>
          </cell>
          <cell r="C209">
            <v>1.1800999999999999</v>
          </cell>
          <cell r="D209">
            <v>1.1000000000000001</v>
          </cell>
          <cell r="E209">
            <v>1.3995</v>
          </cell>
          <cell r="F209">
            <v>1.7504</v>
          </cell>
          <cell r="G209">
            <v>1.0698000000000001</v>
          </cell>
          <cell r="H209">
            <v>2.3029999999999999</v>
          </cell>
          <cell r="I209">
            <v>2.7919999999999998</v>
          </cell>
          <cell r="J209">
            <v>1.8879999999999999</v>
          </cell>
          <cell r="K209">
            <v>2.8527</v>
          </cell>
          <cell r="N209">
            <v>2.3029999999999999</v>
          </cell>
          <cell r="O209">
            <v>2.7919999999999998</v>
          </cell>
          <cell r="P209">
            <v>1.8879999999999999</v>
          </cell>
          <cell r="Q209">
            <v>1.5289999999999999</v>
          </cell>
          <cell r="R209">
            <v>1.7010000000000001</v>
          </cell>
          <cell r="S209">
            <v>1.34</v>
          </cell>
          <cell r="U209">
            <v>-2.052</v>
          </cell>
          <cell r="W209">
            <v>1.1854</v>
          </cell>
          <cell r="X209">
            <v>1.1299999999999999</v>
          </cell>
          <cell r="AA209">
            <v>-1.9430000000000001</v>
          </cell>
          <cell r="AB209">
            <v>-2.0503</v>
          </cell>
          <cell r="AC209">
            <v>-1.7909999999999999</v>
          </cell>
          <cell r="AF209">
            <v>-1.9430000000000001</v>
          </cell>
          <cell r="AG209">
            <v>-0.34560000000000002</v>
          </cell>
          <cell r="AK209">
            <v>0.5</v>
          </cell>
          <cell r="AN209">
            <v>0.4</v>
          </cell>
          <cell r="AO209">
            <v>0.1</v>
          </cell>
          <cell r="AP209">
            <v>0</v>
          </cell>
          <cell r="AR209">
            <v>1</v>
          </cell>
          <cell r="AS209">
            <v>0.86736000000000002</v>
          </cell>
          <cell r="AT209">
            <v>0.86736000000000002</v>
          </cell>
        </row>
        <row r="210">
          <cell r="A210">
            <v>33908</v>
          </cell>
          <cell r="B210">
            <v>0.34549999999999997</v>
          </cell>
          <cell r="C210">
            <v>1.5018</v>
          </cell>
          <cell r="D210">
            <v>-0.8</v>
          </cell>
          <cell r="E210">
            <v>2.3946999999999998</v>
          </cell>
          <cell r="F210">
            <v>3.4695999999999998</v>
          </cell>
          <cell r="G210">
            <v>1.3202</v>
          </cell>
          <cell r="H210">
            <v>3.1560000000000001</v>
          </cell>
          <cell r="I210">
            <v>4.1120000000000001</v>
          </cell>
          <cell r="J210">
            <v>2.3340000000000001</v>
          </cell>
          <cell r="K210">
            <v>4.1615000000000002</v>
          </cell>
          <cell r="N210">
            <v>3.1560000000000001</v>
          </cell>
          <cell r="O210">
            <v>4.1120000000000001</v>
          </cell>
          <cell r="P210">
            <v>2.3340000000000001</v>
          </cell>
          <cell r="Q210">
            <v>4.2492000000000001</v>
          </cell>
          <cell r="R210">
            <v>2.9990000000000001</v>
          </cell>
          <cell r="S210">
            <v>0.99</v>
          </cell>
          <cell r="U210">
            <v>-4.391</v>
          </cell>
          <cell r="W210">
            <v>-1.3258000000000001</v>
          </cell>
          <cell r="X210">
            <v>-1.1299999999999999</v>
          </cell>
          <cell r="AA210">
            <v>-5.2150999999999996</v>
          </cell>
          <cell r="AB210">
            <v>-5.1733000000000002</v>
          </cell>
          <cell r="AC210">
            <v>-5.2546999999999997</v>
          </cell>
          <cell r="AF210">
            <v>-5.2150999999999996</v>
          </cell>
          <cell r="AG210">
            <v>-0.1472</v>
          </cell>
          <cell r="AK210">
            <v>0.5</v>
          </cell>
          <cell r="AN210">
            <v>0.4</v>
          </cell>
          <cell r="AO210">
            <v>0.1</v>
          </cell>
          <cell r="AP210">
            <v>0</v>
          </cell>
          <cell r="AR210">
            <v>1</v>
          </cell>
          <cell r="AS210">
            <v>-0.87908000000000008</v>
          </cell>
          <cell r="AT210">
            <v>-0.87908000000000008</v>
          </cell>
        </row>
        <row r="211">
          <cell r="A211">
            <v>33938</v>
          </cell>
          <cell r="B211">
            <v>3.4049999999999998</v>
          </cell>
          <cell r="C211">
            <v>4.0350000000000001</v>
          </cell>
          <cell r="D211">
            <v>2.71</v>
          </cell>
          <cell r="E211">
            <v>5.5880999999999998</v>
          </cell>
          <cell r="F211">
            <v>7.1802999999999999</v>
          </cell>
          <cell r="G211">
            <v>3.9098000000000002</v>
          </cell>
          <cell r="H211">
            <v>7.6580000000000004</v>
          </cell>
          <cell r="I211">
            <v>9.3330000000000002</v>
          </cell>
          <cell r="J211">
            <v>6.1870000000000003</v>
          </cell>
          <cell r="K211">
            <v>8.6038999999999994</v>
          </cell>
          <cell r="N211">
            <v>7.6580000000000004</v>
          </cell>
          <cell r="O211">
            <v>9.3330000000000002</v>
          </cell>
          <cell r="P211">
            <v>6.1870000000000003</v>
          </cell>
          <cell r="Q211">
            <v>8.0510000000000002</v>
          </cell>
          <cell r="R211">
            <v>6.5789999999999997</v>
          </cell>
          <cell r="S211">
            <v>4.1150000000000002</v>
          </cell>
          <cell r="U211">
            <v>0.55300000000000005</v>
          </cell>
          <cell r="W211">
            <v>2.2599999999999999E-2</v>
          </cell>
          <cell r="X211">
            <v>-0.12</v>
          </cell>
          <cell r="AA211">
            <v>0.97170000000000001</v>
          </cell>
          <cell r="AB211">
            <v>1.4237</v>
          </cell>
          <cell r="AC211">
            <v>0.52139999999999997</v>
          </cell>
          <cell r="AF211">
            <v>0.97170000000000001</v>
          </cell>
          <cell r="AG211">
            <v>-0.1472</v>
          </cell>
          <cell r="AK211">
            <v>0.5</v>
          </cell>
          <cell r="AN211">
            <v>0.4</v>
          </cell>
          <cell r="AO211">
            <v>0.1</v>
          </cell>
          <cell r="AP211">
            <v>0</v>
          </cell>
          <cell r="AR211">
            <v>1</v>
          </cell>
          <cell r="AS211">
            <v>1.8087099999999998</v>
          </cell>
          <cell r="AT211">
            <v>1.8087099999999998</v>
          </cell>
        </row>
        <row r="212">
          <cell r="A212">
            <v>33969</v>
          </cell>
          <cell r="B212">
            <v>1.2273000000000001</v>
          </cell>
          <cell r="C212">
            <v>0.65710000000000002</v>
          </cell>
          <cell r="D212">
            <v>1.81</v>
          </cell>
          <cell r="E212">
            <v>3.3542999999999998</v>
          </cell>
          <cell r="F212">
            <v>2.84</v>
          </cell>
          <cell r="G212">
            <v>3.7507000000000001</v>
          </cell>
          <cell r="H212">
            <v>3.4809999999999999</v>
          </cell>
          <cell r="I212">
            <v>2.7440000000000002</v>
          </cell>
          <cell r="J212">
            <v>4.1470000000000002</v>
          </cell>
          <cell r="K212">
            <v>3.5571999999999999</v>
          </cell>
          <cell r="N212">
            <v>3.4809999999999999</v>
          </cell>
          <cell r="O212">
            <v>2.7440000000000002</v>
          </cell>
          <cell r="P212">
            <v>4.1470000000000002</v>
          </cell>
          <cell r="Q212">
            <v>2.9462999999999999</v>
          </cell>
          <cell r="R212">
            <v>3.4980000000000002</v>
          </cell>
          <cell r="S212">
            <v>1.786</v>
          </cell>
          <cell r="U212">
            <v>0.83499999999999996</v>
          </cell>
          <cell r="W212">
            <v>1.5901000000000001</v>
          </cell>
          <cell r="X212">
            <v>1.32</v>
          </cell>
          <cell r="AA212">
            <v>0.54749999999999999</v>
          </cell>
          <cell r="AB212">
            <v>0.14799999999999999</v>
          </cell>
          <cell r="AC212">
            <v>0.93240000000000001</v>
          </cell>
          <cell r="AF212">
            <v>0.54749999999999999</v>
          </cell>
          <cell r="AG212">
            <v>-0.1472</v>
          </cell>
          <cell r="AK212">
            <v>0.5</v>
          </cell>
          <cell r="AN212">
            <v>0.4</v>
          </cell>
          <cell r="AO212">
            <v>0.1</v>
          </cell>
          <cell r="AP212">
            <v>0</v>
          </cell>
          <cell r="AR212">
            <v>1</v>
          </cell>
          <cell r="AS212">
            <v>1.3044400000000003</v>
          </cell>
          <cell r="AT212">
            <v>1.3044400000000003</v>
          </cell>
        </row>
        <row r="213">
          <cell r="A213">
            <v>34000</v>
          </cell>
          <cell r="B213">
            <v>0.83599999999999997</v>
          </cell>
          <cell r="C213">
            <v>-1.075</v>
          </cell>
          <cell r="D213">
            <v>2.76</v>
          </cell>
          <cell r="E213">
            <v>1.2507999999999999</v>
          </cell>
          <cell r="F213">
            <v>0.47010000000000002</v>
          </cell>
          <cell r="G213">
            <v>2.0398000000000001</v>
          </cell>
          <cell r="H213">
            <v>3.3820000000000001</v>
          </cell>
          <cell r="I213">
            <v>1.24</v>
          </cell>
          <cell r="J213">
            <v>5.306</v>
          </cell>
          <cell r="K213">
            <v>2.6823000000000001</v>
          </cell>
          <cell r="N213">
            <v>3.3820000000000001</v>
          </cell>
          <cell r="O213">
            <v>1.24</v>
          </cell>
          <cell r="P213">
            <v>5.306</v>
          </cell>
          <cell r="Q213">
            <v>0.69940000000000002</v>
          </cell>
          <cell r="R213">
            <v>2.4009999999999998</v>
          </cell>
          <cell r="S213">
            <v>0.97699999999999998</v>
          </cell>
          <cell r="U213">
            <v>-1.2E-2</v>
          </cell>
          <cell r="W213">
            <v>1.9176</v>
          </cell>
          <cell r="X213">
            <v>1.71</v>
          </cell>
          <cell r="AA213">
            <v>1.7299999999999999E-2</v>
          </cell>
          <cell r="AB213">
            <v>-0.88700000000000001</v>
          </cell>
          <cell r="AC213">
            <v>0.94850000000000001</v>
          </cell>
          <cell r="AF213">
            <v>1.7299999999999999E-2</v>
          </cell>
          <cell r="AG213">
            <v>-0.94589999999999996</v>
          </cell>
          <cell r="AK213">
            <v>0.5</v>
          </cell>
          <cell r="AN213">
            <v>0.4</v>
          </cell>
          <cell r="AO213">
            <v>0.1</v>
          </cell>
          <cell r="AP213">
            <v>0</v>
          </cell>
          <cell r="AR213">
            <v>1</v>
          </cell>
          <cell r="AS213">
            <v>1.1867700000000001</v>
          </cell>
          <cell r="AT213">
            <v>1.1867700000000001</v>
          </cell>
        </row>
        <row r="214">
          <cell r="A214">
            <v>34028</v>
          </cell>
          <cell r="B214">
            <v>1.363</v>
          </cell>
          <cell r="C214">
            <v>-0.80989999999999995</v>
          </cell>
          <cell r="D214">
            <v>3.45</v>
          </cell>
          <cell r="E214">
            <v>-1.3989</v>
          </cell>
          <cell r="F214">
            <v>-4.2599</v>
          </cell>
          <cell r="G214">
            <v>1.54</v>
          </cell>
          <cell r="H214">
            <v>-2.306</v>
          </cell>
          <cell r="I214">
            <v>-5.431</v>
          </cell>
          <cell r="J214">
            <v>0.4</v>
          </cell>
          <cell r="K214">
            <v>-2.8454999999999999</v>
          </cell>
          <cell r="N214">
            <v>-2.306</v>
          </cell>
          <cell r="O214">
            <v>-5.431</v>
          </cell>
          <cell r="P214">
            <v>0.4</v>
          </cell>
          <cell r="Q214">
            <v>-5.0214999999999996</v>
          </cell>
          <cell r="R214">
            <v>-1.401</v>
          </cell>
          <cell r="S214">
            <v>0.65100000000000002</v>
          </cell>
          <cell r="U214">
            <v>3.06</v>
          </cell>
          <cell r="W214">
            <v>1.7504999999999999</v>
          </cell>
          <cell r="X214">
            <v>1.36</v>
          </cell>
          <cell r="AA214">
            <v>3.0506000000000002</v>
          </cell>
          <cell r="AB214">
            <v>2.8744999999999998</v>
          </cell>
          <cell r="AC214">
            <v>3.2149999999999999</v>
          </cell>
          <cell r="AF214">
            <v>3.0506000000000002</v>
          </cell>
          <cell r="AG214">
            <v>-0.94589999999999996</v>
          </cell>
          <cell r="AK214">
            <v>0.5</v>
          </cell>
          <cell r="AN214">
            <v>0.4</v>
          </cell>
          <cell r="AO214">
            <v>0.1</v>
          </cell>
          <cell r="AP214">
            <v>0</v>
          </cell>
          <cell r="AR214">
            <v>1</v>
          </cell>
          <cell r="AS214">
            <v>1.68676</v>
          </cell>
          <cell r="AT214">
            <v>1.68676</v>
          </cell>
        </row>
        <row r="215">
          <cell r="A215">
            <v>34059</v>
          </cell>
          <cell r="B215">
            <v>2.1099000000000001</v>
          </cell>
          <cell r="C215">
            <v>1.4129</v>
          </cell>
          <cell r="D215">
            <v>2.76</v>
          </cell>
          <cell r="E215">
            <v>3.4525000000000001</v>
          </cell>
          <cell r="F215">
            <v>2.9994999999999998</v>
          </cell>
          <cell r="G215">
            <v>3.7894999999999999</v>
          </cell>
          <cell r="H215">
            <v>3.2440000000000002</v>
          </cell>
          <cell r="I215">
            <v>2.5760000000000001</v>
          </cell>
          <cell r="J215">
            <v>3.7930000000000001</v>
          </cell>
          <cell r="K215">
            <v>3.8186</v>
          </cell>
          <cell r="N215">
            <v>3.2440000000000002</v>
          </cell>
          <cell r="O215">
            <v>2.5760000000000001</v>
          </cell>
          <cell r="P215">
            <v>3.7930000000000001</v>
          </cell>
          <cell r="Q215">
            <v>3.2397999999999998</v>
          </cell>
          <cell r="R215">
            <v>3.738</v>
          </cell>
          <cell r="S215">
            <v>2.496</v>
          </cell>
          <cell r="U215">
            <v>8.234</v>
          </cell>
          <cell r="W215">
            <v>0.41670000000000001</v>
          </cell>
          <cell r="X215">
            <v>0.48</v>
          </cell>
          <cell r="AA215">
            <v>8.7456999999999994</v>
          </cell>
          <cell r="AB215">
            <v>7.1230000000000002</v>
          </cell>
          <cell r="AC215">
            <v>10.4313</v>
          </cell>
          <cell r="AF215">
            <v>8.7456999999999994</v>
          </cell>
          <cell r="AG215">
            <v>-0.94589999999999996</v>
          </cell>
          <cell r="AK215">
            <v>0.5</v>
          </cell>
          <cell r="AN215">
            <v>0.4</v>
          </cell>
          <cell r="AO215">
            <v>0.1</v>
          </cell>
          <cell r="AP215">
            <v>0</v>
          </cell>
          <cell r="AR215">
            <v>1</v>
          </cell>
          <cell r="AS215">
            <v>2.0962000000000001</v>
          </cell>
          <cell r="AT215">
            <v>2.0962000000000001</v>
          </cell>
        </row>
        <row r="216">
          <cell r="A216">
            <v>34089</v>
          </cell>
          <cell r="B216">
            <v>-2.4171</v>
          </cell>
          <cell r="C216">
            <v>-4.6131000000000002</v>
          </cell>
          <cell r="D216">
            <v>-0.4</v>
          </cell>
          <cell r="E216">
            <v>-2.6166</v>
          </cell>
          <cell r="F216">
            <v>-3.5099</v>
          </cell>
          <cell r="G216">
            <v>-1.74</v>
          </cell>
          <cell r="H216">
            <v>-2.7490000000000001</v>
          </cell>
          <cell r="I216">
            <v>-3.173</v>
          </cell>
          <cell r="J216">
            <v>-2.403</v>
          </cell>
          <cell r="K216">
            <v>-3.6423000000000001</v>
          </cell>
          <cell r="N216">
            <v>-2.7490000000000001</v>
          </cell>
          <cell r="O216">
            <v>-3.173</v>
          </cell>
          <cell r="P216">
            <v>-2.403</v>
          </cell>
          <cell r="Q216">
            <v>-3.7311000000000001</v>
          </cell>
          <cell r="R216">
            <v>-2.8540000000000001</v>
          </cell>
          <cell r="S216">
            <v>-2.6469999999999998</v>
          </cell>
          <cell r="U216">
            <v>8.8330000000000002</v>
          </cell>
          <cell r="W216">
            <v>0.69630000000000003</v>
          </cell>
          <cell r="X216">
            <v>0.7</v>
          </cell>
          <cell r="AA216">
            <v>9.5176999999999996</v>
          </cell>
          <cell r="AB216">
            <v>8.0992999999999995</v>
          </cell>
          <cell r="AC216">
            <v>10.8413</v>
          </cell>
          <cell r="AF216">
            <v>9.5176999999999996</v>
          </cell>
          <cell r="AG216">
            <v>0.25690000000000002</v>
          </cell>
          <cell r="AK216">
            <v>0.5</v>
          </cell>
          <cell r="AN216">
            <v>0.4</v>
          </cell>
          <cell r="AO216">
            <v>0.1</v>
          </cell>
          <cell r="AP216">
            <v>0</v>
          </cell>
          <cell r="AR216">
            <v>1</v>
          </cell>
          <cell r="AS216">
            <v>2.1740000000000093E-2</v>
          </cell>
          <cell r="AT216">
            <v>2.1740000000000093E-2</v>
          </cell>
        </row>
        <row r="217">
          <cell r="A217">
            <v>34120</v>
          </cell>
          <cell r="B217">
            <v>2.6749999999999998</v>
          </cell>
          <cell r="C217">
            <v>3.556</v>
          </cell>
          <cell r="D217">
            <v>1.87</v>
          </cell>
          <cell r="E217">
            <v>4.5552999999999999</v>
          </cell>
          <cell r="F217">
            <v>6.7301000000000002</v>
          </cell>
          <cell r="G217">
            <v>2.4903</v>
          </cell>
          <cell r="H217">
            <v>4.423</v>
          </cell>
          <cell r="I217">
            <v>5.9950000000000001</v>
          </cell>
          <cell r="J217">
            <v>3.145</v>
          </cell>
          <cell r="K217">
            <v>5.3719000000000001</v>
          </cell>
          <cell r="N217">
            <v>4.423</v>
          </cell>
          <cell r="O217">
            <v>5.9950000000000001</v>
          </cell>
          <cell r="P217">
            <v>3.145</v>
          </cell>
          <cell r="Q217">
            <v>6.1593</v>
          </cell>
          <cell r="R217">
            <v>4.0119999999999996</v>
          </cell>
          <cell r="S217">
            <v>2.8719999999999999</v>
          </cell>
          <cell r="U217">
            <v>2.226</v>
          </cell>
          <cell r="W217">
            <v>0.1273</v>
          </cell>
          <cell r="X217">
            <v>0.08</v>
          </cell>
          <cell r="AA217">
            <v>2.1364000000000001</v>
          </cell>
          <cell r="AB217">
            <v>2.9636</v>
          </cell>
          <cell r="AC217">
            <v>1.3496999999999999</v>
          </cell>
          <cell r="AF217">
            <v>2.1364000000000001</v>
          </cell>
          <cell r="AG217">
            <v>0.25690000000000002</v>
          </cell>
          <cell r="AK217">
            <v>0.5</v>
          </cell>
          <cell r="AN217">
            <v>0.4</v>
          </cell>
          <cell r="AO217">
            <v>0.1</v>
          </cell>
          <cell r="AP217">
            <v>0</v>
          </cell>
          <cell r="AR217">
            <v>1</v>
          </cell>
          <cell r="AS217">
            <v>1.60206</v>
          </cell>
          <cell r="AT217">
            <v>1.60206</v>
          </cell>
        </row>
        <row r="218">
          <cell r="A218">
            <v>34150</v>
          </cell>
          <cell r="B218">
            <v>0.29289999999999999</v>
          </cell>
          <cell r="C218">
            <v>-0.8518</v>
          </cell>
          <cell r="D218">
            <v>1.32</v>
          </cell>
          <cell r="E218">
            <v>0.50149999999999995</v>
          </cell>
          <cell r="F218">
            <v>-0.1</v>
          </cell>
          <cell r="G218">
            <v>1.1203000000000001</v>
          </cell>
          <cell r="H218">
            <v>0.621</v>
          </cell>
          <cell r="I218">
            <v>0.23799999999999999</v>
          </cell>
          <cell r="J218">
            <v>0.94299999999999995</v>
          </cell>
          <cell r="K218">
            <v>0.63239999999999996</v>
          </cell>
          <cell r="N218">
            <v>0.621</v>
          </cell>
          <cell r="O218">
            <v>0.23799999999999999</v>
          </cell>
          <cell r="P218">
            <v>0.94299999999999995</v>
          </cell>
          <cell r="Q218">
            <v>0.2409</v>
          </cell>
          <cell r="R218">
            <v>1.0389999999999999</v>
          </cell>
          <cell r="S218">
            <v>0.65300000000000002</v>
          </cell>
          <cell r="U218">
            <v>-1.1970000000000001</v>
          </cell>
          <cell r="W218">
            <v>1.8123</v>
          </cell>
          <cell r="X218">
            <v>1.27</v>
          </cell>
          <cell r="AA218">
            <v>-1.5370999999999999</v>
          </cell>
          <cell r="AB218">
            <v>-0.8881</v>
          </cell>
          <cell r="AC218">
            <v>-2.1315</v>
          </cell>
          <cell r="AF218">
            <v>-1.5370999999999999</v>
          </cell>
          <cell r="AG218">
            <v>0.25690000000000002</v>
          </cell>
          <cell r="AK218">
            <v>0.5</v>
          </cell>
          <cell r="AN218">
            <v>0.4</v>
          </cell>
          <cell r="AO218">
            <v>0.1</v>
          </cell>
          <cell r="AP218">
            <v>0</v>
          </cell>
          <cell r="AR218">
            <v>1</v>
          </cell>
          <cell r="AS218">
            <v>0.71765999999999996</v>
          </cell>
          <cell r="AT218">
            <v>0.71765999999999996</v>
          </cell>
        </row>
        <row r="219">
          <cell r="A219">
            <v>34181</v>
          </cell>
          <cell r="B219">
            <v>-0.40229999999999999</v>
          </cell>
          <cell r="C219">
            <v>-2.056</v>
          </cell>
          <cell r="D219">
            <v>1.24</v>
          </cell>
          <cell r="E219">
            <v>-0.192</v>
          </cell>
          <cell r="F219">
            <v>-0.11</v>
          </cell>
          <cell r="G219">
            <v>-0.3201</v>
          </cell>
          <cell r="H219">
            <v>1.381</v>
          </cell>
          <cell r="I219">
            <v>0.998</v>
          </cell>
          <cell r="J219">
            <v>1.7170000000000001</v>
          </cell>
          <cell r="K219">
            <v>1.0345</v>
          </cell>
          <cell r="N219">
            <v>1.381</v>
          </cell>
          <cell r="O219">
            <v>0.998</v>
          </cell>
          <cell r="P219">
            <v>1.7170000000000001</v>
          </cell>
          <cell r="Q219">
            <v>8.2400000000000001E-2</v>
          </cell>
          <cell r="R219">
            <v>0.63700000000000001</v>
          </cell>
          <cell r="S219">
            <v>-0.17100000000000001</v>
          </cell>
          <cell r="U219">
            <v>3.3239999999999998</v>
          </cell>
          <cell r="W219">
            <v>0.56559999999999999</v>
          </cell>
          <cell r="X219">
            <v>0.3</v>
          </cell>
          <cell r="AA219">
            <v>3.5234999999999999</v>
          </cell>
          <cell r="AB219">
            <v>2.9365000000000001</v>
          </cell>
          <cell r="AC219">
            <v>4.0811000000000002</v>
          </cell>
          <cell r="AF219">
            <v>3.5234999999999999</v>
          </cell>
          <cell r="AG219">
            <v>-7.9500000000000001E-2</v>
          </cell>
          <cell r="AK219">
            <v>0.5</v>
          </cell>
          <cell r="AN219">
            <v>0.4</v>
          </cell>
          <cell r="AO219">
            <v>0.1</v>
          </cell>
          <cell r="AP219">
            <v>0</v>
          </cell>
          <cell r="AR219">
            <v>1</v>
          </cell>
          <cell r="AS219">
            <v>0.37744</v>
          </cell>
          <cell r="AT219">
            <v>0.37744</v>
          </cell>
        </row>
        <row r="220">
          <cell r="A220">
            <v>34212</v>
          </cell>
          <cell r="B220">
            <v>3.7944</v>
          </cell>
          <cell r="C220">
            <v>3.6467999999999998</v>
          </cell>
          <cell r="D220">
            <v>3.92</v>
          </cell>
          <cell r="E220">
            <v>4.1294000000000004</v>
          </cell>
          <cell r="F220">
            <v>4.7896999999999998</v>
          </cell>
          <cell r="G220">
            <v>3.57</v>
          </cell>
          <cell r="H220">
            <v>4.3179999999999996</v>
          </cell>
          <cell r="I220">
            <v>4.7889999999999997</v>
          </cell>
          <cell r="J220">
            <v>3.9079999999999999</v>
          </cell>
          <cell r="K220">
            <v>5.2816000000000001</v>
          </cell>
          <cell r="N220">
            <v>4.3179999999999996</v>
          </cell>
          <cell r="O220">
            <v>4.7889999999999997</v>
          </cell>
          <cell r="P220">
            <v>3.9079999999999999</v>
          </cell>
          <cell r="Q220">
            <v>5.2690000000000001</v>
          </cell>
          <cell r="R220">
            <v>4.4260000000000002</v>
          </cell>
          <cell r="S220">
            <v>3.8889999999999998</v>
          </cell>
          <cell r="U220">
            <v>5.367</v>
          </cell>
          <cell r="W220">
            <v>1.7527999999999999</v>
          </cell>
          <cell r="X220">
            <v>1.17</v>
          </cell>
          <cell r="AA220">
            <v>5.4210000000000003</v>
          </cell>
          <cell r="AB220">
            <v>5.1271000000000004</v>
          </cell>
          <cell r="AC220">
            <v>5.6779999999999999</v>
          </cell>
          <cell r="AF220">
            <v>5.4210000000000003</v>
          </cell>
          <cell r="AG220">
            <v>-7.9500000000000001E-2</v>
          </cell>
          <cell r="AK220">
            <v>0.5</v>
          </cell>
          <cell r="AN220">
            <v>0.4</v>
          </cell>
          <cell r="AO220">
            <v>0.1</v>
          </cell>
          <cell r="AP220">
            <v>0</v>
          </cell>
          <cell r="AR220">
            <v>1</v>
          </cell>
          <cell r="AS220">
            <v>3.1404200000000002</v>
          </cell>
          <cell r="AT220">
            <v>3.1404200000000002</v>
          </cell>
        </row>
        <row r="221">
          <cell r="A221">
            <v>34242</v>
          </cell>
          <cell r="B221">
            <v>-0.76570000000000005</v>
          </cell>
          <cell r="C221">
            <v>-1.534</v>
          </cell>
          <cell r="D221">
            <v>-0.04</v>
          </cell>
          <cell r="E221">
            <v>1.0562</v>
          </cell>
          <cell r="F221">
            <v>1.7601</v>
          </cell>
          <cell r="G221">
            <v>0.16969999999999999</v>
          </cell>
          <cell r="H221">
            <v>2.8220000000000001</v>
          </cell>
          <cell r="I221">
            <v>3.3029999999999999</v>
          </cell>
          <cell r="J221">
            <v>2.3969999999999998</v>
          </cell>
          <cell r="K221">
            <v>3.6297000000000001</v>
          </cell>
          <cell r="N221">
            <v>2.8220000000000001</v>
          </cell>
          <cell r="O221">
            <v>3.3029999999999999</v>
          </cell>
          <cell r="P221">
            <v>2.3969999999999998</v>
          </cell>
          <cell r="Q221">
            <v>2.5682999999999998</v>
          </cell>
          <cell r="R221">
            <v>1.885</v>
          </cell>
          <cell r="S221">
            <v>-1.2E-2</v>
          </cell>
          <cell r="U221">
            <v>-2.056</v>
          </cell>
          <cell r="W221">
            <v>0.2747</v>
          </cell>
          <cell r="X221">
            <v>0.3</v>
          </cell>
          <cell r="AA221">
            <v>-2.2290000000000001</v>
          </cell>
          <cell r="AB221">
            <v>-2.4232</v>
          </cell>
          <cell r="AC221">
            <v>-2.0310000000000001</v>
          </cell>
          <cell r="AF221">
            <v>-2.2290000000000001</v>
          </cell>
          <cell r="AG221">
            <v>-7.9500000000000001E-2</v>
          </cell>
          <cell r="AK221">
            <v>0.5</v>
          </cell>
          <cell r="AN221">
            <v>0.4</v>
          </cell>
          <cell r="AO221">
            <v>0.1</v>
          </cell>
          <cell r="AP221">
            <v>0</v>
          </cell>
          <cell r="AR221">
            <v>1</v>
          </cell>
          <cell r="AS221">
            <v>-0.49587000000000003</v>
          </cell>
          <cell r="AT221">
            <v>-0.49587000000000003</v>
          </cell>
        </row>
        <row r="222">
          <cell r="A222">
            <v>34273</v>
          </cell>
          <cell r="B222">
            <v>2.0672999999999999</v>
          </cell>
          <cell r="C222">
            <v>3.72</v>
          </cell>
          <cell r="D222">
            <v>0.54300000000000004</v>
          </cell>
          <cell r="E222">
            <v>0.3266</v>
          </cell>
          <cell r="F222">
            <v>1.0403</v>
          </cell>
          <cell r="G222">
            <v>-0.38019999999999998</v>
          </cell>
          <cell r="H222">
            <v>2.5750000000000002</v>
          </cell>
          <cell r="I222">
            <v>2.8919999999999999</v>
          </cell>
          <cell r="J222">
            <v>2.29</v>
          </cell>
          <cell r="K222">
            <v>1.9160999999999999</v>
          </cell>
          <cell r="N222">
            <v>2.5750000000000002</v>
          </cell>
          <cell r="O222">
            <v>2.8919999999999999</v>
          </cell>
          <cell r="P222">
            <v>2.29</v>
          </cell>
          <cell r="Q222">
            <v>1.9671000000000001</v>
          </cell>
          <cell r="R222">
            <v>1.1990000000000001</v>
          </cell>
          <cell r="S222">
            <v>1.43</v>
          </cell>
          <cell r="U222">
            <v>3.617</v>
          </cell>
          <cell r="W222">
            <v>0.37369999999999998</v>
          </cell>
          <cell r="X222">
            <v>0.28000000000000003</v>
          </cell>
          <cell r="AA222">
            <v>3.1036999999999999</v>
          </cell>
          <cell r="AB222">
            <v>3.1692</v>
          </cell>
          <cell r="AC222">
            <v>3.0228999999999999</v>
          </cell>
          <cell r="AF222">
            <v>3.1036999999999999</v>
          </cell>
          <cell r="AG222">
            <v>0.3664</v>
          </cell>
          <cell r="AK222">
            <v>0.5</v>
          </cell>
          <cell r="AN222">
            <v>0.4</v>
          </cell>
          <cell r="AO222">
            <v>0.1</v>
          </cell>
          <cell r="AP222">
            <v>0</v>
          </cell>
          <cell r="AR222">
            <v>1</v>
          </cell>
          <cell r="AS222">
            <v>1.4935</v>
          </cell>
          <cell r="AT222">
            <v>1.4935</v>
          </cell>
        </row>
        <row r="223">
          <cell r="A223">
            <v>34303</v>
          </cell>
          <cell r="B223">
            <v>-0.95320000000000005</v>
          </cell>
          <cell r="C223">
            <v>-7.0000000000000007E-2</v>
          </cell>
          <cell r="D223">
            <v>-1.7889999999999999</v>
          </cell>
          <cell r="E223">
            <v>-2.2121</v>
          </cell>
          <cell r="F223">
            <v>-2.0001000000000002</v>
          </cell>
          <cell r="G223">
            <v>-2.8199000000000001</v>
          </cell>
          <cell r="H223">
            <v>-3.258</v>
          </cell>
          <cell r="I223">
            <v>-4.0449999999999999</v>
          </cell>
          <cell r="J223">
            <v>-2.5449999999999999</v>
          </cell>
          <cell r="K223">
            <v>-3.58</v>
          </cell>
          <cell r="N223">
            <v>-3.258</v>
          </cell>
          <cell r="O223">
            <v>-4.0449999999999999</v>
          </cell>
          <cell r="P223">
            <v>-2.5449999999999999</v>
          </cell>
          <cell r="Q223">
            <v>-3.6261999999999999</v>
          </cell>
          <cell r="R223">
            <v>-3.2090000000000001</v>
          </cell>
          <cell r="S223">
            <v>-1.5449999999999999</v>
          </cell>
          <cell r="U223">
            <v>-7.6159999999999997</v>
          </cell>
          <cell r="W223">
            <v>-0.85070000000000001</v>
          </cell>
          <cell r="X223">
            <v>-0.42</v>
          </cell>
          <cell r="AA223">
            <v>-8.7200000000000006</v>
          </cell>
          <cell r="AB223">
            <v>-9.7888000000000002</v>
          </cell>
          <cell r="AC223">
            <v>-7.6982999999999997</v>
          </cell>
          <cell r="AF223">
            <v>-8.7200000000000006</v>
          </cell>
          <cell r="AG223">
            <v>0.3664</v>
          </cell>
          <cell r="AK223">
            <v>0.5</v>
          </cell>
          <cell r="AN223">
            <v>0.4</v>
          </cell>
          <cell r="AO223">
            <v>0.1</v>
          </cell>
          <cell r="AP223">
            <v>0</v>
          </cell>
          <cell r="AR223">
            <v>1</v>
          </cell>
          <cell r="AS223">
            <v>-1.6888800000000002</v>
          </cell>
          <cell r="AT223">
            <v>-1.6888800000000002</v>
          </cell>
        </row>
        <row r="224">
          <cell r="A224">
            <v>34334</v>
          </cell>
          <cell r="B224">
            <v>1.2091000000000001</v>
          </cell>
          <cell r="C224">
            <v>0.70009999999999994</v>
          </cell>
          <cell r="D224">
            <v>1.702</v>
          </cell>
          <cell r="E224">
            <v>4.6425000000000001</v>
          </cell>
          <cell r="F224">
            <v>5.73</v>
          </cell>
          <cell r="G224">
            <v>3.4603000000000002</v>
          </cell>
          <cell r="H224">
            <v>3.4169999999999998</v>
          </cell>
          <cell r="I224">
            <v>3.9460000000000002</v>
          </cell>
          <cell r="J224">
            <v>2.9420000000000002</v>
          </cell>
          <cell r="K224">
            <v>3.6242999999999999</v>
          </cell>
          <cell r="N224">
            <v>3.4169999999999998</v>
          </cell>
          <cell r="O224">
            <v>3.9460000000000002</v>
          </cell>
          <cell r="P224">
            <v>2.9420000000000002</v>
          </cell>
          <cell r="Q224">
            <v>4.3971999999999998</v>
          </cell>
          <cell r="R224">
            <v>3.9129999999999998</v>
          </cell>
          <cell r="S224">
            <v>1.96</v>
          </cell>
          <cell r="U224">
            <v>7.8</v>
          </cell>
          <cell r="W224">
            <v>0.54200000000000004</v>
          </cell>
          <cell r="X224">
            <v>0.57999999999999996</v>
          </cell>
          <cell r="AA224">
            <v>7.2434000000000003</v>
          </cell>
          <cell r="AB224">
            <v>5.9137000000000004</v>
          </cell>
          <cell r="AC224">
            <v>8.3033000000000001</v>
          </cell>
          <cell r="AF224">
            <v>7.2434000000000003</v>
          </cell>
          <cell r="AG224">
            <v>0.3664</v>
          </cell>
          <cell r="AK224">
            <v>0.5</v>
          </cell>
          <cell r="AN224">
            <v>0.4</v>
          </cell>
          <cell r="AO224">
            <v>0.1</v>
          </cell>
          <cell r="AP224">
            <v>0</v>
          </cell>
          <cell r="AR224">
            <v>1</v>
          </cell>
          <cell r="AS224">
            <v>1.54569</v>
          </cell>
          <cell r="AT224">
            <v>1.54569</v>
          </cell>
        </row>
        <row r="225">
          <cell r="A225">
            <v>34365</v>
          </cell>
          <cell r="B225">
            <v>3.3997000000000002</v>
          </cell>
          <cell r="C225">
            <v>2.1377000000000002</v>
          </cell>
          <cell r="D225">
            <v>4.6619999999999999</v>
          </cell>
          <cell r="E225">
            <v>2.3260999999999998</v>
          </cell>
          <cell r="F225">
            <v>2.1595</v>
          </cell>
          <cell r="G225">
            <v>2.4998</v>
          </cell>
          <cell r="H225">
            <v>3.133</v>
          </cell>
          <cell r="I225">
            <v>2.6619999999999999</v>
          </cell>
          <cell r="J225">
            <v>3.5619999999999998</v>
          </cell>
          <cell r="K225">
            <v>2.3576000000000001</v>
          </cell>
          <cell r="L225">
            <v>2.16</v>
          </cell>
          <cell r="M225">
            <v>2.4900000000000002</v>
          </cell>
          <cell r="N225">
            <v>3.133</v>
          </cell>
          <cell r="O225">
            <v>2.6619999999999999</v>
          </cell>
          <cell r="P225">
            <v>3.5619999999999998</v>
          </cell>
          <cell r="Q225">
            <v>2.8835000000000002</v>
          </cell>
          <cell r="R225">
            <v>3.1579999999999999</v>
          </cell>
          <cell r="S225">
            <v>3.06</v>
          </cell>
          <cell r="U225">
            <v>8.2240000000000002</v>
          </cell>
          <cell r="W225">
            <v>1.3502000000000001</v>
          </cell>
          <cell r="X225">
            <v>1.06</v>
          </cell>
          <cell r="AA225">
            <v>8.4761000000000006</v>
          </cell>
          <cell r="AB225">
            <v>7.5373999999999999</v>
          </cell>
          <cell r="AC225">
            <v>9.3362999999999996</v>
          </cell>
          <cell r="AF225">
            <v>8.4761000000000006</v>
          </cell>
          <cell r="AG225">
            <v>-8.4099999999999994E-2</v>
          </cell>
          <cell r="AK225">
            <v>0.5</v>
          </cell>
          <cell r="AN225">
            <v>0.4</v>
          </cell>
          <cell r="AO225">
            <v>0.1</v>
          </cell>
          <cell r="AP225">
            <v>0</v>
          </cell>
          <cell r="AR225">
            <v>1</v>
          </cell>
          <cell r="AS225">
            <v>3.0875400000000002</v>
          </cell>
          <cell r="AT225">
            <v>3.0875400000000002</v>
          </cell>
        </row>
        <row r="226">
          <cell r="A226">
            <v>34393</v>
          </cell>
          <cell r="B226">
            <v>-2.7141999999999999</v>
          </cell>
          <cell r="C226">
            <v>-1.7873000000000001</v>
          </cell>
          <cell r="D226">
            <v>-3.6179999999999999</v>
          </cell>
          <cell r="E226">
            <v>-1.419</v>
          </cell>
          <cell r="F226">
            <v>-1.2097</v>
          </cell>
          <cell r="G226">
            <v>-1.6198999999999999</v>
          </cell>
          <cell r="H226">
            <v>-0.36299999999999999</v>
          </cell>
          <cell r="I226">
            <v>-0.44</v>
          </cell>
          <cell r="J226">
            <v>-0.29299999999999998</v>
          </cell>
          <cell r="K226">
            <v>-0.29070000000000001</v>
          </cell>
          <cell r="L226">
            <v>-0.33</v>
          </cell>
          <cell r="M226">
            <v>-0.23</v>
          </cell>
          <cell r="N226">
            <v>-0.36299999999999999</v>
          </cell>
          <cell r="O226">
            <v>-0.44</v>
          </cell>
          <cell r="P226">
            <v>-0.29299999999999998</v>
          </cell>
          <cell r="Q226">
            <v>0.16900000000000001</v>
          </cell>
          <cell r="R226">
            <v>-0.36299999999999999</v>
          </cell>
          <cell r="S226">
            <v>-2.4209999999999998</v>
          </cell>
          <cell r="U226">
            <v>-0.75600000000000001</v>
          </cell>
          <cell r="W226">
            <v>-1.7373000000000001</v>
          </cell>
          <cell r="X226">
            <v>-1.18</v>
          </cell>
          <cell r="AA226">
            <v>-0.25640000000000002</v>
          </cell>
          <cell r="AB226">
            <v>-0.73780000000000001</v>
          </cell>
          <cell r="AC226">
            <v>0.1913</v>
          </cell>
          <cell r="AF226">
            <v>-0.25640000000000002</v>
          </cell>
          <cell r="AG226">
            <v>-8.4099999999999994E-2</v>
          </cell>
          <cell r="AK226">
            <v>0.5</v>
          </cell>
          <cell r="AN226">
            <v>0.4</v>
          </cell>
          <cell r="AO226">
            <v>0.1</v>
          </cell>
          <cell r="AP226">
            <v>0</v>
          </cell>
          <cell r="AR226">
            <v>1</v>
          </cell>
          <cell r="AS226">
            <v>-2.0776600000000003</v>
          </cell>
          <cell r="AT226">
            <v>-2.0776600000000003</v>
          </cell>
        </row>
        <row r="227">
          <cell r="A227">
            <v>34424</v>
          </cell>
          <cell r="B227">
            <v>-4.3597000000000001</v>
          </cell>
          <cell r="C227">
            <v>-4.6172000000000004</v>
          </cell>
          <cell r="D227">
            <v>-4.1130000000000004</v>
          </cell>
          <cell r="E227">
            <v>-4.6318000000000001</v>
          </cell>
          <cell r="F227">
            <v>-5.4999000000000002</v>
          </cell>
          <cell r="G227">
            <v>-3.6002999999999998</v>
          </cell>
          <cell r="H227">
            <v>-5.2670000000000003</v>
          </cell>
          <cell r="I227">
            <v>-6.1429999999999998</v>
          </cell>
          <cell r="J227">
            <v>-4.4749999999999996</v>
          </cell>
          <cell r="K227">
            <v>-7.1809000000000003</v>
          </cell>
          <cell r="L227">
            <v>-7.42</v>
          </cell>
          <cell r="M227">
            <v>-5.31</v>
          </cell>
          <cell r="N227">
            <v>-5.2670000000000003</v>
          </cell>
          <cell r="O227">
            <v>-6.1429999999999998</v>
          </cell>
          <cell r="P227">
            <v>-4.4749999999999996</v>
          </cell>
          <cell r="Q227">
            <v>-5.8182999999999998</v>
          </cell>
          <cell r="R227">
            <v>-4.8650000000000002</v>
          </cell>
          <cell r="S227">
            <v>-4.37</v>
          </cell>
          <cell r="U227">
            <v>-4.58</v>
          </cell>
          <cell r="W227">
            <v>-2.4653999999999998</v>
          </cell>
          <cell r="X227">
            <v>-1.98</v>
          </cell>
          <cell r="AA227">
            <v>-4.2858000000000001</v>
          </cell>
          <cell r="AB227">
            <v>-4.9039000000000001</v>
          </cell>
          <cell r="AC227">
            <v>-3.6652</v>
          </cell>
          <cell r="AF227">
            <v>-4.2858000000000001</v>
          </cell>
          <cell r="AG227">
            <v>-8.4099999999999994E-2</v>
          </cell>
          <cell r="AK227">
            <v>0.5</v>
          </cell>
          <cell r="AN227">
            <v>0.4</v>
          </cell>
          <cell r="AO227">
            <v>0.1</v>
          </cell>
          <cell r="AP227">
            <v>0</v>
          </cell>
          <cell r="AR227">
            <v>1</v>
          </cell>
          <cell r="AS227">
            <v>-3.5945900000000002</v>
          </cell>
          <cell r="AT227">
            <v>-3.5945900000000002</v>
          </cell>
        </row>
        <row r="228">
          <cell r="A228">
            <v>34454</v>
          </cell>
          <cell r="B228">
            <v>1.2824</v>
          </cell>
          <cell r="C228">
            <v>0.45279999999999998</v>
          </cell>
          <cell r="D228">
            <v>2.1059999999999999</v>
          </cell>
          <cell r="E228">
            <v>0.74399999999999999</v>
          </cell>
          <cell r="F228">
            <v>-0.86009999999999998</v>
          </cell>
          <cell r="G228">
            <v>1.6606000000000001</v>
          </cell>
          <cell r="H228">
            <v>0.59299999999999997</v>
          </cell>
          <cell r="I228">
            <v>0.153</v>
          </cell>
          <cell r="J228">
            <v>0.98299999999999998</v>
          </cell>
          <cell r="K228">
            <v>1.5031000000000001</v>
          </cell>
          <cell r="L228">
            <v>-0.26</v>
          </cell>
          <cell r="M228">
            <v>1.48</v>
          </cell>
          <cell r="N228">
            <v>0.59299999999999997</v>
          </cell>
          <cell r="O228">
            <v>0.153</v>
          </cell>
          <cell r="P228">
            <v>0.98299999999999998</v>
          </cell>
          <cell r="Q228">
            <v>-0.11409999999999999</v>
          </cell>
          <cell r="R228">
            <v>0.58499999999999996</v>
          </cell>
          <cell r="S228">
            <v>1.1439999999999999</v>
          </cell>
          <cell r="U228">
            <v>3.3919999999999999</v>
          </cell>
          <cell r="W228">
            <v>-0.79849999999999999</v>
          </cell>
          <cell r="X228">
            <v>-0.7</v>
          </cell>
          <cell r="AA228">
            <v>4.2652000000000001</v>
          </cell>
          <cell r="AB228">
            <v>4.1449999999999996</v>
          </cell>
          <cell r="AC228">
            <v>4.3757999999999999</v>
          </cell>
          <cell r="AF228">
            <v>4.2652000000000001</v>
          </cell>
          <cell r="AG228">
            <v>0.43359999999999999</v>
          </cell>
          <cell r="AK228">
            <v>0.5</v>
          </cell>
          <cell r="AN228">
            <v>0.4</v>
          </cell>
          <cell r="AO228">
            <v>0.1</v>
          </cell>
          <cell r="AP228">
            <v>0</v>
          </cell>
          <cell r="AR228">
            <v>1</v>
          </cell>
          <cell r="AS228">
            <v>0.74831999999999999</v>
          </cell>
          <cell r="AT228">
            <v>0.74831999999999999</v>
          </cell>
        </row>
        <row r="229">
          <cell r="A229">
            <v>34485</v>
          </cell>
          <cell r="B229">
            <v>1.6411</v>
          </cell>
          <cell r="C229">
            <v>1.6264000000000001</v>
          </cell>
          <cell r="D229">
            <v>1.655</v>
          </cell>
          <cell r="E229">
            <v>-0.9466</v>
          </cell>
          <cell r="F229">
            <v>-2.1602000000000001</v>
          </cell>
          <cell r="G229">
            <v>0.28999999999999998</v>
          </cell>
          <cell r="H229">
            <v>-1.125</v>
          </cell>
          <cell r="I229">
            <v>-2.2410000000000001</v>
          </cell>
          <cell r="J229">
            <v>-0.14299999999999999</v>
          </cell>
          <cell r="K229">
            <v>-1.9761</v>
          </cell>
          <cell r="L229">
            <v>-2.65</v>
          </cell>
          <cell r="M229">
            <v>-1.32</v>
          </cell>
          <cell r="N229">
            <v>-1.125</v>
          </cell>
          <cell r="O229">
            <v>-2.2410000000000001</v>
          </cell>
          <cell r="P229">
            <v>-0.14299999999999999</v>
          </cell>
          <cell r="Q229">
            <v>-2.0066999999999999</v>
          </cell>
          <cell r="R229">
            <v>-1.032</v>
          </cell>
          <cell r="S229">
            <v>1.099</v>
          </cell>
          <cell r="U229">
            <v>3.4000000000000002E-2</v>
          </cell>
          <cell r="W229">
            <v>-1.4E-2</v>
          </cell>
          <cell r="X229">
            <v>0.19</v>
          </cell>
          <cell r="AA229">
            <v>-0.55279999999999996</v>
          </cell>
          <cell r="AB229">
            <v>-1.1475</v>
          </cell>
          <cell r="AC229">
            <v>7.6899999999999996E-2</v>
          </cell>
          <cell r="AF229">
            <v>-0.55279999999999996</v>
          </cell>
          <cell r="AG229">
            <v>0.43359999999999999</v>
          </cell>
          <cell r="AK229">
            <v>0.5</v>
          </cell>
          <cell r="AN229">
            <v>0.4</v>
          </cell>
          <cell r="AO229">
            <v>0.1</v>
          </cell>
          <cell r="AP229">
            <v>0</v>
          </cell>
          <cell r="AR229">
            <v>1</v>
          </cell>
          <cell r="AS229">
            <v>0.75966999999999996</v>
          </cell>
          <cell r="AT229">
            <v>0.75966999999999996</v>
          </cell>
        </row>
        <row r="230">
          <cell r="A230">
            <v>34515</v>
          </cell>
          <cell r="B230">
            <v>-2.4512</v>
          </cell>
          <cell r="C230">
            <v>-2.1331000000000002</v>
          </cell>
          <cell r="D230">
            <v>-2.766</v>
          </cell>
          <cell r="E230">
            <v>-3.4439000000000002</v>
          </cell>
          <cell r="F230">
            <v>-4.9097999999999997</v>
          </cell>
          <cell r="G230">
            <v>-2.0905999999999998</v>
          </cell>
          <cell r="H230">
            <v>-3.3740000000000001</v>
          </cell>
          <cell r="I230">
            <v>-4.2729999999999997</v>
          </cell>
          <cell r="J230">
            <v>-2.5950000000000002</v>
          </cell>
          <cell r="K230">
            <v>-3.7170999999999998</v>
          </cell>
          <cell r="L230">
            <v>-5.08</v>
          </cell>
          <cell r="M230">
            <v>-2.5</v>
          </cell>
          <cell r="N230">
            <v>-3.3740000000000001</v>
          </cell>
          <cell r="O230">
            <v>-4.2729999999999997</v>
          </cell>
          <cell r="P230">
            <v>-2.5950000000000002</v>
          </cell>
          <cell r="Q230">
            <v>-4.4409000000000001</v>
          </cell>
          <cell r="R230">
            <v>-3.1</v>
          </cell>
          <cell r="S230">
            <v>-2.7360000000000002</v>
          </cell>
          <cell r="U230">
            <v>0.70899999999999996</v>
          </cell>
          <cell r="W230">
            <v>-0.221</v>
          </cell>
          <cell r="X230">
            <v>-0.06</v>
          </cell>
          <cell r="AA230">
            <v>1.4356</v>
          </cell>
          <cell r="AB230">
            <v>0.96719999999999995</v>
          </cell>
          <cell r="AC230">
            <v>1.9389000000000001</v>
          </cell>
          <cell r="AF230">
            <v>1.4356</v>
          </cell>
          <cell r="AG230">
            <v>0.43359999999999999</v>
          </cell>
          <cell r="AK230">
            <v>0.5</v>
          </cell>
          <cell r="AN230">
            <v>0.4</v>
          </cell>
          <cell r="AO230">
            <v>0.1</v>
          </cell>
          <cell r="AP230">
            <v>0</v>
          </cell>
          <cell r="AR230">
            <v>1</v>
          </cell>
          <cell r="AS230">
            <v>-1.1704400000000001</v>
          </cell>
          <cell r="AT230">
            <v>-1.1704400000000001</v>
          </cell>
        </row>
        <row r="231">
          <cell r="A231">
            <v>34546</v>
          </cell>
          <cell r="B231">
            <v>3.2837999999999998</v>
          </cell>
          <cell r="C231">
            <v>3.1871</v>
          </cell>
          <cell r="D231">
            <v>3.38</v>
          </cell>
          <cell r="E231">
            <v>3.3860999999999999</v>
          </cell>
          <cell r="F231">
            <v>2.4996999999999998</v>
          </cell>
          <cell r="G231">
            <v>4.1101999999999999</v>
          </cell>
          <cell r="H231">
            <v>1.6439999999999999</v>
          </cell>
          <cell r="I231">
            <v>1.425</v>
          </cell>
          <cell r="J231">
            <v>1.8480000000000001</v>
          </cell>
          <cell r="K231">
            <v>1.2446999999999999</v>
          </cell>
          <cell r="L231">
            <v>0.94</v>
          </cell>
          <cell r="M231">
            <v>1.59</v>
          </cell>
          <cell r="N231">
            <v>1.6439999999999999</v>
          </cell>
          <cell r="O231">
            <v>1.425</v>
          </cell>
          <cell r="P231">
            <v>1.8480000000000001</v>
          </cell>
          <cell r="Q231">
            <v>2.1732999999999998</v>
          </cell>
          <cell r="R231">
            <v>2.71</v>
          </cell>
          <cell r="S231">
            <v>3.101</v>
          </cell>
          <cell r="U231">
            <v>1.6259999999999999</v>
          </cell>
          <cell r="W231">
            <v>1.9863</v>
          </cell>
          <cell r="X231">
            <v>1.64</v>
          </cell>
          <cell r="AA231">
            <v>0.98399999999999999</v>
          </cell>
          <cell r="AB231">
            <v>0.8931</v>
          </cell>
          <cell r="AC231">
            <v>1.0596000000000001</v>
          </cell>
          <cell r="AF231">
            <v>0.98399999999999999</v>
          </cell>
          <cell r="AG231">
            <v>0.50939999999999996</v>
          </cell>
          <cell r="AK231">
            <v>0.5</v>
          </cell>
          <cell r="AN231">
            <v>0.4</v>
          </cell>
          <cell r="AO231">
            <v>0.1</v>
          </cell>
          <cell r="AP231">
            <v>0</v>
          </cell>
          <cell r="AR231">
            <v>1</v>
          </cell>
          <cell r="AS231">
            <v>2.5348199999999999</v>
          </cell>
          <cell r="AT231">
            <v>2.5348199999999999</v>
          </cell>
        </row>
        <row r="232">
          <cell r="A232">
            <v>34577</v>
          </cell>
          <cell r="B232">
            <v>4.0998999999999999</v>
          </cell>
          <cell r="C232">
            <v>5.3429000000000002</v>
          </cell>
          <cell r="D232">
            <v>2.827</v>
          </cell>
          <cell r="E232">
            <v>5.2371999999999996</v>
          </cell>
          <cell r="F232">
            <v>6.7798999999999996</v>
          </cell>
          <cell r="G232">
            <v>3.8403</v>
          </cell>
          <cell r="H232">
            <v>5.57</v>
          </cell>
          <cell r="I232">
            <v>7.3380000000000001</v>
          </cell>
          <cell r="J232">
            <v>3.9329999999999998</v>
          </cell>
          <cell r="K232">
            <v>6.8121</v>
          </cell>
          <cell r="L232">
            <v>8.24</v>
          </cell>
          <cell r="M232">
            <v>5.22</v>
          </cell>
          <cell r="N232">
            <v>5.57</v>
          </cell>
          <cell r="O232">
            <v>7.3380000000000001</v>
          </cell>
          <cell r="P232">
            <v>3.9329999999999998</v>
          </cell>
          <cell r="Q232">
            <v>7.3510999999999997</v>
          </cell>
          <cell r="R232">
            <v>5.4029999999999996</v>
          </cell>
          <cell r="S232">
            <v>4.3570000000000002</v>
          </cell>
          <cell r="U232">
            <v>3.3650000000000002</v>
          </cell>
          <cell r="W232">
            <v>0.1241</v>
          </cell>
          <cell r="X232">
            <v>0.31</v>
          </cell>
          <cell r="AA232">
            <v>2.3895</v>
          </cell>
          <cell r="AB232">
            <v>2.2864</v>
          </cell>
          <cell r="AC232">
            <v>2.4668000000000001</v>
          </cell>
          <cell r="AF232">
            <v>2.3895</v>
          </cell>
          <cell r="AG232">
            <v>0.50939999999999996</v>
          </cell>
          <cell r="AK232">
            <v>0.5</v>
          </cell>
          <cell r="AN232">
            <v>0.4</v>
          </cell>
          <cell r="AO232">
            <v>0.1</v>
          </cell>
          <cell r="AP232">
            <v>0</v>
          </cell>
          <cell r="AR232">
            <v>1</v>
          </cell>
          <cell r="AS232">
            <v>2.3385400000000001</v>
          </cell>
          <cell r="AT232">
            <v>2.3385400000000001</v>
          </cell>
        </row>
        <row r="233">
          <cell r="A233">
            <v>34607</v>
          </cell>
          <cell r="B233">
            <v>-2.4453</v>
          </cell>
          <cell r="C233">
            <v>-1.5804</v>
          </cell>
          <cell r="D233">
            <v>-3.52</v>
          </cell>
          <cell r="E233">
            <v>-1.8661000000000001</v>
          </cell>
          <cell r="F233">
            <v>-1.0793999999999999</v>
          </cell>
          <cell r="G233">
            <v>-2.5200999999999998</v>
          </cell>
          <cell r="H233">
            <v>-0.33900000000000002</v>
          </cell>
          <cell r="I233">
            <v>0.41899999999999998</v>
          </cell>
          <cell r="J233">
            <v>-1.0640000000000001</v>
          </cell>
          <cell r="K233">
            <v>-0.51580000000000004</v>
          </cell>
          <cell r="L233">
            <v>0.55000000000000004</v>
          </cell>
          <cell r="M233">
            <v>-1.5</v>
          </cell>
          <cell r="N233">
            <v>-0.33900000000000002</v>
          </cell>
          <cell r="O233">
            <v>0.41899999999999998</v>
          </cell>
          <cell r="P233">
            <v>-1.0640000000000001</v>
          </cell>
          <cell r="Q233">
            <v>-4.7800000000000002E-2</v>
          </cell>
          <cell r="R233">
            <v>-1.01</v>
          </cell>
          <cell r="S233">
            <v>-2.1280000000000001</v>
          </cell>
          <cell r="U233">
            <v>-2.4750000000000001</v>
          </cell>
          <cell r="W233">
            <v>-1.4718</v>
          </cell>
          <cell r="X233">
            <v>-1.0900000000000001</v>
          </cell>
          <cell r="AA233">
            <v>-3.1276999999999999</v>
          </cell>
          <cell r="AB233">
            <v>-3.3209</v>
          </cell>
          <cell r="AC233">
            <v>-2.9159999999999999</v>
          </cell>
          <cell r="AF233">
            <v>-3.1276999999999999</v>
          </cell>
          <cell r="AG233">
            <v>0.50939999999999996</v>
          </cell>
          <cell r="AK233">
            <v>0.5</v>
          </cell>
          <cell r="AN233">
            <v>0.4</v>
          </cell>
          <cell r="AO233">
            <v>0.1</v>
          </cell>
          <cell r="AP233">
            <v>0</v>
          </cell>
          <cell r="AR233">
            <v>1</v>
          </cell>
          <cell r="AS233">
            <v>-2.1241400000000001</v>
          </cell>
          <cell r="AT233">
            <v>-2.1241400000000001</v>
          </cell>
        </row>
        <row r="234">
          <cell r="A234">
            <v>34638</v>
          </cell>
          <cell r="B234">
            <v>2.2465999999999999</v>
          </cell>
          <cell r="C234">
            <v>2.4885000000000002</v>
          </cell>
          <cell r="D234">
            <v>2.177</v>
          </cell>
          <cell r="E234">
            <v>1.0933999999999999</v>
          </cell>
          <cell r="F234">
            <v>1.5697000000000001</v>
          </cell>
          <cell r="G234">
            <v>0.57969999999999999</v>
          </cell>
          <cell r="H234">
            <v>-0.40400000000000003</v>
          </cell>
          <cell r="I234">
            <v>1.0649999999999999</v>
          </cell>
          <cell r="J234">
            <v>-1.8340000000000001</v>
          </cell>
          <cell r="K234">
            <v>-0.99860000000000004</v>
          </cell>
          <cell r="L234">
            <v>0.41</v>
          </cell>
          <cell r="M234">
            <v>-2.5299999999999998</v>
          </cell>
          <cell r="N234">
            <v>-0.40400000000000003</v>
          </cell>
          <cell r="O234">
            <v>1.0649999999999999</v>
          </cell>
          <cell r="P234">
            <v>-1.8340000000000001</v>
          </cell>
          <cell r="Q234">
            <v>1.7181999999999999</v>
          </cell>
          <cell r="R234">
            <v>0.158</v>
          </cell>
          <cell r="S234">
            <v>1.6519999999999999</v>
          </cell>
          <cell r="U234">
            <v>2.6880000000000002</v>
          </cell>
          <cell r="W234">
            <v>-8.9099999999999999E-2</v>
          </cell>
          <cell r="X234">
            <v>-0.02</v>
          </cell>
          <cell r="AA234">
            <v>3.3532999999999999</v>
          </cell>
          <cell r="AB234">
            <v>2.8203</v>
          </cell>
          <cell r="AC234">
            <v>3.8761999999999999</v>
          </cell>
          <cell r="AF234">
            <v>3.3532999999999999</v>
          </cell>
          <cell r="AG234">
            <v>0.5</v>
          </cell>
          <cell r="AK234">
            <v>0.5</v>
          </cell>
          <cell r="AN234">
            <v>0.4</v>
          </cell>
          <cell r="AO234">
            <v>0.1</v>
          </cell>
          <cell r="AP234">
            <v>0</v>
          </cell>
          <cell r="AR234">
            <v>1</v>
          </cell>
          <cell r="AS234">
            <v>1.42299</v>
          </cell>
          <cell r="AT234">
            <v>1.42299</v>
          </cell>
        </row>
        <row r="235">
          <cell r="A235">
            <v>34668</v>
          </cell>
          <cell r="B235">
            <v>-3.6417999999999999</v>
          </cell>
          <cell r="C235">
            <v>-3.2764000000000002</v>
          </cell>
          <cell r="D235">
            <v>-4.0519999999999996</v>
          </cell>
          <cell r="E235">
            <v>-4.5105000000000004</v>
          </cell>
          <cell r="F235">
            <v>-4.58</v>
          </cell>
          <cell r="G235">
            <v>-4.3901000000000003</v>
          </cell>
          <cell r="H235">
            <v>-4.0410000000000004</v>
          </cell>
          <cell r="I235">
            <v>-4.0460000000000003</v>
          </cell>
          <cell r="J235">
            <v>-4.0369999999999999</v>
          </cell>
          <cell r="K235">
            <v>-3.8182</v>
          </cell>
          <cell r="L235">
            <v>-3.97</v>
          </cell>
          <cell r="M235">
            <v>-3.59</v>
          </cell>
          <cell r="N235">
            <v>-4.0410000000000004</v>
          </cell>
          <cell r="O235">
            <v>-4.0460000000000003</v>
          </cell>
          <cell r="P235">
            <v>-4.0369999999999999</v>
          </cell>
          <cell r="Q235">
            <v>-4.4290000000000003</v>
          </cell>
          <cell r="R235">
            <v>-4.3360000000000003</v>
          </cell>
          <cell r="S235">
            <v>-3.65</v>
          </cell>
          <cell r="U235">
            <v>-4.8239999999999998</v>
          </cell>
          <cell r="W235">
            <v>-0.22209999999999999</v>
          </cell>
          <cell r="X235">
            <v>-0.4</v>
          </cell>
          <cell r="AA235">
            <v>-4.7839999999999998</v>
          </cell>
          <cell r="AB235">
            <v>-4.4775999999999998</v>
          </cell>
          <cell r="AC235">
            <v>-5.0697000000000001</v>
          </cell>
          <cell r="AF235">
            <v>-4.7839999999999998</v>
          </cell>
          <cell r="AG235">
            <v>0.5</v>
          </cell>
          <cell r="AK235">
            <v>0.5</v>
          </cell>
          <cell r="AN235">
            <v>0.4</v>
          </cell>
          <cell r="AO235">
            <v>0.1</v>
          </cell>
          <cell r="AP235">
            <v>0</v>
          </cell>
          <cell r="AR235">
            <v>1</v>
          </cell>
          <cell r="AS235">
            <v>-2.3881399999999999</v>
          </cell>
          <cell r="AT235">
            <v>-2.3881399999999999</v>
          </cell>
        </row>
        <row r="236">
          <cell r="A236">
            <v>34699</v>
          </cell>
          <cell r="B236">
            <v>1.4833000000000001</v>
          </cell>
          <cell r="C236">
            <v>1.7261</v>
          </cell>
          <cell r="D236">
            <v>1.228</v>
          </cell>
          <cell r="E236">
            <v>0.91790000000000005</v>
          </cell>
          <cell r="F236">
            <v>0.77</v>
          </cell>
          <cell r="G236">
            <v>1.1104000000000001</v>
          </cell>
          <cell r="H236">
            <v>2.677</v>
          </cell>
          <cell r="I236">
            <v>2.3559999999999999</v>
          </cell>
          <cell r="J236">
            <v>3.0009999999999999</v>
          </cell>
          <cell r="K236">
            <v>2.4300999999999999</v>
          </cell>
          <cell r="L236">
            <v>2.71</v>
          </cell>
          <cell r="M236">
            <v>2.08</v>
          </cell>
          <cell r="N236">
            <v>2.677</v>
          </cell>
          <cell r="O236">
            <v>2.3559999999999999</v>
          </cell>
          <cell r="P236">
            <v>3.0009999999999999</v>
          </cell>
          <cell r="Q236">
            <v>2.0291000000000001</v>
          </cell>
          <cell r="R236">
            <v>2.16</v>
          </cell>
          <cell r="S236">
            <v>1.55</v>
          </cell>
          <cell r="U236">
            <v>-0.23400000000000001</v>
          </cell>
          <cell r="W236">
            <v>0.6905</v>
          </cell>
          <cell r="X236">
            <v>0.51</v>
          </cell>
          <cell r="AA236">
            <v>0.64980000000000004</v>
          </cell>
          <cell r="AB236">
            <v>1.3087</v>
          </cell>
          <cell r="AC236">
            <v>-2.1499999999999998E-2</v>
          </cell>
          <cell r="AF236">
            <v>0.64980000000000004</v>
          </cell>
          <cell r="AG236">
            <v>0.5</v>
          </cell>
          <cell r="AK236">
            <v>0.5</v>
          </cell>
          <cell r="AN236">
            <v>0.4</v>
          </cell>
          <cell r="AO236">
            <v>0.1</v>
          </cell>
          <cell r="AP236">
            <v>0</v>
          </cell>
          <cell r="AR236">
            <v>1</v>
          </cell>
          <cell r="AS236">
            <v>1.0828300000000002</v>
          </cell>
          <cell r="AT236">
            <v>1.0828300000000002</v>
          </cell>
        </row>
        <row r="237">
          <cell r="A237">
            <v>34730</v>
          </cell>
          <cell r="B237">
            <v>2.5933000000000002</v>
          </cell>
          <cell r="C237">
            <v>2.4803000000000002</v>
          </cell>
          <cell r="D237">
            <v>2.7080000000000002</v>
          </cell>
          <cell r="E237">
            <v>1.0457000000000001</v>
          </cell>
          <cell r="F237">
            <v>-0.47970000000000002</v>
          </cell>
          <cell r="G237">
            <v>2.2498</v>
          </cell>
          <cell r="H237">
            <v>-1.2629999999999999</v>
          </cell>
          <cell r="I237">
            <v>-2.0369999999999999</v>
          </cell>
          <cell r="J237">
            <v>-0.48399999999999999</v>
          </cell>
          <cell r="K237">
            <v>-1.4114</v>
          </cell>
          <cell r="L237">
            <v>-2.57</v>
          </cell>
          <cell r="M237">
            <v>-0.25</v>
          </cell>
          <cell r="N237">
            <v>-1.2629999999999999</v>
          </cell>
          <cell r="O237">
            <v>-2.0369999999999999</v>
          </cell>
          <cell r="P237">
            <v>-0.48399999999999999</v>
          </cell>
          <cell r="Q237">
            <v>-0.97809999999999997</v>
          </cell>
          <cell r="R237">
            <v>-0.20399999999999999</v>
          </cell>
          <cell r="S237">
            <v>2.1920000000000002</v>
          </cell>
          <cell r="U237">
            <v>-4.5350000000000001</v>
          </cell>
          <cell r="W237">
            <v>1.9790000000000001</v>
          </cell>
          <cell r="X237">
            <v>1.84</v>
          </cell>
          <cell r="Z237">
            <v>-0.74</v>
          </cell>
          <cell r="AA237">
            <v>-3.8180999999999998</v>
          </cell>
          <cell r="AB237">
            <v>-3.8180000000000001</v>
          </cell>
          <cell r="AC237">
            <v>-3.8086000000000002</v>
          </cell>
          <cell r="AE237">
            <v>2.2861500000000001</v>
          </cell>
          <cell r="AF237">
            <v>-3.8180999999999998</v>
          </cell>
          <cell r="AG237">
            <v>0.62419999999999998</v>
          </cell>
          <cell r="AK237">
            <v>0.45</v>
          </cell>
          <cell r="AN237">
            <v>0.4</v>
          </cell>
          <cell r="AO237">
            <v>0.15</v>
          </cell>
          <cell r="AP237">
            <v>0</v>
          </cell>
          <cell r="AR237">
            <v>1</v>
          </cell>
          <cell r="AS237">
            <v>1.3858700000000002</v>
          </cell>
          <cell r="AT237">
            <v>1.3858700000000002</v>
          </cell>
          <cell r="AU237">
            <v>0.35</v>
          </cell>
          <cell r="AV237">
            <v>0</v>
          </cell>
          <cell r="AW237">
            <v>0</v>
          </cell>
          <cell r="AY237">
            <v>0.15</v>
          </cell>
          <cell r="BB237">
            <v>0.3</v>
          </cell>
          <cell r="BD237">
            <v>0.2</v>
          </cell>
          <cell r="BE237">
            <v>1</v>
          </cell>
          <cell r="BF237">
            <v>1.3858700000000002</v>
          </cell>
        </row>
        <row r="238">
          <cell r="A238">
            <v>34758</v>
          </cell>
          <cell r="B238">
            <v>3.8971</v>
          </cell>
          <cell r="C238">
            <v>3.9024000000000001</v>
          </cell>
          <cell r="D238">
            <v>3.883</v>
          </cell>
          <cell r="E238">
            <v>5.2419000000000002</v>
          </cell>
          <cell r="F238">
            <v>5.5899000000000001</v>
          </cell>
          <cell r="G238">
            <v>4.8099999999999996</v>
          </cell>
          <cell r="H238">
            <v>4.1630000000000003</v>
          </cell>
          <cell r="I238">
            <v>4.6210000000000004</v>
          </cell>
          <cell r="J238">
            <v>3.7029999999999998</v>
          </cell>
          <cell r="K238">
            <v>4.1214000000000004</v>
          </cell>
          <cell r="L238">
            <v>4.8099999999999996</v>
          </cell>
          <cell r="M238">
            <v>3.43</v>
          </cell>
          <cell r="N238">
            <v>4.1630000000000003</v>
          </cell>
          <cell r="O238">
            <v>4.6210000000000004</v>
          </cell>
          <cell r="P238">
            <v>3.7029999999999998</v>
          </cell>
          <cell r="Q238">
            <v>5.4382000000000001</v>
          </cell>
          <cell r="R238">
            <v>5.0309999999999997</v>
          </cell>
          <cell r="S238">
            <v>4.085</v>
          </cell>
          <cell r="U238">
            <v>-0.54700000000000004</v>
          </cell>
          <cell r="W238">
            <v>2.3776000000000002</v>
          </cell>
          <cell r="X238">
            <v>2.2400000000000002</v>
          </cell>
          <cell r="Z238">
            <v>3.04</v>
          </cell>
          <cell r="AA238">
            <v>-0.26100000000000001</v>
          </cell>
          <cell r="AB238">
            <v>-1.5699999999999999E-2</v>
          </cell>
          <cell r="AC238">
            <v>-0.5131</v>
          </cell>
          <cell r="AE238">
            <v>3.1373500000000001</v>
          </cell>
          <cell r="AF238">
            <v>-0.26100000000000001</v>
          </cell>
          <cell r="AG238">
            <v>0.62419999999999998</v>
          </cell>
          <cell r="AK238">
            <v>0.45</v>
          </cell>
          <cell r="AN238">
            <v>0.4</v>
          </cell>
          <cell r="AO238">
            <v>0.15</v>
          </cell>
          <cell r="AP238">
            <v>0</v>
          </cell>
          <cell r="AR238">
            <v>1</v>
          </cell>
          <cell r="AS238">
            <v>2.6655850000000005</v>
          </cell>
          <cell r="AT238">
            <v>2.6655850000000005</v>
          </cell>
          <cell r="AU238">
            <v>0.35</v>
          </cell>
          <cell r="AV238">
            <v>0</v>
          </cell>
          <cell r="AW238">
            <v>0</v>
          </cell>
          <cell r="AY238">
            <v>0.15</v>
          </cell>
          <cell r="BB238">
            <v>0.3</v>
          </cell>
          <cell r="BD238">
            <v>0.2</v>
          </cell>
          <cell r="BE238">
            <v>1</v>
          </cell>
          <cell r="BF238">
            <v>2.6655850000000001</v>
          </cell>
        </row>
        <row r="239">
          <cell r="A239">
            <v>34789</v>
          </cell>
          <cell r="B239">
            <v>2.9506999999999999</v>
          </cell>
          <cell r="C239">
            <v>3.1372</v>
          </cell>
          <cell r="D239">
            <v>2.7570000000000001</v>
          </cell>
          <cell r="E239">
            <v>1.7353000000000001</v>
          </cell>
          <cell r="F239">
            <v>2.9699</v>
          </cell>
          <cell r="G239">
            <v>0.76029999999999998</v>
          </cell>
          <cell r="H239">
            <v>1.714</v>
          </cell>
          <cell r="I239">
            <v>2.9209999999999998</v>
          </cell>
          <cell r="J239">
            <v>0.48699999999999999</v>
          </cell>
          <cell r="K239">
            <v>2.0228999999999999</v>
          </cell>
          <cell r="L239">
            <v>2.2200000000000002</v>
          </cell>
          <cell r="M239">
            <v>1.87</v>
          </cell>
          <cell r="N239">
            <v>1.714</v>
          </cell>
          <cell r="O239">
            <v>2.9209999999999998</v>
          </cell>
          <cell r="P239">
            <v>0.48699999999999999</v>
          </cell>
          <cell r="Q239">
            <v>3.879</v>
          </cell>
          <cell r="R239">
            <v>2.4540000000000002</v>
          </cell>
          <cell r="S239">
            <v>2.4870000000000001</v>
          </cell>
          <cell r="U239">
            <v>5.65</v>
          </cell>
          <cell r="W239">
            <v>0.61350000000000005</v>
          </cell>
          <cell r="X239">
            <v>0.54</v>
          </cell>
          <cell r="Z239">
            <v>0.81</v>
          </cell>
          <cell r="AA239">
            <v>6.2649999999999997</v>
          </cell>
          <cell r="AB239">
            <v>6.3140999999999998</v>
          </cell>
          <cell r="AC239">
            <v>6.2438000000000002</v>
          </cell>
          <cell r="AE239">
            <v>1.7821</v>
          </cell>
          <cell r="AF239">
            <v>6.2649999999999997</v>
          </cell>
          <cell r="AG239">
            <v>0.62419999999999998</v>
          </cell>
          <cell r="AK239">
            <v>0.45</v>
          </cell>
          <cell r="AN239">
            <v>0.4</v>
          </cell>
          <cell r="AO239">
            <v>0.15</v>
          </cell>
          <cell r="AP239">
            <v>0</v>
          </cell>
          <cell r="AR239">
            <v>1</v>
          </cell>
          <cell r="AS239">
            <v>2.5129649999999999</v>
          </cell>
          <cell r="AT239">
            <v>2.5129649999999999</v>
          </cell>
          <cell r="AU239">
            <v>0.35</v>
          </cell>
          <cell r="AV239">
            <v>0</v>
          </cell>
          <cell r="AW239">
            <v>0</v>
          </cell>
          <cell r="AY239">
            <v>0.15</v>
          </cell>
          <cell r="BB239">
            <v>0.3</v>
          </cell>
          <cell r="BD239">
            <v>0.2</v>
          </cell>
          <cell r="BE239">
            <v>1</v>
          </cell>
          <cell r="BF239">
            <v>2.5129649999999994</v>
          </cell>
        </row>
        <row r="240">
          <cell r="A240">
            <v>34819</v>
          </cell>
          <cell r="B240">
            <v>2.9447000000000001</v>
          </cell>
          <cell r="C240">
            <v>2.6023999999999998</v>
          </cell>
          <cell r="D240">
            <v>3.2919999999999998</v>
          </cell>
          <cell r="E240">
            <v>2.0110000000000001</v>
          </cell>
          <cell r="F240">
            <v>1.3097000000000001</v>
          </cell>
          <cell r="G240">
            <v>2.5996000000000001</v>
          </cell>
          <cell r="H240">
            <v>2.222</v>
          </cell>
          <cell r="I240">
            <v>1.504</v>
          </cell>
          <cell r="J240">
            <v>2.9740000000000002</v>
          </cell>
          <cell r="K240">
            <v>2.2353999999999998</v>
          </cell>
          <cell r="L240">
            <v>0.37</v>
          </cell>
          <cell r="M240">
            <v>4.22</v>
          </cell>
          <cell r="N240">
            <v>2.222</v>
          </cell>
          <cell r="O240">
            <v>1.504</v>
          </cell>
          <cell r="P240">
            <v>2.9740000000000002</v>
          </cell>
          <cell r="Q240">
            <v>1.1316999999999999</v>
          </cell>
          <cell r="R240">
            <v>1.776</v>
          </cell>
          <cell r="S240">
            <v>2.613</v>
          </cell>
          <cell r="U240">
            <v>3.9009999999999998</v>
          </cell>
          <cell r="W240">
            <v>1.3969</v>
          </cell>
          <cell r="X240">
            <v>1.3</v>
          </cell>
          <cell r="Z240">
            <v>1.36</v>
          </cell>
          <cell r="AA240">
            <v>3.7877999999999998</v>
          </cell>
          <cell r="AB240">
            <v>4.4451999999999998</v>
          </cell>
          <cell r="AC240">
            <v>3.1223999999999998</v>
          </cell>
          <cell r="AE240">
            <v>2.1707999999999998</v>
          </cell>
          <cell r="AF240">
            <v>3.7877999999999998</v>
          </cell>
          <cell r="AG240">
            <v>0.69710000000000005</v>
          </cell>
          <cell r="AK240">
            <v>0.45</v>
          </cell>
          <cell r="AN240">
            <v>0.4</v>
          </cell>
          <cell r="AO240">
            <v>0.15</v>
          </cell>
          <cell r="AP240">
            <v>0</v>
          </cell>
          <cell r="AR240">
            <v>1</v>
          </cell>
          <cell r="AS240">
            <v>2.452045</v>
          </cell>
          <cell r="AT240">
            <v>2.452045</v>
          </cell>
          <cell r="AU240">
            <v>0.35</v>
          </cell>
          <cell r="AV240">
            <v>0</v>
          </cell>
          <cell r="AW240">
            <v>0</v>
          </cell>
          <cell r="AY240">
            <v>0.15</v>
          </cell>
          <cell r="BB240">
            <v>0.3</v>
          </cell>
          <cell r="BD240">
            <v>0.2</v>
          </cell>
          <cell r="BE240">
            <v>1</v>
          </cell>
          <cell r="BF240">
            <v>2.452045</v>
          </cell>
        </row>
        <row r="241">
          <cell r="A241">
            <v>34850</v>
          </cell>
          <cell r="B241">
            <v>3.9967000000000001</v>
          </cell>
          <cell r="C241">
            <v>3.5771999999999999</v>
          </cell>
          <cell r="D241">
            <v>4.4489999999999998</v>
          </cell>
          <cell r="E241">
            <v>2.4089</v>
          </cell>
          <cell r="F241">
            <v>1.7202999999999999</v>
          </cell>
          <cell r="G241">
            <v>3.16</v>
          </cell>
          <cell r="H241">
            <v>1.7190000000000001</v>
          </cell>
          <cell r="I241">
            <v>1.31</v>
          </cell>
          <cell r="J241">
            <v>2.1440000000000001</v>
          </cell>
          <cell r="K241">
            <v>1.5604</v>
          </cell>
          <cell r="L241">
            <v>0.9</v>
          </cell>
          <cell r="M241">
            <v>2.21</v>
          </cell>
          <cell r="N241">
            <v>1.7190000000000001</v>
          </cell>
          <cell r="O241">
            <v>1.31</v>
          </cell>
          <cell r="P241">
            <v>2.1440000000000001</v>
          </cell>
          <cell r="Q241">
            <v>1.5343</v>
          </cell>
          <cell r="R241">
            <v>2.113</v>
          </cell>
          <cell r="S241">
            <v>3.63</v>
          </cell>
          <cell r="U241">
            <v>-0.442</v>
          </cell>
          <cell r="W241">
            <v>3.8696999999999999</v>
          </cell>
          <cell r="X241">
            <v>3.06</v>
          </cell>
          <cell r="Z241">
            <v>2.0299999999999998</v>
          </cell>
          <cell r="AA241">
            <v>-1.1664000000000001</v>
          </cell>
          <cell r="AB241">
            <v>-1.1279999999999999</v>
          </cell>
          <cell r="AC241">
            <v>-1.2107000000000001</v>
          </cell>
          <cell r="AE241">
            <v>3.9332000000000003</v>
          </cell>
          <cell r="AF241">
            <v>-1.1664000000000001</v>
          </cell>
          <cell r="AG241">
            <v>0.69710000000000005</v>
          </cell>
          <cell r="AK241">
            <v>0.45</v>
          </cell>
          <cell r="AN241">
            <v>0.4</v>
          </cell>
          <cell r="AO241">
            <v>0.15</v>
          </cell>
          <cell r="AP241">
            <v>0</v>
          </cell>
          <cell r="AR241">
            <v>1</v>
          </cell>
          <cell r="AS241">
            <v>3.1714350000000002</v>
          </cell>
          <cell r="AT241">
            <v>3.1714350000000002</v>
          </cell>
          <cell r="AU241">
            <v>0.35</v>
          </cell>
          <cell r="AV241">
            <v>0</v>
          </cell>
          <cell r="AW241">
            <v>0</v>
          </cell>
          <cell r="AY241">
            <v>0.15</v>
          </cell>
          <cell r="BB241">
            <v>0.3</v>
          </cell>
          <cell r="BD241">
            <v>0.2</v>
          </cell>
          <cell r="BE241">
            <v>1</v>
          </cell>
          <cell r="BF241">
            <v>3.1714349999999998</v>
          </cell>
        </row>
        <row r="242">
          <cell r="A242">
            <v>34880</v>
          </cell>
          <cell r="B242">
            <v>2.3227000000000002</v>
          </cell>
          <cell r="C242">
            <v>3.8256000000000001</v>
          </cell>
          <cell r="D242">
            <v>0.75900000000000001</v>
          </cell>
          <cell r="E242">
            <v>4.0709</v>
          </cell>
          <cell r="F242">
            <v>5.4802</v>
          </cell>
          <cell r="G242">
            <v>2.7101000000000002</v>
          </cell>
          <cell r="H242">
            <v>5.1879999999999997</v>
          </cell>
          <cell r="I242">
            <v>6.891</v>
          </cell>
          <cell r="J242">
            <v>3.4169999999999998</v>
          </cell>
          <cell r="K242">
            <v>5.4850000000000003</v>
          </cell>
          <cell r="L242">
            <v>6.18</v>
          </cell>
          <cell r="M242">
            <v>4.74</v>
          </cell>
          <cell r="N242">
            <v>5.1879999999999997</v>
          </cell>
          <cell r="O242">
            <v>6.891</v>
          </cell>
          <cell r="P242">
            <v>3.4169999999999998</v>
          </cell>
          <cell r="Q242">
            <v>6.07</v>
          </cell>
          <cell r="R242">
            <v>4.7960000000000003</v>
          </cell>
          <cell r="S242">
            <v>2.8919999999999999</v>
          </cell>
          <cell r="U242">
            <v>-1.383</v>
          </cell>
          <cell r="W242">
            <v>0.73319999999999996</v>
          </cell>
          <cell r="X242">
            <v>0.64</v>
          </cell>
          <cell r="Z242">
            <v>3.51</v>
          </cell>
          <cell r="AA242">
            <v>-1.7271000000000001</v>
          </cell>
          <cell r="AB242">
            <v>-2.0522</v>
          </cell>
          <cell r="AC242">
            <v>-1.3654999999999999</v>
          </cell>
          <cell r="AE242">
            <v>1.5279500000000001</v>
          </cell>
          <cell r="AF242">
            <v>-1.7271000000000001</v>
          </cell>
          <cell r="AG242">
            <v>0.69710000000000005</v>
          </cell>
          <cell r="AK242">
            <v>0.45</v>
          </cell>
          <cell r="AN242">
            <v>0.4</v>
          </cell>
          <cell r="AO242">
            <v>0.15</v>
          </cell>
          <cell r="AP242">
            <v>0</v>
          </cell>
          <cell r="AR242">
            <v>1</v>
          </cell>
          <cell r="AS242">
            <v>1.0794300000000003</v>
          </cell>
          <cell r="AT242">
            <v>1.0794300000000003</v>
          </cell>
          <cell r="AU242">
            <v>0.35</v>
          </cell>
          <cell r="AV242">
            <v>0</v>
          </cell>
          <cell r="AW242">
            <v>0</v>
          </cell>
          <cell r="AY242">
            <v>0.15</v>
          </cell>
          <cell r="BB242">
            <v>0.3</v>
          </cell>
          <cell r="BD242">
            <v>0.2</v>
          </cell>
          <cell r="BE242">
            <v>1</v>
          </cell>
          <cell r="BF242">
            <v>1.0794300000000001</v>
          </cell>
        </row>
        <row r="243">
          <cell r="A243">
            <v>34911</v>
          </cell>
          <cell r="B243">
            <v>3.3163</v>
          </cell>
          <cell r="C243">
            <v>3.1894</v>
          </cell>
          <cell r="D243">
            <v>3.4449999999999998</v>
          </cell>
          <cell r="E243">
            <v>5.2168000000000001</v>
          </cell>
          <cell r="F243">
            <v>6.1199000000000003</v>
          </cell>
          <cell r="G243">
            <v>4.2601000000000004</v>
          </cell>
          <cell r="H243">
            <v>5.76</v>
          </cell>
          <cell r="I243">
            <v>7.7939999999999996</v>
          </cell>
          <cell r="J243">
            <v>3.649</v>
          </cell>
          <cell r="K243">
            <v>7.6463000000000001</v>
          </cell>
          <cell r="L243">
            <v>10.6036</v>
          </cell>
          <cell r="M243">
            <v>4.6982999999999997</v>
          </cell>
          <cell r="N243">
            <v>5.76</v>
          </cell>
          <cell r="O243">
            <v>7.7939999999999996</v>
          </cell>
          <cell r="P243">
            <v>3.649</v>
          </cell>
          <cell r="Q243">
            <v>7.8840000000000003</v>
          </cell>
          <cell r="R243">
            <v>5.9009999999999998</v>
          </cell>
          <cell r="S243">
            <v>4.016</v>
          </cell>
          <cell r="U243">
            <v>5.6790000000000003</v>
          </cell>
          <cell r="W243">
            <v>-0.2233</v>
          </cell>
          <cell r="X243">
            <v>7.0000000000000007E-2</v>
          </cell>
          <cell r="Z243">
            <v>5.15</v>
          </cell>
          <cell r="AA243">
            <v>6.2530000000000001</v>
          </cell>
          <cell r="AB243">
            <v>6.3967999999999998</v>
          </cell>
          <cell r="AC243">
            <v>6.0945</v>
          </cell>
          <cell r="AE243">
            <v>1.5465</v>
          </cell>
          <cell r="AF243">
            <v>6.2530000000000001</v>
          </cell>
          <cell r="AG243">
            <v>0.68940000000000001</v>
          </cell>
          <cell r="AK243">
            <v>0.45</v>
          </cell>
          <cell r="AN243">
            <v>0.4</v>
          </cell>
          <cell r="AO243">
            <v>0.15</v>
          </cell>
          <cell r="AP243">
            <v>0</v>
          </cell>
          <cell r="AR243">
            <v>1</v>
          </cell>
          <cell r="AS243">
            <v>2.3409649999999997</v>
          </cell>
          <cell r="AT243">
            <v>2.3409649999999997</v>
          </cell>
          <cell r="AU243">
            <v>0.35</v>
          </cell>
          <cell r="AV243">
            <v>0</v>
          </cell>
          <cell r="AW243">
            <v>0</v>
          </cell>
          <cell r="AY243">
            <v>0.15</v>
          </cell>
          <cell r="BB243">
            <v>0.3</v>
          </cell>
          <cell r="BD243">
            <v>0.2</v>
          </cell>
          <cell r="BE243">
            <v>1</v>
          </cell>
          <cell r="BF243">
            <v>2.3409649999999997</v>
          </cell>
        </row>
        <row r="244">
          <cell r="A244">
            <v>34942</v>
          </cell>
          <cell r="B244">
            <v>0.25140000000000001</v>
          </cell>
          <cell r="C244">
            <v>-0.3246</v>
          </cell>
          <cell r="D244">
            <v>0.85399999999999998</v>
          </cell>
          <cell r="E244">
            <v>1.8493999999999999</v>
          </cell>
          <cell r="F244">
            <v>1.59</v>
          </cell>
          <cell r="G244">
            <v>2.1701999999999999</v>
          </cell>
          <cell r="H244">
            <v>2.069</v>
          </cell>
          <cell r="I244">
            <v>1.234</v>
          </cell>
          <cell r="J244">
            <v>2.9710000000000001</v>
          </cell>
          <cell r="K244">
            <v>2.1680999999999999</v>
          </cell>
          <cell r="L244">
            <v>1.4950000000000001</v>
          </cell>
          <cell r="M244">
            <v>2.8835999999999999</v>
          </cell>
          <cell r="N244">
            <v>2.069</v>
          </cell>
          <cell r="O244">
            <v>1.234</v>
          </cell>
          <cell r="P244">
            <v>2.9710000000000001</v>
          </cell>
          <cell r="Q244">
            <v>0.83299999999999996</v>
          </cell>
          <cell r="R244">
            <v>1.6</v>
          </cell>
          <cell r="S244">
            <v>0.88800000000000001</v>
          </cell>
          <cell r="U244">
            <v>-3.47</v>
          </cell>
          <cell r="W244">
            <v>1.2069000000000001</v>
          </cell>
          <cell r="X244">
            <v>0.95</v>
          </cell>
          <cell r="Z244">
            <v>2.2599999999999998</v>
          </cell>
          <cell r="AA244">
            <v>-3.7904</v>
          </cell>
          <cell r="AB244">
            <v>-4.1886000000000001</v>
          </cell>
          <cell r="AC244">
            <v>-3.3822000000000001</v>
          </cell>
          <cell r="AE244">
            <v>0.72915000000000008</v>
          </cell>
          <cell r="AF244">
            <v>-3.7904</v>
          </cell>
          <cell r="AG244">
            <v>0.68940000000000001</v>
          </cell>
          <cell r="AK244">
            <v>0.45</v>
          </cell>
          <cell r="AN244">
            <v>0.4</v>
          </cell>
          <cell r="AO244">
            <v>0.15</v>
          </cell>
          <cell r="AP244">
            <v>0</v>
          </cell>
          <cell r="AR244">
            <v>1</v>
          </cell>
          <cell r="AS244">
            <v>2.7330000000000076E-2</v>
          </cell>
          <cell r="AT244">
            <v>2.7330000000000076E-2</v>
          </cell>
          <cell r="AU244">
            <v>0.35</v>
          </cell>
          <cell r="AV244">
            <v>0</v>
          </cell>
          <cell r="AW244">
            <v>0</v>
          </cell>
          <cell r="AY244">
            <v>0.15</v>
          </cell>
          <cell r="BB244">
            <v>0.3</v>
          </cell>
          <cell r="BD244">
            <v>0.2</v>
          </cell>
          <cell r="BE244">
            <v>1</v>
          </cell>
          <cell r="BF244">
            <v>2.7330000000000076E-2</v>
          </cell>
        </row>
        <row r="245">
          <cell r="A245">
            <v>34972</v>
          </cell>
          <cell r="B245">
            <v>4.2202000000000002</v>
          </cell>
          <cell r="C245">
            <v>4.9429999999999996</v>
          </cell>
          <cell r="D245">
            <v>3.4780000000000002</v>
          </cell>
          <cell r="E245">
            <v>2.4239000000000002</v>
          </cell>
          <cell r="F245">
            <v>2.5297999999999998</v>
          </cell>
          <cell r="G245">
            <v>2.4196</v>
          </cell>
          <cell r="H245">
            <v>1.786</v>
          </cell>
          <cell r="I245">
            <v>2.0590000000000002</v>
          </cell>
          <cell r="J245">
            <v>1.4930000000000001</v>
          </cell>
          <cell r="K245">
            <v>2.5531999999999999</v>
          </cell>
          <cell r="L245">
            <v>3.008</v>
          </cell>
          <cell r="M245">
            <v>2.0663999999999998</v>
          </cell>
          <cell r="N245">
            <v>1.786</v>
          </cell>
          <cell r="O245">
            <v>2.0590000000000002</v>
          </cell>
          <cell r="P245">
            <v>1.4930000000000001</v>
          </cell>
          <cell r="Q245">
            <v>2.141</v>
          </cell>
          <cell r="R245">
            <v>1.873</v>
          </cell>
          <cell r="S245">
            <v>3.875</v>
          </cell>
          <cell r="U245">
            <v>1.7090000000000001</v>
          </cell>
          <cell r="W245">
            <v>0.97289999999999999</v>
          </cell>
          <cell r="X245">
            <v>0.78</v>
          </cell>
          <cell r="Z245">
            <v>1.1100000000000001</v>
          </cell>
          <cell r="AA245">
            <v>1.9790000000000001</v>
          </cell>
          <cell r="AB245">
            <v>2.3067000000000002</v>
          </cell>
          <cell r="AC245">
            <v>1.7498</v>
          </cell>
          <cell r="AE245">
            <v>2.5965500000000001</v>
          </cell>
          <cell r="AF245">
            <v>1.9790000000000001</v>
          </cell>
          <cell r="AG245">
            <v>0.68940000000000001</v>
          </cell>
          <cell r="AK245">
            <v>0.45</v>
          </cell>
          <cell r="AN245">
            <v>0.4</v>
          </cell>
          <cell r="AO245">
            <v>0.15</v>
          </cell>
          <cell r="AP245">
            <v>0</v>
          </cell>
          <cell r="AR245">
            <v>1</v>
          </cell>
          <cell r="AS245">
            <v>2.5851000000000002</v>
          </cell>
          <cell r="AT245">
            <v>2.5851000000000002</v>
          </cell>
          <cell r="AU245">
            <v>0.35</v>
          </cell>
          <cell r="AV245">
            <v>0</v>
          </cell>
          <cell r="AW245">
            <v>0</v>
          </cell>
          <cell r="AY245">
            <v>0.15</v>
          </cell>
          <cell r="BB245">
            <v>0.3</v>
          </cell>
          <cell r="BD245">
            <v>0.2</v>
          </cell>
          <cell r="BE245">
            <v>1</v>
          </cell>
          <cell r="BF245">
            <v>2.5850999999999997</v>
          </cell>
        </row>
        <row r="246">
          <cell r="A246">
            <v>35003</v>
          </cell>
          <cell r="B246">
            <v>-0.35749999999999998</v>
          </cell>
          <cell r="C246">
            <v>0.79849999999999999</v>
          </cell>
          <cell r="D246">
            <v>-1.5569999999999999</v>
          </cell>
          <cell r="E246">
            <v>-2.573</v>
          </cell>
          <cell r="F246">
            <v>-4.04</v>
          </cell>
          <cell r="G246">
            <v>-1.0799000000000001</v>
          </cell>
          <cell r="H246">
            <v>-4.4720000000000004</v>
          </cell>
          <cell r="I246">
            <v>-4.9189999999999996</v>
          </cell>
          <cell r="J246">
            <v>-3.9940000000000002</v>
          </cell>
          <cell r="K246">
            <v>-4.9374000000000002</v>
          </cell>
          <cell r="L246">
            <v>-4.9092000000000002</v>
          </cell>
          <cell r="M246">
            <v>-4.9481999999999999</v>
          </cell>
          <cell r="N246">
            <v>-4.4720000000000004</v>
          </cell>
          <cell r="O246">
            <v>-4.9189999999999996</v>
          </cell>
          <cell r="P246">
            <v>-3.9940000000000002</v>
          </cell>
          <cell r="Q246">
            <v>-3.5339999999999998</v>
          </cell>
          <cell r="R246">
            <v>-3.129</v>
          </cell>
          <cell r="S246">
            <v>-0.86399999999999999</v>
          </cell>
          <cell r="U246">
            <v>-2.6720000000000002</v>
          </cell>
          <cell r="W246">
            <v>1.3005</v>
          </cell>
          <cell r="X246">
            <v>1.03</v>
          </cell>
          <cell r="Z246">
            <v>-1.82</v>
          </cell>
          <cell r="AA246">
            <v>-2.6625000000000001</v>
          </cell>
          <cell r="AB246">
            <v>-2.6827999999999999</v>
          </cell>
          <cell r="AC246">
            <v>-2.6391</v>
          </cell>
          <cell r="AE246">
            <v>0.47150000000000003</v>
          </cell>
          <cell r="AF246">
            <v>-2.6625000000000001</v>
          </cell>
          <cell r="AG246">
            <v>0.68079999999999996</v>
          </cell>
          <cell r="AK246">
            <v>0.45</v>
          </cell>
          <cell r="AN246">
            <v>0.4</v>
          </cell>
          <cell r="AO246">
            <v>0.15</v>
          </cell>
          <cell r="AP246">
            <v>0</v>
          </cell>
          <cell r="AR246">
            <v>1</v>
          </cell>
          <cell r="AS246">
            <v>-4.0049999999999975E-2</v>
          </cell>
          <cell r="AT246">
            <v>-4.0049999999999975E-2</v>
          </cell>
          <cell r="AU246">
            <v>0.35</v>
          </cell>
          <cell r="AV246">
            <v>0</v>
          </cell>
          <cell r="AW246">
            <v>0</v>
          </cell>
          <cell r="AY246">
            <v>0.15</v>
          </cell>
          <cell r="BB246">
            <v>0.3</v>
          </cell>
          <cell r="BD246">
            <v>0.2</v>
          </cell>
          <cell r="BE246">
            <v>1</v>
          </cell>
          <cell r="BF246">
            <v>-4.0049999999999961E-2</v>
          </cell>
        </row>
        <row r="247">
          <cell r="A247">
            <v>35033</v>
          </cell>
          <cell r="B247">
            <v>4.3898000000000001</v>
          </cell>
          <cell r="C247">
            <v>3.6017000000000001</v>
          </cell>
          <cell r="D247">
            <v>5.2409999999999997</v>
          </cell>
          <cell r="E247">
            <v>4.3674999999999997</v>
          </cell>
          <cell r="F247">
            <v>3.7698999999999998</v>
          </cell>
          <cell r="G247">
            <v>4.8898000000000001</v>
          </cell>
          <cell r="H247">
            <v>4.2009999999999996</v>
          </cell>
          <cell r="I247">
            <v>4.4139999999999997</v>
          </cell>
          <cell r="J247">
            <v>3.9740000000000002</v>
          </cell>
          <cell r="K247">
            <v>3.9567999999999999</v>
          </cell>
          <cell r="L247">
            <v>4.0376000000000003</v>
          </cell>
          <cell r="M247">
            <v>3.8757999999999999</v>
          </cell>
          <cell r="N247">
            <v>4.2009999999999996</v>
          </cell>
          <cell r="O247">
            <v>4.4139999999999997</v>
          </cell>
          <cell r="P247">
            <v>3.9740000000000002</v>
          </cell>
          <cell r="Q247">
            <v>4.0919999999999996</v>
          </cell>
          <cell r="R247">
            <v>4.2709999999999999</v>
          </cell>
          <cell r="S247">
            <v>4.4349999999999996</v>
          </cell>
          <cell r="U247">
            <v>2.3490000000000002</v>
          </cell>
          <cell r="W247">
            <v>1.4984999999999999</v>
          </cell>
          <cell r="X247">
            <v>1.25</v>
          </cell>
          <cell r="Z247">
            <v>2.29</v>
          </cell>
          <cell r="AA247">
            <v>2.8086000000000002</v>
          </cell>
          <cell r="AB247">
            <v>2.7736999999999998</v>
          </cell>
          <cell r="AC247">
            <v>2.8637999999999999</v>
          </cell>
          <cell r="AE247">
            <v>2.94415</v>
          </cell>
          <cell r="AF247">
            <v>2.8086000000000002</v>
          </cell>
          <cell r="AG247">
            <v>0.68079999999999996</v>
          </cell>
          <cell r="AK247">
            <v>0.45</v>
          </cell>
          <cell r="AN247">
            <v>0.4</v>
          </cell>
          <cell r="AO247">
            <v>0.15</v>
          </cell>
          <cell r="AP247">
            <v>0</v>
          </cell>
          <cell r="AR247">
            <v>1</v>
          </cell>
          <cell r="AS247">
            <v>2.9961000000000002</v>
          </cell>
          <cell r="AT247">
            <v>2.9961000000000002</v>
          </cell>
          <cell r="AU247">
            <v>0.35</v>
          </cell>
          <cell r="AV247">
            <v>0</v>
          </cell>
          <cell r="AW247">
            <v>0</v>
          </cell>
          <cell r="AY247">
            <v>0.15</v>
          </cell>
          <cell r="BB247">
            <v>0.3</v>
          </cell>
          <cell r="BD247">
            <v>0.2</v>
          </cell>
          <cell r="BE247">
            <v>1</v>
          </cell>
          <cell r="BF247">
            <v>2.9961000000000002</v>
          </cell>
        </row>
        <row r="248">
          <cell r="A248">
            <v>35064</v>
          </cell>
          <cell r="B248">
            <v>1.9261999999999999</v>
          </cell>
          <cell r="C248">
            <v>1.1336999999999999</v>
          </cell>
          <cell r="D248">
            <v>2.7719999999999998</v>
          </cell>
          <cell r="E248">
            <v>-0.24879999999999999</v>
          </cell>
          <cell r="F248">
            <v>-1.6696</v>
          </cell>
          <cell r="G248">
            <v>0.87019999999999997</v>
          </cell>
          <cell r="H248">
            <v>2.6379999999999999</v>
          </cell>
          <cell r="I248">
            <v>2.2160000000000002</v>
          </cell>
          <cell r="J248">
            <v>3.0979999999999999</v>
          </cell>
          <cell r="K248">
            <v>1.6495</v>
          </cell>
          <cell r="L248">
            <v>0.52929999999999999</v>
          </cell>
          <cell r="M248">
            <v>2.7890000000000001</v>
          </cell>
          <cell r="N248">
            <v>2.6379999999999999</v>
          </cell>
          <cell r="O248">
            <v>2.2160000000000002</v>
          </cell>
          <cell r="P248">
            <v>3.0979999999999999</v>
          </cell>
          <cell r="Q248">
            <v>1.327</v>
          </cell>
          <cell r="R248">
            <v>1.7070000000000001</v>
          </cell>
          <cell r="S248">
            <v>1.633</v>
          </cell>
          <cell r="U248">
            <v>3.9540000000000002</v>
          </cell>
          <cell r="W248">
            <v>1.4034</v>
          </cell>
          <cell r="X248">
            <v>1.1200000000000001</v>
          </cell>
          <cell r="Z248">
            <v>2.09</v>
          </cell>
          <cell r="AA248">
            <v>4.0549999999999997</v>
          </cell>
          <cell r="AB248">
            <v>3.5032999999999999</v>
          </cell>
          <cell r="AC248">
            <v>4.6493000000000002</v>
          </cell>
          <cell r="AE248">
            <v>1.6648000000000001</v>
          </cell>
          <cell r="AF248">
            <v>4.0549999999999997</v>
          </cell>
          <cell r="AG248">
            <v>0.68079999999999996</v>
          </cell>
          <cell r="AK248">
            <v>0.45</v>
          </cell>
          <cell r="AN248">
            <v>0.4</v>
          </cell>
          <cell r="AO248">
            <v>0.15</v>
          </cell>
          <cell r="AP248">
            <v>0</v>
          </cell>
          <cell r="AR248">
            <v>1</v>
          </cell>
          <cell r="AS248">
            <v>2.0364</v>
          </cell>
          <cell r="AT248">
            <v>2.0364</v>
          </cell>
          <cell r="AU248">
            <v>0.35</v>
          </cell>
          <cell r="AV248">
            <v>0</v>
          </cell>
          <cell r="AW248">
            <v>0</v>
          </cell>
          <cell r="AY248">
            <v>0.15</v>
          </cell>
          <cell r="BB248">
            <v>0.3</v>
          </cell>
          <cell r="BD248">
            <v>0.2</v>
          </cell>
          <cell r="BE248">
            <v>1</v>
          </cell>
          <cell r="BF248">
            <v>2.0364</v>
          </cell>
        </row>
        <row r="249">
          <cell r="A249">
            <v>35095</v>
          </cell>
          <cell r="B249">
            <v>3.4036</v>
          </cell>
          <cell r="C249">
            <v>3.8153999999999999</v>
          </cell>
          <cell r="D249">
            <v>2.9940000000000002</v>
          </cell>
          <cell r="E249">
            <v>1.4508000000000001</v>
          </cell>
          <cell r="F249">
            <v>1.19</v>
          </cell>
          <cell r="G249">
            <v>1.65</v>
          </cell>
          <cell r="H249">
            <v>-0.108</v>
          </cell>
          <cell r="I249">
            <v>-0.82799999999999996</v>
          </cell>
          <cell r="J249">
            <v>0.66300000000000003</v>
          </cell>
          <cell r="K249">
            <v>0.21690000000000001</v>
          </cell>
          <cell r="L249">
            <v>0.26300000000000001</v>
          </cell>
          <cell r="M249">
            <v>0.18959999999999999</v>
          </cell>
          <cell r="N249">
            <v>-0.108</v>
          </cell>
          <cell r="O249">
            <v>-0.82799999999999996</v>
          </cell>
          <cell r="P249">
            <v>0.66300000000000003</v>
          </cell>
          <cell r="Q249">
            <v>0.309</v>
          </cell>
          <cell r="R249">
            <v>0.70799999999999996</v>
          </cell>
          <cell r="S249">
            <v>2.903</v>
          </cell>
          <cell r="U249">
            <v>1.3740000000000001</v>
          </cell>
          <cell r="W249">
            <v>0.66410000000000002</v>
          </cell>
          <cell r="X249">
            <v>0.82</v>
          </cell>
          <cell r="Z249">
            <v>1.97</v>
          </cell>
          <cell r="AA249">
            <v>0.434</v>
          </cell>
          <cell r="AB249">
            <v>8.6699999999999999E-2</v>
          </cell>
          <cell r="AC249">
            <v>0.7732</v>
          </cell>
          <cell r="AE249">
            <v>2.0338500000000002</v>
          </cell>
          <cell r="AF249">
            <v>0.434</v>
          </cell>
          <cell r="AG249">
            <v>0.36130000000000001</v>
          </cell>
          <cell r="AK249">
            <v>0.45</v>
          </cell>
          <cell r="AN249">
            <v>0.4</v>
          </cell>
          <cell r="AO249">
            <v>0.15</v>
          </cell>
          <cell r="AP249">
            <v>0</v>
          </cell>
          <cell r="AR249">
            <v>1</v>
          </cell>
          <cell r="AS249">
            <v>1.86236</v>
          </cell>
          <cell r="AT249">
            <v>1.86236</v>
          </cell>
          <cell r="AU249">
            <v>0.35</v>
          </cell>
          <cell r="AV249">
            <v>0</v>
          </cell>
          <cell r="AW249">
            <v>0</v>
          </cell>
          <cell r="AY249">
            <v>0.15</v>
          </cell>
          <cell r="BB249">
            <v>0.3</v>
          </cell>
          <cell r="BD249">
            <v>0.2</v>
          </cell>
          <cell r="BE249">
            <v>1</v>
          </cell>
          <cell r="BF249">
            <v>1.86236</v>
          </cell>
        </row>
        <row r="250">
          <cell r="A250">
            <v>35124</v>
          </cell>
          <cell r="B250">
            <v>0.92720000000000002</v>
          </cell>
          <cell r="C250">
            <v>0.91459999999999997</v>
          </cell>
          <cell r="D250">
            <v>0.93799999999999994</v>
          </cell>
          <cell r="E250">
            <v>3.3988</v>
          </cell>
          <cell r="F250">
            <v>4.6600999999999999</v>
          </cell>
          <cell r="G250">
            <v>1.6304000000000001</v>
          </cell>
          <cell r="H250">
            <v>3.117</v>
          </cell>
          <cell r="I250">
            <v>4.5599999999999996</v>
          </cell>
          <cell r="J250">
            <v>1.5669999999999999</v>
          </cell>
          <cell r="K250">
            <v>3.2732000000000001</v>
          </cell>
          <cell r="L250">
            <v>3.8628</v>
          </cell>
          <cell r="M250">
            <v>2.7208000000000001</v>
          </cell>
          <cell r="N250">
            <v>3.117</v>
          </cell>
          <cell r="O250">
            <v>4.5599999999999996</v>
          </cell>
          <cell r="P250">
            <v>1.5669999999999999</v>
          </cell>
          <cell r="Q250">
            <v>4.4000000000000004</v>
          </cell>
          <cell r="R250">
            <v>3.0139999999999998</v>
          </cell>
          <cell r="S250">
            <v>1.4750000000000001</v>
          </cell>
          <cell r="U250">
            <v>4.0000000000000001E-3</v>
          </cell>
          <cell r="W250">
            <v>-1.7382</v>
          </cell>
          <cell r="X250">
            <v>-1.05</v>
          </cell>
          <cell r="Z250">
            <v>1.35</v>
          </cell>
          <cell r="AA250">
            <v>0.36299999999999999</v>
          </cell>
          <cell r="AB250">
            <v>0.36259999999999998</v>
          </cell>
          <cell r="AC250">
            <v>0.36759999999999998</v>
          </cell>
          <cell r="AE250">
            <v>-0.40549999999999997</v>
          </cell>
          <cell r="AF250">
            <v>0.36299999999999999</v>
          </cell>
          <cell r="AG250">
            <v>0.36130000000000001</v>
          </cell>
          <cell r="AK250">
            <v>0.45</v>
          </cell>
          <cell r="AN250">
            <v>0.4</v>
          </cell>
          <cell r="AO250">
            <v>0.15</v>
          </cell>
          <cell r="AP250">
            <v>0</v>
          </cell>
          <cell r="AR250">
            <v>1</v>
          </cell>
          <cell r="AS250">
            <v>-0.22359000000000001</v>
          </cell>
          <cell r="AT250">
            <v>-0.22359000000000001</v>
          </cell>
          <cell r="AU250">
            <v>0.35</v>
          </cell>
          <cell r="AV250">
            <v>0</v>
          </cell>
          <cell r="AW250">
            <v>0</v>
          </cell>
          <cell r="AY250">
            <v>0.15</v>
          </cell>
          <cell r="BB250">
            <v>0.3</v>
          </cell>
          <cell r="BD250">
            <v>0.2</v>
          </cell>
          <cell r="BE250">
            <v>1</v>
          </cell>
          <cell r="BF250">
            <v>-0.22358999999999996</v>
          </cell>
        </row>
        <row r="251">
          <cell r="A251">
            <v>35155</v>
          </cell>
          <cell r="B251">
            <v>0.96250000000000002</v>
          </cell>
          <cell r="C251">
            <v>-0.41799999999999998</v>
          </cell>
          <cell r="D251">
            <v>2.3410000000000002</v>
          </cell>
          <cell r="E251">
            <v>1.1983999999999999</v>
          </cell>
          <cell r="F251">
            <v>1.3396999999999999</v>
          </cell>
          <cell r="G251">
            <v>1.23</v>
          </cell>
          <cell r="H251">
            <v>2.0350000000000001</v>
          </cell>
          <cell r="I251">
            <v>1.9770000000000001</v>
          </cell>
          <cell r="J251">
            <v>2.0990000000000002</v>
          </cell>
          <cell r="K251">
            <v>1.9469000000000001</v>
          </cell>
          <cell r="L251">
            <v>1.5317000000000001</v>
          </cell>
          <cell r="M251">
            <v>2.7250000000000001</v>
          </cell>
          <cell r="N251">
            <v>2.0350000000000001</v>
          </cell>
          <cell r="O251">
            <v>1.9770000000000001</v>
          </cell>
          <cell r="P251">
            <v>2.0990000000000002</v>
          </cell>
          <cell r="Q251">
            <v>2.1720000000000002</v>
          </cell>
          <cell r="R251">
            <v>2.0369999999999999</v>
          </cell>
          <cell r="S251">
            <v>1.0049999999999999</v>
          </cell>
          <cell r="U251">
            <v>1.861</v>
          </cell>
          <cell r="W251">
            <v>-0.69510000000000005</v>
          </cell>
          <cell r="X251">
            <v>-0.46</v>
          </cell>
          <cell r="Z251">
            <v>1.21</v>
          </cell>
          <cell r="AA251">
            <v>2.149</v>
          </cell>
          <cell r="AB251">
            <v>2.4203999999999999</v>
          </cell>
          <cell r="AC251">
            <v>1.8996</v>
          </cell>
          <cell r="AE251">
            <v>0.13369999999999999</v>
          </cell>
          <cell r="AF251">
            <v>2.149</v>
          </cell>
          <cell r="AG251">
            <v>0.36130000000000001</v>
          </cell>
          <cell r="AK251">
            <v>0.45</v>
          </cell>
          <cell r="AN251">
            <v>0.4</v>
          </cell>
          <cell r="AO251">
            <v>0.15</v>
          </cell>
          <cell r="AP251">
            <v>0</v>
          </cell>
          <cell r="AR251">
            <v>1</v>
          </cell>
          <cell r="AS251">
            <v>0.477435</v>
          </cell>
          <cell r="AT251">
            <v>0.477435</v>
          </cell>
          <cell r="AU251">
            <v>0.35</v>
          </cell>
          <cell r="AV251">
            <v>0</v>
          </cell>
          <cell r="AW251">
            <v>0</v>
          </cell>
          <cell r="AY251">
            <v>0.15</v>
          </cell>
          <cell r="BB251">
            <v>0.3</v>
          </cell>
          <cell r="BD251">
            <v>0.2</v>
          </cell>
          <cell r="BE251">
            <v>1</v>
          </cell>
          <cell r="BF251">
            <v>0.47743499999999994</v>
          </cell>
        </row>
        <row r="252">
          <cell r="A252">
            <v>35185</v>
          </cell>
          <cell r="B252">
            <v>1.4743999999999999</v>
          </cell>
          <cell r="C252">
            <v>1.9443999999999999</v>
          </cell>
          <cell r="D252">
            <v>1.018</v>
          </cell>
          <cell r="E252">
            <v>3.0541</v>
          </cell>
          <cell r="F252">
            <v>5.1898999999999997</v>
          </cell>
          <cell r="G252">
            <v>0.84009999999999996</v>
          </cell>
          <cell r="H252">
            <v>5.3470000000000004</v>
          </cell>
          <cell r="I252">
            <v>7.6769999999999996</v>
          </cell>
          <cell r="J252">
            <v>2.7280000000000002</v>
          </cell>
          <cell r="K252">
            <v>5.9474</v>
          </cell>
          <cell r="L252">
            <v>6.7461000000000002</v>
          </cell>
          <cell r="M252">
            <v>4.8411</v>
          </cell>
          <cell r="N252">
            <v>5.3470000000000004</v>
          </cell>
          <cell r="O252">
            <v>7.6769999999999996</v>
          </cell>
          <cell r="P252">
            <v>2.7280000000000002</v>
          </cell>
          <cell r="Q252">
            <v>6.8460000000000001</v>
          </cell>
          <cell r="R252">
            <v>4.6239999999999997</v>
          </cell>
          <cell r="S252">
            <v>1.8959999999999999</v>
          </cell>
          <cell r="U252">
            <v>3.0339999999999998</v>
          </cell>
          <cell r="W252">
            <v>-0.56240000000000001</v>
          </cell>
          <cell r="X252">
            <v>-0.32</v>
          </cell>
          <cell r="Z252">
            <v>4.1399999999999997</v>
          </cell>
          <cell r="AA252">
            <v>2.9319999999999999</v>
          </cell>
          <cell r="AB252">
            <v>2.4388999999999998</v>
          </cell>
          <cell r="AC252">
            <v>3.3954</v>
          </cell>
          <cell r="AE252">
            <v>0.45599999999999996</v>
          </cell>
          <cell r="AF252">
            <v>2.9319999999999999</v>
          </cell>
          <cell r="AG252">
            <v>0.79369999999999996</v>
          </cell>
          <cell r="AK252">
            <v>0.45</v>
          </cell>
          <cell r="AN252">
            <v>0.4</v>
          </cell>
          <cell r="AO252">
            <v>0.15</v>
          </cell>
          <cell r="AP252">
            <v>0</v>
          </cell>
          <cell r="AR252">
            <v>1</v>
          </cell>
          <cell r="AS252">
            <v>0.87831999999999988</v>
          </cell>
          <cell r="AT252">
            <v>0.87831999999999988</v>
          </cell>
          <cell r="AU252">
            <v>0.35</v>
          </cell>
          <cell r="AV252">
            <v>0</v>
          </cell>
          <cell r="AW252">
            <v>0</v>
          </cell>
          <cell r="AY252">
            <v>0.15</v>
          </cell>
          <cell r="BB252">
            <v>0.3</v>
          </cell>
          <cell r="BD252">
            <v>0.2</v>
          </cell>
          <cell r="BE252">
            <v>1</v>
          </cell>
          <cell r="BF252">
            <v>0.87831999999999999</v>
          </cell>
        </row>
        <row r="253">
          <cell r="A253">
            <v>35216</v>
          </cell>
          <cell r="B253">
            <v>2.5789</v>
          </cell>
          <cell r="C253">
            <v>3.6762999999999999</v>
          </cell>
          <cell r="D253">
            <v>1.5069999999999999</v>
          </cell>
          <cell r="E253">
            <v>1.3524</v>
          </cell>
          <cell r="F253">
            <v>1.2001999999999999</v>
          </cell>
          <cell r="G253">
            <v>1.5396000000000001</v>
          </cell>
          <cell r="H253">
            <v>3.9409999999999998</v>
          </cell>
          <cell r="I253">
            <v>5.1280000000000001</v>
          </cell>
          <cell r="J253">
            <v>2.532</v>
          </cell>
          <cell r="K253">
            <v>3.5539000000000001</v>
          </cell>
          <cell r="L253">
            <v>3.2722000000000002</v>
          </cell>
          <cell r="M253">
            <v>3.8136999999999999</v>
          </cell>
          <cell r="N253">
            <v>3.9409999999999998</v>
          </cell>
          <cell r="O253">
            <v>5.1280000000000001</v>
          </cell>
          <cell r="P253">
            <v>2.532</v>
          </cell>
          <cell r="Q253">
            <v>3.5670000000000002</v>
          </cell>
          <cell r="R253">
            <v>2.714</v>
          </cell>
          <cell r="S253">
            <v>2.5590000000000002</v>
          </cell>
          <cell r="U253">
            <v>-1.502</v>
          </cell>
          <cell r="W253">
            <v>-0.2031</v>
          </cell>
          <cell r="X253">
            <v>-0.15</v>
          </cell>
          <cell r="Z253">
            <v>2.13</v>
          </cell>
          <cell r="AA253">
            <v>-1.8160000000000001</v>
          </cell>
          <cell r="AB253">
            <v>-2.0678000000000001</v>
          </cell>
          <cell r="AC253">
            <v>-1.5809</v>
          </cell>
          <cell r="AE253">
            <v>1.1879</v>
          </cell>
          <cell r="AF253">
            <v>-1.8160000000000001</v>
          </cell>
          <cell r="AG253">
            <v>0.79369999999999996</v>
          </cell>
          <cell r="AK253">
            <v>0.45</v>
          </cell>
          <cell r="AN253">
            <v>0.4</v>
          </cell>
          <cell r="AO253">
            <v>0.15</v>
          </cell>
          <cell r="AP253">
            <v>0</v>
          </cell>
          <cell r="AR253">
            <v>1</v>
          </cell>
          <cell r="AS253">
            <v>0.80686500000000017</v>
          </cell>
          <cell r="AT253">
            <v>0.80686500000000017</v>
          </cell>
          <cell r="AU253">
            <v>0.35</v>
          </cell>
          <cell r="AV253">
            <v>0</v>
          </cell>
          <cell r="AW253">
            <v>0</v>
          </cell>
          <cell r="AY253">
            <v>0.15</v>
          </cell>
          <cell r="BB253">
            <v>0.3</v>
          </cell>
          <cell r="BD253">
            <v>0.2</v>
          </cell>
          <cell r="BE253">
            <v>1</v>
          </cell>
          <cell r="BF253">
            <v>0.80686499999999994</v>
          </cell>
        </row>
        <row r="254">
          <cell r="A254">
            <v>35246</v>
          </cell>
          <cell r="B254">
            <v>0.38150000000000001</v>
          </cell>
          <cell r="C254">
            <v>1.2454000000000001</v>
          </cell>
          <cell r="D254">
            <v>-0.48299999999999998</v>
          </cell>
          <cell r="E254">
            <v>-1.5004999999999999</v>
          </cell>
          <cell r="F254">
            <v>-3.4302999999999999</v>
          </cell>
          <cell r="G254">
            <v>0.45989999999999998</v>
          </cell>
          <cell r="H254">
            <v>-4.1059999999999999</v>
          </cell>
          <cell r="I254">
            <v>-6.4980000000000002</v>
          </cell>
          <cell r="J254">
            <v>-1.181</v>
          </cell>
          <cell r="K254">
            <v>-3.9209999999999998</v>
          </cell>
          <cell r="L254">
            <v>-5.5500999999999996</v>
          </cell>
          <cell r="M254">
            <v>-2.4199000000000002</v>
          </cell>
          <cell r="N254">
            <v>-4.1059999999999999</v>
          </cell>
          <cell r="O254">
            <v>-6.4980000000000002</v>
          </cell>
          <cell r="P254">
            <v>-1.181</v>
          </cell>
          <cell r="Q254">
            <v>-5.0129999999999999</v>
          </cell>
          <cell r="R254">
            <v>-3.0710000000000002</v>
          </cell>
          <cell r="S254">
            <v>-0.32300000000000001</v>
          </cell>
          <cell r="U254">
            <v>0.50700000000000001</v>
          </cell>
          <cell r="W254">
            <v>1.3429</v>
          </cell>
          <cell r="X254">
            <v>1.18</v>
          </cell>
          <cell r="Z254">
            <v>-1.53</v>
          </cell>
          <cell r="AA254">
            <v>0.58699999999999997</v>
          </cell>
          <cell r="AB254">
            <v>0.36909999999999998</v>
          </cell>
          <cell r="AC254">
            <v>1.0585</v>
          </cell>
          <cell r="AE254">
            <v>0.86219999999999997</v>
          </cell>
          <cell r="AF254">
            <v>0.58699999999999997</v>
          </cell>
          <cell r="AG254">
            <v>0.79369999999999996</v>
          </cell>
          <cell r="AK254">
            <v>0.45</v>
          </cell>
          <cell r="AN254">
            <v>0.4</v>
          </cell>
          <cell r="AO254">
            <v>0.15</v>
          </cell>
          <cell r="AP254">
            <v>0</v>
          </cell>
          <cell r="AR254">
            <v>1</v>
          </cell>
          <cell r="AS254">
            <v>0.79688499999999995</v>
          </cell>
          <cell r="AT254">
            <v>0.79688499999999995</v>
          </cell>
          <cell r="AU254">
            <v>0.35</v>
          </cell>
          <cell r="AV254">
            <v>0</v>
          </cell>
          <cell r="AW254">
            <v>0</v>
          </cell>
          <cell r="AY254">
            <v>0.15</v>
          </cell>
          <cell r="BB254">
            <v>0.3</v>
          </cell>
          <cell r="BD254">
            <v>0.2</v>
          </cell>
          <cell r="BE254">
            <v>1</v>
          </cell>
          <cell r="BF254">
            <v>0.79688500000000007</v>
          </cell>
        </row>
        <row r="255">
          <cell r="A255">
            <v>35277</v>
          </cell>
          <cell r="B255">
            <v>-4.4180000000000001</v>
          </cell>
          <cell r="C255">
            <v>-4.6102999999999996</v>
          </cell>
          <cell r="D255">
            <v>-4.2190000000000003</v>
          </cell>
          <cell r="E255">
            <v>-6.7653999999999996</v>
          </cell>
          <cell r="F255">
            <v>-7.4496000000000002</v>
          </cell>
          <cell r="G255">
            <v>-5.8498999999999999</v>
          </cell>
          <cell r="H255">
            <v>-8.734</v>
          </cell>
          <cell r="I255">
            <v>-12.208</v>
          </cell>
          <cell r="J255">
            <v>-5.3159999999999998</v>
          </cell>
          <cell r="K255">
            <v>-6.88</v>
          </cell>
          <cell r="L255">
            <v>-8.4280000000000008</v>
          </cell>
          <cell r="M255">
            <v>-5.2912999999999997</v>
          </cell>
          <cell r="N255">
            <v>-8.734</v>
          </cell>
          <cell r="O255">
            <v>-12.208</v>
          </cell>
          <cell r="P255">
            <v>-5.3159999999999998</v>
          </cell>
          <cell r="Q255">
            <v>-9.9380000000000006</v>
          </cell>
          <cell r="R255">
            <v>-7.32</v>
          </cell>
          <cell r="S255">
            <v>-5.2350000000000003</v>
          </cell>
          <cell r="U255">
            <v>-3.3239999999999998</v>
          </cell>
          <cell r="W255">
            <v>0.2737</v>
          </cell>
          <cell r="X255">
            <v>0.32</v>
          </cell>
          <cell r="Z255">
            <v>-3.8</v>
          </cell>
          <cell r="AA255">
            <v>-2.8980000000000001</v>
          </cell>
          <cell r="AB255">
            <v>-3.2183000000000002</v>
          </cell>
          <cell r="AC255">
            <v>-2.5832000000000002</v>
          </cell>
          <cell r="AE255">
            <v>-2.0721500000000002</v>
          </cell>
          <cell r="AF255">
            <v>-2.8980000000000001</v>
          </cell>
          <cell r="AG255">
            <v>0.75719999999999998</v>
          </cell>
          <cell r="AK255">
            <v>0.45</v>
          </cell>
          <cell r="AN255">
            <v>0.4</v>
          </cell>
          <cell r="AO255">
            <v>0.15</v>
          </cell>
          <cell r="AP255">
            <v>0</v>
          </cell>
          <cell r="AR255">
            <v>1</v>
          </cell>
          <cell r="AS255">
            <v>-2.31332</v>
          </cell>
          <cell r="AT255">
            <v>-2.31332</v>
          </cell>
          <cell r="AU255">
            <v>0.35</v>
          </cell>
          <cell r="AV255">
            <v>0</v>
          </cell>
          <cell r="AW255">
            <v>0</v>
          </cell>
          <cell r="AY255">
            <v>0.15</v>
          </cell>
          <cell r="BB255">
            <v>0.3</v>
          </cell>
          <cell r="BD255">
            <v>0.2</v>
          </cell>
          <cell r="BE255">
            <v>1</v>
          </cell>
          <cell r="BF255">
            <v>-2.31332</v>
          </cell>
        </row>
        <row r="256">
          <cell r="A256">
            <v>35308</v>
          </cell>
          <cell r="B256">
            <v>2.1093999999999999</v>
          </cell>
          <cell r="C256">
            <v>1.4802999999999999</v>
          </cell>
          <cell r="D256">
            <v>2.76</v>
          </cell>
          <cell r="E256">
            <v>5.7672999999999996</v>
          </cell>
          <cell r="F256">
            <v>5.8398000000000003</v>
          </cell>
          <cell r="G256">
            <v>5.2499000000000002</v>
          </cell>
          <cell r="H256">
            <v>5.806</v>
          </cell>
          <cell r="I256">
            <v>7.4029999999999996</v>
          </cell>
          <cell r="J256">
            <v>4.3390000000000004</v>
          </cell>
          <cell r="K256">
            <v>6.1769999999999996</v>
          </cell>
          <cell r="L256">
            <v>6.6261000000000001</v>
          </cell>
          <cell r="M256">
            <v>5.7290000000000001</v>
          </cell>
          <cell r="N256">
            <v>5.806</v>
          </cell>
          <cell r="O256">
            <v>7.4029999999999996</v>
          </cell>
          <cell r="P256">
            <v>4.3390000000000004</v>
          </cell>
          <cell r="Q256">
            <v>6.8849999999999998</v>
          </cell>
          <cell r="R256">
            <v>5.75</v>
          </cell>
          <cell r="S256">
            <v>3.0339999999999998</v>
          </cell>
          <cell r="U256">
            <v>0.58699999999999997</v>
          </cell>
          <cell r="W256">
            <v>-0.1676</v>
          </cell>
          <cell r="X256">
            <v>0.05</v>
          </cell>
          <cell r="Z256">
            <v>2.38</v>
          </cell>
          <cell r="AA256">
            <v>0.245</v>
          </cell>
          <cell r="AB256">
            <v>0.11700000000000001</v>
          </cell>
          <cell r="AC256">
            <v>0.36899999999999999</v>
          </cell>
          <cell r="AE256">
            <v>0.97089999999999999</v>
          </cell>
          <cell r="AF256">
            <v>0.245</v>
          </cell>
          <cell r="AG256">
            <v>0.75719999999999998</v>
          </cell>
          <cell r="AK256">
            <v>0.45</v>
          </cell>
          <cell r="AN256">
            <v>0.4</v>
          </cell>
          <cell r="AO256">
            <v>0.15</v>
          </cell>
          <cell r="AP256">
            <v>0</v>
          </cell>
          <cell r="AR256">
            <v>1</v>
          </cell>
          <cell r="AS256">
            <v>0.91893999999999998</v>
          </cell>
          <cell r="AT256">
            <v>0.91893999999999998</v>
          </cell>
          <cell r="AU256">
            <v>0.35</v>
          </cell>
          <cell r="AV256">
            <v>0</v>
          </cell>
          <cell r="AW256">
            <v>0</v>
          </cell>
          <cell r="AY256">
            <v>0.15</v>
          </cell>
          <cell r="BB256">
            <v>0.3</v>
          </cell>
          <cell r="BD256">
            <v>0.2</v>
          </cell>
          <cell r="BE256">
            <v>1</v>
          </cell>
          <cell r="BF256">
            <v>0.91893999999999987</v>
          </cell>
        </row>
        <row r="257">
          <cell r="A257">
            <v>35338</v>
          </cell>
          <cell r="B257">
            <v>5.6284999999999998</v>
          </cell>
          <cell r="C257">
            <v>6.9413</v>
          </cell>
          <cell r="D257">
            <v>4.2830000000000004</v>
          </cell>
          <cell r="E257">
            <v>4.3601000000000001</v>
          </cell>
          <cell r="F257">
            <v>6.1801000000000004</v>
          </cell>
          <cell r="G257">
            <v>2.7902</v>
          </cell>
          <cell r="H257">
            <v>3.9079999999999999</v>
          </cell>
          <cell r="I257">
            <v>5.15</v>
          </cell>
          <cell r="J257">
            <v>2.73</v>
          </cell>
          <cell r="K257">
            <v>4.3865999999999996</v>
          </cell>
          <cell r="L257">
            <v>5.3110999999999997</v>
          </cell>
          <cell r="M257">
            <v>3.4605000000000001</v>
          </cell>
          <cell r="N257">
            <v>3.9079999999999999</v>
          </cell>
          <cell r="O257">
            <v>5.15</v>
          </cell>
          <cell r="P257">
            <v>2.73</v>
          </cell>
          <cell r="Q257">
            <v>5.3070000000000004</v>
          </cell>
          <cell r="R257">
            <v>4.3339999999999996</v>
          </cell>
          <cell r="S257">
            <v>5.4429999999999996</v>
          </cell>
          <cell r="U257">
            <v>2.4830000000000001</v>
          </cell>
          <cell r="W257">
            <v>1.7426999999999999</v>
          </cell>
          <cell r="X257">
            <v>1.5</v>
          </cell>
          <cell r="Z257">
            <v>2.5</v>
          </cell>
          <cell r="AA257">
            <v>2.6819999999999999</v>
          </cell>
          <cell r="AB257">
            <v>2.7606000000000002</v>
          </cell>
          <cell r="AC257">
            <v>2.5491999999999999</v>
          </cell>
          <cell r="AE257">
            <v>3.6856</v>
          </cell>
          <cell r="AF257">
            <v>2.6819999999999999</v>
          </cell>
          <cell r="AG257">
            <v>0.75719999999999998</v>
          </cell>
          <cell r="AK257">
            <v>0.45</v>
          </cell>
          <cell r="AN257">
            <v>0.4</v>
          </cell>
          <cell r="AO257">
            <v>0.15</v>
          </cell>
          <cell r="AP257">
            <v>0</v>
          </cell>
          <cell r="AR257">
            <v>1</v>
          </cell>
          <cell r="AS257">
            <v>3.6322049999999999</v>
          </cell>
          <cell r="AT257">
            <v>3.6322049999999999</v>
          </cell>
          <cell r="AU257">
            <v>0.35</v>
          </cell>
          <cell r="AV257">
            <v>0</v>
          </cell>
          <cell r="AW257">
            <v>0</v>
          </cell>
          <cell r="AY257">
            <v>0.15</v>
          </cell>
          <cell r="BB257">
            <v>0.3</v>
          </cell>
          <cell r="BD257">
            <v>0.2</v>
          </cell>
          <cell r="BE257">
            <v>1</v>
          </cell>
          <cell r="BF257">
            <v>3.6322049999999999</v>
          </cell>
        </row>
        <row r="258">
          <cell r="A258">
            <v>35369</v>
          </cell>
          <cell r="B258">
            <v>2.7581000000000002</v>
          </cell>
          <cell r="C258">
            <v>2.1669</v>
          </cell>
          <cell r="D258">
            <v>3.39</v>
          </cell>
          <cell r="E258">
            <v>0.29060000000000002</v>
          </cell>
          <cell r="F258">
            <v>-1.0201</v>
          </cell>
          <cell r="G258">
            <v>1.6597999999999999</v>
          </cell>
          <cell r="H258">
            <v>-1.5409999999999999</v>
          </cell>
          <cell r="I258">
            <v>-4.3140000000000001</v>
          </cell>
          <cell r="J258">
            <v>1.1599999999999999</v>
          </cell>
          <cell r="K258">
            <v>-0.69220000000000004</v>
          </cell>
          <cell r="L258">
            <v>-2.4314</v>
          </cell>
          <cell r="M258">
            <v>1.1006</v>
          </cell>
          <cell r="N258">
            <v>-1.5409999999999999</v>
          </cell>
          <cell r="O258">
            <v>-4.3140000000000001</v>
          </cell>
          <cell r="P258">
            <v>1.1599999999999999</v>
          </cell>
          <cell r="Q258">
            <v>-3.1110000000000002</v>
          </cell>
          <cell r="R258">
            <v>-0.65700000000000003</v>
          </cell>
          <cell r="S258">
            <v>1.8280000000000001</v>
          </cell>
          <cell r="U258">
            <v>-1.0009999999999999</v>
          </cell>
          <cell r="W258">
            <v>2.2151000000000001</v>
          </cell>
          <cell r="X258">
            <v>1.84</v>
          </cell>
          <cell r="Z258">
            <v>1.93</v>
          </cell>
          <cell r="AA258">
            <v>-0.998</v>
          </cell>
          <cell r="AB258">
            <v>-0.80869999999999997</v>
          </cell>
          <cell r="AC258">
            <v>-1.2231000000000001</v>
          </cell>
          <cell r="AE258">
            <v>2.4866000000000001</v>
          </cell>
          <cell r="AF258">
            <v>-0.998</v>
          </cell>
          <cell r="AG258">
            <v>0.86839999999999995</v>
          </cell>
          <cell r="AK258">
            <v>0.45</v>
          </cell>
          <cell r="AN258">
            <v>0.4</v>
          </cell>
          <cell r="AO258">
            <v>0.15</v>
          </cell>
          <cell r="AP258">
            <v>0</v>
          </cell>
          <cell r="AR258">
            <v>1</v>
          </cell>
          <cell r="AS258">
            <v>1.9774850000000004</v>
          </cell>
          <cell r="AT258">
            <v>1.9774850000000004</v>
          </cell>
          <cell r="AU258">
            <v>0.35</v>
          </cell>
          <cell r="AV258">
            <v>0</v>
          </cell>
          <cell r="AW258">
            <v>0</v>
          </cell>
          <cell r="AY258">
            <v>0.15</v>
          </cell>
          <cell r="BB258">
            <v>0.3</v>
          </cell>
          <cell r="BD258">
            <v>0.2</v>
          </cell>
          <cell r="BE258">
            <v>1</v>
          </cell>
          <cell r="BF258">
            <v>1.9774849999999999</v>
          </cell>
        </row>
        <row r="259">
          <cell r="A259">
            <v>35399</v>
          </cell>
          <cell r="B259">
            <v>7.5587</v>
          </cell>
          <cell r="C259">
            <v>7.4739000000000004</v>
          </cell>
          <cell r="D259">
            <v>7.65</v>
          </cell>
          <cell r="E259">
            <v>5.6329000000000002</v>
          </cell>
          <cell r="F259">
            <v>5.42</v>
          </cell>
          <cell r="G259">
            <v>5.8593000000000002</v>
          </cell>
          <cell r="H259">
            <v>4.12</v>
          </cell>
          <cell r="I259">
            <v>2.7810000000000001</v>
          </cell>
          <cell r="J259">
            <v>5.3810000000000002</v>
          </cell>
          <cell r="K259">
            <v>5.1936999999999998</v>
          </cell>
          <cell r="L259">
            <v>4.4362000000000004</v>
          </cell>
          <cell r="M259">
            <v>5.9522000000000004</v>
          </cell>
          <cell r="N259">
            <v>4.12</v>
          </cell>
          <cell r="O259">
            <v>2.7810000000000001</v>
          </cell>
          <cell r="P259">
            <v>5.3810000000000002</v>
          </cell>
          <cell r="Q259">
            <v>3.6659999999999999</v>
          </cell>
          <cell r="R259">
            <v>4.8319999999999999</v>
          </cell>
          <cell r="S259">
            <v>7.0540000000000003</v>
          </cell>
          <cell r="U259">
            <v>3.8580000000000001</v>
          </cell>
          <cell r="W259">
            <v>1.7129000000000001</v>
          </cell>
          <cell r="X259">
            <v>1.36</v>
          </cell>
          <cell r="Z259">
            <v>3.07</v>
          </cell>
          <cell r="AA259">
            <v>4.0039999999999996</v>
          </cell>
          <cell r="AB259">
            <v>3.2155999999999998</v>
          </cell>
          <cell r="AC259">
            <v>4.8350999999999997</v>
          </cell>
          <cell r="AE259">
            <v>4.6357999999999997</v>
          </cell>
          <cell r="AF259">
            <v>4.0039999999999996</v>
          </cell>
          <cell r="AG259">
            <v>0.86839999999999995</v>
          </cell>
          <cell r="AK259">
            <v>0.45</v>
          </cell>
          <cell r="AN259">
            <v>0.4</v>
          </cell>
          <cell r="AO259">
            <v>0.15</v>
          </cell>
          <cell r="AP259">
            <v>0</v>
          </cell>
          <cell r="AR259">
            <v>1</v>
          </cell>
          <cell r="AS259">
            <v>4.6871749999999999</v>
          </cell>
          <cell r="AT259">
            <v>4.6871749999999999</v>
          </cell>
          <cell r="AU259">
            <v>0.35</v>
          </cell>
          <cell r="AV259">
            <v>0</v>
          </cell>
          <cell r="AW259">
            <v>0</v>
          </cell>
          <cell r="AY259">
            <v>0.15</v>
          </cell>
          <cell r="BB259">
            <v>0.3</v>
          </cell>
          <cell r="BD259">
            <v>0.2</v>
          </cell>
          <cell r="BE259">
            <v>1</v>
          </cell>
          <cell r="BF259">
            <v>4.6871749999999999</v>
          </cell>
        </row>
        <row r="260">
          <cell r="A260">
            <v>35430</v>
          </cell>
          <cell r="B260">
            <v>-1.9815</v>
          </cell>
          <cell r="C260">
            <v>-2.3104</v>
          </cell>
          <cell r="D260">
            <v>-1.64</v>
          </cell>
          <cell r="E260">
            <v>0.11070000000000001</v>
          </cell>
          <cell r="F260">
            <v>-1.0702</v>
          </cell>
          <cell r="G260">
            <v>1.2098</v>
          </cell>
          <cell r="H260">
            <v>2.621</v>
          </cell>
          <cell r="I260">
            <v>1.95</v>
          </cell>
          <cell r="J260">
            <v>3.246</v>
          </cell>
          <cell r="K260">
            <v>1.1706000000000001</v>
          </cell>
          <cell r="L260">
            <v>0.90939999999999999</v>
          </cell>
          <cell r="M260">
            <v>1.4285000000000001</v>
          </cell>
          <cell r="N260">
            <v>2.621</v>
          </cell>
          <cell r="O260">
            <v>1.95</v>
          </cell>
          <cell r="P260">
            <v>3.246</v>
          </cell>
          <cell r="Q260">
            <v>0.49</v>
          </cell>
          <cell r="R260">
            <v>1.369</v>
          </cell>
          <cell r="S260">
            <v>-1.204</v>
          </cell>
          <cell r="U260">
            <v>-1.1579999999999999</v>
          </cell>
          <cell r="W260">
            <v>-0.92979999999999996</v>
          </cell>
          <cell r="X260">
            <v>-0.59</v>
          </cell>
          <cell r="Z260">
            <v>0.82</v>
          </cell>
          <cell r="AA260">
            <v>-1.262</v>
          </cell>
          <cell r="AB260">
            <v>-1.7997000000000001</v>
          </cell>
          <cell r="AC260">
            <v>-0.75449999999999995</v>
          </cell>
          <cell r="AE260">
            <v>-1.4556499999999999</v>
          </cell>
          <cell r="AF260">
            <v>-1.262</v>
          </cell>
          <cell r="AG260">
            <v>0.86839999999999995</v>
          </cell>
          <cell r="AK260">
            <v>0.45</v>
          </cell>
          <cell r="AN260">
            <v>0.4</v>
          </cell>
          <cell r="AO260">
            <v>0.15</v>
          </cell>
          <cell r="AP260">
            <v>0</v>
          </cell>
          <cell r="AR260">
            <v>1</v>
          </cell>
          <cell r="AS260">
            <v>-1.452895</v>
          </cell>
          <cell r="AT260">
            <v>-1.452895</v>
          </cell>
          <cell r="AU260">
            <v>0.35</v>
          </cell>
          <cell r="AV260">
            <v>0</v>
          </cell>
          <cell r="AW260">
            <v>0</v>
          </cell>
          <cell r="AY260">
            <v>0.15</v>
          </cell>
          <cell r="BB260">
            <v>0.3</v>
          </cell>
          <cell r="BD260">
            <v>0.2</v>
          </cell>
          <cell r="BE260">
            <v>1</v>
          </cell>
          <cell r="BF260">
            <v>-1.4528949999999998</v>
          </cell>
        </row>
        <row r="261">
          <cell r="A261">
            <v>35461</v>
          </cell>
          <cell r="B261">
            <v>6.2474999999999996</v>
          </cell>
          <cell r="C261">
            <v>7.8329000000000004</v>
          </cell>
          <cell r="D261">
            <v>4.6100000000000003</v>
          </cell>
          <cell r="E261">
            <v>3.7541000000000002</v>
          </cell>
          <cell r="F261">
            <v>5.4298000000000002</v>
          </cell>
          <cell r="G261">
            <v>2.46</v>
          </cell>
          <cell r="H261">
            <v>1.998</v>
          </cell>
          <cell r="I261">
            <v>2.4980000000000002</v>
          </cell>
          <cell r="J261">
            <v>1.5369999999999999</v>
          </cell>
          <cell r="K261">
            <v>1.6625000000000001</v>
          </cell>
          <cell r="L261">
            <v>2.0301</v>
          </cell>
          <cell r="M261">
            <v>1.2761</v>
          </cell>
          <cell r="N261">
            <v>1.998</v>
          </cell>
          <cell r="O261">
            <v>2.4980000000000002</v>
          </cell>
          <cell r="P261">
            <v>1.5369999999999999</v>
          </cell>
          <cell r="Q261">
            <v>2.9910000000000001</v>
          </cell>
          <cell r="R261">
            <v>2.7629999999999999</v>
          </cell>
          <cell r="S261">
            <v>5.5339999999999998</v>
          </cell>
          <cell r="U261">
            <v>-1.837</v>
          </cell>
          <cell r="W261">
            <v>0.30620000000000003</v>
          </cell>
          <cell r="X261">
            <v>0.52</v>
          </cell>
          <cell r="Z261">
            <v>3.49</v>
          </cell>
          <cell r="AA261">
            <v>-3.4769999999999999</v>
          </cell>
          <cell r="AB261">
            <v>-4.1482999999999999</v>
          </cell>
          <cell r="AC261">
            <v>-2.7461000000000002</v>
          </cell>
          <cell r="AE261">
            <v>3.2768499999999996</v>
          </cell>
          <cell r="AF261">
            <v>-3.4769999999999999</v>
          </cell>
          <cell r="AG261">
            <v>0.86170000000000002</v>
          </cell>
          <cell r="AK261">
            <v>0.45</v>
          </cell>
          <cell r="AN261">
            <v>0.4</v>
          </cell>
          <cell r="AO261">
            <v>0.15</v>
          </cell>
          <cell r="AP261">
            <v>0</v>
          </cell>
          <cell r="AR261">
            <v>1</v>
          </cell>
          <cell r="AS261">
            <v>2.4123049999999999</v>
          </cell>
          <cell r="AT261">
            <v>2.4123049999999999</v>
          </cell>
          <cell r="AU261">
            <v>0.35</v>
          </cell>
          <cell r="AV261">
            <v>0</v>
          </cell>
          <cell r="AW261">
            <v>0</v>
          </cell>
          <cell r="AY261">
            <v>0.15</v>
          </cell>
          <cell r="BB261">
            <v>0.3</v>
          </cell>
          <cell r="BD261">
            <v>0.2</v>
          </cell>
          <cell r="BE261">
            <v>1</v>
          </cell>
          <cell r="BF261">
            <v>2.4123049999999999</v>
          </cell>
        </row>
        <row r="262">
          <cell r="A262">
            <v>35489</v>
          </cell>
          <cell r="B262">
            <v>0.78369999999999995</v>
          </cell>
          <cell r="C262">
            <v>0.83640000000000003</v>
          </cell>
          <cell r="D262">
            <v>0.73</v>
          </cell>
          <cell r="E262">
            <v>-0.82240000000000002</v>
          </cell>
          <cell r="F262">
            <v>-2.59</v>
          </cell>
          <cell r="G262">
            <v>0.93</v>
          </cell>
          <cell r="H262">
            <v>-2.4249999999999998</v>
          </cell>
          <cell r="I262">
            <v>-6.0389999999999997</v>
          </cell>
          <cell r="J262">
            <v>0.94899999999999995</v>
          </cell>
          <cell r="K262">
            <v>-2.0693000000000001</v>
          </cell>
          <cell r="L262">
            <v>-4.6802000000000001</v>
          </cell>
          <cell r="M262">
            <v>0.66320000000000001</v>
          </cell>
          <cell r="N262">
            <v>-2.4249999999999998</v>
          </cell>
          <cell r="O262">
            <v>-6.0389999999999997</v>
          </cell>
          <cell r="P262">
            <v>0.94899999999999995</v>
          </cell>
          <cell r="Q262">
            <v>-4.3819999999999997</v>
          </cell>
          <cell r="R262">
            <v>-1.4850000000000001</v>
          </cell>
          <cell r="S262">
            <v>0.109</v>
          </cell>
          <cell r="U262">
            <v>1.8340000000000001</v>
          </cell>
          <cell r="W262">
            <v>0.24879999999999999</v>
          </cell>
          <cell r="X262">
            <v>0.24</v>
          </cell>
          <cell r="Z262">
            <v>-1.58</v>
          </cell>
          <cell r="AA262">
            <v>1.66</v>
          </cell>
          <cell r="AB262">
            <v>1.5650999999999999</v>
          </cell>
          <cell r="AC262">
            <v>1.7607999999999999</v>
          </cell>
          <cell r="AE262">
            <v>0.51624999999999999</v>
          </cell>
          <cell r="AF262">
            <v>1.66</v>
          </cell>
          <cell r="AG262">
            <v>0.86170000000000002</v>
          </cell>
          <cell r="AK262">
            <v>0.45</v>
          </cell>
          <cell r="AN262">
            <v>0.4</v>
          </cell>
          <cell r="AO262">
            <v>0.15</v>
          </cell>
          <cell r="AP262">
            <v>0</v>
          </cell>
          <cell r="AR262">
            <v>1</v>
          </cell>
          <cell r="AS262">
            <v>0.70118499999999995</v>
          </cell>
          <cell r="AT262">
            <v>0.70118499999999995</v>
          </cell>
          <cell r="AU262">
            <v>0.35</v>
          </cell>
          <cell r="AV262">
            <v>0</v>
          </cell>
          <cell r="AW262">
            <v>0</v>
          </cell>
          <cell r="AY262">
            <v>0.15</v>
          </cell>
          <cell r="BB262">
            <v>0.3</v>
          </cell>
          <cell r="BD262">
            <v>0.2</v>
          </cell>
          <cell r="BE262">
            <v>1</v>
          </cell>
          <cell r="BF262">
            <v>0.70118499999999995</v>
          </cell>
        </row>
        <row r="263">
          <cell r="A263">
            <v>35520</v>
          </cell>
          <cell r="B263">
            <v>-4.1087999999999996</v>
          </cell>
          <cell r="C263">
            <v>-4.7481</v>
          </cell>
          <cell r="D263">
            <v>-3.42</v>
          </cell>
          <cell r="E263">
            <v>-4.2633999999999999</v>
          </cell>
          <cell r="F263">
            <v>-5.23</v>
          </cell>
          <cell r="G263">
            <v>-3.32</v>
          </cell>
          <cell r="H263">
            <v>-4.7190000000000003</v>
          </cell>
          <cell r="I263">
            <v>-7.0570000000000004</v>
          </cell>
          <cell r="J263">
            <v>-2.6819999999999999</v>
          </cell>
          <cell r="K263">
            <v>-5.1330999999999998</v>
          </cell>
          <cell r="L263">
            <v>-7.2182000000000004</v>
          </cell>
          <cell r="M263">
            <v>-3.0243000000000002</v>
          </cell>
          <cell r="N263">
            <v>-4.7190000000000003</v>
          </cell>
          <cell r="O263">
            <v>-7.0570000000000004</v>
          </cell>
          <cell r="P263">
            <v>-2.6819999999999999</v>
          </cell>
          <cell r="Q263">
            <v>-6.58</v>
          </cell>
          <cell r="R263">
            <v>-4.5289999999999999</v>
          </cell>
          <cell r="S263">
            <v>-4.5250000000000004</v>
          </cell>
          <cell r="U263">
            <v>-0.21</v>
          </cell>
          <cell r="W263">
            <v>-1.1082000000000001</v>
          </cell>
          <cell r="X263">
            <v>-0.78</v>
          </cell>
          <cell r="Z263">
            <v>-2.27</v>
          </cell>
          <cell r="AA263">
            <v>0.38700000000000001</v>
          </cell>
          <cell r="AB263">
            <v>0.61150000000000004</v>
          </cell>
          <cell r="AC263">
            <v>0.16350000000000001</v>
          </cell>
          <cell r="AE263">
            <v>-2.6084999999999998</v>
          </cell>
          <cell r="AF263">
            <v>0.38700000000000001</v>
          </cell>
          <cell r="AG263">
            <v>0.86170000000000002</v>
          </cell>
          <cell r="AK263">
            <v>0.45</v>
          </cell>
          <cell r="AN263">
            <v>0.4</v>
          </cell>
          <cell r="AO263">
            <v>0.15</v>
          </cell>
          <cell r="AP263">
            <v>0</v>
          </cell>
          <cell r="AR263">
            <v>1</v>
          </cell>
          <cell r="AS263">
            <v>-2.2341899999999999</v>
          </cell>
          <cell r="AT263">
            <v>-2.2341899999999999</v>
          </cell>
          <cell r="AU263">
            <v>0.35</v>
          </cell>
          <cell r="AV263">
            <v>0</v>
          </cell>
          <cell r="AW263">
            <v>0</v>
          </cell>
          <cell r="AY263">
            <v>0.15</v>
          </cell>
          <cell r="BB263">
            <v>0.3</v>
          </cell>
          <cell r="BD263">
            <v>0.2</v>
          </cell>
          <cell r="BE263">
            <v>1</v>
          </cell>
          <cell r="BF263">
            <v>-2.2341899999999999</v>
          </cell>
        </row>
        <row r="264">
          <cell r="A264">
            <v>35550</v>
          </cell>
          <cell r="B264">
            <v>5.9698000000000002</v>
          </cell>
          <cell r="C264">
            <v>8.0745000000000005</v>
          </cell>
          <cell r="D264">
            <v>3.75</v>
          </cell>
          <cell r="E264">
            <v>2.5933999999999999</v>
          </cell>
          <cell r="F264">
            <v>3.11</v>
          </cell>
          <cell r="G264">
            <v>2.25</v>
          </cell>
          <cell r="H264">
            <v>0.27900000000000003</v>
          </cell>
          <cell r="I264">
            <v>-1.157</v>
          </cell>
          <cell r="J264">
            <v>1.47</v>
          </cell>
          <cell r="K264">
            <v>1.2244999999999999</v>
          </cell>
          <cell r="L264">
            <v>1.5732999999999999</v>
          </cell>
          <cell r="M264">
            <v>0.86060000000000003</v>
          </cell>
          <cell r="N264">
            <v>0.27900000000000003</v>
          </cell>
          <cell r="O264">
            <v>-1.157</v>
          </cell>
          <cell r="P264">
            <v>1.47</v>
          </cell>
          <cell r="Q264">
            <v>0.45</v>
          </cell>
          <cell r="R264">
            <v>1.2649999999999999</v>
          </cell>
          <cell r="S264">
            <v>4.9260000000000002</v>
          </cell>
          <cell r="U264">
            <v>0.84299999999999997</v>
          </cell>
          <cell r="W264">
            <v>1.4968999999999999</v>
          </cell>
          <cell r="X264">
            <v>1.33</v>
          </cell>
          <cell r="Z264">
            <v>0.01</v>
          </cell>
          <cell r="AA264">
            <v>0.55500000000000005</v>
          </cell>
          <cell r="AB264">
            <v>1.0227999999999999</v>
          </cell>
          <cell r="AC264">
            <v>8.5999999999999993E-2</v>
          </cell>
          <cell r="AE264">
            <v>3.7333500000000002</v>
          </cell>
          <cell r="AF264">
            <v>0.55500000000000005</v>
          </cell>
          <cell r="AG264">
            <v>0.77329999999999999</v>
          </cell>
          <cell r="AK264">
            <v>0.45</v>
          </cell>
          <cell r="AN264">
            <v>0.4</v>
          </cell>
          <cell r="AO264">
            <v>0.15</v>
          </cell>
          <cell r="AP264">
            <v>0</v>
          </cell>
          <cell r="AR264">
            <v>1</v>
          </cell>
          <cell r="AS264">
            <v>3.36842</v>
          </cell>
          <cell r="AT264">
            <v>3.36842</v>
          </cell>
          <cell r="AU264">
            <v>0.35</v>
          </cell>
          <cell r="AV264">
            <v>0</v>
          </cell>
          <cell r="AW264">
            <v>0</v>
          </cell>
          <cell r="AY264">
            <v>0.15</v>
          </cell>
          <cell r="BB264">
            <v>0.3</v>
          </cell>
          <cell r="BD264">
            <v>0.2</v>
          </cell>
          <cell r="BE264">
            <v>1</v>
          </cell>
          <cell r="BF264">
            <v>3.36842</v>
          </cell>
        </row>
        <row r="265">
          <cell r="A265">
            <v>35581</v>
          </cell>
          <cell r="B265">
            <v>6.0884</v>
          </cell>
          <cell r="C265">
            <v>5.9263000000000003</v>
          </cell>
          <cell r="D265">
            <v>6.2720000000000002</v>
          </cell>
          <cell r="E265">
            <v>8.7439</v>
          </cell>
          <cell r="F265">
            <v>11.2867</v>
          </cell>
          <cell r="G265">
            <v>6.38</v>
          </cell>
          <cell r="H265">
            <v>11.125</v>
          </cell>
          <cell r="I265">
            <v>15.03</v>
          </cell>
          <cell r="J265">
            <v>7.9610000000000003</v>
          </cell>
          <cell r="K265">
            <v>11.745200000000001</v>
          </cell>
          <cell r="L265">
            <v>13.7875</v>
          </cell>
          <cell r="M265">
            <v>9.7342999999999993</v>
          </cell>
          <cell r="N265">
            <v>11.125</v>
          </cell>
          <cell r="O265">
            <v>15.03</v>
          </cell>
          <cell r="P265">
            <v>7.9610000000000003</v>
          </cell>
          <cell r="Q265">
            <v>11.986000000000001</v>
          </cell>
          <cell r="R265">
            <v>9.2059999999999995</v>
          </cell>
          <cell r="S265">
            <v>6.83</v>
          </cell>
          <cell r="U265">
            <v>6.1769999999999996</v>
          </cell>
          <cell r="W265">
            <v>0.94530000000000003</v>
          </cell>
          <cell r="X265">
            <v>0.88</v>
          </cell>
          <cell r="Z265">
            <v>5.14</v>
          </cell>
          <cell r="AA265">
            <v>6.532</v>
          </cell>
          <cell r="AB265">
            <v>5.8952999999999998</v>
          </cell>
          <cell r="AC265">
            <v>7.1760000000000002</v>
          </cell>
          <cell r="AE265">
            <v>3.5168499999999998</v>
          </cell>
          <cell r="AF265">
            <v>6.532</v>
          </cell>
          <cell r="AG265">
            <v>0.77329999999999999</v>
          </cell>
          <cell r="AK265">
            <v>0.45</v>
          </cell>
          <cell r="AN265">
            <v>0.4</v>
          </cell>
          <cell r="AO265">
            <v>0.15</v>
          </cell>
          <cell r="AP265">
            <v>0</v>
          </cell>
          <cell r="AR265">
            <v>1</v>
          </cell>
          <cell r="AS265">
            <v>4.0976999999999997</v>
          </cell>
          <cell r="AT265">
            <v>4.0976999999999997</v>
          </cell>
          <cell r="AU265">
            <v>0.35</v>
          </cell>
          <cell r="AV265">
            <v>0</v>
          </cell>
          <cell r="AW265">
            <v>0</v>
          </cell>
          <cell r="AY265">
            <v>0.15</v>
          </cell>
          <cell r="BB265">
            <v>0.3</v>
          </cell>
          <cell r="BD265">
            <v>0.2</v>
          </cell>
          <cell r="BE265">
            <v>1</v>
          </cell>
          <cell r="BF265">
            <v>4.0976999999999997</v>
          </cell>
        </row>
        <row r="266">
          <cell r="A266">
            <v>35611</v>
          </cell>
          <cell r="B266">
            <v>4.4802</v>
          </cell>
          <cell r="C266">
            <v>5.0689000000000002</v>
          </cell>
          <cell r="D266">
            <v>3.82</v>
          </cell>
          <cell r="E266">
            <v>2.8094000000000001</v>
          </cell>
          <cell r="F266">
            <v>2.9298000000000002</v>
          </cell>
          <cell r="G266">
            <v>2.7</v>
          </cell>
          <cell r="H266">
            <v>4.2859999999999996</v>
          </cell>
          <cell r="I266">
            <v>3.391</v>
          </cell>
          <cell r="J266">
            <v>5.0609999999999999</v>
          </cell>
          <cell r="K266">
            <v>4.4203000000000001</v>
          </cell>
          <cell r="L266">
            <v>3.1282999999999999</v>
          </cell>
          <cell r="M266">
            <v>5.694</v>
          </cell>
          <cell r="N266">
            <v>4.2859999999999996</v>
          </cell>
          <cell r="O266">
            <v>3.391</v>
          </cell>
          <cell r="P266">
            <v>5.0609999999999999</v>
          </cell>
          <cell r="Q266">
            <v>3.3460000000000001</v>
          </cell>
          <cell r="R266">
            <v>4.0869999999999997</v>
          </cell>
          <cell r="S266">
            <v>4.157</v>
          </cell>
          <cell r="U266">
            <v>5.5179999999999998</v>
          </cell>
          <cell r="W266">
            <v>1.1869000000000001</v>
          </cell>
          <cell r="X266">
            <v>1.01</v>
          </cell>
          <cell r="Z266">
            <v>2.2799999999999998</v>
          </cell>
          <cell r="AA266">
            <v>5.5369999999999999</v>
          </cell>
          <cell r="AB266">
            <v>5.8337000000000003</v>
          </cell>
          <cell r="AC266">
            <v>5.2304000000000004</v>
          </cell>
          <cell r="AE266">
            <v>2.8335499999999998</v>
          </cell>
          <cell r="AF266">
            <v>5.5369999999999999</v>
          </cell>
          <cell r="AG266">
            <v>0.77329999999999999</v>
          </cell>
          <cell r="AK266">
            <v>0.45</v>
          </cell>
          <cell r="AN266">
            <v>0.4</v>
          </cell>
          <cell r="AO266">
            <v>0.15</v>
          </cell>
          <cell r="AP266">
            <v>0</v>
          </cell>
          <cell r="AR266">
            <v>1</v>
          </cell>
          <cell r="AS266">
            <v>3.3214000000000001</v>
          </cell>
          <cell r="AT266">
            <v>3.3214000000000001</v>
          </cell>
          <cell r="AU266">
            <v>0.35</v>
          </cell>
          <cell r="AV266">
            <v>0</v>
          </cell>
          <cell r="AW266">
            <v>0</v>
          </cell>
          <cell r="AY266">
            <v>0.15</v>
          </cell>
          <cell r="BB266">
            <v>0.3</v>
          </cell>
          <cell r="BD266">
            <v>0.2</v>
          </cell>
          <cell r="BE266">
            <v>1</v>
          </cell>
          <cell r="BF266">
            <v>3.3213999999999997</v>
          </cell>
        </row>
        <row r="267">
          <cell r="A267">
            <v>35642</v>
          </cell>
          <cell r="B267">
            <v>7.9566999999999997</v>
          </cell>
          <cell r="C267">
            <v>7.9169</v>
          </cell>
          <cell r="D267">
            <v>8</v>
          </cell>
          <cell r="E267">
            <v>9.9009</v>
          </cell>
          <cell r="F267">
            <v>12.453099999999999</v>
          </cell>
          <cell r="G267">
            <v>7.39</v>
          </cell>
          <cell r="H267">
            <v>4.6529999999999996</v>
          </cell>
          <cell r="I267">
            <v>5.1239999999999997</v>
          </cell>
          <cell r="J267">
            <v>4.1970000000000001</v>
          </cell>
          <cell r="K267">
            <v>6.2866999999999997</v>
          </cell>
          <cell r="L267">
            <v>7.0399000000000003</v>
          </cell>
          <cell r="M267">
            <v>5.5023999999999997</v>
          </cell>
          <cell r="N267">
            <v>4.6529999999999996</v>
          </cell>
          <cell r="O267">
            <v>5.1239999999999997</v>
          </cell>
          <cell r="P267">
            <v>4.1970000000000001</v>
          </cell>
          <cell r="Q267">
            <v>6.3470000000000004</v>
          </cell>
          <cell r="R267">
            <v>5.8620000000000001</v>
          </cell>
          <cell r="S267">
            <v>7.84</v>
          </cell>
          <cell r="U267">
            <v>2.0249999999999999</v>
          </cell>
          <cell r="W267">
            <v>2.6966999999999999</v>
          </cell>
          <cell r="X267">
            <v>1.97</v>
          </cell>
          <cell r="Z267">
            <v>7.03</v>
          </cell>
          <cell r="AA267">
            <v>1.6379999999999999</v>
          </cell>
          <cell r="AB267">
            <v>2.4068999999999998</v>
          </cell>
          <cell r="AC267">
            <v>0.83009999999999995</v>
          </cell>
          <cell r="AE267">
            <v>6.6417000000000002</v>
          </cell>
          <cell r="AF267">
            <v>1.6379999999999999</v>
          </cell>
          <cell r="AG267">
            <v>0.93189999999999995</v>
          </cell>
          <cell r="AK267">
            <v>0.5</v>
          </cell>
          <cell r="AN267">
            <v>0.35</v>
          </cell>
          <cell r="AO267">
            <v>0.15</v>
          </cell>
          <cell r="AP267">
            <v>0</v>
          </cell>
          <cell r="AR267">
            <v>1</v>
          </cell>
          <cell r="AS267">
            <v>5.1678949999999997</v>
          </cell>
          <cell r="AT267">
            <v>5.1678949999999997</v>
          </cell>
          <cell r="AU267">
            <v>0.35</v>
          </cell>
          <cell r="AV267">
            <v>0</v>
          </cell>
          <cell r="AW267">
            <v>0</v>
          </cell>
          <cell r="AY267">
            <v>0.15</v>
          </cell>
          <cell r="BB267">
            <v>0.3</v>
          </cell>
          <cell r="BD267">
            <v>0.2</v>
          </cell>
          <cell r="BE267">
            <v>1</v>
          </cell>
          <cell r="BF267">
            <v>5.1678949999999997</v>
          </cell>
        </row>
        <row r="268">
          <cell r="A268">
            <v>35673</v>
          </cell>
          <cell r="B268">
            <v>-5.6021999999999998</v>
          </cell>
          <cell r="C268">
            <v>-6.6534000000000004</v>
          </cell>
          <cell r="D268">
            <v>-4.5199999999999996</v>
          </cell>
          <cell r="E268">
            <v>-0.1215</v>
          </cell>
          <cell r="F268">
            <v>-0.93610000000000004</v>
          </cell>
          <cell r="G268">
            <v>0.66</v>
          </cell>
          <cell r="H268">
            <v>2.2879999999999998</v>
          </cell>
          <cell r="I268">
            <v>3.0009999999999999</v>
          </cell>
          <cell r="J268">
            <v>1.5880000000000001</v>
          </cell>
          <cell r="K268">
            <v>2.5181</v>
          </cell>
          <cell r="L268">
            <v>2.9988000000000001</v>
          </cell>
          <cell r="M268">
            <v>2.0177</v>
          </cell>
          <cell r="N268">
            <v>2.2879999999999998</v>
          </cell>
          <cell r="O268">
            <v>3.0009999999999999</v>
          </cell>
          <cell r="P268">
            <v>1.5880000000000001</v>
          </cell>
          <cell r="Q268">
            <v>2.44</v>
          </cell>
          <cell r="R268">
            <v>1.3919999999999999</v>
          </cell>
          <cell r="S268">
            <v>-4.056</v>
          </cell>
          <cell r="U268">
            <v>-7.867</v>
          </cell>
          <cell r="W268">
            <v>-0.85299999999999998</v>
          </cell>
          <cell r="X268">
            <v>-0.4</v>
          </cell>
          <cell r="Z268">
            <v>0.62</v>
          </cell>
          <cell r="AA268">
            <v>-7.4480000000000004</v>
          </cell>
          <cell r="AB268">
            <v>-7.6962999999999999</v>
          </cell>
          <cell r="AC268">
            <v>-7.1801000000000004</v>
          </cell>
          <cell r="AE268">
            <v>-4.4149000000000003</v>
          </cell>
          <cell r="AF268">
            <v>-7.4480000000000004</v>
          </cell>
          <cell r="AG268">
            <v>0.93189999999999995</v>
          </cell>
          <cell r="AK268">
            <v>0.5</v>
          </cell>
          <cell r="AN268">
            <v>0.35</v>
          </cell>
          <cell r="AO268">
            <v>0.15</v>
          </cell>
          <cell r="AP268">
            <v>0</v>
          </cell>
          <cell r="AR268">
            <v>1</v>
          </cell>
          <cell r="AS268">
            <v>-4.21685</v>
          </cell>
          <cell r="AT268">
            <v>-4.21685</v>
          </cell>
          <cell r="AU268">
            <v>0.35</v>
          </cell>
          <cell r="AV268">
            <v>0</v>
          </cell>
          <cell r="AW268">
            <v>0</v>
          </cell>
          <cell r="AY268">
            <v>0.15</v>
          </cell>
          <cell r="BB268">
            <v>0.3</v>
          </cell>
          <cell r="BD268">
            <v>0.2</v>
          </cell>
          <cell r="BE268">
            <v>1</v>
          </cell>
          <cell r="BF268">
            <v>-4.21685</v>
          </cell>
        </row>
        <row r="269">
          <cell r="A269">
            <v>35703</v>
          </cell>
          <cell r="B269">
            <v>5.4767000000000001</v>
          </cell>
          <cell r="C269">
            <v>5.0974000000000004</v>
          </cell>
          <cell r="D269">
            <v>5.86</v>
          </cell>
          <cell r="E269">
            <v>5.7480000000000002</v>
          </cell>
          <cell r="F269">
            <v>5.9099000000000004</v>
          </cell>
          <cell r="G269">
            <v>5.6</v>
          </cell>
          <cell r="H269">
            <v>7.319</v>
          </cell>
          <cell r="I269">
            <v>7.98</v>
          </cell>
          <cell r="J269">
            <v>6.65</v>
          </cell>
          <cell r="K269">
            <v>6.6130000000000004</v>
          </cell>
          <cell r="L269">
            <v>6.6882999999999999</v>
          </cell>
          <cell r="M269">
            <v>6.5465</v>
          </cell>
          <cell r="N269">
            <v>7.319</v>
          </cell>
          <cell r="O269">
            <v>7.98</v>
          </cell>
          <cell r="P269">
            <v>6.65</v>
          </cell>
          <cell r="Q269">
            <v>7.0629999999999997</v>
          </cell>
          <cell r="R269">
            <v>6.5369999999999999</v>
          </cell>
          <cell r="S269">
            <v>5.67</v>
          </cell>
          <cell r="U269">
            <v>5.4063999999999997</v>
          </cell>
          <cell r="W269">
            <v>1.4748000000000001</v>
          </cell>
          <cell r="X269">
            <v>1.2</v>
          </cell>
          <cell r="Z269">
            <v>5.91</v>
          </cell>
          <cell r="AA269">
            <v>5.6245000000000003</v>
          </cell>
          <cell r="AB269">
            <v>6.6276999999999999</v>
          </cell>
          <cell r="AC269">
            <v>4.5602</v>
          </cell>
          <cell r="AE269">
            <v>4.4762249999999995</v>
          </cell>
          <cell r="AF269">
            <v>5.6245000000000003</v>
          </cell>
          <cell r="AG269">
            <v>0.93189999999999995</v>
          </cell>
          <cell r="AK269">
            <v>0.5</v>
          </cell>
          <cell r="AN269">
            <v>0.35</v>
          </cell>
          <cell r="AO269">
            <v>0.15</v>
          </cell>
          <cell r="AP269">
            <v>0</v>
          </cell>
          <cell r="AR269">
            <v>1</v>
          </cell>
          <cell r="AS269">
            <v>4.0982050000000001</v>
          </cell>
          <cell r="AT269">
            <v>4.0982050000000001</v>
          </cell>
          <cell r="AU269">
            <v>0.35</v>
          </cell>
          <cell r="AV269">
            <v>0</v>
          </cell>
          <cell r="AW269">
            <v>0</v>
          </cell>
          <cell r="AY269">
            <v>0.15</v>
          </cell>
          <cell r="BB269">
            <v>0.3</v>
          </cell>
          <cell r="BD269">
            <v>0.2</v>
          </cell>
          <cell r="BE269">
            <v>1</v>
          </cell>
          <cell r="BF269">
            <v>4.0982050000000001</v>
          </cell>
        </row>
        <row r="270">
          <cell r="A270">
            <v>35734</v>
          </cell>
          <cell r="B270">
            <v>-3.3397999999999999</v>
          </cell>
          <cell r="C270">
            <v>-3.0089999999999999</v>
          </cell>
          <cell r="D270">
            <v>-3.6749999999999998</v>
          </cell>
          <cell r="E270">
            <v>-4.3513000000000002</v>
          </cell>
          <cell r="F270">
            <v>-5.7958999999999996</v>
          </cell>
          <cell r="G270">
            <v>-2.9849999999999999</v>
          </cell>
          <cell r="H270">
            <v>-4.3929999999999998</v>
          </cell>
          <cell r="I270">
            <v>-6.0060000000000002</v>
          </cell>
          <cell r="J270">
            <v>-2.7189999999999999</v>
          </cell>
          <cell r="K270">
            <v>-4.3159000000000001</v>
          </cell>
          <cell r="L270">
            <v>-6.2012999999999998</v>
          </cell>
          <cell r="M270">
            <v>-2.3567</v>
          </cell>
          <cell r="N270">
            <v>-4.3929999999999998</v>
          </cell>
          <cell r="O270">
            <v>-6.0060000000000002</v>
          </cell>
          <cell r="P270">
            <v>-2.7189999999999999</v>
          </cell>
          <cell r="Q270">
            <v>-6.2389999999999999</v>
          </cell>
          <cell r="R270">
            <v>-4.492</v>
          </cell>
          <cell r="S270">
            <v>-3.359</v>
          </cell>
          <cell r="U270">
            <v>-8.5138999999999996</v>
          </cell>
          <cell r="W270">
            <v>1.4507000000000001</v>
          </cell>
          <cell r="X270">
            <v>1.1100000000000001</v>
          </cell>
          <cell r="Z270">
            <v>-0.84</v>
          </cell>
          <cell r="AA270">
            <v>-7.6646000000000001</v>
          </cell>
          <cell r="AB270">
            <v>-9.4461999999999993</v>
          </cell>
          <cell r="AC270">
            <v>-5.7385999999999999</v>
          </cell>
          <cell r="AE270">
            <v>-2.1421749999999999</v>
          </cell>
          <cell r="AF270">
            <v>-7.6646000000000001</v>
          </cell>
          <cell r="AG270">
            <v>1.1153</v>
          </cell>
          <cell r="AK270">
            <v>0.5</v>
          </cell>
          <cell r="AN270">
            <v>0.35</v>
          </cell>
          <cell r="AO270">
            <v>0.15</v>
          </cell>
          <cell r="AP270">
            <v>0</v>
          </cell>
          <cell r="AR270">
            <v>1</v>
          </cell>
          <cell r="AS270">
            <v>-2.3118449999999999</v>
          </cell>
          <cell r="AT270">
            <v>-2.3118449999999999</v>
          </cell>
          <cell r="AU270">
            <v>0.35</v>
          </cell>
          <cell r="AV270">
            <v>0</v>
          </cell>
          <cell r="AW270">
            <v>0</v>
          </cell>
          <cell r="AY270">
            <v>0.15</v>
          </cell>
          <cell r="BB270">
            <v>0.3</v>
          </cell>
          <cell r="BD270">
            <v>0.2</v>
          </cell>
          <cell r="BE270">
            <v>1</v>
          </cell>
          <cell r="BF270">
            <v>-2.3118449999999995</v>
          </cell>
        </row>
        <row r="271">
          <cell r="A271">
            <v>35764</v>
          </cell>
          <cell r="B271">
            <v>4.6292999999999997</v>
          </cell>
          <cell r="C271">
            <v>5.4260999999999999</v>
          </cell>
          <cell r="D271">
            <v>3.8119999999999998</v>
          </cell>
          <cell r="E271">
            <v>1.4822</v>
          </cell>
          <cell r="F271">
            <v>0.38229999999999997</v>
          </cell>
          <cell r="G271">
            <v>2.4969999999999999</v>
          </cell>
          <cell r="H271">
            <v>-0.64700000000000002</v>
          </cell>
          <cell r="I271">
            <v>-2.3839999999999999</v>
          </cell>
          <cell r="J271">
            <v>1.0960000000000001</v>
          </cell>
          <cell r="K271">
            <v>-0.72770000000000001</v>
          </cell>
          <cell r="L271">
            <v>-1.9971000000000001</v>
          </cell>
          <cell r="M271">
            <v>0.55489999999999995</v>
          </cell>
          <cell r="N271">
            <v>-0.64700000000000002</v>
          </cell>
          <cell r="O271">
            <v>-2.3839999999999999</v>
          </cell>
          <cell r="P271">
            <v>1.0960000000000001</v>
          </cell>
          <cell r="Q271">
            <v>-1.534</v>
          </cell>
          <cell r="R271">
            <v>0.44700000000000001</v>
          </cell>
          <cell r="S271">
            <v>3.8290000000000002</v>
          </cell>
          <cell r="U271">
            <v>-1.2496</v>
          </cell>
          <cell r="W271">
            <v>0.46050000000000002</v>
          </cell>
          <cell r="X271">
            <v>0.26</v>
          </cell>
          <cell r="Z271">
            <v>-1.22</v>
          </cell>
          <cell r="AA271">
            <v>-0.99639999999999995</v>
          </cell>
          <cell r="AB271">
            <v>-0.1973</v>
          </cell>
          <cell r="AC271">
            <v>-1.8182</v>
          </cell>
          <cell r="AE271">
            <v>3.5870999999999995</v>
          </cell>
          <cell r="AF271">
            <v>-0.99639999999999995</v>
          </cell>
          <cell r="AG271">
            <v>1.1153</v>
          </cell>
          <cell r="AK271">
            <v>0.5</v>
          </cell>
          <cell r="AN271">
            <v>0.35</v>
          </cell>
          <cell r="AO271">
            <v>0.15</v>
          </cell>
          <cell r="AP271">
            <v>0</v>
          </cell>
          <cell r="AR271">
            <v>1</v>
          </cell>
          <cell r="AS271">
            <v>2.326365</v>
          </cell>
          <cell r="AT271">
            <v>2.326365</v>
          </cell>
          <cell r="AU271">
            <v>0.35</v>
          </cell>
          <cell r="AV271">
            <v>0</v>
          </cell>
          <cell r="AW271">
            <v>0</v>
          </cell>
          <cell r="AY271">
            <v>0.15</v>
          </cell>
          <cell r="BB271">
            <v>0.3</v>
          </cell>
          <cell r="BD271">
            <v>0.2</v>
          </cell>
          <cell r="BE271">
            <v>1</v>
          </cell>
          <cell r="BF271">
            <v>2.326365</v>
          </cell>
        </row>
        <row r="272">
          <cell r="A272">
            <v>35795</v>
          </cell>
          <cell r="B272">
            <v>1.7174</v>
          </cell>
          <cell r="C272">
            <v>1.2339</v>
          </cell>
          <cell r="D272">
            <v>2.2200000000000002</v>
          </cell>
          <cell r="E272">
            <v>3.8811</v>
          </cell>
          <cell r="F272">
            <v>1.5821000000000001</v>
          </cell>
          <cell r="G272">
            <v>6</v>
          </cell>
          <cell r="H272">
            <v>1.75</v>
          </cell>
          <cell r="I272">
            <v>5.6000000000000001E-2</v>
          </cell>
          <cell r="J272">
            <v>3.39</v>
          </cell>
          <cell r="K272">
            <v>2.0192999999999999</v>
          </cell>
          <cell r="L272">
            <v>0.69789999999999996</v>
          </cell>
          <cell r="M272">
            <v>3.3075000000000001</v>
          </cell>
          <cell r="N272">
            <v>1.75</v>
          </cell>
          <cell r="O272">
            <v>5.6000000000000001E-2</v>
          </cell>
          <cell r="P272">
            <v>3.39</v>
          </cell>
          <cell r="Q272">
            <v>-0.35599999999999998</v>
          </cell>
          <cell r="R272">
            <v>1.8919999999999999</v>
          </cell>
          <cell r="S272">
            <v>2.0030000000000001</v>
          </cell>
          <cell r="U272">
            <v>1.1509</v>
          </cell>
          <cell r="W272">
            <v>1.0067999999999999</v>
          </cell>
          <cell r="X272">
            <v>0.84</v>
          </cell>
          <cell r="Z272">
            <v>1.55</v>
          </cell>
          <cell r="AA272">
            <v>0.8952</v>
          </cell>
          <cell r="AB272">
            <v>1.3035000000000001</v>
          </cell>
          <cell r="AC272">
            <v>0.47210000000000002</v>
          </cell>
          <cell r="AE272">
            <v>1.5397500000000002</v>
          </cell>
          <cell r="AF272">
            <v>0.8952</v>
          </cell>
          <cell r="AG272">
            <v>1.1153</v>
          </cell>
          <cell r="AK272">
            <v>0.5</v>
          </cell>
          <cell r="AN272">
            <v>0.35</v>
          </cell>
          <cell r="AO272">
            <v>0.15</v>
          </cell>
          <cell r="AP272">
            <v>0</v>
          </cell>
          <cell r="AR272">
            <v>1</v>
          </cell>
          <cell r="AS272">
            <v>1.3453599999999999</v>
          </cell>
          <cell r="AT272">
            <v>1.3453599999999999</v>
          </cell>
          <cell r="AU272">
            <v>0.35</v>
          </cell>
          <cell r="AV272">
            <v>0</v>
          </cell>
          <cell r="AW272">
            <v>0</v>
          </cell>
          <cell r="AY272">
            <v>0.15</v>
          </cell>
          <cell r="BB272">
            <v>0.3</v>
          </cell>
          <cell r="BD272">
            <v>0.2</v>
          </cell>
          <cell r="BE272">
            <v>1</v>
          </cell>
          <cell r="BF272">
            <v>1.3453599999999999</v>
          </cell>
        </row>
        <row r="273">
          <cell r="A273">
            <v>35826</v>
          </cell>
          <cell r="B273">
            <v>1.1061000000000001</v>
          </cell>
          <cell r="C273">
            <v>3.36</v>
          </cell>
          <cell r="D273">
            <v>-1.2330000000000001</v>
          </cell>
          <cell r="E273">
            <v>-1.9035</v>
          </cell>
          <cell r="F273">
            <v>-1.5089999999999999</v>
          </cell>
          <cell r="G273">
            <v>-2.2930000000000001</v>
          </cell>
          <cell r="H273">
            <v>-1.5780000000000001</v>
          </cell>
          <cell r="I273">
            <v>-1.3340000000000001</v>
          </cell>
          <cell r="J273">
            <v>-1.8089999999999999</v>
          </cell>
          <cell r="K273">
            <v>-1.9501999999999999</v>
          </cell>
          <cell r="L273">
            <v>-2.1953999999999998</v>
          </cell>
          <cell r="M273">
            <v>-1.7032</v>
          </cell>
          <cell r="N273">
            <v>-1.5780000000000001</v>
          </cell>
          <cell r="O273">
            <v>-1.3340000000000001</v>
          </cell>
          <cell r="P273">
            <v>-1.8089999999999999</v>
          </cell>
          <cell r="Q273">
            <v>-1.306</v>
          </cell>
          <cell r="R273">
            <v>-1.528</v>
          </cell>
          <cell r="S273">
            <v>0.51800000000000002</v>
          </cell>
          <cell r="U273">
            <v>2.9912999999999998</v>
          </cell>
          <cell r="W273">
            <v>1.2838000000000001</v>
          </cell>
          <cell r="X273">
            <v>1.1904999999999999</v>
          </cell>
          <cell r="Z273">
            <v>-0.93</v>
          </cell>
          <cell r="AA273">
            <v>4.5965999999999996</v>
          </cell>
          <cell r="AB273">
            <v>4.5388000000000002</v>
          </cell>
          <cell r="AC273">
            <v>4.6577999999999999</v>
          </cell>
          <cell r="AE273">
            <v>1.150525</v>
          </cell>
          <cell r="AF273">
            <v>4.5965999999999996</v>
          </cell>
          <cell r="AG273">
            <v>1.5446</v>
          </cell>
          <cell r="AK273">
            <v>0.5</v>
          </cell>
          <cell r="AN273">
            <v>0.35</v>
          </cell>
          <cell r="AO273">
            <v>0.15</v>
          </cell>
          <cell r="AP273">
            <v>0</v>
          </cell>
          <cell r="AR273">
            <v>1</v>
          </cell>
          <cell r="AS273">
            <v>1.69187</v>
          </cell>
          <cell r="AT273">
            <v>1.69187</v>
          </cell>
          <cell r="AU273">
            <v>0.35</v>
          </cell>
          <cell r="AV273">
            <v>0</v>
          </cell>
          <cell r="AW273">
            <v>0</v>
          </cell>
          <cell r="AY273">
            <v>0.15</v>
          </cell>
          <cell r="BB273">
            <v>0.3</v>
          </cell>
          <cell r="BD273">
            <v>0.2</v>
          </cell>
          <cell r="BE273">
            <v>1</v>
          </cell>
          <cell r="BF273">
            <v>1.69187</v>
          </cell>
        </row>
        <row r="274">
          <cell r="A274">
            <v>35854</v>
          </cell>
          <cell r="B274">
            <v>7.2125000000000004</v>
          </cell>
          <cell r="C274">
            <v>6.9476000000000004</v>
          </cell>
          <cell r="D274">
            <v>7.5010000000000003</v>
          </cell>
          <cell r="E274">
            <v>8.2849000000000004</v>
          </cell>
          <cell r="F274">
            <v>9.1852999999999998</v>
          </cell>
          <cell r="G274">
            <v>7.4</v>
          </cell>
          <cell r="H274">
            <v>7.3940000000000001</v>
          </cell>
          <cell r="I274">
            <v>8.8290000000000006</v>
          </cell>
          <cell r="J274">
            <v>6.0449999999999999</v>
          </cell>
          <cell r="K274">
            <v>9.1084999999999994</v>
          </cell>
          <cell r="L274">
            <v>10.3056</v>
          </cell>
          <cell r="M274">
            <v>7.9432</v>
          </cell>
          <cell r="N274">
            <v>7.3940000000000001</v>
          </cell>
          <cell r="O274">
            <v>8.8290000000000006</v>
          </cell>
          <cell r="P274">
            <v>6.0449999999999999</v>
          </cell>
          <cell r="Q274">
            <v>8.5839999999999996</v>
          </cell>
          <cell r="R274">
            <v>7.2610000000000001</v>
          </cell>
          <cell r="S274">
            <v>7.1539999999999999</v>
          </cell>
          <cell r="U274">
            <v>6.6725000000000003</v>
          </cell>
          <cell r="W274">
            <v>-7.5300000000000006E-2</v>
          </cell>
          <cell r="X274">
            <v>3.4799999999999998E-2</v>
          </cell>
          <cell r="Z274">
            <v>5.64</v>
          </cell>
          <cell r="AA274">
            <v>6.4398</v>
          </cell>
          <cell r="AB274">
            <v>6.6543999999999999</v>
          </cell>
          <cell r="AC274">
            <v>6.2176999999999998</v>
          </cell>
          <cell r="AE274">
            <v>5.3905500000000011</v>
          </cell>
          <cell r="AF274">
            <v>6.4398</v>
          </cell>
          <cell r="AG274">
            <v>1.5446</v>
          </cell>
          <cell r="AK274">
            <v>0.5</v>
          </cell>
          <cell r="AN274">
            <v>0.35</v>
          </cell>
          <cell r="AO274">
            <v>0.15</v>
          </cell>
          <cell r="AP274">
            <v>0</v>
          </cell>
          <cell r="AR274">
            <v>1</v>
          </cell>
          <cell r="AS274">
            <v>4.545865</v>
          </cell>
          <cell r="AT274">
            <v>4.545865</v>
          </cell>
          <cell r="AU274">
            <v>0.35</v>
          </cell>
          <cell r="AV274">
            <v>0</v>
          </cell>
          <cell r="AW274">
            <v>0</v>
          </cell>
          <cell r="AY274">
            <v>0.15</v>
          </cell>
          <cell r="BB274">
            <v>0.3</v>
          </cell>
          <cell r="BD274">
            <v>0.2</v>
          </cell>
          <cell r="BE274">
            <v>1</v>
          </cell>
          <cell r="BF274">
            <v>4.545865</v>
          </cell>
        </row>
        <row r="275">
          <cell r="A275">
            <v>35885</v>
          </cell>
          <cell r="B275">
            <v>5.1208999999999998</v>
          </cell>
          <cell r="C275">
            <v>5.1733000000000002</v>
          </cell>
          <cell r="D275">
            <v>5.0650000000000004</v>
          </cell>
          <cell r="E275">
            <v>4.5103</v>
          </cell>
          <cell r="F275">
            <v>4.3483000000000001</v>
          </cell>
          <cell r="G275">
            <v>4.6749999999999998</v>
          </cell>
          <cell r="H275">
            <v>4.1239999999999997</v>
          </cell>
          <cell r="I275">
            <v>4.1950000000000003</v>
          </cell>
          <cell r="J275">
            <v>4.056</v>
          </cell>
          <cell r="K275">
            <v>3.8186</v>
          </cell>
          <cell r="L275">
            <v>3.1736</v>
          </cell>
          <cell r="M275">
            <v>4.4672999999999998</v>
          </cell>
          <cell r="N275">
            <v>4.1239999999999997</v>
          </cell>
          <cell r="O275">
            <v>4.1950000000000003</v>
          </cell>
          <cell r="P275">
            <v>4.056</v>
          </cell>
          <cell r="Q275">
            <v>3.7130000000000001</v>
          </cell>
          <cell r="R275">
            <v>4.3860000000000001</v>
          </cell>
          <cell r="S275">
            <v>4.9560000000000004</v>
          </cell>
          <cell r="U275">
            <v>3.4552</v>
          </cell>
          <cell r="W275">
            <v>0.34410000000000002</v>
          </cell>
          <cell r="X275">
            <v>0.36130000000000001</v>
          </cell>
          <cell r="Z275">
            <v>5.03</v>
          </cell>
          <cell r="AA275">
            <v>3.1017999999999999</v>
          </cell>
          <cell r="AB275">
            <v>1.3673999999999999</v>
          </cell>
          <cell r="AC275">
            <v>4.9429999999999996</v>
          </cell>
          <cell r="AE275">
            <v>3.9266999999999999</v>
          </cell>
          <cell r="AF275">
            <v>3.1017999999999999</v>
          </cell>
          <cell r="AG275">
            <v>1.5446</v>
          </cell>
          <cell r="AK275">
            <v>0.5</v>
          </cell>
          <cell r="AN275">
            <v>0.35</v>
          </cell>
          <cell r="AO275">
            <v>0.15</v>
          </cell>
          <cell r="AP275">
            <v>0</v>
          </cell>
          <cell r="AR275">
            <v>1</v>
          </cell>
          <cell r="AS275">
            <v>3.1461549999999998</v>
          </cell>
          <cell r="AT275">
            <v>3.1461549999999998</v>
          </cell>
          <cell r="AU275">
            <v>0.35</v>
          </cell>
          <cell r="AV275">
            <v>0</v>
          </cell>
          <cell r="AW275">
            <v>0</v>
          </cell>
          <cell r="AY275">
            <v>0.15</v>
          </cell>
          <cell r="BB275">
            <v>0.3</v>
          </cell>
          <cell r="BD275">
            <v>0.2</v>
          </cell>
          <cell r="BE275">
            <v>1</v>
          </cell>
          <cell r="BF275">
            <v>3.1461549999999998</v>
          </cell>
        </row>
        <row r="276">
          <cell r="A276">
            <v>35915</v>
          </cell>
          <cell r="B276">
            <v>1.0061</v>
          </cell>
          <cell r="C276">
            <v>0.83809999999999996</v>
          </cell>
          <cell r="D276">
            <v>1.1839999999999999</v>
          </cell>
          <cell r="E276">
            <v>1.8250999999999999</v>
          </cell>
          <cell r="F276">
            <v>2.9575</v>
          </cell>
          <cell r="G276">
            <v>0.64400000000000002</v>
          </cell>
          <cell r="H276">
            <v>0.55300000000000005</v>
          </cell>
          <cell r="I276">
            <v>0.61299999999999999</v>
          </cell>
          <cell r="J276">
            <v>0.49399999999999999</v>
          </cell>
          <cell r="K276">
            <v>0.58860000000000001</v>
          </cell>
          <cell r="L276">
            <v>0.90869999999999995</v>
          </cell>
          <cell r="M276">
            <v>0.28460000000000002</v>
          </cell>
          <cell r="N276">
            <v>0.55300000000000005</v>
          </cell>
          <cell r="O276">
            <v>0.61299999999999999</v>
          </cell>
          <cell r="P276">
            <v>0.49399999999999999</v>
          </cell>
          <cell r="Q276">
            <v>0.90900000000000003</v>
          </cell>
          <cell r="R276">
            <v>0.378</v>
          </cell>
          <cell r="S276">
            <v>0.98299999999999998</v>
          </cell>
          <cell r="U276">
            <v>0.71619999999999995</v>
          </cell>
          <cell r="W276">
            <v>0.52229999999999999</v>
          </cell>
          <cell r="X276">
            <v>0.5272</v>
          </cell>
          <cell r="Z276">
            <v>1.1399999999999999</v>
          </cell>
          <cell r="AA276">
            <v>0.81430000000000002</v>
          </cell>
          <cell r="AB276">
            <v>1.0178</v>
          </cell>
          <cell r="AC276">
            <v>0.60499999999999998</v>
          </cell>
          <cell r="AE276">
            <v>0.88514999999999999</v>
          </cell>
          <cell r="AF276">
            <v>0.81430000000000002</v>
          </cell>
          <cell r="AG276">
            <v>1.3612</v>
          </cell>
          <cell r="AK276">
            <v>0.5</v>
          </cell>
          <cell r="AN276">
            <v>0.35</v>
          </cell>
          <cell r="AO276">
            <v>0.15</v>
          </cell>
          <cell r="AP276">
            <v>0</v>
          </cell>
          <cell r="AR276">
            <v>1</v>
          </cell>
          <cell r="AS276">
            <v>0.80800000000000005</v>
          </cell>
          <cell r="AT276">
            <v>0.80800000000000005</v>
          </cell>
          <cell r="AU276">
            <v>0.35</v>
          </cell>
          <cell r="AV276">
            <v>0</v>
          </cell>
          <cell r="AW276">
            <v>0</v>
          </cell>
          <cell r="AY276">
            <v>0.15</v>
          </cell>
          <cell r="BB276">
            <v>0.3</v>
          </cell>
          <cell r="BD276">
            <v>0.2</v>
          </cell>
          <cell r="BE276">
            <v>1</v>
          </cell>
          <cell r="BF276">
            <v>0.80800000000000005</v>
          </cell>
        </row>
        <row r="277">
          <cell r="A277">
            <v>35946</v>
          </cell>
          <cell r="B277">
            <v>-1.7188000000000001</v>
          </cell>
          <cell r="C277">
            <v>-2.0062000000000002</v>
          </cell>
          <cell r="D277">
            <v>-1.407</v>
          </cell>
          <cell r="E277">
            <v>-4.4985999999999997</v>
          </cell>
          <cell r="F277">
            <v>-4.9287000000000001</v>
          </cell>
          <cell r="G277">
            <v>-4.0430000000000001</v>
          </cell>
          <cell r="H277">
            <v>-5.3860000000000001</v>
          </cell>
          <cell r="I277">
            <v>-7.2649999999999997</v>
          </cell>
          <cell r="J277">
            <v>-3.54</v>
          </cell>
          <cell r="K277">
            <v>-5.2938000000000001</v>
          </cell>
          <cell r="L277">
            <v>-6.8093000000000004</v>
          </cell>
          <cell r="M277">
            <v>-3.8050000000000002</v>
          </cell>
          <cell r="N277">
            <v>-5.3860000000000001</v>
          </cell>
          <cell r="O277">
            <v>-7.2649999999999997</v>
          </cell>
          <cell r="P277">
            <v>-3.54</v>
          </cell>
          <cell r="Q277">
            <v>-6.42</v>
          </cell>
          <cell r="R277">
            <v>-4.6420000000000003</v>
          </cell>
          <cell r="S277">
            <v>-2.468</v>
          </cell>
          <cell r="U277">
            <v>-1.8133999999999999</v>
          </cell>
          <cell r="W277">
            <v>0.94810000000000005</v>
          </cell>
          <cell r="X277">
            <v>0.70679999999999998</v>
          </cell>
          <cell r="Z277">
            <v>-1.69</v>
          </cell>
          <cell r="AA277">
            <v>-0.4627</v>
          </cell>
          <cell r="AB277">
            <v>-0.6835</v>
          </cell>
          <cell r="AC277">
            <v>-0.23569999999999999</v>
          </cell>
          <cell r="AE277">
            <v>-1.0520750000000001</v>
          </cell>
          <cell r="AF277">
            <v>-0.4627</v>
          </cell>
          <cell r="AG277">
            <v>1.3612</v>
          </cell>
          <cell r="AK277">
            <v>0.5</v>
          </cell>
          <cell r="AN277">
            <v>0.35</v>
          </cell>
          <cell r="AO277">
            <v>0.15</v>
          </cell>
          <cell r="AP277">
            <v>0</v>
          </cell>
          <cell r="AR277">
            <v>1</v>
          </cell>
          <cell r="AS277">
            <v>-0.59697</v>
          </cell>
          <cell r="AT277">
            <v>-0.59697</v>
          </cell>
          <cell r="AU277">
            <v>0.35</v>
          </cell>
          <cell r="AV277">
            <v>0</v>
          </cell>
          <cell r="AW277">
            <v>0</v>
          </cell>
          <cell r="AY277">
            <v>0.15</v>
          </cell>
          <cell r="BB277">
            <v>0.3</v>
          </cell>
          <cell r="BD277">
            <v>0.2</v>
          </cell>
          <cell r="BE277">
            <v>1</v>
          </cell>
          <cell r="BF277">
            <v>-0.59697</v>
          </cell>
        </row>
        <row r="278">
          <cell r="A278">
            <v>35976</v>
          </cell>
          <cell r="B278">
            <v>4.0618999999999996</v>
          </cell>
          <cell r="C278">
            <v>7.1256000000000004</v>
          </cell>
          <cell r="D278">
            <v>0.75900000000000001</v>
          </cell>
          <cell r="E278">
            <v>0.62839999999999996</v>
          </cell>
          <cell r="F278">
            <v>1.9341999999999999</v>
          </cell>
          <cell r="G278">
            <v>-0.745</v>
          </cell>
          <cell r="H278">
            <v>0.21</v>
          </cell>
          <cell r="I278">
            <v>1.022</v>
          </cell>
          <cell r="J278">
            <v>-0.56499999999999995</v>
          </cell>
          <cell r="K278">
            <v>0.29330000000000001</v>
          </cell>
          <cell r="L278">
            <v>0.1119</v>
          </cell>
          <cell r="M278">
            <v>0.46789999999999998</v>
          </cell>
          <cell r="N278">
            <v>0.21</v>
          </cell>
          <cell r="O278">
            <v>1.022</v>
          </cell>
          <cell r="P278">
            <v>-0.56499999999999995</v>
          </cell>
          <cell r="Q278">
            <v>0.73199999999999998</v>
          </cell>
          <cell r="R278">
            <v>0.11799999999999999</v>
          </cell>
          <cell r="S278">
            <v>3.3809999999999998</v>
          </cell>
          <cell r="U278">
            <v>-0.37590000000000001</v>
          </cell>
          <cell r="W278">
            <v>0.84830000000000005</v>
          </cell>
          <cell r="X278">
            <v>0.57569999999999999</v>
          </cell>
          <cell r="Z278">
            <v>3.4</v>
          </cell>
          <cell r="AA278">
            <v>0.77929999999999999</v>
          </cell>
          <cell r="AB278">
            <v>1.3992</v>
          </cell>
          <cell r="AC278">
            <v>0.13780000000000001</v>
          </cell>
          <cell r="AE278">
            <v>3.2584999999999997</v>
          </cell>
          <cell r="AF278">
            <v>0.77929999999999999</v>
          </cell>
          <cell r="AG278">
            <v>1.3612</v>
          </cell>
          <cell r="AK278">
            <v>0.5</v>
          </cell>
          <cell r="AN278">
            <v>0.35</v>
          </cell>
          <cell r="AO278">
            <v>0.15</v>
          </cell>
          <cell r="AP278">
            <v>0</v>
          </cell>
          <cell r="AR278">
            <v>1</v>
          </cell>
          <cell r="AS278">
            <v>2.4447499999999995</v>
          </cell>
          <cell r="AT278">
            <v>2.4447499999999995</v>
          </cell>
          <cell r="AU278">
            <v>0.35</v>
          </cell>
          <cell r="AV278">
            <v>0</v>
          </cell>
          <cell r="AW278">
            <v>0</v>
          </cell>
          <cell r="AY278">
            <v>0.15</v>
          </cell>
          <cell r="BB278">
            <v>0.3</v>
          </cell>
          <cell r="BD278">
            <v>0.2</v>
          </cell>
          <cell r="BE278">
            <v>1</v>
          </cell>
          <cell r="BF278">
            <v>2.4447499999999995</v>
          </cell>
        </row>
        <row r="279">
          <cell r="A279">
            <v>36007</v>
          </cell>
          <cell r="B279">
            <v>-1.0649</v>
          </cell>
          <cell r="C279">
            <v>-5.7000000000000002E-2</v>
          </cell>
          <cell r="D279">
            <v>-2.17</v>
          </cell>
          <cell r="E279">
            <v>-3.8767999999999998</v>
          </cell>
          <cell r="F279">
            <v>-3.4712999999999998</v>
          </cell>
          <cell r="G279">
            <v>-4.3499999999999996</v>
          </cell>
          <cell r="H279">
            <v>-8.0950000000000006</v>
          </cell>
          <cell r="I279">
            <v>-8.35</v>
          </cell>
          <cell r="J279">
            <v>-7.8330000000000002</v>
          </cell>
          <cell r="K279">
            <v>-7.6509</v>
          </cell>
          <cell r="L279">
            <v>-7.2088000000000001</v>
          </cell>
          <cell r="M279">
            <v>-8.1084999999999994</v>
          </cell>
          <cell r="N279">
            <v>-8.0950000000000006</v>
          </cell>
          <cell r="O279">
            <v>-8.35</v>
          </cell>
          <cell r="P279">
            <v>-7.8330000000000002</v>
          </cell>
          <cell r="Q279">
            <v>-7.4459999999999997</v>
          </cell>
          <cell r="R279">
            <v>-6.8680000000000003</v>
          </cell>
          <cell r="S279">
            <v>-1.8160000000000001</v>
          </cell>
          <cell r="U279">
            <v>0.95050000000000001</v>
          </cell>
          <cell r="W279">
            <v>0.2122</v>
          </cell>
          <cell r="X279">
            <v>0.41249999999999998</v>
          </cell>
          <cell r="Z279">
            <v>0.61</v>
          </cell>
          <cell r="AA279">
            <v>1.036</v>
          </cell>
          <cell r="AB279">
            <v>0.47170000000000001</v>
          </cell>
          <cell r="AC279">
            <v>1.6369</v>
          </cell>
          <cell r="AE279">
            <v>-0.74562499999999998</v>
          </cell>
          <cell r="AF279">
            <v>1.036</v>
          </cell>
          <cell r="AG279">
            <v>1.3784000000000001</v>
          </cell>
          <cell r="AK279">
            <v>0.5</v>
          </cell>
          <cell r="AN279">
            <v>0.35</v>
          </cell>
          <cell r="AO279">
            <v>0.15</v>
          </cell>
          <cell r="AP279">
            <v>0</v>
          </cell>
          <cell r="AR279">
            <v>1</v>
          </cell>
          <cell r="AS279">
            <v>-0.30277999999999994</v>
          </cell>
          <cell r="AT279">
            <v>-0.30277999999999994</v>
          </cell>
          <cell r="AU279">
            <v>0.35</v>
          </cell>
          <cell r="AV279">
            <v>0</v>
          </cell>
          <cell r="AW279">
            <v>0</v>
          </cell>
          <cell r="AY279">
            <v>0.15</v>
          </cell>
          <cell r="BB279">
            <v>0.3</v>
          </cell>
          <cell r="BD279">
            <v>0.2</v>
          </cell>
          <cell r="BE279">
            <v>1</v>
          </cell>
          <cell r="BF279">
            <v>-0.30277999999999994</v>
          </cell>
        </row>
        <row r="280">
          <cell r="A280">
            <v>36038</v>
          </cell>
          <cell r="B280">
            <v>-14.457700000000001</v>
          </cell>
          <cell r="C280">
            <v>-13.010300000000001</v>
          </cell>
          <cell r="D280">
            <v>-16.079999999999998</v>
          </cell>
          <cell r="E280">
            <v>-18.6143</v>
          </cell>
          <cell r="F280">
            <v>-20.8079</v>
          </cell>
          <cell r="G280">
            <v>-16.378</v>
          </cell>
          <cell r="H280">
            <v>-19.417999999999999</v>
          </cell>
          <cell r="I280">
            <v>-23.084</v>
          </cell>
          <cell r="J280">
            <v>-15.661</v>
          </cell>
          <cell r="K280">
            <v>-19.3019</v>
          </cell>
          <cell r="L280">
            <v>-21.650600000000001</v>
          </cell>
          <cell r="M280">
            <v>-16.864599999999999</v>
          </cell>
          <cell r="N280">
            <v>-19.417999999999999</v>
          </cell>
          <cell r="O280">
            <v>-23.084</v>
          </cell>
          <cell r="P280">
            <v>-15.661</v>
          </cell>
          <cell r="Q280">
            <v>-22.722999999999999</v>
          </cell>
          <cell r="R280">
            <v>-18.864999999999998</v>
          </cell>
          <cell r="S280">
            <v>-15.319000000000001</v>
          </cell>
          <cell r="U280">
            <v>-14.1023</v>
          </cell>
          <cell r="W280">
            <v>1.6276999999999999</v>
          </cell>
          <cell r="X280">
            <v>1.3104</v>
          </cell>
          <cell r="Z280">
            <v>-11.43</v>
          </cell>
          <cell r="AA280">
            <v>-12.366899999999999</v>
          </cell>
          <cell r="AB280">
            <v>-10.726000000000001</v>
          </cell>
          <cell r="AC280">
            <v>-14.095599999999999</v>
          </cell>
          <cell r="AE280">
            <v>-10.436350000000001</v>
          </cell>
          <cell r="AF280">
            <v>-12.366899999999999</v>
          </cell>
          <cell r="AG280">
            <v>1.3784000000000001</v>
          </cell>
          <cell r="AK280">
            <v>0.5</v>
          </cell>
          <cell r="AN280">
            <v>0.35</v>
          </cell>
          <cell r="AO280">
            <v>0.15</v>
          </cell>
          <cell r="AP280">
            <v>0</v>
          </cell>
          <cell r="AR280">
            <v>1</v>
          </cell>
          <cell r="AS280">
            <v>-8.5141899999999993</v>
          </cell>
          <cell r="AT280">
            <v>-8.5141899999999993</v>
          </cell>
          <cell r="AU280">
            <v>0.35</v>
          </cell>
          <cell r="AV280">
            <v>0</v>
          </cell>
          <cell r="AW280">
            <v>0</v>
          </cell>
          <cell r="AY280">
            <v>0.15</v>
          </cell>
          <cell r="BB280">
            <v>0.3</v>
          </cell>
          <cell r="BD280">
            <v>0.2</v>
          </cell>
          <cell r="BE280">
            <v>1</v>
          </cell>
          <cell r="BF280">
            <v>-8.5141899999999993</v>
          </cell>
        </row>
        <row r="281">
          <cell r="A281">
            <v>36068</v>
          </cell>
          <cell r="B281">
            <v>6.4061000000000003</v>
          </cell>
          <cell r="C281">
            <v>6.6909000000000001</v>
          </cell>
          <cell r="D281">
            <v>6.0759999999999996</v>
          </cell>
          <cell r="E281">
            <v>9.3348999999999993</v>
          </cell>
          <cell r="F281">
            <v>10.9674</v>
          </cell>
          <cell r="G281">
            <v>7.7759999999999998</v>
          </cell>
          <cell r="H281">
            <v>7.8259999999999996</v>
          </cell>
          <cell r="I281">
            <v>10.138999999999999</v>
          </cell>
          <cell r="J281">
            <v>5.6470000000000002</v>
          </cell>
          <cell r="K281">
            <v>6.1246</v>
          </cell>
          <cell r="L281">
            <v>6.26</v>
          </cell>
          <cell r="M281">
            <v>6.0004999999999997</v>
          </cell>
          <cell r="N281">
            <v>7.8259999999999996</v>
          </cell>
          <cell r="O281">
            <v>10.138999999999999</v>
          </cell>
          <cell r="P281">
            <v>5.6470000000000002</v>
          </cell>
          <cell r="Q281">
            <v>8.7680000000000007</v>
          </cell>
          <cell r="R281">
            <v>7.1020000000000003</v>
          </cell>
          <cell r="S281">
            <v>6.8209999999999997</v>
          </cell>
          <cell r="U281">
            <v>-2.1124000000000001</v>
          </cell>
          <cell r="W281">
            <v>2.3412000000000002</v>
          </cell>
          <cell r="X281">
            <v>1.9907999999999999</v>
          </cell>
          <cell r="Z281">
            <v>3.47</v>
          </cell>
          <cell r="AA281">
            <v>-3.0396999999999998</v>
          </cell>
          <cell r="AB281">
            <v>-2.7957000000000001</v>
          </cell>
          <cell r="AC281">
            <v>-3.282</v>
          </cell>
          <cell r="AE281">
            <v>5.389875</v>
          </cell>
          <cell r="AF281">
            <v>-3.0396999999999998</v>
          </cell>
          <cell r="AG281">
            <v>1.3784000000000001</v>
          </cell>
          <cell r="AK281">
            <v>0.5</v>
          </cell>
          <cell r="AN281">
            <v>0.35</v>
          </cell>
          <cell r="AO281">
            <v>0.15</v>
          </cell>
          <cell r="AP281">
            <v>0</v>
          </cell>
          <cell r="AR281">
            <v>1</v>
          </cell>
          <cell r="AS281">
            <v>3.5665150000000003</v>
          </cell>
          <cell r="AT281">
            <v>3.5665150000000003</v>
          </cell>
          <cell r="AU281">
            <v>0.35</v>
          </cell>
          <cell r="AV281">
            <v>0</v>
          </cell>
          <cell r="AW281">
            <v>0</v>
          </cell>
          <cell r="AY281">
            <v>0.15</v>
          </cell>
          <cell r="BB281">
            <v>0.3</v>
          </cell>
          <cell r="BD281">
            <v>0.2</v>
          </cell>
          <cell r="BE281">
            <v>1</v>
          </cell>
          <cell r="BF281">
            <v>3.5665149999999999</v>
          </cell>
        </row>
        <row r="282">
          <cell r="A282">
            <v>36099</v>
          </cell>
          <cell r="B282">
            <v>8.1341999999999999</v>
          </cell>
          <cell r="C282">
            <v>8.3847000000000005</v>
          </cell>
          <cell r="D282">
            <v>7.8330000000000002</v>
          </cell>
          <cell r="E282">
            <v>8.9365000000000006</v>
          </cell>
          <cell r="F282">
            <v>10.218</v>
          </cell>
          <cell r="G282">
            <v>7.8860000000000001</v>
          </cell>
          <cell r="H282">
            <v>4.0780000000000003</v>
          </cell>
          <cell r="I282">
            <v>5.2160000000000002</v>
          </cell>
          <cell r="J282">
            <v>2.9689999999999999</v>
          </cell>
          <cell r="K282">
            <v>4.6444000000000001</v>
          </cell>
          <cell r="L282">
            <v>6.4116</v>
          </cell>
          <cell r="M282">
            <v>2.9283999999999999</v>
          </cell>
          <cell r="N282">
            <v>4.0780000000000003</v>
          </cell>
          <cell r="O282">
            <v>5.2160000000000002</v>
          </cell>
          <cell r="P282">
            <v>2.9689999999999999</v>
          </cell>
          <cell r="Q282">
            <v>6.7519999999999998</v>
          </cell>
          <cell r="R282">
            <v>5.4669999999999996</v>
          </cell>
          <cell r="S282">
            <v>7.5910000000000002</v>
          </cell>
          <cell r="U282">
            <v>10.4748</v>
          </cell>
          <cell r="W282">
            <v>-0.52759999999999996</v>
          </cell>
          <cell r="X282">
            <v>-0.1166</v>
          </cell>
          <cell r="Z282">
            <v>1.74</v>
          </cell>
          <cell r="AA282">
            <v>10.452199999999999</v>
          </cell>
          <cell r="AB282">
            <v>10.162800000000001</v>
          </cell>
          <cell r="AC282">
            <v>10.7446</v>
          </cell>
          <cell r="AE282">
            <v>5.96875</v>
          </cell>
          <cell r="AF282">
            <v>10.452199999999999</v>
          </cell>
          <cell r="AG282">
            <v>1.1405000000000001</v>
          </cell>
          <cell r="AK282">
            <v>0.5</v>
          </cell>
          <cell r="AN282">
            <v>0.35</v>
          </cell>
          <cell r="AO282">
            <v>0.15</v>
          </cell>
          <cell r="AP282">
            <v>0</v>
          </cell>
          <cell r="AR282">
            <v>1</v>
          </cell>
          <cell r="AS282">
            <v>5.4502699999999997</v>
          </cell>
          <cell r="AT282">
            <v>5.4502699999999997</v>
          </cell>
          <cell r="AU282">
            <v>0.38750000000000001</v>
          </cell>
          <cell r="AV282">
            <v>0</v>
          </cell>
          <cell r="AW282">
            <v>0</v>
          </cell>
          <cell r="AY282">
            <v>0.15</v>
          </cell>
          <cell r="BB282">
            <v>0.3125</v>
          </cell>
          <cell r="BD282">
            <v>0.15</v>
          </cell>
          <cell r="BE282">
            <v>1</v>
          </cell>
          <cell r="BF282">
            <v>5.4502699999999997</v>
          </cell>
        </row>
        <row r="283">
          <cell r="A283">
            <v>36129</v>
          </cell>
          <cell r="B283">
            <v>6.0608000000000004</v>
          </cell>
          <cell r="C283">
            <v>6.7742000000000004</v>
          </cell>
          <cell r="D283">
            <v>5.2089999999999996</v>
          </cell>
          <cell r="E283">
            <v>4.9904999999999999</v>
          </cell>
          <cell r="F283">
            <v>7.7529000000000003</v>
          </cell>
          <cell r="G283">
            <v>2.3319999999999999</v>
          </cell>
          <cell r="H283">
            <v>5.2389999999999999</v>
          </cell>
          <cell r="I283">
            <v>7.7569999999999997</v>
          </cell>
          <cell r="J283">
            <v>2.7069999999999999</v>
          </cell>
          <cell r="K283">
            <v>5.6284999999999998</v>
          </cell>
          <cell r="L283">
            <v>6.7027999999999999</v>
          </cell>
          <cell r="M283">
            <v>4.5378999999999996</v>
          </cell>
          <cell r="N283">
            <v>5.2389999999999999</v>
          </cell>
          <cell r="O283">
            <v>7.7569999999999997</v>
          </cell>
          <cell r="P283">
            <v>2.7069999999999999</v>
          </cell>
          <cell r="Q283">
            <v>7.1130000000000004</v>
          </cell>
          <cell r="R283">
            <v>4.952</v>
          </cell>
          <cell r="S283">
            <v>6.1159999999999997</v>
          </cell>
          <cell r="U283">
            <v>5.3739999999999997</v>
          </cell>
          <cell r="W283">
            <v>0.56640000000000001</v>
          </cell>
          <cell r="X283">
            <v>0.20039999999999999</v>
          </cell>
          <cell r="Z283">
            <v>3.74</v>
          </cell>
          <cell r="AA283">
            <v>5.1478999999999999</v>
          </cell>
          <cell r="AB283">
            <v>4.8555000000000001</v>
          </cell>
          <cell r="AC283">
            <v>5.4433999999999996</v>
          </cell>
          <cell r="AE283">
            <v>4.6872000000000007</v>
          </cell>
          <cell r="AF283">
            <v>5.1478999999999999</v>
          </cell>
          <cell r="AG283">
            <v>1.1405000000000001</v>
          </cell>
          <cell r="AK283">
            <v>0.5</v>
          </cell>
          <cell r="AN283">
            <v>0.35</v>
          </cell>
          <cell r="AO283">
            <v>0.15</v>
          </cell>
          <cell r="AP283">
            <v>0</v>
          </cell>
          <cell r="AR283">
            <v>1</v>
          </cell>
          <cell r="AS283">
            <v>4.0008250000000007</v>
          </cell>
          <cell r="AT283">
            <v>4.0008250000000007</v>
          </cell>
          <cell r="AU283">
            <v>0.38750000000000001</v>
          </cell>
          <cell r="AV283">
            <v>0</v>
          </cell>
          <cell r="AW283">
            <v>0</v>
          </cell>
          <cell r="AY283">
            <v>0.15</v>
          </cell>
          <cell r="BB283">
            <v>0.3125</v>
          </cell>
          <cell r="BD283">
            <v>0.15</v>
          </cell>
          <cell r="BE283">
            <v>1</v>
          </cell>
          <cell r="BF283">
            <v>4.0008250000000007</v>
          </cell>
        </row>
        <row r="284">
          <cell r="A284">
            <v>36160</v>
          </cell>
          <cell r="B284">
            <v>5.7625000000000002</v>
          </cell>
          <cell r="C284">
            <v>7.6059999999999999</v>
          </cell>
          <cell r="D284">
            <v>3.512</v>
          </cell>
          <cell r="E284">
            <v>12.0823</v>
          </cell>
          <cell r="F284">
            <v>19.559799999999999</v>
          </cell>
          <cell r="G284">
            <v>4.4580000000000002</v>
          </cell>
          <cell r="H284">
            <v>6.1879999999999997</v>
          </cell>
          <cell r="I284">
            <v>9.0489999999999995</v>
          </cell>
          <cell r="J284">
            <v>3.1360000000000001</v>
          </cell>
          <cell r="K284">
            <v>6.3910999999999998</v>
          </cell>
          <cell r="L284">
            <v>8.7055000000000007</v>
          </cell>
          <cell r="M284">
            <v>4.0255000000000001</v>
          </cell>
          <cell r="N284">
            <v>6.1879999999999997</v>
          </cell>
          <cell r="O284">
            <v>9.0489999999999995</v>
          </cell>
          <cell r="P284">
            <v>3.1360000000000001</v>
          </cell>
          <cell r="Q284">
            <v>9.6280000000000001</v>
          </cell>
          <cell r="R284">
            <v>6.0590000000000002</v>
          </cell>
          <cell r="S284">
            <v>6.3559999999999999</v>
          </cell>
          <cell r="U284">
            <v>3.4453</v>
          </cell>
          <cell r="W284">
            <v>0.30070000000000002</v>
          </cell>
          <cell r="X284">
            <v>0.4098</v>
          </cell>
          <cell r="Z284">
            <v>6.56</v>
          </cell>
          <cell r="AA284">
            <v>3.9691999999999998</v>
          </cell>
          <cell r="AB284">
            <v>5.7606000000000002</v>
          </cell>
          <cell r="AC284">
            <v>2.1406000000000001</v>
          </cell>
          <cell r="AE284">
            <v>4.3970500000000001</v>
          </cell>
          <cell r="AF284">
            <v>3.9691999999999998</v>
          </cell>
          <cell r="AG284">
            <v>1.1405000000000001</v>
          </cell>
          <cell r="AK284">
            <v>0.5</v>
          </cell>
          <cell r="AN284">
            <v>0.35</v>
          </cell>
          <cell r="AO284">
            <v>0.15</v>
          </cell>
          <cell r="AP284">
            <v>0</v>
          </cell>
          <cell r="AR284">
            <v>1</v>
          </cell>
          <cell r="AS284">
            <v>3.5818750000000001</v>
          </cell>
          <cell r="AT284">
            <v>3.5818750000000001</v>
          </cell>
          <cell r="AU284">
            <v>0.38750000000000001</v>
          </cell>
          <cell r="AV284">
            <v>0</v>
          </cell>
          <cell r="AW284">
            <v>0</v>
          </cell>
          <cell r="AY284">
            <v>0.15</v>
          </cell>
          <cell r="BB284">
            <v>0.3125</v>
          </cell>
          <cell r="BD284">
            <v>0.15</v>
          </cell>
          <cell r="BE284">
            <v>1</v>
          </cell>
          <cell r="BF284">
            <v>3.5818750000000001</v>
          </cell>
        </row>
        <row r="285">
          <cell r="A285">
            <v>36191</v>
          </cell>
          <cell r="B285">
            <v>4.1816000000000004</v>
          </cell>
          <cell r="C285">
            <v>6.1067</v>
          </cell>
          <cell r="D285">
            <v>2.02</v>
          </cell>
          <cell r="E285">
            <v>-3.8929999999999998</v>
          </cell>
          <cell r="F285">
            <v>-2.4546000000000001</v>
          </cell>
          <cell r="G285">
            <v>-5.2270000000000003</v>
          </cell>
          <cell r="H285">
            <v>1.329</v>
          </cell>
          <cell r="I285">
            <v>4.4980000000000002</v>
          </cell>
          <cell r="J285">
            <v>-2.27</v>
          </cell>
          <cell r="K285">
            <v>-1.2551000000000001</v>
          </cell>
          <cell r="L285">
            <v>-0.26600000000000001</v>
          </cell>
          <cell r="M285">
            <v>-2.3791000000000002</v>
          </cell>
          <cell r="N285">
            <v>1.329</v>
          </cell>
          <cell r="O285">
            <v>4.4980000000000002</v>
          </cell>
          <cell r="P285">
            <v>-2.27</v>
          </cell>
          <cell r="Q285">
            <v>2.8940000000000001</v>
          </cell>
          <cell r="R285">
            <v>-0.17</v>
          </cell>
          <cell r="S285">
            <v>3.3969999999999998</v>
          </cell>
          <cell r="U285">
            <v>-0.1071</v>
          </cell>
          <cell r="V285">
            <v>-1.2023999999999999</v>
          </cell>
          <cell r="W285">
            <v>0.71430000000000005</v>
          </cell>
          <cell r="X285">
            <v>0.61880000000000002</v>
          </cell>
          <cell r="Z285">
            <v>4.97</v>
          </cell>
          <cell r="AA285">
            <v>-0.2727</v>
          </cell>
          <cell r="AB285">
            <v>0.53810000000000002</v>
          </cell>
          <cell r="AC285">
            <v>-1.1231</v>
          </cell>
          <cell r="AE285">
            <v>3.3147750000000005</v>
          </cell>
          <cell r="AF285">
            <v>-0.2727</v>
          </cell>
          <cell r="AG285">
            <v>1.1706000000000001</v>
          </cell>
          <cell r="AK285">
            <v>0.5</v>
          </cell>
          <cell r="AN285">
            <v>0.35</v>
          </cell>
          <cell r="AO285">
            <v>0.15</v>
          </cell>
          <cell r="AP285">
            <v>0</v>
          </cell>
          <cell r="AR285">
            <v>1</v>
          </cell>
          <cell r="AS285">
            <v>2.2999000000000001</v>
          </cell>
          <cell r="AT285">
            <v>2.2999000000000001</v>
          </cell>
          <cell r="AU285">
            <v>0.38750000000000001</v>
          </cell>
          <cell r="AV285">
            <v>0</v>
          </cell>
          <cell r="AW285">
            <v>0</v>
          </cell>
          <cell r="AY285">
            <v>0.15</v>
          </cell>
          <cell r="BB285">
            <v>0.3125</v>
          </cell>
          <cell r="BD285">
            <v>0.15</v>
          </cell>
          <cell r="BE285">
            <v>1</v>
          </cell>
          <cell r="BF285">
            <v>2.2999000000000005</v>
          </cell>
        </row>
        <row r="286">
          <cell r="A286">
            <v>36219</v>
          </cell>
          <cell r="B286">
            <v>-3.1078999999999999</v>
          </cell>
          <cell r="C286">
            <v>-3.9234</v>
          </cell>
          <cell r="D286">
            <v>-2.153</v>
          </cell>
          <cell r="E286">
            <v>-5.2363</v>
          </cell>
          <cell r="F286">
            <v>-5.7309000000000001</v>
          </cell>
          <cell r="G286">
            <v>-4.7729999999999997</v>
          </cell>
          <cell r="H286">
            <v>-8.0990000000000002</v>
          </cell>
          <cell r="I286">
            <v>-9.1479999999999997</v>
          </cell>
          <cell r="J286">
            <v>-6.827</v>
          </cell>
          <cell r="K286">
            <v>-9.0134000000000007</v>
          </cell>
          <cell r="L286">
            <v>-9.6583000000000006</v>
          </cell>
          <cell r="M286">
            <v>-8.2868999999999993</v>
          </cell>
          <cell r="N286">
            <v>-8.0990000000000002</v>
          </cell>
          <cell r="O286">
            <v>-9.1479999999999997</v>
          </cell>
          <cell r="P286">
            <v>-6.827</v>
          </cell>
          <cell r="Q286">
            <v>-8.1140000000000008</v>
          </cell>
          <cell r="R286">
            <v>-6.5709999999999997</v>
          </cell>
          <cell r="S286">
            <v>-3.5419999999999998</v>
          </cell>
          <cell r="U286">
            <v>-2.2389999999999999</v>
          </cell>
          <cell r="V286">
            <v>-1.2008000000000001</v>
          </cell>
          <cell r="W286">
            <v>-1.746</v>
          </cell>
          <cell r="X286">
            <v>-1.0385</v>
          </cell>
          <cell r="Z286">
            <v>-3.14</v>
          </cell>
          <cell r="AA286">
            <v>-2.3601000000000001</v>
          </cell>
          <cell r="AB286">
            <v>-3.2307999999999999</v>
          </cell>
          <cell r="AC286">
            <v>-1.4332</v>
          </cell>
          <cell r="AE286">
            <v>-2.7674249999999998</v>
          </cell>
          <cell r="AF286">
            <v>-2.3601000000000001</v>
          </cell>
          <cell r="AG286">
            <v>1.1706000000000001</v>
          </cell>
          <cell r="AH286">
            <v>-0.79249999999999998</v>
          </cell>
          <cell r="AK286">
            <v>0.5</v>
          </cell>
          <cell r="AN286">
            <v>0.35</v>
          </cell>
          <cell r="AO286">
            <v>0.15</v>
          </cell>
          <cell r="AP286">
            <v>0</v>
          </cell>
          <cell r="AR286">
            <v>1</v>
          </cell>
          <cell r="AS286">
            <v>-2.5190649999999999</v>
          </cell>
          <cell r="AT286">
            <v>-2.5190649999999999</v>
          </cell>
          <cell r="AU286">
            <v>0.38750000000000001</v>
          </cell>
          <cell r="AV286">
            <v>0</v>
          </cell>
          <cell r="AW286">
            <v>0</v>
          </cell>
          <cell r="AY286">
            <v>0.15</v>
          </cell>
          <cell r="BB286">
            <v>0.3125</v>
          </cell>
          <cell r="BD286">
            <v>0.15</v>
          </cell>
          <cell r="BE286">
            <v>1</v>
          </cell>
          <cell r="BF286">
            <v>-2.5190649999999994</v>
          </cell>
        </row>
        <row r="287">
          <cell r="A287">
            <v>36250</v>
          </cell>
          <cell r="B287">
            <v>4.0008999999999997</v>
          </cell>
          <cell r="C287">
            <v>4.8441000000000001</v>
          </cell>
          <cell r="D287">
            <v>3.0310000000000001</v>
          </cell>
          <cell r="E287">
            <v>2.794</v>
          </cell>
          <cell r="F287">
            <v>3.7267000000000001</v>
          </cell>
          <cell r="G287">
            <v>1.8819999999999999</v>
          </cell>
          <cell r="H287">
            <v>1.5609999999999999</v>
          </cell>
          <cell r="I287">
            <v>3.5619999999999998</v>
          </cell>
          <cell r="J287">
            <v>-0.82499999999999996</v>
          </cell>
          <cell r="K287">
            <v>1.2910999999999999</v>
          </cell>
          <cell r="L287">
            <v>1.6241000000000001</v>
          </cell>
          <cell r="M287">
            <v>0.92859999999999998</v>
          </cell>
          <cell r="N287">
            <v>1.5609999999999999</v>
          </cell>
          <cell r="O287">
            <v>3.5619999999999998</v>
          </cell>
          <cell r="P287">
            <v>-0.82499999999999996</v>
          </cell>
          <cell r="Q287">
            <v>4.6559999999999997</v>
          </cell>
          <cell r="R287">
            <v>2.1389999999999998</v>
          </cell>
          <cell r="S287">
            <v>3.669</v>
          </cell>
          <cell r="U287">
            <v>4.8281000000000001</v>
          </cell>
          <cell r="V287">
            <v>5.8631000000000002</v>
          </cell>
          <cell r="W287">
            <v>0.55479999999999996</v>
          </cell>
          <cell r="X287">
            <v>0.71619999999999995</v>
          </cell>
          <cell r="Z287">
            <v>3.76</v>
          </cell>
          <cell r="AA287">
            <v>4.1984000000000004</v>
          </cell>
          <cell r="AB287">
            <v>1.3687</v>
          </cell>
          <cell r="AC287">
            <v>7.0106999999999999</v>
          </cell>
          <cell r="AE287">
            <v>3.1393749999999998</v>
          </cell>
          <cell r="AF287">
            <v>4.1984000000000004</v>
          </cell>
          <cell r="AG287">
            <v>1.1706000000000001</v>
          </cell>
          <cell r="AH287">
            <v>-0.53920000000000001</v>
          </cell>
          <cell r="AK287">
            <v>0.5</v>
          </cell>
          <cell r="AN287">
            <v>0.35</v>
          </cell>
          <cell r="AO287">
            <v>0.15</v>
          </cell>
          <cell r="AP287">
            <v>0</v>
          </cell>
          <cell r="AR287">
            <v>1</v>
          </cell>
          <cell r="AS287">
            <v>2.8243899999999997</v>
          </cell>
          <cell r="AT287">
            <v>2.8243899999999997</v>
          </cell>
          <cell r="AU287">
            <v>0.38750000000000001</v>
          </cell>
          <cell r="AV287">
            <v>0</v>
          </cell>
          <cell r="AW287">
            <v>0</v>
          </cell>
          <cell r="AY287">
            <v>0.15</v>
          </cell>
          <cell r="BB287">
            <v>0.3125</v>
          </cell>
          <cell r="BD287">
            <v>0.15</v>
          </cell>
          <cell r="BE287">
            <v>1</v>
          </cell>
          <cell r="BF287">
            <v>2.8243900000000002</v>
          </cell>
        </row>
        <row r="288">
          <cell r="A288">
            <v>36280</v>
          </cell>
          <cell r="B288">
            <v>3.8725000000000001</v>
          </cell>
          <cell r="C288">
            <v>-0.19400000000000001</v>
          </cell>
          <cell r="D288">
            <v>8.6210000000000004</v>
          </cell>
          <cell r="E288">
            <v>7.8875999999999999</v>
          </cell>
          <cell r="F288">
            <v>6.1757</v>
          </cell>
          <cell r="G288">
            <v>9.6780000000000008</v>
          </cell>
          <cell r="H288">
            <v>8.9610000000000003</v>
          </cell>
          <cell r="I288">
            <v>8.8309999999999995</v>
          </cell>
          <cell r="J288">
            <v>9.1289999999999996</v>
          </cell>
          <cell r="K288">
            <v>6.6063999999999998</v>
          </cell>
          <cell r="L288">
            <v>5.8442999999999996</v>
          </cell>
          <cell r="M288">
            <v>7.4082999999999997</v>
          </cell>
          <cell r="N288">
            <v>8.9610000000000003</v>
          </cell>
          <cell r="O288">
            <v>8.8309999999999995</v>
          </cell>
          <cell r="P288">
            <v>9.1289999999999996</v>
          </cell>
          <cell r="Q288">
            <v>7.9779999999999998</v>
          </cell>
          <cell r="R288">
            <v>8.9459999999999997</v>
          </cell>
          <cell r="S288">
            <v>4.5140000000000002</v>
          </cell>
          <cell r="U288">
            <v>5.0016999999999996</v>
          </cell>
          <cell r="V288">
            <v>7.6963999999999997</v>
          </cell>
          <cell r="W288">
            <v>0.317</v>
          </cell>
          <cell r="X288">
            <v>0.36890000000000001</v>
          </cell>
          <cell r="Z288">
            <v>3.29</v>
          </cell>
          <cell r="AA288">
            <v>4.0749000000000004</v>
          </cell>
          <cell r="AB288">
            <v>1.0394000000000001</v>
          </cell>
          <cell r="AC288">
            <v>6.968</v>
          </cell>
          <cell r="AE288">
            <v>2.983625</v>
          </cell>
          <cell r="AF288">
            <v>4.0749000000000004</v>
          </cell>
          <cell r="AG288">
            <v>0.8569</v>
          </cell>
          <cell r="AH288">
            <v>10.655200000000001</v>
          </cell>
          <cell r="AK288">
            <v>0.5</v>
          </cell>
          <cell r="AN288">
            <v>0.35</v>
          </cell>
          <cell r="AO288">
            <v>0.15</v>
          </cell>
          <cell r="AP288">
            <v>0</v>
          </cell>
          <cell r="AR288">
            <v>1</v>
          </cell>
          <cell r="AS288">
            <v>2.6584350000000003</v>
          </cell>
          <cell r="AT288">
            <v>2.6584350000000003</v>
          </cell>
          <cell r="AU288">
            <v>0.38750000000000001</v>
          </cell>
          <cell r="AV288">
            <v>0</v>
          </cell>
          <cell r="AW288">
            <v>0</v>
          </cell>
          <cell r="AY288">
            <v>0.15</v>
          </cell>
          <cell r="BB288">
            <v>0.3125</v>
          </cell>
          <cell r="BD288">
            <v>0.15</v>
          </cell>
          <cell r="BE288">
            <v>1</v>
          </cell>
          <cell r="BF288">
            <v>2.6584350000000003</v>
          </cell>
        </row>
        <row r="289">
          <cell r="A289">
            <v>36311</v>
          </cell>
          <cell r="B289">
            <v>-2.3613</v>
          </cell>
          <cell r="C289">
            <v>-2.915</v>
          </cell>
          <cell r="D289">
            <v>-1.7669999999999999</v>
          </cell>
          <cell r="E289">
            <v>0.43309999999999998</v>
          </cell>
          <cell r="F289">
            <v>-0.72619999999999996</v>
          </cell>
          <cell r="G289">
            <v>1.629</v>
          </cell>
          <cell r="H289">
            <v>1.4610000000000001</v>
          </cell>
          <cell r="I289">
            <v>0.158</v>
          </cell>
          <cell r="J289">
            <v>3.0739999999999998</v>
          </cell>
          <cell r="K289">
            <v>2.4346000000000001</v>
          </cell>
          <cell r="L289">
            <v>2.1989000000000001</v>
          </cell>
          <cell r="M289">
            <v>2.6722000000000001</v>
          </cell>
          <cell r="N289">
            <v>1.4610000000000001</v>
          </cell>
          <cell r="O289">
            <v>0.158</v>
          </cell>
          <cell r="P289">
            <v>3.0739999999999998</v>
          </cell>
          <cell r="Q289">
            <v>1.034</v>
          </cell>
          <cell r="R289">
            <v>1.554</v>
          </cell>
          <cell r="S289">
            <v>-1.901</v>
          </cell>
          <cell r="U289">
            <v>-4.6970000000000001</v>
          </cell>
          <cell r="V289">
            <v>-3.4710999999999999</v>
          </cell>
          <cell r="W289">
            <v>-0.87629999999999997</v>
          </cell>
          <cell r="X289">
            <v>-0.68310000000000004</v>
          </cell>
          <cell r="Z289">
            <v>-0.82</v>
          </cell>
          <cell r="AA289">
            <v>-5.1280000000000001</v>
          </cell>
          <cell r="AB289">
            <v>-4.3282999999999996</v>
          </cell>
          <cell r="AC289">
            <v>-5.8472999999999997</v>
          </cell>
          <cell r="AE289">
            <v>-1.9900499999999999</v>
          </cell>
          <cell r="AF289">
            <v>-5.1280000000000001</v>
          </cell>
          <cell r="AG289">
            <v>0.8569</v>
          </cell>
          <cell r="AH289">
            <v>1.6936</v>
          </cell>
          <cell r="AK289">
            <v>0.5</v>
          </cell>
          <cell r="AN289">
            <v>0.35</v>
          </cell>
          <cell r="AO289">
            <v>0.15</v>
          </cell>
          <cell r="AP289">
            <v>0</v>
          </cell>
          <cell r="AR289">
            <v>1</v>
          </cell>
          <cell r="AS289">
            <v>-2.2565550000000001</v>
          </cell>
          <cell r="AT289">
            <v>-2.2565550000000001</v>
          </cell>
          <cell r="AU289">
            <v>0.38750000000000001</v>
          </cell>
          <cell r="AV289">
            <v>0</v>
          </cell>
          <cell r="AW289">
            <v>0</v>
          </cell>
          <cell r="AY289">
            <v>0.15</v>
          </cell>
          <cell r="BB289">
            <v>0.3125</v>
          </cell>
          <cell r="BD289">
            <v>0.15</v>
          </cell>
          <cell r="BE289">
            <v>1</v>
          </cell>
          <cell r="BF289">
            <v>-2.2565550000000001</v>
          </cell>
        </row>
        <row r="290">
          <cell r="A290">
            <v>36341</v>
          </cell>
          <cell r="B290">
            <v>5.5498000000000003</v>
          </cell>
          <cell r="C290">
            <v>7.1574</v>
          </cell>
          <cell r="D290">
            <v>3.8410000000000002</v>
          </cell>
          <cell r="E290">
            <v>5.3545999999999996</v>
          </cell>
          <cell r="F290">
            <v>7.6108000000000002</v>
          </cell>
          <cell r="G290">
            <v>3.11</v>
          </cell>
          <cell r="H290">
            <v>4.5220000000000002</v>
          </cell>
          <cell r="I290">
            <v>5.2679999999999998</v>
          </cell>
          <cell r="J290">
            <v>3.621</v>
          </cell>
          <cell r="K290">
            <v>5.6914999999999996</v>
          </cell>
          <cell r="L290">
            <v>5.8238000000000003</v>
          </cell>
          <cell r="M290">
            <v>5.5571000000000002</v>
          </cell>
          <cell r="N290">
            <v>4.5220000000000002</v>
          </cell>
          <cell r="O290">
            <v>5.2679999999999998</v>
          </cell>
          <cell r="P290">
            <v>3.621</v>
          </cell>
          <cell r="Q290">
            <v>7.0679999999999996</v>
          </cell>
          <cell r="R290">
            <v>5.2030000000000003</v>
          </cell>
          <cell r="S290">
            <v>5.0540000000000003</v>
          </cell>
          <cell r="U290">
            <v>4.5949999999999998</v>
          </cell>
          <cell r="V290">
            <v>5.7949000000000002</v>
          </cell>
          <cell r="W290">
            <v>-0.31940000000000002</v>
          </cell>
          <cell r="X290">
            <v>-0.1017</v>
          </cell>
          <cell r="Z290">
            <v>4.6500000000000004</v>
          </cell>
          <cell r="AA290">
            <v>3.9218000000000002</v>
          </cell>
          <cell r="AB290">
            <v>3.8883999999999999</v>
          </cell>
          <cell r="AC290">
            <v>3.9468999999999999</v>
          </cell>
          <cell r="AE290">
            <v>4.0824999999999996</v>
          </cell>
          <cell r="AF290">
            <v>3.9218000000000002</v>
          </cell>
          <cell r="AG290">
            <v>0.8569</v>
          </cell>
          <cell r="AH290">
            <v>-1.6892</v>
          </cell>
          <cell r="AK290">
            <v>0.5</v>
          </cell>
          <cell r="AN290">
            <v>0.35</v>
          </cell>
          <cell r="AO290">
            <v>0.15</v>
          </cell>
          <cell r="AP290">
            <v>0</v>
          </cell>
          <cell r="AR290">
            <v>1</v>
          </cell>
          <cell r="AS290">
            <v>3.2513800000000002</v>
          </cell>
          <cell r="AT290">
            <v>3.2513800000000002</v>
          </cell>
          <cell r="AU290">
            <v>0.38750000000000001</v>
          </cell>
          <cell r="AV290">
            <v>0</v>
          </cell>
          <cell r="AW290">
            <v>0</v>
          </cell>
          <cell r="AY290">
            <v>0.15</v>
          </cell>
          <cell r="BB290">
            <v>0.3125</v>
          </cell>
          <cell r="BD290">
            <v>0.15</v>
          </cell>
          <cell r="BE290">
            <v>1</v>
          </cell>
          <cell r="BF290">
            <v>3.2513800000000002</v>
          </cell>
        </row>
        <row r="291">
          <cell r="A291">
            <v>36372</v>
          </cell>
          <cell r="B291">
            <v>-3.1225000000000001</v>
          </cell>
          <cell r="C291">
            <v>-3.1640999999999999</v>
          </cell>
          <cell r="D291">
            <v>-3.0750000000000002</v>
          </cell>
          <cell r="E291">
            <v>-2.125</v>
          </cell>
          <cell r="F291">
            <v>-2.9093</v>
          </cell>
          <cell r="G291">
            <v>-1.327</v>
          </cell>
          <cell r="H291">
            <v>-2.7440000000000002</v>
          </cell>
          <cell r="I291">
            <v>-3.0920000000000001</v>
          </cell>
          <cell r="J291">
            <v>-2.3730000000000002</v>
          </cell>
          <cell r="K291">
            <v>-0.88200000000000001</v>
          </cell>
          <cell r="L291">
            <v>-0.90690000000000004</v>
          </cell>
          <cell r="M291">
            <v>-0.84340000000000004</v>
          </cell>
          <cell r="N291">
            <v>-2.7440000000000002</v>
          </cell>
          <cell r="O291">
            <v>-3.0920000000000001</v>
          </cell>
          <cell r="P291">
            <v>-2.3730000000000002</v>
          </cell>
          <cell r="Q291">
            <v>-2.0379999999999998</v>
          </cell>
          <cell r="R291">
            <v>-1.9650000000000001</v>
          </cell>
          <cell r="S291">
            <v>-3.032</v>
          </cell>
          <cell r="U291">
            <v>2.3454000000000002</v>
          </cell>
          <cell r="V291">
            <v>3.2320000000000002</v>
          </cell>
          <cell r="W291">
            <v>-0.42480000000000001</v>
          </cell>
          <cell r="X291">
            <v>-0.35639999999999999</v>
          </cell>
          <cell r="Z291">
            <v>1.54</v>
          </cell>
          <cell r="AA291">
            <v>2.9954000000000001</v>
          </cell>
          <cell r="AB291">
            <v>1.9411</v>
          </cell>
          <cell r="AC291">
            <v>3.9266999999999999</v>
          </cell>
          <cell r="AE291">
            <v>-2.4480749999999998</v>
          </cell>
          <cell r="AF291">
            <v>2.9954000000000001</v>
          </cell>
          <cell r="AG291">
            <v>0.86650000000000005</v>
          </cell>
          <cell r="AH291">
            <v>-3.8296000000000001</v>
          </cell>
          <cell r="AK291">
            <v>0.5</v>
          </cell>
          <cell r="AN291">
            <v>0.35</v>
          </cell>
          <cell r="AO291">
            <v>0.15</v>
          </cell>
          <cell r="AP291">
            <v>0</v>
          </cell>
          <cell r="AR291">
            <v>1</v>
          </cell>
          <cell r="AS291">
            <v>-1.2606199999999999</v>
          </cell>
          <cell r="AT291">
            <v>-1.2606199999999999</v>
          </cell>
          <cell r="AU291">
            <v>0.38750000000000001</v>
          </cell>
          <cell r="AV291">
            <v>0</v>
          </cell>
          <cell r="AW291">
            <v>0</v>
          </cell>
          <cell r="AY291">
            <v>0.15</v>
          </cell>
          <cell r="BB291">
            <v>0.3125</v>
          </cell>
          <cell r="BD291">
            <v>0.15</v>
          </cell>
          <cell r="BE291">
            <v>1</v>
          </cell>
          <cell r="BF291">
            <v>-1.2606200000000001</v>
          </cell>
        </row>
        <row r="292">
          <cell r="A292">
            <v>36403</v>
          </cell>
          <cell r="B292">
            <v>-0.49469999999999997</v>
          </cell>
          <cell r="C292">
            <v>1.3868</v>
          </cell>
          <cell r="D292">
            <v>-2.5299999999999998</v>
          </cell>
          <cell r="E292">
            <v>-3.4279999999999999</v>
          </cell>
          <cell r="F292">
            <v>-3.0421999999999998</v>
          </cell>
          <cell r="G292">
            <v>-3.79</v>
          </cell>
          <cell r="H292">
            <v>-3.7010000000000001</v>
          </cell>
          <cell r="I292">
            <v>-3.74</v>
          </cell>
          <cell r="J292">
            <v>-3.6549999999999998</v>
          </cell>
          <cell r="K292">
            <v>-4.4001999999999999</v>
          </cell>
          <cell r="L292">
            <v>-5.6079999999999997</v>
          </cell>
          <cell r="M292">
            <v>-3.1568999999999998</v>
          </cell>
          <cell r="N292">
            <v>-3.7010000000000001</v>
          </cell>
          <cell r="O292">
            <v>-3.74</v>
          </cell>
          <cell r="P292">
            <v>-3.6549999999999998</v>
          </cell>
          <cell r="Q292">
            <v>-2.1619999999999999</v>
          </cell>
          <cell r="R292">
            <v>-3.129</v>
          </cell>
          <cell r="S292">
            <v>-1.137</v>
          </cell>
          <cell r="U292">
            <v>0.34689999999999999</v>
          </cell>
          <cell r="V292">
            <v>2.2099000000000002</v>
          </cell>
          <cell r="W292">
            <v>-5.0799999999999998E-2</v>
          </cell>
          <cell r="X292">
            <v>4.2200000000000001E-2</v>
          </cell>
          <cell r="Z292">
            <v>-0.27</v>
          </cell>
          <cell r="AA292">
            <v>0.38750000000000001</v>
          </cell>
          <cell r="AB292">
            <v>0.57830000000000004</v>
          </cell>
          <cell r="AC292">
            <v>0.20449999999999999</v>
          </cell>
          <cell r="AE292">
            <v>-0.38372499999999998</v>
          </cell>
          <cell r="AF292">
            <v>0.38750000000000001</v>
          </cell>
          <cell r="AG292">
            <v>0.86650000000000005</v>
          </cell>
          <cell r="AH292">
            <v>-1.4972000000000001</v>
          </cell>
          <cell r="AK292">
            <v>0.5</v>
          </cell>
          <cell r="AN292">
            <v>0.35</v>
          </cell>
          <cell r="AO292">
            <v>0.15</v>
          </cell>
          <cell r="AP292">
            <v>0</v>
          </cell>
          <cell r="AR292">
            <v>1</v>
          </cell>
          <cell r="AS292">
            <v>-0.20700499999999999</v>
          </cell>
          <cell r="AT292">
            <v>-0.20700499999999999</v>
          </cell>
          <cell r="AU292">
            <v>0.38750000000000001</v>
          </cell>
          <cell r="AV292">
            <v>0</v>
          </cell>
          <cell r="AW292">
            <v>0</v>
          </cell>
          <cell r="AY292">
            <v>0.15</v>
          </cell>
          <cell r="BB292">
            <v>0.3125</v>
          </cell>
          <cell r="BD292">
            <v>0.15</v>
          </cell>
          <cell r="BE292">
            <v>1</v>
          </cell>
          <cell r="BF292">
            <v>-0.20700499999999997</v>
          </cell>
        </row>
        <row r="293">
          <cell r="A293">
            <v>36433</v>
          </cell>
          <cell r="B293">
            <v>-2.7414000000000001</v>
          </cell>
          <cell r="C293">
            <v>-1.7020999999999999</v>
          </cell>
          <cell r="D293">
            <v>-3.9129999999999998</v>
          </cell>
          <cell r="E293">
            <v>-3.0874999999999999</v>
          </cell>
          <cell r="F293">
            <v>-1.1556</v>
          </cell>
          <cell r="G293">
            <v>-4.9240000000000004</v>
          </cell>
          <cell r="H293">
            <v>2.1999999999999999E-2</v>
          </cell>
          <cell r="I293">
            <v>1.929</v>
          </cell>
          <cell r="J293">
            <v>-1.9990000000000001</v>
          </cell>
          <cell r="K293">
            <v>0.42370000000000002</v>
          </cell>
          <cell r="L293">
            <v>2.6358999999999999</v>
          </cell>
          <cell r="M293">
            <v>-1.8348</v>
          </cell>
          <cell r="N293">
            <v>2.1999999999999999E-2</v>
          </cell>
          <cell r="O293">
            <v>1.929</v>
          </cell>
          <cell r="P293">
            <v>-1.9990000000000001</v>
          </cell>
          <cell r="Q293">
            <v>0.71599999999999997</v>
          </cell>
          <cell r="R293">
            <v>-1.488</v>
          </cell>
          <cell r="S293">
            <v>-2.556</v>
          </cell>
          <cell r="U293">
            <v>0.67630000000000001</v>
          </cell>
          <cell r="V293">
            <v>-7.6700000000000004E-2</v>
          </cell>
          <cell r="W293">
            <v>1.1604000000000001</v>
          </cell>
          <cell r="X293">
            <v>1.2388999999999999</v>
          </cell>
          <cell r="Z293">
            <v>0.6</v>
          </cell>
          <cell r="AA293">
            <v>1.0288999999999999</v>
          </cell>
          <cell r="AB293">
            <v>1.6033999999999999</v>
          </cell>
          <cell r="AC293">
            <v>0.49080000000000001</v>
          </cell>
          <cell r="AE293">
            <v>-1.7659499999999999</v>
          </cell>
          <cell r="AF293">
            <v>1.0288999999999999</v>
          </cell>
          <cell r="AG293">
            <v>0.86650000000000005</v>
          </cell>
          <cell r="AH293">
            <v>-4.5088999999999997</v>
          </cell>
          <cell r="AK293">
            <v>0.5</v>
          </cell>
          <cell r="AN293">
            <v>0.35</v>
          </cell>
          <cell r="AO293">
            <v>0.15</v>
          </cell>
          <cell r="AP293">
            <v>0</v>
          </cell>
          <cell r="AR293">
            <v>1</v>
          </cell>
          <cell r="AS293">
            <v>-0.81022500000000008</v>
          </cell>
          <cell r="AT293">
            <v>-0.81022500000000008</v>
          </cell>
          <cell r="AU293">
            <v>0.38750000000000001</v>
          </cell>
          <cell r="AV293">
            <v>0</v>
          </cell>
          <cell r="AW293">
            <v>0</v>
          </cell>
          <cell r="AY293">
            <v>0.15</v>
          </cell>
          <cell r="BB293">
            <v>0.3125</v>
          </cell>
          <cell r="BD293">
            <v>0.15</v>
          </cell>
          <cell r="BE293">
            <v>1</v>
          </cell>
          <cell r="BF293">
            <v>-0.81022499999999997</v>
          </cell>
        </row>
        <row r="294">
          <cell r="A294">
            <v>36464</v>
          </cell>
          <cell r="B294">
            <v>6.3281000000000001</v>
          </cell>
          <cell r="C294">
            <v>6.9151999999999996</v>
          </cell>
          <cell r="D294">
            <v>5.6449999999999996</v>
          </cell>
          <cell r="E294">
            <v>5.0959000000000003</v>
          </cell>
          <cell r="F294">
            <v>8.2469999999999999</v>
          </cell>
          <cell r="G294">
            <v>2.0049999999999999</v>
          </cell>
          <cell r="H294">
            <v>0.40500000000000003</v>
          </cell>
          <cell r="I294">
            <v>2.5609999999999999</v>
          </cell>
          <cell r="J294">
            <v>-2.0009999999999999</v>
          </cell>
          <cell r="K294">
            <v>-0.25159999999999999</v>
          </cell>
          <cell r="L294">
            <v>0.82299999999999995</v>
          </cell>
          <cell r="M294">
            <v>-1.3431999999999999</v>
          </cell>
          <cell r="N294">
            <v>0.40500000000000003</v>
          </cell>
          <cell r="O294">
            <v>2.5609999999999999</v>
          </cell>
          <cell r="P294">
            <v>-2.0009999999999999</v>
          </cell>
          <cell r="Q294">
            <v>4.87</v>
          </cell>
          <cell r="R294">
            <v>2.1909999999999998</v>
          </cell>
          <cell r="S294">
            <v>6.2729999999999997</v>
          </cell>
          <cell r="U294">
            <v>3.7235999999999998</v>
          </cell>
          <cell r="V294">
            <v>-1.2955000000000001</v>
          </cell>
          <cell r="W294">
            <v>0.36890000000000001</v>
          </cell>
          <cell r="X294">
            <v>0.39400000000000002</v>
          </cell>
          <cell r="Z294">
            <v>4.3899999999999997</v>
          </cell>
          <cell r="AA294">
            <v>3.7673999999999999</v>
          </cell>
          <cell r="AB294">
            <v>5.3731</v>
          </cell>
          <cell r="AC294">
            <v>2.2544</v>
          </cell>
          <cell r="AE294">
            <v>4.8383000000000003</v>
          </cell>
          <cell r="AF294">
            <v>3.7673999999999999</v>
          </cell>
          <cell r="AG294">
            <v>0.9274</v>
          </cell>
          <cell r="AH294">
            <v>-1.8593</v>
          </cell>
          <cell r="AK294">
            <v>0.5</v>
          </cell>
          <cell r="AN294">
            <v>0.35</v>
          </cell>
          <cell r="AO294">
            <v>0.15</v>
          </cell>
          <cell r="AP294">
            <v>0</v>
          </cell>
          <cell r="AR294">
            <v>1</v>
          </cell>
          <cell r="AS294">
            <v>3.8582749999999999</v>
          </cell>
          <cell r="AT294">
            <v>3.8582749999999999</v>
          </cell>
          <cell r="AU294">
            <v>0.42499999999999999</v>
          </cell>
          <cell r="AV294">
            <v>0</v>
          </cell>
          <cell r="AW294">
            <v>0</v>
          </cell>
          <cell r="AY294">
            <v>0.15</v>
          </cell>
          <cell r="BB294">
            <v>0.32500000000000001</v>
          </cell>
          <cell r="BD294">
            <v>0.1</v>
          </cell>
          <cell r="BE294">
            <v>0.99999999999999989</v>
          </cell>
          <cell r="BF294">
            <v>3.8582750000000003</v>
          </cell>
        </row>
        <row r="295">
          <cell r="A295">
            <v>36494</v>
          </cell>
          <cell r="B295">
            <v>2.0327999999999999</v>
          </cell>
          <cell r="C295">
            <v>4.2782</v>
          </cell>
          <cell r="D295">
            <v>-0.58599999999999997</v>
          </cell>
          <cell r="E295">
            <v>5.2485999999999997</v>
          </cell>
          <cell r="F295">
            <v>8.5464000000000002</v>
          </cell>
          <cell r="G295">
            <v>2.0099999999999998</v>
          </cell>
          <cell r="H295">
            <v>5.9710000000000001</v>
          </cell>
          <cell r="I295">
            <v>10.574</v>
          </cell>
          <cell r="J295">
            <v>0.51800000000000002</v>
          </cell>
          <cell r="K295">
            <v>4.1809000000000003</v>
          </cell>
          <cell r="L295">
            <v>5.9122000000000003</v>
          </cell>
          <cell r="M295">
            <v>2.3332000000000002</v>
          </cell>
          <cell r="N295">
            <v>5.9710000000000001</v>
          </cell>
          <cell r="O295">
            <v>10.574</v>
          </cell>
          <cell r="P295">
            <v>0.51800000000000002</v>
          </cell>
          <cell r="Q295">
            <v>11.805999999999999</v>
          </cell>
          <cell r="R295">
            <v>5.6459999999999999</v>
          </cell>
          <cell r="S295">
            <v>2.7989999999999999</v>
          </cell>
          <cell r="U295">
            <v>3.9984999999999999</v>
          </cell>
          <cell r="V295">
            <v>0.60940000000000005</v>
          </cell>
          <cell r="W295">
            <v>-6.8999999999999999E-3</v>
          </cell>
          <cell r="X295">
            <v>0.10340000000000001</v>
          </cell>
          <cell r="Z295">
            <v>8.31</v>
          </cell>
          <cell r="AA295">
            <v>3.4950999999999999</v>
          </cell>
          <cell r="AB295">
            <v>7.3411</v>
          </cell>
          <cell r="AC295">
            <v>-0.16569999999999999</v>
          </cell>
          <cell r="AE295">
            <v>1.522875</v>
          </cell>
          <cell r="AF295">
            <v>3.4950999999999999</v>
          </cell>
          <cell r="AG295">
            <v>0.9274</v>
          </cell>
          <cell r="AH295">
            <v>-1.5742</v>
          </cell>
          <cell r="AK295">
            <v>0.5</v>
          </cell>
          <cell r="AN295">
            <v>0.35</v>
          </cell>
          <cell r="AO295">
            <v>0.15</v>
          </cell>
          <cell r="AP295">
            <v>0</v>
          </cell>
          <cell r="AR295">
            <v>1</v>
          </cell>
          <cell r="AS295">
            <v>1.5382499999999999</v>
          </cell>
          <cell r="AT295">
            <v>1.5382499999999999</v>
          </cell>
          <cell r="AU295">
            <v>0.42499999999999999</v>
          </cell>
          <cell r="AV295">
            <v>0</v>
          </cell>
          <cell r="AW295">
            <v>0</v>
          </cell>
          <cell r="AY295">
            <v>0.15</v>
          </cell>
          <cell r="BB295">
            <v>0.32500000000000001</v>
          </cell>
          <cell r="BD295">
            <v>0.1</v>
          </cell>
          <cell r="BE295">
            <v>0.99999999999999989</v>
          </cell>
          <cell r="BF295">
            <v>1.5382500000000001</v>
          </cell>
        </row>
        <row r="296">
          <cell r="A296">
            <v>36525</v>
          </cell>
          <cell r="B296">
            <v>5.8895999999999997</v>
          </cell>
          <cell r="C296">
            <v>7.4025999999999996</v>
          </cell>
          <cell r="D296">
            <v>3.7570000000000001</v>
          </cell>
          <cell r="E296">
            <v>5.9427000000000003</v>
          </cell>
          <cell r="F296">
            <v>8.8356999999999992</v>
          </cell>
          <cell r="G296">
            <v>3.0960000000000001</v>
          </cell>
          <cell r="H296">
            <v>11.32</v>
          </cell>
          <cell r="I296">
            <v>17.625</v>
          </cell>
          <cell r="J296">
            <v>3.0720000000000001</v>
          </cell>
          <cell r="K296">
            <v>8.2205999999999992</v>
          </cell>
          <cell r="L296">
            <v>11.422599999999999</v>
          </cell>
          <cell r="M296">
            <v>4.798</v>
          </cell>
          <cell r="N296">
            <v>11.32</v>
          </cell>
          <cell r="O296">
            <v>17.625</v>
          </cell>
          <cell r="P296">
            <v>3.0720000000000001</v>
          </cell>
          <cell r="Q296">
            <v>18.859000000000002</v>
          </cell>
          <cell r="R296">
            <v>10.85</v>
          </cell>
          <cell r="S296">
            <v>6.3810000000000002</v>
          </cell>
          <cell r="U296">
            <v>9.5372000000000003</v>
          </cell>
          <cell r="V296">
            <v>1.0061</v>
          </cell>
          <cell r="W296">
            <v>-0.48220000000000002</v>
          </cell>
          <cell r="X296">
            <v>-0.29970000000000002</v>
          </cell>
          <cell r="Z296">
            <v>13.01</v>
          </cell>
          <cell r="AA296">
            <v>8.9947999999999997</v>
          </cell>
          <cell r="AB296">
            <v>11.1441</v>
          </cell>
          <cell r="AC296">
            <v>6.7702999999999998</v>
          </cell>
          <cell r="AE296">
            <v>4.2966499999999996</v>
          </cell>
          <cell r="AF296">
            <v>8.9947999999999997</v>
          </cell>
          <cell r="AG296">
            <v>0.9274</v>
          </cell>
          <cell r="AH296">
            <v>3.7595999999999998</v>
          </cell>
          <cell r="AK296">
            <v>0.5</v>
          </cell>
          <cell r="AN296">
            <v>0.35</v>
          </cell>
          <cell r="AO296">
            <v>0.15</v>
          </cell>
          <cell r="AP296">
            <v>0</v>
          </cell>
          <cell r="AR296">
            <v>1</v>
          </cell>
          <cell r="AS296">
            <v>4.1252499999999994</v>
          </cell>
          <cell r="AT296">
            <v>4.1252499999999994</v>
          </cell>
          <cell r="AU296">
            <v>0.42499999999999999</v>
          </cell>
          <cell r="AV296">
            <v>0</v>
          </cell>
          <cell r="AW296">
            <v>0</v>
          </cell>
          <cell r="AY296">
            <v>0.15</v>
          </cell>
          <cell r="BB296">
            <v>0.32500000000000001</v>
          </cell>
          <cell r="BD296">
            <v>0.1</v>
          </cell>
          <cell r="BE296">
            <v>0.99999999999999989</v>
          </cell>
          <cell r="BF296">
            <v>4.1252499999999994</v>
          </cell>
        </row>
        <row r="297">
          <cell r="A297">
            <v>36556</v>
          </cell>
          <cell r="B297">
            <v>-5.0243000000000002</v>
          </cell>
          <cell r="C297">
            <v>-6.6622000000000003</v>
          </cell>
          <cell r="D297">
            <v>-3.1819999999999999</v>
          </cell>
          <cell r="E297">
            <v>-2.8155999999999999</v>
          </cell>
          <cell r="F297">
            <v>-1.4676</v>
          </cell>
          <cell r="G297">
            <v>-4.32</v>
          </cell>
          <cell r="H297">
            <v>-1.6060000000000001</v>
          </cell>
          <cell r="I297">
            <v>-0.93100000000000005</v>
          </cell>
          <cell r="J297">
            <v>-2.6150000000000002</v>
          </cell>
          <cell r="K297">
            <v>-3.0991</v>
          </cell>
          <cell r="L297">
            <v>-3.8054999999999999</v>
          </cell>
          <cell r="M297">
            <v>-2.3639999999999999</v>
          </cell>
          <cell r="N297">
            <v>-1.6060000000000001</v>
          </cell>
          <cell r="O297">
            <v>-0.93100000000000005</v>
          </cell>
          <cell r="P297">
            <v>-2.6150000000000002</v>
          </cell>
          <cell r="Q297">
            <v>-0.55700000000000005</v>
          </cell>
          <cell r="R297">
            <v>-2.2999999999999998</v>
          </cell>
          <cell r="S297">
            <v>-3.92</v>
          </cell>
          <cell r="U297">
            <v>-5.4263000000000003</v>
          </cell>
          <cell r="V297">
            <v>0.16439999999999999</v>
          </cell>
          <cell r="W297">
            <v>-0.32719999999999999</v>
          </cell>
          <cell r="X297">
            <v>-0.57950000000000002</v>
          </cell>
          <cell r="Z297">
            <v>0.52</v>
          </cell>
          <cell r="AA297">
            <v>-6.3364000000000003</v>
          </cell>
          <cell r="AB297">
            <v>-5.6124999999999998</v>
          </cell>
          <cell r="AC297">
            <v>-7.1196000000000002</v>
          </cell>
          <cell r="AE297">
            <v>-3.850025</v>
          </cell>
          <cell r="AF297">
            <v>-6.3364000000000003</v>
          </cell>
          <cell r="AG297">
            <v>0.95330000000000004</v>
          </cell>
          <cell r="AH297">
            <v>0.41370000000000001</v>
          </cell>
          <cell r="AK297">
            <v>0.53</v>
          </cell>
          <cell r="AN297">
            <v>0.3</v>
          </cell>
          <cell r="AO297">
            <v>0.17</v>
          </cell>
          <cell r="AP297">
            <v>0</v>
          </cell>
          <cell r="AR297">
            <v>1</v>
          </cell>
          <cell r="AS297">
            <v>-3.8382270000000003</v>
          </cell>
          <cell r="AT297">
            <v>-3.8382270000000003</v>
          </cell>
          <cell r="AU297">
            <v>0.375</v>
          </cell>
          <cell r="AV297">
            <v>0.04</v>
          </cell>
          <cell r="AW297">
            <v>0.04</v>
          </cell>
          <cell r="AY297">
            <v>0.17</v>
          </cell>
          <cell r="BB297">
            <v>0.27500000000000002</v>
          </cell>
          <cell r="BD297">
            <v>0.1</v>
          </cell>
          <cell r="BE297">
            <v>1</v>
          </cell>
          <cell r="BF297">
            <v>-3.6131470000000006</v>
          </cell>
        </row>
        <row r="298">
          <cell r="A298">
            <v>36585</v>
          </cell>
          <cell r="B298">
            <v>-1.893</v>
          </cell>
          <cell r="C298">
            <v>2.0992999999999999</v>
          </cell>
          <cell r="D298">
            <v>-6.2480000000000002</v>
          </cell>
          <cell r="E298">
            <v>6.9984999999999999</v>
          </cell>
          <cell r="F298">
            <v>16.6617</v>
          </cell>
          <cell r="G298">
            <v>-3.67</v>
          </cell>
          <cell r="H298">
            <v>16.513999999999999</v>
          </cell>
          <cell r="I298">
            <v>23.265999999999998</v>
          </cell>
          <cell r="J298">
            <v>6.1120000000000001</v>
          </cell>
          <cell r="K298">
            <v>13.3916</v>
          </cell>
          <cell r="L298">
            <v>17.012</v>
          </cell>
          <cell r="M298">
            <v>9.1859999999999999</v>
          </cell>
          <cell r="N298">
            <v>16.513999999999999</v>
          </cell>
          <cell r="O298">
            <v>23.265999999999998</v>
          </cell>
          <cell r="P298">
            <v>6.1120000000000001</v>
          </cell>
          <cell r="Q298">
            <v>25.651</v>
          </cell>
          <cell r="R298">
            <v>14.442</v>
          </cell>
          <cell r="S298">
            <v>0.92700000000000005</v>
          </cell>
          <cell r="U298">
            <v>2.7010999999999998</v>
          </cell>
          <cell r="V298">
            <v>2.5059999999999998</v>
          </cell>
          <cell r="W298">
            <v>1.2092000000000001</v>
          </cell>
          <cell r="X298">
            <v>0.96279999999999999</v>
          </cell>
          <cell r="Z298">
            <v>11.14</v>
          </cell>
          <cell r="AA298">
            <v>2.7109000000000001</v>
          </cell>
          <cell r="AB298">
            <v>5.5567000000000002</v>
          </cell>
          <cell r="AC298">
            <v>-0.39079999999999998</v>
          </cell>
          <cell r="AE298">
            <v>-1.1174500000000001</v>
          </cell>
          <cell r="AF298">
            <v>2.7109000000000001</v>
          </cell>
          <cell r="AG298">
            <v>0.95330000000000004</v>
          </cell>
          <cell r="AH298">
            <v>-1.9138999999999999</v>
          </cell>
          <cell r="AK298">
            <v>0.53</v>
          </cell>
          <cell r="AN298">
            <v>0.3</v>
          </cell>
          <cell r="AO298">
            <v>0.17</v>
          </cell>
          <cell r="AP298">
            <v>0</v>
          </cell>
          <cell r="AR298">
            <v>1</v>
          </cell>
          <cell r="AS298">
            <v>-0.17967699999999998</v>
          </cell>
          <cell r="AT298">
            <v>-0.17967699999999998</v>
          </cell>
          <cell r="AU298">
            <v>0.375</v>
          </cell>
          <cell r="AV298">
            <v>0.04</v>
          </cell>
          <cell r="AW298">
            <v>0.04</v>
          </cell>
          <cell r="AY298">
            <v>0.17</v>
          </cell>
          <cell r="BB298">
            <v>0.27500000000000002</v>
          </cell>
          <cell r="BD298">
            <v>0.1</v>
          </cell>
          <cell r="BE298">
            <v>1</v>
          </cell>
          <cell r="BF298">
            <v>0.91226300000000005</v>
          </cell>
        </row>
        <row r="299">
          <cell r="A299">
            <v>36616</v>
          </cell>
          <cell r="B299">
            <v>9.7828999999999997</v>
          </cell>
          <cell r="C299">
            <v>9.2481000000000009</v>
          </cell>
          <cell r="D299">
            <v>10.427</v>
          </cell>
          <cell r="E299">
            <v>8.3691999999999993</v>
          </cell>
          <cell r="F299">
            <v>3.4937</v>
          </cell>
          <cell r="G299">
            <v>15.302</v>
          </cell>
          <cell r="H299">
            <v>-6.593</v>
          </cell>
          <cell r="I299">
            <v>-10.512</v>
          </cell>
          <cell r="J299">
            <v>0.46899999999999997</v>
          </cell>
          <cell r="K299">
            <v>-3.6974999999999998</v>
          </cell>
          <cell r="L299">
            <v>-5.5964</v>
          </cell>
          <cell r="M299">
            <v>-1.3139000000000001</v>
          </cell>
          <cell r="N299">
            <v>-6.593</v>
          </cell>
          <cell r="O299">
            <v>-10.512</v>
          </cell>
          <cell r="P299">
            <v>0.46899999999999997</v>
          </cell>
          <cell r="Q299">
            <v>-7.8460000000000001</v>
          </cell>
          <cell r="R299">
            <v>-1.5309999999999999</v>
          </cell>
          <cell r="S299">
            <v>7.8339999999999996</v>
          </cell>
          <cell r="U299">
            <v>3.7633999999999999</v>
          </cell>
          <cell r="V299">
            <v>2.7709000000000001</v>
          </cell>
          <cell r="W299">
            <v>1.3166</v>
          </cell>
          <cell r="X299">
            <v>1.0669999999999999</v>
          </cell>
          <cell r="Z299">
            <v>-3.98</v>
          </cell>
          <cell r="AA299">
            <v>3.8957000000000002</v>
          </cell>
          <cell r="AB299">
            <v>1.8888</v>
          </cell>
          <cell r="AC299">
            <v>6.1189</v>
          </cell>
          <cell r="AE299">
            <v>7.6663250000000005</v>
          </cell>
          <cell r="AF299">
            <v>3.8957000000000002</v>
          </cell>
          <cell r="AG299">
            <v>0.95330000000000004</v>
          </cell>
          <cell r="AH299">
            <v>4.3766999999999996</v>
          </cell>
          <cell r="AK299">
            <v>0.53</v>
          </cell>
          <cell r="AN299">
            <v>0.3</v>
          </cell>
          <cell r="AO299">
            <v>0.17</v>
          </cell>
          <cell r="AP299">
            <v>0</v>
          </cell>
          <cell r="AR299">
            <v>1</v>
          </cell>
          <cell r="AS299">
            <v>6.2421860000000002</v>
          </cell>
          <cell r="AT299">
            <v>6.2421860000000002</v>
          </cell>
          <cell r="AU299">
            <v>0.375</v>
          </cell>
          <cell r="AV299">
            <v>0.04</v>
          </cell>
          <cell r="AW299">
            <v>0.04</v>
          </cell>
          <cell r="AY299">
            <v>0.17</v>
          </cell>
          <cell r="BB299">
            <v>0.27500000000000002</v>
          </cell>
          <cell r="BD299">
            <v>0.1</v>
          </cell>
          <cell r="BE299">
            <v>1</v>
          </cell>
          <cell r="BF299">
            <v>5.530602</v>
          </cell>
        </row>
        <row r="300">
          <cell r="A300">
            <v>36646</v>
          </cell>
          <cell r="B300">
            <v>-3.0085999999999999</v>
          </cell>
          <cell r="C300">
            <v>-4.9496000000000002</v>
          </cell>
          <cell r="D300">
            <v>-0.66900000000000004</v>
          </cell>
          <cell r="E300">
            <v>-3.4918</v>
          </cell>
          <cell r="F300">
            <v>-5.6692999999999998</v>
          </cell>
          <cell r="G300">
            <v>-0.91100000000000003</v>
          </cell>
          <cell r="H300">
            <v>-6.0179999999999998</v>
          </cell>
          <cell r="I300">
            <v>-10.097</v>
          </cell>
          <cell r="J300">
            <v>0.59199999999999997</v>
          </cell>
          <cell r="K300">
            <v>-1.7139</v>
          </cell>
          <cell r="L300">
            <v>-2.9218999999999999</v>
          </cell>
          <cell r="M300">
            <v>-0.28210000000000002</v>
          </cell>
          <cell r="N300">
            <v>-6.0179999999999998</v>
          </cell>
          <cell r="O300">
            <v>-10.097</v>
          </cell>
          <cell r="P300">
            <v>0.59199999999999997</v>
          </cell>
          <cell r="Q300">
            <v>-9.7430000000000003</v>
          </cell>
          <cell r="R300">
            <v>-5.3780000000000001</v>
          </cell>
          <cell r="S300">
            <v>-3.524</v>
          </cell>
          <cell r="U300">
            <v>-5.5814000000000004</v>
          </cell>
          <cell r="V300">
            <v>-7.3552</v>
          </cell>
          <cell r="W300">
            <v>-0.28539999999999999</v>
          </cell>
          <cell r="X300">
            <v>-9.5299999999999996E-2</v>
          </cell>
          <cell r="Z300">
            <v>-7.46</v>
          </cell>
          <cell r="AA300">
            <v>-5.2443</v>
          </cell>
          <cell r="AB300">
            <v>-6.5980999999999996</v>
          </cell>
          <cell r="AC300">
            <v>-3.8620999999999999</v>
          </cell>
          <cell r="AE300">
            <v>-2.3277999999999999</v>
          </cell>
          <cell r="AF300">
            <v>-5.2443</v>
          </cell>
          <cell r="AG300">
            <v>0.79420000000000002</v>
          </cell>
          <cell r="AH300">
            <v>7.1271000000000004</v>
          </cell>
          <cell r="AK300">
            <v>0.53</v>
          </cell>
          <cell r="AN300">
            <v>0.3</v>
          </cell>
          <cell r="AO300">
            <v>0.17</v>
          </cell>
          <cell r="AP300">
            <v>0</v>
          </cell>
          <cell r="AR300">
            <v>1</v>
          </cell>
          <cell r="AS300">
            <v>-2.5717090000000002</v>
          </cell>
          <cell r="AT300">
            <v>-2.5717090000000002</v>
          </cell>
          <cell r="AU300">
            <v>0.375</v>
          </cell>
          <cell r="AV300">
            <v>0.04</v>
          </cell>
          <cell r="AW300">
            <v>0.04</v>
          </cell>
          <cell r="AY300">
            <v>0.17</v>
          </cell>
          <cell r="BB300">
            <v>0.27500000000000002</v>
          </cell>
          <cell r="BD300">
            <v>0.1</v>
          </cell>
          <cell r="BE300">
            <v>1</v>
          </cell>
          <cell r="BF300">
            <v>-2.7114130000000003</v>
          </cell>
        </row>
        <row r="301">
          <cell r="A301">
            <v>36677</v>
          </cell>
          <cell r="B301">
            <v>-2.0516999999999999</v>
          </cell>
          <cell r="C301">
            <v>-4.0774999999999997</v>
          </cell>
          <cell r="D301">
            <v>0.312</v>
          </cell>
          <cell r="E301">
            <v>-1.2478</v>
          </cell>
          <cell r="F301">
            <v>-5.202</v>
          </cell>
          <cell r="G301">
            <v>2.8849999999999998</v>
          </cell>
          <cell r="H301">
            <v>-5.8280000000000003</v>
          </cell>
          <cell r="I301">
            <v>-8.7560000000000002</v>
          </cell>
          <cell r="J301">
            <v>-1.526</v>
          </cell>
          <cell r="K301">
            <v>-2.9641999999999999</v>
          </cell>
          <cell r="L301">
            <v>-3.7768999999999999</v>
          </cell>
          <cell r="M301">
            <v>-2.0655999999999999</v>
          </cell>
          <cell r="N301">
            <v>-5.8280000000000003</v>
          </cell>
          <cell r="O301">
            <v>-8.7560000000000002</v>
          </cell>
          <cell r="P301">
            <v>-1.526</v>
          </cell>
          <cell r="Q301">
            <v>-8.9039999999999999</v>
          </cell>
          <cell r="R301">
            <v>-4.798</v>
          </cell>
          <cell r="S301">
            <v>-2.8090000000000002</v>
          </cell>
          <cell r="U301">
            <v>-2.5579999999999998</v>
          </cell>
          <cell r="V301">
            <v>0.2001</v>
          </cell>
          <cell r="W301">
            <v>-4.5900000000000003E-2</v>
          </cell>
          <cell r="X301">
            <v>9.8699999999999996E-2</v>
          </cell>
          <cell r="Z301">
            <v>-3.45</v>
          </cell>
          <cell r="AA301">
            <v>-2.4226999999999999</v>
          </cell>
          <cell r="AB301">
            <v>-6.1849999999999996</v>
          </cell>
          <cell r="AC301">
            <v>1.2584</v>
          </cell>
          <cell r="AE301">
            <v>-1.5502499999999997</v>
          </cell>
          <cell r="AF301">
            <v>-2.4226999999999999</v>
          </cell>
          <cell r="AG301">
            <v>0.79420000000000002</v>
          </cell>
          <cell r="AH301">
            <v>1.1997</v>
          </cell>
          <cell r="AK301">
            <v>0.53</v>
          </cell>
          <cell r="AN301">
            <v>0.3</v>
          </cell>
          <cell r="AO301">
            <v>0.17</v>
          </cell>
          <cell r="AP301">
            <v>0</v>
          </cell>
          <cell r="AR301">
            <v>1</v>
          </cell>
          <cell r="AS301">
            <v>-1.5130300000000001</v>
          </cell>
          <cell r="AT301">
            <v>-1.5130300000000001</v>
          </cell>
          <cell r="AU301">
            <v>0.375</v>
          </cell>
          <cell r="AV301">
            <v>0.04</v>
          </cell>
          <cell r="AW301">
            <v>0.04</v>
          </cell>
          <cell r="AY301">
            <v>0.17</v>
          </cell>
          <cell r="BB301">
            <v>0.27500000000000002</v>
          </cell>
          <cell r="BD301">
            <v>0.1</v>
          </cell>
          <cell r="BE301">
            <v>1</v>
          </cell>
          <cell r="BF301">
            <v>-1.6319259999999998</v>
          </cell>
        </row>
        <row r="302">
          <cell r="A302">
            <v>36707</v>
          </cell>
          <cell r="B302">
            <v>2.4653</v>
          </cell>
          <cell r="C302">
            <v>8.0694999999999997</v>
          </cell>
          <cell r="D302">
            <v>-3.95</v>
          </cell>
          <cell r="E302">
            <v>1.4686999999999999</v>
          </cell>
          <cell r="F302">
            <v>8.0541999999999998</v>
          </cell>
          <cell r="G302">
            <v>-4.5170000000000003</v>
          </cell>
          <cell r="H302">
            <v>8.7170000000000005</v>
          </cell>
          <cell r="I302">
            <v>12.917999999999999</v>
          </cell>
          <cell r="J302">
            <v>2.9220000000000002</v>
          </cell>
          <cell r="K302">
            <v>5.9134000000000002</v>
          </cell>
          <cell r="L302">
            <v>6.9602000000000004</v>
          </cell>
          <cell r="M302">
            <v>4.7845000000000004</v>
          </cell>
          <cell r="N302">
            <v>8.7170000000000005</v>
          </cell>
          <cell r="O302">
            <v>12.917999999999999</v>
          </cell>
          <cell r="P302">
            <v>2.9220000000000002</v>
          </cell>
          <cell r="Q302">
            <v>13.221</v>
          </cell>
          <cell r="R302">
            <v>6.569</v>
          </cell>
          <cell r="S302">
            <v>2.9609999999999999</v>
          </cell>
          <cell r="U302">
            <v>4.2577999999999996</v>
          </cell>
          <cell r="V302">
            <v>9.0047999999999995</v>
          </cell>
          <cell r="W302">
            <v>2.0802999999999998</v>
          </cell>
          <cell r="X302">
            <v>1.9371</v>
          </cell>
          <cell r="Z302">
            <v>6.13</v>
          </cell>
          <cell r="AA302">
            <v>3.9342000000000001</v>
          </cell>
          <cell r="AB302">
            <v>3.5855999999999999</v>
          </cell>
          <cell r="AC302">
            <v>4.2548000000000004</v>
          </cell>
          <cell r="AE302">
            <v>2.3690500000000001</v>
          </cell>
          <cell r="AF302">
            <v>3.9342000000000001</v>
          </cell>
          <cell r="AG302">
            <v>0.79420000000000002</v>
          </cell>
          <cell r="AH302">
            <v>3.3649</v>
          </cell>
          <cell r="AK302">
            <v>0.53</v>
          </cell>
          <cell r="AN302">
            <v>0.3</v>
          </cell>
          <cell r="AO302">
            <v>0.17</v>
          </cell>
          <cell r="AP302">
            <v>0</v>
          </cell>
          <cell r="AR302">
            <v>1</v>
          </cell>
          <cell r="AS302">
            <v>2.599513</v>
          </cell>
          <cell r="AT302">
            <v>2.599513</v>
          </cell>
          <cell r="AU302">
            <v>0.375</v>
          </cell>
          <cell r="AV302">
            <v>0.04</v>
          </cell>
          <cell r="AW302">
            <v>0.04</v>
          </cell>
          <cell r="AY302">
            <v>0.17</v>
          </cell>
          <cell r="BB302">
            <v>0.27500000000000002</v>
          </cell>
          <cell r="BD302">
            <v>0.1</v>
          </cell>
          <cell r="BE302">
            <v>1</v>
          </cell>
          <cell r="BF302">
            <v>2.8097170000000005</v>
          </cell>
        </row>
        <row r="303">
          <cell r="A303">
            <v>36738</v>
          </cell>
          <cell r="B303">
            <v>-1.5633999999999999</v>
          </cell>
          <cell r="C303">
            <v>-4.4523999999999999</v>
          </cell>
          <cell r="D303">
            <v>2.0009999999999999</v>
          </cell>
          <cell r="E303">
            <v>1.5797000000000001</v>
          </cell>
          <cell r="F303">
            <v>-0.63500000000000001</v>
          </cell>
          <cell r="G303">
            <v>3.9609999999999999</v>
          </cell>
          <cell r="H303">
            <v>-3.2170000000000001</v>
          </cell>
          <cell r="I303">
            <v>-8.57</v>
          </cell>
          <cell r="J303">
            <v>3.3319999999999999</v>
          </cell>
          <cell r="K303">
            <v>-2.4548000000000001</v>
          </cell>
          <cell r="L303">
            <v>-4.452</v>
          </cell>
          <cell r="M303">
            <v>-0.4108</v>
          </cell>
          <cell r="N303">
            <v>-3.2170000000000001</v>
          </cell>
          <cell r="O303">
            <v>-8.57</v>
          </cell>
          <cell r="P303">
            <v>3.3319999999999999</v>
          </cell>
          <cell r="Q303">
            <v>-8.1950000000000003</v>
          </cell>
          <cell r="R303">
            <v>-2.5459999999999998</v>
          </cell>
          <cell r="S303">
            <v>-1.768</v>
          </cell>
          <cell r="U303">
            <v>-3.9479000000000002</v>
          </cell>
          <cell r="V303">
            <v>-6.1990999999999996</v>
          </cell>
          <cell r="W303">
            <v>0.90769999999999995</v>
          </cell>
          <cell r="X303">
            <v>0.71199999999999997</v>
          </cell>
          <cell r="Z303">
            <v>-0.63</v>
          </cell>
          <cell r="AA303">
            <v>-4.1729000000000003</v>
          </cell>
          <cell r="AB303">
            <v>-6.2525000000000004</v>
          </cell>
          <cell r="AC303">
            <v>-2.2679999999999998</v>
          </cell>
          <cell r="AE303">
            <v>-0.94562499999999994</v>
          </cell>
          <cell r="AF303">
            <v>-4.1729000000000003</v>
          </cell>
          <cell r="AG303">
            <v>1.0081</v>
          </cell>
          <cell r="AH303">
            <v>8.9781999999999993</v>
          </cell>
          <cell r="AK303">
            <v>0.53</v>
          </cell>
          <cell r="AN303">
            <v>0.3</v>
          </cell>
          <cell r="AO303">
            <v>0.17</v>
          </cell>
          <cell r="AP303">
            <v>0</v>
          </cell>
          <cell r="AR303">
            <v>1</v>
          </cell>
          <cell r="AS303">
            <v>-1.2656849999999999</v>
          </cell>
          <cell r="AT303">
            <v>-1.2656849999999999</v>
          </cell>
          <cell r="AU303">
            <v>0.375</v>
          </cell>
          <cell r="AV303">
            <v>0.04</v>
          </cell>
          <cell r="AW303">
            <v>0.04</v>
          </cell>
          <cell r="AY303">
            <v>0.17</v>
          </cell>
          <cell r="BB303">
            <v>0.27500000000000002</v>
          </cell>
          <cell r="BD303">
            <v>0.1</v>
          </cell>
          <cell r="BE303">
            <v>1</v>
          </cell>
          <cell r="BF303">
            <v>-1.206105</v>
          </cell>
        </row>
        <row r="304">
          <cell r="A304">
            <v>36769</v>
          </cell>
          <cell r="B304">
            <v>6.2114000000000003</v>
          </cell>
          <cell r="C304">
            <v>5.7918000000000003</v>
          </cell>
          <cell r="D304">
            <v>6.7050000000000001</v>
          </cell>
          <cell r="E304">
            <v>11.1652</v>
          </cell>
          <cell r="F304">
            <v>14.9053</v>
          </cell>
          <cell r="G304">
            <v>7.1509999999999998</v>
          </cell>
          <cell r="H304">
            <v>7.63</v>
          </cell>
          <cell r="I304">
            <v>10.519</v>
          </cell>
          <cell r="J304">
            <v>4.4710000000000001</v>
          </cell>
          <cell r="K304">
            <v>8.8638999999999992</v>
          </cell>
          <cell r="L304">
            <v>10.875299999999999</v>
          </cell>
          <cell r="M304">
            <v>6.8842999999999996</v>
          </cell>
          <cell r="N304">
            <v>7.63</v>
          </cell>
          <cell r="O304">
            <v>10.519</v>
          </cell>
          <cell r="P304">
            <v>4.4710000000000001</v>
          </cell>
          <cell r="Q304">
            <v>13.034000000000001</v>
          </cell>
          <cell r="R304">
            <v>8.6110000000000007</v>
          </cell>
          <cell r="S304">
            <v>7.4160000000000004</v>
          </cell>
          <cell r="U304">
            <v>1.2366999999999999</v>
          </cell>
          <cell r="V304">
            <v>4.8266999999999998</v>
          </cell>
          <cell r="W304">
            <v>1.4497</v>
          </cell>
          <cell r="X304">
            <v>1.3335999999999999</v>
          </cell>
          <cell r="Z304">
            <v>4.9000000000000004</v>
          </cell>
          <cell r="AA304">
            <v>0.88849999999999996</v>
          </cell>
          <cell r="AB304">
            <v>1.0743</v>
          </cell>
          <cell r="AC304">
            <v>0.72640000000000005</v>
          </cell>
          <cell r="AE304">
            <v>5.020975</v>
          </cell>
          <cell r="AF304">
            <v>0.88849999999999996</v>
          </cell>
          <cell r="AG304">
            <v>1.0081</v>
          </cell>
          <cell r="AH304">
            <v>-3.5983999999999998</v>
          </cell>
          <cell r="AK304">
            <v>0.53</v>
          </cell>
          <cell r="AN304">
            <v>0.3</v>
          </cell>
          <cell r="AO304">
            <v>0.17</v>
          </cell>
          <cell r="AP304">
            <v>0</v>
          </cell>
          <cell r="AR304">
            <v>1</v>
          </cell>
          <cell r="AS304">
            <v>3.8779970000000001</v>
          </cell>
          <cell r="AT304">
            <v>3.8779970000000001</v>
          </cell>
          <cell r="AU304">
            <v>0.375</v>
          </cell>
          <cell r="AV304">
            <v>0.04</v>
          </cell>
          <cell r="AW304">
            <v>0.04</v>
          </cell>
          <cell r="AY304">
            <v>0.17</v>
          </cell>
          <cell r="BB304">
            <v>0.27500000000000002</v>
          </cell>
          <cell r="BD304">
            <v>0.1</v>
          </cell>
          <cell r="BE304">
            <v>1</v>
          </cell>
          <cell r="BF304">
            <v>4.1328930000000001</v>
          </cell>
        </row>
        <row r="305">
          <cell r="A305">
            <v>36799</v>
          </cell>
          <cell r="B305">
            <v>-5.2793000000000001</v>
          </cell>
          <cell r="C305">
            <v>-9.7621000000000002</v>
          </cell>
          <cell r="D305">
            <v>-2.4E-2</v>
          </cell>
          <cell r="E305">
            <v>-0.68459999999999999</v>
          </cell>
          <cell r="F305">
            <v>-2.4746999999999999</v>
          </cell>
          <cell r="G305">
            <v>1.4830000000000001</v>
          </cell>
          <cell r="H305">
            <v>-2.9390000000000001</v>
          </cell>
          <cell r="I305">
            <v>-4.968</v>
          </cell>
          <cell r="J305">
            <v>-0.56699999999999995</v>
          </cell>
          <cell r="K305">
            <v>-2.7227000000000001</v>
          </cell>
          <cell r="L305">
            <v>-3.5703999999999998</v>
          </cell>
          <cell r="M305">
            <v>-2.0754000000000001</v>
          </cell>
          <cell r="N305">
            <v>-2.9390000000000001</v>
          </cell>
          <cell r="O305">
            <v>-4.968</v>
          </cell>
          <cell r="P305">
            <v>-0.56699999999999995</v>
          </cell>
          <cell r="Q305">
            <v>-6.4669999999999996</v>
          </cell>
          <cell r="R305">
            <v>-3.2530000000000001</v>
          </cell>
          <cell r="S305">
            <v>-4.5279999999999996</v>
          </cell>
          <cell r="U305">
            <v>-5.5469999999999997</v>
          </cell>
          <cell r="V305">
            <v>-5.3423999999999996</v>
          </cell>
          <cell r="W305">
            <v>0.62860000000000005</v>
          </cell>
          <cell r="X305">
            <v>0.97370000000000001</v>
          </cell>
          <cell r="Z305">
            <v>-0.71</v>
          </cell>
          <cell r="AA305">
            <v>-4.8494000000000002</v>
          </cell>
          <cell r="AB305">
            <v>-6.6083999999999996</v>
          </cell>
          <cell r="AC305">
            <v>-2.9925000000000002</v>
          </cell>
          <cell r="AE305">
            <v>-3.8023250000000002</v>
          </cell>
          <cell r="AF305">
            <v>-4.8494000000000002</v>
          </cell>
          <cell r="AG305">
            <v>1.0081</v>
          </cell>
          <cell r="AH305">
            <v>3.2475000000000001</v>
          </cell>
          <cell r="AK305">
            <v>0.53</v>
          </cell>
          <cell r="AN305">
            <v>0.3</v>
          </cell>
          <cell r="AO305">
            <v>0.17</v>
          </cell>
          <cell r="AP305">
            <v>0</v>
          </cell>
          <cell r="AR305">
            <v>1</v>
          </cell>
          <cell r="AS305">
            <v>-3.4338470000000001</v>
          </cell>
          <cell r="AT305">
            <v>-3.4338470000000001</v>
          </cell>
          <cell r="AU305">
            <v>0.375</v>
          </cell>
          <cell r="AV305">
            <v>0.04</v>
          </cell>
          <cell r="AW305">
            <v>0.04</v>
          </cell>
          <cell r="AY305">
            <v>0.17</v>
          </cell>
          <cell r="BB305">
            <v>0.27500000000000002</v>
          </cell>
          <cell r="BD305">
            <v>0.1</v>
          </cell>
          <cell r="BE305">
            <v>1</v>
          </cell>
          <cell r="BF305">
            <v>-3.1564470000000004</v>
          </cell>
        </row>
        <row r="306">
          <cell r="A306">
            <v>36830</v>
          </cell>
          <cell r="B306">
            <v>-0.42280000000000001</v>
          </cell>
          <cell r="C306">
            <v>-2.6006999999999998</v>
          </cell>
          <cell r="D306">
            <v>1.8680000000000001</v>
          </cell>
          <cell r="E306">
            <v>-3.3910999999999998</v>
          </cell>
          <cell r="F306">
            <v>-5.4325999999999999</v>
          </cell>
          <cell r="G306">
            <v>-0.95399999999999996</v>
          </cell>
          <cell r="H306">
            <v>-4.4640000000000004</v>
          </cell>
          <cell r="I306">
            <v>-8.1170000000000009</v>
          </cell>
          <cell r="J306">
            <v>-0.35499999999999998</v>
          </cell>
          <cell r="K306">
            <v>0.62590000000000001</v>
          </cell>
          <cell r="L306">
            <v>2.012</v>
          </cell>
          <cell r="M306">
            <v>-0.47599999999999998</v>
          </cell>
          <cell r="N306">
            <v>-4.4640000000000004</v>
          </cell>
          <cell r="O306">
            <v>-8.1170000000000009</v>
          </cell>
          <cell r="P306">
            <v>-0.35499999999999998</v>
          </cell>
          <cell r="Q306">
            <v>-6.1840000000000002</v>
          </cell>
          <cell r="R306">
            <v>-2.7440000000000002</v>
          </cell>
          <cell r="S306">
            <v>-1.4239999999999999</v>
          </cell>
          <cell r="U306">
            <v>-3.1783999999999999</v>
          </cell>
          <cell r="V306">
            <v>-6.8514999999999997</v>
          </cell>
          <cell r="W306">
            <v>0.66080000000000005</v>
          </cell>
          <cell r="X306">
            <v>0.57609999999999995</v>
          </cell>
          <cell r="Z306">
            <v>-2.54</v>
          </cell>
          <cell r="AA306">
            <v>-2.3418999999999999</v>
          </cell>
          <cell r="AB306">
            <v>-4.6106999999999996</v>
          </cell>
          <cell r="AC306">
            <v>-4.0300000000000002E-2</v>
          </cell>
          <cell r="AE306">
            <v>-0.15189999999999998</v>
          </cell>
          <cell r="AF306">
            <v>-2.3418999999999999</v>
          </cell>
          <cell r="AG306">
            <v>0.97070000000000001</v>
          </cell>
          <cell r="AH306">
            <v>-4.3468999999999998</v>
          </cell>
          <cell r="AK306">
            <v>0.53</v>
          </cell>
          <cell r="AN306">
            <v>0.3</v>
          </cell>
          <cell r="AO306">
            <v>0.17</v>
          </cell>
          <cell r="AP306">
            <v>0</v>
          </cell>
          <cell r="AR306">
            <v>1</v>
          </cell>
          <cell r="AS306">
            <v>-0.42396699999999998</v>
          </cell>
          <cell r="AT306">
            <v>-0.42396699999999998</v>
          </cell>
          <cell r="AU306">
            <v>0.375</v>
          </cell>
          <cell r="AV306">
            <v>0.04</v>
          </cell>
          <cell r="AW306">
            <v>0.04</v>
          </cell>
          <cell r="AY306">
            <v>0.17</v>
          </cell>
          <cell r="BB306">
            <v>0.27500000000000002</v>
          </cell>
          <cell r="BD306">
            <v>0.1</v>
          </cell>
          <cell r="BE306">
            <v>1</v>
          </cell>
          <cell r="BF306">
            <v>-0.70434700000000006</v>
          </cell>
        </row>
        <row r="307">
          <cell r="A307">
            <v>36860</v>
          </cell>
          <cell r="B307">
            <v>-7.8838999999999997</v>
          </cell>
          <cell r="C307">
            <v>-10.6303</v>
          </cell>
          <cell r="D307">
            <v>-5.1180000000000003</v>
          </cell>
          <cell r="E307">
            <v>-7.5483000000000002</v>
          </cell>
          <cell r="F307">
            <v>-14.1753</v>
          </cell>
          <cell r="G307">
            <v>0.13400000000000001</v>
          </cell>
          <cell r="H307">
            <v>-10.265000000000001</v>
          </cell>
          <cell r="I307">
            <v>-18.157</v>
          </cell>
          <cell r="J307">
            <v>-2.036</v>
          </cell>
          <cell r="K307">
            <v>-10.4114</v>
          </cell>
          <cell r="L307">
            <v>-12.8001</v>
          </cell>
          <cell r="M307">
            <v>-8.1007999999999996</v>
          </cell>
          <cell r="N307">
            <v>-10.265000000000001</v>
          </cell>
          <cell r="O307">
            <v>-18.157</v>
          </cell>
          <cell r="P307">
            <v>-2.036</v>
          </cell>
          <cell r="Q307">
            <v>-19.050999999999998</v>
          </cell>
          <cell r="R307">
            <v>-8.8000000000000007</v>
          </cell>
          <cell r="S307">
            <v>-9.2170000000000005</v>
          </cell>
          <cell r="U307">
            <v>-4.4863999999999997</v>
          </cell>
          <cell r="V307">
            <v>-0.22550000000000001</v>
          </cell>
          <cell r="W307">
            <v>1.6355</v>
          </cell>
          <cell r="X307">
            <v>1.4309000000000001</v>
          </cell>
          <cell r="Z307">
            <v>-3.8</v>
          </cell>
          <cell r="AA307">
            <v>-3.7286000000000001</v>
          </cell>
          <cell r="AB307">
            <v>-4.6002999999999998</v>
          </cell>
          <cell r="AC307">
            <v>-2.8845000000000001</v>
          </cell>
          <cell r="AE307">
            <v>-5.5040499999999994</v>
          </cell>
          <cell r="AF307">
            <v>-3.7286000000000001</v>
          </cell>
          <cell r="AG307">
            <v>0.97070000000000001</v>
          </cell>
          <cell r="AH307">
            <v>2.2498999999999998</v>
          </cell>
          <cell r="AK307">
            <v>0.53</v>
          </cell>
          <cell r="AN307">
            <v>0.3</v>
          </cell>
          <cell r="AO307">
            <v>0.17</v>
          </cell>
          <cell r="AP307">
            <v>0</v>
          </cell>
          <cell r="AR307">
            <v>1</v>
          </cell>
          <cell r="AS307">
            <v>-4.3216790000000005</v>
          </cell>
          <cell r="AT307">
            <v>-4.3216790000000005</v>
          </cell>
          <cell r="AU307">
            <v>0.375</v>
          </cell>
          <cell r="AV307">
            <v>0.04</v>
          </cell>
          <cell r="AW307">
            <v>0.04</v>
          </cell>
          <cell r="AY307">
            <v>0.17</v>
          </cell>
          <cell r="BB307">
            <v>0.27500000000000002</v>
          </cell>
          <cell r="BD307">
            <v>0.1</v>
          </cell>
          <cell r="BE307">
            <v>1</v>
          </cell>
          <cell r="BF307">
            <v>-4.4034990000000001</v>
          </cell>
        </row>
        <row r="308">
          <cell r="A308">
            <v>36891</v>
          </cell>
          <cell r="B308">
            <v>0.4894</v>
          </cell>
          <cell r="C308">
            <v>-4.3297999999999996</v>
          </cell>
          <cell r="D308">
            <v>5.1459999999999999</v>
          </cell>
          <cell r="E308">
            <v>7.6501999999999999</v>
          </cell>
          <cell r="F308">
            <v>5.0735000000000001</v>
          </cell>
          <cell r="G308">
            <v>10.223000000000001</v>
          </cell>
          <cell r="H308">
            <v>8.5879999999999992</v>
          </cell>
          <cell r="I308">
            <v>6.1189999999999998</v>
          </cell>
          <cell r="J308">
            <v>10.744999999999999</v>
          </cell>
          <cell r="K308">
            <v>12.3188</v>
          </cell>
          <cell r="L308">
            <v>11.530099999999999</v>
          </cell>
          <cell r="M308">
            <v>12.8111</v>
          </cell>
          <cell r="N308">
            <v>8.5879999999999992</v>
          </cell>
          <cell r="O308">
            <v>6.1189999999999998</v>
          </cell>
          <cell r="P308">
            <v>10.744999999999999</v>
          </cell>
          <cell r="Q308">
            <v>6.2</v>
          </cell>
          <cell r="R308">
            <v>8.6129999999999995</v>
          </cell>
          <cell r="S308">
            <v>1.681</v>
          </cell>
          <cell r="U308">
            <v>3.4150999999999998</v>
          </cell>
          <cell r="V308">
            <v>0.44729999999999998</v>
          </cell>
          <cell r="W308">
            <v>1.8553999999999999</v>
          </cell>
          <cell r="X308">
            <v>1.7601</v>
          </cell>
          <cell r="Z308">
            <v>3.42</v>
          </cell>
          <cell r="AA308">
            <v>3.5777000000000001</v>
          </cell>
          <cell r="AB308">
            <v>1.8915</v>
          </cell>
          <cell r="AC308">
            <v>5.2055999999999996</v>
          </cell>
          <cell r="AE308">
            <v>0.83089999999999997</v>
          </cell>
          <cell r="AF308">
            <v>3.5777000000000001</v>
          </cell>
          <cell r="AG308">
            <v>0.97070000000000001</v>
          </cell>
          <cell r="AH308">
            <v>6.9505999999999997</v>
          </cell>
          <cell r="AK308">
            <v>0.53</v>
          </cell>
          <cell r="AN308">
            <v>0.3</v>
          </cell>
          <cell r="AO308">
            <v>0.17</v>
          </cell>
          <cell r="AP308">
            <v>0</v>
          </cell>
          <cell r="AR308">
            <v>1</v>
          </cell>
          <cell r="AS308">
            <v>1.4242110000000001</v>
          </cell>
          <cell r="AT308">
            <v>1.4242110000000001</v>
          </cell>
          <cell r="AU308">
            <v>0.375</v>
          </cell>
          <cell r="AV308">
            <v>0.04</v>
          </cell>
          <cell r="AW308">
            <v>0.04</v>
          </cell>
          <cell r="AY308">
            <v>0.17</v>
          </cell>
          <cell r="BB308">
            <v>0.27500000000000002</v>
          </cell>
          <cell r="BD308">
            <v>0.1</v>
          </cell>
          <cell r="BE308">
            <v>1</v>
          </cell>
          <cell r="BF308">
            <v>2.0345870000000001</v>
          </cell>
        </row>
        <row r="309">
          <cell r="A309">
            <v>36922</v>
          </cell>
          <cell r="B309">
            <v>3.5478999999999998</v>
          </cell>
          <cell r="C309">
            <v>2.8487</v>
          </cell>
          <cell r="D309">
            <v>4.2220000000000004</v>
          </cell>
          <cell r="E309">
            <v>2.2271000000000001</v>
          </cell>
          <cell r="F309">
            <v>6.9999999999999999E-4</v>
          </cell>
          <cell r="G309">
            <v>4.4569999999999999</v>
          </cell>
          <cell r="H309">
            <v>5.2060000000000004</v>
          </cell>
          <cell r="I309">
            <v>8.0939999999999994</v>
          </cell>
          <cell r="J309">
            <v>2.76</v>
          </cell>
          <cell r="K309">
            <v>4.2862</v>
          </cell>
          <cell r="L309">
            <v>4.8693</v>
          </cell>
          <cell r="M309">
            <v>3.8081</v>
          </cell>
          <cell r="N309">
            <v>5.2060000000000004</v>
          </cell>
          <cell r="O309">
            <v>8.0939999999999994</v>
          </cell>
          <cell r="P309">
            <v>2.76</v>
          </cell>
          <cell r="Q309">
            <v>6.4779999999999998</v>
          </cell>
          <cell r="R309">
            <v>3.286</v>
          </cell>
          <cell r="S309">
            <v>3.4209999999999998</v>
          </cell>
          <cell r="U309">
            <v>1.4999</v>
          </cell>
          <cell r="V309">
            <v>3.0139999999999998</v>
          </cell>
          <cell r="W309">
            <v>1.6346000000000001</v>
          </cell>
          <cell r="X309">
            <v>1.6062000000000001</v>
          </cell>
          <cell r="Z309">
            <v>-0.57999999999999996</v>
          </cell>
          <cell r="AA309">
            <v>-4.7100000000000003E-2</v>
          </cell>
          <cell r="AB309">
            <v>-0.28189999999999998</v>
          </cell>
          <cell r="AC309">
            <v>0.17380000000000001</v>
          </cell>
          <cell r="AE309">
            <v>3.0695749999999999</v>
          </cell>
          <cell r="AF309">
            <v>-4.7100000000000003E-2</v>
          </cell>
          <cell r="AG309">
            <v>1.0980000000000001</v>
          </cell>
          <cell r="AH309">
            <v>0.99550000000000005</v>
          </cell>
          <cell r="AK309">
            <v>0.53</v>
          </cell>
          <cell r="AN309">
            <v>0.3</v>
          </cell>
          <cell r="AO309">
            <v>0.17</v>
          </cell>
          <cell r="AP309">
            <v>0</v>
          </cell>
          <cell r="AR309">
            <v>1</v>
          </cell>
          <cell r="AS309">
            <v>2.3627599999999997</v>
          </cell>
          <cell r="AT309">
            <v>2.3627599999999997</v>
          </cell>
          <cell r="AU309">
            <v>0.375</v>
          </cell>
          <cell r="AV309">
            <v>0.04</v>
          </cell>
          <cell r="AW309">
            <v>0.04</v>
          </cell>
          <cell r="AY309">
            <v>0.17</v>
          </cell>
          <cell r="BB309">
            <v>0.27500000000000002</v>
          </cell>
          <cell r="BD309">
            <v>0.1</v>
          </cell>
          <cell r="BE309">
            <v>1</v>
          </cell>
          <cell r="BF309">
            <v>2.376252</v>
          </cell>
        </row>
        <row r="310">
          <cell r="A310">
            <v>36950</v>
          </cell>
          <cell r="B310">
            <v>-9.1181999999999999</v>
          </cell>
          <cell r="C310">
            <v>-11.7499</v>
          </cell>
          <cell r="D310">
            <v>-6.6280000000000001</v>
          </cell>
          <cell r="E310">
            <v>-5.7068000000000003</v>
          </cell>
          <cell r="F310">
            <v>-8.2098999999999993</v>
          </cell>
          <cell r="G310">
            <v>-3.3090000000000002</v>
          </cell>
          <cell r="H310">
            <v>-6.5609999999999999</v>
          </cell>
          <cell r="I310">
            <v>-13.708</v>
          </cell>
          <cell r="J310">
            <v>-0.13800000000000001</v>
          </cell>
          <cell r="K310">
            <v>-6.1021999999999998</v>
          </cell>
          <cell r="L310">
            <v>-8.5679999999999996</v>
          </cell>
          <cell r="M310">
            <v>-4.1691000000000003</v>
          </cell>
          <cell r="N310">
            <v>-6.5609999999999999</v>
          </cell>
          <cell r="O310">
            <v>-13.708</v>
          </cell>
          <cell r="P310">
            <v>-0.13800000000000001</v>
          </cell>
          <cell r="Q310">
            <v>-15.43</v>
          </cell>
          <cell r="R310">
            <v>-6.4390000000000001</v>
          </cell>
          <cell r="S310">
            <v>-9.1370000000000005</v>
          </cell>
          <cell r="U310">
            <v>-7.9169999999999998</v>
          </cell>
          <cell r="V310">
            <v>-1.99</v>
          </cell>
          <cell r="W310">
            <v>0.87129999999999996</v>
          </cell>
          <cell r="X310">
            <v>0.79039999999999999</v>
          </cell>
          <cell r="Z310">
            <v>-2.42</v>
          </cell>
          <cell r="AA310">
            <v>-7.4894999999999996</v>
          </cell>
          <cell r="AB310">
            <v>-10.142300000000001</v>
          </cell>
          <cell r="AC310">
            <v>-5.0157999999999996</v>
          </cell>
          <cell r="AE310">
            <v>-6.6208249999999991</v>
          </cell>
          <cell r="AF310">
            <v>-7.4894999999999996</v>
          </cell>
          <cell r="AG310">
            <v>1.0980000000000001</v>
          </cell>
          <cell r="AH310">
            <v>-2.0825999999999998</v>
          </cell>
          <cell r="AK310">
            <v>0.53</v>
          </cell>
          <cell r="AN310">
            <v>0.3</v>
          </cell>
          <cell r="AO310">
            <v>0.17</v>
          </cell>
          <cell r="AP310">
            <v>0</v>
          </cell>
          <cell r="AR310">
            <v>1</v>
          </cell>
          <cell r="AS310">
            <v>-5.8444710000000004</v>
          </cell>
          <cell r="AT310">
            <v>-5.8444710000000004</v>
          </cell>
          <cell r="AU310">
            <v>0.375</v>
          </cell>
          <cell r="AV310">
            <v>0.04</v>
          </cell>
          <cell r="AW310">
            <v>0.04</v>
          </cell>
          <cell r="AY310">
            <v>0.17</v>
          </cell>
          <cell r="BB310">
            <v>0.27500000000000002</v>
          </cell>
          <cell r="BD310">
            <v>0.1</v>
          </cell>
          <cell r="BE310">
            <v>1</v>
          </cell>
          <cell r="BF310">
            <v>-5.6057269999999999</v>
          </cell>
        </row>
        <row r="311">
          <cell r="A311">
            <v>36981</v>
          </cell>
          <cell r="B311">
            <v>-6.335</v>
          </cell>
          <cell r="C311">
            <v>-9.0113000000000003</v>
          </cell>
          <cell r="D311">
            <v>-3.9470000000000001</v>
          </cell>
          <cell r="E311">
            <v>-7.4348000000000001</v>
          </cell>
          <cell r="F311">
            <v>-10.828099999999999</v>
          </cell>
          <cell r="G311">
            <v>-4.4029999999999996</v>
          </cell>
          <cell r="H311">
            <v>-4.8920000000000003</v>
          </cell>
          <cell r="I311">
            <v>-9.0920000000000005</v>
          </cell>
          <cell r="J311">
            <v>-1.6040000000000001</v>
          </cell>
          <cell r="K311">
            <v>-4.5857999999999999</v>
          </cell>
          <cell r="L311">
            <v>-6.1359000000000004</v>
          </cell>
          <cell r="M311">
            <v>-3.4176000000000002</v>
          </cell>
          <cell r="N311">
            <v>-4.8920000000000003</v>
          </cell>
          <cell r="O311">
            <v>-9.0920000000000005</v>
          </cell>
          <cell r="P311">
            <v>-1.6040000000000001</v>
          </cell>
          <cell r="Q311">
            <v>-11.064</v>
          </cell>
          <cell r="R311">
            <v>-5.4859999999999998</v>
          </cell>
          <cell r="S311">
            <v>-6.5190000000000001</v>
          </cell>
          <cell r="U311">
            <v>-7.0686</v>
          </cell>
          <cell r="V311">
            <v>-7.5472000000000001</v>
          </cell>
          <cell r="W311">
            <v>0.50180000000000002</v>
          </cell>
          <cell r="X311">
            <v>0.67469999999999997</v>
          </cell>
          <cell r="Z311">
            <v>-1.94</v>
          </cell>
          <cell r="AA311">
            <v>-6.6211000000000002</v>
          </cell>
          <cell r="AB311">
            <v>-6.8728999999999996</v>
          </cell>
          <cell r="AC311">
            <v>-6.3780000000000001</v>
          </cell>
          <cell r="AE311">
            <v>-4.6257999999999999</v>
          </cell>
          <cell r="AF311">
            <v>-6.6211000000000002</v>
          </cell>
          <cell r="AG311">
            <v>1.0980000000000001</v>
          </cell>
          <cell r="AH311">
            <v>7.7399999999999997E-2</v>
          </cell>
          <cell r="AK311">
            <v>0.53</v>
          </cell>
          <cell r="AN311">
            <v>0.3</v>
          </cell>
          <cell r="AO311">
            <v>0.17</v>
          </cell>
          <cell r="AP311">
            <v>0</v>
          </cell>
          <cell r="AR311">
            <v>1</v>
          </cell>
          <cell r="AS311">
            <v>-4.3325970000000007</v>
          </cell>
          <cell r="AT311">
            <v>-4.3325970000000007</v>
          </cell>
          <cell r="AU311">
            <v>0.375</v>
          </cell>
          <cell r="AV311">
            <v>0.04</v>
          </cell>
          <cell r="AW311">
            <v>0.04</v>
          </cell>
          <cell r="AY311">
            <v>0.17</v>
          </cell>
          <cell r="BB311">
            <v>0.27500000000000002</v>
          </cell>
          <cell r="BD311">
            <v>0.1</v>
          </cell>
          <cell r="BE311">
            <v>1</v>
          </cell>
          <cell r="BF311">
            <v>-4.3188689999999994</v>
          </cell>
        </row>
        <row r="312">
          <cell r="A312">
            <v>37011</v>
          </cell>
          <cell r="B312">
            <v>7.7710999999999997</v>
          </cell>
          <cell r="C312">
            <v>8.9356000000000009</v>
          </cell>
          <cell r="D312">
            <v>6.7839999999999998</v>
          </cell>
          <cell r="E312">
            <v>11.031599999999999</v>
          </cell>
          <cell r="F312">
            <v>13.523300000000001</v>
          </cell>
          <cell r="G312">
            <v>9.0470000000000006</v>
          </cell>
          <cell r="H312">
            <v>7.8230000000000004</v>
          </cell>
          <cell r="I312">
            <v>12.243</v>
          </cell>
          <cell r="J312">
            <v>4.6289999999999996</v>
          </cell>
          <cell r="K312">
            <v>7.6220999999999997</v>
          </cell>
          <cell r="L312">
            <v>10.0396</v>
          </cell>
          <cell r="M312">
            <v>5.8659999999999997</v>
          </cell>
          <cell r="N312">
            <v>7.8230000000000004</v>
          </cell>
          <cell r="O312">
            <v>12.243</v>
          </cell>
          <cell r="P312">
            <v>4.6289999999999996</v>
          </cell>
          <cell r="Q312">
            <v>15.242000000000001</v>
          </cell>
          <cell r="R312">
            <v>8.8309999999999995</v>
          </cell>
          <cell r="S312">
            <v>8.02</v>
          </cell>
          <cell r="U312">
            <v>6.8013000000000003</v>
          </cell>
          <cell r="V312">
            <v>8.5886999999999993</v>
          </cell>
          <cell r="W312">
            <v>-0.41510000000000002</v>
          </cell>
          <cell r="X312">
            <v>-8.4000000000000005E-2</v>
          </cell>
          <cell r="Z312">
            <v>0.77</v>
          </cell>
          <cell r="AA312">
            <v>7.0137</v>
          </cell>
          <cell r="AB312">
            <v>6.9062000000000001</v>
          </cell>
          <cell r="AC312">
            <v>7.1155999999999997</v>
          </cell>
          <cell r="AE312">
            <v>5.7245499999999998</v>
          </cell>
          <cell r="AF312">
            <v>7.0137</v>
          </cell>
          <cell r="AG312">
            <v>0.78080000000000005</v>
          </cell>
          <cell r="AH312">
            <v>2.3883000000000001</v>
          </cell>
          <cell r="AK312">
            <v>0.53</v>
          </cell>
          <cell r="AN312">
            <v>0.3</v>
          </cell>
          <cell r="AO312">
            <v>0.17</v>
          </cell>
          <cell r="AP312">
            <v>0</v>
          </cell>
          <cell r="AR312">
            <v>1</v>
          </cell>
          <cell r="AS312">
            <v>5.1864819999999998</v>
          </cell>
          <cell r="AT312">
            <v>5.1864819999999998</v>
          </cell>
          <cell r="AU312">
            <v>0.375</v>
          </cell>
          <cell r="AV312">
            <v>0.04</v>
          </cell>
          <cell r="AW312">
            <v>0.04</v>
          </cell>
          <cell r="AY312">
            <v>0.17</v>
          </cell>
          <cell r="BB312">
            <v>0.27500000000000002</v>
          </cell>
          <cell r="BD312">
            <v>0.1</v>
          </cell>
          <cell r="BE312">
            <v>1</v>
          </cell>
          <cell r="BF312">
            <v>5.3189779999999995</v>
          </cell>
        </row>
        <row r="313">
          <cell r="A313">
            <v>37042</v>
          </cell>
          <cell r="B313">
            <v>0.67</v>
          </cell>
          <cell r="C313">
            <v>0.23730000000000001</v>
          </cell>
          <cell r="D313">
            <v>1.046</v>
          </cell>
          <cell r="E313">
            <v>2.3289</v>
          </cell>
          <cell r="F313">
            <v>2.7534999999999998</v>
          </cell>
          <cell r="G313">
            <v>1.9790000000000001</v>
          </cell>
          <cell r="H313">
            <v>2.4580000000000002</v>
          </cell>
          <cell r="I313">
            <v>2.3159999999999998</v>
          </cell>
          <cell r="J313">
            <v>2.5710000000000002</v>
          </cell>
          <cell r="K313">
            <v>1.913</v>
          </cell>
          <cell r="L313">
            <v>1.3985000000000001</v>
          </cell>
          <cell r="M313">
            <v>2.3069999999999999</v>
          </cell>
          <cell r="N313">
            <v>2.4580000000000002</v>
          </cell>
          <cell r="O313">
            <v>2.3159999999999998</v>
          </cell>
          <cell r="P313">
            <v>2.5710000000000002</v>
          </cell>
          <cell r="Q313">
            <v>2.8969999999999998</v>
          </cell>
          <cell r="R313">
            <v>3.008</v>
          </cell>
          <cell r="S313">
            <v>0.80300000000000005</v>
          </cell>
          <cell r="U313">
            <v>-2.7614999999999998</v>
          </cell>
          <cell r="V313">
            <v>-0.15590000000000001</v>
          </cell>
          <cell r="W313">
            <v>0.60409999999999997</v>
          </cell>
          <cell r="X313">
            <v>0.60340000000000005</v>
          </cell>
          <cell r="Z313">
            <v>0.4</v>
          </cell>
          <cell r="AA313">
            <v>-3.45</v>
          </cell>
          <cell r="AB313">
            <v>-3.9910999999999999</v>
          </cell>
          <cell r="AC313">
            <v>-2.9392</v>
          </cell>
          <cell r="AE313">
            <v>0.65352500000000002</v>
          </cell>
          <cell r="AF313">
            <v>-3.45</v>
          </cell>
          <cell r="AG313">
            <v>0.78080000000000005</v>
          </cell>
          <cell r="AH313">
            <v>2.7961</v>
          </cell>
          <cell r="AK313">
            <v>0.53</v>
          </cell>
          <cell r="AN313">
            <v>0.3</v>
          </cell>
          <cell r="AO313">
            <v>0.17</v>
          </cell>
          <cell r="AP313">
            <v>0</v>
          </cell>
          <cell r="AR313">
            <v>1</v>
          </cell>
          <cell r="AS313">
            <v>-5.0170000000000048E-2</v>
          </cell>
          <cell r="AT313">
            <v>-5.0170000000000048E-2</v>
          </cell>
          <cell r="AU313">
            <v>0.375</v>
          </cell>
          <cell r="AV313">
            <v>0.04</v>
          </cell>
          <cell r="AW313">
            <v>0.04</v>
          </cell>
          <cell r="AY313">
            <v>0.17</v>
          </cell>
          <cell r="BB313">
            <v>0.27500000000000002</v>
          </cell>
          <cell r="BD313">
            <v>0.1</v>
          </cell>
          <cell r="BE313">
            <v>1</v>
          </cell>
          <cell r="BF313">
            <v>8.7706000000000062E-2</v>
          </cell>
        </row>
        <row r="314">
          <cell r="A314">
            <v>37072</v>
          </cell>
          <cell r="B314">
            <v>-2.4339</v>
          </cell>
          <cell r="C314">
            <v>-1.3561000000000001</v>
          </cell>
          <cell r="D314">
            <v>-3.2389999999999999</v>
          </cell>
          <cell r="E314">
            <v>-0.4037</v>
          </cell>
          <cell r="F314">
            <v>-0.93530000000000002</v>
          </cell>
          <cell r="G314">
            <v>0.158</v>
          </cell>
          <cell r="H314">
            <v>3.4529999999999998</v>
          </cell>
          <cell r="I314">
            <v>2.7269999999999999</v>
          </cell>
          <cell r="J314">
            <v>4.0229999999999997</v>
          </cell>
          <cell r="K314">
            <v>3.6650999999999998</v>
          </cell>
          <cell r="L314">
            <v>3.0125000000000002</v>
          </cell>
          <cell r="M314">
            <v>4.1481000000000003</v>
          </cell>
          <cell r="N314">
            <v>3.4529999999999998</v>
          </cell>
          <cell r="O314">
            <v>2.7269999999999999</v>
          </cell>
          <cell r="P314">
            <v>4.0229999999999997</v>
          </cell>
          <cell r="Q314">
            <v>2.2650000000000001</v>
          </cell>
          <cell r="R314">
            <v>1.42</v>
          </cell>
          <cell r="S314">
            <v>-1.8440000000000001</v>
          </cell>
          <cell r="U314">
            <v>-3.8353000000000002</v>
          </cell>
          <cell r="V314">
            <v>-2.9278</v>
          </cell>
          <cell r="W314">
            <v>0.37730000000000002</v>
          </cell>
          <cell r="X314">
            <v>0.29909999999999998</v>
          </cell>
          <cell r="Z314">
            <v>0.42</v>
          </cell>
          <cell r="AA314">
            <v>-4.0522999999999998</v>
          </cell>
          <cell r="AB314">
            <v>-4.8362999999999996</v>
          </cell>
          <cell r="AC314">
            <v>-3.3195999999999999</v>
          </cell>
          <cell r="AE314">
            <v>-1.7311000000000001</v>
          </cell>
          <cell r="AF314">
            <v>-4.0522999999999998</v>
          </cell>
          <cell r="AG314">
            <v>0.78080000000000005</v>
          </cell>
          <cell r="AH314">
            <v>5.3666</v>
          </cell>
          <cell r="AK314">
            <v>0.53</v>
          </cell>
          <cell r="AN314">
            <v>0.3</v>
          </cell>
          <cell r="AO314">
            <v>0.17</v>
          </cell>
          <cell r="AP314">
            <v>0</v>
          </cell>
          <cell r="AR314">
            <v>1</v>
          </cell>
          <cell r="AS314">
            <v>-1.8656680000000003</v>
          </cell>
          <cell r="AT314">
            <v>-1.8656680000000003</v>
          </cell>
          <cell r="AU314">
            <v>0.375</v>
          </cell>
          <cell r="AV314">
            <v>0.04</v>
          </cell>
          <cell r="AW314">
            <v>0.04</v>
          </cell>
          <cell r="AY314">
            <v>0.17</v>
          </cell>
          <cell r="BB314">
            <v>0.27500000000000002</v>
          </cell>
          <cell r="BD314">
            <v>0.1</v>
          </cell>
          <cell r="BE314">
            <v>1</v>
          </cell>
          <cell r="BF314">
            <v>-1.5489840000000001</v>
          </cell>
        </row>
        <row r="315">
          <cell r="A315">
            <v>37103</v>
          </cell>
          <cell r="B315">
            <v>-0.98440000000000005</v>
          </cell>
          <cell r="C315">
            <v>-0.26250000000000001</v>
          </cell>
          <cell r="D315">
            <v>-1.7290000000000001</v>
          </cell>
          <cell r="E315">
            <v>-1.4897</v>
          </cell>
          <cell r="F315">
            <v>-2.9742999999999999</v>
          </cell>
          <cell r="G315">
            <v>0.01</v>
          </cell>
          <cell r="H315">
            <v>-5.4130000000000003</v>
          </cell>
          <cell r="I315">
            <v>-8.5310000000000006</v>
          </cell>
          <cell r="J315">
            <v>-2.242</v>
          </cell>
          <cell r="K315">
            <v>-1.6718999999999999</v>
          </cell>
          <cell r="L315">
            <v>-2.5265</v>
          </cell>
          <cell r="M315">
            <v>-0.7722</v>
          </cell>
          <cell r="N315">
            <v>-5.4130000000000003</v>
          </cell>
          <cell r="O315">
            <v>-8.5310000000000006</v>
          </cell>
          <cell r="P315">
            <v>-2.242</v>
          </cell>
          <cell r="Q315">
            <v>-7.3730000000000002</v>
          </cell>
          <cell r="R315">
            <v>-3.5760000000000001</v>
          </cell>
          <cell r="S315">
            <v>-1.6479999999999999</v>
          </cell>
          <cell r="U315">
            <v>-2.2248999999999999</v>
          </cell>
          <cell r="V315">
            <v>-4.1032000000000002</v>
          </cell>
          <cell r="W315">
            <v>2.2357</v>
          </cell>
          <cell r="X315">
            <v>1.9631000000000001</v>
          </cell>
          <cell r="Z315">
            <v>-0.72</v>
          </cell>
          <cell r="AA315">
            <v>-1.8115000000000001</v>
          </cell>
          <cell r="AB315">
            <v>-2.4213</v>
          </cell>
          <cell r="AC315">
            <v>-1.2523</v>
          </cell>
          <cell r="AE315">
            <v>-0.17937500000000006</v>
          </cell>
          <cell r="AF315">
            <v>-1.8115000000000001</v>
          </cell>
          <cell r="AG315">
            <v>0.81789999999999996</v>
          </cell>
          <cell r="AH315">
            <v>-1.9954000000000001</v>
          </cell>
          <cell r="AK315">
            <v>0.53</v>
          </cell>
          <cell r="AN315">
            <v>0.3</v>
          </cell>
          <cell r="AO315">
            <v>0.17</v>
          </cell>
          <cell r="AP315">
            <v>0</v>
          </cell>
          <cell r="AR315">
            <v>1</v>
          </cell>
          <cell r="AS315">
            <v>-0.15897700000000009</v>
          </cell>
          <cell r="AT315">
            <v>-0.15897700000000009</v>
          </cell>
          <cell r="AU315">
            <v>0.375</v>
          </cell>
          <cell r="AV315">
            <v>0.04</v>
          </cell>
          <cell r="AW315">
            <v>0.04</v>
          </cell>
          <cell r="AY315">
            <v>0.17</v>
          </cell>
          <cell r="BB315">
            <v>0.27500000000000002</v>
          </cell>
          <cell r="BD315">
            <v>0.1</v>
          </cell>
          <cell r="BE315">
            <v>1</v>
          </cell>
          <cell r="BF315">
            <v>-0.35633300000000007</v>
          </cell>
        </row>
        <row r="316">
          <cell r="A316">
            <v>37134</v>
          </cell>
          <cell r="B316">
            <v>-6.2602000000000002</v>
          </cell>
          <cell r="C316">
            <v>-6.7148000000000003</v>
          </cell>
          <cell r="D316">
            <v>-5.78</v>
          </cell>
          <cell r="E316">
            <v>-3.2707999999999999</v>
          </cell>
          <cell r="F316">
            <v>-4.5575000000000001</v>
          </cell>
          <cell r="G316">
            <v>-2.0270000000000001</v>
          </cell>
          <cell r="H316">
            <v>-3.23</v>
          </cell>
          <cell r="I316">
            <v>-6.2450000000000001</v>
          </cell>
          <cell r="J316">
            <v>-0.34599999999999997</v>
          </cell>
          <cell r="K316">
            <v>-2.2797999999999998</v>
          </cell>
          <cell r="L316">
            <v>-3.5985999999999998</v>
          </cell>
          <cell r="M316">
            <v>-0.95740000000000003</v>
          </cell>
          <cell r="N316">
            <v>-3.23</v>
          </cell>
          <cell r="O316">
            <v>-6.2450000000000001</v>
          </cell>
          <cell r="P316">
            <v>-0.34599999999999997</v>
          </cell>
          <cell r="Q316">
            <v>-6.6520000000000001</v>
          </cell>
          <cell r="R316">
            <v>-3.2770000000000001</v>
          </cell>
          <cell r="S316">
            <v>-5.9039999999999999</v>
          </cell>
          <cell r="U316">
            <v>-2.4836</v>
          </cell>
          <cell r="V316">
            <v>1.0932999999999999</v>
          </cell>
          <cell r="W316">
            <v>1.1457999999999999</v>
          </cell>
          <cell r="X316">
            <v>0.96679999999999999</v>
          </cell>
          <cell r="Z316">
            <v>0.45</v>
          </cell>
          <cell r="AA316">
            <v>-2.5124</v>
          </cell>
          <cell r="AB316">
            <v>-4.5541</v>
          </cell>
          <cell r="AC316">
            <v>-0.63870000000000005</v>
          </cell>
          <cell r="AE316">
            <v>-4.4086999999999996</v>
          </cell>
          <cell r="AF316">
            <v>-2.5124</v>
          </cell>
          <cell r="AG316">
            <v>0.81789999999999996</v>
          </cell>
          <cell r="AH316">
            <v>3.4931000000000001</v>
          </cell>
          <cell r="AK316">
            <v>0.53</v>
          </cell>
          <cell r="AN316">
            <v>0.3</v>
          </cell>
          <cell r="AO316">
            <v>0.17</v>
          </cell>
          <cell r="AP316">
            <v>0</v>
          </cell>
          <cell r="AR316">
            <v>1</v>
          </cell>
          <cell r="AS316">
            <v>-3.4012740000000004</v>
          </cell>
          <cell r="AT316">
            <v>-3.4012740000000004</v>
          </cell>
          <cell r="AU316">
            <v>0.375</v>
          </cell>
          <cell r="AV316">
            <v>0.04</v>
          </cell>
          <cell r="AW316">
            <v>0.04</v>
          </cell>
          <cell r="AY316">
            <v>0.17</v>
          </cell>
          <cell r="BB316">
            <v>0.27500000000000002</v>
          </cell>
          <cell r="BD316">
            <v>0.1</v>
          </cell>
          <cell r="BE316">
            <v>1</v>
          </cell>
          <cell r="BF316">
            <v>-3.1604899999999998</v>
          </cell>
        </row>
        <row r="317">
          <cell r="A317">
            <v>37164</v>
          </cell>
          <cell r="B317">
            <v>-8.0752000000000006</v>
          </cell>
          <cell r="C317">
            <v>-6.7110000000000003</v>
          </cell>
          <cell r="D317">
            <v>-9.4990000000000006</v>
          </cell>
          <cell r="E317">
            <v>-12.438700000000001</v>
          </cell>
          <cell r="F317">
            <v>-13.7844</v>
          </cell>
          <cell r="G317">
            <v>-11.221</v>
          </cell>
          <cell r="H317">
            <v>-13.461</v>
          </cell>
          <cell r="I317">
            <v>-16.135000000000002</v>
          </cell>
          <cell r="J317">
            <v>-11.039</v>
          </cell>
          <cell r="K317">
            <v>-13.5185</v>
          </cell>
          <cell r="L317">
            <v>-14.2408</v>
          </cell>
          <cell r="M317">
            <v>-12.818300000000001</v>
          </cell>
          <cell r="N317">
            <v>-13.461</v>
          </cell>
          <cell r="O317">
            <v>-16.135000000000002</v>
          </cell>
          <cell r="P317">
            <v>-11.039</v>
          </cell>
          <cell r="Q317">
            <v>-15.659000000000001</v>
          </cell>
          <cell r="R317">
            <v>-12.941000000000001</v>
          </cell>
          <cell r="S317">
            <v>-8.8230000000000004</v>
          </cell>
          <cell r="U317">
            <v>-10.6089</v>
          </cell>
          <cell r="V317">
            <v>-13.343299999999999</v>
          </cell>
          <cell r="W317">
            <v>1.1647000000000001</v>
          </cell>
          <cell r="X317">
            <v>1.4993000000000001</v>
          </cell>
          <cell r="Z317">
            <v>-1.57</v>
          </cell>
          <cell r="AA317">
            <v>-10.1061</v>
          </cell>
          <cell r="AB317">
            <v>-9.4415999999999993</v>
          </cell>
          <cell r="AC317">
            <v>-10.7067</v>
          </cell>
          <cell r="AE317">
            <v>-5.765225</v>
          </cell>
          <cell r="AF317">
            <v>-10.1061</v>
          </cell>
          <cell r="AG317">
            <v>0.81789999999999996</v>
          </cell>
          <cell r="AH317">
            <v>-5.9295999999999998</v>
          </cell>
          <cell r="AK317">
            <v>0.53</v>
          </cell>
          <cell r="AN317">
            <v>0.3</v>
          </cell>
          <cell r="AO317">
            <v>0.17</v>
          </cell>
          <cell r="AP317">
            <v>0</v>
          </cell>
          <cell r="AR317">
            <v>1</v>
          </cell>
          <cell r="AS317">
            <v>-5.6484830000000006</v>
          </cell>
          <cell r="AT317">
            <v>-5.6484830000000006</v>
          </cell>
          <cell r="AU317">
            <v>0.375</v>
          </cell>
          <cell r="AV317">
            <v>0.04</v>
          </cell>
          <cell r="AW317">
            <v>0.04</v>
          </cell>
          <cell r="AY317">
            <v>0.17</v>
          </cell>
          <cell r="BB317">
            <v>0.27500000000000002</v>
          </cell>
          <cell r="BD317">
            <v>0.1</v>
          </cell>
          <cell r="BE317">
            <v>1</v>
          </cell>
          <cell r="BF317">
            <v>-6.0384549999999999</v>
          </cell>
        </row>
        <row r="318">
          <cell r="A318">
            <v>37195</v>
          </cell>
          <cell r="B318">
            <v>1.9069</v>
          </cell>
          <cell r="C318">
            <v>3.6781999999999999</v>
          </cell>
          <cell r="D318">
            <v>0</v>
          </cell>
          <cell r="E318">
            <v>4.4234999999999998</v>
          </cell>
          <cell r="F318">
            <v>7.6609999999999996</v>
          </cell>
          <cell r="G318">
            <v>1.57</v>
          </cell>
          <cell r="H318">
            <v>5.8520000000000003</v>
          </cell>
          <cell r="I318">
            <v>9.6199999999999992</v>
          </cell>
          <cell r="J318">
            <v>2.6120000000000001</v>
          </cell>
          <cell r="K318">
            <v>5.3326000000000002</v>
          </cell>
          <cell r="L318">
            <v>7.2714999999999996</v>
          </cell>
          <cell r="M318">
            <v>3.4647000000000001</v>
          </cell>
          <cell r="N318">
            <v>5.8520000000000003</v>
          </cell>
          <cell r="O318">
            <v>9.6199999999999992</v>
          </cell>
          <cell r="P318">
            <v>2.6120000000000001</v>
          </cell>
          <cell r="Q318">
            <v>9.8620000000000001</v>
          </cell>
          <cell r="R318">
            <v>5.1710000000000003</v>
          </cell>
          <cell r="S318">
            <v>2.327</v>
          </cell>
          <cell r="U318">
            <v>2.8018000000000001</v>
          </cell>
          <cell r="V318">
            <v>5.1169000000000002</v>
          </cell>
          <cell r="W318">
            <v>2.093</v>
          </cell>
          <cell r="X318">
            <v>1.5436000000000001</v>
          </cell>
          <cell r="Z318">
            <v>-0.8</v>
          </cell>
          <cell r="AA318">
            <v>2.5571000000000002</v>
          </cell>
          <cell r="AB318">
            <v>3.9811999999999999</v>
          </cell>
          <cell r="AC318">
            <v>1.2553000000000001</v>
          </cell>
          <cell r="AE318">
            <v>1.953425</v>
          </cell>
          <cell r="AF318">
            <v>2.5571000000000002</v>
          </cell>
          <cell r="AG318">
            <v>0.52910000000000001</v>
          </cell>
          <cell r="AH318">
            <v>-3.7391000000000001</v>
          </cell>
          <cell r="AK318">
            <v>0.53</v>
          </cell>
          <cell r="AN318">
            <v>0.3</v>
          </cell>
          <cell r="AO318">
            <v>0.17</v>
          </cell>
          <cell r="AP318">
            <v>0</v>
          </cell>
          <cell r="AR318">
            <v>1</v>
          </cell>
          <cell r="AS318">
            <v>2.073264</v>
          </cell>
          <cell r="AT318">
            <v>2.073264</v>
          </cell>
          <cell r="AU318">
            <v>0.375</v>
          </cell>
          <cell r="AV318">
            <v>0.04</v>
          </cell>
          <cell r="AW318">
            <v>0.04</v>
          </cell>
          <cell r="AY318">
            <v>0.17</v>
          </cell>
          <cell r="BB318">
            <v>0.27500000000000002</v>
          </cell>
          <cell r="BD318">
            <v>0.1</v>
          </cell>
          <cell r="BE318">
            <v>1</v>
          </cell>
          <cell r="BF318">
            <v>2.3317320000000006</v>
          </cell>
        </row>
        <row r="319">
          <cell r="A319">
            <v>37225</v>
          </cell>
          <cell r="B319">
            <v>7.6706000000000003</v>
          </cell>
          <cell r="C319">
            <v>8.8574999999999999</v>
          </cell>
          <cell r="D319">
            <v>6.3460000000000001</v>
          </cell>
          <cell r="E319">
            <v>7.4390000000000001</v>
          </cell>
          <cell r="F319">
            <v>8.8958999999999993</v>
          </cell>
          <cell r="G319">
            <v>6.0780000000000003</v>
          </cell>
          <cell r="H319">
            <v>7.742</v>
          </cell>
          <cell r="I319">
            <v>8.3469999999999995</v>
          </cell>
          <cell r="J319">
            <v>7.1859999999999999</v>
          </cell>
          <cell r="K319">
            <v>7.3151999999999999</v>
          </cell>
          <cell r="L319">
            <v>6.9718</v>
          </cell>
          <cell r="M319">
            <v>7.6577999999999999</v>
          </cell>
          <cell r="N319">
            <v>7.742</v>
          </cell>
          <cell r="O319">
            <v>8.3469999999999995</v>
          </cell>
          <cell r="P319">
            <v>7.1859999999999999</v>
          </cell>
          <cell r="Q319">
            <v>8.6419999999999995</v>
          </cell>
          <cell r="R319">
            <v>8.0879999999999992</v>
          </cell>
          <cell r="S319">
            <v>7.702</v>
          </cell>
          <cell r="U319">
            <v>4.5738000000000003</v>
          </cell>
          <cell r="V319">
            <v>3.8603000000000001</v>
          </cell>
          <cell r="W319">
            <v>-1.3789</v>
          </cell>
          <cell r="X319">
            <v>-0.98760000000000003</v>
          </cell>
          <cell r="Z319">
            <v>1.1000000000000001</v>
          </cell>
          <cell r="AA319">
            <v>3.6926999999999999</v>
          </cell>
          <cell r="AB319">
            <v>5.1437999999999997</v>
          </cell>
          <cell r="AC319">
            <v>2.3306</v>
          </cell>
          <cell r="AE319">
            <v>5.4082249999999998</v>
          </cell>
          <cell r="AF319">
            <v>3.6926999999999999</v>
          </cell>
          <cell r="AG319">
            <v>0.52910000000000001</v>
          </cell>
          <cell r="AH319">
            <v>6.4772999999999996</v>
          </cell>
          <cell r="AK319">
            <v>0.53</v>
          </cell>
          <cell r="AN319">
            <v>0.3</v>
          </cell>
          <cell r="AO319">
            <v>0.17</v>
          </cell>
          <cell r="AP319">
            <v>0</v>
          </cell>
          <cell r="AR319">
            <v>1</v>
          </cell>
          <cell r="AS319">
            <v>4.2795070000000006</v>
          </cell>
          <cell r="AT319">
            <v>4.2795070000000006</v>
          </cell>
          <cell r="AU319">
            <v>0.375</v>
          </cell>
          <cell r="AV319">
            <v>0.04</v>
          </cell>
          <cell r="AW319">
            <v>0.04</v>
          </cell>
          <cell r="AY319">
            <v>0.17</v>
          </cell>
          <cell r="BB319">
            <v>0.27500000000000002</v>
          </cell>
          <cell r="BD319">
            <v>0.1</v>
          </cell>
          <cell r="BE319">
            <v>1</v>
          </cell>
          <cell r="BF319">
            <v>4.2730990000000002</v>
          </cell>
        </row>
        <row r="320">
          <cell r="A320">
            <v>37256</v>
          </cell>
          <cell r="B320">
            <v>0.87609999999999999</v>
          </cell>
          <cell r="C320">
            <v>0.1452</v>
          </cell>
          <cell r="D320">
            <v>1.5209999999999999</v>
          </cell>
          <cell r="E320">
            <v>5.1658999999999997</v>
          </cell>
          <cell r="F320">
            <v>3.9487000000000001</v>
          </cell>
          <cell r="G320">
            <v>6.2960000000000003</v>
          </cell>
          <cell r="H320">
            <v>6.1719999999999997</v>
          </cell>
          <cell r="I320">
            <v>6.226</v>
          </cell>
          <cell r="J320">
            <v>6.1230000000000002</v>
          </cell>
          <cell r="K320">
            <v>6.7667000000000002</v>
          </cell>
          <cell r="L320">
            <v>7.6634000000000002</v>
          </cell>
          <cell r="M320">
            <v>5.8685999999999998</v>
          </cell>
          <cell r="N320">
            <v>6.1719999999999997</v>
          </cell>
          <cell r="O320">
            <v>6.226</v>
          </cell>
          <cell r="P320">
            <v>6.1230000000000002</v>
          </cell>
          <cell r="Q320">
            <v>5.4850000000000003</v>
          </cell>
          <cell r="R320">
            <v>5.6059999999999999</v>
          </cell>
          <cell r="S320">
            <v>1.409</v>
          </cell>
          <cell r="U320">
            <v>1.2883</v>
          </cell>
          <cell r="V320">
            <v>-2.4539</v>
          </cell>
          <cell r="W320">
            <v>-0.63570000000000004</v>
          </cell>
          <cell r="X320">
            <v>-0.48149999999999998</v>
          </cell>
          <cell r="Z320">
            <v>1.24</v>
          </cell>
          <cell r="AA320">
            <v>0.59609999999999996</v>
          </cell>
          <cell r="AB320">
            <v>0.58079999999999998</v>
          </cell>
          <cell r="AC320">
            <v>0.61099999999999999</v>
          </cell>
          <cell r="AE320">
            <v>0.49814999999999998</v>
          </cell>
          <cell r="AF320">
            <v>0.59609999999999996</v>
          </cell>
          <cell r="AG320">
            <v>0.52910000000000001</v>
          </cell>
          <cell r="AH320">
            <v>2.8965999999999998</v>
          </cell>
          <cell r="AK320">
            <v>0.53</v>
          </cell>
          <cell r="AN320">
            <v>0.3</v>
          </cell>
          <cell r="AO320">
            <v>0.17</v>
          </cell>
          <cell r="AP320">
            <v>0</v>
          </cell>
          <cell r="AR320">
            <v>1</v>
          </cell>
          <cell r="AS320">
            <v>0.37495999999999996</v>
          </cell>
          <cell r="AT320">
            <v>0.37495999999999996</v>
          </cell>
          <cell r="AU320">
            <v>0.375</v>
          </cell>
          <cell r="AV320">
            <v>0.04</v>
          </cell>
          <cell r="AW320">
            <v>0.04</v>
          </cell>
          <cell r="AY320">
            <v>0.17</v>
          </cell>
          <cell r="BB320">
            <v>0.27500000000000002</v>
          </cell>
          <cell r="BD320">
            <v>0.1</v>
          </cell>
          <cell r="BE320">
            <v>1</v>
          </cell>
          <cell r="BF320">
            <v>0.75838799999999984</v>
          </cell>
        </row>
        <row r="321">
          <cell r="A321">
            <v>37287</v>
          </cell>
          <cell r="B321">
            <v>-1.4593</v>
          </cell>
          <cell r="C321">
            <v>-0.1545</v>
          </cell>
          <cell r="D321">
            <v>-2.7440000000000002</v>
          </cell>
          <cell r="E321">
            <v>-0.51939999999999997</v>
          </cell>
          <cell r="F321">
            <v>-1.0333000000000001</v>
          </cell>
          <cell r="G321">
            <v>-0.02</v>
          </cell>
          <cell r="H321">
            <v>-1.04</v>
          </cell>
          <cell r="I321">
            <v>-3.5579999999999998</v>
          </cell>
          <cell r="J321">
            <v>1.327</v>
          </cell>
          <cell r="K321">
            <v>0.87209999999999999</v>
          </cell>
          <cell r="L321">
            <v>-3.9699999999999999E-2</v>
          </cell>
          <cell r="M321">
            <v>1.8101</v>
          </cell>
          <cell r="N321">
            <v>-1.04</v>
          </cell>
          <cell r="O321">
            <v>-3.5579999999999998</v>
          </cell>
          <cell r="P321">
            <v>1.327</v>
          </cell>
          <cell r="Q321">
            <v>-4.274</v>
          </cell>
          <cell r="R321">
            <v>-1.2410000000000001</v>
          </cell>
          <cell r="S321">
            <v>-1.254</v>
          </cell>
          <cell r="U321">
            <v>-4.2827000000000002</v>
          </cell>
          <cell r="V321">
            <v>-2.3483000000000001</v>
          </cell>
          <cell r="W321">
            <v>0.80959999999999999</v>
          </cell>
          <cell r="X321">
            <v>0.70809999999999995</v>
          </cell>
          <cell r="Z321">
            <v>-0.6</v>
          </cell>
          <cell r="AA321">
            <v>-5.3059000000000003</v>
          </cell>
          <cell r="AB321">
            <v>-5.3898999999999999</v>
          </cell>
          <cell r="AC321">
            <v>-5.2252000000000001</v>
          </cell>
          <cell r="AE321">
            <v>-0.89207500000000006</v>
          </cell>
          <cell r="AF321">
            <v>-5.3059000000000003</v>
          </cell>
          <cell r="AG321">
            <v>0.22289999999999999</v>
          </cell>
          <cell r="AH321">
            <v>0.4345</v>
          </cell>
          <cell r="AK321">
            <v>0.53</v>
          </cell>
          <cell r="AN321">
            <v>0.3</v>
          </cell>
          <cell r="AO321">
            <v>0.17</v>
          </cell>
          <cell r="AP321">
            <v>0</v>
          </cell>
          <cell r="AR321">
            <v>1</v>
          </cell>
          <cell r="AS321">
            <v>-1.4325520000000003</v>
          </cell>
          <cell r="AT321">
            <v>-1.4325520000000003</v>
          </cell>
          <cell r="AU321">
            <v>0.375</v>
          </cell>
          <cell r="AV321">
            <v>0.04</v>
          </cell>
          <cell r="AW321">
            <v>0.04</v>
          </cell>
          <cell r="AY321">
            <v>0.17</v>
          </cell>
          <cell r="BB321">
            <v>0.27500000000000002</v>
          </cell>
          <cell r="BD321">
            <v>0.1</v>
          </cell>
          <cell r="BE321">
            <v>1</v>
          </cell>
          <cell r="BF321">
            <v>-1.3781840000000003</v>
          </cell>
        </row>
        <row r="322">
          <cell r="A322">
            <v>37315</v>
          </cell>
          <cell r="B322">
            <v>-1.9285000000000001</v>
          </cell>
          <cell r="C322">
            <v>-2.9523999999999999</v>
          </cell>
          <cell r="D322">
            <v>-0.89500000000000002</v>
          </cell>
          <cell r="E322">
            <v>0.1231</v>
          </cell>
          <cell r="F322">
            <v>-2.1993999999999998</v>
          </cell>
          <cell r="G322">
            <v>2.371</v>
          </cell>
          <cell r="H322">
            <v>-2.7410000000000001</v>
          </cell>
          <cell r="I322">
            <v>-6.4720000000000004</v>
          </cell>
          <cell r="J322">
            <v>0.60899999999999999</v>
          </cell>
          <cell r="K322">
            <v>-1.7195</v>
          </cell>
          <cell r="L322">
            <v>-2.1387</v>
          </cell>
          <cell r="M322">
            <v>-1.3052999999999999</v>
          </cell>
          <cell r="N322">
            <v>-2.7410000000000001</v>
          </cell>
          <cell r="O322">
            <v>-6.4720000000000004</v>
          </cell>
          <cell r="P322">
            <v>0.60899999999999999</v>
          </cell>
          <cell r="Q322">
            <v>-6.1769999999999996</v>
          </cell>
          <cell r="R322">
            <v>-1.7509999999999999</v>
          </cell>
          <cell r="S322">
            <v>-2.0449999999999999</v>
          </cell>
          <cell r="U322">
            <v>0.72009999999999996</v>
          </cell>
          <cell r="V322">
            <v>1.6685000000000001</v>
          </cell>
          <cell r="W322">
            <v>0.96899999999999997</v>
          </cell>
          <cell r="X322">
            <v>0.96209999999999996</v>
          </cell>
          <cell r="Z322">
            <v>-0.99</v>
          </cell>
          <cell r="AA322">
            <v>0.70630000000000004</v>
          </cell>
          <cell r="AB322">
            <v>1.3502000000000001</v>
          </cell>
          <cell r="AC322">
            <v>8.77E-2</v>
          </cell>
          <cell r="AE322">
            <v>-1.2041250000000001</v>
          </cell>
          <cell r="AF322">
            <v>0.70630000000000004</v>
          </cell>
          <cell r="AG322">
            <v>0.22289999999999999</v>
          </cell>
          <cell r="AH322">
            <v>2.2919999999999998</v>
          </cell>
          <cell r="AK322">
            <v>0.53</v>
          </cell>
          <cell r="AN322">
            <v>0.3</v>
          </cell>
          <cell r="AO322">
            <v>0.17</v>
          </cell>
          <cell r="AP322">
            <v>0</v>
          </cell>
          <cell r="AR322">
            <v>1</v>
          </cell>
          <cell r="AS322">
            <v>-0.61133400000000004</v>
          </cell>
          <cell r="AT322">
            <v>-0.61133400000000004</v>
          </cell>
          <cell r="AU322">
            <v>0.375</v>
          </cell>
          <cell r="AV322">
            <v>0.04</v>
          </cell>
          <cell r="AW322">
            <v>0.04</v>
          </cell>
          <cell r="AY322">
            <v>0.17</v>
          </cell>
          <cell r="BB322">
            <v>0.27500000000000002</v>
          </cell>
          <cell r="BD322">
            <v>0.1</v>
          </cell>
          <cell r="BE322">
            <v>1</v>
          </cell>
          <cell r="BF322">
            <v>-0.56176999999999999</v>
          </cell>
        </row>
        <row r="323">
          <cell r="A323">
            <v>37346</v>
          </cell>
          <cell r="B323">
            <v>3.7610000000000001</v>
          </cell>
          <cell r="C323">
            <v>2.3826000000000001</v>
          </cell>
          <cell r="D323">
            <v>5.1239999999999997</v>
          </cell>
          <cell r="E323">
            <v>7.1483999999999996</v>
          </cell>
          <cell r="F323">
            <v>6.8849</v>
          </cell>
          <cell r="G323">
            <v>7.4020000000000001</v>
          </cell>
          <cell r="H323">
            <v>8.0370000000000008</v>
          </cell>
          <cell r="I323">
            <v>8.6920000000000002</v>
          </cell>
          <cell r="J323">
            <v>7.4889999999999999</v>
          </cell>
          <cell r="K323">
            <v>7.8989000000000003</v>
          </cell>
          <cell r="L323">
            <v>7.8211000000000004</v>
          </cell>
          <cell r="M323">
            <v>7.9710999999999999</v>
          </cell>
          <cell r="N323">
            <v>8.0370000000000008</v>
          </cell>
          <cell r="O323">
            <v>8.6920000000000002</v>
          </cell>
          <cell r="P323">
            <v>7.4889999999999999</v>
          </cell>
          <cell r="Q323">
            <v>8.0549999999999997</v>
          </cell>
          <cell r="R323">
            <v>6.9139999999999997</v>
          </cell>
          <cell r="S323">
            <v>4.3849999999999998</v>
          </cell>
          <cell r="U323">
            <v>5.4321999999999999</v>
          </cell>
          <cell r="V323">
            <v>6.6547999999999998</v>
          </cell>
          <cell r="W323">
            <v>-1.6632</v>
          </cell>
          <cell r="X323">
            <v>-1.3265</v>
          </cell>
          <cell r="Z323">
            <v>0.91</v>
          </cell>
          <cell r="AA323">
            <v>5.4593999999999996</v>
          </cell>
          <cell r="AB323">
            <v>3.8527</v>
          </cell>
          <cell r="AC323">
            <v>7.0209000000000001</v>
          </cell>
          <cell r="AE323">
            <v>2.4049500000000004</v>
          </cell>
          <cell r="AF323">
            <v>5.4593999999999996</v>
          </cell>
          <cell r="AG323">
            <v>0.22289999999999999</v>
          </cell>
          <cell r="AH323">
            <v>6.1550000000000002</v>
          </cell>
          <cell r="AK323">
            <v>0.53</v>
          </cell>
          <cell r="AN323">
            <v>0.3</v>
          </cell>
          <cell r="AO323">
            <v>0.17</v>
          </cell>
          <cell r="AP323">
            <v>0</v>
          </cell>
          <cell r="AR323">
            <v>1</v>
          </cell>
          <cell r="AS323">
            <v>2.4224680000000003</v>
          </cell>
          <cell r="AT323">
            <v>2.4224680000000003</v>
          </cell>
          <cell r="AU323">
            <v>0.375</v>
          </cell>
          <cell r="AV323">
            <v>0.04</v>
          </cell>
          <cell r="AW323">
            <v>0.04</v>
          </cell>
          <cell r="AY323">
            <v>0.17</v>
          </cell>
          <cell r="BB323">
            <v>0.27500000000000002</v>
          </cell>
          <cell r="BD323">
            <v>0.1</v>
          </cell>
          <cell r="BE323">
            <v>1</v>
          </cell>
          <cell r="BF323">
            <v>2.7290040000000002</v>
          </cell>
        </row>
        <row r="324">
          <cell r="A324">
            <v>37376</v>
          </cell>
          <cell r="B324">
            <v>-6.0627000000000004</v>
          </cell>
          <cell r="C324">
            <v>-7.1551</v>
          </cell>
          <cell r="D324">
            <v>-5.01</v>
          </cell>
          <cell r="E324">
            <v>-0.46750000000000003</v>
          </cell>
          <cell r="F324">
            <v>-2.5844999999999998</v>
          </cell>
          <cell r="G324">
            <v>1.5</v>
          </cell>
          <cell r="H324">
            <v>0.91100000000000003</v>
          </cell>
          <cell r="I324">
            <v>-2.1640000000000001</v>
          </cell>
          <cell r="J324">
            <v>3.52</v>
          </cell>
          <cell r="K324">
            <v>2.8260000000000001</v>
          </cell>
          <cell r="L324">
            <v>1.5105999999999999</v>
          </cell>
          <cell r="M324">
            <v>4.1108000000000002</v>
          </cell>
          <cell r="N324">
            <v>0.91100000000000003</v>
          </cell>
          <cell r="O324">
            <v>-2.1640000000000001</v>
          </cell>
          <cell r="P324">
            <v>3.52</v>
          </cell>
          <cell r="Q324">
            <v>-3.319</v>
          </cell>
          <cell r="R324">
            <v>-0.254</v>
          </cell>
          <cell r="S324">
            <v>-5.2460000000000004</v>
          </cell>
          <cell r="U324">
            <v>0.64980000000000004</v>
          </cell>
          <cell r="V324">
            <v>3.6705000000000001</v>
          </cell>
          <cell r="W324">
            <v>1.9393</v>
          </cell>
          <cell r="X324">
            <v>1.7892999999999999</v>
          </cell>
          <cell r="Z324">
            <v>0.61</v>
          </cell>
          <cell r="AA324">
            <v>0.72419999999999995</v>
          </cell>
          <cell r="AB324">
            <v>0.58309999999999995</v>
          </cell>
          <cell r="AC324">
            <v>0.85750000000000004</v>
          </cell>
          <cell r="AE324">
            <v>-4.0622000000000007</v>
          </cell>
          <cell r="AF324">
            <v>0.72419999999999995</v>
          </cell>
          <cell r="AG324">
            <v>0.50129999999999997</v>
          </cell>
          <cell r="AH324">
            <v>0.61029999999999995</v>
          </cell>
          <cell r="AK324">
            <v>0.53</v>
          </cell>
          <cell r="AN324">
            <v>0.3</v>
          </cell>
          <cell r="AO324">
            <v>0.17</v>
          </cell>
          <cell r="AP324">
            <v>0</v>
          </cell>
          <cell r="AR324">
            <v>1</v>
          </cell>
          <cell r="AS324">
            <v>-2.5083270000000004</v>
          </cell>
          <cell r="AT324">
            <v>-2.5083270000000004</v>
          </cell>
          <cell r="AU324">
            <v>0.375</v>
          </cell>
          <cell r="AV324">
            <v>0.04</v>
          </cell>
          <cell r="AW324">
            <v>0.04</v>
          </cell>
          <cell r="AY324">
            <v>0.17</v>
          </cell>
          <cell r="BB324">
            <v>0.27500000000000002</v>
          </cell>
          <cell r="BD324">
            <v>0.1</v>
          </cell>
          <cell r="BE324">
            <v>1</v>
          </cell>
          <cell r="BF324">
            <v>-2.0055710000000002</v>
          </cell>
        </row>
        <row r="325">
          <cell r="A325">
            <v>37407</v>
          </cell>
          <cell r="B325">
            <v>-0.7369</v>
          </cell>
          <cell r="C325">
            <v>-1.9379</v>
          </cell>
          <cell r="D325">
            <v>0.39900000000000002</v>
          </cell>
          <cell r="E325">
            <v>-1.6866000000000001</v>
          </cell>
          <cell r="F325">
            <v>-1.6316999999999999</v>
          </cell>
          <cell r="G325">
            <v>-1.736</v>
          </cell>
          <cell r="H325">
            <v>-4.4379999999999997</v>
          </cell>
          <cell r="I325">
            <v>-5.8470000000000004</v>
          </cell>
          <cell r="J325">
            <v>-3.3069999999999999</v>
          </cell>
          <cell r="K325">
            <v>-4.1394000000000002</v>
          </cell>
          <cell r="L325">
            <v>-4.3479999999999999</v>
          </cell>
          <cell r="M325">
            <v>-3.9439000000000002</v>
          </cell>
          <cell r="N325">
            <v>-4.4379999999999997</v>
          </cell>
          <cell r="O325">
            <v>-5.8470000000000004</v>
          </cell>
          <cell r="P325">
            <v>-3.3069999999999999</v>
          </cell>
          <cell r="Q325">
            <v>-5.04</v>
          </cell>
          <cell r="R325">
            <v>-2.931</v>
          </cell>
          <cell r="S325">
            <v>-1.159</v>
          </cell>
          <cell r="U325">
            <v>1.0892999999999999</v>
          </cell>
          <cell r="V325">
            <v>4.4847000000000001</v>
          </cell>
          <cell r="W325">
            <v>0.84950000000000003</v>
          </cell>
          <cell r="X325">
            <v>0.87660000000000005</v>
          </cell>
          <cell r="Z325">
            <v>0.8</v>
          </cell>
          <cell r="AA325">
            <v>1.3566</v>
          </cell>
          <cell r="AB325">
            <v>0.29049999999999998</v>
          </cell>
          <cell r="AC325">
            <v>2.3612000000000002</v>
          </cell>
          <cell r="AE325">
            <v>-0.34030000000000005</v>
          </cell>
          <cell r="AF325">
            <v>1.3566</v>
          </cell>
          <cell r="AG325">
            <v>0.50129999999999997</v>
          </cell>
          <cell r="AH325">
            <v>1.0109999999999999</v>
          </cell>
          <cell r="AK325">
            <v>0.53</v>
          </cell>
          <cell r="AN325">
            <v>0.3</v>
          </cell>
          <cell r="AO325">
            <v>0.17</v>
          </cell>
          <cell r="AP325">
            <v>0</v>
          </cell>
          <cell r="AR325">
            <v>1</v>
          </cell>
          <cell r="AS325">
            <v>9.4914999999999999E-2</v>
          </cell>
          <cell r="AT325">
            <v>9.4914999999999999E-2</v>
          </cell>
          <cell r="AU325">
            <v>0.375</v>
          </cell>
          <cell r="AV325">
            <v>0.04</v>
          </cell>
          <cell r="AW325">
            <v>0.04</v>
          </cell>
          <cell r="AY325">
            <v>0.17</v>
          </cell>
          <cell r="BB325">
            <v>0.27500000000000002</v>
          </cell>
          <cell r="BD325">
            <v>0.1</v>
          </cell>
          <cell r="BE325">
            <v>1</v>
          </cell>
          <cell r="BF325">
            <v>-9.1116999999999976E-2</v>
          </cell>
        </row>
        <row r="326">
          <cell r="A326">
            <v>37437</v>
          </cell>
          <cell r="B326">
            <v>-7.1238999999999999</v>
          </cell>
          <cell r="C326">
            <v>-8.0221999999999998</v>
          </cell>
          <cell r="D326">
            <v>-6.3029999999999999</v>
          </cell>
          <cell r="E326">
            <v>-7.3190999999999997</v>
          </cell>
          <cell r="F326">
            <v>-9.2187999999999999</v>
          </cell>
          <cell r="G326">
            <v>-5.6219999999999999</v>
          </cell>
          <cell r="H326">
            <v>-4.9619999999999997</v>
          </cell>
          <cell r="I326">
            <v>-8.48</v>
          </cell>
          <cell r="J326">
            <v>-2.214</v>
          </cell>
          <cell r="K326">
            <v>-5.1721000000000004</v>
          </cell>
          <cell r="L326">
            <v>-6.8921000000000001</v>
          </cell>
          <cell r="M326">
            <v>-3.577</v>
          </cell>
          <cell r="N326">
            <v>-4.9619999999999997</v>
          </cell>
          <cell r="O326">
            <v>-8.48</v>
          </cell>
          <cell r="P326">
            <v>-2.214</v>
          </cell>
          <cell r="Q326">
            <v>-9.1929999999999996</v>
          </cell>
          <cell r="R326">
            <v>-5.6349999999999998</v>
          </cell>
          <cell r="S326">
            <v>-7.1980000000000004</v>
          </cell>
          <cell r="U326">
            <v>-4.3178999999999998</v>
          </cell>
          <cell r="V326">
            <v>-3.7080000000000002</v>
          </cell>
          <cell r="W326">
            <v>0.86509999999999998</v>
          </cell>
          <cell r="X326">
            <v>0.875</v>
          </cell>
          <cell r="Z326">
            <v>-1.26</v>
          </cell>
          <cell r="AA326">
            <v>-3.9434</v>
          </cell>
          <cell r="AB326">
            <v>-2.5558000000000001</v>
          </cell>
          <cell r="AC326">
            <v>-5.2731000000000003</v>
          </cell>
          <cell r="AE326">
            <v>-5.1266499999999997</v>
          </cell>
          <cell r="AF326">
            <v>-3.9434</v>
          </cell>
          <cell r="AG326">
            <v>0.50129999999999997</v>
          </cell>
          <cell r="AH326">
            <v>2.0518999999999998</v>
          </cell>
          <cell r="AK326">
            <v>0.53</v>
          </cell>
          <cell r="AN326">
            <v>0.3</v>
          </cell>
          <cell r="AO326">
            <v>0.17</v>
          </cell>
          <cell r="AP326">
            <v>0</v>
          </cell>
          <cell r="AR326">
            <v>1</v>
          </cell>
          <cell r="AS326">
            <v>-4.1865150000000009</v>
          </cell>
          <cell r="AT326">
            <v>-4.1865150000000009</v>
          </cell>
          <cell r="AU326">
            <v>0.375</v>
          </cell>
          <cell r="AV326">
            <v>0.04</v>
          </cell>
          <cell r="AW326">
            <v>0.04</v>
          </cell>
          <cell r="AY326">
            <v>0.17</v>
          </cell>
          <cell r="BB326">
            <v>0.27500000000000002</v>
          </cell>
          <cell r="BD326">
            <v>0.1</v>
          </cell>
          <cell r="BE326">
            <v>1</v>
          </cell>
          <cell r="BF326">
            <v>-4.1078469999999996</v>
          </cell>
        </row>
        <row r="327">
          <cell r="A327">
            <v>37468</v>
          </cell>
          <cell r="B327">
            <v>-7.7945000000000002</v>
          </cell>
          <cell r="C327">
            <v>-4.8013000000000003</v>
          </cell>
          <cell r="D327">
            <v>-10.81</v>
          </cell>
          <cell r="E327">
            <v>-9.6866000000000003</v>
          </cell>
          <cell r="F327">
            <v>-8.9838000000000005</v>
          </cell>
          <cell r="G327">
            <v>-10.37</v>
          </cell>
          <cell r="H327">
            <v>-15.103</v>
          </cell>
          <cell r="I327">
            <v>-15.369</v>
          </cell>
          <cell r="J327">
            <v>-14.858000000000001</v>
          </cell>
          <cell r="K327">
            <v>-14.125400000000001</v>
          </cell>
          <cell r="L327">
            <v>-13.831300000000001</v>
          </cell>
          <cell r="M327">
            <v>-14.428800000000001</v>
          </cell>
          <cell r="N327">
            <v>-15.103</v>
          </cell>
          <cell r="O327">
            <v>-15.369</v>
          </cell>
          <cell r="P327">
            <v>-14.858000000000001</v>
          </cell>
          <cell r="Q327">
            <v>-12.423999999999999</v>
          </cell>
          <cell r="R327">
            <v>-11.933999999999999</v>
          </cell>
          <cell r="S327">
            <v>-7.95</v>
          </cell>
          <cell r="U327">
            <v>-9.7454999999999998</v>
          </cell>
          <cell r="V327">
            <v>-7.7107999999999999</v>
          </cell>
          <cell r="W327">
            <v>1.2061999999999999</v>
          </cell>
          <cell r="X327">
            <v>1.1959</v>
          </cell>
          <cell r="Z327">
            <v>-2.95</v>
          </cell>
          <cell r="AA327">
            <v>-9.8643999999999998</v>
          </cell>
          <cell r="AB327">
            <v>-10.657</v>
          </cell>
          <cell r="AC327">
            <v>-9.0830000000000002</v>
          </cell>
          <cell r="AE327">
            <v>-5.5443250000000006</v>
          </cell>
          <cell r="AF327">
            <v>-9.8643999999999998</v>
          </cell>
          <cell r="AG327">
            <v>0.53420000000000001</v>
          </cell>
          <cell r="AH327">
            <v>-6.1952999999999996</v>
          </cell>
          <cell r="AK327">
            <v>0.53</v>
          </cell>
          <cell r="AN327">
            <v>0.3</v>
          </cell>
          <cell r="AO327">
            <v>0.17</v>
          </cell>
          <cell r="AP327">
            <v>0</v>
          </cell>
          <cell r="AR327">
            <v>1</v>
          </cell>
          <cell r="AS327">
            <v>-5.4461730000000008</v>
          </cell>
          <cell r="AT327">
            <v>-5.4461730000000008</v>
          </cell>
          <cell r="AU327">
            <v>0.375</v>
          </cell>
          <cell r="AV327">
            <v>0.04</v>
          </cell>
          <cell r="AW327">
            <v>0.04</v>
          </cell>
          <cell r="AY327">
            <v>0.17</v>
          </cell>
          <cell r="BB327">
            <v>0.27500000000000002</v>
          </cell>
          <cell r="BD327">
            <v>0.1</v>
          </cell>
          <cell r="BE327">
            <v>1</v>
          </cell>
          <cell r="BF327">
            <v>-5.8141970000000001</v>
          </cell>
        </row>
        <row r="328">
          <cell r="A328">
            <v>37499</v>
          </cell>
          <cell r="B328">
            <v>0.65659999999999996</v>
          </cell>
          <cell r="C328">
            <v>0.62729999999999997</v>
          </cell>
          <cell r="D328">
            <v>0.68700000000000006</v>
          </cell>
          <cell r="E328">
            <v>0.50309999999999999</v>
          </cell>
          <cell r="F328">
            <v>0.11219999999999999</v>
          </cell>
          <cell r="G328">
            <v>0.876</v>
          </cell>
          <cell r="H328">
            <v>-0.255</v>
          </cell>
          <cell r="I328">
            <v>-4.7E-2</v>
          </cell>
          <cell r="J328">
            <v>-0.44400000000000001</v>
          </cell>
          <cell r="K328">
            <v>0.95120000000000005</v>
          </cell>
          <cell r="L328">
            <v>1.8967000000000001</v>
          </cell>
          <cell r="M328">
            <v>-2.93E-2</v>
          </cell>
          <cell r="N328">
            <v>-0.255</v>
          </cell>
          <cell r="O328">
            <v>-4.7E-2</v>
          </cell>
          <cell r="P328">
            <v>-0.44400000000000001</v>
          </cell>
          <cell r="Q328">
            <v>-1.7999999999999999E-2</v>
          </cell>
          <cell r="R328">
            <v>0.30199999999999999</v>
          </cell>
          <cell r="S328">
            <v>0.47199999999999998</v>
          </cell>
          <cell r="U328">
            <v>6.1999999999999998E-3</v>
          </cell>
          <cell r="V328">
            <v>-1.2759</v>
          </cell>
          <cell r="W328">
            <v>1.6881999999999999</v>
          </cell>
          <cell r="X328">
            <v>1.1960999999999999</v>
          </cell>
          <cell r="Z328">
            <v>1.01</v>
          </cell>
          <cell r="AA328">
            <v>-0.20330000000000001</v>
          </cell>
          <cell r="AB328">
            <v>-0.75170000000000003</v>
          </cell>
          <cell r="AC328">
            <v>0.32700000000000001</v>
          </cell>
          <cell r="AE328">
            <v>0.91449999999999987</v>
          </cell>
          <cell r="AF328">
            <v>-0.20330000000000001</v>
          </cell>
          <cell r="AG328">
            <v>0.53420000000000001</v>
          </cell>
          <cell r="AH328">
            <v>4.36E-2</v>
          </cell>
          <cell r="AK328">
            <v>0.53</v>
          </cell>
          <cell r="AN328">
            <v>0.3</v>
          </cell>
          <cell r="AO328">
            <v>0.17</v>
          </cell>
          <cell r="AP328">
            <v>0</v>
          </cell>
          <cell r="AR328">
            <v>1</v>
          </cell>
          <cell r="AS328">
            <v>0.81989699999999999</v>
          </cell>
          <cell r="AT328">
            <v>0.81989699999999999</v>
          </cell>
          <cell r="AU328">
            <v>0.375</v>
          </cell>
          <cell r="AV328">
            <v>0.04</v>
          </cell>
          <cell r="AW328">
            <v>0.04</v>
          </cell>
          <cell r="AY328">
            <v>0.17</v>
          </cell>
          <cell r="BB328">
            <v>0.27500000000000002</v>
          </cell>
          <cell r="BD328">
            <v>0.1</v>
          </cell>
          <cell r="BE328">
            <v>1</v>
          </cell>
          <cell r="BF328">
            <v>0.77729300000000001</v>
          </cell>
        </row>
        <row r="329">
          <cell r="A329">
            <v>37529</v>
          </cell>
          <cell r="B329">
            <v>-10.868</v>
          </cell>
          <cell r="C329">
            <v>-10.353899999999999</v>
          </cell>
          <cell r="D329">
            <v>-11.426</v>
          </cell>
          <cell r="E329">
            <v>-8.0564999999999998</v>
          </cell>
          <cell r="F329">
            <v>-6.2329999999999997</v>
          </cell>
          <cell r="G329">
            <v>-9.8350000000000009</v>
          </cell>
          <cell r="H329">
            <v>-7.181</v>
          </cell>
          <cell r="I329">
            <v>-7.2229999999999999</v>
          </cell>
          <cell r="J329">
            <v>-7.1429999999999998</v>
          </cell>
          <cell r="K329">
            <v>-6.1199000000000003</v>
          </cell>
          <cell r="L329">
            <v>-5.9016000000000002</v>
          </cell>
          <cell r="M329">
            <v>-6.3491999999999997</v>
          </cell>
          <cell r="N329">
            <v>-7.181</v>
          </cell>
          <cell r="O329">
            <v>-7.2229999999999999</v>
          </cell>
          <cell r="P329">
            <v>-7.1429999999999998</v>
          </cell>
          <cell r="Q329">
            <v>-7.5650000000000004</v>
          </cell>
          <cell r="R329">
            <v>-7.923</v>
          </cell>
          <cell r="S329">
            <v>-10.507</v>
          </cell>
          <cell r="U329">
            <v>-10.597</v>
          </cell>
          <cell r="V329">
            <v>-7.7675999999999998</v>
          </cell>
          <cell r="W329">
            <v>1.6198999999999999</v>
          </cell>
          <cell r="X329">
            <v>1.3362000000000001</v>
          </cell>
          <cell r="Z329">
            <v>-0.47</v>
          </cell>
          <cell r="AA329">
            <v>-10.714499999999999</v>
          </cell>
          <cell r="AB329">
            <v>-8.6837</v>
          </cell>
          <cell r="AC329">
            <v>-12.6608</v>
          </cell>
          <cell r="AE329">
            <v>-7.7460249999999995</v>
          </cell>
          <cell r="AF329">
            <v>-10.714499999999999</v>
          </cell>
          <cell r="AG329">
            <v>0.53420000000000001</v>
          </cell>
          <cell r="AH329">
            <v>-4.4156000000000004</v>
          </cell>
          <cell r="AK329">
            <v>0.53</v>
          </cell>
          <cell r="AN329">
            <v>0.3</v>
          </cell>
          <cell r="AO329">
            <v>0.17</v>
          </cell>
          <cell r="AP329">
            <v>0</v>
          </cell>
          <cell r="AR329">
            <v>1</v>
          </cell>
          <cell r="AS329">
            <v>-7.0955349999999999</v>
          </cell>
          <cell r="AT329">
            <v>-7.0955349999999999</v>
          </cell>
          <cell r="AU329">
            <v>0.375</v>
          </cell>
          <cell r="AV329">
            <v>0.04</v>
          </cell>
          <cell r="AW329">
            <v>0.04</v>
          </cell>
          <cell r="AY329">
            <v>0.17</v>
          </cell>
          <cell r="BB329">
            <v>0.27500000000000002</v>
          </cell>
          <cell r="BD329">
            <v>0.1</v>
          </cell>
          <cell r="BE329">
            <v>1</v>
          </cell>
          <cell r="BF329">
            <v>-6.8355949999999996</v>
          </cell>
        </row>
        <row r="330">
          <cell r="A330">
            <v>37560</v>
          </cell>
          <cell r="B330">
            <v>8.8016000000000005</v>
          </cell>
          <cell r="C330">
            <v>9.2482000000000006</v>
          </cell>
          <cell r="D330">
            <v>8.3140000000000001</v>
          </cell>
          <cell r="E330">
            <v>4.3331</v>
          </cell>
          <cell r="F330">
            <v>4.6543000000000001</v>
          </cell>
          <cell r="G330">
            <v>3.9969999999999999</v>
          </cell>
          <cell r="H330">
            <v>3.206</v>
          </cell>
          <cell r="I330">
            <v>5.0579999999999998</v>
          </cell>
          <cell r="J330">
            <v>1.504</v>
          </cell>
          <cell r="K330">
            <v>3.2008000000000001</v>
          </cell>
          <cell r="L330">
            <v>4.3513000000000002</v>
          </cell>
          <cell r="M330">
            <v>2.0047999999999999</v>
          </cell>
          <cell r="N330">
            <v>3.206</v>
          </cell>
          <cell r="O330">
            <v>5.0579999999999998</v>
          </cell>
          <cell r="P330">
            <v>1.504</v>
          </cell>
          <cell r="Q330">
            <v>5.7510000000000003</v>
          </cell>
          <cell r="R330">
            <v>3.2589999999999999</v>
          </cell>
          <cell r="S330">
            <v>7.9630000000000001</v>
          </cell>
          <cell r="U330">
            <v>5.3647</v>
          </cell>
          <cell r="V330">
            <v>-1.2344999999999999</v>
          </cell>
          <cell r="W330">
            <v>-0.45590000000000003</v>
          </cell>
          <cell r="X330">
            <v>-6.4699999999999994E-2</v>
          </cell>
          <cell r="Z330">
            <v>0.08</v>
          </cell>
          <cell r="AA330">
            <v>5.3822999999999999</v>
          </cell>
          <cell r="AB330">
            <v>5.6611000000000002</v>
          </cell>
          <cell r="AC330">
            <v>5.1025999999999998</v>
          </cell>
          <cell r="AE330">
            <v>6.4872250000000005</v>
          </cell>
          <cell r="AF330">
            <v>5.3822999999999999</v>
          </cell>
          <cell r="AG330">
            <v>0.59289999999999998</v>
          </cell>
          <cell r="AH330">
            <v>-4.9748999999999999</v>
          </cell>
          <cell r="AK330">
            <v>0.53</v>
          </cell>
          <cell r="AN330">
            <v>0.3</v>
          </cell>
          <cell r="AO330">
            <v>0.17</v>
          </cell>
          <cell r="AP330">
            <v>0</v>
          </cell>
          <cell r="AR330">
            <v>1</v>
          </cell>
          <cell r="AS330">
            <v>5.4430689999999995</v>
          </cell>
          <cell r="AT330">
            <v>5.4430689999999995</v>
          </cell>
          <cell r="AU330">
            <v>0.375</v>
          </cell>
          <cell r="AV330">
            <v>0.04</v>
          </cell>
          <cell r="AW330">
            <v>0.04</v>
          </cell>
          <cell r="AY330">
            <v>0.17</v>
          </cell>
          <cell r="BB330">
            <v>0.27500000000000002</v>
          </cell>
          <cell r="BD330">
            <v>0.1</v>
          </cell>
          <cell r="BE330">
            <v>1</v>
          </cell>
          <cell r="BF330">
            <v>5.0405049999999996</v>
          </cell>
        </row>
        <row r="331">
          <cell r="A331">
            <v>37590</v>
          </cell>
          <cell r="B331">
            <v>5.8859000000000004</v>
          </cell>
          <cell r="C331">
            <v>4.8543000000000003</v>
          </cell>
          <cell r="D331">
            <v>7.0250000000000004</v>
          </cell>
          <cell r="E331">
            <v>5.7854999999999999</v>
          </cell>
          <cell r="F331">
            <v>5.1982999999999997</v>
          </cell>
          <cell r="G331">
            <v>6.4160000000000004</v>
          </cell>
          <cell r="H331">
            <v>8.9239999999999995</v>
          </cell>
          <cell r="I331">
            <v>9.9139999999999997</v>
          </cell>
          <cell r="J331">
            <v>7.98</v>
          </cell>
          <cell r="K331">
            <v>5.2054999999999998</v>
          </cell>
          <cell r="L331">
            <v>6.0444000000000004</v>
          </cell>
          <cell r="M331">
            <v>4.3121999999999998</v>
          </cell>
          <cell r="N331">
            <v>8.9239999999999995</v>
          </cell>
          <cell r="O331">
            <v>9.9139999999999997</v>
          </cell>
          <cell r="P331">
            <v>7.98</v>
          </cell>
          <cell r="Q331">
            <v>9.298</v>
          </cell>
          <cell r="R331">
            <v>8.1639999999999997</v>
          </cell>
          <cell r="S331">
            <v>6.0510000000000002</v>
          </cell>
          <cell r="U331">
            <v>4.8089000000000004</v>
          </cell>
          <cell r="V331">
            <v>2.8820999999999999</v>
          </cell>
          <cell r="W331">
            <v>-2.64E-2</v>
          </cell>
          <cell r="X331">
            <v>-0.1188</v>
          </cell>
          <cell r="Z331">
            <v>0.5736</v>
          </cell>
          <cell r="AA331">
            <v>4.5513000000000003</v>
          </cell>
          <cell r="AB331">
            <v>2.9531000000000001</v>
          </cell>
          <cell r="AC331">
            <v>6.1544999999999996</v>
          </cell>
          <cell r="AE331">
            <v>4.4078250000000008</v>
          </cell>
          <cell r="AF331">
            <v>4.5513000000000003</v>
          </cell>
          <cell r="AG331">
            <v>0.59289999999999998</v>
          </cell>
          <cell r="AH331">
            <v>4.9477000000000002</v>
          </cell>
          <cell r="AK331">
            <v>0.53</v>
          </cell>
          <cell r="AN331">
            <v>0.3</v>
          </cell>
          <cell r="AO331">
            <v>0.17</v>
          </cell>
          <cell r="AP331">
            <v>0</v>
          </cell>
          <cell r="AR331">
            <v>1</v>
          </cell>
          <cell r="AS331">
            <v>3.8853280000000003</v>
          </cell>
          <cell r="AT331">
            <v>3.8853280000000003</v>
          </cell>
          <cell r="AU331">
            <v>0.375</v>
          </cell>
          <cell r="AV331">
            <v>0.04</v>
          </cell>
          <cell r="AW331">
            <v>0.04</v>
          </cell>
          <cell r="AY331">
            <v>0.17</v>
          </cell>
          <cell r="BB331">
            <v>0.27500000000000002</v>
          </cell>
          <cell r="BD331">
            <v>0.1</v>
          </cell>
          <cell r="BE331">
            <v>1</v>
          </cell>
          <cell r="BF331">
            <v>4.0028360000000003</v>
          </cell>
        </row>
        <row r="332">
          <cell r="A332">
            <v>37621</v>
          </cell>
          <cell r="B332">
            <v>-5.8746999999999998</v>
          </cell>
          <cell r="C332">
            <v>-6.5004999999999997</v>
          </cell>
          <cell r="D332">
            <v>-5.2</v>
          </cell>
          <cell r="E332">
            <v>-4.1093999999999999</v>
          </cell>
          <cell r="F332">
            <v>-4.5172999999999996</v>
          </cell>
          <cell r="G332">
            <v>-3.71</v>
          </cell>
          <cell r="H332">
            <v>-5.5678999999999998</v>
          </cell>
          <cell r="I332">
            <v>-6.8963999999999999</v>
          </cell>
          <cell r="J332">
            <v>-4.2727000000000004</v>
          </cell>
          <cell r="K332">
            <v>-3.3717000000000001</v>
          </cell>
          <cell r="L332">
            <v>-4.3007</v>
          </cell>
          <cell r="M332">
            <v>-2.3641000000000001</v>
          </cell>
          <cell r="N332">
            <v>-5.5678999999999998</v>
          </cell>
          <cell r="O332">
            <v>-6.8963999999999999</v>
          </cell>
          <cell r="P332">
            <v>-4.2727000000000004</v>
          </cell>
          <cell r="Q332">
            <v>-6.3188000000000004</v>
          </cell>
          <cell r="R332">
            <v>-4.5244999999999997</v>
          </cell>
          <cell r="S332">
            <v>-5.6535000000000002</v>
          </cell>
          <cell r="U332">
            <v>-3.2305999999999999</v>
          </cell>
          <cell r="V332">
            <v>-1.8567</v>
          </cell>
          <cell r="W332">
            <v>2.0653999999999999</v>
          </cell>
          <cell r="X332">
            <v>1.7142999999999999</v>
          </cell>
          <cell r="Z332">
            <v>0.75790000000000002</v>
          </cell>
          <cell r="AA332">
            <v>-3.355</v>
          </cell>
          <cell r="AB332">
            <v>-2.3018000000000001</v>
          </cell>
          <cell r="AC332">
            <v>-4.3577000000000004</v>
          </cell>
          <cell r="AE332">
            <v>-3.8896749999999995</v>
          </cell>
          <cell r="AF332">
            <v>-3.355</v>
          </cell>
          <cell r="AG332">
            <v>0.59289999999999998</v>
          </cell>
          <cell r="AH332">
            <v>1.4619</v>
          </cell>
          <cell r="AK332">
            <v>0.53</v>
          </cell>
          <cell r="AN332">
            <v>0.3</v>
          </cell>
          <cell r="AO332">
            <v>0.17</v>
          </cell>
          <cell r="AP332">
            <v>0</v>
          </cell>
          <cell r="AR332">
            <v>1</v>
          </cell>
          <cell r="AS332">
            <v>-3.0643210000000001</v>
          </cell>
          <cell r="AT332">
            <v>-3.0643210000000001</v>
          </cell>
          <cell r="AU332">
            <v>0.375</v>
          </cell>
          <cell r="AV332">
            <v>0.04</v>
          </cell>
          <cell r="AW332">
            <v>0.04</v>
          </cell>
          <cell r="AY332">
            <v>0.17</v>
          </cell>
          <cell r="BB332">
            <v>0.27500000000000002</v>
          </cell>
          <cell r="BD332">
            <v>0.1</v>
          </cell>
          <cell r="BE332">
            <v>1</v>
          </cell>
          <cell r="BF332">
            <v>-2.9814369999999997</v>
          </cell>
        </row>
        <row r="333">
          <cell r="A333">
            <v>37652</v>
          </cell>
          <cell r="B333">
            <v>-2.6196999999999999</v>
          </cell>
          <cell r="C333">
            <v>-2.5044</v>
          </cell>
          <cell r="D333">
            <v>-2.74</v>
          </cell>
          <cell r="E333">
            <v>-2.9224000000000001</v>
          </cell>
          <cell r="F333">
            <v>-2.3597000000000001</v>
          </cell>
          <cell r="G333">
            <v>-3.46</v>
          </cell>
          <cell r="H333">
            <v>-2.7677</v>
          </cell>
          <cell r="I333">
            <v>-2.7166999999999999</v>
          </cell>
          <cell r="J333">
            <v>-2.8155000000000001</v>
          </cell>
          <cell r="K333">
            <v>-3.4369999999999998</v>
          </cell>
          <cell r="L333">
            <v>-3.1389999999999998</v>
          </cell>
          <cell r="M333">
            <v>-3.7513000000000001</v>
          </cell>
          <cell r="N333">
            <v>-2.7677</v>
          </cell>
          <cell r="O333">
            <v>-2.7166999999999999</v>
          </cell>
          <cell r="P333">
            <v>-2.8155000000000001</v>
          </cell>
          <cell r="Q333">
            <v>-2.1823000000000001</v>
          </cell>
          <cell r="R333">
            <v>-2.657</v>
          </cell>
          <cell r="S333">
            <v>-2.4468999999999999</v>
          </cell>
          <cell r="U333">
            <v>-3.5106999999999999</v>
          </cell>
          <cell r="V333">
            <v>-1.4124000000000001</v>
          </cell>
          <cell r="W333">
            <v>8.5500000000000007E-2</v>
          </cell>
          <cell r="X333">
            <v>9.9699999999999997E-2</v>
          </cell>
          <cell r="Z333">
            <v>-7.0800000000000002E-2</v>
          </cell>
          <cell r="AA333">
            <v>-4.1672000000000002</v>
          </cell>
          <cell r="AB333">
            <v>-4.9424999999999999</v>
          </cell>
          <cell r="AC333">
            <v>-3.411</v>
          </cell>
          <cell r="AE333">
            <v>-1.9434</v>
          </cell>
          <cell r="AF333">
            <v>-4.1672000000000002</v>
          </cell>
          <cell r="AG333">
            <v>0.55389999999999995</v>
          </cell>
          <cell r="AH333">
            <v>-2.9266000000000001</v>
          </cell>
          <cell r="AK333">
            <v>0.53</v>
          </cell>
          <cell r="AN333">
            <v>0.3</v>
          </cell>
          <cell r="AO333">
            <v>0.17</v>
          </cell>
          <cell r="AP333">
            <v>0</v>
          </cell>
          <cell r="AR333">
            <v>1</v>
          </cell>
          <cell r="AS333">
            <v>-2.071215</v>
          </cell>
          <cell r="AT333">
            <v>-2.071215</v>
          </cell>
          <cell r="AU333">
            <v>0.375</v>
          </cell>
          <cell r="AV333">
            <v>0.04</v>
          </cell>
          <cell r="AW333">
            <v>0.04</v>
          </cell>
          <cell r="AY333">
            <v>0.17</v>
          </cell>
          <cell r="BB333">
            <v>0.27500000000000002</v>
          </cell>
          <cell r="BD333">
            <v>0.1</v>
          </cell>
          <cell r="BE333">
            <v>1</v>
          </cell>
          <cell r="BF333">
            <v>-2.0892430000000002</v>
          </cell>
        </row>
        <row r="334">
          <cell r="A334">
            <v>37680</v>
          </cell>
          <cell r="B334">
            <v>-1.5004</v>
          </cell>
          <cell r="C334">
            <v>-0.29770000000000002</v>
          </cell>
          <cell r="D334">
            <v>-2.72</v>
          </cell>
          <cell r="E334">
            <v>-2.3814000000000002</v>
          </cell>
          <cell r="F334">
            <v>-2.665</v>
          </cell>
          <cell r="G334">
            <v>-2.11</v>
          </cell>
          <cell r="H334">
            <v>-3.0215000000000001</v>
          </cell>
          <cell r="I334">
            <v>-2.6667000000000001</v>
          </cell>
          <cell r="J334">
            <v>-3.3616999999999999</v>
          </cell>
          <cell r="K334">
            <v>-3.2</v>
          </cell>
          <cell r="L334">
            <v>-3.3033999999999999</v>
          </cell>
          <cell r="M334">
            <v>-3.0863999999999998</v>
          </cell>
          <cell r="N334">
            <v>-3.0215000000000001</v>
          </cell>
          <cell r="O334">
            <v>-2.6667000000000001</v>
          </cell>
          <cell r="P334">
            <v>-3.3616999999999999</v>
          </cell>
          <cell r="Q334">
            <v>-2.3315000000000001</v>
          </cell>
          <cell r="R334">
            <v>-2.4028999999999998</v>
          </cell>
          <cell r="S334">
            <v>-1.6452</v>
          </cell>
          <cell r="U334">
            <v>-2.0261999999999998</v>
          </cell>
          <cell r="V334">
            <v>-0.79300000000000004</v>
          </cell>
          <cell r="W334">
            <v>1.3843000000000001</v>
          </cell>
          <cell r="X334">
            <v>1.1135999999999999</v>
          </cell>
          <cell r="Z334">
            <v>-0.21240000000000001</v>
          </cell>
          <cell r="AA334">
            <v>-2.2858999999999998</v>
          </cell>
          <cell r="AB334">
            <v>-2.1473</v>
          </cell>
          <cell r="AC334">
            <v>-2.4165000000000001</v>
          </cell>
          <cell r="AE334">
            <v>-0.77922499999999995</v>
          </cell>
          <cell r="AF334">
            <v>-2.2858999999999998</v>
          </cell>
          <cell r="AG334">
            <v>0.55389999999999995</v>
          </cell>
          <cell r="AH334">
            <v>1.4750000000000001</v>
          </cell>
          <cell r="AK334">
            <v>0.53</v>
          </cell>
          <cell r="AN334">
            <v>0.3</v>
          </cell>
          <cell r="AO334">
            <v>0.17</v>
          </cell>
          <cell r="AP334">
            <v>0</v>
          </cell>
          <cell r="AR334">
            <v>1</v>
          </cell>
          <cell r="AS334">
            <v>-0.76852500000000001</v>
          </cell>
          <cell r="AT334">
            <v>-0.76852500000000001</v>
          </cell>
          <cell r="AU334">
            <v>0.375</v>
          </cell>
          <cell r="AV334">
            <v>0.04</v>
          </cell>
          <cell r="AW334">
            <v>0.04</v>
          </cell>
          <cell r="AY334">
            <v>0.17</v>
          </cell>
          <cell r="BB334">
            <v>0.27500000000000002</v>
          </cell>
          <cell r="BD334">
            <v>0.1</v>
          </cell>
          <cell r="BE334">
            <v>1</v>
          </cell>
          <cell r="BF334">
            <v>-0.86460899999999985</v>
          </cell>
        </row>
        <row r="335">
          <cell r="A335">
            <v>37711</v>
          </cell>
          <cell r="B335">
            <v>0.97089999999999999</v>
          </cell>
          <cell r="C335">
            <v>2.0253999999999999</v>
          </cell>
          <cell r="D335">
            <v>-0.13</v>
          </cell>
          <cell r="E335">
            <v>0.84289999999999998</v>
          </cell>
          <cell r="F335">
            <v>2.0484</v>
          </cell>
          <cell r="G335">
            <v>-0.32</v>
          </cell>
          <cell r="H335">
            <v>1.2876000000000001</v>
          </cell>
          <cell r="I335">
            <v>1.5139</v>
          </cell>
          <cell r="J335">
            <v>1.0680000000000001</v>
          </cell>
          <cell r="K335">
            <v>0.78559999999999997</v>
          </cell>
          <cell r="L335">
            <v>1.0383</v>
          </cell>
          <cell r="M335">
            <v>0.53159999999999996</v>
          </cell>
          <cell r="N335">
            <v>1.2876000000000001</v>
          </cell>
          <cell r="O335">
            <v>1.5139</v>
          </cell>
          <cell r="P335">
            <v>1.0680000000000001</v>
          </cell>
          <cell r="Q335">
            <v>1.3212999999999999</v>
          </cell>
          <cell r="R335">
            <v>0.95320000000000005</v>
          </cell>
          <cell r="S335">
            <v>1.0516000000000001</v>
          </cell>
          <cell r="U335">
            <v>-1.9398</v>
          </cell>
          <cell r="V335">
            <v>-0.51280000000000003</v>
          </cell>
          <cell r="W335">
            <v>-7.7299999999999994E-2</v>
          </cell>
          <cell r="X335">
            <v>5.8599999999999999E-2</v>
          </cell>
          <cell r="Z335">
            <v>0.42570000000000002</v>
          </cell>
          <cell r="AA335">
            <v>-1.8898999999999999</v>
          </cell>
          <cell r="AB335">
            <v>-0.97570000000000001</v>
          </cell>
          <cell r="AC335">
            <v>-2.7616000000000001</v>
          </cell>
          <cell r="AE335">
            <v>0.70884999999999998</v>
          </cell>
          <cell r="AF335">
            <v>-1.8898999999999999</v>
          </cell>
          <cell r="AG335">
            <v>0.55389999999999995</v>
          </cell>
          <cell r="AH335">
            <v>2.5413999999999999</v>
          </cell>
          <cell r="AK335">
            <v>0.53</v>
          </cell>
          <cell r="AN335">
            <v>0.3</v>
          </cell>
          <cell r="AO335">
            <v>0.17</v>
          </cell>
          <cell r="AP335">
            <v>0</v>
          </cell>
          <cell r="AR335">
            <v>1</v>
          </cell>
          <cell r="AS335">
            <v>0.17010400000000009</v>
          </cell>
          <cell r="AT335">
            <v>0.17010400000000009</v>
          </cell>
          <cell r="AU335">
            <v>0.375</v>
          </cell>
          <cell r="AV335">
            <v>0.04</v>
          </cell>
          <cell r="AW335">
            <v>0.04</v>
          </cell>
          <cell r="AY335">
            <v>0.17</v>
          </cell>
          <cell r="BB335">
            <v>0.27500000000000002</v>
          </cell>
          <cell r="BD335">
            <v>0.1</v>
          </cell>
          <cell r="BE335">
            <v>1</v>
          </cell>
          <cell r="BF335">
            <v>0.17765200000000003</v>
          </cell>
        </row>
        <row r="336">
          <cell r="A336">
            <v>37741</v>
          </cell>
          <cell r="B336">
            <v>8.2370000000000001</v>
          </cell>
          <cell r="C336">
            <v>6.6947000000000001</v>
          </cell>
          <cell r="D336">
            <v>9.89</v>
          </cell>
          <cell r="E336">
            <v>7.2603</v>
          </cell>
          <cell r="F336">
            <v>6.3780999999999999</v>
          </cell>
          <cell r="G336">
            <v>8.1199999999999992</v>
          </cell>
          <cell r="H336">
            <v>9.4817</v>
          </cell>
          <cell r="I336">
            <v>9.4640000000000004</v>
          </cell>
          <cell r="J336">
            <v>9.4984999999999999</v>
          </cell>
          <cell r="K336">
            <v>8.1156000000000006</v>
          </cell>
          <cell r="L336">
            <v>7.88</v>
          </cell>
          <cell r="M336">
            <v>8.3522999999999996</v>
          </cell>
          <cell r="N336">
            <v>9.4817</v>
          </cell>
          <cell r="O336">
            <v>9.4640000000000004</v>
          </cell>
          <cell r="P336">
            <v>9.4984999999999999</v>
          </cell>
          <cell r="Q336">
            <v>8.7239000000000004</v>
          </cell>
          <cell r="R336">
            <v>8.9121000000000006</v>
          </cell>
          <cell r="S336">
            <v>8.1658000000000008</v>
          </cell>
          <cell r="U336">
            <v>9.6359999999999992</v>
          </cell>
          <cell r="V336">
            <v>9.4913000000000007</v>
          </cell>
          <cell r="W336">
            <v>0.82540000000000002</v>
          </cell>
          <cell r="X336">
            <v>0.61870000000000003</v>
          </cell>
          <cell r="Z336">
            <v>2.4356</v>
          </cell>
          <cell r="AA336">
            <v>9.9158000000000008</v>
          </cell>
          <cell r="AB336">
            <v>8.7721999999999998</v>
          </cell>
          <cell r="AC336">
            <v>11.0212</v>
          </cell>
          <cell r="AE336">
            <v>6.3840999999999992</v>
          </cell>
          <cell r="AF336">
            <v>9.9158000000000008</v>
          </cell>
          <cell r="AG336">
            <v>0.62409999999999999</v>
          </cell>
          <cell r="AH336">
            <v>4.2079000000000004</v>
          </cell>
          <cell r="AK336">
            <v>0.53</v>
          </cell>
          <cell r="AN336">
            <v>0.3</v>
          </cell>
          <cell r="AO336">
            <v>0.17</v>
          </cell>
          <cell r="AP336">
            <v>0</v>
          </cell>
          <cell r="AR336">
            <v>1</v>
          </cell>
          <cell r="AS336">
            <v>6.2989160000000011</v>
          </cell>
          <cell r="AT336">
            <v>6.2989160000000011</v>
          </cell>
          <cell r="AU336">
            <v>0.375</v>
          </cell>
          <cell r="AV336">
            <v>0.04</v>
          </cell>
          <cell r="AW336">
            <v>0.04</v>
          </cell>
          <cell r="AY336">
            <v>0.17</v>
          </cell>
          <cell r="BB336">
            <v>0.27500000000000002</v>
          </cell>
          <cell r="BD336">
            <v>0.1</v>
          </cell>
          <cell r="BE336">
            <v>1</v>
          </cell>
          <cell r="BF336">
            <v>6.3096359999999994</v>
          </cell>
        </row>
        <row r="337">
          <cell r="A337">
            <v>37772</v>
          </cell>
          <cell r="B337">
            <v>5.2686999999999999</v>
          </cell>
          <cell r="C337">
            <v>3.2553000000000001</v>
          </cell>
          <cell r="D337">
            <v>7.36</v>
          </cell>
          <cell r="E337">
            <v>8.2873999999999999</v>
          </cell>
          <cell r="F337">
            <v>6.7592999999999996</v>
          </cell>
          <cell r="G337">
            <v>9.77</v>
          </cell>
          <cell r="H337">
            <v>10.731299999999999</v>
          </cell>
          <cell r="I337">
            <v>11.2691</v>
          </cell>
          <cell r="J337">
            <v>10.2105</v>
          </cell>
          <cell r="K337">
            <v>8.0639000000000003</v>
          </cell>
          <cell r="L337">
            <v>8.3495000000000008</v>
          </cell>
          <cell r="M337">
            <v>7.7790999999999997</v>
          </cell>
          <cell r="N337">
            <v>10.731299999999999</v>
          </cell>
          <cell r="O337">
            <v>11.2691</v>
          </cell>
          <cell r="P337">
            <v>10.2105</v>
          </cell>
          <cell r="Q337">
            <v>10.5954</v>
          </cell>
          <cell r="R337">
            <v>9.8348999999999993</v>
          </cell>
          <cell r="S337">
            <v>6.0364000000000004</v>
          </cell>
          <cell r="U337">
            <v>6.3705999999999996</v>
          </cell>
          <cell r="V337">
            <v>8.6176999999999992</v>
          </cell>
          <cell r="W337">
            <v>1.8645</v>
          </cell>
          <cell r="X337">
            <v>1.2423999999999999</v>
          </cell>
          <cell r="Z337">
            <v>3.6808000000000001</v>
          </cell>
          <cell r="AA337">
            <v>6.1520000000000001</v>
          </cell>
          <cell r="AB337">
            <v>5.2565</v>
          </cell>
          <cell r="AC337">
            <v>7.0003000000000002</v>
          </cell>
          <cell r="AE337">
            <v>4.4176500000000001</v>
          </cell>
          <cell r="AF337">
            <v>6.1520000000000001</v>
          </cell>
          <cell r="AG337">
            <v>0.62409999999999999</v>
          </cell>
          <cell r="AH337">
            <v>5.7362000000000002</v>
          </cell>
          <cell r="AK337">
            <v>0.53</v>
          </cell>
          <cell r="AN337">
            <v>0.3</v>
          </cell>
          <cell r="AO337">
            <v>0.17</v>
          </cell>
          <cell r="AP337">
            <v>0</v>
          </cell>
          <cell r="AR337">
            <v>1</v>
          </cell>
          <cell r="AS337">
            <v>4.3976009999999999</v>
          </cell>
          <cell r="AT337">
            <v>4.3976009999999999</v>
          </cell>
          <cell r="AU337">
            <v>0.375</v>
          </cell>
          <cell r="AV337">
            <v>0.04</v>
          </cell>
          <cell r="AW337">
            <v>0.04</v>
          </cell>
          <cell r="AY337">
            <v>0.17</v>
          </cell>
          <cell r="BB337">
            <v>0.27500000000000002</v>
          </cell>
          <cell r="BD337">
            <v>0.1</v>
          </cell>
          <cell r="BE337">
            <v>1</v>
          </cell>
          <cell r="BF337">
            <v>4.736853</v>
          </cell>
        </row>
        <row r="338">
          <cell r="A338">
            <v>37802</v>
          </cell>
          <cell r="B338">
            <v>1.2757000000000001</v>
          </cell>
          <cell r="C338">
            <v>1.8208</v>
          </cell>
          <cell r="D338">
            <v>0.73</v>
          </cell>
          <cell r="E338">
            <v>1.2746</v>
          </cell>
          <cell r="F338">
            <v>2.1533000000000002</v>
          </cell>
          <cell r="G338">
            <v>0.42</v>
          </cell>
          <cell r="H338">
            <v>1.8097000000000001</v>
          </cell>
          <cell r="I338">
            <v>1.9272</v>
          </cell>
          <cell r="J338">
            <v>1.6943999999999999</v>
          </cell>
          <cell r="K338">
            <v>2.5983000000000001</v>
          </cell>
          <cell r="L338">
            <v>2.5743</v>
          </cell>
          <cell r="M338">
            <v>2.6227</v>
          </cell>
          <cell r="N338">
            <v>1.8097000000000001</v>
          </cell>
          <cell r="O338">
            <v>1.9272</v>
          </cell>
          <cell r="P338">
            <v>1.6943999999999999</v>
          </cell>
          <cell r="Q338">
            <v>2.0592999999999999</v>
          </cell>
          <cell r="R338">
            <v>1.9105000000000001</v>
          </cell>
          <cell r="S338">
            <v>1.3494999999999999</v>
          </cell>
          <cell r="U338">
            <v>2.7681</v>
          </cell>
          <cell r="V338">
            <v>5.3686999999999996</v>
          </cell>
          <cell r="W338">
            <v>-0.1986</v>
          </cell>
          <cell r="X338">
            <v>2.1399999999999999E-2</v>
          </cell>
          <cell r="Z338">
            <v>0.78779999999999994</v>
          </cell>
          <cell r="AA338">
            <v>2.4750000000000001</v>
          </cell>
          <cell r="AB338">
            <v>1.7734000000000001</v>
          </cell>
          <cell r="AC338">
            <v>3.1758000000000002</v>
          </cell>
          <cell r="AE338">
            <v>0.90712500000000007</v>
          </cell>
          <cell r="AF338">
            <v>2.4750000000000001</v>
          </cell>
          <cell r="AG338">
            <v>0.62409999999999999</v>
          </cell>
          <cell r="AH338">
            <v>1.9499</v>
          </cell>
          <cell r="AK338">
            <v>0.53</v>
          </cell>
          <cell r="AN338">
            <v>0.3</v>
          </cell>
          <cell r="AO338">
            <v>0.17</v>
          </cell>
          <cell r="AP338">
            <v>0</v>
          </cell>
          <cell r="AR338">
            <v>1</v>
          </cell>
          <cell r="AS338">
            <v>1.0372910000000002</v>
          </cell>
          <cell r="AT338">
            <v>1.0372910000000002</v>
          </cell>
          <cell r="AU338">
            <v>0.375</v>
          </cell>
          <cell r="AV338">
            <v>0.04</v>
          </cell>
          <cell r="AW338">
            <v>0.04</v>
          </cell>
          <cell r="AY338">
            <v>0.17</v>
          </cell>
          <cell r="BB338">
            <v>0.27500000000000002</v>
          </cell>
          <cell r="BD338">
            <v>0.1</v>
          </cell>
          <cell r="BE338">
            <v>1</v>
          </cell>
          <cell r="BF338">
            <v>1.0586070000000001</v>
          </cell>
        </row>
        <row r="339">
          <cell r="A339">
            <v>37833</v>
          </cell>
          <cell r="B339">
            <v>1.7630999999999999</v>
          </cell>
          <cell r="C339">
            <v>1.3089999999999999</v>
          </cell>
          <cell r="D339">
            <v>2.2200000000000002</v>
          </cell>
          <cell r="E339">
            <v>3.5482</v>
          </cell>
          <cell r="F339">
            <v>4.0869</v>
          </cell>
          <cell r="G339">
            <v>3.01</v>
          </cell>
          <cell r="H339">
            <v>6.2569999999999997</v>
          </cell>
          <cell r="I339">
            <v>7.5597000000000003</v>
          </cell>
          <cell r="J339">
            <v>4.9869000000000003</v>
          </cell>
          <cell r="K339">
            <v>5.1992000000000003</v>
          </cell>
          <cell r="L339">
            <v>4.8342000000000001</v>
          </cell>
          <cell r="M339">
            <v>5.5631000000000004</v>
          </cell>
          <cell r="N339">
            <v>6.2569999999999997</v>
          </cell>
          <cell r="O339">
            <v>7.5597000000000003</v>
          </cell>
          <cell r="P339">
            <v>4.9869000000000003</v>
          </cell>
          <cell r="Q339">
            <v>6.6612999999999998</v>
          </cell>
          <cell r="R339">
            <v>5.3753000000000002</v>
          </cell>
          <cell r="S339">
            <v>2.294</v>
          </cell>
          <cell r="U339">
            <v>2.6642999999999999</v>
          </cell>
          <cell r="V339">
            <v>3.1141999999999999</v>
          </cell>
          <cell r="W339">
            <v>-3.3620000000000001</v>
          </cell>
          <cell r="X339">
            <v>-2.4081000000000001</v>
          </cell>
          <cell r="Z339">
            <v>0.27100000000000002</v>
          </cell>
          <cell r="AA339">
            <v>2.4356</v>
          </cell>
          <cell r="AB339">
            <v>1.3258000000000001</v>
          </cell>
          <cell r="AC339">
            <v>3.5305</v>
          </cell>
          <cell r="AE339">
            <v>0.48182499999999995</v>
          </cell>
          <cell r="AF339">
            <v>2.4356</v>
          </cell>
          <cell r="AG339">
            <v>0.69079999999999997</v>
          </cell>
          <cell r="AH339">
            <v>5.8014000000000001</v>
          </cell>
          <cell r="AK339">
            <v>0.53</v>
          </cell>
          <cell r="AN339">
            <v>0.3</v>
          </cell>
          <cell r="AO339">
            <v>0.17</v>
          </cell>
          <cell r="AP339">
            <v>0</v>
          </cell>
          <cell r="AR339">
            <v>1</v>
          </cell>
          <cell r="AS339">
            <v>0.33989500000000011</v>
          </cell>
          <cell r="AT339">
            <v>0.33989500000000011</v>
          </cell>
          <cell r="AU339">
            <v>0.375</v>
          </cell>
          <cell r="AV339">
            <v>0.04</v>
          </cell>
          <cell r="AW339">
            <v>0.04</v>
          </cell>
          <cell r="AY339">
            <v>0.17</v>
          </cell>
          <cell r="BB339">
            <v>0.27500000000000002</v>
          </cell>
          <cell r="BD339">
            <v>0.1</v>
          </cell>
          <cell r="BE339">
            <v>1</v>
          </cell>
          <cell r="BF339">
            <v>0.591055</v>
          </cell>
        </row>
        <row r="340">
          <cell r="A340">
            <v>37864</v>
          </cell>
          <cell r="B340">
            <v>1.9502999999999999</v>
          </cell>
          <cell r="C340">
            <v>1.7373000000000001</v>
          </cell>
          <cell r="D340">
            <v>2.16</v>
          </cell>
          <cell r="E340">
            <v>4.5361000000000002</v>
          </cell>
          <cell r="F340">
            <v>3.9809000000000001</v>
          </cell>
          <cell r="G340">
            <v>5.0999999999999996</v>
          </cell>
          <cell r="H340">
            <v>4.5849000000000002</v>
          </cell>
          <cell r="I340">
            <v>5.3712</v>
          </cell>
          <cell r="J340">
            <v>3.7985000000000002</v>
          </cell>
          <cell r="K340">
            <v>4.8669000000000002</v>
          </cell>
          <cell r="L340">
            <v>5.0644</v>
          </cell>
          <cell r="M340">
            <v>4.6721000000000004</v>
          </cell>
          <cell r="N340">
            <v>4.5849000000000002</v>
          </cell>
          <cell r="O340">
            <v>5.3712</v>
          </cell>
          <cell r="P340">
            <v>3.7985000000000002</v>
          </cell>
          <cell r="Q340">
            <v>5.3631000000000002</v>
          </cell>
          <cell r="R340">
            <v>4.6273999999999997</v>
          </cell>
          <cell r="S340">
            <v>2.2160000000000002</v>
          </cell>
          <cell r="U340">
            <v>2.9801000000000002</v>
          </cell>
          <cell r="V340">
            <v>6.6089000000000002</v>
          </cell>
          <cell r="W340">
            <v>0.66369999999999996</v>
          </cell>
          <cell r="X340">
            <v>0.434</v>
          </cell>
          <cell r="Z340">
            <v>1.0359</v>
          </cell>
          <cell r="AA340">
            <v>2.4323000000000001</v>
          </cell>
          <cell r="AB340">
            <v>1.8347</v>
          </cell>
          <cell r="AC340">
            <v>3.0108000000000001</v>
          </cell>
          <cell r="AE340">
            <v>1.6286499999999999</v>
          </cell>
          <cell r="AF340">
            <v>2.4323000000000001</v>
          </cell>
          <cell r="AG340">
            <v>0.69079999999999997</v>
          </cell>
          <cell r="AH340">
            <v>1.0726</v>
          </cell>
          <cell r="AK340">
            <v>0.53</v>
          </cell>
          <cell r="AN340">
            <v>0.3</v>
          </cell>
          <cell r="AO340">
            <v>0.17</v>
          </cell>
          <cell r="AP340">
            <v>0</v>
          </cell>
          <cell r="AR340">
            <v>1</v>
          </cell>
          <cell r="AS340">
            <v>1.6462600000000001</v>
          </cell>
          <cell r="AT340">
            <v>1.6462600000000001</v>
          </cell>
          <cell r="AU340">
            <v>0.375</v>
          </cell>
          <cell r="AV340">
            <v>0.04</v>
          </cell>
          <cell r="AW340">
            <v>0.04</v>
          </cell>
          <cell r="AY340">
            <v>0.17</v>
          </cell>
          <cell r="BB340">
            <v>0.27500000000000002</v>
          </cell>
          <cell r="BD340">
            <v>0.1</v>
          </cell>
          <cell r="BE340">
            <v>1</v>
          </cell>
          <cell r="BF340">
            <v>1.8550759999999999</v>
          </cell>
        </row>
        <row r="341">
          <cell r="A341">
            <v>37894</v>
          </cell>
          <cell r="B341">
            <v>-1.0619000000000001</v>
          </cell>
          <cell r="C341">
            <v>-0.30830000000000002</v>
          </cell>
          <cell r="D341">
            <v>-1.81</v>
          </cell>
          <cell r="E341">
            <v>-1.5309999999999999</v>
          </cell>
          <cell r="F341">
            <v>-2.0710000000000002</v>
          </cell>
          <cell r="G341">
            <v>-0.98</v>
          </cell>
          <cell r="H341">
            <v>-1.8459000000000001</v>
          </cell>
          <cell r="I341">
            <v>-2.5314000000000001</v>
          </cell>
          <cell r="J341">
            <v>-1.1471</v>
          </cell>
          <cell r="K341">
            <v>-2.9373999999999998</v>
          </cell>
          <cell r="L341">
            <v>-2.3050999999999999</v>
          </cell>
          <cell r="M341">
            <v>-3.5701000000000001</v>
          </cell>
          <cell r="N341">
            <v>-1.8459000000000001</v>
          </cell>
          <cell r="O341">
            <v>-2.5314000000000001</v>
          </cell>
          <cell r="P341">
            <v>-1.1471</v>
          </cell>
          <cell r="Q341">
            <v>-2.1463000000000001</v>
          </cell>
          <cell r="R341">
            <v>-1.3603000000000001</v>
          </cell>
          <cell r="S341">
            <v>-1.0857000000000001</v>
          </cell>
          <cell r="U341">
            <v>2.8001</v>
          </cell>
          <cell r="V341">
            <v>6.0042</v>
          </cell>
          <cell r="W341">
            <v>2.6469</v>
          </cell>
          <cell r="X341">
            <v>2.2119</v>
          </cell>
          <cell r="Z341">
            <v>1.2138</v>
          </cell>
          <cell r="AA341">
            <v>3.1025</v>
          </cell>
          <cell r="AB341">
            <v>3.4005000000000001</v>
          </cell>
          <cell r="AC341">
            <v>2.8176000000000001</v>
          </cell>
          <cell r="AE341">
            <v>-0.13470000000000004</v>
          </cell>
          <cell r="AF341">
            <v>3.1025</v>
          </cell>
          <cell r="AG341">
            <v>0.69079999999999997</v>
          </cell>
          <cell r="AH341">
            <v>3.3693</v>
          </cell>
          <cell r="AK341">
            <v>0.53</v>
          </cell>
          <cell r="AN341">
            <v>0.3</v>
          </cell>
          <cell r="AO341">
            <v>0.17</v>
          </cell>
          <cell r="AP341">
            <v>0</v>
          </cell>
          <cell r="AR341">
            <v>1</v>
          </cell>
          <cell r="AS341">
            <v>0.75868799999999992</v>
          </cell>
          <cell r="AT341">
            <v>0.75868799999999992</v>
          </cell>
          <cell r="AU341">
            <v>0.375</v>
          </cell>
          <cell r="AV341">
            <v>0.04</v>
          </cell>
          <cell r="AW341">
            <v>0.04</v>
          </cell>
          <cell r="AY341">
            <v>0.17</v>
          </cell>
          <cell r="BB341">
            <v>0.27500000000000002</v>
          </cell>
          <cell r="BD341">
            <v>0.1</v>
          </cell>
          <cell r="BE341">
            <v>1</v>
          </cell>
          <cell r="BF341">
            <v>0.70856400000000008</v>
          </cell>
        </row>
        <row r="342">
          <cell r="A342">
            <v>37925</v>
          </cell>
          <cell r="B342">
            <v>5.657</v>
          </cell>
          <cell r="C342">
            <v>4.4911000000000003</v>
          </cell>
          <cell r="D342">
            <v>6.84</v>
          </cell>
          <cell r="E342">
            <v>7.5613000000000001</v>
          </cell>
          <cell r="F342">
            <v>6.9249000000000001</v>
          </cell>
          <cell r="G342">
            <v>8.19</v>
          </cell>
          <cell r="H342">
            <v>8.3977000000000004</v>
          </cell>
          <cell r="I342">
            <v>8.6388999999999996</v>
          </cell>
          <cell r="J342">
            <v>8.1541999999999994</v>
          </cell>
          <cell r="K342">
            <v>8.6681000000000008</v>
          </cell>
          <cell r="L342">
            <v>9.0884</v>
          </cell>
          <cell r="M342">
            <v>8.2434999999999992</v>
          </cell>
          <cell r="N342">
            <v>8.3977000000000004</v>
          </cell>
          <cell r="O342">
            <v>8.6388999999999996</v>
          </cell>
          <cell r="P342">
            <v>8.1541999999999994</v>
          </cell>
          <cell r="Q342">
            <v>8.2228999999999992</v>
          </cell>
          <cell r="R342">
            <v>7.9013999999999998</v>
          </cell>
          <cell r="S342">
            <v>6.0518999999999998</v>
          </cell>
          <cell r="U342">
            <v>6.4821999999999997</v>
          </cell>
          <cell r="V342">
            <v>7.9889000000000001</v>
          </cell>
          <cell r="W342">
            <v>-0.93200000000000005</v>
          </cell>
          <cell r="X342">
            <v>-0.69920000000000004</v>
          </cell>
          <cell r="Z342">
            <v>2.4561000000000002</v>
          </cell>
          <cell r="AA342">
            <v>6.2393000000000001</v>
          </cell>
          <cell r="AB342">
            <v>5.7619999999999996</v>
          </cell>
          <cell r="AC342">
            <v>6.6985000000000001</v>
          </cell>
          <cell r="AE342">
            <v>4.0097500000000004</v>
          </cell>
          <cell r="AF342">
            <v>6.2393000000000001</v>
          </cell>
          <cell r="AG342">
            <v>0.65380000000000005</v>
          </cell>
          <cell r="AH342">
            <v>1.5221</v>
          </cell>
          <cell r="AK342">
            <v>0.56000000000000005</v>
          </cell>
          <cell r="AN342">
            <v>0.28000000000000003</v>
          </cell>
          <cell r="AO342">
            <v>0.16</v>
          </cell>
          <cell r="AP342">
            <v>0</v>
          </cell>
          <cell r="AR342">
            <v>1</v>
          </cell>
          <cell r="AS342">
            <v>3.9052480000000007</v>
          </cell>
          <cell r="AT342">
            <v>3.9052480000000007</v>
          </cell>
          <cell r="AU342">
            <v>0.38500000000000001</v>
          </cell>
          <cell r="AV342">
            <v>0.05</v>
          </cell>
          <cell r="AW342">
            <v>0.05</v>
          </cell>
          <cell r="AY342">
            <v>0.16</v>
          </cell>
          <cell r="BB342">
            <v>0.255</v>
          </cell>
          <cell r="BD342">
            <v>0.1</v>
          </cell>
          <cell r="BE342">
            <v>1</v>
          </cell>
          <cell r="BF342">
            <v>4.1374980000000008</v>
          </cell>
        </row>
        <row r="343">
          <cell r="A343">
            <v>37955</v>
          </cell>
          <cell r="B343">
            <v>0.87980000000000003</v>
          </cell>
          <cell r="C343">
            <v>0.86040000000000005</v>
          </cell>
          <cell r="D343">
            <v>0.9</v>
          </cell>
          <cell r="E343">
            <v>3.4839000000000002</v>
          </cell>
          <cell r="F343">
            <v>3.0078</v>
          </cell>
          <cell r="G343">
            <v>3.95</v>
          </cell>
          <cell r="H343">
            <v>3.5488</v>
          </cell>
          <cell r="I343">
            <v>3.2603</v>
          </cell>
          <cell r="J343">
            <v>3.8386</v>
          </cell>
          <cell r="K343">
            <v>3.7841999999999998</v>
          </cell>
          <cell r="L343">
            <v>3.4897999999999998</v>
          </cell>
          <cell r="M343">
            <v>4.2140000000000004</v>
          </cell>
          <cell r="N343">
            <v>3.5488</v>
          </cell>
          <cell r="O343">
            <v>3.2603</v>
          </cell>
          <cell r="P343">
            <v>3.8386</v>
          </cell>
          <cell r="Q343">
            <v>3.3834</v>
          </cell>
          <cell r="R343">
            <v>3.7644000000000002</v>
          </cell>
          <cell r="S343">
            <v>1.3774</v>
          </cell>
          <cell r="U343">
            <v>2.1806000000000001</v>
          </cell>
          <cell r="V343">
            <v>-0.40620000000000001</v>
          </cell>
          <cell r="W343">
            <v>0.23910000000000001</v>
          </cell>
          <cell r="X343">
            <v>0.16500000000000001</v>
          </cell>
          <cell r="Z343">
            <v>1.6962999999999999</v>
          </cell>
          <cell r="AA343">
            <v>2.2374999999999998</v>
          </cell>
          <cell r="AB343">
            <v>2.3512</v>
          </cell>
          <cell r="AC343">
            <v>2.1295999999999999</v>
          </cell>
          <cell r="AE343">
            <v>0.71962500000000007</v>
          </cell>
          <cell r="AF343">
            <v>2.2374999999999998</v>
          </cell>
          <cell r="AG343">
            <v>0.65380000000000005</v>
          </cell>
          <cell r="AH343">
            <v>4.3350999999999997</v>
          </cell>
          <cell r="AK343">
            <v>0.56000000000000005</v>
          </cell>
          <cell r="AN343">
            <v>0.28000000000000003</v>
          </cell>
          <cell r="AO343">
            <v>0.16</v>
          </cell>
          <cell r="AP343">
            <v>0</v>
          </cell>
          <cell r="AR343">
            <v>1</v>
          </cell>
          <cell r="AS343">
            <v>0.91763600000000001</v>
          </cell>
          <cell r="AT343">
            <v>0.91763600000000001</v>
          </cell>
          <cell r="AU343">
            <v>0.38500000000000001</v>
          </cell>
          <cell r="AV343">
            <v>0.05</v>
          </cell>
          <cell r="AW343">
            <v>0.05</v>
          </cell>
          <cell r="AY343">
            <v>0.16</v>
          </cell>
          <cell r="BB343">
            <v>0.255</v>
          </cell>
          <cell r="BD343">
            <v>0.1</v>
          </cell>
          <cell r="BE343">
            <v>1</v>
          </cell>
          <cell r="BF343">
            <v>1.1812909999999999</v>
          </cell>
        </row>
        <row r="344">
          <cell r="A344">
            <v>37986</v>
          </cell>
          <cell r="B344">
            <v>5.2443999999999997</v>
          </cell>
          <cell r="C344">
            <v>4.3064999999999998</v>
          </cell>
          <cell r="D344">
            <v>6.18</v>
          </cell>
          <cell r="E344">
            <v>1.6874</v>
          </cell>
          <cell r="F344">
            <v>-0.30130000000000001</v>
          </cell>
          <cell r="G344">
            <v>3.59</v>
          </cell>
          <cell r="H344">
            <v>2.0287999999999999</v>
          </cell>
          <cell r="I344">
            <v>0.4471</v>
          </cell>
          <cell r="J344">
            <v>3.6164999999999998</v>
          </cell>
          <cell r="K344">
            <v>1.7712000000000001</v>
          </cell>
          <cell r="L344">
            <v>0.48330000000000001</v>
          </cell>
          <cell r="M344">
            <v>3.0503999999999998</v>
          </cell>
          <cell r="N344">
            <v>2.0287999999999999</v>
          </cell>
          <cell r="O344">
            <v>0.4471</v>
          </cell>
          <cell r="P344">
            <v>3.6164999999999998</v>
          </cell>
          <cell r="Q344">
            <v>0.1057</v>
          </cell>
          <cell r="R344">
            <v>2.2073</v>
          </cell>
          <cell r="S344">
            <v>4.5739999999999998</v>
          </cell>
          <cell r="U344">
            <v>7.6345999999999998</v>
          </cell>
          <cell r="V344">
            <v>6.1003999999999996</v>
          </cell>
          <cell r="W344">
            <v>1.0176000000000001</v>
          </cell>
          <cell r="X344">
            <v>0.96199999999999997</v>
          </cell>
          <cell r="Z344">
            <v>2.3963000000000001</v>
          </cell>
          <cell r="AA344">
            <v>7.8170000000000002</v>
          </cell>
          <cell r="AB344">
            <v>6.8834999999999997</v>
          </cell>
          <cell r="AC344">
            <v>8.7447999999999997</v>
          </cell>
          <cell r="AE344">
            <v>4.1877000000000004</v>
          </cell>
          <cell r="AF344">
            <v>7.8170000000000002</v>
          </cell>
          <cell r="AG344">
            <v>0.65380000000000005</v>
          </cell>
          <cell r="AH344">
            <v>3.1789000000000001</v>
          </cell>
          <cell r="AK344">
            <v>0.56000000000000005</v>
          </cell>
          <cell r="AN344">
            <v>0.28000000000000003</v>
          </cell>
          <cell r="AO344">
            <v>0.16</v>
          </cell>
          <cell r="AP344">
            <v>0</v>
          </cell>
          <cell r="AR344">
            <v>1</v>
          </cell>
          <cell r="AS344">
            <v>4.472512</v>
          </cell>
          <cell r="AT344">
            <v>4.472512</v>
          </cell>
          <cell r="AU344">
            <v>0.38500000000000001</v>
          </cell>
          <cell r="AV344">
            <v>0.05</v>
          </cell>
          <cell r="AW344">
            <v>0.05</v>
          </cell>
          <cell r="AY344">
            <v>0.16</v>
          </cell>
          <cell r="BB344">
            <v>0.255</v>
          </cell>
          <cell r="BD344">
            <v>0.1</v>
          </cell>
          <cell r="BE344">
            <v>1</v>
          </cell>
          <cell r="BF344">
            <v>4.1338820000000007</v>
          </cell>
        </row>
        <row r="345">
          <cell r="A345">
            <v>38017</v>
          </cell>
          <cell r="B345">
            <v>1.8354999999999999</v>
          </cell>
          <cell r="C345">
            <v>1.903</v>
          </cell>
          <cell r="D345">
            <v>1.77</v>
          </cell>
          <cell r="E345">
            <v>2.1671</v>
          </cell>
          <cell r="F345">
            <v>1.6915</v>
          </cell>
          <cell r="G345">
            <v>2.62</v>
          </cell>
          <cell r="H345">
            <v>4.3445999999999998</v>
          </cell>
          <cell r="I345">
            <v>5.2534000000000001</v>
          </cell>
          <cell r="J345">
            <v>3.4575999999999998</v>
          </cell>
          <cell r="K345">
            <v>2.8751000000000002</v>
          </cell>
          <cell r="L345">
            <v>3.1482999999999999</v>
          </cell>
          <cell r="M345">
            <v>2.6404000000000001</v>
          </cell>
          <cell r="N345">
            <v>4.3445999999999998</v>
          </cell>
          <cell r="O345">
            <v>5.2534000000000001</v>
          </cell>
          <cell r="P345">
            <v>3.4575999999999998</v>
          </cell>
          <cell r="Q345">
            <v>4.1672000000000002</v>
          </cell>
          <cell r="R345">
            <v>3.6484000000000001</v>
          </cell>
          <cell r="S345">
            <v>2.0861000000000001</v>
          </cell>
          <cell r="U345">
            <v>1.6056999999999999</v>
          </cell>
          <cell r="V345">
            <v>5.0852000000000004</v>
          </cell>
          <cell r="W345">
            <v>0.80469999999999997</v>
          </cell>
          <cell r="X345">
            <v>0.65339999999999998</v>
          </cell>
          <cell r="Z345">
            <v>1.9973000000000001</v>
          </cell>
          <cell r="AA345">
            <v>1.4215</v>
          </cell>
          <cell r="AB345">
            <v>1.9584999999999999</v>
          </cell>
          <cell r="AC345">
            <v>0.89610000000000001</v>
          </cell>
          <cell r="AD345">
            <v>1.4806360000000003</v>
          </cell>
          <cell r="AE345">
            <v>1.4806360000000003</v>
          </cell>
          <cell r="AF345">
            <v>1.4215</v>
          </cell>
          <cell r="AG345">
            <v>0.9133</v>
          </cell>
          <cell r="AH345">
            <v>3.7246999999999999</v>
          </cell>
          <cell r="AK345">
            <v>0.56000000000000005</v>
          </cell>
          <cell r="AN345">
            <v>0.28000000000000003</v>
          </cell>
          <cell r="AO345">
            <v>0.16</v>
          </cell>
          <cell r="AP345">
            <v>0</v>
          </cell>
          <cell r="AR345">
            <v>1</v>
          </cell>
          <cell r="AS345">
            <v>1.4806360000000003</v>
          </cell>
          <cell r="AT345">
            <v>1.4806360000000003</v>
          </cell>
          <cell r="AU345">
            <v>0.40400000000000003</v>
          </cell>
          <cell r="AV345">
            <v>0.05</v>
          </cell>
          <cell r="AW345">
            <v>0.05</v>
          </cell>
          <cell r="AY345">
            <v>0.14399999999999999</v>
          </cell>
          <cell r="BB345">
            <v>0.252</v>
          </cell>
          <cell r="BD345">
            <v>0.1</v>
          </cell>
          <cell r="BE345">
            <v>1</v>
          </cell>
          <cell r="BF345">
            <v>1.622671</v>
          </cell>
        </row>
        <row r="346">
          <cell r="A346">
            <v>38046</v>
          </cell>
          <cell r="B346">
            <v>1.39</v>
          </cell>
          <cell r="C346">
            <v>0.51280000000000003</v>
          </cell>
          <cell r="D346">
            <v>2.2599999999999998</v>
          </cell>
          <cell r="E346">
            <v>2.4013</v>
          </cell>
          <cell r="F346">
            <v>2.1366000000000001</v>
          </cell>
          <cell r="G346">
            <v>2.65</v>
          </cell>
          <cell r="H346">
            <v>0.89639999999999997</v>
          </cell>
          <cell r="I346">
            <v>-0.1547</v>
          </cell>
          <cell r="J346">
            <v>1.9363999999999999</v>
          </cell>
          <cell r="K346">
            <v>1.9244000000000001</v>
          </cell>
          <cell r="L346">
            <v>2.2159</v>
          </cell>
          <cell r="M346">
            <v>1.6881999999999999</v>
          </cell>
          <cell r="N346">
            <v>0.89639999999999997</v>
          </cell>
          <cell r="O346">
            <v>-0.1547</v>
          </cell>
          <cell r="P346">
            <v>1.9363999999999999</v>
          </cell>
          <cell r="Q346">
            <v>0.93130000000000002</v>
          </cell>
          <cell r="R346">
            <v>1.5464</v>
          </cell>
          <cell r="S346">
            <v>1.3472</v>
          </cell>
          <cell r="U346">
            <v>2.5425</v>
          </cell>
          <cell r="V346">
            <v>2.8488000000000002</v>
          </cell>
          <cell r="W346">
            <v>1.0820000000000001</v>
          </cell>
          <cell r="X346">
            <v>0.94979999999999998</v>
          </cell>
          <cell r="Z346">
            <v>1.7496</v>
          </cell>
          <cell r="AA346">
            <v>2.3254999999999999</v>
          </cell>
          <cell r="AB346">
            <v>1.9105000000000001</v>
          </cell>
          <cell r="AC346">
            <v>2.7351999999999999</v>
          </cell>
          <cell r="AD346">
            <v>1.4534400000000001</v>
          </cell>
          <cell r="AE346">
            <v>1.4534400000000001</v>
          </cell>
          <cell r="AF346">
            <v>2.3254999999999999</v>
          </cell>
          <cell r="AG346">
            <v>0.9133</v>
          </cell>
          <cell r="AH346">
            <v>2.0552000000000001</v>
          </cell>
          <cell r="AK346">
            <v>0.56000000000000005</v>
          </cell>
          <cell r="AN346">
            <v>0.28000000000000003</v>
          </cell>
          <cell r="AO346">
            <v>0.16</v>
          </cell>
          <cell r="AP346">
            <v>0</v>
          </cell>
          <cell r="AR346">
            <v>1</v>
          </cell>
          <cell r="AS346">
            <v>1.4534400000000001</v>
          </cell>
          <cell r="AT346">
            <v>1.4534400000000001</v>
          </cell>
          <cell r="AU346">
            <v>0.40400000000000003</v>
          </cell>
          <cell r="AV346">
            <v>0.05</v>
          </cell>
          <cell r="AW346">
            <v>0.05</v>
          </cell>
          <cell r="AY346">
            <v>0.14399999999999999</v>
          </cell>
          <cell r="BB346">
            <v>0.252</v>
          </cell>
          <cell r="BD346">
            <v>0.1</v>
          </cell>
          <cell r="BE346">
            <v>1</v>
          </cell>
          <cell r="BF346">
            <v>1.4793249999999998</v>
          </cell>
        </row>
        <row r="347">
          <cell r="A347">
            <v>38077</v>
          </cell>
          <cell r="B347">
            <v>-1.5086999999999999</v>
          </cell>
          <cell r="C347">
            <v>-2.3443999999999998</v>
          </cell>
          <cell r="D347">
            <v>-0.69</v>
          </cell>
          <cell r="E347">
            <v>0.42459999999999998</v>
          </cell>
          <cell r="F347">
            <v>0.66800000000000004</v>
          </cell>
          <cell r="G347">
            <v>0.18</v>
          </cell>
          <cell r="H347">
            <v>0.93200000000000005</v>
          </cell>
          <cell r="I347">
            <v>0.46739999999999998</v>
          </cell>
          <cell r="J347">
            <v>1.3829</v>
          </cell>
          <cell r="K347">
            <v>1.3029999999999999</v>
          </cell>
          <cell r="L347">
            <v>1.3045</v>
          </cell>
          <cell r="M347">
            <v>1.3048</v>
          </cell>
          <cell r="N347">
            <v>0.93200000000000005</v>
          </cell>
          <cell r="O347">
            <v>0.46739999999999998</v>
          </cell>
          <cell r="P347">
            <v>1.3829</v>
          </cell>
          <cell r="Q347">
            <v>0.3493</v>
          </cell>
          <cell r="R347">
            <v>0.60099999999999998</v>
          </cell>
          <cell r="S347">
            <v>-1.1870000000000001</v>
          </cell>
          <cell r="U347">
            <v>0.61529999999999996</v>
          </cell>
          <cell r="V347">
            <v>4.1451000000000002</v>
          </cell>
          <cell r="W347">
            <v>0.74960000000000004</v>
          </cell>
          <cell r="X347">
            <v>0.64639999999999997</v>
          </cell>
          <cell r="Z347">
            <v>0.2019</v>
          </cell>
          <cell r="AA347">
            <v>0.60189999999999999</v>
          </cell>
          <cell r="AB347">
            <v>0.1113</v>
          </cell>
          <cell r="AC347">
            <v>1.0851</v>
          </cell>
          <cell r="AD347">
            <v>-0.53868000000000005</v>
          </cell>
          <cell r="AE347">
            <v>-0.53868000000000005</v>
          </cell>
          <cell r="AF347">
            <v>0.60189999999999999</v>
          </cell>
          <cell r="AG347">
            <v>0.9133</v>
          </cell>
          <cell r="AH347">
            <v>5.9141000000000004</v>
          </cell>
          <cell r="AK347">
            <v>0.56000000000000005</v>
          </cell>
          <cell r="AN347">
            <v>0.28000000000000003</v>
          </cell>
          <cell r="AO347">
            <v>0.16</v>
          </cell>
          <cell r="AP347">
            <v>0</v>
          </cell>
          <cell r="AR347">
            <v>1</v>
          </cell>
          <cell r="AS347">
            <v>-0.53868000000000005</v>
          </cell>
          <cell r="AT347">
            <v>-0.53868000000000005</v>
          </cell>
          <cell r="AU347">
            <v>0.40400000000000003</v>
          </cell>
          <cell r="AV347">
            <v>0.05</v>
          </cell>
          <cell r="AW347">
            <v>0.05</v>
          </cell>
          <cell r="AY347">
            <v>0.14399999999999999</v>
          </cell>
          <cell r="BB347">
            <v>0.252</v>
          </cell>
          <cell r="BD347">
            <v>0.1</v>
          </cell>
          <cell r="BE347">
            <v>1</v>
          </cell>
          <cell r="BF347">
            <v>-0.31998000000000004</v>
          </cell>
        </row>
        <row r="348">
          <cell r="A348">
            <v>38107</v>
          </cell>
          <cell r="B348">
            <v>-1.5698000000000001</v>
          </cell>
          <cell r="C348">
            <v>-0.62429999999999997</v>
          </cell>
          <cell r="D348">
            <v>-2.4700000000000002</v>
          </cell>
          <cell r="E348">
            <v>-3.2824</v>
          </cell>
          <cell r="F348">
            <v>-2.6859999999999999</v>
          </cell>
          <cell r="G348">
            <v>-3.87</v>
          </cell>
          <cell r="H348">
            <v>-5.0983999999999998</v>
          </cell>
          <cell r="I348">
            <v>-5.0198</v>
          </cell>
          <cell r="J348">
            <v>-5.1715</v>
          </cell>
          <cell r="K348">
            <v>-3.3155000000000001</v>
          </cell>
          <cell r="L348">
            <v>-2.6423000000000001</v>
          </cell>
          <cell r="M348">
            <v>-3.9508999999999999</v>
          </cell>
          <cell r="N348">
            <v>-5.0983999999999998</v>
          </cell>
          <cell r="O348">
            <v>-5.0198</v>
          </cell>
          <cell r="P348">
            <v>-5.1715</v>
          </cell>
          <cell r="Q348">
            <v>-4.2423000000000002</v>
          </cell>
          <cell r="R348">
            <v>-4.8033000000000001</v>
          </cell>
          <cell r="S348">
            <v>-2.0676000000000001</v>
          </cell>
          <cell r="U348">
            <v>-3.1076000000000001</v>
          </cell>
          <cell r="V348">
            <v>-2.9988999999999999</v>
          </cell>
          <cell r="W348">
            <v>-2.6021999999999998</v>
          </cell>
          <cell r="X348">
            <v>-2.1454</v>
          </cell>
          <cell r="Z348">
            <v>-1.4046000000000001</v>
          </cell>
          <cell r="AA348">
            <v>-2.1772999999999998</v>
          </cell>
          <cell r="AB348">
            <v>-2.4140999999999999</v>
          </cell>
          <cell r="AC348">
            <v>-1.9460999999999999</v>
          </cell>
          <cell r="AD348">
            <v>-1.956072</v>
          </cell>
          <cell r="AE348">
            <v>-1.956072</v>
          </cell>
          <cell r="AF348">
            <v>-2.1772999999999998</v>
          </cell>
          <cell r="AG348">
            <v>0.84760000000000002</v>
          </cell>
          <cell r="AH348">
            <v>-13.880599999999999</v>
          </cell>
          <cell r="AK348">
            <v>0.56000000000000005</v>
          </cell>
          <cell r="AN348">
            <v>0.28000000000000003</v>
          </cell>
          <cell r="AO348">
            <v>0.16</v>
          </cell>
          <cell r="AP348">
            <v>0</v>
          </cell>
          <cell r="AR348">
            <v>1</v>
          </cell>
          <cell r="AS348">
            <v>-1.956072</v>
          </cell>
          <cell r="AT348">
            <v>-1.956072</v>
          </cell>
          <cell r="AU348">
            <v>0.40400000000000003</v>
          </cell>
          <cell r="AV348">
            <v>0.05</v>
          </cell>
          <cell r="AW348">
            <v>0.05</v>
          </cell>
          <cell r="AY348">
            <v>0.14399999999999999</v>
          </cell>
          <cell r="BB348">
            <v>0.252</v>
          </cell>
          <cell r="BD348">
            <v>0.1</v>
          </cell>
          <cell r="BE348">
            <v>1</v>
          </cell>
          <cell r="BF348">
            <v>-2.2181320000000002</v>
          </cell>
        </row>
        <row r="349">
          <cell r="A349">
            <v>38138</v>
          </cell>
          <cell r="B349">
            <v>1.3723000000000001</v>
          </cell>
          <cell r="C349">
            <v>1.5993999999999999</v>
          </cell>
          <cell r="D349">
            <v>1.1499999999999999</v>
          </cell>
          <cell r="E349">
            <v>2.0743</v>
          </cell>
          <cell r="F349">
            <v>2.0676999999999999</v>
          </cell>
          <cell r="G349">
            <v>2.09</v>
          </cell>
          <cell r="H349">
            <v>1.5915999999999999</v>
          </cell>
          <cell r="I349">
            <v>1.9892000000000001</v>
          </cell>
          <cell r="J349">
            <v>1.2071000000000001</v>
          </cell>
          <cell r="K349">
            <v>1.5303</v>
          </cell>
          <cell r="L349">
            <v>1.2614000000000001</v>
          </cell>
          <cell r="M349">
            <v>1.7664</v>
          </cell>
          <cell r="N349">
            <v>1.5915999999999999</v>
          </cell>
          <cell r="O349">
            <v>1.9892000000000001</v>
          </cell>
          <cell r="P349">
            <v>1.2071000000000001</v>
          </cell>
          <cell r="Q349">
            <v>2.0811000000000002</v>
          </cell>
          <cell r="R349">
            <v>2.0409999999999999</v>
          </cell>
          <cell r="S349">
            <v>1.4533</v>
          </cell>
          <cell r="U349">
            <v>0.31619999999999998</v>
          </cell>
          <cell r="V349">
            <v>-1.5590999999999999</v>
          </cell>
          <cell r="W349">
            <v>-0.40029999999999999</v>
          </cell>
          <cell r="X349">
            <v>-0.35089999999999999</v>
          </cell>
          <cell r="Z349">
            <v>-0.36230000000000001</v>
          </cell>
          <cell r="AA349">
            <v>0.43309999999999998</v>
          </cell>
          <cell r="AB349">
            <v>-0.1148</v>
          </cell>
          <cell r="AC349">
            <v>0.96619999999999995</v>
          </cell>
          <cell r="AD349">
            <v>0.72570000000000012</v>
          </cell>
          <cell r="AE349">
            <v>0.72570000000000012</v>
          </cell>
          <cell r="AF349">
            <v>0.43309999999999998</v>
          </cell>
          <cell r="AG349">
            <v>0.84760000000000002</v>
          </cell>
          <cell r="AH349">
            <v>7.5213999999999999</v>
          </cell>
          <cell r="AK349">
            <v>0.56000000000000005</v>
          </cell>
          <cell r="AN349">
            <v>0.28000000000000003</v>
          </cell>
          <cell r="AO349">
            <v>0.16</v>
          </cell>
          <cell r="AP349">
            <v>0</v>
          </cell>
          <cell r="AR349">
            <v>1</v>
          </cell>
          <cell r="AS349">
            <v>0.72570000000000012</v>
          </cell>
          <cell r="AT349">
            <v>0.72570000000000012</v>
          </cell>
          <cell r="AU349">
            <v>0.40400000000000003</v>
          </cell>
          <cell r="AV349">
            <v>0.05</v>
          </cell>
          <cell r="AW349">
            <v>0.05</v>
          </cell>
          <cell r="AY349">
            <v>0.14399999999999999</v>
          </cell>
          <cell r="BB349">
            <v>0.252</v>
          </cell>
          <cell r="BD349">
            <v>0.1</v>
          </cell>
          <cell r="BE349">
            <v>1</v>
          </cell>
          <cell r="BF349">
            <v>0.77176500000000015</v>
          </cell>
        </row>
        <row r="350">
          <cell r="A350">
            <v>38168</v>
          </cell>
          <cell r="B350">
            <v>1.9444999999999999</v>
          </cell>
          <cell r="C350">
            <v>1.7122999999999999</v>
          </cell>
          <cell r="D350">
            <v>2.17</v>
          </cell>
          <cell r="E350">
            <v>2.2759999999999998</v>
          </cell>
          <cell r="F350">
            <v>1.4448000000000001</v>
          </cell>
          <cell r="G350">
            <v>3.11</v>
          </cell>
          <cell r="H350">
            <v>4.2114000000000003</v>
          </cell>
          <cell r="I350">
            <v>3.3273999999999999</v>
          </cell>
          <cell r="J350">
            <v>5.0789</v>
          </cell>
          <cell r="K350">
            <v>5.5397999999999996</v>
          </cell>
          <cell r="L350">
            <v>5.0023</v>
          </cell>
          <cell r="M350">
            <v>6.0114999999999998</v>
          </cell>
          <cell r="N350">
            <v>4.2114000000000003</v>
          </cell>
          <cell r="O350">
            <v>3.3273999999999999</v>
          </cell>
          <cell r="P350">
            <v>5.0789</v>
          </cell>
          <cell r="Q350">
            <v>2.4386000000000001</v>
          </cell>
          <cell r="R350">
            <v>3.2898000000000001</v>
          </cell>
          <cell r="S350">
            <v>1.9875</v>
          </cell>
          <cell r="U350">
            <v>2.1675</v>
          </cell>
          <cell r="V350">
            <v>5.4177</v>
          </cell>
          <cell r="W350">
            <v>0.56520000000000004</v>
          </cell>
          <cell r="X350">
            <v>0.52800000000000002</v>
          </cell>
          <cell r="Z350">
            <v>0.65580000000000005</v>
          </cell>
          <cell r="AA350">
            <v>2.2317</v>
          </cell>
          <cell r="AB350">
            <v>1.304</v>
          </cell>
          <cell r="AC350">
            <v>3.1337999999999999</v>
          </cell>
          <cell r="AD350">
            <v>1.6042480000000001</v>
          </cell>
          <cell r="AE350">
            <v>1.6042480000000001</v>
          </cell>
          <cell r="AF350">
            <v>2.2317</v>
          </cell>
          <cell r="AG350">
            <v>0.84760000000000002</v>
          </cell>
          <cell r="AH350">
            <v>3.1036999999999999</v>
          </cell>
          <cell r="AK350">
            <v>0.56000000000000005</v>
          </cell>
          <cell r="AN350">
            <v>0.28000000000000003</v>
          </cell>
          <cell r="AO350">
            <v>0.16</v>
          </cell>
          <cell r="AP350">
            <v>0</v>
          </cell>
          <cell r="AR350">
            <v>1</v>
          </cell>
          <cell r="AS350">
            <v>1.6042480000000001</v>
          </cell>
          <cell r="AT350">
            <v>1.6042480000000001</v>
          </cell>
          <cell r="AU350">
            <v>0.40400000000000003</v>
          </cell>
          <cell r="AV350">
            <v>0.05</v>
          </cell>
          <cell r="AW350">
            <v>0.05</v>
          </cell>
          <cell r="AY350">
            <v>0.14399999999999999</v>
          </cell>
          <cell r="BB350">
            <v>0.252</v>
          </cell>
          <cell r="BD350">
            <v>0.1</v>
          </cell>
          <cell r="BE350">
            <v>1</v>
          </cell>
          <cell r="BF350">
            <v>1.7341680000000004</v>
          </cell>
        </row>
        <row r="351">
          <cell r="A351">
            <v>38199</v>
          </cell>
          <cell r="B351">
            <v>-3.3096999999999999</v>
          </cell>
          <cell r="C351">
            <v>-4.7263000000000002</v>
          </cell>
          <cell r="D351">
            <v>-1.9</v>
          </cell>
          <cell r="E351">
            <v>-4.6662999999999997</v>
          </cell>
          <cell r="F351">
            <v>-4.9828999999999999</v>
          </cell>
          <cell r="G351">
            <v>-4.34</v>
          </cell>
          <cell r="H351">
            <v>-6.7332999999999998</v>
          </cell>
          <cell r="I351">
            <v>-8.9760000000000009</v>
          </cell>
          <cell r="J351">
            <v>-4.5971000000000002</v>
          </cell>
          <cell r="K351">
            <v>-5.4787999999999997</v>
          </cell>
          <cell r="L351">
            <v>-5.3513000000000002</v>
          </cell>
          <cell r="M351">
            <v>-5.6058000000000003</v>
          </cell>
          <cell r="N351">
            <v>-6.7332999999999998</v>
          </cell>
          <cell r="O351">
            <v>-8.9760000000000009</v>
          </cell>
          <cell r="P351">
            <v>-4.5971000000000002</v>
          </cell>
          <cell r="Q351">
            <v>-7.8258999999999999</v>
          </cell>
          <cell r="R351">
            <v>-5.8188000000000004</v>
          </cell>
          <cell r="S351">
            <v>-3.7814999999999999</v>
          </cell>
          <cell r="U351">
            <v>-2.9142999999999999</v>
          </cell>
          <cell r="V351">
            <v>-4.5090000000000003</v>
          </cell>
          <cell r="W351">
            <v>0.99119999999999997</v>
          </cell>
          <cell r="X351">
            <v>0.8679</v>
          </cell>
          <cell r="Z351">
            <v>-1.4205000000000001</v>
          </cell>
          <cell r="AA351">
            <v>-3.2315999999999998</v>
          </cell>
          <cell r="AB351">
            <v>-4.0529000000000002</v>
          </cell>
          <cell r="AC351">
            <v>-2.4499</v>
          </cell>
          <cell r="AD351">
            <v>-2.0929520000000004</v>
          </cell>
          <cell r="AE351">
            <v>-2.0929520000000004</v>
          </cell>
          <cell r="AF351">
            <v>-3.2315999999999998</v>
          </cell>
          <cell r="AG351">
            <v>1.0314000000000001</v>
          </cell>
          <cell r="AH351">
            <v>0.52470000000000006</v>
          </cell>
          <cell r="AK351">
            <v>0.56000000000000005</v>
          </cell>
          <cell r="AN351">
            <v>0.28000000000000003</v>
          </cell>
          <cell r="AO351">
            <v>0.16</v>
          </cell>
          <cell r="AP351">
            <v>0</v>
          </cell>
          <cell r="AR351">
            <v>1</v>
          </cell>
          <cell r="AS351">
            <v>-2.0929520000000004</v>
          </cell>
          <cell r="AT351">
            <v>-2.0929520000000004</v>
          </cell>
          <cell r="AU351">
            <v>0.40400000000000003</v>
          </cell>
          <cell r="AV351">
            <v>0.05</v>
          </cell>
          <cell r="AW351">
            <v>0.05</v>
          </cell>
          <cell r="AY351">
            <v>0.14399999999999999</v>
          </cell>
          <cell r="BB351">
            <v>0.252</v>
          </cell>
          <cell r="BD351">
            <v>0.1</v>
          </cell>
          <cell r="BE351">
            <v>1</v>
          </cell>
          <cell r="BF351">
            <v>-2.3319620000000003</v>
          </cell>
        </row>
        <row r="352">
          <cell r="A352">
            <v>38230</v>
          </cell>
          <cell r="B352">
            <v>0.40450000000000003</v>
          </cell>
          <cell r="C352">
            <v>-0.2893</v>
          </cell>
          <cell r="D352">
            <v>1.08</v>
          </cell>
          <cell r="E352">
            <v>-0.26179999999999998</v>
          </cell>
          <cell r="F352">
            <v>-1.2422</v>
          </cell>
          <cell r="G352">
            <v>0.7</v>
          </cell>
          <cell r="H352">
            <v>-0.51400000000000001</v>
          </cell>
          <cell r="I352">
            <v>-2.1528999999999998</v>
          </cell>
          <cell r="J352">
            <v>0.98089999999999999</v>
          </cell>
          <cell r="K352">
            <v>-0.88249999999999995</v>
          </cell>
          <cell r="L352">
            <v>-1.0109999999999999</v>
          </cell>
          <cell r="M352">
            <v>-0.75229999999999997</v>
          </cell>
          <cell r="N352">
            <v>-0.51400000000000001</v>
          </cell>
          <cell r="O352">
            <v>-2.1528999999999998</v>
          </cell>
          <cell r="P352">
            <v>0.98089999999999999</v>
          </cell>
          <cell r="Q352">
            <v>-2.012</v>
          </cell>
          <cell r="R352">
            <v>-0.25559999999999999</v>
          </cell>
          <cell r="S352">
            <v>0.4118</v>
          </cell>
          <cell r="U352">
            <v>0.80079999999999996</v>
          </cell>
          <cell r="V352">
            <v>0.72960000000000003</v>
          </cell>
          <cell r="W352">
            <v>1.9075</v>
          </cell>
          <cell r="X352">
            <v>1.6357999999999999</v>
          </cell>
          <cell r="Z352">
            <v>8.77E-2</v>
          </cell>
          <cell r="AA352">
            <v>0.46429999999999999</v>
          </cell>
          <cell r="AB352">
            <v>0.1221</v>
          </cell>
          <cell r="AC352">
            <v>0.78249999999999997</v>
          </cell>
          <cell r="AD352">
            <v>0.83490800000000009</v>
          </cell>
          <cell r="AE352">
            <v>0.83490800000000009</v>
          </cell>
          <cell r="AF352">
            <v>0.46429999999999999</v>
          </cell>
          <cell r="AG352">
            <v>1.0314000000000001</v>
          </cell>
          <cell r="AH352">
            <v>7.8085000000000004</v>
          </cell>
          <cell r="AK352">
            <v>0.56000000000000005</v>
          </cell>
          <cell r="AN352">
            <v>0.28000000000000003</v>
          </cell>
          <cell r="AO352">
            <v>0.16</v>
          </cell>
          <cell r="AP352">
            <v>0</v>
          </cell>
          <cell r="AR352">
            <v>1</v>
          </cell>
          <cell r="AS352">
            <v>0.83490800000000009</v>
          </cell>
          <cell r="AT352">
            <v>0.83490800000000009</v>
          </cell>
          <cell r="AU352">
            <v>0.40400000000000003</v>
          </cell>
          <cell r="AV352">
            <v>0.05</v>
          </cell>
          <cell r="AW352">
            <v>0.05</v>
          </cell>
          <cell r="AY352">
            <v>0.14399999999999999</v>
          </cell>
          <cell r="BB352">
            <v>0.252</v>
          </cell>
          <cell r="BD352">
            <v>0.1</v>
          </cell>
          <cell r="BE352">
            <v>1</v>
          </cell>
          <cell r="BF352">
            <v>0.75566800000000001</v>
          </cell>
        </row>
        <row r="353">
          <cell r="A353">
            <v>38260</v>
          </cell>
          <cell r="B353">
            <v>1.0831</v>
          </cell>
          <cell r="C353">
            <v>0.24</v>
          </cell>
          <cell r="D353">
            <v>1.9</v>
          </cell>
          <cell r="E353">
            <v>2.9615</v>
          </cell>
          <cell r="F353">
            <v>2.9182000000000001</v>
          </cell>
          <cell r="G353">
            <v>3</v>
          </cell>
          <cell r="H353">
            <v>4.6946000000000003</v>
          </cell>
          <cell r="I353">
            <v>5.5294999999999996</v>
          </cell>
          <cell r="J353">
            <v>3.9556</v>
          </cell>
          <cell r="K353">
            <v>5.2731000000000003</v>
          </cell>
          <cell r="L353">
            <v>5.6890999999999998</v>
          </cell>
          <cell r="M353">
            <v>4.8685999999999998</v>
          </cell>
          <cell r="N353">
            <v>4.6946000000000003</v>
          </cell>
          <cell r="O353">
            <v>5.5294999999999996</v>
          </cell>
          <cell r="P353">
            <v>3.9556</v>
          </cell>
          <cell r="Q353">
            <v>4.5109000000000004</v>
          </cell>
          <cell r="R353">
            <v>3.7715999999999998</v>
          </cell>
          <cell r="S353">
            <v>1.5371999999999999</v>
          </cell>
          <cell r="U353">
            <v>3.2151999999999998</v>
          </cell>
          <cell r="V353">
            <v>2.3934000000000002</v>
          </cell>
          <cell r="W353">
            <v>0.27129999999999999</v>
          </cell>
          <cell r="X353">
            <v>0.1658</v>
          </cell>
          <cell r="Z353">
            <v>2.3597999999999999</v>
          </cell>
          <cell r="AA353">
            <v>2.6282999999999999</v>
          </cell>
          <cell r="AB353">
            <v>2.4786999999999999</v>
          </cell>
          <cell r="AC353">
            <v>2.7669999999999999</v>
          </cell>
          <cell r="AD353">
            <v>1.1030280000000001</v>
          </cell>
          <cell r="AE353">
            <v>1.1030280000000001</v>
          </cell>
          <cell r="AF353">
            <v>2.6282999999999999</v>
          </cell>
          <cell r="AG353">
            <v>1.0314000000000001</v>
          </cell>
          <cell r="AH353">
            <v>-0.20949999999999999</v>
          </cell>
          <cell r="AK353">
            <v>0.56000000000000005</v>
          </cell>
          <cell r="AN353">
            <v>0.28000000000000003</v>
          </cell>
          <cell r="AO353">
            <v>0.16</v>
          </cell>
          <cell r="AP353">
            <v>0</v>
          </cell>
          <cell r="AR353">
            <v>1</v>
          </cell>
          <cell r="AS353">
            <v>1.1030280000000001</v>
          </cell>
          <cell r="AT353">
            <v>1.1030280000000001</v>
          </cell>
          <cell r="AU353">
            <v>0.40400000000000003</v>
          </cell>
          <cell r="AV353">
            <v>0.05</v>
          </cell>
          <cell r="AW353">
            <v>0.05</v>
          </cell>
          <cell r="AY353">
            <v>0.14399999999999999</v>
          </cell>
          <cell r="BB353">
            <v>0.252</v>
          </cell>
          <cell r="BD353">
            <v>0.1</v>
          </cell>
          <cell r="BE353">
            <v>1</v>
          </cell>
          <cell r="BF353">
            <v>1.3775229999999998</v>
          </cell>
        </row>
        <row r="354">
          <cell r="A354">
            <v>38291</v>
          </cell>
          <cell r="B354">
            <v>1.5277000000000001</v>
          </cell>
          <cell r="C354">
            <v>1.5457000000000001</v>
          </cell>
          <cell r="D354">
            <v>1.51</v>
          </cell>
          <cell r="E354">
            <v>1.5996999999999999</v>
          </cell>
          <cell r="F354">
            <v>2.4243999999999999</v>
          </cell>
          <cell r="G354">
            <v>0.82</v>
          </cell>
          <cell r="H354">
            <v>1.9683999999999999</v>
          </cell>
          <cell r="I354">
            <v>2.4298000000000002</v>
          </cell>
          <cell r="J354">
            <v>1.5535000000000001</v>
          </cell>
          <cell r="K354">
            <v>1.8653</v>
          </cell>
          <cell r="L354">
            <v>2.7713000000000001</v>
          </cell>
          <cell r="M354">
            <v>0.98080000000000001</v>
          </cell>
          <cell r="N354">
            <v>1.9683999999999999</v>
          </cell>
          <cell r="O354">
            <v>2.4298000000000002</v>
          </cell>
          <cell r="P354">
            <v>1.5535000000000001</v>
          </cell>
          <cell r="Q354">
            <v>2.8384</v>
          </cell>
          <cell r="R354">
            <v>2.2808000000000002</v>
          </cell>
          <cell r="S354">
            <v>1.6424000000000001</v>
          </cell>
          <cell r="U354">
            <v>3.4782000000000002</v>
          </cell>
          <cell r="V354">
            <v>3.762</v>
          </cell>
          <cell r="W354">
            <v>0.83860000000000001</v>
          </cell>
          <cell r="X354">
            <v>0.72929999999999995</v>
          </cell>
          <cell r="Z354">
            <v>1.4432</v>
          </cell>
          <cell r="AA354">
            <v>3.4159999999999999</v>
          </cell>
          <cell r="AB354">
            <v>3.3511000000000002</v>
          </cell>
          <cell r="AC354">
            <v>3.4763000000000002</v>
          </cell>
          <cell r="AD354">
            <v>1.6368800000000001</v>
          </cell>
          <cell r="AE354">
            <v>1.6368800000000001</v>
          </cell>
          <cell r="AF354">
            <v>3.4159999999999999</v>
          </cell>
          <cell r="AG354">
            <v>1.1284000000000001</v>
          </cell>
          <cell r="AH354">
            <v>5.4138000000000002</v>
          </cell>
          <cell r="AK354">
            <v>0.56000000000000005</v>
          </cell>
          <cell r="AN354">
            <v>0.28000000000000003</v>
          </cell>
          <cell r="AO354">
            <v>0.16</v>
          </cell>
          <cell r="AP354">
            <v>0</v>
          </cell>
          <cell r="AR354">
            <v>1</v>
          </cell>
          <cell r="AS354">
            <v>1.6368800000000001</v>
          </cell>
          <cell r="AT354">
            <v>1.6368800000000001</v>
          </cell>
          <cell r="AU354">
            <v>0.40400000000000003</v>
          </cell>
          <cell r="AV354">
            <v>0.05</v>
          </cell>
          <cell r="AW354">
            <v>0.05</v>
          </cell>
          <cell r="AY354">
            <v>0.14399999999999999</v>
          </cell>
          <cell r="BB354">
            <v>0.252</v>
          </cell>
          <cell r="BD354">
            <v>0.1</v>
          </cell>
          <cell r="BE354">
            <v>1</v>
          </cell>
          <cell r="BF354">
            <v>1.662515</v>
          </cell>
        </row>
        <row r="355">
          <cell r="A355">
            <v>38321</v>
          </cell>
          <cell r="B355">
            <v>4.0461</v>
          </cell>
          <cell r="C355">
            <v>3.1642999999999999</v>
          </cell>
          <cell r="D355">
            <v>4.8799000000000001</v>
          </cell>
          <cell r="E355">
            <v>5.9550999999999998</v>
          </cell>
          <cell r="F355">
            <v>4.7504</v>
          </cell>
          <cell r="G355">
            <v>7.1116000000000001</v>
          </cell>
          <cell r="H355">
            <v>8.6738</v>
          </cell>
          <cell r="I355">
            <v>8.4526000000000003</v>
          </cell>
          <cell r="J355">
            <v>8.8736999999999995</v>
          </cell>
          <cell r="K355">
            <v>8.5455000000000005</v>
          </cell>
          <cell r="L355">
            <v>7.7103000000000002</v>
          </cell>
          <cell r="M355">
            <v>9.3887</v>
          </cell>
          <cell r="N355">
            <v>8.6738</v>
          </cell>
          <cell r="O355">
            <v>8.4526000000000003</v>
          </cell>
          <cell r="P355">
            <v>8.8736999999999995</v>
          </cell>
          <cell r="Q355">
            <v>6.6334999999999997</v>
          </cell>
          <cell r="R355">
            <v>7.4668000000000001</v>
          </cell>
          <cell r="S355">
            <v>4.6486000000000001</v>
          </cell>
          <cell r="U355">
            <v>6.9408000000000003</v>
          </cell>
          <cell r="V355">
            <v>7.9733000000000001</v>
          </cell>
          <cell r="W355">
            <v>-0.79759999999999998</v>
          </cell>
          <cell r="X355">
            <v>-0.64100000000000001</v>
          </cell>
          <cell r="Z355">
            <v>3.2401</v>
          </cell>
          <cell r="AA355">
            <v>6.859</v>
          </cell>
          <cell r="AB355">
            <v>6.923</v>
          </cell>
          <cell r="AC355">
            <v>6.7995999999999999</v>
          </cell>
          <cell r="AD355">
            <v>3.1399280000000003</v>
          </cell>
          <cell r="AE355">
            <v>3.1399280000000003</v>
          </cell>
          <cell r="AF355">
            <v>6.859</v>
          </cell>
          <cell r="AG355">
            <v>1.1284000000000001</v>
          </cell>
          <cell r="AH355">
            <v>4.6890000000000001</v>
          </cell>
          <cell r="AK355">
            <v>0.56000000000000005</v>
          </cell>
          <cell r="AN355">
            <v>0.28000000000000003</v>
          </cell>
          <cell r="AO355">
            <v>0.16</v>
          </cell>
          <cell r="AP355">
            <v>0</v>
          </cell>
          <cell r="AR355">
            <v>1</v>
          </cell>
          <cell r="AS355">
            <v>3.1399280000000003</v>
          </cell>
          <cell r="AT355">
            <v>3.1399280000000003</v>
          </cell>
          <cell r="AU355">
            <v>0.40400000000000003</v>
          </cell>
          <cell r="AV355">
            <v>0.05</v>
          </cell>
          <cell r="AW355">
            <v>0.05</v>
          </cell>
          <cell r="AY355">
            <v>0.14399999999999999</v>
          </cell>
          <cell r="BB355">
            <v>0.252</v>
          </cell>
          <cell r="BD355">
            <v>0.1</v>
          </cell>
          <cell r="BE355">
            <v>1</v>
          </cell>
          <cell r="BF355">
            <v>3.4667630000000003</v>
          </cell>
        </row>
        <row r="356">
          <cell r="A356">
            <v>38352</v>
          </cell>
          <cell r="B356">
            <v>3.4028999999999998</v>
          </cell>
          <cell r="C356">
            <v>3.5777999999999999</v>
          </cell>
          <cell r="D356">
            <v>3.2578999999999998</v>
          </cell>
          <cell r="E356">
            <v>4.1871999999999998</v>
          </cell>
          <cell r="F356">
            <v>4.4340000000000002</v>
          </cell>
          <cell r="G356">
            <v>3.9426999999999999</v>
          </cell>
          <cell r="H356">
            <v>2.96</v>
          </cell>
          <cell r="I356">
            <v>3.5941000000000001</v>
          </cell>
          <cell r="J356">
            <v>2.3868999999999998</v>
          </cell>
          <cell r="K356">
            <v>2.2000000000000002</v>
          </cell>
          <cell r="L356">
            <v>2.5794999999999999</v>
          </cell>
          <cell r="M356">
            <v>1.8357000000000001</v>
          </cell>
          <cell r="N356">
            <v>2.96</v>
          </cell>
          <cell r="O356">
            <v>3.5941000000000001</v>
          </cell>
          <cell r="P356">
            <v>2.3868999999999998</v>
          </cell>
          <cell r="Q356">
            <v>4.7854000000000001</v>
          </cell>
          <cell r="R356">
            <v>3.9152</v>
          </cell>
          <cell r="S356">
            <v>3.5632000000000001</v>
          </cell>
          <cell r="U356">
            <v>4.2938000000000001</v>
          </cell>
          <cell r="V356">
            <v>4.9995000000000003</v>
          </cell>
          <cell r="W356">
            <v>0.92010000000000003</v>
          </cell>
          <cell r="X356">
            <v>0.69299999999999995</v>
          </cell>
          <cell r="Z356">
            <v>2.5750000000000002</v>
          </cell>
          <cell r="AA356">
            <v>4.3917000000000002</v>
          </cell>
          <cell r="AB356">
            <v>4.2370999999999999</v>
          </cell>
          <cell r="AC356">
            <v>4.5429000000000004</v>
          </cell>
          <cell r="AD356">
            <v>2.8659240000000001</v>
          </cell>
          <cell r="AE356">
            <v>2.8659240000000001</v>
          </cell>
          <cell r="AF356">
            <v>4.3917000000000002</v>
          </cell>
          <cell r="AG356">
            <v>1.1284000000000001</v>
          </cell>
          <cell r="AH356">
            <v>5.5407999999999999</v>
          </cell>
          <cell r="AK356">
            <v>0.56000000000000005</v>
          </cell>
          <cell r="AN356">
            <v>0.28000000000000003</v>
          </cell>
          <cell r="AO356">
            <v>0.16</v>
          </cell>
          <cell r="AP356">
            <v>0</v>
          </cell>
          <cell r="AR356">
            <v>1</v>
          </cell>
          <cell r="AS356">
            <v>2.8659240000000001</v>
          </cell>
          <cell r="AT356">
            <v>2.8659240000000001</v>
          </cell>
          <cell r="AU356">
            <v>0.40400000000000003</v>
          </cell>
          <cell r="AV356">
            <v>0.05</v>
          </cell>
          <cell r="AW356">
            <v>0.05</v>
          </cell>
          <cell r="AY356">
            <v>0.14399999999999999</v>
          </cell>
          <cell r="BB356">
            <v>0.252</v>
          </cell>
          <cell r="BD356">
            <v>0.1</v>
          </cell>
          <cell r="BE356">
            <v>1</v>
          </cell>
          <cell r="BF356">
            <v>2.8829940000000001</v>
          </cell>
        </row>
        <row r="357">
          <cell r="A357">
            <v>38383</v>
          </cell>
          <cell r="B357">
            <v>-2.4375</v>
          </cell>
          <cell r="C357">
            <v>-2.4453</v>
          </cell>
          <cell r="D357">
            <v>-2.4296000000000002</v>
          </cell>
          <cell r="E357">
            <v>-2.5524</v>
          </cell>
          <cell r="F357">
            <v>-2.3336999999999999</v>
          </cell>
          <cell r="G357">
            <v>-2.7688000000000001</v>
          </cell>
          <cell r="H357">
            <v>-4.1722999999999999</v>
          </cell>
          <cell r="I357">
            <v>-4.5049999999999999</v>
          </cell>
          <cell r="J357">
            <v>-3.8683000000000001</v>
          </cell>
          <cell r="K357">
            <v>-2.2639999999999998</v>
          </cell>
          <cell r="L357">
            <v>-1.4829000000000001</v>
          </cell>
          <cell r="M357">
            <v>-3.0306000000000002</v>
          </cell>
          <cell r="N357">
            <v>-4.1722999999999999</v>
          </cell>
          <cell r="O357">
            <v>-4.5049999999999999</v>
          </cell>
          <cell r="P357">
            <v>-3.8683000000000001</v>
          </cell>
          <cell r="Q357">
            <v>-3.5255999999999998</v>
          </cell>
          <cell r="R357">
            <v>-3.3595000000000002</v>
          </cell>
          <cell r="S357">
            <v>-2.6635</v>
          </cell>
          <cell r="T357">
            <v>-2.6635</v>
          </cell>
          <cell r="U357">
            <v>-1.7223999999999999</v>
          </cell>
          <cell r="V357">
            <v>1.9782</v>
          </cell>
          <cell r="W357">
            <v>0.62790000000000001</v>
          </cell>
          <cell r="X357">
            <v>0.34329999999999999</v>
          </cell>
          <cell r="Z357">
            <v>-0.83960000000000001</v>
          </cell>
          <cell r="AA357">
            <v>-1.8272999999999999</v>
          </cell>
          <cell r="AB357">
            <v>-2.2989999999999999</v>
          </cell>
          <cell r="AC357">
            <v>-1.3666</v>
          </cell>
          <cell r="AD357">
            <v>-1.4815560000000001</v>
          </cell>
          <cell r="AE357">
            <v>-1.4815560000000001</v>
          </cell>
          <cell r="AF357">
            <v>-1.8272999999999999</v>
          </cell>
          <cell r="AG357">
            <v>1.5293000000000001</v>
          </cell>
          <cell r="AH357">
            <v>-8.2829999999999995</v>
          </cell>
          <cell r="AK357">
            <v>0.56000000000000005</v>
          </cell>
          <cell r="AN357">
            <v>0.28000000000000003</v>
          </cell>
          <cell r="AO357">
            <v>0.16</v>
          </cell>
          <cell r="AP357">
            <v>0</v>
          </cell>
          <cell r="AR357">
            <v>1</v>
          </cell>
          <cell r="AS357">
            <v>-1.4815560000000001</v>
          </cell>
          <cell r="AT357">
            <v>-1.4815560000000001</v>
          </cell>
          <cell r="AU357">
            <v>0.40400000000000003</v>
          </cell>
          <cell r="AV357">
            <v>0.05</v>
          </cell>
          <cell r="AW357">
            <v>0.05</v>
          </cell>
          <cell r="AY357">
            <v>0.14399999999999999</v>
          </cell>
          <cell r="BB357">
            <v>0.252</v>
          </cell>
          <cell r="BD357">
            <v>0.1</v>
          </cell>
          <cell r="BE357">
            <v>1</v>
          </cell>
          <cell r="BF357">
            <v>-1.5740409999999998</v>
          </cell>
        </row>
        <row r="358">
          <cell r="A358">
            <v>38411</v>
          </cell>
          <cell r="B358">
            <v>2.1044</v>
          </cell>
          <cell r="C358">
            <v>2.4</v>
          </cell>
          <cell r="D358">
            <v>1.8104</v>
          </cell>
          <cell r="E358">
            <v>3.3546</v>
          </cell>
          <cell r="F358">
            <v>3.5853999999999999</v>
          </cell>
          <cell r="G358">
            <v>3.1244999999999998</v>
          </cell>
          <cell r="H358">
            <v>1.6938</v>
          </cell>
          <cell r="I358">
            <v>1.3725000000000001</v>
          </cell>
          <cell r="J358">
            <v>1.9856</v>
          </cell>
          <cell r="K358">
            <v>2.8666</v>
          </cell>
          <cell r="L358">
            <v>2.6019999999999999</v>
          </cell>
          <cell r="M358">
            <v>3.1328</v>
          </cell>
          <cell r="N358">
            <v>1.6938</v>
          </cell>
          <cell r="O358">
            <v>1.3725000000000001</v>
          </cell>
          <cell r="P358">
            <v>1.9856</v>
          </cell>
          <cell r="Q358">
            <v>1.9879</v>
          </cell>
          <cell r="R358">
            <v>2.2633999999999999</v>
          </cell>
          <cell r="S358">
            <v>2.2012999999999998</v>
          </cell>
          <cell r="T358">
            <v>2.2012999999999998</v>
          </cell>
          <cell r="U358">
            <v>4.9324000000000003</v>
          </cell>
          <cell r="V358">
            <v>4.0274999999999999</v>
          </cell>
          <cell r="W358">
            <v>-0.59030000000000005</v>
          </cell>
          <cell r="X358">
            <v>-0.51870000000000005</v>
          </cell>
          <cell r="Z358">
            <v>2.0320999999999998</v>
          </cell>
          <cell r="AA358">
            <v>4.3437000000000001</v>
          </cell>
          <cell r="AB358">
            <v>4.0251000000000001</v>
          </cell>
          <cell r="AC358">
            <v>4.6506999999999996</v>
          </cell>
          <cell r="AD358">
            <v>1.7081720000000002</v>
          </cell>
          <cell r="AE358">
            <v>1.7081720000000002</v>
          </cell>
          <cell r="AF358">
            <v>4.3437000000000001</v>
          </cell>
          <cell r="AG358">
            <v>1.5293000000000001</v>
          </cell>
          <cell r="AH358">
            <v>3.052</v>
          </cell>
          <cell r="AK358">
            <v>0.56000000000000005</v>
          </cell>
          <cell r="AN358">
            <v>0.28000000000000003</v>
          </cell>
          <cell r="AO358">
            <v>0.16</v>
          </cell>
          <cell r="AP358">
            <v>0</v>
          </cell>
          <cell r="AR358">
            <v>1</v>
          </cell>
          <cell r="AS358">
            <v>1.7081720000000002</v>
          </cell>
          <cell r="AT358">
            <v>1.7081720000000002</v>
          </cell>
          <cell r="AU358">
            <v>0.40400000000000003</v>
          </cell>
          <cell r="AV358">
            <v>0.05</v>
          </cell>
          <cell r="AW358">
            <v>0.05</v>
          </cell>
          <cell r="AY358">
            <v>0.14399999999999999</v>
          </cell>
          <cell r="BB358">
            <v>0.252</v>
          </cell>
          <cell r="BD358">
            <v>0.1</v>
          </cell>
          <cell r="BE358">
            <v>1</v>
          </cell>
          <cell r="BF358">
            <v>1.7501519999999999</v>
          </cell>
        </row>
        <row r="359">
          <cell r="A359">
            <v>38442</v>
          </cell>
          <cell r="B359">
            <v>-1.7707999999999999</v>
          </cell>
          <cell r="C359">
            <v>-1.7596000000000001</v>
          </cell>
          <cell r="D359">
            <v>-1.778</v>
          </cell>
          <cell r="E359">
            <v>-1.107</v>
          </cell>
          <cell r="F359">
            <v>-1.2430000000000001</v>
          </cell>
          <cell r="G359">
            <v>-0.97199999999999998</v>
          </cell>
          <cell r="H359">
            <v>-2.8626999999999998</v>
          </cell>
          <cell r="I359">
            <v>-3.7509000000000001</v>
          </cell>
          <cell r="J359">
            <v>-2.0587</v>
          </cell>
          <cell r="K359">
            <v>-2.5889000000000002</v>
          </cell>
          <cell r="L359">
            <v>-2.6071</v>
          </cell>
          <cell r="M359">
            <v>-2.2770000000000001</v>
          </cell>
          <cell r="N359">
            <v>-2.8626999999999998</v>
          </cell>
          <cell r="O359">
            <v>-3.7509000000000001</v>
          </cell>
          <cell r="P359">
            <v>-2.0587</v>
          </cell>
          <cell r="Q359">
            <v>-2.7635999999999998</v>
          </cell>
          <cell r="R359">
            <v>-1.9916</v>
          </cell>
          <cell r="S359">
            <v>-1.6914</v>
          </cell>
          <cell r="T359">
            <v>-1.6914</v>
          </cell>
          <cell r="U359">
            <v>-2.7126000000000001</v>
          </cell>
          <cell r="V359">
            <v>-1.5787</v>
          </cell>
          <cell r="W359">
            <v>-0.51359999999999995</v>
          </cell>
          <cell r="X359">
            <v>-0.38279999999999997</v>
          </cell>
          <cell r="Z359">
            <v>-1.1393</v>
          </cell>
          <cell r="AA359">
            <v>-2.4735</v>
          </cell>
          <cell r="AB359">
            <v>-2.4079000000000002</v>
          </cell>
          <cell r="AC359">
            <v>-2.5365000000000002</v>
          </cell>
          <cell r="AD359">
            <v>-1.5312160000000001</v>
          </cell>
          <cell r="AE359">
            <v>-1.5312160000000001</v>
          </cell>
          <cell r="AF359">
            <v>-2.4735</v>
          </cell>
          <cell r="AG359">
            <v>1.5293000000000001</v>
          </cell>
          <cell r="AH359">
            <v>-1.1857</v>
          </cell>
          <cell r="AK359">
            <v>0.56000000000000005</v>
          </cell>
          <cell r="AN359">
            <v>0.28000000000000003</v>
          </cell>
          <cell r="AO359">
            <v>0.16</v>
          </cell>
          <cell r="AP359">
            <v>0</v>
          </cell>
          <cell r="AR359">
            <v>1</v>
          </cell>
          <cell r="AS359">
            <v>-1.5312160000000001</v>
          </cell>
          <cell r="AT359">
            <v>-1.5312160000000001</v>
          </cell>
          <cell r="AU359">
            <v>0.40400000000000003</v>
          </cell>
          <cell r="AV359">
            <v>0.05</v>
          </cell>
          <cell r="AW359">
            <v>0.05</v>
          </cell>
          <cell r="AY359">
            <v>0.14399999999999999</v>
          </cell>
          <cell r="BB359">
            <v>0.252</v>
          </cell>
          <cell r="BD359">
            <v>0.1</v>
          </cell>
          <cell r="BE359">
            <v>1</v>
          </cell>
          <cell r="BF359">
            <v>-1.552621</v>
          </cell>
        </row>
        <row r="360">
          <cell r="A360">
            <v>38472</v>
          </cell>
          <cell r="B360">
            <v>-1.8965000000000001</v>
          </cell>
          <cell r="C360">
            <v>-1.7481</v>
          </cell>
          <cell r="D360">
            <v>-2.0424000000000002</v>
          </cell>
          <cell r="E360">
            <v>-3.8864999999999998</v>
          </cell>
          <cell r="F360">
            <v>-4.0286</v>
          </cell>
          <cell r="G360">
            <v>-3.7526000000000002</v>
          </cell>
          <cell r="H360">
            <v>-5.7268999999999997</v>
          </cell>
          <cell r="I360">
            <v>-6.3643999999999998</v>
          </cell>
          <cell r="J360">
            <v>-5.1584000000000003</v>
          </cell>
          <cell r="K360">
            <v>-5.5853000000000002</v>
          </cell>
          <cell r="L360">
            <v>-5.0890000000000004</v>
          </cell>
          <cell r="M360">
            <v>-6.0850999999999997</v>
          </cell>
          <cell r="N360">
            <v>-5.7268999999999997</v>
          </cell>
          <cell r="O360">
            <v>-6.3643999999999998</v>
          </cell>
          <cell r="P360">
            <v>-5.1584000000000003</v>
          </cell>
          <cell r="Q360">
            <v>-5.4042000000000003</v>
          </cell>
          <cell r="R360">
            <v>-4.4977999999999998</v>
          </cell>
          <cell r="S360">
            <v>-2.1726000000000001</v>
          </cell>
          <cell r="T360">
            <v>-2.1726000000000001</v>
          </cell>
          <cell r="U360">
            <v>-2.4662999999999999</v>
          </cell>
          <cell r="V360">
            <v>-2.2988</v>
          </cell>
          <cell r="W360">
            <v>1.3533999999999999</v>
          </cell>
          <cell r="X360">
            <v>1.1373</v>
          </cell>
          <cell r="Z360">
            <v>-1.548</v>
          </cell>
          <cell r="AA360">
            <v>-2.2383000000000002</v>
          </cell>
          <cell r="AB360">
            <v>-1.8501000000000001</v>
          </cell>
          <cell r="AC360">
            <v>-2.6124999999999998</v>
          </cell>
          <cell r="AD360">
            <v>-1.0412160000000001</v>
          </cell>
          <cell r="AE360">
            <v>-1.0412160000000001</v>
          </cell>
          <cell r="AF360">
            <v>-2.2383000000000002</v>
          </cell>
          <cell r="AG360">
            <v>1.1571</v>
          </cell>
          <cell r="AH360">
            <v>5.0186999999999999</v>
          </cell>
          <cell r="AK360">
            <v>0.56000000000000005</v>
          </cell>
          <cell r="AN360">
            <v>0.28000000000000003</v>
          </cell>
          <cell r="AO360">
            <v>0.16</v>
          </cell>
          <cell r="AP360">
            <v>0</v>
          </cell>
          <cell r="AR360">
            <v>1</v>
          </cell>
          <cell r="AS360">
            <v>-1.0412160000000001</v>
          </cell>
          <cell r="AT360">
            <v>-1.0412160000000001</v>
          </cell>
          <cell r="AU360">
            <v>0.40400000000000003</v>
          </cell>
          <cell r="AV360">
            <v>0.05</v>
          </cell>
          <cell r="AW360">
            <v>0.05</v>
          </cell>
          <cell r="AY360">
            <v>0.14399999999999999</v>
          </cell>
          <cell r="BB360">
            <v>0.252</v>
          </cell>
          <cell r="BD360">
            <v>0.1</v>
          </cell>
          <cell r="BE360">
            <v>1</v>
          </cell>
          <cell r="BF360">
            <v>-1.332236</v>
          </cell>
        </row>
        <row r="361">
          <cell r="A361">
            <v>38503</v>
          </cell>
          <cell r="B361">
            <v>3.1818</v>
          </cell>
          <cell r="C361">
            <v>3.1985000000000001</v>
          </cell>
          <cell r="D361">
            <v>3.1654</v>
          </cell>
          <cell r="E361">
            <v>6.0223000000000004</v>
          </cell>
          <cell r="F361">
            <v>6.0938999999999997</v>
          </cell>
          <cell r="G361">
            <v>5.9512</v>
          </cell>
          <cell r="H361">
            <v>6.5450999999999997</v>
          </cell>
          <cell r="I361">
            <v>7.0507</v>
          </cell>
          <cell r="J361">
            <v>6.0991999999999997</v>
          </cell>
          <cell r="K361">
            <v>6.6231</v>
          </cell>
          <cell r="L361">
            <v>6.5979000000000001</v>
          </cell>
          <cell r="M361">
            <v>6.6454000000000004</v>
          </cell>
          <cell r="N361">
            <v>6.5450999999999997</v>
          </cell>
          <cell r="O361">
            <v>7.0507</v>
          </cell>
          <cell r="P361">
            <v>6.0991999999999997</v>
          </cell>
          <cell r="Q361">
            <v>6.6611000000000002</v>
          </cell>
          <cell r="R361">
            <v>6.0510000000000002</v>
          </cell>
          <cell r="S361">
            <v>3.7890999999999999</v>
          </cell>
          <cell r="T361">
            <v>3.7890999999999999</v>
          </cell>
          <cell r="U361">
            <v>0.62670000000000003</v>
          </cell>
          <cell r="V361">
            <v>5.0700000000000002E-2</v>
          </cell>
          <cell r="W361">
            <v>1.0819000000000001</v>
          </cell>
          <cell r="X361">
            <v>0.86060000000000003</v>
          </cell>
          <cell r="Z361">
            <v>0.50580000000000003</v>
          </cell>
          <cell r="AA361">
            <v>0.153</v>
          </cell>
          <cell r="AB361">
            <v>0.3745</v>
          </cell>
          <cell r="AC361">
            <v>-6.2700000000000006E-2</v>
          </cell>
          <cell r="AD361">
            <v>2.1092200000000001</v>
          </cell>
          <cell r="AE361">
            <v>2.1092200000000001</v>
          </cell>
          <cell r="AF361">
            <v>0.153</v>
          </cell>
          <cell r="AG361">
            <v>1.1571</v>
          </cell>
          <cell r="AH361">
            <v>3.3033999999999999</v>
          </cell>
          <cell r="AK361">
            <v>0.56000000000000005</v>
          </cell>
          <cell r="AN361">
            <v>0.28000000000000003</v>
          </cell>
          <cell r="AO361">
            <v>0.16</v>
          </cell>
          <cell r="AP361">
            <v>0</v>
          </cell>
          <cell r="AR361">
            <v>1</v>
          </cell>
          <cell r="AS361">
            <v>2.1092200000000001</v>
          </cell>
          <cell r="AT361">
            <v>2.1092200000000001</v>
          </cell>
          <cell r="AU361">
            <v>0.40400000000000003</v>
          </cell>
          <cell r="AV361">
            <v>0.05</v>
          </cell>
          <cell r="AW361">
            <v>0.05</v>
          </cell>
          <cell r="AY361">
            <v>0.14399999999999999</v>
          </cell>
          <cell r="BB361">
            <v>0.252</v>
          </cell>
          <cell r="BD361">
            <v>0.1</v>
          </cell>
          <cell r="BE361">
            <v>1</v>
          </cell>
          <cell r="BF361">
            <v>2.4194100000000005</v>
          </cell>
        </row>
        <row r="362">
          <cell r="A362">
            <v>38533</v>
          </cell>
          <cell r="B362">
            <v>0.1419</v>
          </cell>
          <cell r="C362">
            <v>-1.2413000000000001</v>
          </cell>
          <cell r="D362">
            <v>1.5094000000000001</v>
          </cell>
          <cell r="E362">
            <v>2.3184</v>
          </cell>
          <cell r="F362">
            <v>1.8078000000000001</v>
          </cell>
          <cell r="G362">
            <v>2.8315999999999999</v>
          </cell>
          <cell r="H362">
            <v>3.8571</v>
          </cell>
          <cell r="I362">
            <v>3.2332999999999998</v>
          </cell>
          <cell r="J362">
            <v>4.4219999999999997</v>
          </cell>
          <cell r="K362">
            <v>3.2513999999999998</v>
          </cell>
          <cell r="L362">
            <v>3.0072000000000001</v>
          </cell>
          <cell r="M362">
            <v>3.4992999999999999</v>
          </cell>
          <cell r="N362">
            <v>3.8571</v>
          </cell>
          <cell r="O362">
            <v>3.2332999999999998</v>
          </cell>
          <cell r="P362">
            <v>4.4219999999999997</v>
          </cell>
          <cell r="Q362">
            <v>2.6375000000000002</v>
          </cell>
          <cell r="R362">
            <v>3.1998000000000002</v>
          </cell>
          <cell r="S362">
            <v>0.6986</v>
          </cell>
          <cell r="T362">
            <v>0.6986</v>
          </cell>
          <cell r="U362">
            <v>1.8818999999999999</v>
          </cell>
          <cell r="V362">
            <v>2.7172000000000001</v>
          </cell>
          <cell r="W362">
            <v>0.54530000000000001</v>
          </cell>
          <cell r="X362">
            <v>0.40229999999999999</v>
          </cell>
          <cell r="Z362">
            <v>1.9095</v>
          </cell>
          <cell r="AA362">
            <v>1.3669</v>
          </cell>
          <cell r="AB362">
            <v>0.83230000000000004</v>
          </cell>
          <cell r="AC362">
            <v>1.9034</v>
          </cell>
          <cell r="AD362">
            <v>0.45085200000000003</v>
          </cell>
          <cell r="AE362">
            <v>0.45085200000000003</v>
          </cell>
          <cell r="AF362">
            <v>1.3669</v>
          </cell>
          <cell r="AG362">
            <v>1.1571</v>
          </cell>
          <cell r="AH362">
            <v>5.2462999999999997</v>
          </cell>
          <cell r="AK362">
            <v>0.56000000000000005</v>
          </cell>
          <cell r="AN362">
            <v>0.28000000000000003</v>
          </cell>
          <cell r="AO362">
            <v>0.16</v>
          </cell>
          <cell r="AP362">
            <v>0</v>
          </cell>
          <cell r="AR362">
            <v>1</v>
          </cell>
          <cell r="AS362">
            <v>0.45085200000000003</v>
          </cell>
          <cell r="AT362">
            <v>0.45085200000000003</v>
          </cell>
          <cell r="AU362">
            <v>0.40400000000000003</v>
          </cell>
          <cell r="AV362">
            <v>0.05</v>
          </cell>
          <cell r="AW362">
            <v>0.05</v>
          </cell>
          <cell r="AY362">
            <v>0.14399999999999999</v>
          </cell>
          <cell r="BB362">
            <v>0.252</v>
          </cell>
          <cell r="BD362">
            <v>0.1</v>
          </cell>
          <cell r="BE362">
            <v>1</v>
          </cell>
          <cell r="BF362">
            <v>0.74543700000000002</v>
          </cell>
        </row>
        <row r="363">
          <cell r="A363">
            <v>38564</v>
          </cell>
          <cell r="B363">
            <v>3.7189000000000001</v>
          </cell>
          <cell r="C363">
            <v>4.3068999999999997</v>
          </cell>
          <cell r="D363">
            <v>3.1516000000000002</v>
          </cell>
          <cell r="E363">
            <v>5.2523999999999997</v>
          </cell>
          <cell r="F363">
            <v>4.8963000000000001</v>
          </cell>
          <cell r="G363">
            <v>5.6226000000000003</v>
          </cell>
          <cell r="H363">
            <v>6.3356000000000003</v>
          </cell>
          <cell r="I363">
            <v>6.9898999999999996</v>
          </cell>
          <cell r="J363">
            <v>5.69</v>
          </cell>
          <cell r="K363">
            <v>6.0201000000000002</v>
          </cell>
          <cell r="L363">
            <v>5.8266999999999998</v>
          </cell>
          <cell r="M363">
            <v>6.2141000000000002</v>
          </cell>
          <cell r="N363">
            <v>6.3356000000000003</v>
          </cell>
          <cell r="O363">
            <v>6.9898999999999996</v>
          </cell>
          <cell r="P363">
            <v>5.69</v>
          </cell>
          <cell r="Q363">
            <v>6.4916999999999998</v>
          </cell>
          <cell r="R363">
            <v>5.9103000000000003</v>
          </cell>
          <cell r="S363">
            <v>4.1025</v>
          </cell>
          <cell r="T363">
            <v>4.1025</v>
          </cell>
          <cell r="U363">
            <v>3.6896</v>
          </cell>
          <cell r="V363">
            <v>4.5229999999999997</v>
          </cell>
          <cell r="W363">
            <v>-0.9103</v>
          </cell>
          <cell r="X363">
            <v>-0.71399999999999997</v>
          </cell>
          <cell r="Z363">
            <v>2.6751</v>
          </cell>
          <cell r="AA363">
            <v>3.0718999999999999</v>
          </cell>
          <cell r="AB363">
            <v>3.0535000000000001</v>
          </cell>
          <cell r="AC363">
            <v>3.0956000000000001</v>
          </cell>
          <cell r="AD363">
            <v>2.319204</v>
          </cell>
          <cell r="AE363">
            <v>2.319204</v>
          </cell>
          <cell r="AF363">
            <v>3.0718999999999999</v>
          </cell>
          <cell r="AG363">
            <v>1.748</v>
          </cell>
          <cell r="AH363">
            <v>7.5594999999999999</v>
          </cell>
          <cell r="AK363">
            <v>0.56000000000000005</v>
          </cell>
          <cell r="AN363">
            <v>0.28000000000000003</v>
          </cell>
          <cell r="AO363">
            <v>0.16</v>
          </cell>
          <cell r="AP363">
            <v>0</v>
          </cell>
          <cell r="AR363">
            <v>1</v>
          </cell>
          <cell r="AS363">
            <v>2.319204</v>
          </cell>
          <cell r="AT363">
            <v>2.319204</v>
          </cell>
          <cell r="AU363">
            <v>0.40400000000000003</v>
          </cell>
          <cell r="AV363">
            <v>0.05</v>
          </cell>
          <cell r="AW363">
            <v>0.05</v>
          </cell>
          <cell r="AY363">
            <v>0.14399999999999999</v>
          </cell>
          <cell r="BB363">
            <v>0.252</v>
          </cell>
          <cell r="BD363">
            <v>0.1</v>
          </cell>
          <cell r="BE363">
            <v>1</v>
          </cell>
          <cell r="BF363">
            <v>2.5267140000000001</v>
          </cell>
        </row>
        <row r="364">
          <cell r="A364">
            <v>38595</v>
          </cell>
          <cell r="B364">
            <v>-0.91239999999999999</v>
          </cell>
          <cell r="C364">
            <v>-1.0789</v>
          </cell>
          <cell r="D364">
            <v>-0.75049999999999994</v>
          </cell>
          <cell r="E364">
            <v>-1.1146</v>
          </cell>
          <cell r="F364">
            <v>-1.0983000000000001</v>
          </cell>
          <cell r="G364">
            <v>-1.1315</v>
          </cell>
          <cell r="H364">
            <v>-1.8541000000000001</v>
          </cell>
          <cell r="I364">
            <v>-1.4091</v>
          </cell>
          <cell r="J364">
            <v>-2.2959000000000001</v>
          </cell>
          <cell r="K364">
            <v>-1.4742999999999999</v>
          </cell>
          <cell r="L364">
            <v>-1.9936</v>
          </cell>
          <cell r="M364">
            <v>-0.9</v>
          </cell>
          <cell r="N364">
            <v>-1.8541000000000001</v>
          </cell>
          <cell r="O364">
            <v>-1.4091</v>
          </cell>
          <cell r="P364">
            <v>-2.2959000000000001</v>
          </cell>
          <cell r="Q364">
            <v>-1.1498999999999999</v>
          </cell>
          <cell r="R364">
            <v>-1.4916</v>
          </cell>
          <cell r="S364">
            <v>-0.95330000000000004</v>
          </cell>
          <cell r="T364">
            <v>-0.95330000000000004</v>
          </cell>
          <cell r="U364">
            <v>2.5592000000000001</v>
          </cell>
          <cell r="V364">
            <v>2.9083999999999999</v>
          </cell>
          <cell r="W364">
            <v>1.282</v>
          </cell>
          <cell r="X364">
            <v>1.0723</v>
          </cell>
          <cell r="Z364">
            <v>1.1241000000000001</v>
          </cell>
          <cell r="AA364">
            <v>2.5556999999999999</v>
          </cell>
          <cell r="AB364">
            <v>2.8831000000000002</v>
          </cell>
          <cell r="AC364">
            <v>2.2395999999999998</v>
          </cell>
          <cell r="AD364">
            <v>0.25692799999999999</v>
          </cell>
          <cell r="AE364">
            <v>0.25692799999999999</v>
          </cell>
          <cell r="AF364">
            <v>2.5556999999999999</v>
          </cell>
          <cell r="AG364">
            <v>1.748</v>
          </cell>
          <cell r="AH364">
            <v>-3.9929999999999999</v>
          </cell>
          <cell r="AK364">
            <v>0.56000000000000005</v>
          </cell>
          <cell r="AN364">
            <v>0.28000000000000003</v>
          </cell>
          <cell r="AO364">
            <v>0.16</v>
          </cell>
          <cell r="AP364">
            <v>0</v>
          </cell>
          <cell r="AR364">
            <v>1</v>
          </cell>
          <cell r="AS364">
            <v>0.25692799999999999</v>
          </cell>
          <cell r="AT364">
            <v>0.25692799999999999</v>
          </cell>
          <cell r="AU364">
            <v>0.40400000000000003</v>
          </cell>
          <cell r="AV364">
            <v>0.05</v>
          </cell>
          <cell r="AW364">
            <v>0.05</v>
          </cell>
          <cell r="AY364">
            <v>0.14399999999999999</v>
          </cell>
          <cell r="BB364">
            <v>0.252</v>
          </cell>
          <cell r="BD364">
            <v>0.1</v>
          </cell>
          <cell r="BE364">
            <v>1</v>
          </cell>
          <cell r="BF364">
            <v>0.19973299999999988</v>
          </cell>
        </row>
        <row r="365">
          <cell r="A365">
            <v>38625</v>
          </cell>
          <cell r="B365">
            <v>0.80989999999999995</v>
          </cell>
          <cell r="C365">
            <v>0.57979999999999998</v>
          </cell>
          <cell r="D365">
            <v>1.0378000000000001</v>
          </cell>
          <cell r="E365">
            <v>0.76880000000000004</v>
          </cell>
          <cell r="F365">
            <v>0.61009999999999998</v>
          </cell>
          <cell r="G365">
            <v>0.94120000000000004</v>
          </cell>
          <cell r="H365">
            <v>0.31369999999999998</v>
          </cell>
          <cell r="I365">
            <v>0.79239999999999999</v>
          </cell>
          <cell r="J365">
            <v>-0.1651</v>
          </cell>
          <cell r="K365">
            <v>0.88009999999999999</v>
          </cell>
          <cell r="L365">
            <v>1.2929999999999999</v>
          </cell>
          <cell r="M365">
            <v>0.4753</v>
          </cell>
          <cell r="N365">
            <v>0.31369999999999998</v>
          </cell>
          <cell r="O365">
            <v>0.79239999999999999</v>
          </cell>
          <cell r="P365">
            <v>-0.1651</v>
          </cell>
          <cell r="Q365">
            <v>0.97270000000000001</v>
          </cell>
          <cell r="R365">
            <v>0.53320000000000001</v>
          </cell>
          <cell r="S365">
            <v>0.87490000000000001</v>
          </cell>
          <cell r="T365">
            <v>0.87490000000000001</v>
          </cell>
          <cell r="U365">
            <v>5.1582999999999997</v>
          </cell>
          <cell r="V365">
            <v>4.1329000000000002</v>
          </cell>
          <cell r="W365">
            <v>-1.0301</v>
          </cell>
          <cell r="X365">
            <v>-0.73599999999999999</v>
          </cell>
          <cell r="Z365">
            <v>2.0219999999999998</v>
          </cell>
          <cell r="AA365">
            <v>4.4740000000000002</v>
          </cell>
          <cell r="AB365">
            <v>4.2255000000000003</v>
          </cell>
          <cell r="AC365">
            <v>4.7157</v>
          </cell>
          <cell r="AD365">
            <v>0.88095600000000007</v>
          </cell>
          <cell r="AE365">
            <v>0.88095600000000007</v>
          </cell>
          <cell r="AF365">
            <v>4.4740000000000002</v>
          </cell>
          <cell r="AG365">
            <v>1.748</v>
          </cell>
          <cell r="AH365">
            <v>0.33410000000000001</v>
          </cell>
          <cell r="AK365">
            <v>0.56000000000000005</v>
          </cell>
          <cell r="AN365">
            <v>0.28000000000000003</v>
          </cell>
          <cell r="AO365">
            <v>0.16</v>
          </cell>
          <cell r="AP365">
            <v>0</v>
          </cell>
          <cell r="AR365">
            <v>1</v>
          </cell>
          <cell r="AS365">
            <v>0.88095600000000007</v>
          </cell>
          <cell r="AT365">
            <v>0.88095600000000007</v>
          </cell>
          <cell r="AU365">
            <v>0.40400000000000003</v>
          </cell>
          <cell r="AV365">
            <v>0.05</v>
          </cell>
          <cell r="AW365">
            <v>0.05</v>
          </cell>
          <cell r="AY365">
            <v>0.14399999999999999</v>
          </cell>
          <cell r="BB365">
            <v>0.252</v>
          </cell>
          <cell r="BD365">
            <v>0.1</v>
          </cell>
          <cell r="BE365">
            <v>1</v>
          </cell>
          <cell r="BF365">
            <v>0.85409099999999982</v>
          </cell>
        </row>
        <row r="366">
          <cell r="A366">
            <v>38656</v>
          </cell>
          <cell r="B366">
            <v>-1.6671</v>
          </cell>
          <cell r="C366">
            <v>-1.5842000000000001</v>
          </cell>
          <cell r="D366">
            <v>-1.7451000000000001</v>
          </cell>
          <cell r="E366">
            <v>-2.1488</v>
          </cell>
          <cell r="F366">
            <v>-1.4105000000000001</v>
          </cell>
          <cell r="G366">
            <v>-2.9287000000000001</v>
          </cell>
          <cell r="H366">
            <v>-3.105</v>
          </cell>
          <cell r="I366">
            <v>-3.6955</v>
          </cell>
          <cell r="J366">
            <v>-2.5118</v>
          </cell>
          <cell r="K366">
            <v>-3.13</v>
          </cell>
          <cell r="L366">
            <v>-3.7082000000000002</v>
          </cell>
          <cell r="M366">
            <v>-2.5528</v>
          </cell>
          <cell r="N366">
            <v>-3.105</v>
          </cell>
          <cell r="O366">
            <v>-3.6955</v>
          </cell>
          <cell r="P366">
            <v>-2.5118</v>
          </cell>
          <cell r="Q366">
            <v>-3.2665000000000002</v>
          </cell>
          <cell r="R366">
            <v>-3.1055000000000001</v>
          </cell>
          <cell r="S366">
            <v>-1.8729</v>
          </cell>
          <cell r="T366">
            <v>-1.8729</v>
          </cell>
          <cell r="U366">
            <v>-3.6404000000000001</v>
          </cell>
          <cell r="V366">
            <v>-3.2625999999999999</v>
          </cell>
          <cell r="W366">
            <v>-0.79139999999999999</v>
          </cell>
          <cell r="X366">
            <v>-0.61280000000000001</v>
          </cell>
          <cell r="Z366">
            <v>-2.2883</v>
          </cell>
          <cell r="AA366">
            <v>-2.9136000000000002</v>
          </cell>
          <cell r="AB366">
            <v>-2.7315999999999998</v>
          </cell>
          <cell r="AC366">
            <v>-3.0897999999999999</v>
          </cell>
          <cell r="AD366">
            <v>-1.6213440000000001</v>
          </cell>
          <cell r="AE366">
            <v>-1.6213440000000001</v>
          </cell>
          <cell r="AF366">
            <v>-3.6404000000000001</v>
          </cell>
          <cell r="AG366">
            <v>1.5286999999999999</v>
          </cell>
          <cell r="AH366">
            <v>-1.8939999999999999</v>
          </cell>
          <cell r="AK366">
            <v>0.55500000000000005</v>
          </cell>
          <cell r="AN366">
            <v>0.27700000000000002</v>
          </cell>
          <cell r="AP366">
            <v>0.158</v>
          </cell>
          <cell r="AQ366">
            <v>0.01</v>
          </cell>
          <cell r="AR366">
            <v>1</v>
          </cell>
          <cell r="AS366">
            <v>-1.7043545000000002</v>
          </cell>
          <cell r="AT366">
            <v>-1.7043545000000002</v>
          </cell>
          <cell r="AU366">
            <v>0.39900000000000002</v>
          </cell>
          <cell r="AV366">
            <v>0.05</v>
          </cell>
          <cell r="AW366">
            <v>0.05</v>
          </cell>
          <cell r="AZ366">
            <v>0.12759999999999999</v>
          </cell>
          <cell r="BA366">
            <v>1.44E-2</v>
          </cell>
          <cell r="BB366">
            <v>0.249</v>
          </cell>
          <cell r="BC366">
            <v>0.01</v>
          </cell>
          <cell r="BD366">
            <v>0.1</v>
          </cell>
          <cell r="BE366">
            <v>1</v>
          </cell>
          <cell r="BF366">
            <v>-1.78326538</v>
          </cell>
        </row>
        <row r="367">
          <cell r="A367">
            <v>38686</v>
          </cell>
          <cell r="B367">
            <v>3.7822</v>
          </cell>
          <cell r="C367">
            <v>3.8252000000000002</v>
          </cell>
          <cell r="D367">
            <v>3.7414000000000001</v>
          </cell>
          <cell r="E367">
            <v>4.8864000000000001</v>
          </cell>
          <cell r="F367">
            <v>5.5937999999999999</v>
          </cell>
          <cell r="G367">
            <v>4.1361999999999997</v>
          </cell>
          <cell r="H367">
            <v>4.8545999999999996</v>
          </cell>
          <cell r="I367">
            <v>5.6615000000000002</v>
          </cell>
          <cell r="J367">
            <v>4.0566000000000004</v>
          </cell>
          <cell r="K367">
            <v>4.5922000000000001</v>
          </cell>
          <cell r="L367">
            <v>4.4391999999999996</v>
          </cell>
          <cell r="M367">
            <v>4.7439</v>
          </cell>
          <cell r="N367">
            <v>4.8545999999999996</v>
          </cell>
          <cell r="O367">
            <v>5.6615000000000002</v>
          </cell>
          <cell r="P367">
            <v>4.0566000000000004</v>
          </cell>
          <cell r="Q367">
            <v>5.5856000000000003</v>
          </cell>
          <cell r="R367">
            <v>4.8296999999999999</v>
          </cell>
          <cell r="S367">
            <v>3.8898999999999999</v>
          </cell>
          <cell r="T367">
            <v>3.8898999999999999</v>
          </cell>
          <cell r="U367">
            <v>3.3622000000000001</v>
          </cell>
          <cell r="V367">
            <v>3.2292999999999998</v>
          </cell>
          <cell r="W367">
            <v>0.44230000000000003</v>
          </cell>
          <cell r="X367">
            <v>0.39019999999999999</v>
          </cell>
          <cell r="Z367">
            <v>2.2219000000000002</v>
          </cell>
          <cell r="AA367">
            <v>2.4727000000000001</v>
          </cell>
          <cell r="AB367">
            <v>1.9035</v>
          </cell>
          <cell r="AC367">
            <v>3.0251999999999999</v>
          </cell>
          <cell r="AD367">
            <v>2.6375080000000004</v>
          </cell>
          <cell r="AE367">
            <v>2.6375080000000004</v>
          </cell>
          <cell r="AF367">
            <v>3.3622000000000001</v>
          </cell>
          <cell r="AG367">
            <v>1.5288999999999999</v>
          </cell>
          <cell r="AH367">
            <v>4.5556999999999999</v>
          </cell>
          <cell r="AK367">
            <v>0.55500000000000005</v>
          </cell>
          <cell r="AN367">
            <v>0.27700000000000002</v>
          </cell>
          <cell r="AP367">
            <v>0.158</v>
          </cell>
          <cell r="AQ367">
            <v>0.01</v>
          </cell>
          <cell r="AR367">
            <v>1</v>
          </cell>
          <cell r="AS367">
            <v>2.7681547000000002</v>
          </cell>
          <cell r="AT367">
            <v>2.7681547000000002</v>
          </cell>
          <cell r="AU367">
            <v>0.39900000000000002</v>
          </cell>
          <cell r="AV367">
            <v>0.05</v>
          </cell>
          <cell r="AW367">
            <v>0.05</v>
          </cell>
          <cell r="AZ367">
            <v>0.12759999999999999</v>
          </cell>
          <cell r="BA367">
            <v>1.44E-2</v>
          </cell>
          <cell r="BB367">
            <v>0.249</v>
          </cell>
          <cell r="BC367">
            <v>0.01</v>
          </cell>
          <cell r="BD367">
            <v>0.1</v>
          </cell>
          <cell r="BE367">
            <v>1</v>
          </cell>
          <cell r="BF367">
            <v>2.8608389399999998</v>
          </cell>
        </row>
        <row r="368">
          <cell r="A368">
            <v>38717</v>
          </cell>
          <cell r="B368">
            <v>3.4799999999999998E-2</v>
          </cell>
          <cell r="C368">
            <v>-0.2</v>
          </cell>
          <cell r="D368">
            <v>0.27</v>
          </cell>
          <cell r="E368">
            <v>0.69110000000000005</v>
          </cell>
          <cell r="F368">
            <v>0.92</v>
          </cell>
          <cell r="G368">
            <v>0.48</v>
          </cell>
          <cell r="H368">
            <v>-0.45700000000000002</v>
          </cell>
          <cell r="I368">
            <v>-0.1489</v>
          </cell>
          <cell r="J368">
            <v>-0.76770000000000005</v>
          </cell>
          <cell r="K368">
            <v>-0.92079999999999995</v>
          </cell>
          <cell r="L368">
            <v>-1.04</v>
          </cell>
          <cell r="M368">
            <v>-0.81</v>
          </cell>
          <cell r="N368">
            <v>-0.45700000000000002</v>
          </cell>
          <cell r="O368">
            <v>-0.1489</v>
          </cell>
          <cell r="P368">
            <v>-0.76770000000000005</v>
          </cell>
          <cell r="Q368">
            <v>0.57110000000000005</v>
          </cell>
          <cell r="R368">
            <v>0.23130000000000001</v>
          </cell>
          <cell r="S368">
            <v>8.9800000000000005E-2</v>
          </cell>
          <cell r="T368">
            <v>8.9800000000000005E-2</v>
          </cell>
          <cell r="U368">
            <v>4.8112000000000004</v>
          </cell>
          <cell r="V368">
            <v>8.0044000000000004</v>
          </cell>
          <cell r="W368">
            <v>0.95079999999999998</v>
          </cell>
          <cell r="X368">
            <v>0.77559999999999996</v>
          </cell>
          <cell r="Z368">
            <v>2.7789999999999999</v>
          </cell>
          <cell r="AA368">
            <v>4.6597999999999997</v>
          </cell>
          <cell r="AB368">
            <v>5.2965999999999998</v>
          </cell>
          <cell r="AC368">
            <v>4.0372000000000003</v>
          </cell>
          <cell r="AD368">
            <v>1.03128</v>
          </cell>
          <cell r="AE368">
            <v>1.03128</v>
          </cell>
          <cell r="AF368">
            <v>4.8112000000000004</v>
          </cell>
          <cell r="AG368">
            <v>1.5290999999999999</v>
          </cell>
          <cell r="AH368">
            <v>0.4299</v>
          </cell>
          <cell r="AK368">
            <v>0.55500000000000005</v>
          </cell>
          <cell r="AN368">
            <v>0.27700000000000002</v>
          </cell>
          <cell r="AP368">
            <v>0.158</v>
          </cell>
          <cell r="AQ368">
            <v>0.01</v>
          </cell>
          <cell r="AR368">
            <v>1</v>
          </cell>
          <cell r="AS368">
            <v>1.0581462000000001</v>
          </cell>
          <cell r="AT368">
            <v>1.0581462000000001</v>
          </cell>
          <cell r="AU368">
            <v>0.39900000000000002</v>
          </cell>
          <cell r="AV368">
            <v>0.05</v>
          </cell>
          <cell r="AW368">
            <v>0.05</v>
          </cell>
          <cell r="AZ368">
            <v>0.12759999999999999</v>
          </cell>
          <cell r="BA368">
            <v>1.44E-2</v>
          </cell>
          <cell r="BB368">
            <v>0.249</v>
          </cell>
          <cell r="BC368">
            <v>0.01</v>
          </cell>
          <cell r="BD368">
            <v>0.1</v>
          </cell>
          <cell r="BE368">
            <v>1</v>
          </cell>
          <cell r="BF368">
            <v>1.1099308799999998</v>
          </cell>
        </row>
        <row r="369">
          <cell r="A369">
            <v>38748</v>
          </cell>
          <cell r="B369">
            <v>2.6478000000000002</v>
          </cell>
          <cell r="C369">
            <v>2.3249</v>
          </cell>
          <cell r="D369">
            <v>2.9847999999999999</v>
          </cell>
          <cell r="E369">
            <v>5.8918999999999997</v>
          </cell>
          <cell r="F369">
            <v>5.5434999999999999</v>
          </cell>
          <cell r="G369">
            <v>6.2408999999999999</v>
          </cell>
          <cell r="H369">
            <v>8.9672000000000001</v>
          </cell>
          <cell r="I369">
            <v>9.6460000000000008</v>
          </cell>
          <cell r="J369">
            <v>8.2691999999999997</v>
          </cell>
          <cell r="K369">
            <v>8.3716000000000008</v>
          </cell>
          <cell r="L369">
            <v>7.4539999999999997</v>
          </cell>
          <cell r="M369">
            <v>9.2605000000000004</v>
          </cell>
          <cell r="N369">
            <v>8.9672000000000001</v>
          </cell>
          <cell r="O369">
            <v>9.6460000000000008</v>
          </cell>
          <cell r="P369">
            <v>8.2691999999999997</v>
          </cell>
          <cell r="Q369">
            <v>7.5712000000000002</v>
          </cell>
          <cell r="R369">
            <v>7.0744999999999996</v>
          </cell>
          <cell r="S369">
            <v>3.3411</v>
          </cell>
          <cell r="T369">
            <v>3.3411</v>
          </cell>
          <cell r="U369">
            <v>6.9722999999999997</v>
          </cell>
          <cell r="V369">
            <v>6.8301999999999996</v>
          </cell>
          <cell r="W369">
            <v>5.7000000000000002E-3</v>
          </cell>
          <cell r="X369">
            <v>0.12379999999999999</v>
          </cell>
          <cell r="Z369">
            <v>4.1778000000000004</v>
          </cell>
          <cell r="AA369">
            <v>6.1468999999999996</v>
          </cell>
          <cell r="AB369">
            <v>6.1675000000000004</v>
          </cell>
          <cell r="AC369">
            <v>6.1180000000000003</v>
          </cell>
          <cell r="AD369">
            <v>2.4678680000000002</v>
          </cell>
          <cell r="AE369">
            <v>2.4678680000000002</v>
          </cell>
          <cell r="AF369">
            <v>6.9722999999999997</v>
          </cell>
          <cell r="AG369">
            <v>1.8509</v>
          </cell>
          <cell r="AH369">
            <v>7.1574</v>
          </cell>
          <cell r="AK369">
            <v>0.55500000000000005</v>
          </cell>
          <cell r="AN369">
            <v>0.27700000000000002</v>
          </cell>
          <cell r="AP369">
            <v>0.158</v>
          </cell>
          <cell r="AQ369">
            <v>0.01</v>
          </cell>
          <cell r="AR369">
            <v>1</v>
          </cell>
          <cell r="AS369">
            <v>2.5912402999999999</v>
          </cell>
          <cell r="AT369">
            <v>2.5912402999999999</v>
          </cell>
          <cell r="AU369">
            <v>0.39900000000000002</v>
          </cell>
          <cell r="AV369">
            <v>0.05</v>
          </cell>
          <cell r="AW369">
            <v>0.05</v>
          </cell>
          <cell r="AZ369">
            <v>0.12759999999999999</v>
          </cell>
          <cell r="BA369">
            <v>1.44E-2</v>
          </cell>
          <cell r="BB369">
            <v>0.249</v>
          </cell>
          <cell r="BC369">
            <v>0.01</v>
          </cell>
          <cell r="BD369">
            <v>0.1</v>
          </cell>
          <cell r="BE369">
            <v>1</v>
          </cell>
          <cell r="BF369">
            <v>3.0541626600000003</v>
          </cell>
        </row>
        <row r="370">
          <cell r="A370">
            <v>38776</v>
          </cell>
          <cell r="B370">
            <v>0.27129999999999999</v>
          </cell>
          <cell r="C370">
            <v>-0.50849999999999995</v>
          </cell>
          <cell r="D370">
            <v>1.0801000000000001</v>
          </cell>
          <cell r="E370">
            <v>-0.83830000000000005</v>
          </cell>
          <cell r="F370">
            <v>-1.6931</v>
          </cell>
          <cell r="G370">
            <v>2.2000000000000001E-3</v>
          </cell>
          <cell r="H370">
            <v>-0.27529999999999999</v>
          </cell>
          <cell r="I370">
            <v>-0.53290000000000004</v>
          </cell>
          <cell r="J370">
            <v>-6.7999999999999996E-3</v>
          </cell>
          <cell r="K370">
            <v>-0.749</v>
          </cell>
          <cell r="L370">
            <v>-1.3516999999999999</v>
          </cell>
          <cell r="M370">
            <v>-0.18709999999999999</v>
          </cell>
          <cell r="N370">
            <v>-0.27529999999999999</v>
          </cell>
          <cell r="O370">
            <v>-0.53290000000000004</v>
          </cell>
          <cell r="P370">
            <v>-6.7999999999999996E-3</v>
          </cell>
          <cell r="Q370">
            <v>-0.30030000000000001</v>
          </cell>
          <cell r="R370">
            <v>-8.3799999999999999E-2</v>
          </cell>
          <cell r="S370">
            <v>0.17780000000000001</v>
          </cell>
          <cell r="T370">
            <v>0.17780000000000001</v>
          </cell>
          <cell r="U370">
            <v>-0.2888</v>
          </cell>
          <cell r="V370">
            <v>-1.2132000000000001</v>
          </cell>
          <cell r="W370">
            <v>0.33200000000000002</v>
          </cell>
          <cell r="X370">
            <v>0.23280000000000001</v>
          </cell>
          <cell r="Z370">
            <v>0.13950000000000001</v>
          </cell>
          <cell r="AA370">
            <v>-0.20480000000000001</v>
          </cell>
          <cell r="AB370">
            <v>-1.1273</v>
          </cell>
          <cell r="AC370">
            <v>0.70840000000000003</v>
          </cell>
          <cell r="AD370">
            <v>0.21212000000000003</v>
          </cell>
          <cell r="AE370">
            <v>0.21212000000000003</v>
          </cell>
          <cell r="AF370">
            <v>-0.2888</v>
          </cell>
          <cell r="AG370">
            <v>1.8517999999999999</v>
          </cell>
          <cell r="AH370">
            <v>2.2210999999999999</v>
          </cell>
          <cell r="AK370">
            <v>0.55500000000000005</v>
          </cell>
          <cell r="AN370">
            <v>0.27700000000000002</v>
          </cell>
          <cell r="AP370">
            <v>0.158</v>
          </cell>
          <cell r="AQ370">
            <v>0.01</v>
          </cell>
          <cell r="AR370">
            <v>1</v>
          </cell>
          <cell r="AS370">
            <v>0.21542310000000001</v>
          </cell>
          <cell r="AT370">
            <v>0.21542310000000001</v>
          </cell>
          <cell r="AU370">
            <v>0.39900000000000002</v>
          </cell>
          <cell r="AV370">
            <v>0.05</v>
          </cell>
          <cell r="AW370">
            <v>0.05</v>
          </cell>
          <cell r="AZ370">
            <v>0.12759999999999999</v>
          </cell>
          <cell r="BA370">
            <v>1.44E-2</v>
          </cell>
          <cell r="BB370">
            <v>0.249</v>
          </cell>
          <cell r="BC370">
            <v>0.01</v>
          </cell>
          <cell r="BD370">
            <v>0.1</v>
          </cell>
          <cell r="BE370">
            <v>1</v>
          </cell>
          <cell r="BF370">
            <v>0.12064574000000003</v>
          </cell>
        </row>
        <row r="371">
          <cell r="A371">
            <v>38807</v>
          </cell>
          <cell r="B371">
            <v>1.2447999999999999</v>
          </cell>
          <cell r="C371">
            <v>0.79500000000000004</v>
          </cell>
          <cell r="D371">
            <v>1.7049000000000001</v>
          </cell>
          <cell r="E371">
            <v>2.4971000000000001</v>
          </cell>
          <cell r="F371">
            <v>2.3252000000000002</v>
          </cell>
          <cell r="G371">
            <v>2.6633</v>
          </cell>
          <cell r="H371">
            <v>4.8517000000000001</v>
          </cell>
          <cell r="I371">
            <v>4.8601999999999999</v>
          </cell>
          <cell r="J371">
            <v>4.8434999999999997</v>
          </cell>
          <cell r="K371">
            <v>4.9065000000000003</v>
          </cell>
          <cell r="L371">
            <v>5.0365000000000002</v>
          </cell>
          <cell r="M371">
            <v>4.7866</v>
          </cell>
          <cell r="N371">
            <v>4.8517000000000001</v>
          </cell>
          <cell r="O371">
            <v>4.8601999999999999</v>
          </cell>
          <cell r="P371">
            <v>4.8434999999999997</v>
          </cell>
          <cell r="Q371">
            <v>4.2678000000000003</v>
          </cell>
          <cell r="R371">
            <v>3.8875000000000002</v>
          </cell>
          <cell r="S371">
            <v>1.7285999999999999</v>
          </cell>
          <cell r="T371">
            <v>1.7285999999999999</v>
          </cell>
          <cell r="U371">
            <v>2.9047999999999998</v>
          </cell>
          <cell r="V371">
            <v>4.8646000000000003</v>
          </cell>
          <cell r="W371">
            <v>-0.98129999999999995</v>
          </cell>
          <cell r="X371">
            <v>-0.60980000000000001</v>
          </cell>
          <cell r="Z371">
            <v>2.4500999999999999</v>
          </cell>
          <cell r="AA371">
            <v>3.3449</v>
          </cell>
          <cell r="AB371">
            <v>3.9249999999999998</v>
          </cell>
          <cell r="AC371">
            <v>2.7740999999999998</v>
          </cell>
          <cell r="AD371">
            <v>0.95750800000000003</v>
          </cell>
          <cell r="AE371">
            <v>0.95750800000000003</v>
          </cell>
          <cell r="AF371">
            <v>2.9047999999999998</v>
          </cell>
          <cell r="AG371">
            <v>1.8527</v>
          </cell>
          <cell r="AH371">
            <v>5.3324999999999996</v>
          </cell>
          <cell r="AK371">
            <v>0.55500000000000005</v>
          </cell>
          <cell r="AN371">
            <v>0.27700000000000002</v>
          </cell>
          <cell r="AP371">
            <v>0.158</v>
          </cell>
          <cell r="AQ371">
            <v>0.01</v>
          </cell>
          <cell r="AR371">
            <v>1</v>
          </cell>
          <cell r="AS371">
            <v>0.89652929999999997</v>
          </cell>
          <cell r="AT371">
            <v>0.89652929999999997</v>
          </cell>
          <cell r="AU371">
            <v>0.39900000000000002</v>
          </cell>
          <cell r="AV371">
            <v>0.05</v>
          </cell>
          <cell r="AW371">
            <v>0.05</v>
          </cell>
          <cell r="AZ371">
            <v>0.12759999999999999</v>
          </cell>
          <cell r="BA371">
            <v>1.44E-2</v>
          </cell>
          <cell r="BB371">
            <v>0.249</v>
          </cell>
          <cell r="BC371">
            <v>0.01</v>
          </cell>
          <cell r="BD371">
            <v>0.1</v>
          </cell>
          <cell r="BE371">
            <v>1</v>
          </cell>
          <cell r="BF371">
            <v>1.1747520200000001</v>
          </cell>
        </row>
        <row r="372">
          <cell r="A372">
            <v>38837</v>
          </cell>
          <cell r="B372">
            <v>1.3428</v>
          </cell>
          <cell r="C372">
            <v>-8.0299999999999996E-2</v>
          </cell>
          <cell r="D372">
            <v>2.7885</v>
          </cell>
          <cell r="E372">
            <v>1.4072</v>
          </cell>
          <cell r="F372">
            <v>0.65190000000000003</v>
          </cell>
          <cell r="G372">
            <v>2.0985999999999998</v>
          </cell>
          <cell r="H372">
            <v>-1.6299999999999999E-2</v>
          </cell>
          <cell r="I372">
            <v>-0.28870000000000001</v>
          </cell>
          <cell r="J372">
            <v>0.26740000000000003</v>
          </cell>
          <cell r="K372">
            <v>-9.1999999999999998E-3</v>
          </cell>
          <cell r="L372">
            <v>-0.17080000000000001</v>
          </cell>
          <cell r="M372">
            <v>0.14069999999999999</v>
          </cell>
          <cell r="N372">
            <v>-1.6299999999999999E-2</v>
          </cell>
          <cell r="O372">
            <v>-0.28870000000000001</v>
          </cell>
          <cell r="P372">
            <v>0.26740000000000003</v>
          </cell>
          <cell r="Q372">
            <v>0.30640000000000001</v>
          </cell>
          <cell r="R372">
            <v>0.35049999999999998</v>
          </cell>
          <cell r="S372">
            <v>1.0849</v>
          </cell>
          <cell r="T372">
            <v>1.0849</v>
          </cell>
          <cell r="U372">
            <v>5.1559999999999997</v>
          </cell>
          <cell r="V372">
            <v>4.3884999999999996</v>
          </cell>
          <cell r="W372">
            <v>-0.18129999999999999</v>
          </cell>
          <cell r="X372">
            <v>3.5700000000000003E-2</v>
          </cell>
          <cell r="Z372">
            <v>2.3380999999999998</v>
          </cell>
          <cell r="AA372">
            <v>4.8498999999999999</v>
          </cell>
          <cell r="AB372">
            <v>4.5938999999999997</v>
          </cell>
          <cell r="AC372">
            <v>5.1055000000000001</v>
          </cell>
          <cell r="AD372">
            <v>1.4771879999999999</v>
          </cell>
          <cell r="AE372">
            <v>1.4771879999999999</v>
          </cell>
          <cell r="AF372">
            <v>5.1559999999999997</v>
          </cell>
          <cell r="AG372">
            <v>1.2592000000000001</v>
          </cell>
          <cell r="AH372">
            <v>-3.6859999999999999</v>
          </cell>
          <cell r="AK372">
            <v>0.55500000000000005</v>
          </cell>
          <cell r="AN372">
            <v>0.27700000000000002</v>
          </cell>
          <cell r="AP372">
            <v>0.158</v>
          </cell>
          <cell r="AQ372">
            <v>0.01</v>
          </cell>
          <cell r="AR372">
            <v>1</v>
          </cell>
          <cell r="AS372">
            <v>1.5222738999999998</v>
          </cell>
          <cell r="AT372">
            <v>1.5222738999999998</v>
          </cell>
          <cell r="AU372">
            <v>0.39900000000000002</v>
          </cell>
          <cell r="AV372">
            <v>0.05</v>
          </cell>
          <cell r="AW372">
            <v>0.05</v>
          </cell>
          <cell r="AZ372">
            <v>0.12759999999999999</v>
          </cell>
          <cell r="BA372">
            <v>1.44E-2</v>
          </cell>
          <cell r="BB372">
            <v>0.249</v>
          </cell>
          <cell r="BC372">
            <v>0.01</v>
          </cell>
          <cell r="BD372">
            <v>0.1</v>
          </cell>
          <cell r="BE372">
            <v>1</v>
          </cell>
          <cell r="BF372">
            <v>1.4415893</v>
          </cell>
        </row>
        <row r="373">
          <cell r="A373">
            <v>38868</v>
          </cell>
          <cell r="B373">
            <v>-2.8780999999999999</v>
          </cell>
          <cell r="C373">
            <v>-3.3155000000000001</v>
          </cell>
          <cell r="D373">
            <v>-2.4453999999999998</v>
          </cell>
          <cell r="E373">
            <v>-4.5103</v>
          </cell>
          <cell r="F373">
            <v>-5.0781999999999998</v>
          </cell>
          <cell r="G373">
            <v>-4.0016999999999996</v>
          </cell>
          <cell r="H373">
            <v>-5.6159999999999997</v>
          </cell>
          <cell r="I373">
            <v>-7.0374999999999996</v>
          </cell>
          <cell r="J373">
            <v>-4.1407999999999996</v>
          </cell>
          <cell r="K373">
            <v>-4.5666000000000002</v>
          </cell>
          <cell r="L373">
            <v>-4.5909000000000004</v>
          </cell>
          <cell r="M373">
            <v>-4.5456000000000003</v>
          </cell>
          <cell r="N373">
            <v>-5.6159999999999997</v>
          </cell>
          <cell r="O373">
            <v>-7.0374999999999996</v>
          </cell>
          <cell r="P373">
            <v>-4.1407999999999996</v>
          </cell>
          <cell r="Q373">
            <v>-5.9661999999999997</v>
          </cell>
          <cell r="R373">
            <v>-4.7229999999999999</v>
          </cell>
          <cell r="S373">
            <v>-3.2016</v>
          </cell>
          <cell r="T373">
            <v>-3.2016</v>
          </cell>
          <cell r="U373">
            <v>-4.6101999999999999</v>
          </cell>
          <cell r="V373">
            <v>-5.6856</v>
          </cell>
          <cell r="W373">
            <v>-0.1067</v>
          </cell>
          <cell r="X373">
            <v>-8.1600000000000006E-2</v>
          </cell>
          <cell r="Z373">
            <v>-2.8374000000000001</v>
          </cell>
          <cell r="AA373">
            <v>-3.7631999999999999</v>
          </cell>
          <cell r="AB373">
            <v>-4.1226000000000003</v>
          </cell>
          <cell r="AC373">
            <v>-3.3908</v>
          </cell>
          <cell r="AD373">
            <v>-2.2437240000000003</v>
          </cell>
          <cell r="AE373">
            <v>-2.2437240000000003</v>
          </cell>
          <cell r="AF373">
            <v>-4.6101999999999999</v>
          </cell>
          <cell r="AG373">
            <v>1.2633000000000001</v>
          </cell>
          <cell r="AH373">
            <v>-2.8081999999999998</v>
          </cell>
          <cell r="AK373">
            <v>0.55500000000000005</v>
          </cell>
          <cell r="AN373">
            <v>0.27700000000000002</v>
          </cell>
          <cell r="AP373">
            <v>0.158</v>
          </cell>
          <cell r="AQ373">
            <v>0.01</v>
          </cell>
          <cell r="AR373">
            <v>1</v>
          </cell>
          <cell r="AS373">
            <v>-2.3426800000000001</v>
          </cell>
          <cell r="AT373">
            <v>-2.3426800000000001</v>
          </cell>
          <cell r="AU373">
            <v>0.39900000000000002</v>
          </cell>
          <cell r="AV373">
            <v>0.05</v>
          </cell>
          <cell r="AW373">
            <v>0.05</v>
          </cell>
          <cell r="AZ373">
            <v>0.12759999999999999</v>
          </cell>
          <cell r="BA373">
            <v>1.44E-2</v>
          </cell>
          <cell r="BB373">
            <v>0.249</v>
          </cell>
          <cell r="BC373">
            <v>0.01</v>
          </cell>
          <cell r="BD373">
            <v>0.1</v>
          </cell>
          <cell r="BE373">
            <v>1</v>
          </cell>
          <cell r="BF373">
            <v>-2.5631187600000001</v>
          </cell>
        </row>
        <row r="374">
          <cell r="A374">
            <v>38898</v>
          </cell>
          <cell r="B374">
            <v>0.1356</v>
          </cell>
          <cell r="C374">
            <v>-6.9199999999999998E-2</v>
          </cell>
          <cell r="D374">
            <v>0.33610000000000001</v>
          </cell>
          <cell r="E374">
            <v>2.2599999999999999E-2</v>
          </cell>
          <cell r="F374">
            <v>9.2299999999999993E-2</v>
          </cell>
          <cell r="G374">
            <v>-3.4299999999999997E-2</v>
          </cell>
          <cell r="H374">
            <v>0.64290000000000003</v>
          </cell>
          <cell r="I374">
            <v>6.0299999999999999E-2</v>
          </cell>
          <cell r="J374">
            <v>1.2283999999999999</v>
          </cell>
          <cell r="K374">
            <v>1.8800000000000001E-2</v>
          </cell>
          <cell r="L374">
            <v>-0.37269999999999998</v>
          </cell>
          <cell r="M374">
            <v>0.3871</v>
          </cell>
          <cell r="N374">
            <v>0.64290000000000003</v>
          </cell>
          <cell r="O374">
            <v>6.0299999999999999E-2</v>
          </cell>
          <cell r="P374">
            <v>1.2283999999999999</v>
          </cell>
          <cell r="Q374">
            <v>-0.47370000000000001</v>
          </cell>
          <cell r="R374">
            <v>4.9599999999999998E-2</v>
          </cell>
          <cell r="S374">
            <v>0.1769</v>
          </cell>
          <cell r="T374">
            <v>0.1769</v>
          </cell>
          <cell r="U374">
            <v>-9.9699999999999997E-2</v>
          </cell>
          <cell r="V374">
            <v>-2.161</v>
          </cell>
          <cell r="W374">
            <v>0.21199999999999999</v>
          </cell>
          <cell r="X374">
            <v>0.16750000000000001</v>
          </cell>
          <cell r="Z374">
            <v>-1.0108999999999999</v>
          </cell>
          <cell r="AA374">
            <v>3.6700000000000003E-2</v>
          </cell>
          <cell r="AB374">
            <v>0.14560000000000001</v>
          </cell>
          <cell r="AC374">
            <v>-6.5199999999999994E-2</v>
          </cell>
          <cell r="AD374">
            <v>0.14116799999999999</v>
          </cell>
          <cell r="AE374">
            <v>0.14116799999999999</v>
          </cell>
          <cell r="AF374">
            <v>-9.9699999999999997E-2</v>
          </cell>
          <cell r="AG374">
            <v>1.2635000000000001</v>
          </cell>
          <cell r="AH374">
            <v>5.7192999999999996</v>
          </cell>
          <cell r="AK374">
            <v>0.55500000000000005</v>
          </cell>
          <cell r="AN374">
            <v>0.27700000000000002</v>
          </cell>
          <cell r="AP374">
            <v>0.158</v>
          </cell>
          <cell r="AQ374">
            <v>0.01</v>
          </cell>
          <cell r="AR374">
            <v>1</v>
          </cell>
          <cell r="AS374">
            <v>0.13086440000000002</v>
          </cell>
          <cell r="AT374">
            <v>0.13086440000000002</v>
          </cell>
          <cell r="AU374">
            <v>0.39900000000000002</v>
          </cell>
          <cell r="AV374">
            <v>0.05</v>
          </cell>
          <cell r="AW374">
            <v>0.05</v>
          </cell>
          <cell r="AZ374">
            <v>0.12759999999999999</v>
          </cell>
          <cell r="BA374">
            <v>1.44E-2</v>
          </cell>
          <cell r="BB374">
            <v>0.249</v>
          </cell>
          <cell r="BC374">
            <v>0.01</v>
          </cell>
          <cell r="BD374">
            <v>0.1</v>
          </cell>
          <cell r="BE374">
            <v>1</v>
          </cell>
          <cell r="BF374">
            <v>0.12307908000000001</v>
          </cell>
        </row>
        <row r="375">
          <cell r="A375">
            <v>38929</v>
          </cell>
          <cell r="B375">
            <v>0.6169</v>
          </cell>
          <cell r="C375">
            <v>0.22220000000000001</v>
          </cell>
          <cell r="D375">
            <v>1.0031000000000001</v>
          </cell>
          <cell r="E375">
            <v>-2.8519000000000001</v>
          </cell>
          <cell r="F375">
            <v>-3.5720999999999998</v>
          </cell>
          <cell r="G375">
            <v>-2.2336999999999998</v>
          </cell>
          <cell r="H375">
            <v>-3.2538999999999998</v>
          </cell>
          <cell r="I375">
            <v>-5.1947000000000001</v>
          </cell>
          <cell r="J375">
            <v>-1.3869</v>
          </cell>
          <cell r="K375">
            <v>-3.4357000000000002</v>
          </cell>
          <cell r="L375">
            <v>-3.6013000000000002</v>
          </cell>
          <cell r="M375">
            <v>-3.2797999999999998</v>
          </cell>
          <cell r="N375">
            <v>-3.2538999999999998</v>
          </cell>
          <cell r="O375">
            <v>-5.1947000000000001</v>
          </cell>
          <cell r="P375">
            <v>-1.3869</v>
          </cell>
          <cell r="Q375">
            <v>-4.8733000000000004</v>
          </cell>
          <cell r="R375">
            <v>-3.1454</v>
          </cell>
          <cell r="S375">
            <v>-9.3700000000000006E-2</v>
          </cell>
          <cell r="T375">
            <v>-9.3700000000000006E-2</v>
          </cell>
          <cell r="U375">
            <v>1.0229999999999999</v>
          </cell>
          <cell r="V375">
            <v>-2.6958000000000002</v>
          </cell>
          <cell r="W375">
            <v>1.3522000000000001</v>
          </cell>
          <cell r="X375">
            <v>1.2612000000000001</v>
          </cell>
          <cell r="Z375">
            <v>-4.9299999999999997E-2</v>
          </cell>
          <cell r="AA375">
            <v>1.0013000000000001</v>
          </cell>
          <cell r="AB375">
            <v>0.47049999999999997</v>
          </cell>
          <cell r="AC375">
            <v>1.5305</v>
          </cell>
          <cell r="AD375">
            <v>0.88428800000000007</v>
          </cell>
          <cell r="AE375">
            <v>0.88428800000000007</v>
          </cell>
          <cell r="AF375">
            <v>1.0229999999999999</v>
          </cell>
          <cell r="AG375">
            <v>1.39</v>
          </cell>
          <cell r="AH375">
            <v>3.5485000000000002</v>
          </cell>
          <cell r="AK375">
            <v>0.55500000000000005</v>
          </cell>
          <cell r="AN375">
            <v>0.27700000000000002</v>
          </cell>
          <cell r="AP375">
            <v>0.158</v>
          </cell>
          <cell r="AQ375">
            <v>0.01</v>
          </cell>
          <cell r="AR375">
            <v>1</v>
          </cell>
          <cell r="AS375">
            <v>0.89247290000000024</v>
          </cell>
          <cell r="AT375">
            <v>0.89247290000000024</v>
          </cell>
          <cell r="AU375">
            <v>0.39900000000000002</v>
          </cell>
          <cell r="AV375">
            <v>0.05</v>
          </cell>
          <cell r="AW375">
            <v>0.05</v>
          </cell>
          <cell r="AZ375">
            <v>0.12759999999999999</v>
          </cell>
          <cell r="BA375">
            <v>1.44E-2</v>
          </cell>
          <cell r="BB375">
            <v>0.249</v>
          </cell>
          <cell r="BC375">
            <v>0.01</v>
          </cell>
          <cell r="BD375">
            <v>0.1</v>
          </cell>
          <cell r="BE375">
            <v>1</v>
          </cell>
          <cell r="BF375">
            <v>0.47159498</v>
          </cell>
        </row>
        <row r="376">
          <cell r="A376">
            <v>38960</v>
          </cell>
          <cell r="B376">
            <v>2.3793000000000002</v>
          </cell>
          <cell r="C376">
            <v>3.2587000000000002</v>
          </cell>
          <cell r="D376">
            <v>1.5262</v>
          </cell>
          <cell r="E376">
            <v>1.1429</v>
          </cell>
          <cell r="F376">
            <v>0.73599999999999999</v>
          </cell>
          <cell r="G376">
            <v>1.4844999999999999</v>
          </cell>
          <cell r="H376">
            <v>2.9607000000000001</v>
          </cell>
          <cell r="I376">
            <v>2.9291</v>
          </cell>
          <cell r="J376">
            <v>2.9889999999999999</v>
          </cell>
          <cell r="K376">
            <v>1.7221</v>
          </cell>
          <cell r="L376">
            <v>0.69010000000000005</v>
          </cell>
          <cell r="M376">
            <v>2.6825999999999999</v>
          </cell>
          <cell r="N376">
            <v>2.9607000000000001</v>
          </cell>
          <cell r="O376">
            <v>2.9291</v>
          </cell>
          <cell r="P376">
            <v>2.9889999999999999</v>
          </cell>
          <cell r="Q376">
            <v>2.4043999999999999</v>
          </cell>
          <cell r="R376">
            <v>2.5345</v>
          </cell>
          <cell r="S376">
            <v>2.4462999999999999</v>
          </cell>
          <cell r="T376">
            <v>2.4462999999999999</v>
          </cell>
          <cell r="U376">
            <v>2.8344</v>
          </cell>
          <cell r="V376">
            <v>2.8111000000000002</v>
          </cell>
          <cell r="W376">
            <v>1.5307999999999999</v>
          </cell>
          <cell r="X376">
            <v>1.3486</v>
          </cell>
          <cell r="Z376">
            <v>1.5399</v>
          </cell>
          <cell r="AA376">
            <v>2.7768999999999999</v>
          </cell>
          <cell r="AB376">
            <v>2.4209999999999998</v>
          </cell>
          <cell r="AC376">
            <v>3.1271</v>
          </cell>
          <cell r="AD376">
            <v>2.205336</v>
          </cell>
          <cell r="AE376">
            <v>2.205336</v>
          </cell>
          <cell r="AF376">
            <v>2.8344</v>
          </cell>
          <cell r="AG376">
            <v>1.3904000000000001</v>
          </cell>
          <cell r="AH376">
            <v>3.3816000000000002</v>
          </cell>
          <cell r="AK376">
            <v>0.55500000000000005</v>
          </cell>
          <cell r="AN376">
            <v>0.27700000000000002</v>
          </cell>
          <cell r="AP376">
            <v>0.158</v>
          </cell>
          <cell r="AQ376">
            <v>0.01</v>
          </cell>
          <cell r="AR376">
            <v>1</v>
          </cell>
          <cell r="AS376">
            <v>2.2062823000000003</v>
          </cell>
          <cell r="AT376">
            <v>2.2062823000000003</v>
          </cell>
          <cell r="AU376">
            <v>0.39900000000000002</v>
          </cell>
          <cell r="AV376">
            <v>0.05</v>
          </cell>
          <cell r="AW376">
            <v>0.05</v>
          </cell>
          <cell r="AZ376">
            <v>0.12759999999999999</v>
          </cell>
          <cell r="BA376">
            <v>1.44E-2</v>
          </cell>
          <cell r="BB376">
            <v>0.249</v>
          </cell>
          <cell r="BC376">
            <v>0.01</v>
          </cell>
          <cell r="BD376">
            <v>0.1</v>
          </cell>
          <cell r="BE376">
            <v>1</v>
          </cell>
          <cell r="BF376">
            <v>2.1722767799999998</v>
          </cell>
        </row>
        <row r="377">
          <cell r="A377">
            <v>38990</v>
          </cell>
          <cell r="B377">
            <v>2.577</v>
          </cell>
          <cell r="C377">
            <v>2.4897999999999998</v>
          </cell>
          <cell r="D377">
            <v>2.6623000000000001</v>
          </cell>
          <cell r="E377">
            <v>0.67290000000000005</v>
          </cell>
          <cell r="F377">
            <v>1.2302</v>
          </cell>
          <cell r="G377">
            <v>0.21260000000000001</v>
          </cell>
          <cell r="H377">
            <v>0.83260000000000001</v>
          </cell>
          <cell r="I377">
            <v>0.67679999999999996</v>
          </cell>
          <cell r="J377">
            <v>0.97609999999999997</v>
          </cell>
          <cell r="K377">
            <v>0.90910000000000002</v>
          </cell>
          <cell r="L377">
            <v>0.498</v>
          </cell>
          <cell r="M377">
            <v>1.2850999999999999</v>
          </cell>
          <cell r="N377">
            <v>0.83260000000000001</v>
          </cell>
          <cell r="O377">
            <v>0.67679999999999996</v>
          </cell>
          <cell r="P377">
            <v>0.97609999999999997</v>
          </cell>
          <cell r="Q377">
            <v>1.42</v>
          </cell>
          <cell r="R377">
            <v>1.2174</v>
          </cell>
          <cell r="S377">
            <v>2.2385000000000002</v>
          </cell>
          <cell r="T377">
            <v>2.2385000000000002</v>
          </cell>
          <cell r="U377">
            <v>6.4899999999999999E-2</v>
          </cell>
          <cell r="V377">
            <v>0.4199</v>
          </cell>
          <cell r="W377">
            <v>0.87839999999999996</v>
          </cell>
          <cell r="X377">
            <v>0.76329999999999998</v>
          </cell>
          <cell r="Z377">
            <v>8.5099999999999995E-2</v>
          </cell>
          <cell r="AA377">
            <v>0.17399999999999999</v>
          </cell>
          <cell r="AB377">
            <v>-0.54520000000000002</v>
          </cell>
          <cell r="AC377">
            <v>0.87260000000000004</v>
          </cell>
          <cell r="AD377">
            <v>1.7169120000000002</v>
          </cell>
          <cell r="AE377">
            <v>1.7169120000000002</v>
          </cell>
          <cell r="AF377">
            <v>6.4899999999999999E-2</v>
          </cell>
          <cell r="AG377">
            <v>1.3908</v>
          </cell>
          <cell r="AH377">
            <v>1.9209000000000001</v>
          </cell>
          <cell r="AK377">
            <v>0.55500000000000005</v>
          </cell>
          <cell r="AN377">
            <v>0.27700000000000002</v>
          </cell>
          <cell r="AP377">
            <v>0.158</v>
          </cell>
          <cell r="AQ377">
            <v>0.01</v>
          </cell>
          <cell r="AR377">
            <v>1</v>
          </cell>
          <cell r="AS377">
            <v>1.6977140000000004</v>
          </cell>
          <cell r="AT377">
            <v>1.6977140000000004</v>
          </cell>
          <cell r="AU377">
            <v>0.39900000000000002</v>
          </cell>
          <cell r="AV377">
            <v>0.05</v>
          </cell>
          <cell r="AW377">
            <v>0.05</v>
          </cell>
          <cell r="AZ377">
            <v>0.12759999999999999</v>
          </cell>
          <cell r="BA377">
            <v>1.44E-2</v>
          </cell>
          <cell r="BB377">
            <v>0.249</v>
          </cell>
          <cell r="BC377">
            <v>0.01</v>
          </cell>
          <cell r="BD377">
            <v>0.1</v>
          </cell>
          <cell r="BE377">
            <v>1</v>
          </cell>
          <cell r="BF377">
            <v>1.5221466000000001</v>
          </cell>
        </row>
        <row r="378">
          <cell r="A378">
            <v>39021</v>
          </cell>
          <cell r="B378">
            <v>3.2585999999999999</v>
          </cell>
          <cell r="C378">
            <v>3.1804000000000001</v>
          </cell>
          <cell r="D378">
            <v>3.3349000000000002</v>
          </cell>
          <cell r="E378">
            <v>4.157</v>
          </cell>
          <cell r="F378">
            <v>3.7263000000000002</v>
          </cell>
          <cell r="G378">
            <v>4.5171000000000001</v>
          </cell>
          <cell r="H378">
            <v>5.7577999999999996</v>
          </cell>
          <cell r="I378">
            <v>6.4798</v>
          </cell>
          <cell r="J378">
            <v>5.0896999999999997</v>
          </cell>
          <cell r="K378">
            <v>4.9513999999999996</v>
          </cell>
          <cell r="L378">
            <v>4.4203999999999999</v>
          </cell>
          <cell r="M378">
            <v>5.4302999999999999</v>
          </cell>
          <cell r="N378">
            <v>5.7577999999999996</v>
          </cell>
          <cell r="O378">
            <v>6.4798</v>
          </cell>
          <cell r="P378">
            <v>5.0896999999999997</v>
          </cell>
          <cell r="Q378">
            <v>4.9272999999999998</v>
          </cell>
          <cell r="R378">
            <v>4.8049999999999997</v>
          </cell>
          <cell r="S378">
            <v>3.5996999999999999</v>
          </cell>
          <cell r="T378">
            <v>3.5996999999999999</v>
          </cell>
          <cell r="U378">
            <v>4.0719000000000003</v>
          </cell>
          <cell r="V378">
            <v>3.6726999999999999</v>
          </cell>
          <cell r="W378">
            <v>0.66149999999999998</v>
          </cell>
          <cell r="X378">
            <v>0.61150000000000004</v>
          </cell>
          <cell r="Z378">
            <v>2.1928000000000001</v>
          </cell>
          <cell r="AA378">
            <v>3.8982999999999999</v>
          </cell>
          <cell r="AB378">
            <v>3.42</v>
          </cell>
          <cell r="AC378">
            <v>4.3615000000000004</v>
          </cell>
          <cell r="AD378">
            <v>2.6337640000000002</v>
          </cell>
          <cell r="AE378">
            <v>2.6337640000000002</v>
          </cell>
          <cell r="AF378">
            <v>4.0719000000000003</v>
          </cell>
          <cell r="AG378">
            <v>1.2289000000000001</v>
          </cell>
          <cell r="AH378">
            <v>6.3242000000000003</v>
          </cell>
          <cell r="AK378">
            <v>0.55500000000000005</v>
          </cell>
          <cell r="AN378">
            <v>0.27700000000000002</v>
          </cell>
          <cell r="AP378">
            <v>0.158</v>
          </cell>
          <cell r="AQ378">
            <v>0.01</v>
          </cell>
          <cell r="AR378">
            <v>1</v>
          </cell>
          <cell r="AS378">
            <v>2.6474077</v>
          </cell>
          <cell r="AT378">
            <v>2.6474077</v>
          </cell>
          <cell r="AU378">
            <v>0.39900000000000002</v>
          </cell>
          <cell r="AV378">
            <v>0.05</v>
          </cell>
          <cell r="AW378">
            <v>0.05</v>
          </cell>
          <cell r="AZ378">
            <v>0.12759999999999999</v>
          </cell>
          <cell r="BA378">
            <v>1.44E-2</v>
          </cell>
          <cell r="BB378">
            <v>0.249</v>
          </cell>
          <cell r="BC378">
            <v>0.01</v>
          </cell>
          <cell r="BD378">
            <v>0.1</v>
          </cell>
          <cell r="BE378">
            <v>1</v>
          </cell>
          <cell r="BF378">
            <v>2.8087616199999998</v>
          </cell>
        </row>
        <row r="379">
          <cell r="A379">
            <v>39051</v>
          </cell>
          <cell r="B379">
            <v>1.9016</v>
          </cell>
          <cell r="C379">
            <v>2.0114000000000001</v>
          </cell>
          <cell r="D379">
            <v>1.7946</v>
          </cell>
          <cell r="E379">
            <v>3.2174999999999998</v>
          </cell>
          <cell r="F379">
            <v>3.4066000000000001</v>
          </cell>
          <cell r="G379">
            <v>3.0630000000000002</v>
          </cell>
          <cell r="H379">
            <v>2.6305000000000001</v>
          </cell>
          <cell r="I379">
            <v>2.3940999999999999</v>
          </cell>
          <cell r="J379">
            <v>2.8515000000000001</v>
          </cell>
          <cell r="K379">
            <v>2.7698999999999998</v>
          </cell>
          <cell r="L379">
            <v>3.1151</v>
          </cell>
          <cell r="M379">
            <v>2.4628999999999999</v>
          </cell>
          <cell r="N379">
            <v>2.6305000000000001</v>
          </cell>
          <cell r="O379">
            <v>2.3940999999999999</v>
          </cell>
          <cell r="P379">
            <v>2.8515000000000001</v>
          </cell>
          <cell r="Q379">
            <v>3.4026000000000001</v>
          </cell>
          <cell r="R379">
            <v>3.2625999999999999</v>
          </cell>
          <cell r="S379">
            <v>2.1758000000000002</v>
          </cell>
          <cell r="T379">
            <v>2.1758000000000002</v>
          </cell>
          <cell r="U379">
            <v>3.6307999999999998</v>
          </cell>
          <cell r="V379">
            <v>4.2994000000000003</v>
          </cell>
          <cell r="W379">
            <v>1.1600999999999999</v>
          </cell>
          <cell r="X379">
            <v>1.0197000000000001</v>
          </cell>
          <cell r="Z379">
            <v>2.6044</v>
          </cell>
          <cell r="AA379">
            <v>3.0163000000000002</v>
          </cell>
          <cell r="AB379">
            <v>2.9312</v>
          </cell>
          <cell r="AC379">
            <v>3.0943000000000001</v>
          </cell>
          <cell r="AD379">
            <v>1.8723320000000001</v>
          </cell>
          <cell r="AE379">
            <v>1.8723320000000001</v>
          </cell>
          <cell r="AF379">
            <v>3.6307999999999998</v>
          </cell>
          <cell r="AG379">
            <v>1.1571</v>
          </cell>
          <cell r="AH379">
            <v>4.7895000000000003</v>
          </cell>
          <cell r="AK379">
            <v>0.55500000000000005</v>
          </cell>
          <cell r="AN379">
            <v>0.27700000000000002</v>
          </cell>
          <cell r="AP379">
            <v>0.158</v>
          </cell>
          <cell r="AQ379">
            <v>0.01</v>
          </cell>
          <cell r="AR379">
            <v>1</v>
          </cell>
          <cell r="AS379">
            <v>1.9619731</v>
          </cell>
          <cell r="AT379">
            <v>1.9619731</v>
          </cell>
          <cell r="AU379">
            <v>0.39900000000000002</v>
          </cell>
          <cell r="AV379">
            <v>0.05</v>
          </cell>
          <cell r="AW379">
            <v>0.05</v>
          </cell>
          <cell r="AZ379">
            <v>0.12759999999999999</v>
          </cell>
          <cell r="BA379">
            <v>1.44E-2</v>
          </cell>
          <cell r="BB379">
            <v>0.249</v>
          </cell>
          <cell r="BC379">
            <v>0.01</v>
          </cell>
          <cell r="BD379">
            <v>0.1</v>
          </cell>
          <cell r="BE379">
            <v>1</v>
          </cell>
          <cell r="BF379">
            <v>2.0640089400000003</v>
          </cell>
        </row>
        <row r="380">
          <cell r="A380">
            <v>39082</v>
          </cell>
          <cell r="B380">
            <v>1.4028</v>
          </cell>
          <cell r="C380">
            <v>0.37240000000000001</v>
          </cell>
          <cell r="D380">
            <v>2.4100999999999999</v>
          </cell>
          <cell r="E380">
            <v>-0.48649999999999999</v>
          </cell>
          <cell r="F380">
            <v>-1.1914</v>
          </cell>
          <cell r="G380">
            <v>0.1394</v>
          </cell>
          <cell r="H380">
            <v>0.33489999999999998</v>
          </cell>
          <cell r="I380">
            <v>-0.23799999999999999</v>
          </cell>
          <cell r="J380">
            <v>0.87119999999999997</v>
          </cell>
          <cell r="K380">
            <v>-1.49E-2</v>
          </cell>
          <cell r="L380">
            <v>-0.3851</v>
          </cell>
          <cell r="M380">
            <v>0.34389999999999998</v>
          </cell>
          <cell r="N380">
            <v>0.33489999999999998</v>
          </cell>
          <cell r="O380">
            <v>-0.23799999999999999</v>
          </cell>
          <cell r="P380">
            <v>0.87119999999999997</v>
          </cell>
          <cell r="Q380">
            <v>-0.23300000000000001</v>
          </cell>
          <cell r="R380">
            <v>0.438</v>
          </cell>
          <cell r="S380">
            <v>1.1976</v>
          </cell>
          <cell r="T380">
            <v>1.1976</v>
          </cell>
          <cell r="U380">
            <v>3.1164000000000001</v>
          </cell>
          <cell r="V380">
            <v>3.3431000000000002</v>
          </cell>
          <cell r="W380">
            <v>-0.58030000000000004</v>
          </cell>
          <cell r="X380">
            <v>-0.36820000000000003</v>
          </cell>
          <cell r="Z380">
            <v>2.0819999999999999</v>
          </cell>
          <cell r="AA380">
            <v>3.1454</v>
          </cell>
          <cell r="AB380">
            <v>2.8085</v>
          </cell>
          <cell r="AC380">
            <v>3.4544000000000001</v>
          </cell>
          <cell r="AD380">
            <v>1.1263480000000001</v>
          </cell>
          <cell r="AE380">
            <v>1.1263480000000001</v>
          </cell>
          <cell r="AF380">
            <v>3.1164000000000001</v>
          </cell>
          <cell r="AG380">
            <v>1.1571</v>
          </cell>
          <cell r="AH380">
            <v>-2.2536999999999998</v>
          </cell>
          <cell r="AK380">
            <v>0.55500000000000005</v>
          </cell>
          <cell r="AN380">
            <v>0.27700000000000002</v>
          </cell>
          <cell r="AP380">
            <v>0.158</v>
          </cell>
          <cell r="AQ380">
            <v>0.01</v>
          </cell>
          <cell r="AR380">
            <v>1</v>
          </cell>
          <cell r="AS380">
            <v>1.1217731</v>
          </cell>
          <cell r="AT380">
            <v>1.1217731</v>
          </cell>
          <cell r="AU380">
            <v>0.39900000000000002</v>
          </cell>
          <cell r="AV380">
            <v>0.05</v>
          </cell>
          <cell r="AW380">
            <v>0.05</v>
          </cell>
          <cell r="AZ380">
            <v>0.12759999999999999</v>
          </cell>
          <cell r="BA380">
            <v>1.44E-2</v>
          </cell>
          <cell r="BB380">
            <v>0.249</v>
          </cell>
          <cell r="BC380">
            <v>0.01</v>
          </cell>
          <cell r="BD380">
            <v>0.1</v>
          </cell>
          <cell r="BE380">
            <v>1</v>
          </cell>
          <cell r="BF380">
            <v>0.97764158000000001</v>
          </cell>
        </row>
        <row r="381">
          <cell r="A381">
            <v>39113</v>
          </cell>
          <cell r="B381">
            <v>1.5123</v>
          </cell>
          <cell r="C381">
            <v>1.2499</v>
          </cell>
          <cell r="D381">
            <v>1.7617</v>
          </cell>
          <cell r="E381">
            <v>3.6335999999999999</v>
          </cell>
          <cell r="F381">
            <v>3.9426999999999999</v>
          </cell>
          <cell r="G381">
            <v>3.3307000000000002</v>
          </cell>
          <cell r="H381">
            <v>1.6735</v>
          </cell>
          <cell r="I381">
            <v>1.8605</v>
          </cell>
          <cell r="J381">
            <v>1.498</v>
          </cell>
          <cell r="K381">
            <v>2.0588000000000002</v>
          </cell>
          <cell r="L381">
            <v>2.0203000000000002</v>
          </cell>
          <cell r="M381">
            <v>2.0958999999999999</v>
          </cell>
          <cell r="N381">
            <v>2.0588000000000002</v>
          </cell>
          <cell r="O381">
            <v>2.0203000000000002</v>
          </cell>
          <cell r="P381">
            <v>2.0958999999999999</v>
          </cell>
          <cell r="Q381">
            <v>3.1783000000000001</v>
          </cell>
          <cell r="R381">
            <v>2.6981999999999999</v>
          </cell>
          <cell r="S381">
            <v>1.9034</v>
          </cell>
          <cell r="T381">
            <v>1.9034</v>
          </cell>
          <cell r="U381">
            <v>0.37340000000000001</v>
          </cell>
          <cell r="V381">
            <v>2.0939999999999999</v>
          </cell>
          <cell r="W381">
            <v>-4.1000000000000002E-2</v>
          </cell>
          <cell r="X381">
            <v>2.8400000000000002E-2</v>
          </cell>
          <cell r="Z381">
            <v>1.1525000000000001</v>
          </cell>
          <cell r="AA381">
            <v>0.68430000000000002</v>
          </cell>
          <cell r="AB381">
            <v>0.81269999999999998</v>
          </cell>
          <cell r="AC381">
            <v>0.55740000000000001</v>
          </cell>
          <cell r="AD381">
            <v>0.94489600000000007</v>
          </cell>
          <cell r="AE381">
            <v>0.94489600000000007</v>
          </cell>
          <cell r="AF381">
            <v>0.37340000000000001</v>
          </cell>
          <cell r="AG381">
            <v>1.4813000000000001</v>
          </cell>
          <cell r="AH381">
            <v>9.0412999999999997</v>
          </cell>
          <cell r="AK381">
            <v>0.39</v>
          </cell>
          <cell r="AL381">
            <v>7.0000000000000007E-2</v>
          </cell>
          <cell r="AM381">
            <v>7.0000000000000007E-2</v>
          </cell>
          <cell r="AN381">
            <v>0.27</v>
          </cell>
          <cell r="AP381">
            <v>0.19</v>
          </cell>
          <cell r="AQ381">
            <v>0.01</v>
          </cell>
          <cell r="AR381">
            <v>1</v>
          </cell>
          <cell r="AS381">
            <v>1.062954</v>
          </cell>
          <cell r="AT381">
            <v>1.062954</v>
          </cell>
          <cell r="AU381">
            <v>0.33400000000000002</v>
          </cell>
          <cell r="AV381">
            <v>7.0000000000000007E-2</v>
          </cell>
          <cell r="AX381">
            <v>7.0000000000000007E-2</v>
          </cell>
          <cell r="AZ381">
            <v>0.156</v>
          </cell>
          <cell r="BA381">
            <v>1.7999999999999999E-2</v>
          </cell>
          <cell r="BB381">
            <v>0.24199999999999999</v>
          </cell>
          <cell r="BC381">
            <v>0.01</v>
          </cell>
          <cell r="BD381">
            <v>0.1</v>
          </cell>
          <cell r="BE381">
            <v>1</v>
          </cell>
          <cell r="BF381">
            <v>1.0988992</v>
          </cell>
        </row>
        <row r="382">
          <cell r="A382">
            <v>39141</v>
          </cell>
          <cell r="B382">
            <v>-1.9559</v>
          </cell>
          <cell r="C382">
            <v>-2.2321</v>
          </cell>
          <cell r="D382">
            <v>-1.6937</v>
          </cell>
          <cell r="E382">
            <v>0.73309999999999997</v>
          </cell>
          <cell r="F382">
            <v>0.25690000000000002</v>
          </cell>
          <cell r="G382">
            <v>1.2072000000000001</v>
          </cell>
          <cell r="H382">
            <v>-0.79349999999999998</v>
          </cell>
          <cell r="I382">
            <v>-0.31630000000000003</v>
          </cell>
          <cell r="J382">
            <v>-1.2281</v>
          </cell>
          <cell r="K382">
            <v>-0.54279999999999995</v>
          </cell>
          <cell r="L382">
            <v>-0.10059999999999999</v>
          </cell>
          <cell r="M382">
            <v>-0.95420000000000005</v>
          </cell>
          <cell r="N382">
            <v>-0.54279999999999995</v>
          </cell>
          <cell r="O382">
            <v>-0.10059999999999999</v>
          </cell>
          <cell r="P382">
            <v>-0.95420000000000005</v>
          </cell>
          <cell r="Q382">
            <v>-4.5900000000000003E-2</v>
          </cell>
          <cell r="R382">
            <v>-0.14050000000000001</v>
          </cell>
          <cell r="S382">
            <v>-1.6404000000000001</v>
          </cell>
          <cell r="T382">
            <v>-1.6404000000000001</v>
          </cell>
          <cell r="U382">
            <v>0.61109999999999998</v>
          </cell>
          <cell r="V382">
            <v>1.6819</v>
          </cell>
          <cell r="W382">
            <v>1.542</v>
          </cell>
          <cell r="X382">
            <v>1.3337000000000001</v>
          </cell>
          <cell r="Z382">
            <v>0.7087</v>
          </cell>
          <cell r="AA382">
            <v>0.82150000000000001</v>
          </cell>
          <cell r="AB382">
            <v>0.7742</v>
          </cell>
          <cell r="AC382">
            <v>0.86299999999999999</v>
          </cell>
          <cell r="AD382">
            <v>-0.53210400000000002</v>
          </cell>
          <cell r="AE382">
            <v>-0.53210400000000002</v>
          </cell>
          <cell r="AF382">
            <v>0.61109999999999998</v>
          </cell>
          <cell r="AG382">
            <v>1.4823</v>
          </cell>
          <cell r="AH382">
            <v>-2.2587999999999999</v>
          </cell>
          <cell r="AK382">
            <v>0.39</v>
          </cell>
          <cell r="AL382">
            <v>7.0000000000000007E-2</v>
          </cell>
          <cell r="AM382">
            <v>7.0000000000000007E-2</v>
          </cell>
          <cell r="AN382">
            <v>0.27</v>
          </cell>
          <cell r="AP382">
            <v>0.19</v>
          </cell>
          <cell r="AQ382">
            <v>0.01</v>
          </cell>
          <cell r="AR382">
            <v>1</v>
          </cell>
          <cell r="AS382">
            <v>-0.202208</v>
          </cell>
          <cell r="AT382">
            <v>-0.202208</v>
          </cell>
          <cell r="AU382">
            <v>0.33400000000000002</v>
          </cell>
          <cell r="AV382">
            <v>7.0000000000000007E-2</v>
          </cell>
          <cell r="AX382">
            <v>7.0000000000000007E-2</v>
          </cell>
          <cell r="AZ382">
            <v>0.156</v>
          </cell>
          <cell r="BA382">
            <v>1.7999999999999999E-2</v>
          </cell>
          <cell r="BB382">
            <v>0.24199999999999999</v>
          </cell>
          <cell r="BC382">
            <v>0.01</v>
          </cell>
          <cell r="BD382">
            <v>0.1</v>
          </cell>
          <cell r="BE382">
            <v>1</v>
          </cell>
          <cell r="BF382">
            <v>-0.17956720000000015</v>
          </cell>
        </row>
        <row r="383">
          <cell r="A383">
            <v>39172</v>
          </cell>
          <cell r="B383">
            <v>1.1185</v>
          </cell>
          <cell r="C383">
            <v>0.92589999999999995</v>
          </cell>
          <cell r="D383">
            <v>1.2999000000000001</v>
          </cell>
          <cell r="E383">
            <v>1.3460000000000001</v>
          </cell>
          <cell r="F383">
            <v>1.6476</v>
          </cell>
          <cell r="G383">
            <v>1.0481</v>
          </cell>
          <cell r="H383">
            <v>1.0705</v>
          </cell>
          <cell r="I383">
            <v>0.92359999999999998</v>
          </cell>
          <cell r="J383">
            <v>1.2068000000000001</v>
          </cell>
          <cell r="K383">
            <v>1.6766000000000001</v>
          </cell>
          <cell r="L383">
            <v>2.3639000000000001</v>
          </cell>
          <cell r="M383">
            <v>1.0370999999999999</v>
          </cell>
          <cell r="N383">
            <v>1.6766000000000001</v>
          </cell>
          <cell r="O383">
            <v>2.3639000000000001</v>
          </cell>
          <cell r="P383">
            <v>1.0370999999999999</v>
          </cell>
          <cell r="Q383">
            <v>0.87580000000000002</v>
          </cell>
          <cell r="R383">
            <v>0.97309999999999997</v>
          </cell>
          <cell r="S383">
            <v>1.0407999999999999</v>
          </cell>
          <cell r="T383">
            <v>1.0407999999999999</v>
          </cell>
          <cell r="U383">
            <v>2.8174999999999999</v>
          </cell>
          <cell r="V383">
            <v>3.2564000000000002</v>
          </cell>
          <cell r="W383">
            <v>3.0999999999999999E-3</v>
          </cell>
          <cell r="X383">
            <v>0.20710000000000001</v>
          </cell>
          <cell r="Z383" t="e">
            <v>#N/A</v>
          </cell>
          <cell r="AA383">
            <v>2.5964</v>
          </cell>
          <cell r="AB383">
            <v>3.3727999999999998</v>
          </cell>
          <cell r="AC383">
            <v>1.8284</v>
          </cell>
          <cell r="AD383">
            <v>1.0426520000000001</v>
          </cell>
          <cell r="AE383">
            <v>1.0426520000000001</v>
          </cell>
          <cell r="AF383">
            <v>2.8174999999999999</v>
          </cell>
          <cell r="AG383">
            <v>1.4823</v>
          </cell>
          <cell r="AH383">
            <v>-2.6815000000000002</v>
          </cell>
          <cell r="AK383">
            <v>0.39</v>
          </cell>
          <cell r="AL383">
            <v>7.0000000000000007E-2</v>
          </cell>
          <cell r="AM383">
            <v>7.0000000000000007E-2</v>
          </cell>
          <cell r="AN383">
            <v>0.27</v>
          </cell>
          <cell r="AP383">
            <v>0.19</v>
          </cell>
          <cell r="AQ383">
            <v>0.01</v>
          </cell>
          <cell r="AR383">
            <v>1</v>
          </cell>
          <cell r="AS383">
            <v>1.1987819999999998</v>
          </cell>
          <cell r="AT383">
            <v>1.1987819999999998</v>
          </cell>
          <cell r="AU383">
            <v>0.33400000000000002</v>
          </cell>
          <cell r="AV383">
            <v>7.0000000000000007E-2</v>
          </cell>
          <cell r="AX383">
            <v>7.0000000000000007E-2</v>
          </cell>
          <cell r="AZ383">
            <v>0.156</v>
          </cell>
          <cell r="BA383">
            <v>1.7999999999999999E-2</v>
          </cell>
          <cell r="BB383">
            <v>0.24199999999999999</v>
          </cell>
          <cell r="BC383">
            <v>0.01</v>
          </cell>
          <cell r="BD383">
            <v>0.1</v>
          </cell>
          <cell r="BE383">
            <v>1</v>
          </cell>
          <cell r="BF383">
            <v>1.2031445999999999</v>
          </cell>
        </row>
        <row r="384">
          <cell r="A384">
            <v>39202</v>
          </cell>
          <cell r="B384">
            <v>4.4295</v>
          </cell>
          <cell r="C384">
            <v>4.6803999999999997</v>
          </cell>
          <cell r="D384">
            <v>4.1965000000000003</v>
          </cell>
          <cell r="E384">
            <v>3.0417999999999998</v>
          </cell>
          <cell r="F384">
            <v>3.2665000000000002</v>
          </cell>
          <cell r="G384">
            <v>2.8184</v>
          </cell>
          <cell r="H384">
            <v>1.7962</v>
          </cell>
          <cell r="I384">
            <v>2.6217999999999999</v>
          </cell>
          <cell r="J384">
            <v>1.0377000000000001</v>
          </cell>
          <cell r="K384">
            <v>2.2290999999999999</v>
          </cell>
          <cell r="L384">
            <v>2.5047000000000001</v>
          </cell>
          <cell r="M384">
            <v>1.9710000000000001</v>
          </cell>
          <cell r="N384">
            <v>2.2290999999999999</v>
          </cell>
          <cell r="O384">
            <v>2.5047000000000001</v>
          </cell>
          <cell r="P384">
            <v>1.9710000000000001</v>
          </cell>
          <cell r="Q384">
            <v>3.0697999999999999</v>
          </cell>
          <cell r="R384">
            <v>2.5767000000000002</v>
          </cell>
          <cell r="S384">
            <v>3.9946999999999999</v>
          </cell>
          <cell r="T384">
            <v>3.9946999999999999</v>
          </cell>
          <cell r="U384">
            <v>4.6372999999999998</v>
          </cell>
          <cell r="V384">
            <v>3.7696999999999998</v>
          </cell>
          <cell r="W384">
            <v>0.53920000000000001</v>
          </cell>
          <cell r="X384">
            <v>0.47960000000000003</v>
          </cell>
          <cell r="Z384">
            <v>2.9033000000000002</v>
          </cell>
          <cell r="AA384">
            <v>4.5321999999999996</v>
          </cell>
          <cell r="AB384">
            <v>4.3440000000000003</v>
          </cell>
          <cell r="AC384">
            <v>4.7184999999999997</v>
          </cell>
          <cell r="AD384">
            <v>3.3566480000000003</v>
          </cell>
          <cell r="AE384">
            <v>3.3566480000000003</v>
          </cell>
          <cell r="AF384">
            <v>4.6372999999999998</v>
          </cell>
          <cell r="AG384">
            <v>1.194</v>
          </cell>
          <cell r="AH384">
            <v>-1.5599999999999999E-2</v>
          </cell>
          <cell r="AK384">
            <v>0.39</v>
          </cell>
          <cell r="AL384">
            <v>7.0000000000000007E-2</v>
          </cell>
          <cell r="AM384">
            <v>7.0000000000000007E-2</v>
          </cell>
          <cell r="AN384">
            <v>0.27</v>
          </cell>
          <cell r="AP384">
            <v>0.19</v>
          </cell>
          <cell r="AQ384">
            <v>0.01</v>
          </cell>
          <cell r="AR384">
            <v>1</v>
          </cell>
          <cell r="AS384">
            <v>3.1350790000000002</v>
          </cell>
          <cell r="AT384">
            <v>3.1350790000000002</v>
          </cell>
          <cell r="AU384">
            <v>0.33400000000000002</v>
          </cell>
          <cell r="AV384">
            <v>7.0000000000000007E-2</v>
          </cell>
          <cell r="AX384">
            <v>7.0000000000000007E-2</v>
          </cell>
          <cell r="AZ384">
            <v>0.156</v>
          </cell>
          <cell r="BA384">
            <v>1.7999999999999999E-2</v>
          </cell>
          <cell r="BB384">
            <v>0.24199999999999999</v>
          </cell>
          <cell r="BC384">
            <v>0.01</v>
          </cell>
          <cell r="BD384">
            <v>0.1</v>
          </cell>
          <cell r="BE384">
            <v>1</v>
          </cell>
          <cell r="BF384">
            <v>3.1177806000000001</v>
          </cell>
        </row>
        <row r="385">
          <cell r="A385">
            <v>39233</v>
          </cell>
          <cell r="B385">
            <v>3.4895</v>
          </cell>
          <cell r="C385">
            <v>3.1371000000000002</v>
          </cell>
          <cell r="D385">
            <v>3.8187000000000002</v>
          </cell>
          <cell r="E385">
            <v>5.0110999999999999</v>
          </cell>
          <cell r="F385">
            <v>5.6542000000000003</v>
          </cell>
          <cell r="G385">
            <v>4.3655999999999997</v>
          </cell>
          <cell r="H385">
            <v>4.0956000000000001</v>
          </cell>
          <cell r="I385">
            <v>4.5536000000000003</v>
          </cell>
          <cell r="J385">
            <v>3.6665999999999999</v>
          </cell>
          <cell r="K385">
            <v>4.6033999999999997</v>
          </cell>
          <cell r="L385">
            <v>4.6451000000000002</v>
          </cell>
          <cell r="M385">
            <v>4.5654000000000003</v>
          </cell>
          <cell r="N385">
            <v>4.6033999999999997</v>
          </cell>
          <cell r="O385">
            <v>4.6451000000000002</v>
          </cell>
          <cell r="P385">
            <v>4.5654000000000003</v>
          </cell>
          <cell r="Q385">
            <v>4.7957000000000001</v>
          </cell>
          <cell r="R385">
            <v>4.1760999999999999</v>
          </cell>
          <cell r="S385">
            <v>3.6438000000000001</v>
          </cell>
          <cell r="T385">
            <v>3.6438000000000001</v>
          </cell>
          <cell r="U385">
            <v>2.7410000000000001</v>
          </cell>
          <cell r="V385">
            <v>0.76549999999999996</v>
          </cell>
          <cell r="W385">
            <v>-0.75790000000000002</v>
          </cell>
          <cell r="X385">
            <v>-0.63370000000000004</v>
          </cell>
          <cell r="Z385" t="e">
            <v>#N/A</v>
          </cell>
          <cell r="AA385">
            <v>1.8876999999999999</v>
          </cell>
          <cell r="AB385">
            <v>2.1238999999999999</v>
          </cell>
          <cell r="AC385">
            <v>1.6443000000000001</v>
          </cell>
          <cell r="AD385">
            <v>2.0439400000000001</v>
          </cell>
          <cell r="AE385">
            <v>2.0439400000000001</v>
          </cell>
          <cell r="AF385">
            <v>2.7410000000000001</v>
          </cell>
          <cell r="AG385">
            <v>1.194</v>
          </cell>
          <cell r="AH385">
            <v>5.4999999999999997E-3</v>
          </cell>
          <cell r="AK385">
            <v>0.39</v>
          </cell>
          <cell r="AL385">
            <v>7.0000000000000007E-2</v>
          </cell>
          <cell r="AM385">
            <v>7.0000000000000007E-2</v>
          </cell>
          <cell r="AN385">
            <v>0.27</v>
          </cell>
          <cell r="AP385">
            <v>0.19</v>
          </cell>
          <cell r="AQ385">
            <v>0.01</v>
          </cell>
          <cell r="AR385">
            <v>1</v>
          </cell>
          <cell r="AS385">
            <v>2.3620170000000003</v>
          </cell>
          <cell r="AT385">
            <v>2.3620170000000003</v>
          </cell>
          <cell r="AU385">
            <v>0.33400000000000002</v>
          </cell>
          <cell r="AV385">
            <v>7.0000000000000007E-2</v>
          </cell>
          <cell r="AX385">
            <v>7.0000000000000007E-2</v>
          </cell>
          <cell r="AZ385">
            <v>0.156</v>
          </cell>
          <cell r="BA385">
            <v>1.7999999999999999E-2</v>
          </cell>
          <cell r="BB385">
            <v>0.24199999999999999</v>
          </cell>
          <cell r="BC385">
            <v>0.01</v>
          </cell>
          <cell r="BD385">
            <v>0.1</v>
          </cell>
          <cell r="BE385">
            <v>1</v>
          </cell>
          <cell r="BF385">
            <v>2.3128052000000001</v>
          </cell>
        </row>
        <row r="386">
          <cell r="A386">
            <v>39263</v>
          </cell>
          <cell r="B386">
            <v>-1.6613</v>
          </cell>
          <cell r="C386">
            <v>-1.2387999999999999</v>
          </cell>
          <cell r="D386">
            <v>-2.0550000000000002</v>
          </cell>
          <cell r="E386">
            <v>-2.1842999999999999</v>
          </cell>
          <cell r="F386">
            <v>-1.7181</v>
          </cell>
          <cell r="G386">
            <v>-2.6583999999999999</v>
          </cell>
          <cell r="H386">
            <v>-1.4629000000000001</v>
          </cell>
          <cell r="I386">
            <v>-0.56579999999999997</v>
          </cell>
          <cell r="J386">
            <v>-2.3308</v>
          </cell>
          <cell r="K386">
            <v>-1.6375999999999999</v>
          </cell>
          <cell r="L386">
            <v>-0.97599999999999998</v>
          </cell>
          <cell r="M386">
            <v>-2.2385000000000002</v>
          </cell>
          <cell r="N386">
            <v>-1.6375999999999999</v>
          </cell>
          <cell r="O386">
            <v>-0.97599999999999998</v>
          </cell>
          <cell r="P386">
            <v>-2.2385000000000002</v>
          </cell>
          <cell r="Q386">
            <v>-0.95130000000000003</v>
          </cell>
          <cell r="R386">
            <v>-1.7945</v>
          </cell>
          <cell r="S386">
            <v>-1.8724000000000001</v>
          </cell>
          <cell r="T386">
            <v>-1.8724000000000001</v>
          </cell>
          <cell r="U386">
            <v>0.85150000000000003</v>
          </cell>
          <cell r="V386">
            <v>-0.1845</v>
          </cell>
          <cell r="W386">
            <v>-0.29580000000000001</v>
          </cell>
          <cell r="X386">
            <v>-0.191</v>
          </cell>
          <cell r="Z386">
            <v>0.4153</v>
          </cell>
          <cell r="AA386">
            <v>0.15429999999999999</v>
          </cell>
          <cell r="AB386">
            <v>0.2616</v>
          </cell>
          <cell r="AC386">
            <v>-1.3599999999999999E-2</v>
          </cell>
          <cell r="AD386">
            <v>-0.98846400000000001</v>
          </cell>
          <cell r="AE386">
            <v>-0.98846400000000001</v>
          </cell>
          <cell r="AF386">
            <v>0.85150000000000003</v>
          </cell>
          <cell r="AG386">
            <v>1.194</v>
          </cell>
          <cell r="AH386">
            <v>-9.3370999999999995</v>
          </cell>
          <cell r="AK386">
            <v>0.39</v>
          </cell>
          <cell r="AL386">
            <v>7.0000000000000007E-2</v>
          </cell>
          <cell r="AM386">
            <v>7.0000000000000007E-2</v>
          </cell>
          <cell r="AN386">
            <v>0.27</v>
          </cell>
          <cell r="AP386">
            <v>0.19</v>
          </cell>
          <cell r="AQ386">
            <v>0.01</v>
          </cell>
          <cell r="AR386">
            <v>1</v>
          </cell>
          <cell r="AS386">
            <v>-0.82158100000000001</v>
          </cell>
          <cell r="AT386">
            <v>-0.82158100000000001</v>
          </cell>
          <cell r="AU386">
            <v>0.33400000000000002</v>
          </cell>
          <cell r="AV386">
            <v>7.0000000000000007E-2</v>
          </cell>
          <cell r="AX386">
            <v>7.0000000000000007E-2</v>
          </cell>
          <cell r="AZ386">
            <v>0.156</v>
          </cell>
          <cell r="BA386">
            <v>1.7999999999999999E-2</v>
          </cell>
          <cell r="BB386">
            <v>0.24199999999999999</v>
          </cell>
          <cell r="BC386">
            <v>0.01</v>
          </cell>
          <cell r="BD386">
            <v>0.1</v>
          </cell>
          <cell r="BE386">
            <v>1</v>
          </cell>
          <cell r="BF386">
            <v>-0.85138420000000004</v>
          </cell>
        </row>
        <row r="387">
          <cell r="A387">
            <v>39294</v>
          </cell>
          <cell r="B387">
            <v>-3.1004999999999998</v>
          </cell>
          <cell r="C387">
            <v>-2.2238000000000002</v>
          </cell>
          <cell r="D387">
            <v>-3.9300999999999999</v>
          </cell>
          <cell r="E387">
            <v>-4.3059000000000003</v>
          </cell>
          <cell r="F387">
            <v>-3.7441</v>
          </cell>
          <cell r="G387">
            <v>-4.8768000000000002</v>
          </cell>
          <cell r="H387">
            <v>-6.8395000000000001</v>
          </cell>
          <cell r="I387">
            <v>-5.1920999999999999</v>
          </cell>
          <cell r="J387">
            <v>-8.5113000000000003</v>
          </cell>
          <cell r="K387">
            <v>-5.0464000000000002</v>
          </cell>
          <cell r="L387">
            <v>-4.0940000000000003</v>
          </cell>
          <cell r="M387">
            <v>-5.9215999999999998</v>
          </cell>
          <cell r="N387">
            <v>-5.0464000000000002</v>
          </cell>
          <cell r="O387">
            <v>-4.0940000000000003</v>
          </cell>
          <cell r="P387">
            <v>-5.9215999999999998</v>
          </cell>
          <cell r="Q387">
            <v>-4.1921999999999997</v>
          </cell>
          <cell r="R387">
            <v>-5.7451999999999996</v>
          </cell>
          <cell r="S387">
            <v>-3.4102999999999999</v>
          </cell>
          <cell r="T387">
            <v>-3.4102999999999999</v>
          </cell>
          <cell r="U387">
            <v>-0.28489999999999999</v>
          </cell>
          <cell r="V387">
            <v>-0.37959999999999999</v>
          </cell>
          <cell r="W387">
            <v>0.83409999999999995</v>
          </cell>
          <cell r="X387">
            <v>0.79120000000000001</v>
          </cell>
          <cell r="Z387">
            <v>-0.68659999999999999</v>
          </cell>
          <cell r="AA387">
            <v>-1.462</v>
          </cell>
          <cell r="AB387">
            <v>-0.80549999999999999</v>
          </cell>
          <cell r="AC387">
            <v>-2.1183000000000001</v>
          </cell>
          <cell r="AD387">
            <v>-1.7366519999999999</v>
          </cell>
          <cell r="AE387">
            <v>-1.7366519999999999</v>
          </cell>
          <cell r="AF387">
            <v>-0.28489999999999999</v>
          </cell>
          <cell r="AG387">
            <v>1.5081</v>
          </cell>
          <cell r="AH387">
            <v>-7.8262999999999998</v>
          </cell>
          <cell r="AK387">
            <v>0.39</v>
          </cell>
          <cell r="AL387">
            <v>7.0000000000000007E-2</v>
          </cell>
          <cell r="AM387">
            <v>7.0000000000000007E-2</v>
          </cell>
          <cell r="AN387">
            <v>0.27</v>
          </cell>
          <cell r="AP387">
            <v>0.19</v>
          </cell>
          <cell r="AQ387">
            <v>0.01</v>
          </cell>
          <cell r="AR387">
            <v>1</v>
          </cell>
          <cell r="AS387">
            <v>-1.6776990000000001</v>
          </cell>
          <cell r="AT387">
            <v>-1.6776990000000001</v>
          </cell>
          <cell r="AU387">
            <v>0.33400000000000002</v>
          </cell>
          <cell r="AV387">
            <v>7.0000000000000007E-2</v>
          </cell>
          <cell r="AX387">
            <v>7.0000000000000007E-2</v>
          </cell>
          <cell r="AZ387">
            <v>0.156</v>
          </cell>
          <cell r="BA387">
            <v>1.7999999999999999E-2</v>
          </cell>
          <cell r="BB387">
            <v>0.24199999999999999</v>
          </cell>
          <cell r="BC387">
            <v>0.01</v>
          </cell>
          <cell r="BD387">
            <v>0.1</v>
          </cell>
          <cell r="BE387">
            <v>1</v>
          </cell>
          <cell r="BF387">
            <v>-1.6982372000000001</v>
          </cell>
        </row>
        <row r="388">
          <cell r="A388">
            <v>39325</v>
          </cell>
          <cell r="B388">
            <v>1.4990000000000001</v>
          </cell>
          <cell r="C388">
            <v>1.655</v>
          </cell>
          <cell r="D388">
            <v>1.3471</v>
          </cell>
          <cell r="E388">
            <v>0.92120000000000002</v>
          </cell>
          <cell r="F388">
            <v>1.1114999999999999</v>
          </cell>
          <cell r="G388">
            <v>0.72550000000000003</v>
          </cell>
          <cell r="H388">
            <v>2.2665999999999999</v>
          </cell>
          <cell r="I388">
            <v>2.5150999999999999</v>
          </cell>
          <cell r="J388">
            <v>2.0036</v>
          </cell>
          <cell r="K388">
            <v>1.8743000000000001</v>
          </cell>
          <cell r="L388">
            <v>2.7837999999999998</v>
          </cell>
          <cell r="M388">
            <v>1.0337000000000001</v>
          </cell>
          <cell r="N388">
            <v>1.8743000000000001</v>
          </cell>
          <cell r="O388">
            <v>2.7837999999999998</v>
          </cell>
          <cell r="P388">
            <v>1.0337000000000001</v>
          </cell>
          <cell r="Q388">
            <v>1.5327999999999999</v>
          </cell>
          <cell r="R388">
            <v>1.0604</v>
          </cell>
          <cell r="S388">
            <v>1.4354</v>
          </cell>
          <cell r="T388">
            <v>1.4354</v>
          </cell>
          <cell r="U388">
            <v>-1.5354000000000001</v>
          </cell>
          <cell r="V388">
            <v>-5.1435000000000004</v>
          </cell>
          <cell r="W388">
            <v>1.2257</v>
          </cell>
          <cell r="X388">
            <v>1.1814</v>
          </cell>
          <cell r="Z388">
            <v>-1.3785000000000001</v>
          </cell>
          <cell r="AA388">
            <v>-1.5387999999999999</v>
          </cell>
          <cell r="AB388">
            <v>-0.96989999999999998</v>
          </cell>
          <cell r="AC388">
            <v>-2.1152000000000002</v>
          </cell>
          <cell r="AD388">
            <v>0.93642800000000026</v>
          </cell>
          <cell r="AE388">
            <v>0.93642800000000026</v>
          </cell>
          <cell r="AF388">
            <v>-1.5354000000000001</v>
          </cell>
          <cell r="AG388">
            <v>1.5081</v>
          </cell>
          <cell r="AH388">
            <v>5.8587999999999996</v>
          </cell>
          <cell r="AK388">
            <v>0.39</v>
          </cell>
          <cell r="AL388">
            <v>7.0000000000000007E-2</v>
          </cell>
          <cell r="AM388">
            <v>7.0000000000000007E-2</v>
          </cell>
          <cell r="AN388">
            <v>0.27</v>
          </cell>
          <cell r="AP388">
            <v>0.19</v>
          </cell>
          <cell r="AQ388">
            <v>0.01</v>
          </cell>
          <cell r="AR388">
            <v>1</v>
          </cell>
          <cell r="AS388">
            <v>0.83458900000000003</v>
          </cell>
          <cell r="AT388">
            <v>0.83458900000000003</v>
          </cell>
          <cell r="AU388">
            <v>0.33400000000000002</v>
          </cell>
          <cell r="AV388">
            <v>7.0000000000000007E-2</v>
          </cell>
          <cell r="AX388">
            <v>7.0000000000000007E-2</v>
          </cell>
          <cell r="AZ388">
            <v>0.156</v>
          </cell>
          <cell r="BA388">
            <v>1.7999999999999999E-2</v>
          </cell>
          <cell r="BB388">
            <v>0.24199999999999999</v>
          </cell>
          <cell r="BC388">
            <v>0.01</v>
          </cell>
          <cell r="BD388">
            <v>0.1</v>
          </cell>
          <cell r="BE388">
            <v>1</v>
          </cell>
          <cell r="BF388">
            <v>0.76958880000000007</v>
          </cell>
        </row>
        <row r="389">
          <cell r="A389">
            <v>39355</v>
          </cell>
          <cell r="B389">
            <v>3.7399</v>
          </cell>
          <cell r="C389">
            <v>4.3971</v>
          </cell>
          <cell r="D389">
            <v>3.1048</v>
          </cell>
          <cell r="E389">
            <v>2.6453000000000002</v>
          </cell>
          <cell r="F389">
            <v>3.5261</v>
          </cell>
          <cell r="G389">
            <v>1.7378</v>
          </cell>
          <cell r="H389">
            <v>1.7164999999999999</v>
          </cell>
          <cell r="I389">
            <v>2.9051</v>
          </cell>
          <cell r="J389">
            <v>0.45150000000000001</v>
          </cell>
          <cell r="K389">
            <v>1.4903999999999999</v>
          </cell>
          <cell r="L389">
            <v>2.7894000000000001</v>
          </cell>
          <cell r="M389">
            <v>0.26269999999999999</v>
          </cell>
          <cell r="N389">
            <v>1.4903999999999999</v>
          </cell>
          <cell r="O389">
            <v>2.7894000000000001</v>
          </cell>
          <cell r="P389">
            <v>0.26269999999999999</v>
          </cell>
          <cell r="Q389">
            <v>3.4735999999999998</v>
          </cell>
          <cell r="R389">
            <v>2.3546999999999998</v>
          </cell>
          <cell r="S389">
            <v>3.6457000000000002</v>
          </cell>
          <cell r="T389">
            <v>3.6457000000000002</v>
          </cell>
          <cell r="U389">
            <v>6.6220999999999997</v>
          </cell>
          <cell r="V389">
            <v>1.1355</v>
          </cell>
          <cell r="W389">
            <v>0.75860000000000005</v>
          </cell>
          <cell r="X389">
            <v>0.76160000000000005</v>
          </cell>
          <cell r="Z389" t="e">
            <v>#N/A</v>
          </cell>
          <cell r="AA389">
            <v>5.3691000000000004</v>
          </cell>
          <cell r="AB389">
            <v>6.2545999999999999</v>
          </cell>
          <cell r="AC389">
            <v>4.4641999999999999</v>
          </cell>
          <cell r="AD389">
            <v>3.1658080000000002</v>
          </cell>
          <cell r="AE389">
            <v>3.1658080000000002</v>
          </cell>
          <cell r="AF389">
            <v>6.6220999999999997</v>
          </cell>
          <cell r="AG389">
            <v>1.5081</v>
          </cell>
          <cell r="AH389">
            <v>3.9632000000000001</v>
          </cell>
          <cell r="AK389">
            <v>0.39</v>
          </cell>
          <cell r="AL389">
            <v>7.0000000000000007E-2</v>
          </cell>
          <cell r="AM389">
            <v>7.0000000000000007E-2</v>
          </cell>
          <cell r="AN389">
            <v>0.27</v>
          </cell>
          <cell r="AP389">
            <v>0.19</v>
          </cell>
          <cell r="AQ389">
            <v>0.01</v>
          </cell>
          <cell r="AR389">
            <v>1</v>
          </cell>
          <cell r="AS389">
            <v>3.226162</v>
          </cell>
          <cell r="AT389">
            <v>3.226162</v>
          </cell>
          <cell r="AU389">
            <v>0.33400000000000002</v>
          </cell>
          <cell r="AV389">
            <v>7.0000000000000007E-2</v>
          </cell>
          <cell r="AX389">
            <v>7.0000000000000007E-2</v>
          </cell>
          <cell r="AZ389">
            <v>0.156</v>
          </cell>
          <cell r="BA389">
            <v>1.7999999999999999E-2</v>
          </cell>
          <cell r="BB389">
            <v>0.24199999999999999</v>
          </cell>
          <cell r="BC389">
            <v>0.01</v>
          </cell>
          <cell r="BD389">
            <v>0.1</v>
          </cell>
          <cell r="BE389">
            <v>1</v>
          </cell>
          <cell r="BF389">
            <v>3.1073552000000002</v>
          </cell>
        </row>
        <row r="390">
          <cell r="A390">
            <v>39386</v>
          </cell>
          <cell r="B390">
            <v>1.5907</v>
          </cell>
          <cell r="C390">
            <v>2.1345999999999998</v>
          </cell>
          <cell r="D390">
            <v>1.0502</v>
          </cell>
          <cell r="E390">
            <v>2.6314000000000002</v>
          </cell>
          <cell r="F390">
            <v>3.5215999999999998</v>
          </cell>
          <cell r="G390">
            <v>1.7283999999999999</v>
          </cell>
          <cell r="H390">
            <v>2.8691</v>
          </cell>
          <cell r="I390">
            <v>4.5021000000000004</v>
          </cell>
          <cell r="J390">
            <v>1.0891</v>
          </cell>
          <cell r="K390">
            <v>1.8603000000000001</v>
          </cell>
          <cell r="L390">
            <v>2.5459000000000001</v>
          </cell>
          <cell r="M390">
            <v>1.2118</v>
          </cell>
          <cell r="N390">
            <v>1.8603000000000001</v>
          </cell>
          <cell r="O390">
            <v>2.5459000000000001</v>
          </cell>
          <cell r="P390">
            <v>1.2118</v>
          </cell>
          <cell r="Q390">
            <v>4.1393000000000004</v>
          </cell>
          <cell r="R390">
            <v>2.5688</v>
          </cell>
          <cell r="S390">
            <v>1.8344</v>
          </cell>
          <cell r="T390">
            <v>1.8344</v>
          </cell>
          <cell r="U390">
            <v>5.5819000000000001</v>
          </cell>
          <cell r="V390">
            <v>6.2426000000000004</v>
          </cell>
          <cell r="W390">
            <v>0.89829999999999999</v>
          </cell>
          <cell r="X390">
            <v>0.80730000000000002</v>
          </cell>
          <cell r="Z390">
            <v>3.7339000000000002</v>
          </cell>
          <cell r="AA390">
            <v>3.9403000000000001</v>
          </cell>
          <cell r="AB390">
            <v>4.0267999999999997</v>
          </cell>
          <cell r="AC390">
            <v>3.8647</v>
          </cell>
          <cell r="AD390">
            <v>1.772764</v>
          </cell>
          <cell r="AE390">
            <v>1.772764</v>
          </cell>
          <cell r="AF390">
            <v>5.5819000000000001</v>
          </cell>
          <cell r="AG390">
            <v>1.1741999999999999</v>
          </cell>
          <cell r="AH390">
            <v>1.1333</v>
          </cell>
          <cell r="AK390">
            <v>0.39</v>
          </cell>
          <cell r="AL390">
            <v>7.0000000000000007E-2</v>
          </cell>
          <cell r="AM390">
            <v>7.0000000000000007E-2</v>
          </cell>
          <cell r="AN390">
            <v>0.27</v>
          </cell>
          <cell r="AP390">
            <v>0.19</v>
          </cell>
          <cell r="AQ390">
            <v>0.01</v>
          </cell>
          <cell r="AR390">
            <v>1</v>
          </cell>
          <cell r="AS390">
            <v>2.2496360000000002</v>
          </cell>
          <cell r="AT390">
            <v>2.2496360000000002</v>
          </cell>
          <cell r="AU390">
            <v>0.33400000000000002</v>
          </cell>
          <cell r="AV390">
            <v>7.0000000000000007E-2</v>
          </cell>
          <cell r="AX390">
            <v>7.0000000000000007E-2</v>
          </cell>
          <cell r="AZ390">
            <v>0.156</v>
          </cell>
          <cell r="BA390">
            <v>1.7999999999999999E-2</v>
          </cell>
          <cell r="BB390">
            <v>0.24199999999999999</v>
          </cell>
          <cell r="BC390">
            <v>0.01</v>
          </cell>
          <cell r="BD390">
            <v>0.1</v>
          </cell>
          <cell r="BE390">
            <v>1</v>
          </cell>
          <cell r="BF390">
            <v>2.2352629999999998</v>
          </cell>
        </row>
        <row r="391">
          <cell r="A391">
            <v>39416</v>
          </cell>
          <cell r="B391">
            <v>-4.1806999999999999</v>
          </cell>
          <cell r="C391">
            <v>-3.5042</v>
          </cell>
          <cell r="D391">
            <v>-4.8575999999999997</v>
          </cell>
          <cell r="E391">
            <v>-5.0377999999999998</v>
          </cell>
          <cell r="F391">
            <v>-4.3272000000000004</v>
          </cell>
          <cell r="G391">
            <v>-5.7393999999999998</v>
          </cell>
          <cell r="H391">
            <v>-7.1806000000000001</v>
          </cell>
          <cell r="I391">
            <v>-6.9061000000000003</v>
          </cell>
          <cell r="J391">
            <v>-7.492</v>
          </cell>
          <cell r="K391">
            <v>-7.4217000000000004</v>
          </cell>
          <cell r="L391">
            <v>-7.8262999999999998</v>
          </cell>
          <cell r="M391">
            <v>-7.0376000000000003</v>
          </cell>
          <cell r="N391">
            <v>-7.4217000000000004</v>
          </cell>
          <cell r="O391">
            <v>-7.8262999999999998</v>
          </cell>
          <cell r="P391">
            <v>-7.0376000000000003</v>
          </cell>
          <cell r="Q391">
            <v>-5.9036</v>
          </cell>
          <cell r="R391">
            <v>-6.1287000000000003</v>
          </cell>
          <cell r="S391">
            <v>-4.5019</v>
          </cell>
          <cell r="T391">
            <v>-4.5019</v>
          </cell>
          <cell r="U391">
            <v>-4.4935</v>
          </cell>
          <cell r="V391">
            <v>-7.1863999999999999</v>
          </cell>
          <cell r="W391">
            <v>1.7983</v>
          </cell>
          <cell r="X391">
            <v>1.7378</v>
          </cell>
          <cell r="Z391">
            <v>-1.7121</v>
          </cell>
          <cell r="AA391">
            <v>-3.2625000000000002</v>
          </cell>
          <cell r="AB391">
            <v>-2.0356000000000001</v>
          </cell>
          <cell r="AC391">
            <v>-4.5693000000000001</v>
          </cell>
          <cell r="AD391">
            <v>-2.3596680000000001</v>
          </cell>
          <cell r="AE391">
            <v>-2.3596680000000001</v>
          </cell>
          <cell r="AF391">
            <v>-4.4935</v>
          </cell>
          <cell r="AG391">
            <v>1.1741999999999999</v>
          </cell>
          <cell r="AH391">
            <v>-9.7813999999999997</v>
          </cell>
          <cell r="AK391">
            <v>0.39</v>
          </cell>
          <cell r="AL391">
            <v>7.0000000000000007E-2</v>
          </cell>
          <cell r="AM391">
            <v>7.0000000000000007E-2</v>
          </cell>
          <cell r="AN391">
            <v>0.27</v>
          </cell>
          <cell r="AP391">
            <v>0.19</v>
          </cell>
          <cell r="AQ391">
            <v>0.01</v>
          </cell>
          <cell r="AR391">
            <v>1</v>
          </cell>
          <cell r="AS391">
            <v>-2.8591200000000003</v>
          </cell>
          <cell r="AT391">
            <v>-2.8591200000000003</v>
          </cell>
          <cell r="AU391">
            <v>0.33400000000000002</v>
          </cell>
          <cell r="AV391">
            <v>7.0000000000000007E-2</v>
          </cell>
          <cell r="AX391">
            <v>7.0000000000000007E-2</v>
          </cell>
          <cell r="AZ391">
            <v>0.156</v>
          </cell>
          <cell r="BA391">
            <v>1.7999999999999999E-2</v>
          </cell>
          <cell r="BB391">
            <v>0.24199999999999999</v>
          </cell>
          <cell r="BC391">
            <v>0.01</v>
          </cell>
          <cell r="BD391">
            <v>0.1</v>
          </cell>
          <cell r="BE391">
            <v>1</v>
          </cell>
          <cell r="BF391">
            <v>-2.8878961999999997</v>
          </cell>
        </row>
        <row r="392">
          <cell r="A392">
            <v>39447</v>
          </cell>
          <cell r="B392">
            <v>-0.69379999999999997</v>
          </cell>
          <cell r="C392">
            <v>0.17050000000000001</v>
          </cell>
          <cell r="D392">
            <v>-1.5768</v>
          </cell>
          <cell r="E392">
            <v>-0.19189999999999999</v>
          </cell>
          <cell r="F392">
            <v>0.1305</v>
          </cell>
          <cell r="G392">
            <v>-0.51380000000000003</v>
          </cell>
          <cell r="H392">
            <v>-6.2399999999999997E-2</v>
          </cell>
          <cell r="I392">
            <v>0.62809999999999999</v>
          </cell>
          <cell r="J392">
            <v>-0.84540000000000004</v>
          </cell>
          <cell r="K392">
            <v>-0.79400000000000004</v>
          </cell>
          <cell r="L392">
            <v>-0.50309999999999999</v>
          </cell>
          <cell r="M392">
            <v>-1.087</v>
          </cell>
          <cell r="N392">
            <v>-0.79400000000000004</v>
          </cell>
          <cell r="O392">
            <v>-0.50309999999999999</v>
          </cell>
          <cell r="P392">
            <v>-1.087</v>
          </cell>
          <cell r="Q392">
            <v>-8.5500000000000007E-2</v>
          </cell>
          <cell r="R392">
            <v>-0.62290000000000001</v>
          </cell>
          <cell r="S392">
            <v>-0.60509999999999997</v>
          </cell>
          <cell r="T392">
            <v>-0.60509999999999997</v>
          </cell>
          <cell r="U392">
            <v>-1.4453</v>
          </cell>
          <cell r="V392">
            <v>-3.4577</v>
          </cell>
          <cell r="W392">
            <v>0.28089999999999998</v>
          </cell>
          <cell r="X392">
            <v>0.32369999999999999</v>
          </cell>
          <cell r="Z392" t="e">
            <v>#N/A</v>
          </cell>
          <cell r="AA392">
            <v>-2.2450000000000001</v>
          </cell>
          <cell r="AB392">
            <v>-2.1274999999999999</v>
          </cell>
          <cell r="AC392">
            <v>-2.3725999999999998</v>
          </cell>
          <cell r="AD392">
            <v>-0.669076</v>
          </cell>
          <cell r="AE392">
            <v>-0.669076</v>
          </cell>
          <cell r="AF392">
            <v>-1.4453</v>
          </cell>
          <cell r="AG392">
            <v>1.1741999999999999</v>
          </cell>
          <cell r="AH392">
            <v>-5.3887999999999998</v>
          </cell>
          <cell r="AK392">
            <v>0.39</v>
          </cell>
          <cell r="AL392">
            <v>7.0000000000000007E-2</v>
          </cell>
          <cell r="AM392">
            <v>7.0000000000000007E-2</v>
          </cell>
          <cell r="AN392">
            <v>0.27</v>
          </cell>
          <cell r="AP392">
            <v>0.19</v>
          </cell>
          <cell r="AQ392">
            <v>0.01</v>
          </cell>
          <cell r="AR392">
            <v>1</v>
          </cell>
          <cell r="AS392">
            <v>-0.526617</v>
          </cell>
          <cell r="AT392">
            <v>-0.47574200000000005</v>
          </cell>
          <cell r="AU392">
            <v>0.33400000000000002</v>
          </cell>
          <cell r="AV392">
            <v>7.0000000000000007E-2</v>
          </cell>
          <cell r="AX392">
            <v>7.0000000000000007E-2</v>
          </cell>
          <cell r="AZ392">
            <v>0.156</v>
          </cell>
          <cell r="BA392">
            <v>1.7999999999999999E-2</v>
          </cell>
          <cell r="BB392">
            <v>0.24199999999999999</v>
          </cell>
          <cell r="BC392">
            <v>0.01</v>
          </cell>
          <cell r="BD392">
            <v>0.1</v>
          </cell>
          <cell r="BE392">
            <v>1</v>
          </cell>
          <cell r="BF392">
            <v>-0.57563540000000002</v>
          </cell>
        </row>
        <row r="393">
          <cell r="A393">
            <v>39478</v>
          </cell>
          <cell r="B393">
            <v>-5.9981999999999998</v>
          </cell>
          <cell r="C393">
            <v>-8.3744999999999994</v>
          </cell>
          <cell r="D393">
            <v>-3.4870000000000001</v>
          </cell>
          <cell r="E393">
            <v>-6.1608000000000001</v>
          </cell>
          <cell r="F393">
            <v>-7.2321999999999997</v>
          </cell>
          <cell r="G393">
            <v>-5.1033999999999997</v>
          </cell>
          <cell r="H393">
            <v>-6.8193999999999999</v>
          </cell>
          <cell r="I393">
            <v>-9.1737000000000002</v>
          </cell>
          <cell r="J393">
            <v>-4.1036000000000001</v>
          </cell>
          <cell r="K393">
            <v>-4.8906000000000001</v>
          </cell>
          <cell r="L393">
            <v>-6.0563000000000002</v>
          </cell>
          <cell r="M393">
            <v>-3.7391999999999999</v>
          </cell>
          <cell r="N393">
            <v>-4.8906000000000001</v>
          </cell>
          <cell r="O393">
            <v>-6.0563000000000002</v>
          </cell>
          <cell r="P393">
            <v>-3.7391999999999999</v>
          </cell>
          <cell r="Q393">
            <v>-8.1478000000000002</v>
          </cell>
          <cell r="R393">
            <v>-6.1082999999999998</v>
          </cell>
          <cell r="S393">
            <v>-6.0612000000000004</v>
          </cell>
          <cell r="T393">
            <v>-6.0612000000000004</v>
          </cell>
          <cell r="U393">
            <v>-9.6760000000000002</v>
          </cell>
          <cell r="V393">
            <v>-9.7558000000000007</v>
          </cell>
          <cell r="W393">
            <v>1.6798</v>
          </cell>
          <cell r="X393">
            <v>1.7624</v>
          </cell>
          <cell r="Z393" t="e">
            <v>#N/A</v>
          </cell>
          <cell r="AA393">
            <v>-9.2279999999999998</v>
          </cell>
          <cell r="AB393">
            <v>-9.2034000000000002</v>
          </cell>
          <cell r="AC393">
            <v>-9.2630999999999997</v>
          </cell>
          <cell r="AD393">
            <v>-4.3651280000000003</v>
          </cell>
          <cell r="AE393">
            <v>-4.3651280000000003</v>
          </cell>
          <cell r="AF393">
            <v>-9.6760000000000002</v>
          </cell>
          <cell r="AG393">
            <v>1.0581</v>
          </cell>
          <cell r="AH393">
            <v>-0.3861</v>
          </cell>
          <cell r="AK393">
            <v>0.38</v>
          </cell>
          <cell r="AL393">
            <v>7.0000000000000007E-2</v>
          </cell>
          <cell r="AM393">
            <v>7.0000000000000007E-2</v>
          </cell>
          <cell r="AN393">
            <v>0.27</v>
          </cell>
          <cell r="AP393">
            <v>0.19</v>
          </cell>
          <cell r="AQ393">
            <v>0.02</v>
          </cell>
          <cell r="AR393">
            <v>1</v>
          </cell>
          <cell r="AS393">
            <v>-4.4166460000000001</v>
          </cell>
          <cell r="AT393">
            <v>-4.0286159999999995</v>
          </cell>
          <cell r="AU393">
            <v>0.32400000000000001</v>
          </cell>
          <cell r="AV393">
            <v>7.0000000000000007E-2</v>
          </cell>
          <cell r="AX393">
            <v>7.0000000000000007E-2</v>
          </cell>
          <cell r="AZ393">
            <v>0.156</v>
          </cell>
          <cell r="BA393">
            <v>1.7999999999999999E-2</v>
          </cell>
          <cell r="BB393">
            <v>0.24199999999999999</v>
          </cell>
          <cell r="BC393">
            <v>0.02</v>
          </cell>
          <cell r="BD393">
            <v>0.1</v>
          </cell>
          <cell r="BE393">
            <v>1</v>
          </cell>
          <cell r="BF393">
            <v>-4.4109143999999993</v>
          </cell>
        </row>
        <row r="394">
          <cell r="A394">
            <v>39507</v>
          </cell>
          <cell r="B394">
            <v>-3.2486000000000002</v>
          </cell>
          <cell r="C394">
            <v>-1.2965</v>
          </cell>
          <cell r="D394">
            <v>-5.2122999999999999</v>
          </cell>
          <cell r="E394">
            <v>-1.86</v>
          </cell>
          <cell r="F394">
            <v>-0.43780000000000002</v>
          </cell>
          <cell r="G394">
            <v>-3.2130000000000001</v>
          </cell>
          <cell r="H394">
            <v>-3.7067000000000001</v>
          </cell>
          <cell r="I394">
            <v>-3.4609999999999999</v>
          </cell>
          <cell r="J394">
            <v>-3.9742999999999999</v>
          </cell>
          <cell r="K394">
            <v>-3.0796000000000001</v>
          </cell>
          <cell r="L394">
            <v>-2.3014999999999999</v>
          </cell>
          <cell r="M394">
            <v>-3.8269000000000002</v>
          </cell>
          <cell r="N394">
            <v>-3.0796000000000001</v>
          </cell>
          <cell r="O394">
            <v>-2.3014999999999999</v>
          </cell>
          <cell r="P394">
            <v>-3.8269000000000002</v>
          </cell>
          <cell r="Q394">
            <v>-2.0099</v>
          </cell>
          <cell r="R394">
            <v>-2.7471000000000001</v>
          </cell>
          <cell r="S394">
            <v>-3.1059999999999999</v>
          </cell>
          <cell r="T394">
            <v>-3.1059999999999999</v>
          </cell>
          <cell r="U394">
            <v>2.8980000000000001</v>
          </cell>
          <cell r="V394">
            <v>4.2618</v>
          </cell>
          <cell r="W394">
            <v>0.13880000000000001</v>
          </cell>
          <cell r="X394">
            <v>0.1905</v>
          </cell>
          <cell r="Z394" t="e">
            <v>#N/A</v>
          </cell>
          <cell r="AA394">
            <v>1.4637</v>
          </cell>
          <cell r="AB394">
            <v>2.7528999999999999</v>
          </cell>
          <cell r="AC394">
            <v>0.1532</v>
          </cell>
          <cell r="AD394">
            <v>-1.5461600000000002</v>
          </cell>
          <cell r="AE394">
            <v>-1.5461600000000002</v>
          </cell>
          <cell r="AF394">
            <v>2.8980000000000001</v>
          </cell>
          <cell r="AG394">
            <v>1.0581</v>
          </cell>
          <cell r="AH394">
            <v>-3.8313000000000001</v>
          </cell>
          <cell r="AK394">
            <v>0.38</v>
          </cell>
          <cell r="AL394">
            <v>7.0000000000000007E-2</v>
          </cell>
          <cell r="AM394">
            <v>7.0000000000000007E-2</v>
          </cell>
          <cell r="AN394">
            <v>0.27</v>
          </cell>
          <cell r="AP394">
            <v>0.19</v>
          </cell>
          <cell r="AQ394">
            <v>0.02</v>
          </cell>
          <cell r="AR394">
            <v>1</v>
          </cell>
          <cell r="AS394">
            <v>-0.97098200000000023</v>
          </cell>
          <cell r="AT394">
            <v>-0.79902700000000015</v>
          </cell>
          <cell r="AU394">
            <v>0.32400000000000001</v>
          </cell>
          <cell r="AV394">
            <v>7.0000000000000007E-2</v>
          </cell>
          <cell r="AX394">
            <v>7.0000000000000007E-2</v>
          </cell>
          <cell r="AZ394">
            <v>0.156</v>
          </cell>
          <cell r="BA394">
            <v>1.7999999999999999E-2</v>
          </cell>
          <cell r="BB394">
            <v>0.24199999999999999</v>
          </cell>
          <cell r="BC394">
            <v>0.02</v>
          </cell>
          <cell r="BD394">
            <v>0.1</v>
          </cell>
          <cell r="BE394">
            <v>1</v>
          </cell>
          <cell r="BF394">
            <v>-0.9693824000000002</v>
          </cell>
        </row>
        <row r="395">
          <cell r="A395">
            <v>39538</v>
          </cell>
          <cell r="B395">
            <v>-0.43180000000000002</v>
          </cell>
          <cell r="C395">
            <v>-0.39379999999999998</v>
          </cell>
          <cell r="D395">
            <v>-0.46679999999999999</v>
          </cell>
          <cell r="E395">
            <v>-1.0244</v>
          </cell>
          <cell r="F395">
            <v>-1.5282</v>
          </cell>
          <cell r="G395">
            <v>-0.5282</v>
          </cell>
          <cell r="H395">
            <v>0.41889999999999999</v>
          </cell>
          <cell r="I395">
            <v>-0.58209999999999995</v>
          </cell>
          <cell r="J395">
            <v>1.5074000000000001</v>
          </cell>
          <cell r="K395">
            <v>0.3871</v>
          </cell>
          <cell r="L395">
            <v>-0.30940000000000001</v>
          </cell>
          <cell r="M395">
            <v>1.0417000000000001</v>
          </cell>
          <cell r="N395">
            <v>0.3871</v>
          </cell>
          <cell r="O395">
            <v>-0.30940000000000001</v>
          </cell>
          <cell r="P395">
            <v>1.0417000000000001</v>
          </cell>
          <cell r="Q395">
            <v>-1.2121</v>
          </cell>
          <cell r="R395">
            <v>-0.74360000000000004</v>
          </cell>
          <cell r="S395">
            <v>-0.59250000000000003</v>
          </cell>
          <cell r="T395">
            <v>-0.59250000000000003</v>
          </cell>
          <cell r="U395">
            <v>-2.1564000000000001</v>
          </cell>
          <cell r="V395">
            <v>-0.26540000000000002</v>
          </cell>
          <cell r="W395">
            <v>0.3412</v>
          </cell>
          <cell r="X395">
            <v>0.38629999999999998</v>
          </cell>
          <cell r="Z395" t="e">
            <v>#N/A</v>
          </cell>
          <cell r="AA395">
            <v>-1.0041</v>
          </cell>
          <cell r="AB395">
            <v>-1.4814000000000001</v>
          </cell>
          <cell r="AC395">
            <v>-0.51139999999999997</v>
          </cell>
          <cell r="AD395">
            <v>-0.30692799999999998</v>
          </cell>
          <cell r="AE395">
            <v>-0.30692799999999998</v>
          </cell>
          <cell r="AF395">
            <v>-2.1564000000000001</v>
          </cell>
          <cell r="AG395">
            <v>1.0581</v>
          </cell>
          <cell r="AH395">
            <v>6.5982000000000003</v>
          </cell>
          <cell r="AK395">
            <v>0.38</v>
          </cell>
          <cell r="AL395">
            <v>7.0000000000000007E-2</v>
          </cell>
          <cell r="AM395">
            <v>7.0000000000000007E-2</v>
          </cell>
          <cell r="AN395">
            <v>0.27</v>
          </cell>
          <cell r="AP395">
            <v>0.19</v>
          </cell>
          <cell r="AQ395">
            <v>0.02</v>
          </cell>
          <cell r="AR395">
            <v>1</v>
          </cell>
          <cell r="AS395">
            <v>-0.50512499999999994</v>
          </cell>
          <cell r="AT395">
            <v>-0.46422000000000002</v>
          </cell>
          <cell r="AU395">
            <v>0.32400000000000001</v>
          </cell>
          <cell r="AV395">
            <v>7.0000000000000007E-2</v>
          </cell>
          <cell r="AX395">
            <v>7.0000000000000007E-2</v>
          </cell>
          <cell r="AZ395">
            <v>0.156</v>
          </cell>
          <cell r="BA395">
            <v>1.7999999999999999E-2</v>
          </cell>
          <cell r="BB395">
            <v>0.24199999999999999</v>
          </cell>
          <cell r="BC395">
            <v>0.02</v>
          </cell>
          <cell r="BD395">
            <v>0.1</v>
          </cell>
          <cell r="BE395">
            <v>1</v>
          </cell>
          <cell r="BF395">
            <v>-0.45265020000000011</v>
          </cell>
        </row>
        <row r="396">
          <cell r="A396">
            <v>39568</v>
          </cell>
          <cell r="B396">
            <v>4.8703000000000003</v>
          </cell>
          <cell r="C396">
            <v>5.9447999999999999</v>
          </cell>
          <cell r="D396">
            <v>3.7319</v>
          </cell>
          <cell r="E396">
            <v>7.7061000000000002</v>
          </cell>
          <cell r="F396">
            <v>8.1062999999999992</v>
          </cell>
          <cell r="G396">
            <v>7.3150000000000004</v>
          </cell>
          <cell r="H396">
            <v>4.1870000000000003</v>
          </cell>
          <cell r="I396">
            <v>5.1382000000000003</v>
          </cell>
          <cell r="J396">
            <v>3.1640999999999999</v>
          </cell>
          <cell r="K396">
            <v>4.0133999999999999</v>
          </cell>
          <cell r="L396">
            <v>5.3650000000000002</v>
          </cell>
          <cell r="M396">
            <v>2.7385999999999999</v>
          </cell>
          <cell r="N396">
            <v>4.0133999999999999</v>
          </cell>
          <cell r="O396">
            <v>5.3650000000000002</v>
          </cell>
          <cell r="P396">
            <v>2.7385999999999999</v>
          </cell>
          <cell r="Q396">
            <v>6.0273000000000003</v>
          </cell>
          <cell r="R396">
            <v>5.3837999999999999</v>
          </cell>
          <cell r="S396">
            <v>5.0008999999999997</v>
          </cell>
          <cell r="T396">
            <v>5.0008999999999997</v>
          </cell>
          <cell r="U396">
            <v>6.1542000000000003</v>
          </cell>
          <cell r="V396">
            <v>2.4165999999999999</v>
          </cell>
          <cell r="W396">
            <v>-0.20899999999999999</v>
          </cell>
          <cell r="X396">
            <v>-0.23380000000000001</v>
          </cell>
          <cell r="Z396" t="e">
            <v>#N/A</v>
          </cell>
          <cell r="AA396">
            <v>5.5563000000000002</v>
          </cell>
          <cell r="AB396">
            <v>5.0376000000000003</v>
          </cell>
          <cell r="AC396">
            <v>6.0815999999999999</v>
          </cell>
          <cell r="AD396">
            <v>3.5578560000000001</v>
          </cell>
          <cell r="AE396">
            <v>3.5578560000000001</v>
          </cell>
          <cell r="AF396">
            <v>6.1542000000000003</v>
          </cell>
          <cell r="AG396">
            <v>0.53010000000000002</v>
          </cell>
          <cell r="AH396">
            <v>6.1351000000000004</v>
          </cell>
          <cell r="AK396">
            <v>0.38</v>
          </cell>
          <cell r="AL396">
            <v>7.0000000000000007E-2</v>
          </cell>
          <cell r="AM396">
            <v>7.0000000000000007E-2</v>
          </cell>
          <cell r="AN396">
            <v>0.27</v>
          </cell>
          <cell r="AP396">
            <v>0.19</v>
          </cell>
          <cell r="AQ396">
            <v>0.02</v>
          </cell>
          <cell r="AR396">
            <v>1</v>
          </cell>
          <cell r="AS396">
            <v>3.7945490000000004</v>
          </cell>
          <cell r="AT396">
            <v>3.5393440000000007</v>
          </cell>
          <cell r="AU396">
            <v>0.32400000000000001</v>
          </cell>
          <cell r="AV396">
            <v>7.0000000000000007E-2</v>
          </cell>
          <cell r="AX396">
            <v>7.0000000000000007E-2</v>
          </cell>
          <cell r="AZ396">
            <v>0.156</v>
          </cell>
          <cell r="BA396">
            <v>1.7999999999999999E-2</v>
          </cell>
          <cell r="BB396">
            <v>0.24199999999999999</v>
          </cell>
          <cell r="BC396">
            <v>0.02</v>
          </cell>
          <cell r="BD396">
            <v>0.1</v>
          </cell>
          <cell r="BE396">
            <v>1</v>
          </cell>
          <cell r="BF396">
            <v>3.7177058000000005</v>
          </cell>
        </row>
        <row r="397">
          <cell r="A397">
            <v>39599</v>
          </cell>
          <cell r="B397">
            <v>1.2952999999999999</v>
          </cell>
          <cell r="C397">
            <v>2.3858999999999999</v>
          </cell>
          <cell r="D397">
            <v>0.11650000000000001</v>
          </cell>
          <cell r="E397">
            <v>5.2907999999999999</v>
          </cell>
          <cell r="F397">
            <v>5.9714</v>
          </cell>
          <cell r="G397">
            <v>4.6252000000000004</v>
          </cell>
          <cell r="H397">
            <v>4.5937000000000001</v>
          </cell>
          <cell r="I397">
            <v>5.6646999999999998</v>
          </cell>
          <cell r="J397">
            <v>3.4188999999999998</v>
          </cell>
          <cell r="K397">
            <v>4.4172000000000002</v>
          </cell>
          <cell r="L397">
            <v>4.6615000000000002</v>
          </cell>
          <cell r="M397">
            <v>4.1811999999999996</v>
          </cell>
          <cell r="N397">
            <v>4.4172000000000002</v>
          </cell>
          <cell r="O397">
            <v>4.6615000000000002</v>
          </cell>
          <cell r="P397">
            <v>4.1811999999999996</v>
          </cell>
          <cell r="Q397">
            <v>5.2671000000000001</v>
          </cell>
          <cell r="R397">
            <v>4.7485999999999997</v>
          </cell>
          <cell r="S397">
            <v>2.0487000000000002</v>
          </cell>
          <cell r="T397">
            <v>2.0487000000000002</v>
          </cell>
          <cell r="U397">
            <v>1.7330000000000001</v>
          </cell>
          <cell r="V397">
            <v>1.7644</v>
          </cell>
          <cell r="W397">
            <v>-0.73329999999999995</v>
          </cell>
          <cell r="X397">
            <v>-0.58299999999999996</v>
          </cell>
          <cell r="Z397" t="e">
            <v>#N/A</v>
          </cell>
          <cell r="AA397">
            <v>1.1638999999999999</v>
          </cell>
          <cell r="AB397">
            <v>2.4182999999999999</v>
          </cell>
          <cell r="AC397">
            <v>-0.12659999999999999</v>
          </cell>
          <cell r="AD397">
            <v>0.7062679999999999</v>
          </cell>
          <cell r="AE397">
            <v>0.7062679999999999</v>
          </cell>
          <cell r="AF397">
            <v>1.7330000000000001</v>
          </cell>
          <cell r="AG397">
            <v>0.53010000000000002</v>
          </cell>
          <cell r="AH397">
            <v>0.23050000000000001</v>
          </cell>
          <cell r="AK397">
            <v>0.38</v>
          </cell>
          <cell r="AL397">
            <v>7.0000000000000007E-2</v>
          </cell>
          <cell r="AM397">
            <v>7.0000000000000007E-2</v>
          </cell>
          <cell r="AN397">
            <v>0.27</v>
          </cell>
          <cell r="AP397">
            <v>0.19</v>
          </cell>
          <cell r="AQ397">
            <v>0.02</v>
          </cell>
          <cell r="AR397">
            <v>1</v>
          </cell>
          <cell r="AS397">
            <v>1.313655</v>
          </cell>
          <cell r="AT397">
            <v>1.21974</v>
          </cell>
          <cell r="AU397">
            <v>0.32400000000000001</v>
          </cell>
          <cell r="AV397">
            <v>7.0000000000000007E-2</v>
          </cell>
          <cell r="AX397">
            <v>7.0000000000000007E-2</v>
          </cell>
          <cell r="AZ397">
            <v>0.156</v>
          </cell>
          <cell r="BA397">
            <v>1.7999999999999999E-2</v>
          </cell>
          <cell r="BB397">
            <v>0.24199999999999999</v>
          </cell>
          <cell r="BC397">
            <v>0.02</v>
          </cell>
          <cell r="BD397">
            <v>0.1</v>
          </cell>
          <cell r="BE397">
            <v>1</v>
          </cell>
          <cell r="BF397">
            <v>1.3051146</v>
          </cell>
        </row>
        <row r="398">
          <cell r="A398">
            <v>39629</v>
          </cell>
          <cell r="B398">
            <v>-8.4304000000000006</v>
          </cell>
          <cell r="C398">
            <v>-5.9192999999999998</v>
          </cell>
          <cell r="D398">
            <v>-11.214</v>
          </cell>
          <cell r="E398">
            <v>-7.0342000000000002</v>
          </cell>
          <cell r="F398">
            <v>-5.1040999999999999</v>
          </cell>
          <cell r="G398">
            <v>-8.8839000000000006</v>
          </cell>
          <cell r="H398">
            <v>-7.6988000000000003</v>
          </cell>
          <cell r="I398">
            <v>-5.9614000000000003</v>
          </cell>
          <cell r="J398">
            <v>-9.5950000000000006</v>
          </cell>
          <cell r="K398">
            <v>-7.5548000000000002</v>
          </cell>
          <cell r="L398">
            <v>-6.1746999999999996</v>
          </cell>
          <cell r="M398">
            <v>-8.8634000000000004</v>
          </cell>
          <cell r="N398">
            <v>-7.5548000000000002</v>
          </cell>
          <cell r="O398">
            <v>-6.1746999999999996</v>
          </cell>
          <cell r="P398">
            <v>-8.8634000000000004</v>
          </cell>
          <cell r="Q398">
            <v>-7.1585000000000001</v>
          </cell>
          <cell r="R398">
            <v>-8.1548999999999996</v>
          </cell>
          <cell r="S398">
            <v>-8.2521000000000004</v>
          </cell>
          <cell r="T398">
            <v>-8.2521000000000004</v>
          </cell>
          <cell r="U398">
            <v>-8.1965000000000003</v>
          </cell>
          <cell r="V398">
            <v>-8.1744000000000003</v>
          </cell>
          <cell r="W398">
            <v>-8.0799999999999997E-2</v>
          </cell>
          <cell r="X398">
            <v>-0.1492</v>
          </cell>
          <cell r="Z398" t="e">
            <v>#N/A</v>
          </cell>
          <cell r="AA398">
            <v>-8.1584000000000003</v>
          </cell>
          <cell r="AB398">
            <v>-6.798</v>
          </cell>
          <cell r="AC398">
            <v>-9.4967000000000006</v>
          </cell>
          <cell r="AD398">
            <v>-6.048992000000001</v>
          </cell>
          <cell r="AE398">
            <v>-6.048992000000001</v>
          </cell>
          <cell r="AF398">
            <v>-8.1965000000000003</v>
          </cell>
          <cell r="AG398">
            <v>0.53010000000000002</v>
          </cell>
          <cell r="AH398">
            <v>-11.085699999999999</v>
          </cell>
          <cell r="AK398">
            <v>0.38</v>
          </cell>
          <cell r="AL398">
            <v>7.0000000000000007E-2</v>
          </cell>
          <cell r="AM398">
            <v>7.0000000000000007E-2</v>
          </cell>
          <cell r="AN398">
            <v>0.27</v>
          </cell>
          <cell r="AP398">
            <v>0.19</v>
          </cell>
          <cell r="AQ398">
            <v>0.02</v>
          </cell>
          <cell r="AR398">
            <v>1</v>
          </cell>
          <cell r="AS398">
            <v>-5.7933310000000002</v>
          </cell>
          <cell r="AT398">
            <v>-5.379271000000001</v>
          </cell>
          <cell r="AU398">
            <v>0.32400000000000001</v>
          </cell>
          <cell r="AV398">
            <v>7.0000000000000007E-2</v>
          </cell>
          <cell r="AX398">
            <v>7.0000000000000007E-2</v>
          </cell>
          <cell r="AZ398">
            <v>0.156</v>
          </cell>
          <cell r="BA398">
            <v>1.7999999999999999E-2</v>
          </cell>
          <cell r="BB398">
            <v>0.24199999999999999</v>
          </cell>
          <cell r="BC398">
            <v>0.02</v>
          </cell>
          <cell r="BD398">
            <v>0.1</v>
          </cell>
          <cell r="BE398">
            <v>1</v>
          </cell>
          <cell r="BF398">
            <v>-5.7923235999999996</v>
          </cell>
        </row>
        <row r="399">
          <cell r="A399">
            <v>39660</v>
          </cell>
          <cell r="B399">
            <v>-0.84060000000000001</v>
          </cell>
          <cell r="C399">
            <v>-2.7090000000000001</v>
          </cell>
          <cell r="D399">
            <v>1.3581000000000001</v>
          </cell>
          <cell r="E399">
            <v>-1.8543000000000001</v>
          </cell>
          <cell r="F399">
            <v>-3.3361999999999998</v>
          </cell>
          <cell r="G399">
            <v>-0.33360000000000001</v>
          </cell>
          <cell r="H399">
            <v>3.7006000000000001</v>
          </cell>
          <cell r="I399">
            <v>2.3252999999999999</v>
          </cell>
          <cell r="J399">
            <v>5.1262999999999996</v>
          </cell>
          <cell r="K399">
            <v>2.0642999999999998</v>
          </cell>
          <cell r="L399">
            <v>0.71240000000000003</v>
          </cell>
          <cell r="M399">
            <v>3.3130000000000002</v>
          </cell>
          <cell r="N399">
            <v>2.0642999999999998</v>
          </cell>
          <cell r="O399">
            <v>0.71240000000000003</v>
          </cell>
          <cell r="P399">
            <v>3.3130000000000002</v>
          </cell>
          <cell r="Q399">
            <v>-0.35489999999999999</v>
          </cell>
          <cell r="R399">
            <v>0.69369999999999998</v>
          </cell>
          <cell r="S399">
            <v>-0.79759999999999998</v>
          </cell>
          <cell r="T399">
            <v>-0.79759999999999998</v>
          </cell>
          <cell r="U399">
            <v>-3.5762999999999998</v>
          </cell>
          <cell r="V399">
            <v>-4.5591999999999997</v>
          </cell>
          <cell r="W399">
            <v>-8.1600000000000006E-2</v>
          </cell>
          <cell r="X399">
            <v>3.0000000000000001E-3</v>
          </cell>
          <cell r="Z399" t="e">
            <v>#N/A</v>
          </cell>
          <cell r="AA399">
            <v>-3.2012999999999998</v>
          </cell>
          <cell r="AB399">
            <v>-3.4794999999999998</v>
          </cell>
          <cell r="AC399">
            <v>-2.9066999999999998</v>
          </cell>
          <cell r="AD399">
            <v>-1.005792</v>
          </cell>
          <cell r="AE399">
            <v>-1.005792</v>
          </cell>
          <cell r="AF399">
            <v>-3.5762999999999998</v>
          </cell>
          <cell r="AG399">
            <v>0.18729999999999999</v>
          </cell>
          <cell r="AH399">
            <v>2.9350000000000001</v>
          </cell>
          <cell r="AK399">
            <v>0.38</v>
          </cell>
          <cell r="AL399">
            <v>7.0000000000000007E-2</v>
          </cell>
          <cell r="AM399">
            <v>7.0000000000000007E-2</v>
          </cell>
          <cell r="AN399">
            <v>0.27</v>
          </cell>
          <cell r="AP399">
            <v>0.19</v>
          </cell>
          <cell r="AQ399">
            <v>0.02</v>
          </cell>
          <cell r="AR399">
            <v>1</v>
          </cell>
          <cell r="AS399">
            <v>-1.0008999999999999</v>
          </cell>
          <cell r="AT399">
            <v>-0.96033100000000016</v>
          </cell>
          <cell r="AU399">
            <v>0.32400000000000001</v>
          </cell>
          <cell r="AV399">
            <v>7.0000000000000007E-2</v>
          </cell>
          <cell r="AX399">
            <v>7.0000000000000007E-2</v>
          </cell>
          <cell r="AZ399">
            <v>0.156</v>
          </cell>
          <cell r="BA399">
            <v>1.7999999999999999E-2</v>
          </cell>
          <cell r="BB399">
            <v>0.24199999999999999</v>
          </cell>
          <cell r="BC399">
            <v>0.02</v>
          </cell>
          <cell r="BD399">
            <v>0.1</v>
          </cell>
          <cell r="BE399">
            <v>1</v>
          </cell>
          <cell r="BF399">
            <v>-1.0142031999999999</v>
          </cell>
        </row>
        <row r="400">
          <cell r="A400">
            <v>39691</v>
          </cell>
          <cell r="B400">
            <v>1.4464999999999999</v>
          </cell>
          <cell r="C400">
            <v>1.5444</v>
          </cell>
          <cell r="D400">
            <v>1.339</v>
          </cell>
          <cell r="E400">
            <v>1.7122999999999999</v>
          </cell>
          <cell r="F400">
            <v>1.3271999999999999</v>
          </cell>
          <cell r="G400">
            <v>2.0971000000000002</v>
          </cell>
          <cell r="H400">
            <v>3.6143999999999998</v>
          </cell>
          <cell r="I400">
            <v>2.4843000000000002</v>
          </cell>
          <cell r="J400">
            <v>4.7531999999999996</v>
          </cell>
          <cell r="K400">
            <v>4.1769999999999996</v>
          </cell>
          <cell r="L400">
            <v>3.6825999999999999</v>
          </cell>
          <cell r="M400">
            <v>4.6087999999999996</v>
          </cell>
          <cell r="N400">
            <v>4.1769999999999996</v>
          </cell>
          <cell r="O400">
            <v>3.6825999999999999</v>
          </cell>
          <cell r="P400">
            <v>4.6087999999999996</v>
          </cell>
          <cell r="Q400">
            <v>1.6763999999999999</v>
          </cell>
          <cell r="R400">
            <v>2.8572000000000002</v>
          </cell>
          <cell r="S400">
            <v>1.5530999999999999</v>
          </cell>
          <cell r="T400">
            <v>1.5530999999999999</v>
          </cell>
          <cell r="U400">
            <v>-4.6510999999999996</v>
          </cell>
          <cell r="V400">
            <v>-3.8269000000000002</v>
          </cell>
          <cell r="W400">
            <v>0.94910000000000005</v>
          </cell>
          <cell r="X400">
            <v>0.8488</v>
          </cell>
          <cell r="Z400" t="e">
            <v>#N/A</v>
          </cell>
          <cell r="AA400">
            <v>-4.0260999999999996</v>
          </cell>
          <cell r="AB400">
            <v>-4.7462</v>
          </cell>
          <cell r="AC400">
            <v>-3.2856999999999998</v>
          </cell>
          <cell r="AD400">
            <v>0.431612</v>
          </cell>
          <cell r="AE400">
            <v>0.431612</v>
          </cell>
          <cell r="AF400">
            <v>-4.6510999999999996</v>
          </cell>
          <cell r="AG400">
            <v>0.18729999999999999</v>
          </cell>
          <cell r="AH400">
            <v>2.3919000000000001</v>
          </cell>
          <cell r="AK400">
            <v>0.38</v>
          </cell>
          <cell r="AL400">
            <v>7.0000000000000007E-2</v>
          </cell>
          <cell r="AM400">
            <v>7.0000000000000007E-2</v>
          </cell>
          <cell r="AN400">
            <v>0.27</v>
          </cell>
          <cell r="AP400">
            <v>0.19</v>
          </cell>
          <cell r="AQ400">
            <v>0.02</v>
          </cell>
          <cell r="AR400">
            <v>1</v>
          </cell>
          <cell r="AS400">
            <v>0.33979999999999999</v>
          </cell>
          <cell r="AT400">
            <v>0.3083300000000001</v>
          </cell>
          <cell r="AU400">
            <v>0.32400000000000001</v>
          </cell>
          <cell r="AV400">
            <v>7.0000000000000007E-2</v>
          </cell>
          <cell r="AX400">
            <v>7.0000000000000007E-2</v>
          </cell>
          <cell r="AZ400">
            <v>0.156</v>
          </cell>
          <cell r="BA400">
            <v>1.7999999999999999E-2</v>
          </cell>
          <cell r="BB400">
            <v>0.24199999999999999</v>
          </cell>
          <cell r="BC400">
            <v>0.02</v>
          </cell>
          <cell r="BD400">
            <v>0.1</v>
          </cell>
          <cell r="BE400">
            <v>1</v>
          </cell>
          <cell r="BF400">
            <v>0.3630506</v>
          </cell>
        </row>
        <row r="401">
          <cell r="A401">
            <v>39721</v>
          </cell>
          <cell r="B401">
            <v>-8.9107000000000003</v>
          </cell>
          <cell r="C401">
            <v>-10.1549</v>
          </cell>
          <cell r="D401">
            <v>-7.4828999999999999</v>
          </cell>
          <cell r="E401">
            <v>-10.710900000000001</v>
          </cell>
          <cell r="F401">
            <v>-12.928900000000001</v>
          </cell>
          <cell r="G401">
            <v>-8.5399999999999991</v>
          </cell>
          <cell r="H401">
            <v>-7.968</v>
          </cell>
          <cell r="I401">
            <v>-11.3025</v>
          </cell>
          <cell r="J401">
            <v>-4.6875</v>
          </cell>
          <cell r="K401">
            <v>-6.7549999999999999</v>
          </cell>
          <cell r="L401">
            <v>-8.4536999999999995</v>
          </cell>
          <cell r="M401">
            <v>-5.2915999999999999</v>
          </cell>
          <cell r="N401">
            <v>-6.7549999999999999</v>
          </cell>
          <cell r="O401">
            <v>-8.4536999999999995</v>
          </cell>
          <cell r="P401">
            <v>-5.2915999999999999</v>
          </cell>
          <cell r="Q401">
            <v>-13.2361</v>
          </cell>
          <cell r="R401">
            <v>-9.9369999999999994</v>
          </cell>
          <cell r="S401">
            <v>-9.4024000000000001</v>
          </cell>
          <cell r="T401">
            <v>-9.4024000000000001</v>
          </cell>
          <cell r="U401">
            <v>-14.990399999999999</v>
          </cell>
          <cell r="V401">
            <v>-17.116</v>
          </cell>
          <cell r="W401">
            <v>-1.3431999999999999</v>
          </cell>
          <cell r="X401">
            <v>-0.96909999999999996</v>
          </cell>
          <cell r="Z401" t="e">
            <v>#N/A</v>
          </cell>
          <cell r="AA401">
            <v>-14.4244</v>
          </cell>
          <cell r="AB401">
            <v>-15.035399999999999</v>
          </cell>
          <cell r="AC401">
            <v>-13.8028</v>
          </cell>
          <cell r="AD401">
            <v>-7.6739920000000019</v>
          </cell>
          <cell r="AE401">
            <v>-7.6739920000000019</v>
          </cell>
          <cell r="AF401">
            <v>-14.990399999999999</v>
          </cell>
          <cell r="AG401">
            <v>0.18729999999999999</v>
          </cell>
          <cell r="AH401">
            <v>-0.84140000000000004</v>
          </cell>
          <cell r="AK401">
            <v>0.38</v>
          </cell>
          <cell r="AL401">
            <v>7.0000000000000007E-2</v>
          </cell>
          <cell r="AM401">
            <v>7.0000000000000007E-2</v>
          </cell>
          <cell r="AN401">
            <v>0.27</v>
          </cell>
          <cell r="AP401">
            <v>0.19</v>
          </cell>
          <cell r="AQ401">
            <v>0.02</v>
          </cell>
          <cell r="AR401">
            <v>1</v>
          </cell>
          <cell r="AS401">
            <v>-7.8141999999999996</v>
          </cell>
          <cell r="AT401">
            <v>-7.4186930000000011</v>
          </cell>
          <cell r="AU401">
            <v>0.32400000000000001</v>
          </cell>
          <cell r="AV401">
            <v>7.0000000000000007E-2</v>
          </cell>
          <cell r="AX401">
            <v>7.0000000000000007E-2</v>
          </cell>
          <cell r="AZ401">
            <v>0.156</v>
          </cell>
          <cell r="BA401">
            <v>1.7999999999999999E-2</v>
          </cell>
          <cell r="BB401">
            <v>0.24199999999999999</v>
          </cell>
          <cell r="BC401">
            <v>0.02</v>
          </cell>
          <cell r="BD401">
            <v>0.1</v>
          </cell>
          <cell r="BE401">
            <v>1</v>
          </cell>
          <cell r="BF401">
            <v>-7.8449778000000006</v>
          </cell>
        </row>
        <row r="402">
          <cell r="A402">
            <v>39752</v>
          </cell>
          <cell r="B402">
            <v>-16.794799999999999</v>
          </cell>
          <cell r="C402">
            <v>-16.512799999999999</v>
          </cell>
          <cell r="D402">
            <v>-17.107099999999999</v>
          </cell>
          <cell r="E402">
            <v>-21.738900000000001</v>
          </cell>
          <cell r="F402">
            <v>-21.694700000000001</v>
          </cell>
          <cell r="G402">
            <v>-21.775099999999998</v>
          </cell>
          <cell r="H402">
            <v>-20.802900000000001</v>
          </cell>
          <cell r="I402">
            <v>-21.703600000000002</v>
          </cell>
          <cell r="J402">
            <v>-19.977699999999999</v>
          </cell>
          <cell r="K402">
            <v>-20.147200000000002</v>
          </cell>
          <cell r="L402">
            <v>-20.791499999999999</v>
          </cell>
          <cell r="M402">
            <v>-19.611499999999999</v>
          </cell>
          <cell r="N402">
            <v>-20.147200000000002</v>
          </cell>
          <cell r="O402">
            <v>-20.791499999999999</v>
          </cell>
          <cell r="P402">
            <v>-19.611499999999999</v>
          </cell>
          <cell r="Q402">
            <v>-22.520900000000001</v>
          </cell>
          <cell r="R402">
            <v>-21.5426</v>
          </cell>
          <cell r="S402">
            <v>-17.736000000000001</v>
          </cell>
          <cell r="T402">
            <v>-17.736000000000001</v>
          </cell>
          <cell r="U402">
            <v>-22.008600000000001</v>
          </cell>
          <cell r="V402">
            <v>-23.733899999999998</v>
          </cell>
          <cell r="W402">
            <v>-2.3603999999999998</v>
          </cell>
          <cell r="X402">
            <v>-1.7849999999999999</v>
          </cell>
          <cell r="Z402" t="e">
            <v>#N/A</v>
          </cell>
          <cell r="AA402">
            <v>-20.173500000000001</v>
          </cell>
          <cell r="AB402">
            <v>-19.7852</v>
          </cell>
          <cell r="AC402">
            <v>-20.555599999999998</v>
          </cell>
          <cell r="AD402">
            <v>-13.293760000000001</v>
          </cell>
          <cell r="AE402">
            <v>-13.293760000000001</v>
          </cell>
          <cell r="AF402">
            <v>-22.008600000000001</v>
          </cell>
          <cell r="AG402">
            <v>-5.7299999999999997E-2</v>
          </cell>
          <cell r="AH402">
            <v>-32.672199999999997</v>
          </cell>
          <cell r="AK402">
            <v>0.37</v>
          </cell>
          <cell r="AL402">
            <v>7.0000000000000007E-2</v>
          </cell>
          <cell r="AM402">
            <v>7.0000000000000007E-2</v>
          </cell>
          <cell r="AN402">
            <v>0.27</v>
          </cell>
          <cell r="AP402">
            <v>0.19</v>
          </cell>
          <cell r="AQ402">
            <v>0.03</v>
          </cell>
          <cell r="AR402">
            <v>1</v>
          </cell>
          <cell r="AS402">
            <v>-13.966764</v>
          </cell>
          <cell r="AT402">
            <v>-13.216273999999999</v>
          </cell>
          <cell r="AU402">
            <v>0.314</v>
          </cell>
          <cell r="AV402">
            <v>7.0000000000000007E-2</v>
          </cell>
          <cell r="AX402">
            <v>7.0000000000000007E-2</v>
          </cell>
          <cell r="AZ402">
            <v>0.156</v>
          </cell>
          <cell r="BA402">
            <v>1.7999999999999999E-2</v>
          </cell>
          <cell r="BB402">
            <v>0.24199999999999999</v>
          </cell>
          <cell r="BC402">
            <v>0.03</v>
          </cell>
          <cell r="BD402">
            <v>0.1</v>
          </cell>
          <cell r="BE402">
            <v>1</v>
          </cell>
          <cell r="BF402">
            <v>-13.968457799999999</v>
          </cell>
        </row>
        <row r="403">
          <cell r="A403">
            <v>39782</v>
          </cell>
          <cell r="B403">
            <v>-7.1755000000000004</v>
          </cell>
          <cell r="C403">
            <v>-5.5608000000000004</v>
          </cell>
          <cell r="D403">
            <v>-8.9718</v>
          </cell>
          <cell r="E403">
            <v>-9.2696000000000005</v>
          </cell>
          <cell r="F403">
            <v>-9.718</v>
          </cell>
          <cell r="G403">
            <v>-8.8521999999999998</v>
          </cell>
          <cell r="H403">
            <v>-11.8287</v>
          </cell>
          <cell r="I403">
            <v>-12.100899999999999</v>
          </cell>
          <cell r="J403">
            <v>-11.5809</v>
          </cell>
          <cell r="K403">
            <v>-11.683400000000001</v>
          </cell>
          <cell r="L403">
            <v>-11.1922</v>
          </cell>
          <cell r="M403">
            <v>-12.0648</v>
          </cell>
          <cell r="N403">
            <v>-11.683400000000001</v>
          </cell>
          <cell r="O403">
            <v>-11.1922</v>
          </cell>
          <cell r="P403">
            <v>-12.0648</v>
          </cell>
          <cell r="Q403">
            <v>-11.2759</v>
          </cell>
          <cell r="R403">
            <v>-10.843999999999999</v>
          </cell>
          <cell r="S403">
            <v>-7.8939000000000004</v>
          </cell>
          <cell r="T403">
            <v>-7.8939000000000004</v>
          </cell>
          <cell r="U403">
            <v>-5.7435999999999998</v>
          </cell>
          <cell r="V403">
            <v>-4.4138999999999999</v>
          </cell>
          <cell r="W403">
            <v>3.2549999999999999</v>
          </cell>
          <cell r="X403">
            <v>2.5495000000000001</v>
          </cell>
          <cell r="Z403" t="e">
            <v>#N/A</v>
          </cell>
          <cell r="AA403">
            <v>-5.3582000000000001</v>
          </cell>
          <cell r="AB403">
            <v>-6.4770000000000003</v>
          </cell>
          <cell r="AC403">
            <v>-4.1352000000000002</v>
          </cell>
          <cell r="AD403">
            <v>-3.9641920000000006</v>
          </cell>
          <cell r="AE403">
            <v>-3.9641920000000006</v>
          </cell>
          <cell r="AF403">
            <v>-5.7435999999999998</v>
          </cell>
          <cell r="AG403">
            <v>-5.7299999999999997E-2</v>
          </cell>
          <cell r="AH403">
            <v>-24.6873</v>
          </cell>
          <cell r="AK403">
            <v>0.37</v>
          </cell>
          <cell r="AL403">
            <v>7.0000000000000007E-2</v>
          </cell>
          <cell r="AM403">
            <v>7.0000000000000007E-2</v>
          </cell>
          <cell r="AN403">
            <v>0.27</v>
          </cell>
          <cell r="AP403">
            <v>0.19</v>
          </cell>
          <cell r="AQ403">
            <v>0.03</v>
          </cell>
          <cell r="AR403">
            <v>1</v>
          </cell>
          <cell r="AS403">
            <v>-4.3357979999999996</v>
          </cell>
          <cell r="AT403">
            <v>-3.8495480000000004</v>
          </cell>
          <cell r="AU403">
            <v>0.314</v>
          </cell>
          <cell r="AV403">
            <v>7.0000000000000007E-2</v>
          </cell>
          <cell r="AX403">
            <v>7.0000000000000007E-2</v>
          </cell>
          <cell r="AZ403">
            <v>0.156</v>
          </cell>
          <cell r="BA403">
            <v>1.7999999999999999E-2</v>
          </cell>
          <cell r="BB403">
            <v>0.24199999999999999</v>
          </cell>
          <cell r="BC403">
            <v>0.03</v>
          </cell>
          <cell r="BD403">
            <v>0.1</v>
          </cell>
          <cell r="BE403">
            <v>1</v>
          </cell>
          <cell r="BF403">
            <v>-4.3056970000000003</v>
          </cell>
        </row>
        <row r="404">
          <cell r="A404">
            <v>39813</v>
          </cell>
          <cell r="B404">
            <v>1.0640000000000001</v>
          </cell>
          <cell r="C404">
            <v>1.1555</v>
          </cell>
          <cell r="D404">
            <v>0.95330000000000004</v>
          </cell>
          <cell r="E404">
            <v>4.8474000000000004</v>
          </cell>
          <cell r="F404">
            <v>4.6548999999999996</v>
          </cell>
          <cell r="G404">
            <v>5.0039999999999996</v>
          </cell>
          <cell r="H404">
            <v>5.8041</v>
          </cell>
          <cell r="I404">
            <v>5.4240000000000004</v>
          </cell>
          <cell r="J404">
            <v>6.1516000000000002</v>
          </cell>
          <cell r="K404">
            <v>6.1009000000000002</v>
          </cell>
          <cell r="L404">
            <v>5.3338000000000001</v>
          </cell>
          <cell r="M404">
            <v>6.7751000000000001</v>
          </cell>
          <cell r="N404">
            <v>6.1009000000000002</v>
          </cell>
          <cell r="O404">
            <v>5.3338000000000001</v>
          </cell>
          <cell r="P404">
            <v>6.7751000000000001</v>
          </cell>
          <cell r="Q404">
            <v>5.0690999999999997</v>
          </cell>
          <cell r="R404">
            <v>5.4294000000000002</v>
          </cell>
          <cell r="S404">
            <v>1.9131</v>
          </cell>
          <cell r="T404">
            <v>1.9131</v>
          </cell>
          <cell r="U404">
            <v>5.7168000000000001</v>
          </cell>
          <cell r="V404">
            <v>6.8460999999999999</v>
          </cell>
          <cell r="W404">
            <v>3.7309000000000001</v>
          </cell>
          <cell r="X404">
            <v>2.8395999999999999</v>
          </cell>
          <cell r="Y404">
            <v>2.9346000000000001</v>
          </cell>
          <cell r="Z404" t="e">
            <v>#N/A</v>
          </cell>
          <cell r="AA404">
            <v>6.0232000000000001</v>
          </cell>
          <cell r="AB404">
            <v>6.3765000000000001</v>
          </cell>
          <cell r="AC404">
            <v>5.6489000000000003</v>
          </cell>
          <cell r="AD404">
            <v>2.6042040000000002</v>
          </cell>
          <cell r="AE404">
            <v>2.6042040000000002</v>
          </cell>
          <cell r="AF404">
            <v>5.7168000000000001</v>
          </cell>
          <cell r="AG404">
            <v>-5.7299999999999997E-2</v>
          </cell>
          <cell r="AH404">
            <v>17.5457</v>
          </cell>
          <cell r="AK404">
            <v>0.37</v>
          </cell>
          <cell r="AL404">
            <v>7.0000000000000007E-2</v>
          </cell>
          <cell r="AM404">
            <v>7.0000000000000007E-2</v>
          </cell>
          <cell r="AN404">
            <v>0.27</v>
          </cell>
          <cell r="AP404">
            <v>0.19</v>
          </cell>
          <cell r="AQ404">
            <v>0.03</v>
          </cell>
          <cell r="AR404">
            <v>1</v>
          </cell>
          <cell r="AS404">
            <v>3.2518770000000004</v>
          </cell>
          <cell r="AT404">
            <v>3.3454069999999998</v>
          </cell>
          <cell r="AU404">
            <v>0.314</v>
          </cell>
          <cell r="AV404">
            <v>7.0000000000000007E-2</v>
          </cell>
          <cell r="AX404">
            <v>7.0000000000000007E-2</v>
          </cell>
          <cell r="AZ404">
            <v>0.156</v>
          </cell>
          <cell r="BA404">
            <v>1.7999999999999999E-2</v>
          </cell>
          <cell r="BB404">
            <v>0.24199999999999999</v>
          </cell>
          <cell r="BC404">
            <v>0.03</v>
          </cell>
          <cell r="BD404">
            <v>0.1</v>
          </cell>
          <cell r="BE404">
            <v>1</v>
          </cell>
          <cell r="BF404">
            <v>3.2771067999999999</v>
          </cell>
        </row>
        <row r="405">
          <cell r="A405">
            <v>39844</v>
          </cell>
          <cell r="B405">
            <v>-8.4285999999999994</v>
          </cell>
          <cell r="C405">
            <v>-4.8917000000000002</v>
          </cell>
          <cell r="D405">
            <v>-12.1584</v>
          </cell>
          <cell r="E405">
            <v>-7.2537000000000003</v>
          </cell>
          <cell r="F405">
            <v>-5.8982999999999999</v>
          </cell>
          <cell r="G405">
            <v>-8.5521999999999991</v>
          </cell>
          <cell r="H405">
            <v>-11.1221</v>
          </cell>
          <cell r="I405">
            <v>-7.6078999999999999</v>
          </cell>
          <cell r="J405">
            <v>-14.2849</v>
          </cell>
          <cell r="K405">
            <v>-12.7004</v>
          </cell>
          <cell r="L405">
            <v>-11.279400000000001</v>
          </cell>
          <cell r="M405">
            <v>-14.081300000000001</v>
          </cell>
          <cell r="N405">
            <v>-12.7004</v>
          </cell>
          <cell r="O405">
            <v>-11.279400000000001</v>
          </cell>
          <cell r="P405">
            <v>-14.081300000000001</v>
          </cell>
          <cell r="Q405">
            <v>-6.0160999999999998</v>
          </cell>
          <cell r="R405">
            <v>-9.0009999999999994</v>
          </cell>
          <cell r="S405">
            <v>-8.3919999999999995</v>
          </cell>
          <cell r="T405">
            <v>-8.3919999999999995</v>
          </cell>
          <cell r="U405">
            <v>-8.8139000000000003</v>
          </cell>
          <cell r="V405">
            <v>-6.3952</v>
          </cell>
          <cell r="W405">
            <v>-0.88229999999999997</v>
          </cell>
          <cell r="X405">
            <v>-0.21879999999999999</v>
          </cell>
          <cell r="Y405">
            <v>-0.39240000000000003</v>
          </cell>
          <cell r="Z405" t="e">
            <v>#N/A</v>
          </cell>
          <cell r="AA405">
            <v>-9.7977000000000007</v>
          </cell>
          <cell r="AB405">
            <v>-8.5370000000000008</v>
          </cell>
          <cell r="AC405">
            <v>-11.116199999999999</v>
          </cell>
          <cell r="AD405">
            <v>-6.5346919999999997</v>
          </cell>
          <cell r="AE405">
            <v>-6.5346919999999997</v>
          </cell>
          <cell r="AF405">
            <v>-8.8139000000000003</v>
          </cell>
          <cell r="AG405">
            <v>-2.8420999999999998</v>
          </cell>
          <cell r="AH405">
            <v>-18.150200000000002</v>
          </cell>
          <cell r="AK405">
            <v>0.36</v>
          </cell>
          <cell r="AL405">
            <v>7.0000000000000007E-2</v>
          </cell>
          <cell r="AM405">
            <v>7.0000000000000007E-2</v>
          </cell>
          <cell r="AN405">
            <v>0.27</v>
          </cell>
          <cell r="AP405">
            <v>0.19</v>
          </cell>
          <cell r="AQ405">
            <v>0.04</v>
          </cell>
          <cell r="AR405">
            <v>1</v>
          </cell>
          <cell r="AS405">
            <v>-6.4576290000000007</v>
          </cell>
          <cell r="AT405">
            <v>-6.0558189999999996</v>
          </cell>
          <cell r="AU405">
            <v>0.30399999999999999</v>
          </cell>
          <cell r="AV405">
            <v>7.0000000000000007E-2</v>
          </cell>
          <cell r="AX405">
            <v>7.0000000000000007E-2</v>
          </cell>
          <cell r="AZ405">
            <v>0.156</v>
          </cell>
          <cell r="BA405">
            <v>1.7999999999999999E-2</v>
          </cell>
          <cell r="BB405">
            <v>0.24199999999999999</v>
          </cell>
          <cell r="BC405">
            <v>0.04</v>
          </cell>
          <cell r="BD405">
            <v>0.1</v>
          </cell>
          <cell r="BE405">
            <v>1</v>
          </cell>
          <cell r="BF405">
            <v>-6.4298332</v>
          </cell>
        </row>
        <row r="406">
          <cell r="A406">
            <v>39872</v>
          </cell>
          <cell r="B406">
            <v>-10.6478</v>
          </cell>
          <cell r="C406">
            <v>-8.5221999999999998</v>
          </cell>
          <cell r="D406">
            <v>-13.0749</v>
          </cell>
          <cell r="E406">
            <v>-9.6829000000000001</v>
          </cell>
          <cell r="F406">
            <v>-8.0656999999999996</v>
          </cell>
          <cell r="G406">
            <v>-11.308199999999999</v>
          </cell>
          <cell r="H406">
            <v>-12.1523</v>
          </cell>
          <cell r="I406">
            <v>-10.3543</v>
          </cell>
          <cell r="J406">
            <v>-13.8901</v>
          </cell>
          <cell r="K406">
            <v>-11.974299999999999</v>
          </cell>
          <cell r="L406">
            <v>-11.227</v>
          </cell>
          <cell r="M406">
            <v>-12.7272</v>
          </cell>
          <cell r="N406">
            <v>-11.974299999999999</v>
          </cell>
          <cell r="O406">
            <v>-11.227</v>
          </cell>
          <cell r="P406">
            <v>-12.7272</v>
          </cell>
          <cell r="Q406">
            <v>-8.6555999999999997</v>
          </cell>
          <cell r="R406">
            <v>-10.811999999999999</v>
          </cell>
          <cell r="S406">
            <v>-10.4755</v>
          </cell>
          <cell r="T406">
            <v>-10.4755</v>
          </cell>
          <cell r="U406">
            <v>-9.3018000000000001</v>
          </cell>
          <cell r="V406">
            <v>-9.2462</v>
          </cell>
          <cell r="W406">
            <v>-0.37759999999999999</v>
          </cell>
          <cell r="X406">
            <v>-0.20810000000000001</v>
          </cell>
          <cell r="Y406">
            <v>-0.39240000000000003</v>
          </cell>
          <cell r="Z406" t="e">
            <v>#N/A</v>
          </cell>
          <cell r="AA406">
            <v>-10.2272</v>
          </cell>
          <cell r="AB406">
            <v>-9.3010000000000002</v>
          </cell>
          <cell r="AC406">
            <v>-11.2295</v>
          </cell>
          <cell r="AD406">
            <v>-7.7048480000000001</v>
          </cell>
          <cell r="AE406">
            <v>-7.7048480000000001</v>
          </cell>
          <cell r="AF406">
            <v>-9.3018000000000001</v>
          </cell>
          <cell r="AG406">
            <v>-2.8420999999999998</v>
          </cell>
          <cell r="AH406">
            <v>-21.722100000000001</v>
          </cell>
          <cell r="AK406">
            <v>0.36</v>
          </cell>
          <cell r="AL406">
            <v>7.0000000000000007E-2</v>
          </cell>
          <cell r="AM406">
            <v>7.0000000000000007E-2</v>
          </cell>
          <cell r="AN406">
            <v>0.27</v>
          </cell>
          <cell r="AP406">
            <v>0.19</v>
          </cell>
          <cell r="AQ406">
            <v>0.04</v>
          </cell>
          <cell r="AR406">
            <v>1</v>
          </cell>
          <cell r="AS406">
            <v>-7.3321899999999998</v>
          </cell>
          <cell r="AT406">
            <v>-6.81942</v>
          </cell>
          <cell r="AU406">
            <v>0.30399999999999999</v>
          </cell>
          <cell r="AV406">
            <v>7.0000000000000007E-2</v>
          </cell>
          <cell r="AX406">
            <v>7.0000000000000007E-2</v>
          </cell>
          <cell r="AZ406">
            <v>0.156</v>
          </cell>
          <cell r="BA406">
            <v>1.7999999999999999E-2</v>
          </cell>
          <cell r="BB406">
            <v>0.24199999999999999</v>
          </cell>
          <cell r="BC406">
            <v>0.04</v>
          </cell>
          <cell r="BD406">
            <v>0.1</v>
          </cell>
          <cell r="BE406">
            <v>1</v>
          </cell>
          <cell r="BF406">
            <v>-7.3459955999999993</v>
          </cell>
        </row>
        <row r="407">
          <cell r="A407">
            <v>39903</v>
          </cell>
          <cell r="B407">
            <v>8.7594999999999992</v>
          </cell>
          <cell r="C407">
            <v>7.8357999999999999</v>
          </cell>
          <cell r="D407">
            <v>9.8712999999999997</v>
          </cell>
          <cell r="E407">
            <v>9.0478000000000005</v>
          </cell>
          <cell r="F407">
            <v>9.6968999999999994</v>
          </cell>
          <cell r="G407">
            <v>8.3660999999999994</v>
          </cell>
          <cell r="H407">
            <v>8.9267000000000003</v>
          </cell>
          <cell r="I407">
            <v>8.9754000000000005</v>
          </cell>
          <cell r="J407">
            <v>8.8785000000000007</v>
          </cell>
          <cell r="K407">
            <v>8.2143999999999995</v>
          </cell>
          <cell r="L407">
            <v>8.1141000000000005</v>
          </cell>
          <cell r="M407">
            <v>8.3190000000000008</v>
          </cell>
          <cell r="N407">
            <v>8.2143999999999995</v>
          </cell>
          <cell r="O407">
            <v>8.1141000000000005</v>
          </cell>
          <cell r="P407">
            <v>8.3190000000000008</v>
          </cell>
          <cell r="Q407">
            <v>9.5275999999999996</v>
          </cell>
          <cell r="R407">
            <v>9.1280999999999999</v>
          </cell>
          <cell r="S407">
            <v>8.7593999999999994</v>
          </cell>
          <cell r="T407">
            <v>8.7593999999999994</v>
          </cell>
          <cell r="U407">
            <v>8.0729000000000006</v>
          </cell>
          <cell r="V407">
            <v>6.5646000000000004</v>
          </cell>
          <cell r="W407">
            <v>1.3902000000000001</v>
          </cell>
          <cell r="X407">
            <v>1.3453999999999999</v>
          </cell>
          <cell r="Y407">
            <v>-0.39240000000000003</v>
          </cell>
          <cell r="Z407" t="e">
            <v>#N/A</v>
          </cell>
          <cell r="AA407">
            <v>6.3875000000000002</v>
          </cell>
          <cell r="AB407">
            <v>5.7121000000000004</v>
          </cell>
          <cell r="AC407">
            <v>7.1233000000000004</v>
          </cell>
          <cell r="AD407">
            <v>6.3165759999999995</v>
          </cell>
          <cell r="AE407">
            <v>6.3165759999999995</v>
          </cell>
          <cell r="AF407">
            <v>8.0729000000000006</v>
          </cell>
          <cell r="AG407">
            <v>-2.8420999999999998</v>
          </cell>
          <cell r="AH407">
            <v>3.2406999999999999</v>
          </cell>
          <cell r="AK407">
            <v>0.36</v>
          </cell>
          <cell r="AL407">
            <v>7.0000000000000007E-2</v>
          </cell>
          <cell r="AM407">
            <v>7.0000000000000007E-2</v>
          </cell>
          <cell r="AN407">
            <v>0.27</v>
          </cell>
          <cell r="AP407">
            <v>0.19</v>
          </cell>
          <cell r="AQ407">
            <v>0.04</v>
          </cell>
          <cell r="AR407">
            <v>1</v>
          </cell>
          <cell r="AS407">
            <v>6.1572949999999995</v>
          </cell>
          <cell r="AT407">
            <v>5.6997</v>
          </cell>
          <cell r="AU407">
            <v>0.30399999999999999</v>
          </cell>
          <cell r="AV407">
            <v>7.0000000000000007E-2</v>
          </cell>
          <cell r="AX407">
            <v>7.0000000000000007E-2</v>
          </cell>
          <cell r="AZ407">
            <v>0.156</v>
          </cell>
          <cell r="BA407">
            <v>1.7999999999999999E-2</v>
          </cell>
          <cell r="BB407">
            <v>0.24199999999999999</v>
          </cell>
          <cell r="BC407">
            <v>0.04</v>
          </cell>
          <cell r="BD407">
            <v>0.1</v>
          </cell>
          <cell r="BE407">
            <v>1</v>
          </cell>
          <cell r="BF407">
            <v>6.1031791999999996</v>
          </cell>
        </row>
        <row r="408">
          <cell r="A408">
            <v>39933</v>
          </cell>
          <cell r="B408">
            <v>9.5709</v>
          </cell>
          <cell r="C408">
            <v>8.3272999999999993</v>
          </cell>
          <cell r="D408">
            <v>11.0397</v>
          </cell>
          <cell r="E408">
            <v>14.8696</v>
          </cell>
          <cell r="F408">
            <v>14.058</v>
          </cell>
          <cell r="G408">
            <v>15.7272</v>
          </cell>
          <cell r="H408">
            <v>15.4582</v>
          </cell>
          <cell r="I408">
            <v>15.050599999999999</v>
          </cell>
          <cell r="J408">
            <v>15.8674</v>
          </cell>
          <cell r="K408">
            <v>17.456700000000001</v>
          </cell>
          <cell r="L408">
            <v>16.547799999999999</v>
          </cell>
          <cell r="M408">
            <v>18.400200000000002</v>
          </cell>
          <cell r="N408">
            <v>17.456700000000001</v>
          </cell>
          <cell r="O408">
            <v>16.547799999999999</v>
          </cell>
          <cell r="P408">
            <v>18.400200000000002</v>
          </cell>
          <cell r="Q408">
            <v>14.8751</v>
          </cell>
          <cell r="R408">
            <v>15.4101</v>
          </cell>
          <cell r="S408">
            <v>10.523400000000001</v>
          </cell>
          <cell r="T408">
            <v>10.523400000000001</v>
          </cell>
          <cell r="U408">
            <v>13.7525</v>
          </cell>
          <cell r="V408">
            <v>15.438700000000001</v>
          </cell>
          <cell r="W408">
            <v>0.47860000000000003</v>
          </cell>
          <cell r="X408">
            <v>0.65100000000000002</v>
          </cell>
          <cell r="Y408">
            <v>9.7299999999999998E-2</v>
          </cell>
          <cell r="Z408" t="e">
            <v>#N/A</v>
          </cell>
          <cell r="AA408">
            <v>12.961600000000001</v>
          </cell>
          <cell r="AB408">
            <v>8.7752999999999997</v>
          </cell>
          <cell r="AC408">
            <v>17.4847</v>
          </cell>
          <cell r="AD408">
            <v>7.5675680000000005</v>
          </cell>
          <cell r="AE408">
            <v>7.5675680000000005</v>
          </cell>
          <cell r="AF408">
            <v>13.7525</v>
          </cell>
          <cell r="AG408">
            <v>-2.5042</v>
          </cell>
          <cell r="AH408">
            <v>33.032400000000003</v>
          </cell>
          <cell r="AK408">
            <v>0.36</v>
          </cell>
          <cell r="AL408">
            <v>7.0000000000000007E-2</v>
          </cell>
          <cell r="AM408">
            <v>7.0000000000000007E-2</v>
          </cell>
          <cell r="AN408">
            <v>0.27</v>
          </cell>
          <cell r="AP408">
            <v>0.19</v>
          </cell>
          <cell r="AQ408">
            <v>0.04</v>
          </cell>
          <cell r="AR408">
            <v>1</v>
          </cell>
          <cell r="AS408">
            <v>8.3503940000000014</v>
          </cell>
          <cell r="AT408">
            <v>7.8767139999999998</v>
          </cell>
          <cell r="AU408">
            <v>0.30399999999999999</v>
          </cell>
          <cell r="AV408">
            <v>7.0000000000000007E-2</v>
          </cell>
          <cell r="AX408">
            <v>7.0000000000000007E-2</v>
          </cell>
          <cell r="AZ408">
            <v>0.156</v>
          </cell>
          <cell r="BA408">
            <v>1.7999999999999999E-2</v>
          </cell>
          <cell r="BB408">
            <v>0.24199999999999999</v>
          </cell>
          <cell r="BC408">
            <v>0.04</v>
          </cell>
          <cell r="BD408">
            <v>0.1</v>
          </cell>
          <cell r="BE408">
            <v>1</v>
          </cell>
          <cell r="BF408">
            <v>8.3680912000000003</v>
          </cell>
        </row>
        <row r="409">
          <cell r="A409">
            <v>39964</v>
          </cell>
          <cell r="B409">
            <v>5.5933000000000002</v>
          </cell>
          <cell r="C409">
            <v>4.9352999999999998</v>
          </cell>
          <cell r="D409">
            <v>6.3605999999999998</v>
          </cell>
          <cell r="E409">
            <v>2.7363</v>
          </cell>
          <cell r="F409">
            <v>3.5291000000000001</v>
          </cell>
          <cell r="G409">
            <v>1.9188000000000001</v>
          </cell>
          <cell r="H409">
            <v>3.0148999999999999</v>
          </cell>
          <cell r="I409">
            <v>3.8719999999999999</v>
          </cell>
          <cell r="J409">
            <v>2.1623000000000001</v>
          </cell>
          <cell r="K409">
            <v>1.6115999999999999</v>
          </cell>
          <cell r="L409">
            <v>2.5308000000000002</v>
          </cell>
          <cell r="M409">
            <v>0.66820000000000002</v>
          </cell>
          <cell r="N409">
            <v>1.6115999999999999</v>
          </cell>
          <cell r="O409">
            <v>2.5308000000000002</v>
          </cell>
          <cell r="P409">
            <v>0.66820000000000002</v>
          </cell>
          <cell r="Q409">
            <v>3.5949</v>
          </cell>
          <cell r="R409">
            <v>3.0461</v>
          </cell>
          <cell r="S409">
            <v>5.3364000000000003</v>
          </cell>
          <cell r="T409">
            <v>5.3364000000000003</v>
          </cell>
          <cell r="U409">
            <v>13.688000000000001</v>
          </cell>
          <cell r="V409">
            <v>14.2898</v>
          </cell>
          <cell r="W409">
            <v>0.72509999999999997</v>
          </cell>
          <cell r="X409">
            <v>0.68840000000000001</v>
          </cell>
          <cell r="Y409">
            <v>0.38940000000000002</v>
          </cell>
          <cell r="Z409" t="e">
            <v>#N/A</v>
          </cell>
          <cell r="AA409">
            <v>12.0129</v>
          </cell>
          <cell r="AB409">
            <v>12.020200000000001</v>
          </cell>
          <cell r="AC409">
            <v>12.0154</v>
          </cell>
          <cell r="AD409">
            <v>5.257340000000001</v>
          </cell>
          <cell r="AE409">
            <v>5.257340000000001</v>
          </cell>
          <cell r="AF409">
            <v>13.688000000000001</v>
          </cell>
          <cell r="AG409">
            <v>-2.5042</v>
          </cell>
          <cell r="AH409">
            <v>2.4931999999999999</v>
          </cell>
          <cell r="AK409">
            <v>0.36</v>
          </cell>
          <cell r="AL409">
            <v>7.0000000000000007E-2</v>
          </cell>
          <cell r="AM409">
            <v>7.0000000000000007E-2</v>
          </cell>
          <cell r="AN409">
            <v>0.27</v>
          </cell>
          <cell r="AP409">
            <v>0.19</v>
          </cell>
          <cell r="AQ409">
            <v>0.04</v>
          </cell>
          <cell r="AR409">
            <v>1</v>
          </cell>
          <cell r="AS409">
            <v>5.0142699999999998</v>
          </cell>
          <cell r="AT409">
            <v>4.7540750000000003</v>
          </cell>
          <cell r="AU409">
            <v>0.30399999999999999</v>
          </cell>
          <cell r="AV409">
            <v>7.0000000000000007E-2</v>
          </cell>
          <cell r="AX409">
            <v>7.0000000000000007E-2</v>
          </cell>
          <cell r="AZ409">
            <v>0.156</v>
          </cell>
          <cell r="BA409">
            <v>1.7999999999999999E-2</v>
          </cell>
          <cell r="BB409">
            <v>0.24199999999999999</v>
          </cell>
          <cell r="BC409">
            <v>0.04</v>
          </cell>
          <cell r="BD409">
            <v>0.1</v>
          </cell>
          <cell r="BE409">
            <v>1</v>
          </cell>
          <cell r="BF409">
            <v>4.9983008</v>
          </cell>
        </row>
        <row r="410">
          <cell r="A410">
            <v>39994</v>
          </cell>
          <cell r="B410">
            <v>0.19839999999999999</v>
          </cell>
          <cell r="C410">
            <v>0.81710000000000005</v>
          </cell>
          <cell r="D410">
            <v>-0.49930000000000002</v>
          </cell>
          <cell r="E410">
            <v>0.62180000000000002</v>
          </cell>
          <cell r="F410">
            <v>0.54020000000000001</v>
          </cell>
          <cell r="G410">
            <v>0.70850000000000002</v>
          </cell>
          <cell r="H410">
            <v>1.4688000000000001</v>
          </cell>
          <cell r="I410">
            <v>3.24</v>
          </cell>
          <cell r="J410">
            <v>-0.31530000000000002</v>
          </cell>
          <cell r="K410">
            <v>1.4349000000000001</v>
          </cell>
          <cell r="L410">
            <v>1.6830000000000001</v>
          </cell>
          <cell r="M410">
            <v>1.1850000000000001</v>
          </cell>
          <cell r="N410">
            <v>1.4349000000000001</v>
          </cell>
          <cell r="O410">
            <v>1.6830000000000001</v>
          </cell>
          <cell r="P410">
            <v>1.1850000000000001</v>
          </cell>
          <cell r="Q410">
            <v>2.3424</v>
          </cell>
          <cell r="R410">
            <v>1.1332</v>
          </cell>
          <cell r="S410">
            <v>0.34</v>
          </cell>
          <cell r="T410">
            <v>0.34</v>
          </cell>
          <cell r="U410">
            <v>-1.0718000000000001</v>
          </cell>
          <cell r="V410">
            <v>1.9750000000000001</v>
          </cell>
          <cell r="W410">
            <v>0.56840000000000002</v>
          </cell>
          <cell r="X410">
            <v>0.32690000000000002</v>
          </cell>
          <cell r="Y410">
            <v>0.12</v>
          </cell>
          <cell r="Z410" t="e">
            <v>#N/A</v>
          </cell>
          <cell r="AA410">
            <v>-0.53949999999999998</v>
          </cell>
          <cell r="AB410">
            <v>-0.16739999999999999</v>
          </cell>
          <cell r="AC410">
            <v>-0.94310000000000005</v>
          </cell>
          <cell r="AD410">
            <v>0.18393600000000004</v>
          </cell>
          <cell r="AE410">
            <v>0.18393600000000004</v>
          </cell>
          <cell r="AF410">
            <v>-1.0718000000000001</v>
          </cell>
          <cell r="AG410">
            <v>-2.5042</v>
          </cell>
          <cell r="AH410">
            <v>-3.4186999999999999</v>
          </cell>
          <cell r="AK410">
            <v>0.36</v>
          </cell>
          <cell r="AL410">
            <v>7.0000000000000007E-2</v>
          </cell>
          <cell r="AM410">
            <v>7.0000000000000007E-2</v>
          </cell>
          <cell r="AN410">
            <v>0.27</v>
          </cell>
          <cell r="AP410">
            <v>0.19</v>
          </cell>
          <cell r="AQ410">
            <v>0.04</v>
          </cell>
          <cell r="AR410">
            <v>1</v>
          </cell>
          <cell r="AS410">
            <v>6.505099999999997E-2</v>
          </cell>
          <cell r="AT410">
            <v>6.1131000000000019E-2</v>
          </cell>
          <cell r="AU410">
            <v>0.30399999999999999</v>
          </cell>
          <cell r="AV410">
            <v>7.0000000000000007E-2</v>
          </cell>
          <cell r="AX410">
            <v>7.0000000000000007E-2</v>
          </cell>
          <cell r="AZ410">
            <v>0.156</v>
          </cell>
          <cell r="BA410">
            <v>1.7999999999999999E-2</v>
          </cell>
          <cell r="BB410">
            <v>0.24199999999999999</v>
          </cell>
          <cell r="BC410">
            <v>0.04</v>
          </cell>
          <cell r="BD410">
            <v>0.1</v>
          </cell>
          <cell r="BE410">
            <v>1</v>
          </cell>
          <cell r="BF410">
            <v>0.12841020000000003</v>
          </cell>
        </row>
        <row r="411">
          <cell r="A411">
            <v>40025</v>
          </cell>
          <cell r="B411">
            <v>7.5636999999999999</v>
          </cell>
          <cell r="C411">
            <v>6.8117000000000001</v>
          </cell>
          <cell r="D411">
            <v>8.4213000000000005</v>
          </cell>
          <cell r="E411">
            <v>8.7392000000000003</v>
          </cell>
          <cell r="F411">
            <v>8.1035000000000004</v>
          </cell>
          <cell r="G411">
            <v>9.3943999999999992</v>
          </cell>
          <cell r="H411">
            <v>9.6310000000000002</v>
          </cell>
          <cell r="I411">
            <v>7.7542999999999997</v>
          </cell>
          <cell r="J411">
            <v>11.5642</v>
          </cell>
          <cell r="K411">
            <v>10.3254</v>
          </cell>
          <cell r="L411">
            <v>9.3184000000000005</v>
          </cell>
          <cell r="M411">
            <v>11.3529</v>
          </cell>
          <cell r="N411">
            <v>10.3254</v>
          </cell>
          <cell r="O411">
            <v>9.3184000000000005</v>
          </cell>
          <cell r="P411">
            <v>11.3529</v>
          </cell>
          <cell r="Q411">
            <v>7.7690999999999999</v>
          </cell>
          <cell r="R411">
            <v>9.0223999999999993</v>
          </cell>
          <cell r="S411">
            <v>7.7835999999999999</v>
          </cell>
          <cell r="T411">
            <v>7.7835999999999999</v>
          </cell>
          <cell r="U411">
            <v>9.8064999999999998</v>
          </cell>
          <cell r="V411">
            <v>7.6417999999999999</v>
          </cell>
          <cell r="W411">
            <v>1.6133</v>
          </cell>
          <cell r="X411">
            <v>1.3744000000000001</v>
          </cell>
          <cell r="Y411">
            <v>0.90469999999999995</v>
          </cell>
          <cell r="Z411" t="e">
            <v>#N/A</v>
          </cell>
          <cell r="AA411">
            <v>9.1425999999999998</v>
          </cell>
          <cell r="AB411">
            <v>8.6014999999999997</v>
          </cell>
          <cell r="AC411">
            <v>9.6798999999999999</v>
          </cell>
          <cell r="AD411">
            <v>6.1502119999999998</v>
          </cell>
          <cell r="AE411">
            <v>6.1502119999999998</v>
          </cell>
          <cell r="AF411">
            <v>9.8064999999999998</v>
          </cell>
          <cell r="AG411">
            <v>-1.7628999999999999</v>
          </cell>
          <cell r="AH411">
            <v>10.497400000000001</v>
          </cell>
          <cell r="AK411">
            <v>0.36</v>
          </cell>
          <cell r="AL411">
            <v>7.0000000000000007E-2</v>
          </cell>
          <cell r="AM411">
            <v>7.0000000000000007E-2</v>
          </cell>
          <cell r="AN411">
            <v>0.27</v>
          </cell>
          <cell r="AP411">
            <v>0.19</v>
          </cell>
          <cell r="AQ411">
            <v>0.04</v>
          </cell>
          <cell r="AR411">
            <v>1</v>
          </cell>
          <cell r="AS411">
            <v>6.2857640000000004</v>
          </cell>
          <cell r="AT411">
            <v>5.952814</v>
          </cell>
          <cell r="AU411">
            <v>0.30399999999999999</v>
          </cell>
          <cell r="AV411">
            <v>7.0000000000000007E-2</v>
          </cell>
          <cell r="AX411">
            <v>7.0000000000000007E-2</v>
          </cell>
          <cell r="AZ411">
            <v>0.156</v>
          </cell>
          <cell r="BA411">
            <v>1.7999999999999999E-2</v>
          </cell>
          <cell r="BB411">
            <v>0.24199999999999999</v>
          </cell>
          <cell r="BC411">
            <v>0.04</v>
          </cell>
          <cell r="BD411">
            <v>0.1</v>
          </cell>
          <cell r="BE411">
            <v>1</v>
          </cell>
          <cell r="BF411">
            <v>6.2361770000000005</v>
          </cell>
        </row>
        <row r="412">
          <cell r="A412">
            <v>40056</v>
          </cell>
          <cell r="B412">
            <v>3.6103999999999998</v>
          </cell>
          <cell r="C412">
            <v>1.9716</v>
          </cell>
          <cell r="D412">
            <v>5.4484000000000004</v>
          </cell>
          <cell r="E412">
            <v>4.3673999999999999</v>
          </cell>
          <cell r="F412">
            <v>3.3220999999999998</v>
          </cell>
          <cell r="G412">
            <v>5.4279999999999999</v>
          </cell>
          <cell r="H412">
            <v>2.8675000000000002</v>
          </cell>
          <cell r="I412">
            <v>0.97629999999999995</v>
          </cell>
          <cell r="J412">
            <v>4.7329999999999997</v>
          </cell>
          <cell r="K412">
            <v>2.2881999999999998</v>
          </cell>
          <cell r="L412">
            <v>1.2607999999999999</v>
          </cell>
          <cell r="M412">
            <v>3.3153000000000001</v>
          </cell>
          <cell r="N412">
            <v>2.2881999999999998</v>
          </cell>
          <cell r="O412">
            <v>1.2607999999999999</v>
          </cell>
          <cell r="P412">
            <v>3.3153000000000001</v>
          </cell>
          <cell r="Q412">
            <v>2.0377999999999998</v>
          </cell>
          <cell r="R412">
            <v>4.0853999999999999</v>
          </cell>
          <cell r="S412">
            <v>3.5731999999999999</v>
          </cell>
          <cell r="T412">
            <v>3.5731999999999999</v>
          </cell>
          <cell r="U412">
            <v>3.7206999999999999</v>
          </cell>
          <cell r="V412">
            <v>8.0949000000000009</v>
          </cell>
          <cell r="W412">
            <v>1.0354000000000001</v>
          </cell>
          <cell r="X412">
            <v>0.91979999999999995</v>
          </cell>
          <cell r="Y412">
            <v>0.65610000000000002</v>
          </cell>
          <cell r="Z412" t="e">
            <v>#N/A</v>
          </cell>
          <cell r="AA412">
            <v>5.4515000000000002</v>
          </cell>
          <cell r="AB412">
            <v>3.2456</v>
          </cell>
          <cell r="AC412">
            <v>7.6124999999999998</v>
          </cell>
          <cell r="AD412">
            <v>3.1839760000000004</v>
          </cell>
          <cell r="AE412">
            <v>3.1839760000000004</v>
          </cell>
          <cell r="AF412">
            <v>3.7206999999999999</v>
          </cell>
          <cell r="AG412">
            <v>-1.7628999999999999</v>
          </cell>
          <cell r="AH412">
            <v>14.7455</v>
          </cell>
          <cell r="AK412">
            <v>0.36</v>
          </cell>
          <cell r="AL412">
            <v>7.0000000000000007E-2</v>
          </cell>
          <cell r="AM412">
            <v>7.0000000000000007E-2</v>
          </cell>
          <cell r="AN412">
            <v>0.27</v>
          </cell>
          <cell r="AP412">
            <v>0.19</v>
          </cell>
          <cell r="AQ412">
            <v>0.04</v>
          </cell>
          <cell r="AR412">
            <v>1</v>
          </cell>
          <cell r="AS412">
            <v>2.6816109999999997</v>
          </cell>
          <cell r="AT412">
            <v>2.5338959999999999</v>
          </cell>
          <cell r="AU412">
            <v>0.30399999999999999</v>
          </cell>
          <cell r="AV412">
            <v>7.0000000000000007E-2</v>
          </cell>
          <cell r="AX412">
            <v>7.0000000000000007E-2</v>
          </cell>
          <cell r="AZ412">
            <v>0.156</v>
          </cell>
          <cell r="BA412">
            <v>1.7999999999999999E-2</v>
          </cell>
          <cell r="BB412">
            <v>0.24199999999999999</v>
          </cell>
          <cell r="BC412">
            <v>0.04</v>
          </cell>
          <cell r="BD412">
            <v>0.1</v>
          </cell>
          <cell r="BE412">
            <v>1</v>
          </cell>
          <cell r="BF412">
            <v>2.7880394000000002</v>
          </cell>
        </row>
        <row r="413">
          <cell r="A413">
            <v>40086</v>
          </cell>
          <cell r="B413">
            <v>3.7315</v>
          </cell>
          <cell r="C413">
            <v>4.2603</v>
          </cell>
          <cell r="D413">
            <v>3.1595</v>
          </cell>
          <cell r="E413">
            <v>5.7218</v>
          </cell>
          <cell r="F413">
            <v>6.1334999999999997</v>
          </cell>
          <cell r="G413">
            <v>5.3151999999999999</v>
          </cell>
          <cell r="H413">
            <v>5.7676999999999996</v>
          </cell>
          <cell r="I413">
            <v>6.5662000000000003</v>
          </cell>
          <cell r="J413">
            <v>5.0153999999999996</v>
          </cell>
          <cell r="K413">
            <v>5.1474000000000002</v>
          </cell>
          <cell r="L413">
            <v>5.9104000000000001</v>
          </cell>
          <cell r="M413">
            <v>4.3956999999999997</v>
          </cell>
          <cell r="N413">
            <v>5.1474000000000002</v>
          </cell>
          <cell r="O413">
            <v>5.9104000000000001</v>
          </cell>
          <cell r="P413">
            <v>4.3956999999999997</v>
          </cell>
          <cell r="Q413">
            <v>6.5519999999999996</v>
          </cell>
          <cell r="R413">
            <v>5.8019999999999996</v>
          </cell>
          <cell r="S413">
            <v>4.1896000000000004</v>
          </cell>
          <cell r="T413">
            <v>4.1896000000000004</v>
          </cell>
          <cell r="U413">
            <v>5.1577999999999999</v>
          </cell>
          <cell r="V413">
            <v>5.0058999999999996</v>
          </cell>
          <cell r="W413">
            <v>1.0507</v>
          </cell>
          <cell r="X413">
            <v>0.88700000000000001</v>
          </cell>
          <cell r="Y413">
            <v>0.52769999999999995</v>
          </cell>
          <cell r="Z413" t="e">
            <v>#N/A</v>
          </cell>
          <cell r="AA413">
            <v>3.8477999999999999</v>
          </cell>
          <cell r="AB413">
            <v>4.1612</v>
          </cell>
          <cell r="AC413">
            <v>3.5325000000000002</v>
          </cell>
          <cell r="AD413">
            <v>2.9994839999999998</v>
          </cell>
          <cell r="AE413">
            <v>2.9994839999999998</v>
          </cell>
          <cell r="AF413">
            <v>5.1577999999999999</v>
          </cell>
          <cell r="AG413">
            <v>-1.7628999999999999</v>
          </cell>
          <cell r="AH413">
            <v>7.1551999999999998</v>
          </cell>
          <cell r="AK413">
            <v>0.36</v>
          </cell>
          <cell r="AL413">
            <v>7.0000000000000007E-2</v>
          </cell>
          <cell r="AM413">
            <v>7.0000000000000007E-2</v>
          </cell>
          <cell r="AN413">
            <v>0.27</v>
          </cell>
          <cell r="AP413">
            <v>0.19</v>
          </cell>
          <cell r="AQ413">
            <v>0.04</v>
          </cell>
          <cell r="AR413">
            <v>1</v>
          </cell>
          <cell r="AS413">
            <v>3.297339</v>
          </cell>
          <cell r="AT413">
            <v>3.1371490000000004</v>
          </cell>
          <cell r="AU413">
            <v>0.30399999999999999</v>
          </cell>
          <cell r="AV413">
            <v>7.0000000000000007E-2</v>
          </cell>
          <cell r="AX413">
            <v>7.0000000000000007E-2</v>
          </cell>
          <cell r="AZ413">
            <v>0.156</v>
          </cell>
          <cell r="BA413">
            <v>1.7999999999999999E-2</v>
          </cell>
          <cell r="BB413">
            <v>0.24199999999999999</v>
          </cell>
          <cell r="BC413">
            <v>0.04</v>
          </cell>
          <cell r="BD413">
            <v>0.1</v>
          </cell>
          <cell r="BE413">
            <v>1</v>
          </cell>
          <cell r="BF413">
            <v>3.2736448</v>
          </cell>
        </row>
        <row r="414">
          <cell r="A414">
            <v>40117</v>
          </cell>
          <cell r="B414">
            <v>-1.86</v>
          </cell>
          <cell r="C414">
            <v>-0.24</v>
          </cell>
          <cell r="D414">
            <v>-3.62</v>
          </cell>
          <cell r="E414">
            <v>-4.54</v>
          </cell>
          <cell r="F414">
            <v>-3.41</v>
          </cell>
          <cell r="G414">
            <v>-5.65</v>
          </cell>
          <cell r="H414">
            <v>-6.79</v>
          </cell>
          <cell r="I414">
            <v>-6.95</v>
          </cell>
          <cell r="J414">
            <v>-6.64</v>
          </cell>
          <cell r="K414">
            <v>-5.69</v>
          </cell>
          <cell r="L414">
            <v>-5.07</v>
          </cell>
          <cell r="M414">
            <v>-6.32</v>
          </cell>
          <cell r="N414">
            <v>-5.69</v>
          </cell>
          <cell r="O414">
            <v>-5.07</v>
          </cell>
          <cell r="P414">
            <v>-6.32</v>
          </cell>
          <cell r="Q414">
            <v>-5.5</v>
          </cell>
          <cell r="R414">
            <v>-5.79</v>
          </cell>
          <cell r="S414">
            <v>-2.57</v>
          </cell>
          <cell r="T414">
            <v>-2.57</v>
          </cell>
          <cell r="U414">
            <v>-1.23</v>
          </cell>
          <cell r="V414">
            <v>-1.77</v>
          </cell>
          <cell r="W414">
            <v>0.49</v>
          </cell>
          <cell r="X414">
            <v>0.44</v>
          </cell>
          <cell r="Y414">
            <v>0.44</v>
          </cell>
          <cell r="Z414" t="e">
            <v>#N/A</v>
          </cell>
          <cell r="AA414">
            <v>-1.24</v>
          </cell>
          <cell r="AC414">
            <v>-2.3199999999999998</v>
          </cell>
          <cell r="AD414">
            <v>-1.1028</v>
          </cell>
          <cell r="AE414">
            <v>-1.1028</v>
          </cell>
          <cell r="AF414">
            <v>-1.23</v>
          </cell>
          <cell r="AG414">
            <v>-5.2</v>
          </cell>
          <cell r="AH414">
            <v>-4.8600000000000003</v>
          </cell>
          <cell r="AI414">
            <v>1.8</v>
          </cell>
          <cell r="AK414">
            <v>0.36</v>
          </cell>
          <cell r="AL414">
            <v>7.0000000000000007E-2</v>
          </cell>
          <cell r="AM414">
            <v>7.0000000000000007E-2</v>
          </cell>
          <cell r="AN414">
            <v>0.27</v>
          </cell>
          <cell r="AP414">
            <v>0.19</v>
          </cell>
          <cell r="AQ414">
            <v>0.04</v>
          </cell>
          <cell r="AR414">
            <v>1</v>
          </cell>
          <cell r="AS414">
            <v>-1.6951000000000001</v>
          </cell>
          <cell r="AT414">
            <v>-1.5801000000000001</v>
          </cell>
          <cell r="AU414">
            <v>0.30399999999999999</v>
          </cell>
          <cell r="AV414">
            <v>7.0000000000000007E-2</v>
          </cell>
          <cell r="AX414">
            <v>7.0000000000000007E-2</v>
          </cell>
          <cell r="AZ414">
            <v>0.156</v>
          </cell>
          <cell r="BA414">
            <v>1.7999999999999999E-2</v>
          </cell>
          <cell r="BB414">
            <v>0.24199999999999999</v>
          </cell>
          <cell r="BC414">
            <v>0.04</v>
          </cell>
          <cell r="BD414">
            <v>0.1</v>
          </cell>
          <cell r="BE414">
            <v>1</v>
          </cell>
          <cell r="BF414">
            <v>-1.7049800000000002</v>
          </cell>
        </row>
        <row r="415">
          <cell r="A415">
            <v>40147</v>
          </cell>
          <cell r="B415">
            <v>5.9980000000000002</v>
          </cell>
          <cell r="C415">
            <v>5.7679999999999998</v>
          </cell>
          <cell r="D415">
            <v>6.26</v>
          </cell>
          <cell r="E415">
            <v>4.0519999999999996</v>
          </cell>
          <cell r="F415">
            <v>3.6259999999999999</v>
          </cell>
          <cell r="G415">
            <v>4.47</v>
          </cell>
          <cell r="H415">
            <v>3.1389999999999998</v>
          </cell>
          <cell r="I415">
            <v>3.0939999999999999</v>
          </cell>
          <cell r="J415">
            <v>3.1819999999999999</v>
          </cell>
          <cell r="K415">
            <v>2.6070000000000002</v>
          </cell>
          <cell r="L415">
            <v>2.6070000000000002</v>
          </cell>
          <cell r="M415">
            <v>3.1040000000000001</v>
          </cell>
          <cell r="N415">
            <v>2.6070000000000002</v>
          </cell>
          <cell r="O415">
            <v>2.6070000000000002</v>
          </cell>
          <cell r="P415">
            <v>3.1040000000000001</v>
          </cell>
          <cell r="Q415">
            <v>3.71</v>
          </cell>
          <cell r="R415">
            <v>4.0330000000000004</v>
          </cell>
          <cell r="S415">
            <v>5.6820000000000004</v>
          </cell>
          <cell r="T415">
            <v>5.6820000000000004</v>
          </cell>
          <cell r="U415">
            <v>4.157</v>
          </cell>
          <cell r="V415">
            <v>1.2999999999999999E-2</v>
          </cell>
          <cell r="W415">
            <v>1.294</v>
          </cell>
          <cell r="X415">
            <v>1.222</v>
          </cell>
          <cell r="Y415">
            <v>1.3420000000000001</v>
          </cell>
          <cell r="Z415" t="e">
            <v>#N/A</v>
          </cell>
          <cell r="AA415">
            <v>2.0019999999999998</v>
          </cell>
          <cell r="AC415">
            <v>1.764</v>
          </cell>
          <cell r="AD415">
            <v>4.0415200000000002</v>
          </cell>
          <cell r="AE415">
            <v>4.0415200000000002</v>
          </cell>
          <cell r="AF415">
            <v>4.157</v>
          </cell>
          <cell r="AG415">
            <v>-5.2</v>
          </cell>
          <cell r="AH415">
            <v>6.91</v>
          </cell>
          <cell r="AI415">
            <v>1.01</v>
          </cell>
          <cell r="AK415">
            <v>0.36</v>
          </cell>
          <cell r="AL415">
            <v>7.0000000000000007E-2</v>
          </cell>
          <cell r="AM415">
            <v>7.0000000000000007E-2</v>
          </cell>
          <cell r="AN415">
            <v>0.27</v>
          </cell>
          <cell r="AP415">
            <v>0.19</v>
          </cell>
          <cell r="AQ415">
            <v>0.04</v>
          </cell>
          <cell r="AR415">
            <v>1</v>
          </cell>
          <cell r="AS415">
            <v>3.5566199999999997</v>
          </cell>
          <cell r="AT415">
            <v>3.3238200000000004</v>
          </cell>
          <cell r="AU415">
            <v>0.30399999999999999</v>
          </cell>
          <cell r="AV415">
            <v>7.0000000000000007E-2</v>
          </cell>
          <cell r="AX415">
            <v>7.0000000000000007E-2</v>
          </cell>
          <cell r="AZ415">
            <v>0.156</v>
          </cell>
          <cell r="BA415">
            <v>1.7999999999999999E-2</v>
          </cell>
          <cell r="BB415">
            <v>0.24199999999999999</v>
          </cell>
          <cell r="BC415">
            <v>0.04</v>
          </cell>
          <cell r="BD415">
            <v>0.1</v>
          </cell>
          <cell r="BE415">
            <v>1</v>
          </cell>
          <cell r="BF415">
            <v>3.4475480000000003</v>
          </cell>
        </row>
        <row r="416">
          <cell r="A416">
            <v>40178</v>
          </cell>
          <cell r="B416">
            <v>1.9315100000000001</v>
          </cell>
          <cell r="C416">
            <v>2.1268199999999999</v>
          </cell>
          <cell r="D416">
            <v>1.7642</v>
          </cell>
          <cell r="E416">
            <v>6.2750700000000004</v>
          </cell>
          <cell r="F416">
            <v>5.5357200000000004</v>
          </cell>
          <cell r="G416">
            <v>6.9892200000000004</v>
          </cell>
          <cell r="H416">
            <v>8.04941</v>
          </cell>
          <cell r="I416">
            <v>8.5572199999999992</v>
          </cell>
          <cell r="J416">
            <v>7.5740600000000002</v>
          </cell>
          <cell r="K416">
            <v>8.6332100000000001</v>
          </cell>
          <cell r="L416">
            <v>9.1441599999999994</v>
          </cell>
          <cell r="M416">
            <v>8.1142800000000008</v>
          </cell>
          <cell r="N416">
            <v>8.6332100000000001</v>
          </cell>
          <cell r="O416">
            <v>9.1441599999999994</v>
          </cell>
          <cell r="P416">
            <v>8.1142800000000008</v>
          </cell>
          <cell r="Q416">
            <v>7.71251</v>
          </cell>
          <cell r="R416">
            <v>7.21028</v>
          </cell>
          <cell r="S416">
            <v>2.8497300000000001</v>
          </cell>
          <cell r="T416">
            <v>2.8497300000000001</v>
          </cell>
          <cell r="U416">
            <v>2.1277400000000002</v>
          </cell>
          <cell r="V416">
            <v>0.76</v>
          </cell>
          <cell r="W416">
            <v>-1.56351</v>
          </cell>
          <cell r="X416">
            <v>-1.52</v>
          </cell>
          <cell r="Y416">
            <v>-1.4588099999999999</v>
          </cell>
          <cell r="Z416" t="e">
            <v>#N/A</v>
          </cell>
          <cell r="AA416">
            <v>1.4402699999999999</v>
          </cell>
          <cell r="AC416">
            <v>0.91237000000000001</v>
          </cell>
          <cell r="AD416">
            <v>0.87430600000000003</v>
          </cell>
          <cell r="AE416">
            <v>0.87430600000000003</v>
          </cell>
          <cell r="AF416">
            <v>2.1277400000000002</v>
          </cell>
          <cell r="AG416">
            <v>-5.2</v>
          </cell>
          <cell r="AH416">
            <v>6.93</v>
          </cell>
          <cell r="AI416">
            <v>3.28</v>
          </cell>
          <cell r="AK416">
            <v>0.36</v>
          </cell>
          <cell r="AL416">
            <v>7.0000000000000007E-2</v>
          </cell>
          <cell r="AM416">
            <v>7.0000000000000007E-2</v>
          </cell>
          <cell r="AN416">
            <v>0.27</v>
          </cell>
          <cell r="AP416">
            <v>0.19</v>
          </cell>
          <cell r="AQ416">
            <v>0.04</v>
          </cell>
          <cell r="AR416">
            <v>1</v>
          </cell>
          <cell r="AS416">
            <v>1.5130461000000002</v>
          </cell>
          <cell r="AT416">
            <v>1.3435301000000002</v>
          </cell>
          <cell r="AU416">
            <v>0.30399999999999999</v>
          </cell>
          <cell r="AV416">
            <v>7.0000000000000007E-2</v>
          </cell>
          <cell r="AX416">
            <v>7.0000000000000007E-2</v>
          </cell>
          <cell r="AZ416">
            <v>0.156</v>
          </cell>
          <cell r="BA416">
            <v>1.7999999999999999E-2</v>
          </cell>
          <cell r="BB416">
            <v>0.24199999999999999</v>
          </cell>
          <cell r="BC416">
            <v>0.04</v>
          </cell>
          <cell r="BD416">
            <v>0.1</v>
          </cell>
          <cell r="BE416">
            <v>1</v>
          </cell>
          <cell r="BF416">
            <v>1.4774272600000002</v>
          </cell>
        </row>
        <row r="417">
          <cell r="A417">
            <v>40209</v>
          </cell>
          <cell r="AI417">
            <v>1.27</v>
          </cell>
        </row>
        <row r="418">
          <cell r="A418">
            <v>40237</v>
          </cell>
          <cell r="AI418">
            <v>0.17</v>
          </cell>
        </row>
        <row r="419">
          <cell r="A419">
            <v>40268</v>
          </cell>
          <cell r="AI419">
            <v>3.13</v>
          </cell>
        </row>
        <row r="420">
          <cell r="A420">
            <v>40298</v>
          </cell>
          <cell r="AI420">
            <v>2.34</v>
          </cell>
        </row>
        <row r="421">
          <cell r="A421">
            <v>40329</v>
          </cell>
        </row>
        <row r="422">
          <cell r="A422">
            <v>40359</v>
          </cell>
        </row>
        <row r="423">
          <cell r="A423">
            <v>40390</v>
          </cell>
        </row>
        <row r="424">
          <cell r="A424">
            <v>40421</v>
          </cell>
        </row>
        <row r="425">
          <cell r="A425">
            <v>40451</v>
          </cell>
        </row>
        <row r="426">
          <cell r="A426">
            <v>40482</v>
          </cell>
        </row>
        <row r="427">
          <cell r="A427">
            <v>40512</v>
          </cell>
        </row>
        <row r="428">
          <cell r="A428">
            <v>40543</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9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9.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autoPageBreaks="0"/>
  </sheetPr>
  <dimension ref="A1:C64"/>
  <sheetViews>
    <sheetView workbookViewId="0"/>
  </sheetViews>
  <sheetFormatPr defaultRowHeight="12.75" x14ac:dyDescent="0.2"/>
  <cols>
    <col min="1" max="1" width="16.7109375" customWidth="1"/>
    <col min="2" max="2" width="26.85546875" customWidth="1"/>
    <col min="3" max="3" width="10.7109375" customWidth="1"/>
  </cols>
  <sheetData>
    <row r="1" spans="1:3" x14ac:dyDescent="0.2">
      <c r="A1" s="67" t="str">
        <f>IF(B5=TRUE,"(Final)","(Preliminary)")</f>
        <v>(Preliminary)</v>
      </c>
      <c r="B1" s="64"/>
    </row>
    <row r="2" spans="1:3" x14ac:dyDescent="0.2">
      <c r="A2" s="64"/>
      <c r="B2" s="64"/>
    </row>
    <row r="3" spans="1:3" x14ac:dyDescent="0.2">
      <c r="A3" s="64"/>
      <c r="B3" s="64"/>
    </row>
    <row r="4" spans="1:3" x14ac:dyDescent="0.2">
      <c r="A4" s="64"/>
      <c r="B4" s="64"/>
    </row>
    <row r="5" spans="1:3" x14ac:dyDescent="0.2">
      <c r="A5" s="64"/>
      <c r="B5" s="64" t="b">
        <v>0</v>
      </c>
    </row>
    <row r="6" spans="1:3" x14ac:dyDescent="0.2">
      <c r="A6" s="64"/>
      <c r="B6" s="64"/>
    </row>
    <row r="7" spans="1:3" x14ac:dyDescent="0.2">
      <c r="A7" s="64"/>
      <c r="B7" s="64"/>
    </row>
    <row r="8" spans="1:3" x14ac:dyDescent="0.2">
      <c r="A8" s="64"/>
      <c r="B8" s="64"/>
    </row>
    <row r="9" spans="1:3" x14ac:dyDescent="0.2">
      <c r="A9" s="64"/>
      <c r="B9" s="64"/>
    </row>
    <row r="10" spans="1:3" x14ac:dyDescent="0.2">
      <c r="A10" s="64"/>
      <c r="B10" s="66"/>
      <c r="C10" s="65">
        <v>41882</v>
      </c>
    </row>
    <row r="11" spans="1:3" x14ac:dyDescent="0.2">
      <c r="A11" s="64"/>
      <c r="B11" s="64"/>
    </row>
    <row r="12" spans="1:3" x14ac:dyDescent="0.2">
      <c r="A12" s="64"/>
      <c r="B12" s="64"/>
    </row>
    <row r="13" spans="1:3" x14ac:dyDescent="0.2">
      <c r="A13" s="64"/>
      <c r="B13" s="64"/>
    </row>
    <row r="14" spans="1:3" x14ac:dyDescent="0.2">
      <c r="A14" s="64"/>
      <c r="B14" s="64"/>
    </row>
    <row r="15" spans="1:3" x14ac:dyDescent="0.2">
      <c r="A15" s="64"/>
      <c r="B15" s="64"/>
    </row>
    <row r="16" spans="1:3" x14ac:dyDescent="0.2">
      <c r="A16" s="64"/>
      <c r="B16" s="64"/>
    </row>
    <row r="17" spans="1:2" x14ac:dyDescent="0.2">
      <c r="A17" s="64"/>
      <c r="B17" s="64"/>
    </row>
    <row r="18" spans="1:2" x14ac:dyDescent="0.2">
      <c r="A18" s="64"/>
      <c r="B18" s="64"/>
    </row>
    <row r="19" spans="1:2" x14ac:dyDescent="0.2">
      <c r="A19" s="64"/>
      <c r="B19" s="64"/>
    </row>
    <row r="20" spans="1:2" x14ac:dyDescent="0.2">
      <c r="A20" s="64"/>
      <c r="B20" s="64"/>
    </row>
    <row r="21" spans="1:2" x14ac:dyDescent="0.2">
      <c r="A21" s="64"/>
      <c r="B21" s="64"/>
    </row>
    <row r="22" spans="1:2" x14ac:dyDescent="0.2">
      <c r="A22" s="64"/>
      <c r="B22" s="64"/>
    </row>
    <row r="23" spans="1:2" x14ac:dyDescent="0.2">
      <c r="A23" s="64"/>
      <c r="B23" s="64"/>
    </row>
    <row r="24" spans="1:2" x14ac:dyDescent="0.2">
      <c r="A24" s="64"/>
      <c r="B24" s="64"/>
    </row>
    <row r="25" spans="1:2" x14ac:dyDescent="0.2">
      <c r="A25" s="64"/>
      <c r="B25" s="64"/>
    </row>
    <row r="26" spans="1:2" x14ac:dyDescent="0.2">
      <c r="A26" s="64"/>
      <c r="B26" s="64"/>
    </row>
    <row r="27" spans="1:2" x14ac:dyDescent="0.2">
      <c r="A27" s="64"/>
      <c r="B27" s="64"/>
    </row>
    <row r="28" spans="1:2" x14ac:dyDescent="0.2">
      <c r="A28" s="64"/>
      <c r="B28" s="64"/>
    </row>
    <row r="29" spans="1:2" x14ac:dyDescent="0.2">
      <c r="A29" s="64"/>
      <c r="B29" s="64"/>
    </row>
    <row r="30" spans="1:2" x14ac:dyDescent="0.2">
      <c r="A30" s="64"/>
      <c r="B30" s="64"/>
    </row>
    <row r="31" spans="1:2" x14ac:dyDescent="0.2">
      <c r="A31" s="64"/>
      <c r="B31" s="64"/>
    </row>
    <row r="32" spans="1:2" x14ac:dyDescent="0.2">
      <c r="A32" s="64"/>
      <c r="B32" s="64"/>
    </row>
    <row r="33" spans="1:2" x14ac:dyDescent="0.2">
      <c r="A33" s="64"/>
      <c r="B33" s="64"/>
    </row>
    <row r="34" spans="1:2" x14ac:dyDescent="0.2">
      <c r="A34" s="64"/>
      <c r="B34" s="64"/>
    </row>
    <row r="35" spans="1:2" x14ac:dyDescent="0.2">
      <c r="A35" s="64"/>
      <c r="B35" s="64"/>
    </row>
    <row r="36" spans="1:2" x14ac:dyDescent="0.2">
      <c r="A36" s="64"/>
      <c r="B36" s="64"/>
    </row>
    <row r="37" spans="1:2" x14ac:dyDescent="0.2">
      <c r="A37" s="64"/>
      <c r="B37" s="64"/>
    </row>
    <row r="38" spans="1:2" x14ac:dyDescent="0.2">
      <c r="A38" s="64"/>
      <c r="B38" s="64"/>
    </row>
    <row r="39" spans="1:2" x14ac:dyDescent="0.2">
      <c r="A39" s="64"/>
      <c r="B39" s="64"/>
    </row>
    <row r="40" spans="1:2" x14ac:dyDescent="0.2">
      <c r="A40" s="64"/>
      <c r="B40" s="64"/>
    </row>
    <row r="41" spans="1:2" x14ac:dyDescent="0.2">
      <c r="A41" s="64"/>
      <c r="B41" s="64"/>
    </row>
    <row r="42" spans="1:2" x14ac:dyDescent="0.2">
      <c r="A42" s="64"/>
      <c r="B42" s="64"/>
    </row>
    <row r="43" spans="1:2" x14ac:dyDescent="0.2">
      <c r="A43" s="64"/>
      <c r="B43" s="64"/>
    </row>
    <row r="44" spans="1:2" x14ac:dyDescent="0.2">
      <c r="A44" s="64"/>
      <c r="B44" s="64"/>
    </row>
    <row r="45" spans="1:2" x14ac:dyDescent="0.2">
      <c r="A45" s="64"/>
      <c r="B45" s="64"/>
    </row>
    <row r="46" spans="1:2" x14ac:dyDescent="0.2">
      <c r="A46" s="64"/>
      <c r="B46" s="64"/>
    </row>
    <row r="47" spans="1:2" x14ac:dyDescent="0.2">
      <c r="A47" s="64"/>
      <c r="B47" s="64"/>
    </row>
    <row r="48" spans="1:2" x14ac:dyDescent="0.2">
      <c r="A48" s="64"/>
      <c r="B48" s="64"/>
    </row>
    <row r="49" spans="1:2" x14ac:dyDescent="0.2">
      <c r="A49" s="64"/>
      <c r="B49" s="64"/>
    </row>
    <row r="50" spans="1:2" x14ac:dyDescent="0.2">
      <c r="A50" s="64"/>
      <c r="B50" s="64"/>
    </row>
    <row r="51" spans="1:2" x14ac:dyDescent="0.2">
      <c r="A51" s="64"/>
      <c r="B51" s="64"/>
    </row>
    <row r="52" spans="1:2" x14ac:dyDescent="0.2">
      <c r="A52" s="64"/>
      <c r="B52" s="64"/>
    </row>
    <row r="53" spans="1:2" x14ac:dyDescent="0.2">
      <c r="A53" s="64"/>
      <c r="B53" s="64"/>
    </row>
    <row r="54" spans="1:2" x14ac:dyDescent="0.2">
      <c r="A54" s="64"/>
      <c r="B54" s="64"/>
    </row>
    <row r="55" spans="1:2" x14ac:dyDescent="0.2">
      <c r="A55" s="64"/>
      <c r="B55" s="64"/>
    </row>
    <row r="56" spans="1:2" x14ac:dyDescent="0.2">
      <c r="A56" s="64"/>
      <c r="B56" s="64"/>
    </row>
    <row r="57" spans="1:2" x14ac:dyDescent="0.2">
      <c r="A57" s="64"/>
      <c r="B57" s="64"/>
    </row>
    <row r="58" spans="1:2" x14ac:dyDescent="0.2">
      <c r="A58" s="64"/>
      <c r="B58" s="64"/>
    </row>
    <row r="59" spans="1:2" x14ac:dyDescent="0.2">
      <c r="A59" s="64"/>
      <c r="B59" s="64"/>
    </row>
    <row r="60" spans="1:2" x14ac:dyDescent="0.2">
      <c r="A60" s="64"/>
      <c r="B60" s="64"/>
    </row>
    <row r="61" spans="1:2" x14ac:dyDescent="0.2">
      <c r="A61" s="64"/>
      <c r="B61" s="64"/>
    </row>
    <row r="62" spans="1:2" x14ac:dyDescent="0.2">
      <c r="A62" s="64"/>
      <c r="B62" s="64"/>
    </row>
    <row r="63" spans="1:2" x14ac:dyDescent="0.2">
      <c r="A63" s="64"/>
      <c r="B63" s="64"/>
    </row>
    <row r="64" spans="1:2" x14ac:dyDescent="0.2">
      <c r="A64" s="64"/>
      <c r="B64" s="64"/>
    </row>
  </sheetData>
  <phoneticPr fontId="3"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_Utility">
                <anchor moveWithCells="1" sizeWithCells="1">
                  <from>
                    <xdr:col>1</xdr:col>
                    <xdr:colOff>485775</xdr:colOff>
                    <xdr:row>2</xdr:row>
                    <xdr:rowOff>133350</xdr:rowOff>
                  </from>
                  <to>
                    <xdr:col>2</xdr:col>
                    <xdr:colOff>571500</xdr:colOff>
                    <xdr:row>7</xdr:row>
                    <xdr:rowOff>66675</xdr:rowOff>
                  </to>
                </anchor>
              </controlPr>
            </control>
          </mc:Choice>
        </mc:AlternateContent>
        <mc:AlternateContent xmlns:mc="http://schemas.openxmlformats.org/markup-compatibility/2006">
          <mc:Choice Requires="x14">
            <control shapeId="1026" r:id="rId5" name="Button 2">
              <controlPr defaultSize="0" print="0" autoFill="0" autoPict="0" macro="[0]!Transfer_Utility">
                <anchor moveWithCells="1" sizeWithCells="1">
                  <from>
                    <xdr:col>3</xdr:col>
                    <xdr:colOff>342900</xdr:colOff>
                    <xdr:row>2</xdr:row>
                    <xdr:rowOff>142875</xdr:rowOff>
                  </from>
                  <to>
                    <xdr:col>6</xdr:col>
                    <xdr:colOff>390525</xdr:colOff>
                    <xdr:row>7</xdr:row>
                    <xdr:rowOff>76200</xdr:rowOff>
                  </to>
                </anchor>
              </controlPr>
            </control>
          </mc:Choice>
        </mc:AlternateContent>
        <mc:AlternateContent xmlns:mc="http://schemas.openxmlformats.org/markup-compatibility/2006">
          <mc:Choice Requires="x14">
            <control shapeId="1030" r:id="rId6" name="Check Box 6">
              <controlPr defaultSize="0" autoFill="0" autoLine="0" autoPict="0">
                <anchor moveWithCells="1">
                  <from>
                    <xdr:col>5</xdr:col>
                    <xdr:colOff>314325</xdr:colOff>
                    <xdr:row>9</xdr:row>
                    <xdr:rowOff>19050</xdr:rowOff>
                  </from>
                  <to>
                    <xdr:col>6</xdr:col>
                    <xdr:colOff>266700</xdr:colOff>
                    <xdr:row>11</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H125"/>
  <sheetViews>
    <sheetView tabSelected="1" topLeftCell="A38" zoomScale="90" zoomScaleNormal="90" zoomScaleSheetLayoutView="90" workbookViewId="0">
      <selection activeCell="G63" sqref="G63"/>
    </sheetView>
  </sheetViews>
  <sheetFormatPr defaultRowHeight="12.75" outlineLevelCol="1" x14ac:dyDescent="0.2"/>
  <cols>
    <col min="1" max="1" width="11.5703125" customWidth="1"/>
    <col min="2" max="2" width="47.5703125" bestFit="1" customWidth="1"/>
    <col min="3" max="3" width="16.140625" hidden="1" customWidth="1" outlineLevel="1"/>
    <col min="4" max="4" width="19.140625" hidden="1" customWidth="1" outlineLevel="1"/>
    <col min="5" max="5" width="15.140625" hidden="1" customWidth="1" outlineLevel="1"/>
    <col min="6" max="6" width="20.42578125" bestFit="1" customWidth="1" collapsed="1"/>
    <col min="7" max="7" width="11.140625" customWidth="1"/>
    <col min="8" max="8" width="10" bestFit="1" customWidth="1"/>
  </cols>
  <sheetData>
    <row r="1" spans="1:7" x14ac:dyDescent="0.2">
      <c r="A1" t="s">
        <v>616</v>
      </c>
    </row>
    <row r="2" spans="1:7" x14ac:dyDescent="0.2">
      <c r="A2" t="s">
        <v>954</v>
      </c>
    </row>
    <row r="3" spans="1:7" x14ac:dyDescent="0.2">
      <c r="A3" s="1459" t="s">
        <v>617</v>
      </c>
      <c r="B3" s="1459" t="s">
        <v>618</v>
      </c>
      <c r="C3" s="1459" t="s">
        <v>619</v>
      </c>
      <c r="D3" s="1459" t="s">
        <v>106</v>
      </c>
      <c r="E3" s="1459" t="s">
        <v>620</v>
      </c>
      <c r="F3" s="1459" t="s">
        <v>621</v>
      </c>
      <c r="G3" s="1459" t="s">
        <v>622</v>
      </c>
    </row>
    <row r="4" spans="1:7" x14ac:dyDescent="0.2">
      <c r="A4" s="1284" t="str">
        <f>"A1P1"</f>
        <v>A1P1</v>
      </c>
      <c r="B4" s="1284" t="s">
        <v>833</v>
      </c>
      <c r="C4" s="1284" t="s">
        <v>664</v>
      </c>
      <c r="D4" s="1285">
        <v>41882</v>
      </c>
      <c r="E4" s="1284" t="s">
        <v>662</v>
      </c>
      <c r="F4" s="1287">
        <v>10162185.050000001</v>
      </c>
      <c r="G4" s="1286">
        <v>0.42843999999999999</v>
      </c>
    </row>
    <row r="5" spans="1:7" x14ac:dyDescent="0.2">
      <c r="A5" s="1284" t="str">
        <f>"A1P4"</f>
        <v>A1P4</v>
      </c>
      <c r="B5" s="1284" t="s">
        <v>835</v>
      </c>
      <c r="C5" s="1284" t="s">
        <v>664</v>
      </c>
      <c r="D5" s="1285">
        <v>41882</v>
      </c>
      <c r="E5" s="1284" t="s">
        <v>662</v>
      </c>
      <c r="F5" s="1287">
        <v>353109992.95999998</v>
      </c>
      <c r="G5" s="1286">
        <v>1.2839499999999999</v>
      </c>
    </row>
    <row r="6" spans="1:7" x14ac:dyDescent="0.2">
      <c r="A6" s="1284" t="str">
        <f>"A1P5"</f>
        <v>A1P5</v>
      </c>
      <c r="B6" s="1284" t="s">
        <v>922</v>
      </c>
      <c r="C6" s="1284" t="s">
        <v>664</v>
      </c>
      <c r="D6" s="1285">
        <v>41882</v>
      </c>
      <c r="E6" s="1284" t="s">
        <v>662</v>
      </c>
      <c r="F6" s="1288">
        <v>0.02</v>
      </c>
      <c r="G6" s="1284" t="s">
        <v>643</v>
      </c>
    </row>
    <row r="7" spans="1:7" x14ac:dyDescent="0.2">
      <c r="A7" s="1284" t="str">
        <f>"A1P6"</f>
        <v>A1P6</v>
      </c>
      <c r="B7" s="1284" t="s">
        <v>838</v>
      </c>
      <c r="C7" s="1284" t="s">
        <v>664</v>
      </c>
      <c r="D7" s="1285">
        <v>41882</v>
      </c>
      <c r="E7" s="1284" t="s">
        <v>662</v>
      </c>
      <c r="F7" s="1287">
        <v>417894145.43000001</v>
      </c>
      <c r="G7" s="1286">
        <v>0.13059000000000001</v>
      </c>
    </row>
    <row r="8" spans="1:7" x14ac:dyDescent="0.2">
      <c r="A8" s="1284" t="str">
        <f>"A1PN"</f>
        <v>A1PN</v>
      </c>
      <c r="B8" s="1284" t="s">
        <v>895</v>
      </c>
      <c r="C8" s="1284" t="s">
        <v>664</v>
      </c>
      <c r="D8" s="1285">
        <v>41882</v>
      </c>
      <c r="E8" s="1284" t="s">
        <v>662</v>
      </c>
      <c r="F8" s="1287">
        <v>523611600.37</v>
      </c>
      <c r="G8" s="1286">
        <v>3.8207300000000002</v>
      </c>
    </row>
    <row r="9" spans="1:7" x14ac:dyDescent="0.2">
      <c r="A9" s="1284" t="str">
        <f>"A1PO"</f>
        <v>A1PO</v>
      </c>
      <c r="B9" s="1284" t="s">
        <v>853</v>
      </c>
      <c r="C9" s="1284" t="s">
        <v>664</v>
      </c>
      <c r="D9" s="1285">
        <v>41882</v>
      </c>
      <c r="E9" s="1284" t="s">
        <v>662</v>
      </c>
      <c r="F9" s="1287">
        <v>179383247.09</v>
      </c>
      <c r="G9" s="1286">
        <v>0.19122</v>
      </c>
    </row>
    <row r="10" spans="1:7" x14ac:dyDescent="0.2">
      <c r="A10" s="1284" t="str">
        <f>"A1QA"</f>
        <v>A1QA</v>
      </c>
      <c r="B10" s="1284" t="s">
        <v>685</v>
      </c>
      <c r="C10" s="1284" t="s">
        <v>664</v>
      </c>
      <c r="D10" s="1285">
        <v>41882</v>
      </c>
      <c r="E10" s="1284" t="s">
        <v>662</v>
      </c>
      <c r="F10" s="1287">
        <v>728364200.37</v>
      </c>
      <c r="G10" s="1286">
        <v>2.2248199999999998</v>
      </c>
    </row>
    <row r="11" spans="1:7" x14ac:dyDescent="0.2">
      <c r="A11" s="1284" t="str">
        <f>"A1QE"</f>
        <v>A1QE</v>
      </c>
      <c r="B11" s="1284" t="s">
        <v>687</v>
      </c>
      <c r="C11" s="1284" t="s">
        <v>664</v>
      </c>
      <c r="D11" s="1285">
        <v>41882</v>
      </c>
      <c r="E11" s="1284" t="s">
        <v>662</v>
      </c>
      <c r="F11" s="1287">
        <v>492564227.88999999</v>
      </c>
      <c r="G11" s="1286">
        <v>3.5437699999999999</v>
      </c>
    </row>
    <row r="12" spans="1:7" x14ac:dyDescent="0.2">
      <c r="A12" s="1284" t="str">
        <f>"A1QF"</f>
        <v>A1QF</v>
      </c>
      <c r="B12" s="1284" t="s">
        <v>699</v>
      </c>
      <c r="C12" s="1284" t="s">
        <v>664</v>
      </c>
      <c r="D12" s="1285">
        <v>41882</v>
      </c>
      <c r="E12" s="1284" t="s">
        <v>662</v>
      </c>
      <c r="F12" s="1287">
        <v>330312429.11000001</v>
      </c>
      <c r="G12" s="1286">
        <v>2.4500199999999999</v>
      </c>
    </row>
    <row r="13" spans="1:7" x14ac:dyDescent="0.2">
      <c r="A13" s="1284" t="str">
        <f>"A1QG"</f>
        <v>A1QG</v>
      </c>
      <c r="B13" s="1284" t="s">
        <v>700</v>
      </c>
      <c r="C13" s="1284" t="s">
        <v>664</v>
      </c>
      <c r="D13" s="1285">
        <v>41882</v>
      </c>
      <c r="E13" s="1284" t="s">
        <v>662</v>
      </c>
      <c r="F13" s="1287">
        <v>533407881.83999997</v>
      </c>
      <c r="G13" s="1286">
        <v>2.2015899999999999</v>
      </c>
    </row>
    <row r="14" spans="1:7" x14ac:dyDescent="0.2">
      <c r="A14" s="1284" t="str">
        <f>"A1QI"</f>
        <v>A1QI</v>
      </c>
      <c r="B14" s="1284" t="s">
        <v>705</v>
      </c>
      <c r="C14" s="1284" t="s">
        <v>664</v>
      </c>
      <c r="D14" s="1285">
        <v>41882</v>
      </c>
      <c r="E14" s="1284" t="s">
        <v>662</v>
      </c>
      <c r="F14" s="1287">
        <v>6874627.9299999997</v>
      </c>
      <c r="G14" s="1286">
        <v>-1.1520900000000001</v>
      </c>
    </row>
    <row r="15" spans="1:7" x14ac:dyDescent="0.2">
      <c r="A15" s="1284" t="str">
        <f>"A1QJ"</f>
        <v>A1QJ</v>
      </c>
      <c r="B15" s="1284" t="s">
        <v>706</v>
      </c>
      <c r="C15" s="1284" t="s">
        <v>664</v>
      </c>
      <c r="D15" s="1285">
        <v>41882</v>
      </c>
      <c r="E15" s="1284" t="s">
        <v>662</v>
      </c>
      <c r="F15" s="1287">
        <v>17094220.73</v>
      </c>
      <c r="G15" s="1286">
        <v>2.2086899999999998</v>
      </c>
    </row>
    <row r="16" spans="1:7" x14ac:dyDescent="0.2">
      <c r="A16" s="1284" t="str">
        <f>"A1QL"</f>
        <v>A1QL</v>
      </c>
      <c r="B16" s="1284" t="s">
        <v>707</v>
      </c>
      <c r="C16" s="1284" t="s">
        <v>664</v>
      </c>
      <c r="D16" s="1285">
        <v>41882</v>
      </c>
      <c r="E16" s="1284" t="s">
        <v>662</v>
      </c>
      <c r="F16" s="1287">
        <v>9371845.4900000002</v>
      </c>
      <c r="G16" s="1286">
        <v>-0.18174000000000001</v>
      </c>
    </row>
    <row r="17" spans="1:7" x14ac:dyDescent="0.2">
      <c r="A17" s="1284" t="str">
        <f>"A1QM"</f>
        <v>A1QM</v>
      </c>
      <c r="B17" s="1284" t="s">
        <v>708</v>
      </c>
      <c r="C17" s="1284" t="s">
        <v>664</v>
      </c>
      <c r="D17" s="1285">
        <v>41882</v>
      </c>
      <c r="E17" s="1284" t="s">
        <v>662</v>
      </c>
      <c r="F17" s="1287">
        <v>38786380.219999999</v>
      </c>
      <c r="G17" s="1286">
        <v>-0.17965999999999999</v>
      </c>
    </row>
    <row r="18" spans="1:7" x14ac:dyDescent="0.2">
      <c r="A18" s="1284" t="str">
        <f>"A1QN"</f>
        <v>A1QN</v>
      </c>
      <c r="B18" s="1284" t="s">
        <v>709</v>
      </c>
      <c r="C18" s="1284" t="s">
        <v>664</v>
      </c>
      <c r="D18" s="1285">
        <v>41882</v>
      </c>
      <c r="E18" s="1284" t="s">
        <v>662</v>
      </c>
      <c r="F18" s="1287">
        <v>17175862.100000001</v>
      </c>
      <c r="G18" s="1286">
        <v>4.9615900000000002</v>
      </c>
    </row>
    <row r="19" spans="1:7" x14ac:dyDescent="0.2">
      <c r="A19" s="1284" t="str">
        <f>"A1QO"</f>
        <v>A1QO</v>
      </c>
      <c r="B19" s="1284" t="s">
        <v>710</v>
      </c>
      <c r="C19" s="1284" t="s">
        <v>664</v>
      </c>
      <c r="D19" s="1285">
        <v>41882</v>
      </c>
      <c r="E19" s="1284" t="s">
        <v>662</v>
      </c>
      <c r="F19" s="1287">
        <v>100263351.64</v>
      </c>
      <c r="G19" s="1286">
        <v>4.0978899999999996</v>
      </c>
    </row>
    <row r="20" spans="1:7" x14ac:dyDescent="0.2">
      <c r="A20" s="1284" t="str">
        <f>"A1QP"</f>
        <v>A1QP</v>
      </c>
      <c r="B20" s="1284" t="s">
        <v>711</v>
      </c>
      <c r="C20" s="1284" t="s">
        <v>664</v>
      </c>
      <c r="D20" s="1285">
        <v>41882</v>
      </c>
      <c r="E20" s="1284" t="s">
        <v>662</v>
      </c>
      <c r="F20" s="1287">
        <v>18424339.34</v>
      </c>
      <c r="G20" s="1286">
        <v>1.82579</v>
      </c>
    </row>
    <row r="21" spans="1:7" x14ac:dyDescent="0.2">
      <c r="A21" s="1284" t="str">
        <f>"A1QR"</f>
        <v>A1QR</v>
      </c>
      <c r="B21" s="1284" t="s">
        <v>712</v>
      </c>
      <c r="C21" s="1284" t="s">
        <v>664</v>
      </c>
      <c r="D21" s="1285">
        <v>41882</v>
      </c>
      <c r="E21" s="1284" t="s">
        <v>662</v>
      </c>
      <c r="F21" s="1287">
        <v>31825713.710000001</v>
      </c>
      <c r="G21" s="1286">
        <v>1.07582</v>
      </c>
    </row>
    <row r="22" spans="1:7" x14ac:dyDescent="0.2">
      <c r="A22" s="1284" t="str">
        <f>"A1QV"</f>
        <v>A1QV</v>
      </c>
      <c r="B22" s="1284" t="s">
        <v>733</v>
      </c>
      <c r="C22" s="1284" t="s">
        <v>664</v>
      </c>
      <c r="D22" s="1285">
        <v>41882</v>
      </c>
      <c r="E22" s="1284" t="s">
        <v>662</v>
      </c>
      <c r="F22" s="1287">
        <v>832360.35</v>
      </c>
      <c r="G22" s="1284" t="s">
        <v>643</v>
      </c>
    </row>
    <row r="23" spans="1:7" x14ac:dyDescent="0.2">
      <c r="A23" s="1284" t="str">
        <f>"A1QW"</f>
        <v>A1QW</v>
      </c>
      <c r="B23" s="1284" t="s">
        <v>734</v>
      </c>
      <c r="C23" s="1284" t="s">
        <v>664</v>
      </c>
      <c r="D23" s="1285">
        <v>41882</v>
      </c>
      <c r="E23" s="1284" t="s">
        <v>662</v>
      </c>
      <c r="F23" s="1287">
        <v>466095.45</v>
      </c>
      <c r="G23" s="1284" t="s">
        <v>643</v>
      </c>
    </row>
    <row r="24" spans="1:7" x14ac:dyDescent="0.2">
      <c r="A24" s="1284" t="str">
        <f>"A1QX"</f>
        <v>A1QX</v>
      </c>
      <c r="B24" s="1284" t="s">
        <v>735</v>
      </c>
      <c r="C24" s="1284" t="s">
        <v>664</v>
      </c>
      <c r="D24" s="1285">
        <v>41882</v>
      </c>
      <c r="E24" s="1284" t="s">
        <v>662</v>
      </c>
      <c r="F24" s="1287">
        <v>408795582.81</v>
      </c>
      <c r="G24" s="1286">
        <v>0.71262000000000003</v>
      </c>
    </row>
    <row r="25" spans="1:7" x14ac:dyDescent="0.2">
      <c r="A25" s="1284" t="str">
        <f>"A1R5"</f>
        <v>A1R5</v>
      </c>
      <c r="B25" s="1284" t="s">
        <v>890</v>
      </c>
      <c r="C25" s="1284" t="s">
        <v>664</v>
      </c>
      <c r="D25" s="1285">
        <v>41882</v>
      </c>
      <c r="E25" s="1284" t="s">
        <v>662</v>
      </c>
      <c r="F25" s="1287">
        <v>331655613.83999997</v>
      </c>
      <c r="G25" s="1286">
        <v>1.63428</v>
      </c>
    </row>
    <row r="26" spans="1:7" x14ac:dyDescent="0.2">
      <c r="A26" s="1284" t="str">
        <f>"A1RG"</f>
        <v>A1RG</v>
      </c>
      <c r="B26" s="1284" t="s">
        <v>804</v>
      </c>
      <c r="C26" s="1284" t="s">
        <v>664</v>
      </c>
      <c r="D26" s="1285">
        <v>41882</v>
      </c>
      <c r="E26" s="1284" t="s">
        <v>662</v>
      </c>
      <c r="F26" s="1287">
        <v>616793246.69000006</v>
      </c>
      <c r="G26" s="1286">
        <v>2.3191199999999998</v>
      </c>
    </row>
    <row r="27" spans="1:7" x14ac:dyDescent="0.2">
      <c r="A27" s="1284" t="str">
        <f>"A1RV"</f>
        <v>A1RV</v>
      </c>
      <c r="B27" s="1284" t="s">
        <v>816</v>
      </c>
      <c r="C27" s="1284" t="s">
        <v>664</v>
      </c>
      <c r="D27" s="1285">
        <v>41882</v>
      </c>
      <c r="E27" s="1284" t="s">
        <v>662</v>
      </c>
      <c r="F27" s="1287">
        <v>784656339.17999995</v>
      </c>
      <c r="G27" s="1286">
        <v>3.80457</v>
      </c>
    </row>
    <row r="28" spans="1:7" x14ac:dyDescent="0.2">
      <c r="A28" s="1284" t="str">
        <f>"A1RW"</f>
        <v>A1RW</v>
      </c>
      <c r="B28" s="1284" t="s">
        <v>818</v>
      </c>
      <c r="C28" s="1284" t="s">
        <v>664</v>
      </c>
      <c r="D28" s="1285">
        <v>41882</v>
      </c>
      <c r="E28" s="1284" t="s">
        <v>662</v>
      </c>
      <c r="F28" s="1287">
        <v>507975596.14999998</v>
      </c>
      <c r="G28" s="1286">
        <v>4.0690299999999997</v>
      </c>
    </row>
    <row r="29" spans="1:7" x14ac:dyDescent="0.2">
      <c r="A29" s="1284" t="str">
        <f>"A1SA"</f>
        <v>A1SA</v>
      </c>
      <c r="B29" s="1284" t="s">
        <v>663</v>
      </c>
      <c r="C29" s="1284" t="s">
        <v>664</v>
      </c>
      <c r="D29" s="1285">
        <v>41882</v>
      </c>
      <c r="E29" s="1284" t="s">
        <v>662</v>
      </c>
      <c r="F29" s="1287">
        <v>1945.9</v>
      </c>
      <c r="G29" s="1284" t="s">
        <v>643</v>
      </c>
    </row>
    <row r="30" spans="1:7" x14ac:dyDescent="0.2">
      <c r="A30" s="1284" t="str">
        <f>"A1SD"</f>
        <v>A1SD</v>
      </c>
      <c r="B30" s="1284" t="s">
        <v>931</v>
      </c>
      <c r="C30" s="1284" t="s">
        <v>664</v>
      </c>
      <c r="D30" s="1285">
        <v>41882</v>
      </c>
      <c r="E30" s="1284" t="s">
        <v>662</v>
      </c>
      <c r="F30" s="1288">
        <v>0.01</v>
      </c>
      <c r="G30" s="1284" t="s">
        <v>643</v>
      </c>
    </row>
    <row r="31" spans="1:7" x14ac:dyDescent="0.2">
      <c r="A31" s="1284" t="str">
        <f>"A1SU"</f>
        <v>A1SU</v>
      </c>
      <c r="B31" s="1284" t="s">
        <v>671</v>
      </c>
      <c r="C31" s="1284" t="s">
        <v>664</v>
      </c>
      <c r="D31" s="1285">
        <v>41882</v>
      </c>
      <c r="E31" s="1284" t="s">
        <v>662</v>
      </c>
      <c r="F31" s="1287">
        <v>465007602.17000002</v>
      </c>
      <c r="G31" s="1286">
        <v>-0.21362</v>
      </c>
    </row>
    <row r="32" spans="1:7" x14ac:dyDescent="0.2">
      <c r="A32" s="1284" t="str">
        <f>"A1SV"</f>
        <v>A1SV</v>
      </c>
      <c r="B32" s="1284" t="s">
        <v>932</v>
      </c>
      <c r="C32" s="1284" t="s">
        <v>664</v>
      </c>
      <c r="D32" s="1285">
        <v>41882</v>
      </c>
      <c r="E32" s="1284" t="s">
        <v>662</v>
      </c>
      <c r="F32" s="1288">
        <v>0.01</v>
      </c>
      <c r="G32" s="1284" t="s">
        <v>643</v>
      </c>
    </row>
    <row r="33" spans="1:7" x14ac:dyDescent="0.2">
      <c r="A33" s="1284" t="str">
        <f>"A1SW"</f>
        <v>A1SW</v>
      </c>
      <c r="B33" s="1284" t="s">
        <v>681</v>
      </c>
      <c r="C33" s="1284" t="s">
        <v>664</v>
      </c>
      <c r="D33" s="1285">
        <v>41882</v>
      </c>
      <c r="E33" s="1284" t="s">
        <v>662</v>
      </c>
      <c r="F33" s="1287">
        <v>817509815.36000001</v>
      </c>
      <c r="G33" s="1286">
        <v>-1.1815100000000001</v>
      </c>
    </row>
    <row r="34" spans="1:7" x14ac:dyDescent="0.2">
      <c r="A34" s="1284" t="str">
        <f>"A1TP"</f>
        <v>A1TP</v>
      </c>
      <c r="B34" s="1284" t="s">
        <v>944</v>
      </c>
      <c r="C34" s="1284" t="s">
        <v>664</v>
      </c>
      <c r="D34" s="1285">
        <v>41882</v>
      </c>
      <c r="E34" s="1284" t="s">
        <v>662</v>
      </c>
      <c r="F34" s="1287">
        <v>519092520</v>
      </c>
      <c r="G34" s="1286">
        <v>0.66296999999999995</v>
      </c>
    </row>
    <row r="35" spans="1:7" x14ac:dyDescent="0.2">
      <c r="A35" s="1284" t="str">
        <f>"A1TQ"</f>
        <v>A1TQ</v>
      </c>
      <c r="B35" s="1284" t="s">
        <v>945</v>
      </c>
      <c r="C35" s="1284" t="s">
        <v>664</v>
      </c>
      <c r="D35" s="1285">
        <v>41882</v>
      </c>
      <c r="E35" s="1284" t="s">
        <v>662</v>
      </c>
      <c r="F35" s="1287">
        <v>335331290.60000002</v>
      </c>
      <c r="G35" s="1286">
        <v>-0.87351999999999996</v>
      </c>
    </row>
    <row r="36" spans="1:7" x14ac:dyDescent="0.2">
      <c r="A36" s="1284" t="str">
        <f>"A1TR"</f>
        <v>A1TR</v>
      </c>
      <c r="B36" s="1284" t="s">
        <v>946</v>
      </c>
      <c r="C36" s="1284" t="s">
        <v>664</v>
      </c>
      <c r="D36" s="1285">
        <v>41882</v>
      </c>
      <c r="E36" s="1284" t="s">
        <v>662</v>
      </c>
      <c r="F36" s="1287">
        <v>158375710.99000001</v>
      </c>
      <c r="G36" s="1286">
        <v>-0.16622999999999999</v>
      </c>
    </row>
    <row r="37" spans="1:7" x14ac:dyDescent="0.2">
      <c r="A37" s="1284" t="str">
        <f>"A1UB"</f>
        <v>A1UB</v>
      </c>
      <c r="B37" s="1284" t="s">
        <v>627</v>
      </c>
      <c r="C37" s="1284" t="s">
        <v>664</v>
      </c>
      <c r="D37" s="1285">
        <v>41882</v>
      </c>
      <c r="E37" s="1284" t="s">
        <v>662</v>
      </c>
      <c r="F37" s="1287">
        <v>1068503.23</v>
      </c>
      <c r="G37" s="1286">
        <v>0</v>
      </c>
    </row>
    <row r="38" spans="1:7" x14ac:dyDescent="0.2">
      <c r="A38" s="1284" t="str">
        <f>"A1UD"</f>
        <v>A1UD</v>
      </c>
      <c r="B38" s="1284" t="s">
        <v>926</v>
      </c>
      <c r="C38" s="1284" t="s">
        <v>664</v>
      </c>
      <c r="D38" s="1285">
        <v>41882</v>
      </c>
      <c r="E38" s="1284" t="s">
        <v>662</v>
      </c>
      <c r="F38" s="1288">
        <v>0.01</v>
      </c>
      <c r="G38" s="1286">
        <v>0</v>
      </c>
    </row>
    <row r="39" spans="1:7" x14ac:dyDescent="0.2">
      <c r="A39" s="1284" t="str">
        <f>"A1UE"</f>
        <v>A1UE</v>
      </c>
      <c r="B39" s="1284" t="s">
        <v>927</v>
      </c>
      <c r="C39" s="1284" t="s">
        <v>664</v>
      </c>
      <c r="D39" s="1285">
        <v>41882</v>
      </c>
      <c r="E39" s="1284" t="s">
        <v>662</v>
      </c>
      <c r="F39" s="1288">
        <v>0.01</v>
      </c>
      <c r="G39" s="1286">
        <v>0</v>
      </c>
    </row>
    <row r="40" spans="1:7" x14ac:dyDescent="0.2">
      <c r="A40" s="1284" t="str">
        <f>"A1UF"</f>
        <v>A1UF</v>
      </c>
      <c r="B40" s="1284" t="s">
        <v>928</v>
      </c>
      <c r="C40" s="1284" t="s">
        <v>664</v>
      </c>
      <c r="D40" s="1285">
        <v>41882</v>
      </c>
      <c r="E40" s="1284" t="s">
        <v>662</v>
      </c>
      <c r="F40" s="1288">
        <v>0.01</v>
      </c>
      <c r="G40" s="1286">
        <v>0</v>
      </c>
    </row>
    <row r="41" spans="1:7" x14ac:dyDescent="0.2">
      <c r="A41" s="1284" t="str">
        <f>"A1UG"</f>
        <v>A1UG</v>
      </c>
      <c r="B41" s="1284" t="s">
        <v>640</v>
      </c>
      <c r="C41" s="1284" t="s">
        <v>664</v>
      </c>
      <c r="D41" s="1285">
        <v>41882</v>
      </c>
      <c r="E41" s="1284" t="s">
        <v>662</v>
      </c>
      <c r="F41" s="1287">
        <v>22745267.399999999</v>
      </c>
      <c r="G41" s="1286">
        <v>2.7777799999999999</v>
      </c>
    </row>
    <row r="42" spans="1:7" x14ac:dyDescent="0.2">
      <c r="A42" s="1284" t="str">
        <f>"A1UL"</f>
        <v>A1UL</v>
      </c>
      <c r="B42" s="1284" t="s">
        <v>637</v>
      </c>
      <c r="C42" s="1284" t="s">
        <v>664</v>
      </c>
      <c r="D42" s="1285">
        <v>41882</v>
      </c>
      <c r="E42" s="1284" t="s">
        <v>662</v>
      </c>
      <c r="F42" s="1287">
        <v>90392461.980000004</v>
      </c>
      <c r="G42" s="1286">
        <v>3.11761</v>
      </c>
    </row>
    <row r="43" spans="1:7" x14ac:dyDescent="0.2">
      <c r="A43" s="1284" t="str">
        <f>"A1UN"</f>
        <v>A1UN</v>
      </c>
      <c r="B43" s="1284" t="s">
        <v>626</v>
      </c>
      <c r="C43" s="1284" t="s">
        <v>664</v>
      </c>
      <c r="D43" s="1285">
        <v>41882</v>
      </c>
      <c r="E43" s="1284" t="s">
        <v>662</v>
      </c>
      <c r="F43" s="1287">
        <v>822175409.96000004</v>
      </c>
      <c r="G43" s="1286">
        <v>3.7647499999999998</v>
      </c>
    </row>
    <row r="44" spans="1:7" x14ac:dyDescent="0.2">
      <c r="A44" s="1284" t="str">
        <f>"A1UQ"</f>
        <v>A1UQ</v>
      </c>
      <c r="B44" s="1284" t="s">
        <v>625</v>
      </c>
      <c r="C44" s="1284" t="s">
        <v>664</v>
      </c>
      <c r="D44" s="1285">
        <v>41882</v>
      </c>
      <c r="E44" s="1284" t="s">
        <v>662</v>
      </c>
      <c r="F44" s="1287">
        <v>13881.75</v>
      </c>
      <c r="G44" s="1284" t="s">
        <v>643</v>
      </c>
    </row>
    <row r="45" spans="1:7" x14ac:dyDescent="0.2">
      <c r="A45" s="1284" t="str">
        <f>"A1UR"</f>
        <v>A1UR</v>
      </c>
      <c r="B45" s="1284" t="s">
        <v>674</v>
      </c>
      <c r="C45" s="1284" t="s">
        <v>664</v>
      </c>
      <c r="D45" s="1285">
        <v>41882</v>
      </c>
      <c r="E45" s="1284" t="s">
        <v>662</v>
      </c>
      <c r="F45" s="1287">
        <v>651202825.72000003</v>
      </c>
      <c r="G45" s="1286">
        <v>1.86328</v>
      </c>
    </row>
    <row r="46" spans="1:7" x14ac:dyDescent="0.2">
      <c r="A46" s="1284" t="str">
        <f>"A1UX"</f>
        <v>A1UX</v>
      </c>
      <c r="B46" s="1284" t="s">
        <v>941</v>
      </c>
      <c r="C46" s="1284" t="s">
        <v>664</v>
      </c>
      <c r="D46" s="1285">
        <v>41882</v>
      </c>
      <c r="E46" s="1284" t="s">
        <v>662</v>
      </c>
      <c r="F46" s="1288">
        <v>0.01</v>
      </c>
      <c r="G46" s="1284" t="s">
        <v>643</v>
      </c>
    </row>
    <row r="47" spans="1:7" x14ac:dyDescent="0.2">
      <c r="A47" s="1284" t="str">
        <f>"A1UY"</f>
        <v>A1UY</v>
      </c>
      <c r="B47" s="1284" t="s">
        <v>665</v>
      </c>
      <c r="C47" s="1284" t="s">
        <v>664</v>
      </c>
      <c r="D47" s="1285">
        <v>41882</v>
      </c>
      <c r="E47" s="1284" t="s">
        <v>662</v>
      </c>
      <c r="F47" s="1287">
        <v>6822.24</v>
      </c>
      <c r="G47" s="1284" t="s">
        <v>643</v>
      </c>
    </row>
    <row r="48" spans="1:7" x14ac:dyDescent="0.2">
      <c r="A48" s="1284" t="str">
        <f>"A1VA"</f>
        <v>A1VA</v>
      </c>
      <c r="B48" s="1284" t="s">
        <v>930</v>
      </c>
      <c r="C48" s="1284" t="s">
        <v>664</v>
      </c>
      <c r="D48" s="1285">
        <v>41882</v>
      </c>
      <c r="E48" s="1284" t="s">
        <v>662</v>
      </c>
      <c r="F48" s="1288">
        <v>0.01</v>
      </c>
      <c r="G48" s="1286">
        <v>0</v>
      </c>
    </row>
    <row r="49" spans="1:8" x14ac:dyDescent="0.2">
      <c r="A49" s="1284" t="str">
        <f>"A1VD"</f>
        <v>A1VD</v>
      </c>
      <c r="B49" s="1284" t="s">
        <v>935</v>
      </c>
      <c r="C49" s="1284" t="s">
        <v>664</v>
      </c>
      <c r="D49" s="1285">
        <v>41882</v>
      </c>
      <c r="E49" s="1284" t="s">
        <v>662</v>
      </c>
      <c r="F49" s="1288">
        <v>0.01</v>
      </c>
      <c r="G49" s="1284" t="s">
        <v>643</v>
      </c>
    </row>
    <row r="50" spans="1:8" x14ac:dyDescent="0.2">
      <c r="A50" s="1284" t="str">
        <f>"A1VE"</f>
        <v>A1VE</v>
      </c>
      <c r="B50" s="1284" t="s">
        <v>633</v>
      </c>
      <c r="C50" s="1284" t="s">
        <v>664</v>
      </c>
      <c r="D50" s="1285">
        <v>41882</v>
      </c>
      <c r="E50" s="1284" t="s">
        <v>662</v>
      </c>
      <c r="F50" s="1287">
        <v>5023490218.5699997</v>
      </c>
      <c r="G50" s="1286">
        <v>3.9583599999999999</v>
      </c>
    </row>
    <row r="51" spans="1:8" x14ac:dyDescent="0.2">
      <c r="A51" s="1284" t="str">
        <f>"A1VF"</f>
        <v>A1VF</v>
      </c>
      <c r="B51" s="1284" t="s">
        <v>635</v>
      </c>
      <c r="C51" s="1284" t="s">
        <v>664</v>
      </c>
      <c r="D51" s="1285">
        <v>41882</v>
      </c>
      <c r="E51" s="1284" t="s">
        <v>662</v>
      </c>
      <c r="F51" s="1287">
        <v>403082635.92000002</v>
      </c>
      <c r="G51" s="1286">
        <v>6.1657999999999999</v>
      </c>
    </row>
    <row r="52" spans="1:8" x14ac:dyDescent="0.2">
      <c r="A52" s="1284" t="str">
        <f>"A1VG"</f>
        <v>A1VG</v>
      </c>
      <c r="B52" s="1284" t="s">
        <v>630</v>
      </c>
      <c r="C52" s="1284" t="s">
        <v>664</v>
      </c>
      <c r="D52" s="1285">
        <v>41882</v>
      </c>
      <c r="E52" s="1284" t="s">
        <v>662</v>
      </c>
      <c r="F52" s="1287">
        <v>1935139382.6700001</v>
      </c>
      <c r="G52" s="1286">
        <v>1.0404199999999999</v>
      </c>
    </row>
    <row r="53" spans="1:8" x14ac:dyDescent="0.2">
      <c r="A53" s="1284" t="str">
        <f>"A1VH"</f>
        <v>A1VH</v>
      </c>
      <c r="B53" s="1284" t="s">
        <v>925</v>
      </c>
      <c r="C53" s="1284" t="s">
        <v>664</v>
      </c>
      <c r="D53" s="1285">
        <v>41882</v>
      </c>
      <c r="E53" s="1284" t="s">
        <v>662</v>
      </c>
      <c r="F53" s="1288">
        <v>0.01</v>
      </c>
      <c r="G53" s="1284" t="s">
        <v>643</v>
      </c>
    </row>
    <row r="54" spans="1:8" x14ac:dyDescent="0.2">
      <c r="A54" s="1284" t="str">
        <f>"A1VI"</f>
        <v>A1VI</v>
      </c>
      <c r="B54" s="1284" t="s">
        <v>924</v>
      </c>
      <c r="C54" s="1284" t="s">
        <v>664</v>
      </c>
      <c r="D54" s="1285">
        <v>41882</v>
      </c>
      <c r="E54" s="1284" t="s">
        <v>662</v>
      </c>
      <c r="F54" s="1287">
        <v>718047739.58000004</v>
      </c>
      <c r="G54" s="1286">
        <v>1.08517</v>
      </c>
    </row>
    <row r="55" spans="1:8" x14ac:dyDescent="0.2">
      <c r="A55" s="1284" t="str">
        <f>"A1VM"</f>
        <v>A1VM</v>
      </c>
      <c r="B55" s="1284" t="s">
        <v>639</v>
      </c>
      <c r="C55" s="1284" t="s">
        <v>664</v>
      </c>
      <c r="D55" s="1285">
        <v>41882</v>
      </c>
      <c r="E55" s="1284" t="s">
        <v>662</v>
      </c>
      <c r="F55" s="1287">
        <v>596188766.16999996</v>
      </c>
      <c r="G55" s="1286">
        <v>-0.15647</v>
      </c>
    </row>
    <row r="56" spans="1:8" x14ac:dyDescent="0.2">
      <c r="A56" s="1284" t="str">
        <f>"A1VN"</f>
        <v>A1VN</v>
      </c>
      <c r="B56" s="1284" t="s">
        <v>632</v>
      </c>
      <c r="C56" s="1284" t="s">
        <v>664</v>
      </c>
      <c r="D56" s="1285">
        <v>41882</v>
      </c>
      <c r="E56" s="1284" t="s">
        <v>662</v>
      </c>
      <c r="F56" s="1287">
        <v>510208711.92000002</v>
      </c>
      <c r="G56" s="1286">
        <v>4.8990099999999996</v>
      </c>
    </row>
    <row r="57" spans="1:8" x14ac:dyDescent="0.2">
      <c r="A57" s="1284" t="str">
        <f>"A1VO"</f>
        <v>A1VO</v>
      </c>
      <c r="B57" s="1284" t="s">
        <v>942</v>
      </c>
      <c r="C57" s="1284" t="s">
        <v>664</v>
      </c>
      <c r="D57" s="1285">
        <v>41882</v>
      </c>
      <c r="E57" s="1284" t="s">
        <v>662</v>
      </c>
      <c r="F57" s="1288">
        <v>0.01</v>
      </c>
      <c r="G57" s="1286">
        <v>0</v>
      </c>
      <c r="H57" s="1317"/>
    </row>
    <row r="58" spans="1:8" x14ac:dyDescent="0.2">
      <c r="A58" s="1284" t="str">
        <f>"A1VP"</f>
        <v>A1VP</v>
      </c>
      <c r="B58" s="1284" t="s">
        <v>933</v>
      </c>
      <c r="C58" s="1284" t="s">
        <v>664</v>
      </c>
      <c r="D58" s="1285">
        <v>41882</v>
      </c>
      <c r="E58" s="1284" t="s">
        <v>662</v>
      </c>
      <c r="F58" s="1288">
        <v>0.01</v>
      </c>
      <c r="G58" s="1284" t="s">
        <v>643</v>
      </c>
    </row>
    <row r="59" spans="1:8" x14ac:dyDescent="0.2">
      <c r="A59" s="1284" t="str">
        <f>"A1VR"</f>
        <v>A1VR</v>
      </c>
      <c r="B59" s="1284" t="s">
        <v>631</v>
      </c>
      <c r="C59" s="1284" t="s">
        <v>664</v>
      </c>
      <c r="D59" s="1285">
        <v>41882</v>
      </c>
      <c r="E59" s="1284" t="s">
        <v>662</v>
      </c>
      <c r="F59" s="1287">
        <v>529242960.26999998</v>
      </c>
      <c r="G59" s="1286">
        <v>5.2541700000000002</v>
      </c>
      <c r="H59" s="1317"/>
    </row>
    <row r="60" spans="1:8" x14ac:dyDescent="0.2">
      <c r="A60" s="1284" t="str">
        <f>"A1VU"</f>
        <v>A1VU</v>
      </c>
      <c r="B60" s="1284" t="s">
        <v>623</v>
      </c>
      <c r="C60" s="1284" t="s">
        <v>664</v>
      </c>
      <c r="D60" s="1285">
        <v>41882</v>
      </c>
      <c r="E60" s="1284" t="s">
        <v>662</v>
      </c>
      <c r="F60" s="1287">
        <v>417799504.41000003</v>
      </c>
      <c r="G60" s="1286">
        <v>4.5641699999999998</v>
      </c>
    </row>
    <row r="61" spans="1:8" x14ac:dyDescent="0.2">
      <c r="A61" s="1284" t="str">
        <f>"A1VW"</f>
        <v>A1VW</v>
      </c>
      <c r="B61" s="1284" t="s">
        <v>628</v>
      </c>
      <c r="C61" s="1284" t="s">
        <v>664</v>
      </c>
      <c r="D61" s="1285">
        <v>41882</v>
      </c>
      <c r="E61" s="1284" t="s">
        <v>662</v>
      </c>
      <c r="F61" s="1287">
        <v>473805298.47000003</v>
      </c>
      <c r="G61" s="1286">
        <v>3.4765100000000002</v>
      </c>
      <c r="H61" s="1317"/>
    </row>
    <row r="62" spans="1:8" x14ac:dyDescent="0.2">
      <c r="A62" s="1284" t="str">
        <f>"A1VX"</f>
        <v>A1VX</v>
      </c>
      <c r="B62" s="1284" t="s">
        <v>636</v>
      </c>
      <c r="C62" s="1284" t="s">
        <v>664</v>
      </c>
      <c r="D62" s="1285">
        <v>41882</v>
      </c>
      <c r="E62" s="1284" t="s">
        <v>662</v>
      </c>
      <c r="F62" s="1287">
        <v>102061070.13</v>
      </c>
      <c r="G62" s="1286">
        <v>4.1372999999999998</v>
      </c>
      <c r="H62" s="1317"/>
    </row>
    <row r="63" spans="1:8" x14ac:dyDescent="0.2">
      <c r="A63" s="1284" t="str">
        <f>"A1VY"</f>
        <v>A1VY</v>
      </c>
      <c r="B63" s="1284" t="s">
        <v>638</v>
      </c>
      <c r="C63" s="1284" t="s">
        <v>664</v>
      </c>
      <c r="D63" s="1285">
        <v>41882</v>
      </c>
      <c r="E63" s="1284" t="s">
        <v>662</v>
      </c>
      <c r="F63" s="1287">
        <v>3208847291.5700002</v>
      </c>
      <c r="G63" s="1286">
        <v>1.6466499999999999</v>
      </c>
      <c r="H63" s="1317"/>
    </row>
    <row r="64" spans="1:8" x14ac:dyDescent="0.2">
      <c r="A64" s="1284" t="str">
        <f>"A1VZ"</f>
        <v>A1VZ</v>
      </c>
      <c r="B64" s="1284" t="s">
        <v>937</v>
      </c>
      <c r="C64" s="1284" t="s">
        <v>664</v>
      </c>
      <c r="D64" s="1285">
        <v>41882</v>
      </c>
      <c r="E64" s="1284" t="s">
        <v>662</v>
      </c>
      <c r="F64" s="1288">
        <v>0.01</v>
      </c>
      <c r="G64" s="1286">
        <v>0</v>
      </c>
      <c r="H64" s="1317"/>
    </row>
    <row r="65" spans="1:7" x14ac:dyDescent="0.2">
      <c r="A65" s="1284" t="str">
        <f>"A1WA"</f>
        <v>A1WA</v>
      </c>
      <c r="B65" s="1284" t="s">
        <v>624</v>
      </c>
      <c r="C65" s="1284" t="s">
        <v>664</v>
      </c>
      <c r="D65" s="1285">
        <v>41882</v>
      </c>
      <c r="E65" s="1284" t="s">
        <v>662</v>
      </c>
      <c r="F65" s="1287">
        <v>454216340.02999997</v>
      </c>
      <c r="G65" s="1286">
        <v>4.5629999999999997</v>
      </c>
    </row>
    <row r="66" spans="1:7" x14ac:dyDescent="0.2">
      <c r="A66" s="1284" t="str">
        <f>"A1WB"</f>
        <v>A1WB</v>
      </c>
      <c r="B66" s="1284" t="s">
        <v>732</v>
      </c>
      <c r="C66" s="1284" t="s">
        <v>664</v>
      </c>
      <c r="D66" s="1285">
        <v>41882</v>
      </c>
      <c r="E66" s="1284" t="s">
        <v>662</v>
      </c>
      <c r="F66" s="1288">
        <v>0</v>
      </c>
      <c r="G66" s="1284" t="s">
        <v>643</v>
      </c>
    </row>
    <row r="67" spans="1:7" x14ac:dyDescent="0.2">
      <c r="A67" s="1284" t="str">
        <f>"A1WD"</f>
        <v>A1WD</v>
      </c>
      <c r="B67" s="1284" t="s">
        <v>629</v>
      </c>
      <c r="C67" s="1284" t="s">
        <v>664</v>
      </c>
      <c r="D67" s="1285">
        <v>41882</v>
      </c>
      <c r="E67" s="1284" t="s">
        <v>662</v>
      </c>
      <c r="F67" s="1287">
        <v>619871.75</v>
      </c>
      <c r="G67" s="1284" t="s">
        <v>643</v>
      </c>
    </row>
    <row r="68" spans="1:7" x14ac:dyDescent="0.2">
      <c r="A68" s="1284" t="str">
        <f>"A1WE"</f>
        <v>A1WE</v>
      </c>
      <c r="B68" s="1284" t="s">
        <v>634</v>
      </c>
      <c r="C68" s="1284" t="s">
        <v>664</v>
      </c>
      <c r="D68" s="1285">
        <v>41882</v>
      </c>
      <c r="E68" s="1284" t="s">
        <v>662</v>
      </c>
      <c r="F68" s="1287">
        <v>224090617.62</v>
      </c>
      <c r="G68" s="1286">
        <v>-0.30803999999999998</v>
      </c>
    </row>
    <row r="69" spans="1:7" x14ac:dyDescent="0.2">
      <c r="A69" s="1284" t="str">
        <f>"A1WF"</f>
        <v>A1WF</v>
      </c>
      <c r="B69" s="1284" t="s">
        <v>854</v>
      </c>
      <c r="C69" s="1284" t="s">
        <v>664</v>
      </c>
      <c r="D69" s="1285">
        <v>41882</v>
      </c>
      <c r="E69" s="1284" t="s">
        <v>662</v>
      </c>
      <c r="F69" s="1287">
        <v>2904.94</v>
      </c>
      <c r="G69" s="1284" t="s">
        <v>643</v>
      </c>
    </row>
    <row r="70" spans="1:7" x14ac:dyDescent="0.2">
      <c r="A70" s="1284" t="str">
        <f>"A1WJ"</f>
        <v>A1WJ</v>
      </c>
      <c r="B70" s="1284" t="s">
        <v>923</v>
      </c>
      <c r="C70" s="1284" t="s">
        <v>664</v>
      </c>
      <c r="D70" s="1285">
        <v>41882</v>
      </c>
      <c r="E70" s="1284" t="s">
        <v>662</v>
      </c>
      <c r="F70" s="1288">
        <v>0.01</v>
      </c>
      <c r="G70" s="1284" t="s">
        <v>643</v>
      </c>
    </row>
    <row r="71" spans="1:7" x14ac:dyDescent="0.2">
      <c r="A71" s="1284" t="str">
        <f>"A1WV"</f>
        <v>A1WV</v>
      </c>
      <c r="B71" s="1284" t="s">
        <v>335</v>
      </c>
      <c r="C71" s="1284" t="s">
        <v>664</v>
      </c>
      <c r="D71" s="1285">
        <v>41882</v>
      </c>
      <c r="E71" s="1284" t="s">
        <v>662</v>
      </c>
      <c r="F71" s="1287">
        <v>477558967.30000001</v>
      </c>
      <c r="G71" s="1286">
        <v>4.3059500000000002</v>
      </c>
    </row>
    <row r="72" spans="1:7" x14ac:dyDescent="0.2">
      <c r="A72" s="1284" t="str">
        <f>"A1XY"</f>
        <v>A1XY</v>
      </c>
      <c r="B72" s="1284" t="s">
        <v>934</v>
      </c>
      <c r="C72" s="1284" t="s">
        <v>664</v>
      </c>
      <c r="D72" s="1285">
        <v>41882</v>
      </c>
      <c r="E72" s="1284" t="s">
        <v>662</v>
      </c>
      <c r="F72" s="1288">
        <v>0.01</v>
      </c>
      <c r="G72" s="1286">
        <v>0</v>
      </c>
    </row>
    <row r="73" spans="1:7" x14ac:dyDescent="0.2">
      <c r="A73" s="1284" t="str">
        <f>"A1XZ"</f>
        <v>A1XZ</v>
      </c>
      <c r="B73" s="1284" t="s">
        <v>936</v>
      </c>
      <c r="C73" s="1284" t="s">
        <v>664</v>
      </c>
      <c r="D73" s="1285">
        <v>41882</v>
      </c>
      <c r="E73" s="1284" t="s">
        <v>662</v>
      </c>
      <c r="F73" s="1288">
        <v>0.01</v>
      </c>
      <c r="G73" s="1284" t="s">
        <v>643</v>
      </c>
    </row>
    <row r="74" spans="1:7" x14ac:dyDescent="0.2">
      <c r="A74" s="1284" t="str">
        <f>"A1YS"</f>
        <v>A1YS</v>
      </c>
      <c r="B74" s="1284" t="s">
        <v>940</v>
      </c>
      <c r="C74" s="1284" t="s">
        <v>664</v>
      </c>
      <c r="D74" s="1285">
        <v>41882</v>
      </c>
      <c r="E74" s="1284" t="s">
        <v>662</v>
      </c>
      <c r="F74" s="1288">
        <v>0.01</v>
      </c>
      <c r="G74" s="1284" t="s">
        <v>643</v>
      </c>
    </row>
    <row r="75" spans="1:7" x14ac:dyDescent="0.2">
      <c r="A75" s="1284" t="str">
        <f>"A1YU"</f>
        <v>A1YU</v>
      </c>
      <c r="B75" s="1284" t="s">
        <v>939</v>
      </c>
      <c r="C75" s="1284" t="s">
        <v>664</v>
      </c>
      <c r="D75" s="1285">
        <v>41882</v>
      </c>
      <c r="E75" s="1284" t="s">
        <v>662</v>
      </c>
      <c r="F75" s="1288">
        <v>0.01</v>
      </c>
      <c r="G75" s="1284" t="s">
        <v>643</v>
      </c>
    </row>
    <row r="76" spans="1:7" x14ac:dyDescent="0.2">
      <c r="A76" s="1284" t="str">
        <f>"A1YV"</f>
        <v>A1YV</v>
      </c>
      <c r="B76" s="1284" t="s">
        <v>938</v>
      </c>
      <c r="C76" s="1284" t="s">
        <v>664</v>
      </c>
      <c r="D76" s="1285">
        <v>41882</v>
      </c>
      <c r="E76" s="1284" t="s">
        <v>662</v>
      </c>
      <c r="F76" s="1288">
        <v>0.02</v>
      </c>
      <c r="G76" s="1284" t="s">
        <v>643</v>
      </c>
    </row>
    <row r="77" spans="1:7" x14ac:dyDescent="0.2">
      <c r="A77" s="1284" t="str">
        <f>"A1YW"</f>
        <v>A1YW</v>
      </c>
      <c r="B77" s="1284" t="s">
        <v>830</v>
      </c>
      <c r="C77" s="1284" t="s">
        <v>664</v>
      </c>
      <c r="D77" s="1285">
        <v>41882</v>
      </c>
      <c r="E77" s="1284" t="s">
        <v>662</v>
      </c>
      <c r="F77" s="1287">
        <v>4468.6000000000004</v>
      </c>
      <c r="G77" s="1284" t="s">
        <v>643</v>
      </c>
    </row>
    <row r="78" spans="1:7" x14ac:dyDescent="0.2">
      <c r="A78" s="1284" t="str">
        <f>"A1ZN"</f>
        <v>A1ZN</v>
      </c>
      <c r="B78" s="1284" t="s">
        <v>929</v>
      </c>
      <c r="C78" s="1284" t="s">
        <v>664</v>
      </c>
      <c r="D78" s="1285">
        <v>41882</v>
      </c>
      <c r="E78" s="1284" t="s">
        <v>662</v>
      </c>
      <c r="F78" s="1288">
        <v>0.01</v>
      </c>
      <c r="G78" s="1286">
        <v>0</v>
      </c>
    </row>
    <row r="79" spans="1:7" x14ac:dyDescent="0.2">
      <c r="A79" s="1284" t="str">
        <f>"A1ZV"</f>
        <v>A1ZV</v>
      </c>
      <c r="B79" s="1284" t="s">
        <v>641</v>
      </c>
      <c r="C79" s="1284" t="s">
        <v>664</v>
      </c>
      <c r="D79" s="1285">
        <v>41882</v>
      </c>
      <c r="E79" s="1284" t="s">
        <v>662</v>
      </c>
      <c r="F79" s="1287">
        <v>23993808.25</v>
      </c>
      <c r="G79" s="1286">
        <v>0.67515999999999998</v>
      </c>
    </row>
    <row r="80" spans="1:7" x14ac:dyDescent="0.2">
      <c r="A80" s="1284" t="str">
        <f>"A1ZY"</f>
        <v>A1ZY</v>
      </c>
      <c r="B80" s="1284" t="s">
        <v>642</v>
      </c>
      <c r="C80" s="1284" t="s">
        <v>664</v>
      </c>
      <c r="D80" s="1285">
        <v>41882</v>
      </c>
      <c r="E80" s="1284" t="s">
        <v>662</v>
      </c>
      <c r="F80" s="1287">
        <v>2392012225.3299999</v>
      </c>
      <c r="G80" s="1286">
        <v>-0.15432000000000001</v>
      </c>
    </row>
    <row r="81" spans="1:7" x14ac:dyDescent="0.2">
      <c r="A81" s="1284" t="str">
        <f>"ASRSA021"</f>
        <v>ASRSA021</v>
      </c>
      <c r="B81" s="1284" t="s">
        <v>670</v>
      </c>
      <c r="C81" s="1284" t="s">
        <v>664</v>
      </c>
      <c r="D81" s="1285">
        <v>41882</v>
      </c>
      <c r="E81" s="1284" t="s">
        <v>662</v>
      </c>
      <c r="F81" s="1287">
        <v>273792296.85000002</v>
      </c>
      <c r="G81" s="1286">
        <v>2.36591</v>
      </c>
    </row>
    <row r="82" spans="1:7" x14ac:dyDescent="0.2">
      <c r="A82" s="1284" t="str">
        <f>"ASRSA025"</f>
        <v>ASRSA025</v>
      </c>
      <c r="B82" s="1284" t="s">
        <v>831</v>
      </c>
      <c r="C82" s="1284" t="s">
        <v>664</v>
      </c>
      <c r="D82" s="1285">
        <v>41882</v>
      </c>
      <c r="E82" s="1284" t="s">
        <v>662</v>
      </c>
      <c r="F82" s="1287">
        <v>4468.6400000000003</v>
      </c>
      <c r="G82" s="1284" t="s">
        <v>643</v>
      </c>
    </row>
    <row r="83" spans="1:7" x14ac:dyDescent="0.2">
      <c r="A83" s="1284" t="str">
        <f>"AZIDX010"</f>
        <v>AZIDX010</v>
      </c>
      <c r="B83" s="1284" t="s">
        <v>737</v>
      </c>
      <c r="C83" s="1284" t="s">
        <v>664</v>
      </c>
      <c r="D83" s="1285">
        <v>41882</v>
      </c>
      <c r="E83" s="1284" t="s">
        <v>89</v>
      </c>
      <c r="F83" s="1284" t="s">
        <v>643</v>
      </c>
      <c r="G83" s="1286">
        <v>-0.15382000000000001</v>
      </c>
    </row>
    <row r="84" spans="1:7" x14ac:dyDescent="0.2">
      <c r="A84" s="1284" t="str">
        <f>"AZIDX020"</f>
        <v>AZIDX020</v>
      </c>
      <c r="B84" s="1284" t="s">
        <v>648</v>
      </c>
      <c r="C84" s="1284" t="s">
        <v>664</v>
      </c>
      <c r="D84" s="1285">
        <v>41882</v>
      </c>
      <c r="E84" s="1284" t="s">
        <v>89</v>
      </c>
      <c r="F84" s="1284" t="s">
        <v>643</v>
      </c>
      <c r="G84" s="1286">
        <v>1.9490799999999999</v>
      </c>
    </row>
    <row r="85" spans="1:7" x14ac:dyDescent="0.2">
      <c r="A85" s="1284" t="str">
        <f>"AZIDX025"</f>
        <v>AZIDX025</v>
      </c>
      <c r="B85" s="1284" t="s">
        <v>647</v>
      </c>
      <c r="C85" s="1284" t="s">
        <v>664</v>
      </c>
      <c r="D85" s="1285">
        <v>41882</v>
      </c>
      <c r="E85" s="1284" t="s">
        <v>89</v>
      </c>
      <c r="F85" s="1284" t="s">
        <v>643</v>
      </c>
      <c r="G85" s="1286">
        <v>4.4784600000000001</v>
      </c>
    </row>
    <row r="86" spans="1:7" x14ac:dyDescent="0.2">
      <c r="A86" s="1284" t="str">
        <f>"AZIDX026"</f>
        <v>AZIDX026</v>
      </c>
      <c r="B86" s="1284" t="s">
        <v>646</v>
      </c>
      <c r="C86" s="1284" t="s">
        <v>664</v>
      </c>
      <c r="D86" s="1285">
        <v>41882</v>
      </c>
      <c r="E86" s="1284" t="s">
        <v>89</v>
      </c>
      <c r="F86" s="1284" t="s">
        <v>643</v>
      </c>
      <c r="G86" s="1286">
        <v>5.27529</v>
      </c>
    </row>
    <row r="87" spans="1:7" x14ac:dyDescent="0.2">
      <c r="A87" s="1284" t="str">
        <f>"AZIDX027"</f>
        <v>AZIDX027</v>
      </c>
      <c r="B87" s="1284" t="s">
        <v>645</v>
      </c>
      <c r="C87" s="1284" t="s">
        <v>664</v>
      </c>
      <c r="D87" s="1285">
        <v>41882</v>
      </c>
      <c r="E87" s="1284" t="s">
        <v>89</v>
      </c>
      <c r="F87" s="1284" t="s">
        <v>643</v>
      </c>
      <c r="G87" s="1286">
        <v>4.89236</v>
      </c>
    </row>
    <row r="88" spans="1:7" x14ac:dyDescent="0.2">
      <c r="A88" s="1284" t="str">
        <f>"AZIDX031"</f>
        <v>AZIDX031</v>
      </c>
      <c r="B88" s="1284" t="s">
        <v>644</v>
      </c>
      <c r="C88" s="1284" t="s">
        <v>664</v>
      </c>
      <c r="D88" s="1285">
        <v>41882</v>
      </c>
      <c r="E88" s="1284" t="s">
        <v>89</v>
      </c>
      <c r="F88" s="1284" t="s">
        <v>643</v>
      </c>
      <c r="G88" s="1286">
        <v>4.3497000000000003</v>
      </c>
    </row>
    <row r="89" spans="1:7" x14ac:dyDescent="0.2">
      <c r="A89" s="1284" t="str">
        <f>"AZIDX032"</f>
        <v>AZIDX032</v>
      </c>
      <c r="B89" s="1284" t="s">
        <v>808</v>
      </c>
      <c r="C89" s="1284" t="s">
        <v>664</v>
      </c>
      <c r="D89" s="1285">
        <v>41882</v>
      </c>
      <c r="E89" s="1284" t="s">
        <v>89</v>
      </c>
      <c r="F89" s="1284" t="s">
        <v>643</v>
      </c>
      <c r="G89" s="1286">
        <v>3.61626</v>
      </c>
    </row>
    <row r="90" spans="1:7" x14ac:dyDescent="0.2">
      <c r="A90" s="1284" t="str">
        <f>"AZIDX045"</f>
        <v>AZIDX045</v>
      </c>
      <c r="B90" s="1284" t="s">
        <v>891</v>
      </c>
      <c r="C90" s="1284" t="s">
        <v>664</v>
      </c>
      <c r="D90" s="1285">
        <v>41882</v>
      </c>
      <c r="E90" s="1284" t="s">
        <v>89</v>
      </c>
      <c r="F90" s="1284" t="s">
        <v>643</v>
      </c>
      <c r="G90" s="1286">
        <v>-0.15382000000000001</v>
      </c>
    </row>
    <row r="91" spans="1:7" x14ac:dyDescent="0.2">
      <c r="A91" s="1284" t="str">
        <f>"AZIDX047"</f>
        <v>AZIDX047</v>
      </c>
      <c r="B91" s="1284" t="s">
        <v>806</v>
      </c>
      <c r="C91" s="1284" t="s">
        <v>664</v>
      </c>
      <c r="D91" s="1285">
        <v>41882</v>
      </c>
      <c r="E91" s="1284" t="s">
        <v>89</v>
      </c>
      <c r="F91" s="1284" t="s">
        <v>643</v>
      </c>
      <c r="G91" s="1286">
        <v>2.0604399999999998</v>
      </c>
    </row>
    <row r="92" spans="1:7" x14ac:dyDescent="0.2">
      <c r="A92" s="1284" t="str">
        <f>"AZIDX052"</f>
        <v>AZIDX052</v>
      </c>
      <c r="B92" s="1284" t="s">
        <v>844</v>
      </c>
      <c r="C92" s="1284" t="s">
        <v>664</v>
      </c>
      <c r="D92" s="1285">
        <v>41882</v>
      </c>
      <c r="E92" s="1284" t="s">
        <v>89</v>
      </c>
      <c r="F92" s="1284" t="s">
        <v>643</v>
      </c>
      <c r="G92" s="1286">
        <v>0.70918999999999999</v>
      </c>
    </row>
    <row r="93" spans="1:7" x14ac:dyDescent="0.2">
      <c r="A93" s="1284" t="str">
        <f>"AZIDX060"</f>
        <v>AZIDX060</v>
      </c>
      <c r="B93" s="1284" t="s">
        <v>903</v>
      </c>
      <c r="C93" s="1284" t="s">
        <v>664</v>
      </c>
      <c r="D93" s="1285">
        <v>41882</v>
      </c>
      <c r="E93" s="1284" t="s">
        <v>89</v>
      </c>
      <c r="F93" s="1284" t="s">
        <v>643</v>
      </c>
      <c r="G93" s="1286">
        <v>0.55425000000000002</v>
      </c>
    </row>
    <row r="94" spans="1:7" x14ac:dyDescent="0.2">
      <c r="A94" s="1284" t="str">
        <f>"AZIDX061"</f>
        <v>AZIDX061</v>
      </c>
      <c r="B94" s="1284" t="s">
        <v>904</v>
      </c>
      <c r="C94" s="1284" t="s">
        <v>664</v>
      </c>
      <c r="D94" s="1285">
        <v>41882</v>
      </c>
      <c r="E94" s="1284" t="s">
        <v>89</v>
      </c>
      <c r="F94" s="1284" t="s">
        <v>643</v>
      </c>
      <c r="G94" s="1286">
        <v>-0.15382000000000001</v>
      </c>
    </row>
    <row r="95" spans="1:7" x14ac:dyDescent="0.2">
      <c r="A95" s="1284" t="str">
        <f>"AZIDX062"</f>
        <v>AZIDX062</v>
      </c>
      <c r="B95" s="1284" t="s">
        <v>905</v>
      </c>
      <c r="C95" s="1284" t="s">
        <v>664</v>
      </c>
      <c r="D95" s="1285">
        <v>41882</v>
      </c>
      <c r="E95" s="1284" t="s">
        <v>89</v>
      </c>
      <c r="F95" s="1284" t="s">
        <v>643</v>
      </c>
      <c r="G95" s="1286">
        <v>-0.17679</v>
      </c>
    </row>
    <row r="96" spans="1:7" x14ac:dyDescent="0.2">
      <c r="A96" s="1284" t="str">
        <f>"AZIDX064"</f>
        <v>AZIDX064</v>
      </c>
      <c r="B96" s="1284" t="s">
        <v>906</v>
      </c>
      <c r="C96" s="1284" t="s">
        <v>664</v>
      </c>
      <c r="D96" s="1285">
        <v>41882</v>
      </c>
      <c r="E96" s="1284" t="s">
        <v>89</v>
      </c>
      <c r="F96" s="1284" t="s">
        <v>643</v>
      </c>
      <c r="G96" s="1286">
        <v>2.2035200000000001</v>
      </c>
    </row>
    <row r="97" spans="1:7" x14ac:dyDescent="0.2">
      <c r="A97" s="1284" t="str">
        <f>"AZIDX065"</f>
        <v>AZIDX065</v>
      </c>
      <c r="B97" s="1284" t="s">
        <v>907</v>
      </c>
      <c r="C97" s="1284" t="s">
        <v>664</v>
      </c>
      <c r="D97" s="1285">
        <v>41882</v>
      </c>
      <c r="E97" s="1284" t="s">
        <v>89</v>
      </c>
      <c r="F97" s="1284" t="s">
        <v>643</v>
      </c>
      <c r="G97" s="1286">
        <v>2.25352</v>
      </c>
    </row>
    <row r="98" spans="1:7" x14ac:dyDescent="0.2">
      <c r="A98" s="1284" t="str">
        <f>"JP07TUS"</f>
        <v>JP07TUS</v>
      </c>
      <c r="B98" s="1284" t="s">
        <v>849</v>
      </c>
      <c r="C98" s="1284" t="s">
        <v>664</v>
      </c>
      <c r="D98" s="1285">
        <v>41882</v>
      </c>
      <c r="E98" s="1284" t="s">
        <v>89</v>
      </c>
      <c r="F98" s="1284" t="s">
        <v>643</v>
      </c>
      <c r="G98" s="1286">
        <v>0.48004999999999998</v>
      </c>
    </row>
    <row r="99" spans="1:7" x14ac:dyDescent="0.2">
      <c r="A99" s="1284" t="str">
        <f>"MSCEAFGR"</f>
        <v>MSCEAFGR</v>
      </c>
      <c r="B99" s="1284" t="s">
        <v>660</v>
      </c>
      <c r="C99" s="1284" t="s">
        <v>664</v>
      </c>
      <c r="D99" s="1285">
        <v>41882</v>
      </c>
      <c r="E99" s="1284" t="s">
        <v>89</v>
      </c>
      <c r="F99" s="1284" t="s">
        <v>643</v>
      </c>
      <c r="G99" s="1286">
        <v>0.24018999999999999</v>
      </c>
    </row>
    <row r="100" spans="1:7" x14ac:dyDescent="0.2">
      <c r="A100" s="1284" t="str">
        <f>"MSCEAFVA"</f>
        <v>MSCEAFVA</v>
      </c>
      <c r="B100" s="1284" t="s">
        <v>661</v>
      </c>
      <c r="C100" s="1284" t="s">
        <v>664</v>
      </c>
      <c r="D100" s="1285">
        <v>41882</v>
      </c>
      <c r="E100" s="1284" t="s">
        <v>89</v>
      </c>
      <c r="F100" s="1284" t="s">
        <v>643</v>
      </c>
      <c r="G100" s="1286">
        <v>-0.52720999999999996</v>
      </c>
    </row>
    <row r="101" spans="1:7" x14ac:dyDescent="0.2">
      <c r="A101" s="1284" t="str">
        <f>"MSZQG"</f>
        <v>MSZQG</v>
      </c>
      <c r="B101" s="1284" t="s">
        <v>820</v>
      </c>
      <c r="C101" s="1284" t="s">
        <v>664</v>
      </c>
      <c r="D101" s="1285">
        <v>41882</v>
      </c>
      <c r="E101" s="1284" t="s">
        <v>89</v>
      </c>
      <c r="F101" s="1284" t="s">
        <v>643</v>
      </c>
      <c r="G101" s="1286">
        <v>4.06792</v>
      </c>
    </row>
    <row r="102" spans="1:7" x14ac:dyDescent="0.2">
      <c r="A102" s="1284" t="str">
        <f>"MSZRGUS"</f>
        <v>MSZRGUS</v>
      </c>
      <c r="B102" s="1284" t="s">
        <v>822</v>
      </c>
      <c r="C102" s="1284" t="s">
        <v>664</v>
      </c>
      <c r="D102" s="1285">
        <v>41882</v>
      </c>
      <c r="E102" s="1284" t="s">
        <v>89</v>
      </c>
      <c r="F102" s="1284" t="s">
        <v>643</v>
      </c>
      <c r="G102" s="1286">
        <v>3.7995100000000002</v>
      </c>
    </row>
    <row r="103" spans="1:7" x14ac:dyDescent="0.2">
      <c r="A103" s="1284" t="str">
        <f>"NCODLAG"</f>
        <v>NCODLAG</v>
      </c>
      <c r="B103" s="1284" t="s">
        <v>739</v>
      </c>
      <c r="C103" s="1284" t="s">
        <v>664</v>
      </c>
      <c r="D103" s="1285">
        <v>41882</v>
      </c>
      <c r="E103" s="1284" t="s">
        <v>89</v>
      </c>
      <c r="F103" s="1284" t="s">
        <v>643</v>
      </c>
      <c r="G103" s="1286">
        <v>0</v>
      </c>
    </row>
    <row r="104" spans="1:7" x14ac:dyDescent="0.2">
      <c r="A104" s="1284" t="str">
        <f>"RU25GD"</f>
        <v>RU25GD</v>
      </c>
      <c r="B104" s="1284" t="s">
        <v>918</v>
      </c>
      <c r="C104" s="1284" t="s">
        <v>664</v>
      </c>
      <c r="D104" s="1285">
        <v>41882</v>
      </c>
      <c r="E104" s="1284" t="s">
        <v>89</v>
      </c>
      <c r="F104" s="1284" t="s">
        <v>643</v>
      </c>
      <c r="G104" s="1286">
        <v>5.4948499999999996</v>
      </c>
    </row>
    <row r="105" spans="1:7" x14ac:dyDescent="0.2">
      <c r="A105" s="1284" t="str">
        <f>"SPTRSGD"</f>
        <v>SPTRSGD</v>
      </c>
      <c r="B105" s="1284" t="s">
        <v>658</v>
      </c>
      <c r="C105" s="1284" t="s">
        <v>664</v>
      </c>
      <c r="D105" s="1285">
        <v>41882</v>
      </c>
      <c r="E105" s="1284" t="s">
        <v>89</v>
      </c>
      <c r="F105" s="1284" t="s">
        <v>643</v>
      </c>
      <c r="G105" s="1286">
        <v>4.0848599999999999</v>
      </c>
    </row>
    <row r="106" spans="1:7" x14ac:dyDescent="0.2">
      <c r="A106" s="1284" t="str">
        <f>"SPTRSVD"</f>
        <v>SPTRSVD</v>
      </c>
      <c r="B106" s="1284" t="s">
        <v>657</v>
      </c>
      <c r="C106" s="1284" t="s">
        <v>664</v>
      </c>
      <c r="D106" s="1285">
        <v>41882</v>
      </c>
      <c r="E106" s="1284" t="s">
        <v>89</v>
      </c>
      <c r="F106" s="1284" t="s">
        <v>643</v>
      </c>
      <c r="G106" s="1286">
        <v>4.4784600000000001</v>
      </c>
    </row>
    <row r="107" spans="1:7" x14ac:dyDescent="0.2">
      <c r="A107" s="1284" t="str">
        <f>"SPTRXVD"</f>
        <v>SPTRXVD</v>
      </c>
      <c r="B107" s="1284" t="s">
        <v>659</v>
      </c>
      <c r="C107" s="1284" t="s">
        <v>664</v>
      </c>
      <c r="D107" s="1285">
        <v>41882</v>
      </c>
      <c r="E107" s="1284" t="s">
        <v>89</v>
      </c>
      <c r="F107" s="1284" t="s">
        <v>643</v>
      </c>
      <c r="G107" s="1286">
        <v>3.61626</v>
      </c>
    </row>
    <row r="108" spans="1:7" x14ac:dyDescent="0.2">
      <c r="A108" s="1284" t="str">
        <f>"TEO"</f>
        <v>TEO</v>
      </c>
      <c r="B108" s="1284" t="s">
        <v>901</v>
      </c>
      <c r="C108" s="1284" t="s">
        <v>664</v>
      </c>
      <c r="D108" s="1285">
        <v>41882</v>
      </c>
      <c r="E108" s="1284" t="s">
        <v>89</v>
      </c>
      <c r="F108" s="1284" t="s">
        <v>643</v>
      </c>
      <c r="G108" s="1286">
        <v>1.52502</v>
      </c>
    </row>
    <row r="109" spans="1:7" x14ac:dyDescent="0.2">
      <c r="A109" s="1284" t="str">
        <f>"V3G"</f>
        <v>V3G</v>
      </c>
      <c r="B109" s="1284" t="s">
        <v>682</v>
      </c>
      <c r="C109" s="1284" t="s">
        <v>664</v>
      </c>
      <c r="D109" s="1285">
        <v>41882</v>
      </c>
      <c r="E109" s="1284" t="s">
        <v>89</v>
      </c>
      <c r="F109" s="1284" t="s">
        <v>643</v>
      </c>
      <c r="G109" s="1286">
        <v>-1.04514</v>
      </c>
    </row>
    <row r="110" spans="1:7" x14ac:dyDescent="0.2">
      <c r="A110" s="1284" t="str">
        <f>"X01D"</f>
        <v>X01D</v>
      </c>
      <c r="B110" s="1284" t="s">
        <v>919</v>
      </c>
      <c r="C110" s="1284" t="s">
        <v>664</v>
      </c>
      <c r="D110" s="1285">
        <v>41882</v>
      </c>
      <c r="E110" s="1284" t="s">
        <v>89</v>
      </c>
      <c r="F110" s="1284" t="s">
        <v>643</v>
      </c>
      <c r="G110" s="1286">
        <v>4.0004999999999997</v>
      </c>
    </row>
    <row r="111" spans="1:7" x14ac:dyDescent="0.2">
      <c r="A111" s="1284" t="str">
        <f>"X11D"</f>
        <v>X11D</v>
      </c>
      <c r="B111" s="1284" t="s">
        <v>813</v>
      </c>
      <c r="C111" s="1284" t="s">
        <v>664</v>
      </c>
      <c r="D111" s="1285">
        <v>41882</v>
      </c>
      <c r="E111" s="1284" t="s">
        <v>89</v>
      </c>
      <c r="F111" s="1284" t="s">
        <v>643</v>
      </c>
      <c r="G111" s="1286">
        <v>3.1900000000000001E-3</v>
      </c>
    </row>
    <row r="112" spans="1:7" x14ac:dyDescent="0.2">
      <c r="A112" s="1284" t="str">
        <f>"X14DD"</f>
        <v>X14DD</v>
      </c>
      <c r="B112" s="1284" t="s">
        <v>809</v>
      </c>
      <c r="C112" s="1284" t="s">
        <v>664</v>
      </c>
      <c r="D112" s="1285">
        <v>41882</v>
      </c>
      <c r="E112" s="1284" t="s">
        <v>89</v>
      </c>
      <c r="F112" s="1284" t="s">
        <v>643</v>
      </c>
      <c r="G112" s="1286">
        <v>0.69833999999999996</v>
      </c>
    </row>
    <row r="113" spans="1:7" x14ac:dyDescent="0.2">
      <c r="A113" s="1284" t="str">
        <f>"XDYD"</f>
        <v>XDYD</v>
      </c>
      <c r="B113" s="1284" t="s">
        <v>902</v>
      </c>
      <c r="C113" s="1284" t="s">
        <v>664</v>
      </c>
      <c r="D113" s="1285">
        <v>41882</v>
      </c>
      <c r="E113" s="1284" t="s">
        <v>89</v>
      </c>
      <c r="F113" s="1284" t="s">
        <v>643</v>
      </c>
      <c r="G113" s="1286">
        <v>5.0829000000000004</v>
      </c>
    </row>
    <row r="114" spans="1:7" x14ac:dyDescent="0.2">
      <c r="A114" s="1284" t="str">
        <f>"XF1D"</f>
        <v>XF1D</v>
      </c>
      <c r="B114" s="1284" t="s">
        <v>899</v>
      </c>
      <c r="C114" s="1284" t="s">
        <v>664</v>
      </c>
      <c r="D114" s="1285">
        <v>41882</v>
      </c>
      <c r="E114" s="1284" t="s">
        <v>89</v>
      </c>
      <c r="F114" s="1284" t="s">
        <v>643</v>
      </c>
      <c r="G114" s="1286">
        <v>4.1319999999999997</v>
      </c>
    </row>
    <row r="115" spans="1:7" x14ac:dyDescent="0.2">
      <c r="A115" s="1284" t="str">
        <f>"XF2"</f>
        <v>XF2</v>
      </c>
      <c r="B115" s="1284" t="s">
        <v>731</v>
      </c>
      <c r="C115" s="1284" t="s">
        <v>664</v>
      </c>
      <c r="D115" s="1285">
        <v>41882</v>
      </c>
      <c r="E115" s="1284" t="s">
        <v>89</v>
      </c>
      <c r="F115" s="1284" t="s">
        <v>643</v>
      </c>
      <c r="G115" s="1286">
        <v>4.9585600000000003</v>
      </c>
    </row>
    <row r="116" spans="1:7" x14ac:dyDescent="0.2">
      <c r="A116" s="1284" t="str">
        <f>"XF3D"</f>
        <v>XF3D</v>
      </c>
      <c r="B116" s="1284" t="s">
        <v>656</v>
      </c>
      <c r="C116" s="1284" t="s">
        <v>664</v>
      </c>
      <c r="D116" s="1285">
        <v>41882</v>
      </c>
      <c r="E116" s="1284" t="s">
        <v>89</v>
      </c>
      <c r="F116" s="1284" t="s">
        <v>643</v>
      </c>
      <c r="G116" s="1286">
        <v>4.1954599999999997</v>
      </c>
    </row>
    <row r="117" spans="1:7" x14ac:dyDescent="0.2">
      <c r="A117" s="1284" t="str">
        <f>"XF5D"</f>
        <v>XF5D</v>
      </c>
      <c r="B117" s="1284" t="s">
        <v>900</v>
      </c>
      <c r="C117" s="1284" t="s">
        <v>664</v>
      </c>
      <c r="D117" s="1285">
        <v>41882</v>
      </c>
      <c r="E117" s="1284" t="s">
        <v>89</v>
      </c>
      <c r="F117" s="1284" t="s">
        <v>643</v>
      </c>
      <c r="G117" s="1286">
        <v>4.9397099999999998</v>
      </c>
    </row>
    <row r="118" spans="1:7" x14ac:dyDescent="0.2">
      <c r="A118" s="1284" t="str">
        <f>"XFAD"</f>
        <v>XFAD</v>
      </c>
      <c r="B118" s="1284" t="s">
        <v>920</v>
      </c>
      <c r="C118" s="1284" t="s">
        <v>664</v>
      </c>
      <c r="D118" s="1285">
        <v>41882</v>
      </c>
      <c r="E118" s="1284" t="s">
        <v>89</v>
      </c>
      <c r="F118" s="1284" t="s">
        <v>643</v>
      </c>
      <c r="G118" s="1286">
        <v>5.5769599999999997</v>
      </c>
    </row>
    <row r="119" spans="1:7" x14ac:dyDescent="0.2">
      <c r="A119" s="1284" t="str">
        <f>"XFCD"</f>
        <v>XFCD</v>
      </c>
      <c r="B119" s="1284" t="s">
        <v>921</v>
      </c>
      <c r="C119" s="1284" t="s">
        <v>664</v>
      </c>
      <c r="D119" s="1285">
        <v>41882</v>
      </c>
      <c r="E119" s="1284" t="s">
        <v>89</v>
      </c>
      <c r="F119" s="1284" t="s">
        <v>643</v>
      </c>
      <c r="G119" s="1286">
        <v>4.3466800000000001</v>
      </c>
    </row>
    <row r="120" spans="1:7" x14ac:dyDescent="0.2">
      <c r="A120" s="1284" t="str">
        <f>"XSLD"</f>
        <v>XSLD</v>
      </c>
      <c r="B120" s="1284" t="s">
        <v>810</v>
      </c>
      <c r="C120" s="1284" t="s">
        <v>664</v>
      </c>
      <c r="D120" s="1285">
        <v>41882</v>
      </c>
      <c r="E120" s="1284" t="s">
        <v>89</v>
      </c>
      <c r="F120" s="1284" t="s">
        <v>643</v>
      </c>
      <c r="G120" s="1286">
        <v>1.1040300000000001</v>
      </c>
    </row>
    <row r="121" spans="1:7" x14ac:dyDescent="0.2">
      <c r="A121" s="1284" t="str">
        <f>"Y5P"</f>
        <v>Y5P</v>
      </c>
      <c r="B121" s="1284" t="s">
        <v>811</v>
      </c>
      <c r="C121" s="1284" t="s">
        <v>664</v>
      </c>
      <c r="D121" s="1285">
        <v>41882</v>
      </c>
      <c r="E121" s="1284" t="s">
        <v>89</v>
      </c>
      <c r="F121" s="1284" t="s">
        <v>643</v>
      </c>
      <c r="G121" s="1286">
        <v>0.77103999999999995</v>
      </c>
    </row>
    <row r="122" spans="1:7" x14ac:dyDescent="0.2">
      <c r="A122" s="1284" t="str">
        <f>"Y7TD"</f>
        <v>Y7TD</v>
      </c>
      <c r="B122" s="1284" t="s">
        <v>812</v>
      </c>
      <c r="C122" s="1284" t="s">
        <v>664</v>
      </c>
      <c r="D122" s="1285">
        <v>41882</v>
      </c>
      <c r="E122" s="1284" t="s">
        <v>89</v>
      </c>
      <c r="F122" s="1284" t="s">
        <v>643</v>
      </c>
      <c r="G122" s="1286">
        <v>1.5851900000000001</v>
      </c>
    </row>
    <row r="123" spans="1:7" x14ac:dyDescent="0.2">
      <c r="A123" s="1284" t="str">
        <f>"Y7ZD"</f>
        <v>Y7ZD</v>
      </c>
      <c r="B123" s="1284" t="s">
        <v>649</v>
      </c>
      <c r="C123" s="1284" t="s">
        <v>664</v>
      </c>
      <c r="D123" s="1285">
        <v>41882</v>
      </c>
      <c r="E123" s="1284" t="s">
        <v>89</v>
      </c>
      <c r="F123" s="1284" t="s">
        <v>643</v>
      </c>
      <c r="G123" s="1286">
        <v>4.2949799999999998</v>
      </c>
    </row>
    <row r="124" spans="1:7" x14ac:dyDescent="0.2">
      <c r="A124" s="1284" t="str">
        <f>"YDUD"</f>
        <v>YDUD</v>
      </c>
      <c r="B124" s="1284" t="s">
        <v>650</v>
      </c>
      <c r="C124" s="1284" t="s">
        <v>664</v>
      </c>
      <c r="D124" s="1285">
        <v>41882</v>
      </c>
      <c r="E124" s="1284" t="s">
        <v>89</v>
      </c>
      <c r="F124" s="1284" t="s">
        <v>643</v>
      </c>
      <c r="G124" s="1286">
        <v>2.87</v>
      </c>
    </row>
    <row r="125" spans="1:7" x14ac:dyDescent="0.2">
      <c r="A125" s="1284" t="str">
        <f>"Z51D"</f>
        <v>Z51D</v>
      </c>
      <c r="B125" s="1284" t="s">
        <v>908</v>
      </c>
      <c r="C125" s="1284" t="s">
        <v>664</v>
      </c>
      <c r="D125" s="1285">
        <v>41882</v>
      </c>
      <c r="E125" s="1284" t="s">
        <v>89</v>
      </c>
      <c r="F125" s="1284" t="s">
        <v>643</v>
      </c>
      <c r="G125" s="1286">
        <v>0.43744</v>
      </c>
    </row>
  </sheetData>
  <autoFilter ref="A3:G3">
    <sortState ref="A4:G125">
      <sortCondition ref="A3"/>
    </sortState>
  </autoFilter>
  <pageMargins left="0.75" right="0.75" top="1" bottom="1" header="0.5" footer="0.5"/>
  <pageSetup scale="5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K127"/>
  <sheetViews>
    <sheetView topLeftCell="A52" zoomScale="90" zoomScaleNormal="90" workbookViewId="0">
      <selection activeCell="F78" sqref="F78:G78"/>
    </sheetView>
  </sheetViews>
  <sheetFormatPr defaultRowHeight="12.75" outlineLevelCol="1" x14ac:dyDescent="0.2"/>
  <cols>
    <col min="1" max="1" width="11.140625" style="1266" customWidth="1"/>
    <col min="2" max="2" width="47.5703125" style="1266" bestFit="1" customWidth="1"/>
    <col min="3" max="3" width="13.42578125" style="1266" hidden="1" customWidth="1" outlineLevel="1"/>
    <col min="4" max="4" width="19.140625" style="1266" hidden="1" customWidth="1" outlineLevel="1"/>
    <col min="5" max="5" width="15.140625" style="1266" hidden="1" customWidth="1" outlineLevel="1"/>
    <col min="6" max="6" width="20.140625" style="1266" bestFit="1" customWidth="1" collapsed="1"/>
    <col min="7" max="7" width="10" style="1266" bestFit="1" customWidth="1"/>
    <col min="8" max="8" width="9.140625" style="1266"/>
    <col min="9" max="9" width="12.5703125" style="1460" bestFit="1" customWidth="1"/>
    <col min="10" max="16384" width="9.140625" style="1266"/>
  </cols>
  <sheetData>
    <row r="1" spans="1:11" x14ac:dyDescent="0.2">
      <c r="A1" t="s">
        <v>616</v>
      </c>
      <c r="B1"/>
      <c r="C1"/>
      <c r="D1"/>
      <c r="E1"/>
      <c r="F1"/>
      <c r="G1"/>
      <c r="H1" s="38"/>
      <c r="I1" s="38"/>
      <c r="J1"/>
      <c r="K1"/>
    </row>
    <row r="2" spans="1:11" x14ac:dyDescent="0.2">
      <c r="A2" t="s">
        <v>947</v>
      </c>
      <c r="B2"/>
      <c r="C2"/>
      <c r="D2"/>
      <c r="E2"/>
      <c r="F2"/>
      <c r="G2"/>
      <c r="H2" s="1330"/>
      <c r="I2" s="1461" t="s">
        <v>697</v>
      </c>
      <c r="J2"/>
      <c r="K2"/>
    </row>
    <row r="3" spans="1:11" x14ac:dyDescent="0.2">
      <c r="A3" s="1459" t="s">
        <v>617</v>
      </c>
      <c r="B3" s="1459" t="s">
        <v>618</v>
      </c>
      <c r="C3" s="1459" t="s">
        <v>619</v>
      </c>
      <c r="D3" s="1459" t="s">
        <v>106</v>
      </c>
      <c r="E3" s="1459" t="s">
        <v>620</v>
      </c>
      <c r="F3" s="1459" t="s">
        <v>621</v>
      </c>
      <c r="G3" s="1459" t="s">
        <v>622</v>
      </c>
      <c r="H3" s="1331" t="s">
        <v>696</v>
      </c>
      <c r="I3" s="1462" t="s">
        <v>698</v>
      </c>
      <c r="J3"/>
      <c r="K3"/>
    </row>
    <row r="4" spans="1:11" x14ac:dyDescent="0.2">
      <c r="A4" s="1284" t="str">
        <f>"A1P1"</f>
        <v>A1P1</v>
      </c>
      <c r="B4" s="1284" t="s">
        <v>833</v>
      </c>
      <c r="C4" s="1284" t="s">
        <v>664</v>
      </c>
      <c r="D4" s="1285">
        <v>41851</v>
      </c>
      <c r="E4" s="1284" t="s">
        <v>662</v>
      </c>
      <c r="F4" s="1471">
        <v>10111719.617000001</v>
      </c>
      <c r="G4" s="1286">
        <v>-1.1310100000000001</v>
      </c>
      <c r="H4" s="1314">
        <f>G4-(VLOOKUP(A4,'SS data PRELIM'!$A$4:$G$125,7,FALSE))</f>
        <v>-1.55945</v>
      </c>
      <c r="I4" s="1463">
        <f t="shared" ref="I4:I35" si="0">ABS(H4)</f>
        <v>1.55945</v>
      </c>
      <c r="J4"/>
      <c r="K4"/>
    </row>
    <row r="5" spans="1:11" x14ac:dyDescent="0.2">
      <c r="A5" s="1284" t="str">
        <f>"A1P4"</f>
        <v>A1P4</v>
      </c>
      <c r="B5" s="1284" t="s">
        <v>835</v>
      </c>
      <c r="C5" s="1284" t="s">
        <v>664</v>
      </c>
      <c r="D5" s="1285">
        <v>41851</v>
      </c>
      <c r="E5" s="1284" t="s">
        <v>662</v>
      </c>
      <c r="F5" s="1471">
        <v>348633712.16299999</v>
      </c>
      <c r="G5" s="1286">
        <v>-0.25374999999999998</v>
      </c>
      <c r="H5" s="1314">
        <f>G5-(VLOOKUP(A5,'SS data PRELIM'!$A$4:$G$125,7,FALSE))</f>
        <v>-1.5376999999999998</v>
      </c>
      <c r="I5" s="1463">
        <f t="shared" si="0"/>
        <v>1.5376999999999998</v>
      </c>
      <c r="J5"/>
      <c r="K5"/>
    </row>
    <row r="6" spans="1:11" x14ac:dyDescent="0.2">
      <c r="A6" s="1284" t="str">
        <f>"A1P5"</f>
        <v>A1P5</v>
      </c>
      <c r="B6" s="1284" t="s">
        <v>922</v>
      </c>
      <c r="C6" s="1284" t="s">
        <v>664</v>
      </c>
      <c r="D6" s="1285">
        <v>41851</v>
      </c>
      <c r="E6" s="1284" t="s">
        <v>662</v>
      </c>
      <c r="F6" s="1472">
        <v>0.02</v>
      </c>
      <c r="G6" s="1284" t="s">
        <v>643</v>
      </c>
      <c r="H6" s="1314" t="e">
        <f>G6-(VLOOKUP(A6,'SS data PRELIM'!$A$4:$G$125,7,FALSE))</f>
        <v>#VALUE!</v>
      </c>
      <c r="I6" s="1463" t="e">
        <f t="shared" si="0"/>
        <v>#VALUE!</v>
      </c>
      <c r="J6"/>
      <c r="K6"/>
    </row>
    <row r="7" spans="1:11" x14ac:dyDescent="0.2">
      <c r="A7" s="1284" t="str">
        <f>"A1P6"</f>
        <v>A1P6</v>
      </c>
      <c r="B7" s="1284" t="s">
        <v>838</v>
      </c>
      <c r="C7" s="1284" t="s">
        <v>664</v>
      </c>
      <c r="D7" s="1285">
        <v>41851</v>
      </c>
      <c r="E7" s="1284" t="s">
        <v>662</v>
      </c>
      <c r="F7" s="1471">
        <v>417349140.04299998</v>
      </c>
      <c r="G7" s="1286">
        <v>-0.76593999999999995</v>
      </c>
      <c r="H7" s="1314">
        <f>G7-(VLOOKUP(A7,'SS data PRELIM'!$A$4:$G$125,7,FALSE))</f>
        <v>-0.89652999999999994</v>
      </c>
      <c r="I7" s="1463">
        <f t="shared" si="0"/>
        <v>0.89652999999999994</v>
      </c>
      <c r="J7"/>
      <c r="K7"/>
    </row>
    <row r="8" spans="1:11" x14ac:dyDescent="0.2">
      <c r="A8" s="1284" t="str">
        <f>"A1PN"</f>
        <v>A1PN</v>
      </c>
      <c r="B8" s="1284" t="s">
        <v>895</v>
      </c>
      <c r="C8" s="1284" t="s">
        <v>664</v>
      </c>
      <c r="D8" s="1285">
        <v>41851</v>
      </c>
      <c r="E8" s="1284" t="s">
        <v>662</v>
      </c>
      <c r="F8" s="1471">
        <v>504342056.83999997</v>
      </c>
      <c r="G8" s="1286">
        <v>-1.0984</v>
      </c>
      <c r="H8" s="1314">
        <f>G8-(VLOOKUP(A8,'SS data PRELIM'!$A$4:$G$125,7,FALSE))</f>
        <v>-4.91913</v>
      </c>
      <c r="I8" s="1463">
        <f t="shared" si="0"/>
        <v>4.91913</v>
      </c>
      <c r="J8"/>
      <c r="K8"/>
    </row>
    <row r="9" spans="1:11" x14ac:dyDescent="0.2">
      <c r="A9" s="1284" t="str">
        <f>"A1PO"</f>
        <v>A1PO</v>
      </c>
      <c r="B9" s="1284" t="s">
        <v>853</v>
      </c>
      <c r="C9" s="1284" t="s">
        <v>664</v>
      </c>
      <c r="D9" s="1285">
        <v>41851</v>
      </c>
      <c r="E9" s="1284" t="s">
        <v>662</v>
      </c>
      <c r="F9" s="1471">
        <v>179040880.921</v>
      </c>
      <c r="G9" s="1286">
        <v>-1.6959599999999999</v>
      </c>
      <c r="H9" s="1314">
        <f>G9-(VLOOKUP(A9,'SS data PRELIM'!$A$4:$G$125,7,FALSE))</f>
        <v>-1.8871799999999999</v>
      </c>
      <c r="I9" s="1463">
        <f t="shared" si="0"/>
        <v>1.8871799999999999</v>
      </c>
      <c r="J9"/>
      <c r="K9"/>
    </row>
    <row r="10" spans="1:11" x14ac:dyDescent="0.2">
      <c r="A10" s="1284" t="str">
        <f>"A1QA"</f>
        <v>A1QA</v>
      </c>
      <c r="B10" s="1284" t="s">
        <v>685</v>
      </c>
      <c r="C10" s="1284" t="s">
        <v>664</v>
      </c>
      <c r="D10" s="1285">
        <v>41851</v>
      </c>
      <c r="E10" s="1284" t="s">
        <v>662</v>
      </c>
      <c r="F10" s="1471">
        <v>712312373.89900005</v>
      </c>
      <c r="G10" s="1286">
        <v>1.90998</v>
      </c>
      <c r="H10" s="1314">
        <f>G10-(VLOOKUP(A10,'SS data PRELIM'!$A$4:$G$125,7,FALSE))</f>
        <v>-0.31483999999999979</v>
      </c>
      <c r="I10" s="1463">
        <f t="shared" si="0"/>
        <v>0.31483999999999979</v>
      </c>
      <c r="J10"/>
      <c r="K10"/>
    </row>
    <row r="11" spans="1:11" x14ac:dyDescent="0.2">
      <c r="A11" s="1284" t="str">
        <f>"A1QE"</f>
        <v>A1QE</v>
      </c>
      <c r="B11" s="1284" t="s">
        <v>687</v>
      </c>
      <c r="C11" s="1284" t="s">
        <v>664</v>
      </c>
      <c r="D11" s="1285">
        <v>41851</v>
      </c>
      <c r="E11" s="1284" t="s">
        <v>662</v>
      </c>
      <c r="F11" s="1471">
        <v>475706290.18599999</v>
      </c>
      <c r="G11" s="1286">
        <v>0.66793999999999998</v>
      </c>
      <c r="H11" s="1314">
        <f>G11-(VLOOKUP(A11,'SS data PRELIM'!$A$4:$G$125,7,FALSE))</f>
        <v>-2.8758299999999997</v>
      </c>
      <c r="I11" s="1463">
        <f t="shared" si="0"/>
        <v>2.8758299999999997</v>
      </c>
      <c r="J11"/>
      <c r="K11"/>
    </row>
    <row r="12" spans="1:11" x14ac:dyDescent="0.2">
      <c r="A12" s="1284" t="str">
        <f>"A1QF"</f>
        <v>A1QF</v>
      </c>
      <c r="B12" s="1284" t="s">
        <v>699</v>
      </c>
      <c r="C12" s="1284" t="s">
        <v>664</v>
      </c>
      <c r="D12" s="1285">
        <v>41851</v>
      </c>
      <c r="E12" s="1284" t="s">
        <v>662</v>
      </c>
      <c r="F12" s="1471">
        <v>322413246.46799999</v>
      </c>
      <c r="G12" s="1286">
        <v>1.7689900000000001</v>
      </c>
      <c r="H12" s="1314">
        <f>G12-(VLOOKUP(A12,'SS data PRELIM'!$A$4:$G$125,7,FALSE))</f>
        <v>-0.6810299999999998</v>
      </c>
      <c r="I12" s="1463">
        <f t="shared" si="0"/>
        <v>0.6810299999999998</v>
      </c>
      <c r="J12"/>
      <c r="K12"/>
    </row>
    <row r="13" spans="1:11" x14ac:dyDescent="0.2">
      <c r="A13" s="1284" t="str">
        <f>"A1QG"</f>
        <v>A1QG</v>
      </c>
      <c r="B13" s="1284" t="s">
        <v>700</v>
      </c>
      <c r="C13" s="1284" t="s">
        <v>664</v>
      </c>
      <c r="D13" s="1285">
        <v>41851</v>
      </c>
      <c r="E13" s="1284" t="s">
        <v>662</v>
      </c>
      <c r="F13" s="1471">
        <v>521917396.16000003</v>
      </c>
      <c r="G13" s="1286">
        <v>0.52571999999999997</v>
      </c>
      <c r="H13" s="1314">
        <f>G13-(VLOOKUP(A13,'SS data PRELIM'!$A$4:$G$125,7,FALSE))</f>
        <v>-1.67587</v>
      </c>
      <c r="I13" s="1463">
        <f t="shared" si="0"/>
        <v>1.67587</v>
      </c>
      <c r="J13"/>
      <c r="K13"/>
    </row>
    <row r="14" spans="1:11" x14ac:dyDescent="0.2">
      <c r="A14" s="1284" t="str">
        <f>"A1QI"</f>
        <v>A1QI</v>
      </c>
      <c r="B14" s="1284" t="s">
        <v>705</v>
      </c>
      <c r="C14" s="1284" t="s">
        <v>664</v>
      </c>
      <c r="D14" s="1285">
        <v>41851</v>
      </c>
      <c r="E14" s="1284" t="s">
        <v>662</v>
      </c>
      <c r="F14" s="1471">
        <v>6947809.4699999997</v>
      </c>
      <c r="G14" s="1286">
        <v>-4.97194</v>
      </c>
      <c r="H14" s="1314">
        <f>G14-(VLOOKUP(A14,'SS data PRELIM'!$A$4:$G$125,7,FALSE))</f>
        <v>-3.8198499999999997</v>
      </c>
      <c r="I14" s="1463">
        <f t="shared" si="0"/>
        <v>3.8198499999999997</v>
      </c>
      <c r="J14"/>
      <c r="K14"/>
    </row>
    <row r="15" spans="1:11" x14ac:dyDescent="0.2">
      <c r="A15" s="1284" t="str">
        <f>"A1QJ"</f>
        <v>A1QJ</v>
      </c>
      <c r="B15" s="1284" t="s">
        <v>706</v>
      </c>
      <c r="C15" s="1284" t="s">
        <v>664</v>
      </c>
      <c r="D15" s="1285">
        <v>41851</v>
      </c>
      <c r="E15" s="1284" t="s">
        <v>662</v>
      </c>
      <c r="F15" s="1471">
        <v>16716834.284</v>
      </c>
      <c r="G15" s="1286">
        <v>1.9108400000000001</v>
      </c>
      <c r="H15" s="1314">
        <f>G15-(VLOOKUP(A15,'SS data PRELIM'!$A$4:$G$125,7,FALSE))</f>
        <v>-0.29784999999999973</v>
      </c>
      <c r="I15" s="1463">
        <f t="shared" si="0"/>
        <v>0.29784999999999973</v>
      </c>
      <c r="J15"/>
      <c r="K15"/>
    </row>
    <row r="16" spans="1:11" x14ac:dyDescent="0.2">
      <c r="A16" s="1284" t="str">
        <f>"A1QL"</f>
        <v>A1QL</v>
      </c>
      <c r="B16" s="1284" t="s">
        <v>707</v>
      </c>
      <c r="C16" s="1284" t="s">
        <v>664</v>
      </c>
      <c r="D16" s="1285">
        <v>41851</v>
      </c>
      <c r="E16" s="1284" t="s">
        <v>662</v>
      </c>
      <c r="F16" s="1471">
        <v>9386016.8269999996</v>
      </c>
      <c r="G16" s="1286">
        <v>-2.3801800000000002</v>
      </c>
      <c r="H16" s="1314">
        <f>G16-(VLOOKUP(A16,'SS data PRELIM'!$A$4:$G$125,7,FALSE))</f>
        <v>-2.1984400000000002</v>
      </c>
      <c r="I16" s="1463">
        <f t="shared" si="0"/>
        <v>2.1984400000000002</v>
      </c>
      <c r="J16"/>
      <c r="K16"/>
    </row>
    <row r="17" spans="1:11" x14ac:dyDescent="0.2">
      <c r="A17" s="1284" t="str">
        <f>"A1QM"</f>
        <v>A1QM</v>
      </c>
      <c r="B17" s="1284" t="s">
        <v>708</v>
      </c>
      <c r="C17" s="1284" t="s">
        <v>664</v>
      </c>
      <c r="D17" s="1285">
        <v>41851</v>
      </c>
      <c r="E17" s="1284" t="s">
        <v>662</v>
      </c>
      <c r="F17" s="1471">
        <v>38846259.662</v>
      </c>
      <c r="G17" s="1286">
        <v>-1.95261</v>
      </c>
      <c r="H17" s="1314">
        <f>G17-(VLOOKUP(A17,'SS data PRELIM'!$A$4:$G$125,7,FALSE))</f>
        <v>-1.77295</v>
      </c>
      <c r="I17" s="1463">
        <f t="shared" si="0"/>
        <v>1.77295</v>
      </c>
      <c r="J17"/>
      <c r="K17"/>
    </row>
    <row r="18" spans="1:11" x14ac:dyDescent="0.2">
      <c r="A18" s="1284" t="str">
        <f>"A1QN"</f>
        <v>A1QN</v>
      </c>
      <c r="B18" s="1284" t="s">
        <v>709</v>
      </c>
      <c r="C18" s="1284" t="s">
        <v>664</v>
      </c>
      <c r="D18" s="1285">
        <v>41851</v>
      </c>
      <c r="E18" s="1284" t="s">
        <v>662</v>
      </c>
      <c r="F18" s="1471">
        <v>17961124.318999998</v>
      </c>
      <c r="G18" s="1286">
        <v>-6.0020499999999997</v>
      </c>
      <c r="H18" s="1314">
        <f>G18-(VLOOKUP(A18,'SS data PRELIM'!$A$4:$G$125,7,FALSE))</f>
        <v>-10.96364</v>
      </c>
      <c r="I18" s="1463">
        <f t="shared" si="0"/>
        <v>10.96364</v>
      </c>
      <c r="J18"/>
      <c r="K18"/>
    </row>
    <row r="19" spans="1:11" x14ac:dyDescent="0.2">
      <c r="A19" s="1284" t="str">
        <f>"A1QO"</f>
        <v>A1QO</v>
      </c>
      <c r="B19" s="1284" t="s">
        <v>710</v>
      </c>
      <c r="C19" s="1284" t="s">
        <v>664</v>
      </c>
      <c r="D19" s="1285">
        <v>41851</v>
      </c>
      <c r="E19" s="1284" t="s">
        <v>662</v>
      </c>
      <c r="F19" s="1471">
        <v>97902322.925999999</v>
      </c>
      <c r="G19" s="1286">
        <v>-1.5940300000000001</v>
      </c>
      <c r="H19" s="1314">
        <f>G19-(VLOOKUP(A19,'SS data PRELIM'!$A$4:$G$125,7,FALSE))</f>
        <v>-5.6919199999999996</v>
      </c>
      <c r="I19" s="1463">
        <f t="shared" si="0"/>
        <v>5.6919199999999996</v>
      </c>
      <c r="J19"/>
      <c r="K19"/>
    </row>
    <row r="20" spans="1:11" x14ac:dyDescent="0.2">
      <c r="A20" s="1284" t="str">
        <f>"A1QP"</f>
        <v>A1QP</v>
      </c>
      <c r="B20" s="1284" t="s">
        <v>711</v>
      </c>
      <c r="C20" s="1284" t="s">
        <v>664</v>
      </c>
      <c r="D20" s="1285">
        <v>41851</v>
      </c>
      <c r="E20" s="1284" t="s">
        <v>662</v>
      </c>
      <c r="F20" s="1471">
        <v>18084876.373</v>
      </c>
      <c r="G20" s="1286">
        <v>-1.59517</v>
      </c>
      <c r="H20" s="1314">
        <f>G20-(VLOOKUP(A20,'SS data PRELIM'!$A$4:$G$125,7,FALSE))</f>
        <v>-3.42096</v>
      </c>
      <c r="I20" s="1463">
        <f t="shared" si="0"/>
        <v>3.42096</v>
      </c>
      <c r="J20"/>
      <c r="K20"/>
    </row>
    <row r="21" spans="1:11" x14ac:dyDescent="0.2">
      <c r="A21" s="1284" t="str">
        <f>"A1QR"</f>
        <v>A1QR</v>
      </c>
      <c r="B21" s="1284" t="s">
        <v>712</v>
      </c>
      <c r="C21" s="1284" t="s">
        <v>664</v>
      </c>
      <c r="D21" s="1285">
        <v>41851</v>
      </c>
      <c r="E21" s="1284" t="s">
        <v>662</v>
      </c>
      <c r="F21" s="1471">
        <v>31482272.471000001</v>
      </c>
      <c r="G21" s="1286">
        <v>-0.23573</v>
      </c>
      <c r="H21" s="1314">
        <f>G21-(VLOOKUP(A21,'SS data PRELIM'!$A$4:$G$125,7,FALSE))</f>
        <v>-1.31155</v>
      </c>
      <c r="I21" s="1463">
        <f t="shared" si="0"/>
        <v>1.31155</v>
      </c>
      <c r="J21"/>
      <c r="K21"/>
    </row>
    <row r="22" spans="1:11" x14ac:dyDescent="0.2">
      <c r="A22" s="1284" t="str">
        <f>"A1QV"</f>
        <v>A1QV</v>
      </c>
      <c r="B22" s="1284" t="s">
        <v>733</v>
      </c>
      <c r="C22" s="1284" t="s">
        <v>664</v>
      </c>
      <c r="D22" s="1285">
        <v>41851</v>
      </c>
      <c r="E22" s="1284" t="s">
        <v>662</v>
      </c>
      <c r="F22" s="1471">
        <v>2103955.5469999998</v>
      </c>
      <c r="G22" s="1284" t="s">
        <v>643</v>
      </c>
      <c r="H22" s="1314" t="e">
        <f>G22-(VLOOKUP(A22,'SS data PRELIM'!$A$4:$G$125,7,FALSE))</f>
        <v>#VALUE!</v>
      </c>
      <c r="I22" s="1463" t="e">
        <f t="shared" si="0"/>
        <v>#VALUE!</v>
      </c>
      <c r="J22"/>
      <c r="K22"/>
    </row>
    <row r="23" spans="1:11" x14ac:dyDescent="0.2">
      <c r="A23" s="1284" t="str">
        <f>"A1QW"</f>
        <v>A1QW</v>
      </c>
      <c r="B23" s="1284" t="s">
        <v>734</v>
      </c>
      <c r="C23" s="1284" t="s">
        <v>664</v>
      </c>
      <c r="D23" s="1285">
        <v>41851</v>
      </c>
      <c r="E23" s="1284" t="s">
        <v>662</v>
      </c>
      <c r="F23" s="1471">
        <v>1230023.987</v>
      </c>
      <c r="G23" s="1284" t="s">
        <v>643</v>
      </c>
      <c r="H23" s="1314" t="e">
        <f>G23-(VLOOKUP(A23,'SS data PRELIM'!$A$4:$G$125,7,FALSE))</f>
        <v>#VALUE!</v>
      </c>
      <c r="I23" s="1463" t="e">
        <f t="shared" si="0"/>
        <v>#VALUE!</v>
      </c>
      <c r="J23"/>
      <c r="K23"/>
    </row>
    <row r="24" spans="1:11" x14ac:dyDescent="0.2">
      <c r="A24" s="1284" t="str">
        <f>"A1QX"</f>
        <v>A1QX</v>
      </c>
      <c r="B24" s="1284" t="s">
        <v>735</v>
      </c>
      <c r="C24" s="1284" t="s">
        <v>664</v>
      </c>
      <c r="D24" s="1285">
        <v>41851</v>
      </c>
      <c r="E24" s="1284" t="s">
        <v>662</v>
      </c>
      <c r="F24" s="1471">
        <v>405158497.028</v>
      </c>
      <c r="G24" s="1286">
        <v>-4.9006499999999997</v>
      </c>
      <c r="H24" s="1314">
        <f>G24-(VLOOKUP(A24,'SS data PRELIM'!$A$4:$G$125,7,FALSE))</f>
        <v>-5.61327</v>
      </c>
      <c r="I24" s="1463">
        <f t="shared" si="0"/>
        <v>5.61327</v>
      </c>
      <c r="J24"/>
      <c r="K24"/>
    </row>
    <row r="25" spans="1:11" x14ac:dyDescent="0.2">
      <c r="A25" s="1284" t="str">
        <f>"A1R5"</f>
        <v>A1R5</v>
      </c>
      <c r="B25" s="1284" t="s">
        <v>890</v>
      </c>
      <c r="C25" s="1284" t="s">
        <v>664</v>
      </c>
      <c r="D25" s="1285">
        <v>41851</v>
      </c>
      <c r="E25" s="1284" t="s">
        <v>662</v>
      </c>
      <c r="F25" s="1471">
        <v>326322585.30400002</v>
      </c>
      <c r="G25" s="1286">
        <v>-1.59534</v>
      </c>
      <c r="H25" s="1314">
        <f>G25-(VLOOKUP(A25,'SS data PRELIM'!$A$4:$G$125,7,FALSE))</f>
        <v>-3.2296199999999997</v>
      </c>
      <c r="I25" s="1463">
        <f t="shared" si="0"/>
        <v>3.2296199999999997</v>
      </c>
      <c r="J25"/>
      <c r="K25"/>
    </row>
    <row r="26" spans="1:11" x14ac:dyDescent="0.2">
      <c r="A26" s="1284" t="str">
        <f>"A1RG"</f>
        <v>A1RG</v>
      </c>
      <c r="B26" s="1284" t="s">
        <v>804</v>
      </c>
      <c r="C26" s="1284" t="s">
        <v>664</v>
      </c>
      <c r="D26" s="1285">
        <v>41851</v>
      </c>
      <c r="E26" s="1284" t="s">
        <v>662</v>
      </c>
      <c r="F26" s="1471">
        <v>602813262.37</v>
      </c>
      <c r="G26" s="1286">
        <v>-1.8314299999999999</v>
      </c>
      <c r="H26" s="1314">
        <f>G26-(VLOOKUP(A26,'SS data PRELIM'!$A$4:$G$125,7,FALSE))</f>
        <v>-4.15055</v>
      </c>
      <c r="I26" s="1463">
        <f t="shared" si="0"/>
        <v>4.15055</v>
      </c>
      <c r="J26"/>
      <c r="K26"/>
    </row>
    <row r="27" spans="1:11" x14ac:dyDescent="0.2">
      <c r="A27" s="1284" t="str">
        <f>"A1RV"</f>
        <v>A1RV</v>
      </c>
      <c r="B27" s="1284" t="s">
        <v>816</v>
      </c>
      <c r="C27" s="1284" t="s">
        <v>664</v>
      </c>
      <c r="D27" s="1285">
        <v>41851</v>
      </c>
      <c r="E27" s="1284" t="s">
        <v>662</v>
      </c>
      <c r="F27" s="1471">
        <v>780661179.41600001</v>
      </c>
      <c r="G27" s="1286">
        <v>-1.62375</v>
      </c>
      <c r="H27" s="1314">
        <f>G27-(VLOOKUP(A27,'SS data PRELIM'!$A$4:$G$125,7,FALSE))</f>
        <v>-5.4283200000000003</v>
      </c>
      <c r="I27" s="1463">
        <f t="shared" si="0"/>
        <v>5.4283200000000003</v>
      </c>
      <c r="J27"/>
      <c r="K27"/>
    </row>
    <row r="28" spans="1:11" x14ac:dyDescent="0.2">
      <c r="A28" s="1284" t="str">
        <f>"A1RW"</f>
        <v>A1RW</v>
      </c>
      <c r="B28" s="1284" t="s">
        <v>818</v>
      </c>
      <c r="C28" s="1284" t="s">
        <v>664</v>
      </c>
      <c r="D28" s="1285">
        <v>41851</v>
      </c>
      <c r="E28" s="1284" t="s">
        <v>662</v>
      </c>
      <c r="F28" s="1471">
        <v>502964888.34200001</v>
      </c>
      <c r="G28" s="1286">
        <v>-1.5140400000000001</v>
      </c>
      <c r="H28" s="1314">
        <f>G28-(VLOOKUP(A28,'SS data PRELIM'!$A$4:$G$125,7,FALSE))</f>
        <v>-5.5830699999999993</v>
      </c>
      <c r="I28" s="1463">
        <f t="shared" si="0"/>
        <v>5.5830699999999993</v>
      </c>
      <c r="J28"/>
      <c r="K28"/>
    </row>
    <row r="29" spans="1:11" x14ac:dyDescent="0.2">
      <c r="A29" s="1284" t="str">
        <f>"A1SA"</f>
        <v>A1SA</v>
      </c>
      <c r="B29" s="1284" t="s">
        <v>663</v>
      </c>
      <c r="C29" s="1284" t="s">
        <v>664</v>
      </c>
      <c r="D29" s="1285">
        <v>41851</v>
      </c>
      <c r="E29" s="1284" t="s">
        <v>662</v>
      </c>
      <c r="F29" s="1472">
        <v>0</v>
      </c>
      <c r="G29" s="1284" t="s">
        <v>643</v>
      </c>
      <c r="H29" s="1314" t="e">
        <f>G29-(VLOOKUP(A29,'SS data PRELIM'!$A$4:$G$125,7,FALSE))</f>
        <v>#VALUE!</v>
      </c>
      <c r="I29" s="1463" t="e">
        <f t="shared" si="0"/>
        <v>#VALUE!</v>
      </c>
      <c r="J29"/>
      <c r="K29"/>
    </row>
    <row r="30" spans="1:11" x14ac:dyDescent="0.2">
      <c r="A30" s="1284" t="str">
        <f>"A1SD"</f>
        <v>A1SD</v>
      </c>
      <c r="B30" s="1284" t="s">
        <v>931</v>
      </c>
      <c r="C30" s="1284" t="s">
        <v>664</v>
      </c>
      <c r="D30" s="1285">
        <v>41851</v>
      </c>
      <c r="E30" s="1284" t="s">
        <v>662</v>
      </c>
      <c r="F30" s="1472">
        <v>0.01</v>
      </c>
      <c r="G30" s="1284" t="s">
        <v>643</v>
      </c>
      <c r="H30" s="1314" t="e">
        <f>G30-(VLOOKUP(A30,'SS data PRELIM'!$A$4:$G$125,7,FALSE))</f>
        <v>#VALUE!</v>
      </c>
      <c r="I30" s="1463" t="e">
        <f t="shared" si="0"/>
        <v>#VALUE!</v>
      </c>
      <c r="J30"/>
      <c r="K30"/>
    </row>
    <row r="31" spans="1:11" x14ac:dyDescent="0.2">
      <c r="A31" s="1284" t="str">
        <f>"A1SU"</f>
        <v>A1SU</v>
      </c>
      <c r="B31" s="1284" t="s">
        <v>671</v>
      </c>
      <c r="C31" s="1284" t="s">
        <v>664</v>
      </c>
      <c r="D31" s="1285">
        <v>41851</v>
      </c>
      <c r="E31" s="1284" t="s">
        <v>662</v>
      </c>
      <c r="F31" s="1471">
        <v>465854398.74000001</v>
      </c>
      <c r="G31" s="1286">
        <v>-2.3830900000000002</v>
      </c>
      <c r="H31" s="1314">
        <f>G31-(VLOOKUP(A31,'SS data PRELIM'!$A$4:$G$125,7,FALSE))</f>
        <v>-2.16947</v>
      </c>
      <c r="I31" s="1463">
        <f t="shared" si="0"/>
        <v>2.16947</v>
      </c>
      <c r="J31"/>
      <c r="K31" s="779"/>
    </row>
    <row r="32" spans="1:11" x14ac:dyDescent="0.2">
      <c r="A32" s="1284" t="str">
        <f>"A1SV"</f>
        <v>A1SV</v>
      </c>
      <c r="B32" s="1284" t="s">
        <v>932</v>
      </c>
      <c r="C32" s="1284" t="s">
        <v>664</v>
      </c>
      <c r="D32" s="1285">
        <v>41851</v>
      </c>
      <c r="E32" s="1284" t="s">
        <v>662</v>
      </c>
      <c r="F32" s="1472">
        <v>0.01</v>
      </c>
      <c r="G32" s="1284" t="s">
        <v>643</v>
      </c>
      <c r="H32" s="1314" t="e">
        <f>G32-(VLOOKUP(A32,'SS data PRELIM'!$A$4:$G$125,7,FALSE))</f>
        <v>#VALUE!</v>
      </c>
      <c r="I32" s="1463" t="e">
        <f t="shared" si="0"/>
        <v>#VALUE!</v>
      </c>
      <c r="J32"/>
      <c r="K32" s="780"/>
    </row>
    <row r="33" spans="1:11" x14ac:dyDescent="0.2">
      <c r="A33" s="1284" t="str">
        <f>"A1SW"</f>
        <v>A1SW</v>
      </c>
      <c r="B33" s="1284" t="s">
        <v>681</v>
      </c>
      <c r="C33" s="1284" t="s">
        <v>664</v>
      </c>
      <c r="D33" s="1285">
        <v>41851</v>
      </c>
      <c r="E33" s="1284" t="s">
        <v>662</v>
      </c>
      <c r="F33" s="1471">
        <v>826503563.26900005</v>
      </c>
      <c r="G33" s="1286">
        <v>-4.1497799999999998</v>
      </c>
      <c r="H33" s="1314">
        <f>G33-(VLOOKUP(A33,'SS data PRELIM'!$A$4:$G$125,7,FALSE))</f>
        <v>-2.9682699999999995</v>
      </c>
      <c r="I33" s="1463">
        <f t="shared" si="0"/>
        <v>2.9682699999999995</v>
      </c>
      <c r="J33"/>
      <c r="K33"/>
    </row>
    <row r="34" spans="1:11" x14ac:dyDescent="0.2">
      <c r="A34" s="1284" t="str">
        <f>"A1TP"</f>
        <v>A1TP</v>
      </c>
      <c r="B34" s="1284" t="s">
        <v>944</v>
      </c>
      <c r="C34" s="1284" t="s">
        <v>664</v>
      </c>
      <c r="D34" s="1285">
        <v>41851</v>
      </c>
      <c r="E34" s="1284" t="s">
        <v>662</v>
      </c>
      <c r="F34" s="1471">
        <v>515636786.43000001</v>
      </c>
      <c r="G34" s="1286">
        <v>-2.8255300000000001</v>
      </c>
      <c r="H34" s="1314">
        <f>G34-(VLOOKUP(A34,'SS data PRELIM'!$A$4:$G$125,7,FALSE))</f>
        <v>-3.4885000000000002</v>
      </c>
      <c r="I34" s="1463">
        <f t="shared" si="0"/>
        <v>3.4885000000000002</v>
      </c>
      <c r="J34"/>
      <c r="K34"/>
    </row>
    <row r="35" spans="1:11" x14ac:dyDescent="0.2">
      <c r="A35" s="1284" t="str">
        <f>"A1TQ"</f>
        <v>A1TQ</v>
      </c>
      <c r="B35" s="1284" t="s">
        <v>945</v>
      </c>
      <c r="C35" s="1284" t="s">
        <v>664</v>
      </c>
      <c r="D35" s="1285">
        <v>41851</v>
      </c>
      <c r="E35" s="1284" t="s">
        <v>662</v>
      </c>
      <c r="F35" s="1471">
        <v>338252588.31400001</v>
      </c>
      <c r="G35" s="1286">
        <v>-2.4222600000000001</v>
      </c>
      <c r="H35" s="1314">
        <f>G35-(VLOOKUP(A35,'SS data PRELIM'!$A$4:$G$125,7,FALSE))</f>
        <v>-1.54874</v>
      </c>
      <c r="I35" s="1463">
        <f t="shared" si="0"/>
        <v>1.54874</v>
      </c>
      <c r="J35"/>
      <c r="K35"/>
    </row>
    <row r="36" spans="1:11" x14ac:dyDescent="0.2">
      <c r="A36" s="1284" t="str">
        <f>"A1TR"</f>
        <v>A1TR</v>
      </c>
      <c r="B36" s="1284" t="s">
        <v>946</v>
      </c>
      <c r="C36" s="1284" t="s">
        <v>664</v>
      </c>
      <c r="D36" s="1285">
        <v>41851</v>
      </c>
      <c r="E36" s="1284" t="s">
        <v>662</v>
      </c>
      <c r="F36" s="1471">
        <v>158639418.579</v>
      </c>
      <c r="G36" s="1286">
        <v>-1.8227199999999999</v>
      </c>
      <c r="H36" s="1314">
        <f>G36-(VLOOKUP(A36,'SS data PRELIM'!$A$4:$G$125,7,FALSE))</f>
        <v>-1.6564899999999998</v>
      </c>
      <c r="I36" s="1463">
        <f t="shared" ref="I36:I54" si="1">ABS(H36)</f>
        <v>1.6564899999999998</v>
      </c>
      <c r="J36"/>
      <c r="K36"/>
    </row>
    <row r="37" spans="1:11" x14ac:dyDescent="0.2">
      <c r="A37" s="1284" t="str">
        <f>"A1UB"</f>
        <v>A1UB</v>
      </c>
      <c r="B37" s="1284" t="s">
        <v>627</v>
      </c>
      <c r="C37" s="1284" t="s">
        <v>664</v>
      </c>
      <c r="D37" s="1285">
        <v>41851</v>
      </c>
      <c r="E37" s="1284" t="s">
        <v>662</v>
      </c>
      <c r="F37" s="1471">
        <v>1529114.96</v>
      </c>
      <c r="G37" s="1286">
        <v>0</v>
      </c>
      <c r="H37" s="1314">
        <f>G37-(VLOOKUP(A37,'SS data PRELIM'!$A$4:$G$125,7,FALSE))</f>
        <v>0</v>
      </c>
      <c r="I37" s="1463">
        <f t="shared" si="1"/>
        <v>0</v>
      </c>
      <c r="J37"/>
      <c r="K37"/>
    </row>
    <row r="38" spans="1:11" x14ac:dyDescent="0.2">
      <c r="A38" s="1284" t="str">
        <f>"A1UD"</f>
        <v>A1UD</v>
      </c>
      <c r="B38" s="1284" t="s">
        <v>926</v>
      </c>
      <c r="C38" s="1284" t="s">
        <v>664</v>
      </c>
      <c r="D38" s="1285">
        <v>41851</v>
      </c>
      <c r="E38" s="1284" t="s">
        <v>662</v>
      </c>
      <c r="F38" s="1472">
        <v>0.01</v>
      </c>
      <c r="G38" s="1286">
        <v>0</v>
      </c>
      <c r="H38" s="1314">
        <f>G38-(VLOOKUP(A38,'SS data PRELIM'!$A$4:$G$125,7,FALSE))</f>
        <v>0</v>
      </c>
      <c r="I38" s="1463">
        <f t="shared" si="1"/>
        <v>0</v>
      </c>
      <c r="J38"/>
      <c r="K38"/>
    </row>
    <row r="39" spans="1:11" x14ac:dyDescent="0.2">
      <c r="A39" s="1284" t="str">
        <f>"A1UE"</f>
        <v>A1UE</v>
      </c>
      <c r="B39" s="1284" t="s">
        <v>927</v>
      </c>
      <c r="C39" s="1284" t="s">
        <v>664</v>
      </c>
      <c r="D39" s="1285">
        <v>41851</v>
      </c>
      <c r="E39" s="1284" t="s">
        <v>662</v>
      </c>
      <c r="F39" s="1472">
        <v>0.01</v>
      </c>
      <c r="G39" s="1286">
        <v>0</v>
      </c>
      <c r="H39" s="1314">
        <f>G39-(VLOOKUP(A39,'SS data PRELIM'!$A$4:$G$125,7,FALSE))</f>
        <v>0</v>
      </c>
      <c r="I39" s="1463">
        <f t="shared" si="1"/>
        <v>0</v>
      </c>
      <c r="J39"/>
      <c r="K39"/>
    </row>
    <row r="40" spans="1:11" x14ac:dyDescent="0.2">
      <c r="A40" s="1284" t="str">
        <f>"A1UF"</f>
        <v>A1UF</v>
      </c>
      <c r="B40" s="1284" t="s">
        <v>928</v>
      </c>
      <c r="C40" s="1284" t="s">
        <v>664</v>
      </c>
      <c r="D40" s="1285">
        <v>41851</v>
      </c>
      <c r="E40" s="1284" t="s">
        <v>662</v>
      </c>
      <c r="F40" s="1472">
        <v>0.01</v>
      </c>
      <c r="G40" s="1286">
        <v>0</v>
      </c>
      <c r="H40" s="1314">
        <f>G40-(VLOOKUP(A40,'SS data PRELIM'!$A$4:$G$125,7,FALSE))</f>
        <v>0</v>
      </c>
      <c r="I40" s="1463">
        <f t="shared" si="1"/>
        <v>0</v>
      </c>
      <c r="J40"/>
      <c r="K40"/>
    </row>
    <row r="41" spans="1:11" x14ac:dyDescent="0.2">
      <c r="A41" s="1284" t="str">
        <f>"A1UG"</f>
        <v>A1UG</v>
      </c>
      <c r="B41" s="1284" t="s">
        <v>640</v>
      </c>
      <c r="C41" s="1284" t="s">
        <v>664</v>
      </c>
      <c r="D41" s="1285">
        <v>41851</v>
      </c>
      <c r="E41" s="1284" t="s">
        <v>662</v>
      </c>
      <c r="F41" s="1471">
        <v>22422793.412</v>
      </c>
      <c r="G41" s="1286">
        <v>0.1845</v>
      </c>
      <c r="H41" s="1314">
        <f>G41-(VLOOKUP(A41,'SS data PRELIM'!$A$4:$G$125,7,FALSE))</f>
        <v>-2.59328</v>
      </c>
      <c r="I41" s="1463">
        <f t="shared" si="1"/>
        <v>2.59328</v>
      </c>
      <c r="J41"/>
      <c r="K41"/>
    </row>
    <row r="42" spans="1:11" x14ac:dyDescent="0.2">
      <c r="A42" s="1284" t="str">
        <f>"A1UL"</f>
        <v>A1UL</v>
      </c>
      <c r="B42" s="1284" t="s">
        <v>637</v>
      </c>
      <c r="C42" s="1284" t="s">
        <v>664</v>
      </c>
      <c r="D42" s="1285">
        <v>41851</v>
      </c>
      <c r="E42" s="1284" t="s">
        <v>662</v>
      </c>
      <c r="F42" s="1471">
        <v>97438010.340000004</v>
      </c>
      <c r="G42" s="1286">
        <v>-5.1719200000000001</v>
      </c>
      <c r="H42" s="1314">
        <f>G42-(VLOOKUP(A42,'SS data PRELIM'!$A$4:$G$125,7,FALSE))</f>
        <v>-8.2895299999999992</v>
      </c>
      <c r="I42" s="1463">
        <f t="shared" si="1"/>
        <v>8.2895299999999992</v>
      </c>
      <c r="J42"/>
      <c r="K42"/>
    </row>
    <row r="43" spans="1:11" x14ac:dyDescent="0.2">
      <c r="A43" s="1284" t="str">
        <f>"A1UN"</f>
        <v>A1UN</v>
      </c>
      <c r="B43" s="1284" t="s">
        <v>626</v>
      </c>
      <c r="C43" s="1284" t="s">
        <v>664</v>
      </c>
      <c r="D43" s="1285">
        <v>41851</v>
      </c>
      <c r="E43" s="1284" t="s">
        <v>662</v>
      </c>
      <c r="F43" s="1471">
        <v>792345551.15999997</v>
      </c>
      <c r="G43" s="1286">
        <v>-1.5645100000000001</v>
      </c>
      <c r="H43" s="1314">
        <f>G43-(VLOOKUP(A43,'SS data PRELIM'!$A$4:$G$125,7,FALSE))</f>
        <v>-5.3292599999999997</v>
      </c>
      <c r="I43" s="1463">
        <f t="shared" si="1"/>
        <v>5.3292599999999997</v>
      </c>
      <c r="J43"/>
      <c r="K43"/>
    </row>
    <row r="44" spans="1:11" x14ac:dyDescent="0.2">
      <c r="A44" s="1284" t="str">
        <f>"A1UQ"</f>
        <v>A1UQ</v>
      </c>
      <c r="B44" s="1284" t="s">
        <v>625</v>
      </c>
      <c r="C44" s="1284" t="s">
        <v>664</v>
      </c>
      <c r="D44" s="1285">
        <v>41851</v>
      </c>
      <c r="E44" s="1284" t="s">
        <v>662</v>
      </c>
      <c r="F44" s="1471">
        <v>16191.88</v>
      </c>
      <c r="G44" s="1284" t="s">
        <v>643</v>
      </c>
      <c r="H44" s="1314" t="e">
        <f>G44-(VLOOKUP(A44,'SS data PRELIM'!$A$4:$G$125,7,FALSE))</f>
        <v>#VALUE!</v>
      </c>
      <c r="I44" s="1463" t="e">
        <f t="shared" si="1"/>
        <v>#VALUE!</v>
      </c>
      <c r="J44"/>
      <c r="K44"/>
    </row>
    <row r="45" spans="1:11" x14ac:dyDescent="0.2">
      <c r="A45" s="1284" t="str">
        <f>"A1UR"</f>
        <v>A1UR</v>
      </c>
      <c r="B45" s="1284" t="s">
        <v>674</v>
      </c>
      <c r="C45" s="1284" t="s">
        <v>664</v>
      </c>
      <c r="D45" s="1285">
        <v>41851</v>
      </c>
      <c r="E45" s="1284" t="s">
        <v>662</v>
      </c>
      <c r="F45" s="1471">
        <v>638648229.54299998</v>
      </c>
      <c r="G45" s="1286">
        <v>-1.53931</v>
      </c>
      <c r="H45" s="1314">
        <f>G45-(VLOOKUP(A45,'SS data PRELIM'!$A$4:$G$125,7,FALSE))</f>
        <v>-3.40259</v>
      </c>
      <c r="I45" s="1463">
        <f t="shared" si="1"/>
        <v>3.40259</v>
      </c>
      <c r="J45"/>
      <c r="K45"/>
    </row>
    <row r="46" spans="1:11" x14ac:dyDescent="0.2">
      <c r="A46" s="1284" t="str">
        <f>"A1UX"</f>
        <v>A1UX</v>
      </c>
      <c r="B46" s="1284" t="s">
        <v>941</v>
      </c>
      <c r="C46" s="1284" t="s">
        <v>664</v>
      </c>
      <c r="D46" s="1285">
        <v>41851</v>
      </c>
      <c r="E46" s="1284" t="s">
        <v>662</v>
      </c>
      <c r="F46" s="1472">
        <v>0.01</v>
      </c>
      <c r="G46" s="1284" t="s">
        <v>643</v>
      </c>
      <c r="H46" s="1314" t="e">
        <f>G46-(VLOOKUP(A46,'SS data PRELIM'!$A$4:$G$125,7,FALSE))</f>
        <v>#VALUE!</v>
      </c>
      <c r="I46" s="1463" t="e">
        <f t="shared" si="1"/>
        <v>#VALUE!</v>
      </c>
      <c r="J46"/>
      <c r="K46"/>
    </row>
    <row r="47" spans="1:11" x14ac:dyDescent="0.2">
      <c r="A47" s="1284" t="str">
        <f>"A1UY"</f>
        <v>A1UY</v>
      </c>
      <c r="B47" s="1284" t="s">
        <v>665</v>
      </c>
      <c r="C47" s="1284" t="s">
        <v>664</v>
      </c>
      <c r="D47" s="1285">
        <v>41851</v>
      </c>
      <c r="E47" s="1284" t="s">
        <v>662</v>
      </c>
      <c r="F47" s="1471">
        <v>9005.3559999999998</v>
      </c>
      <c r="G47" s="1284" t="s">
        <v>643</v>
      </c>
      <c r="H47" s="1314" t="e">
        <f>G47-(VLOOKUP(A47,'SS data PRELIM'!$A$4:$G$125,7,FALSE))</f>
        <v>#VALUE!</v>
      </c>
      <c r="I47" s="1463" t="e">
        <f t="shared" si="1"/>
        <v>#VALUE!</v>
      </c>
      <c r="J47"/>
      <c r="K47"/>
    </row>
    <row r="48" spans="1:11" x14ac:dyDescent="0.2">
      <c r="A48" s="1284" t="str">
        <f>"A1VA"</f>
        <v>A1VA</v>
      </c>
      <c r="B48" s="1284" t="s">
        <v>930</v>
      </c>
      <c r="C48" s="1284" t="s">
        <v>664</v>
      </c>
      <c r="D48" s="1285">
        <v>41851</v>
      </c>
      <c r="E48" s="1284" t="s">
        <v>662</v>
      </c>
      <c r="F48" s="1472">
        <v>0.01</v>
      </c>
      <c r="G48" s="1286">
        <v>0</v>
      </c>
      <c r="H48" s="1314">
        <f>G48-(VLOOKUP(A48,'SS data PRELIM'!$A$4:$G$125,7,FALSE))</f>
        <v>0</v>
      </c>
      <c r="I48" s="1463">
        <f t="shared" si="1"/>
        <v>0</v>
      </c>
      <c r="J48"/>
      <c r="K48"/>
    </row>
    <row r="49" spans="1:11" x14ac:dyDescent="0.2">
      <c r="A49" s="1284" t="str">
        <f>"A1VD"</f>
        <v>A1VD</v>
      </c>
      <c r="B49" s="1284" t="s">
        <v>935</v>
      </c>
      <c r="C49" s="1284" t="s">
        <v>664</v>
      </c>
      <c r="D49" s="1285">
        <v>41851</v>
      </c>
      <c r="E49" s="1284" t="s">
        <v>662</v>
      </c>
      <c r="F49" s="1472">
        <v>0.01</v>
      </c>
      <c r="G49" s="1284" t="s">
        <v>643</v>
      </c>
      <c r="H49" s="1314" t="e">
        <f>G49-(VLOOKUP(A49,'SS data PRELIM'!$A$4:$G$125,7,FALSE))</f>
        <v>#VALUE!</v>
      </c>
      <c r="I49" s="1463" t="e">
        <f t="shared" si="1"/>
        <v>#VALUE!</v>
      </c>
      <c r="J49"/>
      <c r="K49"/>
    </row>
    <row r="50" spans="1:11" x14ac:dyDescent="0.2">
      <c r="A50" s="1284" t="str">
        <f>"A1VE"</f>
        <v>A1VE</v>
      </c>
      <c r="B50" s="1284" t="s">
        <v>633</v>
      </c>
      <c r="C50" s="1284" t="s">
        <v>664</v>
      </c>
      <c r="D50" s="1285">
        <v>41851</v>
      </c>
      <c r="E50" s="1284" t="s">
        <v>662</v>
      </c>
      <c r="F50" s="1471">
        <v>4911439766.3450003</v>
      </c>
      <c r="G50" s="1286">
        <v>-1.37687</v>
      </c>
      <c r="H50" s="1314">
        <f>G50-(VLOOKUP(A50,'SS data PRELIM'!$A$4:$G$125,7,FALSE))</f>
        <v>-5.3352300000000001</v>
      </c>
      <c r="I50" s="1463">
        <f t="shared" si="1"/>
        <v>5.3352300000000001</v>
      </c>
      <c r="J50"/>
      <c r="K50"/>
    </row>
    <row r="51" spans="1:11" x14ac:dyDescent="0.2">
      <c r="A51" s="1284" t="str">
        <f>"A1VF"</f>
        <v>A1VF</v>
      </c>
      <c r="B51" s="1284" t="s">
        <v>635</v>
      </c>
      <c r="C51" s="1284" t="s">
        <v>664</v>
      </c>
      <c r="D51" s="1285">
        <v>41851</v>
      </c>
      <c r="E51" s="1284" t="s">
        <v>662</v>
      </c>
      <c r="F51" s="1471">
        <v>408205081.79400003</v>
      </c>
      <c r="G51" s="1286">
        <v>-4.7650300000000003</v>
      </c>
      <c r="H51" s="1314">
        <f>G51-(VLOOKUP(A51,'SS data PRELIM'!$A$4:$G$125,7,FALSE))</f>
        <v>-10.93083</v>
      </c>
      <c r="I51" s="1463">
        <f t="shared" si="1"/>
        <v>10.93083</v>
      </c>
      <c r="J51"/>
      <c r="K51"/>
    </row>
    <row r="52" spans="1:11" x14ac:dyDescent="0.2">
      <c r="A52" s="1284" t="str">
        <f>"A1VG"</f>
        <v>A1VG</v>
      </c>
      <c r="B52" s="1284" t="s">
        <v>630</v>
      </c>
      <c r="C52" s="1284" t="s">
        <v>664</v>
      </c>
      <c r="D52" s="1285">
        <v>41851</v>
      </c>
      <c r="E52" s="1284" t="s">
        <v>662</v>
      </c>
      <c r="F52" s="1471">
        <v>1915213219.4349999</v>
      </c>
      <c r="G52" s="1286">
        <v>-0.25115999999999999</v>
      </c>
      <c r="H52" s="1314">
        <f>G52-(VLOOKUP(A52,'SS data PRELIM'!$A$4:$G$125,7,FALSE))</f>
        <v>-1.29158</v>
      </c>
      <c r="I52" s="1463">
        <f t="shared" si="1"/>
        <v>1.29158</v>
      </c>
      <c r="J52"/>
      <c r="K52"/>
    </row>
    <row r="53" spans="1:11" x14ac:dyDescent="0.2">
      <c r="A53" s="1284" t="str">
        <f>"A1VH"</f>
        <v>A1VH</v>
      </c>
      <c r="B53" s="1284" t="s">
        <v>925</v>
      </c>
      <c r="C53" s="1284" t="s">
        <v>664</v>
      </c>
      <c r="D53" s="1285">
        <v>41851</v>
      </c>
      <c r="E53" s="1284" t="s">
        <v>662</v>
      </c>
      <c r="F53" s="1472">
        <v>0.01</v>
      </c>
      <c r="G53" s="1284" t="s">
        <v>643</v>
      </c>
      <c r="H53" s="1314" t="e">
        <f>G53-(VLOOKUP(A53,'SS data PRELIM'!$A$4:$G$125,7,FALSE))</f>
        <v>#VALUE!</v>
      </c>
      <c r="I53" s="1463" t="e">
        <f t="shared" si="1"/>
        <v>#VALUE!</v>
      </c>
      <c r="J53"/>
      <c r="K53"/>
    </row>
    <row r="54" spans="1:11" x14ac:dyDescent="0.2">
      <c r="A54" s="1284" t="str">
        <f>"A1VI"</f>
        <v>A1VI</v>
      </c>
      <c r="B54" s="1284" t="s">
        <v>924</v>
      </c>
      <c r="C54" s="1284" t="s">
        <v>664</v>
      </c>
      <c r="D54" s="1285">
        <v>41851</v>
      </c>
      <c r="E54" s="1284" t="s">
        <v>662</v>
      </c>
      <c r="F54" s="1471">
        <v>710309295.48199999</v>
      </c>
      <c r="G54" s="1286">
        <v>-0.23358999999999999</v>
      </c>
      <c r="H54" s="1314">
        <f>G54-(VLOOKUP(A54,'SS data PRELIM'!$A$4:$G$125,7,FALSE))</f>
        <v>-1.3187599999999999</v>
      </c>
      <c r="I54" s="1463">
        <f t="shared" si="1"/>
        <v>1.3187599999999999</v>
      </c>
      <c r="J54"/>
      <c r="K54"/>
    </row>
    <row r="55" spans="1:11" x14ac:dyDescent="0.2">
      <c r="A55" s="1284" t="str">
        <f>"A1VM"</f>
        <v>A1VM</v>
      </c>
      <c r="B55" s="1284" t="s">
        <v>639</v>
      </c>
      <c r="C55" s="1284" t="s">
        <v>664</v>
      </c>
      <c r="D55" s="1285">
        <v>41851</v>
      </c>
      <c r="E55" s="1284" t="s">
        <v>662</v>
      </c>
      <c r="F55" s="1471">
        <v>597123052.50800002</v>
      </c>
      <c r="G55" s="1286">
        <v>-2.2603399999999998</v>
      </c>
      <c r="H55" s="1314">
        <f>G55-(VLOOKUP(A55,'SS data PRELIM'!$A$4:$G$125,7,FALSE))</f>
        <v>-2.1038699999999997</v>
      </c>
      <c r="J55"/>
      <c r="K55"/>
    </row>
    <row r="56" spans="1:11" x14ac:dyDescent="0.2">
      <c r="A56" s="1284" t="str">
        <f>"A1VN"</f>
        <v>A1VN</v>
      </c>
      <c r="B56" s="1284" t="s">
        <v>632</v>
      </c>
      <c r="C56" s="1284" t="s">
        <v>664</v>
      </c>
      <c r="D56" s="1285">
        <v>41851</v>
      </c>
      <c r="E56" s="1284" t="s">
        <v>662</v>
      </c>
      <c r="F56" s="1471">
        <v>506147636.80000001</v>
      </c>
      <c r="G56" s="1286">
        <v>-4.20608</v>
      </c>
      <c r="H56" s="1314">
        <f>G56-(VLOOKUP(A56,'SS data PRELIM'!$A$4:$G$125,7,FALSE))</f>
        <v>-9.1050900000000006</v>
      </c>
      <c r="I56" s="1463">
        <f t="shared" ref="I56:I80" si="2">ABS(H56)</f>
        <v>9.1050900000000006</v>
      </c>
      <c r="J56"/>
      <c r="K56"/>
    </row>
    <row r="57" spans="1:11" x14ac:dyDescent="0.2">
      <c r="A57" s="1284" t="str">
        <f>"A1VO"</f>
        <v>A1VO</v>
      </c>
      <c r="B57" s="1284" t="s">
        <v>942</v>
      </c>
      <c r="C57" s="1284" t="s">
        <v>664</v>
      </c>
      <c r="D57" s="1285">
        <v>41851</v>
      </c>
      <c r="E57" s="1284" t="s">
        <v>662</v>
      </c>
      <c r="F57" s="1472">
        <v>0.01</v>
      </c>
      <c r="G57" s="1286">
        <v>0</v>
      </c>
      <c r="H57" s="1314">
        <f>G57-(VLOOKUP(A57,'SS data PRELIM'!$A$4:$G$125,7,FALSE))</f>
        <v>0</v>
      </c>
      <c r="I57" s="1463">
        <f t="shared" si="2"/>
        <v>0</v>
      </c>
      <c r="J57"/>
      <c r="K57"/>
    </row>
    <row r="58" spans="1:11" x14ac:dyDescent="0.2">
      <c r="A58" s="1284" t="str">
        <f>"A1VP"</f>
        <v>A1VP</v>
      </c>
      <c r="B58" s="1284" t="s">
        <v>933</v>
      </c>
      <c r="C58" s="1284" t="s">
        <v>664</v>
      </c>
      <c r="D58" s="1285">
        <v>41851</v>
      </c>
      <c r="E58" s="1284" t="s">
        <v>662</v>
      </c>
      <c r="F58" s="1472">
        <v>0.01</v>
      </c>
      <c r="G58" s="1284" t="s">
        <v>643</v>
      </c>
      <c r="H58" s="1314" t="e">
        <f>G58-(VLOOKUP(A58,'SS data PRELIM'!$A$4:$G$125,7,FALSE))</f>
        <v>#VALUE!</v>
      </c>
      <c r="I58" s="1463" t="e">
        <f t="shared" si="2"/>
        <v>#VALUE!</v>
      </c>
      <c r="J58"/>
      <c r="K58"/>
    </row>
    <row r="59" spans="1:11" x14ac:dyDescent="0.2">
      <c r="A59" s="1284" t="str">
        <f>"A1VR"</f>
        <v>A1VR</v>
      </c>
      <c r="B59" s="1284" t="s">
        <v>631</v>
      </c>
      <c r="C59" s="1284" t="s">
        <v>664</v>
      </c>
      <c r="D59" s="1285">
        <v>41851</v>
      </c>
      <c r="E59" s="1284" t="s">
        <v>662</v>
      </c>
      <c r="F59" s="1471">
        <v>523476834.88</v>
      </c>
      <c r="G59" s="1286">
        <v>-4.34016</v>
      </c>
      <c r="H59" s="1314">
        <f>G59-(VLOOKUP(A59,'SS data PRELIM'!$A$4:$G$125,7,FALSE))</f>
        <v>-9.5943299999999994</v>
      </c>
      <c r="I59" s="1463">
        <f t="shared" si="2"/>
        <v>9.5943299999999994</v>
      </c>
      <c r="J59"/>
      <c r="K59"/>
    </row>
    <row r="60" spans="1:11" x14ac:dyDescent="0.2">
      <c r="A60" s="1284" t="str">
        <f>"A1VU"</f>
        <v>A1VU</v>
      </c>
      <c r="B60" s="1284" t="s">
        <v>623</v>
      </c>
      <c r="C60" s="1284" t="s">
        <v>664</v>
      </c>
      <c r="D60" s="1285">
        <v>41851</v>
      </c>
      <c r="E60" s="1284" t="s">
        <v>662</v>
      </c>
      <c r="F60" s="1471">
        <v>418796749.19</v>
      </c>
      <c r="G60" s="1286">
        <v>-4.78932</v>
      </c>
      <c r="H60" s="1314">
        <f>G60-(VLOOKUP(A60,'SS data PRELIM'!$A$4:$G$125,7,FALSE))</f>
        <v>-9.3534900000000007</v>
      </c>
      <c r="I60" s="1463">
        <f t="shared" si="2"/>
        <v>9.3534900000000007</v>
      </c>
      <c r="J60"/>
      <c r="K60"/>
    </row>
    <row r="61" spans="1:11" x14ac:dyDescent="0.2">
      <c r="A61" s="1284" t="str">
        <f>"A1VW"</f>
        <v>A1VW</v>
      </c>
      <c r="B61" s="1284" t="s">
        <v>628</v>
      </c>
      <c r="C61" s="1284" t="s">
        <v>664</v>
      </c>
      <c r="D61" s="1285">
        <v>41851</v>
      </c>
      <c r="E61" s="1284" t="s">
        <v>662</v>
      </c>
      <c r="F61" s="1471">
        <v>525783063.88999999</v>
      </c>
      <c r="G61" s="1286">
        <v>-1.11591</v>
      </c>
      <c r="H61" s="1314">
        <f>G61-(VLOOKUP(A61,'SS data PRELIM'!$A$4:$G$125,7,FALSE))</f>
        <v>-4.5924200000000006</v>
      </c>
      <c r="I61" s="1463">
        <f t="shared" si="2"/>
        <v>4.5924200000000006</v>
      </c>
      <c r="J61"/>
      <c r="K61"/>
    </row>
    <row r="62" spans="1:11" x14ac:dyDescent="0.2">
      <c r="A62" s="1284" t="str">
        <f>"A1VX"</f>
        <v>A1VX</v>
      </c>
      <c r="B62" s="1284" t="s">
        <v>636</v>
      </c>
      <c r="C62" s="1284" t="s">
        <v>664</v>
      </c>
      <c r="D62" s="1285">
        <v>41851</v>
      </c>
      <c r="E62" s="1284" t="s">
        <v>662</v>
      </c>
      <c r="F62" s="1471">
        <v>98006261.790000007</v>
      </c>
      <c r="G62" s="1286">
        <v>-3.63266</v>
      </c>
      <c r="H62" s="1314">
        <f>G62-(VLOOKUP(A62,'SS data PRELIM'!$A$4:$G$125,7,FALSE))</f>
        <v>-7.7699599999999993</v>
      </c>
      <c r="I62" s="1463">
        <f t="shared" si="2"/>
        <v>7.7699599999999993</v>
      </c>
      <c r="J62"/>
      <c r="K62"/>
    </row>
    <row r="63" spans="1:11" x14ac:dyDescent="0.2">
      <c r="A63" s="1284" t="str">
        <f>"A1VY"</f>
        <v>A1VY</v>
      </c>
      <c r="B63" s="1284" t="s">
        <v>638</v>
      </c>
      <c r="C63" s="1284" t="s">
        <v>664</v>
      </c>
      <c r="D63" s="1285">
        <v>41851</v>
      </c>
      <c r="E63" s="1284" t="s">
        <v>662</v>
      </c>
      <c r="F63" s="1471">
        <v>3152054080.6950002</v>
      </c>
      <c r="G63" s="1286">
        <v>-1.8621300000000001</v>
      </c>
      <c r="H63" s="1314">
        <f>G63-(VLOOKUP(A63,'SS data PRELIM'!$A$4:$G$125,7,FALSE))</f>
        <v>-3.5087799999999998</v>
      </c>
      <c r="I63" s="1463">
        <f t="shared" si="2"/>
        <v>3.5087799999999998</v>
      </c>
      <c r="J63"/>
      <c r="K63"/>
    </row>
    <row r="64" spans="1:11" x14ac:dyDescent="0.2">
      <c r="A64" s="1284" t="str">
        <f>"A1VZ"</f>
        <v>A1VZ</v>
      </c>
      <c r="B64" s="1284" t="s">
        <v>937</v>
      </c>
      <c r="C64" s="1284" t="s">
        <v>664</v>
      </c>
      <c r="D64" s="1285">
        <v>41851</v>
      </c>
      <c r="E64" s="1284" t="s">
        <v>662</v>
      </c>
      <c r="F64" s="1472">
        <v>0.01</v>
      </c>
      <c r="G64" s="1286">
        <v>0</v>
      </c>
      <c r="H64" s="1314">
        <f>G64-(VLOOKUP(A64,'SS data PRELIM'!$A$4:$G$125,7,FALSE))</f>
        <v>0</v>
      </c>
      <c r="I64" s="1463">
        <f t="shared" si="2"/>
        <v>0</v>
      </c>
      <c r="J64"/>
      <c r="K64"/>
    </row>
    <row r="65" spans="1:11" x14ac:dyDescent="0.2">
      <c r="A65" s="1284" t="str">
        <f>"A1WA"</f>
        <v>A1WA</v>
      </c>
      <c r="B65" s="1284" t="s">
        <v>624</v>
      </c>
      <c r="C65" s="1284" t="s">
        <v>664</v>
      </c>
      <c r="D65" s="1285">
        <v>41851</v>
      </c>
      <c r="E65" s="1284" t="s">
        <v>662</v>
      </c>
      <c r="F65" s="1471">
        <v>463323195.11000001</v>
      </c>
      <c r="G65" s="1286">
        <v>-3.9669500000000002</v>
      </c>
      <c r="H65" s="1314">
        <f>G65-(VLOOKUP(A65,'SS data PRELIM'!$A$4:$G$125,7,FALSE))</f>
        <v>-8.5299499999999995</v>
      </c>
      <c r="I65" s="1463">
        <f t="shared" si="2"/>
        <v>8.5299499999999995</v>
      </c>
      <c r="J65"/>
      <c r="K65"/>
    </row>
    <row r="66" spans="1:11" x14ac:dyDescent="0.2">
      <c r="A66" s="1284" t="str">
        <f>"A1WB"</f>
        <v>A1WB</v>
      </c>
      <c r="B66" s="1284" t="s">
        <v>732</v>
      </c>
      <c r="C66" s="1284" t="s">
        <v>664</v>
      </c>
      <c r="D66" s="1285">
        <v>41851</v>
      </c>
      <c r="E66" s="1284" t="s">
        <v>662</v>
      </c>
      <c r="F66" s="1472">
        <v>1E-3</v>
      </c>
      <c r="G66" s="1284" t="s">
        <v>643</v>
      </c>
      <c r="H66" s="1314" t="e">
        <f>G66-(VLOOKUP(A66,'SS data PRELIM'!$A$4:$G$125,7,FALSE))</f>
        <v>#VALUE!</v>
      </c>
      <c r="I66" s="1463" t="e">
        <f t="shared" si="2"/>
        <v>#VALUE!</v>
      </c>
      <c r="J66"/>
      <c r="K66"/>
    </row>
    <row r="67" spans="1:11" x14ac:dyDescent="0.2">
      <c r="A67" s="1284" t="str">
        <f>"A1WD"</f>
        <v>A1WD</v>
      </c>
      <c r="B67" s="1284" t="s">
        <v>629</v>
      </c>
      <c r="C67" s="1284" t="s">
        <v>664</v>
      </c>
      <c r="D67" s="1285">
        <v>41851</v>
      </c>
      <c r="E67" s="1284" t="s">
        <v>662</v>
      </c>
      <c r="F67" s="1471">
        <v>1595663.5660000001</v>
      </c>
      <c r="G67" s="1284" t="s">
        <v>643</v>
      </c>
      <c r="H67" s="1314" t="e">
        <f>G67-(VLOOKUP(A67,'SS data PRELIM'!$A$4:$G$125,7,FALSE))</f>
        <v>#VALUE!</v>
      </c>
      <c r="I67" s="1463" t="e">
        <f t="shared" si="2"/>
        <v>#VALUE!</v>
      </c>
      <c r="J67"/>
      <c r="K67"/>
    </row>
    <row r="68" spans="1:11" x14ac:dyDescent="0.2">
      <c r="A68" s="1284" t="str">
        <f>"A1WE"</f>
        <v>A1WE</v>
      </c>
      <c r="B68" s="1284" t="s">
        <v>634</v>
      </c>
      <c r="C68" s="1284" t="s">
        <v>664</v>
      </c>
      <c r="D68" s="1285">
        <v>41851</v>
      </c>
      <c r="E68" s="1284" t="s">
        <v>662</v>
      </c>
      <c r="F68" s="1471">
        <v>224386057.08399999</v>
      </c>
      <c r="G68" s="1286">
        <v>-2.9668600000000001</v>
      </c>
      <c r="H68" s="1314">
        <f>G68-(VLOOKUP(A68,'SS data PRELIM'!$A$4:$G$125,7,FALSE))</f>
        <v>-2.65882</v>
      </c>
      <c r="I68" s="1463">
        <f t="shared" si="2"/>
        <v>2.65882</v>
      </c>
      <c r="J68"/>
      <c r="K68"/>
    </row>
    <row r="69" spans="1:11" x14ac:dyDescent="0.2">
      <c r="A69" s="1284" t="str">
        <f>"A1WV"</f>
        <v>A1WV</v>
      </c>
      <c r="B69" s="1284" t="s">
        <v>335</v>
      </c>
      <c r="C69" s="1284" t="s">
        <v>664</v>
      </c>
      <c r="D69" s="1285">
        <v>41851</v>
      </c>
      <c r="E69" s="1284" t="s">
        <v>662</v>
      </c>
      <c r="F69" s="1471">
        <v>477335660.43400002</v>
      </c>
      <c r="G69" s="1286">
        <v>-5.5026999999999999</v>
      </c>
      <c r="H69" s="1314">
        <f>G69-(VLOOKUP(A69,'SS data PRELIM'!$A$4:$G$125,7,FALSE))</f>
        <v>-9.8086500000000001</v>
      </c>
      <c r="I69" s="1463">
        <f t="shared" si="2"/>
        <v>9.8086500000000001</v>
      </c>
      <c r="J69"/>
      <c r="K69"/>
    </row>
    <row r="70" spans="1:11" x14ac:dyDescent="0.2">
      <c r="A70" s="1284" t="str">
        <f>"A1XY"</f>
        <v>A1XY</v>
      </c>
      <c r="B70" s="1284" t="s">
        <v>934</v>
      </c>
      <c r="C70" s="1284" t="s">
        <v>664</v>
      </c>
      <c r="D70" s="1285">
        <v>41851</v>
      </c>
      <c r="E70" s="1284" t="s">
        <v>662</v>
      </c>
      <c r="F70" s="1472">
        <v>0.01</v>
      </c>
      <c r="G70" s="1286">
        <v>0</v>
      </c>
      <c r="H70" s="1314">
        <f>G70-(VLOOKUP(A70,'SS data PRELIM'!$A$4:$G$125,7,FALSE))</f>
        <v>0</v>
      </c>
      <c r="I70" s="1463">
        <f t="shared" si="2"/>
        <v>0</v>
      </c>
      <c r="J70"/>
      <c r="K70"/>
    </row>
    <row r="71" spans="1:11" x14ac:dyDescent="0.2">
      <c r="A71" s="1284" t="str">
        <f>"A1XZ"</f>
        <v>A1XZ</v>
      </c>
      <c r="B71" s="1284" t="s">
        <v>936</v>
      </c>
      <c r="C71" s="1284" t="s">
        <v>664</v>
      </c>
      <c r="D71" s="1285">
        <v>41851</v>
      </c>
      <c r="E71" s="1284" t="s">
        <v>662</v>
      </c>
      <c r="F71" s="1472">
        <v>0.01</v>
      </c>
      <c r="G71" s="1284" t="s">
        <v>643</v>
      </c>
      <c r="H71" s="1314" t="e">
        <f>G71-(VLOOKUP(A71,'SS data PRELIM'!$A$4:$G$125,7,FALSE))</f>
        <v>#VALUE!</v>
      </c>
      <c r="I71" s="1463" t="e">
        <f t="shared" si="2"/>
        <v>#VALUE!</v>
      </c>
      <c r="J71"/>
      <c r="K71"/>
    </row>
    <row r="72" spans="1:11" x14ac:dyDescent="0.2">
      <c r="A72" s="1284" t="str">
        <f>"A1YS"</f>
        <v>A1YS</v>
      </c>
      <c r="B72" s="1284" t="s">
        <v>940</v>
      </c>
      <c r="C72" s="1284" t="s">
        <v>664</v>
      </c>
      <c r="D72" s="1285">
        <v>41851</v>
      </c>
      <c r="E72" s="1284" t="s">
        <v>662</v>
      </c>
      <c r="F72" s="1472">
        <v>0.01</v>
      </c>
      <c r="G72" s="1284" t="s">
        <v>643</v>
      </c>
      <c r="H72" s="1314" t="e">
        <f>G72-(VLOOKUP(A72,'SS data PRELIM'!$A$4:$G$125,7,FALSE))</f>
        <v>#VALUE!</v>
      </c>
      <c r="I72" s="1463" t="e">
        <f t="shared" si="2"/>
        <v>#VALUE!</v>
      </c>
      <c r="J72"/>
      <c r="K72"/>
    </row>
    <row r="73" spans="1:11" x14ac:dyDescent="0.2">
      <c r="A73" s="1284" t="str">
        <f>"A1YU"</f>
        <v>A1YU</v>
      </c>
      <c r="B73" s="1284" t="s">
        <v>939</v>
      </c>
      <c r="C73" s="1284" t="s">
        <v>664</v>
      </c>
      <c r="D73" s="1285">
        <v>41851</v>
      </c>
      <c r="E73" s="1284" t="s">
        <v>662</v>
      </c>
      <c r="F73" s="1472">
        <v>6.0000000000000001E-3</v>
      </c>
      <c r="G73" s="1284" t="s">
        <v>643</v>
      </c>
      <c r="H73" s="1314" t="e">
        <f>G73-(VLOOKUP(A73,'SS data PRELIM'!$A$4:$G$125,7,FALSE))</f>
        <v>#VALUE!</v>
      </c>
      <c r="I73" s="1463" t="e">
        <f t="shared" si="2"/>
        <v>#VALUE!</v>
      </c>
      <c r="J73"/>
      <c r="K73"/>
    </row>
    <row r="74" spans="1:11" x14ac:dyDescent="0.2">
      <c r="A74" s="1284" t="str">
        <f>"A1YV"</f>
        <v>A1YV</v>
      </c>
      <c r="B74" s="1284" t="s">
        <v>938</v>
      </c>
      <c r="C74" s="1284" t="s">
        <v>664</v>
      </c>
      <c r="D74" s="1285">
        <v>41851</v>
      </c>
      <c r="E74" s="1284" t="s">
        <v>662</v>
      </c>
      <c r="F74" s="1472">
        <v>0.02</v>
      </c>
      <c r="G74" s="1284" t="s">
        <v>643</v>
      </c>
      <c r="H74" s="1314" t="e">
        <f>G74-(VLOOKUP(A74,'SS data PRELIM'!$A$4:$G$125,7,FALSE))</f>
        <v>#VALUE!</v>
      </c>
      <c r="I74" s="1463" t="e">
        <f t="shared" si="2"/>
        <v>#VALUE!</v>
      </c>
      <c r="J74"/>
      <c r="K74"/>
    </row>
    <row r="75" spans="1:11" x14ac:dyDescent="0.2">
      <c r="A75" s="1284" t="str">
        <f>"A1YW"</f>
        <v>A1YW</v>
      </c>
      <c r="B75" s="1284" t="s">
        <v>830</v>
      </c>
      <c r="C75" s="1284" t="s">
        <v>664</v>
      </c>
      <c r="D75" s="1285">
        <v>41851</v>
      </c>
      <c r="E75" s="1284" t="s">
        <v>662</v>
      </c>
      <c r="F75" s="1471">
        <v>4558.0720000000001</v>
      </c>
      <c r="G75" s="1284" t="s">
        <v>643</v>
      </c>
      <c r="H75" s="1314" t="e">
        <f>G75-(VLOOKUP(A75,'SS data PRELIM'!$A$4:$G$125,7,FALSE))</f>
        <v>#VALUE!</v>
      </c>
      <c r="I75" s="1463" t="e">
        <f t="shared" si="2"/>
        <v>#VALUE!</v>
      </c>
      <c r="J75"/>
      <c r="K75"/>
    </row>
    <row r="76" spans="1:11" x14ac:dyDescent="0.2">
      <c r="A76" s="1284" t="str">
        <f>"A1ZN"</f>
        <v>A1ZN</v>
      </c>
      <c r="B76" s="1284" t="s">
        <v>929</v>
      </c>
      <c r="C76" s="1284" t="s">
        <v>664</v>
      </c>
      <c r="D76" s="1285">
        <v>41851</v>
      </c>
      <c r="E76" s="1284" t="s">
        <v>662</v>
      </c>
      <c r="F76" s="1472">
        <v>0.01</v>
      </c>
      <c r="G76" s="1286">
        <v>0</v>
      </c>
      <c r="H76" s="1314">
        <f>G76-(VLOOKUP(A76,'SS data PRELIM'!$A$4:$G$125,7,FALSE))</f>
        <v>0</v>
      </c>
      <c r="I76" s="1463">
        <f t="shared" si="2"/>
        <v>0</v>
      </c>
      <c r="J76"/>
      <c r="K76"/>
    </row>
    <row r="77" spans="1:11" x14ac:dyDescent="0.2">
      <c r="A77" s="1284" t="str">
        <f>"A1ZV"</f>
        <v>A1ZV</v>
      </c>
      <c r="B77" s="1284" t="s">
        <v>641</v>
      </c>
      <c r="C77" s="1284" t="s">
        <v>664</v>
      </c>
      <c r="D77" s="1285">
        <v>41851</v>
      </c>
      <c r="E77" s="1284" t="s">
        <v>662</v>
      </c>
      <c r="F77" s="1471">
        <v>23831712.925000001</v>
      </c>
      <c r="G77" s="1286">
        <v>-0.22231999999999999</v>
      </c>
      <c r="H77" s="1314">
        <f>G77-(VLOOKUP(A77,'SS data PRELIM'!$A$4:$G$125,7,FALSE))</f>
        <v>-0.89747999999999994</v>
      </c>
      <c r="I77" s="1463">
        <f t="shared" si="2"/>
        <v>0.89747999999999994</v>
      </c>
      <c r="J77"/>
      <c r="K77"/>
    </row>
    <row r="78" spans="1:11" x14ac:dyDescent="0.2">
      <c r="A78" s="1284" t="str">
        <f>"A1ZY"</f>
        <v>A1ZY</v>
      </c>
      <c r="B78" s="1284" t="s">
        <v>642</v>
      </c>
      <c r="C78" s="1284" t="s">
        <v>664</v>
      </c>
      <c r="D78" s="1285">
        <v>41851</v>
      </c>
      <c r="E78" s="1284" t="s">
        <v>662</v>
      </c>
      <c r="F78" s="1471">
        <v>2395342125.7740002</v>
      </c>
      <c r="G78" s="1286">
        <v>-1.94309</v>
      </c>
      <c r="H78" s="1314">
        <f>G78-(VLOOKUP(A78,'SS data PRELIM'!$A$4:$G$125,7,FALSE))</f>
        <v>-1.78877</v>
      </c>
      <c r="I78" s="1463">
        <f t="shared" si="2"/>
        <v>1.78877</v>
      </c>
      <c r="J78"/>
      <c r="K78"/>
    </row>
    <row r="79" spans="1:11" x14ac:dyDescent="0.2">
      <c r="A79" s="1284" t="str">
        <f>"ASRSA021"</f>
        <v>ASRSA021</v>
      </c>
      <c r="B79" s="1284" t="s">
        <v>670</v>
      </c>
      <c r="C79" s="1284" t="s">
        <v>664</v>
      </c>
      <c r="D79" s="1285">
        <v>41851</v>
      </c>
      <c r="E79" s="1284" t="s">
        <v>662</v>
      </c>
      <c r="F79" s="1471">
        <v>271391144.32099998</v>
      </c>
      <c r="G79" s="1286">
        <v>-1.5327999999999999</v>
      </c>
      <c r="H79" s="1314">
        <f>G79-(VLOOKUP(A79,'SS data PRELIM'!$A$4:$G$125,7,FALSE))</f>
        <v>-3.8987099999999999</v>
      </c>
      <c r="I79" s="1463">
        <f t="shared" si="2"/>
        <v>3.8987099999999999</v>
      </c>
      <c r="J79"/>
      <c r="K79"/>
    </row>
    <row r="80" spans="1:11" x14ac:dyDescent="0.2">
      <c r="A80" s="1284" t="str">
        <f>"ASRSA025"</f>
        <v>ASRSA025</v>
      </c>
      <c r="B80" s="1284" t="s">
        <v>831</v>
      </c>
      <c r="C80" s="1284" t="s">
        <v>664</v>
      </c>
      <c r="D80" s="1285">
        <v>41851</v>
      </c>
      <c r="E80" s="1284" t="s">
        <v>662</v>
      </c>
      <c r="F80" s="1471">
        <v>4558.1080000000002</v>
      </c>
      <c r="G80" s="1284" t="s">
        <v>643</v>
      </c>
      <c r="H80" s="1314" t="e">
        <f>G80-(VLOOKUP(A80,'SS data PRELIM'!$A$4:$G$125,7,FALSE))</f>
        <v>#VALUE!</v>
      </c>
      <c r="I80" s="1463" t="e">
        <f t="shared" si="2"/>
        <v>#VALUE!</v>
      </c>
      <c r="J80"/>
      <c r="K80"/>
    </row>
    <row r="81" spans="1:11" x14ac:dyDescent="0.2">
      <c r="A81" s="1284" t="str">
        <f>"AZIDX010"</f>
        <v>AZIDX010</v>
      </c>
      <c r="B81" s="1284" t="s">
        <v>737</v>
      </c>
      <c r="C81" s="1284" t="s">
        <v>664</v>
      </c>
      <c r="D81" s="1285">
        <v>41851</v>
      </c>
      <c r="E81" s="1284" t="s">
        <v>89</v>
      </c>
      <c r="F81" s="1284" t="s">
        <v>643</v>
      </c>
      <c r="G81" s="1286">
        <v>-1.96529</v>
      </c>
      <c r="H81" s="1314">
        <f>G81-(VLOOKUP(A81,'SS data PRELIM'!$A$4:$G$125,7,FALSE))</f>
        <v>-1.8114699999999999</v>
      </c>
      <c r="J81"/>
      <c r="K81"/>
    </row>
    <row r="82" spans="1:11" x14ac:dyDescent="0.2">
      <c r="A82" s="1284" t="str">
        <f>"AZIDX020"</f>
        <v>AZIDX020</v>
      </c>
      <c r="B82" s="1284" t="s">
        <v>648</v>
      </c>
      <c r="C82" s="1284" t="s">
        <v>664</v>
      </c>
      <c r="D82" s="1285">
        <v>41851</v>
      </c>
      <c r="E82" s="1284" t="s">
        <v>89</v>
      </c>
      <c r="F82" s="1284" t="s">
        <v>643</v>
      </c>
      <c r="G82" s="1286">
        <v>-1.35392</v>
      </c>
      <c r="H82" s="1314">
        <f>G82-(VLOOKUP(A82,'SS data PRELIM'!$A$4:$G$125,7,FALSE))</f>
        <v>-3.3029999999999999</v>
      </c>
      <c r="I82" s="1463">
        <f t="shared" ref="I82:I123" si="3">ABS(H82)</f>
        <v>3.3029999999999999</v>
      </c>
      <c r="J82"/>
      <c r="K82"/>
    </row>
    <row r="83" spans="1:11" x14ac:dyDescent="0.2">
      <c r="A83" s="1284" t="str">
        <f>"AZIDX025"</f>
        <v>AZIDX025</v>
      </c>
      <c r="B83" s="1284" t="s">
        <v>647</v>
      </c>
      <c r="C83" s="1284" t="s">
        <v>664</v>
      </c>
      <c r="D83" s="1285">
        <v>41851</v>
      </c>
      <c r="E83" s="1284" t="s">
        <v>89</v>
      </c>
      <c r="F83" s="1284" t="s">
        <v>643</v>
      </c>
      <c r="G83" s="1286">
        <v>-5.0464599999999997</v>
      </c>
      <c r="H83" s="1314">
        <f>G83-(VLOOKUP(A83,'SS data PRELIM'!$A$4:$G$125,7,FALSE))</f>
        <v>-9.5249199999999998</v>
      </c>
      <c r="I83" s="1463">
        <f t="shared" si="3"/>
        <v>9.5249199999999998</v>
      </c>
      <c r="J83"/>
      <c r="K83"/>
    </row>
    <row r="84" spans="1:11" x14ac:dyDescent="0.2">
      <c r="A84" s="1284" t="str">
        <f>"AZIDX026"</f>
        <v>AZIDX026</v>
      </c>
      <c r="B84" s="1284" t="s">
        <v>646</v>
      </c>
      <c r="C84" s="1284" t="s">
        <v>664</v>
      </c>
      <c r="D84" s="1285">
        <v>41851</v>
      </c>
      <c r="E84" s="1284" t="s">
        <v>89</v>
      </c>
      <c r="F84" s="1284" t="s">
        <v>643</v>
      </c>
      <c r="G84" s="1286">
        <v>-4.3445400000000003</v>
      </c>
      <c r="H84" s="1314">
        <f>G84-(VLOOKUP(A84,'SS data PRELIM'!$A$4:$G$125,7,FALSE))</f>
        <v>-9.6198300000000003</v>
      </c>
      <c r="I84" s="1463">
        <f t="shared" si="3"/>
        <v>9.6198300000000003</v>
      </c>
      <c r="J84"/>
      <c r="K84"/>
    </row>
    <row r="85" spans="1:11" x14ac:dyDescent="0.2">
      <c r="A85" s="1284" t="str">
        <f>"AZIDX027"</f>
        <v>AZIDX027</v>
      </c>
      <c r="B85" s="1284" t="s">
        <v>645</v>
      </c>
      <c r="C85" s="1284" t="s">
        <v>664</v>
      </c>
      <c r="D85" s="1285">
        <v>41851</v>
      </c>
      <c r="E85" s="1284" t="s">
        <v>89</v>
      </c>
      <c r="F85" s="1284" t="s">
        <v>643</v>
      </c>
      <c r="G85" s="1286">
        <v>-4.2055800000000003</v>
      </c>
      <c r="H85" s="1314">
        <f>G85-(VLOOKUP(A85,'SS data PRELIM'!$A$4:$G$125,7,FALSE))</f>
        <v>-9.0979400000000012</v>
      </c>
      <c r="I85" s="1463">
        <f t="shared" si="3"/>
        <v>9.0979400000000012</v>
      </c>
      <c r="J85"/>
      <c r="K85"/>
    </row>
    <row r="86" spans="1:11" x14ac:dyDescent="0.2">
      <c r="A86" s="1284" t="str">
        <f>"AZIDX031"</f>
        <v>AZIDX031</v>
      </c>
      <c r="B86" s="1284" t="s">
        <v>644</v>
      </c>
      <c r="C86" s="1284" t="s">
        <v>664</v>
      </c>
      <c r="D86" s="1285">
        <v>41851</v>
      </c>
      <c r="E86" s="1284" t="s">
        <v>89</v>
      </c>
      <c r="F86" s="1284" t="s">
        <v>643</v>
      </c>
      <c r="G86" s="1286">
        <v>-1.2446999999999999</v>
      </c>
      <c r="H86" s="1314">
        <f>G86-(VLOOKUP(A86,'SS data PRELIM'!$A$4:$G$125,7,FALSE))</f>
        <v>-5.5944000000000003</v>
      </c>
      <c r="I86" s="1463">
        <f t="shared" si="3"/>
        <v>5.5944000000000003</v>
      </c>
      <c r="J86"/>
      <c r="K86"/>
    </row>
    <row r="87" spans="1:11" x14ac:dyDescent="0.2">
      <c r="A87" s="1284" t="str">
        <f>"AZIDX032"</f>
        <v>AZIDX032</v>
      </c>
      <c r="B87" s="1284" t="s">
        <v>808</v>
      </c>
      <c r="C87" s="1284" t="s">
        <v>664</v>
      </c>
      <c r="D87" s="1285">
        <v>41851</v>
      </c>
      <c r="E87" s="1284" t="s">
        <v>89</v>
      </c>
      <c r="F87" s="1284" t="s">
        <v>643</v>
      </c>
      <c r="G87" s="1286">
        <v>-1.5263</v>
      </c>
      <c r="H87" s="1314">
        <f>G87-(VLOOKUP(A87,'SS data PRELIM'!$A$4:$G$125,7,FALSE))</f>
        <v>-5.1425599999999996</v>
      </c>
      <c r="I87" s="1463">
        <f t="shared" si="3"/>
        <v>5.1425599999999996</v>
      </c>
      <c r="J87"/>
      <c r="K87"/>
    </row>
    <row r="88" spans="1:11" x14ac:dyDescent="0.2">
      <c r="A88" s="1284" t="str">
        <f>"AZIDX045"</f>
        <v>AZIDX045</v>
      </c>
      <c r="B88" s="1284" t="s">
        <v>891</v>
      </c>
      <c r="C88" s="1284" t="s">
        <v>664</v>
      </c>
      <c r="D88" s="1285">
        <v>41851</v>
      </c>
      <c r="E88" s="1284" t="s">
        <v>89</v>
      </c>
      <c r="F88" s="1284" t="s">
        <v>643</v>
      </c>
      <c r="G88" s="1286">
        <v>-1.96529</v>
      </c>
      <c r="H88" s="1314">
        <f>G88-(VLOOKUP(A88,'SS data PRELIM'!$A$4:$G$125,7,FALSE))</f>
        <v>-1.8114699999999999</v>
      </c>
      <c r="I88" s="1463">
        <f t="shared" si="3"/>
        <v>1.8114699999999999</v>
      </c>
      <c r="J88"/>
      <c r="K88"/>
    </row>
    <row r="89" spans="1:11" x14ac:dyDescent="0.2">
      <c r="A89" s="1284" t="str">
        <f>"AZIDX047"</f>
        <v>AZIDX047</v>
      </c>
      <c r="B89" s="1284" t="s">
        <v>806</v>
      </c>
      <c r="C89" s="1284" t="s">
        <v>664</v>
      </c>
      <c r="D89" s="1285">
        <v>41851</v>
      </c>
      <c r="E89" s="1284" t="s">
        <v>89</v>
      </c>
      <c r="F89" s="1284" t="s">
        <v>643</v>
      </c>
      <c r="G89" s="1286">
        <v>-1.2640800000000001</v>
      </c>
      <c r="H89" s="1314">
        <f>G89-(VLOOKUP(A89,'SS data PRELIM'!$A$4:$G$125,7,FALSE))</f>
        <v>-3.3245199999999997</v>
      </c>
      <c r="I89" s="1463">
        <f t="shared" si="3"/>
        <v>3.3245199999999997</v>
      </c>
      <c r="J89"/>
      <c r="K89"/>
    </row>
    <row r="90" spans="1:11" x14ac:dyDescent="0.2">
      <c r="A90" s="1284" t="str">
        <f>"AZIDX052"</f>
        <v>AZIDX052</v>
      </c>
      <c r="B90" s="1284" t="s">
        <v>844</v>
      </c>
      <c r="C90" s="1284" t="s">
        <v>664</v>
      </c>
      <c r="D90" s="1285">
        <v>41851</v>
      </c>
      <c r="E90" s="1284" t="s">
        <v>89</v>
      </c>
      <c r="F90" s="1284" t="s">
        <v>643</v>
      </c>
      <c r="G90" s="1286">
        <v>-0.51722000000000001</v>
      </c>
      <c r="H90" s="1314">
        <f>G90-(VLOOKUP(A90,'SS data PRELIM'!$A$4:$G$125,7,FALSE))</f>
        <v>-1.22641</v>
      </c>
      <c r="I90" s="1463">
        <f t="shared" si="3"/>
        <v>1.22641</v>
      </c>
      <c r="J90"/>
      <c r="K90"/>
    </row>
    <row r="91" spans="1:11" x14ac:dyDescent="0.2">
      <c r="A91" s="1284" t="str">
        <f>"AZIDX060"</f>
        <v>AZIDX060</v>
      </c>
      <c r="B91" s="1284" t="s">
        <v>903</v>
      </c>
      <c r="C91" s="1284" t="s">
        <v>664</v>
      </c>
      <c r="D91" s="1285">
        <v>41851</v>
      </c>
      <c r="E91" s="1284" t="s">
        <v>89</v>
      </c>
      <c r="F91" s="1284" t="s">
        <v>643</v>
      </c>
      <c r="G91" s="1286">
        <v>-0.99487000000000003</v>
      </c>
      <c r="H91" s="1314">
        <f>G91-(VLOOKUP(A91,'SS data PRELIM'!$A$4:$G$125,7,FALSE))</f>
        <v>-1.5491200000000001</v>
      </c>
      <c r="I91" s="1463">
        <f t="shared" si="3"/>
        <v>1.5491200000000001</v>
      </c>
      <c r="J91"/>
      <c r="K91"/>
    </row>
    <row r="92" spans="1:11" x14ac:dyDescent="0.2">
      <c r="A92" s="1284" t="str">
        <f>"AZIDX061"</f>
        <v>AZIDX061</v>
      </c>
      <c r="B92" s="1284" t="s">
        <v>904</v>
      </c>
      <c r="C92" s="1284" t="s">
        <v>664</v>
      </c>
      <c r="D92" s="1285">
        <v>41851</v>
      </c>
      <c r="E92" s="1284" t="s">
        <v>89</v>
      </c>
      <c r="F92" s="1284" t="s">
        <v>643</v>
      </c>
      <c r="G92" s="1286">
        <v>-1.96529</v>
      </c>
      <c r="H92" s="1314">
        <f>G92-(VLOOKUP(A92,'SS data PRELIM'!$A$4:$G$125,7,FALSE))</f>
        <v>-1.8114699999999999</v>
      </c>
      <c r="I92" s="1463">
        <f t="shared" si="3"/>
        <v>1.8114699999999999</v>
      </c>
      <c r="J92"/>
      <c r="K92"/>
    </row>
    <row r="93" spans="1:11" x14ac:dyDescent="0.2">
      <c r="A93" s="1284" t="str">
        <f>"AZIDX062"</f>
        <v>AZIDX062</v>
      </c>
      <c r="B93" s="1284" t="s">
        <v>905</v>
      </c>
      <c r="C93" s="1284" t="s">
        <v>664</v>
      </c>
      <c r="D93" s="1285">
        <v>41851</v>
      </c>
      <c r="E93" s="1284" t="s">
        <v>89</v>
      </c>
      <c r="F93" s="1284" t="s">
        <v>643</v>
      </c>
      <c r="G93" s="1286">
        <v>-2.3511199999999999</v>
      </c>
      <c r="H93" s="1314">
        <f>G93-(VLOOKUP(A93,'SS data PRELIM'!$A$4:$G$125,7,FALSE))</f>
        <v>-2.1743299999999999</v>
      </c>
      <c r="I93" s="1463">
        <f t="shared" si="3"/>
        <v>2.1743299999999999</v>
      </c>
      <c r="J93"/>
      <c r="K93"/>
    </row>
    <row r="94" spans="1:11" x14ac:dyDescent="0.2">
      <c r="A94" s="1284" t="str">
        <f>"AZIDX064"</f>
        <v>AZIDX064</v>
      </c>
      <c r="B94" s="1284" t="s">
        <v>906</v>
      </c>
      <c r="C94" s="1284" t="s">
        <v>664</v>
      </c>
      <c r="D94" s="1285">
        <v>41851</v>
      </c>
      <c r="E94" s="1284" t="s">
        <v>89</v>
      </c>
      <c r="F94" s="1284" t="s">
        <v>643</v>
      </c>
      <c r="G94" s="1286">
        <v>-1.5972200000000001</v>
      </c>
      <c r="H94" s="1314">
        <f>G94-(VLOOKUP(A94,'SS data PRELIM'!$A$4:$G$125,7,FALSE))</f>
        <v>-3.8007400000000002</v>
      </c>
      <c r="I94" s="1463">
        <f t="shared" si="3"/>
        <v>3.8007400000000002</v>
      </c>
      <c r="J94"/>
      <c r="K94"/>
    </row>
    <row r="95" spans="1:11" x14ac:dyDescent="0.2">
      <c r="A95" s="1284" t="str">
        <f>"AZIDX065"</f>
        <v>AZIDX065</v>
      </c>
      <c r="B95" s="1284" t="s">
        <v>907</v>
      </c>
      <c r="C95" s="1284" t="s">
        <v>664</v>
      </c>
      <c r="D95" s="1285">
        <v>41851</v>
      </c>
      <c r="E95" s="1284" t="s">
        <v>89</v>
      </c>
      <c r="F95" s="1284" t="s">
        <v>643</v>
      </c>
      <c r="G95" s="1286">
        <v>1.93357</v>
      </c>
      <c r="H95" s="1314">
        <f>G95-(VLOOKUP(A95,'SS data PRELIM'!$A$4:$G$125,7,FALSE))</f>
        <v>-0.31994999999999996</v>
      </c>
      <c r="I95" s="1463">
        <f t="shared" si="3"/>
        <v>0.31994999999999996</v>
      </c>
      <c r="J95"/>
      <c r="K95"/>
    </row>
    <row r="96" spans="1:11" x14ac:dyDescent="0.2">
      <c r="A96" s="1284" t="str">
        <f>"JP07TUS"</f>
        <v>JP07TUS</v>
      </c>
      <c r="B96" s="1284" t="s">
        <v>849</v>
      </c>
      <c r="C96" s="1284" t="s">
        <v>664</v>
      </c>
      <c r="D96" s="1285">
        <v>41851</v>
      </c>
      <c r="E96" s="1284" t="s">
        <v>89</v>
      </c>
      <c r="F96" s="1284" t="s">
        <v>643</v>
      </c>
      <c r="G96" s="1286">
        <v>-1.0591900000000001</v>
      </c>
      <c r="H96" s="1314">
        <f>G96-(VLOOKUP(A96,'SS data PRELIM'!$A$4:$G$125,7,FALSE))</f>
        <v>-1.5392399999999999</v>
      </c>
      <c r="I96" s="1463">
        <f t="shared" si="3"/>
        <v>1.5392399999999999</v>
      </c>
      <c r="J96"/>
      <c r="K96"/>
    </row>
    <row r="97" spans="1:11" x14ac:dyDescent="0.2">
      <c r="A97" s="1284" t="str">
        <f>"MSCEAFGR"</f>
        <v>MSCEAFGR</v>
      </c>
      <c r="B97" s="1284" t="s">
        <v>660</v>
      </c>
      <c r="C97" s="1284" t="s">
        <v>664</v>
      </c>
      <c r="D97" s="1285">
        <v>41851</v>
      </c>
      <c r="E97" s="1284" t="s">
        <v>89</v>
      </c>
      <c r="F97" s="1284" t="s">
        <v>643</v>
      </c>
      <c r="G97" s="1286">
        <v>-2.2881100000000001</v>
      </c>
      <c r="H97" s="1314">
        <f>G97-(VLOOKUP(A97,'SS data PRELIM'!$A$4:$G$125,7,FALSE))</f>
        <v>-2.5283000000000002</v>
      </c>
      <c r="I97" s="1463">
        <f t="shared" si="3"/>
        <v>2.5283000000000002</v>
      </c>
      <c r="J97"/>
      <c r="K97"/>
    </row>
    <row r="98" spans="1:11" x14ac:dyDescent="0.2">
      <c r="A98" s="1284" t="str">
        <f>"MSCEAFVA"</f>
        <v>MSCEAFVA</v>
      </c>
      <c r="B98" s="1284" t="s">
        <v>661</v>
      </c>
      <c r="C98" s="1284" t="s">
        <v>664</v>
      </c>
      <c r="D98" s="1285">
        <v>41851</v>
      </c>
      <c r="E98" s="1284" t="s">
        <v>89</v>
      </c>
      <c r="F98" s="1284" t="s">
        <v>643</v>
      </c>
      <c r="G98" s="1286">
        <v>-1.6343799999999999</v>
      </c>
      <c r="H98" s="1314">
        <f>G98-(VLOOKUP(A98,'SS data PRELIM'!$A$4:$G$125,7,FALSE))</f>
        <v>-1.10717</v>
      </c>
      <c r="I98" s="1463">
        <f t="shared" si="3"/>
        <v>1.10717</v>
      </c>
      <c r="J98"/>
      <c r="K98"/>
    </row>
    <row r="99" spans="1:11" x14ac:dyDescent="0.2">
      <c r="A99" s="1284" t="str">
        <f>"MSZQG"</f>
        <v>MSZQG</v>
      </c>
      <c r="B99" s="1284" t="s">
        <v>820</v>
      </c>
      <c r="C99" s="1284" t="s">
        <v>664</v>
      </c>
      <c r="D99" s="1285">
        <v>41851</v>
      </c>
      <c r="E99" s="1284" t="s">
        <v>89</v>
      </c>
      <c r="F99" s="1284" t="s">
        <v>643</v>
      </c>
      <c r="G99" s="1286">
        <v>-1.5151699999999999</v>
      </c>
      <c r="H99" s="1314">
        <f>G99-(VLOOKUP(A99,'SS data PRELIM'!$A$4:$G$125,7,FALSE))</f>
        <v>-5.5830900000000003</v>
      </c>
      <c r="I99" s="1463">
        <f t="shared" si="3"/>
        <v>5.5830900000000003</v>
      </c>
      <c r="J99"/>
      <c r="K99"/>
    </row>
    <row r="100" spans="1:11" x14ac:dyDescent="0.2">
      <c r="A100" s="1284" t="str">
        <f>"MSZRGUS"</f>
        <v>MSZRGUS</v>
      </c>
      <c r="B100" s="1284" t="s">
        <v>822</v>
      </c>
      <c r="C100" s="1284" t="s">
        <v>664</v>
      </c>
      <c r="D100" s="1285">
        <v>41851</v>
      </c>
      <c r="E100" s="1284" t="s">
        <v>89</v>
      </c>
      <c r="F100" s="1284" t="s">
        <v>643</v>
      </c>
      <c r="G100" s="1286">
        <v>-1.61819</v>
      </c>
      <c r="H100" s="1314">
        <f>G100-(VLOOKUP(A100,'SS data PRELIM'!$A$4:$G$125,7,FALSE))</f>
        <v>-5.4177</v>
      </c>
      <c r="I100" s="1463">
        <f t="shared" si="3"/>
        <v>5.4177</v>
      </c>
      <c r="J100"/>
      <c r="K100"/>
    </row>
    <row r="101" spans="1:11" x14ac:dyDescent="0.2">
      <c r="A101" s="1284" t="str">
        <f>"NCODLAG"</f>
        <v>NCODLAG</v>
      </c>
      <c r="B101" s="1284" t="s">
        <v>739</v>
      </c>
      <c r="C101" s="1284" t="s">
        <v>664</v>
      </c>
      <c r="D101" s="1285">
        <v>41851</v>
      </c>
      <c r="E101" s="1284" t="s">
        <v>89</v>
      </c>
      <c r="F101" s="1284" t="s">
        <v>643</v>
      </c>
      <c r="G101" s="1286">
        <v>0</v>
      </c>
      <c r="H101" s="1314">
        <f>G101-(VLOOKUP(A101,'SS data PRELIM'!$A$4:$G$125,7,FALSE))</f>
        <v>0</v>
      </c>
      <c r="I101" s="1463">
        <f t="shared" si="3"/>
        <v>0</v>
      </c>
      <c r="J101"/>
      <c r="K101"/>
    </row>
    <row r="102" spans="1:11" x14ac:dyDescent="0.2">
      <c r="A102" s="1284" t="str">
        <f>"RU25GD"</f>
        <v>RU25GD</v>
      </c>
      <c r="B102" s="1284" t="s">
        <v>918</v>
      </c>
      <c r="C102" s="1284" t="s">
        <v>664</v>
      </c>
      <c r="D102" s="1285">
        <v>41851</v>
      </c>
      <c r="E102" s="1284" t="s">
        <v>89</v>
      </c>
      <c r="F102" s="1284" t="s">
        <v>643</v>
      </c>
      <c r="G102" s="1286">
        <v>-5.0296900000000004</v>
      </c>
      <c r="H102" s="1314">
        <f>G102-(VLOOKUP(A102,'SS data PRELIM'!$A$4:$G$125,7,FALSE))</f>
        <v>-10.52454</v>
      </c>
      <c r="I102" s="1463">
        <f t="shared" si="3"/>
        <v>10.52454</v>
      </c>
      <c r="J102"/>
      <c r="K102"/>
    </row>
    <row r="103" spans="1:11" x14ac:dyDescent="0.2">
      <c r="A103" s="1284" t="str">
        <f>"SPTRSGD"</f>
        <v>SPTRSGD</v>
      </c>
      <c r="B103" s="1284" t="s">
        <v>658</v>
      </c>
      <c r="C103" s="1284" t="s">
        <v>664</v>
      </c>
      <c r="D103" s="1285">
        <v>41851</v>
      </c>
      <c r="E103" s="1284" t="s">
        <v>89</v>
      </c>
      <c r="F103" s="1284" t="s">
        <v>643</v>
      </c>
      <c r="G103" s="1286">
        <v>-5.9889599999999996</v>
      </c>
      <c r="H103" s="1314">
        <f>G103-(VLOOKUP(A103,'SS data PRELIM'!$A$4:$G$125,7,FALSE))</f>
        <v>-10.07382</v>
      </c>
      <c r="I103" s="1463">
        <f t="shared" si="3"/>
        <v>10.07382</v>
      </c>
      <c r="J103"/>
      <c r="K103"/>
    </row>
    <row r="104" spans="1:11" x14ac:dyDescent="0.2">
      <c r="A104" s="1284" t="str">
        <f>"SPTRSVD"</f>
        <v>SPTRSVD</v>
      </c>
      <c r="B104" s="1284" t="s">
        <v>657</v>
      </c>
      <c r="C104" s="1284" t="s">
        <v>664</v>
      </c>
      <c r="D104" s="1285">
        <v>41851</v>
      </c>
      <c r="E104" s="1284" t="s">
        <v>89</v>
      </c>
      <c r="F104" s="1284" t="s">
        <v>643</v>
      </c>
      <c r="G104" s="1286">
        <v>-5.0464599999999997</v>
      </c>
      <c r="H104" s="1314">
        <f>G104-(VLOOKUP(A104,'SS data PRELIM'!$A$4:$G$125,7,FALSE))</f>
        <v>-9.5249199999999998</v>
      </c>
      <c r="I104" s="1463">
        <f t="shared" si="3"/>
        <v>9.5249199999999998</v>
      </c>
      <c r="J104"/>
      <c r="K104"/>
    </row>
    <row r="105" spans="1:11" x14ac:dyDescent="0.2">
      <c r="A105" s="1284" t="str">
        <f>"SPTRXVD"</f>
        <v>SPTRXVD</v>
      </c>
      <c r="B105" s="1284" t="s">
        <v>659</v>
      </c>
      <c r="C105" s="1284" t="s">
        <v>664</v>
      </c>
      <c r="D105" s="1285">
        <v>41851</v>
      </c>
      <c r="E105" s="1284" t="s">
        <v>89</v>
      </c>
      <c r="F105" s="1284" t="s">
        <v>643</v>
      </c>
      <c r="G105" s="1286">
        <v>-1.5263</v>
      </c>
      <c r="H105" s="1314">
        <f>G105-(VLOOKUP(A105,'SS data PRELIM'!$A$4:$G$125,7,FALSE))</f>
        <v>-5.1425599999999996</v>
      </c>
      <c r="I105" s="1463">
        <f t="shared" si="3"/>
        <v>5.1425599999999996</v>
      </c>
      <c r="J105"/>
      <c r="K105"/>
    </row>
    <row r="106" spans="1:11" x14ac:dyDescent="0.2">
      <c r="A106" s="1284" t="str">
        <f>"TEO"</f>
        <v>TEO</v>
      </c>
      <c r="B106" s="1284" t="s">
        <v>901</v>
      </c>
      <c r="C106" s="1284" t="s">
        <v>664</v>
      </c>
      <c r="D106" s="1285">
        <v>41851</v>
      </c>
      <c r="E106" s="1284" t="s">
        <v>89</v>
      </c>
      <c r="F106" s="1284" t="s">
        <v>643</v>
      </c>
      <c r="G106" s="1286">
        <v>0.33387</v>
      </c>
      <c r="H106" s="1314">
        <f>G106-(VLOOKUP(A106,'SS data PRELIM'!$A$4:$G$125,7,FALSE))</f>
        <v>-1.1911499999999999</v>
      </c>
      <c r="I106" s="1463">
        <f t="shared" si="3"/>
        <v>1.1911499999999999</v>
      </c>
      <c r="J106"/>
      <c r="K106"/>
    </row>
    <row r="107" spans="1:11" x14ac:dyDescent="0.2">
      <c r="A107" s="1284" t="str">
        <f>"V3G"</f>
        <v>V3G</v>
      </c>
      <c r="B107" s="1284" t="s">
        <v>682</v>
      </c>
      <c r="C107" s="1284" t="s">
        <v>664</v>
      </c>
      <c r="D107" s="1285">
        <v>41851</v>
      </c>
      <c r="E107" s="1284" t="s">
        <v>89</v>
      </c>
      <c r="F107" s="1284" t="s">
        <v>643</v>
      </c>
      <c r="G107" s="1286">
        <v>-4.9835500000000001</v>
      </c>
      <c r="H107" s="1314">
        <f>G107-(VLOOKUP(A107,'SS data PRELIM'!$A$4:$G$125,7,FALSE))</f>
        <v>-3.9384100000000002</v>
      </c>
      <c r="I107" s="1463">
        <f t="shared" si="3"/>
        <v>3.9384100000000002</v>
      </c>
      <c r="J107"/>
      <c r="K107"/>
    </row>
    <row r="108" spans="1:11" x14ac:dyDescent="0.2">
      <c r="A108" s="1284" t="str">
        <f>"X01D"</f>
        <v>X01D</v>
      </c>
      <c r="B108" s="1284" t="s">
        <v>919</v>
      </c>
      <c r="C108" s="1284" t="s">
        <v>664</v>
      </c>
      <c r="D108" s="1285">
        <v>41851</v>
      </c>
      <c r="E108" s="1284" t="s">
        <v>89</v>
      </c>
      <c r="F108" s="1284" t="s">
        <v>643</v>
      </c>
      <c r="G108" s="1286">
        <v>-1.3790899999999999</v>
      </c>
      <c r="H108" s="1314">
        <f>G108-(VLOOKUP(A108,'SS data PRELIM'!$A$4:$G$125,7,FALSE))</f>
        <v>-5.3795899999999994</v>
      </c>
      <c r="I108" s="1463">
        <f t="shared" si="3"/>
        <v>5.3795899999999994</v>
      </c>
      <c r="J108"/>
      <c r="K108"/>
    </row>
    <row r="109" spans="1:11" x14ac:dyDescent="0.2">
      <c r="A109" s="1284" t="str">
        <f>"X11D"</f>
        <v>X11D</v>
      </c>
      <c r="B109" s="1284" t="s">
        <v>813</v>
      </c>
      <c r="C109" s="1284" t="s">
        <v>664</v>
      </c>
      <c r="D109" s="1285">
        <v>41851</v>
      </c>
      <c r="E109" s="1284" t="s">
        <v>89</v>
      </c>
      <c r="F109" s="1284" t="s">
        <v>643</v>
      </c>
      <c r="G109" s="1286">
        <v>2.8999999999999998E-3</v>
      </c>
      <c r="H109" s="1314">
        <f>G109-(VLOOKUP(A109,'SS data PRELIM'!$A$4:$G$125,7,FALSE))</f>
        <v>-2.9000000000000033E-4</v>
      </c>
      <c r="I109" s="1463">
        <f t="shared" si="3"/>
        <v>2.9000000000000033E-4</v>
      </c>
      <c r="J109"/>
      <c r="K109"/>
    </row>
    <row r="110" spans="1:11" x14ac:dyDescent="0.2">
      <c r="A110" s="1284" t="str">
        <f>"X14DD"</f>
        <v>X14DD</v>
      </c>
      <c r="B110" s="1284" t="s">
        <v>809</v>
      </c>
      <c r="C110" s="1284" t="s">
        <v>664</v>
      </c>
      <c r="D110" s="1285">
        <v>41851</v>
      </c>
      <c r="E110" s="1284" t="s">
        <v>89</v>
      </c>
      <c r="F110" s="1284" t="s">
        <v>643</v>
      </c>
      <c r="G110" s="1286">
        <v>-0.21879000000000001</v>
      </c>
      <c r="H110" s="1314">
        <f>G110-(VLOOKUP(A110,'SS data PRELIM'!$A$4:$G$125,7,FALSE))</f>
        <v>-0.91713</v>
      </c>
      <c r="I110" s="1463">
        <f t="shared" si="3"/>
        <v>0.91713</v>
      </c>
      <c r="J110"/>
      <c r="K110"/>
    </row>
    <row r="111" spans="1:11" x14ac:dyDescent="0.2">
      <c r="A111" s="1284" t="str">
        <f>"XDYD"</f>
        <v>XDYD</v>
      </c>
      <c r="B111" s="1284" t="s">
        <v>902</v>
      </c>
      <c r="C111" s="1284" t="s">
        <v>664</v>
      </c>
      <c r="D111" s="1285">
        <v>41851</v>
      </c>
      <c r="E111" s="1284" t="s">
        <v>89</v>
      </c>
      <c r="F111" s="1284" t="s">
        <v>643</v>
      </c>
      <c r="G111" s="1286">
        <v>-4.2742599999999999</v>
      </c>
      <c r="H111" s="1314">
        <f>G111-(VLOOKUP(A111,'SS data PRELIM'!$A$4:$G$125,7,FALSE))</f>
        <v>-9.3571600000000004</v>
      </c>
      <c r="I111" s="1463">
        <f t="shared" si="3"/>
        <v>9.3571600000000004</v>
      </c>
      <c r="J111"/>
      <c r="K111"/>
    </row>
    <row r="112" spans="1:11" x14ac:dyDescent="0.2">
      <c r="A112" s="1284" t="str">
        <f>"XF1D"</f>
        <v>XF1D</v>
      </c>
      <c r="B112" s="1284" t="s">
        <v>899</v>
      </c>
      <c r="C112" s="1284" t="s">
        <v>664</v>
      </c>
      <c r="D112" s="1285">
        <v>41851</v>
      </c>
      <c r="E112" s="1284" t="s">
        <v>89</v>
      </c>
      <c r="F112" s="1284" t="s">
        <v>643</v>
      </c>
      <c r="G112" s="1286">
        <v>-1.6170100000000001</v>
      </c>
      <c r="H112" s="1314">
        <f>G112-(VLOOKUP(A112,'SS data PRELIM'!$A$4:$G$125,7,FALSE))</f>
        <v>-5.7490100000000002</v>
      </c>
      <c r="I112" s="1463">
        <f t="shared" si="3"/>
        <v>5.7490100000000002</v>
      </c>
      <c r="J112"/>
      <c r="K112"/>
    </row>
    <row r="113" spans="1:11" x14ac:dyDescent="0.2">
      <c r="A113" s="1284" t="str">
        <f>"XF2"</f>
        <v>XF2</v>
      </c>
      <c r="B113" s="1284" t="s">
        <v>731</v>
      </c>
      <c r="C113" s="1284" t="s">
        <v>664</v>
      </c>
      <c r="D113" s="1285">
        <v>41851</v>
      </c>
      <c r="E113" s="1284" t="s">
        <v>89</v>
      </c>
      <c r="F113" s="1284" t="s">
        <v>643</v>
      </c>
      <c r="G113" s="1286">
        <v>-6.0529000000000002</v>
      </c>
      <c r="H113" s="1314">
        <f>G113-(VLOOKUP(A113,'SS data PRELIM'!$A$4:$G$125,7,FALSE))</f>
        <v>-11.01146</v>
      </c>
      <c r="I113" s="1463">
        <f t="shared" si="3"/>
        <v>11.01146</v>
      </c>
      <c r="J113"/>
      <c r="K113"/>
    </row>
    <row r="114" spans="1:11" x14ac:dyDescent="0.2">
      <c r="A114" s="1284" t="str">
        <f>"XF3D"</f>
        <v>XF3D</v>
      </c>
      <c r="B114" s="1284" t="s">
        <v>656</v>
      </c>
      <c r="C114" s="1284" t="s">
        <v>664</v>
      </c>
      <c r="D114" s="1285">
        <v>41851</v>
      </c>
      <c r="E114" s="1284" t="s">
        <v>89</v>
      </c>
      <c r="F114" s="1284" t="s">
        <v>643</v>
      </c>
      <c r="G114" s="1286">
        <v>-1.9727300000000001</v>
      </c>
      <c r="H114" s="1314">
        <f>G114-(VLOOKUP(A114,'SS data PRELIM'!$A$4:$G$125,7,FALSE))</f>
        <v>-6.1681900000000001</v>
      </c>
      <c r="I114" s="1463">
        <f t="shared" si="3"/>
        <v>6.1681900000000001</v>
      </c>
      <c r="J114"/>
      <c r="K114"/>
    </row>
    <row r="115" spans="1:11" x14ac:dyDescent="0.2">
      <c r="A115" s="1284" t="str">
        <f>"XF5D"</f>
        <v>XF5D</v>
      </c>
      <c r="B115" s="1284" t="s">
        <v>900</v>
      </c>
      <c r="C115" s="1284" t="s">
        <v>664</v>
      </c>
      <c r="D115" s="1285">
        <v>41851</v>
      </c>
      <c r="E115" s="1284" t="s">
        <v>89</v>
      </c>
      <c r="F115" s="1284" t="s">
        <v>643</v>
      </c>
      <c r="G115" s="1286">
        <v>-4.9185999999999996</v>
      </c>
      <c r="H115" s="1314">
        <f>G115-(VLOOKUP(A115,'SS data PRELIM'!$A$4:$G$125,7,FALSE))</f>
        <v>-9.8583099999999995</v>
      </c>
      <c r="I115" s="1463">
        <f t="shared" si="3"/>
        <v>9.8583099999999995</v>
      </c>
      <c r="J115"/>
      <c r="K115"/>
    </row>
    <row r="116" spans="1:11" x14ac:dyDescent="0.2">
      <c r="A116" s="1284" t="str">
        <f>"XFAD"</f>
        <v>XFAD</v>
      </c>
      <c r="B116" s="1284" t="s">
        <v>920</v>
      </c>
      <c r="C116" s="1284" t="s">
        <v>664</v>
      </c>
      <c r="D116" s="1285">
        <v>41851</v>
      </c>
      <c r="E116" s="1284" t="s">
        <v>89</v>
      </c>
      <c r="F116" s="1284" t="s">
        <v>643</v>
      </c>
      <c r="G116" s="1286">
        <v>-6.0574599999999998</v>
      </c>
      <c r="H116" s="1314">
        <f>G116-(VLOOKUP(A116,'SS data PRELIM'!$A$4:$G$125,7,FALSE))</f>
        <v>-11.634419999999999</v>
      </c>
      <c r="I116" s="1463">
        <f t="shared" si="3"/>
        <v>11.634419999999999</v>
      </c>
      <c r="J116"/>
      <c r="K116"/>
    </row>
    <row r="117" spans="1:11" x14ac:dyDescent="0.2">
      <c r="A117" s="1284" t="str">
        <f>"XFCD"</f>
        <v>XFCD</v>
      </c>
      <c r="B117" s="1284" t="s">
        <v>921</v>
      </c>
      <c r="C117" s="1284" t="s">
        <v>664</v>
      </c>
      <c r="D117" s="1285">
        <v>41851</v>
      </c>
      <c r="E117" s="1284" t="s">
        <v>89</v>
      </c>
      <c r="F117" s="1284" t="s">
        <v>643</v>
      </c>
      <c r="G117" s="1286">
        <v>-6.0474800000000002</v>
      </c>
      <c r="H117" s="1314">
        <f>G117-(VLOOKUP(A117,'SS data PRELIM'!$A$4:$G$125,7,FALSE))</f>
        <v>-10.394159999999999</v>
      </c>
      <c r="I117" s="1463">
        <f t="shared" si="3"/>
        <v>10.394159999999999</v>
      </c>
    </row>
    <row r="118" spans="1:11" x14ac:dyDescent="0.2">
      <c r="A118" s="1284" t="str">
        <f>"XSLD"</f>
        <v>XSLD</v>
      </c>
      <c r="B118" s="1284" t="s">
        <v>810</v>
      </c>
      <c r="C118" s="1284" t="s">
        <v>664</v>
      </c>
      <c r="D118" s="1285">
        <v>41851</v>
      </c>
      <c r="E118" s="1284" t="s">
        <v>89</v>
      </c>
      <c r="F118" s="1284" t="s">
        <v>643</v>
      </c>
      <c r="G118" s="1286">
        <v>-0.25086000000000003</v>
      </c>
      <c r="H118" s="1314">
        <f>G118-(VLOOKUP(A118,'SS data PRELIM'!$A$4:$G$125,7,FALSE))</f>
        <v>-1.3548900000000001</v>
      </c>
      <c r="I118" s="1463">
        <f t="shared" si="3"/>
        <v>1.3548900000000001</v>
      </c>
    </row>
    <row r="119" spans="1:11" x14ac:dyDescent="0.2">
      <c r="A119" s="1284" t="str">
        <f>"Y5P"</f>
        <v>Y5P</v>
      </c>
      <c r="B119" s="1284" t="s">
        <v>811</v>
      </c>
      <c r="C119" s="1284" t="s">
        <v>664</v>
      </c>
      <c r="D119" s="1285">
        <v>41851</v>
      </c>
      <c r="E119" s="1284" t="s">
        <v>89</v>
      </c>
      <c r="F119" s="1284" t="s">
        <v>643</v>
      </c>
      <c r="G119" s="1286">
        <v>-0.34143000000000001</v>
      </c>
      <c r="H119" s="1314">
        <f>G119-(VLOOKUP(A119,'SS data PRELIM'!$A$4:$G$125,7,FALSE))</f>
        <v>-1.1124700000000001</v>
      </c>
      <c r="I119" s="1463">
        <f t="shared" si="3"/>
        <v>1.1124700000000001</v>
      </c>
    </row>
    <row r="120" spans="1:11" x14ac:dyDescent="0.2">
      <c r="A120" s="1284" t="str">
        <f>"Y7TD"</f>
        <v>Y7TD</v>
      </c>
      <c r="B120" s="1284" t="s">
        <v>812</v>
      </c>
      <c r="C120" s="1284" t="s">
        <v>664</v>
      </c>
      <c r="D120" s="1285">
        <v>41851</v>
      </c>
      <c r="E120" s="1284" t="s">
        <v>89</v>
      </c>
      <c r="F120" s="1284" t="s">
        <v>643</v>
      </c>
      <c r="G120" s="1286">
        <v>-1.33341</v>
      </c>
      <c r="H120" s="1314">
        <f>G120-(VLOOKUP(A120,'SS data PRELIM'!$A$4:$G$125,7,FALSE))</f>
        <v>-2.9186000000000001</v>
      </c>
      <c r="I120" s="1463">
        <f t="shared" si="3"/>
        <v>2.9186000000000001</v>
      </c>
    </row>
    <row r="121" spans="1:11" x14ac:dyDescent="0.2">
      <c r="A121" s="1284" t="str">
        <f>"Y7ZD"</f>
        <v>Y7ZD</v>
      </c>
      <c r="B121" s="1284" t="s">
        <v>649</v>
      </c>
      <c r="C121" s="1284" t="s">
        <v>664</v>
      </c>
      <c r="D121" s="1285">
        <v>41851</v>
      </c>
      <c r="E121" s="1284" t="s">
        <v>89</v>
      </c>
      <c r="F121" s="1284" t="s">
        <v>643</v>
      </c>
      <c r="G121" s="1286">
        <v>-5.4946599999999997</v>
      </c>
      <c r="H121" s="1314">
        <f>G121-(VLOOKUP(A121,'SS data PRELIM'!$A$4:$G$125,7,FALSE))</f>
        <v>-9.7896399999999986</v>
      </c>
      <c r="I121" s="1463">
        <f t="shared" si="3"/>
        <v>9.7896399999999986</v>
      </c>
    </row>
    <row r="122" spans="1:11" x14ac:dyDescent="0.2">
      <c r="A122" s="1284" t="str">
        <f>"YDUD"</f>
        <v>YDUD</v>
      </c>
      <c r="B122" s="1284" t="s">
        <v>650</v>
      </c>
      <c r="C122" s="1284" t="s">
        <v>664</v>
      </c>
      <c r="D122" s="1285">
        <v>41851</v>
      </c>
      <c r="E122" s="1284" t="s">
        <v>89</v>
      </c>
      <c r="F122" s="1284" t="s">
        <v>643</v>
      </c>
      <c r="G122" s="1286">
        <v>0.06</v>
      </c>
      <c r="H122" s="1314">
        <f>G122-(VLOOKUP(A122,'SS data PRELIM'!$A$4:$G$125,7,FALSE))</f>
        <v>-2.81</v>
      </c>
      <c r="I122" s="1463">
        <f t="shared" si="3"/>
        <v>2.81</v>
      </c>
    </row>
    <row r="123" spans="1:11" x14ac:dyDescent="0.2">
      <c r="A123" s="1284" t="str">
        <f>"Z51D"</f>
        <v>Z51D</v>
      </c>
      <c r="B123" s="1284" t="s">
        <v>908</v>
      </c>
      <c r="C123" s="1284" t="s">
        <v>664</v>
      </c>
      <c r="D123" s="1285">
        <v>41851</v>
      </c>
      <c r="E123" s="1284" t="s">
        <v>89</v>
      </c>
      <c r="F123" s="1284" t="s">
        <v>643</v>
      </c>
      <c r="G123" s="1286">
        <v>2.887E-2</v>
      </c>
      <c r="H123" s="1314">
        <f>G123-(VLOOKUP(A123,'SS data PRELIM'!$A$4:$G$125,7,FALSE))</f>
        <v>-0.40856999999999999</v>
      </c>
      <c r="I123" s="1463">
        <f t="shared" si="3"/>
        <v>0.40856999999999999</v>
      </c>
    </row>
    <row r="124" spans="1:11" x14ac:dyDescent="0.2">
      <c r="A124"/>
      <c r="B124"/>
      <c r="C124"/>
      <c r="D124"/>
      <c r="E124"/>
      <c r="F124"/>
      <c r="G124"/>
      <c r="H124" s="1314"/>
      <c r="I124" s="1463"/>
    </row>
    <row r="125" spans="1:11" x14ac:dyDescent="0.2">
      <c r="A125"/>
      <c r="B125"/>
      <c r="C125"/>
      <c r="D125"/>
      <c r="E125"/>
      <c r="F125"/>
      <c r="G125"/>
      <c r="H125" s="1314"/>
      <c r="I125" s="1463"/>
    </row>
    <row r="126" spans="1:11" x14ac:dyDescent="0.2">
      <c r="A126"/>
      <c r="B126"/>
      <c r="C126"/>
      <c r="D126"/>
      <c r="E126"/>
      <c r="F126"/>
      <c r="G126"/>
    </row>
    <row r="127" spans="1:11" x14ac:dyDescent="0.2">
      <c r="A127"/>
      <c r="B127"/>
      <c r="C127"/>
      <c r="D127"/>
      <c r="E127"/>
      <c r="F127"/>
      <c r="G127"/>
    </row>
  </sheetData>
  <autoFilter ref="A3:I3">
    <sortState ref="A4:I123">
      <sortCondition ref="A3"/>
    </sortState>
  </autoFilter>
  <conditionalFormatting sqref="I117:I118 I4:I114">
    <cfRule type="cellIs" dxfId="21" priority="3" operator="lessThan">
      <formula>0</formula>
    </cfRule>
    <cfRule type="cellIs" dxfId="20" priority="4" operator="greaterThan">
      <formula>0</formula>
    </cfRule>
  </conditionalFormatting>
  <pageMargins left="0.75" right="0.75" top="1" bottom="1" header="0.5" footer="0.5"/>
  <pageSetup scale="54"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autoPageBreaks="0" fitToPage="1"/>
  </sheetPr>
  <dimension ref="A1:CL700"/>
  <sheetViews>
    <sheetView zoomScaleNormal="100" workbookViewId="0">
      <pane xSplit="1" ySplit="2" topLeftCell="X446" activePane="bottomRight" state="frozen"/>
      <selection pane="topRight" activeCell="B1" sqref="B1"/>
      <selection pane="bottomLeft" activeCell="A3" sqref="A3"/>
      <selection pane="bottomRight" activeCell="Y472" sqref="Y472"/>
    </sheetView>
  </sheetViews>
  <sheetFormatPr defaultRowHeight="12.75" outlineLevelCol="1" x14ac:dyDescent="0.2"/>
  <cols>
    <col min="1" max="1" width="14.7109375" style="12" customWidth="1"/>
    <col min="2" max="19" width="14.7109375" style="250" customWidth="1"/>
    <col min="20" max="21" width="14.7109375" style="250" hidden="1" customWidth="1" outlineLevel="1"/>
    <col min="22" max="22" width="14.7109375" style="250" customWidth="1" collapsed="1"/>
    <col min="23" max="25" width="14.7109375" style="250" customWidth="1"/>
    <col min="26" max="26" width="14.7109375" style="250" hidden="1" customWidth="1" outlineLevel="1"/>
    <col min="27" max="27" width="14.7109375" style="250" customWidth="1" collapsed="1"/>
    <col min="28" max="28" width="14.7109375" style="250" hidden="1" customWidth="1" outlineLevel="1"/>
    <col min="29" max="29" width="14.7109375" style="250" customWidth="1" collapsed="1"/>
    <col min="30" max="38" width="14.7109375" style="250" customWidth="1"/>
    <col min="39" max="39" width="11.85546875" style="250" customWidth="1"/>
    <col min="40" max="40" width="14.85546875" style="250" bestFit="1" customWidth="1"/>
    <col min="41" max="41" width="17.85546875" style="250" bestFit="1" customWidth="1"/>
    <col min="42" max="46" width="17.85546875" style="250" customWidth="1"/>
    <col min="47" max="47" width="19.5703125" style="250" bestFit="1" customWidth="1"/>
    <col min="48" max="56" width="14.7109375" style="250" hidden="1" customWidth="1" outlineLevel="1"/>
    <col min="57" max="57" width="7.7109375" style="12" hidden="1" customWidth="1" outlineLevel="1"/>
    <col min="58" max="69" width="14.7109375" style="12" hidden="1" customWidth="1" outlineLevel="1"/>
    <col min="70" max="75" width="12.7109375" style="12" hidden="1" customWidth="1" outlineLevel="1"/>
    <col min="76" max="76" width="4.85546875" style="12" hidden="1" customWidth="1" outlineLevel="1"/>
    <col min="77" max="77" width="37.140625" style="12" customWidth="1" collapsed="1"/>
    <col min="78" max="79" width="9.140625" style="12" hidden="1" customWidth="1" outlineLevel="1"/>
    <col min="80" max="80" width="12.7109375" style="12" hidden="1" customWidth="1" outlineLevel="1"/>
    <col min="81" max="87" width="9.140625" style="12" hidden="1" customWidth="1" outlineLevel="1"/>
    <col min="88" max="88" width="13.140625" style="12" hidden="1" customWidth="1" outlineLevel="1"/>
    <col min="89" max="89" width="9.140625" style="12" collapsed="1"/>
    <col min="90" max="16384" width="9.140625" style="12"/>
  </cols>
  <sheetData>
    <row r="1" spans="1:88" x14ac:dyDescent="0.2">
      <c r="A1" s="1" t="s">
        <v>112</v>
      </c>
      <c r="B1" s="241" t="s">
        <v>788</v>
      </c>
      <c r="C1" s="241" t="s">
        <v>780</v>
      </c>
      <c r="D1" s="241" t="s">
        <v>786</v>
      </c>
      <c r="E1" s="241" t="s">
        <v>790</v>
      </c>
      <c r="F1" s="241" t="s">
        <v>779</v>
      </c>
      <c r="G1" s="241" t="s">
        <v>778</v>
      </c>
      <c r="H1" s="241" t="s">
        <v>792</v>
      </c>
      <c r="I1" s="241" t="s">
        <v>795</v>
      </c>
      <c r="J1" s="241" t="s">
        <v>796</v>
      </c>
      <c r="K1" s="241" t="s">
        <v>800</v>
      </c>
      <c r="L1" s="241" t="s">
        <v>784</v>
      </c>
      <c r="M1" s="241" t="s">
        <v>785</v>
      </c>
      <c r="N1" s="241" t="s">
        <v>330</v>
      </c>
      <c r="O1" s="241" t="s">
        <v>332</v>
      </c>
      <c r="P1" s="241" t="s">
        <v>333</v>
      </c>
      <c r="Q1" s="241" t="s">
        <v>783</v>
      </c>
      <c r="R1" s="241" t="s">
        <v>794</v>
      </c>
      <c r="S1" s="241" t="s">
        <v>793</v>
      </c>
      <c r="T1" s="241" t="s">
        <v>193</v>
      </c>
      <c r="U1" s="241" t="str">
        <f>"AZIDX064"</f>
        <v>AZIDX064</v>
      </c>
      <c r="V1" s="241" t="str">
        <f>"AZIDX062"</f>
        <v>AZIDX062</v>
      </c>
      <c r="W1" s="241" t="s">
        <v>797</v>
      </c>
      <c r="X1" s="241" t="s">
        <v>798</v>
      </c>
      <c r="Y1" s="241" t="s">
        <v>789</v>
      </c>
      <c r="Z1" s="241" t="s">
        <v>293</v>
      </c>
      <c r="AA1" s="241" t="str">
        <f>"AZIDX061"</f>
        <v>AZIDX061</v>
      </c>
      <c r="AB1" s="241" t="s">
        <v>224</v>
      </c>
      <c r="AC1" s="241" t="s">
        <v>781</v>
      </c>
      <c r="AD1" s="241" t="s">
        <v>777</v>
      </c>
      <c r="AE1" s="241" t="s">
        <v>193</v>
      </c>
      <c r="AF1" s="241" t="s">
        <v>193</v>
      </c>
      <c r="AG1" s="241" t="s">
        <v>782</v>
      </c>
      <c r="AH1" s="250" t="s">
        <v>801</v>
      </c>
      <c r="AI1" s="250" t="s">
        <v>799</v>
      </c>
      <c r="AJ1" s="250" t="s">
        <v>802</v>
      </c>
      <c r="AK1" s="250" t="s">
        <v>787</v>
      </c>
      <c r="AL1" s="1284" t="str">
        <f>"AZIDX065"</f>
        <v>AZIDX065</v>
      </c>
      <c r="AM1" s="241" t="s">
        <v>791</v>
      </c>
      <c r="AN1" s="1415" t="s">
        <v>776</v>
      </c>
      <c r="AO1" s="1415" t="s">
        <v>776</v>
      </c>
      <c r="AP1" s="1415" t="s">
        <v>805</v>
      </c>
      <c r="AQ1" s="1415" t="s">
        <v>821</v>
      </c>
      <c r="AR1" s="1415" t="s">
        <v>819</v>
      </c>
      <c r="AS1" s="1415" t="s">
        <v>850</v>
      </c>
      <c r="AT1" s="1415" t="s">
        <v>843</v>
      </c>
      <c r="AU1" s="1415" t="s">
        <v>896</v>
      </c>
      <c r="AV1" s="1473" t="s">
        <v>254</v>
      </c>
      <c r="AW1" s="1473"/>
      <c r="AX1" s="1473"/>
      <c r="AY1" s="1473"/>
      <c r="AZ1" s="1473"/>
      <c r="BA1" s="1473"/>
      <c r="BB1" s="1473"/>
      <c r="BC1" s="1473"/>
      <c r="BD1" s="337" t="s">
        <v>257</v>
      </c>
      <c r="BE1" s="1248" t="s">
        <v>406</v>
      </c>
      <c r="BF1" s="1474" t="s">
        <v>255</v>
      </c>
      <c r="BG1" s="1474"/>
      <c r="BH1" s="1474"/>
      <c r="BI1" s="1474"/>
      <c r="BJ1" s="1474"/>
      <c r="BK1" s="1474"/>
      <c r="BL1" s="1474"/>
      <c r="BM1" s="1474"/>
      <c r="BN1" s="1474"/>
      <c r="BO1" s="1474"/>
      <c r="BP1" s="1474"/>
      <c r="BQ1" s="338" t="s">
        <v>256</v>
      </c>
      <c r="BS1" s="1475" t="s">
        <v>267</v>
      </c>
      <c r="BT1" s="1475"/>
      <c r="BU1" s="1475"/>
      <c r="BV1" s="1475"/>
      <c r="BW1" s="1475"/>
      <c r="BX1" s="1475"/>
      <c r="BY1" s="1475"/>
      <c r="BZ1" s="1" t="s">
        <v>344</v>
      </c>
      <c r="CB1" s="339" t="s">
        <v>274</v>
      </c>
      <c r="CG1" s="1" t="s">
        <v>341</v>
      </c>
    </row>
    <row r="2" spans="1:88" ht="14.25" x14ac:dyDescent="0.2">
      <c r="A2" s="4" t="s">
        <v>27</v>
      </c>
      <c r="B2" s="2" t="s">
        <v>119</v>
      </c>
      <c r="C2" s="2" t="s">
        <v>225</v>
      </c>
      <c r="D2" s="2" t="s">
        <v>227</v>
      </c>
      <c r="E2" s="2" t="s">
        <v>228</v>
      </c>
      <c r="F2" s="2" t="s">
        <v>229</v>
      </c>
      <c r="G2" s="2" t="s">
        <v>230</v>
      </c>
      <c r="H2" s="7" t="s">
        <v>231</v>
      </c>
      <c r="I2" s="7" t="s">
        <v>232</v>
      </c>
      <c r="J2" s="7" t="s">
        <v>234</v>
      </c>
      <c r="K2" s="7" t="s">
        <v>327</v>
      </c>
      <c r="L2" s="7" t="s">
        <v>328</v>
      </c>
      <c r="M2" s="7" t="s">
        <v>329</v>
      </c>
      <c r="N2" s="7" t="s">
        <v>331</v>
      </c>
      <c r="O2" s="7" t="s">
        <v>331</v>
      </c>
      <c r="P2" s="7" t="s">
        <v>331</v>
      </c>
      <c r="Q2" s="2" t="s">
        <v>233</v>
      </c>
      <c r="R2" s="2" t="s">
        <v>355</v>
      </c>
      <c r="S2" s="2" t="s">
        <v>295</v>
      </c>
      <c r="T2" s="2" t="s">
        <v>311</v>
      </c>
      <c r="U2" s="7" t="s">
        <v>175</v>
      </c>
      <c r="V2" s="7" t="s">
        <v>909</v>
      </c>
      <c r="W2" s="7" t="s">
        <v>28</v>
      </c>
      <c r="X2" s="7" t="s">
        <v>354</v>
      </c>
      <c r="Y2" s="7" t="s">
        <v>405</v>
      </c>
      <c r="Z2" s="7" t="s">
        <v>294</v>
      </c>
      <c r="AA2" s="7" t="s">
        <v>910</v>
      </c>
      <c r="AB2" s="7" t="s">
        <v>226</v>
      </c>
      <c r="AC2" s="7" t="s">
        <v>911</v>
      </c>
      <c r="AD2" s="7" t="s">
        <v>912</v>
      </c>
      <c r="AE2" s="7" t="s">
        <v>252</v>
      </c>
      <c r="AF2" s="7" t="s">
        <v>259</v>
      </c>
      <c r="AG2" s="7" t="s">
        <v>264</v>
      </c>
      <c r="AH2" s="7" t="s">
        <v>292</v>
      </c>
      <c r="AI2" s="7" t="s">
        <v>652</v>
      </c>
      <c r="AJ2" s="7" t="s">
        <v>668</v>
      </c>
      <c r="AK2" s="7" t="s">
        <v>684</v>
      </c>
      <c r="AL2" s="7" t="s">
        <v>913</v>
      </c>
      <c r="AM2" s="7" t="s">
        <v>730</v>
      </c>
      <c r="AN2" s="340" t="s">
        <v>914</v>
      </c>
      <c r="AO2" s="340" t="s">
        <v>915</v>
      </c>
      <c r="AP2" s="340" t="s">
        <v>916</v>
      </c>
      <c r="AQ2" s="340" t="s">
        <v>823</v>
      </c>
      <c r="AR2" s="340" t="s">
        <v>814</v>
      </c>
      <c r="AS2" s="340" t="s">
        <v>845</v>
      </c>
      <c r="AT2" s="340" t="s">
        <v>846</v>
      </c>
      <c r="AU2" s="340" t="s">
        <v>875</v>
      </c>
      <c r="AV2" s="7" t="s">
        <v>119</v>
      </c>
      <c r="AW2" s="7" t="s">
        <v>137</v>
      </c>
      <c r="AX2" s="7" t="s">
        <v>327</v>
      </c>
      <c r="AY2" s="7" t="s">
        <v>28</v>
      </c>
      <c r="AZ2" s="7" t="s">
        <v>29</v>
      </c>
      <c r="BA2" s="7" t="s">
        <v>175</v>
      </c>
      <c r="BB2" s="7" t="s">
        <v>263</v>
      </c>
      <c r="BC2" s="7" t="s">
        <v>89</v>
      </c>
      <c r="BD2" s="7" t="s">
        <v>170</v>
      </c>
      <c r="BF2" s="7" t="s">
        <v>119</v>
      </c>
      <c r="BG2" s="7" t="s">
        <v>137</v>
      </c>
      <c r="BH2" s="7" t="s">
        <v>250</v>
      </c>
      <c r="BI2" s="7" t="s">
        <v>327</v>
      </c>
      <c r="BJ2" s="7" t="s">
        <v>29</v>
      </c>
      <c r="BK2" s="7" t="s">
        <v>175</v>
      </c>
      <c r="BL2" s="7" t="s">
        <v>186</v>
      </c>
      <c r="BM2" s="7" t="s">
        <v>28</v>
      </c>
      <c r="BN2" s="7" t="s">
        <v>263</v>
      </c>
      <c r="BO2" s="7" t="s">
        <v>251</v>
      </c>
      <c r="BP2" s="7" t="s">
        <v>89</v>
      </c>
      <c r="BQ2" s="7" t="s">
        <v>170</v>
      </c>
      <c r="BS2" s="340" t="s">
        <v>119</v>
      </c>
      <c r="BT2" s="340" t="s">
        <v>137</v>
      </c>
      <c r="BU2" s="340" t="s">
        <v>327</v>
      </c>
      <c r="BV2" s="340" t="str">
        <f>BM2</f>
        <v>LBA</v>
      </c>
      <c r="BW2" s="340" t="str">
        <f>BJ2</f>
        <v>EAFE</v>
      </c>
      <c r="BX2" s="339" t="s">
        <v>266</v>
      </c>
      <c r="BY2" s="1321" t="s">
        <v>268</v>
      </c>
      <c r="BZ2" s="340" t="s">
        <v>341</v>
      </c>
      <c r="CB2" s="339" t="s">
        <v>275</v>
      </c>
      <c r="CG2" s="1" t="s">
        <v>342</v>
      </c>
      <c r="CJ2" s="12" t="s">
        <v>410</v>
      </c>
    </row>
    <row r="3" spans="1:88" x14ac:dyDescent="0.2">
      <c r="A3" s="19">
        <v>27606</v>
      </c>
      <c r="B3" s="262">
        <v>-6.4398</v>
      </c>
      <c r="C3" s="262">
        <v>-8.8300999999999998</v>
      </c>
      <c r="D3" s="262">
        <v>-4.12</v>
      </c>
      <c r="E3" s="278"/>
      <c r="F3" s="278"/>
      <c r="G3" s="278"/>
      <c r="H3" s="278"/>
      <c r="I3" s="278"/>
      <c r="J3" s="278"/>
      <c r="K3" s="278"/>
      <c r="L3" s="278"/>
      <c r="M3" s="278"/>
      <c r="N3" s="278"/>
      <c r="O3" s="278"/>
      <c r="P3" s="278"/>
      <c r="Q3" s="278"/>
      <c r="R3" s="278"/>
      <c r="S3" s="278"/>
      <c r="T3" s="278"/>
      <c r="U3" s="278"/>
      <c r="V3" s="278"/>
      <c r="W3" s="324"/>
      <c r="X3" s="278"/>
      <c r="Y3" s="278"/>
      <c r="Z3" s="278"/>
      <c r="AA3" s="262">
        <v>-4.1040000000000001</v>
      </c>
      <c r="AB3" s="262">
        <v>-3.7361</v>
      </c>
      <c r="AC3" s="262">
        <v>-4.3648999999999996</v>
      </c>
      <c r="AD3" s="278"/>
      <c r="AE3" s="278"/>
      <c r="AF3" s="262">
        <f>AA3</f>
        <v>-4.1040000000000001</v>
      </c>
      <c r="AG3" s="279"/>
      <c r="AH3" s="279"/>
      <c r="AI3" s="279"/>
      <c r="AJ3" s="279"/>
      <c r="AK3" s="279"/>
      <c r="AL3" s="279"/>
      <c r="AM3" s="244"/>
      <c r="AN3" s="244"/>
      <c r="AO3" s="244"/>
      <c r="AP3" s="244"/>
      <c r="AQ3" s="244"/>
      <c r="AR3" s="244"/>
      <c r="AS3" s="244"/>
      <c r="AT3" s="244"/>
      <c r="AU3" s="244"/>
      <c r="AV3" s="271">
        <v>0.4</v>
      </c>
      <c r="AW3" s="271"/>
      <c r="AX3" s="271"/>
      <c r="AY3" s="271">
        <v>0.6</v>
      </c>
      <c r="AZ3" s="271">
        <v>0</v>
      </c>
      <c r="BA3" s="271">
        <v>0</v>
      </c>
      <c r="BB3" s="271"/>
      <c r="BC3" s="271">
        <f t="shared" ref="BC3:BC66" si="0">SUM(AV3:BA3)</f>
        <v>1</v>
      </c>
      <c r="BD3" s="272">
        <f t="shared" ref="BD3:BD66" si="1">(B3*AV3)+(W3*AY3)+(AA3*AZ3)+(U3*BA3)</f>
        <v>-2.57592</v>
      </c>
      <c r="BE3" s="243">
        <f>BD3</f>
        <v>-2.57592</v>
      </c>
      <c r="BF3" s="330"/>
      <c r="BG3" s="330"/>
      <c r="BH3" s="330"/>
      <c r="BI3" s="330"/>
      <c r="BJ3" s="330"/>
      <c r="BK3" s="330"/>
      <c r="BL3" s="330"/>
      <c r="BM3" s="330"/>
      <c r="BN3" s="330"/>
      <c r="BO3" s="330"/>
      <c r="BP3" s="330"/>
      <c r="BQ3" s="330"/>
      <c r="CB3" s="243">
        <f>((1+0.06)^(1/12)-1)*100</f>
        <v>0.48675505653430484</v>
      </c>
      <c r="CC3" s="235">
        <f>(1+CB3/100)^12-1</f>
        <v>6.0000000000000719E-2</v>
      </c>
      <c r="CD3" s="243">
        <f t="shared" ref="CD3:CD8" si="2">((1+0.055)^(1/12)-1)*100</f>
        <v>0.4471698917043021</v>
      </c>
      <c r="CE3" s="235">
        <f>(1+CD3/100)^12-1</f>
        <v>5.4999999999999716E-2</v>
      </c>
      <c r="CG3" s="734">
        <f t="shared" ref="CG3:CG66" si="3">B3</f>
        <v>-6.4398</v>
      </c>
    </row>
    <row r="4" spans="1:88" x14ac:dyDescent="0.2">
      <c r="A4" s="19">
        <v>27637</v>
      </c>
      <c r="B4" s="262">
        <v>-1.7577</v>
      </c>
      <c r="C4" s="262">
        <v>-1.9588000000000001</v>
      </c>
      <c r="D4" s="262">
        <v>-0.94</v>
      </c>
      <c r="E4" s="278"/>
      <c r="F4" s="278"/>
      <c r="G4" s="278"/>
      <c r="H4" s="278"/>
      <c r="I4" s="278"/>
      <c r="J4" s="278"/>
      <c r="K4" s="278"/>
      <c r="L4" s="278"/>
      <c r="M4" s="278"/>
      <c r="N4" s="278"/>
      <c r="O4" s="278"/>
      <c r="P4" s="278"/>
      <c r="Q4" s="278"/>
      <c r="R4" s="278"/>
      <c r="S4" s="278"/>
      <c r="T4" s="278"/>
      <c r="U4" s="278"/>
      <c r="V4" s="278"/>
      <c r="W4" s="324"/>
      <c r="X4" s="278"/>
      <c r="Y4" s="278"/>
      <c r="Z4" s="278"/>
      <c r="AA4" s="262">
        <v>-0.13300000000000001</v>
      </c>
      <c r="AB4" s="262">
        <v>-0.75519999999999998</v>
      </c>
      <c r="AC4" s="262">
        <v>0.42880000000000001</v>
      </c>
      <c r="AD4" s="278"/>
      <c r="AE4" s="278"/>
      <c r="AF4" s="262">
        <f t="shared" ref="AF4:AF67" si="4">AA4</f>
        <v>-0.13300000000000001</v>
      </c>
      <c r="AG4" s="279"/>
      <c r="AH4" s="279"/>
      <c r="AI4" s="279"/>
      <c r="AJ4" s="279"/>
      <c r="AK4" s="279"/>
      <c r="AL4" s="279"/>
      <c r="AM4" s="244"/>
      <c r="AN4" s="244"/>
      <c r="AO4" s="244"/>
      <c r="AP4" s="244"/>
      <c r="AQ4" s="244"/>
      <c r="AR4" s="244"/>
      <c r="AS4" s="244"/>
      <c r="AT4" s="244"/>
      <c r="AU4" s="244"/>
      <c r="AV4" s="271">
        <v>0.4</v>
      </c>
      <c r="AW4" s="271"/>
      <c r="AX4" s="271"/>
      <c r="AY4" s="271">
        <v>0.6</v>
      </c>
      <c r="AZ4" s="271">
        <v>0</v>
      </c>
      <c r="BA4" s="271">
        <v>0</v>
      </c>
      <c r="BB4" s="271"/>
      <c r="BC4" s="271">
        <f t="shared" si="0"/>
        <v>1</v>
      </c>
      <c r="BD4" s="272">
        <f t="shared" si="1"/>
        <v>-0.70308000000000004</v>
      </c>
      <c r="BE4" s="243">
        <f t="shared" ref="BE4:BE67" si="5">BD4</f>
        <v>-0.70308000000000004</v>
      </c>
      <c r="BF4" s="330"/>
      <c r="BG4" s="330"/>
      <c r="BH4" s="330"/>
      <c r="BI4" s="330"/>
      <c r="BJ4" s="330"/>
      <c r="BK4" s="330"/>
      <c r="BL4" s="330"/>
      <c r="BM4" s="330"/>
      <c r="BN4" s="330"/>
      <c r="BO4" s="330"/>
      <c r="BP4" s="330"/>
      <c r="BQ4" s="330"/>
      <c r="CB4" s="243">
        <f t="shared" ref="CB4:CB62" si="6">((1+0.06)^(1/12)-1)*100</f>
        <v>0.48675505653430484</v>
      </c>
      <c r="CD4" s="243">
        <f t="shared" si="2"/>
        <v>0.4471698917043021</v>
      </c>
      <c r="CG4" s="734">
        <f t="shared" si="3"/>
        <v>-1.7577</v>
      </c>
    </row>
    <row r="5" spans="1:88" x14ac:dyDescent="0.2">
      <c r="A5" s="19">
        <v>27667</v>
      </c>
      <c r="B5" s="262">
        <v>-3.1192000000000002</v>
      </c>
      <c r="C5" s="262">
        <v>-4.1500000000000004</v>
      </c>
      <c r="D5" s="262">
        <v>-2.19</v>
      </c>
      <c r="E5" s="278"/>
      <c r="F5" s="278"/>
      <c r="G5" s="278"/>
      <c r="H5" s="278"/>
      <c r="I5" s="278"/>
      <c r="J5" s="278"/>
      <c r="K5" s="278"/>
      <c r="L5" s="278"/>
      <c r="M5" s="278"/>
      <c r="N5" s="278"/>
      <c r="O5" s="278"/>
      <c r="P5" s="278"/>
      <c r="Q5" s="278"/>
      <c r="R5" s="278"/>
      <c r="S5" s="278"/>
      <c r="T5" s="278"/>
      <c r="U5" s="278"/>
      <c r="V5" s="278"/>
      <c r="W5" s="324"/>
      <c r="X5" s="278"/>
      <c r="Y5" s="278"/>
      <c r="Z5" s="278"/>
      <c r="AA5" s="262">
        <v>-4.532</v>
      </c>
      <c r="AB5" s="262">
        <v>-4.5349000000000004</v>
      </c>
      <c r="AC5" s="262">
        <v>-4.1989000000000001</v>
      </c>
      <c r="AD5" s="278"/>
      <c r="AE5" s="278"/>
      <c r="AF5" s="262">
        <f t="shared" si="4"/>
        <v>-4.532</v>
      </c>
      <c r="AG5" s="279"/>
      <c r="AH5" s="279"/>
      <c r="AI5" s="279"/>
      <c r="AJ5" s="279"/>
      <c r="AK5" s="279"/>
      <c r="AL5" s="279"/>
      <c r="AM5" s="244"/>
      <c r="AN5" s="244"/>
      <c r="AO5" s="244"/>
      <c r="AP5" s="244"/>
      <c r="AQ5" s="244"/>
      <c r="AR5" s="244"/>
      <c r="AS5" s="244"/>
      <c r="AT5" s="244"/>
      <c r="AU5" s="244"/>
      <c r="AV5" s="271">
        <v>0.4</v>
      </c>
      <c r="AW5" s="271"/>
      <c r="AX5" s="271"/>
      <c r="AY5" s="271">
        <v>0.6</v>
      </c>
      <c r="AZ5" s="271">
        <v>0</v>
      </c>
      <c r="BA5" s="271">
        <v>0</v>
      </c>
      <c r="BB5" s="271"/>
      <c r="BC5" s="271">
        <f t="shared" si="0"/>
        <v>1</v>
      </c>
      <c r="BD5" s="272">
        <f t="shared" si="1"/>
        <v>-1.2476800000000001</v>
      </c>
      <c r="BE5" s="243">
        <f t="shared" si="5"/>
        <v>-1.2476800000000001</v>
      </c>
      <c r="BF5" s="330"/>
      <c r="BG5" s="330"/>
      <c r="BH5" s="330"/>
      <c r="BI5" s="330"/>
      <c r="BJ5" s="330"/>
      <c r="BK5" s="330"/>
      <c r="BL5" s="330"/>
      <c r="BM5" s="330"/>
      <c r="BN5" s="330"/>
      <c r="BO5" s="330"/>
      <c r="BP5" s="330"/>
      <c r="BQ5" s="330"/>
      <c r="CB5" s="243">
        <f t="shared" si="6"/>
        <v>0.48675505653430484</v>
      </c>
      <c r="CD5" s="243">
        <f t="shared" si="2"/>
        <v>0.4471698917043021</v>
      </c>
      <c r="CG5" s="734">
        <f t="shared" si="3"/>
        <v>-3.1192000000000002</v>
      </c>
    </row>
    <row r="6" spans="1:88" x14ac:dyDescent="0.2">
      <c r="A6" s="19">
        <v>27698</v>
      </c>
      <c r="B6" s="262">
        <v>6.5339</v>
      </c>
      <c r="C6" s="262">
        <v>7.9196</v>
      </c>
      <c r="D6" s="262">
        <v>5.04</v>
      </c>
      <c r="E6" s="278"/>
      <c r="F6" s="278"/>
      <c r="G6" s="278"/>
      <c r="H6" s="278"/>
      <c r="I6" s="278"/>
      <c r="J6" s="278"/>
      <c r="K6" s="278"/>
      <c r="L6" s="278"/>
      <c r="M6" s="278"/>
      <c r="N6" s="278"/>
      <c r="O6" s="278"/>
      <c r="P6" s="278"/>
      <c r="Q6" s="278"/>
      <c r="R6" s="278"/>
      <c r="S6" s="278"/>
      <c r="T6" s="278"/>
      <c r="U6" s="278"/>
      <c r="V6" s="278"/>
      <c r="W6" s="324"/>
      <c r="X6" s="278"/>
      <c r="Y6" s="278"/>
      <c r="Z6" s="278"/>
      <c r="AA6" s="262">
        <v>8.641</v>
      </c>
      <c r="AB6" s="262">
        <v>7.5274000000000001</v>
      </c>
      <c r="AC6" s="262">
        <v>9.7279</v>
      </c>
      <c r="AD6" s="278"/>
      <c r="AE6" s="278"/>
      <c r="AF6" s="262">
        <f t="shared" si="4"/>
        <v>8.641</v>
      </c>
      <c r="AG6" s="279"/>
      <c r="AH6" s="279"/>
      <c r="AI6" s="279"/>
      <c r="AJ6" s="279"/>
      <c r="AK6" s="279"/>
      <c r="AL6" s="279"/>
      <c r="AM6" s="244"/>
      <c r="AN6" s="244"/>
      <c r="AO6" s="244"/>
      <c r="AP6" s="244"/>
      <c r="AQ6" s="244"/>
      <c r="AR6" s="244"/>
      <c r="AS6" s="244"/>
      <c r="AT6" s="244"/>
      <c r="AU6" s="244"/>
      <c r="AV6" s="271">
        <v>0.4</v>
      </c>
      <c r="AW6" s="271"/>
      <c r="AX6" s="271"/>
      <c r="AY6" s="271">
        <v>0.6</v>
      </c>
      <c r="AZ6" s="271">
        <v>0</v>
      </c>
      <c r="BA6" s="271">
        <v>0</v>
      </c>
      <c r="BB6" s="271"/>
      <c r="BC6" s="271">
        <f t="shared" si="0"/>
        <v>1</v>
      </c>
      <c r="BD6" s="272">
        <f t="shared" si="1"/>
        <v>2.6135600000000001</v>
      </c>
      <c r="BE6" s="243">
        <f t="shared" si="5"/>
        <v>2.6135600000000001</v>
      </c>
      <c r="BF6" s="330"/>
      <c r="BG6" s="330"/>
      <c r="BH6" s="330"/>
      <c r="BI6" s="330"/>
      <c r="BJ6" s="330"/>
      <c r="BK6" s="330"/>
      <c r="BL6" s="330"/>
      <c r="BM6" s="330"/>
      <c r="BN6" s="330"/>
      <c r="BO6" s="330"/>
      <c r="BP6" s="330"/>
      <c r="BQ6" s="330"/>
      <c r="CB6" s="243">
        <f t="shared" si="6"/>
        <v>0.48675505653430484</v>
      </c>
      <c r="CD6" s="243">
        <f t="shared" si="2"/>
        <v>0.4471698917043021</v>
      </c>
      <c r="CG6" s="734">
        <f t="shared" si="3"/>
        <v>6.5339</v>
      </c>
    </row>
    <row r="7" spans="1:88" x14ac:dyDescent="0.2">
      <c r="A7" s="19">
        <v>27728</v>
      </c>
      <c r="B7" s="262">
        <v>2.819</v>
      </c>
      <c r="C7" s="262">
        <v>3.5388999999999999</v>
      </c>
      <c r="D7" s="262">
        <v>2.5</v>
      </c>
      <c r="E7" s="278"/>
      <c r="F7" s="278"/>
      <c r="G7" s="278"/>
      <c r="H7" s="278"/>
      <c r="I7" s="278"/>
      <c r="J7" s="278"/>
      <c r="K7" s="278"/>
      <c r="L7" s="278"/>
      <c r="M7" s="278"/>
      <c r="N7" s="278"/>
      <c r="O7" s="278"/>
      <c r="P7" s="278"/>
      <c r="Q7" s="278"/>
      <c r="R7" s="278"/>
      <c r="S7" s="278"/>
      <c r="T7" s="278"/>
      <c r="U7" s="278"/>
      <c r="V7" s="278"/>
      <c r="W7" s="324"/>
      <c r="X7" s="278"/>
      <c r="Y7" s="278"/>
      <c r="Z7" s="278"/>
      <c r="AA7" s="262">
        <v>2.3860000000000001</v>
      </c>
      <c r="AB7" s="262">
        <v>2.3658000000000001</v>
      </c>
      <c r="AC7" s="262">
        <v>2.4045000000000001</v>
      </c>
      <c r="AD7" s="278"/>
      <c r="AE7" s="278"/>
      <c r="AF7" s="262">
        <f t="shared" si="4"/>
        <v>2.3860000000000001</v>
      </c>
      <c r="AG7" s="279"/>
      <c r="AH7" s="279"/>
      <c r="AI7" s="279"/>
      <c r="AJ7" s="279"/>
      <c r="AK7" s="279"/>
      <c r="AL7" s="279"/>
      <c r="AM7" s="244"/>
      <c r="AN7" s="244"/>
      <c r="AO7" s="244"/>
      <c r="AP7" s="244"/>
      <c r="AQ7" s="244"/>
      <c r="AR7" s="244"/>
      <c r="AS7" s="244"/>
      <c r="AT7" s="244"/>
      <c r="AU7" s="244"/>
      <c r="AV7" s="271">
        <v>0.4</v>
      </c>
      <c r="AW7" s="271"/>
      <c r="AX7" s="271"/>
      <c r="AY7" s="271">
        <v>0.6</v>
      </c>
      <c r="AZ7" s="271">
        <v>0</v>
      </c>
      <c r="BA7" s="271">
        <v>0</v>
      </c>
      <c r="BB7" s="271"/>
      <c r="BC7" s="271">
        <f t="shared" si="0"/>
        <v>1</v>
      </c>
      <c r="BD7" s="272">
        <f t="shared" si="1"/>
        <v>1.1275999999999999</v>
      </c>
      <c r="BE7" s="243">
        <f t="shared" si="5"/>
        <v>1.1275999999999999</v>
      </c>
      <c r="BF7" s="330"/>
      <c r="BG7" s="330"/>
      <c r="BH7" s="330"/>
      <c r="BI7" s="330"/>
      <c r="BJ7" s="330"/>
      <c r="BK7" s="330"/>
      <c r="BL7" s="330"/>
      <c r="BM7" s="330"/>
      <c r="BN7" s="330"/>
      <c r="BO7" s="330"/>
      <c r="BP7" s="330"/>
      <c r="BQ7" s="330"/>
      <c r="CB7" s="243">
        <f t="shared" si="6"/>
        <v>0.48675505653430484</v>
      </c>
      <c r="CD7" s="243">
        <f t="shared" si="2"/>
        <v>0.4471698917043021</v>
      </c>
      <c r="CG7" s="734">
        <f t="shared" si="3"/>
        <v>2.819</v>
      </c>
    </row>
    <row r="8" spans="1:88" x14ac:dyDescent="0.2">
      <c r="A8" s="19">
        <v>27759</v>
      </c>
      <c r="B8" s="262">
        <v>-0.81100000000000005</v>
      </c>
      <c r="C8" s="262">
        <v>-2.4893999999999998</v>
      </c>
      <c r="D8" s="262">
        <v>0.67</v>
      </c>
      <c r="E8" s="278"/>
      <c r="F8" s="278"/>
      <c r="G8" s="278"/>
      <c r="H8" s="278"/>
      <c r="I8" s="278"/>
      <c r="J8" s="278"/>
      <c r="K8" s="278"/>
      <c r="L8" s="278"/>
      <c r="M8" s="278"/>
      <c r="N8" s="278"/>
      <c r="O8" s="278"/>
      <c r="P8" s="278"/>
      <c r="Q8" s="278"/>
      <c r="R8" s="278"/>
      <c r="S8" s="278"/>
      <c r="T8" s="278"/>
      <c r="U8" s="278"/>
      <c r="V8" s="278"/>
      <c r="W8" s="324"/>
      <c r="X8" s="278"/>
      <c r="Y8" s="278"/>
      <c r="Z8" s="278"/>
      <c r="AA8" s="262">
        <v>2.1629999999999998</v>
      </c>
      <c r="AB8" s="262">
        <v>1.3871</v>
      </c>
      <c r="AC8" s="262">
        <v>2.8372000000000002</v>
      </c>
      <c r="AD8" s="278"/>
      <c r="AE8" s="278"/>
      <c r="AF8" s="262">
        <f t="shared" si="4"/>
        <v>2.1629999999999998</v>
      </c>
      <c r="AG8" s="279"/>
      <c r="AH8" s="279"/>
      <c r="AI8" s="279"/>
      <c r="AJ8" s="279"/>
      <c r="AK8" s="279"/>
      <c r="AL8" s="279"/>
      <c r="AM8" s="244"/>
      <c r="AN8" s="244"/>
      <c r="AO8" s="244"/>
      <c r="AP8" s="244"/>
      <c r="AQ8" s="244"/>
      <c r="AR8" s="244"/>
      <c r="AS8" s="244"/>
      <c r="AT8" s="244"/>
      <c r="AU8" s="244"/>
      <c r="AV8" s="271">
        <v>0.4</v>
      </c>
      <c r="AW8" s="271"/>
      <c r="AX8" s="271"/>
      <c r="AY8" s="271">
        <v>0.6</v>
      </c>
      <c r="AZ8" s="271">
        <v>0</v>
      </c>
      <c r="BA8" s="271">
        <v>0</v>
      </c>
      <c r="BB8" s="271"/>
      <c r="BC8" s="271">
        <f t="shared" si="0"/>
        <v>1</v>
      </c>
      <c r="BD8" s="272">
        <f t="shared" si="1"/>
        <v>-0.32440000000000002</v>
      </c>
      <c r="BE8" s="243">
        <f t="shared" si="5"/>
        <v>-0.32440000000000002</v>
      </c>
      <c r="BF8" s="330"/>
      <c r="BG8" s="330"/>
      <c r="BH8" s="330"/>
      <c r="BI8" s="330"/>
      <c r="BJ8" s="330"/>
      <c r="BK8" s="330"/>
      <c r="BL8" s="330"/>
      <c r="BM8" s="330"/>
      <c r="BN8" s="330"/>
      <c r="BO8" s="330"/>
      <c r="BP8" s="330"/>
      <c r="BQ8" s="330"/>
      <c r="CB8" s="243">
        <f t="shared" si="6"/>
        <v>0.48675505653430484</v>
      </c>
      <c r="CD8" s="243">
        <f t="shared" si="2"/>
        <v>0.4471698917043021</v>
      </c>
      <c r="CG8" s="734">
        <f t="shared" si="3"/>
        <v>-0.81100000000000005</v>
      </c>
    </row>
    <row r="9" spans="1:88" x14ac:dyDescent="0.2">
      <c r="A9" s="19">
        <v>27790</v>
      </c>
      <c r="B9" s="262">
        <v>12.174300000000001</v>
      </c>
      <c r="C9" s="262">
        <v>11.9407</v>
      </c>
      <c r="D9" s="262">
        <v>11.76</v>
      </c>
      <c r="E9" s="278"/>
      <c r="F9" s="278"/>
      <c r="G9" s="278"/>
      <c r="H9" s="278"/>
      <c r="I9" s="278"/>
      <c r="J9" s="278"/>
      <c r="K9" s="278"/>
      <c r="L9" s="278"/>
      <c r="M9" s="278"/>
      <c r="N9" s="278"/>
      <c r="O9" s="278"/>
      <c r="P9" s="278"/>
      <c r="Q9" s="278"/>
      <c r="R9" s="278"/>
      <c r="S9" s="278"/>
      <c r="T9" s="278"/>
      <c r="U9" s="278"/>
      <c r="V9" s="278"/>
      <c r="W9" s="262">
        <v>1.95</v>
      </c>
      <c r="X9" s="128">
        <v>1.29</v>
      </c>
      <c r="Y9" s="128"/>
      <c r="Z9" s="279"/>
      <c r="AA9" s="262">
        <v>5.2960000000000003</v>
      </c>
      <c r="AB9" s="262">
        <v>4.2880000000000003</v>
      </c>
      <c r="AC9" s="262">
        <v>6.1661999999999999</v>
      </c>
      <c r="AD9" s="278"/>
      <c r="AE9" s="278"/>
      <c r="AF9" s="262">
        <f t="shared" si="4"/>
        <v>5.2960000000000003</v>
      </c>
      <c r="AG9" s="279"/>
      <c r="AH9" s="279"/>
      <c r="AI9" s="279"/>
      <c r="AJ9" s="279"/>
      <c r="AK9" s="279"/>
      <c r="AL9" s="279"/>
      <c r="AM9" s="244"/>
      <c r="AN9" s="244"/>
      <c r="AO9" s="244"/>
      <c r="AP9" s="244"/>
      <c r="AQ9" s="244"/>
      <c r="AR9" s="244"/>
      <c r="AS9" s="244"/>
      <c r="AT9" s="244"/>
      <c r="AU9" s="244"/>
      <c r="AV9" s="271">
        <v>0.4</v>
      </c>
      <c r="AW9" s="271"/>
      <c r="AX9" s="271"/>
      <c r="AY9" s="271">
        <v>0.6</v>
      </c>
      <c r="AZ9" s="271">
        <v>0</v>
      </c>
      <c r="BA9" s="271">
        <v>0</v>
      </c>
      <c r="BB9" s="271"/>
      <c r="BC9" s="271">
        <f t="shared" si="0"/>
        <v>1</v>
      </c>
      <c r="BD9" s="272">
        <f t="shared" si="1"/>
        <v>6.0397200000000009</v>
      </c>
      <c r="BE9" s="243">
        <f t="shared" si="5"/>
        <v>6.0397200000000009</v>
      </c>
      <c r="BF9" s="330"/>
      <c r="BG9" s="330"/>
      <c r="BH9" s="330"/>
      <c r="BI9" s="330"/>
      <c r="BJ9" s="330"/>
      <c r="BK9" s="330"/>
      <c r="BL9" s="330"/>
      <c r="BM9" s="330"/>
      <c r="BN9" s="330"/>
      <c r="BO9" s="330"/>
      <c r="BP9" s="330"/>
      <c r="BQ9" s="330"/>
      <c r="CB9" s="243">
        <f t="shared" si="6"/>
        <v>0.48675505653430484</v>
      </c>
      <c r="CC9" s="243"/>
      <c r="CD9" s="243">
        <f>((1+0.06)^(1/12)-1)*100</f>
        <v>0.48675505653430484</v>
      </c>
      <c r="CE9" s="235">
        <f>(1+CD9/100)^12-1</f>
        <v>6.0000000000000719E-2</v>
      </c>
      <c r="CG9" s="734">
        <f t="shared" si="3"/>
        <v>12.174300000000001</v>
      </c>
    </row>
    <row r="10" spans="1:88" x14ac:dyDescent="0.2">
      <c r="A10" s="19">
        <v>27819</v>
      </c>
      <c r="B10" s="262">
        <v>-0.84279999999999999</v>
      </c>
      <c r="C10" s="262">
        <v>-2.1798999999999999</v>
      </c>
      <c r="D10" s="262">
        <v>1.0900000000000001</v>
      </c>
      <c r="E10" s="278"/>
      <c r="F10" s="278"/>
      <c r="G10" s="278"/>
      <c r="H10" s="278"/>
      <c r="I10" s="278"/>
      <c r="J10" s="278"/>
      <c r="K10" s="278"/>
      <c r="L10" s="278"/>
      <c r="M10" s="278"/>
      <c r="N10" s="278"/>
      <c r="O10" s="278"/>
      <c r="P10" s="278"/>
      <c r="Q10" s="278"/>
      <c r="R10" s="278"/>
      <c r="S10" s="278"/>
      <c r="T10" s="278"/>
      <c r="U10" s="278"/>
      <c r="V10" s="278"/>
      <c r="W10" s="262">
        <v>0.755</v>
      </c>
      <c r="X10" s="128">
        <v>0.51</v>
      </c>
      <c r="Y10" s="128"/>
      <c r="Z10" s="279"/>
      <c r="AA10" s="262">
        <v>-0.754</v>
      </c>
      <c r="AB10" s="262">
        <v>-0.99050000000000005</v>
      </c>
      <c r="AC10" s="262">
        <v>-0.65200000000000002</v>
      </c>
      <c r="AD10" s="278"/>
      <c r="AE10" s="278"/>
      <c r="AF10" s="262">
        <f t="shared" si="4"/>
        <v>-0.754</v>
      </c>
      <c r="AG10" s="279"/>
      <c r="AH10" s="279"/>
      <c r="AI10" s="279"/>
      <c r="AJ10" s="279"/>
      <c r="AK10" s="279"/>
      <c r="AL10" s="279"/>
      <c r="AM10" s="244"/>
      <c r="AN10" s="244"/>
      <c r="AO10" s="244"/>
      <c r="AP10" s="244"/>
      <c r="AQ10" s="244"/>
      <c r="AR10" s="244"/>
      <c r="AS10" s="244"/>
      <c r="AT10" s="244"/>
      <c r="AU10" s="244"/>
      <c r="AV10" s="271">
        <v>0.4</v>
      </c>
      <c r="AW10" s="271"/>
      <c r="AX10" s="271"/>
      <c r="AY10" s="271">
        <v>0.6</v>
      </c>
      <c r="AZ10" s="271">
        <v>0</v>
      </c>
      <c r="BA10" s="271">
        <v>0</v>
      </c>
      <c r="BB10" s="271"/>
      <c r="BC10" s="271">
        <f t="shared" si="0"/>
        <v>1</v>
      </c>
      <c r="BD10" s="272">
        <f t="shared" si="1"/>
        <v>0.11587999999999993</v>
      </c>
      <c r="BE10" s="243">
        <f t="shared" si="5"/>
        <v>0.11587999999999993</v>
      </c>
      <c r="BF10" s="330"/>
      <c r="BG10" s="330"/>
      <c r="BH10" s="330"/>
      <c r="BI10" s="330"/>
      <c r="BJ10" s="330"/>
      <c r="BK10" s="330"/>
      <c r="BL10" s="330"/>
      <c r="BM10" s="330"/>
      <c r="BN10" s="330"/>
      <c r="BO10" s="330"/>
      <c r="BP10" s="330"/>
      <c r="BQ10" s="330"/>
      <c r="CB10" s="243">
        <f t="shared" si="6"/>
        <v>0.48675505653430484</v>
      </c>
      <c r="CC10" s="243"/>
      <c r="CD10" s="243">
        <f t="shared" ref="CD10:CD68" si="7">((1+0.06)^(1/12)-1)*100</f>
        <v>0.48675505653430484</v>
      </c>
      <c r="CG10" s="734">
        <f t="shared" si="3"/>
        <v>-0.84279999999999999</v>
      </c>
    </row>
    <row r="11" spans="1:88" x14ac:dyDescent="0.2">
      <c r="A11" s="19">
        <v>27850</v>
      </c>
      <c r="B11" s="262">
        <v>3.3698000000000001</v>
      </c>
      <c r="C11" s="262">
        <v>3.2783000000000002</v>
      </c>
      <c r="D11" s="262">
        <v>3.26</v>
      </c>
      <c r="E11" s="278"/>
      <c r="F11" s="278"/>
      <c r="G11" s="278"/>
      <c r="H11" s="278"/>
      <c r="I11" s="278"/>
      <c r="J11" s="278"/>
      <c r="K11" s="278"/>
      <c r="L11" s="278"/>
      <c r="M11" s="278"/>
      <c r="N11" s="278"/>
      <c r="O11" s="278"/>
      <c r="P11" s="278"/>
      <c r="Q11" s="278"/>
      <c r="R11" s="278"/>
      <c r="S11" s="278"/>
      <c r="T11" s="278"/>
      <c r="U11" s="278"/>
      <c r="V11" s="278"/>
      <c r="W11" s="262">
        <v>1.1970000000000001</v>
      </c>
      <c r="X11" s="128">
        <v>0.9</v>
      </c>
      <c r="Y11" s="128"/>
      <c r="Z11" s="279"/>
      <c r="AA11" s="262">
        <v>-1.679</v>
      </c>
      <c r="AB11" s="262">
        <v>-2.1440000000000001</v>
      </c>
      <c r="AC11" s="262">
        <v>-1.1325000000000001</v>
      </c>
      <c r="AD11" s="278"/>
      <c r="AE11" s="278"/>
      <c r="AF11" s="262">
        <f t="shared" si="4"/>
        <v>-1.679</v>
      </c>
      <c r="AG11" s="279"/>
      <c r="AH11" s="279"/>
      <c r="AI11" s="279"/>
      <c r="AJ11" s="279"/>
      <c r="AK11" s="279"/>
      <c r="AL11" s="279"/>
      <c r="AM11" s="244"/>
      <c r="AN11" s="244"/>
      <c r="AO11" s="244"/>
      <c r="AP11" s="244"/>
      <c r="AQ11" s="244"/>
      <c r="AR11" s="244"/>
      <c r="AS11" s="244"/>
      <c r="AT11" s="244"/>
      <c r="AU11" s="244"/>
      <c r="AV11" s="271">
        <v>0.4</v>
      </c>
      <c r="AW11" s="271"/>
      <c r="AX11" s="271"/>
      <c r="AY11" s="271">
        <v>0.6</v>
      </c>
      <c r="AZ11" s="271">
        <v>0</v>
      </c>
      <c r="BA11" s="271">
        <v>0</v>
      </c>
      <c r="BB11" s="271"/>
      <c r="BC11" s="271">
        <f t="shared" si="0"/>
        <v>1</v>
      </c>
      <c r="BD11" s="272">
        <f t="shared" si="1"/>
        <v>2.0661200000000002</v>
      </c>
      <c r="BE11" s="243">
        <f t="shared" si="5"/>
        <v>2.0661200000000002</v>
      </c>
      <c r="BF11" s="330"/>
      <c r="BG11" s="330"/>
      <c r="BH11" s="330"/>
      <c r="BI11" s="330"/>
      <c r="BJ11" s="330"/>
      <c r="BK11" s="330"/>
      <c r="BL11" s="330"/>
      <c r="BM11" s="330"/>
      <c r="BN11" s="330"/>
      <c r="BO11" s="330"/>
      <c r="BP11" s="330"/>
      <c r="BQ11" s="330"/>
      <c r="CB11" s="243">
        <f t="shared" si="6"/>
        <v>0.48675505653430484</v>
      </c>
      <c r="CC11" s="243"/>
      <c r="CD11" s="243">
        <f t="shared" si="7"/>
        <v>0.48675505653430484</v>
      </c>
      <c r="CG11" s="734">
        <f t="shared" si="3"/>
        <v>3.3698000000000001</v>
      </c>
    </row>
    <row r="12" spans="1:88" x14ac:dyDescent="0.2">
      <c r="A12" s="19">
        <v>27880</v>
      </c>
      <c r="B12" s="262">
        <v>-0.77839999999999998</v>
      </c>
      <c r="C12" s="262">
        <v>-2.62</v>
      </c>
      <c r="D12" s="262">
        <v>0.75</v>
      </c>
      <c r="E12" s="278"/>
      <c r="F12" s="278"/>
      <c r="G12" s="278"/>
      <c r="H12" s="278"/>
      <c r="I12" s="278"/>
      <c r="J12" s="278"/>
      <c r="K12" s="278"/>
      <c r="L12" s="278"/>
      <c r="M12" s="278"/>
      <c r="N12" s="278"/>
      <c r="O12" s="278"/>
      <c r="P12" s="278"/>
      <c r="Q12" s="278"/>
      <c r="R12" s="278"/>
      <c r="S12" s="278"/>
      <c r="T12" s="278"/>
      <c r="U12" s="278"/>
      <c r="V12" s="278"/>
      <c r="W12" s="262">
        <v>0.55800000000000005</v>
      </c>
      <c r="X12" s="128">
        <v>0.74</v>
      </c>
      <c r="Y12" s="128"/>
      <c r="Z12" s="279"/>
      <c r="AA12" s="262">
        <v>-0.45</v>
      </c>
      <c r="AB12" s="262">
        <v>-0.63229999999999997</v>
      </c>
      <c r="AC12" s="262">
        <v>-0.35539999999999999</v>
      </c>
      <c r="AD12" s="278"/>
      <c r="AE12" s="278"/>
      <c r="AF12" s="262">
        <f t="shared" si="4"/>
        <v>-0.45</v>
      </c>
      <c r="AG12" s="279"/>
      <c r="AH12" s="279"/>
      <c r="AI12" s="279"/>
      <c r="AJ12" s="279"/>
      <c r="AK12" s="279"/>
      <c r="AL12" s="279"/>
      <c r="AM12" s="244"/>
      <c r="AN12" s="244"/>
      <c r="AO12" s="244"/>
      <c r="AP12" s="244"/>
      <c r="AQ12" s="244"/>
      <c r="AR12" s="244"/>
      <c r="AS12" s="244"/>
      <c r="AT12" s="244"/>
      <c r="AU12" s="244"/>
      <c r="AV12" s="271">
        <v>0.4</v>
      </c>
      <c r="AW12" s="271"/>
      <c r="AX12" s="271"/>
      <c r="AY12" s="271">
        <v>0.6</v>
      </c>
      <c r="AZ12" s="271">
        <v>0</v>
      </c>
      <c r="BA12" s="271">
        <v>0</v>
      </c>
      <c r="BB12" s="271"/>
      <c r="BC12" s="271">
        <f t="shared" si="0"/>
        <v>1</v>
      </c>
      <c r="BD12" s="272">
        <f t="shared" si="1"/>
        <v>2.3440000000000016E-2</v>
      </c>
      <c r="BE12" s="243">
        <f t="shared" si="5"/>
        <v>2.3440000000000016E-2</v>
      </c>
      <c r="BF12" s="330"/>
      <c r="BG12" s="330"/>
      <c r="BH12" s="330"/>
      <c r="BI12" s="330"/>
      <c r="BJ12" s="330"/>
      <c r="BK12" s="330"/>
      <c r="BL12" s="330"/>
      <c r="BM12" s="330"/>
      <c r="BN12" s="330"/>
      <c r="BO12" s="330"/>
      <c r="BP12" s="330"/>
      <c r="BQ12" s="330"/>
      <c r="CB12" s="243">
        <f t="shared" si="6"/>
        <v>0.48675505653430484</v>
      </c>
      <c r="CC12" s="243"/>
      <c r="CD12" s="243">
        <f t="shared" si="7"/>
        <v>0.48675505653430484</v>
      </c>
      <c r="CG12" s="734">
        <f t="shared" si="3"/>
        <v>-0.77839999999999998</v>
      </c>
    </row>
    <row r="13" spans="1:88" x14ac:dyDescent="0.2">
      <c r="A13" s="19">
        <v>27911</v>
      </c>
      <c r="B13" s="262">
        <v>-1.1117999999999999</v>
      </c>
      <c r="C13" s="262">
        <v>-1.4595</v>
      </c>
      <c r="D13" s="262">
        <v>-0.16</v>
      </c>
      <c r="E13" s="278"/>
      <c r="F13" s="278"/>
      <c r="G13" s="278"/>
      <c r="H13" s="278"/>
      <c r="I13" s="278"/>
      <c r="J13" s="278"/>
      <c r="K13" s="278"/>
      <c r="L13" s="278"/>
      <c r="M13" s="278"/>
      <c r="N13" s="278"/>
      <c r="O13" s="278"/>
      <c r="P13" s="278"/>
      <c r="Q13" s="278"/>
      <c r="R13" s="278"/>
      <c r="S13" s="278"/>
      <c r="T13" s="278"/>
      <c r="U13" s="278"/>
      <c r="V13" s="278"/>
      <c r="W13" s="262">
        <v>-0.90900000000000003</v>
      </c>
      <c r="X13" s="128">
        <v>-0.69</v>
      </c>
      <c r="Y13" s="128"/>
      <c r="Z13" s="279"/>
      <c r="AA13" s="262">
        <v>-2.6989999999999998</v>
      </c>
      <c r="AB13" s="262">
        <v>-2.9937</v>
      </c>
      <c r="AC13" s="262">
        <v>-2.4335</v>
      </c>
      <c r="AD13" s="278"/>
      <c r="AE13" s="278"/>
      <c r="AF13" s="262">
        <f t="shared" si="4"/>
        <v>-2.6989999999999998</v>
      </c>
      <c r="AG13" s="279"/>
      <c r="AH13" s="279"/>
      <c r="AI13" s="279"/>
      <c r="AJ13" s="279"/>
      <c r="AK13" s="279"/>
      <c r="AL13" s="279"/>
      <c r="AM13" s="244"/>
      <c r="AN13" s="244"/>
      <c r="AO13" s="244"/>
      <c r="AP13" s="244"/>
      <c r="AQ13" s="244"/>
      <c r="AR13" s="244"/>
      <c r="AS13" s="244"/>
      <c r="AT13" s="244"/>
      <c r="AU13" s="244"/>
      <c r="AV13" s="271">
        <v>0.4</v>
      </c>
      <c r="AW13" s="271"/>
      <c r="AX13" s="271"/>
      <c r="AY13" s="271">
        <v>0.6</v>
      </c>
      <c r="AZ13" s="271">
        <v>0</v>
      </c>
      <c r="BA13" s="271">
        <v>0</v>
      </c>
      <c r="BB13" s="271"/>
      <c r="BC13" s="271">
        <f t="shared" si="0"/>
        <v>1</v>
      </c>
      <c r="BD13" s="272">
        <f t="shared" si="1"/>
        <v>-0.99012</v>
      </c>
      <c r="BE13" s="243">
        <f t="shared" si="5"/>
        <v>-0.99012</v>
      </c>
      <c r="BF13" s="330"/>
      <c r="BG13" s="330"/>
      <c r="BH13" s="330"/>
      <c r="BI13" s="330"/>
      <c r="BJ13" s="330"/>
      <c r="BK13" s="330"/>
      <c r="BL13" s="330"/>
      <c r="BM13" s="330"/>
      <c r="BN13" s="330"/>
      <c r="BO13" s="330"/>
      <c r="BP13" s="330"/>
      <c r="BQ13" s="330"/>
      <c r="CB13" s="243">
        <f t="shared" si="6"/>
        <v>0.48675505653430484</v>
      </c>
      <c r="CC13" s="243"/>
      <c r="CD13" s="243">
        <f t="shared" si="7"/>
        <v>0.48675505653430484</v>
      </c>
      <c r="CG13" s="734">
        <f t="shared" si="3"/>
        <v>-1.1117999999999999</v>
      </c>
    </row>
    <row r="14" spans="1:88" x14ac:dyDescent="0.2">
      <c r="A14" s="19">
        <v>27941</v>
      </c>
      <c r="B14" s="262">
        <v>4.4320000000000004</v>
      </c>
      <c r="C14" s="262">
        <v>4.5511999999999997</v>
      </c>
      <c r="D14" s="262">
        <v>4.0999999999999996</v>
      </c>
      <c r="E14" s="278"/>
      <c r="F14" s="278"/>
      <c r="G14" s="278"/>
      <c r="H14" s="278"/>
      <c r="I14" s="278"/>
      <c r="J14" s="278"/>
      <c r="K14" s="278"/>
      <c r="L14" s="278"/>
      <c r="M14" s="278"/>
      <c r="N14" s="278"/>
      <c r="O14" s="278"/>
      <c r="P14" s="278"/>
      <c r="Q14" s="278"/>
      <c r="R14" s="278"/>
      <c r="S14" s="278"/>
      <c r="T14" s="278"/>
      <c r="U14" s="278"/>
      <c r="V14" s="278"/>
      <c r="W14" s="262">
        <v>1.419</v>
      </c>
      <c r="X14" s="128">
        <v>1.29</v>
      </c>
      <c r="Y14" s="128"/>
      <c r="Z14" s="279"/>
      <c r="AA14" s="262">
        <v>1.6839999999999999</v>
      </c>
      <c r="AB14" s="262">
        <v>1.5641</v>
      </c>
      <c r="AC14" s="262">
        <v>1.7866</v>
      </c>
      <c r="AD14" s="278"/>
      <c r="AE14" s="278"/>
      <c r="AF14" s="262">
        <f t="shared" si="4"/>
        <v>1.6839999999999999</v>
      </c>
      <c r="AG14" s="279"/>
      <c r="AH14" s="279"/>
      <c r="AI14" s="279"/>
      <c r="AJ14" s="279"/>
      <c r="AK14" s="279"/>
      <c r="AL14" s="279"/>
      <c r="AM14" s="244"/>
      <c r="AN14" s="244"/>
      <c r="AO14" s="244"/>
      <c r="AP14" s="244"/>
      <c r="AQ14" s="244"/>
      <c r="AR14" s="244"/>
      <c r="AS14" s="244"/>
      <c r="AT14" s="244"/>
      <c r="AU14" s="244"/>
      <c r="AV14" s="271">
        <v>0.4</v>
      </c>
      <c r="AW14" s="271"/>
      <c r="AX14" s="271"/>
      <c r="AY14" s="271">
        <v>0.6</v>
      </c>
      <c r="AZ14" s="271">
        <v>0</v>
      </c>
      <c r="BA14" s="271">
        <v>0</v>
      </c>
      <c r="BB14" s="271"/>
      <c r="BC14" s="271">
        <f t="shared" si="0"/>
        <v>1</v>
      </c>
      <c r="BD14" s="272">
        <f t="shared" si="1"/>
        <v>2.6242000000000001</v>
      </c>
      <c r="BE14" s="243">
        <f t="shared" si="5"/>
        <v>2.6242000000000001</v>
      </c>
      <c r="BF14" s="330"/>
      <c r="BG14" s="330"/>
      <c r="BH14" s="330"/>
      <c r="BI14" s="330"/>
      <c r="BJ14" s="330"/>
      <c r="BK14" s="330"/>
      <c r="BL14" s="330"/>
      <c r="BM14" s="330"/>
      <c r="BN14" s="330"/>
      <c r="BO14" s="330"/>
      <c r="BP14" s="330"/>
      <c r="BQ14" s="330"/>
      <c r="CB14" s="243">
        <f t="shared" si="6"/>
        <v>0.48675505653430484</v>
      </c>
      <c r="CC14" s="243"/>
      <c r="CD14" s="243">
        <f t="shared" si="7"/>
        <v>0.48675505653430484</v>
      </c>
      <c r="CG14" s="734">
        <f t="shared" si="3"/>
        <v>4.4320000000000004</v>
      </c>
    </row>
    <row r="15" spans="1:88" x14ac:dyDescent="0.2">
      <c r="A15" s="19">
        <v>27972</v>
      </c>
      <c r="B15" s="262">
        <v>-0.47949999999999998</v>
      </c>
      <c r="C15" s="262">
        <v>-1.5313000000000001</v>
      </c>
      <c r="D15" s="262">
        <v>0.21</v>
      </c>
      <c r="E15" s="278"/>
      <c r="F15" s="278"/>
      <c r="G15" s="278"/>
      <c r="H15" s="278"/>
      <c r="I15" s="278"/>
      <c r="J15" s="278"/>
      <c r="K15" s="278"/>
      <c r="L15" s="278"/>
      <c r="M15" s="278"/>
      <c r="N15" s="278"/>
      <c r="O15" s="278"/>
      <c r="P15" s="278"/>
      <c r="Q15" s="278"/>
      <c r="R15" s="278"/>
      <c r="S15" s="278"/>
      <c r="T15" s="278"/>
      <c r="U15" s="278"/>
      <c r="V15" s="278"/>
      <c r="W15" s="262">
        <v>1.171</v>
      </c>
      <c r="X15" s="128">
        <v>1.04</v>
      </c>
      <c r="Y15" s="128"/>
      <c r="Z15" s="279"/>
      <c r="AA15" s="262">
        <v>-1.1659999999999999</v>
      </c>
      <c r="AB15" s="262">
        <v>-1.0510999999999999</v>
      </c>
      <c r="AC15" s="262">
        <v>-1.4177</v>
      </c>
      <c r="AD15" s="278"/>
      <c r="AE15" s="278"/>
      <c r="AF15" s="262">
        <f t="shared" si="4"/>
        <v>-1.1659999999999999</v>
      </c>
      <c r="AG15" s="279"/>
      <c r="AH15" s="279"/>
      <c r="AI15" s="279"/>
      <c r="AJ15" s="279"/>
      <c r="AK15" s="279"/>
      <c r="AL15" s="279"/>
      <c r="AM15" s="244"/>
      <c r="AN15" s="244"/>
      <c r="AO15" s="244"/>
      <c r="AP15" s="244"/>
      <c r="AQ15" s="244"/>
      <c r="AR15" s="244"/>
      <c r="AS15" s="244"/>
      <c r="AT15" s="244"/>
      <c r="AU15" s="244"/>
      <c r="AV15" s="271">
        <v>0.4</v>
      </c>
      <c r="AW15" s="271"/>
      <c r="AX15" s="271"/>
      <c r="AY15" s="271">
        <v>0.6</v>
      </c>
      <c r="AZ15" s="271">
        <v>0</v>
      </c>
      <c r="BA15" s="271">
        <v>0</v>
      </c>
      <c r="BB15" s="271"/>
      <c r="BC15" s="271">
        <f t="shared" si="0"/>
        <v>1</v>
      </c>
      <c r="BD15" s="272">
        <f t="shared" si="1"/>
        <v>0.51080000000000003</v>
      </c>
      <c r="BE15" s="243">
        <f t="shared" si="5"/>
        <v>0.51080000000000003</v>
      </c>
      <c r="BF15" s="330"/>
      <c r="BG15" s="330"/>
      <c r="BH15" s="330"/>
      <c r="BI15" s="330"/>
      <c r="BJ15" s="330"/>
      <c r="BK15" s="330"/>
      <c r="BL15" s="330"/>
      <c r="BM15" s="330"/>
      <c r="BN15" s="330"/>
      <c r="BO15" s="330"/>
      <c r="BP15" s="330"/>
      <c r="BQ15" s="330"/>
      <c r="CB15" s="243">
        <f t="shared" si="6"/>
        <v>0.48675505653430484</v>
      </c>
      <c r="CC15" s="243"/>
      <c r="CD15" s="243">
        <f t="shared" si="7"/>
        <v>0.48675505653430484</v>
      </c>
      <c r="CG15" s="734">
        <f t="shared" si="3"/>
        <v>-0.47949999999999998</v>
      </c>
    </row>
    <row r="16" spans="1:88" x14ac:dyDescent="0.2">
      <c r="A16" s="19">
        <v>28003</v>
      </c>
      <c r="B16" s="262">
        <v>-0.1837</v>
      </c>
      <c r="C16" s="262">
        <v>-0.16889999999999999</v>
      </c>
      <c r="D16" s="262">
        <v>0.49</v>
      </c>
      <c r="E16" s="278"/>
      <c r="F16" s="278"/>
      <c r="G16" s="278"/>
      <c r="H16" s="278"/>
      <c r="I16" s="278"/>
      <c r="J16" s="278"/>
      <c r="K16" s="278"/>
      <c r="L16" s="278"/>
      <c r="M16" s="278"/>
      <c r="N16" s="278"/>
      <c r="O16" s="278"/>
      <c r="P16" s="278"/>
      <c r="Q16" s="278"/>
      <c r="R16" s="278"/>
      <c r="S16" s="278"/>
      <c r="T16" s="278"/>
      <c r="U16" s="278"/>
      <c r="V16" s="278"/>
      <c r="W16" s="262">
        <v>1.788</v>
      </c>
      <c r="X16" s="128">
        <v>1.38</v>
      </c>
      <c r="Y16" s="128"/>
      <c r="Z16" s="279"/>
      <c r="AA16" s="262">
        <v>6.8000000000000005E-2</v>
      </c>
      <c r="AB16" s="262">
        <v>7.5499999999999998E-2</v>
      </c>
      <c r="AC16" s="262">
        <v>0.16200000000000001</v>
      </c>
      <c r="AD16" s="278"/>
      <c r="AE16" s="278"/>
      <c r="AF16" s="262">
        <f t="shared" si="4"/>
        <v>6.8000000000000005E-2</v>
      </c>
      <c r="AG16" s="279"/>
      <c r="AH16" s="279"/>
      <c r="AI16" s="279"/>
      <c r="AJ16" s="279"/>
      <c r="AK16" s="279"/>
      <c r="AL16" s="279"/>
      <c r="AM16" s="244"/>
      <c r="AN16" s="244"/>
      <c r="AO16" s="244"/>
      <c r="AP16" s="244"/>
      <c r="AQ16" s="244"/>
      <c r="AR16" s="244"/>
      <c r="AS16" s="244"/>
      <c r="AT16" s="244"/>
      <c r="AU16" s="244"/>
      <c r="AV16" s="271">
        <v>0.4</v>
      </c>
      <c r="AW16" s="271"/>
      <c r="AX16" s="271"/>
      <c r="AY16" s="271">
        <v>0.6</v>
      </c>
      <c r="AZ16" s="271">
        <v>0</v>
      </c>
      <c r="BA16" s="271">
        <v>0</v>
      </c>
      <c r="BB16" s="271"/>
      <c r="BC16" s="271">
        <f t="shared" si="0"/>
        <v>1</v>
      </c>
      <c r="BD16" s="272">
        <f t="shared" si="1"/>
        <v>0.99931999999999999</v>
      </c>
      <c r="BE16" s="243">
        <f t="shared" si="5"/>
        <v>0.99931999999999999</v>
      </c>
      <c r="BF16" s="330"/>
      <c r="BG16" s="330"/>
      <c r="BH16" s="330"/>
      <c r="BI16" s="330"/>
      <c r="BJ16" s="330"/>
      <c r="BK16" s="330"/>
      <c r="BL16" s="330"/>
      <c r="BM16" s="330"/>
      <c r="BN16" s="330"/>
      <c r="BO16" s="330"/>
      <c r="BP16" s="330"/>
      <c r="BQ16" s="330"/>
      <c r="CB16" s="243">
        <f t="shared" si="6"/>
        <v>0.48675505653430484</v>
      </c>
      <c r="CC16" s="243"/>
      <c r="CD16" s="243">
        <f t="shared" si="7"/>
        <v>0.48675505653430484</v>
      </c>
      <c r="CG16" s="734">
        <f t="shared" si="3"/>
        <v>-0.1837</v>
      </c>
    </row>
    <row r="17" spans="1:85" x14ac:dyDescent="0.2">
      <c r="A17" s="19">
        <v>28033</v>
      </c>
      <c r="B17" s="262">
        <v>2.5848</v>
      </c>
      <c r="C17" s="262">
        <v>1.6589</v>
      </c>
      <c r="D17" s="262">
        <v>3.23</v>
      </c>
      <c r="E17" s="278"/>
      <c r="F17" s="278"/>
      <c r="G17" s="278"/>
      <c r="H17" s="278"/>
      <c r="I17" s="278"/>
      <c r="J17" s="278"/>
      <c r="K17" s="278"/>
      <c r="L17" s="278"/>
      <c r="M17" s="278"/>
      <c r="N17" s="278"/>
      <c r="O17" s="278"/>
      <c r="P17" s="278"/>
      <c r="Q17" s="278"/>
      <c r="R17" s="278"/>
      <c r="S17" s="278"/>
      <c r="T17" s="278"/>
      <c r="U17" s="278"/>
      <c r="V17" s="278"/>
      <c r="W17" s="262">
        <v>1.377</v>
      </c>
      <c r="X17" s="128">
        <v>1.07</v>
      </c>
      <c r="Y17" s="128"/>
      <c r="Z17" s="279"/>
      <c r="AA17" s="262">
        <v>-1.7170000000000001</v>
      </c>
      <c r="AB17" s="262">
        <v>-2.4946999999999999</v>
      </c>
      <c r="AC17" s="262">
        <v>-1.5035000000000001</v>
      </c>
      <c r="AD17" s="278"/>
      <c r="AE17" s="278"/>
      <c r="AF17" s="262">
        <f t="shared" si="4"/>
        <v>-1.7170000000000001</v>
      </c>
      <c r="AG17" s="279"/>
      <c r="AH17" s="279"/>
      <c r="AI17" s="279"/>
      <c r="AJ17" s="279"/>
      <c r="AK17" s="279"/>
      <c r="AL17" s="279"/>
      <c r="AM17" s="244"/>
      <c r="AN17" s="244"/>
      <c r="AO17" s="244"/>
      <c r="AP17" s="244"/>
      <c r="AQ17" s="244"/>
      <c r="AR17" s="244"/>
      <c r="AS17" s="244"/>
      <c r="AT17" s="244"/>
      <c r="AU17" s="244"/>
      <c r="AV17" s="271">
        <v>0.4</v>
      </c>
      <c r="AW17" s="271"/>
      <c r="AX17" s="271"/>
      <c r="AY17" s="271">
        <v>0.6</v>
      </c>
      <c r="AZ17" s="271">
        <v>0</v>
      </c>
      <c r="BA17" s="271">
        <v>0</v>
      </c>
      <c r="BB17" s="271"/>
      <c r="BC17" s="271">
        <f t="shared" si="0"/>
        <v>1</v>
      </c>
      <c r="BD17" s="272">
        <f t="shared" si="1"/>
        <v>1.8601199999999998</v>
      </c>
      <c r="BE17" s="243">
        <f t="shared" si="5"/>
        <v>1.8601199999999998</v>
      </c>
      <c r="BF17" s="330"/>
      <c r="BG17" s="330"/>
      <c r="BH17" s="330"/>
      <c r="BI17" s="330"/>
      <c r="BJ17" s="330"/>
      <c r="BK17" s="330"/>
      <c r="BL17" s="330"/>
      <c r="BM17" s="330"/>
      <c r="BN17" s="330"/>
      <c r="BO17" s="330"/>
      <c r="BP17" s="330"/>
      <c r="BQ17" s="330"/>
      <c r="CB17" s="243">
        <f t="shared" si="6"/>
        <v>0.48675505653430484</v>
      </c>
      <c r="CC17" s="243"/>
      <c r="CD17" s="243">
        <f t="shared" si="7"/>
        <v>0.48675505653430484</v>
      </c>
      <c r="CG17" s="734">
        <f t="shared" si="3"/>
        <v>2.5848</v>
      </c>
    </row>
    <row r="18" spans="1:85" x14ac:dyDescent="0.2">
      <c r="A18" s="19">
        <v>28064</v>
      </c>
      <c r="B18" s="262">
        <v>-1.8624000000000001</v>
      </c>
      <c r="C18" s="262">
        <v>-2.1789000000000001</v>
      </c>
      <c r="D18" s="262">
        <v>-1.76</v>
      </c>
      <c r="E18" s="278"/>
      <c r="F18" s="278"/>
      <c r="G18" s="278"/>
      <c r="H18" s="278"/>
      <c r="I18" s="278"/>
      <c r="J18" s="278"/>
      <c r="K18" s="278"/>
      <c r="L18" s="278"/>
      <c r="M18" s="278"/>
      <c r="N18" s="278"/>
      <c r="O18" s="278"/>
      <c r="P18" s="278"/>
      <c r="Q18" s="278"/>
      <c r="R18" s="278"/>
      <c r="S18" s="278"/>
      <c r="T18" s="278"/>
      <c r="U18" s="278"/>
      <c r="V18" s="278"/>
      <c r="W18" s="262">
        <v>1.0760000000000001</v>
      </c>
      <c r="X18" s="128">
        <v>1.22</v>
      </c>
      <c r="Y18" s="128"/>
      <c r="Z18" s="279"/>
      <c r="AA18" s="262">
        <v>-6.3719999999999999</v>
      </c>
      <c r="AB18" s="262">
        <v>-6.5572999999999997</v>
      </c>
      <c r="AC18" s="262">
        <v>-6.2938000000000001</v>
      </c>
      <c r="AD18" s="278"/>
      <c r="AE18" s="278"/>
      <c r="AF18" s="262">
        <f t="shared" si="4"/>
        <v>-6.3719999999999999</v>
      </c>
      <c r="AG18" s="279"/>
      <c r="AH18" s="279"/>
      <c r="AI18" s="279"/>
      <c r="AJ18" s="279"/>
      <c r="AK18" s="279"/>
      <c r="AL18" s="279"/>
      <c r="AM18" s="244"/>
      <c r="AN18" s="244"/>
      <c r="AO18" s="244"/>
      <c r="AP18" s="244"/>
      <c r="AQ18" s="244"/>
      <c r="AR18" s="244"/>
      <c r="AS18" s="244"/>
      <c r="AT18" s="244"/>
      <c r="AU18" s="244"/>
      <c r="AV18" s="271">
        <v>0.4</v>
      </c>
      <c r="AW18" s="271"/>
      <c r="AX18" s="271"/>
      <c r="AY18" s="271">
        <v>0.6</v>
      </c>
      <c r="AZ18" s="271">
        <v>0</v>
      </c>
      <c r="BA18" s="271">
        <v>0</v>
      </c>
      <c r="BB18" s="271"/>
      <c r="BC18" s="271">
        <f t="shared" si="0"/>
        <v>1</v>
      </c>
      <c r="BD18" s="272">
        <f t="shared" si="1"/>
        <v>-9.9360000000000004E-2</v>
      </c>
      <c r="BE18" s="243">
        <f t="shared" si="5"/>
        <v>-9.9360000000000004E-2</v>
      </c>
      <c r="BF18" s="330"/>
      <c r="BG18" s="330"/>
      <c r="BH18" s="330"/>
      <c r="BI18" s="330"/>
      <c r="BJ18" s="330"/>
      <c r="BK18" s="330"/>
      <c r="BL18" s="330"/>
      <c r="BM18" s="330"/>
      <c r="BN18" s="330"/>
      <c r="BO18" s="330"/>
      <c r="BP18" s="330"/>
      <c r="BQ18" s="330"/>
      <c r="CB18" s="243">
        <f t="shared" si="6"/>
        <v>0.48675505653430484</v>
      </c>
      <c r="CC18" s="243"/>
      <c r="CD18" s="243">
        <f t="shared" si="7"/>
        <v>0.48675505653430484</v>
      </c>
      <c r="CG18" s="734">
        <f t="shared" si="3"/>
        <v>-1.8624000000000001</v>
      </c>
    </row>
    <row r="19" spans="1:85" x14ac:dyDescent="0.2">
      <c r="A19" s="19">
        <v>28094</v>
      </c>
      <c r="B19" s="262">
        <v>-0.40820000000000001</v>
      </c>
      <c r="C19" s="262">
        <v>-1.5215000000000001</v>
      </c>
      <c r="D19" s="262">
        <v>1.47</v>
      </c>
      <c r="E19" s="278"/>
      <c r="F19" s="278"/>
      <c r="G19" s="278"/>
      <c r="H19" s="278"/>
      <c r="I19" s="278"/>
      <c r="J19" s="278"/>
      <c r="K19" s="278"/>
      <c r="L19" s="278"/>
      <c r="M19" s="278"/>
      <c r="N19" s="278"/>
      <c r="O19" s="278"/>
      <c r="P19" s="278"/>
      <c r="Q19" s="278"/>
      <c r="R19" s="278"/>
      <c r="S19" s="278"/>
      <c r="T19" s="278"/>
      <c r="U19" s="278"/>
      <c r="V19" s="278"/>
      <c r="W19" s="262">
        <v>2.4180000000000001</v>
      </c>
      <c r="X19" s="128">
        <v>2.2400000000000002</v>
      </c>
      <c r="Y19" s="128"/>
      <c r="Z19" s="279"/>
      <c r="AA19" s="262">
        <v>1.234</v>
      </c>
      <c r="AB19" s="262">
        <v>1.4175</v>
      </c>
      <c r="AC19" s="262">
        <v>1.1577</v>
      </c>
      <c r="AD19" s="278"/>
      <c r="AE19" s="278"/>
      <c r="AF19" s="262">
        <f t="shared" si="4"/>
        <v>1.234</v>
      </c>
      <c r="AG19" s="279"/>
      <c r="AH19" s="279"/>
      <c r="AI19" s="279"/>
      <c r="AJ19" s="279"/>
      <c r="AK19" s="279"/>
      <c r="AL19" s="279"/>
      <c r="AM19" s="244"/>
      <c r="AN19" s="244"/>
      <c r="AO19" s="244"/>
      <c r="AP19" s="244"/>
      <c r="AQ19" s="244"/>
      <c r="AR19" s="244"/>
      <c r="AS19" s="244"/>
      <c r="AT19" s="244"/>
      <c r="AU19" s="244"/>
      <c r="AV19" s="271">
        <v>0.4</v>
      </c>
      <c r="AW19" s="271"/>
      <c r="AX19" s="271"/>
      <c r="AY19" s="271">
        <v>0.6</v>
      </c>
      <c r="AZ19" s="271">
        <v>0</v>
      </c>
      <c r="BA19" s="271">
        <v>0</v>
      </c>
      <c r="BB19" s="271"/>
      <c r="BC19" s="271">
        <f t="shared" si="0"/>
        <v>1</v>
      </c>
      <c r="BD19" s="272">
        <f t="shared" si="1"/>
        <v>1.28752</v>
      </c>
      <c r="BE19" s="243">
        <f t="shared" si="5"/>
        <v>1.28752</v>
      </c>
      <c r="BF19" s="330"/>
      <c r="BG19" s="330"/>
      <c r="BH19" s="330"/>
      <c r="BI19" s="330"/>
      <c r="BJ19" s="330"/>
      <c r="BK19" s="330"/>
      <c r="BL19" s="330"/>
      <c r="BM19" s="330"/>
      <c r="BN19" s="330"/>
      <c r="BO19" s="330"/>
      <c r="BP19" s="330"/>
      <c r="BQ19" s="330"/>
      <c r="CB19" s="243">
        <f t="shared" si="6"/>
        <v>0.48675505653430484</v>
      </c>
      <c r="CC19" s="243"/>
      <c r="CD19" s="243">
        <f t="shared" si="7"/>
        <v>0.48675505653430484</v>
      </c>
      <c r="CG19" s="734">
        <f t="shared" si="3"/>
        <v>-0.40820000000000001</v>
      </c>
    </row>
    <row r="20" spans="1:85" x14ac:dyDescent="0.2">
      <c r="A20" s="19">
        <v>28125</v>
      </c>
      <c r="B20" s="262">
        <v>5.6120999999999999</v>
      </c>
      <c r="C20" s="262">
        <v>4.22</v>
      </c>
      <c r="D20" s="262">
        <v>6.59</v>
      </c>
      <c r="E20" s="278"/>
      <c r="F20" s="278"/>
      <c r="G20" s="278"/>
      <c r="H20" s="278"/>
      <c r="I20" s="278"/>
      <c r="J20" s="278"/>
      <c r="K20" s="278"/>
      <c r="L20" s="278"/>
      <c r="M20" s="278"/>
      <c r="N20" s="278"/>
      <c r="O20" s="278"/>
      <c r="P20" s="278"/>
      <c r="Q20" s="278"/>
      <c r="R20" s="278"/>
      <c r="S20" s="278"/>
      <c r="T20" s="278"/>
      <c r="U20" s="278"/>
      <c r="V20" s="278"/>
      <c r="W20" s="262">
        <v>1.823</v>
      </c>
      <c r="X20" s="128">
        <v>1.04</v>
      </c>
      <c r="Y20" s="128"/>
      <c r="Z20" s="279"/>
      <c r="AA20" s="262">
        <v>11.263999999999999</v>
      </c>
      <c r="AB20" s="262">
        <v>11.825900000000001</v>
      </c>
      <c r="AC20" s="262">
        <v>10.674300000000001</v>
      </c>
      <c r="AD20" s="278"/>
      <c r="AE20" s="278"/>
      <c r="AF20" s="262">
        <f t="shared" si="4"/>
        <v>11.263999999999999</v>
      </c>
      <c r="AG20" s="279"/>
      <c r="AH20" s="279"/>
      <c r="AI20" s="279"/>
      <c r="AJ20" s="279"/>
      <c r="AK20" s="279"/>
      <c r="AL20" s="279"/>
      <c r="AM20" s="244"/>
      <c r="AN20" s="244"/>
      <c r="AO20" s="244"/>
      <c r="AP20" s="244"/>
      <c r="AQ20" s="244"/>
      <c r="AR20" s="244"/>
      <c r="AS20" s="244"/>
      <c r="AT20" s="244"/>
      <c r="AU20" s="244"/>
      <c r="AV20" s="271">
        <v>0.4</v>
      </c>
      <c r="AW20" s="271"/>
      <c r="AX20" s="271"/>
      <c r="AY20" s="271">
        <v>0.6</v>
      </c>
      <c r="AZ20" s="271">
        <v>0</v>
      </c>
      <c r="BA20" s="271">
        <v>0</v>
      </c>
      <c r="BB20" s="271"/>
      <c r="BC20" s="271">
        <f t="shared" si="0"/>
        <v>1</v>
      </c>
      <c r="BD20" s="272">
        <f t="shared" si="1"/>
        <v>3.3386399999999998</v>
      </c>
      <c r="BE20" s="243">
        <f t="shared" si="5"/>
        <v>3.3386399999999998</v>
      </c>
      <c r="BF20" s="330"/>
      <c r="BG20" s="330"/>
      <c r="BH20" s="330"/>
      <c r="BI20" s="330"/>
      <c r="BJ20" s="330"/>
      <c r="BK20" s="330"/>
      <c r="BL20" s="330"/>
      <c r="BM20" s="330"/>
      <c r="BN20" s="330"/>
      <c r="BO20" s="330"/>
      <c r="BP20" s="330"/>
      <c r="BQ20" s="330"/>
      <c r="CB20" s="243">
        <f t="shared" si="6"/>
        <v>0.48675505653430484</v>
      </c>
      <c r="CC20" s="243"/>
      <c r="CD20" s="243">
        <f t="shared" si="7"/>
        <v>0.48675505653430484</v>
      </c>
      <c r="CG20" s="734">
        <f t="shared" si="3"/>
        <v>5.6120999999999999</v>
      </c>
    </row>
    <row r="21" spans="1:85" x14ac:dyDescent="0.2">
      <c r="A21" s="19">
        <v>28156</v>
      </c>
      <c r="B21" s="262">
        <v>-4.7272999999999996</v>
      </c>
      <c r="C21" s="262">
        <v>-7.6485000000000003</v>
      </c>
      <c r="D21" s="262">
        <v>-2.08</v>
      </c>
      <c r="E21" s="278"/>
      <c r="F21" s="278"/>
      <c r="G21" s="278"/>
      <c r="H21" s="278"/>
      <c r="I21" s="278"/>
      <c r="J21" s="278"/>
      <c r="K21" s="278"/>
      <c r="L21" s="278"/>
      <c r="M21" s="278"/>
      <c r="N21" s="278"/>
      <c r="O21" s="278"/>
      <c r="P21" s="278"/>
      <c r="Q21" s="278"/>
      <c r="R21" s="278"/>
      <c r="S21" s="278"/>
      <c r="T21" s="278"/>
      <c r="U21" s="278"/>
      <c r="V21" s="278"/>
      <c r="W21" s="262">
        <v>-1.92</v>
      </c>
      <c r="X21" s="128">
        <v>-1.52</v>
      </c>
      <c r="Y21" s="128"/>
      <c r="Z21" s="279"/>
      <c r="AA21" s="262">
        <v>-0.57999999999999996</v>
      </c>
      <c r="AB21" s="262">
        <v>-0.66439999999999999</v>
      </c>
      <c r="AC21" s="262">
        <v>-0.29870000000000002</v>
      </c>
      <c r="AD21" s="278"/>
      <c r="AE21" s="278"/>
      <c r="AF21" s="262">
        <f t="shared" si="4"/>
        <v>-0.57999999999999996</v>
      </c>
      <c r="AG21" s="279"/>
      <c r="AH21" s="279"/>
      <c r="AI21" s="279"/>
      <c r="AJ21" s="279"/>
      <c r="AK21" s="279"/>
      <c r="AL21" s="279"/>
      <c r="AM21" s="244"/>
      <c r="AN21" s="244"/>
      <c r="AO21" s="244"/>
      <c r="AP21" s="244"/>
      <c r="AQ21" s="244"/>
      <c r="AR21" s="244"/>
      <c r="AS21" s="244"/>
      <c r="AT21" s="244"/>
      <c r="AU21" s="244"/>
      <c r="AV21" s="271">
        <v>0.4</v>
      </c>
      <c r="AW21" s="271"/>
      <c r="AX21" s="271"/>
      <c r="AY21" s="271">
        <v>0.6</v>
      </c>
      <c r="AZ21" s="271">
        <v>0</v>
      </c>
      <c r="BA21" s="271">
        <v>0</v>
      </c>
      <c r="BB21" s="271"/>
      <c r="BC21" s="271">
        <f t="shared" si="0"/>
        <v>1</v>
      </c>
      <c r="BD21" s="272">
        <f t="shared" si="1"/>
        <v>-3.0429199999999996</v>
      </c>
      <c r="BE21" s="243">
        <f t="shared" si="5"/>
        <v>-3.0429199999999996</v>
      </c>
      <c r="BF21" s="330"/>
      <c r="BG21" s="330"/>
      <c r="BH21" s="330"/>
      <c r="BI21" s="330"/>
      <c r="BJ21" s="330"/>
      <c r="BK21" s="330"/>
      <c r="BL21" s="330"/>
      <c r="BM21" s="330"/>
      <c r="BN21" s="330"/>
      <c r="BO21" s="330"/>
      <c r="BP21" s="330"/>
      <c r="BQ21" s="330"/>
      <c r="CB21" s="243">
        <f t="shared" si="6"/>
        <v>0.48675505653430484</v>
      </c>
      <c r="CC21" s="243"/>
      <c r="CD21" s="243">
        <f t="shared" si="7"/>
        <v>0.48675505653430484</v>
      </c>
      <c r="CG21" s="734">
        <f t="shared" si="3"/>
        <v>-4.7272999999999996</v>
      </c>
    </row>
    <row r="22" spans="1:85" x14ac:dyDescent="0.2">
      <c r="A22" s="19">
        <v>28184</v>
      </c>
      <c r="B22" s="262">
        <v>-1.823</v>
      </c>
      <c r="C22" s="262">
        <v>-1.5908</v>
      </c>
      <c r="D22" s="262">
        <v>-1.44</v>
      </c>
      <c r="E22" s="278"/>
      <c r="F22" s="278"/>
      <c r="G22" s="278"/>
      <c r="H22" s="278"/>
      <c r="I22" s="278"/>
      <c r="J22" s="278"/>
      <c r="K22" s="278"/>
      <c r="L22" s="278"/>
      <c r="M22" s="278"/>
      <c r="N22" s="278"/>
      <c r="O22" s="278"/>
      <c r="P22" s="278"/>
      <c r="Q22" s="278"/>
      <c r="R22" s="278"/>
      <c r="S22" s="278"/>
      <c r="T22" s="278"/>
      <c r="U22" s="278"/>
      <c r="V22" s="278"/>
      <c r="W22" s="262">
        <v>0.379</v>
      </c>
      <c r="X22" s="128">
        <v>0.53</v>
      </c>
      <c r="Y22" s="128"/>
      <c r="Z22" s="279"/>
      <c r="AA22" s="262">
        <v>2.2200000000000002</v>
      </c>
      <c r="AB22" s="262">
        <v>1.7957000000000001</v>
      </c>
      <c r="AC22" s="262">
        <v>2.6459999999999999</v>
      </c>
      <c r="AD22" s="278"/>
      <c r="AE22" s="278"/>
      <c r="AF22" s="262">
        <f t="shared" si="4"/>
        <v>2.2200000000000002</v>
      </c>
      <c r="AG22" s="279"/>
      <c r="AH22" s="279"/>
      <c r="AI22" s="279"/>
      <c r="AJ22" s="279"/>
      <c r="AK22" s="279"/>
      <c r="AL22" s="279"/>
      <c r="AM22" s="244"/>
      <c r="AN22" s="244"/>
      <c r="AO22" s="244"/>
      <c r="AP22" s="244"/>
      <c r="AQ22" s="244"/>
      <c r="AR22" s="244"/>
      <c r="AS22" s="244"/>
      <c r="AT22" s="244"/>
      <c r="AU22" s="244"/>
      <c r="AV22" s="271">
        <v>0.4</v>
      </c>
      <c r="AW22" s="271"/>
      <c r="AX22" s="271"/>
      <c r="AY22" s="271">
        <v>0.6</v>
      </c>
      <c r="AZ22" s="271">
        <v>0</v>
      </c>
      <c r="BA22" s="271">
        <v>0</v>
      </c>
      <c r="BB22" s="271"/>
      <c r="BC22" s="271">
        <f t="shared" si="0"/>
        <v>1</v>
      </c>
      <c r="BD22" s="272">
        <f t="shared" si="1"/>
        <v>-0.50180000000000002</v>
      </c>
      <c r="BE22" s="243">
        <f t="shared" si="5"/>
        <v>-0.50180000000000002</v>
      </c>
      <c r="BF22" s="330"/>
      <c r="BG22" s="330"/>
      <c r="BH22" s="330"/>
      <c r="BI22" s="330"/>
      <c r="BJ22" s="330"/>
      <c r="BK22" s="330"/>
      <c r="BL22" s="330"/>
      <c r="BM22" s="330"/>
      <c r="BN22" s="330"/>
      <c r="BO22" s="330"/>
      <c r="BP22" s="330"/>
      <c r="BQ22" s="330"/>
      <c r="CB22" s="243">
        <f t="shared" si="6"/>
        <v>0.48675505653430484</v>
      </c>
      <c r="CC22" s="243"/>
      <c r="CD22" s="243">
        <f t="shared" si="7"/>
        <v>0.48675505653430484</v>
      </c>
      <c r="CG22" s="734">
        <f t="shared" si="3"/>
        <v>-1.823</v>
      </c>
    </row>
    <row r="23" spans="1:85" x14ac:dyDescent="0.2">
      <c r="A23" s="19">
        <v>28215</v>
      </c>
      <c r="B23" s="262">
        <v>-1.0519000000000001</v>
      </c>
      <c r="C23" s="262">
        <v>-1.78</v>
      </c>
      <c r="D23" s="262">
        <v>-0.66</v>
      </c>
      <c r="E23" s="278"/>
      <c r="F23" s="278"/>
      <c r="G23" s="278"/>
      <c r="H23" s="278"/>
      <c r="I23" s="278"/>
      <c r="J23" s="278"/>
      <c r="K23" s="278"/>
      <c r="L23" s="278"/>
      <c r="M23" s="278"/>
      <c r="N23" s="278"/>
      <c r="O23" s="278"/>
      <c r="P23" s="278"/>
      <c r="Q23" s="278"/>
      <c r="R23" s="278"/>
      <c r="S23" s="278"/>
      <c r="T23" s="278"/>
      <c r="U23" s="278"/>
      <c r="V23" s="278"/>
      <c r="W23" s="262">
        <v>0.747</v>
      </c>
      <c r="X23" s="128">
        <v>0.76</v>
      </c>
      <c r="Y23" s="128"/>
      <c r="Z23" s="279"/>
      <c r="AA23" s="262">
        <v>0.32600000000000001</v>
      </c>
      <c r="AB23" s="262">
        <v>-1.1289</v>
      </c>
      <c r="AC23" s="262">
        <v>1.8025</v>
      </c>
      <c r="AD23" s="278"/>
      <c r="AE23" s="278"/>
      <c r="AF23" s="262">
        <f t="shared" si="4"/>
        <v>0.32600000000000001</v>
      </c>
      <c r="AG23" s="279"/>
      <c r="AH23" s="279"/>
      <c r="AI23" s="279"/>
      <c r="AJ23" s="279"/>
      <c r="AK23" s="279"/>
      <c r="AL23" s="279"/>
      <c r="AM23" s="244"/>
      <c r="AN23" s="244"/>
      <c r="AO23" s="244"/>
      <c r="AP23" s="244"/>
      <c r="AQ23" s="244"/>
      <c r="AR23" s="244"/>
      <c r="AS23" s="244"/>
      <c r="AT23" s="244"/>
      <c r="AU23" s="244"/>
      <c r="AV23" s="271">
        <v>0.4</v>
      </c>
      <c r="AW23" s="271"/>
      <c r="AX23" s="271"/>
      <c r="AY23" s="271">
        <v>0.6</v>
      </c>
      <c r="AZ23" s="271">
        <v>0</v>
      </c>
      <c r="BA23" s="271">
        <v>0</v>
      </c>
      <c r="BB23" s="271"/>
      <c r="BC23" s="271">
        <f t="shared" si="0"/>
        <v>1</v>
      </c>
      <c r="BD23" s="272">
        <f t="shared" si="1"/>
        <v>2.7439999999999964E-2</v>
      </c>
      <c r="BE23" s="243">
        <f t="shared" si="5"/>
        <v>2.7439999999999964E-2</v>
      </c>
      <c r="BF23" s="330"/>
      <c r="BG23" s="330"/>
      <c r="BH23" s="330"/>
      <c r="BI23" s="330"/>
      <c r="BJ23" s="330"/>
      <c r="BK23" s="330"/>
      <c r="BL23" s="330"/>
      <c r="BM23" s="330"/>
      <c r="BN23" s="330"/>
      <c r="BO23" s="330"/>
      <c r="BP23" s="330"/>
      <c r="BQ23" s="330"/>
      <c r="CB23" s="243">
        <f t="shared" si="6"/>
        <v>0.48675505653430484</v>
      </c>
      <c r="CC23" s="243"/>
      <c r="CD23" s="243">
        <f t="shared" si="7"/>
        <v>0.48675505653430484</v>
      </c>
      <c r="CG23" s="734">
        <f t="shared" si="3"/>
        <v>-1.0519000000000001</v>
      </c>
    </row>
    <row r="24" spans="1:85" x14ac:dyDescent="0.2">
      <c r="A24" s="19">
        <v>28245</v>
      </c>
      <c r="B24" s="262">
        <v>0.41660000000000003</v>
      </c>
      <c r="C24" s="262">
        <v>-2.1004999999999998</v>
      </c>
      <c r="D24" s="262">
        <v>2.2799999999999998</v>
      </c>
      <c r="E24" s="278"/>
      <c r="F24" s="278"/>
      <c r="G24" s="278"/>
      <c r="H24" s="278"/>
      <c r="I24" s="278"/>
      <c r="J24" s="278"/>
      <c r="K24" s="278"/>
      <c r="L24" s="278"/>
      <c r="M24" s="278"/>
      <c r="N24" s="278"/>
      <c r="O24" s="278"/>
      <c r="P24" s="278"/>
      <c r="Q24" s="278"/>
      <c r="R24" s="278"/>
      <c r="S24" s="278"/>
      <c r="T24" s="278"/>
      <c r="U24" s="278"/>
      <c r="V24" s="278"/>
      <c r="W24" s="262">
        <v>0.90700000000000003</v>
      </c>
      <c r="X24" s="128">
        <v>0.72</v>
      </c>
      <c r="Y24" s="128"/>
      <c r="Z24" s="279"/>
      <c r="AA24" s="262">
        <v>2.9350000000000001</v>
      </c>
      <c r="AB24" s="262">
        <v>2.3330000000000002</v>
      </c>
      <c r="AC24" s="262">
        <v>3.3679000000000001</v>
      </c>
      <c r="AD24" s="278"/>
      <c r="AE24" s="278"/>
      <c r="AF24" s="262">
        <f t="shared" si="4"/>
        <v>2.9350000000000001</v>
      </c>
      <c r="AG24" s="279"/>
      <c r="AH24" s="279"/>
      <c r="AI24" s="279"/>
      <c r="AJ24" s="279"/>
      <c r="AK24" s="279"/>
      <c r="AL24" s="279"/>
      <c r="AM24" s="244"/>
      <c r="AN24" s="244"/>
      <c r="AO24" s="244"/>
      <c r="AP24" s="244"/>
      <c r="AQ24" s="244"/>
      <c r="AR24" s="244"/>
      <c r="AS24" s="244"/>
      <c r="AT24" s="244"/>
      <c r="AU24" s="244"/>
      <c r="AV24" s="271">
        <v>0.4</v>
      </c>
      <c r="AW24" s="271"/>
      <c r="AX24" s="271"/>
      <c r="AY24" s="271">
        <v>0.6</v>
      </c>
      <c r="AZ24" s="271">
        <v>0</v>
      </c>
      <c r="BA24" s="271">
        <v>0</v>
      </c>
      <c r="BB24" s="271"/>
      <c r="BC24" s="271">
        <f t="shared" si="0"/>
        <v>1</v>
      </c>
      <c r="BD24" s="272">
        <f t="shared" si="1"/>
        <v>0.71084000000000003</v>
      </c>
      <c r="BE24" s="243">
        <f t="shared" si="5"/>
        <v>0.71084000000000003</v>
      </c>
      <c r="BF24" s="330"/>
      <c r="BG24" s="330"/>
      <c r="BH24" s="330"/>
      <c r="BI24" s="330"/>
      <c r="BJ24" s="330"/>
      <c r="BK24" s="330"/>
      <c r="BL24" s="330"/>
      <c r="BM24" s="330"/>
      <c r="BN24" s="330"/>
      <c r="BO24" s="330"/>
      <c r="BP24" s="330"/>
      <c r="BQ24" s="330"/>
      <c r="CB24" s="243">
        <f t="shared" si="6"/>
        <v>0.48675505653430484</v>
      </c>
      <c r="CC24" s="243"/>
      <c r="CD24" s="243">
        <f t="shared" si="7"/>
        <v>0.48675505653430484</v>
      </c>
      <c r="CG24" s="734">
        <f t="shared" si="3"/>
        <v>0.41660000000000003</v>
      </c>
    </row>
    <row r="25" spans="1:85" x14ac:dyDescent="0.2">
      <c r="A25" s="19">
        <v>28276</v>
      </c>
      <c r="B25" s="262">
        <v>-1.9605999999999999</v>
      </c>
      <c r="C25" s="262">
        <v>-2.6688000000000001</v>
      </c>
      <c r="D25" s="262">
        <v>-0.47</v>
      </c>
      <c r="E25" s="278"/>
      <c r="F25" s="278"/>
      <c r="G25" s="278"/>
      <c r="H25" s="278"/>
      <c r="I25" s="278"/>
      <c r="J25" s="278"/>
      <c r="K25" s="278"/>
      <c r="L25" s="278"/>
      <c r="M25" s="278"/>
      <c r="N25" s="278"/>
      <c r="O25" s="278"/>
      <c r="P25" s="278"/>
      <c r="Q25" s="278"/>
      <c r="R25" s="278"/>
      <c r="S25" s="278"/>
      <c r="T25" s="278"/>
      <c r="U25" s="278"/>
      <c r="V25" s="278"/>
      <c r="W25" s="262">
        <v>0.69099999999999995</v>
      </c>
      <c r="X25" s="128">
        <v>0.5</v>
      </c>
      <c r="Y25" s="128"/>
      <c r="Z25" s="279"/>
      <c r="AA25" s="262">
        <v>-0.40100000000000002</v>
      </c>
      <c r="AB25" s="262">
        <v>-0.47349999999999998</v>
      </c>
      <c r="AC25" s="262">
        <v>-0.35920000000000002</v>
      </c>
      <c r="AD25" s="278"/>
      <c r="AE25" s="278"/>
      <c r="AF25" s="262">
        <f t="shared" si="4"/>
        <v>-0.40100000000000002</v>
      </c>
      <c r="AG25" s="279"/>
      <c r="AH25" s="279"/>
      <c r="AI25" s="279"/>
      <c r="AJ25" s="279"/>
      <c r="AK25" s="279"/>
      <c r="AL25" s="279"/>
      <c r="AM25" s="244"/>
      <c r="AN25" s="244"/>
      <c r="AO25" s="244"/>
      <c r="AP25" s="244"/>
      <c r="AQ25" s="244"/>
      <c r="AR25" s="244"/>
      <c r="AS25" s="244"/>
      <c r="AT25" s="244"/>
      <c r="AU25" s="244"/>
      <c r="AV25" s="271">
        <v>0.4</v>
      </c>
      <c r="AW25" s="271"/>
      <c r="AX25" s="271"/>
      <c r="AY25" s="271">
        <v>0.6</v>
      </c>
      <c r="AZ25" s="271">
        <v>0</v>
      </c>
      <c r="BA25" s="271">
        <v>0</v>
      </c>
      <c r="BB25" s="271"/>
      <c r="BC25" s="271">
        <f t="shared" si="0"/>
        <v>1</v>
      </c>
      <c r="BD25" s="272">
        <f t="shared" si="1"/>
        <v>-0.36964000000000008</v>
      </c>
      <c r="BE25" s="243">
        <f t="shared" si="5"/>
        <v>-0.36964000000000008</v>
      </c>
      <c r="BF25" s="330"/>
      <c r="BG25" s="330"/>
      <c r="BH25" s="330"/>
      <c r="BI25" s="330"/>
      <c r="BJ25" s="330"/>
      <c r="BK25" s="330"/>
      <c r="BL25" s="330"/>
      <c r="BM25" s="330"/>
      <c r="BN25" s="330"/>
      <c r="BO25" s="330"/>
      <c r="BP25" s="330"/>
      <c r="BQ25" s="330"/>
      <c r="CB25" s="243">
        <f t="shared" si="6"/>
        <v>0.48675505653430484</v>
      </c>
      <c r="CC25" s="243"/>
      <c r="CD25" s="243">
        <f t="shared" si="7"/>
        <v>0.48675505653430484</v>
      </c>
      <c r="CG25" s="734">
        <f t="shared" si="3"/>
        <v>-1.9605999999999999</v>
      </c>
    </row>
    <row r="26" spans="1:85" x14ac:dyDescent="0.2">
      <c r="A26" s="19">
        <v>28306</v>
      </c>
      <c r="B26" s="262">
        <v>4.9417</v>
      </c>
      <c r="C26" s="262">
        <v>6.1403999999999996</v>
      </c>
      <c r="D26" s="262">
        <v>3.43</v>
      </c>
      <c r="E26" s="278"/>
      <c r="F26" s="278"/>
      <c r="G26" s="278"/>
      <c r="H26" s="278"/>
      <c r="I26" s="278"/>
      <c r="J26" s="278"/>
      <c r="K26" s="278"/>
      <c r="L26" s="278"/>
      <c r="M26" s="278"/>
      <c r="N26" s="278"/>
      <c r="O26" s="278"/>
      <c r="P26" s="278"/>
      <c r="Q26" s="278"/>
      <c r="R26" s="278"/>
      <c r="S26" s="278"/>
      <c r="T26" s="278"/>
      <c r="U26" s="278"/>
      <c r="V26" s="278"/>
      <c r="W26" s="262">
        <v>1.4159999999999999</v>
      </c>
      <c r="X26" s="128">
        <v>1.18</v>
      </c>
      <c r="Y26" s="128"/>
      <c r="Z26" s="279"/>
      <c r="AA26" s="262">
        <v>2.2480000000000002</v>
      </c>
      <c r="AB26" s="262">
        <v>2.4100999999999999</v>
      </c>
      <c r="AC26" s="262">
        <v>2.1221999999999999</v>
      </c>
      <c r="AD26" s="278"/>
      <c r="AE26" s="278"/>
      <c r="AF26" s="262">
        <f t="shared" si="4"/>
        <v>2.2480000000000002</v>
      </c>
      <c r="AG26" s="279"/>
      <c r="AH26" s="279"/>
      <c r="AI26" s="279"/>
      <c r="AJ26" s="279"/>
      <c r="AK26" s="279"/>
      <c r="AL26" s="279"/>
      <c r="AM26" s="244"/>
      <c r="AN26" s="244"/>
      <c r="AO26" s="244"/>
      <c r="AP26" s="244"/>
      <c r="AQ26" s="244"/>
      <c r="AR26" s="244"/>
      <c r="AS26" s="244"/>
      <c r="AT26" s="244"/>
      <c r="AU26" s="244"/>
      <c r="AV26" s="271">
        <v>0.4</v>
      </c>
      <c r="AW26" s="271"/>
      <c r="AX26" s="271"/>
      <c r="AY26" s="271">
        <v>0.6</v>
      </c>
      <c r="AZ26" s="271">
        <v>0</v>
      </c>
      <c r="BA26" s="271">
        <v>0</v>
      </c>
      <c r="BB26" s="271"/>
      <c r="BC26" s="271">
        <f t="shared" si="0"/>
        <v>1</v>
      </c>
      <c r="BD26" s="272">
        <f t="shared" si="1"/>
        <v>2.8262799999999997</v>
      </c>
      <c r="BE26" s="243">
        <f t="shared" si="5"/>
        <v>2.8262799999999997</v>
      </c>
      <c r="BF26" s="330"/>
      <c r="BG26" s="330"/>
      <c r="BH26" s="330"/>
      <c r="BI26" s="330"/>
      <c r="BJ26" s="330"/>
      <c r="BK26" s="330"/>
      <c r="BL26" s="330"/>
      <c r="BM26" s="330"/>
      <c r="BN26" s="330"/>
      <c r="BO26" s="330"/>
      <c r="BP26" s="330"/>
      <c r="BQ26" s="330"/>
      <c r="CB26" s="243">
        <f t="shared" si="6"/>
        <v>0.48675505653430484</v>
      </c>
      <c r="CC26" s="243"/>
      <c r="CD26" s="243">
        <f t="shared" si="7"/>
        <v>0.48675505653430484</v>
      </c>
      <c r="CG26" s="734">
        <f t="shared" si="3"/>
        <v>4.9417</v>
      </c>
    </row>
    <row r="27" spans="1:85" x14ac:dyDescent="0.2">
      <c r="A27" s="19">
        <v>28337</v>
      </c>
      <c r="B27" s="262">
        <v>-1.244</v>
      </c>
      <c r="C27" s="262">
        <v>-1.4711000000000001</v>
      </c>
      <c r="D27" s="262">
        <v>-1.56</v>
      </c>
      <c r="E27" s="278"/>
      <c r="F27" s="278"/>
      <c r="G27" s="278"/>
      <c r="H27" s="278"/>
      <c r="I27" s="278"/>
      <c r="J27" s="278"/>
      <c r="K27" s="278"/>
      <c r="L27" s="278"/>
      <c r="M27" s="278"/>
      <c r="N27" s="278"/>
      <c r="O27" s="278"/>
      <c r="P27" s="278"/>
      <c r="Q27" s="278"/>
      <c r="R27" s="278"/>
      <c r="S27" s="278"/>
      <c r="T27" s="278"/>
      <c r="U27" s="278"/>
      <c r="V27" s="278"/>
      <c r="W27" s="262">
        <v>-5.8999999999999997E-2</v>
      </c>
      <c r="X27" s="128">
        <v>-0.21</v>
      </c>
      <c r="Y27" s="128"/>
      <c r="Z27" s="279"/>
      <c r="AA27" s="262">
        <v>-1.492</v>
      </c>
      <c r="AB27" s="262">
        <v>-2.6928000000000001</v>
      </c>
      <c r="AC27" s="262">
        <v>-0.27439999999999998</v>
      </c>
      <c r="AD27" s="278"/>
      <c r="AE27" s="278"/>
      <c r="AF27" s="262">
        <f t="shared" si="4"/>
        <v>-1.492</v>
      </c>
      <c r="AG27" s="279"/>
      <c r="AH27" s="279"/>
      <c r="AI27" s="279"/>
      <c r="AJ27" s="279"/>
      <c r="AK27" s="279"/>
      <c r="AL27" s="279"/>
      <c r="AM27" s="244"/>
      <c r="AN27" s="244"/>
      <c r="AO27" s="244"/>
      <c r="AP27" s="244"/>
      <c r="AQ27" s="244"/>
      <c r="AR27" s="244"/>
      <c r="AS27" s="244"/>
      <c r="AT27" s="244"/>
      <c r="AU27" s="244"/>
      <c r="AV27" s="271">
        <v>0.4</v>
      </c>
      <c r="AW27" s="271"/>
      <c r="AX27" s="271"/>
      <c r="AY27" s="271">
        <v>0.6</v>
      </c>
      <c r="AZ27" s="271">
        <v>0</v>
      </c>
      <c r="BA27" s="271">
        <v>0</v>
      </c>
      <c r="BB27" s="271"/>
      <c r="BC27" s="271">
        <f t="shared" si="0"/>
        <v>1</v>
      </c>
      <c r="BD27" s="272">
        <f t="shared" si="1"/>
        <v>-0.53300000000000003</v>
      </c>
      <c r="BE27" s="243">
        <f t="shared" si="5"/>
        <v>-0.53300000000000003</v>
      </c>
      <c r="BF27" s="330"/>
      <c r="BG27" s="330"/>
      <c r="BH27" s="330"/>
      <c r="BI27" s="330"/>
      <c r="BJ27" s="330"/>
      <c r="BK27" s="330"/>
      <c r="BL27" s="330"/>
      <c r="BM27" s="330"/>
      <c r="BN27" s="330"/>
      <c r="BO27" s="330"/>
      <c r="BP27" s="330"/>
      <c r="BQ27" s="330"/>
      <c r="CB27" s="243">
        <f t="shared" si="6"/>
        <v>0.48675505653430484</v>
      </c>
      <c r="CC27" s="243"/>
      <c r="CD27" s="243">
        <f t="shared" si="7"/>
        <v>0.48675505653430484</v>
      </c>
      <c r="CG27" s="734">
        <f t="shared" si="3"/>
        <v>-1.244</v>
      </c>
    </row>
    <row r="28" spans="1:85" x14ac:dyDescent="0.2">
      <c r="A28" s="19">
        <v>28368</v>
      </c>
      <c r="B28" s="262">
        <v>-1.7198</v>
      </c>
      <c r="C28" s="262">
        <v>0.94040000000000001</v>
      </c>
      <c r="D28" s="262">
        <v>-3.62</v>
      </c>
      <c r="E28" s="278"/>
      <c r="F28" s="278"/>
      <c r="G28" s="278"/>
      <c r="H28" s="278"/>
      <c r="I28" s="278"/>
      <c r="J28" s="278"/>
      <c r="K28" s="278"/>
      <c r="L28" s="278"/>
      <c r="M28" s="278"/>
      <c r="N28" s="278"/>
      <c r="O28" s="278"/>
      <c r="P28" s="278"/>
      <c r="Q28" s="278"/>
      <c r="R28" s="278"/>
      <c r="S28" s="278"/>
      <c r="T28" s="278"/>
      <c r="U28" s="278"/>
      <c r="V28" s="278"/>
      <c r="W28" s="262">
        <v>0.95699999999999996</v>
      </c>
      <c r="X28" s="128">
        <v>0.68</v>
      </c>
      <c r="Y28" s="128"/>
      <c r="Z28" s="279"/>
      <c r="AA28" s="262">
        <v>4.431</v>
      </c>
      <c r="AB28" s="262">
        <v>4.8122999999999996</v>
      </c>
      <c r="AC28" s="262">
        <v>4.0025000000000004</v>
      </c>
      <c r="AD28" s="278"/>
      <c r="AE28" s="278"/>
      <c r="AF28" s="262">
        <f t="shared" si="4"/>
        <v>4.431</v>
      </c>
      <c r="AG28" s="279"/>
      <c r="AH28" s="279"/>
      <c r="AI28" s="279"/>
      <c r="AJ28" s="279"/>
      <c r="AK28" s="279"/>
      <c r="AL28" s="279"/>
      <c r="AM28" s="244"/>
      <c r="AN28" s="244"/>
      <c r="AO28" s="244"/>
      <c r="AP28" s="244"/>
      <c r="AQ28" s="244"/>
      <c r="AR28" s="244"/>
      <c r="AS28" s="244"/>
      <c r="AT28" s="244"/>
      <c r="AU28" s="244"/>
      <c r="AV28" s="271">
        <v>0.4</v>
      </c>
      <c r="AW28" s="271"/>
      <c r="AX28" s="271"/>
      <c r="AY28" s="271">
        <v>0.6</v>
      </c>
      <c r="AZ28" s="271">
        <v>0</v>
      </c>
      <c r="BA28" s="271">
        <v>0</v>
      </c>
      <c r="BB28" s="271"/>
      <c r="BC28" s="271">
        <f t="shared" si="0"/>
        <v>1</v>
      </c>
      <c r="BD28" s="272">
        <f t="shared" si="1"/>
        <v>-0.11372000000000015</v>
      </c>
      <c r="BE28" s="243">
        <f t="shared" si="5"/>
        <v>-0.11372000000000015</v>
      </c>
      <c r="BF28" s="330"/>
      <c r="BG28" s="330"/>
      <c r="BH28" s="330"/>
      <c r="BI28" s="330"/>
      <c r="BJ28" s="330"/>
      <c r="BK28" s="330"/>
      <c r="BL28" s="330"/>
      <c r="BM28" s="330"/>
      <c r="BN28" s="330"/>
      <c r="BO28" s="330"/>
      <c r="BP28" s="330"/>
      <c r="BQ28" s="330"/>
      <c r="CB28" s="243">
        <f t="shared" si="6"/>
        <v>0.48675505653430484</v>
      </c>
      <c r="CC28" s="243"/>
      <c r="CD28" s="243">
        <f t="shared" si="7"/>
        <v>0.48675505653430484</v>
      </c>
      <c r="CG28" s="734">
        <f t="shared" si="3"/>
        <v>-1.7198</v>
      </c>
    </row>
    <row r="29" spans="1:85" x14ac:dyDescent="0.2">
      <c r="A29" s="19">
        <v>28398</v>
      </c>
      <c r="B29" s="262">
        <v>0.155</v>
      </c>
      <c r="C29" s="262">
        <v>-0.80010000000000003</v>
      </c>
      <c r="D29" s="262">
        <v>0.88</v>
      </c>
      <c r="E29" s="278"/>
      <c r="F29" s="278"/>
      <c r="G29" s="278"/>
      <c r="H29" s="278"/>
      <c r="I29" s="278"/>
      <c r="J29" s="278"/>
      <c r="K29" s="278"/>
      <c r="L29" s="278"/>
      <c r="M29" s="278"/>
      <c r="N29" s="278"/>
      <c r="O29" s="278"/>
      <c r="P29" s="278"/>
      <c r="Q29" s="278"/>
      <c r="R29" s="278"/>
      <c r="S29" s="278"/>
      <c r="T29" s="278"/>
      <c r="U29" s="278"/>
      <c r="V29" s="278"/>
      <c r="W29" s="262">
        <v>1E-3</v>
      </c>
      <c r="X29" s="128">
        <v>0.12</v>
      </c>
      <c r="Y29" s="128"/>
      <c r="Z29" s="279"/>
      <c r="AA29" s="262">
        <v>2.9849999999999999</v>
      </c>
      <c r="AB29" s="262">
        <v>4.1546000000000003</v>
      </c>
      <c r="AC29" s="262">
        <v>1.7463</v>
      </c>
      <c r="AD29" s="278"/>
      <c r="AE29" s="278"/>
      <c r="AF29" s="262">
        <f t="shared" si="4"/>
        <v>2.9849999999999999</v>
      </c>
      <c r="AG29" s="279"/>
      <c r="AH29" s="279"/>
      <c r="AI29" s="279"/>
      <c r="AJ29" s="279"/>
      <c r="AK29" s="279"/>
      <c r="AL29" s="279"/>
      <c r="AM29" s="244"/>
      <c r="AN29" s="244"/>
      <c r="AO29" s="244"/>
      <c r="AP29" s="244"/>
      <c r="AQ29" s="244"/>
      <c r="AR29" s="244"/>
      <c r="AS29" s="244"/>
      <c r="AT29" s="244"/>
      <c r="AU29" s="244"/>
      <c r="AV29" s="271">
        <v>0.4</v>
      </c>
      <c r="AW29" s="271"/>
      <c r="AX29" s="271"/>
      <c r="AY29" s="271">
        <v>0.6</v>
      </c>
      <c r="AZ29" s="271">
        <v>0</v>
      </c>
      <c r="BA29" s="271">
        <v>0</v>
      </c>
      <c r="BB29" s="271"/>
      <c r="BC29" s="271">
        <f t="shared" si="0"/>
        <v>1</v>
      </c>
      <c r="BD29" s="272">
        <f t="shared" si="1"/>
        <v>6.2600000000000003E-2</v>
      </c>
      <c r="BE29" s="243">
        <f t="shared" si="5"/>
        <v>6.2600000000000003E-2</v>
      </c>
      <c r="BF29" s="330"/>
      <c r="BG29" s="330"/>
      <c r="BH29" s="330"/>
      <c r="BI29" s="330"/>
      <c r="BJ29" s="330"/>
      <c r="BK29" s="330"/>
      <c r="BL29" s="330"/>
      <c r="BM29" s="330"/>
      <c r="BN29" s="330"/>
      <c r="BO29" s="330"/>
      <c r="BP29" s="330"/>
      <c r="BQ29" s="330"/>
      <c r="CB29" s="243">
        <f t="shared" si="6"/>
        <v>0.48675505653430484</v>
      </c>
      <c r="CC29" s="243"/>
      <c r="CD29" s="243">
        <f t="shared" si="7"/>
        <v>0.48675505653430484</v>
      </c>
      <c r="CG29" s="734">
        <f t="shared" si="3"/>
        <v>0.155</v>
      </c>
    </row>
    <row r="30" spans="1:85" x14ac:dyDescent="0.2">
      <c r="A30" s="19">
        <v>28429</v>
      </c>
      <c r="B30" s="262">
        <v>-3.8952</v>
      </c>
      <c r="C30" s="262">
        <v>-4.5395000000000003</v>
      </c>
      <c r="D30" s="262">
        <v>-3.68</v>
      </c>
      <c r="E30" s="278"/>
      <c r="F30" s="278"/>
      <c r="G30" s="278"/>
      <c r="H30" s="278"/>
      <c r="I30" s="278"/>
      <c r="J30" s="278"/>
      <c r="K30" s="278"/>
      <c r="L30" s="278"/>
      <c r="M30" s="278"/>
      <c r="N30" s="278"/>
      <c r="O30" s="278"/>
      <c r="P30" s="278"/>
      <c r="Q30" s="278"/>
      <c r="R30" s="278"/>
      <c r="S30" s="278"/>
      <c r="T30" s="278"/>
      <c r="U30" s="278"/>
      <c r="V30" s="278"/>
      <c r="W30" s="262">
        <v>-0.52900000000000003</v>
      </c>
      <c r="X30" s="128">
        <v>-0.45</v>
      </c>
      <c r="Y30" s="128"/>
      <c r="Z30" s="279"/>
      <c r="AA30" s="262">
        <v>2.5190000000000001</v>
      </c>
      <c r="AB30" s="262">
        <v>2.1941000000000002</v>
      </c>
      <c r="AC30" s="262">
        <v>2.8132000000000001</v>
      </c>
      <c r="AD30" s="278"/>
      <c r="AE30" s="278"/>
      <c r="AF30" s="262">
        <f t="shared" si="4"/>
        <v>2.5190000000000001</v>
      </c>
      <c r="AG30" s="279"/>
      <c r="AH30" s="279"/>
      <c r="AI30" s="279"/>
      <c r="AJ30" s="279"/>
      <c r="AK30" s="279"/>
      <c r="AL30" s="279"/>
      <c r="AM30" s="244"/>
      <c r="AN30" s="244"/>
      <c r="AO30" s="244"/>
      <c r="AP30" s="244"/>
      <c r="AQ30" s="244"/>
      <c r="AR30" s="244"/>
      <c r="AS30" s="244"/>
      <c r="AT30" s="244"/>
      <c r="AU30" s="244"/>
      <c r="AV30" s="271">
        <v>0.4</v>
      </c>
      <c r="AW30" s="271"/>
      <c r="AX30" s="271"/>
      <c r="AY30" s="271">
        <v>0.6</v>
      </c>
      <c r="AZ30" s="271">
        <v>0</v>
      </c>
      <c r="BA30" s="271">
        <v>0</v>
      </c>
      <c r="BB30" s="271"/>
      <c r="BC30" s="271">
        <f t="shared" si="0"/>
        <v>1</v>
      </c>
      <c r="BD30" s="272">
        <f t="shared" si="1"/>
        <v>-1.87548</v>
      </c>
      <c r="BE30" s="243">
        <f t="shared" si="5"/>
        <v>-1.87548</v>
      </c>
      <c r="BF30" s="330"/>
      <c r="BG30" s="330"/>
      <c r="BH30" s="330"/>
      <c r="BI30" s="330"/>
      <c r="BJ30" s="330"/>
      <c r="BK30" s="330"/>
      <c r="BL30" s="330"/>
      <c r="BM30" s="330"/>
      <c r="BN30" s="330"/>
      <c r="BO30" s="330"/>
      <c r="BP30" s="330"/>
      <c r="BQ30" s="330"/>
      <c r="CB30" s="243">
        <f t="shared" si="6"/>
        <v>0.48675505653430484</v>
      </c>
      <c r="CC30" s="243"/>
      <c r="CD30" s="243">
        <f t="shared" si="7"/>
        <v>0.48675505653430484</v>
      </c>
      <c r="CG30" s="734">
        <f t="shared" si="3"/>
        <v>-3.8952</v>
      </c>
    </row>
    <row r="31" spans="1:85" x14ac:dyDescent="0.2">
      <c r="A31" s="19">
        <v>28459</v>
      </c>
      <c r="B31" s="262">
        <v>3.1621999999999999</v>
      </c>
      <c r="C31" s="262">
        <v>3.8298999999999999</v>
      </c>
      <c r="D31" s="262">
        <v>3.41</v>
      </c>
      <c r="E31" s="278"/>
      <c r="F31" s="278"/>
      <c r="G31" s="278"/>
      <c r="H31" s="278"/>
      <c r="I31" s="278"/>
      <c r="J31" s="278"/>
      <c r="K31" s="278"/>
      <c r="L31" s="278"/>
      <c r="M31" s="278"/>
      <c r="N31" s="278"/>
      <c r="O31" s="278"/>
      <c r="P31" s="278"/>
      <c r="Q31" s="278"/>
      <c r="R31" s="278"/>
      <c r="S31" s="278"/>
      <c r="T31" s="278"/>
      <c r="U31" s="278"/>
      <c r="V31" s="278"/>
      <c r="W31" s="262">
        <v>0.89400000000000002</v>
      </c>
      <c r="X31" s="128">
        <v>0.94</v>
      </c>
      <c r="Y31" s="128"/>
      <c r="Z31" s="279"/>
      <c r="AA31" s="262">
        <v>-0.82799999999999996</v>
      </c>
      <c r="AB31" s="262">
        <v>-1.0403</v>
      </c>
      <c r="AC31" s="262">
        <v>-0.59730000000000005</v>
      </c>
      <c r="AD31" s="278"/>
      <c r="AE31" s="278"/>
      <c r="AF31" s="262">
        <f t="shared" si="4"/>
        <v>-0.82799999999999996</v>
      </c>
      <c r="AG31" s="279"/>
      <c r="AH31" s="279"/>
      <c r="AI31" s="279"/>
      <c r="AJ31" s="279"/>
      <c r="AK31" s="279"/>
      <c r="AL31" s="279"/>
      <c r="AM31" s="244"/>
      <c r="AN31" s="244"/>
      <c r="AO31" s="244"/>
      <c r="AP31" s="244"/>
      <c r="AQ31" s="244"/>
      <c r="AR31" s="244"/>
      <c r="AS31" s="244"/>
      <c r="AT31" s="244"/>
      <c r="AU31" s="244"/>
      <c r="AV31" s="271">
        <v>0.4</v>
      </c>
      <c r="AW31" s="271"/>
      <c r="AX31" s="271"/>
      <c r="AY31" s="271">
        <v>0.6</v>
      </c>
      <c r="AZ31" s="271">
        <v>0</v>
      </c>
      <c r="BA31" s="271">
        <v>0</v>
      </c>
      <c r="BB31" s="271"/>
      <c r="BC31" s="271">
        <f t="shared" si="0"/>
        <v>1</v>
      </c>
      <c r="BD31" s="272">
        <f t="shared" si="1"/>
        <v>1.80128</v>
      </c>
      <c r="BE31" s="243">
        <f t="shared" si="5"/>
        <v>1.80128</v>
      </c>
      <c r="BF31" s="330"/>
      <c r="BG31" s="330"/>
      <c r="BH31" s="330"/>
      <c r="BI31" s="330"/>
      <c r="BJ31" s="330"/>
      <c r="BK31" s="330"/>
      <c r="BL31" s="330"/>
      <c r="BM31" s="330"/>
      <c r="BN31" s="330"/>
      <c r="BO31" s="330"/>
      <c r="BP31" s="330"/>
      <c r="BQ31" s="330"/>
      <c r="CB31" s="243">
        <f t="shared" si="6"/>
        <v>0.48675505653430484</v>
      </c>
      <c r="CC31" s="243"/>
      <c r="CD31" s="243">
        <f t="shared" si="7"/>
        <v>0.48675505653430484</v>
      </c>
      <c r="CG31" s="734">
        <f t="shared" si="3"/>
        <v>3.1621999999999999</v>
      </c>
    </row>
    <row r="32" spans="1:85" x14ac:dyDescent="0.2">
      <c r="A32" s="19">
        <v>28490</v>
      </c>
      <c r="B32" s="262">
        <v>0.74870000000000003</v>
      </c>
      <c r="C32" s="262">
        <v>-0.12089999999999999</v>
      </c>
      <c r="D32" s="262">
        <v>1.24</v>
      </c>
      <c r="E32" s="278"/>
      <c r="F32" s="278"/>
      <c r="G32" s="278"/>
      <c r="H32" s="278"/>
      <c r="I32" s="278"/>
      <c r="J32" s="278"/>
      <c r="K32" s="278"/>
      <c r="L32" s="278"/>
      <c r="M32" s="278"/>
      <c r="N32" s="278"/>
      <c r="O32" s="278"/>
      <c r="P32" s="278"/>
      <c r="Q32" s="278"/>
      <c r="R32" s="278"/>
      <c r="S32" s="278"/>
      <c r="T32" s="278"/>
      <c r="U32" s="278"/>
      <c r="V32" s="278"/>
      <c r="W32" s="262">
        <v>-0.45100000000000001</v>
      </c>
      <c r="X32" s="128">
        <v>-0.06</v>
      </c>
      <c r="Y32" s="128"/>
      <c r="Z32" s="279"/>
      <c r="AA32" s="262">
        <v>3.7360000000000002</v>
      </c>
      <c r="AB32" s="262">
        <v>2.4388000000000001</v>
      </c>
      <c r="AC32" s="262">
        <v>5.0282</v>
      </c>
      <c r="AD32" s="278"/>
      <c r="AE32" s="278"/>
      <c r="AF32" s="262">
        <f t="shared" si="4"/>
        <v>3.7360000000000002</v>
      </c>
      <c r="AG32" s="279"/>
      <c r="AH32" s="279"/>
      <c r="AI32" s="279"/>
      <c r="AJ32" s="279"/>
      <c r="AK32" s="279"/>
      <c r="AL32" s="279"/>
      <c r="AM32" s="244"/>
      <c r="AN32" s="244"/>
      <c r="AO32" s="244"/>
      <c r="AP32" s="244"/>
      <c r="AQ32" s="244"/>
      <c r="AR32" s="244"/>
      <c r="AS32" s="244"/>
      <c r="AT32" s="244"/>
      <c r="AU32" s="244"/>
      <c r="AV32" s="271">
        <v>0.4</v>
      </c>
      <c r="AW32" s="271"/>
      <c r="AX32" s="271"/>
      <c r="AY32" s="271">
        <v>0.6</v>
      </c>
      <c r="AZ32" s="271">
        <v>0</v>
      </c>
      <c r="BA32" s="271">
        <v>0</v>
      </c>
      <c r="BB32" s="271"/>
      <c r="BC32" s="271">
        <f t="shared" si="0"/>
        <v>1</v>
      </c>
      <c r="BD32" s="272">
        <f t="shared" si="1"/>
        <v>2.8880000000000017E-2</v>
      </c>
      <c r="BE32" s="243">
        <f t="shared" si="5"/>
        <v>2.8880000000000017E-2</v>
      </c>
      <c r="BF32" s="330"/>
      <c r="BG32" s="330"/>
      <c r="BH32" s="330"/>
      <c r="BI32" s="330"/>
      <c r="BJ32" s="330"/>
      <c r="BK32" s="330"/>
      <c r="BL32" s="330"/>
      <c r="BM32" s="330"/>
      <c r="BN32" s="330"/>
      <c r="BO32" s="330"/>
      <c r="BP32" s="330"/>
      <c r="BQ32" s="330"/>
      <c r="CB32" s="243">
        <f t="shared" si="6"/>
        <v>0.48675505653430484</v>
      </c>
      <c r="CC32" s="243"/>
      <c r="CD32" s="243">
        <f t="shared" si="7"/>
        <v>0.48675505653430484</v>
      </c>
      <c r="CG32" s="734">
        <f t="shared" si="3"/>
        <v>0.74870000000000003</v>
      </c>
    </row>
    <row r="33" spans="1:85" x14ac:dyDescent="0.2">
      <c r="A33" s="19">
        <v>28521</v>
      </c>
      <c r="B33" s="262">
        <v>-5.7412999999999998</v>
      </c>
      <c r="C33" s="262">
        <v>-6.1997999999999998</v>
      </c>
      <c r="D33" s="262">
        <v>-5.71</v>
      </c>
      <c r="E33" s="278"/>
      <c r="F33" s="278"/>
      <c r="G33" s="278"/>
      <c r="H33" s="278"/>
      <c r="I33" s="278"/>
      <c r="J33" s="278"/>
      <c r="K33" s="278"/>
      <c r="L33" s="278"/>
      <c r="M33" s="278"/>
      <c r="N33" s="278"/>
      <c r="O33" s="278"/>
      <c r="P33" s="278"/>
      <c r="Q33" s="278"/>
      <c r="R33" s="278"/>
      <c r="S33" s="278"/>
      <c r="T33" s="278"/>
      <c r="U33" s="278"/>
      <c r="V33" s="278"/>
      <c r="W33" s="262">
        <v>-0.22700000000000001</v>
      </c>
      <c r="X33" s="128">
        <v>-0.03</v>
      </c>
      <c r="Y33" s="128"/>
      <c r="Z33" s="279"/>
      <c r="AA33" s="262">
        <v>1.31</v>
      </c>
      <c r="AB33" s="262">
        <v>1.4181999999999999</v>
      </c>
      <c r="AC33" s="262">
        <v>1.1007</v>
      </c>
      <c r="AD33" s="278"/>
      <c r="AE33" s="278"/>
      <c r="AF33" s="262">
        <f t="shared" si="4"/>
        <v>1.31</v>
      </c>
      <c r="AG33" s="279"/>
      <c r="AH33" s="128"/>
      <c r="AI33" s="128"/>
      <c r="AJ33" s="128"/>
      <c r="AK33" s="128"/>
      <c r="AL33" s="128"/>
      <c r="AM33" s="244"/>
      <c r="AN33" s="244"/>
      <c r="AO33" s="244"/>
      <c r="AP33" s="244"/>
      <c r="AQ33" s="244"/>
      <c r="AR33" s="244"/>
      <c r="AS33" s="244"/>
      <c r="AT33" s="244"/>
      <c r="AU33" s="244"/>
      <c r="AV33" s="271">
        <v>0.4</v>
      </c>
      <c r="AW33" s="271"/>
      <c r="AX33" s="271"/>
      <c r="AY33" s="271">
        <v>0.6</v>
      </c>
      <c r="AZ33" s="271">
        <v>0</v>
      </c>
      <c r="BA33" s="271">
        <v>0</v>
      </c>
      <c r="BB33" s="271"/>
      <c r="BC33" s="271">
        <f t="shared" si="0"/>
        <v>1</v>
      </c>
      <c r="BD33" s="272">
        <f t="shared" si="1"/>
        <v>-2.4327200000000002</v>
      </c>
      <c r="BE33" s="243">
        <f t="shared" si="5"/>
        <v>-2.4327200000000002</v>
      </c>
      <c r="BF33" s="330"/>
      <c r="BG33" s="330"/>
      <c r="BH33" s="330"/>
      <c r="BI33" s="330"/>
      <c r="BJ33" s="330"/>
      <c r="BK33" s="330"/>
      <c r="BL33" s="330"/>
      <c r="BM33" s="330"/>
      <c r="BN33" s="330"/>
      <c r="BO33" s="330"/>
      <c r="BP33" s="330"/>
      <c r="BQ33" s="330"/>
      <c r="CB33" s="243">
        <f t="shared" si="6"/>
        <v>0.48675505653430484</v>
      </c>
      <c r="CC33" s="243"/>
      <c r="CD33" s="243">
        <f t="shared" si="7"/>
        <v>0.48675505653430484</v>
      </c>
      <c r="CG33" s="734">
        <f t="shared" si="3"/>
        <v>-5.7412999999999998</v>
      </c>
    </row>
    <row r="34" spans="1:85" x14ac:dyDescent="0.2">
      <c r="A34" s="19">
        <v>28549</v>
      </c>
      <c r="B34" s="262">
        <v>-2.028</v>
      </c>
      <c r="C34" s="262">
        <v>-2.859</v>
      </c>
      <c r="D34" s="262">
        <v>-0.28000000000000003</v>
      </c>
      <c r="E34" s="278"/>
      <c r="F34" s="278"/>
      <c r="G34" s="278"/>
      <c r="H34" s="278"/>
      <c r="I34" s="278"/>
      <c r="J34" s="278"/>
      <c r="K34" s="278"/>
      <c r="L34" s="278"/>
      <c r="M34" s="278"/>
      <c r="N34" s="278"/>
      <c r="O34" s="278"/>
      <c r="P34" s="278"/>
      <c r="Q34" s="278"/>
      <c r="R34" s="278"/>
      <c r="S34" s="278"/>
      <c r="T34" s="278"/>
      <c r="U34" s="278"/>
      <c r="V34" s="278"/>
      <c r="W34" s="262">
        <v>0.38700000000000001</v>
      </c>
      <c r="X34" s="128">
        <v>0.36</v>
      </c>
      <c r="Y34" s="128"/>
      <c r="Z34" s="279"/>
      <c r="AA34" s="262">
        <v>1.1759999999999999</v>
      </c>
      <c r="AB34" s="262">
        <v>1.0435000000000001</v>
      </c>
      <c r="AC34" s="262">
        <v>1.2330000000000001</v>
      </c>
      <c r="AD34" s="278"/>
      <c r="AE34" s="278"/>
      <c r="AF34" s="262">
        <f t="shared" si="4"/>
        <v>1.1759999999999999</v>
      </c>
      <c r="AG34" s="279"/>
      <c r="AH34" s="128"/>
      <c r="AI34" s="128"/>
      <c r="AJ34" s="128"/>
      <c r="AK34" s="128"/>
      <c r="AL34" s="128"/>
      <c r="AM34" s="244"/>
      <c r="AN34" s="244"/>
      <c r="AO34" s="244"/>
      <c r="AP34" s="244"/>
      <c r="AQ34" s="244"/>
      <c r="AR34" s="244"/>
      <c r="AS34" s="244"/>
      <c r="AT34" s="244"/>
      <c r="AU34" s="244"/>
      <c r="AV34" s="271">
        <v>0.4</v>
      </c>
      <c r="AW34" s="271"/>
      <c r="AX34" s="271"/>
      <c r="AY34" s="271">
        <v>0.6</v>
      </c>
      <c r="AZ34" s="271">
        <v>0</v>
      </c>
      <c r="BA34" s="271">
        <v>0</v>
      </c>
      <c r="BB34" s="271"/>
      <c r="BC34" s="271">
        <f t="shared" si="0"/>
        <v>1</v>
      </c>
      <c r="BD34" s="272">
        <f t="shared" si="1"/>
        <v>-0.57900000000000007</v>
      </c>
      <c r="BE34" s="243">
        <f t="shared" si="5"/>
        <v>-0.57900000000000007</v>
      </c>
      <c r="BF34" s="330"/>
      <c r="BG34" s="330"/>
      <c r="BH34" s="330"/>
      <c r="BI34" s="330"/>
      <c r="BJ34" s="330"/>
      <c r="BK34" s="330"/>
      <c r="BL34" s="330"/>
      <c r="BM34" s="330"/>
      <c r="BN34" s="330"/>
      <c r="BO34" s="330"/>
      <c r="BP34" s="330"/>
      <c r="BQ34" s="330"/>
      <c r="CB34" s="243">
        <f t="shared" si="6"/>
        <v>0.48675505653430484</v>
      </c>
      <c r="CC34" s="243"/>
      <c r="CD34" s="243">
        <f t="shared" si="7"/>
        <v>0.48675505653430484</v>
      </c>
      <c r="CG34" s="734">
        <f t="shared" si="3"/>
        <v>-2.028</v>
      </c>
    </row>
    <row r="35" spans="1:85" x14ac:dyDescent="0.2">
      <c r="A35" s="19">
        <v>28580</v>
      </c>
      <c r="B35" s="262">
        <v>2.9411999999999998</v>
      </c>
      <c r="C35" s="262">
        <v>1.5794999999999999</v>
      </c>
      <c r="D35" s="262">
        <v>3.73</v>
      </c>
      <c r="E35" s="278"/>
      <c r="F35" s="278"/>
      <c r="G35" s="278"/>
      <c r="H35" s="278"/>
      <c r="I35" s="278"/>
      <c r="J35" s="278"/>
      <c r="K35" s="278"/>
      <c r="L35" s="278"/>
      <c r="M35" s="278"/>
      <c r="N35" s="278"/>
      <c r="O35" s="278"/>
      <c r="P35" s="278"/>
      <c r="Q35" s="278"/>
      <c r="R35" s="278"/>
      <c r="S35" s="278"/>
      <c r="T35" s="278"/>
      <c r="U35" s="278"/>
      <c r="V35" s="278"/>
      <c r="W35" s="262">
        <v>0.31900000000000001</v>
      </c>
      <c r="X35" s="128">
        <v>0.38</v>
      </c>
      <c r="Y35" s="128"/>
      <c r="Z35" s="279"/>
      <c r="AA35" s="262">
        <v>7.3140000000000001</v>
      </c>
      <c r="AB35" s="262">
        <v>7.1120000000000001</v>
      </c>
      <c r="AC35" s="262">
        <v>7.5456000000000003</v>
      </c>
      <c r="AD35" s="278"/>
      <c r="AE35" s="278"/>
      <c r="AF35" s="262">
        <f t="shared" si="4"/>
        <v>7.3140000000000001</v>
      </c>
      <c r="AG35" s="279"/>
      <c r="AH35" s="128"/>
      <c r="AI35" s="128"/>
      <c r="AJ35" s="128"/>
      <c r="AK35" s="128"/>
      <c r="AL35" s="128"/>
      <c r="AM35" s="244"/>
      <c r="AN35" s="244"/>
      <c r="AO35" s="244"/>
      <c r="AP35" s="244"/>
      <c r="AQ35" s="244"/>
      <c r="AR35" s="244"/>
      <c r="AS35" s="244"/>
      <c r="AT35" s="244"/>
      <c r="AU35" s="244"/>
      <c r="AV35" s="271">
        <v>0.4</v>
      </c>
      <c r="AW35" s="271"/>
      <c r="AX35" s="271"/>
      <c r="AY35" s="271">
        <v>0.6</v>
      </c>
      <c r="AZ35" s="271">
        <v>0</v>
      </c>
      <c r="BA35" s="271">
        <v>0</v>
      </c>
      <c r="BB35" s="271"/>
      <c r="BC35" s="271">
        <f t="shared" si="0"/>
        <v>1</v>
      </c>
      <c r="BD35" s="272">
        <f t="shared" si="1"/>
        <v>1.36788</v>
      </c>
      <c r="BE35" s="243">
        <f t="shared" si="5"/>
        <v>1.36788</v>
      </c>
      <c r="BF35" s="330"/>
      <c r="BG35" s="330"/>
      <c r="BH35" s="330"/>
      <c r="BI35" s="330"/>
      <c r="BJ35" s="330"/>
      <c r="BK35" s="330"/>
      <c r="BL35" s="330"/>
      <c r="BM35" s="330"/>
      <c r="BN35" s="330"/>
      <c r="BO35" s="330"/>
      <c r="BP35" s="330"/>
      <c r="BQ35" s="330"/>
      <c r="CB35" s="243">
        <f t="shared" si="6"/>
        <v>0.48675505653430484</v>
      </c>
      <c r="CC35" s="243"/>
      <c r="CD35" s="243">
        <f t="shared" si="7"/>
        <v>0.48675505653430484</v>
      </c>
      <c r="CG35" s="734">
        <f t="shared" si="3"/>
        <v>2.9411999999999998</v>
      </c>
    </row>
    <row r="36" spans="1:85" x14ac:dyDescent="0.2">
      <c r="A36" s="19">
        <v>28610</v>
      </c>
      <c r="B36" s="262">
        <v>9.0236999999999998</v>
      </c>
      <c r="C36" s="262">
        <v>11.2089</v>
      </c>
      <c r="D36" s="262">
        <v>6.35</v>
      </c>
      <c r="E36" s="278"/>
      <c r="F36" s="278"/>
      <c r="G36" s="278"/>
      <c r="H36" s="278"/>
      <c r="I36" s="278"/>
      <c r="J36" s="278"/>
      <c r="K36" s="278"/>
      <c r="L36" s="278"/>
      <c r="M36" s="278"/>
      <c r="N36" s="278"/>
      <c r="O36" s="278"/>
      <c r="P36" s="278"/>
      <c r="Q36" s="278"/>
      <c r="R36" s="278"/>
      <c r="S36" s="278"/>
      <c r="T36" s="278"/>
      <c r="U36" s="278"/>
      <c r="V36" s="278"/>
      <c r="W36" s="262">
        <v>0.14199999999999999</v>
      </c>
      <c r="X36" s="128">
        <v>0.26</v>
      </c>
      <c r="Y36" s="128"/>
      <c r="Z36" s="279"/>
      <c r="AA36" s="262">
        <v>-0.69599999999999995</v>
      </c>
      <c r="AB36" s="262">
        <v>-0.67559999999999998</v>
      </c>
      <c r="AC36" s="262">
        <v>-0.64680000000000004</v>
      </c>
      <c r="AD36" s="278"/>
      <c r="AE36" s="278"/>
      <c r="AF36" s="262">
        <f t="shared" si="4"/>
        <v>-0.69599999999999995</v>
      </c>
      <c r="AG36" s="128">
        <v>0.95860000000000001</v>
      </c>
      <c r="AH36" s="128"/>
      <c r="AI36" s="128"/>
      <c r="AJ36" s="128"/>
      <c r="AK36" s="128"/>
      <c r="AL36" s="128"/>
      <c r="AM36" s="244"/>
      <c r="AN36" s="244"/>
      <c r="AO36" s="244"/>
      <c r="AP36" s="244"/>
      <c r="AQ36" s="244"/>
      <c r="AR36" s="244"/>
      <c r="AS36" s="244"/>
      <c r="AT36" s="244"/>
      <c r="AU36" s="244"/>
      <c r="AV36" s="271">
        <v>0.4</v>
      </c>
      <c r="AW36" s="271"/>
      <c r="AX36" s="271"/>
      <c r="AY36" s="271">
        <v>0.6</v>
      </c>
      <c r="AZ36" s="271">
        <v>0</v>
      </c>
      <c r="BA36" s="271">
        <v>0</v>
      </c>
      <c r="BB36" s="271"/>
      <c r="BC36" s="271">
        <f t="shared" si="0"/>
        <v>1</v>
      </c>
      <c r="BD36" s="272">
        <f t="shared" si="1"/>
        <v>3.69468</v>
      </c>
      <c r="BE36" s="243">
        <f t="shared" si="5"/>
        <v>3.69468</v>
      </c>
      <c r="BF36" s="330"/>
      <c r="BG36" s="330"/>
      <c r="BH36" s="330"/>
      <c r="BI36" s="330"/>
      <c r="BJ36" s="330"/>
      <c r="BK36" s="330"/>
      <c r="BL36" s="330"/>
      <c r="BM36" s="330"/>
      <c r="BN36" s="330"/>
      <c r="BO36" s="330"/>
      <c r="BP36" s="330"/>
      <c r="BQ36" s="330"/>
      <c r="CB36" s="243">
        <f t="shared" si="6"/>
        <v>0.48675505653430484</v>
      </c>
      <c r="CC36" s="243"/>
      <c r="CD36" s="243">
        <f t="shared" si="7"/>
        <v>0.48675505653430484</v>
      </c>
      <c r="CG36" s="734">
        <f t="shared" si="3"/>
        <v>9.0236999999999998</v>
      </c>
    </row>
    <row r="37" spans="1:85" x14ac:dyDescent="0.2">
      <c r="A37" s="19">
        <v>28641</v>
      </c>
      <c r="B37" s="262">
        <v>0.91910000000000003</v>
      </c>
      <c r="C37" s="262">
        <v>1.5095000000000001</v>
      </c>
      <c r="D37" s="262">
        <v>1.22</v>
      </c>
      <c r="E37" s="278"/>
      <c r="F37" s="278"/>
      <c r="G37" s="278"/>
      <c r="H37" s="278"/>
      <c r="I37" s="278"/>
      <c r="J37" s="278"/>
      <c r="K37" s="278"/>
      <c r="L37" s="278"/>
      <c r="M37" s="278"/>
      <c r="N37" s="278"/>
      <c r="O37" s="278"/>
      <c r="P37" s="278"/>
      <c r="Q37" s="278"/>
      <c r="R37" s="278"/>
      <c r="S37" s="278"/>
      <c r="T37" s="278"/>
      <c r="U37" s="278"/>
      <c r="V37" s="278"/>
      <c r="W37" s="262">
        <v>-0.45100000000000001</v>
      </c>
      <c r="X37" s="128">
        <v>-0.09</v>
      </c>
      <c r="Y37" s="128"/>
      <c r="Z37" s="279"/>
      <c r="AA37" s="262">
        <v>2.0750000000000002</v>
      </c>
      <c r="AB37" s="262">
        <v>1.2696000000000001</v>
      </c>
      <c r="AC37" s="262">
        <v>2.7877999999999998</v>
      </c>
      <c r="AD37" s="278"/>
      <c r="AE37" s="278"/>
      <c r="AF37" s="262">
        <f t="shared" si="4"/>
        <v>2.0750000000000002</v>
      </c>
      <c r="AG37" s="128">
        <v>0.95860000000000001</v>
      </c>
      <c r="AH37" s="128"/>
      <c r="AI37" s="128"/>
      <c r="AJ37" s="128"/>
      <c r="AK37" s="128"/>
      <c r="AL37" s="128"/>
      <c r="AM37" s="244"/>
      <c r="AN37" s="244"/>
      <c r="AO37" s="244"/>
      <c r="AP37" s="244"/>
      <c r="AQ37" s="244"/>
      <c r="AR37" s="244"/>
      <c r="AS37" s="244"/>
      <c r="AT37" s="244"/>
      <c r="AU37" s="244"/>
      <c r="AV37" s="271">
        <v>0.4</v>
      </c>
      <c r="AW37" s="271"/>
      <c r="AX37" s="271"/>
      <c r="AY37" s="271">
        <v>0.6</v>
      </c>
      <c r="AZ37" s="271">
        <v>0</v>
      </c>
      <c r="BA37" s="271">
        <v>0</v>
      </c>
      <c r="BB37" s="271"/>
      <c r="BC37" s="271">
        <f t="shared" si="0"/>
        <v>1</v>
      </c>
      <c r="BD37" s="272">
        <f t="shared" si="1"/>
        <v>9.7040000000000015E-2</v>
      </c>
      <c r="BE37" s="243">
        <f t="shared" si="5"/>
        <v>9.7040000000000015E-2</v>
      </c>
      <c r="BF37" s="330"/>
      <c r="BG37" s="330"/>
      <c r="BH37" s="330"/>
      <c r="BI37" s="330"/>
      <c r="BJ37" s="330"/>
      <c r="BK37" s="330"/>
      <c r="BL37" s="330"/>
      <c r="BM37" s="330"/>
      <c r="BN37" s="330"/>
      <c r="BO37" s="330"/>
      <c r="BP37" s="330"/>
      <c r="BQ37" s="330"/>
      <c r="CB37" s="243">
        <f t="shared" si="6"/>
        <v>0.48675505653430484</v>
      </c>
      <c r="CC37" s="243"/>
      <c r="CD37" s="243">
        <f t="shared" si="7"/>
        <v>0.48675505653430484</v>
      </c>
      <c r="CG37" s="734">
        <f t="shared" si="3"/>
        <v>0.91910000000000003</v>
      </c>
    </row>
    <row r="38" spans="1:85" x14ac:dyDescent="0.2">
      <c r="A38" s="19">
        <v>28671</v>
      </c>
      <c r="B38" s="262">
        <v>-1.3773</v>
      </c>
      <c r="C38" s="262">
        <v>-0.98860000000000003</v>
      </c>
      <c r="D38" s="262">
        <v>-2.13</v>
      </c>
      <c r="E38" s="278"/>
      <c r="F38" s="278"/>
      <c r="G38" s="278"/>
      <c r="H38" s="278"/>
      <c r="I38" s="278"/>
      <c r="J38" s="278"/>
      <c r="K38" s="278"/>
      <c r="L38" s="278"/>
      <c r="M38" s="278"/>
      <c r="N38" s="278"/>
      <c r="O38" s="278"/>
      <c r="P38" s="278"/>
      <c r="Q38" s="278"/>
      <c r="R38" s="278"/>
      <c r="S38" s="278"/>
      <c r="T38" s="278"/>
      <c r="U38" s="278"/>
      <c r="V38" s="278"/>
      <c r="W38" s="262">
        <v>-2.5000000000000001E-2</v>
      </c>
      <c r="X38" s="128">
        <v>-0.15</v>
      </c>
      <c r="Y38" s="128"/>
      <c r="Z38" s="279"/>
      <c r="AA38" s="262">
        <v>4.5439999999999996</v>
      </c>
      <c r="AB38" s="262">
        <v>4.8876999999999997</v>
      </c>
      <c r="AC38" s="262">
        <v>4.4657999999999998</v>
      </c>
      <c r="AD38" s="278"/>
      <c r="AE38" s="278"/>
      <c r="AF38" s="262">
        <f t="shared" si="4"/>
        <v>4.5439999999999996</v>
      </c>
      <c r="AG38" s="128">
        <v>0.95860000000000001</v>
      </c>
      <c r="AH38" s="128"/>
      <c r="AI38" s="128"/>
      <c r="AJ38" s="128"/>
      <c r="AK38" s="128"/>
      <c r="AL38" s="128"/>
      <c r="AM38" s="244"/>
      <c r="AN38" s="244"/>
      <c r="AO38" s="244"/>
      <c r="AP38" s="244"/>
      <c r="AQ38" s="244"/>
      <c r="AR38" s="244"/>
      <c r="AS38" s="244"/>
      <c r="AT38" s="244"/>
      <c r="AU38" s="244"/>
      <c r="AV38" s="271">
        <v>0.4</v>
      </c>
      <c r="AW38" s="271"/>
      <c r="AX38" s="271"/>
      <c r="AY38" s="271">
        <v>0.6</v>
      </c>
      <c r="AZ38" s="271">
        <v>0</v>
      </c>
      <c r="BA38" s="271">
        <v>0</v>
      </c>
      <c r="BB38" s="271"/>
      <c r="BC38" s="271">
        <f t="shared" si="0"/>
        <v>1</v>
      </c>
      <c r="BD38" s="272">
        <f t="shared" si="1"/>
        <v>-0.56591999999999998</v>
      </c>
      <c r="BE38" s="243">
        <f t="shared" si="5"/>
        <v>-0.56591999999999998</v>
      </c>
      <c r="BF38" s="330"/>
      <c r="BG38" s="330"/>
      <c r="BH38" s="330"/>
      <c r="BI38" s="330"/>
      <c r="BJ38" s="330"/>
      <c r="BK38" s="330"/>
      <c r="BL38" s="330"/>
      <c r="BM38" s="330"/>
      <c r="BN38" s="330"/>
      <c r="BO38" s="330"/>
      <c r="BP38" s="330"/>
      <c r="BQ38" s="330"/>
      <c r="CB38" s="243">
        <f t="shared" si="6"/>
        <v>0.48675505653430484</v>
      </c>
      <c r="CC38" s="243"/>
      <c r="CD38" s="243">
        <f t="shared" si="7"/>
        <v>0.48675505653430484</v>
      </c>
      <c r="CG38" s="734">
        <f t="shared" si="3"/>
        <v>-1.3773</v>
      </c>
    </row>
    <row r="39" spans="1:85" x14ac:dyDescent="0.2">
      <c r="A39" s="19">
        <v>28702</v>
      </c>
      <c r="B39" s="262">
        <v>5.8305999999999996</v>
      </c>
      <c r="C39" s="262">
        <v>7.0205000000000002</v>
      </c>
      <c r="D39" s="262">
        <v>4.13</v>
      </c>
      <c r="E39" s="278"/>
      <c r="F39" s="278"/>
      <c r="G39" s="278"/>
      <c r="H39" s="278"/>
      <c r="I39" s="278"/>
      <c r="J39" s="278"/>
      <c r="K39" s="278"/>
      <c r="L39" s="278"/>
      <c r="M39" s="278"/>
      <c r="N39" s="278"/>
      <c r="O39" s="278"/>
      <c r="P39" s="278"/>
      <c r="Q39" s="278"/>
      <c r="R39" s="278"/>
      <c r="S39" s="278"/>
      <c r="T39" s="278"/>
      <c r="U39" s="278"/>
      <c r="V39" s="278"/>
      <c r="W39" s="262">
        <v>1.1399999999999999</v>
      </c>
      <c r="X39" s="128">
        <v>1</v>
      </c>
      <c r="Y39" s="128"/>
      <c r="Z39" s="279"/>
      <c r="AA39" s="262">
        <v>8.7420000000000009</v>
      </c>
      <c r="AB39" s="262">
        <v>8.1713000000000005</v>
      </c>
      <c r="AC39" s="262">
        <v>8.1376000000000008</v>
      </c>
      <c r="AD39" s="278"/>
      <c r="AE39" s="278"/>
      <c r="AF39" s="262">
        <f t="shared" si="4"/>
        <v>8.7420000000000009</v>
      </c>
      <c r="AG39" s="128">
        <v>1.0114000000000001</v>
      </c>
      <c r="AH39" s="128"/>
      <c r="AI39" s="128"/>
      <c r="AJ39" s="128"/>
      <c r="AK39" s="128"/>
      <c r="AL39" s="128"/>
      <c r="AM39" s="244"/>
      <c r="AN39" s="244"/>
      <c r="AO39" s="244"/>
      <c r="AP39" s="244"/>
      <c r="AQ39" s="244"/>
      <c r="AR39" s="244"/>
      <c r="AS39" s="244"/>
      <c r="AT39" s="244"/>
      <c r="AU39" s="244"/>
      <c r="AV39" s="271">
        <v>0.4</v>
      </c>
      <c r="AW39" s="271"/>
      <c r="AX39" s="271"/>
      <c r="AY39" s="271">
        <v>0.6</v>
      </c>
      <c r="AZ39" s="271">
        <v>0</v>
      </c>
      <c r="BA39" s="271">
        <v>0</v>
      </c>
      <c r="BB39" s="271"/>
      <c r="BC39" s="271">
        <f t="shared" si="0"/>
        <v>1</v>
      </c>
      <c r="BD39" s="272">
        <f t="shared" si="1"/>
        <v>3.0162399999999998</v>
      </c>
      <c r="BE39" s="243">
        <f t="shared" si="5"/>
        <v>3.0162399999999998</v>
      </c>
      <c r="BF39" s="330"/>
      <c r="BG39" s="330"/>
      <c r="BH39" s="330"/>
      <c r="BI39" s="330"/>
      <c r="BJ39" s="330"/>
      <c r="BK39" s="330"/>
      <c r="BL39" s="330"/>
      <c r="BM39" s="330"/>
      <c r="BN39" s="330"/>
      <c r="BO39" s="330"/>
      <c r="BP39" s="330"/>
      <c r="BQ39" s="330"/>
      <c r="CB39" s="243">
        <f t="shared" si="6"/>
        <v>0.48675505653430484</v>
      </c>
      <c r="CC39" s="243"/>
      <c r="CD39" s="243">
        <f t="shared" si="7"/>
        <v>0.48675505653430484</v>
      </c>
      <c r="CG39" s="734">
        <f t="shared" si="3"/>
        <v>5.8305999999999996</v>
      </c>
    </row>
    <row r="40" spans="1:85" x14ac:dyDescent="0.2">
      <c r="A40" s="19">
        <v>28733</v>
      </c>
      <c r="B40" s="262">
        <v>3.0095000000000001</v>
      </c>
      <c r="C40" s="262">
        <v>2.7383999999999999</v>
      </c>
      <c r="D40" s="262">
        <v>4</v>
      </c>
      <c r="E40" s="278"/>
      <c r="F40" s="278"/>
      <c r="G40" s="278"/>
      <c r="H40" s="278"/>
      <c r="I40" s="278"/>
      <c r="J40" s="278"/>
      <c r="K40" s="278"/>
      <c r="L40" s="278"/>
      <c r="M40" s="278"/>
      <c r="N40" s="278"/>
      <c r="O40" s="278"/>
      <c r="P40" s="278"/>
      <c r="Q40" s="278"/>
      <c r="R40" s="278"/>
      <c r="S40" s="278"/>
      <c r="T40" s="278"/>
      <c r="U40" s="278"/>
      <c r="V40" s="278"/>
      <c r="W40" s="262">
        <v>1.583</v>
      </c>
      <c r="X40" s="128">
        <v>1.1299999999999999</v>
      </c>
      <c r="Y40" s="128"/>
      <c r="Z40" s="279"/>
      <c r="AA40" s="262">
        <v>2.06</v>
      </c>
      <c r="AB40" s="262">
        <v>2.1735000000000002</v>
      </c>
      <c r="AC40" s="262">
        <v>1.93</v>
      </c>
      <c r="AD40" s="278"/>
      <c r="AE40" s="278"/>
      <c r="AF40" s="262">
        <f t="shared" si="4"/>
        <v>2.06</v>
      </c>
      <c r="AG40" s="128">
        <v>1.0114000000000001</v>
      </c>
      <c r="AH40" s="128"/>
      <c r="AI40" s="128"/>
      <c r="AJ40" s="128"/>
      <c r="AK40" s="128"/>
      <c r="AL40" s="128"/>
      <c r="AM40" s="244"/>
      <c r="AN40" s="244"/>
      <c r="AO40" s="244"/>
      <c r="AP40" s="244"/>
      <c r="AQ40" s="244"/>
      <c r="AR40" s="244"/>
      <c r="AS40" s="244"/>
      <c r="AT40" s="244"/>
      <c r="AU40" s="244"/>
      <c r="AV40" s="271">
        <v>0.4</v>
      </c>
      <c r="AW40" s="271"/>
      <c r="AX40" s="271"/>
      <c r="AY40" s="271">
        <v>0.6</v>
      </c>
      <c r="AZ40" s="271">
        <v>0</v>
      </c>
      <c r="BA40" s="271">
        <v>0</v>
      </c>
      <c r="BB40" s="271"/>
      <c r="BC40" s="271">
        <f t="shared" si="0"/>
        <v>1</v>
      </c>
      <c r="BD40" s="272">
        <f t="shared" si="1"/>
        <v>2.1536</v>
      </c>
      <c r="BE40" s="243">
        <f t="shared" si="5"/>
        <v>2.1536</v>
      </c>
      <c r="BF40" s="330"/>
      <c r="BG40" s="330"/>
      <c r="BH40" s="330"/>
      <c r="BI40" s="330"/>
      <c r="BJ40" s="330"/>
      <c r="BK40" s="330"/>
      <c r="BL40" s="330"/>
      <c r="BM40" s="330"/>
      <c r="BN40" s="330"/>
      <c r="BO40" s="330"/>
      <c r="BP40" s="330"/>
      <c r="BQ40" s="330"/>
      <c r="CB40" s="243">
        <f t="shared" si="6"/>
        <v>0.48675505653430484</v>
      </c>
      <c r="CC40" s="243"/>
      <c r="CD40" s="243">
        <f t="shared" si="7"/>
        <v>0.48675505653430484</v>
      </c>
      <c r="CG40" s="734">
        <f t="shared" si="3"/>
        <v>3.0095000000000001</v>
      </c>
    </row>
    <row r="41" spans="1:85" x14ac:dyDescent="0.2">
      <c r="A41" s="19">
        <v>28763</v>
      </c>
      <c r="B41" s="262">
        <v>-0.31950000000000001</v>
      </c>
      <c r="C41" s="262">
        <v>-2.0897000000000001</v>
      </c>
      <c r="D41" s="262">
        <v>1.36</v>
      </c>
      <c r="E41" s="278"/>
      <c r="F41" s="278"/>
      <c r="G41" s="278"/>
      <c r="H41" s="278"/>
      <c r="I41" s="278"/>
      <c r="J41" s="278"/>
      <c r="K41" s="278"/>
      <c r="L41" s="278"/>
      <c r="M41" s="278"/>
      <c r="N41" s="278"/>
      <c r="O41" s="278"/>
      <c r="P41" s="278"/>
      <c r="Q41" s="278"/>
      <c r="R41" s="278"/>
      <c r="S41" s="278"/>
      <c r="T41" s="278"/>
      <c r="U41" s="278"/>
      <c r="V41" s="278"/>
      <c r="W41" s="262">
        <v>-4.1000000000000002E-2</v>
      </c>
      <c r="X41" s="128">
        <v>0.19</v>
      </c>
      <c r="Y41" s="128"/>
      <c r="Z41" s="279"/>
      <c r="AA41" s="262">
        <v>3.0129999999999999</v>
      </c>
      <c r="AB41" s="262">
        <v>3.4676999999999998</v>
      </c>
      <c r="AC41" s="262">
        <v>2.4971000000000001</v>
      </c>
      <c r="AD41" s="278"/>
      <c r="AE41" s="278"/>
      <c r="AF41" s="262">
        <f t="shared" si="4"/>
        <v>3.0129999999999999</v>
      </c>
      <c r="AG41" s="128">
        <v>1.0114000000000001</v>
      </c>
      <c r="AH41" s="128"/>
      <c r="AI41" s="128"/>
      <c r="AJ41" s="128"/>
      <c r="AK41" s="128"/>
      <c r="AL41" s="128"/>
      <c r="AM41" s="244"/>
      <c r="AN41" s="244"/>
      <c r="AO41" s="244"/>
      <c r="AP41" s="244"/>
      <c r="AQ41" s="244"/>
      <c r="AR41" s="244"/>
      <c r="AS41" s="244"/>
      <c r="AT41" s="244"/>
      <c r="AU41" s="244"/>
      <c r="AV41" s="271">
        <v>0.4</v>
      </c>
      <c r="AW41" s="271"/>
      <c r="AX41" s="271"/>
      <c r="AY41" s="271">
        <v>0.6</v>
      </c>
      <c r="AZ41" s="271">
        <v>0</v>
      </c>
      <c r="BA41" s="271">
        <v>0</v>
      </c>
      <c r="BB41" s="271"/>
      <c r="BC41" s="271">
        <f t="shared" si="0"/>
        <v>1</v>
      </c>
      <c r="BD41" s="272">
        <f t="shared" si="1"/>
        <v>-0.15240000000000001</v>
      </c>
      <c r="BE41" s="243">
        <f t="shared" si="5"/>
        <v>-0.15240000000000001</v>
      </c>
      <c r="BF41" s="330"/>
      <c r="BG41" s="330"/>
      <c r="BH41" s="330"/>
      <c r="BI41" s="330"/>
      <c r="BJ41" s="330"/>
      <c r="BK41" s="330"/>
      <c r="BL41" s="330"/>
      <c r="BM41" s="330"/>
      <c r="BN41" s="330"/>
      <c r="BO41" s="330"/>
      <c r="BP41" s="330"/>
      <c r="BQ41" s="330"/>
      <c r="CB41" s="243">
        <f t="shared" si="6"/>
        <v>0.48675505653430484</v>
      </c>
      <c r="CC41" s="243"/>
      <c r="CD41" s="243">
        <f t="shared" si="7"/>
        <v>0.48675505653430484</v>
      </c>
      <c r="CG41" s="734">
        <f t="shared" si="3"/>
        <v>-0.31950000000000001</v>
      </c>
    </row>
    <row r="42" spans="1:85" x14ac:dyDescent="0.2">
      <c r="A42" s="19">
        <v>28794</v>
      </c>
      <c r="B42" s="262">
        <v>-8.7185000000000006</v>
      </c>
      <c r="C42" s="262">
        <v>-8.4597999999999995</v>
      </c>
      <c r="D42" s="262">
        <v>-9.23</v>
      </c>
      <c r="E42" s="278"/>
      <c r="F42" s="278"/>
      <c r="G42" s="278"/>
      <c r="H42" s="278"/>
      <c r="I42" s="278"/>
      <c r="J42" s="278"/>
      <c r="K42" s="278"/>
      <c r="L42" s="278"/>
      <c r="M42" s="278"/>
      <c r="N42" s="278"/>
      <c r="O42" s="278"/>
      <c r="P42" s="278"/>
      <c r="Q42" s="278"/>
      <c r="R42" s="278"/>
      <c r="S42" s="278"/>
      <c r="T42" s="278"/>
      <c r="U42" s="278"/>
      <c r="V42" s="278"/>
      <c r="W42" s="262">
        <v>-1.4119999999999999</v>
      </c>
      <c r="X42" s="128">
        <v>-0.97</v>
      </c>
      <c r="Y42" s="128"/>
      <c r="Z42" s="279"/>
      <c r="AA42" s="262">
        <v>5.79</v>
      </c>
      <c r="AB42" s="262">
        <v>5.3963000000000001</v>
      </c>
      <c r="AC42" s="262">
        <v>6.2374999999999998</v>
      </c>
      <c r="AD42" s="278"/>
      <c r="AE42" s="278"/>
      <c r="AF42" s="262">
        <f t="shared" si="4"/>
        <v>5.79</v>
      </c>
      <c r="AG42" s="128">
        <v>1.1189</v>
      </c>
      <c r="AH42" s="128"/>
      <c r="AI42" s="128"/>
      <c r="AJ42" s="128"/>
      <c r="AK42" s="128"/>
      <c r="AL42" s="128"/>
      <c r="AM42" s="244"/>
      <c r="AN42" s="244"/>
      <c r="AO42" s="244"/>
      <c r="AP42" s="244"/>
      <c r="AQ42" s="244"/>
      <c r="AR42" s="244"/>
      <c r="AS42" s="244"/>
      <c r="AT42" s="244"/>
      <c r="AU42" s="244"/>
      <c r="AV42" s="271">
        <v>0.4</v>
      </c>
      <c r="AW42" s="271"/>
      <c r="AX42" s="271"/>
      <c r="AY42" s="271">
        <v>0.6</v>
      </c>
      <c r="AZ42" s="271">
        <v>0</v>
      </c>
      <c r="BA42" s="271">
        <v>0</v>
      </c>
      <c r="BB42" s="271"/>
      <c r="BC42" s="271">
        <f t="shared" si="0"/>
        <v>1</v>
      </c>
      <c r="BD42" s="272">
        <f t="shared" si="1"/>
        <v>-4.3346</v>
      </c>
      <c r="BE42" s="243">
        <f t="shared" si="5"/>
        <v>-4.3346</v>
      </c>
      <c r="BF42" s="330"/>
      <c r="BG42" s="330"/>
      <c r="BH42" s="330"/>
      <c r="BI42" s="330"/>
      <c r="BJ42" s="330"/>
      <c r="BK42" s="330"/>
      <c r="BL42" s="330"/>
      <c r="BM42" s="330"/>
      <c r="BN42" s="330"/>
      <c r="BO42" s="330"/>
      <c r="BP42" s="330"/>
      <c r="BQ42" s="330"/>
      <c r="CB42" s="243">
        <f t="shared" si="6"/>
        <v>0.48675505653430484</v>
      </c>
      <c r="CC42" s="243"/>
      <c r="CD42" s="243">
        <f t="shared" si="7"/>
        <v>0.48675505653430484</v>
      </c>
      <c r="CG42" s="734">
        <f t="shared" si="3"/>
        <v>-8.7185000000000006</v>
      </c>
    </row>
    <row r="43" spans="1:85" x14ac:dyDescent="0.2">
      <c r="A43" s="19">
        <v>28824</v>
      </c>
      <c r="B43" s="262">
        <v>2.1471</v>
      </c>
      <c r="C43" s="262">
        <v>1.9395</v>
      </c>
      <c r="D43" s="262">
        <v>3.16</v>
      </c>
      <c r="E43" s="278"/>
      <c r="F43" s="278"/>
      <c r="G43" s="278"/>
      <c r="H43" s="278"/>
      <c r="I43" s="278"/>
      <c r="J43" s="278"/>
      <c r="K43" s="278"/>
      <c r="L43" s="278"/>
      <c r="M43" s="278"/>
      <c r="N43" s="278"/>
      <c r="O43" s="278"/>
      <c r="P43" s="278"/>
      <c r="Q43" s="278"/>
      <c r="R43" s="278"/>
      <c r="S43" s="278"/>
      <c r="T43" s="278"/>
      <c r="U43" s="278"/>
      <c r="V43" s="278"/>
      <c r="W43" s="262">
        <v>0.97699999999999998</v>
      </c>
      <c r="X43" s="128">
        <v>0.75</v>
      </c>
      <c r="Y43" s="128"/>
      <c r="Z43" s="279"/>
      <c r="AA43" s="262">
        <v>-9.2680000000000007</v>
      </c>
      <c r="AB43" s="262">
        <v>-10.1732</v>
      </c>
      <c r="AC43" s="262">
        <v>-8.3778000000000006</v>
      </c>
      <c r="AD43" s="278"/>
      <c r="AE43" s="278"/>
      <c r="AF43" s="262">
        <f t="shared" si="4"/>
        <v>-9.2680000000000007</v>
      </c>
      <c r="AG43" s="128">
        <v>1.1189</v>
      </c>
      <c r="AH43" s="128"/>
      <c r="AI43" s="128"/>
      <c r="AJ43" s="128"/>
      <c r="AK43" s="128"/>
      <c r="AL43" s="128"/>
      <c r="AM43" s="244"/>
      <c r="AN43" s="244"/>
      <c r="AO43" s="244"/>
      <c r="AP43" s="244"/>
      <c r="AQ43" s="244"/>
      <c r="AR43" s="244"/>
      <c r="AS43" s="244"/>
      <c r="AT43" s="244"/>
      <c r="AU43" s="244"/>
      <c r="AV43" s="271">
        <v>0.4</v>
      </c>
      <c r="AW43" s="271"/>
      <c r="AX43" s="271"/>
      <c r="AY43" s="271">
        <v>0.6</v>
      </c>
      <c r="AZ43" s="271">
        <v>0</v>
      </c>
      <c r="BA43" s="271">
        <v>0</v>
      </c>
      <c r="BB43" s="271"/>
      <c r="BC43" s="271">
        <f t="shared" si="0"/>
        <v>1</v>
      </c>
      <c r="BD43" s="272">
        <f t="shared" si="1"/>
        <v>1.4450400000000001</v>
      </c>
      <c r="BE43" s="243">
        <f t="shared" si="5"/>
        <v>1.4450400000000001</v>
      </c>
      <c r="BF43" s="330"/>
      <c r="BG43" s="330"/>
      <c r="BH43" s="330"/>
      <c r="BI43" s="330"/>
      <c r="BJ43" s="330"/>
      <c r="BK43" s="330"/>
      <c r="BL43" s="330"/>
      <c r="BM43" s="330"/>
      <c r="BN43" s="330"/>
      <c r="BO43" s="330"/>
      <c r="BP43" s="330"/>
      <c r="BQ43" s="330"/>
      <c r="CB43" s="243">
        <f t="shared" si="6"/>
        <v>0.48675505653430484</v>
      </c>
      <c r="CC43" s="243"/>
      <c r="CD43" s="243">
        <f t="shared" si="7"/>
        <v>0.48675505653430484</v>
      </c>
      <c r="CG43" s="734">
        <f t="shared" si="3"/>
        <v>2.1471</v>
      </c>
    </row>
    <row r="44" spans="1:85" x14ac:dyDescent="0.2">
      <c r="A44" s="19">
        <v>28855</v>
      </c>
      <c r="B44" s="262">
        <v>1.9641</v>
      </c>
      <c r="C44" s="262">
        <v>2.7509000000000001</v>
      </c>
      <c r="D44" s="262">
        <v>0.51</v>
      </c>
      <c r="E44" s="278"/>
      <c r="F44" s="278"/>
      <c r="G44" s="278"/>
      <c r="H44" s="278"/>
      <c r="I44" s="278"/>
      <c r="J44" s="278"/>
      <c r="K44" s="278"/>
      <c r="L44" s="278"/>
      <c r="M44" s="278"/>
      <c r="N44" s="278"/>
      <c r="O44" s="278"/>
      <c r="P44" s="278"/>
      <c r="Q44" s="278"/>
      <c r="R44" s="278"/>
      <c r="S44" s="278"/>
      <c r="T44" s="278"/>
      <c r="U44" s="278"/>
      <c r="V44" s="278"/>
      <c r="W44" s="262">
        <v>-0.95899999999999996</v>
      </c>
      <c r="X44" s="128">
        <v>-0.62</v>
      </c>
      <c r="Y44" s="128"/>
      <c r="Z44" s="279"/>
      <c r="AA44" s="262">
        <v>4.992</v>
      </c>
      <c r="AB44" s="262">
        <v>4.1802000000000001</v>
      </c>
      <c r="AC44" s="262">
        <v>5.6235999999999997</v>
      </c>
      <c r="AD44" s="278"/>
      <c r="AE44" s="278"/>
      <c r="AF44" s="262">
        <f t="shared" si="4"/>
        <v>4.992</v>
      </c>
      <c r="AG44" s="128">
        <v>1.1189</v>
      </c>
      <c r="AH44" s="128"/>
      <c r="AI44" s="128"/>
      <c r="AJ44" s="128"/>
      <c r="AK44" s="128"/>
      <c r="AL44" s="128"/>
      <c r="AM44" s="244"/>
      <c r="AN44" s="244"/>
      <c r="AO44" s="244"/>
      <c r="AP44" s="244"/>
      <c r="AQ44" s="244"/>
      <c r="AR44" s="244"/>
      <c r="AS44" s="244"/>
      <c r="AT44" s="244"/>
      <c r="AU44" s="244"/>
      <c r="AV44" s="271">
        <v>0.4</v>
      </c>
      <c r="AW44" s="271"/>
      <c r="AX44" s="271"/>
      <c r="AY44" s="271">
        <v>0.6</v>
      </c>
      <c r="AZ44" s="271">
        <v>0</v>
      </c>
      <c r="BA44" s="271">
        <v>0</v>
      </c>
      <c r="BB44" s="271"/>
      <c r="BC44" s="271">
        <f t="shared" si="0"/>
        <v>1</v>
      </c>
      <c r="BD44" s="272">
        <f t="shared" si="1"/>
        <v>0.21024000000000009</v>
      </c>
      <c r="BE44" s="243">
        <f t="shared" si="5"/>
        <v>0.21024000000000009</v>
      </c>
      <c r="BF44" s="330"/>
      <c r="BG44" s="330"/>
      <c r="BH44" s="330"/>
      <c r="BI44" s="330"/>
      <c r="BJ44" s="330"/>
      <c r="BK44" s="330"/>
      <c r="BL44" s="330"/>
      <c r="BM44" s="330"/>
      <c r="BN44" s="330"/>
      <c r="BO44" s="330"/>
      <c r="BP44" s="330"/>
      <c r="BQ44" s="330"/>
      <c r="CB44" s="243">
        <f t="shared" si="6"/>
        <v>0.48675505653430484</v>
      </c>
      <c r="CC44" s="243"/>
      <c r="CD44" s="243">
        <f t="shared" si="7"/>
        <v>0.48675505653430484</v>
      </c>
      <c r="CG44" s="734">
        <f t="shared" si="3"/>
        <v>1.9641</v>
      </c>
    </row>
    <row r="45" spans="1:85" x14ac:dyDescent="0.2">
      <c r="A45" s="19">
        <v>28886</v>
      </c>
      <c r="B45" s="262">
        <v>4.4324000000000003</v>
      </c>
      <c r="C45" s="262">
        <v>3.1507999999999998</v>
      </c>
      <c r="D45" s="262">
        <v>5.37</v>
      </c>
      <c r="E45" s="278"/>
      <c r="F45" s="278"/>
      <c r="G45" s="278"/>
      <c r="H45" s="262">
        <v>9.2550000000000008</v>
      </c>
      <c r="I45" s="262">
        <v>8.3390000000000004</v>
      </c>
      <c r="J45" s="262">
        <v>10.223000000000001</v>
      </c>
      <c r="K45" s="262"/>
      <c r="L45" s="262"/>
      <c r="M45" s="262"/>
      <c r="N45" s="262">
        <f>H45</f>
        <v>9.2550000000000008</v>
      </c>
      <c r="O45" s="262">
        <f>I45</f>
        <v>8.3390000000000004</v>
      </c>
      <c r="P45" s="262">
        <f>J45</f>
        <v>10.223000000000001</v>
      </c>
      <c r="Q45" s="278"/>
      <c r="R45" s="128">
        <v>7.59</v>
      </c>
      <c r="S45" s="128">
        <v>4.8959999999999999</v>
      </c>
      <c r="T45" s="128"/>
      <c r="U45" s="278"/>
      <c r="V45" s="278"/>
      <c r="W45" s="262">
        <v>1.871</v>
      </c>
      <c r="X45" s="128">
        <v>1.82</v>
      </c>
      <c r="Y45" s="128"/>
      <c r="Z45" s="279"/>
      <c r="AA45" s="262">
        <v>0.63500000000000001</v>
      </c>
      <c r="AB45" s="262">
        <v>-0.17419999999999999</v>
      </c>
      <c r="AC45" s="262">
        <v>1.3297000000000001</v>
      </c>
      <c r="AD45" s="278"/>
      <c r="AE45" s="278"/>
      <c r="AF45" s="262">
        <f t="shared" si="4"/>
        <v>0.63500000000000001</v>
      </c>
      <c r="AG45" s="128">
        <v>1.925</v>
      </c>
      <c r="AH45" s="128"/>
      <c r="AI45" s="128"/>
      <c r="AJ45" s="128"/>
      <c r="AK45" s="128"/>
      <c r="AL45" s="128"/>
      <c r="AM45" s="244"/>
      <c r="AN45" s="244"/>
      <c r="AO45" s="244"/>
      <c r="AP45" s="244"/>
      <c r="AQ45" s="244"/>
      <c r="AR45" s="244"/>
      <c r="AS45" s="244"/>
      <c r="AT45" s="244"/>
      <c r="AU45" s="244"/>
      <c r="AV45" s="271">
        <v>0.4</v>
      </c>
      <c r="AW45" s="271"/>
      <c r="AX45" s="271"/>
      <c r="AY45" s="271">
        <v>0.6</v>
      </c>
      <c r="AZ45" s="271">
        <v>0</v>
      </c>
      <c r="BA45" s="271">
        <v>0</v>
      </c>
      <c r="BB45" s="271"/>
      <c r="BC45" s="271">
        <f t="shared" si="0"/>
        <v>1</v>
      </c>
      <c r="BD45" s="272">
        <f t="shared" si="1"/>
        <v>2.8955600000000006</v>
      </c>
      <c r="BE45" s="243">
        <f t="shared" si="5"/>
        <v>2.8955600000000006</v>
      </c>
      <c r="BF45" s="330"/>
      <c r="BG45" s="330"/>
      <c r="BH45" s="330"/>
      <c r="BI45" s="330"/>
      <c r="BJ45" s="330"/>
      <c r="BK45" s="330"/>
      <c r="BL45" s="330"/>
      <c r="BM45" s="330"/>
      <c r="BN45" s="330"/>
      <c r="BO45" s="330"/>
      <c r="BP45" s="330"/>
      <c r="BQ45" s="330"/>
      <c r="CB45" s="243">
        <f t="shared" si="6"/>
        <v>0.48675505653430484</v>
      </c>
      <c r="CC45" s="243"/>
      <c r="CD45" s="243">
        <f t="shared" si="7"/>
        <v>0.48675505653430484</v>
      </c>
      <c r="CG45" s="734">
        <f t="shared" si="3"/>
        <v>4.4324000000000003</v>
      </c>
    </row>
    <row r="46" spans="1:85" x14ac:dyDescent="0.2">
      <c r="A46" s="19">
        <v>28914</v>
      </c>
      <c r="B46" s="262">
        <v>-3.2122000000000002</v>
      </c>
      <c r="C46" s="262">
        <v>-3.5508999999999999</v>
      </c>
      <c r="D46" s="262">
        <v>-2.04</v>
      </c>
      <c r="E46" s="278"/>
      <c r="F46" s="278"/>
      <c r="G46" s="278"/>
      <c r="H46" s="262">
        <v>-2.8010000000000002</v>
      </c>
      <c r="I46" s="262">
        <v>-3.1259999999999999</v>
      </c>
      <c r="J46" s="262">
        <v>-2.4660000000000002</v>
      </c>
      <c r="K46" s="262"/>
      <c r="L46" s="262"/>
      <c r="M46" s="262"/>
      <c r="N46" s="262">
        <f t="shared" ref="N46:N109" si="8">H46</f>
        <v>-2.8010000000000002</v>
      </c>
      <c r="O46" s="262">
        <f t="shared" ref="O46:O109" si="9">I46</f>
        <v>-3.1259999999999999</v>
      </c>
      <c r="P46" s="262">
        <f t="shared" ref="P46:P109" si="10">J46</f>
        <v>-2.4660000000000002</v>
      </c>
      <c r="Q46" s="278"/>
      <c r="R46" s="128">
        <v>-2.59</v>
      </c>
      <c r="S46" s="128">
        <v>-2.7650000000000001</v>
      </c>
      <c r="T46" s="128"/>
      <c r="U46" s="278"/>
      <c r="V46" s="278"/>
      <c r="W46" s="262">
        <v>-0.42299999999999999</v>
      </c>
      <c r="X46" s="128">
        <v>0.04</v>
      </c>
      <c r="Y46" s="128"/>
      <c r="Z46" s="279"/>
      <c r="AA46" s="262">
        <v>-0.499</v>
      </c>
      <c r="AB46" s="262">
        <v>-0.73040000000000005</v>
      </c>
      <c r="AC46" s="262">
        <v>-0.22950000000000001</v>
      </c>
      <c r="AD46" s="278"/>
      <c r="AE46" s="278"/>
      <c r="AF46" s="262">
        <f t="shared" si="4"/>
        <v>-0.499</v>
      </c>
      <c r="AG46" s="128">
        <v>1.925</v>
      </c>
      <c r="AH46" s="128"/>
      <c r="AI46" s="128"/>
      <c r="AJ46" s="128"/>
      <c r="AK46" s="128"/>
      <c r="AL46" s="128"/>
      <c r="AM46" s="244"/>
      <c r="AN46" s="244"/>
      <c r="AO46" s="244"/>
      <c r="AP46" s="244"/>
      <c r="AQ46" s="244"/>
      <c r="AR46" s="244"/>
      <c r="AS46" s="244"/>
      <c r="AT46" s="244"/>
      <c r="AU46" s="244"/>
      <c r="AV46" s="271">
        <v>0.4</v>
      </c>
      <c r="AW46" s="271"/>
      <c r="AX46" s="271"/>
      <c r="AY46" s="271">
        <v>0.6</v>
      </c>
      <c r="AZ46" s="271">
        <v>0</v>
      </c>
      <c r="BA46" s="271">
        <v>0</v>
      </c>
      <c r="BB46" s="271"/>
      <c r="BC46" s="271">
        <f t="shared" si="0"/>
        <v>1</v>
      </c>
      <c r="BD46" s="272">
        <f t="shared" si="1"/>
        <v>-1.5386800000000003</v>
      </c>
      <c r="BE46" s="243">
        <f t="shared" si="5"/>
        <v>-1.5386800000000003</v>
      </c>
      <c r="BF46" s="330"/>
      <c r="BG46" s="330"/>
      <c r="BH46" s="330"/>
      <c r="BI46" s="330"/>
      <c r="BJ46" s="330"/>
      <c r="BK46" s="330"/>
      <c r="BL46" s="330"/>
      <c r="BM46" s="330"/>
      <c r="BN46" s="330"/>
      <c r="BO46" s="330"/>
      <c r="BP46" s="330"/>
      <c r="BQ46" s="330"/>
      <c r="CB46" s="243">
        <f t="shared" si="6"/>
        <v>0.48675505653430484</v>
      </c>
      <c r="CC46" s="243"/>
      <c r="CD46" s="243">
        <f t="shared" si="7"/>
        <v>0.48675505653430484</v>
      </c>
      <c r="CG46" s="734">
        <f t="shared" si="3"/>
        <v>-3.2122000000000002</v>
      </c>
    </row>
    <row r="47" spans="1:85" x14ac:dyDescent="0.2">
      <c r="A47" s="19">
        <v>28945</v>
      </c>
      <c r="B47" s="262">
        <v>5.9618000000000002</v>
      </c>
      <c r="C47" s="262">
        <v>5.5509000000000004</v>
      </c>
      <c r="D47" s="262">
        <v>5.8</v>
      </c>
      <c r="E47" s="278"/>
      <c r="F47" s="278"/>
      <c r="G47" s="278"/>
      <c r="H47" s="262">
        <v>10.063000000000001</v>
      </c>
      <c r="I47" s="262">
        <v>11.522</v>
      </c>
      <c r="J47" s="262">
        <v>8.6959999999999997</v>
      </c>
      <c r="K47" s="262"/>
      <c r="L47" s="262"/>
      <c r="M47" s="262"/>
      <c r="N47" s="262">
        <f t="shared" si="8"/>
        <v>10.063000000000001</v>
      </c>
      <c r="O47" s="262">
        <f t="shared" si="9"/>
        <v>11.522</v>
      </c>
      <c r="P47" s="262">
        <f t="shared" si="10"/>
        <v>8.6959999999999997</v>
      </c>
      <c r="Q47" s="278"/>
      <c r="R47" s="128">
        <v>8.99</v>
      </c>
      <c r="S47" s="128">
        <v>6.6109999999999998</v>
      </c>
      <c r="T47" s="128"/>
      <c r="U47" s="278"/>
      <c r="V47" s="278"/>
      <c r="W47" s="262">
        <v>1.028</v>
      </c>
      <c r="X47" s="128">
        <v>0.96</v>
      </c>
      <c r="Y47" s="128"/>
      <c r="Z47" s="279"/>
      <c r="AA47" s="262">
        <v>2.339</v>
      </c>
      <c r="AB47" s="262">
        <v>2.6082999999999998</v>
      </c>
      <c r="AC47" s="262">
        <v>1.5757000000000001</v>
      </c>
      <c r="AD47" s="278"/>
      <c r="AE47" s="278"/>
      <c r="AF47" s="262">
        <f t="shared" si="4"/>
        <v>2.339</v>
      </c>
      <c r="AG47" s="128">
        <v>1.925</v>
      </c>
      <c r="AH47" s="128"/>
      <c r="AI47" s="128"/>
      <c r="AJ47" s="128"/>
      <c r="AK47" s="128"/>
      <c r="AL47" s="128"/>
      <c r="AM47" s="244"/>
      <c r="AN47" s="244"/>
      <c r="AO47" s="244"/>
      <c r="AP47" s="244"/>
      <c r="AQ47" s="244"/>
      <c r="AR47" s="244"/>
      <c r="AS47" s="244"/>
      <c r="AT47" s="244"/>
      <c r="AU47" s="244"/>
      <c r="AV47" s="271">
        <v>0.4</v>
      </c>
      <c r="AW47" s="271"/>
      <c r="AX47" s="271"/>
      <c r="AY47" s="271">
        <v>0.6</v>
      </c>
      <c r="AZ47" s="271">
        <v>0</v>
      </c>
      <c r="BA47" s="271">
        <v>0</v>
      </c>
      <c r="BB47" s="271"/>
      <c r="BC47" s="271">
        <f t="shared" si="0"/>
        <v>1</v>
      </c>
      <c r="BD47" s="272">
        <f t="shared" si="1"/>
        <v>3.0015200000000002</v>
      </c>
      <c r="BE47" s="243">
        <f t="shared" si="5"/>
        <v>3.0015200000000002</v>
      </c>
      <c r="BF47" s="330"/>
      <c r="BG47" s="330"/>
      <c r="BH47" s="330"/>
      <c r="BI47" s="330"/>
      <c r="BJ47" s="330"/>
      <c r="BK47" s="330"/>
      <c r="BL47" s="330"/>
      <c r="BM47" s="330"/>
      <c r="BN47" s="330"/>
      <c r="BO47" s="330"/>
      <c r="BP47" s="330"/>
      <c r="BQ47" s="330"/>
      <c r="CB47" s="243">
        <f t="shared" si="6"/>
        <v>0.48675505653430484</v>
      </c>
      <c r="CC47" s="243"/>
      <c r="CD47" s="243">
        <f t="shared" si="7"/>
        <v>0.48675505653430484</v>
      </c>
      <c r="CG47" s="734">
        <f t="shared" si="3"/>
        <v>5.9618000000000002</v>
      </c>
    </row>
    <row r="48" spans="1:85" x14ac:dyDescent="0.2">
      <c r="A48" s="19">
        <v>28975</v>
      </c>
      <c r="B48" s="262">
        <v>0.63</v>
      </c>
      <c r="C48" s="262">
        <v>0.24859999999999999</v>
      </c>
      <c r="D48" s="262">
        <v>0.6</v>
      </c>
      <c r="E48" s="278"/>
      <c r="F48" s="278"/>
      <c r="G48" s="278"/>
      <c r="H48" s="262">
        <v>2.492</v>
      </c>
      <c r="I48" s="262">
        <v>2.2370000000000001</v>
      </c>
      <c r="J48" s="262">
        <v>2.7549999999999999</v>
      </c>
      <c r="K48" s="262"/>
      <c r="L48" s="262"/>
      <c r="M48" s="262"/>
      <c r="N48" s="262">
        <f t="shared" si="8"/>
        <v>2.492</v>
      </c>
      <c r="O48" s="262">
        <f t="shared" si="9"/>
        <v>2.2370000000000001</v>
      </c>
      <c r="P48" s="262">
        <f t="shared" si="10"/>
        <v>2.7549999999999999</v>
      </c>
      <c r="Q48" s="278"/>
      <c r="R48" s="128">
        <v>2.12</v>
      </c>
      <c r="S48" s="128">
        <v>0.73099999999999998</v>
      </c>
      <c r="T48" s="128"/>
      <c r="U48" s="278"/>
      <c r="V48" s="278"/>
      <c r="W48" s="262">
        <v>-0.16200000000000001</v>
      </c>
      <c r="X48" s="128">
        <v>0.14000000000000001</v>
      </c>
      <c r="Y48" s="128"/>
      <c r="Z48" s="279"/>
      <c r="AA48" s="262">
        <v>-0.37</v>
      </c>
      <c r="AB48" s="262">
        <v>-0.99809999999999999</v>
      </c>
      <c r="AC48" s="262">
        <v>-0.1002</v>
      </c>
      <c r="AD48" s="278"/>
      <c r="AE48" s="278"/>
      <c r="AF48" s="262">
        <f t="shared" si="4"/>
        <v>-0.37</v>
      </c>
      <c r="AG48" s="128">
        <v>1.2546999999999999</v>
      </c>
      <c r="AH48" s="128"/>
      <c r="AI48" s="128"/>
      <c r="AJ48" s="128"/>
      <c r="AK48" s="128"/>
      <c r="AL48" s="128"/>
      <c r="AM48" s="244"/>
      <c r="AN48" s="244"/>
      <c r="AO48" s="244"/>
      <c r="AP48" s="244"/>
      <c r="AQ48" s="244"/>
      <c r="AR48" s="244"/>
      <c r="AS48" s="244"/>
      <c r="AT48" s="244"/>
      <c r="AU48" s="244"/>
      <c r="AV48" s="271">
        <v>0.4</v>
      </c>
      <c r="AW48" s="271"/>
      <c r="AX48" s="271"/>
      <c r="AY48" s="271">
        <v>0.6</v>
      </c>
      <c r="AZ48" s="271">
        <v>0</v>
      </c>
      <c r="BA48" s="271">
        <v>0</v>
      </c>
      <c r="BB48" s="271"/>
      <c r="BC48" s="271">
        <f t="shared" si="0"/>
        <v>1</v>
      </c>
      <c r="BD48" s="272">
        <f t="shared" si="1"/>
        <v>0.15479999999999999</v>
      </c>
      <c r="BE48" s="243">
        <f t="shared" si="5"/>
        <v>0.15479999999999999</v>
      </c>
      <c r="BF48" s="330"/>
      <c r="BG48" s="330"/>
      <c r="BH48" s="330"/>
      <c r="BI48" s="330"/>
      <c r="BJ48" s="330"/>
      <c r="BK48" s="330"/>
      <c r="BL48" s="330"/>
      <c r="BM48" s="330"/>
      <c r="BN48" s="330"/>
      <c r="BO48" s="330"/>
      <c r="BP48" s="330"/>
      <c r="BQ48" s="330"/>
      <c r="CB48" s="243">
        <f t="shared" si="6"/>
        <v>0.48675505653430484</v>
      </c>
      <c r="CC48" s="243"/>
      <c r="CD48" s="243">
        <f t="shared" si="7"/>
        <v>0.48675505653430484</v>
      </c>
      <c r="CG48" s="734">
        <f t="shared" si="3"/>
        <v>0.63</v>
      </c>
    </row>
    <row r="49" spans="1:85" x14ac:dyDescent="0.2">
      <c r="A49" s="19">
        <v>29006</v>
      </c>
      <c r="B49" s="262">
        <v>-2.1718000000000002</v>
      </c>
      <c r="C49" s="262">
        <v>-2.0992000000000002</v>
      </c>
      <c r="D49" s="262">
        <v>-1.17</v>
      </c>
      <c r="E49" s="278"/>
      <c r="F49" s="278"/>
      <c r="G49" s="278"/>
      <c r="H49" s="262">
        <v>-1.401</v>
      </c>
      <c r="I49" s="262">
        <v>-1.9810000000000001</v>
      </c>
      <c r="J49" s="262">
        <v>-0.86599999999999999</v>
      </c>
      <c r="K49" s="262"/>
      <c r="L49" s="262"/>
      <c r="M49" s="262"/>
      <c r="N49" s="262">
        <f t="shared" si="8"/>
        <v>-1.401</v>
      </c>
      <c r="O49" s="262">
        <f t="shared" si="9"/>
        <v>-1.9810000000000001</v>
      </c>
      <c r="P49" s="262">
        <f t="shared" si="10"/>
        <v>-0.86599999999999999</v>
      </c>
      <c r="Q49" s="278"/>
      <c r="R49" s="128">
        <v>-1.29</v>
      </c>
      <c r="S49" s="128">
        <v>-1.3660000000000001</v>
      </c>
      <c r="T49" s="128"/>
      <c r="U49" s="278"/>
      <c r="V49" s="278"/>
      <c r="W49" s="262">
        <v>1.869</v>
      </c>
      <c r="X49" s="128">
        <v>1.59</v>
      </c>
      <c r="Y49" s="128"/>
      <c r="Z49" s="279"/>
      <c r="AA49" s="262">
        <v>-2.0569999999999999</v>
      </c>
      <c r="AB49" s="262">
        <v>-2.0358999999999998</v>
      </c>
      <c r="AC49" s="262">
        <v>-2.0116000000000001</v>
      </c>
      <c r="AD49" s="278"/>
      <c r="AE49" s="278"/>
      <c r="AF49" s="262">
        <f t="shared" si="4"/>
        <v>-2.0569999999999999</v>
      </c>
      <c r="AG49" s="128">
        <v>1.2546999999999999</v>
      </c>
      <c r="AH49" s="128"/>
      <c r="AI49" s="128"/>
      <c r="AJ49" s="128"/>
      <c r="AK49" s="128"/>
      <c r="AL49" s="128"/>
      <c r="AM49" s="244"/>
      <c r="AN49" s="244"/>
      <c r="AO49" s="244"/>
      <c r="AP49" s="244"/>
      <c r="AQ49" s="244"/>
      <c r="AR49" s="244"/>
      <c r="AS49" s="244"/>
      <c r="AT49" s="244"/>
      <c r="AU49" s="244"/>
      <c r="AV49" s="271">
        <v>0.4</v>
      </c>
      <c r="AW49" s="271"/>
      <c r="AX49" s="271"/>
      <c r="AY49" s="271">
        <v>0.6</v>
      </c>
      <c r="AZ49" s="271">
        <v>0</v>
      </c>
      <c r="BA49" s="271">
        <v>0</v>
      </c>
      <c r="BB49" s="271"/>
      <c r="BC49" s="271">
        <f t="shared" si="0"/>
        <v>1</v>
      </c>
      <c r="BD49" s="272">
        <f t="shared" si="1"/>
        <v>0.25267999999999979</v>
      </c>
      <c r="BE49" s="243">
        <f t="shared" si="5"/>
        <v>0.25267999999999979</v>
      </c>
      <c r="BF49" s="330"/>
      <c r="BG49" s="330"/>
      <c r="BH49" s="330"/>
      <c r="BI49" s="330"/>
      <c r="BJ49" s="330"/>
      <c r="BK49" s="330"/>
      <c r="BL49" s="330"/>
      <c r="BM49" s="330"/>
      <c r="BN49" s="330"/>
      <c r="BO49" s="330"/>
      <c r="BP49" s="330"/>
      <c r="BQ49" s="330"/>
      <c r="CB49" s="243">
        <f t="shared" si="6"/>
        <v>0.48675505653430484</v>
      </c>
      <c r="CC49" s="243"/>
      <c r="CD49" s="243">
        <f t="shared" si="7"/>
        <v>0.48675505653430484</v>
      </c>
      <c r="CG49" s="734">
        <f t="shared" si="3"/>
        <v>-2.1718000000000002</v>
      </c>
    </row>
    <row r="50" spans="1:85" x14ac:dyDescent="0.2">
      <c r="A50" s="19">
        <v>29036</v>
      </c>
      <c r="B50" s="262">
        <v>4.3499999999999996</v>
      </c>
      <c r="C50" s="262">
        <v>3.2593999999999999</v>
      </c>
      <c r="D50" s="262">
        <v>4.82</v>
      </c>
      <c r="E50" s="278"/>
      <c r="F50" s="278"/>
      <c r="G50" s="278"/>
      <c r="H50" s="262">
        <v>5.6</v>
      </c>
      <c r="I50" s="262">
        <v>5.9459999999999997</v>
      </c>
      <c r="J50" s="262">
        <v>5.3079999999999998</v>
      </c>
      <c r="K50" s="262"/>
      <c r="L50" s="262"/>
      <c r="M50" s="262"/>
      <c r="N50" s="262">
        <f t="shared" si="8"/>
        <v>5.6</v>
      </c>
      <c r="O50" s="262">
        <f t="shared" si="9"/>
        <v>5.9459999999999997</v>
      </c>
      <c r="P50" s="262">
        <f t="shared" si="10"/>
        <v>5.3079999999999998</v>
      </c>
      <c r="Q50" s="278"/>
      <c r="R50" s="128">
        <v>5.75</v>
      </c>
      <c r="S50" s="128">
        <v>4.6849999999999996</v>
      </c>
      <c r="T50" s="128"/>
      <c r="U50" s="278"/>
      <c r="V50" s="278"/>
      <c r="W50" s="262">
        <v>2.177</v>
      </c>
      <c r="X50" s="128">
        <v>1.94</v>
      </c>
      <c r="Y50" s="128"/>
      <c r="Z50" s="279"/>
      <c r="AA50" s="262">
        <v>1.8089999999999999</v>
      </c>
      <c r="AB50" s="262">
        <v>1.4017999999999999</v>
      </c>
      <c r="AC50" s="262">
        <v>1.9979</v>
      </c>
      <c r="AD50" s="278"/>
      <c r="AE50" s="278"/>
      <c r="AF50" s="262">
        <f t="shared" si="4"/>
        <v>1.8089999999999999</v>
      </c>
      <c r="AG50" s="128">
        <v>1.2546999999999999</v>
      </c>
      <c r="AH50" s="128"/>
      <c r="AI50" s="128"/>
      <c r="AJ50" s="128"/>
      <c r="AK50" s="128"/>
      <c r="AL50" s="128"/>
      <c r="AM50" s="244"/>
      <c r="AN50" s="244"/>
      <c r="AO50" s="244"/>
      <c r="AP50" s="244"/>
      <c r="AQ50" s="244"/>
      <c r="AR50" s="244"/>
      <c r="AS50" s="244"/>
      <c r="AT50" s="244"/>
      <c r="AU50" s="244"/>
      <c r="AV50" s="271">
        <v>0.4</v>
      </c>
      <c r="AW50" s="271"/>
      <c r="AX50" s="271"/>
      <c r="AY50" s="271">
        <v>0.6</v>
      </c>
      <c r="AZ50" s="271">
        <v>0</v>
      </c>
      <c r="BA50" s="271">
        <v>0</v>
      </c>
      <c r="BB50" s="271"/>
      <c r="BC50" s="271">
        <f t="shared" si="0"/>
        <v>1</v>
      </c>
      <c r="BD50" s="272">
        <f t="shared" si="1"/>
        <v>3.0461999999999998</v>
      </c>
      <c r="BE50" s="243">
        <f t="shared" si="5"/>
        <v>3.0461999999999998</v>
      </c>
      <c r="BF50" s="330"/>
      <c r="BG50" s="330"/>
      <c r="BH50" s="330"/>
      <c r="BI50" s="330"/>
      <c r="BJ50" s="330"/>
      <c r="BK50" s="330"/>
      <c r="BL50" s="330"/>
      <c r="BM50" s="330"/>
      <c r="BN50" s="330"/>
      <c r="BO50" s="330"/>
      <c r="BP50" s="330"/>
      <c r="BQ50" s="330"/>
      <c r="CB50" s="243">
        <f t="shared" si="6"/>
        <v>0.48675505653430484</v>
      </c>
      <c r="CC50" s="243"/>
      <c r="CD50" s="243">
        <f t="shared" si="7"/>
        <v>0.48675505653430484</v>
      </c>
      <c r="CG50" s="734">
        <f t="shared" si="3"/>
        <v>4.3499999999999996</v>
      </c>
    </row>
    <row r="51" spans="1:85" x14ac:dyDescent="0.2">
      <c r="A51" s="19">
        <v>29067</v>
      </c>
      <c r="B51" s="262">
        <v>1.341</v>
      </c>
      <c r="C51" s="262">
        <v>0.76060000000000005</v>
      </c>
      <c r="D51" s="262">
        <v>1.54</v>
      </c>
      <c r="E51" s="278"/>
      <c r="F51" s="278"/>
      <c r="G51" s="278"/>
      <c r="H51" s="262">
        <v>3.1459999999999999</v>
      </c>
      <c r="I51" s="262">
        <v>2.1920000000000002</v>
      </c>
      <c r="J51" s="262">
        <v>4.0620000000000003</v>
      </c>
      <c r="K51" s="262"/>
      <c r="L51" s="262"/>
      <c r="M51" s="262"/>
      <c r="N51" s="262">
        <f t="shared" si="8"/>
        <v>3.1459999999999999</v>
      </c>
      <c r="O51" s="262">
        <f t="shared" si="9"/>
        <v>2.1920000000000002</v>
      </c>
      <c r="P51" s="262">
        <f t="shared" si="10"/>
        <v>4.0620000000000003</v>
      </c>
      <c r="Q51" s="278"/>
      <c r="R51" s="128">
        <v>2.91</v>
      </c>
      <c r="S51" s="128">
        <v>1.5029999999999999</v>
      </c>
      <c r="T51" s="128"/>
      <c r="U51" s="278"/>
      <c r="V51" s="278"/>
      <c r="W51" s="262">
        <v>3.9E-2</v>
      </c>
      <c r="X51" s="128">
        <v>0.08</v>
      </c>
      <c r="Y51" s="128"/>
      <c r="Z51" s="279"/>
      <c r="AA51" s="262">
        <v>1.196</v>
      </c>
      <c r="AB51" s="262">
        <v>1.4729000000000001</v>
      </c>
      <c r="AC51" s="262">
        <v>0.8599</v>
      </c>
      <c r="AD51" s="278"/>
      <c r="AE51" s="278"/>
      <c r="AF51" s="262">
        <f t="shared" si="4"/>
        <v>1.196</v>
      </c>
      <c r="AG51" s="128">
        <v>1.4195</v>
      </c>
      <c r="AH51" s="128"/>
      <c r="AI51" s="128"/>
      <c r="AJ51" s="128"/>
      <c r="AK51" s="128"/>
      <c r="AL51" s="128"/>
      <c r="AM51" s="244"/>
      <c r="AN51" s="244"/>
      <c r="AO51" s="244"/>
      <c r="AP51" s="244"/>
      <c r="AQ51" s="244"/>
      <c r="AR51" s="244"/>
      <c r="AS51" s="244"/>
      <c r="AT51" s="244"/>
      <c r="AU51" s="244"/>
      <c r="AV51" s="271">
        <v>0.4</v>
      </c>
      <c r="AW51" s="271"/>
      <c r="AX51" s="271"/>
      <c r="AY51" s="271">
        <v>0.6</v>
      </c>
      <c r="AZ51" s="271">
        <v>0</v>
      </c>
      <c r="BA51" s="271">
        <v>0</v>
      </c>
      <c r="BB51" s="271"/>
      <c r="BC51" s="271">
        <f t="shared" si="0"/>
        <v>1</v>
      </c>
      <c r="BD51" s="272">
        <f t="shared" si="1"/>
        <v>0.55979999999999996</v>
      </c>
      <c r="BE51" s="243">
        <f t="shared" si="5"/>
        <v>0.55979999999999996</v>
      </c>
      <c r="BF51" s="330"/>
      <c r="BG51" s="330"/>
      <c r="BH51" s="330"/>
      <c r="BI51" s="330"/>
      <c r="BJ51" s="330"/>
      <c r="BK51" s="330"/>
      <c r="BL51" s="330"/>
      <c r="BM51" s="330"/>
      <c r="BN51" s="330"/>
      <c r="BO51" s="330"/>
      <c r="BP51" s="330"/>
      <c r="BQ51" s="330"/>
      <c r="CB51" s="243">
        <f t="shared" si="6"/>
        <v>0.48675505653430484</v>
      </c>
      <c r="CC51" s="243"/>
      <c r="CD51" s="243">
        <f t="shared" si="7"/>
        <v>0.48675505653430484</v>
      </c>
      <c r="CG51" s="734">
        <f t="shared" si="3"/>
        <v>1.341</v>
      </c>
    </row>
    <row r="52" spans="1:85" x14ac:dyDescent="0.2">
      <c r="A52" s="19">
        <v>29098</v>
      </c>
      <c r="B52" s="262">
        <v>5.7702</v>
      </c>
      <c r="C52" s="262">
        <v>6.39</v>
      </c>
      <c r="D52" s="262">
        <v>5.78</v>
      </c>
      <c r="E52" s="278"/>
      <c r="F52" s="278"/>
      <c r="G52" s="278"/>
      <c r="H52" s="262">
        <v>8.1720000000000006</v>
      </c>
      <c r="I52" s="262">
        <v>9.0329999999999995</v>
      </c>
      <c r="J52" s="262">
        <v>7.3710000000000004</v>
      </c>
      <c r="K52" s="262"/>
      <c r="L52" s="262"/>
      <c r="M52" s="262"/>
      <c r="N52" s="262">
        <f t="shared" si="8"/>
        <v>8.1720000000000006</v>
      </c>
      <c r="O52" s="262">
        <f t="shared" si="9"/>
        <v>9.0329999999999995</v>
      </c>
      <c r="P52" s="262">
        <f t="shared" si="10"/>
        <v>7.3710000000000004</v>
      </c>
      <c r="Q52" s="278"/>
      <c r="R52" s="128">
        <v>7.72</v>
      </c>
      <c r="S52" s="128">
        <v>6.55</v>
      </c>
      <c r="T52" s="128"/>
      <c r="U52" s="278"/>
      <c r="V52" s="278"/>
      <c r="W52" s="262">
        <v>-0.249</v>
      </c>
      <c r="X52" s="128">
        <v>-0.37</v>
      </c>
      <c r="Y52" s="128"/>
      <c r="Z52" s="279"/>
      <c r="AA52" s="262">
        <v>2.4329999999999998</v>
      </c>
      <c r="AB52" s="262">
        <v>2.238</v>
      </c>
      <c r="AC52" s="262">
        <v>2.5295000000000001</v>
      </c>
      <c r="AD52" s="278"/>
      <c r="AE52" s="278"/>
      <c r="AF52" s="262">
        <f t="shared" si="4"/>
        <v>2.4329999999999998</v>
      </c>
      <c r="AG52" s="128">
        <v>1.4195</v>
      </c>
      <c r="AH52" s="128"/>
      <c r="AI52" s="128"/>
      <c r="AJ52" s="128"/>
      <c r="AK52" s="128"/>
      <c r="AL52" s="128"/>
      <c r="AM52" s="244"/>
      <c r="AN52" s="244"/>
      <c r="AO52" s="244"/>
      <c r="AP52" s="244"/>
      <c r="AQ52" s="244"/>
      <c r="AR52" s="244"/>
      <c r="AS52" s="244"/>
      <c r="AT52" s="244"/>
      <c r="AU52" s="244"/>
      <c r="AV52" s="271">
        <v>0.4</v>
      </c>
      <c r="AW52" s="271"/>
      <c r="AX52" s="271"/>
      <c r="AY52" s="271">
        <v>0.6</v>
      </c>
      <c r="AZ52" s="271">
        <v>0</v>
      </c>
      <c r="BA52" s="271">
        <v>0</v>
      </c>
      <c r="BB52" s="271"/>
      <c r="BC52" s="271">
        <f t="shared" si="0"/>
        <v>1</v>
      </c>
      <c r="BD52" s="272">
        <f t="shared" si="1"/>
        <v>2.1586799999999999</v>
      </c>
      <c r="BE52" s="243">
        <f t="shared" si="5"/>
        <v>2.1586799999999999</v>
      </c>
      <c r="BF52" s="330"/>
      <c r="BG52" s="330"/>
      <c r="BH52" s="330"/>
      <c r="BI52" s="330"/>
      <c r="BJ52" s="330"/>
      <c r="BK52" s="330"/>
      <c r="BL52" s="330"/>
      <c r="BM52" s="330"/>
      <c r="BN52" s="330"/>
      <c r="BO52" s="330"/>
      <c r="BP52" s="330"/>
      <c r="BQ52" s="330"/>
      <c r="CB52" s="243">
        <f t="shared" si="6"/>
        <v>0.48675505653430484</v>
      </c>
      <c r="CC52" s="243"/>
      <c r="CD52" s="243">
        <f t="shared" si="7"/>
        <v>0.48675505653430484</v>
      </c>
      <c r="CG52" s="734">
        <f t="shared" si="3"/>
        <v>5.7702</v>
      </c>
    </row>
    <row r="53" spans="1:85" x14ac:dyDescent="0.2">
      <c r="A53" s="19">
        <v>29128</v>
      </c>
      <c r="B53" s="262">
        <v>0.4299</v>
      </c>
      <c r="C53" s="262">
        <v>-0.25009999999999999</v>
      </c>
      <c r="D53" s="262">
        <v>0.78</v>
      </c>
      <c r="E53" s="278"/>
      <c r="F53" s="278"/>
      <c r="G53" s="278"/>
      <c r="H53" s="262">
        <v>-0.42599999999999999</v>
      </c>
      <c r="I53" s="262">
        <v>0.41399999999999998</v>
      </c>
      <c r="J53" s="262">
        <v>-1.2789999999999999</v>
      </c>
      <c r="K53" s="262"/>
      <c r="L53" s="262"/>
      <c r="M53" s="262"/>
      <c r="N53" s="262">
        <f t="shared" si="8"/>
        <v>-0.42599999999999999</v>
      </c>
      <c r="O53" s="262">
        <f t="shared" si="9"/>
        <v>0.41399999999999998</v>
      </c>
      <c r="P53" s="262">
        <f t="shared" si="10"/>
        <v>-1.2789999999999999</v>
      </c>
      <c r="Q53" s="278"/>
      <c r="R53" s="128">
        <v>-0.18</v>
      </c>
      <c r="S53" s="128">
        <v>0.21099999999999999</v>
      </c>
      <c r="T53" s="128"/>
      <c r="U53" s="278"/>
      <c r="V53" s="278"/>
      <c r="W53" s="262">
        <v>-1.052</v>
      </c>
      <c r="X53" s="128">
        <v>-0.44</v>
      </c>
      <c r="Y53" s="128"/>
      <c r="Z53" s="279"/>
      <c r="AA53" s="262">
        <v>4.4130000000000003</v>
      </c>
      <c r="AB53" s="262">
        <v>4.9332000000000003</v>
      </c>
      <c r="AC53" s="262">
        <v>3.8812000000000002</v>
      </c>
      <c r="AD53" s="278"/>
      <c r="AE53" s="278"/>
      <c r="AF53" s="262">
        <f t="shared" si="4"/>
        <v>4.4130000000000003</v>
      </c>
      <c r="AG53" s="128">
        <v>1.4195</v>
      </c>
      <c r="AH53" s="128"/>
      <c r="AI53" s="128"/>
      <c r="AJ53" s="128"/>
      <c r="AK53" s="128"/>
      <c r="AL53" s="128"/>
      <c r="AM53" s="244"/>
      <c r="AN53" s="244"/>
      <c r="AO53" s="244"/>
      <c r="AP53" s="244"/>
      <c r="AQ53" s="244"/>
      <c r="AR53" s="244"/>
      <c r="AS53" s="244"/>
      <c r="AT53" s="244"/>
      <c r="AU53" s="244"/>
      <c r="AV53" s="271">
        <v>0.4</v>
      </c>
      <c r="AW53" s="271"/>
      <c r="AX53" s="271"/>
      <c r="AY53" s="271">
        <v>0.6</v>
      </c>
      <c r="AZ53" s="271">
        <v>0</v>
      </c>
      <c r="BA53" s="271">
        <v>0</v>
      </c>
      <c r="BB53" s="271"/>
      <c r="BC53" s="271">
        <f t="shared" si="0"/>
        <v>1</v>
      </c>
      <c r="BD53" s="272">
        <f t="shared" si="1"/>
        <v>-0.45923999999999998</v>
      </c>
      <c r="BE53" s="243">
        <f t="shared" si="5"/>
        <v>-0.45923999999999998</v>
      </c>
      <c r="BF53" s="330"/>
      <c r="BG53" s="330"/>
      <c r="BH53" s="330"/>
      <c r="BI53" s="330"/>
      <c r="BJ53" s="330"/>
      <c r="BK53" s="330"/>
      <c r="BL53" s="330"/>
      <c r="BM53" s="330"/>
      <c r="BN53" s="330"/>
      <c r="BO53" s="330"/>
      <c r="BP53" s="330"/>
      <c r="BQ53" s="330"/>
      <c r="CB53" s="243">
        <f t="shared" si="6"/>
        <v>0.48675505653430484</v>
      </c>
      <c r="CC53" s="243"/>
      <c r="CD53" s="243">
        <f t="shared" si="7"/>
        <v>0.48675505653430484</v>
      </c>
      <c r="CG53" s="734">
        <f t="shared" si="3"/>
        <v>0.4299</v>
      </c>
    </row>
    <row r="54" spans="1:85" x14ac:dyDescent="0.2">
      <c r="A54" s="19">
        <v>29159</v>
      </c>
      <c r="B54" s="262">
        <v>-6.4032</v>
      </c>
      <c r="C54" s="262">
        <v>-5.6105</v>
      </c>
      <c r="D54" s="262">
        <v>-7.48</v>
      </c>
      <c r="E54" s="278"/>
      <c r="F54" s="278"/>
      <c r="G54" s="278"/>
      <c r="H54" s="262">
        <v>-11.06</v>
      </c>
      <c r="I54" s="262">
        <v>-10.531000000000001</v>
      </c>
      <c r="J54" s="262">
        <v>-11.622999999999999</v>
      </c>
      <c r="K54" s="262"/>
      <c r="L54" s="262"/>
      <c r="M54" s="262"/>
      <c r="N54" s="262">
        <f t="shared" si="8"/>
        <v>-11.06</v>
      </c>
      <c r="O54" s="262">
        <f t="shared" si="9"/>
        <v>-10.531000000000001</v>
      </c>
      <c r="P54" s="262">
        <f t="shared" si="10"/>
        <v>-11.622999999999999</v>
      </c>
      <c r="Q54" s="278"/>
      <c r="R54" s="128">
        <v>-9.75</v>
      </c>
      <c r="S54" s="128">
        <v>-7.234</v>
      </c>
      <c r="T54" s="128"/>
      <c r="U54" s="278"/>
      <c r="V54" s="278"/>
      <c r="W54" s="262">
        <v>-6.0709999999999997</v>
      </c>
      <c r="X54" s="128">
        <v>-4.4800000000000004</v>
      </c>
      <c r="Y54" s="128"/>
      <c r="Z54" s="279"/>
      <c r="AA54" s="262">
        <v>-7.9610000000000003</v>
      </c>
      <c r="AB54" s="262">
        <v>-7.2727000000000004</v>
      </c>
      <c r="AC54" s="262">
        <v>-8.9442000000000004</v>
      </c>
      <c r="AD54" s="278"/>
      <c r="AE54" s="278"/>
      <c r="AF54" s="262">
        <f t="shared" si="4"/>
        <v>-7.9610000000000003</v>
      </c>
      <c r="AG54" s="128">
        <v>1.56</v>
      </c>
      <c r="AH54" s="128"/>
      <c r="AI54" s="128"/>
      <c r="AJ54" s="128"/>
      <c r="AK54" s="128"/>
      <c r="AL54" s="128"/>
      <c r="AM54" s="244"/>
      <c r="AN54" s="244"/>
      <c r="AO54" s="244"/>
      <c r="AP54" s="244"/>
      <c r="AQ54" s="244"/>
      <c r="AR54" s="244"/>
      <c r="AS54" s="244"/>
      <c r="AT54" s="244"/>
      <c r="AU54" s="244"/>
      <c r="AV54" s="271">
        <v>0.4</v>
      </c>
      <c r="AW54" s="271"/>
      <c r="AX54" s="271"/>
      <c r="AY54" s="271">
        <v>0.6</v>
      </c>
      <c r="AZ54" s="271">
        <v>0</v>
      </c>
      <c r="BA54" s="271">
        <v>0</v>
      </c>
      <c r="BB54" s="271"/>
      <c r="BC54" s="271">
        <f t="shared" si="0"/>
        <v>1</v>
      </c>
      <c r="BD54" s="272">
        <f t="shared" si="1"/>
        <v>-6.2038799999999998</v>
      </c>
      <c r="BE54" s="243">
        <f t="shared" si="5"/>
        <v>-6.2038799999999998</v>
      </c>
      <c r="BF54" s="330"/>
      <c r="BG54" s="330"/>
      <c r="BH54" s="330"/>
      <c r="BI54" s="330"/>
      <c r="BJ54" s="330"/>
      <c r="BK54" s="330"/>
      <c r="BL54" s="330"/>
      <c r="BM54" s="330"/>
      <c r="BN54" s="330"/>
      <c r="BO54" s="330"/>
      <c r="BP54" s="330"/>
      <c r="BQ54" s="330"/>
      <c r="CB54" s="243">
        <f t="shared" si="6"/>
        <v>0.48675505653430484</v>
      </c>
      <c r="CC54" s="243"/>
      <c r="CD54" s="243">
        <f t="shared" si="7"/>
        <v>0.48675505653430484</v>
      </c>
      <c r="CG54" s="734">
        <f t="shared" si="3"/>
        <v>-6.4032</v>
      </c>
    </row>
    <row r="55" spans="1:85" x14ac:dyDescent="0.2">
      <c r="A55" s="19">
        <v>29189</v>
      </c>
      <c r="B55" s="262">
        <v>4.7534999999999998</v>
      </c>
      <c r="C55" s="262">
        <v>5.9100999999999999</v>
      </c>
      <c r="D55" s="262">
        <v>4.33</v>
      </c>
      <c r="E55" s="278"/>
      <c r="F55" s="278"/>
      <c r="G55" s="278"/>
      <c r="H55" s="262">
        <v>8.4700000000000006</v>
      </c>
      <c r="I55" s="262">
        <v>10.721</v>
      </c>
      <c r="J55" s="262">
        <v>6.1539999999999999</v>
      </c>
      <c r="K55" s="262"/>
      <c r="L55" s="262"/>
      <c r="M55" s="262"/>
      <c r="N55" s="262">
        <f t="shared" si="8"/>
        <v>8.4700000000000006</v>
      </c>
      <c r="O55" s="262">
        <f t="shared" si="9"/>
        <v>10.721</v>
      </c>
      <c r="P55" s="262">
        <f t="shared" si="10"/>
        <v>6.1539999999999999</v>
      </c>
      <c r="Q55" s="278"/>
      <c r="R55" s="128">
        <v>7.97</v>
      </c>
      <c r="S55" s="128">
        <v>6.19</v>
      </c>
      <c r="T55" s="128"/>
      <c r="U55" s="278"/>
      <c r="V55" s="278"/>
      <c r="W55" s="262">
        <v>2.9089999999999998</v>
      </c>
      <c r="X55" s="128">
        <v>3.1</v>
      </c>
      <c r="Y55" s="128"/>
      <c r="Z55" s="279"/>
      <c r="AA55" s="262">
        <v>1.266</v>
      </c>
      <c r="AB55" s="262">
        <v>1.3266</v>
      </c>
      <c r="AC55" s="262">
        <v>0.7954</v>
      </c>
      <c r="AD55" s="278"/>
      <c r="AE55" s="278"/>
      <c r="AF55" s="262">
        <f t="shared" si="4"/>
        <v>1.266</v>
      </c>
      <c r="AG55" s="128">
        <v>1.56</v>
      </c>
      <c r="AH55" s="128"/>
      <c r="AI55" s="128"/>
      <c r="AJ55" s="128"/>
      <c r="AK55" s="128"/>
      <c r="AL55" s="128"/>
      <c r="AM55" s="244"/>
      <c r="AN55" s="244"/>
      <c r="AO55" s="244"/>
      <c r="AP55" s="244"/>
      <c r="AQ55" s="244"/>
      <c r="AR55" s="244"/>
      <c r="AS55" s="244"/>
      <c r="AT55" s="244"/>
      <c r="AU55" s="244"/>
      <c r="AV55" s="271">
        <v>0.4</v>
      </c>
      <c r="AW55" s="271"/>
      <c r="AX55" s="271"/>
      <c r="AY55" s="271">
        <v>0.6</v>
      </c>
      <c r="AZ55" s="271">
        <v>0</v>
      </c>
      <c r="BA55" s="271">
        <v>0</v>
      </c>
      <c r="BB55" s="271"/>
      <c r="BC55" s="271">
        <f t="shared" si="0"/>
        <v>1</v>
      </c>
      <c r="BD55" s="272">
        <f t="shared" si="1"/>
        <v>3.6467999999999998</v>
      </c>
      <c r="BE55" s="243">
        <f t="shared" si="5"/>
        <v>3.6467999999999998</v>
      </c>
      <c r="BF55" s="330"/>
      <c r="BG55" s="330"/>
      <c r="BH55" s="330"/>
      <c r="BI55" s="330"/>
      <c r="BJ55" s="330"/>
      <c r="BK55" s="330"/>
      <c r="BL55" s="330"/>
      <c r="BM55" s="330"/>
      <c r="BN55" s="330"/>
      <c r="BO55" s="330"/>
      <c r="BP55" s="330"/>
      <c r="BQ55" s="330"/>
      <c r="CB55" s="243">
        <f t="shared" si="6"/>
        <v>0.48675505653430484</v>
      </c>
      <c r="CC55" s="243"/>
      <c r="CD55" s="243">
        <f t="shared" si="7"/>
        <v>0.48675505653430484</v>
      </c>
      <c r="CG55" s="734">
        <f t="shared" si="3"/>
        <v>4.7534999999999998</v>
      </c>
    </row>
    <row r="56" spans="1:85" x14ac:dyDescent="0.2">
      <c r="A56" s="19">
        <v>29220</v>
      </c>
      <c r="B56" s="262">
        <v>2.1383000000000001</v>
      </c>
      <c r="C56" s="262">
        <v>1.7202</v>
      </c>
      <c r="D56" s="262">
        <v>1.89</v>
      </c>
      <c r="E56" s="278"/>
      <c r="F56" s="278"/>
      <c r="G56" s="278"/>
      <c r="H56" s="262">
        <v>7.0330000000000004</v>
      </c>
      <c r="I56" s="262">
        <v>9.5150000000000006</v>
      </c>
      <c r="J56" s="262">
        <v>4.3639999999999999</v>
      </c>
      <c r="K56" s="262"/>
      <c r="L56" s="262"/>
      <c r="M56" s="262"/>
      <c r="N56" s="262">
        <f t="shared" si="8"/>
        <v>7.0330000000000004</v>
      </c>
      <c r="O56" s="262">
        <f t="shared" si="9"/>
        <v>9.5150000000000006</v>
      </c>
      <c r="P56" s="262">
        <f t="shared" si="10"/>
        <v>4.3639999999999999</v>
      </c>
      <c r="Q56" s="278"/>
      <c r="R56" s="128">
        <v>5.42</v>
      </c>
      <c r="S56" s="128">
        <v>2.7850000000000001</v>
      </c>
      <c r="T56" s="128"/>
      <c r="U56" s="278"/>
      <c r="V56" s="278"/>
      <c r="W56" s="262">
        <v>0.27700000000000002</v>
      </c>
      <c r="X56" s="128">
        <v>0.68</v>
      </c>
      <c r="Y56" s="128"/>
      <c r="Z56" s="279"/>
      <c r="AA56" s="262">
        <v>3.3940000000000001</v>
      </c>
      <c r="AB56" s="262">
        <v>2.9666999999999999</v>
      </c>
      <c r="AC56" s="262">
        <v>4.0080999999999998</v>
      </c>
      <c r="AD56" s="278"/>
      <c r="AE56" s="278"/>
      <c r="AF56" s="262">
        <f t="shared" si="4"/>
        <v>3.3940000000000001</v>
      </c>
      <c r="AG56" s="128">
        <v>1.56</v>
      </c>
      <c r="AH56" s="128"/>
      <c r="AI56" s="128"/>
      <c r="AJ56" s="128"/>
      <c r="AK56" s="128"/>
      <c r="AL56" s="128"/>
      <c r="AM56" s="244"/>
      <c r="AN56" s="244"/>
      <c r="AO56" s="244"/>
      <c r="AP56" s="244"/>
      <c r="AQ56" s="244"/>
      <c r="AR56" s="244"/>
      <c r="AS56" s="244"/>
      <c r="AT56" s="244"/>
      <c r="AU56" s="244"/>
      <c r="AV56" s="276">
        <v>0.4</v>
      </c>
      <c r="AW56" s="276"/>
      <c r="AX56" s="276"/>
      <c r="AY56" s="276">
        <v>0.6</v>
      </c>
      <c r="AZ56" s="276">
        <v>0</v>
      </c>
      <c r="BA56" s="276">
        <v>0</v>
      </c>
      <c r="BB56" s="276"/>
      <c r="BC56" s="276">
        <f t="shared" si="0"/>
        <v>1</v>
      </c>
      <c r="BD56" s="269">
        <f t="shared" si="1"/>
        <v>1.0215200000000002</v>
      </c>
      <c r="BE56" s="243">
        <f t="shared" si="5"/>
        <v>1.0215200000000002</v>
      </c>
      <c r="BF56" s="330"/>
      <c r="BG56" s="330"/>
      <c r="BH56" s="330"/>
      <c r="BI56" s="330"/>
      <c r="BJ56" s="330"/>
      <c r="BK56" s="330"/>
      <c r="BL56" s="330"/>
      <c r="BM56" s="330"/>
      <c r="BN56" s="330"/>
      <c r="BO56" s="330"/>
      <c r="BP56" s="330"/>
      <c r="BQ56" s="330"/>
      <c r="CB56" s="243">
        <f t="shared" si="6"/>
        <v>0.48675505653430484</v>
      </c>
      <c r="CC56" s="243"/>
      <c r="CD56" s="243">
        <f t="shared" si="7"/>
        <v>0.48675505653430484</v>
      </c>
      <c r="CG56" s="734">
        <f t="shared" si="3"/>
        <v>2.1383000000000001</v>
      </c>
    </row>
    <row r="57" spans="1:85" x14ac:dyDescent="0.2">
      <c r="A57" s="19">
        <v>29251</v>
      </c>
      <c r="B57" s="262">
        <v>6.2164000000000001</v>
      </c>
      <c r="C57" s="262">
        <v>6.3392999999999997</v>
      </c>
      <c r="D57" s="262">
        <v>5.71</v>
      </c>
      <c r="E57" s="278"/>
      <c r="F57" s="278"/>
      <c r="G57" s="278"/>
      <c r="H57" s="262">
        <v>8.4169999999999998</v>
      </c>
      <c r="I57" s="262">
        <v>9.7189999999999994</v>
      </c>
      <c r="J57" s="262">
        <v>7.0860000000000003</v>
      </c>
      <c r="K57" s="262"/>
      <c r="L57" s="262"/>
      <c r="M57" s="262"/>
      <c r="N57" s="262">
        <f t="shared" si="8"/>
        <v>8.4169999999999998</v>
      </c>
      <c r="O57" s="262">
        <f t="shared" si="9"/>
        <v>9.7189999999999994</v>
      </c>
      <c r="P57" s="262">
        <f t="shared" si="10"/>
        <v>7.0860000000000003</v>
      </c>
      <c r="Q57" s="278"/>
      <c r="R57" s="128">
        <v>7.14</v>
      </c>
      <c r="S57" s="128">
        <v>6.3559999999999999</v>
      </c>
      <c r="T57" s="128"/>
      <c r="U57" s="278"/>
      <c r="V57" s="278"/>
      <c r="W57" s="262">
        <v>-3.0459999999999998</v>
      </c>
      <c r="X57" s="128">
        <v>-1.41</v>
      </c>
      <c r="Y57" s="128"/>
      <c r="Z57" s="279"/>
      <c r="AA57" s="262">
        <v>4.8440000000000003</v>
      </c>
      <c r="AB57" s="262">
        <v>5.2084000000000001</v>
      </c>
      <c r="AC57" s="262">
        <v>4.2026000000000003</v>
      </c>
      <c r="AD57" s="278"/>
      <c r="AE57" s="278"/>
      <c r="AF57" s="262">
        <f t="shared" si="4"/>
        <v>4.8440000000000003</v>
      </c>
      <c r="AG57" s="128">
        <v>2.0211000000000001</v>
      </c>
      <c r="AH57" s="128"/>
      <c r="AI57" s="128"/>
      <c r="AJ57" s="128"/>
      <c r="AK57" s="128"/>
      <c r="AL57" s="128"/>
      <c r="AM57" s="244"/>
      <c r="AN57" s="244"/>
      <c r="AO57" s="244"/>
      <c r="AP57" s="244"/>
      <c r="AQ57" s="244"/>
      <c r="AR57" s="244"/>
      <c r="AS57" s="244"/>
      <c r="AT57" s="244"/>
      <c r="AU57" s="244"/>
      <c r="AV57" s="271">
        <v>0.5</v>
      </c>
      <c r="AW57" s="271"/>
      <c r="AX57" s="271"/>
      <c r="AY57" s="271">
        <v>0.5</v>
      </c>
      <c r="AZ57" s="271">
        <v>0</v>
      </c>
      <c r="BA57" s="271">
        <v>0</v>
      </c>
      <c r="BB57" s="271"/>
      <c r="BC57" s="271">
        <f t="shared" si="0"/>
        <v>1</v>
      </c>
      <c r="BD57" s="272">
        <f t="shared" si="1"/>
        <v>1.5852000000000002</v>
      </c>
      <c r="BE57" s="243">
        <f t="shared" si="5"/>
        <v>1.5852000000000002</v>
      </c>
      <c r="BF57" s="330"/>
      <c r="BG57" s="330"/>
      <c r="BH57" s="330"/>
      <c r="BI57" s="330"/>
      <c r="BJ57" s="330"/>
      <c r="BK57" s="330"/>
      <c r="BL57" s="330"/>
      <c r="BM57" s="330"/>
      <c r="BN57" s="330"/>
      <c r="BO57" s="330"/>
      <c r="BP57" s="330"/>
      <c r="BQ57" s="330"/>
      <c r="CB57" s="243">
        <f t="shared" si="6"/>
        <v>0.48675505653430484</v>
      </c>
      <c r="CC57" s="243"/>
      <c r="CD57" s="243">
        <f t="shared" si="7"/>
        <v>0.48675505653430484</v>
      </c>
      <c r="CG57" s="734">
        <f t="shared" si="3"/>
        <v>6.2164000000000001</v>
      </c>
    </row>
    <row r="58" spans="1:85" x14ac:dyDescent="0.2">
      <c r="A58" s="19">
        <v>29280</v>
      </c>
      <c r="B58" s="262">
        <v>-8.8000000000000005E-3</v>
      </c>
      <c r="C58" s="262">
        <v>9.9000000000000008E-3</v>
      </c>
      <c r="D58" s="262">
        <v>0.68</v>
      </c>
      <c r="E58" s="278"/>
      <c r="F58" s="278"/>
      <c r="G58" s="278"/>
      <c r="H58" s="262">
        <v>-1.798</v>
      </c>
      <c r="I58" s="262">
        <v>-0.16600000000000001</v>
      </c>
      <c r="J58" s="262">
        <v>-3.5030000000000001</v>
      </c>
      <c r="K58" s="262"/>
      <c r="L58" s="262"/>
      <c r="M58" s="262"/>
      <c r="N58" s="262">
        <f t="shared" si="8"/>
        <v>-1.798</v>
      </c>
      <c r="O58" s="262">
        <f t="shared" si="9"/>
        <v>-0.16600000000000001</v>
      </c>
      <c r="P58" s="262">
        <f t="shared" si="10"/>
        <v>-3.5030000000000001</v>
      </c>
      <c r="Q58" s="278"/>
      <c r="R58" s="128">
        <v>-1.97</v>
      </c>
      <c r="S58" s="128">
        <v>0</v>
      </c>
      <c r="T58" s="128"/>
      <c r="U58" s="278"/>
      <c r="V58" s="278"/>
      <c r="W58" s="262">
        <v>-5.915</v>
      </c>
      <c r="X58" s="128">
        <v>-4.83</v>
      </c>
      <c r="Y58" s="128"/>
      <c r="Z58" s="279"/>
      <c r="AA58" s="262">
        <v>-0.40100000000000002</v>
      </c>
      <c r="AB58" s="262">
        <v>-0.1168</v>
      </c>
      <c r="AC58" s="262">
        <v>-0.85440000000000005</v>
      </c>
      <c r="AD58" s="278"/>
      <c r="AE58" s="278"/>
      <c r="AF58" s="262">
        <f t="shared" si="4"/>
        <v>-0.40100000000000002</v>
      </c>
      <c r="AG58" s="128">
        <v>2.0211000000000001</v>
      </c>
      <c r="AH58" s="128"/>
      <c r="AI58" s="128"/>
      <c r="AJ58" s="128"/>
      <c r="AK58" s="128"/>
      <c r="AL58" s="128"/>
      <c r="AM58" s="244"/>
      <c r="AN58" s="244"/>
      <c r="AO58" s="244"/>
      <c r="AP58" s="244"/>
      <c r="AQ58" s="244"/>
      <c r="AR58" s="244"/>
      <c r="AS58" s="244"/>
      <c r="AT58" s="244"/>
      <c r="AU58" s="244"/>
      <c r="AV58" s="271">
        <v>0.5</v>
      </c>
      <c r="AW58" s="271"/>
      <c r="AX58" s="271"/>
      <c r="AY58" s="271">
        <v>0.5</v>
      </c>
      <c r="AZ58" s="271">
        <v>0</v>
      </c>
      <c r="BA58" s="271">
        <v>0</v>
      </c>
      <c r="BB58" s="271"/>
      <c r="BC58" s="271">
        <f t="shared" si="0"/>
        <v>1</v>
      </c>
      <c r="BD58" s="272">
        <f t="shared" si="1"/>
        <v>-2.9619</v>
      </c>
      <c r="BE58" s="243">
        <f t="shared" si="5"/>
        <v>-2.9619</v>
      </c>
      <c r="BF58" s="330"/>
      <c r="BG58" s="330"/>
      <c r="BH58" s="330"/>
      <c r="BI58" s="330"/>
      <c r="BJ58" s="330"/>
      <c r="BK58" s="330"/>
      <c r="BL58" s="330"/>
      <c r="BM58" s="330"/>
      <c r="BN58" s="330"/>
      <c r="BO58" s="330"/>
      <c r="BP58" s="330"/>
      <c r="BQ58" s="330"/>
      <c r="CB58" s="243">
        <f t="shared" si="6"/>
        <v>0.48675505653430484</v>
      </c>
      <c r="CC58" s="243"/>
      <c r="CD58" s="243">
        <f t="shared" si="7"/>
        <v>0.48675505653430484</v>
      </c>
      <c r="CG58" s="734">
        <f t="shared" si="3"/>
        <v>-8.8000000000000005E-3</v>
      </c>
    </row>
    <row r="59" spans="1:85" x14ac:dyDescent="0.2">
      <c r="A59" s="19">
        <v>29311</v>
      </c>
      <c r="B59" s="262">
        <v>-9.7219999999999995</v>
      </c>
      <c r="C59" s="262">
        <v>-9.1788000000000007</v>
      </c>
      <c r="D59" s="262">
        <v>-10.53</v>
      </c>
      <c r="E59" s="278"/>
      <c r="F59" s="278"/>
      <c r="G59" s="278"/>
      <c r="H59" s="262">
        <v>-18.111000000000001</v>
      </c>
      <c r="I59" s="262">
        <v>-20.483000000000001</v>
      </c>
      <c r="J59" s="262">
        <v>-15.52</v>
      </c>
      <c r="K59" s="262"/>
      <c r="L59" s="262"/>
      <c r="M59" s="262"/>
      <c r="N59" s="262">
        <f t="shared" si="8"/>
        <v>-18.111000000000001</v>
      </c>
      <c r="O59" s="262">
        <f t="shared" si="9"/>
        <v>-20.483000000000001</v>
      </c>
      <c r="P59" s="262">
        <f t="shared" si="10"/>
        <v>-15.52</v>
      </c>
      <c r="Q59" s="278"/>
      <c r="R59" s="128">
        <v>-16.55</v>
      </c>
      <c r="S59" s="128">
        <v>-11.91</v>
      </c>
      <c r="T59" s="128"/>
      <c r="U59" s="278"/>
      <c r="V59" s="278"/>
      <c r="W59" s="262">
        <v>0.08</v>
      </c>
      <c r="X59" s="128">
        <v>0.3</v>
      </c>
      <c r="Y59" s="128"/>
      <c r="Z59" s="279"/>
      <c r="AA59" s="262">
        <v>-10.617000000000001</v>
      </c>
      <c r="AB59" s="262">
        <v>-11.630800000000001</v>
      </c>
      <c r="AC59" s="262">
        <v>-9.6969999999999992</v>
      </c>
      <c r="AD59" s="278"/>
      <c r="AE59" s="278"/>
      <c r="AF59" s="262">
        <f t="shared" si="4"/>
        <v>-10.617000000000001</v>
      </c>
      <c r="AG59" s="128">
        <v>2.0211000000000001</v>
      </c>
      <c r="AH59" s="128"/>
      <c r="AI59" s="128"/>
      <c r="AJ59" s="128"/>
      <c r="AK59" s="128"/>
      <c r="AL59" s="128"/>
      <c r="AM59" s="244"/>
      <c r="AN59" s="244"/>
      <c r="AO59" s="244"/>
      <c r="AP59" s="244"/>
      <c r="AQ59" s="244"/>
      <c r="AR59" s="244"/>
      <c r="AS59" s="244"/>
      <c r="AT59" s="244"/>
      <c r="AU59" s="244"/>
      <c r="AV59" s="271">
        <v>0.5</v>
      </c>
      <c r="AW59" s="271"/>
      <c r="AX59" s="271"/>
      <c r="AY59" s="271">
        <v>0.5</v>
      </c>
      <c r="AZ59" s="271">
        <v>0</v>
      </c>
      <c r="BA59" s="271">
        <v>0</v>
      </c>
      <c r="BB59" s="271"/>
      <c r="BC59" s="271">
        <f t="shared" si="0"/>
        <v>1</v>
      </c>
      <c r="BD59" s="272">
        <f t="shared" si="1"/>
        <v>-4.8209999999999997</v>
      </c>
      <c r="BE59" s="243">
        <f t="shared" si="5"/>
        <v>-4.8209999999999997</v>
      </c>
      <c r="BF59" s="330"/>
      <c r="BG59" s="330"/>
      <c r="BH59" s="330"/>
      <c r="BI59" s="330"/>
      <c r="BJ59" s="330"/>
      <c r="BK59" s="330"/>
      <c r="BL59" s="330"/>
      <c r="BM59" s="330"/>
      <c r="BN59" s="330"/>
      <c r="BO59" s="330"/>
      <c r="BP59" s="330"/>
      <c r="BQ59" s="330"/>
      <c r="CB59" s="243">
        <f t="shared" si="6"/>
        <v>0.48675505653430484</v>
      </c>
      <c r="CC59" s="243"/>
      <c r="CD59" s="243">
        <f t="shared" si="7"/>
        <v>0.48675505653430484</v>
      </c>
      <c r="CG59" s="734">
        <f t="shared" si="3"/>
        <v>-9.7219999999999995</v>
      </c>
    </row>
    <row r="60" spans="1:85" x14ac:dyDescent="0.2">
      <c r="A60" s="19">
        <v>29341</v>
      </c>
      <c r="B60" s="262">
        <v>4.6234000000000002</v>
      </c>
      <c r="C60" s="262">
        <v>2.9186000000000001</v>
      </c>
      <c r="D60" s="262">
        <v>5.77</v>
      </c>
      <c r="E60" s="278"/>
      <c r="F60" s="278"/>
      <c r="G60" s="278"/>
      <c r="H60" s="262">
        <v>6.2709999999999999</v>
      </c>
      <c r="I60" s="262">
        <v>6.3390000000000004</v>
      </c>
      <c r="J60" s="262">
        <v>6.2140000000000004</v>
      </c>
      <c r="K60" s="262"/>
      <c r="L60" s="262"/>
      <c r="M60" s="262"/>
      <c r="N60" s="262">
        <f t="shared" si="8"/>
        <v>6.2709999999999999</v>
      </c>
      <c r="O60" s="262">
        <f t="shared" si="9"/>
        <v>6.3390000000000004</v>
      </c>
      <c r="P60" s="262">
        <f t="shared" si="10"/>
        <v>6.2140000000000004</v>
      </c>
      <c r="Q60" s="278"/>
      <c r="R60" s="128">
        <v>6.56</v>
      </c>
      <c r="S60" s="128">
        <v>5.0209999999999999</v>
      </c>
      <c r="T60" s="128"/>
      <c r="U60" s="278"/>
      <c r="V60" s="278"/>
      <c r="W60" s="262">
        <v>11.337</v>
      </c>
      <c r="X60" s="128">
        <v>9.99</v>
      </c>
      <c r="Y60" s="128"/>
      <c r="Z60" s="279"/>
      <c r="AA60" s="262">
        <v>9.4619999999999997</v>
      </c>
      <c r="AB60" s="262">
        <v>9.4609000000000005</v>
      </c>
      <c r="AC60" s="262">
        <v>9.4061000000000003</v>
      </c>
      <c r="AD60" s="278"/>
      <c r="AE60" s="278"/>
      <c r="AF60" s="262">
        <f t="shared" si="4"/>
        <v>9.4619999999999997</v>
      </c>
      <c r="AG60" s="128">
        <v>1.8121</v>
      </c>
      <c r="AH60" s="128"/>
      <c r="AI60" s="128"/>
      <c r="AJ60" s="128"/>
      <c r="AK60" s="128"/>
      <c r="AL60" s="128"/>
      <c r="AM60" s="244"/>
      <c r="AN60" s="244"/>
      <c r="AO60" s="244"/>
      <c r="AP60" s="244"/>
      <c r="AQ60" s="244"/>
      <c r="AR60" s="244"/>
      <c r="AS60" s="244"/>
      <c r="AT60" s="244"/>
      <c r="AU60" s="244"/>
      <c r="AV60" s="271">
        <v>0.5</v>
      </c>
      <c r="AW60" s="271"/>
      <c r="AX60" s="271"/>
      <c r="AY60" s="271">
        <v>0.5</v>
      </c>
      <c r="AZ60" s="271">
        <v>0</v>
      </c>
      <c r="BA60" s="271">
        <v>0</v>
      </c>
      <c r="BB60" s="271"/>
      <c r="BC60" s="271">
        <f t="shared" si="0"/>
        <v>1</v>
      </c>
      <c r="BD60" s="272">
        <f t="shared" si="1"/>
        <v>7.9802</v>
      </c>
      <c r="BE60" s="243">
        <f t="shared" si="5"/>
        <v>7.9802</v>
      </c>
      <c r="BF60" s="330"/>
      <c r="BG60" s="330"/>
      <c r="BH60" s="330"/>
      <c r="BI60" s="330"/>
      <c r="BJ60" s="330"/>
      <c r="BK60" s="330"/>
      <c r="BL60" s="330"/>
      <c r="BM60" s="330"/>
      <c r="BN60" s="330"/>
      <c r="BO60" s="330"/>
      <c r="BP60" s="330"/>
      <c r="BQ60" s="330"/>
      <c r="CB60" s="243">
        <f t="shared" si="6"/>
        <v>0.48675505653430484</v>
      </c>
      <c r="CC60" s="243"/>
      <c r="CD60" s="243">
        <f t="shared" si="7"/>
        <v>0.48675505653430484</v>
      </c>
      <c r="CG60" s="734">
        <f t="shared" si="3"/>
        <v>4.6234000000000002</v>
      </c>
    </row>
    <row r="61" spans="1:85" x14ac:dyDescent="0.2">
      <c r="A61" s="19">
        <v>29372</v>
      </c>
      <c r="B61" s="262">
        <v>5.1463000000000001</v>
      </c>
      <c r="C61" s="262">
        <v>5.3109999999999999</v>
      </c>
      <c r="D61" s="262">
        <v>5.86</v>
      </c>
      <c r="E61" s="278"/>
      <c r="F61" s="278"/>
      <c r="G61" s="278"/>
      <c r="H61" s="262">
        <v>8.34</v>
      </c>
      <c r="I61" s="262">
        <v>8.2710000000000008</v>
      </c>
      <c r="J61" s="262">
        <v>8.4670000000000005</v>
      </c>
      <c r="K61" s="262"/>
      <c r="L61" s="262"/>
      <c r="M61" s="262"/>
      <c r="N61" s="262">
        <f t="shared" si="8"/>
        <v>8.34</v>
      </c>
      <c r="O61" s="262">
        <f t="shared" si="9"/>
        <v>8.2710000000000008</v>
      </c>
      <c r="P61" s="262">
        <f t="shared" si="10"/>
        <v>8.4670000000000005</v>
      </c>
      <c r="Q61" s="278"/>
      <c r="R61" s="128">
        <v>8.27</v>
      </c>
      <c r="S61" s="128">
        <v>6.0970000000000004</v>
      </c>
      <c r="T61" s="128"/>
      <c r="U61" s="278"/>
      <c r="V61" s="278"/>
      <c r="W61" s="262">
        <v>4.7149999999999999</v>
      </c>
      <c r="X61" s="128">
        <v>4.07</v>
      </c>
      <c r="Y61" s="128"/>
      <c r="Z61" s="279"/>
      <c r="AA61" s="262">
        <v>4.6680000000000001</v>
      </c>
      <c r="AB61" s="262">
        <v>5.0201000000000002</v>
      </c>
      <c r="AC61" s="262">
        <v>4.1614000000000004</v>
      </c>
      <c r="AD61" s="278"/>
      <c r="AE61" s="278"/>
      <c r="AF61" s="262">
        <f t="shared" si="4"/>
        <v>4.6680000000000001</v>
      </c>
      <c r="AG61" s="128">
        <v>1.8121</v>
      </c>
      <c r="AH61" s="128"/>
      <c r="AI61" s="128"/>
      <c r="AJ61" s="128"/>
      <c r="AK61" s="128"/>
      <c r="AL61" s="128"/>
      <c r="AM61" s="244"/>
      <c r="AN61" s="244"/>
      <c r="AO61" s="244"/>
      <c r="AP61" s="244"/>
      <c r="AQ61" s="244"/>
      <c r="AR61" s="244"/>
      <c r="AS61" s="244"/>
      <c r="AT61" s="244"/>
      <c r="AU61" s="244"/>
      <c r="AV61" s="271">
        <v>0.5</v>
      </c>
      <c r="AW61" s="271"/>
      <c r="AX61" s="271"/>
      <c r="AY61" s="271">
        <v>0.5</v>
      </c>
      <c r="AZ61" s="271">
        <v>0</v>
      </c>
      <c r="BA61" s="271">
        <v>0</v>
      </c>
      <c r="BB61" s="271"/>
      <c r="BC61" s="271">
        <f t="shared" si="0"/>
        <v>1</v>
      </c>
      <c r="BD61" s="272">
        <f t="shared" si="1"/>
        <v>4.93065</v>
      </c>
      <c r="BE61" s="243">
        <f t="shared" si="5"/>
        <v>4.93065</v>
      </c>
      <c r="BF61" s="330"/>
      <c r="BG61" s="330"/>
      <c r="BH61" s="330"/>
      <c r="BI61" s="330"/>
      <c r="BJ61" s="330"/>
      <c r="BK61" s="330"/>
      <c r="BL61" s="330"/>
      <c r="BM61" s="330"/>
      <c r="BN61" s="330"/>
      <c r="BO61" s="330"/>
      <c r="BP61" s="330"/>
      <c r="BQ61" s="330"/>
      <c r="CB61" s="243">
        <f t="shared" si="6"/>
        <v>0.48675505653430484</v>
      </c>
      <c r="CC61" s="243"/>
      <c r="CD61" s="243">
        <f t="shared" si="7"/>
        <v>0.48675505653430484</v>
      </c>
      <c r="CG61" s="734">
        <f t="shared" si="3"/>
        <v>5.1463000000000001</v>
      </c>
    </row>
    <row r="62" spans="1:85" x14ac:dyDescent="0.2">
      <c r="A62" s="19">
        <v>29402</v>
      </c>
      <c r="B62" s="262">
        <v>3.1642999999999999</v>
      </c>
      <c r="C62" s="262">
        <v>3.5497999999999998</v>
      </c>
      <c r="D62" s="262">
        <v>2.3199999999999998</v>
      </c>
      <c r="E62" s="278"/>
      <c r="F62" s="278"/>
      <c r="G62" s="278"/>
      <c r="H62" s="262">
        <v>4.399</v>
      </c>
      <c r="I62" s="262">
        <v>5.1879999999999997</v>
      </c>
      <c r="J62" s="262">
        <v>3.5670000000000002</v>
      </c>
      <c r="K62" s="262"/>
      <c r="L62" s="262"/>
      <c r="M62" s="262"/>
      <c r="N62" s="262">
        <f t="shared" si="8"/>
        <v>4.399</v>
      </c>
      <c r="O62" s="262">
        <f t="shared" si="9"/>
        <v>5.1879999999999997</v>
      </c>
      <c r="P62" s="262">
        <f t="shared" si="10"/>
        <v>3.5670000000000002</v>
      </c>
      <c r="Q62" s="278"/>
      <c r="R62" s="128">
        <v>4.46</v>
      </c>
      <c r="S62" s="128">
        <v>3.5790000000000002</v>
      </c>
      <c r="T62" s="128"/>
      <c r="U62" s="278"/>
      <c r="V62" s="278"/>
      <c r="W62" s="262">
        <v>1.885</v>
      </c>
      <c r="X62" s="128">
        <v>1.4</v>
      </c>
      <c r="Y62" s="128"/>
      <c r="Z62" s="279"/>
      <c r="AA62" s="262">
        <v>6.3869999999999996</v>
      </c>
      <c r="AB62" s="262">
        <v>6.0774999999999997</v>
      </c>
      <c r="AC62" s="262">
        <v>6.7119</v>
      </c>
      <c r="AD62" s="278"/>
      <c r="AE62" s="278"/>
      <c r="AF62" s="262">
        <f t="shared" si="4"/>
        <v>6.3869999999999996</v>
      </c>
      <c r="AG62" s="128">
        <v>1.8121</v>
      </c>
      <c r="AH62" s="128"/>
      <c r="AI62" s="128"/>
      <c r="AJ62" s="128"/>
      <c r="AK62" s="128"/>
      <c r="AL62" s="128"/>
      <c r="AM62" s="244"/>
      <c r="AN62" s="244"/>
      <c r="AO62" s="244"/>
      <c r="AP62" s="244"/>
      <c r="AQ62" s="244"/>
      <c r="AR62" s="244"/>
      <c r="AS62" s="244"/>
      <c r="AT62" s="244"/>
      <c r="AU62" s="244"/>
      <c r="AV62" s="271">
        <v>0.5</v>
      </c>
      <c r="AW62" s="271"/>
      <c r="AX62" s="271"/>
      <c r="AY62" s="271">
        <v>0.5</v>
      </c>
      <c r="AZ62" s="271">
        <v>0</v>
      </c>
      <c r="BA62" s="271">
        <v>0</v>
      </c>
      <c r="BB62" s="271"/>
      <c r="BC62" s="271">
        <f t="shared" si="0"/>
        <v>1</v>
      </c>
      <c r="BD62" s="272">
        <f t="shared" si="1"/>
        <v>2.5246499999999998</v>
      </c>
      <c r="BE62" s="243">
        <f t="shared" si="5"/>
        <v>2.5246499999999998</v>
      </c>
      <c r="BF62" s="330"/>
      <c r="BG62" s="330"/>
      <c r="BH62" s="330"/>
      <c r="BI62" s="330"/>
      <c r="BJ62" s="330"/>
      <c r="BK62" s="330"/>
      <c r="BL62" s="330"/>
      <c r="BM62" s="330"/>
      <c r="BN62" s="330"/>
      <c r="BO62" s="330"/>
      <c r="BP62" s="330"/>
      <c r="BQ62" s="330"/>
      <c r="CB62" s="243">
        <f t="shared" si="6"/>
        <v>0.48675505653430484</v>
      </c>
      <c r="CC62" s="243"/>
      <c r="CD62" s="243">
        <f t="shared" si="7"/>
        <v>0.48675505653430484</v>
      </c>
      <c r="CG62" s="734">
        <f t="shared" si="3"/>
        <v>3.1642999999999999</v>
      </c>
    </row>
    <row r="63" spans="1:85" x14ac:dyDescent="0.2">
      <c r="A63" s="19">
        <v>29433</v>
      </c>
      <c r="B63" s="262">
        <v>6.9589999999999996</v>
      </c>
      <c r="C63" s="262">
        <v>7.8902000000000001</v>
      </c>
      <c r="D63" s="262">
        <v>5.37</v>
      </c>
      <c r="E63" s="278"/>
      <c r="F63" s="278"/>
      <c r="G63" s="278"/>
      <c r="H63" s="262">
        <v>11.224</v>
      </c>
      <c r="I63" s="262">
        <v>13.073</v>
      </c>
      <c r="J63" s="262">
        <v>9.3369999999999997</v>
      </c>
      <c r="K63" s="262"/>
      <c r="L63" s="262"/>
      <c r="M63" s="262"/>
      <c r="N63" s="262">
        <f t="shared" si="8"/>
        <v>11.224</v>
      </c>
      <c r="O63" s="262">
        <f t="shared" si="9"/>
        <v>13.073</v>
      </c>
      <c r="P63" s="262">
        <f t="shared" si="10"/>
        <v>9.3369999999999997</v>
      </c>
      <c r="Q63" s="278"/>
      <c r="R63" s="128">
        <v>10.06</v>
      </c>
      <c r="S63" s="128">
        <v>7.0350000000000001</v>
      </c>
      <c r="T63" s="128"/>
      <c r="U63" s="278"/>
      <c r="V63" s="278"/>
      <c r="W63" s="262">
        <v>-2.0680000000000001</v>
      </c>
      <c r="X63" s="128">
        <v>-1.1599999999999999</v>
      </c>
      <c r="Y63" s="128"/>
      <c r="Z63" s="279"/>
      <c r="AA63" s="262">
        <v>-0.495</v>
      </c>
      <c r="AB63" s="262">
        <v>-0.50370000000000004</v>
      </c>
      <c r="AC63" s="262">
        <v>-0.60370000000000001</v>
      </c>
      <c r="AD63" s="278"/>
      <c r="AE63" s="278"/>
      <c r="AF63" s="262">
        <f t="shared" si="4"/>
        <v>-0.495</v>
      </c>
      <c r="AG63" s="128">
        <v>0.77969999999999995</v>
      </c>
      <c r="AH63" s="128"/>
      <c r="AI63" s="128"/>
      <c r="AJ63" s="128"/>
      <c r="AK63" s="128"/>
      <c r="AL63" s="128"/>
      <c r="AM63" s="244"/>
      <c r="AN63" s="244"/>
      <c r="AO63" s="244"/>
      <c r="AP63" s="244"/>
      <c r="AQ63" s="244"/>
      <c r="AR63" s="244"/>
      <c r="AS63" s="244"/>
      <c r="AT63" s="244"/>
      <c r="AU63" s="244"/>
      <c r="AV63" s="271">
        <v>0.5</v>
      </c>
      <c r="AW63" s="271"/>
      <c r="AX63" s="271"/>
      <c r="AY63" s="271">
        <v>0.5</v>
      </c>
      <c r="AZ63" s="271">
        <v>0</v>
      </c>
      <c r="BA63" s="271">
        <v>0</v>
      </c>
      <c r="BB63" s="271"/>
      <c r="BC63" s="271">
        <f t="shared" si="0"/>
        <v>1</v>
      </c>
      <c r="BD63" s="272">
        <f t="shared" si="1"/>
        <v>2.4455</v>
      </c>
      <c r="BE63" s="243">
        <f t="shared" si="5"/>
        <v>2.4455</v>
      </c>
      <c r="BF63" s="330"/>
      <c r="BG63" s="330"/>
      <c r="BH63" s="330"/>
      <c r="BI63" s="330"/>
      <c r="BJ63" s="330"/>
      <c r="BK63" s="330"/>
      <c r="BL63" s="330"/>
      <c r="BM63" s="330"/>
      <c r="BN63" s="330"/>
      <c r="BO63" s="330"/>
      <c r="BP63" s="330"/>
      <c r="BQ63" s="330"/>
      <c r="CB63" s="243">
        <f>((1+0.07)^(1/12)-1)*100</f>
        <v>0.56541453874052738</v>
      </c>
      <c r="CC63" s="235">
        <f>(1+CB63/100)^12-1</f>
        <v>7.0000000000000062E-2</v>
      </c>
      <c r="CD63" s="243">
        <f t="shared" si="7"/>
        <v>0.48675505653430484</v>
      </c>
      <c r="CG63" s="734">
        <f t="shared" si="3"/>
        <v>6.9589999999999996</v>
      </c>
    </row>
    <row r="64" spans="1:85" x14ac:dyDescent="0.2">
      <c r="A64" s="19">
        <v>29464</v>
      </c>
      <c r="B64" s="262">
        <v>1.0108999999999999</v>
      </c>
      <c r="C64" s="262">
        <v>1.1304000000000001</v>
      </c>
      <c r="D64" s="262">
        <v>1.48</v>
      </c>
      <c r="E64" s="278"/>
      <c r="F64" s="278"/>
      <c r="G64" s="278"/>
      <c r="H64" s="262">
        <v>6.8959999999999999</v>
      </c>
      <c r="I64" s="262">
        <v>8.3109999999999999</v>
      </c>
      <c r="J64" s="262">
        <v>5.2249999999999996</v>
      </c>
      <c r="K64" s="262"/>
      <c r="L64" s="262"/>
      <c r="M64" s="262"/>
      <c r="N64" s="262">
        <f t="shared" si="8"/>
        <v>6.8959999999999999</v>
      </c>
      <c r="O64" s="262">
        <f t="shared" si="9"/>
        <v>8.3109999999999999</v>
      </c>
      <c r="P64" s="262">
        <f t="shared" si="10"/>
        <v>5.2249999999999996</v>
      </c>
      <c r="Q64" s="278"/>
      <c r="R64" s="128">
        <v>5.16</v>
      </c>
      <c r="S64" s="128">
        <v>2.2509999999999999</v>
      </c>
      <c r="T64" s="128"/>
      <c r="U64" s="278"/>
      <c r="V64" s="278"/>
      <c r="W64" s="262">
        <v>-3.58</v>
      </c>
      <c r="X64" s="128">
        <v>-3.18</v>
      </c>
      <c r="Y64" s="128"/>
      <c r="Z64" s="279"/>
      <c r="AA64" s="262">
        <v>3.4740000000000002</v>
      </c>
      <c r="AB64" s="262">
        <v>3.7210000000000001</v>
      </c>
      <c r="AC64" s="262">
        <v>3.2362000000000002</v>
      </c>
      <c r="AD64" s="278"/>
      <c r="AE64" s="278"/>
      <c r="AF64" s="262">
        <f t="shared" si="4"/>
        <v>3.4740000000000002</v>
      </c>
      <c r="AG64" s="128">
        <v>0.77969999999999995</v>
      </c>
      <c r="AH64" s="128"/>
      <c r="AI64" s="128"/>
      <c r="AJ64" s="128"/>
      <c r="AK64" s="128"/>
      <c r="AL64" s="128"/>
      <c r="AM64" s="244"/>
      <c r="AN64" s="244"/>
      <c r="AO64" s="244"/>
      <c r="AP64" s="244"/>
      <c r="AQ64" s="244"/>
      <c r="AR64" s="244"/>
      <c r="AS64" s="244"/>
      <c r="AT64" s="244"/>
      <c r="AU64" s="244"/>
      <c r="AV64" s="271">
        <v>0.5</v>
      </c>
      <c r="AW64" s="271"/>
      <c r="AX64" s="271"/>
      <c r="AY64" s="271">
        <v>0.5</v>
      </c>
      <c r="AZ64" s="271">
        <v>0</v>
      </c>
      <c r="BA64" s="271">
        <v>0</v>
      </c>
      <c r="BB64" s="271"/>
      <c r="BC64" s="271">
        <f t="shared" si="0"/>
        <v>1</v>
      </c>
      <c r="BD64" s="272">
        <f t="shared" si="1"/>
        <v>-1.2845500000000001</v>
      </c>
      <c r="BE64" s="243">
        <f t="shared" si="5"/>
        <v>-1.2845500000000001</v>
      </c>
      <c r="BF64" s="330"/>
      <c r="BG64" s="330"/>
      <c r="BH64" s="330"/>
      <c r="BI64" s="330"/>
      <c r="BJ64" s="330"/>
      <c r="BK64" s="330"/>
      <c r="BL64" s="330"/>
      <c r="BM64" s="330"/>
      <c r="BN64" s="330"/>
      <c r="BO64" s="330"/>
      <c r="BP64" s="330"/>
      <c r="BQ64" s="330"/>
      <c r="CB64" s="243">
        <f t="shared" ref="CB64:CB98" si="11">((1+0.07)^(1/12)-1)*100</f>
        <v>0.56541453874052738</v>
      </c>
      <c r="CC64" s="243"/>
      <c r="CD64" s="243">
        <f t="shared" si="7"/>
        <v>0.48675505653430484</v>
      </c>
      <c r="CG64" s="734">
        <f t="shared" si="3"/>
        <v>1.0108999999999999</v>
      </c>
    </row>
    <row r="65" spans="1:85" x14ac:dyDescent="0.2">
      <c r="A65" s="19">
        <v>29494</v>
      </c>
      <c r="B65" s="262">
        <v>2.9417</v>
      </c>
      <c r="C65" s="262">
        <v>4.3291000000000004</v>
      </c>
      <c r="D65" s="262">
        <v>0.94</v>
      </c>
      <c r="E65" s="278"/>
      <c r="F65" s="278"/>
      <c r="G65" s="278"/>
      <c r="H65" s="262">
        <v>3.1560000000000001</v>
      </c>
      <c r="I65" s="262">
        <v>5.0629999999999997</v>
      </c>
      <c r="J65" s="262">
        <v>1.359</v>
      </c>
      <c r="K65" s="262"/>
      <c r="L65" s="262"/>
      <c r="M65" s="262"/>
      <c r="N65" s="262">
        <f t="shared" si="8"/>
        <v>3.1560000000000001</v>
      </c>
      <c r="O65" s="262">
        <f t="shared" si="9"/>
        <v>5.0629999999999997</v>
      </c>
      <c r="P65" s="262">
        <f t="shared" si="10"/>
        <v>1.359</v>
      </c>
      <c r="Q65" s="278"/>
      <c r="R65" s="128">
        <v>3.19</v>
      </c>
      <c r="S65" s="128">
        <v>2.956</v>
      </c>
      <c r="T65" s="128"/>
      <c r="U65" s="278"/>
      <c r="V65" s="278"/>
      <c r="W65" s="262">
        <v>-1.0469999999999999</v>
      </c>
      <c r="X65" s="128">
        <v>-0.33</v>
      </c>
      <c r="Y65" s="128"/>
      <c r="Z65" s="279"/>
      <c r="AA65" s="262">
        <v>3.5019999999999998</v>
      </c>
      <c r="AB65" s="262">
        <v>4.7815000000000003</v>
      </c>
      <c r="AC65" s="262">
        <v>1.9771000000000001</v>
      </c>
      <c r="AD65" s="278"/>
      <c r="AE65" s="278"/>
      <c r="AF65" s="262">
        <f t="shared" si="4"/>
        <v>3.5019999999999998</v>
      </c>
      <c r="AG65" s="128">
        <v>0.77969999999999995</v>
      </c>
      <c r="AH65" s="128"/>
      <c r="AI65" s="128"/>
      <c r="AJ65" s="128"/>
      <c r="AK65" s="128"/>
      <c r="AL65" s="128"/>
      <c r="AM65" s="244"/>
      <c r="AN65" s="244"/>
      <c r="AO65" s="244"/>
      <c r="AP65" s="244"/>
      <c r="AQ65" s="244"/>
      <c r="AR65" s="244"/>
      <c r="AS65" s="244"/>
      <c r="AT65" s="244"/>
      <c r="AU65" s="244"/>
      <c r="AV65" s="271">
        <v>0.5</v>
      </c>
      <c r="AW65" s="271"/>
      <c r="AX65" s="271"/>
      <c r="AY65" s="271">
        <v>0.5</v>
      </c>
      <c r="AZ65" s="271">
        <v>0</v>
      </c>
      <c r="BA65" s="271">
        <v>0</v>
      </c>
      <c r="BB65" s="271"/>
      <c r="BC65" s="271">
        <f t="shared" si="0"/>
        <v>1</v>
      </c>
      <c r="BD65" s="272">
        <f t="shared" si="1"/>
        <v>0.94735000000000003</v>
      </c>
      <c r="BE65" s="243">
        <f t="shared" si="5"/>
        <v>0.94735000000000003</v>
      </c>
      <c r="BF65" s="330"/>
      <c r="BG65" s="330"/>
      <c r="BH65" s="330"/>
      <c r="BI65" s="330"/>
      <c r="BJ65" s="330"/>
      <c r="BK65" s="330"/>
      <c r="BL65" s="330"/>
      <c r="BM65" s="330"/>
      <c r="BN65" s="330"/>
      <c r="BO65" s="330"/>
      <c r="BP65" s="330"/>
      <c r="BQ65" s="330"/>
      <c r="CB65" s="243">
        <f t="shared" si="11"/>
        <v>0.56541453874052738</v>
      </c>
      <c r="CC65" s="243"/>
      <c r="CD65" s="243">
        <f t="shared" si="7"/>
        <v>0.48675505653430484</v>
      </c>
      <c r="CG65" s="734">
        <f t="shared" si="3"/>
        <v>2.9417</v>
      </c>
    </row>
    <row r="66" spans="1:85" x14ac:dyDescent="0.2">
      <c r="A66" s="19">
        <v>29525</v>
      </c>
      <c r="B66" s="262">
        <v>2.0245000000000002</v>
      </c>
      <c r="C66" s="262">
        <v>3.4196</v>
      </c>
      <c r="D66" s="262">
        <v>-0.01</v>
      </c>
      <c r="E66" s="278"/>
      <c r="F66" s="278"/>
      <c r="G66" s="278"/>
      <c r="H66" s="262">
        <v>4.0659999999999998</v>
      </c>
      <c r="I66" s="262">
        <v>6.133</v>
      </c>
      <c r="J66" s="262">
        <v>1.952</v>
      </c>
      <c r="K66" s="262"/>
      <c r="L66" s="262"/>
      <c r="M66" s="262"/>
      <c r="N66" s="262">
        <f t="shared" si="8"/>
        <v>4.0659999999999998</v>
      </c>
      <c r="O66" s="262">
        <f t="shared" si="9"/>
        <v>6.133</v>
      </c>
      <c r="P66" s="262">
        <f t="shared" si="10"/>
        <v>1.952</v>
      </c>
      <c r="Q66" s="278"/>
      <c r="R66" s="128">
        <v>2.2599999999999998</v>
      </c>
      <c r="S66" s="128">
        <v>2.2599999999999998</v>
      </c>
      <c r="T66" s="128"/>
      <c r="U66" s="278"/>
      <c r="V66" s="278"/>
      <c r="W66" s="262">
        <v>-1.1459999999999999</v>
      </c>
      <c r="X66" s="128">
        <v>-1.03</v>
      </c>
      <c r="Y66" s="128"/>
      <c r="Z66" s="279"/>
      <c r="AA66" s="262">
        <v>4.2119999999999997</v>
      </c>
      <c r="AB66" s="262">
        <v>5.6116000000000001</v>
      </c>
      <c r="AC66" s="262">
        <v>2.573</v>
      </c>
      <c r="AD66" s="278"/>
      <c r="AE66" s="278"/>
      <c r="AF66" s="262">
        <f t="shared" si="4"/>
        <v>4.2119999999999997</v>
      </c>
      <c r="AG66" s="128">
        <v>1.2463</v>
      </c>
      <c r="AH66" s="128"/>
      <c r="AI66" s="128"/>
      <c r="AJ66" s="128"/>
      <c r="AK66" s="128"/>
      <c r="AL66" s="128"/>
      <c r="AM66" s="244"/>
      <c r="AN66" s="244"/>
      <c r="AO66" s="244"/>
      <c r="AP66" s="244"/>
      <c r="AQ66" s="244"/>
      <c r="AR66" s="244"/>
      <c r="AS66" s="244"/>
      <c r="AT66" s="244"/>
      <c r="AU66" s="244"/>
      <c r="AV66" s="271">
        <v>0.5</v>
      </c>
      <c r="AW66" s="271"/>
      <c r="AX66" s="271"/>
      <c r="AY66" s="271">
        <v>0.5</v>
      </c>
      <c r="AZ66" s="271">
        <v>0</v>
      </c>
      <c r="BA66" s="271">
        <v>0</v>
      </c>
      <c r="BB66" s="271"/>
      <c r="BC66" s="271">
        <f t="shared" si="0"/>
        <v>1</v>
      </c>
      <c r="BD66" s="272">
        <f t="shared" si="1"/>
        <v>0.43925000000000014</v>
      </c>
      <c r="BE66" s="243">
        <f t="shared" si="5"/>
        <v>0.43925000000000014</v>
      </c>
      <c r="BF66" s="330"/>
      <c r="BG66" s="330"/>
      <c r="BH66" s="330"/>
      <c r="BI66" s="330"/>
      <c r="BJ66" s="330"/>
      <c r="BK66" s="330"/>
      <c r="BL66" s="330"/>
      <c r="BM66" s="330"/>
      <c r="BN66" s="330"/>
      <c r="BO66" s="330"/>
      <c r="BP66" s="330"/>
      <c r="BQ66" s="330"/>
      <c r="CB66" s="243">
        <f t="shared" si="11"/>
        <v>0.56541453874052738</v>
      </c>
      <c r="CC66" s="243"/>
      <c r="CD66" s="243">
        <f t="shared" si="7"/>
        <v>0.48675505653430484</v>
      </c>
      <c r="CG66" s="734">
        <f t="shared" si="3"/>
        <v>2.0245000000000002</v>
      </c>
    </row>
    <row r="67" spans="1:85" x14ac:dyDescent="0.2">
      <c r="A67" s="19">
        <v>29555</v>
      </c>
      <c r="B67" s="262">
        <v>10.653499999999999</v>
      </c>
      <c r="C67" s="262">
        <v>14.251300000000001</v>
      </c>
      <c r="D67" s="262">
        <v>6.44</v>
      </c>
      <c r="E67" s="278"/>
      <c r="F67" s="278"/>
      <c r="G67" s="278"/>
      <c r="H67" s="262">
        <v>7.2990000000000004</v>
      </c>
      <c r="I67" s="262">
        <v>11.288</v>
      </c>
      <c r="J67" s="262">
        <v>2.915</v>
      </c>
      <c r="K67" s="262"/>
      <c r="L67" s="262"/>
      <c r="M67" s="262"/>
      <c r="N67" s="262">
        <f t="shared" si="8"/>
        <v>7.2990000000000004</v>
      </c>
      <c r="O67" s="262">
        <f t="shared" si="9"/>
        <v>11.288</v>
      </c>
      <c r="P67" s="262">
        <f t="shared" si="10"/>
        <v>2.915</v>
      </c>
      <c r="Q67" s="278"/>
      <c r="R67" s="128">
        <v>7.1</v>
      </c>
      <c r="S67" s="128">
        <v>10.37</v>
      </c>
      <c r="T67" s="128"/>
      <c r="U67" s="278"/>
      <c r="V67" s="278"/>
      <c r="W67" s="262">
        <v>-0.187</v>
      </c>
      <c r="X67" s="128">
        <v>-0.27</v>
      </c>
      <c r="Y67" s="128"/>
      <c r="Z67" s="279"/>
      <c r="AA67" s="262">
        <v>-2.0169999999999999</v>
      </c>
      <c r="AB67" s="262">
        <v>-1.2169000000000001</v>
      </c>
      <c r="AC67" s="262">
        <v>-2.9577</v>
      </c>
      <c r="AD67" s="278"/>
      <c r="AE67" s="278"/>
      <c r="AF67" s="262">
        <f t="shared" si="4"/>
        <v>-2.0169999999999999</v>
      </c>
      <c r="AG67" s="128">
        <v>1.2463</v>
      </c>
      <c r="AH67" s="128"/>
      <c r="AI67" s="128"/>
      <c r="AJ67" s="128"/>
      <c r="AK67" s="128"/>
      <c r="AL67" s="128"/>
      <c r="AM67" s="244"/>
      <c r="AN67" s="244"/>
      <c r="AO67" s="244"/>
      <c r="AP67" s="244"/>
      <c r="AQ67" s="244"/>
      <c r="AR67" s="244"/>
      <c r="AS67" s="244"/>
      <c r="AT67" s="244"/>
      <c r="AU67" s="244"/>
      <c r="AV67" s="271">
        <v>0.5</v>
      </c>
      <c r="AW67" s="271"/>
      <c r="AX67" s="271"/>
      <c r="AY67" s="271">
        <v>0.5</v>
      </c>
      <c r="AZ67" s="271">
        <v>0</v>
      </c>
      <c r="BA67" s="271">
        <v>0</v>
      </c>
      <c r="BB67" s="271"/>
      <c r="BC67" s="271">
        <f t="shared" ref="BC67:BC130" si="12">SUM(AV67:BA67)</f>
        <v>1</v>
      </c>
      <c r="BD67" s="272">
        <f t="shared" ref="BD67:BD130" si="13">(B67*AV67)+(W67*AY67)+(AA67*AZ67)+(U67*BA67)</f>
        <v>5.23325</v>
      </c>
      <c r="BE67" s="243">
        <f t="shared" si="5"/>
        <v>5.23325</v>
      </c>
      <c r="BF67" s="330"/>
      <c r="BG67" s="330"/>
      <c r="BH67" s="330"/>
      <c r="BI67" s="330"/>
      <c r="BJ67" s="330"/>
      <c r="BK67" s="330"/>
      <c r="BL67" s="330"/>
      <c r="BM67" s="330"/>
      <c r="BN67" s="330"/>
      <c r="BO67" s="330"/>
      <c r="BP67" s="330"/>
      <c r="BQ67" s="330"/>
      <c r="CB67" s="243">
        <f t="shared" si="11"/>
        <v>0.56541453874052738</v>
      </c>
      <c r="CC67" s="243"/>
      <c r="CD67" s="243">
        <f t="shared" si="7"/>
        <v>0.48675505653430484</v>
      </c>
      <c r="CG67" s="734">
        <f t="shared" ref="CG67:CG130" si="14">B67</f>
        <v>10.653499999999999</v>
      </c>
    </row>
    <row r="68" spans="1:85" x14ac:dyDescent="0.2">
      <c r="A68" s="19">
        <v>29586</v>
      </c>
      <c r="B68" s="262">
        <v>-3.0173999999999999</v>
      </c>
      <c r="C68" s="262">
        <v>-4.1510999999999996</v>
      </c>
      <c r="D68" s="262">
        <v>-1.38</v>
      </c>
      <c r="E68" s="278"/>
      <c r="F68" s="278"/>
      <c r="G68" s="278"/>
      <c r="H68" s="262">
        <v>-3.4369999999999998</v>
      </c>
      <c r="I68" s="262">
        <v>-5.0220000000000002</v>
      </c>
      <c r="J68" s="262">
        <v>-1.6160000000000001</v>
      </c>
      <c r="K68" s="262"/>
      <c r="L68" s="262"/>
      <c r="M68" s="262"/>
      <c r="N68" s="262">
        <f t="shared" si="8"/>
        <v>-3.4369999999999998</v>
      </c>
      <c r="O68" s="262">
        <f t="shared" si="9"/>
        <v>-5.0220000000000002</v>
      </c>
      <c r="P68" s="262">
        <f t="shared" si="10"/>
        <v>-1.6160000000000001</v>
      </c>
      <c r="Q68" s="278"/>
      <c r="R68" s="128">
        <v>-2.83</v>
      </c>
      <c r="S68" s="128">
        <v>-3.637</v>
      </c>
      <c r="T68" s="128"/>
      <c r="U68" s="278"/>
      <c r="V68" s="278"/>
      <c r="W68" s="262">
        <v>2.722</v>
      </c>
      <c r="X68" s="128">
        <v>2.6</v>
      </c>
      <c r="Y68" s="128"/>
      <c r="Z68" s="279"/>
      <c r="AA68" s="262">
        <v>0.51</v>
      </c>
      <c r="AB68" s="262">
        <v>-1.1442000000000001</v>
      </c>
      <c r="AC68" s="262">
        <v>2.4474999999999998</v>
      </c>
      <c r="AD68" s="278"/>
      <c r="AE68" s="278"/>
      <c r="AF68" s="262">
        <f t="shared" ref="AF68:AF131" si="15">AA68</f>
        <v>0.51</v>
      </c>
      <c r="AG68" s="128">
        <v>1.2463</v>
      </c>
      <c r="AH68" s="128"/>
      <c r="AI68" s="128"/>
      <c r="AJ68" s="128"/>
      <c r="AK68" s="128"/>
      <c r="AL68" s="128"/>
      <c r="AM68" s="244"/>
      <c r="AN68" s="244"/>
      <c r="AO68" s="244"/>
      <c r="AP68" s="244"/>
      <c r="AQ68" s="244"/>
      <c r="AR68" s="244"/>
      <c r="AS68" s="244"/>
      <c r="AT68" s="244"/>
      <c r="AU68" s="244"/>
      <c r="AV68" s="271">
        <v>0.5</v>
      </c>
      <c r="AW68" s="271"/>
      <c r="AX68" s="271"/>
      <c r="AY68" s="271">
        <v>0.5</v>
      </c>
      <c r="AZ68" s="271">
        <v>0</v>
      </c>
      <c r="BA68" s="271">
        <v>0</v>
      </c>
      <c r="BB68" s="271"/>
      <c r="BC68" s="271">
        <f t="shared" si="12"/>
        <v>1</v>
      </c>
      <c r="BD68" s="272">
        <f t="shared" si="13"/>
        <v>-0.14769999999999994</v>
      </c>
      <c r="BE68" s="243">
        <f t="shared" ref="BE68:BE131" si="16">BD68</f>
        <v>-0.14769999999999994</v>
      </c>
      <c r="BF68" s="330"/>
      <c r="BG68" s="330"/>
      <c r="BH68" s="330"/>
      <c r="BI68" s="330"/>
      <c r="BJ68" s="330"/>
      <c r="BK68" s="330"/>
      <c r="BL68" s="330"/>
      <c r="BM68" s="330"/>
      <c r="BN68" s="330"/>
      <c r="BO68" s="330"/>
      <c r="BP68" s="330"/>
      <c r="BQ68" s="330"/>
      <c r="CB68" s="243">
        <f t="shared" si="11"/>
        <v>0.56541453874052738</v>
      </c>
      <c r="CC68" s="243"/>
      <c r="CD68" s="243">
        <f t="shared" si="7"/>
        <v>0.48675505653430484</v>
      </c>
      <c r="CG68" s="734">
        <f t="shared" si="14"/>
        <v>-3.0173999999999999</v>
      </c>
    </row>
    <row r="69" spans="1:85" x14ac:dyDescent="0.2">
      <c r="A69" s="19">
        <v>29617</v>
      </c>
      <c r="B69" s="262">
        <v>-4.1839000000000004</v>
      </c>
      <c r="C69" s="262">
        <v>-6.9324000000000003</v>
      </c>
      <c r="D69" s="262">
        <v>-2.0299999999999998</v>
      </c>
      <c r="E69" s="278"/>
      <c r="F69" s="278"/>
      <c r="G69" s="278"/>
      <c r="H69" s="262">
        <v>-0.373</v>
      </c>
      <c r="I69" s="262">
        <v>-3.0270000000000001</v>
      </c>
      <c r="J69" s="262">
        <v>2.3959999999999999</v>
      </c>
      <c r="K69" s="262"/>
      <c r="L69" s="262"/>
      <c r="M69" s="262"/>
      <c r="N69" s="262">
        <f t="shared" si="8"/>
        <v>-0.373</v>
      </c>
      <c r="O69" s="262">
        <f t="shared" si="9"/>
        <v>-3.0270000000000001</v>
      </c>
      <c r="P69" s="262">
        <f t="shared" si="10"/>
        <v>2.3959999999999999</v>
      </c>
      <c r="Q69" s="278"/>
      <c r="R69" s="128">
        <v>-1.04</v>
      </c>
      <c r="S69" s="128">
        <v>-4.0439999999999996</v>
      </c>
      <c r="T69" s="128"/>
      <c r="U69" s="278"/>
      <c r="V69" s="278"/>
      <c r="W69" s="262">
        <v>4.7E-2</v>
      </c>
      <c r="X69" s="128">
        <v>0.34</v>
      </c>
      <c r="Y69" s="128"/>
      <c r="Z69" s="279"/>
      <c r="AA69" s="262">
        <v>-1.365</v>
      </c>
      <c r="AB69" s="262">
        <v>-1.9438</v>
      </c>
      <c r="AC69" s="262">
        <v>-0.72809999999999997</v>
      </c>
      <c r="AD69" s="278"/>
      <c r="AE69" s="278"/>
      <c r="AF69" s="262">
        <f t="shared" si="15"/>
        <v>-1.365</v>
      </c>
      <c r="AG69" s="128">
        <v>1.7417</v>
      </c>
      <c r="AH69" s="128"/>
      <c r="AI69" s="128"/>
      <c r="AJ69" s="128"/>
      <c r="AK69" s="128"/>
      <c r="AL69" s="128"/>
      <c r="AM69" s="244"/>
      <c r="AN69" s="244"/>
      <c r="AO69" s="244"/>
      <c r="AP69" s="244"/>
      <c r="AQ69" s="244"/>
      <c r="AR69" s="244"/>
      <c r="AS69" s="244"/>
      <c r="AT69" s="244"/>
      <c r="AU69" s="244"/>
      <c r="AV69" s="271">
        <v>0.5</v>
      </c>
      <c r="AW69" s="271"/>
      <c r="AX69" s="271"/>
      <c r="AY69" s="271">
        <v>0.5</v>
      </c>
      <c r="AZ69" s="271">
        <v>0</v>
      </c>
      <c r="BA69" s="271">
        <v>0</v>
      </c>
      <c r="BB69" s="271"/>
      <c r="BC69" s="271">
        <f t="shared" si="12"/>
        <v>1</v>
      </c>
      <c r="BD69" s="272">
        <f t="shared" si="13"/>
        <v>-2.0684500000000003</v>
      </c>
      <c r="BE69" s="243">
        <f t="shared" si="16"/>
        <v>-2.0684500000000003</v>
      </c>
      <c r="BF69" s="330"/>
      <c r="BG69" s="330"/>
      <c r="BH69" s="330"/>
      <c r="BI69" s="330"/>
      <c r="BJ69" s="330"/>
      <c r="BK69" s="330"/>
      <c r="BL69" s="330"/>
      <c r="BM69" s="330"/>
      <c r="BN69" s="330"/>
      <c r="BO69" s="330"/>
      <c r="BP69" s="330"/>
      <c r="BQ69" s="330"/>
      <c r="CB69" s="243">
        <f t="shared" si="11"/>
        <v>0.56541453874052738</v>
      </c>
      <c r="CC69" s="243"/>
      <c r="CD69" s="243">
        <f>((1+0.07)^(1/12)-1)*100</f>
        <v>0.56541453874052738</v>
      </c>
      <c r="CE69" s="235">
        <f>(1+CD69/100)^12-1</f>
        <v>7.0000000000000062E-2</v>
      </c>
      <c r="CG69" s="734">
        <f t="shared" si="14"/>
        <v>-4.1839000000000004</v>
      </c>
    </row>
    <row r="70" spans="1:85" x14ac:dyDescent="0.2">
      <c r="A70" s="19">
        <v>29645</v>
      </c>
      <c r="B70" s="262">
        <v>1.7367999999999999</v>
      </c>
      <c r="C70" s="262">
        <v>2.7294</v>
      </c>
      <c r="D70" s="262">
        <v>1.39</v>
      </c>
      <c r="E70" s="278"/>
      <c r="F70" s="278"/>
      <c r="G70" s="278"/>
      <c r="H70" s="262">
        <v>0.61199999999999999</v>
      </c>
      <c r="I70" s="262">
        <v>-0.85799999999999998</v>
      </c>
      <c r="J70" s="262">
        <v>2.0419999999999998</v>
      </c>
      <c r="K70" s="262"/>
      <c r="L70" s="262"/>
      <c r="M70" s="262"/>
      <c r="N70" s="262">
        <f t="shared" si="8"/>
        <v>0.61199999999999999</v>
      </c>
      <c r="O70" s="262">
        <f t="shared" si="9"/>
        <v>-0.85799999999999998</v>
      </c>
      <c r="P70" s="262">
        <f t="shared" si="10"/>
        <v>2.0419999999999998</v>
      </c>
      <c r="Q70" s="278"/>
      <c r="R70" s="128">
        <v>1.27</v>
      </c>
      <c r="S70" s="128">
        <v>1.627</v>
      </c>
      <c r="T70" s="128"/>
      <c r="U70" s="278"/>
      <c r="V70" s="278"/>
      <c r="W70" s="262">
        <v>-1.89</v>
      </c>
      <c r="X70" s="128">
        <v>-1.35</v>
      </c>
      <c r="Y70" s="128"/>
      <c r="Z70" s="279"/>
      <c r="AA70" s="262">
        <v>-1.323</v>
      </c>
      <c r="AB70" s="262">
        <v>-1.8458000000000001</v>
      </c>
      <c r="AC70" s="262">
        <v>-0.83540000000000003</v>
      </c>
      <c r="AD70" s="278"/>
      <c r="AE70" s="278"/>
      <c r="AF70" s="262">
        <f t="shared" si="15"/>
        <v>-1.323</v>
      </c>
      <c r="AG70" s="128">
        <v>1.7417</v>
      </c>
      <c r="AH70" s="128"/>
      <c r="AI70" s="128"/>
      <c r="AJ70" s="128"/>
      <c r="AK70" s="128"/>
      <c r="AL70" s="128"/>
      <c r="AM70" s="244"/>
      <c r="AN70" s="244"/>
      <c r="AO70" s="244"/>
      <c r="AP70" s="244"/>
      <c r="AQ70" s="244"/>
      <c r="AR70" s="244"/>
      <c r="AS70" s="244"/>
      <c r="AT70" s="244"/>
      <c r="AU70" s="244"/>
      <c r="AV70" s="271">
        <v>0.5</v>
      </c>
      <c r="AW70" s="271"/>
      <c r="AX70" s="271"/>
      <c r="AY70" s="271">
        <v>0.5</v>
      </c>
      <c r="AZ70" s="271">
        <v>0</v>
      </c>
      <c r="BA70" s="271">
        <v>0</v>
      </c>
      <c r="BB70" s="271"/>
      <c r="BC70" s="271">
        <f t="shared" si="12"/>
        <v>1</v>
      </c>
      <c r="BD70" s="272">
        <f t="shared" si="13"/>
        <v>-7.6600000000000001E-2</v>
      </c>
      <c r="BE70" s="243">
        <f t="shared" si="16"/>
        <v>-7.6600000000000001E-2</v>
      </c>
      <c r="BF70" s="330"/>
      <c r="BG70" s="330"/>
      <c r="BH70" s="330"/>
      <c r="BI70" s="330"/>
      <c r="BJ70" s="330"/>
      <c r="BK70" s="330"/>
      <c r="BL70" s="330"/>
      <c r="BM70" s="330"/>
      <c r="BN70" s="330"/>
      <c r="BO70" s="330"/>
      <c r="BP70" s="330"/>
      <c r="BQ70" s="330"/>
      <c r="CB70" s="243">
        <f t="shared" si="11"/>
        <v>0.56541453874052738</v>
      </c>
      <c r="CC70" s="243"/>
      <c r="CD70" s="243">
        <f t="shared" ref="CD70:CD104" si="17">((1+0.07)^(1/12)-1)*100</f>
        <v>0.56541453874052738</v>
      </c>
      <c r="CG70" s="734">
        <f t="shared" si="14"/>
        <v>1.7367999999999999</v>
      </c>
    </row>
    <row r="71" spans="1:85" x14ac:dyDescent="0.2">
      <c r="A71" s="19">
        <v>29676</v>
      </c>
      <c r="B71" s="262">
        <v>3.9994000000000001</v>
      </c>
      <c r="C71" s="262">
        <v>3.2904</v>
      </c>
      <c r="D71" s="262">
        <v>4.33</v>
      </c>
      <c r="E71" s="262">
        <v>6.6085000000000003</v>
      </c>
      <c r="F71" s="278"/>
      <c r="G71" s="278"/>
      <c r="H71" s="262">
        <v>8.0329999999999995</v>
      </c>
      <c r="I71" s="262">
        <v>7.9950000000000001</v>
      </c>
      <c r="J71" s="262">
        <v>8.0619999999999994</v>
      </c>
      <c r="K71" s="262"/>
      <c r="L71" s="262"/>
      <c r="M71" s="262"/>
      <c r="N71" s="262">
        <f t="shared" si="8"/>
        <v>8.0329999999999995</v>
      </c>
      <c r="O71" s="262">
        <f t="shared" si="9"/>
        <v>7.9950000000000001</v>
      </c>
      <c r="P71" s="262">
        <f t="shared" si="10"/>
        <v>8.0619999999999994</v>
      </c>
      <c r="Q71" s="278"/>
      <c r="R71" s="128">
        <v>8.15</v>
      </c>
      <c r="S71" s="128">
        <v>4.423</v>
      </c>
      <c r="T71" s="128"/>
      <c r="U71" s="278"/>
      <c r="V71" s="278"/>
      <c r="W71" s="262">
        <v>2.3769999999999998</v>
      </c>
      <c r="X71" s="128">
        <v>2.33</v>
      </c>
      <c r="Y71" s="128"/>
      <c r="Z71" s="279"/>
      <c r="AA71" s="262">
        <v>3.6139999999999999</v>
      </c>
      <c r="AB71" s="262">
        <v>2.1244999999999998</v>
      </c>
      <c r="AC71" s="262">
        <v>5.1364000000000001</v>
      </c>
      <c r="AD71" s="278"/>
      <c r="AE71" s="278"/>
      <c r="AF71" s="262">
        <f t="shared" si="15"/>
        <v>3.6139999999999999</v>
      </c>
      <c r="AG71" s="128">
        <v>1.7417</v>
      </c>
      <c r="AH71" s="128"/>
      <c r="AI71" s="128"/>
      <c r="AJ71" s="128"/>
      <c r="AK71" s="128"/>
      <c r="AL71" s="128"/>
      <c r="AM71" s="244"/>
      <c r="AN71" s="244"/>
      <c r="AO71" s="244"/>
      <c r="AP71" s="244"/>
      <c r="AQ71" s="244"/>
      <c r="AR71" s="244"/>
      <c r="AS71" s="244"/>
      <c r="AT71" s="244"/>
      <c r="AU71" s="244"/>
      <c r="AV71" s="271">
        <v>0.5</v>
      </c>
      <c r="AW71" s="271"/>
      <c r="AX71" s="271"/>
      <c r="AY71" s="271">
        <v>0.5</v>
      </c>
      <c r="AZ71" s="271">
        <v>0</v>
      </c>
      <c r="BA71" s="271">
        <v>0</v>
      </c>
      <c r="BB71" s="271"/>
      <c r="BC71" s="271">
        <f t="shared" si="12"/>
        <v>1</v>
      </c>
      <c r="BD71" s="272">
        <f t="shared" si="13"/>
        <v>3.1882000000000001</v>
      </c>
      <c r="BE71" s="243">
        <f t="shared" si="16"/>
        <v>3.1882000000000001</v>
      </c>
      <c r="BF71" s="330"/>
      <c r="BG71" s="330"/>
      <c r="BH71" s="330"/>
      <c r="BI71" s="330"/>
      <c r="BJ71" s="330"/>
      <c r="BK71" s="330"/>
      <c r="BL71" s="330"/>
      <c r="BM71" s="330"/>
      <c r="BN71" s="330"/>
      <c r="BO71" s="330"/>
      <c r="BP71" s="330"/>
      <c r="BQ71" s="330"/>
      <c r="CB71" s="243">
        <f t="shared" si="11"/>
        <v>0.56541453874052738</v>
      </c>
      <c r="CC71" s="243"/>
      <c r="CD71" s="243">
        <f t="shared" si="17"/>
        <v>0.56541453874052738</v>
      </c>
      <c r="CG71" s="734">
        <f t="shared" si="14"/>
        <v>3.9994000000000001</v>
      </c>
    </row>
    <row r="72" spans="1:85" x14ac:dyDescent="0.2">
      <c r="A72" s="19">
        <v>29706</v>
      </c>
      <c r="B72" s="262">
        <v>-1.9338</v>
      </c>
      <c r="C72" s="262">
        <v>-4.1207000000000003</v>
      </c>
      <c r="D72" s="262">
        <v>-0.1</v>
      </c>
      <c r="E72" s="262">
        <v>0.60860000000000003</v>
      </c>
      <c r="F72" s="278"/>
      <c r="G72" s="278"/>
      <c r="H72" s="262">
        <v>2.7010000000000001</v>
      </c>
      <c r="I72" s="262">
        <v>1.821</v>
      </c>
      <c r="J72" s="262">
        <v>3.6739999999999999</v>
      </c>
      <c r="K72" s="262"/>
      <c r="L72" s="262"/>
      <c r="M72" s="262"/>
      <c r="N72" s="262">
        <f t="shared" si="8"/>
        <v>2.7010000000000001</v>
      </c>
      <c r="O72" s="262">
        <f t="shared" si="9"/>
        <v>1.821</v>
      </c>
      <c r="P72" s="262">
        <f t="shared" si="10"/>
        <v>3.6739999999999999</v>
      </c>
      <c r="Q72" s="278"/>
      <c r="R72" s="128">
        <v>2.0699999999999998</v>
      </c>
      <c r="S72" s="128">
        <v>-1.2909999999999999</v>
      </c>
      <c r="T72" s="128"/>
      <c r="U72" s="278"/>
      <c r="V72" s="278"/>
      <c r="W72" s="262">
        <v>-3.5659999999999998</v>
      </c>
      <c r="X72" s="128">
        <v>-2.63</v>
      </c>
      <c r="Y72" s="128"/>
      <c r="Z72" s="279"/>
      <c r="AA72" s="262">
        <v>2.7160000000000002</v>
      </c>
      <c r="AB72" s="262">
        <v>-0.44440000000000002</v>
      </c>
      <c r="AC72" s="262">
        <v>5.8292999999999999</v>
      </c>
      <c r="AD72" s="278"/>
      <c r="AE72" s="278"/>
      <c r="AF72" s="262">
        <f t="shared" si="15"/>
        <v>2.7160000000000002</v>
      </c>
      <c r="AG72" s="128">
        <v>0.97599999999999998</v>
      </c>
      <c r="AH72" s="128"/>
      <c r="AI72" s="128"/>
      <c r="AJ72" s="128"/>
      <c r="AK72" s="128"/>
      <c r="AL72" s="128"/>
      <c r="AM72" s="244"/>
      <c r="AN72" s="244"/>
      <c r="AO72" s="244"/>
      <c r="AP72" s="244"/>
      <c r="AQ72" s="244"/>
      <c r="AR72" s="244"/>
      <c r="AS72" s="244"/>
      <c r="AT72" s="244"/>
      <c r="AU72" s="244"/>
      <c r="AV72" s="271">
        <v>0.5</v>
      </c>
      <c r="AW72" s="271"/>
      <c r="AX72" s="271"/>
      <c r="AY72" s="271">
        <v>0.5</v>
      </c>
      <c r="AZ72" s="271">
        <v>0</v>
      </c>
      <c r="BA72" s="271">
        <v>0</v>
      </c>
      <c r="BB72" s="271"/>
      <c r="BC72" s="271">
        <f t="shared" si="12"/>
        <v>1</v>
      </c>
      <c r="BD72" s="272">
        <f t="shared" si="13"/>
        <v>-2.7498999999999998</v>
      </c>
      <c r="BE72" s="243">
        <f t="shared" si="16"/>
        <v>-2.7498999999999998</v>
      </c>
      <c r="BF72" s="330"/>
      <c r="BG72" s="330"/>
      <c r="BH72" s="330"/>
      <c r="BI72" s="330"/>
      <c r="BJ72" s="330"/>
      <c r="BK72" s="330"/>
      <c r="BL72" s="330"/>
      <c r="BM72" s="330"/>
      <c r="BN72" s="330"/>
      <c r="BO72" s="330"/>
      <c r="BP72" s="330"/>
      <c r="BQ72" s="330"/>
      <c r="CB72" s="243">
        <f t="shared" si="11"/>
        <v>0.56541453874052738</v>
      </c>
      <c r="CC72" s="243"/>
      <c r="CD72" s="243">
        <f t="shared" si="17"/>
        <v>0.56541453874052738</v>
      </c>
      <c r="CG72" s="734">
        <f t="shared" si="14"/>
        <v>-1.9338</v>
      </c>
    </row>
    <row r="73" spans="1:85" x14ac:dyDescent="0.2">
      <c r="A73" s="19">
        <v>29737</v>
      </c>
      <c r="B73" s="262">
        <v>0.25600000000000001</v>
      </c>
      <c r="C73" s="262">
        <v>0.23</v>
      </c>
      <c r="D73" s="262">
        <v>0.92</v>
      </c>
      <c r="E73" s="262">
        <v>4.5707000000000004</v>
      </c>
      <c r="F73" s="278"/>
      <c r="G73" s="278"/>
      <c r="H73" s="262">
        <v>3.335</v>
      </c>
      <c r="I73" s="262">
        <v>4.7779999999999996</v>
      </c>
      <c r="J73" s="262">
        <v>1.758</v>
      </c>
      <c r="K73" s="262"/>
      <c r="L73" s="262"/>
      <c r="M73" s="262"/>
      <c r="N73" s="262">
        <f t="shared" si="8"/>
        <v>3.335</v>
      </c>
      <c r="O73" s="262">
        <f t="shared" si="9"/>
        <v>4.7779999999999996</v>
      </c>
      <c r="P73" s="262">
        <f t="shared" si="10"/>
        <v>1.758</v>
      </c>
      <c r="Q73" s="278"/>
      <c r="R73" s="128">
        <v>2.91</v>
      </c>
      <c r="S73" s="128">
        <v>1.129</v>
      </c>
      <c r="T73" s="128"/>
      <c r="U73" s="278"/>
      <c r="V73" s="278"/>
      <c r="W73" s="262">
        <v>3.5920000000000001</v>
      </c>
      <c r="X73" s="128">
        <v>2.82</v>
      </c>
      <c r="Y73" s="128"/>
      <c r="Z73" s="279"/>
      <c r="AA73" s="262">
        <v>-4.2089999999999996</v>
      </c>
      <c r="AB73" s="262">
        <v>-4.4699</v>
      </c>
      <c r="AC73" s="262">
        <v>-3.9472999999999998</v>
      </c>
      <c r="AD73" s="278"/>
      <c r="AE73" s="278"/>
      <c r="AF73" s="262">
        <f t="shared" si="15"/>
        <v>-4.2089999999999996</v>
      </c>
      <c r="AG73" s="128">
        <v>0.97599999999999998</v>
      </c>
      <c r="AH73" s="128"/>
      <c r="AI73" s="128"/>
      <c r="AJ73" s="128"/>
      <c r="AK73" s="128"/>
      <c r="AL73" s="128"/>
      <c r="AM73" s="244"/>
      <c r="AN73" s="244"/>
      <c r="AO73" s="244"/>
      <c r="AP73" s="244"/>
      <c r="AQ73" s="244"/>
      <c r="AR73" s="244"/>
      <c r="AS73" s="244"/>
      <c r="AT73" s="244"/>
      <c r="AU73" s="244"/>
      <c r="AV73" s="271">
        <v>0.5</v>
      </c>
      <c r="AW73" s="271"/>
      <c r="AX73" s="271"/>
      <c r="AY73" s="271">
        <v>0.5</v>
      </c>
      <c r="AZ73" s="271">
        <v>0</v>
      </c>
      <c r="BA73" s="271">
        <v>0</v>
      </c>
      <c r="BB73" s="271"/>
      <c r="BC73" s="271">
        <f t="shared" si="12"/>
        <v>1</v>
      </c>
      <c r="BD73" s="272">
        <f t="shared" si="13"/>
        <v>1.9239999999999999</v>
      </c>
      <c r="BE73" s="243">
        <f t="shared" si="16"/>
        <v>1.9239999999999999</v>
      </c>
      <c r="BF73" s="330"/>
      <c r="BG73" s="330"/>
      <c r="BH73" s="330"/>
      <c r="BI73" s="330"/>
      <c r="BJ73" s="330"/>
      <c r="BK73" s="330"/>
      <c r="BL73" s="330"/>
      <c r="BM73" s="330"/>
      <c r="BN73" s="330"/>
      <c r="BO73" s="330"/>
      <c r="BP73" s="330"/>
      <c r="BQ73" s="330"/>
      <c r="CB73" s="243">
        <f t="shared" si="11"/>
        <v>0.56541453874052738</v>
      </c>
      <c r="CC73" s="243"/>
      <c r="CD73" s="243">
        <f t="shared" si="17"/>
        <v>0.56541453874052738</v>
      </c>
      <c r="CG73" s="734">
        <f t="shared" si="14"/>
        <v>0.25600000000000001</v>
      </c>
    </row>
    <row r="74" spans="1:85" x14ac:dyDescent="0.2">
      <c r="A74" s="19">
        <v>29767</v>
      </c>
      <c r="B74" s="262">
        <v>-0.626</v>
      </c>
      <c r="C74" s="262">
        <v>-1.5401</v>
      </c>
      <c r="D74" s="262">
        <v>-0.17</v>
      </c>
      <c r="E74" s="262">
        <v>0.63470000000000004</v>
      </c>
      <c r="F74" s="278"/>
      <c r="G74" s="278"/>
      <c r="H74" s="262">
        <v>-2.274</v>
      </c>
      <c r="I74" s="262">
        <v>-5.6029999999999998</v>
      </c>
      <c r="J74" s="262">
        <v>1.4259999999999999</v>
      </c>
      <c r="K74" s="262"/>
      <c r="L74" s="262"/>
      <c r="M74" s="262"/>
      <c r="N74" s="262">
        <f t="shared" si="8"/>
        <v>-2.274</v>
      </c>
      <c r="O74" s="262">
        <f t="shared" si="9"/>
        <v>-5.6029999999999998</v>
      </c>
      <c r="P74" s="262">
        <f t="shared" si="10"/>
        <v>1.4259999999999999</v>
      </c>
      <c r="Q74" s="278"/>
      <c r="R74" s="128">
        <v>-1.76</v>
      </c>
      <c r="S74" s="128">
        <v>-1.05</v>
      </c>
      <c r="T74" s="128"/>
      <c r="U74" s="278"/>
      <c r="V74" s="278"/>
      <c r="W74" s="262">
        <v>-0.22900000000000001</v>
      </c>
      <c r="X74" s="128">
        <v>0.04</v>
      </c>
      <c r="Y74" s="128"/>
      <c r="Z74" s="279"/>
      <c r="AA74" s="262">
        <v>0.71299999999999997</v>
      </c>
      <c r="AB74" s="262">
        <v>-1.0446</v>
      </c>
      <c r="AC74" s="262">
        <v>2.0510000000000002</v>
      </c>
      <c r="AD74" s="278"/>
      <c r="AE74" s="278"/>
      <c r="AF74" s="262">
        <f t="shared" si="15"/>
        <v>0.71299999999999997</v>
      </c>
      <c r="AG74" s="128">
        <v>0.97599999999999998</v>
      </c>
      <c r="AH74" s="128"/>
      <c r="AI74" s="128"/>
      <c r="AJ74" s="128"/>
      <c r="AK74" s="128"/>
      <c r="AL74" s="128"/>
      <c r="AM74" s="244"/>
      <c r="AN74" s="244"/>
      <c r="AO74" s="244"/>
      <c r="AP74" s="244"/>
      <c r="AQ74" s="244"/>
      <c r="AR74" s="244"/>
      <c r="AS74" s="244"/>
      <c r="AT74" s="244"/>
      <c r="AU74" s="244"/>
      <c r="AV74" s="271">
        <v>0.5</v>
      </c>
      <c r="AW74" s="271"/>
      <c r="AX74" s="271"/>
      <c r="AY74" s="271">
        <v>0.5</v>
      </c>
      <c r="AZ74" s="271">
        <v>0</v>
      </c>
      <c r="BA74" s="271">
        <v>0</v>
      </c>
      <c r="BB74" s="271"/>
      <c r="BC74" s="271">
        <f t="shared" si="12"/>
        <v>1</v>
      </c>
      <c r="BD74" s="272">
        <f t="shared" si="13"/>
        <v>-0.42749999999999999</v>
      </c>
      <c r="BE74" s="243">
        <f t="shared" si="16"/>
        <v>-0.42749999999999999</v>
      </c>
      <c r="BF74" s="330"/>
      <c r="BG74" s="330"/>
      <c r="BH74" s="330"/>
      <c r="BI74" s="330"/>
      <c r="BJ74" s="330"/>
      <c r="BK74" s="330"/>
      <c r="BL74" s="330"/>
      <c r="BM74" s="330"/>
      <c r="BN74" s="330"/>
      <c r="BO74" s="330"/>
      <c r="BP74" s="330"/>
      <c r="BQ74" s="330"/>
      <c r="CB74" s="243">
        <f t="shared" si="11"/>
        <v>0.56541453874052738</v>
      </c>
      <c r="CC74" s="243"/>
      <c r="CD74" s="243">
        <f t="shared" si="17"/>
        <v>0.56541453874052738</v>
      </c>
      <c r="CG74" s="734">
        <f t="shared" si="14"/>
        <v>-0.626</v>
      </c>
    </row>
    <row r="75" spans="1:85" x14ac:dyDescent="0.2">
      <c r="A75" s="19">
        <v>29798</v>
      </c>
      <c r="B75" s="262">
        <v>0.20580000000000001</v>
      </c>
      <c r="C75" s="262">
        <v>1.6807000000000001</v>
      </c>
      <c r="D75" s="262">
        <v>-1.37</v>
      </c>
      <c r="E75" s="262">
        <v>-0.60740000000000005</v>
      </c>
      <c r="F75" s="278"/>
      <c r="G75" s="278"/>
      <c r="H75" s="262">
        <v>-2.4380000000000002</v>
      </c>
      <c r="I75" s="262">
        <v>-2.8170000000000002</v>
      </c>
      <c r="J75" s="262">
        <v>-2.069</v>
      </c>
      <c r="K75" s="262"/>
      <c r="L75" s="262"/>
      <c r="M75" s="262"/>
      <c r="N75" s="262">
        <f t="shared" si="8"/>
        <v>-2.4380000000000002</v>
      </c>
      <c r="O75" s="262">
        <f t="shared" si="9"/>
        <v>-2.8170000000000002</v>
      </c>
      <c r="P75" s="262">
        <f t="shared" si="10"/>
        <v>-2.069</v>
      </c>
      <c r="Q75" s="278"/>
      <c r="R75" s="128">
        <v>-2.12</v>
      </c>
      <c r="S75" s="128">
        <v>-0.21199999999999999</v>
      </c>
      <c r="T75" s="128"/>
      <c r="U75" s="278"/>
      <c r="V75" s="278"/>
      <c r="W75" s="262">
        <v>-1.927</v>
      </c>
      <c r="X75" s="128">
        <v>-1.57</v>
      </c>
      <c r="Y75" s="128"/>
      <c r="Z75" s="279"/>
      <c r="AA75" s="262">
        <v>-4.0410000000000004</v>
      </c>
      <c r="AB75" s="262">
        <v>-4.2862</v>
      </c>
      <c r="AC75" s="262">
        <v>-3.8700999999999999</v>
      </c>
      <c r="AD75" s="278"/>
      <c r="AE75" s="278"/>
      <c r="AF75" s="262">
        <f t="shared" si="15"/>
        <v>-4.0410000000000004</v>
      </c>
      <c r="AG75" s="128">
        <v>1.3916999999999999</v>
      </c>
      <c r="AH75" s="128"/>
      <c r="AI75" s="128"/>
      <c r="AJ75" s="128"/>
      <c r="AK75" s="128"/>
      <c r="AL75" s="128"/>
      <c r="AM75" s="244"/>
      <c r="AN75" s="244"/>
      <c r="AO75" s="244"/>
      <c r="AP75" s="244"/>
      <c r="AQ75" s="244"/>
      <c r="AR75" s="244"/>
      <c r="AS75" s="244"/>
      <c r="AT75" s="244"/>
      <c r="AU75" s="244"/>
      <c r="AV75" s="271">
        <v>0.5</v>
      </c>
      <c r="AW75" s="271"/>
      <c r="AX75" s="271"/>
      <c r="AY75" s="271">
        <v>0.5</v>
      </c>
      <c r="AZ75" s="271">
        <v>0</v>
      </c>
      <c r="BA75" s="271">
        <v>0</v>
      </c>
      <c r="BB75" s="271"/>
      <c r="BC75" s="271">
        <f t="shared" si="12"/>
        <v>1</v>
      </c>
      <c r="BD75" s="272">
        <f t="shared" si="13"/>
        <v>-0.86060000000000003</v>
      </c>
      <c r="BE75" s="243">
        <f t="shared" si="16"/>
        <v>-0.86060000000000003</v>
      </c>
      <c r="BF75" s="330"/>
      <c r="BG75" s="330"/>
      <c r="BH75" s="330"/>
      <c r="BI75" s="330"/>
      <c r="BJ75" s="330"/>
      <c r="BK75" s="330"/>
      <c r="BL75" s="330"/>
      <c r="BM75" s="330"/>
      <c r="BN75" s="330"/>
      <c r="BO75" s="330"/>
      <c r="BP75" s="330"/>
      <c r="BQ75" s="330"/>
      <c r="CB75" s="243">
        <f t="shared" si="11"/>
        <v>0.56541453874052738</v>
      </c>
      <c r="CC75" s="243"/>
      <c r="CD75" s="243">
        <f t="shared" si="17"/>
        <v>0.56541453874052738</v>
      </c>
      <c r="CG75" s="734">
        <f t="shared" si="14"/>
        <v>0.20580000000000001</v>
      </c>
    </row>
    <row r="76" spans="1:85" x14ac:dyDescent="0.2">
      <c r="A76" s="19">
        <v>29829</v>
      </c>
      <c r="B76" s="262">
        <v>-5.7744999999999997</v>
      </c>
      <c r="C76" s="262">
        <v>-6.3507999999999996</v>
      </c>
      <c r="D76" s="262">
        <v>-4.5599999999999996</v>
      </c>
      <c r="E76" s="262">
        <v>-4.4257</v>
      </c>
      <c r="F76" s="278"/>
      <c r="G76" s="278"/>
      <c r="H76" s="262">
        <v>-7.7350000000000003</v>
      </c>
      <c r="I76" s="262">
        <v>-9.8000000000000007</v>
      </c>
      <c r="J76" s="262">
        <v>-5.5819999999999999</v>
      </c>
      <c r="K76" s="262"/>
      <c r="L76" s="262"/>
      <c r="M76" s="262"/>
      <c r="N76" s="262">
        <f t="shared" si="8"/>
        <v>-7.7350000000000003</v>
      </c>
      <c r="O76" s="262">
        <f t="shared" si="9"/>
        <v>-9.8000000000000007</v>
      </c>
      <c r="P76" s="262">
        <f t="shared" si="10"/>
        <v>-5.5819999999999999</v>
      </c>
      <c r="Q76" s="278"/>
      <c r="R76" s="128">
        <v>-6.74</v>
      </c>
      <c r="S76" s="128">
        <v>-5.7190000000000003</v>
      </c>
      <c r="T76" s="128"/>
      <c r="U76" s="278"/>
      <c r="V76" s="278"/>
      <c r="W76" s="262">
        <v>-2.11</v>
      </c>
      <c r="X76" s="128">
        <v>-1.47</v>
      </c>
      <c r="Y76" s="128"/>
      <c r="Z76" s="279"/>
      <c r="AA76" s="262">
        <v>2.3660000000000001</v>
      </c>
      <c r="AB76" s="262">
        <v>2.7101000000000002</v>
      </c>
      <c r="AC76" s="262">
        <v>2.0142000000000002</v>
      </c>
      <c r="AD76" s="278"/>
      <c r="AE76" s="278"/>
      <c r="AF76" s="262">
        <f t="shared" si="15"/>
        <v>2.3660000000000001</v>
      </c>
      <c r="AG76" s="128">
        <v>1.3916999999999999</v>
      </c>
      <c r="AH76" s="128"/>
      <c r="AI76" s="128"/>
      <c r="AJ76" s="128"/>
      <c r="AK76" s="128"/>
      <c r="AL76" s="128"/>
      <c r="AM76" s="244"/>
      <c r="AN76" s="244"/>
      <c r="AO76" s="244"/>
      <c r="AP76" s="244"/>
      <c r="AQ76" s="244"/>
      <c r="AR76" s="244"/>
      <c r="AS76" s="244"/>
      <c r="AT76" s="244"/>
      <c r="AU76" s="244"/>
      <c r="AV76" s="271">
        <v>0.5</v>
      </c>
      <c r="AW76" s="271"/>
      <c r="AX76" s="271"/>
      <c r="AY76" s="271">
        <v>0.5</v>
      </c>
      <c r="AZ76" s="271">
        <v>0</v>
      </c>
      <c r="BA76" s="271">
        <v>0</v>
      </c>
      <c r="BB76" s="271"/>
      <c r="BC76" s="271">
        <f t="shared" si="12"/>
        <v>1</v>
      </c>
      <c r="BD76" s="272">
        <f t="shared" si="13"/>
        <v>-3.9422499999999996</v>
      </c>
      <c r="BE76" s="243">
        <f t="shared" si="16"/>
        <v>-3.9422499999999996</v>
      </c>
      <c r="BF76" s="330"/>
      <c r="BG76" s="330"/>
      <c r="BH76" s="330"/>
      <c r="BI76" s="330"/>
      <c r="BJ76" s="330"/>
      <c r="BK76" s="330"/>
      <c r="BL76" s="330"/>
      <c r="BM76" s="330"/>
      <c r="BN76" s="330"/>
      <c r="BO76" s="330"/>
      <c r="BP76" s="330"/>
      <c r="BQ76" s="330"/>
      <c r="CB76" s="243">
        <f t="shared" si="11"/>
        <v>0.56541453874052738</v>
      </c>
      <c r="CC76" s="243"/>
      <c r="CD76" s="243">
        <f t="shared" si="17"/>
        <v>0.56541453874052738</v>
      </c>
      <c r="CG76" s="734">
        <f t="shared" si="14"/>
        <v>-5.7744999999999997</v>
      </c>
    </row>
    <row r="77" spans="1:85" x14ac:dyDescent="0.2">
      <c r="A77" s="19">
        <v>29859</v>
      </c>
      <c r="B77" s="262">
        <v>-4.9271000000000003</v>
      </c>
      <c r="C77" s="262">
        <v>-6.1401000000000003</v>
      </c>
      <c r="D77" s="262">
        <v>-3.91</v>
      </c>
      <c r="E77" s="262">
        <v>-6.2971000000000004</v>
      </c>
      <c r="F77" s="278"/>
      <c r="G77" s="278"/>
      <c r="H77" s="262">
        <v>-8.3840000000000003</v>
      </c>
      <c r="I77" s="262">
        <v>-10.212999999999999</v>
      </c>
      <c r="J77" s="262">
        <v>-6.5590000000000002</v>
      </c>
      <c r="K77" s="262"/>
      <c r="L77" s="262"/>
      <c r="M77" s="262"/>
      <c r="N77" s="262">
        <f t="shared" si="8"/>
        <v>-8.3840000000000003</v>
      </c>
      <c r="O77" s="262">
        <f t="shared" si="9"/>
        <v>-10.212999999999999</v>
      </c>
      <c r="P77" s="262">
        <f t="shared" si="10"/>
        <v>-6.5590000000000002</v>
      </c>
      <c r="Q77" s="278"/>
      <c r="R77" s="128">
        <v>-7.39</v>
      </c>
      <c r="S77" s="128">
        <v>-6.3029999999999999</v>
      </c>
      <c r="T77" s="128"/>
      <c r="U77" s="278"/>
      <c r="V77" s="278"/>
      <c r="W77" s="262">
        <v>-6.6000000000000003E-2</v>
      </c>
      <c r="X77" s="128">
        <v>0.74</v>
      </c>
      <c r="Y77" s="128"/>
      <c r="Z77" s="279"/>
      <c r="AA77" s="262">
        <v>-9.9320000000000004</v>
      </c>
      <c r="AB77" s="262">
        <v>-10.667899999999999</v>
      </c>
      <c r="AC77" s="262">
        <v>-9.2716999999999992</v>
      </c>
      <c r="AD77" s="278"/>
      <c r="AE77" s="278"/>
      <c r="AF77" s="262">
        <f t="shared" si="15"/>
        <v>-9.9320000000000004</v>
      </c>
      <c r="AG77" s="128">
        <v>1.3916999999999999</v>
      </c>
      <c r="AH77" s="128"/>
      <c r="AI77" s="128"/>
      <c r="AJ77" s="128"/>
      <c r="AK77" s="128"/>
      <c r="AL77" s="128"/>
      <c r="AM77" s="244"/>
      <c r="AN77" s="244"/>
      <c r="AO77" s="244"/>
      <c r="AP77" s="244"/>
      <c r="AQ77" s="244"/>
      <c r="AR77" s="244"/>
      <c r="AS77" s="244"/>
      <c r="AT77" s="244"/>
      <c r="AU77" s="244"/>
      <c r="AV77" s="271">
        <v>0.5</v>
      </c>
      <c r="AW77" s="271"/>
      <c r="AX77" s="271"/>
      <c r="AY77" s="271">
        <v>0.5</v>
      </c>
      <c r="AZ77" s="271">
        <v>0</v>
      </c>
      <c r="BA77" s="271">
        <v>0</v>
      </c>
      <c r="BB77" s="271"/>
      <c r="BC77" s="271">
        <f t="shared" si="12"/>
        <v>1</v>
      </c>
      <c r="BD77" s="272">
        <f t="shared" si="13"/>
        <v>-2.49655</v>
      </c>
      <c r="BE77" s="243">
        <f t="shared" si="16"/>
        <v>-2.49655</v>
      </c>
      <c r="BF77" s="330"/>
      <c r="BG77" s="330"/>
      <c r="BH77" s="330"/>
      <c r="BI77" s="330"/>
      <c r="BJ77" s="330"/>
      <c r="BK77" s="330"/>
      <c r="BL77" s="330"/>
      <c r="BM77" s="330"/>
      <c r="BN77" s="330"/>
      <c r="BO77" s="330"/>
      <c r="BP77" s="330"/>
      <c r="BQ77" s="330"/>
      <c r="CB77" s="243">
        <f t="shared" si="11"/>
        <v>0.56541453874052738</v>
      </c>
      <c r="CC77" s="243"/>
      <c r="CD77" s="243">
        <f t="shared" si="17"/>
        <v>0.56541453874052738</v>
      </c>
      <c r="CG77" s="734">
        <f t="shared" si="14"/>
        <v>-4.9271000000000003</v>
      </c>
    </row>
    <row r="78" spans="1:85" x14ac:dyDescent="0.2">
      <c r="A78" s="19">
        <v>29890</v>
      </c>
      <c r="B78" s="262">
        <v>5.3967999999999998</v>
      </c>
      <c r="C78" s="262">
        <v>6.7005999999999997</v>
      </c>
      <c r="D78" s="262">
        <v>3.85</v>
      </c>
      <c r="E78" s="262">
        <v>7.4329999999999998</v>
      </c>
      <c r="F78" s="278"/>
      <c r="G78" s="278"/>
      <c r="H78" s="262">
        <v>8.4649999999999999</v>
      </c>
      <c r="I78" s="262">
        <v>10.345000000000001</v>
      </c>
      <c r="J78" s="262">
        <v>6.577</v>
      </c>
      <c r="K78" s="262"/>
      <c r="L78" s="262"/>
      <c r="M78" s="262"/>
      <c r="N78" s="262">
        <f t="shared" si="8"/>
        <v>8.4649999999999999</v>
      </c>
      <c r="O78" s="262">
        <f t="shared" si="9"/>
        <v>10.345000000000001</v>
      </c>
      <c r="P78" s="262">
        <f t="shared" si="10"/>
        <v>6.577</v>
      </c>
      <c r="Q78" s="278"/>
      <c r="R78" s="128">
        <v>7.14</v>
      </c>
      <c r="S78" s="128">
        <v>6.0430000000000001</v>
      </c>
      <c r="T78" s="128"/>
      <c r="U78" s="278"/>
      <c r="V78" s="278"/>
      <c r="W78" s="262">
        <v>5.8528000000000002</v>
      </c>
      <c r="X78" s="128">
        <v>5.39</v>
      </c>
      <c r="Y78" s="128"/>
      <c r="Z78" s="279"/>
      <c r="AA78" s="262">
        <v>1.663</v>
      </c>
      <c r="AB78" s="262">
        <v>1.2607999999999999</v>
      </c>
      <c r="AC78" s="262">
        <v>2.0821999999999998</v>
      </c>
      <c r="AD78" s="278"/>
      <c r="AE78" s="278"/>
      <c r="AF78" s="262">
        <f t="shared" si="15"/>
        <v>1.663</v>
      </c>
      <c r="AG78" s="128">
        <v>1.06</v>
      </c>
      <c r="AH78" s="128"/>
      <c r="AI78" s="128"/>
      <c r="AJ78" s="128"/>
      <c r="AK78" s="128"/>
      <c r="AL78" s="128"/>
      <c r="AM78" s="244"/>
      <c r="AN78" s="244"/>
      <c r="AO78" s="244"/>
      <c r="AP78" s="244"/>
      <c r="AQ78" s="244"/>
      <c r="AR78" s="244"/>
      <c r="AS78" s="244"/>
      <c r="AT78" s="244"/>
      <c r="AU78" s="244"/>
      <c r="AV78" s="271">
        <v>0.5</v>
      </c>
      <c r="AW78" s="271"/>
      <c r="AX78" s="271"/>
      <c r="AY78" s="271">
        <v>0.5</v>
      </c>
      <c r="AZ78" s="271">
        <v>0</v>
      </c>
      <c r="BA78" s="271">
        <v>0</v>
      </c>
      <c r="BB78" s="271"/>
      <c r="BC78" s="271">
        <f t="shared" si="12"/>
        <v>1</v>
      </c>
      <c r="BD78" s="272">
        <f t="shared" si="13"/>
        <v>5.6248000000000005</v>
      </c>
      <c r="BE78" s="243">
        <f t="shared" si="16"/>
        <v>5.6248000000000005</v>
      </c>
      <c r="BF78" s="330"/>
      <c r="BG78" s="330"/>
      <c r="BH78" s="330"/>
      <c r="BI78" s="330"/>
      <c r="BJ78" s="330"/>
      <c r="BK78" s="330"/>
      <c r="BL78" s="330"/>
      <c r="BM78" s="330"/>
      <c r="BN78" s="330"/>
      <c r="BO78" s="330"/>
      <c r="BP78" s="330"/>
      <c r="BQ78" s="330"/>
      <c r="CB78" s="243">
        <f t="shared" si="11"/>
        <v>0.56541453874052738</v>
      </c>
      <c r="CC78" s="243"/>
      <c r="CD78" s="243">
        <f t="shared" si="17"/>
        <v>0.56541453874052738</v>
      </c>
      <c r="CG78" s="734">
        <f t="shared" si="14"/>
        <v>5.3967999999999998</v>
      </c>
    </row>
    <row r="79" spans="1:85" x14ac:dyDescent="0.2">
      <c r="A79" s="19">
        <v>29920</v>
      </c>
      <c r="B79" s="262">
        <v>4.1266999999999996</v>
      </c>
      <c r="C79" s="262">
        <v>3.9207000000000001</v>
      </c>
      <c r="D79" s="262">
        <v>4.78</v>
      </c>
      <c r="E79" s="262">
        <v>5.3369</v>
      </c>
      <c r="F79" s="278"/>
      <c r="G79" s="278"/>
      <c r="H79" s="262">
        <v>3.2090000000000001</v>
      </c>
      <c r="I79" s="262">
        <v>1.927</v>
      </c>
      <c r="J79" s="262">
        <v>4.6139999999999999</v>
      </c>
      <c r="K79" s="262"/>
      <c r="L79" s="262"/>
      <c r="M79" s="262"/>
      <c r="N79" s="262">
        <f t="shared" si="8"/>
        <v>3.2090000000000001</v>
      </c>
      <c r="O79" s="262">
        <f t="shared" si="9"/>
        <v>1.927</v>
      </c>
      <c r="P79" s="262">
        <f t="shared" si="10"/>
        <v>4.6139999999999999</v>
      </c>
      <c r="Q79" s="278"/>
      <c r="R79" s="128">
        <v>3.54</v>
      </c>
      <c r="S79" s="128">
        <v>4.5640000000000001</v>
      </c>
      <c r="T79" s="128"/>
      <c r="U79" s="278"/>
      <c r="V79" s="278"/>
      <c r="W79" s="262">
        <v>8.5231999999999992</v>
      </c>
      <c r="X79" s="128">
        <v>7.51</v>
      </c>
      <c r="Y79" s="128"/>
      <c r="Z79" s="279"/>
      <c r="AA79" s="262">
        <v>11.13</v>
      </c>
      <c r="AB79" s="262">
        <v>10.1196</v>
      </c>
      <c r="AC79" s="262">
        <v>11.7447</v>
      </c>
      <c r="AD79" s="278"/>
      <c r="AE79" s="278"/>
      <c r="AF79" s="262">
        <f t="shared" si="15"/>
        <v>11.13</v>
      </c>
      <c r="AG79" s="128">
        <v>1.06</v>
      </c>
      <c r="AH79" s="128"/>
      <c r="AI79" s="128"/>
      <c r="AJ79" s="128"/>
      <c r="AK79" s="128"/>
      <c r="AL79" s="128"/>
      <c r="AM79" s="244"/>
      <c r="AN79" s="244"/>
      <c r="AO79" s="244"/>
      <c r="AP79" s="244"/>
      <c r="AQ79" s="244"/>
      <c r="AR79" s="244"/>
      <c r="AS79" s="244"/>
      <c r="AT79" s="244"/>
      <c r="AU79" s="244"/>
      <c r="AV79" s="271">
        <v>0.5</v>
      </c>
      <c r="AW79" s="271"/>
      <c r="AX79" s="271"/>
      <c r="AY79" s="271">
        <v>0.5</v>
      </c>
      <c r="AZ79" s="271">
        <v>0</v>
      </c>
      <c r="BA79" s="271">
        <v>0</v>
      </c>
      <c r="BB79" s="271"/>
      <c r="BC79" s="271">
        <f t="shared" si="12"/>
        <v>1</v>
      </c>
      <c r="BD79" s="272">
        <f t="shared" si="13"/>
        <v>6.3249499999999994</v>
      </c>
      <c r="BE79" s="243">
        <f t="shared" si="16"/>
        <v>6.3249499999999994</v>
      </c>
      <c r="BF79" s="330"/>
      <c r="BG79" s="330"/>
      <c r="BH79" s="330"/>
      <c r="BI79" s="330"/>
      <c r="BJ79" s="330"/>
      <c r="BK79" s="330"/>
      <c r="BL79" s="330"/>
      <c r="BM79" s="330"/>
      <c r="BN79" s="330"/>
      <c r="BO79" s="330"/>
      <c r="BP79" s="330"/>
      <c r="BQ79" s="330"/>
      <c r="CB79" s="243">
        <f t="shared" si="11"/>
        <v>0.56541453874052738</v>
      </c>
      <c r="CC79" s="243"/>
      <c r="CD79" s="243">
        <f t="shared" si="17"/>
        <v>0.56541453874052738</v>
      </c>
      <c r="CG79" s="734">
        <f t="shared" si="14"/>
        <v>4.1266999999999996</v>
      </c>
    </row>
    <row r="80" spans="1:85" x14ac:dyDescent="0.2">
      <c r="A80" s="19">
        <v>29951</v>
      </c>
      <c r="B80" s="262">
        <v>-2.5642999999999998</v>
      </c>
      <c r="C80" s="262">
        <v>-2.8512</v>
      </c>
      <c r="D80" s="262">
        <v>-2.57</v>
      </c>
      <c r="E80" s="262">
        <v>-2.7521</v>
      </c>
      <c r="F80" s="278"/>
      <c r="G80" s="278"/>
      <c r="H80" s="262">
        <v>-1.5960000000000001</v>
      </c>
      <c r="I80" s="262">
        <v>-1.9410000000000001</v>
      </c>
      <c r="J80" s="262">
        <v>-1.3149999999999999</v>
      </c>
      <c r="K80" s="262"/>
      <c r="L80" s="262"/>
      <c r="M80" s="262"/>
      <c r="N80" s="262">
        <f t="shared" si="8"/>
        <v>-1.5960000000000001</v>
      </c>
      <c r="O80" s="262">
        <f t="shared" si="9"/>
        <v>-1.9410000000000001</v>
      </c>
      <c r="P80" s="262">
        <f t="shared" si="10"/>
        <v>-1.3149999999999999</v>
      </c>
      <c r="Q80" s="278"/>
      <c r="R80" s="128">
        <v>-1.82</v>
      </c>
      <c r="S80" s="128">
        <v>-2.7879999999999998</v>
      </c>
      <c r="T80" s="128"/>
      <c r="U80" s="278"/>
      <c r="V80" s="278"/>
      <c r="W80" s="262">
        <v>-3.7410000000000001</v>
      </c>
      <c r="X80" s="128">
        <v>-2.99</v>
      </c>
      <c r="Y80" s="128"/>
      <c r="Z80" s="279"/>
      <c r="AA80" s="262">
        <v>-0.92300000000000004</v>
      </c>
      <c r="AB80" s="262">
        <v>-0.3528</v>
      </c>
      <c r="AC80" s="262">
        <v>-1.4802</v>
      </c>
      <c r="AD80" s="278"/>
      <c r="AE80" s="278"/>
      <c r="AF80" s="262">
        <f t="shared" si="15"/>
        <v>-0.92300000000000004</v>
      </c>
      <c r="AG80" s="128">
        <v>1.06</v>
      </c>
      <c r="AH80" s="128"/>
      <c r="AI80" s="128"/>
      <c r="AJ80" s="128"/>
      <c r="AK80" s="128"/>
      <c r="AL80" s="128"/>
      <c r="AM80" s="244"/>
      <c r="AN80" s="244"/>
      <c r="AO80" s="244"/>
      <c r="AP80" s="244"/>
      <c r="AQ80" s="244"/>
      <c r="AR80" s="244"/>
      <c r="AS80" s="244"/>
      <c r="AT80" s="244"/>
      <c r="AU80" s="244"/>
      <c r="AV80" s="271">
        <v>0.5</v>
      </c>
      <c r="AW80" s="271"/>
      <c r="AX80" s="271"/>
      <c r="AY80" s="271">
        <v>0.5</v>
      </c>
      <c r="AZ80" s="271">
        <v>0</v>
      </c>
      <c r="BA80" s="271">
        <v>0</v>
      </c>
      <c r="BB80" s="271"/>
      <c r="BC80" s="271">
        <f t="shared" si="12"/>
        <v>1</v>
      </c>
      <c r="BD80" s="272">
        <f t="shared" si="13"/>
        <v>-3.15265</v>
      </c>
      <c r="BE80" s="243">
        <f t="shared" si="16"/>
        <v>-3.15265</v>
      </c>
      <c r="BF80" s="330"/>
      <c r="BG80" s="330"/>
      <c r="BH80" s="330"/>
      <c r="BI80" s="330"/>
      <c r="BJ80" s="330"/>
      <c r="BK80" s="330"/>
      <c r="BL80" s="330"/>
      <c r="BM80" s="330"/>
      <c r="BN80" s="330"/>
      <c r="BO80" s="330"/>
      <c r="BP80" s="330"/>
      <c r="BQ80" s="330"/>
      <c r="CB80" s="243">
        <f t="shared" si="11"/>
        <v>0.56541453874052738</v>
      </c>
      <c r="CC80" s="243"/>
      <c r="CD80" s="243">
        <f t="shared" si="17"/>
        <v>0.56541453874052738</v>
      </c>
      <c r="CG80" s="734">
        <f t="shared" si="14"/>
        <v>-2.5642999999999998</v>
      </c>
    </row>
    <row r="81" spans="1:85" x14ac:dyDescent="0.2">
      <c r="A81" s="19">
        <v>29982</v>
      </c>
      <c r="B81" s="262">
        <v>-1.3056000000000001</v>
      </c>
      <c r="C81" s="262">
        <v>-1.3589</v>
      </c>
      <c r="D81" s="262">
        <v>-1.87</v>
      </c>
      <c r="E81" s="262">
        <v>-4.0880999999999998</v>
      </c>
      <c r="F81" s="278"/>
      <c r="G81" s="278"/>
      <c r="H81" s="262">
        <v>-3.5009999999999999</v>
      </c>
      <c r="I81" s="262">
        <v>-4.8949999999999996</v>
      </c>
      <c r="J81" s="262">
        <v>-2.0699999999999998</v>
      </c>
      <c r="K81" s="262"/>
      <c r="L81" s="262"/>
      <c r="M81" s="262"/>
      <c r="N81" s="262">
        <f t="shared" si="8"/>
        <v>-3.5009999999999999</v>
      </c>
      <c r="O81" s="262">
        <f t="shared" si="9"/>
        <v>-4.8949999999999996</v>
      </c>
      <c r="P81" s="262">
        <f t="shared" si="10"/>
        <v>-2.0699999999999998</v>
      </c>
      <c r="Q81" s="278"/>
      <c r="R81" s="128">
        <v>-3.83</v>
      </c>
      <c r="S81" s="128">
        <v>-2.5859999999999999</v>
      </c>
      <c r="T81" s="128"/>
      <c r="U81" s="278"/>
      <c r="V81" s="278"/>
      <c r="W81" s="262">
        <v>0.63300000000000001</v>
      </c>
      <c r="X81" s="128">
        <v>0.84</v>
      </c>
      <c r="Y81" s="128"/>
      <c r="Z81" s="279"/>
      <c r="AA81" s="262">
        <v>-0.65700000000000003</v>
      </c>
      <c r="AB81" s="262">
        <v>-0.79869999999999997</v>
      </c>
      <c r="AC81" s="262">
        <v>-1.0079</v>
      </c>
      <c r="AD81" s="278"/>
      <c r="AE81" s="278"/>
      <c r="AF81" s="262">
        <f t="shared" si="15"/>
        <v>-0.65700000000000003</v>
      </c>
      <c r="AG81" s="128">
        <v>1.7343</v>
      </c>
      <c r="AH81" s="128"/>
      <c r="AI81" s="128"/>
      <c r="AJ81" s="128"/>
      <c r="AK81" s="128"/>
      <c r="AL81" s="128"/>
      <c r="AM81" s="244"/>
      <c r="AN81" s="244"/>
      <c r="AO81" s="244"/>
      <c r="AP81" s="244"/>
      <c r="AQ81" s="244"/>
      <c r="AR81" s="244"/>
      <c r="AS81" s="244"/>
      <c r="AT81" s="244"/>
      <c r="AU81" s="244"/>
      <c r="AV81" s="271">
        <v>0.5</v>
      </c>
      <c r="AW81" s="271"/>
      <c r="AX81" s="271"/>
      <c r="AY81" s="271">
        <v>0.5</v>
      </c>
      <c r="AZ81" s="271">
        <v>0</v>
      </c>
      <c r="BA81" s="271">
        <v>0</v>
      </c>
      <c r="BB81" s="271"/>
      <c r="BC81" s="271">
        <f t="shared" si="12"/>
        <v>1</v>
      </c>
      <c r="BD81" s="272">
        <f t="shared" si="13"/>
        <v>-0.33630000000000004</v>
      </c>
      <c r="BE81" s="243">
        <f t="shared" si="16"/>
        <v>-0.33630000000000004</v>
      </c>
      <c r="BF81" s="330"/>
      <c r="BG81" s="330"/>
      <c r="BH81" s="330"/>
      <c r="BI81" s="330"/>
      <c r="BJ81" s="330"/>
      <c r="BK81" s="330"/>
      <c r="BL81" s="330"/>
      <c r="BM81" s="330"/>
      <c r="BN81" s="330"/>
      <c r="BO81" s="330"/>
      <c r="BP81" s="330"/>
      <c r="BQ81" s="330"/>
      <c r="CB81" s="243">
        <f t="shared" si="11"/>
        <v>0.56541453874052738</v>
      </c>
      <c r="CC81" s="243"/>
      <c r="CD81" s="243">
        <f t="shared" si="17"/>
        <v>0.56541453874052738</v>
      </c>
      <c r="CG81" s="734">
        <f t="shared" si="14"/>
        <v>-1.3056000000000001</v>
      </c>
    </row>
    <row r="82" spans="1:85" x14ac:dyDescent="0.2">
      <c r="A82" s="19">
        <v>30010</v>
      </c>
      <c r="B82" s="262">
        <v>-5.5896999999999997</v>
      </c>
      <c r="C82" s="262">
        <v>-22.221800000000002</v>
      </c>
      <c r="D82" s="262">
        <v>-3.45</v>
      </c>
      <c r="E82" s="262">
        <v>-2.6703999999999999</v>
      </c>
      <c r="F82" s="278"/>
      <c r="G82" s="278"/>
      <c r="H82" s="262">
        <v>-4.968</v>
      </c>
      <c r="I82" s="262">
        <v>-7.0940000000000003</v>
      </c>
      <c r="J82" s="262">
        <v>-2.8580000000000001</v>
      </c>
      <c r="K82" s="262"/>
      <c r="L82" s="262"/>
      <c r="M82" s="262"/>
      <c r="N82" s="262">
        <f t="shared" si="8"/>
        <v>-4.968</v>
      </c>
      <c r="O82" s="262">
        <f t="shared" si="9"/>
        <v>-7.0940000000000003</v>
      </c>
      <c r="P82" s="262">
        <f t="shared" si="10"/>
        <v>-2.8580000000000001</v>
      </c>
      <c r="Q82" s="278"/>
      <c r="R82" s="128">
        <v>-4.41</v>
      </c>
      <c r="S82" s="128">
        <v>-5.0919999999999996</v>
      </c>
      <c r="T82" s="128"/>
      <c r="U82" s="278"/>
      <c r="V82" s="278"/>
      <c r="W82" s="262">
        <v>1.946</v>
      </c>
      <c r="X82" s="128">
        <v>1.84</v>
      </c>
      <c r="Y82" s="128"/>
      <c r="Z82" s="279"/>
      <c r="AA82" s="262">
        <v>-6.36</v>
      </c>
      <c r="AB82" s="262">
        <v>-7.5528000000000004</v>
      </c>
      <c r="AC82" s="262">
        <v>-5.2168000000000001</v>
      </c>
      <c r="AD82" s="278"/>
      <c r="AE82" s="278"/>
      <c r="AF82" s="262">
        <f t="shared" si="15"/>
        <v>-6.36</v>
      </c>
      <c r="AG82" s="128">
        <v>1.7343</v>
      </c>
      <c r="AH82" s="128"/>
      <c r="AI82" s="128"/>
      <c r="AJ82" s="128"/>
      <c r="AK82" s="128"/>
      <c r="AL82" s="128"/>
      <c r="AM82" s="244"/>
      <c r="AN82" s="244"/>
      <c r="AO82" s="244"/>
      <c r="AP82" s="244"/>
      <c r="AQ82" s="244"/>
      <c r="AR82" s="244"/>
      <c r="AS82" s="244"/>
      <c r="AT82" s="244"/>
      <c r="AU82" s="244"/>
      <c r="AV82" s="271">
        <v>0.5</v>
      </c>
      <c r="AW82" s="271"/>
      <c r="AX82" s="271"/>
      <c r="AY82" s="271">
        <v>0.5</v>
      </c>
      <c r="AZ82" s="271">
        <v>0</v>
      </c>
      <c r="BA82" s="271">
        <v>0</v>
      </c>
      <c r="BB82" s="271"/>
      <c r="BC82" s="271">
        <f t="shared" si="12"/>
        <v>1</v>
      </c>
      <c r="BD82" s="272">
        <f t="shared" si="13"/>
        <v>-1.82185</v>
      </c>
      <c r="BE82" s="243">
        <f t="shared" si="16"/>
        <v>-1.82185</v>
      </c>
      <c r="BF82" s="330"/>
      <c r="BG82" s="330"/>
      <c r="BH82" s="330"/>
      <c r="BI82" s="330"/>
      <c r="BJ82" s="330"/>
      <c r="BK82" s="330"/>
      <c r="BL82" s="330"/>
      <c r="BM82" s="330"/>
      <c r="BN82" s="330"/>
      <c r="BO82" s="330"/>
      <c r="BP82" s="330"/>
      <c r="BQ82" s="330"/>
      <c r="CB82" s="243">
        <f t="shared" si="11"/>
        <v>0.56541453874052738</v>
      </c>
      <c r="CC82" s="243"/>
      <c r="CD82" s="243">
        <f t="shared" si="17"/>
        <v>0.56541453874052738</v>
      </c>
      <c r="CG82" s="734">
        <f t="shared" si="14"/>
        <v>-5.5896999999999997</v>
      </c>
    </row>
    <row r="83" spans="1:85" x14ac:dyDescent="0.2">
      <c r="A83" s="19">
        <v>30041</v>
      </c>
      <c r="B83" s="262">
        <v>-0.52159999999999995</v>
      </c>
      <c r="C83" s="262">
        <v>18.0608</v>
      </c>
      <c r="D83" s="262">
        <v>0.28999999999999998</v>
      </c>
      <c r="E83" s="262">
        <v>-0.83360000000000001</v>
      </c>
      <c r="F83" s="278"/>
      <c r="G83" s="278"/>
      <c r="H83" s="262">
        <v>-1.117</v>
      </c>
      <c r="I83" s="262">
        <v>-2.75</v>
      </c>
      <c r="J83" s="262">
        <v>0.35699999999999998</v>
      </c>
      <c r="K83" s="262"/>
      <c r="L83" s="262"/>
      <c r="M83" s="262"/>
      <c r="N83" s="262">
        <f t="shared" si="8"/>
        <v>-1.117</v>
      </c>
      <c r="O83" s="262">
        <f t="shared" si="9"/>
        <v>-2.75</v>
      </c>
      <c r="P83" s="262">
        <f t="shared" si="10"/>
        <v>0.35699999999999998</v>
      </c>
      <c r="Q83" s="278"/>
      <c r="R83" s="128">
        <v>-0.95</v>
      </c>
      <c r="S83" s="128">
        <v>-0.90300000000000002</v>
      </c>
      <c r="T83" s="128"/>
      <c r="U83" s="278"/>
      <c r="V83" s="278"/>
      <c r="W83" s="262">
        <v>1.27</v>
      </c>
      <c r="X83" s="128">
        <v>0.97</v>
      </c>
      <c r="Y83" s="128"/>
      <c r="Z83" s="279"/>
      <c r="AA83" s="262">
        <v>-4.8499999999999996</v>
      </c>
      <c r="AB83" s="262">
        <v>-4.5094000000000003</v>
      </c>
      <c r="AC83" s="262">
        <v>-5.5704000000000002</v>
      </c>
      <c r="AD83" s="278"/>
      <c r="AE83" s="278"/>
      <c r="AF83" s="262">
        <f t="shared" si="15"/>
        <v>-4.8499999999999996</v>
      </c>
      <c r="AG83" s="128">
        <v>1.7343</v>
      </c>
      <c r="AH83" s="128"/>
      <c r="AI83" s="128"/>
      <c r="AJ83" s="128"/>
      <c r="AK83" s="128"/>
      <c r="AL83" s="128"/>
      <c r="AM83" s="244"/>
      <c r="AN83" s="244"/>
      <c r="AO83" s="244"/>
      <c r="AP83" s="244"/>
      <c r="AQ83" s="244"/>
      <c r="AR83" s="244"/>
      <c r="AS83" s="244"/>
      <c r="AT83" s="244"/>
      <c r="AU83" s="244"/>
      <c r="AV83" s="271">
        <v>0.5</v>
      </c>
      <c r="AW83" s="271"/>
      <c r="AX83" s="271"/>
      <c r="AY83" s="271">
        <v>0.5</v>
      </c>
      <c r="AZ83" s="271">
        <v>0</v>
      </c>
      <c r="BA83" s="271">
        <v>0</v>
      </c>
      <c r="BB83" s="271"/>
      <c r="BC83" s="271">
        <f t="shared" si="12"/>
        <v>1</v>
      </c>
      <c r="BD83" s="272">
        <f t="shared" si="13"/>
        <v>0.37420000000000003</v>
      </c>
      <c r="BE83" s="243">
        <f t="shared" si="16"/>
        <v>0.37420000000000003</v>
      </c>
      <c r="BF83" s="330"/>
      <c r="BG83" s="330"/>
      <c r="BH83" s="330"/>
      <c r="BI83" s="330"/>
      <c r="BJ83" s="330"/>
      <c r="BK83" s="330"/>
      <c r="BL83" s="330"/>
      <c r="BM83" s="330"/>
      <c r="BN83" s="330"/>
      <c r="BO83" s="330"/>
      <c r="BP83" s="330"/>
      <c r="BQ83" s="330"/>
      <c r="CB83" s="243">
        <f t="shared" si="11"/>
        <v>0.56541453874052738</v>
      </c>
      <c r="CC83" s="243"/>
      <c r="CD83" s="243">
        <f t="shared" si="17"/>
        <v>0.56541453874052738</v>
      </c>
      <c r="CG83" s="734">
        <f t="shared" si="14"/>
        <v>-0.52159999999999995</v>
      </c>
    </row>
    <row r="84" spans="1:85" x14ac:dyDescent="0.2">
      <c r="A84" s="19">
        <v>30071</v>
      </c>
      <c r="B84" s="262">
        <v>4.5194999999999999</v>
      </c>
      <c r="C84" s="262">
        <v>5.4991000000000003</v>
      </c>
      <c r="D84" s="262">
        <v>2.82</v>
      </c>
      <c r="E84" s="262">
        <v>4.7729999999999997</v>
      </c>
      <c r="F84" s="278"/>
      <c r="G84" s="278"/>
      <c r="H84" s="262">
        <v>5.327</v>
      </c>
      <c r="I84" s="262">
        <v>6.1689999999999996</v>
      </c>
      <c r="J84" s="262">
        <v>4.4470000000000001</v>
      </c>
      <c r="K84" s="262"/>
      <c r="L84" s="262"/>
      <c r="M84" s="262"/>
      <c r="N84" s="262">
        <f t="shared" si="8"/>
        <v>5.327</v>
      </c>
      <c r="O84" s="262">
        <f t="shared" si="9"/>
        <v>6.1689999999999996</v>
      </c>
      <c r="P84" s="262">
        <f t="shared" si="10"/>
        <v>4.4470000000000001</v>
      </c>
      <c r="Q84" s="278"/>
      <c r="R84" s="128">
        <v>5.0999999999999996</v>
      </c>
      <c r="S84" s="128">
        <v>4.2210000000000001</v>
      </c>
      <c r="T84" s="128"/>
      <c r="U84" s="278"/>
      <c r="V84" s="278"/>
      <c r="W84" s="262">
        <v>2.8090000000000002</v>
      </c>
      <c r="X84" s="128">
        <v>2.38</v>
      </c>
      <c r="Y84" s="128"/>
      <c r="Z84" s="279"/>
      <c r="AA84" s="262">
        <v>6.5030000000000001</v>
      </c>
      <c r="AB84" s="262">
        <v>6.0251000000000001</v>
      </c>
      <c r="AC84" s="262">
        <v>7.0323000000000002</v>
      </c>
      <c r="AD84" s="278"/>
      <c r="AE84" s="278"/>
      <c r="AF84" s="262">
        <f t="shared" si="15"/>
        <v>6.5030000000000001</v>
      </c>
      <c r="AG84" s="128">
        <v>0.82389999999999997</v>
      </c>
      <c r="AH84" s="128"/>
      <c r="AI84" s="128"/>
      <c r="AJ84" s="128"/>
      <c r="AK84" s="128"/>
      <c r="AL84" s="128"/>
      <c r="AM84" s="244"/>
      <c r="AN84" s="244"/>
      <c r="AO84" s="244"/>
      <c r="AP84" s="244"/>
      <c r="AQ84" s="244"/>
      <c r="AR84" s="244"/>
      <c r="AS84" s="244"/>
      <c r="AT84" s="244"/>
      <c r="AU84" s="244"/>
      <c r="AV84" s="271">
        <v>0.5</v>
      </c>
      <c r="AW84" s="271"/>
      <c r="AX84" s="271"/>
      <c r="AY84" s="271">
        <v>0.5</v>
      </c>
      <c r="AZ84" s="271">
        <v>0</v>
      </c>
      <c r="BA84" s="271">
        <v>0</v>
      </c>
      <c r="BB84" s="271"/>
      <c r="BC84" s="271">
        <f t="shared" si="12"/>
        <v>1</v>
      </c>
      <c r="BD84" s="272">
        <f t="shared" si="13"/>
        <v>3.66425</v>
      </c>
      <c r="BE84" s="243">
        <f t="shared" si="16"/>
        <v>3.66425</v>
      </c>
      <c r="BF84" s="330"/>
      <c r="BG84" s="330"/>
      <c r="BH84" s="330"/>
      <c r="BI84" s="330"/>
      <c r="BJ84" s="330"/>
      <c r="BK84" s="330"/>
      <c r="BL84" s="330"/>
      <c r="BM84" s="330"/>
      <c r="BN84" s="330"/>
      <c r="BO84" s="330"/>
      <c r="BP84" s="330"/>
      <c r="BQ84" s="330"/>
      <c r="CB84" s="243">
        <f t="shared" si="11"/>
        <v>0.56541453874052738</v>
      </c>
      <c r="CC84" s="243"/>
      <c r="CD84" s="243">
        <f t="shared" si="17"/>
        <v>0.56541453874052738</v>
      </c>
      <c r="CG84" s="734">
        <f t="shared" si="14"/>
        <v>4.5194999999999999</v>
      </c>
    </row>
    <row r="85" spans="1:85" x14ac:dyDescent="0.2">
      <c r="A85" s="19">
        <v>30102</v>
      </c>
      <c r="B85" s="262">
        <v>-3.4095</v>
      </c>
      <c r="C85" s="262">
        <v>-3.0392999999999999</v>
      </c>
      <c r="D85" s="262">
        <v>-2.4500000000000002</v>
      </c>
      <c r="E85" s="262">
        <v>-1.6755</v>
      </c>
      <c r="F85" s="278"/>
      <c r="G85" s="278"/>
      <c r="H85" s="262">
        <v>-2.835</v>
      </c>
      <c r="I85" s="262">
        <v>-3.4740000000000002</v>
      </c>
      <c r="J85" s="262">
        <v>-2.19</v>
      </c>
      <c r="K85" s="262"/>
      <c r="L85" s="262"/>
      <c r="M85" s="262"/>
      <c r="N85" s="262">
        <f t="shared" si="8"/>
        <v>-2.835</v>
      </c>
      <c r="O85" s="262">
        <f t="shared" si="9"/>
        <v>-3.4740000000000002</v>
      </c>
      <c r="P85" s="262">
        <f t="shared" si="10"/>
        <v>-2.19</v>
      </c>
      <c r="Q85" s="278"/>
      <c r="R85" s="128">
        <v>-2.91</v>
      </c>
      <c r="S85" s="128">
        <v>-2.7080000000000002</v>
      </c>
      <c r="T85" s="128"/>
      <c r="U85" s="278"/>
      <c r="V85" s="278"/>
      <c r="W85" s="262">
        <v>1.617</v>
      </c>
      <c r="X85" s="128">
        <v>1.64</v>
      </c>
      <c r="Y85" s="128"/>
      <c r="Z85" s="279"/>
      <c r="AA85" s="262">
        <v>-1.296</v>
      </c>
      <c r="AB85" s="262">
        <v>-1.2128000000000001</v>
      </c>
      <c r="AC85" s="262">
        <v>-1.617</v>
      </c>
      <c r="AD85" s="278"/>
      <c r="AE85" s="278"/>
      <c r="AF85" s="262">
        <f t="shared" si="15"/>
        <v>-1.296</v>
      </c>
      <c r="AG85" s="128">
        <v>0.82389999999999997</v>
      </c>
      <c r="AH85" s="128"/>
      <c r="AI85" s="128"/>
      <c r="AJ85" s="128"/>
      <c r="AK85" s="128"/>
      <c r="AL85" s="128"/>
      <c r="AM85" s="244"/>
      <c r="AN85" s="244"/>
      <c r="AO85" s="244"/>
      <c r="AP85" s="244"/>
      <c r="AQ85" s="244"/>
      <c r="AR85" s="244"/>
      <c r="AS85" s="244"/>
      <c r="AT85" s="244"/>
      <c r="AU85" s="244"/>
      <c r="AV85" s="271">
        <v>0.5</v>
      </c>
      <c r="AW85" s="271"/>
      <c r="AX85" s="271"/>
      <c r="AY85" s="271">
        <v>0.5</v>
      </c>
      <c r="AZ85" s="271">
        <v>0</v>
      </c>
      <c r="BA85" s="271">
        <v>0</v>
      </c>
      <c r="BB85" s="271"/>
      <c r="BC85" s="271">
        <f t="shared" si="12"/>
        <v>1</v>
      </c>
      <c r="BD85" s="272">
        <f t="shared" si="13"/>
        <v>-0.89624999999999999</v>
      </c>
      <c r="BE85" s="243">
        <f t="shared" si="16"/>
        <v>-0.89624999999999999</v>
      </c>
      <c r="BF85" s="330"/>
      <c r="BG85" s="330"/>
      <c r="BH85" s="330"/>
      <c r="BI85" s="330"/>
      <c r="BJ85" s="330"/>
      <c r="BK85" s="330"/>
      <c r="BL85" s="330"/>
      <c r="BM85" s="330"/>
      <c r="BN85" s="330"/>
      <c r="BO85" s="330"/>
      <c r="BP85" s="330"/>
      <c r="BQ85" s="330"/>
      <c r="CB85" s="243">
        <f t="shared" si="11"/>
        <v>0.56541453874052738</v>
      </c>
      <c r="CC85" s="243"/>
      <c r="CD85" s="243">
        <f t="shared" si="17"/>
        <v>0.56541453874052738</v>
      </c>
      <c r="CG85" s="734">
        <f t="shared" si="14"/>
        <v>-3.4095</v>
      </c>
    </row>
    <row r="86" spans="1:85" x14ac:dyDescent="0.2">
      <c r="A86" s="19">
        <v>30132</v>
      </c>
      <c r="B86" s="262">
        <v>-1.5016</v>
      </c>
      <c r="C86" s="262">
        <v>-1.6603000000000001</v>
      </c>
      <c r="D86" s="262">
        <v>-1.78</v>
      </c>
      <c r="E86" s="262">
        <v>-2.6579000000000002</v>
      </c>
      <c r="F86" s="278"/>
      <c r="G86" s="278"/>
      <c r="H86" s="262">
        <v>-3.6930000000000001</v>
      </c>
      <c r="I86" s="262">
        <v>-4.18</v>
      </c>
      <c r="J86" s="262">
        <v>-3.1419999999999999</v>
      </c>
      <c r="K86" s="262"/>
      <c r="L86" s="262"/>
      <c r="M86" s="262"/>
      <c r="N86" s="262">
        <f t="shared" si="8"/>
        <v>-3.6930000000000001</v>
      </c>
      <c r="O86" s="262">
        <f t="shared" si="9"/>
        <v>-4.18</v>
      </c>
      <c r="P86" s="262">
        <f t="shared" si="10"/>
        <v>-3.1419999999999999</v>
      </c>
      <c r="Q86" s="278"/>
      <c r="R86" s="128">
        <v>-2.84</v>
      </c>
      <c r="S86" s="128">
        <v>-2.4289999999999998</v>
      </c>
      <c r="T86" s="128"/>
      <c r="U86" s="278"/>
      <c r="V86" s="278"/>
      <c r="W86" s="262">
        <v>-1.571</v>
      </c>
      <c r="X86" s="128">
        <v>-1.1200000000000001</v>
      </c>
      <c r="Y86" s="128"/>
      <c r="Z86" s="279"/>
      <c r="AA86" s="262">
        <v>-7.468</v>
      </c>
      <c r="AB86" s="262">
        <v>-6.9215999999999998</v>
      </c>
      <c r="AC86" s="262">
        <v>-7.8423999999999996</v>
      </c>
      <c r="AD86" s="278"/>
      <c r="AE86" s="278"/>
      <c r="AF86" s="262">
        <f t="shared" si="15"/>
        <v>-7.468</v>
      </c>
      <c r="AG86" s="128">
        <v>0.82389999999999997</v>
      </c>
      <c r="AH86" s="128"/>
      <c r="AI86" s="128"/>
      <c r="AJ86" s="128"/>
      <c r="AK86" s="128"/>
      <c r="AL86" s="128"/>
      <c r="AM86" s="244"/>
      <c r="AN86" s="244"/>
      <c r="AO86" s="244"/>
      <c r="AP86" s="244"/>
      <c r="AQ86" s="244"/>
      <c r="AR86" s="244"/>
      <c r="AS86" s="244"/>
      <c r="AT86" s="244"/>
      <c r="AU86" s="244"/>
      <c r="AV86" s="271">
        <v>0.5</v>
      </c>
      <c r="AW86" s="271"/>
      <c r="AX86" s="271"/>
      <c r="AY86" s="271">
        <v>0.5</v>
      </c>
      <c r="AZ86" s="271">
        <v>0</v>
      </c>
      <c r="BA86" s="271">
        <v>0</v>
      </c>
      <c r="BB86" s="271"/>
      <c r="BC86" s="271">
        <f t="shared" si="12"/>
        <v>1</v>
      </c>
      <c r="BD86" s="272">
        <f t="shared" si="13"/>
        <v>-1.5363</v>
      </c>
      <c r="BE86" s="243">
        <f t="shared" si="16"/>
        <v>-1.5363</v>
      </c>
      <c r="BF86" s="330"/>
      <c r="BG86" s="330"/>
      <c r="BH86" s="330"/>
      <c r="BI86" s="330"/>
      <c r="BJ86" s="330"/>
      <c r="BK86" s="330"/>
      <c r="BL86" s="330"/>
      <c r="BM86" s="330"/>
      <c r="BN86" s="330"/>
      <c r="BO86" s="330"/>
      <c r="BP86" s="330"/>
      <c r="BQ86" s="330"/>
      <c r="CB86" s="243">
        <f t="shared" si="11"/>
        <v>0.56541453874052738</v>
      </c>
      <c r="CC86" s="243"/>
      <c r="CD86" s="243">
        <f t="shared" si="17"/>
        <v>0.56541453874052738</v>
      </c>
      <c r="CG86" s="734">
        <f t="shared" si="14"/>
        <v>-1.5016</v>
      </c>
    </row>
    <row r="87" spans="1:85" x14ac:dyDescent="0.2">
      <c r="A87" s="19">
        <v>30163</v>
      </c>
      <c r="B87" s="262">
        <v>-1.7789999999999999</v>
      </c>
      <c r="C87" s="262">
        <v>-1.151</v>
      </c>
      <c r="D87" s="262">
        <v>-2.97</v>
      </c>
      <c r="E87" s="262">
        <v>-3.4188000000000001</v>
      </c>
      <c r="F87" s="278"/>
      <c r="G87" s="278"/>
      <c r="H87" s="262">
        <v>-1.474</v>
      </c>
      <c r="I87" s="262">
        <v>-2.004</v>
      </c>
      <c r="J87" s="262">
        <v>-0.91500000000000004</v>
      </c>
      <c r="K87" s="262"/>
      <c r="L87" s="262"/>
      <c r="M87" s="262"/>
      <c r="N87" s="262">
        <f t="shared" si="8"/>
        <v>-1.474</v>
      </c>
      <c r="O87" s="262">
        <f t="shared" si="9"/>
        <v>-2.004</v>
      </c>
      <c r="P87" s="262">
        <f t="shared" si="10"/>
        <v>-0.91500000000000004</v>
      </c>
      <c r="Q87" s="278"/>
      <c r="R87" s="128">
        <v>-1.46</v>
      </c>
      <c r="S87" s="128">
        <v>-2.036</v>
      </c>
      <c r="T87" s="128"/>
      <c r="U87" s="278"/>
      <c r="V87" s="278"/>
      <c r="W87" s="262">
        <v>4.2990000000000004</v>
      </c>
      <c r="X87" s="128">
        <v>4.04</v>
      </c>
      <c r="Y87" s="128"/>
      <c r="Z87" s="279"/>
      <c r="AA87" s="262">
        <v>-1.1539999999999999</v>
      </c>
      <c r="AB87" s="262">
        <v>-1.9E-3</v>
      </c>
      <c r="AC87" s="262">
        <v>-2.3231999999999999</v>
      </c>
      <c r="AD87" s="278"/>
      <c r="AE87" s="278"/>
      <c r="AF87" s="262">
        <f t="shared" si="15"/>
        <v>-1.1539999999999999</v>
      </c>
      <c r="AG87" s="128">
        <v>0.68520000000000003</v>
      </c>
      <c r="AH87" s="128"/>
      <c r="AI87" s="128"/>
      <c r="AJ87" s="128"/>
      <c r="AK87" s="128"/>
      <c r="AL87" s="128"/>
      <c r="AM87" s="244"/>
      <c r="AN87" s="244"/>
      <c r="AO87" s="244"/>
      <c r="AP87" s="244"/>
      <c r="AQ87" s="244"/>
      <c r="AR87" s="244"/>
      <c r="AS87" s="244"/>
      <c r="AT87" s="244"/>
      <c r="AU87" s="244"/>
      <c r="AV87" s="271">
        <v>0.5</v>
      </c>
      <c r="AW87" s="271"/>
      <c r="AX87" s="271"/>
      <c r="AY87" s="271">
        <v>0.5</v>
      </c>
      <c r="AZ87" s="271">
        <v>0</v>
      </c>
      <c r="BA87" s="271">
        <v>0</v>
      </c>
      <c r="BB87" s="271"/>
      <c r="BC87" s="271">
        <f t="shared" si="12"/>
        <v>1</v>
      </c>
      <c r="BD87" s="272">
        <f t="shared" si="13"/>
        <v>1.2600000000000002</v>
      </c>
      <c r="BE87" s="243">
        <f t="shared" si="16"/>
        <v>1.2600000000000002</v>
      </c>
      <c r="BF87" s="330"/>
      <c r="BG87" s="330"/>
      <c r="BH87" s="330"/>
      <c r="BI87" s="330"/>
      <c r="BJ87" s="330"/>
      <c r="BK87" s="330"/>
      <c r="BL87" s="330"/>
      <c r="BM87" s="330"/>
      <c r="BN87" s="330"/>
      <c r="BO87" s="330"/>
      <c r="BP87" s="330"/>
      <c r="BQ87" s="330"/>
      <c r="CB87" s="243">
        <f t="shared" si="11"/>
        <v>0.56541453874052738</v>
      </c>
      <c r="CC87" s="243"/>
      <c r="CD87" s="243">
        <f t="shared" si="17"/>
        <v>0.56541453874052738</v>
      </c>
      <c r="CG87" s="734">
        <f t="shared" si="14"/>
        <v>-1.7789999999999999</v>
      </c>
    </row>
    <row r="88" spans="1:85" x14ac:dyDescent="0.2">
      <c r="A88" s="19">
        <v>30194</v>
      </c>
      <c r="B88" s="262">
        <v>12.1393</v>
      </c>
      <c r="C88" s="262">
        <v>11.471299999999999</v>
      </c>
      <c r="D88" s="262">
        <v>13.62</v>
      </c>
      <c r="E88" s="262">
        <v>10.4359</v>
      </c>
      <c r="F88" s="278"/>
      <c r="G88" s="278"/>
      <c r="H88" s="262">
        <v>7.9930000000000003</v>
      </c>
      <c r="I88" s="262">
        <v>7.5330000000000004</v>
      </c>
      <c r="J88" s="262">
        <v>8.7200000000000006</v>
      </c>
      <c r="K88" s="262"/>
      <c r="L88" s="262"/>
      <c r="M88" s="262"/>
      <c r="N88" s="262">
        <f t="shared" si="8"/>
        <v>7.9930000000000003</v>
      </c>
      <c r="O88" s="262">
        <f t="shared" si="9"/>
        <v>7.5330000000000004</v>
      </c>
      <c r="P88" s="262">
        <f t="shared" si="10"/>
        <v>8.7200000000000006</v>
      </c>
      <c r="Q88" s="278"/>
      <c r="R88" s="128">
        <v>10.1</v>
      </c>
      <c r="S88" s="128">
        <v>11.978999999999999</v>
      </c>
      <c r="T88" s="128"/>
      <c r="U88" s="278"/>
      <c r="V88" s="278"/>
      <c r="W88" s="262">
        <v>5.4649999999999999</v>
      </c>
      <c r="X88" s="128">
        <v>4.6399999999999997</v>
      </c>
      <c r="Y88" s="128"/>
      <c r="Z88" s="279"/>
      <c r="AA88" s="262">
        <v>6.5000000000000002E-2</v>
      </c>
      <c r="AB88" s="262">
        <v>-0.1109</v>
      </c>
      <c r="AC88" s="262">
        <v>0.2374</v>
      </c>
      <c r="AD88" s="278"/>
      <c r="AE88" s="278"/>
      <c r="AF88" s="262">
        <f t="shared" si="15"/>
        <v>6.5000000000000002E-2</v>
      </c>
      <c r="AG88" s="128">
        <v>0.68520000000000003</v>
      </c>
      <c r="AH88" s="128"/>
      <c r="AI88" s="128"/>
      <c r="AJ88" s="128"/>
      <c r="AK88" s="128"/>
      <c r="AL88" s="128"/>
      <c r="AM88" s="244"/>
      <c r="AN88" s="244"/>
      <c r="AO88" s="244"/>
      <c r="AP88" s="244"/>
      <c r="AQ88" s="244"/>
      <c r="AR88" s="244"/>
      <c r="AS88" s="244"/>
      <c r="AT88" s="244"/>
      <c r="AU88" s="244"/>
      <c r="AV88" s="271">
        <v>0.5</v>
      </c>
      <c r="AW88" s="271"/>
      <c r="AX88" s="271"/>
      <c r="AY88" s="271">
        <v>0.5</v>
      </c>
      <c r="AZ88" s="271">
        <v>0</v>
      </c>
      <c r="BA88" s="271">
        <v>0</v>
      </c>
      <c r="BB88" s="271"/>
      <c r="BC88" s="271">
        <f t="shared" si="12"/>
        <v>1</v>
      </c>
      <c r="BD88" s="272">
        <f t="shared" si="13"/>
        <v>8.802150000000001</v>
      </c>
      <c r="BE88" s="243">
        <f t="shared" si="16"/>
        <v>8.802150000000001</v>
      </c>
      <c r="BF88" s="330"/>
      <c r="BG88" s="330"/>
      <c r="BH88" s="330"/>
      <c r="BI88" s="330"/>
      <c r="BJ88" s="330"/>
      <c r="BK88" s="330"/>
      <c r="BL88" s="330"/>
      <c r="BM88" s="330"/>
      <c r="BN88" s="330"/>
      <c r="BO88" s="330"/>
      <c r="BP88" s="330"/>
      <c r="BQ88" s="330"/>
      <c r="CB88" s="243">
        <f t="shared" si="11"/>
        <v>0.56541453874052738</v>
      </c>
      <c r="CC88" s="243"/>
      <c r="CD88" s="243">
        <f t="shared" si="17"/>
        <v>0.56541453874052738</v>
      </c>
      <c r="CG88" s="734">
        <f t="shared" si="14"/>
        <v>12.1393</v>
      </c>
    </row>
    <row r="89" spans="1:85" x14ac:dyDescent="0.2">
      <c r="A89" s="19">
        <v>30224</v>
      </c>
      <c r="B89" s="262">
        <v>1.2467999999999999</v>
      </c>
      <c r="C89" s="262">
        <v>1.6389</v>
      </c>
      <c r="D89" s="262">
        <v>0.5</v>
      </c>
      <c r="E89" s="262">
        <v>3.2437999999999998</v>
      </c>
      <c r="F89" s="278"/>
      <c r="G89" s="278"/>
      <c r="H89" s="262">
        <v>3.887</v>
      </c>
      <c r="I89" s="262">
        <v>3.8260000000000001</v>
      </c>
      <c r="J89" s="262">
        <v>3.6459999999999999</v>
      </c>
      <c r="K89" s="262"/>
      <c r="L89" s="262"/>
      <c r="M89" s="262"/>
      <c r="N89" s="262">
        <f t="shared" si="8"/>
        <v>3.887</v>
      </c>
      <c r="O89" s="262">
        <f t="shared" si="9"/>
        <v>3.8260000000000001</v>
      </c>
      <c r="P89" s="262">
        <f t="shared" si="10"/>
        <v>3.6459999999999999</v>
      </c>
      <c r="Q89" s="278"/>
      <c r="R89" s="128">
        <v>3.43</v>
      </c>
      <c r="S89" s="128">
        <v>1.69</v>
      </c>
      <c r="T89" s="128"/>
      <c r="U89" s="278"/>
      <c r="V89" s="278"/>
      <c r="W89" s="262">
        <v>4.0419999999999998</v>
      </c>
      <c r="X89" s="128">
        <v>3.27</v>
      </c>
      <c r="Y89" s="128"/>
      <c r="Z89" s="279"/>
      <c r="AA89" s="262">
        <v>-0.63100000000000001</v>
      </c>
      <c r="AB89" s="262">
        <v>0.38490000000000002</v>
      </c>
      <c r="AC89" s="262">
        <v>-1.544</v>
      </c>
      <c r="AD89" s="278"/>
      <c r="AE89" s="278"/>
      <c r="AF89" s="262">
        <f t="shared" si="15"/>
        <v>-0.63100000000000001</v>
      </c>
      <c r="AG89" s="128">
        <v>0.68520000000000003</v>
      </c>
      <c r="AH89" s="128"/>
      <c r="AI89" s="128"/>
      <c r="AJ89" s="128"/>
      <c r="AK89" s="128"/>
      <c r="AL89" s="128"/>
      <c r="AM89" s="244"/>
      <c r="AN89" s="244"/>
      <c r="AO89" s="244"/>
      <c r="AP89" s="244"/>
      <c r="AQ89" s="244"/>
      <c r="AR89" s="244"/>
      <c r="AS89" s="244"/>
      <c r="AT89" s="244"/>
      <c r="AU89" s="244"/>
      <c r="AV89" s="271">
        <v>0.5</v>
      </c>
      <c r="AW89" s="271"/>
      <c r="AX89" s="271"/>
      <c r="AY89" s="271">
        <v>0.5</v>
      </c>
      <c r="AZ89" s="271">
        <v>0</v>
      </c>
      <c r="BA89" s="271">
        <v>0</v>
      </c>
      <c r="BB89" s="271"/>
      <c r="BC89" s="271">
        <f t="shared" si="12"/>
        <v>1</v>
      </c>
      <c r="BD89" s="272">
        <f t="shared" si="13"/>
        <v>2.6444000000000001</v>
      </c>
      <c r="BE89" s="243">
        <f t="shared" si="16"/>
        <v>2.6444000000000001</v>
      </c>
      <c r="BF89" s="330"/>
      <c r="BG89" s="330"/>
      <c r="BH89" s="330"/>
      <c r="BI89" s="330"/>
      <c r="BJ89" s="330"/>
      <c r="BK89" s="330"/>
      <c r="BL89" s="330"/>
      <c r="BM89" s="330"/>
      <c r="BN89" s="330"/>
      <c r="BO89" s="330"/>
      <c r="BP89" s="330"/>
      <c r="BQ89" s="330"/>
      <c r="CB89" s="243">
        <f t="shared" si="11"/>
        <v>0.56541453874052738</v>
      </c>
      <c r="CC89" s="243"/>
      <c r="CD89" s="243">
        <f t="shared" si="17"/>
        <v>0.56541453874052738</v>
      </c>
      <c r="CG89" s="734">
        <f t="shared" si="14"/>
        <v>1.2467999999999999</v>
      </c>
    </row>
    <row r="90" spans="1:85" x14ac:dyDescent="0.2">
      <c r="A90" s="19">
        <v>30255</v>
      </c>
      <c r="B90" s="262">
        <v>11.5097</v>
      </c>
      <c r="C90" s="262">
        <v>11.350300000000001</v>
      </c>
      <c r="D90" s="262">
        <v>11.21</v>
      </c>
      <c r="E90" s="262">
        <v>10.3804</v>
      </c>
      <c r="F90" s="278"/>
      <c r="G90" s="278"/>
      <c r="H90" s="262">
        <v>14.372</v>
      </c>
      <c r="I90" s="262">
        <v>16.518000000000001</v>
      </c>
      <c r="J90" s="262">
        <v>12.192</v>
      </c>
      <c r="K90" s="262"/>
      <c r="L90" s="262"/>
      <c r="M90" s="262"/>
      <c r="N90" s="262">
        <f t="shared" si="8"/>
        <v>14.372</v>
      </c>
      <c r="O90" s="262">
        <f t="shared" si="9"/>
        <v>16.518000000000001</v>
      </c>
      <c r="P90" s="262">
        <f t="shared" si="10"/>
        <v>12.192</v>
      </c>
      <c r="Q90" s="278"/>
      <c r="R90" s="128">
        <v>14.26</v>
      </c>
      <c r="S90" s="128">
        <v>11.868</v>
      </c>
      <c r="T90" s="128"/>
      <c r="U90" s="278"/>
      <c r="V90" s="278"/>
      <c r="W90" s="262">
        <v>5.2969999999999997</v>
      </c>
      <c r="X90" s="128">
        <v>4.3099999999999996</v>
      </c>
      <c r="Y90" s="128"/>
      <c r="Z90" s="279"/>
      <c r="AA90" s="262">
        <v>0.42699999999999999</v>
      </c>
      <c r="AB90" s="262">
        <v>-0.51359999999999995</v>
      </c>
      <c r="AC90" s="262">
        <v>1.3180000000000001</v>
      </c>
      <c r="AD90" s="278"/>
      <c r="AE90" s="278"/>
      <c r="AF90" s="262">
        <f t="shared" si="15"/>
        <v>0.42699999999999999</v>
      </c>
      <c r="AG90" s="128">
        <v>0.50470000000000004</v>
      </c>
      <c r="AH90" s="128"/>
      <c r="AI90" s="128"/>
      <c r="AJ90" s="128"/>
      <c r="AK90" s="128"/>
      <c r="AL90" s="128"/>
      <c r="AM90" s="244"/>
      <c r="AN90" s="244"/>
      <c r="AO90" s="244"/>
      <c r="AP90" s="244"/>
      <c r="AQ90" s="244"/>
      <c r="AR90" s="244"/>
      <c r="AS90" s="244"/>
      <c r="AT90" s="244"/>
      <c r="AU90" s="244"/>
      <c r="AV90" s="271">
        <v>0.5</v>
      </c>
      <c r="AW90" s="271"/>
      <c r="AX90" s="271"/>
      <c r="AY90" s="271">
        <v>0.5</v>
      </c>
      <c r="AZ90" s="271">
        <v>0</v>
      </c>
      <c r="BA90" s="271">
        <v>0</v>
      </c>
      <c r="BB90" s="271"/>
      <c r="BC90" s="271">
        <f t="shared" si="12"/>
        <v>1</v>
      </c>
      <c r="BD90" s="272">
        <f t="shared" si="13"/>
        <v>8.4033499999999997</v>
      </c>
      <c r="BE90" s="243">
        <f t="shared" si="16"/>
        <v>8.4033499999999997</v>
      </c>
      <c r="BF90" s="330"/>
      <c r="BG90" s="330"/>
      <c r="BH90" s="330"/>
      <c r="BI90" s="330"/>
      <c r="BJ90" s="330"/>
      <c r="BK90" s="330"/>
      <c r="BL90" s="330"/>
      <c r="BM90" s="330"/>
      <c r="BN90" s="330"/>
      <c r="BO90" s="330"/>
      <c r="BP90" s="330"/>
      <c r="BQ90" s="330"/>
      <c r="CB90" s="243">
        <f t="shared" si="11"/>
        <v>0.56541453874052738</v>
      </c>
      <c r="CC90" s="243"/>
      <c r="CD90" s="243">
        <f t="shared" si="17"/>
        <v>0.56541453874052738</v>
      </c>
      <c r="CG90" s="734">
        <f t="shared" si="14"/>
        <v>11.5097</v>
      </c>
    </row>
    <row r="91" spans="1:85" x14ac:dyDescent="0.2">
      <c r="A91" s="19">
        <v>30285</v>
      </c>
      <c r="B91" s="262">
        <v>4.0385999999999997</v>
      </c>
      <c r="C91" s="262">
        <v>5.2907000000000002</v>
      </c>
      <c r="D91" s="262">
        <v>3.55</v>
      </c>
      <c r="E91" s="262">
        <v>5.9405999999999999</v>
      </c>
      <c r="F91" s="278"/>
      <c r="G91" s="278"/>
      <c r="H91" s="262">
        <v>9.1120000000000001</v>
      </c>
      <c r="I91" s="262">
        <v>10.811999999999999</v>
      </c>
      <c r="J91" s="262">
        <v>7.359</v>
      </c>
      <c r="K91" s="262"/>
      <c r="L91" s="262"/>
      <c r="M91" s="262"/>
      <c r="N91" s="262">
        <f t="shared" si="8"/>
        <v>9.1120000000000001</v>
      </c>
      <c r="O91" s="262">
        <f t="shared" si="9"/>
        <v>10.811999999999999</v>
      </c>
      <c r="P91" s="262">
        <f t="shared" si="10"/>
        <v>7.359</v>
      </c>
      <c r="Q91" s="278"/>
      <c r="R91" s="128">
        <v>8.07</v>
      </c>
      <c r="S91" s="128">
        <v>5.1639999999999997</v>
      </c>
      <c r="T91" s="128"/>
      <c r="U91" s="278"/>
      <c r="V91" s="278"/>
      <c r="W91" s="262">
        <v>0.97699999999999998</v>
      </c>
      <c r="X91" s="128">
        <v>0.94</v>
      </c>
      <c r="Y91" s="128"/>
      <c r="Z91" s="279"/>
      <c r="AA91" s="262">
        <v>8.032</v>
      </c>
      <c r="AB91" s="262">
        <v>7.3265000000000002</v>
      </c>
      <c r="AC91" s="262">
        <v>9.1521000000000008</v>
      </c>
      <c r="AD91" s="278"/>
      <c r="AE91" s="278"/>
      <c r="AF91" s="262">
        <f t="shared" si="15"/>
        <v>8.032</v>
      </c>
      <c r="AG91" s="128">
        <v>0.50470000000000004</v>
      </c>
      <c r="AH91" s="128"/>
      <c r="AI91" s="128"/>
      <c r="AJ91" s="128"/>
      <c r="AK91" s="128"/>
      <c r="AL91" s="128"/>
      <c r="AM91" s="244"/>
      <c r="AN91" s="244"/>
      <c r="AO91" s="244"/>
      <c r="AP91" s="244"/>
      <c r="AQ91" s="244"/>
      <c r="AR91" s="244"/>
      <c r="AS91" s="244"/>
      <c r="AT91" s="244"/>
      <c r="AU91" s="244"/>
      <c r="AV91" s="271">
        <v>0.5</v>
      </c>
      <c r="AW91" s="271"/>
      <c r="AX91" s="271"/>
      <c r="AY91" s="271">
        <v>0.5</v>
      </c>
      <c r="AZ91" s="271">
        <v>0</v>
      </c>
      <c r="BA91" s="271">
        <v>0</v>
      </c>
      <c r="BB91" s="271"/>
      <c r="BC91" s="271">
        <f t="shared" si="12"/>
        <v>1</v>
      </c>
      <c r="BD91" s="272">
        <f t="shared" si="13"/>
        <v>2.5078</v>
      </c>
      <c r="BE91" s="243">
        <f t="shared" si="16"/>
        <v>2.5078</v>
      </c>
      <c r="BF91" s="330"/>
      <c r="BG91" s="330"/>
      <c r="BH91" s="330"/>
      <c r="BI91" s="330"/>
      <c r="BJ91" s="330"/>
      <c r="BK91" s="330"/>
      <c r="BL91" s="330"/>
      <c r="BM91" s="330"/>
      <c r="BN91" s="330"/>
      <c r="BO91" s="330"/>
      <c r="BP91" s="330"/>
      <c r="BQ91" s="330"/>
      <c r="CB91" s="243">
        <f t="shared" si="11"/>
        <v>0.56541453874052738</v>
      </c>
      <c r="CC91" s="243"/>
      <c r="CD91" s="243">
        <f t="shared" si="17"/>
        <v>0.56541453874052738</v>
      </c>
      <c r="CG91" s="734">
        <f t="shared" si="14"/>
        <v>4.0385999999999997</v>
      </c>
    </row>
    <row r="92" spans="1:85" x14ac:dyDescent="0.2">
      <c r="A92" s="19">
        <v>30316</v>
      </c>
      <c r="B92" s="262">
        <v>1.9272</v>
      </c>
      <c r="C92" s="262">
        <v>1.9997</v>
      </c>
      <c r="D92" s="262">
        <v>1.34</v>
      </c>
      <c r="E92" s="262">
        <v>2.6303000000000001</v>
      </c>
      <c r="F92" s="278"/>
      <c r="G92" s="278"/>
      <c r="H92" s="262">
        <v>1.3460000000000001</v>
      </c>
      <c r="I92" s="262">
        <v>1.4970000000000001</v>
      </c>
      <c r="J92" s="262">
        <v>1.163</v>
      </c>
      <c r="K92" s="262"/>
      <c r="L92" s="262"/>
      <c r="M92" s="262"/>
      <c r="N92" s="262">
        <f t="shared" si="8"/>
        <v>1.3460000000000001</v>
      </c>
      <c r="O92" s="262">
        <f t="shared" si="9"/>
        <v>1.4970000000000001</v>
      </c>
      <c r="P92" s="262">
        <f t="shared" si="10"/>
        <v>1.163</v>
      </c>
      <c r="Q92" s="278"/>
      <c r="R92" s="128">
        <v>1.28</v>
      </c>
      <c r="S92" s="128">
        <v>1.502</v>
      </c>
      <c r="T92" s="128"/>
      <c r="U92" s="278"/>
      <c r="V92" s="278"/>
      <c r="W92" s="262">
        <v>2.016</v>
      </c>
      <c r="X92" s="128">
        <v>2.04</v>
      </c>
      <c r="Y92" s="128"/>
      <c r="Z92" s="279"/>
      <c r="AA92" s="262">
        <v>7.984</v>
      </c>
      <c r="AB92" s="262">
        <v>6.5698999999999996</v>
      </c>
      <c r="AC92" s="262">
        <v>9.5768000000000004</v>
      </c>
      <c r="AD92" s="278"/>
      <c r="AE92" s="278"/>
      <c r="AF92" s="262">
        <f t="shared" si="15"/>
        <v>7.984</v>
      </c>
      <c r="AG92" s="128">
        <v>0.50470000000000004</v>
      </c>
      <c r="AH92" s="128"/>
      <c r="AI92" s="128"/>
      <c r="AJ92" s="128"/>
      <c r="AK92" s="128"/>
      <c r="AL92" s="128"/>
      <c r="AM92" s="244"/>
      <c r="AN92" s="244"/>
      <c r="AO92" s="244"/>
      <c r="AP92" s="244"/>
      <c r="AQ92" s="244"/>
      <c r="AR92" s="244"/>
      <c r="AS92" s="244"/>
      <c r="AT92" s="244"/>
      <c r="AU92" s="244"/>
      <c r="AV92" s="271">
        <v>0.5</v>
      </c>
      <c r="AW92" s="271"/>
      <c r="AX92" s="271"/>
      <c r="AY92" s="271">
        <v>0.5</v>
      </c>
      <c r="AZ92" s="271">
        <v>0</v>
      </c>
      <c r="BA92" s="271">
        <v>0</v>
      </c>
      <c r="BB92" s="271"/>
      <c r="BC92" s="271">
        <f t="shared" si="12"/>
        <v>1</v>
      </c>
      <c r="BD92" s="272">
        <f t="shared" si="13"/>
        <v>1.9716</v>
      </c>
      <c r="BE92" s="243">
        <f t="shared" si="16"/>
        <v>1.9716</v>
      </c>
      <c r="BF92" s="330"/>
      <c r="BG92" s="330"/>
      <c r="BH92" s="330"/>
      <c r="BI92" s="330"/>
      <c r="BJ92" s="330"/>
      <c r="BK92" s="330"/>
      <c r="BL92" s="330"/>
      <c r="BM92" s="330"/>
      <c r="BN92" s="330"/>
      <c r="BO92" s="330"/>
      <c r="BP92" s="330"/>
      <c r="BQ92" s="330"/>
      <c r="CB92" s="243">
        <f t="shared" si="11"/>
        <v>0.56541453874052738</v>
      </c>
      <c r="CC92" s="243"/>
      <c r="CD92" s="243">
        <f t="shared" si="17"/>
        <v>0.56541453874052738</v>
      </c>
      <c r="CG92" s="734">
        <f t="shared" si="14"/>
        <v>1.9272</v>
      </c>
    </row>
    <row r="93" spans="1:85" x14ac:dyDescent="0.2">
      <c r="A93" s="19">
        <v>30347</v>
      </c>
      <c r="B93" s="262">
        <v>3.7187000000000001</v>
      </c>
      <c r="C93" s="262">
        <v>2.2603</v>
      </c>
      <c r="D93" s="262">
        <v>4.6900000000000004</v>
      </c>
      <c r="E93" s="262">
        <v>5.0274999999999999</v>
      </c>
      <c r="F93" s="278"/>
      <c r="G93" s="278"/>
      <c r="H93" s="262">
        <v>7.6050000000000004</v>
      </c>
      <c r="I93" s="262">
        <v>8.7560000000000002</v>
      </c>
      <c r="J93" s="262">
        <v>6.4660000000000002</v>
      </c>
      <c r="K93" s="262"/>
      <c r="L93" s="262"/>
      <c r="M93" s="262"/>
      <c r="N93" s="262">
        <f t="shared" si="8"/>
        <v>7.6050000000000004</v>
      </c>
      <c r="O93" s="262">
        <f t="shared" si="9"/>
        <v>8.7560000000000002</v>
      </c>
      <c r="P93" s="262">
        <f t="shared" si="10"/>
        <v>6.4660000000000002</v>
      </c>
      <c r="Q93" s="278"/>
      <c r="R93" s="128">
        <v>5.58</v>
      </c>
      <c r="S93" s="128">
        <v>3.8639999999999999</v>
      </c>
      <c r="T93" s="128"/>
      <c r="U93" s="278"/>
      <c r="V93" s="278"/>
      <c r="W93" s="262">
        <v>0.16300000000000001</v>
      </c>
      <c r="X93" s="128">
        <v>0.56999999999999995</v>
      </c>
      <c r="Y93" s="128"/>
      <c r="Z93" s="279"/>
      <c r="AA93" s="262">
        <v>-0.84299999999999997</v>
      </c>
      <c r="AB93" s="262">
        <v>-1.0618000000000001</v>
      </c>
      <c r="AC93" s="262">
        <v>6.1199999999999997E-2</v>
      </c>
      <c r="AD93" s="278"/>
      <c r="AE93" s="278"/>
      <c r="AF93" s="262">
        <f t="shared" si="15"/>
        <v>-0.84299999999999997</v>
      </c>
      <c r="AG93" s="128">
        <v>1.0038</v>
      </c>
      <c r="AH93" s="128"/>
      <c r="AI93" s="128"/>
      <c r="AJ93" s="128"/>
      <c r="AK93" s="128"/>
      <c r="AL93" s="128"/>
      <c r="AM93" s="244"/>
      <c r="AN93" s="244"/>
      <c r="AO93" s="244"/>
      <c r="AP93" s="244"/>
      <c r="AQ93" s="244"/>
      <c r="AR93" s="244"/>
      <c r="AS93" s="244"/>
      <c r="AT93" s="244"/>
      <c r="AU93" s="244"/>
      <c r="AV93" s="271">
        <v>0.5</v>
      </c>
      <c r="AW93" s="271"/>
      <c r="AX93" s="271"/>
      <c r="AY93" s="271">
        <v>0.5</v>
      </c>
      <c r="AZ93" s="271">
        <v>0</v>
      </c>
      <c r="BA93" s="271">
        <v>0</v>
      </c>
      <c r="BB93" s="271"/>
      <c r="BC93" s="271">
        <f t="shared" si="12"/>
        <v>1</v>
      </c>
      <c r="BD93" s="272">
        <f t="shared" si="13"/>
        <v>1.94085</v>
      </c>
      <c r="BE93" s="243">
        <f t="shared" si="16"/>
        <v>1.94085</v>
      </c>
      <c r="BF93" s="330"/>
      <c r="BG93" s="330"/>
      <c r="BH93" s="330"/>
      <c r="BI93" s="330"/>
      <c r="BJ93" s="330"/>
      <c r="BK93" s="330"/>
      <c r="BL93" s="330"/>
      <c r="BM93" s="330"/>
      <c r="BN93" s="330"/>
      <c r="BO93" s="330"/>
      <c r="BP93" s="330"/>
      <c r="BQ93" s="330"/>
      <c r="CB93" s="243">
        <f t="shared" si="11"/>
        <v>0.56541453874052738</v>
      </c>
      <c r="CC93" s="243"/>
      <c r="CD93" s="243">
        <f t="shared" si="17"/>
        <v>0.56541453874052738</v>
      </c>
      <c r="CG93" s="734">
        <f t="shared" si="14"/>
        <v>3.7187000000000001</v>
      </c>
    </row>
    <row r="94" spans="1:85" x14ac:dyDescent="0.2">
      <c r="A94" s="19">
        <v>30375</v>
      </c>
      <c r="B94" s="262">
        <v>2.2917999999999998</v>
      </c>
      <c r="C94" s="262">
        <v>2.9203000000000001</v>
      </c>
      <c r="D94" s="262">
        <v>2.16</v>
      </c>
      <c r="E94" s="262">
        <v>3.2513000000000001</v>
      </c>
      <c r="F94" s="278"/>
      <c r="G94" s="278"/>
      <c r="H94" s="262">
        <v>6.2329999999999997</v>
      </c>
      <c r="I94" s="262">
        <v>7.3710000000000004</v>
      </c>
      <c r="J94" s="262">
        <v>5.19</v>
      </c>
      <c r="K94" s="262"/>
      <c r="L94" s="262"/>
      <c r="M94" s="262"/>
      <c r="N94" s="262">
        <f t="shared" si="8"/>
        <v>6.2329999999999997</v>
      </c>
      <c r="O94" s="262">
        <f t="shared" si="9"/>
        <v>7.3710000000000004</v>
      </c>
      <c r="P94" s="262">
        <f t="shared" si="10"/>
        <v>5.19</v>
      </c>
      <c r="Q94" s="278"/>
      <c r="R94" s="128">
        <v>5.54</v>
      </c>
      <c r="S94" s="128">
        <v>3.14</v>
      </c>
      <c r="T94" s="128"/>
      <c r="U94" s="278"/>
      <c r="V94" s="278"/>
      <c r="W94" s="262">
        <v>2.8690000000000002</v>
      </c>
      <c r="X94" s="128">
        <v>2.39</v>
      </c>
      <c r="Y94" s="128"/>
      <c r="Z94" s="279"/>
      <c r="AA94" s="262">
        <v>2.7869999999999999</v>
      </c>
      <c r="AB94" s="262">
        <v>2.4689999999999999</v>
      </c>
      <c r="AC94" s="262">
        <v>3.0375000000000001</v>
      </c>
      <c r="AD94" s="278"/>
      <c r="AE94" s="278"/>
      <c r="AF94" s="262">
        <f t="shared" si="15"/>
        <v>2.7869999999999999</v>
      </c>
      <c r="AG94" s="128">
        <v>1.0038</v>
      </c>
      <c r="AH94" s="128"/>
      <c r="AI94" s="128"/>
      <c r="AJ94" s="128"/>
      <c r="AK94" s="128"/>
      <c r="AL94" s="128"/>
      <c r="AM94" s="244"/>
      <c r="AN94" s="244"/>
      <c r="AO94" s="244"/>
      <c r="AP94" s="244"/>
      <c r="AQ94" s="244"/>
      <c r="AR94" s="244"/>
      <c r="AS94" s="244"/>
      <c r="AT94" s="244"/>
      <c r="AU94" s="244"/>
      <c r="AV94" s="271">
        <v>0.5</v>
      </c>
      <c r="AW94" s="271"/>
      <c r="AX94" s="271"/>
      <c r="AY94" s="271">
        <v>0.5</v>
      </c>
      <c r="AZ94" s="271">
        <v>0</v>
      </c>
      <c r="BA94" s="271">
        <v>0</v>
      </c>
      <c r="BB94" s="271"/>
      <c r="BC94" s="271">
        <f t="shared" si="12"/>
        <v>1</v>
      </c>
      <c r="BD94" s="272">
        <f t="shared" si="13"/>
        <v>2.5804</v>
      </c>
      <c r="BE94" s="243">
        <f t="shared" si="16"/>
        <v>2.5804</v>
      </c>
      <c r="BF94" s="330"/>
      <c r="BG94" s="330"/>
      <c r="BH94" s="330"/>
      <c r="BI94" s="330"/>
      <c r="BJ94" s="330"/>
      <c r="BK94" s="330"/>
      <c r="BL94" s="330"/>
      <c r="BM94" s="330"/>
      <c r="BN94" s="330"/>
      <c r="BO94" s="330"/>
      <c r="BP94" s="330"/>
      <c r="BQ94" s="330"/>
      <c r="CB94" s="243">
        <f t="shared" si="11"/>
        <v>0.56541453874052738</v>
      </c>
      <c r="CC94" s="243"/>
      <c r="CD94" s="243">
        <f t="shared" si="17"/>
        <v>0.56541453874052738</v>
      </c>
      <c r="CG94" s="734">
        <f t="shared" si="14"/>
        <v>2.2917999999999998</v>
      </c>
    </row>
    <row r="95" spans="1:85" x14ac:dyDescent="0.2">
      <c r="A95" s="19">
        <v>30406</v>
      </c>
      <c r="B95" s="262">
        <v>3.6943999999999999</v>
      </c>
      <c r="C95" s="262">
        <v>3.34</v>
      </c>
      <c r="D95" s="262">
        <v>3.91</v>
      </c>
      <c r="E95" s="262">
        <v>4.1676000000000002</v>
      </c>
      <c r="F95" s="278"/>
      <c r="G95" s="278"/>
      <c r="H95" s="262">
        <v>2.7410000000000001</v>
      </c>
      <c r="I95" s="262">
        <v>0.629</v>
      </c>
      <c r="J95" s="262">
        <v>4.867</v>
      </c>
      <c r="K95" s="262"/>
      <c r="L95" s="262"/>
      <c r="M95" s="262"/>
      <c r="N95" s="262">
        <f t="shared" si="8"/>
        <v>2.7410000000000001</v>
      </c>
      <c r="O95" s="262">
        <f t="shared" si="9"/>
        <v>0.629</v>
      </c>
      <c r="P95" s="262">
        <f t="shared" si="10"/>
        <v>4.867</v>
      </c>
      <c r="Q95" s="278"/>
      <c r="R95" s="128">
        <v>3.51</v>
      </c>
      <c r="S95" s="128">
        <v>3.4350000000000001</v>
      </c>
      <c r="T95" s="128"/>
      <c r="U95" s="278"/>
      <c r="V95" s="278"/>
      <c r="W95" s="262">
        <v>0.26700000000000002</v>
      </c>
      <c r="X95" s="128">
        <v>0.06</v>
      </c>
      <c r="Y95" s="128"/>
      <c r="Z95" s="279"/>
      <c r="AA95" s="262">
        <v>3.9039999999999999</v>
      </c>
      <c r="AB95" s="262">
        <v>3.1177999999999999</v>
      </c>
      <c r="AC95" s="262">
        <v>4.5617000000000001</v>
      </c>
      <c r="AD95" s="278"/>
      <c r="AE95" s="278"/>
      <c r="AF95" s="262">
        <f t="shared" si="15"/>
        <v>3.9039999999999999</v>
      </c>
      <c r="AG95" s="128">
        <v>1.0038</v>
      </c>
      <c r="AH95" s="128"/>
      <c r="AI95" s="128"/>
      <c r="AJ95" s="128"/>
      <c r="AK95" s="128"/>
      <c r="AL95" s="128"/>
      <c r="AM95" s="244"/>
      <c r="AN95" s="244"/>
      <c r="AO95" s="244"/>
      <c r="AP95" s="244"/>
      <c r="AQ95" s="244"/>
      <c r="AR95" s="244"/>
      <c r="AS95" s="244"/>
      <c r="AT95" s="244"/>
      <c r="AU95" s="244"/>
      <c r="AV95" s="271">
        <v>0.5</v>
      </c>
      <c r="AW95" s="271"/>
      <c r="AX95" s="271"/>
      <c r="AY95" s="271">
        <v>0.5</v>
      </c>
      <c r="AZ95" s="271">
        <v>0</v>
      </c>
      <c r="BA95" s="271">
        <v>0</v>
      </c>
      <c r="BB95" s="271"/>
      <c r="BC95" s="271">
        <f t="shared" si="12"/>
        <v>1</v>
      </c>
      <c r="BD95" s="272">
        <f t="shared" si="13"/>
        <v>1.9806999999999999</v>
      </c>
      <c r="BE95" s="243">
        <f t="shared" si="16"/>
        <v>1.9806999999999999</v>
      </c>
      <c r="BF95" s="330"/>
      <c r="BG95" s="330"/>
      <c r="BH95" s="330"/>
      <c r="BI95" s="330"/>
      <c r="BJ95" s="330"/>
      <c r="BK95" s="330"/>
      <c r="BL95" s="330"/>
      <c r="BM95" s="330"/>
      <c r="BN95" s="330"/>
      <c r="BO95" s="330"/>
      <c r="BP95" s="330"/>
      <c r="BQ95" s="330"/>
      <c r="CB95" s="243">
        <f t="shared" si="11"/>
        <v>0.56541453874052738</v>
      </c>
      <c r="CC95" s="243"/>
      <c r="CD95" s="243">
        <f t="shared" si="17"/>
        <v>0.56541453874052738</v>
      </c>
      <c r="CG95" s="734">
        <f t="shared" si="14"/>
        <v>3.6943999999999999</v>
      </c>
    </row>
    <row r="96" spans="1:85" x14ac:dyDescent="0.2">
      <c r="A96" s="19">
        <v>30436</v>
      </c>
      <c r="B96" s="262">
        <v>7.8779000000000003</v>
      </c>
      <c r="C96" s="262">
        <v>6.79</v>
      </c>
      <c r="D96" s="262">
        <v>8.2899999999999991</v>
      </c>
      <c r="E96" s="262">
        <v>6.1111000000000004</v>
      </c>
      <c r="F96" s="278"/>
      <c r="G96" s="278"/>
      <c r="H96" s="262">
        <v>7.29</v>
      </c>
      <c r="I96" s="262">
        <v>7.351</v>
      </c>
      <c r="J96" s="262">
        <v>7.22</v>
      </c>
      <c r="K96" s="262"/>
      <c r="L96" s="262"/>
      <c r="M96" s="262"/>
      <c r="N96" s="262">
        <f t="shared" si="8"/>
        <v>7.29</v>
      </c>
      <c r="O96" s="262">
        <f t="shared" si="9"/>
        <v>7.351</v>
      </c>
      <c r="P96" s="262">
        <f t="shared" si="10"/>
        <v>7.22</v>
      </c>
      <c r="Q96" s="278"/>
      <c r="R96" s="128">
        <v>6.62</v>
      </c>
      <c r="S96" s="128">
        <v>7.2560000000000002</v>
      </c>
      <c r="T96" s="128"/>
      <c r="U96" s="278"/>
      <c r="V96" s="278"/>
      <c r="W96" s="262">
        <v>2.782</v>
      </c>
      <c r="X96" s="128">
        <v>2.08</v>
      </c>
      <c r="Y96" s="128"/>
      <c r="Z96" s="279"/>
      <c r="AA96" s="262">
        <v>5.7279999999999998</v>
      </c>
      <c r="AB96" s="262">
        <v>5.6326999999999998</v>
      </c>
      <c r="AC96" s="262">
        <v>5.7016999999999998</v>
      </c>
      <c r="AD96" s="278"/>
      <c r="AE96" s="278"/>
      <c r="AF96" s="262">
        <f t="shared" si="15"/>
        <v>5.7279999999999998</v>
      </c>
      <c r="AG96" s="128">
        <v>0.57999999999999996</v>
      </c>
      <c r="AH96" s="128"/>
      <c r="AI96" s="128"/>
      <c r="AJ96" s="128"/>
      <c r="AK96" s="128"/>
      <c r="AL96" s="128"/>
      <c r="AM96" s="244"/>
      <c r="AN96" s="244"/>
      <c r="AO96" s="244"/>
      <c r="AP96" s="244"/>
      <c r="AQ96" s="244"/>
      <c r="AR96" s="244"/>
      <c r="AS96" s="244"/>
      <c r="AT96" s="244"/>
      <c r="AU96" s="244"/>
      <c r="AV96" s="271">
        <v>0.5</v>
      </c>
      <c r="AW96" s="271"/>
      <c r="AX96" s="271"/>
      <c r="AY96" s="271">
        <v>0.5</v>
      </c>
      <c r="AZ96" s="271">
        <v>0</v>
      </c>
      <c r="BA96" s="271">
        <v>0</v>
      </c>
      <c r="BB96" s="271"/>
      <c r="BC96" s="271">
        <f t="shared" si="12"/>
        <v>1</v>
      </c>
      <c r="BD96" s="272">
        <f t="shared" si="13"/>
        <v>5.3299500000000002</v>
      </c>
      <c r="BE96" s="243">
        <f t="shared" si="16"/>
        <v>5.3299500000000002</v>
      </c>
      <c r="BF96" s="330"/>
      <c r="BG96" s="330"/>
      <c r="BH96" s="330"/>
      <c r="BI96" s="330"/>
      <c r="BJ96" s="330"/>
      <c r="BK96" s="330"/>
      <c r="BL96" s="330"/>
      <c r="BM96" s="330"/>
      <c r="BN96" s="330"/>
      <c r="BO96" s="330"/>
      <c r="BP96" s="330"/>
      <c r="BQ96" s="330"/>
      <c r="CB96" s="243">
        <f t="shared" si="11"/>
        <v>0.56541453874052738</v>
      </c>
      <c r="CC96" s="243"/>
      <c r="CD96" s="243">
        <f t="shared" si="17"/>
        <v>0.56541453874052738</v>
      </c>
      <c r="CG96" s="734">
        <f t="shared" si="14"/>
        <v>7.8779000000000003</v>
      </c>
    </row>
    <row r="97" spans="1:85" x14ac:dyDescent="0.2">
      <c r="A97" s="19">
        <v>30467</v>
      </c>
      <c r="B97" s="262">
        <v>-0.86970000000000003</v>
      </c>
      <c r="C97" s="262">
        <v>-1.1501999999999999</v>
      </c>
      <c r="D97" s="262">
        <v>0.02</v>
      </c>
      <c r="E97" s="262">
        <v>3.972</v>
      </c>
      <c r="F97" s="278"/>
      <c r="G97" s="278"/>
      <c r="H97" s="262">
        <v>7.1980000000000004</v>
      </c>
      <c r="I97" s="262">
        <v>8.1039999999999992</v>
      </c>
      <c r="J97" s="262">
        <v>6.3029999999999999</v>
      </c>
      <c r="K97" s="262"/>
      <c r="L97" s="262"/>
      <c r="M97" s="262"/>
      <c r="N97" s="262">
        <f t="shared" si="8"/>
        <v>7.1980000000000004</v>
      </c>
      <c r="O97" s="262">
        <f t="shared" si="9"/>
        <v>8.1039999999999992</v>
      </c>
      <c r="P97" s="262">
        <f t="shared" si="10"/>
        <v>6.3029999999999999</v>
      </c>
      <c r="Q97" s="278"/>
      <c r="R97" s="128">
        <v>6</v>
      </c>
      <c r="S97" s="128">
        <v>1.147</v>
      </c>
      <c r="T97" s="128"/>
      <c r="U97" s="278"/>
      <c r="V97" s="278"/>
      <c r="W97" s="262">
        <v>-1.3109999999999999</v>
      </c>
      <c r="X97" s="128">
        <v>-0.65</v>
      </c>
      <c r="Y97" s="128"/>
      <c r="Z97" s="279"/>
      <c r="AA97" s="262">
        <v>-0.47099999999999997</v>
      </c>
      <c r="AB97" s="262">
        <v>-0.2621</v>
      </c>
      <c r="AC97" s="262">
        <v>-0.66690000000000005</v>
      </c>
      <c r="AD97" s="278"/>
      <c r="AE97" s="278"/>
      <c r="AF97" s="262">
        <f t="shared" si="15"/>
        <v>-0.47099999999999997</v>
      </c>
      <c r="AG97" s="128">
        <v>0.57999999999999996</v>
      </c>
      <c r="AH97" s="128"/>
      <c r="AI97" s="128"/>
      <c r="AJ97" s="128"/>
      <c r="AK97" s="128"/>
      <c r="AL97" s="128"/>
      <c r="AM97" s="244"/>
      <c r="AN97" s="244"/>
      <c r="AO97" s="244"/>
      <c r="AP97" s="244"/>
      <c r="AQ97" s="244"/>
      <c r="AR97" s="244"/>
      <c r="AS97" s="244"/>
      <c r="AT97" s="244"/>
      <c r="AU97" s="244"/>
      <c r="AV97" s="271">
        <v>0.5</v>
      </c>
      <c r="AW97" s="271"/>
      <c r="AX97" s="271"/>
      <c r="AY97" s="271">
        <v>0.5</v>
      </c>
      <c r="AZ97" s="271">
        <v>0</v>
      </c>
      <c r="BA97" s="271">
        <v>0</v>
      </c>
      <c r="BB97" s="271"/>
      <c r="BC97" s="271">
        <f t="shared" si="12"/>
        <v>1</v>
      </c>
      <c r="BD97" s="272">
        <f t="shared" si="13"/>
        <v>-1.0903499999999999</v>
      </c>
      <c r="BE97" s="243">
        <f t="shared" si="16"/>
        <v>-1.0903499999999999</v>
      </c>
      <c r="BF97" s="330"/>
      <c r="BG97" s="330"/>
      <c r="BH97" s="330"/>
      <c r="BI97" s="330"/>
      <c r="BJ97" s="330"/>
      <c r="BK97" s="330"/>
      <c r="BL97" s="330"/>
      <c r="BM97" s="330"/>
      <c r="BN97" s="330"/>
      <c r="BO97" s="330"/>
      <c r="BP97" s="330"/>
      <c r="BQ97" s="330"/>
      <c r="CB97" s="243">
        <f t="shared" si="11"/>
        <v>0.56541453874052738</v>
      </c>
      <c r="CC97" s="243"/>
      <c r="CD97" s="243">
        <f t="shared" si="17"/>
        <v>0.56541453874052738</v>
      </c>
      <c r="CG97" s="734">
        <f t="shared" si="14"/>
        <v>-0.86970000000000003</v>
      </c>
    </row>
    <row r="98" spans="1:85" x14ac:dyDescent="0.2">
      <c r="A98" s="19">
        <v>30497</v>
      </c>
      <c r="B98" s="262">
        <v>3.8919000000000001</v>
      </c>
      <c r="C98" s="262">
        <v>5.7194000000000003</v>
      </c>
      <c r="D98" s="262">
        <v>1.94</v>
      </c>
      <c r="E98" s="262">
        <v>3.3296000000000001</v>
      </c>
      <c r="F98" s="278"/>
      <c r="G98" s="278"/>
      <c r="H98" s="262">
        <v>4.5890000000000004</v>
      </c>
      <c r="I98" s="262">
        <v>5.7549999999999999</v>
      </c>
      <c r="J98" s="262">
        <v>3.32</v>
      </c>
      <c r="K98" s="262"/>
      <c r="L98" s="262"/>
      <c r="M98" s="262"/>
      <c r="N98" s="262">
        <f t="shared" si="8"/>
        <v>4.5890000000000004</v>
      </c>
      <c r="O98" s="262">
        <f t="shared" si="9"/>
        <v>5.7549999999999999</v>
      </c>
      <c r="P98" s="262">
        <f t="shared" si="10"/>
        <v>3.32</v>
      </c>
      <c r="Q98" s="278"/>
      <c r="R98" s="128">
        <v>3.96</v>
      </c>
      <c r="S98" s="128">
        <v>4.0330000000000004</v>
      </c>
      <c r="T98" s="128"/>
      <c r="U98" s="278"/>
      <c r="V98" s="278"/>
      <c r="W98" s="262">
        <v>0.107</v>
      </c>
      <c r="X98" s="128">
        <v>0.12</v>
      </c>
      <c r="Y98" s="128"/>
      <c r="Z98" s="279"/>
      <c r="AA98" s="262">
        <v>2.2999999999999998</v>
      </c>
      <c r="AB98" s="262">
        <v>1.9196</v>
      </c>
      <c r="AC98" s="262">
        <v>2.6646000000000001</v>
      </c>
      <c r="AD98" s="278"/>
      <c r="AE98" s="278"/>
      <c r="AF98" s="262">
        <f t="shared" si="15"/>
        <v>2.2999999999999998</v>
      </c>
      <c r="AG98" s="128">
        <v>0.57999999999999996</v>
      </c>
      <c r="AH98" s="128"/>
      <c r="AI98" s="128"/>
      <c r="AJ98" s="128"/>
      <c r="AK98" s="128"/>
      <c r="AL98" s="128"/>
      <c r="AM98" s="244"/>
      <c r="AN98" s="244"/>
      <c r="AO98" s="244"/>
      <c r="AP98" s="244"/>
      <c r="AQ98" s="244"/>
      <c r="AR98" s="244"/>
      <c r="AS98" s="244"/>
      <c r="AT98" s="244"/>
      <c r="AU98" s="244"/>
      <c r="AV98" s="271">
        <v>0.5</v>
      </c>
      <c r="AW98" s="271"/>
      <c r="AX98" s="271"/>
      <c r="AY98" s="271">
        <v>0.5</v>
      </c>
      <c r="AZ98" s="271">
        <v>0</v>
      </c>
      <c r="BA98" s="271">
        <v>0</v>
      </c>
      <c r="BB98" s="271"/>
      <c r="BC98" s="271">
        <f t="shared" si="12"/>
        <v>1</v>
      </c>
      <c r="BD98" s="272">
        <f t="shared" si="13"/>
        <v>1.9994500000000002</v>
      </c>
      <c r="BE98" s="243">
        <f t="shared" si="16"/>
        <v>1.9994500000000002</v>
      </c>
      <c r="BF98" s="330"/>
      <c r="BG98" s="330"/>
      <c r="BH98" s="330"/>
      <c r="BI98" s="330"/>
      <c r="BJ98" s="330"/>
      <c r="BK98" s="330"/>
      <c r="BL98" s="330"/>
      <c r="BM98" s="330"/>
      <c r="BN98" s="330"/>
      <c r="BO98" s="330"/>
      <c r="BP98" s="330"/>
      <c r="BQ98" s="330"/>
      <c r="CB98" s="243">
        <f t="shared" si="11"/>
        <v>0.56541453874052738</v>
      </c>
      <c r="CC98" s="243"/>
      <c r="CD98" s="243">
        <f t="shared" si="17"/>
        <v>0.56541453874052738</v>
      </c>
      <c r="CG98" s="734">
        <f t="shared" si="14"/>
        <v>3.8919000000000001</v>
      </c>
    </row>
    <row r="99" spans="1:85" x14ac:dyDescent="0.2">
      <c r="A99" s="19">
        <v>30528</v>
      </c>
      <c r="B99" s="262">
        <v>-2.9504000000000001</v>
      </c>
      <c r="C99" s="262">
        <v>-4.4794</v>
      </c>
      <c r="D99" s="262">
        <v>-1.65</v>
      </c>
      <c r="E99" s="262">
        <v>-1.5327999999999999</v>
      </c>
      <c r="F99" s="278"/>
      <c r="G99" s="278"/>
      <c r="H99" s="262">
        <v>-2.895</v>
      </c>
      <c r="I99" s="262">
        <v>-5.5330000000000004</v>
      </c>
      <c r="J99" s="262">
        <v>-0.152</v>
      </c>
      <c r="K99" s="262"/>
      <c r="L99" s="262"/>
      <c r="M99" s="262"/>
      <c r="N99" s="262">
        <f t="shared" si="8"/>
        <v>-2.895</v>
      </c>
      <c r="O99" s="262">
        <f t="shared" si="9"/>
        <v>-5.5330000000000004</v>
      </c>
      <c r="P99" s="262">
        <f t="shared" si="10"/>
        <v>-0.152</v>
      </c>
      <c r="Q99" s="278"/>
      <c r="R99" s="128">
        <v>-2.86</v>
      </c>
      <c r="S99" s="128">
        <v>-3.0750000000000002</v>
      </c>
      <c r="T99" s="128"/>
      <c r="U99" s="278"/>
      <c r="V99" s="278"/>
      <c r="W99" s="262">
        <v>-2.36</v>
      </c>
      <c r="X99" s="128">
        <v>-1.69</v>
      </c>
      <c r="Y99" s="128"/>
      <c r="Z99" s="279"/>
      <c r="AA99" s="262">
        <v>0.251</v>
      </c>
      <c r="AB99" s="262">
        <v>0.89559999999999995</v>
      </c>
      <c r="AC99" s="262">
        <v>-0.34949999999999998</v>
      </c>
      <c r="AD99" s="278"/>
      <c r="AE99" s="278"/>
      <c r="AF99" s="262">
        <f t="shared" si="15"/>
        <v>0.251</v>
      </c>
      <c r="AG99" s="128">
        <v>0.83930000000000005</v>
      </c>
      <c r="AH99" s="128"/>
      <c r="AI99" s="128"/>
      <c r="AJ99" s="128"/>
      <c r="AK99" s="128"/>
      <c r="AL99" s="128"/>
      <c r="AM99" s="244"/>
      <c r="AN99" s="244"/>
      <c r="AO99" s="244"/>
      <c r="AP99" s="244"/>
      <c r="AQ99" s="244"/>
      <c r="AR99" s="244"/>
      <c r="AS99" s="244"/>
      <c r="AT99" s="244"/>
      <c r="AU99" s="244"/>
      <c r="AV99" s="271">
        <v>0.5</v>
      </c>
      <c r="AW99" s="271"/>
      <c r="AX99" s="271"/>
      <c r="AY99" s="271">
        <v>0.5</v>
      </c>
      <c r="AZ99" s="271">
        <v>0</v>
      </c>
      <c r="BA99" s="271">
        <v>0</v>
      </c>
      <c r="BB99" s="271"/>
      <c r="BC99" s="271">
        <f t="shared" si="12"/>
        <v>1</v>
      </c>
      <c r="BD99" s="272">
        <f t="shared" si="13"/>
        <v>-2.6551999999999998</v>
      </c>
      <c r="BE99" s="243">
        <f t="shared" si="16"/>
        <v>-2.6551999999999998</v>
      </c>
      <c r="BF99" s="330"/>
      <c r="BG99" s="330"/>
      <c r="BH99" s="330"/>
      <c r="BI99" s="330"/>
      <c r="BJ99" s="330"/>
      <c r="BK99" s="330"/>
      <c r="BL99" s="330"/>
      <c r="BM99" s="330"/>
      <c r="BN99" s="330"/>
      <c r="BO99" s="330"/>
      <c r="BP99" s="330"/>
      <c r="BQ99" s="330"/>
      <c r="CB99" s="243">
        <f>((1+0.08)^(1/12)-1)*100</f>
        <v>0.64340301100034303</v>
      </c>
      <c r="CC99" s="235">
        <f>(1+CB99/100)^12-1</f>
        <v>7.9999999999999849E-2</v>
      </c>
      <c r="CD99" s="243">
        <f t="shared" si="17"/>
        <v>0.56541453874052738</v>
      </c>
      <c r="CG99" s="734">
        <f t="shared" si="14"/>
        <v>-2.9504000000000001</v>
      </c>
    </row>
    <row r="100" spans="1:85" x14ac:dyDescent="0.2">
      <c r="A100" s="19">
        <v>30559</v>
      </c>
      <c r="B100" s="262">
        <v>1.5009999999999999</v>
      </c>
      <c r="C100" s="262">
        <v>-0.46010000000000001</v>
      </c>
      <c r="D100" s="262">
        <v>3.87</v>
      </c>
      <c r="E100" s="262">
        <v>-1.5817000000000001</v>
      </c>
      <c r="F100" s="278"/>
      <c r="G100" s="278"/>
      <c r="H100" s="262">
        <v>-3.7789999999999999</v>
      </c>
      <c r="I100" s="262">
        <v>-5.1849999999999996</v>
      </c>
      <c r="J100" s="262">
        <v>-2.3860000000000001</v>
      </c>
      <c r="K100" s="262"/>
      <c r="L100" s="262"/>
      <c r="M100" s="262"/>
      <c r="N100" s="262">
        <f t="shared" si="8"/>
        <v>-3.7789999999999999</v>
      </c>
      <c r="O100" s="262">
        <f t="shared" si="9"/>
        <v>-5.1849999999999996</v>
      </c>
      <c r="P100" s="262">
        <f t="shared" si="10"/>
        <v>-2.3860000000000001</v>
      </c>
      <c r="Q100" s="278"/>
      <c r="R100" s="128">
        <v>-2.52</v>
      </c>
      <c r="S100" s="128">
        <v>0.53</v>
      </c>
      <c r="T100" s="128"/>
      <c r="U100" s="278"/>
      <c r="V100" s="278"/>
      <c r="W100" s="262">
        <v>0.69599999999999995</v>
      </c>
      <c r="X100" s="128">
        <v>0.78</v>
      </c>
      <c r="Y100" s="128"/>
      <c r="Z100" s="279"/>
      <c r="AA100" s="262">
        <v>-1.5760000000000001</v>
      </c>
      <c r="AB100" s="262">
        <v>-1.7385999999999999</v>
      </c>
      <c r="AC100" s="262">
        <v>-1.3254999999999999</v>
      </c>
      <c r="AD100" s="278"/>
      <c r="AE100" s="278"/>
      <c r="AF100" s="262">
        <f t="shared" si="15"/>
        <v>-1.5760000000000001</v>
      </c>
      <c r="AG100" s="128">
        <v>0.83930000000000005</v>
      </c>
      <c r="AH100" s="128"/>
      <c r="AI100" s="128"/>
      <c r="AJ100" s="128"/>
      <c r="AK100" s="128"/>
      <c r="AL100" s="128"/>
      <c r="AM100" s="244"/>
      <c r="AN100" s="244"/>
      <c r="AO100" s="244"/>
      <c r="AP100" s="244"/>
      <c r="AQ100" s="244"/>
      <c r="AR100" s="244"/>
      <c r="AS100" s="244"/>
      <c r="AT100" s="244"/>
      <c r="AU100" s="244"/>
      <c r="AV100" s="271">
        <v>0.5</v>
      </c>
      <c r="AW100" s="271"/>
      <c r="AX100" s="271"/>
      <c r="AY100" s="271">
        <v>0.5</v>
      </c>
      <c r="AZ100" s="271">
        <v>0</v>
      </c>
      <c r="BA100" s="271">
        <v>0</v>
      </c>
      <c r="BB100" s="271"/>
      <c r="BC100" s="271">
        <f t="shared" si="12"/>
        <v>1</v>
      </c>
      <c r="BD100" s="272">
        <f t="shared" si="13"/>
        <v>1.0985</v>
      </c>
      <c r="BE100" s="243">
        <f t="shared" si="16"/>
        <v>1.0985</v>
      </c>
      <c r="BF100" s="330"/>
      <c r="BG100" s="330"/>
      <c r="BH100" s="330"/>
      <c r="BI100" s="330"/>
      <c r="BJ100" s="330"/>
      <c r="BK100" s="330"/>
      <c r="BL100" s="330"/>
      <c r="BM100" s="330"/>
      <c r="BN100" s="330"/>
      <c r="BO100" s="330"/>
      <c r="BP100" s="330"/>
      <c r="BQ100" s="330"/>
      <c r="CB100" s="243">
        <f>((1+0.08)^(1/12)-1)*100</f>
        <v>0.64340301100034303</v>
      </c>
      <c r="CC100" s="243"/>
      <c r="CD100" s="243">
        <f t="shared" si="17"/>
        <v>0.56541453874052738</v>
      </c>
      <c r="CG100" s="734">
        <f t="shared" si="14"/>
        <v>1.5009999999999999</v>
      </c>
    </row>
    <row r="101" spans="1:85" x14ac:dyDescent="0.2">
      <c r="A101" s="19">
        <v>30589</v>
      </c>
      <c r="B101" s="262">
        <v>1.3808</v>
      </c>
      <c r="C101" s="262">
        <v>1.8301000000000001</v>
      </c>
      <c r="D101" s="262">
        <v>0.85</v>
      </c>
      <c r="E101" s="262">
        <v>3.4927999999999999</v>
      </c>
      <c r="F101" s="278"/>
      <c r="G101" s="278"/>
      <c r="H101" s="262">
        <v>1.782</v>
      </c>
      <c r="I101" s="262">
        <v>0.60399999999999998</v>
      </c>
      <c r="J101" s="262">
        <v>2.8759999999999999</v>
      </c>
      <c r="K101" s="262"/>
      <c r="L101" s="262"/>
      <c r="M101" s="262"/>
      <c r="N101" s="262">
        <f t="shared" si="8"/>
        <v>1.782</v>
      </c>
      <c r="O101" s="262">
        <f t="shared" si="9"/>
        <v>0.60399999999999998</v>
      </c>
      <c r="P101" s="262">
        <f t="shared" si="10"/>
        <v>2.8759999999999999</v>
      </c>
      <c r="Q101" s="278"/>
      <c r="R101" s="128">
        <v>2.58</v>
      </c>
      <c r="S101" s="128">
        <v>1.6619999999999999</v>
      </c>
      <c r="T101" s="128"/>
      <c r="U101" s="278"/>
      <c r="V101" s="278"/>
      <c r="W101" s="262">
        <v>3.2930000000000001</v>
      </c>
      <c r="X101" s="128">
        <v>2.93</v>
      </c>
      <c r="Y101" s="128"/>
      <c r="Z101" s="279"/>
      <c r="AA101" s="262">
        <v>3.9060000000000001</v>
      </c>
      <c r="AB101" s="262">
        <v>3.4597000000000002</v>
      </c>
      <c r="AC101" s="262">
        <v>4.3964999999999996</v>
      </c>
      <c r="AD101" s="278"/>
      <c r="AE101" s="278"/>
      <c r="AF101" s="262">
        <f t="shared" si="15"/>
        <v>3.9060000000000001</v>
      </c>
      <c r="AG101" s="128">
        <v>0.83930000000000005</v>
      </c>
      <c r="AH101" s="128"/>
      <c r="AI101" s="128"/>
      <c r="AJ101" s="128"/>
      <c r="AK101" s="128"/>
      <c r="AL101" s="128"/>
      <c r="AM101" s="244"/>
      <c r="AN101" s="244"/>
      <c r="AO101" s="244"/>
      <c r="AP101" s="244"/>
      <c r="AQ101" s="244"/>
      <c r="AR101" s="244"/>
      <c r="AS101" s="244"/>
      <c r="AT101" s="244"/>
      <c r="AU101" s="244"/>
      <c r="AV101" s="271">
        <v>0.5</v>
      </c>
      <c r="AW101" s="271"/>
      <c r="AX101" s="271"/>
      <c r="AY101" s="271">
        <v>0.5</v>
      </c>
      <c r="AZ101" s="271">
        <v>0</v>
      </c>
      <c r="BA101" s="271">
        <v>0</v>
      </c>
      <c r="BB101" s="271"/>
      <c r="BC101" s="271">
        <f t="shared" si="12"/>
        <v>1</v>
      </c>
      <c r="BD101" s="272">
        <f t="shared" si="13"/>
        <v>2.3369</v>
      </c>
      <c r="BE101" s="243">
        <f t="shared" si="16"/>
        <v>2.3369</v>
      </c>
      <c r="BF101" s="330"/>
      <c r="BG101" s="330"/>
      <c r="BH101" s="330"/>
      <c r="BI101" s="330"/>
      <c r="BJ101" s="330"/>
      <c r="BK101" s="330"/>
      <c r="BL101" s="330"/>
      <c r="BM101" s="330"/>
      <c r="BN101" s="330"/>
      <c r="BO101" s="330"/>
      <c r="BP101" s="330"/>
      <c r="BQ101" s="330"/>
      <c r="CB101" s="243">
        <f t="shared" ref="CB101:CB164" si="18">((1+0.08)^(1/12)-1)*100</f>
        <v>0.64340301100034303</v>
      </c>
      <c r="CC101" s="243"/>
      <c r="CD101" s="243">
        <f t="shared" si="17"/>
        <v>0.56541453874052738</v>
      </c>
      <c r="CG101" s="734">
        <f t="shared" si="14"/>
        <v>1.3808</v>
      </c>
    </row>
    <row r="102" spans="1:85" x14ac:dyDescent="0.2">
      <c r="A102" s="19">
        <v>30620</v>
      </c>
      <c r="B102" s="262">
        <v>-1.1560999999999999</v>
      </c>
      <c r="C102" s="262">
        <v>-2.1008</v>
      </c>
      <c r="D102" s="262">
        <v>-0.57999999999999996</v>
      </c>
      <c r="E102" s="262">
        <v>-4.3941999999999997</v>
      </c>
      <c r="F102" s="278"/>
      <c r="G102" s="278"/>
      <c r="H102" s="262">
        <v>-6.9180000000000001</v>
      </c>
      <c r="I102" s="262">
        <v>-9.36</v>
      </c>
      <c r="J102" s="262">
        <v>-4.3490000000000002</v>
      </c>
      <c r="K102" s="262"/>
      <c r="L102" s="262"/>
      <c r="M102" s="262"/>
      <c r="N102" s="262">
        <f t="shared" si="8"/>
        <v>-6.9180000000000001</v>
      </c>
      <c r="O102" s="262">
        <f t="shared" si="9"/>
        <v>-9.36</v>
      </c>
      <c r="P102" s="262">
        <f t="shared" si="10"/>
        <v>-4.3490000000000002</v>
      </c>
      <c r="Q102" s="278"/>
      <c r="R102" s="128">
        <v>-5.71</v>
      </c>
      <c r="S102" s="128">
        <v>-2.7189999999999999</v>
      </c>
      <c r="T102" s="128"/>
      <c r="U102" s="278"/>
      <c r="V102" s="278"/>
      <c r="W102" s="262">
        <v>0.36399999999999999</v>
      </c>
      <c r="X102" s="128">
        <v>0.7</v>
      </c>
      <c r="Y102" s="128"/>
      <c r="Z102" s="279"/>
      <c r="AA102" s="262">
        <v>-6.2E-2</v>
      </c>
      <c r="AB102" s="262">
        <v>-0.16109999999999999</v>
      </c>
      <c r="AC102" s="262">
        <v>0.1583</v>
      </c>
      <c r="AD102" s="278"/>
      <c r="AE102" s="278"/>
      <c r="AF102" s="262">
        <f t="shared" si="15"/>
        <v>-6.2E-2</v>
      </c>
      <c r="AG102" s="128">
        <v>0.9758</v>
      </c>
      <c r="AH102" s="128"/>
      <c r="AI102" s="128"/>
      <c r="AJ102" s="128"/>
      <c r="AK102" s="128"/>
      <c r="AL102" s="128"/>
      <c r="AM102" s="244"/>
      <c r="AN102" s="244"/>
      <c r="AO102" s="244"/>
      <c r="AP102" s="244"/>
      <c r="AQ102" s="244"/>
      <c r="AR102" s="244"/>
      <c r="AS102" s="244"/>
      <c r="AT102" s="244"/>
      <c r="AU102" s="244"/>
      <c r="AV102" s="271">
        <v>0.5</v>
      </c>
      <c r="AW102" s="271"/>
      <c r="AX102" s="271"/>
      <c r="AY102" s="271">
        <v>0.5</v>
      </c>
      <c r="AZ102" s="271">
        <v>0</v>
      </c>
      <c r="BA102" s="271">
        <v>0</v>
      </c>
      <c r="BB102" s="271"/>
      <c r="BC102" s="271">
        <f t="shared" si="12"/>
        <v>1</v>
      </c>
      <c r="BD102" s="272">
        <f t="shared" si="13"/>
        <v>-0.39604999999999996</v>
      </c>
      <c r="BE102" s="243">
        <f t="shared" si="16"/>
        <v>-0.39604999999999996</v>
      </c>
      <c r="BF102" s="330"/>
      <c r="BG102" s="330"/>
      <c r="BH102" s="330"/>
      <c r="BI102" s="330"/>
      <c r="BJ102" s="330"/>
      <c r="BK102" s="330"/>
      <c r="BL102" s="330"/>
      <c r="BM102" s="330"/>
      <c r="BN102" s="330"/>
      <c r="BO102" s="330"/>
      <c r="BP102" s="330"/>
      <c r="BQ102" s="330"/>
      <c r="CB102" s="243">
        <f t="shared" si="18"/>
        <v>0.64340301100034303</v>
      </c>
      <c r="CC102" s="243"/>
      <c r="CD102" s="243">
        <f t="shared" si="17"/>
        <v>0.56541453874052738</v>
      </c>
      <c r="CG102" s="734">
        <f t="shared" si="14"/>
        <v>-1.1560999999999999</v>
      </c>
    </row>
    <row r="103" spans="1:85" x14ac:dyDescent="0.2">
      <c r="A103" s="19">
        <v>30650</v>
      </c>
      <c r="B103" s="262">
        <v>2.1093999999999999</v>
      </c>
      <c r="C103" s="262">
        <v>2.0200999999999998</v>
      </c>
      <c r="D103" s="262">
        <v>2.63</v>
      </c>
      <c r="E103" s="262">
        <v>3.3616999999999999</v>
      </c>
      <c r="F103" s="278"/>
      <c r="G103" s="278"/>
      <c r="H103" s="262">
        <v>5.2460000000000004</v>
      </c>
      <c r="I103" s="262">
        <v>5.3819999999999997</v>
      </c>
      <c r="J103" s="262">
        <v>5.1059999999999999</v>
      </c>
      <c r="K103" s="262"/>
      <c r="L103" s="262"/>
      <c r="M103" s="262"/>
      <c r="N103" s="262">
        <f t="shared" si="8"/>
        <v>5.2460000000000004</v>
      </c>
      <c r="O103" s="262">
        <f t="shared" si="9"/>
        <v>5.3819999999999997</v>
      </c>
      <c r="P103" s="262">
        <f t="shared" si="10"/>
        <v>5.1059999999999999</v>
      </c>
      <c r="Q103" s="278"/>
      <c r="R103" s="128">
        <v>5.04</v>
      </c>
      <c r="S103" s="128">
        <v>2.8919999999999999</v>
      </c>
      <c r="T103" s="128"/>
      <c r="U103" s="278"/>
      <c r="V103" s="278"/>
      <c r="W103" s="262">
        <v>1.139</v>
      </c>
      <c r="X103" s="128">
        <v>1.02</v>
      </c>
      <c r="Y103" s="128"/>
      <c r="Z103" s="279"/>
      <c r="AA103" s="262">
        <v>2.399</v>
      </c>
      <c r="AB103" s="262">
        <v>2.8776999999999999</v>
      </c>
      <c r="AC103" s="262">
        <v>1.6398999999999999</v>
      </c>
      <c r="AD103" s="278"/>
      <c r="AE103" s="278"/>
      <c r="AF103" s="262">
        <f t="shared" si="15"/>
        <v>2.399</v>
      </c>
      <c r="AG103" s="128">
        <v>0.9758</v>
      </c>
      <c r="AH103" s="128"/>
      <c r="AI103" s="128"/>
      <c r="AJ103" s="128"/>
      <c r="AK103" s="128"/>
      <c r="AL103" s="128"/>
      <c r="AM103" s="244"/>
      <c r="AN103" s="244"/>
      <c r="AO103" s="244"/>
      <c r="AP103" s="244"/>
      <c r="AQ103" s="244"/>
      <c r="AR103" s="244"/>
      <c r="AS103" s="244"/>
      <c r="AT103" s="244"/>
      <c r="AU103" s="244"/>
      <c r="AV103" s="271">
        <v>0.5</v>
      </c>
      <c r="AW103" s="271"/>
      <c r="AX103" s="271"/>
      <c r="AY103" s="271">
        <v>0.5</v>
      </c>
      <c r="AZ103" s="271">
        <v>0</v>
      </c>
      <c r="BA103" s="271">
        <v>0</v>
      </c>
      <c r="BB103" s="271"/>
      <c r="BC103" s="271">
        <f t="shared" si="12"/>
        <v>1</v>
      </c>
      <c r="BD103" s="272">
        <f t="shared" si="13"/>
        <v>1.6242000000000001</v>
      </c>
      <c r="BE103" s="243">
        <f t="shared" si="16"/>
        <v>1.6242000000000001</v>
      </c>
      <c r="BF103" s="330"/>
      <c r="BG103" s="330"/>
      <c r="BH103" s="330"/>
      <c r="BI103" s="330"/>
      <c r="BJ103" s="330"/>
      <c r="BK103" s="330"/>
      <c r="BL103" s="330"/>
      <c r="BM103" s="330"/>
      <c r="BN103" s="330"/>
      <c r="BO103" s="330"/>
      <c r="BP103" s="330"/>
      <c r="BQ103" s="330"/>
      <c r="CB103" s="243">
        <f t="shared" si="18"/>
        <v>0.64340301100034303</v>
      </c>
      <c r="CC103" s="243"/>
      <c r="CD103" s="243">
        <f t="shared" si="17"/>
        <v>0.56541453874052738</v>
      </c>
      <c r="CG103" s="734">
        <f t="shared" si="14"/>
        <v>2.1093999999999999</v>
      </c>
    </row>
    <row r="104" spans="1:85" x14ac:dyDescent="0.2">
      <c r="A104" s="19">
        <v>30681</v>
      </c>
      <c r="B104" s="262">
        <v>-0.52280000000000004</v>
      </c>
      <c r="C104" s="262">
        <v>-0.97009999999999996</v>
      </c>
      <c r="D104" s="262">
        <v>-0.08</v>
      </c>
      <c r="E104" s="262">
        <v>-1.2010000000000001</v>
      </c>
      <c r="F104" s="278"/>
      <c r="G104" s="278"/>
      <c r="H104" s="262">
        <v>-1.891</v>
      </c>
      <c r="I104" s="262">
        <v>-3.218</v>
      </c>
      <c r="J104" s="262">
        <v>-0.55800000000000005</v>
      </c>
      <c r="K104" s="262"/>
      <c r="L104" s="262"/>
      <c r="M104" s="262"/>
      <c r="N104" s="262">
        <f t="shared" si="8"/>
        <v>-1.891</v>
      </c>
      <c r="O104" s="262">
        <f t="shared" si="9"/>
        <v>-3.218</v>
      </c>
      <c r="P104" s="262">
        <f t="shared" si="10"/>
        <v>-0.55800000000000005</v>
      </c>
      <c r="Q104" s="278"/>
      <c r="R104" s="128">
        <v>-2.0699999999999998</v>
      </c>
      <c r="S104" s="128">
        <v>-1.0129999999999999</v>
      </c>
      <c r="T104" s="128"/>
      <c r="U104" s="278"/>
      <c r="V104" s="278"/>
      <c r="W104" s="262">
        <v>0.192</v>
      </c>
      <c r="X104" s="128">
        <v>0.44</v>
      </c>
      <c r="Y104" s="128"/>
      <c r="Z104" s="279"/>
      <c r="AA104" s="262">
        <v>4.18</v>
      </c>
      <c r="AB104" s="262">
        <v>3.7536999999999998</v>
      </c>
      <c r="AC104" s="262">
        <v>4.5350000000000001</v>
      </c>
      <c r="AD104" s="278"/>
      <c r="AE104" s="278"/>
      <c r="AF104" s="262">
        <f t="shared" si="15"/>
        <v>4.18</v>
      </c>
      <c r="AG104" s="128">
        <v>0.9758</v>
      </c>
      <c r="AH104" s="128"/>
      <c r="AI104" s="128"/>
      <c r="AJ104" s="128"/>
      <c r="AK104" s="128"/>
      <c r="AL104" s="128"/>
      <c r="AM104" s="244"/>
      <c r="AN104" s="244"/>
      <c r="AO104" s="244"/>
      <c r="AP104" s="244"/>
      <c r="AQ104" s="244"/>
      <c r="AR104" s="244"/>
      <c r="AS104" s="244"/>
      <c r="AT104" s="244"/>
      <c r="AU104" s="244"/>
      <c r="AV104" s="276">
        <v>0.5</v>
      </c>
      <c r="AW104" s="276"/>
      <c r="AX104" s="276"/>
      <c r="AY104" s="276">
        <v>0.5</v>
      </c>
      <c r="AZ104" s="276">
        <v>0</v>
      </c>
      <c r="BA104" s="276">
        <v>0</v>
      </c>
      <c r="BB104" s="276"/>
      <c r="BC104" s="276">
        <f t="shared" si="12"/>
        <v>1</v>
      </c>
      <c r="BD104" s="269">
        <f t="shared" si="13"/>
        <v>-0.16540000000000002</v>
      </c>
      <c r="BE104" s="243">
        <f t="shared" si="16"/>
        <v>-0.16540000000000002</v>
      </c>
      <c r="BF104" s="330"/>
      <c r="BG104" s="330"/>
      <c r="BH104" s="330"/>
      <c r="BI104" s="330"/>
      <c r="BJ104" s="330"/>
      <c r="BK104" s="330"/>
      <c r="BL104" s="330"/>
      <c r="BM104" s="330"/>
      <c r="BN104" s="330"/>
      <c r="BO104" s="330"/>
      <c r="BP104" s="330"/>
      <c r="BQ104" s="330"/>
      <c r="CB104" s="243">
        <f t="shared" si="18"/>
        <v>0.64340301100034303</v>
      </c>
      <c r="CC104" s="243"/>
      <c r="CD104" s="243">
        <f t="shared" si="17"/>
        <v>0.56541453874052738</v>
      </c>
      <c r="CG104" s="734">
        <f t="shared" si="14"/>
        <v>-0.52280000000000004</v>
      </c>
    </row>
    <row r="105" spans="1:85" x14ac:dyDescent="0.2">
      <c r="A105" s="19">
        <v>30712</v>
      </c>
      <c r="B105" s="262">
        <v>-0.55779999999999996</v>
      </c>
      <c r="C105" s="262">
        <v>-3.2595999999999998</v>
      </c>
      <c r="D105" s="262">
        <v>2.21</v>
      </c>
      <c r="E105" s="262">
        <v>-2.8571</v>
      </c>
      <c r="F105" s="278"/>
      <c r="G105" s="278"/>
      <c r="H105" s="262">
        <v>-1.671</v>
      </c>
      <c r="I105" s="262">
        <v>-4.3970000000000002</v>
      </c>
      <c r="J105" s="262">
        <v>1.2450000000000001</v>
      </c>
      <c r="K105" s="262"/>
      <c r="L105" s="262"/>
      <c r="M105" s="262"/>
      <c r="N105" s="262">
        <f t="shared" si="8"/>
        <v>-1.671</v>
      </c>
      <c r="O105" s="262">
        <f t="shared" si="9"/>
        <v>-4.3970000000000002</v>
      </c>
      <c r="P105" s="262">
        <f t="shared" si="10"/>
        <v>1.2450000000000001</v>
      </c>
      <c r="Q105" s="278"/>
      <c r="R105" s="128">
        <v>-2.85</v>
      </c>
      <c r="S105" s="128">
        <v>-1.6419999999999999</v>
      </c>
      <c r="T105" s="128"/>
      <c r="U105" s="278"/>
      <c r="V105" s="278"/>
      <c r="W105" s="262">
        <v>2.0619999999999998</v>
      </c>
      <c r="X105" s="128">
        <v>1.86</v>
      </c>
      <c r="Y105" s="128"/>
      <c r="Z105" s="279"/>
      <c r="AA105" s="262">
        <v>4.4909999999999997</v>
      </c>
      <c r="AB105" s="262">
        <v>3.6137999999999999</v>
      </c>
      <c r="AC105" s="262">
        <v>5.3239000000000001</v>
      </c>
      <c r="AD105" s="278"/>
      <c r="AE105" s="278"/>
      <c r="AF105" s="262">
        <f t="shared" si="15"/>
        <v>4.4909999999999997</v>
      </c>
      <c r="AG105" s="128">
        <v>1.74</v>
      </c>
      <c r="AH105" s="128"/>
      <c r="AI105" s="128"/>
      <c r="AJ105" s="128"/>
      <c r="AK105" s="128"/>
      <c r="AL105" s="128"/>
      <c r="AM105" s="244"/>
      <c r="AN105" s="244"/>
      <c r="AO105" s="244"/>
      <c r="AP105" s="244"/>
      <c r="AQ105" s="244"/>
      <c r="AR105" s="244"/>
      <c r="AS105" s="244"/>
      <c r="AT105" s="244"/>
      <c r="AU105" s="244"/>
      <c r="AV105" s="271">
        <v>0.6</v>
      </c>
      <c r="AW105" s="271"/>
      <c r="AX105" s="271"/>
      <c r="AY105" s="271">
        <v>0.4</v>
      </c>
      <c r="AZ105" s="271">
        <v>0</v>
      </c>
      <c r="BA105" s="271">
        <v>0</v>
      </c>
      <c r="BB105" s="271"/>
      <c r="BC105" s="271">
        <f t="shared" si="12"/>
        <v>1</v>
      </c>
      <c r="BD105" s="272">
        <f t="shared" si="13"/>
        <v>0.49012</v>
      </c>
      <c r="BE105" s="243">
        <f t="shared" si="16"/>
        <v>0.49012</v>
      </c>
      <c r="BF105" s="330"/>
      <c r="BG105" s="330"/>
      <c r="BH105" s="330"/>
      <c r="BI105" s="330"/>
      <c r="BJ105" s="330"/>
      <c r="BK105" s="330"/>
      <c r="BL105" s="330"/>
      <c r="BM105" s="330"/>
      <c r="BN105" s="330"/>
      <c r="BO105" s="330"/>
      <c r="BP105" s="330"/>
      <c r="BQ105" s="330"/>
      <c r="CB105" s="243">
        <f t="shared" si="18"/>
        <v>0.64340301100034303</v>
      </c>
      <c r="CC105" s="243"/>
      <c r="CD105" s="243">
        <f>((1+0.08)^(1/12)-1)*100</f>
        <v>0.64340301100034303</v>
      </c>
      <c r="CE105" s="235">
        <f>(1+CD105/100)^12-1</f>
        <v>7.9999999999999849E-2</v>
      </c>
      <c r="CG105" s="734">
        <f t="shared" si="14"/>
        <v>-0.55779999999999996</v>
      </c>
    </row>
    <row r="106" spans="1:85" x14ac:dyDescent="0.2">
      <c r="A106" s="19">
        <v>30741</v>
      </c>
      <c r="B106" s="262">
        <v>-3.5188000000000001</v>
      </c>
      <c r="C106" s="262">
        <v>-4.1996000000000002</v>
      </c>
      <c r="D106" s="262">
        <v>-2.37</v>
      </c>
      <c r="E106" s="262">
        <v>-4.8068999999999997</v>
      </c>
      <c r="F106" s="278"/>
      <c r="G106" s="278"/>
      <c r="H106" s="262">
        <v>-5.6820000000000004</v>
      </c>
      <c r="I106" s="262">
        <v>-6.7309999999999999</v>
      </c>
      <c r="J106" s="262">
        <v>-4.6890000000000001</v>
      </c>
      <c r="K106" s="262"/>
      <c r="L106" s="262"/>
      <c r="M106" s="262"/>
      <c r="N106" s="262">
        <f t="shared" si="8"/>
        <v>-5.6820000000000004</v>
      </c>
      <c r="O106" s="262">
        <f t="shared" si="9"/>
        <v>-6.7309999999999999</v>
      </c>
      <c r="P106" s="262">
        <f t="shared" si="10"/>
        <v>-4.6890000000000001</v>
      </c>
      <c r="Q106" s="278"/>
      <c r="R106" s="128">
        <v>-5.82</v>
      </c>
      <c r="S106" s="128">
        <v>-4.0880000000000001</v>
      </c>
      <c r="T106" s="128"/>
      <c r="U106" s="278"/>
      <c r="V106" s="278"/>
      <c r="W106" s="262">
        <v>-0.50800000000000001</v>
      </c>
      <c r="X106" s="128">
        <v>-0.1</v>
      </c>
      <c r="Y106" s="128"/>
      <c r="Z106" s="279"/>
      <c r="AA106" s="262">
        <v>0.93200000000000005</v>
      </c>
      <c r="AB106" s="262">
        <v>1.0648</v>
      </c>
      <c r="AC106" s="262">
        <v>0.81979999999999997</v>
      </c>
      <c r="AD106" s="278"/>
      <c r="AE106" s="278"/>
      <c r="AF106" s="262">
        <f t="shared" si="15"/>
        <v>0.93200000000000005</v>
      </c>
      <c r="AG106" s="128">
        <v>1.74</v>
      </c>
      <c r="AH106" s="128"/>
      <c r="AI106" s="128"/>
      <c r="AJ106" s="128"/>
      <c r="AK106" s="128"/>
      <c r="AL106" s="128"/>
      <c r="AM106" s="244"/>
      <c r="AN106" s="244"/>
      <c r="AO106" s="244"/>
      <c r="AP106" s="244"/>
      <c r="AQ106" s="244"/>
      <c r="AR106" s="244"/>
      <c r="AS106" s="244"/>
      <c r="AT106" s="244"/>
      <c r="AU106" s="244"/>
      <c r="AV106" s="271">
        <v>0.6</v>
      </c>
      <c r="AW106" s="271"/>
      <c r="AX106" s="271"/>
      <c r="AY106" s="271">
        <v>0.4</v>
      </c>
      <c r="AZ106" s="271">
        <v>0</v>
      </c>
      <c r="BA106" s="271">
        <v>0</v>
      </c>
      <c r="BB106" s="271"/>
      <c r="BC106" s="271">
        <f t="shared" si="12"/>
        <v>1</v>
      </c>
      <c r="BD106" s="272">
        <f t="shared" si="13"/>
        <v>-2.3144799999999996</v>
      </c>
      <c r="BE106" s="243">
        <f t="shared" si="16"/>
        <v>-2.3144799999999996</v>
      </c>
      <c r="BF106" s="330"/>
      <c r="BG106" s="330"/>
      <c r="BH106" s="330"/>
      <c r="BI106" s="330"/>
      <c r="BJ106" s="330"/>
      <c r="BK106" s="330"/>
      <c r="BL106" s="330"/>
      <c r="BM106" s="330"/>
      <c r="BN106" s="330"/>
      <c r="BO106" s="330"/>
      <c r="BP106" s="330"/>
      <c r="BQ106" s="330"/>
      <c r="CB106" s="243">
        <f t="shared" si="18"/>
        <v>0.64340301100034303</v>
      </c>
      <c r="CC106" s="243"/>
      <c r="CD106" s="243">
        <f t="shared" ref="CD106:CD169" si="19">((1+0.08)^(1/12)-1)*100</f>
        <v>0.64340301100034303</v>
      </c>
      <c r="CG106" s="734">
        <f t="shared" si="14"/>
        <v>-3.5188000000000001</v>
      </c>
    </row>
    <row r="107" spans="1:85" x14ac:dyDescent="0.2">
      <c r="A107" s="19">
        <v>30772</v>
      </c>
      <c r="B107" s="262">
        <v>1.7318</v>
      </c>
      <c r="C107" s="262">
        <v>2.1097999999999999</v>
      </c>
      <c r="D107" s="262">
        <v>1.28</v>
      </c>
      <c r="E107" s="262">
        <v>1.5797000000000001</v>
      </c>
      <c r="F107" s="278"/>
      <c r="G107" s="278"/>
      <c r="H107" s="262">
        <v>0.59499999999999997</v>
      </c>
      <c r="I107" s="262">
        <v>-0.48799999999999999</v>
      </c>
      <c r="J107" s="262">
        <v>1.657</v>
      </c>
      <c r="K107" s="128">
        <v>0.4637</v>
      </c>
      <c r="L107" s="262"/>
      <c r="M107" s="262"/>
      <c r="N107" s="262">
        <f t="shared" si="8"/>
        <v>0.59499999999999997</v>
      </c>
      <c r="O107" s="262">
        <f t="shared" si="9"/>
        <v>-0.48799999999999999</v>
      </c>
      <c r="P107" s="262">
        <f t="shared" si="10"/>
        <v>1.657</v>
      </c>
      <c r="Q107" s="278"/>
      <c r="R107" s="128">
        <v>0.79</v>
      </c>
      <c r="S107" s="128">
        <v>1.4039999999999999</v>
      </c>
      <c r="T107" s="128"/>
      <c r="U107" s="278"/>
      <c r="V107" s="278"/>
      <c r="W107" s="262">
        <v>-1.127</v>
      </c>
      <c r="X107" s="128">
        <v>-0.86</v>
      </c>
      <c r="Y107" s="128"/>
      <c r="Z107" s="279"/>
      <c r="AA107" s="262">
        <v>9.4169999999999998</v>
      </c>
      <c r="AB107" s="262">
        <v>11.747400000000001</v>
      </c>
      <c r="AC107" s="262">
        <v>7.0312000000000001</v>
      </c>
      <c r="AD107" s="278"/>
      <c r="AE107" s="278"/>
      <c r="AF107" s="262">
        <f t="shared" si="15"/>
        <v>9.4169999999999998</v>
      </c>
      <c r="AG107" s="128">
        <v>1.74</v>
      </c>
      <c r="AH107" s="128"/>
      <c r="AI107" s="128"/>
      <c r="AJ107" s="128"/>
      <c r="AK107" s="128"/>
      <c r="AL107" s="128"/>
      <c r="AM107" s="244"/>
      <c r="AN107" s="244"/>
      <c r="AO107" s="244"/>
      <c r="AP107" s="244"/>
      <c r="AQ107" s="244"/>
      <c r="AR107" s="244"/>
      <c r="AS107" s="244"/>
      <c r="AT107" s="244"/>
      <c r="AU107" s="244"/>
      <c r="AV107" s="271">
        <v>0.6</v>
      </c>
      <c r="AW107" s="271"/>
      <c r="AX107" s="271"/>
      <c r="AY107" s="271">
        <v>0.4</v>
      </c>
      <c r="AZ107" s="271">
        <v>0</v>
      </c>
      <c r="BA107" s="271">
        <v>0</v>
      </c>
      <c r="BB107" s="271"/>
      <c r="BC107" s="271">
        <f t="shared" si="12"/>
        <v>1</v>
      </c>
      <c r="BD107" s="272">
        <f t="shared" si="13"/>
        <v>0.58827999999999991</v>
      </c>
      <c r="BE107" s="243">
        <f t="shared" si="16"/>
        <v>0.58827999999999991</v>
      </c>
      <c r="BF107" s="330"/>
      <c r="BG107" s="330"/>
      <c r="BH107" s="330"/>
      <c r="BI107" s="330"/>
      <c r="BJ107" s="330"/>
      <c r="BK107" s="330"/>
      <c r="BL107" s="330"/>
      <c r="BM107" s="330"/>
      <c r="BN107" s="330"/>
      <c r="BO107" s="330"/>
      <c r="BP107" s="330"/>
      <c r="BQ107" s="330"/>
      <c r="CB107" s="243">
        <f t="shared" si="18"/>
        <v>0.64340301100034303</v>
      </c>
      <c r="CC107" s="243"/>
      <c r="CD107" s="243">
        <f t="shared" si="19"/>
        <v>0.64340301100034303</v>
      </c>
      <c r="CG107" s="734">
        <f t="shared" si="14"/>
        <v>1.7318</v>
      </c>
    </row>
    <row r="108" spans="1:85" x14ac:dyDescent="0.2">
      <c r="A108" s="19">
        <v>30802</v>
      </c>
      <c r="B108" s="262">
        <v>0.9486</v>
      </c>
      <c r="C108" s="262">
        <v>0.60929999999999995</v>
      </c>
      <c r="D108" s="262">
        <v>0.75</v>
      </c>
      <c r="E108" s="262">
        <v>-1.2518</v>
      </c>
      <c r="F108" s="278"/>
      <c r="G108" s="278"/>
      <c r="H108" s="262">
        <v>-0.55100000000000005</v>
      </c>
      <c r="I108" s="262">
        <v>-0.64200000000000002</v>
      </c>
      <c r="J108" s="262">
        <v>-0.49099999999999999</v>
      </c>
      <c r="K108" s="128">
        <v>-0.6159</v>
      </c>
      <c r="L108" s="262"/>
      <c r="M108" s="262"/>
      <c r="N108" s="262">
        <f t="shared" si="8"/>
        <v>-0.55100000000000005</v>
      </c>
      <c r="O108" s="262">
        <f t="shared" si="9"/>
        <v>-0.64200000000000002</v>
      </c>
      <c r="P108" s="262">
        <f t="shared" si="10"/>
        <v>-0.49099999999999999</v>
      </c>
      <c r="Q108" s="278"/>
      <c r="R108" s="128">
        <v>-0.67</v>
      </c>
      <c r="S108" s="128">
        <v>0.373</v>
      </c>
      <c r="T108" s="128"/>
      <c r="U108" s="278"/>
      <c r="V108" s="278"/>
      <c r="W108" s="262">
        <v>-0.19600000000000001</v>
      </c>
      <c r="X108" s="128">
        <v>0.09</v>
      </c>
      <c r="Y108" s="128"/>
      <c r="Z108" s="279"/>
      <c r="AA108" s="262">
        <v>-1.633</v>
      </c>
      <c r="AB108" s="262">
        <v>-1.9218999999999999</v>
      </c>
      <c r="AC108" s="262">
        <v>-1.3619000000000001</v>
      </c>
      <c r="AD108" s="278"/>
      <c r="AE108" s="278"/>
      <c r="AF108" s="262">
        <f t="shared" si="15"/>
        <v>-1.633</v>
      </c>
      <c r="AG108" s="128">
        <v>1.1047</v>
      </c>
      <c r="AH108" s="128"/>
      <c r="AI108" s="128"/>
      <c r="AJ108" s="128"/>
      <c r="AK108" s="128"/>
      <c r="AL108" s="128"/>
      <c r="AM108" s="244"/>
      <c r="AN108" s="244"/>
      <c r="AO108" s="244"/>
      <c r="AP108" s="244"/>
      <c r="AQ108" s="244"/>
      <c r="AR108" s="244"/>
      <c r="AS108" s="244"/>
      <c r="AT108" s="244"/>
      <c r="AU108" s="244"/>
      <c r="AV108" s="271">
        <v>0.6</v>
      </c>
      <c r="AW108" s="271"/>
      <c r="AX108" s="271"/>
      <c r="AY108" s="271">
        <v>0.4</v>
      </c>
      <c r="AZ108" s="271">
        <v>0</v>
      </c>
      <c r="BA108" s="271">
        <v>0</v>
      </c>
      <c r="BB108" s="271"/>
      <c r="BC108" s="271">
        <f t="shared" si="12"/>
        <v>1</v>
      </c>
      <c r="BD108" s="272">
        <f t="shared" si="13"/>
        <v>0.49075999999999997</v>
      </c>
      <c r="BE108" s="243">
        <f t="shared" si="16"/>
        <v>0.49075999999999997</v>
      </c>
      <c r="BF108" s="330"/>
      <c r="BG108" s="330"/>
      <c r="BH108" s="330"/>
      <c r="BI108" s="330"/>
      <c r="BJ108" s="330"/>
      <c r="BK108" s="330"/>
      <c r="BL108" s="330"/>
      <c r="BM108" s="330"/>
      <c r="BN108" s="330"/>
      <c r="BO108" s="330"/>
      <c r="BP108" s="330"/>
      <c r="BQ108" s="330"/>
      <c r="CB108" s="243">
        <f t="shared" si="18"/>
        <v>0.64340301100034303</v>
      </c>
      <c r="CC108" s="243"/>
      <c r="CD108" s="243">
        <f t="shared" si="19"/>
        <v>0.64340301100034303</v>
      </c>
      <c r="CG108" s="734">
        <f t="shared" si="14"/>
        <v>0.9486</v>
      </c>
    </row>
    <row r="109" spans="1:85" x14ac:dyDescent="0.2">
      <c r="A109" s="19">
        <v>30833</v>
      </c>
      <c r="B109" s="262">
        <v>-5.5358000000000001</v>
      </c>
      <c r="C109" s="262">
        <v>-5.0993000000000004</v>
      </c>
      <c r="D109" s="262">
        <v>-5.41</v>
      </c>
      <c r="E109" s="262">
        <v>-4.2397999999999998</v>
      </c>
      <c r="F109" s="278"/>
      <c r="G109" s="278"/>
      <c r="H109" s="262">
        <v>-5.1740000000000004</v>
      </c>
      <c r="I109" s="262">
        <v>-5.819</v>
      </c>
      <c r="J109" s="262">
        <v>-4.4850000000000003</v>
      </c>
      <c r="K109" s="128">
        <v>-5.5326000000000004</v>
      </c>
      <c r="L109" s="262"/>
      <c r="M109" s="262"/>
      <c r="N109" s="262">
        <f t="shared" si="8"/>
        <v>-5.1740000000000004</v>
      </c>
      <c r="O109" s="262">
        <f t="shared" si="9"/>
        <v>-5.819</v>
      </c>
      <c r="P109" s="262">
        <f t="shared" si="10"/>
        <v>-4.4850000000000003</v>
      </c>
      <c r="Q109" s="278"/>
      <c r="R109" s="128">
        <v>-5.0999999999999996</v>
      </c>
      <c r="S109" s="128">
        <v>-5.2859999999999996</v>
      </c>
      <c r="T109" s="128"/>
      <c r="U109" s="278"/>
      <c r="V109" s="278"/>
      <c r="W109" s="262">
        <v>-3.1120000000000001</v>
      </c>
      <c r="X109" s="128">
        <v>-2.58</v>
      </c>
      <c r="Y109" s="128"/>
      <c r="Z109" s="279"/>
      <c r="AA109" s="262">
        <v>-10.125</v>
      </c>
      <c r="AB109" s="262">
        <v>-11.2361</v>
      </c>
      <c r="AC109" s="262">
        <v>-9.0482999999999993</v>
      </c>
      <c r="AD109" s="278"/>
      <c r="AE109" s="278"/>
      <c r="AF109" s="262">
        <f t="shared" si="15"/>
        <v>-10.125</v>
      </c>
      <c r="AG109" s="128">
        <v>1.1047</v>
      </c>
      <c r="AH109" s="128"/>
      <c r="AI109" s="128"/>
      <c r="AJ109" s="128"/>
      <c r="AK109" s="128"/>
      <c r="AL109" s="128"/>
      <c r="AM109" s="244"/>
      <c r="AN109" s="244"/>
      <c r="AO109" s="244"/>
      <c r="AP109" s="244"/>
      <c r="AQ109" s="244"/>
      <c r="AR109" s="244"/>
      <c r="AS109" s="244"/>
      <c r="AT109" s="244"/>
      <c r="AU109" s="244"/>
      <c r="AV109" s="271">
        <v>0.6</v>
      </c>
      <c r="AW109" s="271"/>
      <c r="AX109" s="271"/>
      <c r="AY109" s="271">
        <v>0.4</v>
      </c>
      <c r="AZ109" s="271">
        <v>0</v>
      </c>
      <c r="BA109" s="271">
        <v>0</v>
      </c>
      <c r="BB109" s="271"/>
      <c r="BC109" s="271">
        <f t="shared" si="12"/>
        <v>1</v>
      </c>
      <c r="BD109" s="272">
        <f t="shared" si="13"/>
        <v>-4.5662799999999999</v>
      </c>
      <c r="BE109" s="243">
        <f t="shared" si="16"/>
        <v>-4.5662799999999999</v>
      </c>
      <c r="BF109" s="330"/>
      <c r="BG109" s="330"/>
      <c r="BH109" s="330"/>
      <c r="BI109" s="330"/>
      <c r="BJ109" s="330"/>
      <c r="BK109" s="330"/>
      <c r="BL109" s="330"/>
      <c r="BM109" s="330"/>
      <c r="BN109" s="330"/>
      <c r="BO109" s="330"/>
      <c r="BP109" s="330"/>
      <c r="BQ109" s="330"/>
      <c r="CB109" s="243">
        <f t="shared" si="18"/>
        <v>0.64340301100034303</v>
      </c>
      <c r="CC109" s="243"/>
      <c r="CD109" s="243">
        <f t="shared" si="19"/>
        <v>0.64340301100034303</v>
      </c>
      <c r="CG109" s="734">
        <f t="shared" si="14"/>
        <v>-5.5358000000000001</v>
      </c>
    </row>
    <row r="110" spans="1:85" x14ac:dyDescent="0.2">
      <c r="A110" s="19">
        <v>30863</v>
      </c>
      <c r="B110" s="262">
        <v>2.1720000000000002</v>
      </c>
      <c r="C110" s="262">
        <v>3.0594000000000001</v>
      </c>
      <c r="D110" s="262">
        <v>1.25</v>
      </c>
      <c r="E110" s="262">
        <v>3.7686000000000002</v>
      </c>
      <c r="F110" s="278"/>
      <c r="G110" s="278"/>
      <c r="H110" s="262">
        <v>2.8530000000000002</v>
      </c>
      <c r="I110" s="262">
        <v>3.6</v>
      </c>
      <c r="J110" s="262">
        <v>2.1429999999999998</v>
      </c>
      <c r="K110" s="128">
        <v>2.8595000000000002</v>
      </c>
      <c r="L110" s="262"/>
      <c r="M110" s="262"/>
      <c r="N110" s="262">
        <f t="shared" ref="N110:N173" si="20">H110</f>
        <v>2.8530000000000002</v>
      </c>
      <c r="O110" s="262">
        <f t="shared" ref="O110:O173" si="21">I110</f>
        <v>3.6</v>
      </c>
      <c r="P110" s="262">
        <f t="shared" ref="P110:P173" si="22">J110</f>
        <v>2.1429999999999998</v>
      </c>
      <c r="Q110" s="278"/>
      <c r="R110" s="128">
        <v>3.11</v>
      </c>
      <c r="S110" s="128">
        <v>2.5379999999999998</v>
      </c>
      <c r="T110" s="128"/>
      <c r="U110" s="278"/>
      <c r="V110" s="278"/>
      <c r="W110" s="262">
        <v>1.2749999999999999</v>
      </c>
      <c r="X110" s="128">
        <v>1.21</v>
      </c>
      <c r="Y110" s="128"/>
      <c r="Z110" s="279"/>
      <c r="AA110" s="262">
        <v>-0.09</v>
      </c>
      <c r="AB110" s="262">
        <v>0.79490000000000005</v>
      </c>
      <c r="AC110" s="262">
        <v>-0.97870000000000001</v>
      </c>
      <c r="AD110" s="278"/>
      <c r="AE110" s="278"/>
      <c r="AF110" s="262">
        <f t="shared" si="15"/>
        <v>-0.09</v>
      </c>
      <c r="AG110" s="128">
        <v>1.1047</v>
      </c>
      <c r="AH110" s="128"/>
      <c r="AI110" s="128"/>
      <c r="AJ110" s="128"/>
      <c r="AK110" s="128"/>
      <c r="AL110" s="128"/>
      <c r="AM110" s="244"/>
      <c r="AN110" s="244"/>
      <c r="AO110" s="244"/>
      <c r="AP110" s="244"/>
      <c r="AQ110" s="244"/>
      <c r="AR110" s="244"/>
      <c r="AS110" s="244"/>
      <c r="AT110" s="244"/>
      <c r="AU110" s="244"/>
      <c r="AV110" s="271">
        <v>0.6</v>
      </c>
      <c r="AW110" s="271"/>
      <c r="AX110" s="271"/>
      <c r="AY110" s="271">
        <v>0.4</v>
      </c>
      <c r="AZ110" s="271">
        <v>0</v>
      </c>
      <c r="BA110" s="271">
        <v>0</v>
      </c>
      <c r="BB110" s="271"/>
      <c r="BC110" s="271">
        <f t="shared" si="12"/>
        <v>1</v>
      </c>
      <c r="BD110" s="272">
        <f t="shared" si="13"/>
        <v>1.8132000000000001</v>
      </c>
      <c r="BE110" s="243">
        <f t="shared" si="16"/>
        <v>1.8132000000000001</v>
      </c>
      <c r="BF110" s="330"/>
      <c r="BG110" s="330"/>
      <c r="BH110" s="330"/>
      <c r="BI110" s="330"/>
      <c r="BJ110" s="330"/>
      <c r="BK110" s="330"/>
      <c r="BL110" s="330"/>
      <c r="BM110" s="330"/>
      <c r="BN110" s="330"/>
      <c r="BO110" s="330"/>
      <c r="BP110" s="330"/>
      <c r="BQ110" s="330"/>
      <c r="CB110" s="243">
        <f t="shared" si="18"/>
        <v>0.64340301100034303</v>
      </c>
      <c r="CC110" s="243"/>
      <c r="CD110" s="243">
        <f t="shared" si="19"/>
        <v>0.64340301100034303</v>
      </c>
      <c r="CG110" s="734">
        <f t="shared" si="14"/>
        <v>2.1720000000000002</v>
      </c>
    </row>
    <row r="111" spans="1:85" x14ac:dyDescent="0.2">
      <c r="A111" s="19">
        <v>30894</v>
      </c>
      <c r="B111" s="262">
        <v>-1.2403999999999999</v>
      </c>
      <c r="C111" s="262">
        <v>-0.62970000000000004</v>
      </c>
      <c r="D111" s="262">
        <v>-2.31</v>
      </c>
      <c r="E111" s="262">
        <v>-3.9178000000000002</v>
      </c>
      <c r="F111" s="278"/>
      <c r="G111" s="278"/>
      <c r="H111" s="262">
        <v>-4.8710000000000004</v>
      </c>
      <c r="I111" s="262">
        <v>-6.1050000000000004</v>
      </c>
      <c r="J111" s="262">
        <v>-3.5510000000000002</v>
      </c>
      <c r="K111" s="128">
        <v>-4.6463999999999999</v>
      </c>
      <c r="L111" s="262"/>
      <c r="M111" s="262"/>
      <c r="N111" s="262">
        <f t="shared" si="20"/>
        <v>-4.8710000000000004</v>
      </c>
      <c r="O111" s="262">
        <f t="shared" si="21"/>
        <v>-6.1050000000000004</v>
      </c>
      <c r="P111" s="262">
        <f t="shared" si="22"/>
        <v>-3.5510000000000002</v>
      </c>
      <c r="Q111" s="278"/>
      <c r="R111" s="128">
        <v>-4.0599999999999996</v>
      </c>
      <c r="S111" s="128">
        <v>-1.931</v>
      </c>
      <c r="T111" s="128"/>
      <c r="U111" s="278"/>
      <c r="V111" s="278"/>
      <c r="W111" s="262">
        <v>4.5</v>
      </c>
      <c r="X111" s="128">
        <v>3.79</v>
      </c>
      <c r="Y111" s="128"/>
      <c r="Z111" s="279"/>
      <c r="AA111" s="262">
        <v>-6.3780000000000001</v>
      </c>
      <c r="AB111" s="262">
        <v>-6.8006000000000002</v>
      </c>
      <c r="AC111" s="262">
        <v>-5.9766000000000004</v>
      </c>
      <c r="AD111" s="278"/>
      <c r="AE111" s="278"/>
      <c r="AF111" s="262">
        <f t="shared" si="15"/>
        <v>-6.3780000000000001</v>
      </c>
      <c r="AG111" s="128">
        <v>1.0408999999999999</v>
      </c>
      <c r="AH111" s="128"/>
      <c r="AI111" s="128"/>
      <c r="AJ111" s="128"/>
      <c r="AK111" s="128"/>
      <c r="AL111" s="128"/>
      <c r="AM111" s="244"/>
      <c r="AN111" s="244"/>
      <c r="AO111" s="244"/>
      <c r="AP111" s="244"/>
      <c r="AQ111" s="244"/>
      <c r="AR111" s="244"/>
      <c r="AS111" s="244"/>
      <c r="AT111" s="244"/>
      <c r="AU111" s="244"/>
      <c r="AV111" s="271">
        <v>0.6</v>
      </c>
      <c r="AW111" s="271"/>
      <c r="AX111" s="271"/>
      <c r="AY111" s="271">
        <v>0.4</v>
      </c>
      <c r="AZ111" s="271">
        <v>0</v>
      </c>
      <c r="BA111" s="271">
        <v>0</v>
      </c>
      <c r="BB111" s="271"/>
      <c r="BC111" s="271">
        <f t="shared" si="12"/>
        <v>1</v>
      </c>
      <c r="BD111" s="272">
        <f t="shared" si="13"/>
        <v>1.0557600000000003</v>
      </c>
      <c r="BE111" s="243">
        <f t="shared" si="16"/>
        <v>1.0557600000000003</v>
      </c>
      <c r="BF111" s="330"/>
      <c r="BG111" s="330"/>
      <c r="BH111" s="330"/>
      <c r="BI111" s="330"/>
      <c r="BJ111" s="330"/>
      <c r="BK111" s="330"/>
      <c r="BL111" s="330"/>
      <c r="BM111" s="330"/>
      <c r="BN111" s="330"/>
      <c r="BO111" s="330"/>
      <c r="BP111" s="330"/>
      <c r="BQ111" s="330"/>
      <c r="CB111" s="243">
        <f t="shared" si="18"/>
        <v>0.64340301100034303</v>
      </c>
      <c r="CC111" s="243"/>
      <c r="CD111" s="243">
        <f t="shared" si="19"/>
        <v>0.64340301100034303</v>
      </c>
      <c r="CG111" s="734">
        <f t="shared" si="14"/>
        <v>-1.2403999999999999</v>
      </c>
    </row>
    <row r="112" spans="1:85" x14ac:dyDescent="0.2">
      <c r="A112" s="19">
        <v>30925</v>
      </c>
      <c r="B112" s="262">
        <v>11.044700000000001</v>
      </c>
      <c r="C112" s="262">
        <v>10.2202</v>
      </c>
      <c r="D112" s="262">
        <v>12.29</v>
      </c>
      <c r="E112" s="262">
        <v>11.7165</v>
      </c>
      <c r="F112" s="278"/>
      <c r="G112" s="278"/>
      <c r="H112" s="262">
        <v>11.769</v>
      </c>
      <c r="I112" s="262">
        <v>13.343</v>
      </c>
      <c r="J112" s="262">
        <v>10.161</v>
      </c>
      <c r="K112" s="128">
        <v>12.1936</v>
      </c>
      <c r="L112" s="262"/>
      <c r="M112" s="262"/>
      <c r="N112" s="262">
        <f t="shared" si="20"/>
        <v>11.769</v>
      </c>
      <c r="O112" s="262">
        <f t="shared" si="21"/>
        <v>13.343</v>
      </c>
      <c r="P112" s="262">
        <f t="shared" si="22"/>
        <v>10.161</v>
      </c>
      <c r="Q112" s="278"/>
      <c r="R112" s="128">
        <v>12.2</v>
      </c>
      <c r="S112" s="128">
        <v>11.481999999999999</v>
      </c>
      <c r="T112" s="128"/>
      <c r="U112" s="278"/>
      <c r="V112" s="278"/>
      <c r="W112" s="262">
        <v>1.6839999999999999</v>
      </c>
      <c r="X112" s="128">
        <v>1.39</v>
      </c>
      <c r="Y112" s="128"/>
      <c r="Z112" s="279"/>
      <c r="AA112" s="262">
        <v>8.5090000000000003</v>
      </c>
      <c r="AB112" s="262">
        <v>8.8792000000000009</v>
      </c>
      <c r="AC112" s="262">
        <v>8.1954999999999991</v>
      </c>
      <c r="AD112" s="278"/>
      <c r="AE112" s="278"/>
      <c r="AF112" s="262">
        <f t="shared" si="15"/>
        <v>8.5090000000000003</v>
      </c>
      <c r="AG112" s="128">
        <v>1.0408999999999999</v>
      </c>
      <c r="AH112" s="128"/>
      <c r="AI112" s="128"/>
      <c r="AJ112" s="128"/>
      <c r="AK112" s="128"/>
      <c r="AL112" s="128"/>
      <c r="AM112" s="244"/>
      <c r="AN112" s="244"/>
      <c r="AO112" s="244"/>
      <c r="AP112" s="244"/>
      <c r="AQ112" s="244"/>
      <c r="AR112" s="244"/>
      <c r="AS112" s="244"/>
      <c r="AT112" s="244"/>
      <c r="AU112" s="244"/>
      <c r="AV112" s="271">
        <v>0.6</v>
      </c>
      <c r="AW112" s="271"/>
      <c r="AX112" s="271"/>
      <c r="AY112" s="271">
        <v>0.4</v>
      </c>
      <c r="AZ112" s="271">
        <v>0</v>
      </c>
      <c r="BA112" s="271">
        <v>0</v>
      </c>
      <c r="BB112" s="271"/>
      <c r="BC112" s="271">
        <f t="shared" si="12"/>
        <v>1</v>
      </c>
      <c r="BD112" s="272">
        <f t="shared" si="13"/>
        <v>7.3004200000000008</v>
      </c>
      <c r="BE112" s="243">
        <f t="shared" si="16"/>
        <v>7.3004200000000008</v>
      </c>
      <c r="BF112" s="330"/>
      <c r="BG112" s="330"/>
      <c r="BH112" s="330"/>
      <c r="BI112" s="330"/>
      <c r="BJ112" s="330"/>
      <c r="BK112" s="330"/>
      <c r="BL112" s="330"/>
      <c r="BM112" s="330"/>
      <c r="BN112" s="330"/>
      <c r="BO112" s="330"/>
      <c r="BP112" s="330"/>
      <c r="BQ112" s="330"/>
      <c r="CB112" s="243">
        <f t="shared" si="18"/>
        <v>0.64340301100034303</v>
      </c>
      <c r="CC112" s="243"/>
      <c r="CD112" s="243">
        <f t="shared" si="19"/>
        <v>0.64340301100034303</v>
      </c>
      <c r="CG112" s="734">
        <f t="shared" si="14"/>
        <v>11.044700000000001</v>
      </c>
    </row>
    <row r="113" spans="1:85" x14ac:dyDescent="0.2">
      <c r="A113" s="19">
        <v>30955</v>
      </c>
      <c r="B113" s="262">
        <v>2.4E-2</v>
      </c>
      <c r="C113" s="262">
        <v>-1.4604999999999999</v>
      </c>
      <c r="D113" s="262">
        <v>1.6</v>
      </c>
      <c r="E113" s="262">
        <v>-0.1593</v>
      </c>
      <c r="F113" s="278"/>
      <c r="G113" s="278"/>
      <c r="H113" s="262">
        <v>-0.77800000000000002</v>
      </c>
      <c r="I113" s="262">
        <v>-2.7250000000000001</v>
      </c>
      <c r="J113" s="262">
        <v>1.2809999999999999</v>
      </c>
      <c r="K113" s="128">
        <v>-0.66810000000000003</v>
      </c>
      <c r="L113" s="262"/>
      <c r="M113" s="262"/>
      <c r="N113" s="262">
        <f t="shared" si="20"/>
        <v>-0.77800000000000002</v>
      </c>
      <c r="O113" s="262">
        <f t="shared" si="21"/>
        <v>-2.7250000000000001</v>
      </c>
      <c r="P113" s="262">
        <f t="shared" si="22"/>
        <v>1.2809999999999999</v>
      </c>
      <c r="Q113" s="278"/>
      <c r="R113" s="128">
        <v>-0.31</v>
      </c>
      <c r="S113" s="128">
        <v>-1.6E-2</v>
      </c>
      <c r="T113" s="128"/>
      <c r="U113" s="278"/>
      <c r="V113" s="278"/>
      <c r="W113" s="262">
        <v>2.375</v>
      </c>
      <c r="X113" s="128">
        <v>2.12</v>
      </c>
      <c r="Y113" s="128"/>
      <c r="Z113" s="279"/>
      <c r="AA113" s="262">
        <v>-0.84899999999999998</v>
      </c>
      <c r="AB113" s="262">
        <v>-0.35399999999999998</v>
      </c>
      <c r="AC113" s="262">
        <v>-1.4897</v>
      </c>
      <c r="AD113" s="278"/>
      <c r="AE113" s="278"/>
      <c r="AF113" s="262">
        <f t="shared" si="15"/>
        <v>-0.84899999999999998</v>
      </c>
      <c r="AG113" s="128">
        <v>1.0408999999999999</v>
      </c>
      <c r="AH113" s="128"/>
      <c r="AI113" s="128"/>
      <c r="AJ113" s="128"/>
      <c r="AK113" s="128"/>
      <c r="AL113" s="128"/>
      <c r="AM113" s="244"/>
      <c r="AN113" s="244"/>
      <c r="AO113" s="244"/>
      <c r="AP113" s="244"/>
      <c r="AQ113" s="244"/>
      <c r="AR113" s="244"/>
      <c r="AS113" s="244"/>
      <c r="AT113" s="244"/>
      <c r="AU113" s="244"/>
      <c r="AV113" s="271">
        <v>0.6</v>
      </c>
      <c r="AW113" s="271"/>
      <c r="AX113" s="271"/>
      <c r="AY113" s="271">
        <v>0.4</v>
      </c>
      <c r="AZ113" s="271">
        <v>0</v>
      </c>
      <c r="BA113" s="271">
        <v>0</v>
      </c>
      <c r="BB113" s="271"/>
      <c r="BC113" s="271">
        <f t="shared" si="12"/>
        <v>1</v>
      </c>
      <c r="BD113" s="272">
        <f t="shared" si="13"/>
        <v>0.96440000000000003</v>
      </c>
      <c r="BE113" s="243">
        <f t="shared" si="16"/>
        <v>0.96440000000000003</v>
      </c>
      <c r="BF113" s="330"/>
      <c r="BG113" s="330"/>
      <c r="BH113" s="330"/>
      <c r="BI113" s="330"/>
      <c r="BJ113" s="330"/>
      <c r="BK113" s="330"/>
      <c r="BL113" s="330"/>
      <c r="BM113" s="330"/>
      <c r="BN113" s="330"/>
      <c r="BO113" s="330"/>
      <c r="BP113" s="330"/>
      <c r="BQ113" s="330"/>
      <c r="CB113" s="243">
        <f t="shared" si="18"/>
        <v>0.64340301100034303</v>
      </c>
      <c r="CC113" s="243"/>
      <c r="CD113" s="243">
        <f t="shared" si="19"/>
        <v>0.64340301100034303</v>
      </c>
      <c r="CG113" s="734">
        <f t="shared" si="14"/>
        <v>2.4E-2</v>
      </c>
    </row>
    <row r="114" spans="1:85" x14ac:dyDescent="0.2">
      <c r="A114" s="19">
        <v>30986</v>
      </c>
      <c r="B114" s="262">
        <v>0.38529999999999998</v>
      </c>
      <c r="C114" s="262">
        <v>1.0401</v>
      </c>
      <c r="D114" s="262">
        <v>-0.46</v>
      </c>
      <c r="E114" s="262">
        <v>-0.63990000000000002</v>
      </c>
      <c r="F114" s="278"/>
      <c r="G114" s="278"/>
      <c r="H114" s="262">
        <v>-1.837</v>
      </c>
      <c r="I114" s="262">
        <v>-2.8130000000000002</v>
      </c>
      <c r="J114" s="262">
        <v>-0.82299999999999995</v>
      </c>
      <c r="K114" s="128">
        <v>-1.7228000000000001</v>
      </c>
      <c r="L114" s="262"/>
      <c r="M114" s="262"/>
      <c r="N114" s="262">
        <f t="shared" si="20"/>
        <v>-1.837</v>
      </c>
      <c r="O114" s="262">
        <f t="shared" si="21"/>
        <v>-2.8130000000000002</v>
      </c>
      <c r="P114" s="262">
        <f t="shared" si="22"/>
        <v>-0.82299999999999995</v>
      </c>
      <c r="Q114" s="278"/>
      <c r="R114" s="128">
        <v>-1.04</v>
      </c>
      <c r="S114" s="128">
        <v>7.0000000000000007E-2</v>
      </c>
      <c r="T114" s="128"/>
      <c r="U114" s="278"/>
      <c r="V114" s="278"/>
      <c r="W114" s="262">
        <v>4.2430000000000003</v>
      </c>
      <c r="X114" s="128">
        <v>3.68</v>
      </c>
      <c r="Y114" s="128"/>
      <c r="Z114" s="279"/>
      <c r="AA114" s="262">
        <v>2.5350000000000001</v>
      </c>
      <c r="AB114" s="262">
        <v>4.37</v>
      </c>
      <c r="AC114" s="262">
        <v>0.72770000000000001</v>
      </c>
      <c r="AD114" s="278"/>
      <c r="AE114" s="278"/>
      <c r="AF114" s="262">
        <f t="shared" si="15"/>
        <v>2.5350000000000001</v>
      </c>
      <c r="AG114" s="128">
        <v>0.81240000000000001</v>
      </c>
      <c r="AH114" s="128"/>
      <c r="AI114" s="128"/>
      <c r="AJ114" s="128"/>
      <c r="AK114" s="128"/>
      <c r="AL114" s="128"/>
      <c r="AM114" s="244"/>
      <c r="AN114" s="244"/>
      <c r="AO114" s="244"/>
      <c r="AP114" s="244"/>
      <c r="AQ114" s="244"/>
      <c r="AR114" s="244"/>
      <c r="AS114" s="244"/>
      <c r="AT114" s="244"/>
      <c r="AU114" s="244"/>
      <c r="AV114" s="271">
        <v>0.6</v>
      </c>
      <c r="AW114" s="271"/>
      <c r="AX114" s="271"/>
      <c r="AY114" s="271">
        <v>0.4</v>
      </c>
      <c r="AZ114" s="271">
        <v>0</v>
      </c>
      <c r="BA114" s="271">
        <v>0</v>
      </c>
      <c r="BB114" s="271"/>
      <c r="BC114" s="271">
        <f t="shared" si="12"/>
        <v>1</v>
      </c>
      <c r="BD114" s="272">
        <f t="shared" si="13"/>
        <v>1.9283800000000002</v>
      </c>
      <c r="BE114" s="243">
        <f t="shared" si="16"/>
        <v>1.9283800000000002</v>
      </c>
      <c r="BF114" s="330"/>
      <c r="BG114" s="330"/>
      <c r="BH114" s="330"/>
      <c r="BI114" s="330"/>
      <c r="BJ114" s="330"/>
      <c r="BK114" s="330"/>
      <c r="BL114" s="330"/>
      <c r="BM114" s="330"/>
      <c r="BN114" s="330"/>
      <c r="BO114" s="330"/>
      <c r="BP114" s="330"/>
      <c r="BQ114" s="330"/>
      <c r="CB114" s="243">
        <f t="shared" si="18"/>
        <v>0.64340301100034303</v>
      </c>
      <c r="CC114" s="243"/>
      <c r="CD114" s="243">
        <f t="shared" si="19"/>
        <v>0.64340301100034303</v>
      </c>
      <c r="CG114" s="734">
        <f t="shared" si="14"/>
        <v>0.38529999999999998</v>
      </c>
    </row>
    <row r="115" spans="1:85" x14ac:dyDescent="0.2">
      <c r="A115" s="19">
        <v>31016</v>
      </c>
      <c r="B115" s="262">
        <v>-1.1198999999999999</v>
      </c>
      <c r="C115" s="262">
        <v>-1.7498</v>
      </c>
      <c r="D115" s="262">
        <v>-0.26</v>
      </c>
      <c r="E115" s="262">
        <v>-0.34370000000000001</v>
      </c>
      <c r="F115" s="278"/>
      <c r="G115" s="278"/>
      <c r="H115" s="262">
        <v>-2.6619999999999999</v>
      </c>
      <c r="I115" s="262">
        <v>-4.3419999999999996</v>
      </c>
      <c r="J115" s="262">
        <v>-0.92600000000000005</v>
      </c>
      <c r="K115" s="128">
        <v>-3.6267</v>
      </c>
      <c r="L115" s="262"/>
      <c r="M115" s="262"/>
      <c r="N115" s="262">
        <f t="shared" si="20"/>
        <v>-2.6619999999999999</v>
      </c>
      <c r="O115" s="262">
        <f t="shared" si="21"/>
        <v>-4.3419999999999996</v>
      </c>
      <c r="P115" s="262">
        <f t="shared" si="22"/>
        <v>-0.92600000000000005</v>
      </c>
      <c r="Q115" s="278"/>
      <c r="R115" s="128">
        <v>-1.34</v>
      </c>
      <c r="S115" s="128">
        <v>-1.1040000000000001</v>
      </c>
      <c r="T115" s="128"/>
      <c r="U115" s="278"/>
      <c r="V115" s="278"/>
      <c r="W115" s="262">
        <v>1.7889999999999999</v>
      </c>
      <c r="X115" s="128">
        <v>1.93</v>
      </c>
      <c r="Y115" s="128"/>
      <c r="Z115" s="279"/>
      <c r="AA115" s="262">
        <v>0.41199999999999998</v>
      </c>
      <c r="AB115" s="262">
        <v>1.3196000000000001</v>
      </c>
      <c r="AC115" s="262">
        <v>-0.50649999999999995</v>
      </c>
      <c r="AD115" s="278"/>
      <c r="AE115" s="278"/>
      <c r="AF115" s="262">
        <f t="shared" si="15"/>
        <v>0.41199999999999998</v>
      </c>
      <c r="AG115" s="128">
        <v>0.81240000000000001</v>
      </c>
      <c r="AH115" s="128"/>
      <c r="AI115" s="128"/>
      <c r="AJ115" s="128"/>
      <c r="AK115" s="128"/>
      <c r="AL115" s="128"/>
      <c r="AM115" s="244"/>
      <c r="AN115" s="244"/>
      <c r="AO115" s="244"/>
      <c r="AP115" s="244"/>
      <c r="AQ115" s="244"/>
      <c r="AR115" s="244"/>
      <c r="AS115" s="244"/>
      <c r="AT115" s="244"/>
      <c r="AU115" s="244"/>
      <c r="AV115" s="271">
        <v>0.6</v>
      </c>
      <c r="AW115" s="271"/>
      <c r="AX115" s="271"/>
      <c r="AY115" s="271">
        <v>0.4</v>
      </c>
      <c r="AZ115" s="271">
        <v>0</v>
      </c>
      <c r="BA115" s="271">
        <v>0</v>
      </c>
      <c r="BB115" s="271"/>
      <c r="BC115" s="271">
        <f t="shared" si="12"/>
        <v>1</v>
      </c>
      <c r="BD115" s="272">
        <f t="shared" si="13"/>
        <v>4.3660000000000143E-2</v>
      </c>
      <c r="BE115" s="243">
        <f t="shared" si="16"/>
        <v>4.3660000000000143E-2</v>
      </c>
      <c r="BF115" s="330"/>
      <c r="BG115" s="330"/>
      <c r="BH115" s="330"/>
      <c r="BI115" s="330"/>
      <c r="BJ115" s="330"/>
      <c r="BK115" s="330"/>
      <c r="BL115" s="330"/>
      <c r="BM115" s="330"/>
      <c r="BN115" s="330"/>
      <c r="BO115" s="330"/>
      <c r="BP115" s="330"/>
      <c r="BQ115" s="330"/>
      <c r="CB115" s="243">
        <f t="shared" si="18"/>
        <v>0.64340301100034303</v>
      </c>
      <c r="CC115" s="243"/>
      <c r="CD115" s="243">
        <f t="shared" si="19"/>
        <v>0.64340301100034303</v>
      </c>
      <c r="CG115" s="734">
        <f t="shared" si="14"/>
        <v>-1.1198999999999999</v>
      </c>
    </row>
    <row r="116" spans="1:85" x14ac:dyDescent="0.2">
      <c r="A116" s="19">
        <v>31047</v>
      </c>
      <c r="B116" s="262">
        <v>2.6347999999999998</v>
      </c>
      <c r="C116" s="262">
        <v>2.5703</v>
      </c>
      <c r="D116" s="262">
        <v>2.42</v>
      </c>
      <c r="E116" s="262">
        <v>3.4426999999999999</v>
      </c>
      <c r="F116" s="278"/>
      <c r="G116" s="278"/>
      <c r="H116" s="262">
        <v>1.625</v>
      </c>
      <c r="I116" s="262">
        <v>1.669</v>
      </c>
      <c r="J116" s="262">
        <v>1.5609999999999999</v>
      </c>
      <c r="K116" s="128">
        <v>1.7379</v>
      </c>
      <c r="L116" s="262"/>
      <c r="M116" s="262"/>
      <c r="N116" s="262">
        <f t="shared" si="20"/>
        <v>1.625</v>
      </c>
      <c r="O116" s="262">
        <f t="shared" si="21"/>
        <v>1.669</v>
      </c>
      <c r="P116" s="262">
        <f t="shared" si="22"/>
        <v>1.5609999999999999</v>
      </c>
      <c r="Q116" s="278"/>
      <c r="R116" s="128">
        <v>2.0699999999999998</v>
      </c>
      <c r="S116" s="128">
        <v>2.484</v>
      </c>
      <c r="T116" s="128"/>
      <c r="U116" s="278"/>
      <c r="V116" s="278"/>
      <c r="W116" s="262">
        <v>1.4610000000000001</v>
      </c>
      <c r="X116" s="128">
        <v>1.48</v>
      </c>
      <c r="Y116" s="128"/>
      <c r="Z116" s="279"/>
      <c r="AA116" s="262">
        <v>2.0449999999999999</v>
      </c>
      <c r="AB116" s="262">
        <v>2.6661999999999999</v>
      </c>
      <c r="AC116" s="262">
        <v>2.2654000000000001</v>
      </c>
      <c r="AD116" s="278"/>
      <c r="AE116" s="278"/>
      <c r="AF116" s="262">
        <f t="shared" si="15"/>
        <v>2.0449999999999999</v>
      </c>
      <c r="AG116" s="128">
        <v>0.81240000000000001</v>
      </c>
      <c r="AH116" s="128"/>
      <c r="AI116" s="128"/>
      <c r="AJ116" s="128"/>
      <c r="AK116" s="128"/>
      <c r="AL116" s="128"/>
      <c r="AM116" s="244"/>
      <c r="AN116" s="244"/>
      <c r="AO116" s="244"/>
      <c r="AP116" s="244"/>
      <c r="AQ116" s="244"/>
      <c r="AR116" s="244"/>
      <c r="AS116" s="244"/>
      <c r="AT116" s="244"/>
      <c r="AU116" s="244"/>
      <c r="AV116" s="271">
        <v>0.6</v>
      </c>
      <c r="AW116" s="271"/>
      <c r="AX116" s="271"/>
      <c r="AY116" s="271">
        <v>0.4</v>
      </c>
      <c r="AZ116" s="271">
        <v>0</v>
      </c>
      <c r="BA116" s="271">
        <v>0</v>
      </c>
      <c r="BB116" s="271"/>
      <c r="BC116" s="271">
        <f t="shared" si="12"/>
        <v>1</v>
      </c>
      <c r="BD116" s="272">
        <f t="shared" si="13"/>
        <v>2.1652800000000001</v>
      </c>
      <c r="BE116" s="243">
        <f t="shared" si="16"/>
        <v>2.1652800000000001</v>
      </c>
      <c r="BF116" s="330"/>
      <c r="BG116" s="330"/>
      <c r="BH116" s="330"/>
      <c r="BI116" s="330"/>
      <c r="BJ116" s="330"/>
      <c r="BK116" s="330"/>
      <c r="BL116" s="330"/>
      <c r="BM116" s="330"/>
      <c r="BN116" s="330"/>
      <c r="BO116" s="330"/>
      <c r="BP116" s="330"/>
      <c r="BQ116" s="330"/>
      <c r="CB116" s="243">
        <f t="shared" si="18"/>
        <v>0.64340301100034303</v>
      </c>
      <c r="CC116" s="243"/>
      <c r="CD116" s="243">
        <f t="shared" si="19"/>
        <v>0.64340301100034303</v>
      </c>
      <c r="CG116" s="734">
        <f t="shared" si="14"/>
        <v>2.6347999999999998</v>
      </c>
    </row>
    <row r="117" spans="1:85" x14ac:dyDescent="0.2">
      <c r="A117" s="19">
        <v>31078</v>
      </c>
      <c r="B117" s="262">
        <v>7.7911999999999999</v>
      </c>
      <c r="C117" s="262">
        <v>7.9698000000000002</v>
      </c>
      <c r="D117" s="262">
        <v>7.31</v>
      </c>
      <c r="E117" s="262">
        <v>8.5325000000000006</v>
      </c>
      <c r="F117" s="278"/>
      <c r="G117" s="278"/>
      <c r="H117" s="262">
        <v>13.253</v>
      </c>
      <c r="I117" s="262">
        <v>14.391999999999999</v>
      </c>
      <c r="J117" s="262">
        <v>12.082000000000001</v>
      </c>
      <c r="K117" s="128">
        <v>13.32</v>
      </c>
      <c r="L117" s="262"/>
      <c r="M117" s="262"/>
      <c r="N117" s="262">
        <f t="shared" si="20"/>
        <v>13.253</v>
      </c>
      <c r="O117" s="262">
        <f t="shared" si="21"/>
        <v>14.391999999999999</v>
      </c>
      <c r="P117" s="262">
        <f t="shared" si="22"/>
        <v>12.082000000000001</v>
      </c>
      <c r="Q117" s="278"/>
      <c r="R117" s="128">
        <v>11.58</v>
      </c>
      <c r="S117" s="128">
        <v>8.5150000000000006</v>
      </c>
      <c r="T117" s="128"/>
      <c r="U117" s="278"/>
      <c r="V117" s="278"/>
      <c r="W117" s="262">
        <v>2.2770000000000001</v>
      </c>
      <c r="X117" s="128">
        <v>1.94</v>
      </c>
      <c r="Y117" s="128"/>
      <c r="Z117" s="279"/>
      <c r="AA117" s="262">
        <v>2.2799999999999998</v>
      </c>
      <c r="AB117" s="262">
        <v>2.1551</v>
      </c>
      <c r="AC117" s="262">
        <v>2.4272999999999998</v>
      </c>
      <c r="AD117" s="278"/>
      <c r="AE117" s="278"/>
      <c r="AF117" s="262">
        <f t="shared" si="15"/>
        <v>2.2799999999999998</v>
      </c>
      <c r="AG117" s="128">
        <v>1.3853</v>
      </c>
      <c r="AH117" s="128"/>
      <c r="AI117" s="128"/>
      <c r="AJ117" s="128"/>
      <c r="AK117" s="128"/>
      <c r="AL117" s="128"/>
      <c r="AM117" s="244"/>
      <c r="AN117" s="244"/>
      <c r="AO117" s="244"/>
      <c r="AP117" s="244"/>
      <c r="AQ117" s="244"/>
      <c r="AR117" s="244"/>
      <c r="AS117" s="244"/>
      <c r="AT117" s="244"/>
      <c r="AU117" s="244"/>
      <c r="AV117" s="271">
        <v>0.6</v>
      </c>
      <c r="AW117" s="271"/>
      <c r="AX117" s="271"/>
      <c r="AY117" s="271">
        <v>0.4</v>
      </c>
      <c r="AZ117" s="271">
        <v>0</v>
      </c>
      <c r="BA117" s="271">
        <v>0</v>
      </c>
      <c r="BB117" s="271"/>
      <c r="BC117" s="271">
        <f t="shared" si="12"/>
        <v>1</v>
      </c>
      <c r="BD117" s="272">
        <f t="shared" si="13"/>
        <v>5.5855199999999998</v>
      </c>
      <c r="BE117" s="243">
        <f t="shared" si="16"/>
        <v>5.5855199999999998</v>
      </c>
      <c r="BF117" s="330"/>
      <c r="BG117" s="330"/>
      <c r="BH117" s="330"/>
      <c r="BI117" s="330"/>
      <c r="BJ117" s="330"/>
      <c r="BK117" s="330"/>
      <c r="BL117" s="330"/>
      <c r="BM117" s="330"/>
      <c r="BN117" s="330"/>
      <c r="BO117" s="330"/>
      <c r="BP117" s="330"/>
      <c r="BQ117" s="330"/>
      <c r="CB117" s="243">
        <f t="shared" si="18"/>
        <v>0.64340301100034303</v>
      </c>
      <c r="CC117" s="243"/>
      <c r="CD117" s="243">
        <f t="shared" si="19"/>
        <v>0.64340301100034303</v>
      </c>
      <c r="CG117" s="734">
        <f t="shared" si="14"/>
        <v>7.7911999999999999</v>
      </c>
    </row>
    <row r="118" spans="1:85" x14ac:dyDescent="0.2">
      <c r="A118" s="19">
        <v>31106</v>
      </c>
      <c r="B118" s="262">
        <v>1.2246999999999999</v>
      </c>
      <c r="C118" s="262">
        <v>1.5097</v>
      </c>
      <c r="D118" s="262">
        <v>1.29</v>
      </c>
      <c r="E118" s="262">
        <v>0.85880000000000001</v>
      </c>
      <c r="F118" s="278"/>
      <c r="G118" s="278"/>
      <c r="H118" s="262">
        <v>2.6859999999999999</v>
      </c>
      <c r="I118" s="262">
        <v>3.3039999999999998</v>
      </c>
      <c r="J118" s="262">
        <v>2.0819999999999999</v>
      </c>
      <c r="K118" s="128">
        <v>2.7484000000000002</v>
      </c>
      <c r="L118" s="262"/>
      <c r="M118" s="262"/>
      <c r="N118" s="262">
        <f t="shared" si="20"/>
        <v>2.6859999999999999</v>
      </c>
      <c r="O118" s="262">
        <f t="shared" si="21"/>
        <v>3.3039999999999998</v>
      </c>
      <c r="P118" s="262">
        <f t="shared" si="22"/>
        <v>2.0819999999999999</v>
      </c>
      <c r="Q118" s="278"/>
      <c r="R118" s="128">
        <v>2.16</v>
      </c>
      <c r="S118" s="128">
        <v>1.7250000000000001</v>
      </c>
      <c r="T118" s="128"/>
      <c r="U118" s="278"/>
      <c r="V118" s="278"/>
      <c r="W118" s="262">
        <v>-2.0449999999999999</v>
      </c>
      <c r="X118" s="128">
        <v>-1.41</v>
      </c>
      <c r="Y118" s="128"/>
      <c r="Z118" s="279"/>
      <c r="AA118" s="262">
        <v>-0.56100000000000005</v>
      </c>
      <c r="AB118" s="262">
        <v>0.27239999999999998</v>
      </c>
      <c r="AC118" s="262">
        <v>-1.4870000000000001</v>
      </c>
      <c r="AD118" s="278"/>
      <c r="AE118" s="278"/>
      <c r="AF118" s="262">
        <f t="shared" si="15"/>
        <v>-0.56100000000000005</v>
      </c>
      <c r="AG118" s="128">
        <v>1.3853</v>
      </c>
      <c r="AH118" s="128"/>
      <c r="AI118" s="128"/>
      <c r="AJ118" s="128"/>
      <c r="AK118" s="128"/>
      <c r="AL118" s="128"/>
      <c r="AM118" s="244"/>
      <c r="AN118" s="244"/>
      <c r="AO118" s="244"/>
      <c r="AP118" s="244"/>
      <c r="AQ118" s="244"/>
      <c r="AR118" s="244"/>
      <c r="AS118" s="244"/>
      <c r="AT118" s="244"/>
      <c r="AU118" s="244"/>
      <c r="AV118" s="271">
        <v>0.6</v>
      </c>
      <c r="AW118" s="271"/>
      <c r="AX118" s="271"/>
      <c r="AY118" s="271">
        <v>0.4</v>
      </c>
      <c r="AZ118" s="271">
        <v>0</v>
      </c>
      <c r="BA118" s="271">
        <v>0</v>
      </c>
      <c r="BB118" s="271"/>
      <c r="BC118" s="271">
        <f t="shared" si="12"/>
        <v>1</v>
      </c>
      <c r="BD118" s="272">
        <f t="shared" si="13"/>
        <v>-8.3180000000000143E-2</v>
      </c>
      <c r="BE118" s="243">
        <f t="shared" si="16"/>
        <v>-8.3180000000000143E-2</v>
      </c>
      <c r="BF118" s="330"/>
      <c r="BG118" s="330"/>
      <c r="BH118" s="330"/>
      <c r="BI118" s="330"/>
      <c r="BJ118" s="330"/>
      <c r="BK118" s="330"/>
      <c r="BL118" s="330"/>
      <c r="BM118" s="330"/>
      <c r="BN118" s="330"/>
      <c r="BO118" s="330"/>
      <c r="BP118" s="330"/>
      <c r="BQ118" s="330"/>
      <c r="CB118" s="243">
        <f t="shared" si="18"/>
        <v>0.64340301100034303</v>
      </c>
      <c r="CC118" s="243"/>
      <c r="CD118" s="243">
        <f t="shared" si="19"/>
        <v>0.64340301100034303</v>
      </c>
      <c r="CG118" s="734">
        <f t="shared" si="14"/>
        <v>1.2246999999999999</v>
      </c>
    </row>
    <row r="119" spans="1:85" x14ac:dyDescent="0.2">
      <c r="A119" s="19">
        <v>31137</v>
      </c>
      <c r="B119" s="262">
        <v>6.6199999999999995E-2</v>
      </c>
      <c r="C119" s="262">
        <v>-0.23960000000000001</v>
      </c>
      <c r="D119" s="262">
        <v>0.34</v>
      </c>
      <c r="E119" s="262">
        <v>0.81830000000000003</v>
      </c>
      <c r="F119" s="278"/>
      <c r="G119" s="278"/>
      <c r="H119" s="262">
        <v>-2.048</v>
      </c>
      <c r="I119" s="262">
        <v>-2.5259999999999998</v>
      </c>
      <c r="J119" s="262">
        <v>-1.5549999999999999</v>
      </c>
      <c r="K119" s="128">
        <v>-1.7727999999999999</v>
      </c>
      <c r="L119" s="262"/>
      <c r="M119" s="262"/>
      <c r="N119" s="262">
        <f t="shared" si="20"/>
        <v>-2.048</v>
      </c>
      <c r="O119" s="262">
        <f t="shared" si="21"/>
        <v>-2.5259999999999998</v>
      </c>
      <c r="P119" s="262">
        <f t="shared" si="22"/>
        <v>-1.5549999999999999</v>
      </c>
      <c r="Q119" s="278"/>
      <c r="R119" s="128">
        <v>-1.41</v>
      </c>
      <c r="S119" s="128">
        <v>-0.24299999999999999</v>
      </c>
      <c r="T119" s="128"/>
      <c r="U119" s="278"/>
      <c r="V119" s="278"/>
      <c r="W119" s="262">
        <v>2.0430000000000001</v>
      </c>
      <c r="X119" s="128">
        <v>1.88</v>
      </c>
      <c r="Y119" s="128"/>
      <c r="Z119" s="279"/>
      <c r="AA119" s="262">
        <v>7.7889999999999997</v>
      </c>
      <c r="AB119" s="262">
        <v>8.1294000000000004</v>
      </c>
      <c r="AC119" s="262">
        <v>7.1375000000000002</v>
      </c>
      <c r="AD119" s="278"/>
      <c r="AE119" s="278"/>
      <c r="AF119" s="262">
        <f t="shared" si="15"/>
        <v>7.7889999999999997</v>
      </c>
      <c r="AG119" s="128">
        <v>1.3853</v>
      </c>
      <c r="AH119" s="128"/>
      <c r="AI119" s="128"/>
      <c r="AJ119" s="128"/>
      <c r="AK119" s="128"/>
      <c r="AL119" s="128"/>
      <c r="AM119" s="244"/>
      <c r="AN119" s="244"/>
      <c r="AO119" s="244"/>
      <c r="AP119" s="244"/>
      <c r="AQ119" s="244"/>
      <c r="AR119" s="244"/>
      <c r="AS119" s="244"/>
      <c r="AT119" s="244"/>
      <c r="AU119" s="244"/>
      <c r="AV119" s="271">
        <v>0.6</v>
      </c>
      <c r="AW119" s="271"/>
      <c r="AX119" s="271"/>
      <c r="AY119" s="271">
        <v>0.4</v>
      </c>
      <c r="AZ119" s="271">
        <v>0</v>
      </c>
      <c r="BA119" s="271">
        <v>0</v>
      </c>
      <c r="BB119" s="271"/>
      <c r="BC119" s="271">
        <f t="shared" si="12"/>
        <v>1</v>
      </c>
      <c r="BD119" s="272">
        <f t="shared" si="13"/>
        <v>0.85692000000000013</v>
      </c>
      <c r="BE119" s="243">
        <f t="shared" si="16"/>
        <v>0.85692000000000013</v>
      </c>
      <c r="BF119" s="330"/>
      <c r="BG119" s="330"/>
      <c r="BH119" s="330"/>
      <c r="BI119" s="330"/>
      <c r="BJ119" s="330"/>
      <c r="BK119" s="330"/>
      <c r="BL119" s="330"/>
      <c r="BM119" s="330"/>
      <c r="BN119" s="330"/>
      <c r="BO119" s="330"/>
      <c r="BP119" s="330"/>
      <c r="BQ119" s="330"/>
      <c r="CB119" s="243">
        <f t="shared" si="18"/>
        <v>0.64340301100034303</v>
      </c>
      <c r="CC119" s="243"/>
      <c r="CD119" s="243">
        <f t="shared" si="19"/>
        <v>0.64340301100034303</v>
      </c>
      <c r="CG119" s="734">
        <f t="shared" si="14"/>
        <v>6.6199999999999995E-2</v>
      </c>
    </row>
    <row r="120" spans="1:85" x14ac:dyDescent="0.2">
      <c r="A120" s="19">
        <v>31167</v>
      </c>
      <c r="B120" s="262">
        <v>-9.4100000000000003E-2</v>
      </c>
      <c r="C120" s="262">
        <v>-1.4899</v>
      </c>
      <c r="D120" s="262">
        <v>0.94</v>
      </c>
      <c r="E120" s="262">
        <v>0.9042</v>
      </c>
      <c r="F120" s="278"/>
      <c r="G120" s="278"/>
      <c r="H120" s="262">
        <v>-1.246</v>
      </c>
      <c r="I120" s="262">
        <v>-1.96</v>
      </c>
      <c r="J120" s="262">
        <v>-0.53100000000000003</v>
      </c>
      <c r="K120" s="128">
        <v>-1.1292</v>
      </c>
      <c r="L120" s="262"/>
      <c r="M120" s="262"/>
      <c r="N120" s="262">
        <f t="shared" si="20"/>
        <v>-1.246</v>
      </c>
      <c r="O120" s="262">
        <f t="shared" si="21"/>
        <v>-1.96</v>
      </c>
      <c r="P120" s="262">
        <f t="shared" si="22"/>
        <v>-0.53100000000000003</v>
      </c>
      <c r="Q120" s="278"/>
      <c r="R120" s="128">
        <v>-0.83</v>
      </c>
      <c r="S120" s="128">
        <v>-0.23</v>
      </c>
      <c r="T120" s="128"/>
      <c r="U120" s="278"/>
      <c r="V120" s="278"/>
      <c r="W120" s="262">
        <v>2.0640000000000001</v>
      </c>
      <c r="X120" s="128">
        <v>1.96</v>
      </c>
      <c r="Y120" s="128"/>
      <c r="Z120" s="279"/>
      <c r="AA120" s="262">
        <v>-0.311</v>
      </c>
      <c r="AB120" s="262">
        <v>-1.2378</v>
      </c>
      <c r="AC120" s="262">
        <v>0.62480000000000002</v>
      </c>
      <c r="AD120" s="278"/>
      <c r="AE120" s="278"/>
      <c r="AF120" s="262">
        <f t="shared" si="15"/>
        <v>-0.311</v>
      </c>
      <c r="AG120" s="128">
        <v>0.69010000000000005</v>
      </c>
      <c r="AH120" s="128"/>
      <c r="AI120" s="128"/>
      <c r="AJ120" s="128"/>
      <c r="AK120" s="128"/>
      <c r="AL120" s="128"/>
      <c r="AM120" s="244"/>
      <c r="AN120" s="244"/>
      <c r="AO120" s="244"/>
      <c r="AP120" s="244"/>
      <c r="AQ120" s="244"/>
      <c r="AR120" s="244"/>
      <c r="AS120" s="244"/>
      <c r="AT120" s="244"/>
      <c r="AU120" s="244"/>
      <c r="AV120" s="271">
        <v>0.6</v>
      </c>
      <c r="AW120" s="271"/>
      <c r="AX120" s="271"/>
      <c r="AY120" s="271">
        <v>0.4</v>
      </c>
      <c r="AZ120" s="271">
        <v>0</v>
      </c>
      <c r="BA120" s="271">
        <v>0</v>
      </c>
      <c r="BB120" s="271"/>
      <c r="BC120" s="271">
        <f t="shared" si="12"/>
        <v>1</v>
      </c>
      <c r="BD120" s="272">
        <f t="shared" si="13"/>
        <v>0.76914000000000016</v>
      </c>
      <c r="BE120" s="243">
        <f t="shared" si="16"/>
        <v>0.76914000000000016</v>
      </c>
      <c r="BF120" s="330"/>
      <c r="BG120" s="330"/>
      <c r="BH120" s="330"/>
      <c r="BI120" s="330"/>
      <c r="BJ120" s="330"/>
      <c r="BK120" s="330"/>
      <c r="BL120" s="330"/>
      <c r="BM120" s="330"/>
      <c r="BN120" s="330"/>
      <c r="BO120" s="330"/>
      <c r="BP120" s="330"/>
      <c r="BQ120" s="330"/>
      <c r="CB120" s="243">
        <f t="shared" si="18"/>
        <v>0.64340301100034303</v>
      </c>
      <c r="CC120" s="243"/>
      <c r="CD120" s="243">
        <f t="shared" si="19"/>
        <v>0.64340301100034303</v>
      </c>
      <c r="CG120" s="734">
        <f t="shared" si="14"/>
        <v>-9.4100000000000003E-2</v>
      </c>
    </row>
    <row r="121" spans="1:85" x14ac:dyDescent="0.2">
      <c r="A121" s="19">
        <v>31198</v>
      </c>
      <c r="B121" s="262">
        <v>5.7777000000000003</v>
      </c>
      <c r="C121" s="262">
        <v>6.4093</v>
      </c>
      <c r="D121" s="262">
        <v>5.49</v>
      </c>
      <c r="E121" s="262">
        <v>4.9630999999999998</v>
      </c>
      <c r="F121" s="278"/>
      <c r="G121" s="278"/>
      <c r="H121" s="262">
        <v>3.6760000000000002</v>
      </c>
      <c r="I121" s="262">
        <v>4.2309999999999999</v>
      </c>
      <c r="J121" s="262">
        <v>3.1970000000000001</v>
      </c>
      <c r="K121" s="128">
        <v>3.9596</v>
      </c>
      <c r="L121" s="262"/>
      <c r="M121" s="262"/>
      <c r="N121" s="262">
        <f t="shared" si="20"/>
        <v>3.6760000000000002</v>
      </c>
      <c r="O121" s="262">
        <f t="shared" si="21"/>
        <v>4.2309999999999999</v>
      </c>
      <c r="P121" s="262">
        <f t="shared" si="22"/>
        <v>3.1970000000000001</v>
      </c>
      <c r="Q121" s="278"/>
      <c r="R121" s="128">
        <v>4.4800000000000004</v>
      </c>
      <c r="S121" s="128">
        <v>5.76</v>
      </c>
      <c r="T121" s="128"/>
      <c r="U121" s="278"/>
      <c r="V121" s="278"/>
      <c r="W121" s="262">
        <v>5.226</v>
      </c>
      <c r="X121" s="128">
        <v>4.3099999999999996</v>
      </c>
      <c r="Y121" s="128"/>
      <c r="Z121" s="279"/>
      <c r="AA121" s="262">
        <v>4.28</v>
      </c>
      <c r="AB121" s="262">
        <v>4.3574999999999999</v>
      </c>
      <c r="AC121" s="262">
        <v>4.1353</v>
      </c>
      <c r="AD121" s="278"/>
      <c r="AE121" s="278"/>
      <c r="AF121" s="262">
        <f t="shared" si="15"/>
        <v>4.28</v>
      </c>
      <c r="AG121" s="128">
        <v>0.69010000000000005</v>
      </c>
      <c r="AH121" s="128"/>
      <c r="AI121" s="128"/>
      <c r="AJ121" s="128"/>
      <c r="AK121" s="128"/>
      <c r="AL121" s="128"/>
      <c r="AM121" s="244"/>
      <c r="AN121" s="244"/>
      <c r="AO121" s="244"/>
      <c r="AP121" s="244"/>
      <c r="AQ121" s="244"/>
      <c r="AR121" s="244"/>
      <c r="AS121" s="244"/>
      <c r="AT121" s="244"/>
      <c r="AU121" s="244"/>
      <c r="AV121" s="271">
        <v>0.6</v>
      </c>
      <c r="AW121" s="271"/>
      <c r="AX121" s="271"/>
      <c r="AY121" s="271">
        <v>0.4</v>
      </c>
      <c r="AZ121" s="271">
        <v>0</v>
      </c>
      <c r="BA121" s="271">
        <v>0</v>
      </c>
      <c r="BB121" s="271"/>
      <c r="BC121" s="271">
        <f t="shared" si="12"/>
        <v>1</v>
      </c>
      <c r="BD121" s="272">
        <f t="shared" si="13"/>
        <v>5.5570200000000005</v>
      </c>
      <c r="BE121" s="243">
        <f t="shared" si="16"/>
        <v>5.5570200000000005</v>
      </c>
      <c r="BF121" s="330"/>
      <c r="BG121" s="330"/>
      <c r="BH121" s="330"/>
      <c r="BI121" s="330"/>
      <c r="BJ121" s="330"/>
      <c r="BK121" s="330"/>
      <c r="BL121" s="330"/>
      <c r="BM121" s="330"/>
      <c r="BN121" s="330"/>
      <c r="BO121" s="330"/>
      <c r="BP121" s="330"/>
      <c r="BQ121" s="330"/>
      <c r="CB121" s="243">
        <f t="shared" si="18"/>
        <v>0.64340301100034303</v>
      </c>
      <c r="CC121" s="243"/>
      <c r="CD121" s="243">
        <f t="shared" si="19"/>
        <v>0.64340301100034303</v>
      </c>
      <c r="CG121" s="734">
        <f t="shared" si="14"/>
        <v>5.7777000000000003</v>
      </c>
    </row>
    <row r="122" spans="1:85" x14ac:dyDescent="0.2">
      <c r="A122" s="19">
        <v>31228</v>
      </c>
      <c r="B122" s="262">
        <v>1.5669</v>
      </c>
      <c r="C122" s="262">
        <v>1.9004000000000001</v>
      </c>
      <c r="D122" s="262">
        <v>1.1599999999999999</v>
      </c>
      <c r="E122" s="262">
        <v>4.1974999999999998</v>
      </c>
      <c r="F122" s="278"/>
      <c r="G122" s="278"/>
      <c r="H122" s="262">
        <v>1.133</v>
      </c>
      <c r="I122" s="262">
        <v>0.94899999999999995</v>
      </c>
      <c r="J122" s="262">
        <v>1.2230000000000001</v>
      </c>
      <c r="K122" s="128">
        <v>1.0891999999999999</v>
      </c>
      <c r="L122" s="262"/>
      <c r="M122" s="262"/>
      <c r="N122" s="262">
        <f t="shared" si="20"/>
        <v>1.133</v>
      </c>
      <c r="O122" s="262">
        <f t="shared" si="21"/>
        <v>0.94899999999999995</v>
      </c>
      <c r="P122" s="262">
        <f t="shared" si="22"/>
        <v>1.2230000000000001</v>
      </c>
      <c r="Q122" s="278"/>
      <c r="R122" s="128">
        <v>1.95</v>
      </c>
      <c r="S122" s="128">
        <v>1.829</v>
      </c>
      <c r="T122" s="128"/>
      <c r="U122" s="278"/>
      <c r="V122" s="278"/>
      <c r="W122" s="262">
        <v>1.0569999999999999</v>
      </c>
      <c r="X122" s="128">
        <v>1.1000000000000001</v>
      </c>
      <c r="Y122" s="128"/>
      <c r="Z122" s="279"/>
      <c r="AA122" s="262">
        <v>2.6</v>
      </c>
      <c r="AB122" s="262">
        <v>2.5145</v>
      </c>
      <c r="AC122" s="262">
        <v>2.8073999999999999</v>
      </c>
      <c r="AD122" s="278"/>
      <c r="AE122" s="278"/>
      <c r="AF122" s="262">
        <f t="shared" si="15"/>
        <v>2.6</v>
      </c>
      <c r="AG122" s="128">
        <v>0.69010000000000005</v>
      </c>
      <c r="AH122" s="128"/>
      <c r="AI122" s="128"/>
      <c r="AJ122" s="128"/>
      <c r="AK122" s="128"/>
      <c r="AL122" s="128"/>
      <c r="AM122" s="244"/>
      <c r="AN122" s="244"/>
      <c r="AO122" s="244"/>
      <c r="AP122" s="244"/>
      <c r="AQ122" s="244"/>
      <c r="AR122" s="244"/>
      <c r="AS122" s="244"/>
      <c r="AT122" s="244"/>
      <c r="AU122" s="244"/>
      <c r="AV122" s="271">
        <v>0.6</v>
      </c>
      <c r="AW122" s="271"/>
      <c r="AX122" s="271"/>
      <c r="AY122" s="271">
        <v>0.4</v>
      </c>
      <c r="AZ122" s="271">
        <v>0</v>
      </c>
      <c r="BA122" s="271">
        <v>0</v>
      </c>
      <c r="BB122" s="271"/>
      <c r="BC122" s="271">
        <f t="shared" si="12"/>
        <v>1</v>
      </c>
      <c r="BD122" s="272">
        <f t="shared" si="13"/>
        <v>1.36294</v>
      </c>
      <c r="BE122" s="243">
        <f t="shared" si="16"/>
        <v>1.36294</v>
      </c>
      <c r="BF122" s="330"/>
      <c r="BG122" s="330"/>
      <c r="BH122" s="330"/>
      <c r="BI122" s="330"/>
      <c r="BJ122" s="330"/>
      <c r="BK122" s="330"/>
      <c r="BL122" s="330"/>
      <c r="BM122" s="330"/>
      <c r="BN122" s="330"/>
      <c r="BO122" s="330"/>
      <c r="BP122" s="330"/>
      <c r="BQ122" s="330"/>
      <c r="CB122" s="243">
        <f t="shared" si="18"/>
        <v>0.64340301100034303</v>
      </c>
      <c r="CC122" s="243"/>
      <c r="CD122" s="243">
        <f t="shared" si="19"/>
        <v>0.64340301100034303</v>
      </c>
      <c r="CG122" s="734">
        <f t="shared" si="14"/>
        <v>1.5669</v>
      </c>
    </row>
    <row r="123" spans="1:85" x14ac:dyDescent="0.2">
      <c r="A123" s="19">
        <v>31259</v>
      </c>
      <c r="B123" s="262">
        <v>-0.1459</v>
      </c>
      <c r="C123" s="262">
        <v>-0.37990000000000002</v>
      </c>
      <c r="D123" s="262">
        <v>-0.23</v>
      </c>
      <c r="E123" s="262">
        <v>8.2699999999999996E-2</v>
      </c>
      <c r="F123" s="278"/>
      <c r="G123" s="278"/>
      <c r="H123" s="262">
        <v>2.794</v>
      </c>
      <c r="I123" s="262">
        <v>3.0390000000000001</v>
      </c>
      <c r="J123" s="262">
        <v>2.5979999999999999</v>
      </c>
      <c r="K123" s="128">
        <v>2.7381000000000002</v>
      </c>
      <c r="L123" s="262"/>
      <c r="M123" s="262"/>
      <c r="N123" s="262">
        <f t="shared" si="20"/>
        <v>2.794</v>
      </c>
      <c r="O123" s="262">
        <f t="shared" si="21"/>
        <v>3.0390000000000001</v>
      </c>
      <c r="P123" s="262">
        <f t="shared" si="22"/>
        <v>2.5979999999999999</v>
      </c>
      <c r="Q123" s="278"/>
      <c r="R123" s="128">
        <v>1.78</v>
      </c>
      <c r="S123" s="128">
        <v>-0.26600000000000001</v>
      </c>
      <c r="T123" s="128"/>
      <c r="U123" s="278"/>
      <c r="V123" s="278"/>
      <c r="W123" s="262">
        <v>-0.34899999999999998</v>
      </c>
      <c r="X123" s="128">
        <v>-0.1</v>
      </c>
      <c r="Y123" s="128"/>
      <c r="Z123" s="279"/>
      <c r="AA123" s="262">
        <v>5.1970000000000001</v>
      </c>
      <c r="AB123" s="262">
        <v>5.1275000000000004</v>
      </c>
      <c r="AC123" s="262">
        <v>5.2735000000000003</v>
      </c>
      <c r="AD123" s="278"/>
      <c r="AE123" s="278"/>
      <c r="AF123" s="262">
        <f t="shared" si="15"/>
        <v>5.1970000000000001</v>
      </c>
      <c r="AG123" s="128">
        <v>0.85799999999999998</v>
      </c>
      <c r="AH123" s="128"/>
      <c r="AI123" s="128"/>
      <c r="AJ123" s="128"/>
      <c r="AK123" s="128"/>
      <c r="AL123" s="128"/>
      <c r="AM123" s="244"/>
      <c r="AN123" s="244"/>
      <c r="AO123" s="244"/>
      <c r="AP123" s="244"/>
      <c r="AQ123" s="244"/>
      <c r="AR123" s="244"/>
      <c r="AS123" s="244"/>
      <c r="AT123" s="244"/>
      <c r="AU123" s="244"/>
      <c r="AV123" s="271">
        <v>0.6</v>
      </c>
      <c r="AW123" s="271"/>
      <c r="AX123" s="271"/>
      <c r="AY123" s="271">
        <v>0.4</v>
      </c>
      <c r="AZ123" s="271">
        <v>0</v>
      </c>
      <c r="BA123" s="271">
        <v>0</v>
      </c>
      <c r="BB123" s="271"/>
      <c r="BC123" s="271">
        <f t="shared" si="12"/>
        <v>1</v>
      </c>
      <c r="BD123" s="272">
        <f t="shared" si="13"/>
        <v>-0.22714000000000001</v>
      </c>
      <c r="BE123" s="243">
        <f t="shared" si="16"/>
        <v>-0.22714000000000001</v>
      </c>
      <c r="BF123" s="330"/>
      <c r="BG123" s="330"/>
      <c r="BH123" s="330"/>
      <c r="BI123" s="330"/>
      <c r="BJ123" s="330"/>
      <c r="BK123" s="330"/>
      <c r="BL123" s="330"/>
      <c r="BM123" s="330"/>
      <c r="BN123" s="330"/>
      <c r="BO123" s="330"/>
      <c r="BP123" s="330"/>
      <c r="BQ123" s="330"/>
      <c r="CB123" s="243">
        <f t="shared" si="18"/>
        <v>0.64340301100034303</v>
      </c>
      <c r="CC123" s="243"/>
      <c r="CD123" s="243">
        <f t="shared" si="19"/>
        <v>0.64340301100034303</v>
      </c>
      <c r="CG123" s="734">
        <f t="shared" si="14"/>
        <v>-0.1459</v>
      </c>
    </row>
    <row r="124" spans="1:85" x14ac:dyDescent="0.2">
      <c r="A124" s="19">
        <v>31290</v>
      </c>
      <c r="B124" s="262">
        <v>-0.8538</v>
      </c>
      <c r="C124" s="262">
        <v>-1.2304999999999999</v>
      </c>
      <c r="D124" s="262">
        <v>-0.09</v>
      </c>
      <c r="E124" s="262">
        <v>-0.71360000000000001</v>
      </c>
      <c r="F124" s="278"/>
      <c r="G124" s="278"/>
      <c r="H124" s="262">
        <v>-0.96199999999999997</v>
      </c>
      <c r="I124" s="262">
        <v>-1.528</v>
      </c>
      <c r="J124" s="262">
        <v>-0.45700000000000002</v>
      </c>
      <c r="K124" s="128">
        <v>-1.2715000000000001</v>
      </c>
      <c r="L124" s="262"/>
      <c r="M124" s="262"/>
      <c r="N124" s="262">
        <f t="shared" si="20"/>
        <v>-0.96199999999999997</v>
      </c>
      <c r="O124" s="262">
        <f t="shared" si="21"/>
        <v>-1.528</v>
      </c>
      <c r="P124" s="262">
        <f t="shared" si="22"/>
        <v>-0.45700000000000002</v>
      </c>
      <c r="Q124" s="278"/>
      <c r="R124" s="128">
        <v>-0.55000000000000004</v>
      </c>
      <c r="S124" s="128">
        <v>-0.39</v>
      </c>
      <c r="T124" s="128"/>
      <c r="U124" s="278"/>
      <c r="V124" s="278"/>
      <c r="W124" s="262">
        <v>1.88</v>
      </c>
      <c r="X124" s="128">
        <v>1.62</v>
      </c>
      <c r="Y124" s="128"/>
      <c r="Z124" s="279"/>
      <c r="AA124" s="262">
        <v>3.2429999999999999</v>
      </c>
      <c r="AB124" s="262">
        <v>2.1171000000000002</v>
      </c>
      <c r="AC124" s="262">
        <v>4.3696000000000002</v>
      </c>
      <c r="AD124" s="278"/>
      <c r="AE124" s="278"/>
      <c r="AF124" s="262">
        <f t="shared" si="15"/>
        <v>3.2429999999999999</v>
      </c>
      <c r="AG124" s="128">
        <v>0.85799999999999998</v>
      </c>
      <c r="AH124" s="128"/>
      <c r="AI124" s="128"/>
      <c r="AJ124" s="128"/>
      <c r="AK124" s="128"/>
      <c r="AL124" s="128"/>
      <c r="AM124" s="244"/>
      <c r="AN124" s="244"/>
      <c r="AO124" s="244"/>
      <c r="AP124" s="244"/>
      <c r="AQ124" s="244"/>
      <c r="AR124" s="244"/>
      <c r="AS124" s="244"/>
      <c r="AT124" s="244"/>
      <c r="AU124" s="244"/>
      <c r="AV124" s="271">
        <v>0.6</v>
      </c>
      <c r="AW124" s="271"/>
      <c r="AX124" s="271"/>
      <c r="AY124" s="271">
        <v>0.4</v>
      </c>
      <c r="AZ124" s="271">
        <v>0</v>
      </c>
      <c r="BA124" s="271">
        <v>0</v>
      </c>
      <c r="BB124" s="271"/>
      <c r="BC124" s="271">
        <f t="shared" si="12"/>
        <v>1</v>
      </c>
      <c r="BD124" s="272">
        <f t="shared" si="13"/>
        <v>0.23972000000000004</v>
      </c>
      <c r="BE124" s="243">
        <f t="shared" si="16"/>
        <v>0.23972000000000004</v>
      </c>
      <c r="BF124" s="330"/>
      <c r="BG124" s="330"/>
      <c r="BH124" s="330"/>
      <c r="BI124" s="330"/>
      <c r="BJ124" s="330"/>
      <c r="BK124" s="330"/>
      <c r="BL124" s="330"/>
      <c r="BM124" s="330"/>
      <c r="BN124" s="330"/>
      <c r="BO124" s="330"/>
      <c r="BP124" s="330"/>
      <c r="BQ124" s="330"/>
      <c r="CB124" s="243">
        <f t="shared" si="18"/>
        <v>0.64340301100034303</v>
      </c>
      <c r="CC124" s="243"/>
      <c r="CD124" s="243">
        <f t="shared" si="19"/>
        <v>0.64340301100034303</v>
      </c>
      <c r="CG124" s="734">
        <f t="shared" si="14"/>
        <v>-0.8538</v>
      </c>
    </row>
    <row r="125" spans="1:85" x14ac:dyDescent="0.2">
      <c r="A125" s="19">
        <v>31320</v>
      </c>
      <c r="B125" s="262">
        <v>-3.1278000000000001</v>
      </c>
      <c r="C125" s="262">
        <v>-3.6598999999999999</v>
      </c>
      <c r="D125" s="262">
        <v>-2.84</v>
      </c>
      <c r="E125" s="262">
        <v>-4.7811000000000003</v>
      </c>
      <c r="F125" s="278"/>
      <c r="G125" s="278"/>
      <c r="H125" s="262">
        <v>-6.0519999999999996</v>
      </c>
      <c r="I125" s="262">
        <v>-7.2430000000000003</v>
      </c>
      <c r="J125" s="262">
        <v>-4.9029999999999996</v>
      </c>
      <c r="K125" s="128">
        <v>-6.5274000000000001</v>
      </c>
      <c r="L125" s="262"/>
      <c r="M125" s="262"/>
      <c r="N125" s="262">
        <f t="shared" si="20"/>
        <v>-6.0519999999999996</v>
      </c>
      <c r="O125" s="262">
        <f t="shared" si="21"/>
        <v>-7.2430000000000003</v>
      </c>
      <c r="P125" s="262">
        <f t="shared" si="22"/>
        <v>-4.9029999999999996</v>
      </c>
      <c r="Q125" s="278"/>
      <c r="R125" s="128">
        <v>-5.41</v>
      </c>
      <c r="S125" s="128">
        <v>-3.863</v>
      </c>
      <c r="T125" s="128"/>
      <c r="U125" s="278"/>
      <c r="V125" s="278"/>
      <c r="W125" s="262">
        <v>0.60299999999999998</v>
      </c>
      <c r="X125" s="128">
        <v>0.83</v>
      </c>
      <c r="Y125" s="128"/>
      <c r="Z125" s="279"/>
      <c r="AA125" s="262">
        <v>5.8840000000000003</v>
      </c>
      <c r="AB125" s="262">
        <v>4.03</v>
      </c>
      <c r="AC125" s="262">
        <v>7.7481</v>
      </c>
      <c r="AD125" s="278"/>
      <c r="AE125" s="278"/>
      <c r="AF125" s="262">
        <f t="shared" si="15"/>
        <v>5.8840000000000003</v>
      </c>
      <c r="AG125" s="128">
        <v>0.85799999999999998</v>
      </c>
      <c r="AH125" s="128"/>
      <c r="AI125" s="128"/>
      <c r="AJ125" s="128"/>
      <c r="AK125" s="128"/>
      <c r="AL125" s="128"/>
      <c r="AM125" s="244"/>
      <c r="AN125" s="244"/>
      <c r="AO125" s="244"/>
      <c r="AP125" s="244"/>
      <c r="AQ125" s="244"/>
      <c r="AR125" s="244"/>
      <c r="AS125" s="244"/>
      <c r="AT125" s="244"/>
      <c r="AU125" s="244"/>
      <c r="AV125" s="271">
        <v>0.6</v>
      </c>
      <c r="AW125" s="271"/>
      <c r="AX125" s="271"/>
      <c r="AY125" s="271">
        <v>0.4</v>
      </c>
      <c r="AZ125" s="271">
        <v>0</v>
      </c>
      <c r="BA125" s="271">
        <v>0</v>
      </c>
      <c r="BB125" s="271"/>
      <c r="BC125" s="271">
        <f t="shared" si="12"/>
        <v>1</v>
      </c>
      <c r="BD125" s="272">
        <f t="shared" si="13"/>
        <v>-1.6354799999999998</v>
      </c>
      <c r="BE125" s="243">
        <f t="shared" si="16"/>
        <v>-1.6354799999999998</v>
      </c>
      <c r="BF125" s="330"/>
      <c r="BG125" s="330"/>
      <c r="BH125" s="330"/>
      <c r="BI125" s="330"/>
      <c r="BJ125" s="330"/>
      <c r="BK125" s="330"/>
      <c r="BL125" s="330"/>
      <c r="BM125" s="330"/>
      <c r="BN125" s="330"/>
      <c r="BO125" s="330"/>
      <c r="BP125" s="330"/>
      <c r="BQ125" s="330"/>
      <c r="CB125" s="243">
        <f t="shared" si="18"/>
        <v>0.64340301100034303</v>
      </c>
      <c r="CC125" s="243"/>
      <c r="CD125" s="243">
        <f t="shared" si="19"/>
        <v>0.64340301100034303</v>
      </c>
      <c r="CG125" s="734">
        <f t="shared" si="14"/>
        <v>-3.1278000000000001</v>
      </c>
    </row>
    <row r="126" spans="1:85" x14ac:dyDescent="0.2">
      <c r="A126" s="19">
        <v>31351</v>
      </c>
      <c r="B126" s="262">
        <v>4.6188000000000002</v>
      </c>
      <c r="C126" s="262">
        <v>4.1901999999999999</v>
      </c>
      <c r="D126" s="262">
        <v>4.8099999999999996</v>
      </c>
      <c r="E126" s="262">
        <v>5.5457000000000001</v>
      </c>
      <c r="F126" s="278"/>
      <c r="G126" s="278"/>
      <c r="H126" s="262">
        <v>3.8029999999999999</v>
      </c>
      <c r="I126" s="262">
        <v>4.2140000000000004</v>
      </c>
      <c r="J126" s="262">
        <v>3.4249999999999998</v>
      </c>
      <c r="K126" s="128">
        <v>4.4809999999999999</v>
      </c>
      <c r="L126" s="262"/>
      <c r="M126" s="262"/>
      <c r="N126" s="262">
        <f t="shared" si="20"/>
        <v>3.8029999999999999</v>
      </c>
      <c r="O126" s="262">
        <f t="shared" si="21"/>
        <v>4.2140000000000004</v>
      </c>
      <c r="P126" s="262">
        <f t="shared" si="22"/>
        <v>3.4249999999999998</v>
      </c>
      <c r="Q126" s="278"/>
      <c r="R126" s="128">
        <v>3.99</v>
      </c>
      <c r="S126" s="128">
        <v>4.6360000000000001</v>
      </c>
      <c r="T126" s="128"/>
      <c r="U126" s="278"/>
      <c r="V126" s="278"/>
      <c r="W126" s="262">
        <v>2.0960000000000001</v>
      </c>
      <c r="X126" s="128">
        <v>1.74</v>
      </c>
      <c r="Y126" s="128"/>
      <c r="Z126" s="279"/>
      <c r="AA126" s="262">
        <v>6.8339999999999996</v>
      </c>
      <c r="AB126" s="262">
        <v>7.0853999999999999</v>
      </c>
      <c r="AC126" s="262">
        <v>6.8623000000000003</v>
      </c>
      <c r="AD126" s="278"/>
      <c r="AE126" s="278"/>
      <c r="AF126" s="262">
        <f t="shared" si="15"/>
        <v>6.8339999999999996</v>
      </c>
      <c r="AG126" s="128">
        <v>0.78920000000000001</v>
      </c>
      <c r="AH126" s="128"/>
      <c r="AI126" s="128"/>
      <c r="AJ126" s="128"/>
      <c r="AK126" s="128"/>
      <c r="AL126" s="128"/>
      <c r="AM126" s="244"/>
      <c r="AN126" s="244"/>
      <c r="AO126" s="244"/>
      <c r="AP126" s="244"/>
      <c r="AQ126" s="244"/>
      <c r="AR126" s="244"/>
      <c r="AS126" s="244"/>
      <c r="AT126" s="244"/>
      <c r="AU126" s="244"/>
      <c r="AV126" s="271">
        <v>0.6</v>
      </c>
      <c r="AW126" s="271"/>
      <c r="AX126" s="271"/>
      <c r="AY126" s="271">
        <v>0.4</v>
      </c>
      <c r="AZ126" s="271">
        <v>0</v>
      </c>
      <c r="BA126" s="271">
        <v>0</v>
      </c>
      <c r="BB126" s="271"/>
      <c r="BC126" s="271">
        <f t="shared" si="12"/>
        <v>1</v>
      </c>
      <c r="BD126" s="272">
        <f t="shared" si="13"/>
        <v>3.60968</v>
      </c>
      <c r="BE126" s="243">
        <f t="shared" si="16"/>
        <v>3.60968</v>
      </c>
      <c r="BF126" s="330"/>
      <c r="BG126" s="330"/>
      <c r="BH126" s="330"/>
      <c r="BI126" s="330"/>
      <c r="BJ126" s="330"/>
      <c r="BK126" s="330"/>
      <c r="BL126" s="330"/>
      <c r="BM126" s="330"/>
      <c r="BN126" s="330"/>
      <c r="BO126" s="330"/>
      <c r="BP126" s="330"/>
      <c r="BQ126" s="330"/>
      <c r="CB126" s="243">
        <f t="shared" si="18"/>
        <v>0.64340301100034303</v>
      </c>
      <c r="CC126" s="243"/>
      <c r="CD126" s="243">
        <f t="shared" si="19"/>
        <v>0.64340301100034303</v>
      </c>
      <c r="CG126" s="734">
        <f t="shared" si="14"/>
        <v>4.6188000000000002</v>
      </c>
    </row>
    <row r="127" spans="1:85" x14ac:dyDescent="0.2">
      <c r="A127" s="19">
        <v>31381</v>
      </c>
      <c r="B127" s="262">
        <v>6.8590999999999998</v>
      </c>
      <c r="C127" s="262">
        <v>8.8999000000000006</v>
      </c>
      <c r="D127" s="262">
        <v>5.36</v>
      </c>
      <c r="E127" s="262">
        <v>6.2153999999999998</v>
      </c>
      <c r="F127" s="278"/>
      <c r="G127" s="278"/>
      <c r="H127" s="262">
        <v>7.1950000000000003</v>
      </c>
      <c r="I127" s="262">
        <v>7.2809999999999997</v>
      </c>
      <c r="J127" s="262">
        <v>7.1130000000000004</v>
      </c>
      <c r="K127" s="128">
        <v>7.9165000000000001</v>
      </c>
      <c r="L127" s="262"/>
      <c r="M127" s="262"/>
      <c r="N127" s="262">
        <f t="shared" si="20"/>
        <v>7.1950000000000003</v>
      </c>
      <c r="O127" s="262">
        <f t="shared" si="21"/>
        <v>7.2809999999999997</v>
      </c>
      <c r="P127" s="262">
        <f t="shared" si="22"/>
        <v>7.1130000000000004</v>
      </c>
      <c r="Q127" s="278"/>
      <c r="R127" s="128">
        <v>7.16</v>
      </c>
      <c r="S127" s="128">
        <v>7.0709999999999997</v>
      </c>
      <c r="T127" s="128"/>
      <c r="U127" s="278"/>
      <c r="V127" s="278"/>
      <c r="W127" s="262">
        <v>2.403</v>
      </c>
      <c r="X127" s="128">
        <v>2.0099999999999998</v>
      </c>
      <c r="Y127" s="128"/>
      <c r="Z127" s="279"/>
      <c r="AA127" s="262">
        <v>4.1349999999999998</v>
      </c>
      <c r="AB127" s="262">
        <v>3.4695999999999998</v>
      </c>
      <c r="AC127" s="262">
        <v>4.7168999999999999</v>
      </c>
      <c r="AD127" s="278"/>
      <c r="AE127" s="278"/>
      <c r="AF127" s="262">
        <f t="shared" si="15"/>
        <v>4.1349999999999998</v>
      </c>
      <c r="AG127" s="128">
        <v>0.78920000000000001</v>
      </c>
      <c r="AH127" s="128"/>
      <c r="AI127" s="128"/>
      <c r="AJ127" s="128"/>
      <c r="AK127" s="128"/>
      <c r="AL127" s="128"/>
      <c r="AM127" s="244"/>
      <c r="AN127" s="244"/>
      <c r="AO127" s="244"/>
      <c r="AP127" s="244"/>
      <c r="AQ127" s="244"/>
      <c r="AR127" s="244"/>
      <c r="AS127" s="244"/>
      <c r="AT127" s="244"/>
      <c r="AU127" s="244"/>
      <c r="AV127" s="271">
        <v>0.6</v>
      </c>
      <c r="AW127" s="271"/>
      <c r="AX127" s="271"/>
      <c r="AY127" s="271">
        <v>0.4</v>
      </c>
      <c r="AZ127" s="271">
        <v>0</v>
      </c>
      <c r="BA127" s="271">
        <v>0</v>
      </c>
      <c r="BB127" s="271"/>
      <c r="BC127" s="271">
        <f t="shared" si="12"/>
        <v>1</v>
      </c>
      <c r="BD127" s="272">
        <f t="shared" si="13"/>
        <v>5.0766599999999995</v>
      </c>
      <c r="BE127" s="243">
        <f t="shared" si="16"/>
        <v>5.0766599999999995</v>
      </c>
      <c r="BF127" s="330"/>
      <c r="BG127" s="330"/>
      <c r="BH127" s="330"/>
      <c r="BI127" s="330"/>
      <c r="BJ127" s="330"/>
      <c r="BK127" s="330"/>
      <c r="BL127" s="330"/>
      <c r="BM127" s="330"/>
      <c r="BN127" s="330"/>
      <c r="BO127" s="330"/>
      <c r="BP127" s="330"/>
      <c r="BQ127" s="330"/>
      <c r="CB127" s="243">
        <f t="shared" si="18"/>
        <v>0.64340301100034303</v>
      </c>
      <c r="CC127" s="243"/>
      <c r="CD127" s="243">
        <f t="shared" si="19"/>
        <v>0.64340301100034303</v>
      </c>
      <c r="CG127" s="734">
        <f t="shared" si="14"/>
        <v>6.8590999999999998</v>
      </c>
    </row>
    <row r="128" spans="1:85" x14ac:dyDescent="0.2">
      <c r="A128" s="19">
        <v>31412</v>
      </c>
      <c r="B128" s="262">
        <v>4.8375000000000004</v>
      </c>
      <c r="C128" s="262">
        <v>6.1303999999999998</v>
      </c>
      <c r="D128" s="262">
        <v>3.21</v>
      </c>
      <c r="E128" s="262">
        <v>4.9508000000000001</v>
      </c>
      <c r="F128" s="278"/>
      <c r="G128" s="278"/>
      <c r="H128" s="262">
        <v>4.399</v>
      </c>
      <c r="I128" s="262">
        <v>4.75</v>
      </c>
      <c r="J128" s="262">
        <v>4.0419999999999998</v>
      </c>
      <c r="K128" s="128">
        <v>4.1060999999999996</v>
      </c>
      <c r="L128" s="262"/>
      <c r="M128" s="262"/>
      <c r="N128" s="262">
        <f t="shared" si="20"/>
        <v>4.399</v>
      </c>
      <c r="O128" s="262">
        <f t="shared" si="21"/>
        <v>4.75</v>
      </c>
      <c r="P128" s="262">
        <f t="shared" si="22"/>
        <v>4.0419999999999998</v>
      </c>
      <c r="Q128" s="278"/>
      <c r="R128" s="128">
        <v>4.16</v>
      </c>
      <c r="S128" s="128">
        <v>4.3869999999999996</v>
      </c>
      <c r="T128" s="128"/>
      <c r="U128" s="278"/>
      <c r="V128" s="278"/>
      <c r="W128" s="262">
        <v>3.0569999999999999</v>
      </c>
      <c r="X128" s="128">
        <v>2.42</v>
      </c>
      <c r="Y128" s="128"/>
      <c r="Z128" s="279"/>
      <c r="AA128" s="262">
        <v>4.766</v>
      </c>
      <c r="AB128" s="262">
        <v>4.2525000000000004</v>
      </c>
      <c r="AC128" s="262">
        <v>5.3266999999999998</v>
      </c>
      <c r="AD128" s="278"/>
      <c r="AE128" s="278"/>
      <c r="AF128" s="262">
        <f t="shared" si="15"/>
        <v>4.766</v>
      </c>
      <c r="AG128" s="128">
        <v>0.78920000000000001</v>
      </c>
      <c r="AH128" s="128"/>
      <c r="AI128" s="128"/>
      <c r="AJ128" s="128"/>
      <c r="AK128" s="128"/>
      <c r="AL128" s="128"/>
      <c r="AM128" s="244"/>
      <c r="AN128" s="244"/>
      <c r="AO128" s="244"/>
      <c r="AP128" s="244"/>
      <c r="AQ128" s="244"/>
      <c r="AR128" s="244"/>
      <c r="AS128" s="244"/>
      <c r="AT128" s="244"/>
      <c r="AU128" s="244"/>
      <c r="AV128" s="271">
        <v>0.6</v>
      </c>
      <c r="AW128" s="271"/>
      <c r="AX128" s="271"/>
      <c r="AY128" s="271">
        <v>0.4</v>
      </c>
      <c r="AZ128" s="271">
        <v>0</v>
      </c>
      <c r="BA128" s="271">
        <v>0</v>
      </c>
      <c r="BB128" s="271"/>
      <c r="BC128" s="271">
        <f t="shared" si="12"/>
        <v>1</v>
      </c>
      <c r="BD128" s="272">
        <f t="shared" si="13"/>
        <v>4.1253000000000002</v>
      </c>
      <c r="BE128" s="243">
        <f t="shared" si="16"/>
        <v>4.1253000000000002</v>
      </c>
      <c r="BF128" s="330"/>
      <c r="BG128" s="330"/>
      <c r="BH128" s="330"/>
      <c r="BI128" s="330"/>
      <c r="BJ128" s="330"/>
      <c r="BK128" s="330"/>
      <c r="BL128" s="330"/>
      <c r="BM128" s="330"/>
      <c r="BN128" s="330"/>
      <c r="BO128" s="330"/>
      <c r="BP128" s="330"/>
      <c r="BQ128" s="330"/>
      <c r="CB128" s="243">
        <f t="shared" si="18"/>
        <v>0.64340301100034303</v>
      </c>
      <c r="CC128" s="243"/>
      <c r="CD128" s="243">
        <f t="shared" si="19"/>
        <v>0.64340301100034303</v>
      </c>
      <c r="CG128" s="734">
        <f t="shared" si="14"/>
        <v>4.8375000000000004</v>
      </c>
    </row>
    <row r="129" spans="1:85" x14ac:dyDescent="0.2">
      <c r="A129" s="19">
        <v>31443</v>
      </c>
      <c r="B129" s="262">
        <v>0.5585</v>
      </c>
      <c r="C129" s="262">
        <v>-0.43059999999999998</v>
      </c>
      <c r="D129" s="262">
        <v>1.33</v>
      </c>
      <c r="E129" s="262">
        <v>1.6672</v>
      </c>
      <c r="F129" s="278"/>
      <c r="G129" s="278"/>
      <c r="H129" s="262">
        <v>1.581</v>
      </c>
      <c r="I129" s="262">
        <v>2.2839999999999998</v>
      </c>
      <c r="J129" s="262">
        <v>0.86899999999999999</v>
      </c>
      <c r="K129" s="128">
        <v>1.3960999999999999</v>
      </c>
      <c r="L129" s="262"/>
      <c r="M129" s="262"/>
      <c r="N129" s="262">
        <f t="shared" si="20"/>
        <v>1.581</v>
      </c>
      <c r="O129" s="262">
        <f t="shared" si="21"/>
        <v>2.2839999999999998</v>
      </c>
      <c r="P129" s="262">
        <f t="shared" si="22"/>
        <v>0.86899999999999999</v>
      </c>
      <c r="Q129" s="262">
        <v>2.2763</v>
      </c>
      <c r="R129" s="128">
        <v>1.784</v>
      </c>
      <c r="S129" s="128">
        <v>1.1259999999999999</v>
      </c>
      <c r="T129" s="128"/>
      <c r="U129" s="278"/>
      <c r="V129" s="278"/>
      <c r="W129" s="262">
        <v>0.55600000000000005</v>
      </c>
      <c r="X129" s="128">
        <v>0.57999999999999996</v>
      </c>
      <c r="Y129" s="128"/>
      <c r="Z129" s="279"/>
      <c r="AA129" s="262">
        <v>2.5369999999999999</v>
      </c>
      <c r="AB129" s="262">
        <v>2.2572999999999999</v>
      </c>
      <c r="AC129" s="262">
        <v>2.5409000000000002</v>
      </c>
      <c r="AD129" s="278"/>
      <c r="AE129" s="278"/>
      <c r="AF129" s="262">
        <f t="shared" si="15"/>
        <v>2.5369999999999999</v>
      </c>
      <c r="AG129" s="128">
        <v>1.2282999999999999</v>
      </c>
      <c r="AH129" s="128"/>
      <c r="AI129" s="128"/>
      <c r="AJ129" s="128"/>
      <c r="AK129" s="128"/>
      <c r="AL129" s="128"/>
      <c r="AM129" s="244"/>
      <c r="AN129" s="244"/>
      <c r="AO129" s="244"/>
      <c r="AP129" s="244"/>
      <c r="AQ129" s="244"/>
      <c r="AR129" s="244"/>
      <c r="AS129" s="244"/>
      <c r="AT129" s="244"/>
      <c r="AU129" s="244"/>
      <c r="AV129" s="271">
        <v>0.6</v>
      </c>
      <c r="AW129" s="271"/>
      <c r="AX129" s="271"/>
      <c r="AY129" s="271">
        <v>0.4</v>
      </c>
      <c r="AZ129" s="271">
        <v>0</v>
      </c>
      <c r="BA129" s="271">
        <v>0</v>
      </c>
      <c r="BB129" s="271"/>
      <c r="BC129" s="271">
        <f t="shared" si="12"/>
        <v>1</v>
      </c>
      <c r="BD129" s="272">
        <f t="shared" si="13"/>
        <v>0.55750000000000011</v>
      </c>
      <c r="BE129" s="243">
        <f t="shared" si="16"/>
        <v>0.55750000000000011</v>
      </c>
      <c r="BF129" s="330"/>
      <c r="BG129" s="330"/>
      <c r="BH129" s="330"/>
      <c r="BI129" s="330"/>
      <c r="BJ129" s="330"/>
      <c r="BK129" s="330"/>
      <c r="BL129" s="330"/>
      <c r="BM129" s="330"/>
      <c r="BN129" s="330"/>
      <c r="BO129" s="330"/>
      <c r="BP129" s="330"/>
      <c r="BQ129" s="330"/>
      <c r="CB129" s="243">
        <f t="shared" si="18"/>
        <v>0.64340301100034303</v>
      </c>
      <c r="CC129" s="243"/>
      <c r="CD129" s="243">
        <f t="shared" si="19"/>
        <v>0.64340301100034303</v>
      </c>
      <c r="CG129" s="734">
        <f t="shared" si="14"/>
        <v>0.5585</v>
      </c>
    </row>
    <row r="130" spans="1:85" x14ac:dyDescent="0.2">
      <c r="A130" s="19">
        <v>31471</v>
      </c>
      <c r="B130" s="262">
        <v>7.4747000000000003</v>
      </c>
      <c r="C130" s="262">
        <v>7.5705999999999998</v>
      </c>
      <c r="D130" s="262">
        <v>7.58</v>
      </c>
      <c r="E130" s="262">
        <v>7.3714000000000004</v>
      </c>
      <c r="F130" s="278"/>
      <c r="G130" s="278"/>
      <c r="H130" s="262">
        <v>7.18</v>
      </c>
      <c r="I130" s="262">
        <v>7.3760000000000003</v>
      </c>
      <c r="J130" s="262">
        <v>7.0049999999999999</v>
      </c>
      <c r="K130" s="128">
        <v>6.6185999999999998</v>
      </c>
      <c r="L130" s="262"/>
      <c r="M130" s="262"/>
      <c r="N130" s="262">
        <f t="shared" si="20"/>
        <v>7.18</v>
      </c>
      <c r="O130" s="262">
        <f t="shared" si="21"/>
        <v>7.3760000000000003</v>
      </c>
      <c r="P130" s="262">
        <f t="shared" si="22"/>
        <v>7.0049999999999999</v>
      </c>
      <c r="Q130" s="262">
        <v>7.7474999999999996</v>
      </c>
      <c r="R130" s="128">
        <v>7.3259999999999996</v>
      </c>
      <c r="S130" s="128">
        <v>7.657</v>
      </c>
      <c r="T130" s="128"/>
      <c r="U130" s="278"/>
      <c r="V130" s="278"/>
      <c r="W130" s="262">
        <v>3.9430000000000001</v>
      </c>
      <c r="X130" s="128">
        <v>2.4500000000000002</v>
      </c>
      <c r="Y130" s="128"/>
      <c r="Z130" s="279"/>
      <c r="AA130" s="262">
        <v>11.108000000000001</v>
      </c>
      <c r="AB130" s="262">
        <v>11.367699999999999</v>
      </c>
      <c r="AC130" s="262">
        <v>11.135400000000001</v>
      </c>
      <c r="AD130" s="278"/>
      <c r="AE130" s="278"/>
      <c r="AF130" s="262">
        <f t="shared" si="15"/>
        <v>11.108000000000001</v>
      </c>
      <c r="AG130" s="128">
        <v>1.2282999999999999</v>
      </c>
      <c r="AH130" s="128"/>
      <c r="AI130" s="128"/>
      <c r="AJ130" s="128"/>
      <c r="AK130" s="128"/>
      <c r="AL130" s="128"/>
      <c r="AM130" s="244"/>
      <c r="AN130" s="244"/>
      <c r="AO130" s="244"/>
      <c r="AP130" s="244"/>
      <c r="AQ130" s="244"/>
      <c r="AR130" s="244"/>
      <c r="AS130" s="244"/>
      <c r="AT130" s="244"/>
      <c r="AU130" s="244"/>
      <c r="AV130" s="271">
        <v>0.6</v>
      </c>
      <c r="AW130" s="271"/>
      <c r="AX130" s="271"/>
      <c r="AY130" s="271">
        <v>0.4</v>
      </c>
      <c r="AZ130" s="271">
        <v>0</v>
      </c>
      <c r="BA130" s="271">
        <v>0</v>
      </c>
      <c r="BB130" s="271"/>
      <c r="BC130" s="271">
        <f t="shared" si="12"/>
        <v>1</v>
      </c>
      <c r="BD130" s="272">
        <f t="shared" si="13"/>
        <v>6.0620200000000004</v>
      </c>
      <c r="BE130" s="243">
        <f t="shared" si="16"/>
        <v>6.0620200000000004</v>
      </c>
      <c r="BF130" s="330"/>
      <c r="BG130" s="330"/>
      <c r="BH130" s="330"/>
      <c r="BI130" s="330"/>
      <c r="BJ130" s="330"/>
      <c r="BK130" s="330"/>
      <c r="BL130" s="330"/>
      <c r="BM130" s="330"/>
      <c r="BN130" s="330"/>
      <c r="BO130" s="330"/>
      <c r="BP130" s="330"/>
      <c r="BQ130" s="330"/>
      <c r="CB130" s="243">
        <f t="shared" si="18"/>
        <v>0.64340301100034303</v>
      </c>
      <c r="CC130" s="243"/>
      <c r="CD130" s="243">
        <f t="shared" si="19"/>
        <v>0.64340301100034303</v>
      </c>
      <c r="CG130" s="734">
        <f t="shared" si="14"/>
        <v>7.4747000000000003</v>
      </c>
    </row>
    <row r="131" spans="1:85" x14ac:dyDescent="0.2">
      <c r="A131" s="19">
        <v>31502</v>
      </c>
      <c r="B131" s="262">
        <v>5.5791000000000004</v>
      </c>
      <c r="C131" s="262">
        <v>5.8795000000000002</v>
      </c>
      <c r="D131" s="262">
        <v>5.0599999999999996</v>
      </c>
      <c r="E131" s="262">
        <v>4.8197999999999999</v>
      </c>
      <c r="F131" s="278"/>
      <c r="G131" s="278"/>
      <c r="H131" s="262">
        <v>4.8529999999999998</v>
      </c>
      <c r="I131" s="262">
        <v>4.5410000000000004</v>
      </c>
      <c r="J131" s="262">
        <v>5.1550000000000002</v>
      </c>
      <c r="K131" s="128">
        <v>4.2207999999999997</v>
      </c>
      <c r="L131" s="262"/>
      <c r="M131" s="262"/>
      <c r="N131" s="262">
        <f t="shared" si="20"/>
        <v>4.8529999999999998</v>
      </c>
      <c r="O131" s="262">
        <f t="shared" si="21"/>
        <v>4.5410000000000004</v>
      </c>
      <c r="P131" s="262">
        <f t="shared" si="22"/>
        <v>5.1550000000000002</v>
      </c>
      <c r="Q131" s="262">
        <v>5.3211000000000004</v>
      </c>
      <c r="R131" s="128">
        <v>5.3979999999999997</v>
      </c>
      <c r="S131" s="128">
        <v>5.3479999999999999</v>
      </c>
      <c r="T131" s="128"/>
      <c r="U131" s="278"/>
      <c r="V131" s="278"/>
      <c r="W131" s="262">
        <v>3.1059999999999999</v>
      </c>
      <c r="X131" s="128">
        <v>2.29</v>
      </c>
      <c r="Y131" s="128"/>
      <c r="Z131" s="279"/>
      <c r="AA131" s="262">
        <v>14.09</v>
      </c>
      <c r="AB131" s="262">
        <v>14.842700000000001</v>
      </c>
      <c r="AC131" s="262">
        <v>13.0992</v>
      </c>
      <c r="AD131" s="278"/>
      <c r="AE131" s="278"/>
      <c r="AF131" s="262">
        <f t="shared" si="15"/>
        <v>14.09</v>
      </c>
      <c r="AG131" s="128">
        <v>1.2282999999999999</v>
      </c>
      <c r="AH131" s="128"/>
      <c r="AI131" s="128"/>
      <c r="AJ131" s="128"/>
      <c r="AK131" s="128"/>
      <c r="AL131" s="128"/>
      <c r="AM131" s="244"/>
      <c r="AN131" s="244"/>
      <c r="AO131" s="244"/>
      <c r="AP131" s="244"/>
      <c r="AQ131" s="244"/>
      <c r="AR131" s="244"/>
      <c r="AS131" s="244"/>
      <c r="AT131" s="244"/>
      <c r="AU131" s="244"/>
      <c r="AV131" s="271">
        <v>0.6</v>
      </c>
      <c r="AW131" s="271"/>
      <c r="AX131" s="271"/>
      <c r="AY131" s="271">
        <v>0.4</v>
      </c>
      <c r="AZ131" s="271">
        <v>0</v>
      </c>
      <c r="BA131" s="271">
        <v>0</v>
      </c>
      <c r="BB131" s="271"/>
      <c r="BC131" s="271">
        <f t="shared" ref="BC131:BC194" si="23">SUM(AV131:BA131)</f>
        <v>1</v>
      </c>
      <c r="BD131" s="272">
        <f t="shared" ref="BD131:BD194" si="24">(B131*AV131)+(W131*AY131)+(AA131*AZ131)+(U131*BA131)</f>
        <v>4.5898599999999998</v>
      </c>
      <c r="BE131" s="243">
        <f t="shared" si="16"/>
        <v>4.5898599999999998</v>
      </c>
      <c r="BF131" s="330"/>
      <c r="BG131" s="330"/>
      <c r="BH131" s="330"/>
      <c r="BI131" s="330"/>
      <c r="BJ131" s="330"/>
      <c r="BK131" s="330"/>
      <c r="BL131" s="330"/>
      <c r="BM131" s="330"/>
      <c r="BN131" s="330"/>
      <c r="BO131" s="330"/>
      <c r="BP131" s="330"/>
      <c r="BQ131" s="330"/>
      <c r="CB131" s="243">
        <f t="shared" si="18"/>
        <v>0.64340301100034303</v>
      </c>
      <c r="CC131" s="243"/>
      <c r="CD131" s="243">
        <f t="shared" si="19"/>
        <v>0.64340301100034303</v>
      </c>
      <c r="CG131" s="734">
        <f t="shared" ref="CG131:CG194" si="25">B131</f>
        <v>5.5791000000000004</v>
      </c>
    </row>
    <row r="132" spans="1:85" x14ac:dyDescent="0.2">
      <c r="A132" s="19">
        <v>31532</v>
      </c>
      <c r="B132" s="262">
        <v>-1.1259999999999999</v>
      </c>
      <c r="C132" s="262">
        <v>0.2104</v>
      </c>
      <c r="D132" s="262">
        <v>-2.79</v>
      </c>
      <c r="E132" s="262">
        <v>0.74780000000000002</v>
      </c>
      <c r="F132" s="278"/>
      <c r="G132" s="278"/>
      <c r="H132" s="262">
        <v>1.472</v>
      </c>
      <c r="I132" s="262">
        <v>2.4489999999999998</v>
      </c>
      <c r="J132" s="262">
        <v>0.505</v>
      </c>
      <c r="K132" s="128">
        <v>1.4870000000000001</v>
      </c>
      <c r="L132" s="262"/>
      <c r="M132" s="262"/>
      <c r="N132" s="262">
        <f t="shared" si="20"/>
        <v>1.472</v>
      </c>
      <c r="O132" s="262">
        <f t="shared" si="21"/>
        <v>2.4489999999999998</v>
      </c>
      <c r="P132" s="262">
        <f t="shared" si="22"/>
        <v>0.505</v>
      </c>
      <c r="Q132" s="262">
        <v>2.2763</v>
      </c>
      <c r="R132" s="128">
        <v>0.99</v>
      </c>
      <c r="S132" s="128">
        <v>-0.83</v>
      </c>
      <c r="T132" s="128"/>
      <c r="U132" s="278"/>
      <c r="V132" s="278"/>
      <c r="W132" s="262">
        <v>0.53</v>
      </c>
      <c r="X132" s="128">
        <v>0.72</v>
      </c>
      <c r="Y132" s="128"/>
      <c r="Z132" s="279"/>
      <c r="AA132" s="262">
        <v>6.5739999999999998</v>
      </c>
      <c r="AB132" s="262">
        <v>4.5777999999999999</v>
      </c>
      <c r="AC132" s="262">
        <v>8.6237999999999992</v>
      </c>
      <c r="AD132" s="278"/>
      <c r="AE132" s="278"/>
      <c r="AF132" s="262">
        <f t="shared" ref="AF132:AF195" si="26">AA132</f>
        <v>6.5739999999999998</v>
      </c>
      <c r="AG132" s="128">
        <v>0.67349999999999999</v>
      </c>
      <c r="AH132" s="128"/>
      <c r="AI132" s="128"/>
      <c r="AJ132" s="128"/>
      <c r="AK132" s="128"/>
      <c r="AL132" s="128"/>
      <c r="AM132" s="244"/>
      <c r="AN132" s="244"/>
      <c r="AO132" s="244"/>
      <c r="AP132" s="244"/>
      <c r="AQ132" s="244"/>
      <c r="AR132" s="244"/>
      <c r="AS132" s="244"/>
      <c r="AT132" s="244"/>
      <c r="AU132" s="244"/>
      <c r="AV132" s="271">
        <v>0.6</v>
      </c>
      <c r="AW132" s="271"/>
      <c r="AX132" s="271"/>
      <c r="AY132" s="271">
        <v>0.4</v>
      </c>
      <c r="AZ132" s="271">
        <v>0</v>
      </c>
      <c r="BA132" s="271">
        <v>0</v>
      </c>
      <c r="BB132" s="271"/>
      <c r="BC132" s="271">
        <f t="shared" si="23"/>
        <v>1</v>
      </c>
      <c r="BD132" s="272">
        <f t="shared" si="24"/>
        <v>-0.46359999999999985</v>
      </c>
      <c r="BE132" s="243">
        <f t="shared" ref="BE132:BE195" si="27">BD132</f>
        <v>-0.46359999999999985</v>
      </c>
      <c r="BF132" s="330"/>
      <c r="BG132" s="330"/>
      <c r="BH132" s="330"/>
      <c r="BI132" s="330"/>
      <c r="BJ132" s="330"/>
      <c r="BK132" s="330"/>
      <c r="BL132" s="330"/>
      <c r="BM132" s="330"/>
      <c r="BN132" s="330"/>
      <c r="BO132" s="330"/>
      <c r="BP132" s="330"/>
      <c r="BQ132" s="330"/>
      <c r="CB132" s="243">
        <f t="shared" si="18"/>
        <v>0.64340301100034303</v>
      </c>
      <c r="CC132" s="243"/>
      <c r="CD132" s="243">
        <f t="shared" si="19"/>
        <v>0.64340301100034303</v>
      </c>
      <c r="CG132" s="734">
        <f t="shared" si="25"/>
        <v>-1.1259999999999999</v>
      </c>
    </row>
    <row r="133" spans="1:85" x14ac:dyDescent="0.2">
      <c r="A133" s="19">
        <v>31563</v>
      </c>
      <c r="B133" s="262">
        <v>5.3201000000000001</v>
      </c>
      <c r="C133" s="262">
        <v>5.3597999999999999</v>
      </c>
      <c r="D133" s="262">
        <v>5.57</v>
      </c>
      <c r="E133" s="262">
        <v>3.9340999999999999</v>
      </c>
      <c r="F133" s="278"/>
      <c r="G133" s="278"/>
      <c r="H133" s="262">
        <v>3.4550000000000001</v>
      </c>
      <c r="I133" s="262">
        <v>3.665</v>
      </c>
      <c r="J133" s="262">
        <v>3.2429999999999999</v>
      </c>
      <c r="K133" s="128">
        <v>3.2945000000000002</v>
      </c>
      <c r="L133" s="262"/>
      <c r="M133" s="262"/>
      <c r="N133" s="262">
        <f t="shared" si="20"/>
        <v>3.4550000000000001</v>
      </c>
      <c r="O133" s="262">
        <f t="shared" si="21"/>
        <v>3.665</v>
      </c>
      <c r="P133" s="262">
        <f t="shared" si="22"/>
        <v>3.2429999999999999</v>
      </c>
      <c r="Q133" s="262">
        <v>4.9383999999999997</v>
      </c>
      <c r="R133" s="128">
        <v>4.5190000000000001</v>
      </c>
      <c r="S133" s="128">
        <v>5.2110000000000003</v>
      </c>
      <c r="T133" s="128"/>
      <c r="U133" s="278"/>
      <c r="V133" s="278"/>
      <c r="W133" s="262">
        <v>-1.915</v>
      </c>
      <c r="X133" s="128">
        <v>-1.28</v>
      </c>
      <c r="Y133" s="128"/>
      <c r="Z133" s="279"/>
      <c r="AA133" s="262">
        <v>-4.423</v>
      </c>
      <c r="AB133" s="262">
        <v>-3.6217999999999999</v>
      </c>
      <c r="AC133" s="262">
        <v>-5.1787000000000001</v>
      </c>
      <c r="AD133" s="278"/>
      <c r="AE133" s="278"/>
      <c r="AF133" s="262">
        <f t="shared" si="26"/>
        <v>-4.423</v>
      </c>
      <c r="AG133" s="128">
        <v>0.67349999999999999</v>
      </c>
      <c r="AH133" s="128"/>
      <c r="AI133" s="128"/>
      <c r="AJ133" s="128"/>
      <c r="AK133" s="128"/>
      <c r="AL133" s="128"/>
      <c r="AM133" s="244"/>
      <c r="AN133" s="244"/>
      <c r="AO133" s="244"/>
      <c r="AP133" s="244"/>
      <c r="AQ133" s="244"/>
      <c r="AR133" s="244"/>
      <c r="AS133" s="244"/>
      <c r="AT133" s="244"/>
      <c r="AU133" s="244"/>
      <c r="AV133" s="271">
        <v>0.6</v>
      </c>
      <c r="AW133" s="271"/>
      <c r="AX133" s="271"/>
      <c r="AY133" s="271">
        <v>0.4</v>
      </c>
      <c r="AZ133" s="271">
        <v>0</v>
      </c>
      <c r="BA133" s="271">
        <v>0</v>
      </c>
      <c r="BB133" s="271"/>
      <c r="BC133" s="271">
        <f t="shared" si="23"/>
        <v>1</v>
      </c>
      <c r="BD133" s="272">
        <f t="shared" si="24"/>
        <v>2.4260600000000001</v>
      </c>
      <c r="BE133" s="243">
        <f t="shared" si="27"/>
        <v>2.4260600000000001</v>
      </c>
      <c r="BF133" s="330"/>
      <c r="BG133" s="330"/>
      <c r="BH133" s="330"/>
      <c r="BI133" s="330"/>
      <c r="BJ133" s="330"/>
      <c r="BK133" s="330"/>
      <c r="BL133" s="330"/>
      <c r="BM133" s="330"/>
      <c r="BN133" s="330"/>
      <c r="BO133" s="330"/>
      <c r="BP133" s="330"/>
      <c r="BQ133" s="330"/>
      <c r="CB133" s="243">
        <f t="shared" si="18"/>
        <v>0.64340301100034303</v>
      </c>
      <c r="CC133" s="243"/>
      <c r="CD133" s="243">
        <f t="shared" si="19"/>
        <v>0.64340301100034303</v>
      </c>
      <c r="CG133" s="734">
        <f t="shared" si="25"/>
        <v>5.3201000000000001</v>
      </c>
    </row>
    <row r="134" spans="1:85" x14ac:dyDescent="0.2">
      <c r="A134" s="19">
        <v>31593</v>
      </c>
      <c r="B134" s="262">
        <v>1.6899</v>
      </c>
      <c r="C134" s="262">
        <v>1.8298000000000001</v>
      </c>
      <c r="D134" s="262">
        <v>1.44</v>
      </c>
      <c r="E134" s="262">
        <v>2.6669999999999998</v>
      </c>
      <c r="F134" s="278"/>
      <c r="G134" s="278"/>
      <c r="H134" s="262">
        <v>-0.125</v>
      </c>
      <c r="I134" s="262">
        <v>0.32100000000000001</v>
      </c>
      <c r="J134" s="262">
        <v>-0.627</v>
      </c>
      <c r="K134" s="128">
        <v>6.0100000000000001E-2</v>
      </c>
      <c r="L134" s="262"/>
      <c r="M134" s="262"/>
      <c r="N134" s="262">
        <f t="shared" si="20"/>
        <v>-0.125</v>
      </c>
      <c r="O134" s="262">
        <f t="shared" si="21"/>
        <v>0.32100000000000001</v>
      </c>
      <c r="P134" s="262">
        <f t="shared" si="22"/>
        <v>-0.627</v>
      </c>
      <c r="Q134" s="262">
        <v>1.417</v>
      </c>
      <c r="R134" s="128">
        <v>0.77200000000000002</v>
      </c>
      <c r="S134" s="128">
        <v>1.5129999999999999</v>
      </c>
      <c r="T134" s="128"/>
      <c r="U134" s="278"/>
      <c r="V134" s="278"/>
      <c r="W134" s="262">
        <v>2.621</v>
      </c>
      <c r="X134" s="128">
        <v>2.1</v>
      </c>
      <c r="Y134" s="128"/>
      <c r="Z134" s="279"/>
      <c r="AA134" s="262">
        <v>6.8440000000000003</v>
      </c>
      <c r="AB134" s="262">
        <v>6.2161</v>
      </c>
      <c r="AC134" s="262">
        <v>7.4463999999999997</v>
      </c>
      <c r="AD134" s="278"/>
      <c r="AE134" s="278"/>
      <c r="AF134" s="262">
        <f t="shared" si="26"/>
        <v>6.8440000000000003</v>
      </c>
      <c r="AG134" s="128">
        <v>0.67349999999999999</v>
      </c>
      <c r="AH134" s="128"/>
      <c r="AI134" s="128"/>
      <c r="AJ134" s="128"/>
      <c r="AK134" s="128"/>
      <c r="AL134" s="128"/>
      <c r="AM134" s="244"/>
      <c r="AN134" s="244"/>
      <c r="AO134" s="244"/>
      <c r="AP134" s="244"/>
      <c r="AQ134" s="244"/>
      <c r="AR134" s="244"/>
      <c r="AS134" s="244"/>
      <c r="AT134" s="244"/>
      <c r="AU134" s="244"/>
      <c r="AV134" s="271">
        <v>0.6</v>
      </c>
      <c r="AW134" s="271"/>
      <c r="AX134" s="271"/>
      <c r="AY134" s="271">
        <v>0.4</v>
      </c>
      <c r="AZ134" s="271">
        <v>0</v>
      </c>
      <c r="BA134" s="271">
        <v>0</v>
      </c>
      <c r="BB134" s="271"/>
      <c r="BC134" s="271">
        <f t="shared" si="23"/>
        <v>1</v>
      </c>
      <c r="BD134" s="272">
        <f t="shared" si="24"/>
        <v>2.0623399999999998</v>
      </c>
      <c r="BE134" s="243">
        <f t="shared" si="27"/>
        <v>2.0623399999999998</v>
      </c>
      <c r="BF134" s="330"/>
      <c r="BG134" s="330"/>
      <c r="BH134" s="330"/>
      <c r="BI134" s="330"/>
      <c r="BJ134" s="330"/>
      <c r="BK134" s="330"/>
      <c r="BL134" s="330"/>
      <c r="BM134" s="330"/>
      <c r="BN134" s="330"/>
      <c r="BO134" s="330"/>
      <c r="BP134" s="330"/>
      <c r="BQ134" s="330"/>
      <c r="CB134" s="243">
        <f t="shared" si="18"/>
        <v>0.64340301100034303</v>
      </c>
      <c r="CC134" s="243"/>
      <c r="CD134" s="243">
        <f t="shared" si="19"/>
        <v>0.64340301100034303</v>
      </c>
      <c r="CG134" s="734">
        <f t="shared" si="25"/>
        <v>1.6899</v>
      </c>
    </row>
    <row r="135" spans="1:85" x14ac:dyDescent="0.2">
      <c r="A135" s="19">
        <v>31624</v>
      </c>
      <c r="B135" s="262">
        <v>-5.5932000000000004</v>
      </c>
      <c r="C135" s="262">
        <v>-6.65</v>
      </c>
      <c r="D135" s="262">
        <v>-4.76</v>
      </c>
      <c r="E135" s="262">
        <v>-4.9424000000000001</v>
      </c>
      <c r="F135" s="278"/>
      <c r="G135" s="278"/>
      <c r="H135" s="262">
        <v>-9.3539999999999992</v>
      </c>
      <c r="I135" s="262">
        <v>-10.747</v>
      </c>
      <c r="J135" s="262">
        <v>-7.992</v>
      </c>
      <c r="K135" s="128">
        <v>-8.8131000000000004</v>
      </c>
      <c r="L135" s="262"/>
      <c r="M135" s="262"/>
      <c r="N135" s="262">
        <f t="shared" si="20"/>
        <v>-9.3539999999999992</v>
      </c>
      <c r="O135" s="262">
        <f t="shared" si="21"/>
        <v>-10.747</v>
      </c>
      <c r="P135" s="262">
        <f t="shared" si="22"/>
        <v>-7.992</v>
      </c>
      <c r="Q135" s="262">
        <v>-9.3485999999999994</v>
      </c>
      <c r="R135" s="128">
        <v>-8.2010000000000005</v>
      </c>
      <c r="S135" s="128">
        <v>-5.9349999999999996</v>
      </c>
      <c r="T135" s="128"/>
      <c r="U135" s="278"/>
      <c r="V135" s="278"/>
      <c r="W135" s="262">
        <v>0.88500000000000001</v>
      </c>
      <c r="X135" s="128">
        <v>1.25</v>
      </c>
      <c r="Y135" s="128"/>
      <c r="Z135" s="279"/>
      <c r="AA135" s="262">
        <v>6.19</v>
      </c>
      <c r="AB135" s="262">
        <v>9.7492999999999999</v>
      </c>
      <c r="AC135" s="262">
        <v>3.0720999999999998</v>
      </c>
      <c r="AD135" s="278"/>
      <c r="AE135" s="278"/>
      <c r="AF135" s="262">
        <f t="shared" si="26"/>
        <v>6.19</v>
      </c>
      <c r="AG135" s="128">
        <v>0.64949999999999997</v>
      </c>
      <c r="AH135" s="128"/>
      <c r="AI135" s="128"/>
      <c r="AJ135" s="128"/>
      <c r="AK135" s="128"/>
      <c r="AL135" s="128"/>
      <c r="AM135" s="244"/>
      <c r="AN135" s="244"/>
      <c r="AO135" s="244"/>
      <c r="AP135" s="244"/>
      <c r="AQ135" s="244"/>
      <c r="AR135" s="244"/>
      <c r="AS135" s="244"/>
      <c r="AT135" s="244"/>
      <c r="AU135" s="244"/>
      <c r="AV135" s="271">
        <v>0.6</v>
      </c>
      <c r="AW135" s="271"/>
      <c r="AX135" s="271"/>
      <c r="AY135" s="271">
        <v>0.4</v>
      </c>
      <c r="AZ135" s="271">
        <v>0</v>
      </c>
      <c r="BA135" s="271">
        <v>0</v>
      </c>
      <c r="BB135" s="271"/>
      <c r="BC135" s="271">
        <f t="shared" si="23"/>
        <v>1</v>
      </c>
      <c r="BD135" s="272">
        <f t="shared" si="24"/>
        <v>-3.0019200000000001</v>
      </c>
      <c r="BE135" s="243">
        <f t="shared" si="27"/>
        <v>-3.0019200000000001</v>
      </c>
      <c r="BF135" s="330"/>
      <c r="BG135" s="330"/>
      <c r="BH135" s="330"/>
      <c r="BI135" s="330"/>
      <c r="BJ135" s="330"/>
      <c r="BK135" s="330"/>
      <c r="BL135" s="330"/>
      <c r="BM135" s="330"/>
      <c r="BN135" s="330"/>
      <c r="BO135" s="330"/>
      <c r="BP135" s="330"/>
      <c r="BQ135" s="330"/>
      <c r="CB135" s="243">
        <f t="shared" si="18"/>
        <v>0.64340301100034303</v>
      </c>
      <c r="CC135" s="243"/>
      <c r="CD135" s="243">
        <f t="shared" si="19"/>
        <v>0.64340301100034303</v>
      </c>
      <c r="CG135" s="734">
        <f t="shared" si="25"/>
        <v>-5.5932000000000004</v>
      </c>
    </row>
    <row r="136" spans="1:85" x14ac:dyDescent="0.2">
      <c r="A136" s="19">
        <v>31655</v>
      </c>
      <c r="B136" s="262">
        <v>7.4157000000000002</v>
      </c>
      <c r="C136" s="262">
        <v>4.9001000000000001</v>
      </c>
      <c r="D136" s="262">
        <v>10.06</v>
      </c>
      <c r="E136" s="262">
        <v>5.4653</v>
      </c>
      <c r="F136" s="278"/>
      <c r="G136" s="278"/>
      <c r="H136" s="262">
        <v>3.1779999999999999</v>
      </c>
      <c r="I136" s="262">
        <v>2.1520000000000001</v>
      </c>
      <c r="J136" s="262">
        <v>4.141</v>
      </c>
      <c r="K136" s="128">
        <v>3.0165999999999999</v>
      </c>
      <c r="L136" s="262"/>
      <c r="M136" s="262"/>
      <c r="N136" s="262">
        <f t="shared" si="20"/>
        <v>3.1779999999999999</v>
      </c>
      <c r="O136" s="262">
        <f t="shared" si="21"/>
        <v>2.1520000000000001</v>
      </c>
      <c r="P136" s="262">
        <f t="shared" si="22"/>
        <v>4.141</v>
      </c>
      <c r="Q136" s="262">
        <v>3.5019</v>
      </c>
      <c r="R136" s="128">
        <v>4.984</v>
      </c>
      <c r="S136" s="128">
        <v>6.8120000000000003</v>
      </c>
      <c r="T136" s="128"/>
      <c r="U136" s="278"/>
      <c r="V136" s="278"/>
      <c r="W136" s="262">
        <v>2.4820000000000002</v>
      </c>
      <c r="X136" s="128">
        <v>2.15</v>
      </c>
      <c r="Y136" s="128"/>
      <c r="Z136" s="279"/>
      <c r="AA136" s="262">
        <v>9.8819999999999997</v>
      </c>
      <c r="AB136" s="262">
        <v>8.4257000000000009</v>
      </c>
      <c r="AC136" s="262">
        <v>11.000299999999999</v>
      </c>
      <c r="AD136" s="278"/>
      <c r="AE136" s="278"/>
      <c r="AF136" s="262">
        <f t="shared" si="26"/>
        <v>9.8819999999999997</v>
      </c>
      <c r="AG136" s="128">
        <v>0.64949999999999997</v>
      </c>
      <c r="AH136" s="128"/>
      <c r="AI136" s="128"/>
      <c r="AJ136" s="128"/>
      <c r="AK136" s="128"/>
      <c r="AL136" s="128"/>
      <c r="AM136" s="244"/>
      <c r="AN136" s="244"/>
      <c r="AO136" s="244"/>
      <c r="AP136" s="244"/>
      <c r="AQ136" s="244"/>
      <c r="AR136" s="244"/>
      <c r="AS136" s="244"/>
      <c r="AT136" s="244"/>
      <c r="AU136" s="244"/>
      <c r="AV136" s="271">
        <v>0.6</v>
      </c>
      <c r="AW136" s="271"/>
      <c r="AX136" s="271"/>
      <c r="AY136" s="271">
        <v>0.4</v>
      </c>
      <c r="AZ136" s="271">
        <v>0</v>
      </c>
      <c r="BA136" s="271">
        <v>0</v>
      </c>
      <c r="BB136" s="271"/>
      <c r="BC136" s="271">
        <f t="shared" si="23"/>
        <v>1</v>
      </c>
      <c r="BD136" s="272">
        <f t="shared" si="24"/>
        <v>5.4422199999999998</v>
      </c>
      <c r="BE136" s="243">
        <f t="shared" si="27"/>
        <v>5.4422199999999998</v>
      </c>
      <c r="BF136" s="330"/>
      <c r="BG136" s="330"/>
      <c r="BH136" s="330"/>
      <c r="BI136" s="330"/>
      <c r="BJ136" s="330"/>
      <c r="BK136" s="330"/>
      <c r="BL136" s="330"/>
      <c r="BM136" s="330"/>
      <c r="BN136" s="330"/>
      <c r="BO136" s="330"/>
      <c r="BP136" s="330"/>
      <c r="BQ136" s="330"/>
      <c r="CB136" s="243">
        <f t="shared" si="18"/>
        <v>0.64340301100034303</v>
      </c>
      <c r="CC136" s="243"/>
      <c r="CD136" s="243">
        <f t="shared" si="19"/>
        <v>0.64340301100034303</v>
      </c>
      <c r="CG136" s="734">
        <f t="shared" si="25"/>
        <v>7.4157000000000002</v>
      </c>
    </row>
    <row r="137" spans="1:85" x14ac:dyDescent="0.2">
      <c r="A137" s="19">
        <v>31685</v>
      </c>
      <c r="B137" s="262">
        <v>-8.2670999999999992</v>
      </c>
      <c r="C137" s="262">
        <v>-10.2202</v>
      </c>
      <c r="D137" s="262">
        <v>-6.32</v>
      </c>
      <c r="E137" s="262">
        <v>-7.8951000000000002</v>
      </c>
      <c r="F137" s="278"/>
      <c r="G137" s="278"/>
      <c r="H137" s="262">
        <v>-6.1710000000000003</v>
      </c>
      <c r="I137" s="262">
        <v>-8.14</v>
      </c>
      <c r="J137" s="262">
        <v>-4.3570000000000002</v>
      </c>
      <c r="K137" s="128">
        <v>-6.8727999999999998</v>
      </c>
      <c r="L137" s="262"/>
      <c r="M137" s="262"/>
      <c r="N137" s="262">
        <f t="shared" si="20"/>
        <v>-6.1710000000000003</v>
      </c>
      <c r="O137" s="262">
        <f t="shared" si="21"/>
        <v>-8.14</v>
      </c>
      <c r="P137" s="262">
        <f t="shared" si="22"/>
        <v>-4.3570000000000002</v>
      </c>
      <c r="Q137" s="262">
        <v>-7.6501000000000001</v>
      </c>
      <c r="R137" s="128">
        <v>-6.3639999999999999</v>
      </c>
      <c r="S137" s="128">
        <v>-8.1280000000000001</v>
      </c>
      <c r="T137" s="128"/>
      <c r="U137" s="278"/>
      <c r="V137" s="278"/>
      <c r="W137" s="262">
        <v>-0.98399999999999999</v>
      </c>
      <c r="X137" s="128">
        <v>-0.56999999999999995</v>
      </c>
      <c r="Y137" s="128"/>
      <c r="Z137" s="279"/>
      <c r="AA137" s="262">
        <v>-1.004</v>
      </c>
      <c r="AB137" s="262">
        <v>-1.1226</v>
      </c>
      <c r="AC137" s="262">
        <v>-0.87490000000000001</v>
      </c>
      <c r="AD137" s="278"/>
      <c r="AE137" s="278"/>
      <c r="AF137" s="262">
        <f t="shared" si="26"/>
        <v>-1.004</v>
      </c>
      <c r="AG137" s="128">
        <v>0.64949999999999997</v>
      </c>
      <c r="AH137" s="128"/>
      <c r="AI137" s="128"/>
      <c r="AJ137" s="128"/>
      <c r="AK137" s="128"/>
      <c r="AL137" s="128"/>
      <c r="AM137" s="244"/>
      <c r="AN137" s="244"/>
      <c r="AO137" s="244"/>
      <c r="AP137" s="244"/>
      <c r="AQ137" s="244"/>
      <c r="AR137" s="244"/>
      <c r="AS137" s="244"/>
      <c r="AT137" s="244"/>
      <c r="AU137" s="244"/>
      <c r="AV137" s="271">
        <v>0.6</v>
      </c>
      <c r="AW137" s="271"/>
      <c r="AX137" s="271"/>
      <c r="AY137" s="271">
        <v>0.4</v>
      </c>
      <c r="AZ137" s="271">
        <v>0</v>
      </c>
      <c r="BA137" s="271">
        <v>0</v>
      </c>
      <c r="BB137" s="271"/>
      <c r="BC137" s="271">
        <f t="shared" si="23"/>
        <v>1</v>
      </c>
      <c r="BD137" s="272">
        <f t="shared" si="24"/>
        <v>-5.3538599999999992</v>
      </c>
      <c r="BE137" s="243">
        <f t="shared" si="27"/>
        <v>-5.3538599999999992</v>
      </c>
      <c r="BF137" s="330"/>
      <c r="BG137" s="330"/>
      <c r="BH137" s="330"/>
      <c r="BI137" s="330"/>
      <c r="BJ137" s="330"/>
      <c r="BK137" s="330"/>
      <c r="BL137" s="330"/>
      <c r="BM137" s="330"/>
      <c r="BN137" s="330"/>
      <c r="BO137" s="330"/>
      <c r="BP137" s="330"/>
      <c r="BQ137" s="330"/>
      <c r="CB137" s="243">
        <f t="shared" si="18"/>
        <v>0.64340301100034303</v>
      </c>
      <c r="CC137" s="243"/>
      <c r="CD137" s="243">
        <f t="shared" si="19"/>
        <v>0.64340301100034303</v>
      </c>
      <c r="CG137" s="734">
        <f t="shared" si="25"/>
        <v>-8.2670999999999992</v>
      </c>
    </row>
    <row r="138" spans="1:85" x14ac:dyDescent="0.2">
      <c r="A138" s="19">
        <v>31716</v>
      </c>
      <c r="B138" s="262">
        <v>5.7668999999999997</v>
      </c>
      <c r="C138" s="262">
        <v>6.3301999999999996</v>
      </c>
      <c r="D138" s="262">
        <v>4.79</v>
      </c>
      <c r="E138" s="262">
        <v>4.1923000000000004</v>
      </c>
      <c r="F138" s="278"/>
      <c r="G138" s="278"/>
      <c r="H138" s="262">
        <v>3.964</v>
      </c>
      <c r="I138" s="262">
        <v>5.077</v>
      </c>
      <c r="J138" s="262">
        <v>2.8679999999999999</v>
      </c>
      <c r="K138" s="128">
        <v>3.9424000000000001</v>
      </c>
      <c r="L138" s="262"/>
      <c r="M138" s="262"/>
      <c r="N138" s="262">
        <f t="shared" si="20"/>
        <v>3.964</v>
      </c>
      <c r="O138" s="262">
        <f t="shared" si="21"/>
        <v>5.077</v>
      </c>
      <c r="P138" s="262">
        <f t="shared" si="22"/>
        <v>2.8679999999999999</v>
      </c>
      <c r="Q138" s="262">
        <v>5.25</v>
      </c>
      <c r="R138" s="128">
        <v>4.0049999999999999</v>
      </c>
      <c r="S138" s="128">
        <v>5.29</v>
      </c>
      <c r="T138" s="128"/>
      <c r="U138" s="278"/>
      <c r="V138" s="278"/>
      <c r="W138" s="262">
        <v>1.446</v>
      </c>
      <c r="X138" s="128">
        <v>1.32</v>
      </c>
      <c r="Y138" s="128"/>
      <c r="Z138" s="279"/>
      <c r="AA138" s="262">
        <v>-6.657</v>
      </c>
      <c r="AB138" s="262">
        <v>-7.8037999999999998</v>
      </c>
      <c r="AC138" s="262">
        <v>-5.5130999999999997</v>
      </c>
      <c r="AD138" s="278"/>
      <c r="AE138" s="278"/>
      <c r="AF138" s="262">
        <f t="shared" si="26"/>
        <v>-6.657</v>
      </c>
      <c r="AG138" s="128">
        <v>0.49619999999999997</v>
      </c>
      <c r="AH138" s="128"/>
      <c r="AI138" s="128"/>
      <c r="AJ138" s="128"/>
      <c r="AK138" s="128"/>
      <c r="AL138" s="128"/>
      <c r="AM138" s="244"/>
      <c r="AN138" s="244"/>
      <c r="AO138" s="244"/>
      <c r="AP138" s="244"/>
      <c r="AQ138" s="244"/>
      <c r="AR138" s="244"/>
      <c r="AS138" s="244"/>
      <c r="AT138" s="244"/>
      <c r="AU138" s="244"/>
      <c r="AV138" s="271">
        <v>0.6</v>
      </c>
      <c r="AW138" s="271"/>
      <c r="AX138" s="271"/>
      <c r="AY138" s="271">
        <v>0.4</v>
      </c>
      <c r="AZ138" s="271">
        <v>0</v>
      </c>
      <c r="BA138" s="271">
        <v>0</v>
      </c>
      <c r="BB138" s="271"/>
      <c r="BC138" s="271">
        <f t="shared" si="23"/>
        <v>1</v>
      </c>
      <c r="BD138" s="272">
        <f t="shared" si="24"/>
        <v>4.0385399999999994</v>
      </c>
      <c r="BE138" s="243">
        <f t="shared" si="27"/>
        <v>4.0385399999999994</v>
      </c>
      <c r="BF138" s="330"/>
      <c r="BG138" s="330"/>
      <c r="BH138" s="330"/>
      <c r="BI138" s="330"/>
      <c r="BJ138" s="330"/>
      <c r="BK138" s="330"/>
      <c r="BL138" s="330"/>
      <c r="BM138" s="330"/>
      <c r="BN138" s="330"/>
      <c r="BO138" s="330"/>
      <c r="BP138" s="330"/>
      <c r="BQ138" s="330"/>
      <c r="CB138" s="243">
        <f t="shared" si="18"/>
        <v>0.64340301100034303</v>
      </c>
      <c r="CC138" s="243"/>
      <c r="CD138" s="243">
        <f t="shared" si="19"/>
        <v>0.64340301100034303</v>
      </c>
      <c r="CG138" s="734">
        <f t="shared" si="25"/>
        <v>5.7668999999999997</v>
      </c>
    </row>
    <row r="139" spans="1:85" x14ac:dyDescent="0.2">
      <c r="A139" s="19">
        <v>31746</v>
      </c>
      <c r="B139" s="262">
        <v>2.4304999999999999</v>
      </c>
      <c r="C139" s="262">
        <v>2.8498999999999999</v>
      </c>
      <c r="D139" s="262">
        <v>2.2400000000000002</v>
      </c>
      <c r="E139" s="262">
        <v>-3.9399999999999998E-2</v>
      </c>
      <c r="F139" s="278"/>
      <c r="G139" s="278"/>
      <c r="H139" s="262">
        <v>-0.34200000000000003</v>
      </c>
      <c r="I139" s="262">
        <v>-0.44</v>
      </c>
      <c r="J139" s="262">
        <v>-0.23200000000000001</v>
      </c>
      <c r="K139" s="128">
        <v>-0.70389999999999997</v>
      </c>
      <c r="L139" s="262"/>
      <c r="M139" s="262"/>
      <c r="N139" s="262">
        <f t="shared" si="20"/>
        <v>-0.34200000000000003</v>
      </c>
      <c r="O139" s="262">
        <f t="shared" si="21"/>
        <v>-0.44</v>
      </c>
      <c r="P139" s="262">
        <f t="shared" si="22"/>
        <v>-0.23200000000000001</v>
      </c>
      <c r="Q139" s="262">
        <v>0.20730000000000001</v>
      </c>
      <c r="R139" s="128">
        <v>0.05</v>
      </c>
      <c r="S139" s="128">
        <v>1.6180000000000001</v>
      </c>
      <c r="T139" s="128"/>
      <c r="U139" s="278"/>
      <c r="V139" s="278"/>
      <c r="W139" s="262">
        <v>1.399</v>
      </c>
      <c r="X139" s="128">
        <v>1.28</v>
      </c>
      <c r="Y139" s="128"/>
      <c r="Z139" s="279"/>
      <c r="AA139" s="262">
        <v>5.7869999999999999</v>
      </c>
      <c r="AB139" s="262">
        <v>6.3798000000000004</v>
      </c>
      <c r="AC139" s="262">
        <v>5.2742000000000004</v>
      </c>
      <c r="AD139" s="278"/>
      <c r="AE139" s="278"/>
      <c r="AF139" s="262">
        <f t="shared" si="26"/>
        <v>5.7869999999999999</v>
      </c>
      <c r="AG139" s="128">
        <v>0.49619999999999997</v>
      </c>
      <c r="AH139" s="128"/>
      <c r="AI139" s="128"/>
      <c r="AJ139" s="128"/>
      <c r="AK139" s="128"/>
      <c r="AL139" s="128"/>
      <c r="AM139" s="244"/>
      <c r="AN139" s="244"/>
      <c r="AO139" s="244"/>
      <c r="AP139" s="244"/>
      <c r="AQ139" s="244"/>
      <c r="AR139" s="244"/>
      <c r="AS139" s="244"/>
      <c r="AT139" s="244"/>
      <c r="AU139" s="244"/>
      <c r="AV139" s="271">
        <v>0.6</v>
      </c>
      <c r="AW139" s="271"/>
      <c r="AX139" s="271"/>
      <c r="AY139" s="271">
        <v>0.4</v>
      </c>
      <c r="AZ139" s="271">
        <v>0</v>
      </c>
      <c r="BA139" s="271">
        <v>0</v>
      </c>
      <c r="BB139" s="271"/>
      <c r="BC139" s="271">
        <f t="shared" si="23"/>
        <v>1</v>
      </c>
      <c r="BD139" s="272">
        <f t="shared" si="24"/>
        <v>2.0179</v>
      </c>
      <c r="BE139" s="243">
        <f t="shared" si="27"/>
        <v>2.0179</v>
      </c>
      <c r="BF139" s="330"/>
      <c r="BG139" s="330"/>
      <c r="BH139" s="330"/>
      <c r="BI139" s="330"/>
      <c r="BJ139" s="330"/>
      <c r="BK139" s="330"/>
      <c r="BL139" s="330"/>
      <c r="BM139" s="330"/>
      <c r="BN139" s="330"/>
      <c r="BO139" s="330"/>
      <c r="BP139" s="330"/>
      <c r="BQ139" s="330"/>
      <c r="CB139" s="243">
        <f t="shared" si="18"/>
        <v>0.64340301100034303</v>
      </c>
      <c r="CC139" s="243"/>
      <c r="CD139" s="243">
        <f t="shared" si="19"/>
        <v>0.64340301100034303</v>
      </c>
      <c r="CG139" s="734">
        <f t="shared" si="25"/>
        <v>2.4304999999999999</v>
      </c>
    </row>
    <row r="140" spans="1:85" x14ac:dyDescent="0.2">
      <c r="A140" s="19">
        <v>31777</v>
      </c>
      <c r="B140" s="262">
        <v>-2.552</v>
      </c>
      <c r="C140" s="262">
        <v>-2.3300999999999998</v>
      </c>
      <c r="D140" s="262">
        <v>-3</v>
      </c>
      <c r="E140" s="262">
        <v>-1.7664</v>
      </c>
      <c r="F140" s="278"/>
      <c r="G140" s="278"/>
      <c r="H140" s="262">
        <v>-2.8879999999999999</v>
      </c>
      <c r="I140" s="262">
        <v>-3.359</v>
      </c>
      <c r="J140" s="262">
        <v>-2.4180000000000001</v>
      </c>
      <c r="K140" s="128">
        <v>-3.2614000000000001</v>
      </c>
      <c r="L140" s="262"/>
      <c r="M140" s="262"/>
      <c r="N140" s="262">
        <f t="shared" si="20"/>
        <v>-2.8879999999999999</v>
      </c>
      <c r="O140" s="262">
        <f t="shared" si="21"/>
        <v>-3.359</v>
      </c>
      <c r="P140" s="262">
        <f t="shared" si="22"/>
        <v>-2.4180000000000001</v>
      </c>
      <c r="Q140" s="262">
        <v>-2.9411999999999998</v>
      </c>
      <c r="R140" s="128">
        <v>-2.63</v>
      </c>
      <c r="S140" s="128">
        <v>-2.7189999999999999</v>
      </c>
      <c r="T140" s="128"/>
      <c r="U140" s="278"/>
      <c r="V140" s="278"/>
      <c r="W140" s="262">
        <v>0.372</v>
      </c>
      <c r="X140" s="128">
        <v>0.35</v>
      </c>
      <c r="Y140" s="128"/>
      <c r="Z140" s="279"/>
      <c r="AA140" s="262">
        <v>5.3250000000000002</v>
      </c>
      <c r="AB140" s="262">
        <v>5.6338999999999997</v>
      </c>
      <c r="AC140" s="262">
        <v>4.9356</v>
      </c>
      <c r="AD140" s="278"/>
      <c r="AE140" s="278"/>
      <c r="AF140" s="262">
        <f t="shared" si="26"/>
        <v>5.3250000000000002</v>
      </c>
      <c r="AG140" s="128">
        <v>0.49619999999999997</v>
      </c>
      <c r="AH140" s="128"/>
      <c r="AI140" s="128"/>
      <c r="AJ140" s="128"/>
      <c r="AK140" s="128"/>
      <c r="AL140" s="128"/>
      <c r="AM140" s="244"/>
      <c r="AN140" s="244"/>
      <c r="AO140" s="244"/>
      <c r="AP140" s="244"/>
      <c r="AQ140" s="244"/>
      <c r="AR140" s="244"/>
      <c r="AS140" s="244"/>
      <c r="AT140" s="244"/>
      <c r="AU140" s="244"/>
      <c r="AV140" s="271">
        <v>0.6</v>
      </c>
      <c r="AW140" s="271"/>
      <c r="AX140" s="271"/>
      <c r="AY140" s="271">
        <v>0.4</v>
      </c>
      <c r="AZ140" s="271">
        <v>0</v>
      </c>
      <c r="BA140" s="271">
        <v>0</v>
      </c>
      <c r="BB140" s="271"/>
      <c r="BC140" s="271">
        <f t="shared" si="23"/>
        <v>1</v>
      </c>
      <c r="BD140" s="272">
        <f t="shared" si="24"/>
        <v>-1.3823999999999999</v>
      </c>
      <c r="BE140" s="243">
        <f t="shared" si="27"/>
        <v>-1.3823999999999999</v>
      </c>
      <c r="BF140" s="330"/>
      <c r="BG140" s="330"/>
      <c r="BH140" s="330"/>
      <c r="BI140" s="330"/>
      <c r="BJ140" s="330"/>
      <c r="BK140" s="330"/>
      <c r="BL140" s="330"/>
      <c r="BM140" s="330"/>
      <c r="BN140" s="330"/>
      <c r="BO140" s="330"/>
      <c r="BP140" s="330"/>
      <c r="BQ140" s="330"/>
      <c r="CB140" s="243">
        <f t="shared" si="18"/>
        <v>0.64340301100034303</v>
      </c>
      <c r="CC140" s="243"/>
      <c r="CD140" s="243">
        <f t="shared" si="19"/>
        <v>0.64340301100034303</v>
      </c>
      <c r="CG140" s="734">
        <f t="shared" si="25"/>
        <v>-2.552</v>
      </c>
    </row>
    <row r="141" spans="1:85" x14ac:dyDescent="0.2">
      <c r="A141" s="19">
        <v>31808</v>
      </c>
      <c r="B141" s="262">
        <v>13.4657</v>
      </c>
      <c r="C141" s="262">
        <v>13.620200000000001</v>
      </c>
      <c r="D141" s="262">
        <v>13.24</v>
      </c>
      <c r="E141" s="262">
        <v>12.8733</v>
      </c>
      <c r="F141" s="278"/>
      <c r="G141" s="278"/>
      <c r="H141" s="262">
        <v>11.64</v>
      </c>
      <c r="I141" s="262">
        <v>12.867000000000001</v>
      </c>
      <c r="J141" s="262">
        <v>10.416</v>
      </c>
      <c r="K141" s="128">
        <v>10.8894</v>
      </c>
      <c r="L141" s="262"/>
      <c r="M141" s="262"/>
      <c r="N141" s="262">
        <f t="shared" si="20"/>
        <v>11.64</v>
      </c>
      <c r="O141" s="262">
        <f t="shared" si="21"/>
        <v>12.867000000000001</v>
      </c>
      <c r="P141" s="262">
        <f t="shared" si="22"/>
        <v>10.416</v>
      </c>
      <c r="Q141" s="262">
        <v>13.0451</v>
      </c>
      <c r="R141" s="128">
        <v>11.772</v>
      </c>
      <c r="S141" s="128">
        <v>12.827999999999999</v>
      </c>
      <c r="T141" s="128"/>
      <c r="U141" s="278"/>
      <c r="V141" s="278"/>
      <c r="W141" s="262">
        <v>1.4159999999999999</v>
      </c>
      <c r="X141" s="128">
        <v>1.18</v>
      </c>
      <c r="Y141" s="128"/>
      <c r="Z141" s="279"/>
      <c r="AA141" s="262">
        <v>10.643000000000001</v>
      </c>
      <c r="AB141" s="262">
        <v>15.459</v>
      </c>
      <c r="AC141" s="262">
        <v>5.8845999999999998</v>
      </c>
      <c r="AD141" s="278"/>
      <c r="AE141" s="278"/>
      <c r="AF141" s="262">
        <f t="shared" si="26"/>
        <v>10.643000000000001</v>
      </c>
      <c r="AG141" s="128">
        <v>0.8478</v>
      </c>
      <c r="AH141" s="128"/>
      <c r="AI141" s="128"/>
      <c r="AJ141" s="128"/>
      <c r="AK141" s="128"/>
      <c r="AL141" s="128"/>
      <c r="AM141" s="244"/>
      <c r="AN141" s="240">
        <v>10.64</v>
      </c>
      <c r="AO141" s="244"/>
      <c r="AP141" s="244"/>
      <c r="AQ141" s="244"/>
      <c r="AR141" s="244"/>
      <c r="AS141" s="244"/>
      <c r="AT141" s="244"/>
      <c r="AU141" s="244"/>
      <c r="AV141" s="271">
        <v>0.6</v>
      </c>
      <c r="AW141" s="271"/>
      <c r="AX141" s="271"/>
      <c r="AY141" s="271">
        <v>0.4</v>
      </c>
      <c r="AZ141" s="271">
        <v>0</v>
      </c>
      <c r="BA141" s="271">
        <v>0</v>
      </c>
      <c r="BB141" s="271"/>
      <c r="BC141" s="271">
        <f t="shared" si="23"/>
        <v>1</v>
      </c>
      <c r="BD141" s="272">
        <f t="shared" si="24"/>
        <v>8.6458199999999987</v>
      </c>
      <c r="BE141" s="243">
        <f t="shared" si="27"/>
        <v>8.6458199999999987</v>
      </c>
      <c r="BF141" s="330"/>
      <c r="BG141" s="330"/>
      <c r="BH141" s="331"/>
      <c r="BI141" s="331"/>
      <c r="BJ141" s="331"/>
      <c r="BK141" s="330"/>
      <c r="BL141" s="330"/>
      <c r="BM141" s="330"/>
      <c r="BN141" s="330"/>
      <c r="BO141" s="330"/>
      <c r="BP141" s="330"/>
      <c r="BQ141" s="330"/>
      <c r="CB141" s="243">
        <f t="shared" si="18"/>
        <v>0.64340301100034303</v>
      </c>
      <c r="CC141" s="243"/>
      <c r="CD141" s="243">
        <f t="shared" si="19"/>
        <v>0.64340301100034303</v>
      </c>
      <c r="CG141" s="734">
        <f t="shared" si="25"/>
        <v>13.4657</v>
      </c>
    </row>
    <row r="142" spans="1:85" x14ac:dyDescent="0.2">
      <c r="A142" s="19">
        <v>31836</v>
      </c>
      <c r="B142" s="262">
        <v>3.9514</v>
      </c>
      <c r="C142" s="262">
        <v>6.7702999999999998</v>
      </c>
      <c r="D142" s="262">
        <v>1.39</v>
      </c>
      <c r="E142" s="262">
        <v>4.6589</v>
      </c>
      <c r="F142" s="278"/>
      <c r="G142" s="278"/>
      <c r="H142" s="262">
        <v>8.4269999999999996</v>
      </c>
      <c r="I142" s="262">
        <v>9.6829999999999998</v>
      </c>
      <c r="J142" s="262">
        <v>7.1470000000000002</v>
      </c>
      <c r="K142" s="128">
        <v>7.2675999999999998</v>
      </c>
      <c r="L142" s="262"/>
      <c r="M142" s="262"/>
      <c r="N142" s="262">
        <f t="shared" si="20"/>
        <v>8.4269999999999996</v>
      </c>
      <c r="O142" s="262">
        <f t="shared" si="21"/>
        <v>9.6829999999999998</v>
      </c>
      <c r="P142" s="262">
        <f t="shared" si="22"/>
        <v>7.1470000000000002</v>
      </c>
      <c r="Q142" s="262">
        <v>8.7129999999999992</v>
      </c>
      <c r="R142" s="128">
        <v>7.3230000000000004</v>
      </c>
      <c r="S142" s="128">
        <v>4.7149999999999999</v>
      </c>
      <c r="T142" s="128"/>
      <c r="U142" s="278"/>
      <c r="V142" s="278"/>
      <c r="W142" s="262">
        <v>0.69299999999999995</v>
      </c>
      <c r="X142" s="128">
        <v>0.6</v>
      </c>
      <c r="Y142" s="128"/>
      <c r="Z142" s="279"/>
      <c r="AA142" s="262">
        <v>3.0179999999999998</v>
      </c>
      <c r="AB142" s="262">
        <v>2.6606999999999998</v>
      </c>
      <c r="AC142" s="262">
        <v>3.3652000000000002</v>
      </c>
      <c r="AD142" s="278"/>
      <c r="AE142" s="278"/>
      <c r="AF142" s="262">
        <f t="shared" si="26"/>
        <v>3.0179999999999998</v>
      </c>
      <c r="AG142" s="128">
        <v>0.8478</v>
      </c>
      <c r="AH142" s="128"/>
      <c r="AI142" s="128"/>
      <c r="AJ142" s="128"/>
      <c r="AK142" s="128"/>
      <c r="AL142" s="128"/>
      <c r="AM142" s="244"/>
      <c r="AN142" s="240">
        <v>3.02</v>
      </c>
      <c r="AO142" s="244"/>
      <c r="AP142" s="244"/>
      <c r="AQ142" s="244"/>
      <c r="AR142" s="244"/>
      <c r="AS142" s="244"/>
      <c r="AT142" s="244"/>
      <c r="AU142" s="244"/>
      <c r="AV142" s="271">
        <v>0.6</v>
      </c>
      <c r="AW142" s="271"/>
      <c r="AX142" s="271"/>
      <c r="AY142" s="271">
        <v>0.4</v>
      </c>
      <c r="AZ142" s="271">
        <v>0</v>
      </c>
      <c r="BA142" s="271">
        <v>0</v>
      </c>
      <c r="BB142" s="271"/>
      <c r="BC142" s="271">
        <f t="shared" si="23"/>
        <v>1</v>
      </c>
      <c r="BD142" s="272">
        <f t="shared" si="24"/>
        <v>2.6480399999999999</v>
      </c>
      <c r="BE142" s="243">
        <f t="shared" si="27"/>
        <v>2.6480399999999999</v>
      </c>
      <c r="BF142" s="330"/>
      <c r="BG142" s="330"/>
      <c r="BH142" s="331"/>
      <c r="BI142" s="331"/>
      <c r="BJ142" s="330"/>
      <c r="BK142" s="330"/>
      <c r="BL142" s="330"/>
      <c r="BM142" s="330"/>
      <c r="BN142" s="330"/>
      <c r="BO142" s="330"/>
      <c r="BP142" s="330"/>
      <c r="BQ142" s="330"/>
      <c r="CB142" s="243">
        <f t="shared" si="18"/>
        <v>0.64340301100034303</v>
      </c>
      <c r="CC142" s="243"/>
      <c r="CD142" s="243">
        <f t="shared" si="19"/>
        <v>0.64340301100034303</v>
      </c>
      <c r="CG142" s="734">
        <f t="shared" si="25"/>
        <v>3.9514</v>
      </c>
    </row>
    <row r="143" spans="1:85" x14ac:dyDescent="0.2">
      <c r="A143" s="19">
        <v>31867</v>
      </c>
      <c r="B143" s="262">
        <v>2.8853</v>
      </c>
      <c r="C143" s="262">
        <v>2.2195999999999998</v>
      </c>
      <c r="D143" s="262">
        <v>3.27</v>
      </c>
      <c r="E143" s="262">
        <v>2.3574999999999999</v>
      </c>
      <c r="F143" s="278"/>
      <c r="G143" s="278"/>
      <c r="H143" s="262">
        <v>2.6989999999999998</v>
      </c>
      <c r="I143" s="262">
        <v>2.7429999999999999</v>
      </c>
      <c r="J143" s="262">
        <v>2.6539999999999999</v>
      </c>
      <c r="K143" s="128">
        <v>1.5629</v>
      </c>
      <c r="L143" s="262"/>
      <c r="M143" s="262"/>
      <c r="N143" s="262">
        <f t="shared" si="20"/>
        <v>2.6989999999999998</v>
      </c>
      <c r="O143" s="262">
        <f t="shared" si="21"/>
        <v>2.7429999999999999</v>
      </c>
      <c r="P143" s="262">
        <f t="shared" si="22"/>
        <v>2.6539999999999999</v>
      </c>
      <c r="Q143" s="262">
        <v>1.7756000000000001</v>
      </c>
      <c r="R143" s="128">
        <v>1.7330000000000001</v>
      </c>
      <c r="S143" s="128">
        <v>2.0649999999999999</v>
      </c>
      <c r="T143" s="128"/>
      <c r="U143" s="278"/>
      <c r="V143" s="278"/>
      <c r="W143" s="262">
        <v>-0.45100000000000001</v>
      </c>
      <c r="X143" s="128">
        <v>-0.19</v>
      </c>
      <c r="Y143" s="128"/>
      <c r="Z143" s="279"/>
      <c r="AA143" s="262">
        <v>8.2189999999999994</v>
      </c>
      <c r="AB143" s="262">
        <v>10.8438</v>
      </c>
      <c r="AC143" s="262">
        <v>5.5117000000000003</v>
      </c>
      <c r="AD143" s="278"/>
      <c r="AE143" s="278"/>
      <c r="AF143" s="262">
        <f t="shared" si="26"/>
        <v>8.2189999999999994</v>
      </c>
      <c r="AG143" s="128">
        <v>0.8478</v>
      </c>
      <c r="AH143" s="128"/>
      <c r="AI143" s="128"/>
      <c r="AJ143" s="128"/>
      <c r="AK143" s="128"/>
      <c r="AL143" s="128"/>
      <c r="AM143" s="244"/>
      <c r="AN143" s="240">
        <v>8.2200000000000006</v>
      </c>
      <c r="AO143" s="244"/>
      <c r="AP143" s="244"/>
      <c r="AQ143" s="244"/>
      <c r="AR143" s="244"/>
      <c r="AS143" s="244"/>
      <c r="AT143" s="244"/>
      <c r="AU143" s="244"/>
      <c r="AV143" s="271">
        <v>0.6</v>
      </c>
      <c r="AW143" s="271"/>
      <c r="AX143" s="271"/>
      <c r="AY143" s="271">
        <v>0.4</v>
      </c>
      <c r="AZ143" s="271">
        <v>0</v>
      </c>
      <c r="BA143" s="271">
        <v>0</v>
      </c>
      <c r="BB143" s="271"/>
      <c r="BC143" s="271">
        <f t="shared" si="23"/>
        <v>1</v>
      </c>
      <c r="BD143" s="272">
        <f t="shared" si="24"/>
        <v>1.55078</v>
      </c>
      <c r="BE143" s="243">
        <f t="shared" si="27"/>
        <v>1.55078</v>
      </c>
      <c r="BF143" s="330"/>
      <c r="BG143" s="330"/>
      <c r="BH143" s="331"/>
      <c r="BI143" s="331"/>
      <c r="BJ143" s="330"/>
      <c r="BK143" s="330"/>
      <c r="BL143" s="330"/>
      <c r="BM143" s="330"/>
      <c r="BN143" s="330"/>
      <c r="BO143" s="330"/>
      <c r="BP143" s="330"/>
      <c r="BQ143" s="330"/>
      <c r="CB143" s="243">
        <f t="shared" si="18"/>
        <v>0.64340301100034303</v>
      </c>
      <c r="CC143" s="243"/>
      <c r="CD143" s="243">
        <f t="shared" si="19"/>
        <v>0.64340301100034303</v>
      </c>
      <c r="CG143" s="734">
        <f t="shared" si="25"/>
        <v>2.8853</v>
      </c>
    </row>
    <row r="144" spans="1:85" x14ac:dyDescent="0.2">
      <c r="A144" s="19">
        <v>31897</v>
      </c>
      <c r="B144" s="262">
        <v>-0.88790000000000002</v>
      </c>
      <c r="C144" s="262">
        <v>-1.1897</v>
      </c>
      <c r="D144" s="262">
        <v>-0.62</v>
      </c>
      <c r="E144" s="262">
        <v>-3.3153999999999999</v>
      </c>
      <c r="F144" s="278"/>
      <c r="G144" s="278"/>
      <c r="H144" s="262">
        <v>-2.8660000000000001</v>
      </c>
      <c r="I144" s="262">
        <v>-3.0960000000000001</v>
      </c>
      <c r="J144" s="262">
        <v>-2.6280000000000001</v>
      </c>
      <c r="K144" s="128">
        <v>-3.8477000000000001</v>
      </c>
      <c r="L144" s="262"/>
      <c r="M144" s="262"/>
      <c r="N144" s="262">
        <f t="shared" si="20"/>
        <v>-2.8660000000000001</v>
      </c>
      <c r="O144" s="262">
        <f t="shared" si="21"/>
        <v>-3.0960000000000001</v>
      </c>
      <c r="P144" s="262">
        <f t="shared" si="22"/>
        <v>-2.6280000000000001</v>
      </c>
      <c r="Q144" s="262">
        <v>-2.7098</v>
      </c>
      <c r="R144" s="128">
        <v>-2.5920000000000001</v>
      </c>
      <c r="S144" s="128">
        <v>-1.681</v>
      </c>
      <c r="T144" s="128"/>
      <c r="U144" s="279"/>
      <c r="V144" s="279"/>
      <c r="W144" s="262">
        <v>-2.742</v>
      </c>
      <c r="X144" s="128">
        <v>-2.16</v>
      </c>
      <c r="Y144" s="128"/>
      <c r="Z144" s="279"/>
      <c r="AA144" s="262">
        <v>10.599</v>
      </c>
      <c r="AB144" s="262">
        <v>12.291</v>
      </c>
      <c r="AC144" s="262">
        <v>8.8210999999999995</v>
      </c>
      <c r="AD144" s="278"/>
      <c r="AE144" s="278"/>
      <c r="AF144" s="262">
        <f t="shared" si="26"/>
        <v>10.599</v>
      </c>
      <c r="AG144" s="128">
        <v>0.60580000000000001</v>
      </c>
      <c r="AH144" s="128"/>
      <c r="AI144" s="128"/>
      <c r="AJ144" s="128"/>
      <c r="AK144" s="128"/>
      <c r="AL144" s="128"/>
      <c r="AM144" s="244"/>
      <c r="AN144" s="240">
        <v>10.6</v>
      </c>
      <c r="AO144" s="244"/>
      <c r="AP144" s="244"/>
      <c r="AQ144" s="244"/>
      <c r="AR144" s="244"/>
      <c r="AS144" s="244"/>
      <c r="AT144" s="244"/>
      <c r="AU144" s="244"/>
      <c r="AV144" s="271">
        <v>0.6</v>
      </c>
      <c r="AW144" s="271"/>
      <c r="AX144" s="271"/>
      <c r="AY144" s="271">
        <v>0.4</v>
      </c>
      <c r="AZ144" s="271">
        <v>0</v>
      </c>
      <c r="BA144" s="271">
        <v>0</v>
      </c>
      <c r="BB144" s="271"/>
      <c r="BC144" s="271">
        <f t="shared" si="23"/>
        <v>1</v>
      </c>
      <c r="BD144" s="272">
        <f t="shared" si="24"/>
        <v>-1.62954</v>
      </c>
      <c r="BE144" s="243">
        <f t="shared" si="27"/>
        <v>-1.62954</v>
      </c>
      <c r="BF144" s="330"/>
      <c r="BG144" s="330"/>
      <c r="BH144" s="331"/>
      <c r="BI144" s="331"/>
      <c r="BJ144" s="330"/>
      <c r="BK144" s="330"/>
      <c r="BL144" s="330"/>
      <c r="BM144" s="330"/>
      <c r="BN144" s="330"/>
      <c r="BO144" s="330"/>
      <c r="BP144" s="330"/>
      <c r="BQ144" s="330"/>
      <c r="CB144" s="243">
        <f t="shared" si="18"/>
        <v>0.64340301100034303</v>
      </c>
      <c r="CC144" s="243"/>
      <c r="CD144" s="243">
        <f t="shared" si="19"/>
        <v>0.64340301100034303</v>
      </c>
      <c r="CG144" s="734">
        <f t="shared" si="25"/>
        <v>-0.88790000000000002</v>
      </c>
    </row>
    <row r="145" spans="1:88" x14ac:dyDescent="0.2">
      <c r="A145" s="19">
        <v>31928</v>
      </c>
      <c r="B145" s="262">
        <v>0.86699999999999999</v>
      </c>
      <c r="C145" s="262">
        <v>1.1399999999999999</v>
      </c>
      <c r="D145" s="262">
        <v>0.9</v>
      </c>
      <c r="E145" s="262">
        <v>-1.0218</v>
      </c>
      <c r="F145" s="278"/>
      <c r="G145" s="278"/>
      <c r="H145" s="262">
        <v>-0.32800000000000001</v>
      </c>
      <c r="I145" s="262">
        <v>-0.70299999999999996</v>
      </c>
      <c r="J145" s="262">
        <v>6.2E-2</v>
      </c>
      <c r="K145" s="128">
        <v>-1.4977</v>
      </c>
      <c r="L145" s="262"/>
      <c r="M145" s="262"/>
      <c r="N145" s="262">
        <f t="shared" si="20"/>
        <v>-0.32800000000000001</v>
      </c>
      <c r="O145" s="262">
        <f t="shared" si="21"/>
        <v>-0.70299999999999996</v>
      </c>
      <c r="P145" s="262">
        <f t="shared" si="22"/>
        <v>6.2E-2</v>
      </c>
      <c r="Q145" s="262">
        <v>0.47360000000000002</v>
      </c>
      <c r="R145" s="128">
        <v>0.33400000000000002</v>
      </c>
      <c r="S145" s="128">
        <v>0.623</v>
      </c>
      <c r="T145" s="128"/>
      <c r="U145" s="279"/>
      <c r="V145" s="279"/>
      <c r="W145" s="262">
        <v>-0.39100000000000001</v>
      </c>
      <c r="X145" s="128">
        <v>-0.25</v>
      </c>
      <c r="Y145" s="128"/>
      <c r="Z145" s="279"/>
      <c r="AA145" s="262">
        <v>1.7999999999999999E-2</v>
      </c>
      <c r="AB145" s="262">
        <v>-3.1273</v>
      </c>
      <c r="AC145" s="262">
        <v>3.4035000000000002</v>
      </c>
      <c r="AD145" s="278"/>
      <c r="AE145" s="278"/>
      <c r="AF145" s="262">
        <f t="shared" si="26"/>
        <v>1.7999999999999999E-2</v>
      </c>
      <c r="AG145" s="128">
        <v>0.60580000000000001</v>
      </c>
      <c r="AH145" s="128"/>
      <c r="AI145" s="128"/>
      <c r="AJ145" s="128"/>
      <c r="AK145" s="128"/>
      <c r="AL145" s="128"/>
      <c r="AM145" s="244"/>
      <c r="AN145" s="240">
        <v>0.02</v>
      </c>
      <c r="AO145" s="244"/>
      <c r="AP145" s="244"/>
      <c r="AQ145" s="244"/>
      <c r="AR145" s="244"/>
      <c r="AS145" s="244"/>
      <c r="AT145" s="244"/>
      <c r="AU145" s="244"/>
      <c r="AV145" s="271">
        <v>0.6</v>
      </c>
      <c r="AW145" s="271"/>
      <c r="AX145" s="271"/>
      <c r="AY145" s="271">
        <v>0.4</v>
      </c>
      <c r="AZ145" s="271">
        <v>0</v>
      </c>
      <c r="BA145" s="271">
        <v>0</v>
      </c>
      <c r="BB145" s="271"/>
      <c r="BC145" s="271">
        <f t="shared" si="23"/>
        <v>1</v>
      </c>
      <c r="BD145" s="272">
        <f t="shared" si="24"/>
        <v>0.36380000000000001</v>
      </c>
      <c r="BE145" s="243">
        <f t="shared" si="27"/>
        <v>0.36380000000000001</v>
      </c>
      <c r="BF145" s="330"/>
      <c r="BG145" s="330"/>
      <c r="BH145" s="331"/>
      <c r="BI145" s="331"/>
      <c r="BJ145" s="330"/>
      <c r="BK145" s="330"/>
      <c r="BL145" s="330"/>
      <c r="BM145" s="330"/>
      <c r="BN145" s="330"/>
      <c r="BO145" s="330"/>
      <c r="BP145" s="330"/>
      <c r="BQ145" s="330"/>
      <c r="CB145" s="243">
        <f t="shared" si="18"/>
        <v>0.64340301100034303</v>
      </c>
      <c r="CC145" s="243"/>
      <c r="CD145" s="243">
        <f t="shared" si="19"/>
        <v>0.64340301100034303</v>
      </c>
      <c r="CG145" s="734">
        <f t="shared" si="25"/>
        <v>0.86699999999999999</v>
      </c>
    </row>
    <row r="146" spans="1:88" x14ac:dyDescent="0.2">
      <c r="A146" s="19">
        <v>31958</v>
      </c>
      <c r="B146" s="262">
        <v>5.05</v>
      </c>
      <c r="C146" s="262">
        <v>5.0598000000000001</v>
      </c>
      <c r="D146" s="262">
        <v>4.92</v>
      </c>
      <c r="E146" s="262">
        <v>3.6109</v>
      </c>
      <c r="F146" s="278"/>
      <c r="G146" s="278"/>
      <c r="H146" s="262">
        <v>2.5579999999999998</v>
      </c>
      <c r="I146" s="262">
        <v>2.48</v>
      </c>
      <c r="J146" s="262">
        <v>2.6389999999999998</v>
      </c>
      <c r="K146" s="128">
        <v>1.9651000000000001</v>
      </c>
      <c r="L146" s="262"/>
      <c r="M146" s="262"/>
      <c r="N146" s="262">
        <f t="shared" si="20"/>
        <v>2.5579999999999998</v>
      </c>
      <c r="O146" s="262">
        <f t="shared" si="21"/>
        <v>2.48</v>
      </c>
      <c r="P146" s="262">
        <f t="shared" si="22"/>
        <v>2.6389999999999998</v>
      </c>
      <c r="Q146" s="262">
        <v>2.5468999999999999</v>
      </c>
      <c r="R146" s="128">
        <v>2.9289999999999998</v>
      </c>
      <c r="S146" s="128">
        <v>4.5549999999999997</v>
      </c>
      <c r="T146" s="128"/>
      <c r="U146" s="279"/>
      <c r="V146" s="279"/>
      <c r="W146" s="262">
        <v>1.3759999999999999</v>
      </c>
      <c r="X146" s="128">
        <v>1.41</v>
      </c>
      <c r="Y146" s="128"/>
      <c r="Z146" s="279"/>
      <c r="AA146" s="262">
        <v>-3.1680000000000001</v>
      </c>
      <c r="AB146" s="262">
        <v>-6.5490000000000004</v>
      </c>
      <c r="AC146" s="262">
        <v>0.1966</v>
      </c>
      <c r="AD146" s="278"/>
      <c r="AE146" s="278"/>
      <c r="AF146" s="262">
        <f t="shared" si="26"/>
        <v>-3.1680000000000001</v>
      </c>
      <c r="AG146" s="128">
        <v>0.60580000000000001</v>
      </c>
      <c r="AH146" s="128"/>
      <c r="AI146" s="128"/>
      <c r="AJ146" s="128"/>
      <c r="AK146" s="128"/>
      <c r="AL146" s="128"/>
      <c r="AM146" s="244"/>
      <c r="AN146" s="240">
        <v>-3.17</v>
      </c>
      <c r="AO146" s="244"/>
      <c r="AP146" s="244"/>
      <c r="AQ146" s="244"/>
      <c r="AR146" s="244"/>
      <c r="AS146" s="244"/>
      <c r="AT146" s="244"/>
      <c r="AU146" s="244"/>
      <c r="AV146" s="273">
        <v>0.6</v>
      </c>
      <c r="AW146" s="273"/>
      <c r="AX146" s="273"/>
      <c r="AY146" s="273">
        <v>0.4</v>
      </c>
      <c r="AZ146" s="273">
        <v>0</v>
      </c>
      <c r="BA146" s="273">
        <v>0</v>
      </c>
      <c r="BB146" s="273"/>
      <c r="BC146" s="273">
        <f t="shared" si="23"/>
        <v>1</v>
      </c>
      <c r="BD146" s="274">
        <f t="shared" si="24"/>
        <v>3.5804</v>
      </c>
      <c r="BE146" s="243">
        <f t="shared" si="27"/>
        <v>3.5804</v>
      </c>
      <c r="BF146" s="330"/>
      <c r="BG146" s="330"/>
      <c r="BH146" s="331"/>
      <c r="BI146" s="331"/>
      <c r="BJ146" s="330"/>
      <c r="BK146" s="330"/>
      <c r="BL146" s="330"/>
      <c r="BM146" s="330"/>
      <c r="BN146" s="330"/>
      <c r="BO146" s="330"/>
      <c r="BP146" s="330"/>
      <c r="BQ146" s="330"/>
      <c r="CB146" s="243">
        <f t="shared" si="18"/>
        <v>0.64340301100034303</v>
      </c>
      <c r="CC146" s="243"/>
      <c r="CD146" s="243">
        <f t="shared" si="19"/>
        <v>0.64340301100034303</v>
      </c>
      <c r="CG146" s="734">
        <f t="shared" si="25"/>
        <v>5.05</v>
      </c>
    </row>
    <row r="147" spans="1:88" x14ac:dyDescent="0.2">
      <c r="A147" s="19">
        <v>31989</v>
      </c>
      <c r="B147" s="262">
        <v>5.0658000000000003</v>
      </c>
      <c r="C147" s="262">
        <v>5.51</v>
      </c>
      <c r="D147" s="262">
        <v>4.4000000000000004</v>
      </c>
      <c r="E147" s="262">
        <v>2.8096999999999999</v>
      </c>
      <c r="F147" s="278"/>
      <c r="G147" s="278"/>
      <c r="H147" s="262">
        <v>3.113</v>
      </c>
      <c r="I147" s="262">
        <v>2.3919999999999999</v>
      </c>
      <c r="J147" s="262">
        <v>3.843</v>
      </c>
      <c r="K147" s="128">
        <v>3.1610999999999998</v>
      </c>
      <c r="L147" s="262"/>
      <c r="M147" s="262"/>
      <c r="N147" s="262">
        <f t="shared" si="20"/>
        <v>3.113</v>
      </c>
      <c r="O147" s="262">
        <f t="shared" si="21"/>
        <v>2.3919999999999999</v>
      </c>
      <c r="P147" s="262">
        <f t="shared" si="22"/>
        <v>3.843</v>
      </c>
      <c r="Q147" s="262">
        <v>3.2648000000000001</v>
      </c>
      <c r="R147" s="128">
        <v>3.77</v>
      </c>
      <c r="S147" s="128">
        <v>4.2670000000000003</v>
      </c>
      <c r="T147" s="128"/>
      <c r="U147" s="279"/>
      <c r="V147" s="279"/>
      <c r="W147" s="262">
        <v>-7.6999999999999999E-2</v>
      </c>
      <c r="X147" s="128">
        <v>0.28000000000000003</v>
      </c>
      <c r="Y147" s="128"/>
      <c r="Z147" s="279"/>
      <c r="AA147" s="262">
        <v>-0.157</v>
      </c>
      <c r="AB147" s="262">
        <v>-1.5058</v>
      </c>
      <c r="AC147" s="262">
        <v>1.1077999999999999</v>
      </c>
      <c r="AD147" s="278"/>
      <c r="AE147" s="278"/>
      <c r="AF147" s="262">
        <f t="shared" si="26"/>
        <v>-0.157</v>
      </c>
      <c r="AG147" s="128">
        <v>0.39350000000000002</v>
      </c>
      <c r="AH147" s="128"/>
      <c r="AI147" s="128"/>
      <c r="AJ147" s="128"/>
      <c r="AK147" s="128"/>
      <c r="AL147" s="128"/>
      <c r="AM147" s="244"/>
      <c r="AN147" s="240">
        <v>-0.1</v>
      </c>
      <c r="AO147" s="244"/>
      <c r="AP147" s="244"/>
      <c r="AQ147" s="244"/>
      <c r="AR147" s="244"/>
      <c r="AS147" s="244"/>
      <c r="AT147" s="244"/>
      <c r="AU147" s="244"/>
      <c r="AV147" s="245">
        <v>0.6</v>
      </c>
      <c r="AW147" s="245"/>
      <c r="AX147" s="245"/>
      <c r="AY147" s="245">
        <v>0.4</v>
      </c>
      <c r="AZ147" s="245">
        <v>0</v>
      </c>
      <c r="BA147" s="245">
        <v>0</v>
      </c>
      <c r="BB147" s="245"/>
      <c r="BC147" s="245">
        <f t="shared" si="23"/>
        <v>1</v>
      </c>
      <c r="BD147" s="240">
        <f t="shared" si="24"/>
        <v>3.00868</v>
      </c>
      <c r="BE147" s="243">
        <f t="shared" si="27"/>
        <v>3.00868</v>
      </c>
      <c r="BF147" s="332"/>
      <c r="BG147" s="330"/>
      <c r="BH147" s="331"/>
      <c r="BI147" s="331"/>
      <c r="BJ147" s="330"/>
      <c r="BK147" s="330"/>
      <c r="BL147" s="330"/>
      <c r="BM147" s="330"/>
      <c r="BN147" s="330"/>
      <c r="BO147" s="330"/>
      <c r="BP147" s="330"/>
      <c r="BQ147" s="330"/>
      <c r="CB147" s="243">
        <f t="shared" si="18"/>
        <v>0.64340301100034303</v>
      </c>
      <c r="CC147" s="243"/>
      <c r="CD147" s="243">
        <f t="shared" si="19"/>
        <v>0.64340301100034303</v>
      </c>
      <c r="CG147" s="734">
        <f t="shared" si="25"/>
        <v>5.0658000000000003</v>
      </c>
    </row>
    <row r="148" spans="1:88" x14ac:dyDescent="0.2">
      <c r="A148" s="19">
        <v>32020</v>
      </c>
      <c r="B148" s="262">
        <v>3.7311999999999999</v>
      </c>
      <c r="C148" s="262">
        <v>4.1501000000000001</v>
      </c>
      <c r="D148" s="262">
        <v>3.49</v>
      </c>
      <c r="E148" s="262">
        <v>3.6261000000000001</v>
      </c>
      <c r="F148" s="278"/>
      <c r="G148" s="278"/>
      <c r="H148" s="262">
        <v>2.9390000000000001</v>
      </c>
      <c r="I148" s="262">
        <v>2.891</v>
      </c>
      <c r="J148" s="262">
        <v>2.9860000000000002</v>
      </c>
      <c r="K148" s="128">
        <v>3.4407999999999999</v>
      </c>
      <c r="L148" s="262"/>
      <c r="M148" s="262"/>
      <c r="N148" s="262">
        <f t="shared" si="20"/>
        <v>2.9390000000000001</v>
      </c>
      <c r="O148" s="262">
        <f t="shared" si="21"/>
        <v>2.891</v>
      </c>
      <c r="P148" s="262">
        <f t="shared" si="22"/>
        <v>2.9860000000000002</v>
      </c>
      <c r="Q148" s="262">
        <v>3.5169000000000001</v>
      </c>
      <c r="R148" s="128">
        <v>3.1059999999999999</v>
      </c>
      <c r="S148" s="128">
        <v>4.04</v>
      </c>
      <c r="T148" s="128"/>
      <c r="U148" s="279"/>
      <c r="V148" s="279"/>
      <c r="W148" s="262">
        <v>-0.53500000000000003</v>
      </c>
      <c r="X148" s="128">
        <v>-0.32</v>
      </c>
      <c r="Y148" s="128"/>
      <c r="Z148" s="279"/>
      <c r="AA148" s="262">
        <v>7.5190000000000001</v>
      </c>
      <c r="AB148" s="262">
        <v>9.1449999999999996</v>
      </c>
      <c r="AC148" s="262">
        <v>6.0010000000000003</v>
      </c>
      <c r="AD148" s="278"/>
      <c r="AE148" s="278"/>
      <c r="AF148" s="262">
        <f t="shared" si="26"/>
        <v>7.5190000000000001</v>
      </c>
      <c r="AG148" s="128">
        <v>0.39350000000000002</v>
      </c>
      <c r="AH148" s="128"/>
      <c r="AI148" s="128"/>
      <c r="AJ148" s="128"/>
      <c r="AK148" s="128"/>
      <c r="AL148" s="128"/>
      <c r="AM148" s="244"/>
      <c r="AN148" s="240">
        <v>7.5</v>
      </c>
      <c r="AO148" s="244"/>
      <c r="AP148" s="244"/>
      <c r="AQ148" s="244"/>
      <c r="AR148" s="244"/>
      <c r="AS148" s="244"/>
      <c r="AT148" s="244"/>
      <c r="AU148" s="244"/>
      <c r="AV148" s="245">
        <v>0.6</v>
      </c>
      <c r="AW148" s="245"/>
      <c r="AX148" s="245"/>
      <c r="AY148" s="245">
        <v>0.4</v>
      </c>
      <c r="AZ148" s="245">
        <v>0</v>
      </c>
      <c r="BA148" s="245">
        <v>0</v>
      </c>
      <c r="BB148" s="245"/>
      <c r="BC148" s="245">
        <f t="shared" si="23"/>
        <v>1</v>
      </c>
      <c r="BD148" s="240">
        <f t="shared" si="24"/>
        <v>2.0247199999999999</v>
      </c>
      <c r="BE148" s="243">
        <f t="shared" si="27"/>
        <v>2.0247199999999999</v>
      </c>
      <c r="BF148" s="332"/>
      <c r="BG148" s="330"/>
      <c r="BH148" s="331"/>
      <c r="BI148" s="331"/>
      <c r="BJ148" s="330"/>
      <c r="BK148" s="330"/>
      <c r="BL148" s="330"/>
      <c r="BM148" s="330"/>
      <c r="BN148" s="330"/>
      <c r="BO148" s="330"/>
      <c r="BP148" s="330"/>
      <c r="BQ148" s="330"/>
      <c r="CB148" s="243">
        <f t="shared" si="18"/>
        <v>0.64340301100034303</v>
      </c>
      <c r="CC148" s="243"/>
      <c r="CD148" s="243">
        <f t="shared" si="19"/>
        <v>0.64340301100034303</v>
      </c>
      <c r="CG148" s="734">
        <f t="shared" si="25"/>
        <v>3.7311999999999999</v>
      </c>
    </row>
    <row r="149" spans="1:88" x14ac:dyDescent="0.2">
      <c r="A149" s="19">
        <v>32050</v>
      </c>
      <c r="B149" s="262">
        <v>-2.1922000000000001</v>
      </c>
      <c r="C149" s="262">
        <v>-2.5901999999999998</v>
      </c>
      <c r="D149" s="262">
        <v>-1.81</v>
      </c>
      <c r="E149" s="262">
        <v>-1.9309000000000001</v>
      </c>
      <c r="F149" s="278"/>
      <c r="G149" s="278"/>
      <c r="H149" s="262">
        <v>-1.843</v>
      </c>
      <c r="I149" s="262">
        <v>-1.9970000000000001</v>
      </c>
      <c r="J149" s="262">
        <v>-1.6890000000000001</v>
      </c>
      <c r="K149" s="128">
        <v>-2.5914000000000001</v>
      </c>
      <c r="L149" s="262"/>
      <c r="M149" s="262"/>
      <c r="N149" s="262">
        <f t="shared" si="20"/>
        <v>-1.843</v>
      </c>
      <c r="O149" s="262">
        <f t="shared" si="21"/>
        <v>-1.9970000000000001</v>
      </c>
      <c r="P149" s="262">
        <f t="shared" si="22"/>
        <v>-1.6890000000000001</v>
      </c>
      <c r="Q149" s="262">
        <v>-2.3913000000000002</v>
      </c>
      <c r="R149" s="128">
        <v>-1.9590000000000001</v>
      </c>
      <c r="S149" s="128">
        <v>-2.1800000000000002</v>
      </c>
      <c r="T149" s="128"/>
      <c r="U149" s="279"/>
      <c r="V149" s="279"/>
      <c r="W149" s="262">
        <v>-2.129</v>
      </c>
      <c r="X149" s="128">
        <v>-1.55</v>
      </c>
      <c r="Y149" s="128"/>
      <c r="Z149" s="279"/>
      <c r="AA149" s="262">
        <v>-1.556</v>
      </c>
      <c r="AB149" s="262">
        <v>-4.5122999999999998</v>
      </c>
      <c r="AC149" s="262">
        <v>1.3517999999999999</v>
      </c>
      <c r="AD149" s="278"/>
      <c r="AE149" s="278"/>
      <c r="AF149" s="262">
        <f t="shared" si="26"/>
        <v>-1.556</v>
      </c>
      <c r="AG149" s="128">
        <v>0.39350000000000002</v>
      </c>
      <c r="AH149" s="128"/>
      <c r="AI149" s="128"/>
      <c r="AJ149" s="128"/>
      <c r="AK149" s="128"/>
      <c r="AL149" s="128"/>
      <c r="AM149" s="244"/>
      <c r="AN149" s="240">
        <v>-1.5</v>
      </c>
      <c r="AO149" s="244"/>
      <c r="AP149" s="244"/>
      <c r="AQ149" s="244"/>
      <c r="AR149" s="244"/>
      <c r="AS149" s="244"/>
      <c r="AT149" s="244"/>
      <c r="AU149" s="244"/>
      <c r="AV149" s="245">
        <v>0.6</v>
      </c>
      <c r="AW149" s="245"/>
      <c r="AX149" s="245"/>
      <c r="AY149" s="245">
        <v>0.4</v>
      </c>
      <c r="AZ149" s="245">
        <v>0</v>
      </c>
      <c r="BA149" s="245">
        <v>0</v>
      </c>
      <c r="BB149" s="245"/>
      <c r="BC149" s="245">
        <f t="shared" si="23"/>
        <v>1</v>
      </c>
      <c r="BD149" s="240">
        <f t="shared" si="24"/>
        <v>-2.1669200000000002</v>
      </c>
      <c r="BE149" s="243">
        <f t="shared" si="27"/>
        <v>-2.1669200000000002</v>
      </c>
      <c r="BF149" s="332"/>
      <c r="BG149" s="330"/>
      <c r="BH149" s="331"/>
      <c r="BI149" s="331"/>
      <c r="BJ149" s="330"/>
      <c r="BK149" s="330"/>
      <c r="BL149" s="330"/>
      <c r="BM149" s="330"/>
      <c r="BN149" s="330"/>
      <c r="BO149" s="330"/>
      <c r="BP149" s="330"/>
      <c r="BQ149" s="330"/>
      <c r="CB149" s="243">
        <f t="shared" si="18"/>
        <v>0.64340301100034303</v>
      </c>
      <c r="CC149" s="243"/>
      <c r="CD149" s="243">
        <f t="shared" si="19"/>
        <v>0.64340301100034303</v>
      </c>
      <c r="CG149" s="734">
        <f t="shared" si="25"/>
        <v>-2.1922000000000001</v>
      </c>
    </row>
    <row r="150" spans="1:88" x14ac:dyDescent="0.2">
      <c r="A150" s="19">
        <v>32081</v>
      </c>
      <c r="B150" s="262">
        <v>-21.536200000000001</v>
      </c>
      <c r="C150" s="262">
        <v>-22.709900000000001</v>
      </c>
      <c r="D150" s="262">
        <v>-20.32</v>
      </c>
      <c r="E150" s="262">
        <v>-23.6358</v>
      </c>
      <c r="F150" s="278"/>
      <c r="G150" s="278"/>
      <c r="H150" s="262">
        <v>-30.614999999999998</v>
      </c>
      <c r="I150" s="262">
        <v>-32.950000000000003</v>
      </c>
      <c r="J150" s="262">
        <v>-28.285</v>
      </c>
      <c r="K150" s="128">
        <v>-29.795100000000001</v>
      </c>
      <c r="L150" s="262"/>
      <c r="M150" s="262"/>
      <c r="N150" s="262">
        <f t="shared" si="20"/>
        <v>-30.614999999999998</v>
      </c>
      <c r="O150" s="262">
        <f t="shared" si="21"/>
        <v>-32.950000000000003</v>
      </c>
      <c r="P150" s="262">
        <f t="shared" si="22"/>
        <v>-28.285</v>
      </c>
      <c r="Q150" s="262">
        <v>-30.876799999999999</v>
      </c>
      <c r="R150" s="128">
        <v>-28.297000000000001</v>
      </c>
      <c r="S150" s="128">
        <v>-22.428000000000001</v>
      </c>
      <c r="T150" s="128"/>
      <c r="U150" s="279"/>
      <c r="V150" s="279"/>
      <c r="W150" s="262">
        <v>3.5619999999999998</v>
      </c>
      <c r="X150" s="128">
        <v>2.91</v>
      </c>
      <c r="Y150" s="128"/>
      <c r="Z150" s="279"/>
      <c r="AA150" s="262">
        <v>-13.994</v>
      </c>
      <c r="AB150" s="262">
        <v>-12.8253</v>
      </c>
      <c r="AC150" s="262">
        <v>-12.906700000000001</v>
      </c>
      <c r="AD150" s="278"/>
      <c r="AE150" s="278"/>
      <c r="AF150" s="262">
        <f t="shared" si="26"/>
        <v>-13.994</v>
      </c>
      <c r="AG150" s="128">
        <v>0.69320000000000004</v>
      </c>
      <c r="AH150" s="128"/>
      <c r="AI150" s="128"/>
      <c r="AJ150" s="128"/>
      <c r="AK150" s="128"/>
      <c r="AL150" s="128"/>
      <c r="AM150" s="244"/>
      <c r="AN150" s="240">
        <v>-14</v>
      </c>
      <c r="AO150" s="244"/>
      <c r="AP150" s="244"/>
      <c r="AQ150" s="244"/>
      <c r="AR150" s="244"/>
      <c r="AS150" s="244"/>
      <c r="AT150" s="244"/>
      <c r="AU150" s="244"/>
      <c r="AV150" s="245">
        <v>0.6</v>
      </c>
      <c r="AW150" s="245"/>
      <c r="AX150" s="245"/>
      <c r="AY150" s="245">
        <v>0.4</v>
      </c>
      <c r="AZ150" s="245">
        <v>0</v>
      </c>
      <c r="BA150" s="245">
        <v>0</v>
      </c>
      <c r="BB150" s="245"/>
      <c r="BC150" s="245">
        <f t="shared" si="23"/>
        <v>1</v>
      </c>
      <c r="BD150" s="240">
        <f t="shared" si="24"/>
        <v>-11.496920000000001</v>
      </c>
      <c r="BE150" s="243">
        <f t="shared" si="27"/>
        <v>-11.496920000000001</v>
      </c>
      <c r="BF150" s="332"/>
      <c r="BG150" s="330"/>
      <c r="BH150" s="331"/>
      <c r="BI150" s="331"/>
      <c r="BJ150" s="330"/>
      <c r="BK150" s="330"/>
      <c r="BL150" s="330"/>
      <c r="BM150" s="330"/>
      <c r="BN150" s="330"/>
      <c r="BO150" s="330"/>
      <c r="BP150" s="330"/>
      <c r="BQ150" s="330"/>
      <c r="CB150" s="243">
        <f t="shared" si="18"/>
        <v>0.64340301100034303</v>
      </c>
      <c r="CC150" s="243"/>
      <c r="CD150" s="243">
        <f t="shared" si="19"/>
        <v>0.64340301100034303</v>
      </c>
      <c r="CG150" s="734">
        <f t="shared" si="25"/>
        <v>-21.536200000000001</v>
      </c>
    </row>
    <row r="151" spans="1:88" x14ac:dyDescent="0.2">
      <c r="A151" s="19">
        <v>32111</v>
      </c>
      <c r="B151" s="262">
        <v>-8.2409999999999997</v>
      </c>
      <c r="C151" s="262">
        <v>-8.8602000000000007</v>
      </c>
      <c r="D151" s="262">
        <v>-7.47</v>
      </c>
      <c r="E151" s="262">
        <v>-4.9359999999999999</v>
      </c>
      <c r="F151" s="278"/>
      <c r="G151" s="278"/>
      <c r="H151" s="262">
        <v>-5.3659999999999997</v>
      </c>
      <c r="I151" s="262">
        <v>-6.6109999999999998</v>
      </c>
      <c r="J151" s="262">
        <v>-4.2</v>
      </c>
      <c r="K151" s="128">
        <v>-6.4866000000000001</v>
      </c>
      <c r="L151" s="262"/>
      <c r="M151" s="262"/>
      <c r="N151" s="262">
        <f t="shared" si="20"/>
        <v>-5.3659999999999997</v>
      </c>
      <c r="O151" s="262">
        <f t="shared" si="21"/>
        <v>-6.6109999999999998</v>
      </c>
      <c r="P151" s="262">
        <f t="shared" si="22"/>
        <v>-4.2</v>
      </c>
      <c r="Q151" s="262">
        <v>-5.5450999999999997</v>
      </c>
      <c r="R151" s="128">
        <v>-4.6660000000000004</v>
      </c>
      <c r="S151" s="128">
        <v>-7.5410000000000004</v>
      </c>
      <c r="T151" s="128"/>
      <c r="U151" s="279"/>
      <c r="V151" s="279"/>
      <c r="W151" s="262">
        <v>0.80100000000000005</v>
      </c>
      <c r="X151" s="128">
        <v>0.84</v>
      </c>
      <c r="Y151" s="128"/>
      <c r="Z151" s="279"/>
      <c r="AA151" s="262">
        <v>1.008</v>
      </c>
      <c r="AB151" s="262">
        <v>0.51890000000000003</v>
      </c>
      <c r="AC151" s="262">
        <v>1.4983</v>
      </c>
      <c r="AD151" s="278"/>
      <c r="AE151" s="278"/>
      <c r="AF151" s="262">
        <f t="shared" si="26"/>
        <v>1.008</v>
      </c>
      <c r="AG151" s="128">
        <v>0.69320000000000004</v>
      </c>
      <c r="AH151" s="128"/>
      <c r="AI151" s="128"/>
      <c r="AJ151" s="128"/>
      <c r="AK151" s="128"/>
      <c r="AL151" s="128"/>
      <c r="AM151" s="244"/>
      <c r="AN151" s="240">
        <v>1</v>
      </c>
      <c r="AO151" s="244"/>
      <c r="AP151" s="244"/>
      <c r="AQ151" s="244"/>
      <c r="AR151" s="244"/>
      <c r="AS151" s="244"/>
      <c r="AT151" s="244"/>
      <c r="AU151" s="244"/>
      <c r="AV151" s="245">
        <v>0.6</v>
      </c>
      <c r="AW151" s="245"/>
      <c r="AX151" s="245"/>
      <c r="AY151" s="245">
        <v>0.4</v>
      </c>
      <c r="AZ151" s="245">
        <v>0</v>
      </c>
      <c r="BA151" s="245">
        <v>0</v>
      </c>
      <c r="BB151" s="245"/>
      <c r="BC151" s="245">
        <f t="shared" si="23"/>
        <v>1</v>
      </c>
      <c r="BD151" s="240">
        <f t="shared" si="24"/>
        <v>-4.6241999999999992</v>
      </c>
      <c r="BE151" s="243">
        <f t="shared" si="27"/>
        <v>-4.6241999999999992</v>
      </c>
      <c r="BF151" s="332"/>
      <c r="BG151" s="330"/>
      <c r="BH151" s="331"/>
      <c r="BI151" s="331"/>
      <c r="BJ151" s="330"/>
      <c r="BK151" s="330"/>
      <c r="BL151" s="330"/>
      <c r="BM151" s="330"/>
      <c r="BN151" s="330"/>
      <c r="BO151" s="330"/>
      <c r="BP151" s="330"/>
      <c r="BQ151" s="330"/>
      <c r="CB151" s="243">
        <f t="shared" si="18"/>
        <v>0.64340301100034303</v>
      </c>
      <c r="CC151" s="243"/>
      <c r="CD151" s="243">
        <f t="shared" si="19"/>
        <v>0.64340301100034303</v>
      </c>
      <c r="CG151" s="734">
        <f t="shared" si="25"/>
        <v>-8.2409999999999997</v>
      </c>
    </row>
    <row r="152" spans="1:88" x14ac:dyDescent="0.2">
      <c r="A152" s="19">
        <v>32142</v>
      </c>
      <c r="B152" s="262">
        <v>7.6074999999999999</v>
      </c>
      <c r="C152" s="262">
        <v>8.4802999999999997</v>
      </c>
      <c r="D152" s="262">
        <v>6.26</v>
      </c>
      <c r="E152" s="262">
        <v>7.7320000000000002</v>
      </c>
      <c r="F152" s="278"/>
      <c r="G152" s="278"/>
      <c r="H152" s="262">
        <v>8.0380000000000003</v>
      </c>
      <c r="I152" s="262">
        <v>10.404</v>
      </c>
      <c r="J152" s="262">
        <v>5.8840000000000003</v>
      </c>
      <c r="K152" s="128">
        <v>8.6455000000000002</v>
      </c>
      <c r="L152" s="262"/>
      <c r="M152" s="262"/>
      <c r="N152" s="262">
        <f t="shared" si="20"/>
        <v>8.0380000000000003</v>
      </c>
      <c r="O152" s="262">
        <f t="shared" si="21"/>
        <v>10.404</v>
      </c>
      <c r="P152" s="262">
        <f t="shared" si="22"/>
        <v>5.8840000000000003</v>
      </c>
      <c r="Q152" s="262">
        <v>11.545</v>
      </c>
      <c r="R152" s="128">
        <v>8.2859999999999996</v>
      </c>
      <c r="S152" s="128">
        <v>7.3819999999999997</v>
      </c>
      <c r="T152" s="128"/>
      <c r="U152" s="279"/>
      <c r="V152" s="279"/>
      <c r="W152" s="262">
        <v>1.3620000000000001</v>
      </c>
      <c r="X152" s="128">
        <v>1.1399999999999999</v>
      </c>
      <c r="Y152" s="128"/>
      <c r="Z152" s="279"/>
      <c r="AA152" s="262">
        <v>2.9940000000000002</v>
      </c>
      <c r="AB152" s="262">
        <v>0.88739999999999997</v>
      </c>
      <c r="AC152" s="262">
        <v>4.9718999999999998</v>
      </c>
      <c r="AD152" s="278"/>
      <c r="AE152" s="278"/>
      <c r="AF152" s="262">
        <f t="shared" si="26"/>
        <v>2.9940000000000002</v>
      </c>
      <c r="AG152" s="128">
        <v>0.69320000000000004</v>
      </c>
      <c r="AH152" s="128"/>
      <c r="AI152" s="128"/>
      <c r="AJ152" s="128"/>
      <c r="AK152" s="128"/>
      <c r="AL152" s="128"/>
      <c r="AM152" s="244"/>
      <c r="AN152" s="240">
        <v>3</v>
      </c>
      <c r="AO152" s="244"/>
      <c r="AP152" s="244"/>
      <c r="AQ152" s="244"/>
      <c r="AR152" s="244"/>
      <c r="AS152" s="244"/>
      <c r="AT152" s="244"/>
      <c r="AU152" s="244"/>
      <c r="AV152" s="245">
        <v>0.6</v>
      </c>
      <c r="AW152" s="245"/>
      <c r="AX152" s="245"/>
      <c r="AY152" s="245">
        <v>0.4</v>
      </c>
      <c r="AZ152" s="245">
        <v>0</v>
      </c>
      <c r="BA152" s="245">
        <v>0</v>
      </c>
      <c r="BB152" s="245"/>
      <c r="BC152" s="245">
        <f t="shared" si="23"/>
        <v>1</v>
      </c>
      <c r="BD152" s="240">
        <f t="shared" si="24"/>
        <v>5.1093000000000002</v>
      </c>
      <c r="BE152" s="243">
        <f t="shared" si="27"/>
        <v>5.1093000000000002</v>
      </c>
      <c r="BF152" s="332"/>
      <c r="BG152" s="330"/>
      <c r="BH152" s="331"/>
      <c r="BI152" s="331"/>
      <c r="BJ152" s="330"/>
      <c r="BK152" s="330"/>
      <c r="BL152" s="330"/>
      <c r="BM152" s="330"/>
      <c r="BN152" s="330"/>
      <c r="BO152" s="330"/>
      <c r="BP152" s="330"/>
      <c r="BQ152" s="330"/>
      <c r="CB152" s="243">
        <f t="shared" si="18"/>
        <v>0.64340301100034303</v>
      </c>
      <c r="CC152" s="243"/>
      <c r="CD152" s="243">
        <f t="shared" si="19"/>
        <v>0.64340301100034303</v>
      </c>
      <c r="CG152" s="734">
        <f t="shared" si="25"/>
        <v>7.6074999999999999</v>
      </c>
    </row>
    <row r="153" spans="1:88" x14ac:dyDescent="0.2">
      <c r="A153" s="19">
        <v>32173</v>
      </c>
      <c r="B153" s="262">
        <v>4.2061000000000002</v>
      </c>
      <c r="C153" s="262">
        <v>2.0301999999999998</v>
      </c>
      <c r="D153" s="262">
        <v>6.64</v>
      </c>
      <c r="E153" s="262">
        <v>4.5801999999999996</v>
      </c>
      <c r="F153" s="278"/>
      <c r="G153" s="278"/>
      <c r="H153" s="262">
        <v>4.3460000000000001</v>
      </c>
      <c r="I153" s="262">
        <v>1.952</v>
      </c>
      <c r="J153" s="262">
        <v>6.75</v>
      </c>
      <c r="K153" s="128">
        <v>3.9285999999999999</v>
      </c>
      <c r="L153" s="262"/>
      <c r="M153" s="262"/>
      <c r="N153" s="262">
        <f t="shared" si="20"/>
        <v>4.3460000000000001</v>
      </c>
      <c r="O153" s="262">
        <f t="shared" si="21"/>
        <v>1.952</v>
      </c>
      <c r="P153" s="262">
        <f t="shared" si="22"/>
        <v>6.75</v>
      </c>
      <c r="Q153" s="262">
        <v>1.1527000000000001</v>
      </c>
      <c r="R153" s="128">
        <v>4.3959999999999999</v>
      </c>
      <c r="S153" s="128">
        <v>4.484</v>
      </c>
      <c r="T153" s="128"/>
      <c r="U153" s="262">
        <v>1.68</v>
      </c>
      <c r="V153" s="279"/>
      <c r="W153" s="262">
        <v>3.5150000000000001</v>
      </c>
      <c r="X153" s="128">
        <v>2.96</v>
      </c>
      <c r="Y153" s="128"/>
      <c r="Z153" s="279"/>
      <c r="AA153" s="262">
        <v>1.8080000000000001</v>
      </c>
      <c r="AB153" s="262">
        <v>2.9839000000000002</v>
      </c>
      <c r="AC153" s="262">
        <v>0.80079999999999996</v>
      </c>
      <c r="AD153" s="278"/>
      <c r="AE153" s="278"/>
      <c r="AF153" s="262">
        <f t="shared" si="26"/>
        <v>1.8080000000000001</v>
      </c>
      <c r="AG153" s="128">
        <v>0.88129999999999997</v>
      </c>
      <c r="AH153" s="128"/>
      <c r="AI153" s="128"/>
      <c r="AJ153" s="128"/>
      <c r="AK153" s="128"/>
      <c r="AL153" s="128"/>
      <c r="AM153" s="244"/>
      <c r="AN153" s="262">
        <v>1.7988999999999999</v>
      </c>
      <c r="AO153" s="262">
        <v>1.68</v>
      </c>
      <c r="AP153" s="262"/>
      <c r="AQ153" s="262"/>
      <c r="AR153" s="262"/>
      <c r="AS153" s="262"/>
      <c r="AT153" s="262"/>
      <c r="AU153" s="262"/>
      <c r="AV153" s="245">
        <v>0.6</v>
      </c>
      <c r="AW153" s="245"/>
      <c r="AX153" s="245"/>
      <c r="AY153" s="245">
        <v>0.4</v>
      </c>
      <c r="AZ153" s="245">
        <v>0</v>
      </c>
      <c r="BA153" s="245">
        <v>0</v>
      </c>
      <c r="BB153" s="245"/>
      <c r="BC153" s="245">
        <f t="shared" si="23"/>
        <v>1</v>
      </c>
      <c r="BD153" s="240">
        <f t="shared" si="24"/>
        <v>3.9296600000000002</v>
      </c>
      <c r="BE153" s="243">
        <f t="shared" si="27"/>
        <v>3.9296600000000002</v>
      </c>
      <c r="BF153" s="332"/>
      <c r="BG153" s="330"/>
      <c r="BH153" s="331"/>
      <c r="BI153" s="331"/>
      <c r="BJ153" s="330"/>
      <c r="BK153" s="330"/>
      <c r="BL153" s="330"/>
      <c r="BM153" s="330"/>
      <c r="BN153" s="330"/>
      <c r="BO153" s="330"/>
      <c r="BP153" s="330"/>
      <c r="BQ153" s="330"/>
      <c r="CB153" s="243">
        <f t="shared" si="18"/>
        <v>0.64340301100034303</v>
      </c>
      <c r="CC153" s="243"/>
      <c r="CD153" s="243">
        <f t="shared" si="19"/>
        <v>0.64340301100034303</v>
      </c>
      <c r="CG153" s="734">
        <f t="shared" si="25"/>
        <v>4.2061000000000002</v>
      </c>
      <c r="CJ153" s="1264">
        <f t="shared" ref="CJ153:CJ168" si="28">((1+0.1)^(1/12)-1)*100</f>
        <v>0.79741404289037643</v>
      </c>
    </row>
    <row r="154" spans="1:88" x14ac:dyDescent="0.2">
      <c r="A154" s="19">
        <v>32202</v>
      </c>
      <c r="B154" s="262">
        <v>4.6615000000000002</v>
      </c>
      <c r="C154" s="262">
        <v>4.7198000000000002</v>
      </c>
      <c r="D154" s="262">
        <v>4.58</v>
      </c>
      <c r="E154" s="262">
        <v>6.3475000000000001</v>
      </c>
      <c r="F154" s="278"/>
      <c r="G154" s="278"/>
      <c r="H154" s="262">
        <v>8.9979999999999993</v>
      </c>
      <c r="I154" s="262">
        <v>9.31</v>
      </c>
      <c r="J154" s="262">
        <v>8.6940000000000008</v>
      </c>
      <c r="K154" s="128">
        <v>8.0587999999999997</v>
      </c>
      <c r="L154" s="262"/>
      <c r="M154" s="262"/>
      <c r="N154" s="262">
        <f t="shared" si="20"/>
        <v>8.9979999999999993</v>
      </c>
      <c r="O154" s="262">
        <f t="shared" si="21"/>
        <v>9.31</v>
      </c>
      <c r="P154" s="262">
        <f t="shared" si="22"/>
        <v>8.6940000000000008</v>
      </c>
      <c r="Q154" s="262">
        <v>9.2631999999999994</v>
      </c>
      <c r="R154" s="128">
        <v>8.4139999999999997</v>
      </c>
      <c r="S154" s="128">
        <v>5.2359999999999998</v>
      </c>
      <c r="T154" s="128"/>
      <c r="U154" s="262">
        <v>6.6260000000000003</v>
      </c>
      <c r="V154" s="279"/>
      <c r="W154" s="262">
        <v>1.1870000000000001</v>
      </c>
      <c r="X154" s="128">
        <v>1.17</v>
      </c>
      <c r="Y154" s="128"/>
      <c r="Z154" s="279"/>
      <c r="AA154" s="262">
        <v>6.6909999999999998</v>
      </c>
      <c r="AB154" s="262">
        <v>6.8422000000000001</v>
      </c>
      <c r="AC154" s="262">
        <v>6.5213000000000001</v>
      </c>
      <c r="AD154" s="278"/>
      <c r="AE154" s="278"/>
      <c r="AF154" s="262">
        <f t="shared" si="26"/>
        <v>6.6909999999999998</v>
      </c>
      <c r="AG154" s="128">
        <v>0.88129999999999997</v>
      </c>
      <c r="AH154" s="128"/>
      <c r="AI154" s="128"/>
      <c r="AJ154" s="128"/>
      <c r="AK154" s="128"/>
      <c r="AL154" s="128"/>
      <c r="AM154" s="244"/>
      <c r="AN154" s="262">
        <v>6.6957000000000004</v>
      </c>
      <c r="AO154" s="262">
        <v>6.6260000000000003</v>
      </c>
      <c r="AP154" s="262"/>
      <c r="AQ154" s="262"/>
      <c r="AR154" s="262"/>
      <c r="AS154" s="262"/>
      <c r="AT154" s="262"/>
      <c r="AU154" s="262"/>
      <c r="AV154" s="245">
        <v>0.6</v>
      </c>
      <c r="AW154" s="245"/>
      <c r="AX154" s="245"/>
      <c r="AY154" s="245">
        <v>0.4</v>
      </c>
      <c r="AZ154" s="245">
        <v>0</v>
      </c>
      <c r="BA154" s="245">
        <v>0</v>
      </c>
      <c r="BB154" s="245"/>
      <c r="BC154" s="245">
        <f t="shared" si="23"/>
        <v>1</v>
      </c>
      <c r="BD154" s="240">
        <f t="shared" si="24"/>
        <v>3.2717000000000001</v>
      </c>
      <c r="BE154" s="243">
        <f t="shared" si="27"/>
        <v>3.2717000000000001</v>
      </c>
      <c r="BF154" s="332"/>
      <c r="BG154" s="330"/>
      <c r="BH154" s="331"/>
      <c r="BI154" s="331"/>
      <c r="BJ154" s="330"/>
      <c r="BK154" s="330"/>
      <c r="BL154" s="330"/>
      <c r="BM154" s="330"/>
      <c r="BN154" s="330"/>
      <c r="BO154" s="330"/>
      <c r="BP154" s="330"/>
      <c r="BQ154" s="330"/>
      <c r="CB154" s="243">
        <f t="shared" si="18"/>
        <v>0.64340301100034303</v>
      </c>
      <c r="CC154" s="243"/>
      <c r="CD154" s="243">
        <f t="shared" si="19"/>
        <v>0.64340301100034303</v>
      </c>
      <c r="CG154" s="734">
        <f t="shared" si="25"/>
        <v>4.6615000000000002</v>
      </c>
      <c r="CJ154" s="1264">
        <f t="shared" si="28"/>
        <v>0.79741404289037643</v>
      </c>
    </row>
    <row r="155" spans="1:88" x14ac:dyDescent="0.2">
      <c r="A155" s="19">
        <v>32233</v>
      </c>
      <c r="B155" s="262">
        <v>-3.0891999999999999</v>
      </c>
      <c r="C155" s="262">
        <v>-3.9100999999999999</v>
      </c>
      <c r="D155" s="262">
        <v>-2.11</v>
      </c>
      <c r="E155" s="262">
        <v>1.6249</v>
      </c>
      <c r="F155" s="278"/>
      <c r="G155" s="278"/>
      <c r="H155" s="262">
        <v>4.6929999999999996</v>
      </c>
      <c r="I155" s="262">
        <v>5.3559999999999999</v>
      </c>
      <c r="J155" s="262">
        <v>4.05</v>
      </c>
      <c r="K155" s="128">
        <v>3.4811000000000001</v>
      </c>
      <c r="L155" s="262"/>
      <c r="M155" s="262"/>
      <c r="N155" s="262">
        <f t="shared" si="20"/>
        <v>4.6929999999999996</v>
      </c>
      <c r="O155" s="262">
        <f t="shared" si="21"/>
        <v>5.3559999999999999</v>
      </c>
      <c r="P155" s="262">
        <f t="shared" si="22"/>
        <v>4.05</v>
      </c>
      <c r="Q155" s="262">
        <v>3.2290999999999999</v>
      </c>
      <c r="R155" s="128">
        <v>2.5179999999999998</v>
      </c>
      <c r="S155" s="128">
        <v>-2.0470000000000002</v>
      </c>
      <c r="T155" s="128"/>
      <c r="U155" s="262">
        <v>6.25</v>
      </c>
      <c r="V155" s="279"/>
      <c r="W155" s="262">
        <v>-0.93799999999999994</v>
      </c>
      <c r="X155" s="128">
        <v>-0.51</v>
      </c>
      <c r="Y155" s="128"/>
      <c r="Z155" s="279"/>
      <c r="AA155" s="262">
        <v>6.1680000000000001</v>
      </c>
      <c r="AB155" s="262">
        <v>5.2903000000000002</v>
      </c>
      <c r="AC155" s="262">
        <v>6.99</v>
      </c>
      <c r="AD155" s="278"/>
      <c r="AE155" s="278"/>
      <c r="AF155" s="262">
        <f t="shared" si="26"/>
        <v>6.1680000000000001</v>
      </c>
      <c r="AG155" s="128">
        <v>0.88129999999999997</v>
      </c>
      <c r="AH155" s="128"/>
      <c r="AI155" s="128"/>
      <c r="AJ155" s="128"/>
      <c r="AK155" s="128"/>
      <c r="AL155" s="128"/>
      <c r="AM155" s="244"/>
      <c r="AN155" s="262">
        <v>6.1756000000000002</v>
      </c>
      <c r="AO155" s="262">
        <v>6.25</v>
      </c>
      <c r="AP155" s="262"/>
      <c r="AQ155" s="262"/>
      <c r="AR155" s="262"/>
      <c r="AS155" s="262"/>
      <c r="AT155" s="262"/>
      <c r="AU155" s="262"/>
      <c r="AV155" s="245">
        <v>0.6</v>
      </c>
      <c r="AW155" s="245"/>
      <c r="AX155" s="245"/>
      <c r="AY155" s="245">
        <v>0.4</v>
      </c>
      <c r="AZ155" s="245">
        <v>0</v>
      </c>
      <c r="BA155" s="245">
        <v>0</v>
      </c>
      <c r="BB155" s="245"/>
      <c r="BC155" s="245">
        <f t="shared" si="23"/>
        <v>1</v>
      </c>
      <c r="BD155" s="240">
        <f t="shared" si="24"/>
        <v>-2.22872</v>
      </c>
      <c r="BE155" s="243">
        <f t="shared" si="27"/>
        <v>-2.22872</v>
      </c>
      <c r="BF155" s="332"/>
      <c r="BG155" s="330"/>
      <c r="BH155" s="331"/>
      <c r="BI155" s="331"/>
      <c r="BJ155" s="330"/>
      <c r="BK155" s="330"/>
      <c r="BL155" s="330"/>
      <c r="BM155" s="330"/>
      <c r="BN155" s="330"/>
      <c r="BO155" s="330"/>
      <c r="BP155" s="330"/>
      <c r="BQ155" s="330"/>
      <c r="CB155" s="243">
        <f t="shared" si="18"/>
        <v>0.64340301100034303</v>
      </c>
      <c r="CC155" s="243"/>
      <c r="CD155" s="243">
        <f t="shared" si="19"/>
        <v>0.64340301100034303</v>
      </c>
      <c r="CG155" s="734">
        <f t="shared" si="25"/>
        <v>-3.0891999999999999</v>
      </c>
      <c r="CJ155" s="1264">
        <f t="shared" si="28"/>
        <v>0.79741404289037643</v>
      </c>
    </row>
    <row r="156" spans="1:88" x14ac:dyDescent="0.2">
      <c r="A156" s="19">
        <v>32263</v>
      </c>
      <c r="B156" s="262">
        <v>1.1059000000000001</v>
      </c>
      <c r="C156" s="262">
        <v>0.81020000000000003</v>
      </c>
      <c r="D156" s="262">
        <v>1.25</v>
      </c>
      <c r="E156" s="262">
        <v>0.50470000000000004</v>
      </c>
      <c r="F156" s="278"/>
      <c r="G156" s="278"/>
      <c r="H156" s="262">
        <v>2.266</v>
      </c>
      <c r="I156" s="262">
        <v>2.415</v>
      </c>
      <c r="J156" s="262">
        <v>2.121</v>
      </c>
      <c r="K156" s="128">
        <v>1.3290999999999999</v>
      </c>
      <c r="L156" s="262"/>
      <c r="M156" s="262"/>
      <c r="N156" s="262">
        <f t="shared" si="20"/>
        <v>2.266</v>
      </c>
      <c r="O156" s="262">
        <f t="shared" si="21"/>
        <v>2.415</v>
      </c>
      <c r="P156" s="262">
        <f t="shared" si="22"/>
        <v>2.121</v>
      </c>
      <c r="Q156" s="262">
        <v>1.0183</v>
      </c>
      <c r="R156" s="128">
        <v>1.1379999999999999</v>
      </c>
      <c r="S156" s="128">
        <v>0.94899999999999995</v>
      </c>
      <c r="T156" s="128"/>
      <c r="U156" s="262">
        <v>1.46</v>
      </c>
      <c r="V156" s="279"/>
      <c r="W156" s="262">
        <v>-0.54</v>
      </c>
      <c r="X156" s="128">
        <v>-0.26</v>
      </c>
      <c r="Y156" s="128"/>
      <c r="Z156" s="279"/>
      <c r="AA156" s="262">
        <v>1.4710000000000001</v>
      </c>
      <c r="AB156" s="262">
        <v>3.2199999999999999E-2</v>
      </c>
      <c r="AC156" s="262">
        <v>2.8043999999999998</v>
      </c>
      <c r="AD156" s="278"/>
      <c r="AE156" s="278"/>
      <c r="AF156" s="262">
        <f t="shared" si="26"/>
        <v>1.4710000000000001</v>
      </c>
      <c r="AG156" s="128">
        <v>0.6109</v>
      </c>
      <c r="AH156" s="128"/>
      <c r="AI156" s="128"/>
      <c r="AJ156" s="128"/>
      <c r="AK156" s="128"/>
      <c r="AL156" s="128"/>
      <c r="AM156" s="244"/>
      <c r="AN156" s="262">
        <v>1.4673</v>
      </c>
      <c r="AO156" s="262">
        <v>1.46</v>
      </c>
      <c r="AP156" s="262"/>
      <c r="AQ156" s="262"/>
      <c r="AR156" s="262"/>
      <c r="AS156" s="262"/>
      <c r="AT156" s="262"/>
      <c r="AU156" s="262"/>
      <c r="AV156" s="245">
        <v>0.6</v>
      </c>
      <c r="AW156" s="245"/>
      <c r="AX156" s="245"/>
      <c r="AY156" s="245">
        <v>0.4</v>
      </c>
      <c r="AZ156" s="245">
        <v>0</v>
      </c>
      <c r="BA156" s="245">
        <v>0</v>
      </c>
      <c r="BB156" s="245"/>
      <c r="BC156" s="245">
        <f t="shared" si="23"/>
        <v>1</v>
      </c>
      <c r="BD156" s="240">
        <f t="shared" si="24"/>
        <v>0.44753999999999999</v>
      </c>
      <c r="BE156" s="243">
        <f t="shared" si="27"/>
        <v>0.44753999999999999</v>
      </c>
      <c r="BF156" s="332"/>
      <c r="BG156" s="330"/>
      <c r="BH156" s="331"/>
      <c r="BI156" s="331"/>
      <c r="BJ156" s="330"/>
      <c r="BK156" s="330"/>
      <c r="BL156" s="330"/>
      <c r="BM156" s="330"/>
      <c r="BN156" s="330"/>
      <c r="BO156" s="330"/>
      <c r="BP156" s="330"/>
      <c r="BQ156" s="330"/>
      <c r="CB156" s="243">
        <f t="shared" si="18"/>
        <v>0.64340301100034303</v>
      </c>
      <c r="CC156" s="243"/>
      <c r="CD156" s="243">
        <f t="shared" si="19"/>
        <v>0.64340301100034303</v>
      </c>
      <c r="CG156" s="734">
        <f t="shared" si="25"/>
        <v>1.1059000000000001</v>
      </c>
      <c r="CJ156" s="1264">
        <f t="shared" si="28"/>
        <v>0.79741404289037643</v>
      </c>
    </row>
    <row r="157" spans="1:88" x14ac:dyDescent="0.2">
      <c r="A157" s="19">
        <v>32294</v>
      </c>
      <c r="B157" s="262">
        <v>0.86499999999999999</v>
      </c>
      <c r="C157" s="262">
        <v>0.30020000000000002</v>
      </c>
      <c r="D157" s="262">
        <v>1.23</v>
      </c>
      <c r="E157" s="262">
        <v>-2.0888</v>
      </c>
      <c r="F157" s="278"/>
      <c r="G157" s="278"/>
      <c r="H157" s="262">
        <v>-2.714</v>
      </c>
      <c r="I157" s="262">
        <v>-3.2959999999999998</v>
      </c>
      <c r="J157" s="262">
        <v>-2.145</v>
      </c>
      <c r="K157" s="128">
        <v>-2.2650000000000001</v>
      </c>
      <c r="L157" s="262"/>
      <c r="M157" s="262"/>
      <c r="N157" s="262">
        <f t="shared" si="20"/>
        <v>-2.714</v>
      </c>
      <c r="O157" s="262">
        <f t="shared" si="21"/>
        <v>-3.2959999999999998</v>
      </c>
      <c r="P157" s="262">
        <f t="shared" si="22"/>
        <v>-2.145</v>
      </c>
      <c r="Q157" s="262">
        <v>-2.5444</v>
      </c>
      <c r="R157" s="128">
        <v>-1.4239999999999999</v>
      </c>
      <c r="S157" s="128">
        <v>0.31</v>
      </c>
      <c r="T157" s="128"/>
      <c r="U157" s="262">
        <v>-3.1579999999999999</v>
      </c>
      <c r="V157" s="279"/>
      <c r="W157" s="262">
        <v>-0.67200000000000004</v>
      </c>
      <c r="X157" s="128">
        <v>-0.53</v>
      </c>
      <c r="Y157" s="128"/>
      <c r="Z157" s="279"/>
      <c r="AA157" s="262">
        <v>-3.1829999999999998</v>
      </c>
      <c r="AB157" s="262">
        <v>-4.0197000000000003</v>
      </c>
      <c r="AC157" s="262">
        <v>-2.3967999999999998</v>
      </c>
      <c r="AD157" s="278"/>
      <c r="AE157" s="278"/>
      <c r="AF157" s="262">
        <f t="shared" si="26"/>
        <v>-3.1829999999999998</v>
      </c>
      <c r="AG157" s="128">
        <v>0.6109</v>
      </c>
      <c r="AH157" s="128"/>
      <c r="AI157" s="128"/>
      <c r="AJ157" s="128"/>
      <c r="AK157" s="128"/>
      <c r="AL157" s="128"/>
      <c r="AM157" s="244"/>
      <c r="AN157" s="262">
        <v>-3.1755</v>
      </c>
      <c r="AO157" s="262">
        <v>-3.1579999999999999</v>
      </c>
      <c r="AP157" s="262"/>
      <c r="AQ157" s="262"/>
      <c r="AR157" s="262"/>
      <c r="AS157" s="262"/>
      <c r="AT157" s="262"/>
      <c r="AU157" s="262"/>
      <c r="AV157" s="245">
        <v>0.6</v>
      </c>
      <c r="AW157" s="245"/>
      <c r="AX157" s="245"/>
      <c r="AY157" s="245">
        <v>0.4</v>
      </c>
      <c r="AZ157" s="245">
        <v>0</v>
      </c>
      <c r="BA157" s="245">
        <v>0</v>
      </c>
      <c r="BB157" s="245"/>
      <c r="BC157" s="245">
        <f t="shared" si="23"/>
        <v>1</v>
      </c>
      <c r="BD157" s="240">
        <f t="shared" si="24"/>
        <v>0.25019999999999998</v>
      </c>
      <c r="BE157" s="243">
        <f t="shared" si="27"/>
        <v>0.25019999999999998</v>
      </c>
      <c r="BF157" s="332"/>
      <c r="BG157" s="330"/>
      <c r="BH157" s="331"/>
      <c r="BI157" s="331"/>
      <c r="BJ157" s="330"/>
      <c r="BK157" s="330"/>
      <c r="BL157" s="330"/>
      <c r="BM157" s="330"/>
      <c r="BN157" s="330"/>
      <c r="BO157" s="330"/>
      <c r="BP157" s="330"/>
      <c r="BQ157" s="330"/>
      <c r="CB157" s="243">
        <f t="shared" si="18"/>
        <v>0.64340301100034303</v>
      </c>
      <c r="CC157" s="243"/>
      <c r="CD157" s="243">
        <f t="shared" si="19"/>
        <v>0.64340301100034303</v>
      </c>
      <c r="CG157" s="734">
        <f t="shared" si="25"/>
        <v>0.86499999999999999</v>
      </c>
      <c r="CJ157" s="1264">
        <f t="shared" si="28"/>
        <v>0.79741404289037643</v>
      </c>
    </row>
    <row r="158" spans="1:88" x14ac:dyDescent="0.2">
      <c r="A158" s="19">
        <v>32324</v>
      </c>
      <c r="B158" s="262">
        <v>4.5890000000000004</v>
      </c>
      <c r="C158" s="262">
        <v>4.9398</v>
      </c>
      <c r="D158" s="262">
        <v>4.29</v>
      </c>
      <c r="E158" s="262">
        <v>7.2064000000000004</v>
      </c>
      <c r="F158" s="278"/>
      <c r="G158" s="278"/>
      <c r="H158" s="262">
        <v>7.1369999999999996</v>
      </c>
      <c r="I158" s="262">
        <v>7.3789999999999996</v>
      </c>
      <c r="J158" s="262">
        <v>6.9029999999999996</v>
      </c>
      <c r="K158" s="128">
        <v>6.7416999999999998</v>
      </c>
      <c r="L158" s="262"/>
      <c r="M158" s="262"/>
      <c r="N158" s="262">
        <f t="shared" si="20"/>
        <v>7.1369999999999996</v>
      </c>
      <c r="O158" s="262">
        <f t="shared" si="21"/>
        <v>7.3789999999999996</v>
      </c>
      <c r="P158" s="262">
        <f t="shared" si="22"/>
        <v>6.9029999999999996</v>
      </c>
      <c r="Q158" s="262">
        <v>7.3917999999999999</v>
      </c>
      <c r="R158" s="128">
        <v>7.11</v>
      </c>
      <c r="S158" s="128">
        <v>5.2969999999999997</v>
      </c>
      <c r="T158" s="128"/>
      <c r="U158" s="262">
        <v>-2.1930000000000001</v>
      </c>
      <c r="V158" s="279"/>
      <c r="W158" s="262">
        <v>2.4129999999999998</v>
      </c>
      <c r="X158" s="128">
        <v>2.02</v>
      </c>
      <c r="Y158" s="128"/>
      <c r="Z158" s="279"/>
      <c r="AA158" s="262">
        <v>-2.6150000000000002</v>
      </c>
      <c r="AB158" s="262">
        <v>-3.8559999999999999</v>
      </c>
      <c r="AC158" s="262">
        <v>-1.4856</v>
      </c>
      <c r="AD158" s="278"/>
      <c r="AE158" s="278"/>
      <c r="AF158" s="262">
        <f t="shared" si="26"/>
        <v>-2.6150000000000002</v>
      </c>
      <c r="AG158" s="128">
        <v>0.6109</v>
      </c>
      <c r="AH158" s="128"/>
      <c r="AI158" s="128"/>
      <c r="AJ158" s="128"/>
      <c r="AK158" s="128"/>
      <c r="AL158" s="128"/>
      <c r="AM158" s="244"/>
      <c r="AN158" s="262">
        <v>-2.6179999999999999</v>
      </c>
      <c r="AO158" s="262">
        <v>-2.1930000000000001</v>
      </c>
      <c r="AP158" s="262"/>
      <c r="AQ158" s="262"/>
      <c r="AR158" s="262"/>
      <c r="AS158" s="262"/>
      <c r="AT158" s="262"/>
      <c r="AU158" s="262"/>
      <c r="AV158" s="245">
        <v>0.6</v>
      </c>
      <c r="AW158" s="245"/>
      <c r="AX158" s="245"/>
      <c r="AY158" s="245">
        <v>0.4</v>
      </c>
      <c r="AZ158" s="245">
        <v>0</v>
      </c>
      <c r="BA158" s="245">
        <v>0</v>
      </c>
      <c r="BB158" s="245"/>
      <c r="BC158" s="245">
        <f t="shared" si="23"/>
        <v>1</v>
      </c>
      <c r="BD158" s="240">
        <f t="shared" si="24"/>
        <v>3.7185999999999999</v>
      </c>
      <c r="BE158" s="243">
        <f t="shared" si="27"/>
        <v>3.7185999999999999</v>
      </c>
      <c r="BF158" s="332"/>
      <c r="BG158" s="330"/>
      <c r="BH158" s="331"/>
      <c r="BI158" s="331"/>
      <c r="BJ158" s="330"/>
      <c r="BK158" s="330"/>
      <c r="BL158" s="330"/>
      <c r="BM158" s="330"/>
      <c r="BN158" s="330"/>
      <c r="BO158" s="330"/>
      <c r="BP158" s="330"/>
      <c r="BQ158" s="330"/>
      <c r="CB158" s="243">
        <f t="shared" si="18"/>
        <v>0.64340301100034303</v>
      </c>
      <c r="CC158" s="243"/>
      <c r="CD158" s="243">
        <f t="shared" si="19"/>
        <v>0.64340301100034303</v>
      </c>
      <c r="CG158" s="734">
        <f t="shared" si="25"/>
        <v>4.5890000000000004</v>
      </c>
      <c r="CJ158" s="1264">
        <f t="shared" si="28"/>
        <v>0.79741404289037643</v>
      </c>
    </row>
    <row r="159" spans="1:88" x14ac:dyDescent="0.2">
      <c r="A159" s="19">
        <v>32355</v>
      </c>
      <c r="B159" s="262">
        <v>-0.37930000000000003</v>
      </c>
      <c r="C159" s="262">
        <v>-0.64990000000000003</v>
      </c>
      <c r="D159" s="262">
        <v>-0.12</v>
      </c>
      <c r="E159" s="262">
        <v>-2.6871</v>
      </c>
      <c r="F159" s="278"/>
      <c r="G159" s="278"/>
      <c r="H159" s="262">
        <v>-0.95799999999999996</v>
      </c>
      <c r="I159" s="262">
        <v>-1.861</v>
      </c>
      <c r="J159" s="262">
        <v>-5.7000000000000002E-2</v>
      </c>
      <c r="K159" s="128">
        <v>-1.4730000000000001</v>
      </c>
      <c r="L159" s="262"/>
      <c r="M159" s="262"/>
      <c r="N159" s="262">
        <f t="shared" si="20"/>
        <v>-0.95799999999999996</v>
      </c>
      <c r="O159" s="262">
        <f t="shared" si="21"/>
        <v>-1.861</v>
      </c>
      <c r="P159" s="262">
        <f t="shared" si="22"/>
        <v>-5.7000000000000002E-2</v>
      </c>
      <c r="Q159" s="262">
        <v>-2.5815000000000001</v>
      </c>
      <c r="R159" s="128">
        <v>-1.5149999999999999</v>
      </c>
      <c r="S159" s="128">
        <v>-0.80700000000000005</v>
      </c>
      <c r="T159" s="128"/>
      <c r="U159" s="262">
        <v>2.9129999999999998</v>
      </c>
      <c r="V159" s="279"/>
      <c r="W159" s="262">
        <v>-0.52400000000000002</v>
      </c>
      <c r="X159" s="128">
        <v>-0.25</v>
      </c>
      <c r="Y159" s="128"/>
      <c r="Z159" s="279"/>
      <c r="AA159" s="262">
        <v>3.1579999999999999</v>
      </c>
      <c r="AB159" s="262">
        <v>1.3852</v>
      </c>
      <c r="AC159" s="262">
        <v>4.6943000000000001</v>
      </c>
      <c r="AD159" s="278"/>
      <c r="AE159" s="278"/>
      <c r="AF159" s="262">
        <f t="shared" si="26"/>
        <v>3.1579999999999999</v>
      </c>
      <c r="AG159" s="128">
        <v>0.66100000000000003</v>
      </c>
      <c r="AH159" s="128"/>
      <c r="AI159" s="128"/>
      <c r="AJ159" s="128"/>
      <c r="AK159" s="128"/>
      <c r="AL159" s="128"/>
      <c r="AM159" s="244"/>
      <c r="AN159" s="262">
        <v>3.1606999999999998</v>
      </c>
      <c r="AO159" s="262">
        <v>2.9129999999999998</v>
      </c>
      <c r="AP159" s="262"/>
      <c r="AQ159" s="262"/>
      <c r="AR159" s="262"/>
      <c r="AS159" s="262"/>
      <c r="AT159" s="262"/>
      <c r="AU159" s="262"/>
      <c r="AV159" s="245">
        <v>0.6</v>
      </c>
      <c r="AW159" s="245"/>
      <c r="AX159" s="245"/>
      <c r="AY159" s="245">
        <v>0.4</v>
      </c>
      <c r="AZ159" s="245">
        <v>0</v>
      </c>
      <c r="BA159" s="245">
        <v>0</v>
      </c>
      <c r="BB159" s="245"/>
      <c r="BC159" s="245">
        <f t="shared" si="23"/>
        <v>1</v>
      </c>
      <c r="BD159" s="240">
        <f t="shared" si="24"/>
        <v>-0.43718000000000001</v>
      </c>
      <c r="BE159" s="243">
        <f t="shared" si="27"/>
        <v>-0.43718000000000001</v>
      </c>
      <c r="BF159" s="332"/>
      <c r="BG159" s="330"/>
      <c r="BH159" s="331"/>
      <c r="BI159" s="331"/>
      <c r="BJ159" s="330"/>
      <c r="BK159" s="330"/>
      <c r="BL159" s="330"/>
      <c r="BM159" s="330"/>
      <c r="BN159" s="330"/>
      <c r="BO159" s="330"/>
      <c r="BP159" s="330"/>
      <c r="BQ159" s="330"/>
      <c r="CB159" s="243">
        <f t="shared" si="18"/>
        <v>0.64340301100034303</v>
      </c>
      <c r="CC159" s="243"/>
      <c r="CD159" s="243">
        <f t="shared" si="19"/>
        <v>0.64340301100034303</v>
      </c>
      <c r="CG159" s="734">
        <f t="shared" si="25"/>
        <v>-0.37930000000000003</v>
      </c>
      <c r="CJ159" s="1264">
        <f t="shared" si="28"/>
        <v>0.79741404289037643</v>
      </c>
    </row>
    <row r="160" spans="1:88" x14ac:dyDescent="0.2">
      <c r="A160" s="19">
        <v>32386</v>
      </c>
      <c r="B160" s="262">
        <v>-3.3948999999999998</v>
      </c>
      <c r="C160" s="262">
        <v>-3.7702</v>
      </c>
      <c r="D160" s="262">
        <v>-2.75</v>
      </c>
      <c r="E160" s="262">
        <v>-2.3210000000000002</v>
      </c>
      <c r="F160" s="278"/>
      <c r="G160" s="278"/>
      <c r="H160" s="262">
        <v>-2.5590000000000002</v>
      </c>
      <c r="I160" s="262">
        <v>-3.6360000000000001</v>
      </c>
      <c r="J160" s="262">
        <v>-1.514</v>
      </c>
      <c r="K160" s="128">
        <v>-3.4660000000000002</v>
      </c>
      <c r="L160" s="262"/>
      <c r="M160" s="262"/>
      <c r="N160" s="262">
        <f t="shared" si="20"/>
        <v>-2.5590000000000002</v>
      </c>
      <c r="O160" s="262">
        <f t="shared" si="21"/>
        <v>-3.6360000000000001</v>
      </c>
      <c r="P160" s="262">
        <f t="shared" si="22"/>
        <v>-1.514</v>
      </c>
      <c r="Q160" s="262">
        <v>-3.6610999999999998</v>
      </c>
      <c r="R160" s="128">
        <v>-2.3029999999999999</v>
      </c>
      <c r="S160" s="128">
        <v>-2.7770000000000001</v>
      </c>
      <c r="T160" s="128"/>
      <c r="U160" s="262">
        <v>-6.43</v>
      </c>
      <c r="V160" s="279"/>
      <c r="W160" s="262">
        <v>0.26200000000000001</v>
      </c>
      <c r="X160" s="128">
        <v>0.17</v>
      </c>
      <c r="Y160" s="128"/>
      <c r="Z160" s="279"/>
      <c r="AA160" s="262">
        <v>-6.4829999999999997</v>
      </c>
      <c r="AB160" s="262">
        <v>-5.2736000000000001</v>
      </c>
      <c r="AC160" s="262">
        <v>-7.4207999999999998</v>
      </c>
      <c r="AD160" s="278"/>
      <c r="AE160" s="278"/>
      <c r="AF160" s="262">
        <f t="shared" si="26"/>
        <v>-6.4829999999999997</v>
      </c>
      <c r="AG160" s="128">
        <v>0.66100000000000003</v>
      </c>
      <c r="AH160" s="128"/>
      <c r="AI160" s="128"/>
      <c r="AJ160" s="128"/>
      <c r="AK160" s="128"/>
      <c r="AL160" s="128"/>
      <c r="AM160" s="244"/>
      <c r="AN160" s="262">
        <v>-6.4813000000000001</v>
      </c>
      <c r="AO160" s="262">
        <v>-6.43</v>
      </c>
      <c r="AP160" s="262"/>
      <c r="AQ160" s="262"/>
      <c r="AR160" s="262"/>
      <c r="AS160" s="262"/>
      <c r="AT160" s="262"/>
      <c r="AU160" s="262"/>
      <c r="AV160" s="245">
        <v>0.6</v>
      </c>
      <c r="AW160" s="245"/>
      <c r="AX160" s="245"/>
      <c r="AY160" s="245">
        <v>0.4</v>
      </c>
      <c r="AZ160" s="245">
        <v>0</v>
      </c>
      <c r="BA160" s="245">
        <v>0</v>
      </c>
      <c r="BB160" s="245"/>
      <c r="BC160" s="245">
        <f t="shared" si="23"/>
        <v>1</v>
      </c>
      <c r="BD160" s="240">
        <f t="shared" si="24"/>
        <v>-1.93214</v>
      </c>
      <c r="BE160" s="243">
        <f t="shared" si="27"/>
        <v>-1.93214</v>
      </c>
      <c r="BF160" s="332"/>
      <c r="BG160" s="330"/>
      <c r="BH160" s="331"/>
      <c r="BI160" s="331"/>
      <c r="BJ160" s="330"/>
      <c r="BK160" s="330"/>
      <c r="BL160" s="330"/>
      <c r="BM160" s="330"/>
      <c r="BN160" s="330"/>
      <c r="BO160" s="330"/>
      <c r="BP160" s="330"/>
      <c r="BQ160" s="330"/>
      <c r="CB160" s="243">
        <f t="shared" si="18"/>
        <v>0.64340301100034303</v>
      </c>
      <c r="CC160" s="243"/>
      <c r="CD160" s="243">
        <f t="shared" si="19"/>
        <v>0.64340301100034303</v>
      </c>
      <c r="CG160" s="734">
        <f t="shared" si="25"/>
        <v>-3.3948999999999998</v>
      </c>
      <c r="CJ160" s="1264">
        <f t="shared" si="28"/>
        <v>0.79741404289037643</v>
      </c>
    </row>
    <row r="161" spans="1:88" x14ac:dyDescent="0.2">
      <c r="A161" s="19">
        <v>32416</v>
      </c>
      <c r="B161" s="262">
        <v>4.2606000000000002</v>
      </c>
      <c r="C161" s="262">
        <v>4.5399000000000003</v>
      </c>
      <c r="D161" s="262">
        <v>3.87</v>
      </c>
      <c r="E161" s="262">
        <v>3.8246000000000002</v>
      </c>
      <c r="F161" s="278"/>
      <c r="G161" s="278"/>
      <c r="H161" s="262">
        <v>2.6429999999999998</v>
      </c>
      <c r="I161" s="262">
        <v>2.8319999999999999</v>
      </c>
      <c r="J161" s="262">
        <v>2.4609999999999999</v>
      </c>
      <c r="K161" s="128">
        <v>2.3159000000000001</v>
      </c>
      <c r="L161" s="262"/>
      <c r="M161" s="262"/>
      <c r="N161" s="262">
        <f t="shared" si="20"/>
        <v>2.6429999999999998</v>
      </c>
      <c r="O161" s="262">
        <f t="shared" si="21"/>
        <v>2.8319999999999999</v>
      </c>
      <c r="P161" s="262">
        <f t="shared" si="22"/>
        <v>2.4609999999999999</v>
      </c>
      <c r="Q161" s="262">
        <v>3.4517000000000002</v>
      </c>
      <c r="R161" s="128">
        <v>3.077</v>
      </c>
      <c r="S161" s="128">
        <v>4.016</v>
      </c>
      <c r="T161" s="128"/>
      <c r="U161" s="262">
        <v>4.3490000000000002</v>
      </c>
      <c r="V161" s="279"/>
      <c r="W161" s="262">
        <v>2.2639999999999998</v>
      </c>
      <c r="X161" s="128">
        <v>1.99</v>
      </c>
      <c r="Y161" s="128"/>
      <c r="Z161" s="279"/>
      <c r="AA161" s="262">
        <v>4.3890000000000002</v>
      </c>
      <c r="AB161" s="262">
        <v>5.1117999999999997</v>
      </c>
      <c r="AC161" s="262">
        <v>3.6808999999999998</v>
      </c>
      <c r="AD161" s="278"/>
      <c r="AE161" s="278"/>
      <c r="AF161" s="262">
        <f t="shared" si="26"/>
        <v>4.3890000000000002</v>
      </c>
      <c r="AG161" s="128">
        <v>0.66100000000000003</v>
      </c>
      <c r="AH161" s="128"/>
      <c r="AI161" s="128"/>
      <c r="AJ161" s="128"/>
      <c r="AK161" s="128"/>
      <c r="AL161" s="128"/>
      <c r="AM161" s="244"/>
      <c r="AN161" s="262">
        <v>4.3868999999999998</v>
      </c>
      <c r="AO161" s="262">
        <v>4.3490000000000002</v>
      </c>
      <c r="AP161" s="262"/>
      <c r="AQ161" s="262"/>
      <c r="AR161" s="262"/>
      <c r="AS161" s="262"/>
      <c r="AT161" s="262"/>
      <c r="AU161" s="262"/>
      <c r="AV161" s="245">
        <v>0.6</v>
      </c>
      <c r="AW161" s="245"/>
      <c r="AX161" s="245"/>
      <c r="AY161" s="245">
        <v>0.4</v>
      </c>
      <c r="AZ161" s="245">
        <v>0</v>
      </c>
      <c r="BA161" s="245">
        <v>0</v>
      </c>
      <c r="BB161" s="245"/>
      <c r="BC161" s="245">
        <f t="shared" si="23"/>
        <v>1</v>
      </c>
      <c r="BD161" s="240">
        <f t="shared" si="24"/>
        <v>3.4619600000000004</v>
      </c>
      <c r="BE161" s="243">
        <f t="shared" si="27"/>
        <v>3.4619600000000004</v>
      </c>
      <c r="BF161" s="332"/>
      <c r="BG161" s="330"/>
      <c r="BH161" s="331"/>
      <c r="BI161" s="331"/>
      <c r="BJ161" s="330"/>
      <c r="BK161" s="330"/>
      <c r="BL161" s="330"/>
      <c r="BM161" s="330"/>
      <c r="BN161" s="330"/>
      <c r="BO161" s="330"/>
      <c r="BP161" s="330"/>
      <c r="BQ161" s="330"/>
      <c r="CB161" s="243">
        <f t="shared" si="18"/>
        <v>0.64340301100034303</v>
      </c>
      <c r="CC161" s="243"/>
      <c r="CD161" s="243">
        <f t="shared" si="19"/>
        <v>0.64340301100034303</v>
      </c>
      <c r="CG161" s="734">
        <f t="shared" si="25"/>
        <v>4.2606000000000002</v>
      </c>
      <c r="CJ161" s="1264">
        <f t="shared" si="28"/>
        <v>0.79741404289037643</v>
      </c>
    </row>
    <row r="162" spans="1:88" x14ac:dyDescent="0.2">
      <c r="A162" s="19">
        <v>32447</v>
      </c>
      <c r="B162" s="262">
        <v>2.7844000000000002</v>
      </c>
      <c r="C162" s="262">
        <v>2.3502999999999998</v>
      </c>
      <c r="D162" s="262">
        <v>3.16</v>
      </c>
      <c r="E162" s="262">
        <v>0.68910000000000005</v>
      </c>
      <c r="F162" s="278"/>
      <c r="G162" s="278"/>
      <c r="H162" s="262">
        <v>-1.111</v>
      </c>
      <c r="I162" s="262">
        <v>-1.663</v>
      </c>
      <c r="J162" s="262">
        <v>-0.57899999999999996</v>
      </c>
      <c r="K162" s="128">
        <v>-0.16919999999999999</v>
      </c>
      <c r="L162" s="262"/>
      <c r="M162" s="262"/>
      <c r="N162" s="262">
        <f t="shared" si="20"/>
        <v>-1.111</v>
      </c>
      <c r="O162" s="262">
        <f t="shared" si="21"/>
        <v>-1.663</v>
      </c>
      <c r="P162" s="262">
        <f t="shared" si="22"/>
        <v>-0.57899999999999996</v>
      </c>
      <c r="Q162" s="262">
        <v>-1.1626000000000001</v>
      </c>
      <c r="R162" s="128">
        <v>-0.46899999999999997</v>
      </c>
      <c r="S162" s="128">
        <v>1.8460000000000001</v>
      </c>
      <c r="T162" s="128"/>
      <c r="U162" s="262">
        <v>8.2219999999999995</v>
      </c>
      <c r="V162" s="279"/>
      <c r="W162" s="262">
        <v>1.883</v>
      </c>
      <c r="X162" s="128">
        <v>1.64</v>
      </c>
      <c r="Y162" s="128"/>
      <c r="Z162" s="279"/>
      <c r="AA162" s="262">
        <v>8.58</v>
      </c>
      <c r="AB162" s="262">
        <v>9.7114999999999991</v>
      </c>
      <c r="AC162" s="262">
        <v>7.5114000000000001</v>
      </c>
      <c r="AD162" s="278"/>
      <c r="AE162" s="278"/>
      <c r="AF162" s="262">
        <f t="shared" si="26"/>
        <v>8.58</v>
      </c>
      <c r="AG162" s="128">
        <v>0.79169999999999996</v>
      </c>
      <c r="AH162" s="128"/>
      <c r="AI162" s="128"/>
      <c r="AJ162" s="128"/>
      <c r="AK162" s="128"/>
      <c r="AL162" s="128"/>
      <c r="AM162" s="244"/>
      <c r="AN162" s="262">
        <v>8.58</v>
      </c>
      <c r="AO162" s="262">
        <v>8.2219999999999995</v>
      </c>
      <c r="AP162" s="262"/>
      <c r="AQ162" s="262"/>
      <c r="AR162" s="262"/>
      <c r="AS162" s="262"/>
      <c r="AT162" s="262"/>
      <c r="AU162" s="262"/>
      <c r="AV162" s="245">
        <v>0.6</v>
      </c>
      <c r="AW162" s="245"/>
      <c r="AX162" s="245"/>
      <c r="AY162" s="245">
        <v>0.4</v>
      </c>
      <c r="AZ162" s="245">
        <v>0</v>
      </c>
      <c r="BA162" s="245">
        <v>0</v>
      </c>
      <c r="BB162" s="245"/>
      <c r="BC162" s="245">
        <f t="shared" si="23"/>
        <v>1</v>
      </c>
      <c r="BD162" s="240">
        <f t="shared" si="24"/>
        <v>2.4238400000000002</v>
      </c>
      <c r="BE162" s="243">
        <f t="shared" si="27"/>
        <v>2.4238400000000002</v>
      </c>
      <c r="BF162" s="332"/>
      <c r="BG162" s="330"/>
      <c r="BH162" s="331"/>
      <c r="BI162" s="331"/>
      <c r="BJ162" s="330"/>
      <c r="BK162" s="330"/>
      <c r="BL162" s="330"/>
      <c r="BM162" s="330"/>
      <c r="BN162" s="330"/>
      <c r="BO162" s="330"/>
      <c r="BP162" s="330"/>
      <c r="BQ162" s="330"/>
      <c r="CB162" s="243">
        <f t="shared" si="18"/>
        <v>0.64340301100034303</v>
      </c>
      <c r="CC162" s="243"/>
      <c r="CD162" s="243">
        <f t="shared" si="19"/>
        <v>0.64340301100034303</v>
      </c>
      <c r="CG162" s="734">
        <f t="shared" si="25"/>
        <v>2.7844000000000002</v>
      </c>
      <c r="CJ162" s="1264">
        <f t="shared" si="28"/>
        <v>0.79741404289037643</v>
      </c>
    </row>
    <row r="163" spans="1:88" x14ac:dyDescent="0.2">
      <c r="A163" s="19">
        <v>32477</v>
      </c>
      <c r="B163" s="262">
        <v>-1.4251</v>
      </c>
      <c r="C163" s="262">
        <v>-1.8504</v>
      </c>
      <c r="D163" s="262">
        <v>-0.95</v>
      </c>
      <c r="E163" s="262">
        <v>-1.9482999999999999</v>
      </c>
      <c r="F163" s="278"/>
      <c r="G163" s="278"/>
      <c r="H163" s="262">
        <v>-3.331</v>
      </c>
      <c r="I163" s="262">
        <v>-3.895</v>
      </c>
      <c r="J163" s="262">
        <v>-2.7930000000000001</v>
      </c>
      <c r="K163" s="128">
        <v>-3.1867999999999999</v>
      </c>
      <c r="L163" s="262"/>
      <c r="M163" s="262"/>
      <c r="N163" s="262">
        <f t="shared" si="20"/>
        <v>-3.331</v>
      </c>
      <c r="O163" s="262">
        <f t="shared" si="21"/>
        <v>-3.895</v>
      </c>
      <c r="P163" s="262">
        <f t="shared" si="22"/>
        <v>-2.7930000000000001</v>
      </c>
      <c r="Q163" s="262">
        <v>-3.1072000000000002</v>
      </c>
      <c r="R163" s="128">
        <v>-2.859</v>
      </c>
      <c r="S163" s="128">
        <v>-1.6839999999999999</v>
      </c>
      <c r="T163" s="128"/>
      <c r="U163" s="262">
        <v>5.5789999999999997</v>
      </c>
      <c r="V163" s="279"/>
      <c r="W163" s="262">
        <v>-1.2150000000000001</v>
      </c>
      <c r="X163" s="128">
        <v>-1.05</v>
      </c>
      <c r="Y163" s="128"/>
      <c r="Z163" s="279"/>
      <c r="AA163" s="262">
        <v>5.9779999999999998</v>
      </c>
      <c r="AB163" s="262">
        <v>6.3742999999999999</v>
      </c>
      <c r="AC163" s="262">
        <v>5.6184000000000003</v>
      </c>
      <c r="AD163" s="278"/>
      <c r="AE163" s="278"/>
      <c r="AF163" s="262">
        <f t="shared" si="26"/>
        <v>5.9779999999999998</v>
      </c>
      <c r="AG163" s="128">
        <v>0.79169999999999996</v>
      </c>
      <c r="AH163" s="128"/>
      <c r="AI163" s="128"/>
      <c r="AJ163" s="128"/>
      <c r="AK163" s="128"/>
      <c r="AL163" s="128"/>
      <c r="AM163" s="244"/>
      <c r="AN163" s="262">
        <v>5.9714</v>
      </c>
      <c r="AO163" s="262">
        <v>5.5789999999999997</v>
      </c>
      <c r="AP163" s="262"/>
      <c r="AQ163" s="262"/>
      <c r="AR163" s="262"/>
      <c r="AS163" s="262"/>
      <c r="AT163" s="262"/>
      <c r="AU163" s="262"/>
      <c r="AV163" s="245">
        <v>0.6</v>
      </c>
      <c r="AW163" s="245"/>
      <c r="AX163" s="245"/>
      <c r="AY163" s="245">
        <v>0.4</v>
      </c>
      <c r="AZ163" s="245">
        <v>0</v>
      </c>
      <c r="BA163" s="245">
        <v>0</v>
      </c>
      <c r="BB163" s="245"/>
      <c r="BC163" s="245">
        <f t="shared" si="23"/>
        <v>1</v>
      </c>
      <c r="BD163" s="240">
        <f t="shared" si="24"/>
        <v>-1.3410600000000001</v>
      </c>
      <c r="BE163" s="243">
        <f t="shared" si="27"/>
        <v>-1.3410600000000001</v>
      </c>
      <c r="BF163" s="332"/>
      <c r="BG163" s="330"/>
      <c r="BH163" s="331"/>
      <c r="BI163" s="331"/>
      <c r="BJ163" s="330"/>
      <c r="BK163" s="330"/>
      <c r="BL163" s="330"/>
      <c r="BM163" s="330"/>
      <c r="BN163" s="330"/>
      <c r="BO163" s="330"/>
      <c r="BP163" s="330"/>
      <c r="BQ163" s="330"/>
      <c r="CB163" s="243">
        <f t="shared" si="18"/>
        <v>0.64340301100034303</v>
      </c>
      <c r="CC163" s="243"/>
      <c r="CD163" s="243">
        <f t="shared" si="19"/>
        <v>0.64340301100034303</v>
      </c>
      <c r="CG163" s="734">
        <f t="shared" si="25"/>
        <v>-1.4251</v>
      </c>
      <c r="CJ163" s="1264">
        <f t="shared" si="28"/>
        <v>0.79741404289037643</v>
      </c>
    </row>
    <row r="164" spans="1:88" x14ac:dyDescent="0.2">
      <c r="A164" s="19">
        <v>32508</v>
      </c>
      <c r="B164" s="262">
        <v>1.7444999999999999</v>
      </c>
      <c r="C164" s="262">
        <v>2.3504</v>
      </c>
      <c r="D164" s="262">
        <v>1.1399999999999999</v>
      </c>
      <c r="E164" s="262">
        <v>4.0370999999999997</v>
      </c>
      <c r="F164" s="278"/>
      <c r="G164" s="278"/>
      <c r="H164" s="262">
        <v>3.9159999999999999</v>
      </c>
      <c r="I164" s="262">
        <v>4.8899999999999997</v>
      </c>
      <c r="J164" s="262">
        <v>2.9929999999999999</v>
      </c>
      <c r="K164" s="128">
        <v>3.4117999999999999</v>
      </c>
      <c r="L164" s="262"/>
      <c r="M164" s="262"/>
      <c r="N164" s="262">
        <f t="shared" si="20"/>
        <v>3.9159999999999999</v>
      </c>
      <c r="O164" s="262">
        <f t="shared" si="21"/>
        <v>4.8899999999999997</v>
      </c>
      <c r="P164" s="262">
        <f t="shared" si="22"/>
        <v>2.9929999999999999</v>
      </c>
      <c r="Q164" s="262">
        <v>4.2313999999999998</v>
      </c>
      <c r="R164" s="128">
        <v>3.2970000000000002</v>
      </c>
      <c r="S164" s="128">
        <v>2.145</v>
      </c>
      <c r="T164" s="128"/>
      <c r="U164" s="262">
        <v>0.628</v>
      </c>
      <c r="V164" s="279"/>
      <c r="W164" s="262">
        <v>0.113</v>
      </c>
      <c r="X164" s="128">
        <v>-0.12</v>
      </c>
      <c r="Y164" s="128"/>
      <c r="Z164" s="279"/>
      <c r="AA164" s="262">
        <v>0.57499999999999996</v>
      </c>
      <c r="AB164" s="262">
        <v>0.45619999999999999</v>
      </c>
      <c r="AC164" s="262">
        <v>0.83620000000000005</v>
      </c>
      <c r="AD164" s="278"/>
      <c r="AE164" s="278"/>
      <c r="AF164" s="262">
        <f t="shared" si="26"/>
        <v>0.57499999999999996</v>
      </c>
      <c r="AG164" s="128">
        <v>0.79169999999999996</v>
      </c>
      <c r="AH164" s="128"/>
      <c r="AI164" s="128"/>
      <c r="AJ164" s="128"/>
      <c r="AK164" s="128"/>
      <c r="AL164" s="128"/>
      <c r="AM164" s="244"/>
      <c r="AN164" s="262">
        <v>0.56989999999999996</v>
      </c>
      <c r="AO164" s="262">
        <v>0.628</v>
      </c>
      <c r="AP164" s="262"/>
      <c r="AQ164" s="262"/>
      <c r="AR164" s="262"/>
      <c r="AS164" s="262"/>
      <c r="AT164" s="262"/>
      <c r="AU164" s="262"/>
      <c r="AV164" s="247">
        <v>0.6</v>
      </c>
      <c r="AW164" s="247"/>
      <c r="AX164" s="247"/>
      <c r="AY164" s="247">
        <v>0.4</v>
      </c>
      <c r="AZ164" s="247">
        <v>0</v>
      </c>
      <c r="BA164" s="247">
        <v>0</v>
      </c>
      <c r="BB164" s="247"/>
      <c r="BC164" s="247">
        <f t="shared" si="23"/>
        <v>1</v>
      </c>
      <c r="BD164" s="240">
        <f t="shared" si="24"/>
        <v>1.0918999999999999</v>
      </c>
      <c r="BE164" s="243">
        <f t="shared" si="27"/>
        <v>1.0918999999999999</v>
      </c>
      <c r="BF164" s="332"/>
      <c r="BG164" s="330"/>
      <c r="BH164" s="331"/>
      <c r="BI164" s="331"/>
      <c r="BJ164" s="330"/>
      <c r="BK164" s="330"/>
      <c r="BL164" s="330"/>
      <c r="BM164" s="330"/>
      <c r="BN164" s="330"/>
      <c r="BO164" s="330"/>
      <c r="BP164" s="330"/>
      <c r="BQ164" s="330"/>
      <c r="CB164" s="243">
        <f t="shared" si="18"/>
        <v>0.64340301100034303</v>
      </c>
      <c r="CC164" s="243"/>
      <c r="CD164" s="243">
        <f t="shared" si="19"/>
        <v>0.64340301100034303</v>
      </c>
      <c r="CG164" s="734">
        <f t="shared" si="25"/>
        <v>1.7444999999999999</v>
      </c>
      <c r="CJ164" s="1264">
        <f t="shared" si="28"/>
        <v>0.79741404289037643</v>
      </c>
    </row>
    <row r="165" spans="1:88" x14ac:dyDescent="0.2">
      <c r="A165" s="19">
        <v>32539</v>
      </c>
      <c r="B165" s="262">
        <v>7.3227000000000002</v>
      </c>
      <c r="C165" s="262">
        <v>7.1795</v>
      </c>
      <c r="D165" s="262">
        <v>7.33</v>
      </c>
      <c r="E165" s="262">
        <v>6.8132000000000001</v>
      </c>
      <c r="F165" s="278"/>
      <c r="G165" s="278"/>
      <c r="H165" s="262">
        <v>4.4589999999999996</v>
      </c>
      <c r="I165" s="262">
        <v>4.2679999999999998</v>
      </c>
      <c r="J165" s="262">
        <v>4.6520000000000001</v>
      </c>
      <c r="K165" s="128">
        <v>2.5714999999999999</v>
      </c>
      <c r="L165" s="262"/>
      <c r="M165" s="262"/>
      <c r="N165" s="262">
        <f t="shared" si="20"/>
        <v>4.4589999999999996</v>
      </c>
      <c r="O165" s="262">
        <f t="shared" si="21"/>
        <v>4.2679999999999998</v>
      </c>
      <c r="P165" s="262">
        <f t="shared" si="22"/>
        <v>4.6520000000000001</v>
      </c>
      <c r="Q165" s="262">
        <v>5.1386000000000003</v>
      </c>
      <c r="R165" s="128">
        <v>5.1840000000000002</v>
      </c>
      <c r="S165" s="128">
        <v>6.7279999999999998</v>
      </c>
      <c r="T165" s="128"/>
      <c r="U165" s="262">
        <v>1.984</v>
      </c>
      <c r="V165" s="279"/>
      <c r="W165" s="262">
        <v>1.4390000000000001</v>
      </c>
      <c r="X165" s="128">
        <v>1.28</v>
      </c>
      <c r="Y165" s="128"/>
      <c r="Z165" s="279"/>
      <c r="AA165" s="262">
        <v>1.78</v>
      </c>
      <c r="AB165" s="262">
        <v>0.96409999999999996</v>
      </c>
      <c r="AC165" s="262">
        <v>2.5836000000000001</v>
      </c>
      <c r="AD165" s="278"/>
      <c r="AE165" s="278"/>
      <c r="AF165" s="262">
        <f t="shared" si="26"/>
        <v>1.78</v>
      </c>
      <c r="AG165" s="128">
        <v>1.0134000000000001</v>
      </c>
      <c r="AH165" s="128"/>
      <c r="AI165" s="128"/>
      <c r="AJ165" s="128"/>
      <c r="AK165" s="128"/>
      <c r="AL165" s="128"/>
      <c r="AM165" s="244"/>
      <c r="AN165" s="262">
        <v>1.7954000000000001</v>
      </c>
      <c r="AO165" s="262">
        <v>1.984</v>
      </c>
      <c r="AP165" s="262"/>
      <c r="AQ165" s="262"/>
      <c r="AR165" s="262"/>
      <c r="AS165" s="262"/>
      <c r="AT165" s="262"/>
      <c r="AU165" s="262"/>
      <c r="AV165" s="247">
        <v>0.6</v>
      </c>
      <c r="AW165" s="247"/>
      <c r="AX165" s="247"/>
      <c r="AY165" s="247">
        <v>0.4</v>
      </c>
      <c r="AZ165" s="247">
        <v>0</v>
      </c>
      <c r="BA165" s="247">
        <v>0</v>
      </c>
      <c r="BB165" s="247"/>
      <c r="BC165" s="247">
        <f t="shared" si="23"/>
        <v>1</v>
      </c>
      <c r="BD165" s="240">
        <f t="shared" si="24"/>
        <v>4.96922</v>
      </c>
      <c r="BE165" s="243">
        <f t="shared" si="27"/>
        <v>4.96922</v>
      </c>
      <c r="BF165" s="332"/>
      <c r="BG165" s="330"/>
      <c r="BH165" s="331"/>
      <c r="BI165" s="331"/>
      <c r="BJ165" s="330"/>
      <c r="BK165" s="330"/>
      <c r="BL165" s="330"/>
      <c r="BM165" s="330"/>
      <c r="BN165" s="330"/>
      <c r="BO165" s="330"/>
      <c r="BP165" s="330"/>
      <c r="BQ165" s="330"/>
      <c r="CB165" s="243">
        <f t="shared" ref="CB165:CB228" si="29">((1+0.08)^(1/12)-1)*100</f>
        <v>0.64340301100034303</v>
      </c>
      <c r="CC165" s="243"/>
      <c r="CD165" s="243">
        <f t="shared" si="19"/>
        <v>0.64340301100034303</v>
      </c>
      <c r="CG165" s="734">
        <f t="shared" si="25"/>
        <v>7.3227000000000002</v>
      </c>
      <c r="CJ165" s="1264">
        <f t="shared" si="28"/>
        <v>0.79741404289037643</v>
      </c>
    </row>
    <row r="166" spans="1:88" x14ac:dyDescent="0.2">
      <c r="A166" s="19">
        <v>32567</v>
      </c>
      <c r="B166" s="262">
        <v>-2.492</v>
      </c>
      <c r="C166" s="262">
        <v>-2.6698</v>
      </c>
      <c r="D166" s="262">
        <v>-2.16</v>
      </c>
      <c r="E166" s="262">
        <v>0.32879999999999998</v>
      </c>
      <c r="F166" s="278"/>
      <c r="G166" s="278"/>
      <c r="H166" s="262">
        <v>0.73599999999999999</v>
      </c>
      <c r="I166" s="262">
        <v>0.24299999999999999</v>
      </c>
      <c r="J166" s="262">
        <v>1.228</v>
      </c>
      <c r="K166" s="128">
        <v>0.54190000000000005</v>
      </c>
      <c r="L166" s="262"/>
      <c r="M166" s="262"/>
      <c r="N166" s="262">
        <f t="shared" si="20"/>
        <v>0.73599999999999999</v>
      </c>
      <c r="O166" s="262">
        <f t="shared" si="21"/>
        <v>0.24299999999999999</v>
      </c>
      <c r="P166" s="262">
        <f t="shared" si="22"/>
        <v>1.228</v>
      </c>
      <c r="Q166" s="262">
        <v>0.35199999999999998</v>
      </c>
      <c r="R166" s="128">
        <v>0.51400000000000001</v>
      </c>
      <c r="S166" s="128">
        <v>-1.75</v>
      </c>
      <c r="T166" s="128"/>
      <c r="U166" s="262">
        <v>0.44800000000000001</v>
      </c>
      <c r="V166" s="279"/>
      <c r="W166" s="262">
        <v>-0.73299999999999998</v>
      </c>
      <c r="X166" s="128">
        <v>-0.49</v>
      </c>
      <c r="Y166" s="128"/>
      <c r="Z166" s="279"/>
      <c r="AA166" s="262">
        <v>0.53400000000000003</v>
      </c>
      <c r="AB166" s="262">
        <v>-0.40050000000000002</v>
      </c>
      <c r="AC166" s="262">
        <v>1.3105</v>
      </c>
      <c r="AD166" s="278"/>
      <c r="AE166" s="278"/>
      <c r="AF166" s="262">
        <f t="shared" si="26"/>
        <v>0.53400000000000003</v>
      </c>
      <c r="AG166" s="128">
        <v>1.0134000000000001</v>
      </c>
      <c r="AH166" s="128"/>
      <c r="AI166" s="128"/>
      <c r="AJ166" s="128"/>
      <c r="AK166" s="128"/>
      <c r="AL166" s="128"/>
      <c r="AM166" s="244"/>
      <c r="AN166" s="262">
        <v>0.51490000000000002</v>
      </c>
      <c r="AO166" s="262">
        <v>0.44800000000000001</v>
      </c>
      <c r="AP166" s="262"/>
      <c r="AQ166" s="262"/>
      <c r="AR166" s="262"/>
      <c r="AS166" s="262"/>
      <c r="AT166" s="262"/>
      <c r="AU166" s="262"/>
      <c r="AV166" s="245">
        <v>0.6</v>
      </c>
      <c r="AW166" s="245"/>
      <c r="AX166" s="245"/>
      <c r="AY166" s="245">
        <v>0.4</v>
      </c>
      <c r="AZ166" s="245">
        <v>0</v>
      </c>
      <c r="BA166" s="245">
        <v>0</v>
      </c>
      <c r="BB166" s="245"/>
      <c r="BC166" s="245">
        <f t="shared" si="23"/>
        <v>1</v>
      </c>
      <c r="BD166" s="240">
        <f t="shared" si="24"/>
        <v>-1.7883999999999998</v>
      </c>
      <c r="BE166" s="243">
        <f t="shared" si="27"/>
        <v>-1.7883999999999998</v>
      </c>
      <c r="BF166" s="332"/>
      <c r="BG166" s="330"/>
      <c r="BH166" s="331"/>
      <c r="BI166" s="331"/>
      <c r="BJ166" s="330"/>
      <c r="BK166" s="330"/>
      <c r="BL166" s="330"/>
      <c r="BM166" s="330"/>
      <c r="BN166" s="330"/>
      <c r="BO166" s="330"/>
      <c r="BP166" s="330"/>
      <c r="BQ166" s="330"/>
      <c r="CB166" s="243">
        <f t="shared" si="29"/>
        <v>0.64340301100034303</v>
      </c>
      <c r="CC166" s="243"/>
      <c r="CD166" s="243">
        <f t="shared" si="19"/>
        <v>0.64340301100034303</v>
      </c>
      <c r="CG166" s="734">
        <f t="shared" si="25"/>
        <v>-2.492</v>
      </c>
      <c r="CJ166" s="1264">
        <f t="shared" si="28"/>
        <v>0.79741404289037643</v>
      </c>
    </row>
    <row r="167" spans="1:88" x14ac:dyDescent="0.2">
      <c r="A167" s="19">
        <v>32598</v>
      </c>
      <c r="B167" s="262">
        <v>2.3329</v>
      </c>
      <c r="C167" s="262">
        <v>2.0802999999999998</v>
      </c>
      <c r="D167" s="262">
        <v>2.64</v>
      </c>
      <c r="E167" s="262">
        <v>2.2214999999999998</v>
      </c>
      <c r="F167" s="278"/>
      <c r="G167" s="278"/>
      <c r="H167" s="262">
        <v>2.3530000000000002</v>
      </c>
      <c r="I167" s="262">
        <v>2.7759999999999998</v>
      </c>
      <c r="J167" s="262">
        <v>1.9339999999999999</v>
      </c>
      <c r="K167" s="128">
        <v>1.7393000000000001</v>
      </c>
      <c r="L167" s="262"/>
      <c r="M167" s="262"/>
      <c r="N167" s="262">
        <f t="shared" si="20"/>
        <v>2.3530000000000002</v>
      </c>
      <c r="O167" s="262">
        <f t="shared" si="21"/>
        <v>2.7759999999999998</v>
      </c>
      <c r="P167" s="262">
        <f t="shared" si="22"/>
        <v>1.9339999999999999</v>
      </c>
      <c r="Q167" s="262">
        <v>2.0160999999999998</v>
      </c>
      <c r="R167" s="128">
        <v>1.895</v>
      </c>
      <c r="S167" s="128">
        <v>2.2799999999999998</v>
      </c>
      <c r="T167" s="128"/>
      <c r="U167" s="262">
        <v>-1.712</v>
      </c>
      <c r="V167" s="279"/>
      <c r="W167" s="262">
        <v>0.438</v>
      </c>
      <c r="X167" s="128">
        <v>0.33</v>
      </c>
      <c r="Y167" s="128"/>
      <c r="Z167" s="279"/>
      <c r="AA167" s="262">
        <v>-1.9430000000000001</v>
      </c>
      <c r="AB167" s="262">
        <v>-2.0783999999999998</v>
      </c>
      <c r="AC167" s="262">
        <v>-1.8779999999999999</v>
      </c>
      <c r="AD167" s="278"/>
      <c r="AE167" s="278"/>
      <c r="AF167" s="262">
        <f t="shared" si="26"/>
        <v>-1.9430000000000001</v>
      </c>
      <c r="AG167" s="128">
        <v>1.0134000000000001</v>
      </c>
      <c r="AH167" s="128"/>
      <c r="AI167" s="128"/>
      <c r="AJ167" s="128"/>
      <c r="AK167" s="128"/>
      <c r="AL167" s="128"/>
      <c r="AM167" s="244"/>
      <c r="AN167" s="262">
        <v>-1.9463999999999999</v>
      </c>
      <c r="AO167" s="262">
        <v>-1.712</v>
      </c>
      <c r="AP167" s="262"/>
      <c r="AQ167" s="262"/>
      <c r="AR167" s="262"/>
      <c r="AS167" s="262"/>
      <c r="AT167" s="262"/>
      <c r="AU167" s="262"/>
      <c r="AV167" s="245">
        <v>0.6</v>
      </c>
      <c r="AW167" s="245"/>
      <c r="AX167" s="245"/>
      <c r="AY167" s="245">
        <v>0.4</v>
      </c>
      <c r="AZ167" s="245">
        <v>0</v>
      </c>
      <c r="BA167" s="245">
        <v>0</v>
      </c>
      <c r="BB167" s="245"/>
      <c r="BC167" s="245">
        <f t="shared" si="23"/>
        <v>1</v>
      </c>
      <c r="BD167" s="240">
        <f t="shared" si="24"/>
        <v>1.57494</v>
      </c>
      <c r="BE167" s="243">
        <f t="shared" si="27"/>
        <v>1.57494</v>
      </c>
      <c r="BF167" s="332"/>
      <c r="BG167" s="330"/>
      <c r="BH167" s="331"/>
      <c r="BI167" s="331"/>
      <c r="BJ167" s="330"/>
      <c r="BK167" s="330"/>
      <c r="BL167" s="330"/>
      <c r="BM167" s="330"/>
      <c r="BN167" s="330"/>
      <c r="BO167" s="330"/>
      <c r="BP167" s="330"/>
      <c r="BQ167" s="330"/>
      <c r="CB167" s="243">
        <f t="shared" si="29"/>
        <v>0.64340301100034303</v>
      </c>
      <c r="CC167" s="243"/>
      <c r="CD167" s="243">
        <f t="shared" si="19"/>
        <v>0.64340301100034303</v>
      </c>
      <c r="CG167" s="734">
        <f t="shared" si="25"/>
        <v>2.3329</v>
      </c>
      <c r="CJ167" s="1264">
        <f t="shared" si="28"/>
        <v>0.79741404289037643</v>
      </c>
    </row>
    <row r="168" spans="1:88" x14ac:dyDescent="0.2">
      <c r="A168" s="19">
        <v>32628</v>
      </c>
      <c r="B168" s="262">
        <v>5.1920999999999999</v>
      </c>
      <c r="C168" s="262">
        <v>5.4198000000000004</v>
      </c>
      <c r="D168" s="262">
        <v>4.8</v>
      </c>
      <c r="E168" s="262">
        <v>5.4111000000000002</v>
      </c>
      <c r="F168" s="278"/>
      <c r="G168" s="278"/>
      <c r="H168" s="262">
        <v>4.3600000000000003</v>
      </c>
      <c r="I168" s="262">
        <v>4.9850000000000003</v>
      </c>
      <c r="J168" s="262">
        <v>3.7320000000000002</v>
      </c>
      <c r="K168" s="128">
        <v>4.8140999999999998</v>
      </c>
      <c r="L168" s="262"/>
      <c r="M168" s="262"/>
      <c r="N168" s="262">
        <f t="shared" si="20"/>
        <v>4.3600000000000003</v>
      </c>
      <c r="O168" s="262">
        <f t="shared" si="21"/>
        <v>4.9850000000000003</v>
      </c>
      <c r="P168" s="262">
        <f t="shared" si="22"/>
        <v>3.7320000000000002</v>
      </c>
      <c r="Q168" s="262">
        <v>5.4348999999999998</v>
      </c>
      <c r="R168" s="128">
        <v>4.7469999999999999</v>
      </c>
      <c r="S168" s="128">
        <v>5.0069999999999997</v>
      </c>
      <c r="T168" s="128"/>
      <c r="U168" s="262">
        <v>1.266</v>
      </c>
      <c r="V168" s="279"/>
      <c r="W168" s="262">
        <v>2.0960000000000001</v>
      </c>
      <c r="X168" s="128">
        <v>2.0099999999999998</v>
      </c>
      <c r="Y168" s="128"/>
      <c r="Z168" s="279"/>
      <c r="AA168" s="262">
        <v>0.94699999999999995</v>
      </c>
      <c r="AB168" s="262">
        <v>0.2868</v>
      </c>
      <c r="AC168" s="262">
        <v>1.6897</v>
      </c>
      <c r="AD168" s="278"/>
      <c r="AE168" s="278"/>
      <c r="AF168" s="262">
        <f t="shared" si="26"/>
        <v>0.94699999999999995</v>
      </c>
      <c r="AG168" s="128">
        <v>0.58009999999999995</v>
      </c>
      <c r="AH168" s="128"/>
      <c r="AI168" s="128"/>
      <c r="AJ168" s="128"/>
      <c r="AK168" s="128"/>
      <c r="AL168" s="128"/>
      <c r="AM168" s="244"/>
      <c r="AN168" s="262">
        <v>0.94650000000000001</v>
      </c>
      <c r="AO168" s="262">
        <v>1.266</v>
      </c>
      <c r="AP168" s="262"/>
      <c r="AQ168" s="262"/>
      <c r="AR168" s="262"/>
      <c r="AS168" s="262"/>
      <c r="AT168" s="262"/>
      <c r="AU168" s="262"/>
      <c r="AV168" s="245">
        <v>0.6</v>
      </c>
      <c r="AW168" s="245"/>
      <c r="AX168" s="245"/>
      <c r="AY168" s="245">
        <v>0.4</v>
      </c>
      <c r="AZ168" s="245">
        <v>0</v>
      </c>
      <c r="BA168" s="245">
        <v>0</v>
      </c>
      <c r="BB168" s="245"/>
      <c r="BC168" s="245">
        <f t="shared" si="23"/>
        <v>1</v>
      </c>
      <c r="BD168" s="240">
        <f t="shared" si="24"/>
        <v>3.9536599999999997</v>
      </c>
      <c r="BE168" s="243">
        <f t="shared" si="27"/>
        <v>3.9536599999999997</v>
      </c>
      <c r="BF168" s="332"/>
      <c r="BG168" s="330"/>
      <c r="BH168" s="331"/>
      <c r="BI168" s="331"/>
      <c r="BJ168" s="330"/>
      <c r="BK168" s="330"/>
      <c r="BL168" s="330"/>
      <c r="BM168" s="330"/>
      <c r="BN168" s="330"/>
      <c r="BO168" s="330"/>
      <c r="BP168" s="330"/>
      <c r="BQ168" s="330"/>
      <c r="CB168" s="243">
        <f t="shared" si="29"/>
        <v>0.64340301100034303</v>
      </c>
      <c r="CC168" s="243"/>
      <c r="CD168" s="243">
        <f t="shared" si="19"/>
        <v>0.64340301100034303</v>
      </c>
      <c r="CG168" s="734">
        <f t="shared" si="25"/>
        <v>5.1920999999999999</v>
      </c>
      <c r="CJ168" s="1264">
        <f t="shared" si="28"/>
        <v>0.79741404289037643</v>
      </c>
    </row>
    <row r="169" spans="1:88" x14ac:dyDescent="0.2">
      <c r="A169" s="19">
        <v>32659</v>
      </c>
      <c r="B169" s="262">
        <v>4.0457999999999998</v>
      </c>
      <c r="C169" s="262">
        <v>4.2897999999999996</v>
      </c>
      <c r="D169" s="262">
        <v>3.79</v>
      </c>
      <c r="E169" s="262">
        <v>4.8273000000000001</v>
      </c>
      <c r="F169" s="278"/>
      <c r="G169" s="278"/>
      <c r="H169" s="262">
        <v>4.3010000000000002</v>
      </c>
      <c r="I169" s="262">
        <v>4.79</v>
      </c>
      <c r="J169" s="262">
        <v>3.8</v>
      </c>
      <c r="K169" s="128">
        <v>3.7423999999999999</v>
      </c>
      <c r="L169" s="262"/>
      <c r="M169" s="262"/>
      <c r="N169" s="262">
        <f t="shared" si="20"/>
        <v>4.3010000000000002</v>
      </c>
      <c r="O169" s="262">
        <f t="shared" si="21"/>
        <v>4.79</v>
      </c>
      <c r="P169" s="262">
        <f t="shared" si="22"/>
        <v>3.8</v>
      </c>
      <c r="Q169" s="262">
        <v>5.1197999999999997</v>
      </c>
      <c r="R169" s="128">
        <v>4.343</v>
      </c>
      <c r="S169" s="128">
        <v>4.2670000000000003</v>
      </c>
      <c r="T169" s="128"/>
      <c r="U169" s="262">
        <v>-5.101</v>
      </c>
      <c r="V169" s="279"/>
      <c r="W169" s="262">
        <v>2.6280000000000001</v>
      </c>
      <c r="X169" s="128">
        <v>2.36</v>
      </c>
      <c r="Y169" s="128"/>
      <c r="Z169" s="279"/>
      <c r="AA169" s="262">
        <v>-5.4240000000000004</v>
      </c>
      <c r="AB169" s="262">
        <v>-6.4023000000000003</v>
      </c>
      <c r="AC169" s="262">
        <v>-4.4645999999999999</v>
      </c>
      <c r="AD169" s="278"/>
      <c r="AE169" s="278"/>
      <c r="AF169" s="262">
        <f t="shared" si="26"/>
        <v>-5.4240000000000004</v>
      </c>
      <c r="AG169" s="128">
        <v>0.58009999999999995</v>
      </c>
      <c r="AH169" s="128"/>
      <c r="AI169" s="128"/>
      <c r="AJ169" s="128"/>
      <c r="AK169" s="128"/>
      <c r="AL169" s="128"/>
      <c r="AM169" s="244"/>
      <c r="AN169" s="262">
        <v>-5.4100999999999999</v>
      </c>
      <c r="AO169" s="262">
        <v>-5.101</v>
      </c>
      <c r="AP169" s="262"/>
      <c r="AQ169" s="262"/>
      <c r="AR169" s="262"/>
      <c r="AS169" s="262"/>
      <c r="AT169" s="262"/>
      <c r="AU169" s="262"/>
      <c r="AV169" s="245">
        <v>0.6</v>
      </c>
      <c r="AW169" s="245"/>
      <c r="AX169" s="245"/>
      <c r="AY169" s="245">
        <v>0.4</v>
      </c>
      <c r="AZ169" s="245">
        <v>0</v>
      </c>
      <c r="BA169" s="245">
        <v>0</v>
      </c>
      <c r="BB169" s="245"/>
      <c r="BC169" s="245">
        <f t="shared" si="23"/>
        <v>1</v>
      </c>
      <c r="BD169" s="240">
        <f t="shared" si="24"/>
        <v>3.4786799999999998</v>
      </c>
      <c r="BE169" s="243">
        <f t="shared" si="27"/>
        <v>3.4786799999999998</v>
      </c>
      <c r="BF169" s="332"/>
      <c r="BG169" s="330"/>
      <c r="BH169" s="331"/>
      <c r="BI169" s="331"/>
      <c r="BJ169" s="330"/>
      <c r="BK169" s="330"/>
      <c r="BL169" s="330"/>
      <c r="BM169" s="330"/>
      <c r="BN169" s="330"/>
      <c r="BO169" s="330"/>
      <c r="BP169" s="330"/>
      <c r="BQ169" s="330"/>
      <c r="CB169" s="243">
        <f t="shared" si="29"/>
        <v>0.64340301100034303</v>
      </c>
      <c r="CC169" s="243"/>
      <c r="CD169" s="243">
        <f t="shared" si="19"/>
        <v>0.64340301100034303</v>
      </c>
      <c r="CG169" s="734">
        <f t="shared" si="25"/>
        <v>4.0457999999999998</v>
      </c>
      <c r="CJ169" s="1264">
        <f t="shared" ref="CJ169:CJ232" si="30">((1+0.1)^(1/12)-1)*100</f>
        <v>0.79741404289037643</v>
      </c>
    </row>
    <row r="170" spans="1:88" x14ac:dyDescent="0.2">
      <c r="A170" s="19">
        <v>32689</v>
      </c>
      <c r="B170" s="262">
        <v>-0.56720000000000004</v>
      </c>
      <c r="C170" s="262">
        <v>-0.73</v>
      </c>
      <c r="D170" s="262">
        <v>-0.36</v>
      </c>
      <c r="E170" s="262">
        <v>-0.44529999999999997</v>
      </c>
      <c r="F170" s="278"/>
      <c r="G170" s="278"/>
      <c r="H170" s="262">
        <v>-2.2799999999999998</v>
      </c>
      <c r="I170" s="262">
        <v>-3.22</v>
      </c>
      <c r="J170" s="262">
        <v>-1.3049999999999999</v>
      </c>
      <c r="K170" s="128">
        <v>-1.1866000000000001</v>
      </c>
      <c r="L170" s="262"/>
      <c r="M170" s="262"/>
      <c r="N170" s="262">
        <f t="shared" si="20"/>
        <v>-2.2799999999999998</v>
      </c>
      <c r="O170" s="262">
        <f t="shared" si="21"/>
        <v>-3.22</v>
      </c>
      <c r="P170" s="262">
        <f t="shared" si="22"/>
        <v>-1.3049999999999999</v>
      </c>
      <c r="Q170" s="262">
        <v>-2.5041000000000002</v>
      </c>
      <c r="R170" s="128">
        <v>-1.5609999999999999</v>
      </c>
      <c r="S170" s="128">
        <v>-0.66700000000000004</v>
      </c>
      <c r="T170" s="128"/>
      <c r="U170" s="262">
        <v>-1.875</v>
      </c>
      <c r="V170" s="279"/>
      <c r="W170" s="262">
        <v>3.0449999999999999</v>
      </c>
      <c r="X170" s="128">
        <v>2.5</v>
      </c>
      <c r="Y170" s="128"/>
      <c r="Z170" s="279"/>
      <c r="AA170" s="262">
        <v>-1.661</v>
      </c>
      <c r="AB170" s="262">
        <v>-2.1052</v>
      </c>
      <c r="AC170" s="262">
        <v>-1.2425999999999999</v>
      </c>
      <c r="AD170" s="278"/>
      <c r="AE170" s="278"/>
      <c r="AF170" s="262">
        <f t="shared" si="26"/>
        <v>-1.661</v>
      </c>
      <c r="AG170" s="128">
        <v>0.58009999999999995</v>
      </c>
      <c r="AH170" s="128"/>
      <c r="AI170" s="128"/>
      <c r="AJ170" s="128"/>
      <c r="AK170" s="128"/>
      <c r="AL170" s="128"/>
      <c r="AM170" s="244"/>
      <c r="AN170" s="262">
        <v>-1.6637</v>
      </c>
      <c r="AO170" s="262">
        <v>-1.875</v>
      </c>
      <c r="AP170" s="262"/>
      <c r="AQ170" s="262"/>
      <c r="AR170" s="262"/>
      <c r="AS170" s="262"/>
      <c r="AT170" s="262"/>
      <c r="AU170" s="262"/>
      <c r="AV170" s="245">
        <v>0.6</v>
      </c>
      <c r="AW170" s="245"/>
      <c r="AX170" s="245"/>
      <c r="AY170" s="245">
        <v>0.4</v>
      </c>
      <c r="AZ170" s="245">
        <v>0</v>
      </c>
      <c r="BA170" s="245">
        <v>0</v>
      </c>
      <c r="BB170" s="245"/>
      <c r="BC170" s="245">
        <f t="shared" si="23"/>
        <v>1</v>
      </c>
      <c r="BD170" s="240">
        <f t="shared" si="24"/>
        <v>0.87768000000000002</v>
      </c>
      <c r="BE170" s="243">
        <f t="shared" si="27"/>
        <v>0.87768000000000002</v>
      </c>
      <c r="BF170" s="332"/>
      <c r="BG170" s="330"/>
      <c r="BH170" s="331"/>
      <c r="BI170" s="331"/>
      <c r="BJ170" s="330"/>
      <c r="BK170" s="330"/>
      <c r="BL170" s="330"/>
      <c r="BM170" s="330"/>
      <c r="BN170" s="330"/>
      <c r="BO170" s="330"/>
      <c r="BP170" s="330"/>
      <c r="BQ170" s="330"/>
      <c r="CB170" s="243">
        <f t="shared" si="29"/>
        <v>0.64340301100034303</v>
      </c>
      <c r="CC170" s="243"/>
      <c r="CD170" s="243">
        <f t="shared" ref="CD170:CD233" si="31">((1+0.08)^(1/12)-1)*100</f>
        <v>0.64340301100034303</v>
      </c>
      <c r="CG170" s="734">
        <f t="shared" si="25"/>
        <v>-0.56720000000000004</v>
      </c>
      <c r="CJ170" s="1264">
        <f t="shared" si="30"/>
        <v>0.79741404289037643</v>
      </c>
    </row>
    <row r="171" spans="1:88" x14ac:dyDescent="0.2">
      <c r="A171" s="19">
        <v>32720</v>
      </c>
      <c r="B171" s="262">
        <v>9.0289999999999999</v>
      </c>
      <c r="C171" s="262">
        <v>10.8802</v>
      </c>
      <c r="D171" s="262">
        <v>6.9</v>
      </c>
      <c r="E171" s="262">
        <v>5.9398999999999997</v>
      </c>
      <c r="F171" s="278"/>
      <c r="G171" s="278"/>
      <c r="H171" s="262">
        <v>3.891</v>
      </c>
      <c r="I171" s="262">
        <v>4.6870000000000003</v>
      </c>
      <c r="J171" s="262">
        <v>3.109</v>
      </c>
      <c r="K171" s="128">
        <v>3.3873000000000002</v>
      </c>
      <c r="L171" s="262"/>
      <c r="M171" s="262"/>
      <c r="N171" s="262">
        <f t="shared" si="20"/>
        <v>3.891</v>
      </c>
      <c r="O171" s="262">
        <f t="shared" si="21"/>
        <v>4.6870000000000003</v>
      </c>
      <c r="P171" s="262">
        <f t="shared" si="22"/>
        <v>3.109</v>
      </c>
      <c r="Q171" s="262">
        <v>5.7408000000000001</v>
      </c>
      <c r="R171" s="128">
        <v>4.6950000000000003</v>
      </c>
      <c r="S171" s="128">
        <v>8.0449999999999999</v>
      </c>
      <c r="T171" s="128"/>
      <c r="U171" s="262">
        <v>12.327999999999999</v>
      </c>
      <c r="V171" s="279"/>
      <c r="W171" s="262">
        <v>2.1259999999999999</v>
      </c>
      <c r="X171" s="128">
        <v>2.12</v>
      </c>
      <c r="Y171" s="128"/>
      <c r="Z171" s="279"/>
      <c r="AA171" s="262">
        <v>12.577999999999999</v>
      </c>
      <c r="AB171" s="262">
        <v>13.4802</v>
      </c>
      <c r="AC171" s="262">
        <v>11.712300000000001</v>
      </c>
      <c r="AD171" s="278"/>
      <c r="AE171" s="278"/>
      <c r="AF171" s="262">
        <f t="shared" si="26"/>
        <v>12.577999999999999</v>
      </c>
      <c r="AG171" s="128">
        <v>0.6623</v>
      </c>
      <c r="AH171" s="128"/>
      <c r="AI171" s="128"/>
      <c r="AJ171" s="128"/>
      <c r="AK171" s="128"/>
      <c r="AL171" s="128"/>
      <c r="AM171" s="244"/>
      <c r="AN171" s="262">
        <v>12.572100000000001</v>
      </c>
      <c r="AO171" s="262">
        <v>12.327999999999999</v>
      </c>
      <c r="AP171" s="262"/>
      <c r="AQ171" s="262"/>
      <c r="AR171" s="262"/>
      <c r="AS171" s="262"/>
      <c r="AT171" s="262"/>
      <c r="AU171" s="262"/>
      <c r="AV171" s="245">
        <v>0.6</v>
      </c>
      <c r="AW171" s="245"/>
      <c r="AX171" s="245"/>
      <c r="AY171" s="245">
        <v>0.4</v>
      </c>
      <c r="AZ171" s="245">
        <v>0</v>
      </c>
      <c r="BA171" s="245">
        <v>0</v>
      </c>
      <c r="BB171" s="245"/>
      <c r="BC171" s="245">
        <f t="shared" si="23"/>
        <v>1</v>
      </c>
      <c r="BD171" s="240">
        <f t="shared" si="24"/>
        <v>6.2677999999999994</v>
      </c>
      <c r="BE171" s="243">
        <f t="shared" si="27"/>
        <v>6.2677999999999994</v>
      </c>
      <c r="BF171" s="332"/>
      <c r="BG171" s="330"/>
      <c r="BH171" s="331"/>
      <c r="BI171" s="331"/>
      <c r="BJ171" s="330"/>
      <c r="BK171" s="330"/>
      <c r="BL171" s="330"/>
      <c r="BM171" s="330"/>
      <c r="BN171" s="330"/>
      <c r="BO171" s="330"/>
      <c r="BP171" s="330"/>
      <c r="BQ171" s="330"/>
      <c r="CB171" s="243">
        <f t="shared" si="29"/>
        <v>0.64340301100034303</v>
      </c>
      <c r="CC171" s="243"/>
      <c r="CD171" s="243">
        <f t="shared" si="31"/>
        <v>0.64340301100034303</v>
      </c>
      <c r="CG171" s="734">
        <f t="shared" si="25"/>
        <v>9.0289999999999999</v>
      </c>
      <c r="CJ171" s="1264">
        <f t="shared" si="30"/>
        <v>0.79741404289037643</v>
      </c>
    </row>
    <row r="172" spans="1:88" x14ac:dyDescent="0.2">
      <c r="A172" s="19">
        <v>32751</v>
      </c>
      <c r="B172" s="262">
        <v>1.9550000000000001</v>
      </c>
      <c r="C172" s="262">
        <v>1.5201</v>
      </c>
      <c r="D172" s="262">
        <v>2.2000000000000002</v>
      </c>
      <c r="E172" s="262">
        <v>3.5520999999999998</v>
      </c>
      <c r="F172" s="278"/>
      <c r="G172" s="278"/>
      <c r="H172" s="262">
        <v>2.4340000000000002</v>
      </c>
      <c r="I172" s="262">
        <v>2.875</v>
      </c>
      <c r="J172" s="262">
        <v>1.9970000000000001</v>
      </c>
      <c r="K172" s="128">
        <v>2.1234999999999999</v>
      </c>
      <c r="L172" s="262"/>
      <c r="M172" s="262"/>
      <c r="N172" s="262">
        <f t="shared" si="20"/>
        <v>2.4340000000000002</v>
      </c>
      <c r="O172" s="262">
        <f t="shared" si="21"/>
        <v>2.875</v>
      </c>
      <c r="P172" s="262">
        <f t="shared" si="22"/>
        <v>1.9970000000000001</v>
      </c>
      <c r="Q172" s="262">
        <v>2.9403000000000001</v>
      </c>
      <c r="R172" s="128">
        <v>3</v>
      </c>
      <c r="S172" s="128">
        <v>2.093</v>
      </c>
      <c r="T172" s="128"/>
      <c r="U172" s="262">
        <v>-4.1529999999999996</v>
      </c>
      <c r="V172" s="279"/>
      <c r="W172" s="262">
        <v>-1.482</v>
      </c>
      <c r="X172" s="128">
        <v>-1.29</v>
      </c>
      <c r="Y172" s="128"/>
      <c r="Z172" s="279"/>
      <c r="AA172" s="262">
        <v>-4.4779999999999998</v>
      </c>
      <c r="AB172" s="262">
        <v>-4.8285999999999998</v>
      </c>
      <c r="AC172" s="262">
        <v>-4.1456999999999997</v>
      </c>
      <c r="AD172" s="278"/>
      <c r="AE172" s="278"/>
      <c r="AF172" s="262">
        <f t="shared" si="26"/>
        <v>-4.4779999999999998</v>
      </c>
      <c r="AG172" s="128">
        <v>0.6623</v>
      </c>
      <c r="AH172" s="128"/>
      <c r="AI172" s="128"/>
      <c r="AJ172" s="128"/>
      <c r="AK172" s="128"/>
      <c r="AL172" s="128"/>
      <c r="AM172" s="244"/>
      <c r="AN172" s="262">
        <v>-4.4726999999999997</v>
      </c>
      <c r="AO172" s="262">
        <v>-4.1529999999999996</v>
      </c>
      <c r="AP172" s="262"/>
      <c r="AQ172" s="262"/>
      <c r="AR172" s="262"/>
      <c r="AS172" s="262"/>
      <c r="AT172" s="262"/>
      <c r="AU172" s="262"/>
      <c r="AV172" s="245">
        <v>0.6</v>
      </c>
      <c r="AW172" s="245"/>
      <c r="AX172" s="245"/>
      <c r="AY172" s="245">
        <v>0.4</v>
      </c>
      <c r="AZ172" s="245">
        <v>0</v>
      </c>
      <c r="BA172" s="245">
        <v>0</v>
      </c>
      <c r="BB172" s="245"/>
      <c r="BC172" s="245">
        <f t="shared" si="23"/>
        <v>1</v>
      </c>
      <c r="BD172" s="240">
        <f t="shared" si="24"/>
        <v>0.58020000000000005</v>
      </c>
      <c r="BE172" s="243">
        <f t="shared" si="27"/>
        <v>0.58020000000000005</v>
      </c>
      <c r="BF172" s="332"/>
      <c r="BG172" s="330"/>
      <c r="BH172" s="331"/>
      <c r="BI172" s="331"/>
      <c r="BJ172" s="330"/>
      <c r="BK172" s="330"/>
      <c r="BL172" s="330"/>
      <c r="BM172" s="330"/>
      <c r="BN172" s="330"/>
      <c r="BO172" s="330"/>
      <c r="BP172" s="330"/>
      <c r="BQ172" s="330"/>
      <c r="CB172" s="243">
        <f t="shared" si="29"/>
        <v>0.64340301100034303</v>
      </c>
      <c r="CC172" s="243"/>
      <c r="CD172" s="243">
        <f t="shared" si="31"/>
        <v>0.64340301100034303</v>
      </c>
      <c r="CG172" s="734">
        <f t="shared" si="25"/>
        <v>1.9550000000000001</v>
      </c>
      <c r="CJ172" s="1264">
        <f t="shared" si="30"/>
        <v>0.79741404289037643</v>
      </c>
    </row>
    <row r="173" spans="1:88" x14ac:dyDescent="0.2">
      <c r="A173" s="19">
        <v>32781</v>
      </c>
      <c r="B173" s="262">
        <v>-0.40600000000000003</v>
      </c>
      <c r="C173" s="262">
        <v>0.25</v>
      </c>
      <c r="D173" s="262">
        <v>-1.07</v>
      </c>
      <c r="E173" s="262">
        <v>1.1028</v>
      </c>
      <c r="F173" s="278"/>
      <c r="G173" s="278"/>
      <c r="H173" s="262">
        <v>0.312</v>
      </c>
      <c r="I173" s="262">
        <v>1.149</v>
      </c>
      <c r="J173" s="262">
        <v>-0.52</v>
      </c>
      <c r="K173" s="128">
        <v>5.3699999999999998E-2</v>
      </c>
      <c r="L173" s="262"/>
      <c r="M173" s="262"/>
      <c r="N173" s="262">
        <f t="shared" si="20"/>
        <v>0.312</v>
      </c>
      <c r="O173" s="262">
        <f t="shared" si="21"/>
        <v>1.149</v>
      </c>
      <c r="P173" s="262">
        <f t="shared" si="22"/>
        <v>-0.52</v>
      </c>
      <c r="Q173" s="262">
        <v>0.63229999999999997</v>
      </c>
      <c r="R173" s="128">
        <v>-0.49299999999999999</v>
      </c>
      <c r="S173" s="128">
        <v>-0.216</v>
      </c>
      <c r="T173" s="128"/>
      <c r="U173" s="262">
        <v>4.6150000000000002</v>
      </c>
      <c r="V173" s="279"/>
      <c r="W173" s="262">
        <v>0.51200000000000001</v>
      </c>
      <c r="X173" s="128">
        <v>0.55000000000000004</v>
      </c>
      <c r="Y173" s="128"/>
      <c r="Z173" s="279"/>
      <c r="AA173" s="262">
        <v>4.5730000000000004</v>
      </c>
      <c r="AB173" s="262">
        <v>4.1508000000000003</v>
      </c>
      <c r="AC173" s="262">
        <v>5.0095000000000001</v>
      </c>
      <c r="AD173" s="278"/>
      <c r="AE173" s="278"/>
      <c r="AF173" s="262">
        <f t="shared" si="26"/>
        <v>4.5730000000000004</v>
      </c>
      <c r="AG173" s="128">
        <v>0.6623</v>
      </c>
      <c r="AH173" s="128"/>
      <c r="AI173" s="128"/>
      <c r="AJ173" s="128"/>
      <c r="AK173" s="128"/>
      <c r="AL173" s="128"/>
      <c r="AM173" s="244"/>
      <c r="AN173" s="262">
        <v>4.5614999999999997</v>
      </c>
      <c r="AO173" s="262">
        <v>4.6150000000000002</v>
      </c>
      <c r="AP173" s="262"/>
      <c r="AQ173" s="262"/>
      <c r="AR173" s="262"/>
      <c r="AS173" s="262"/>
      <c r="AT173" s="262"/>
      <c r="AU173" s="262"/>
      <c r="AV173" s="245">
        <v>0.6</v>
      </c>
      <c r="AW173" s="245"/>
      <c r="AX173" s="245"/>
      <c r="AY173" s="245">
        <v>0.4</v>
      </c>
      <c r="AZ173" s="245">
        <v>0</v>
      </c>
      <c r="BA173" s="245">
        <v>0</v>
      </c>
      <c r="BB173" s="245"/>
      <c r="BC173" s="245">
        <f t="shared" si="23"/>
        <v>1</v>
      </c>
      <c r="BD173" s="240">
        <f t="shared" si="24"/>
        <v>-3.8800000000000001E-2</v>
      </c>
      <c r="BE173" s="243">
        <f t="shared" si="27"/>
        <v>-3.8800000000000001E-2</v>
      </c>
      <c r="BF173" s="332"/>
      <c r="BG173" s="330"/>
      <c r="BH173" s="331"/>
      <c r="BI173" s="331"/>
      <c r="BJ173" s="330"/>
      <c r="BK173" s="330"/>
      <c r="BL173" s="330"/>
      <c r="BM173" s="330"/>
      <c r="BN173" s="330"/>
      <c r="BO173" s="330"/>
      <c r="BP173" s="330"/>
      <c r="BQ173" s="330"/>
      <c r="CB173" s="243">
        <f t="shared" si="29"/>
        <v>0.64340301100034303</v>
      </c>
      <c r="CC173" s="243"/>
      <c r="CD173" s="243">
        <f t="shared" si="31"/>
        <v>0.64340301100034303</v>
      </c>
      <c r="CG173" s="734">
        <f t="shared" si="25"/>
        <v>-0.40600000000000003</v>
      </c>
      <c r="CJ173" s="1264">
        <f t="shared" si="30"/>
        <v>0.79741404289037643</v>
      </c>
    </row>
    <row r="174" spans="1:88" x14ac:dyDescent="0.2">
      <c r="A174" s="19">
        <v>32812</v>
      </c>
      <c r="B174" s="262">
        <v>-2.3199999999999998</v>
      </c>
      <c r="C174" s="262">
        <v>-1.5001</v>
      </c>
      <c r="D174" s="262">
        <v>-3.23</v>
      </c>
      <c r="E174" s="262">
        <v>-4.2049000000000003</v>
      </c>
      <c r="F174" s="278"/>
      <c r="G174" s="278"/>
      <c r="H174" s="262">
        <v>-5.9269999999999996</v>
      </c>
      <c r="I174" s="262">
        <v>-5.4720000000000004</v>
      </c>
      <c r="J174" s="262">
        <v>-6.39</v>
      </c>
      <c r="K174" s="128">
        <v>-5.9581</v>
      </c>
      <c r="L174" s="262"/>
      <c r="M174" s="262"/>
      <c r="N174" s="262">
        <f t="shared" ref="N174:N237" si="32">H174</f>
        <v>-5.9269999999999996</v>
      </c>
      <c r="O174" s="262">
        <f t="shared" ref="O174:O237" si="33">I174</f>
        <v>-5.4720000000000004</v>
      </c>
      <c r="P174" s="262">
        <f t="shared" ref="P174:P237" si="34">J174</f>
        <v>-6.39</v>
      </c>
      <c r="Q174" s="262">
        <v>-4.4198000000000004</v>
      </c>
      <c r="R174" s="128">
        <v>-5.1950000000000003</v>
      </c>
      <c r="S174" s="128">
        <v>-2.9129999999999998</v>
      </c>
      <c r="T174" s="128"/>
      <c r="U174" s="262">
        <v>-3.6619999999999999</v>
      </c>
      <c r="V174" s="279"/>
      <c r="W174" s="262">
        <v>2.4649999999999999</v>
      </c>
      <c r="X174" s="128">
        <v>2.1800000000000002</v>
      </c>
      <c r="Y174" s="128"/>
      <c r="Z174" s="279"/>
      <c r="AA174" s="262">
        <v>-3.9980000000000002</v>
      </c>
      <c r="AB174" s="262">
        <v>-4.1085000000000003</v>
      </c>
      <c r="AC174" s="262">
        <v>-3.879</v>
      </c>
      <c r="AD174" s="278"/>
      <c r="AE174" s="278"/>
      <c r="AF174" s="262">
        <f t="shared" si="26"/>
        <v>-3.9980000000000002</v>
      </c>
      <c r="AG174" s="128">
        <v>0.67720000000000002</v>
      </c>
      <c r="AH174" s="128"/>
      <c r="AI174" s="128"/>
      <c r="AJ174" s="128"/>
      <c r="AK174" s="128"/>
      <c r="AL174" s="128"/>
      <c r="AM174" s="244"/>
      <c r="AN174" s="262">
        <v>-3.9897</v>
      </c>
      <c r="AO174" s="262">
        <v>-3.6619999999999999</v>
      </c>
      <c r="AP174" s="262"/>
      <c r="AQ174" s="262"/>
      <c r="AR174" s="262"/>
      <c r="AS174" s="262"/>
      <c r="AT174" s="262"/>
      <c r="AU174" s="262"/>
      <c r="AV174" s="245">
        <v>0.6</v>
      </c>
      <c r="AW174" s="245"/>
      <c r="AX174" s="245"/>
      <c r="AY174" s="245">
        <v>0.4</v>
      </c>
      <c r="AZ174" s="245">
        <v>0</v>
      </c>
      <c r="BA174" s="245">
        <v>0</v>
      </c>
      <c r="BB174" s="245"/>
      <c r="BC174" s="245">
        <f t="shared" si="23"/>
        <v>1</v>
      </c>
      <c r="BD174" s="240">
        <f t="shared" si="24"/>
        <v>-0.40599999999999992</v>
      </c>
      <c r="BE174" s="243">
        <f t="shared" si="27"/>
        <v>-0.40599999999999992</v>
      </c>
      <c r="BF174" s="332"/>
      <c r="BG174" s="330"/>
      <c r="BH174" s="331"/>
      <c r="BI174" s="331"/>
      <c r="BJ174" s="330"/>
      <c r="BK174" s="330"/>
      <c r="BL174" s="330"/>
      <c r="BM174" s="330"/>
      <c r="BN174" s="330"/>
      <c r="BO174" s="330"/>
      <c r="BP174" s="330"/>
      <c r="BQ174" s="330"/>
      <c r="CB174" s="243">
        <f t="shared" si="29"/>
        <v>0.64340301100034303</v>
      </c>
      <c r="CC174" s="243"/>
      <c r="CD174" s="243">
        <f t="shared" si="31"/>
        <v>0.64340301100034303</v>
      </c>
      <c r="CG174" s="734">
        <f t="shared" si="25"/>
        <v>-2.3199999999999998</v>
      </c>
      <c r="CJ174" s="1264">
        <f t="shared" si="30"/>
        <v>0.79741404289037643</v>
      </c>
    </row>
    <row r="175" spans="1:88" x14ac:dyDescent="0.2">
      <c r="A175" s="19">
        <v>32842</v>
      </c>
      <c r="B175" s="262">
        <v>2.0390000000000001</v>
      </c>
      <c r="C175" s="262">
        <v>3.12</v>
      </c>
      <c r="D175" s="262">
        <v>0.89</v>
      </c>
      <c r="E175" s="262">
        <v>2.2086999999999999</v>
      </c>
      <c r="F175" s="278"/>
      <c r="G175" s="278"/>
      <c r="H175" s="262">
        <v>0.63800000000000001</v>
      </c>
      <c r="I175" s="262">
        <v>0.88700000000000001</v>
      </c>
      <c r="J175" s="262">
        <v>0.38500000000000001</v>
      </c>
      <c r="K175" s="128">
        <v>0.94720000000000004</v>
      </c>
      <c r="L175" s="262"/>
      <c r="M175" s="262"/>
      <c r="N175" s="262">
        <f t="shared" si="32"/>
        <v>0.63800000000000001</v>
      </c>
      <c r="O175" s="262">
        <f t="shared" si="33"/>
        <v>0.88700000000000001</v>
      </c>
      <c r="P175" s="262">
        <f t="shared" si="34"/>
        <v>0.38500000000000001</v>
      </c>
      <c r="Q175" s="262">
        <v>1.1936</v>
      </c>
      <c r="R175" s="128">
        <v>0.79100000000000004</v>
      </c>
      <c r="S175" s="128">
        <v>1.7929999999999999</v>
      </c>
      <c r="T175" s="128"/>
      <c r="U175" s="262">
        <v>4.8079999999999998</v>
      </c>
      <c r="V175" s="279"/>
      <c r="W175" s="262">
        <v>0.95299999999999996</v>
      </c>
      <c r="X175" s="128">
        <v>1</v>
      </c>
      <c r="Y175" s="128"/>
      <c r="Z175" s="279"/>
      <c r="AA175" s="262">
        <v>5.048</v>
      </c>
      <c r="AB175" s="262">
        <v>5.7504999999999997</v>
      </c>
      <c r="AC175" s="262">
        <v>4.5099</v>
      </c>
      <c r="AD175" s="278"/>
      <c r="AE175" s="278"/>
      <c r="AF175" s="262">
        <f t="shared" si="26"/>
        <v>5.048</v>
      </c>
      <c r="AG175" s="128">
        <v>0.67720000000000002</v>
      </c>
      <c r="AH175" s="128"/>
      <c r="AI175" s="128"/>
      <c r="AJ175" s="128"/>
      <c r="AK175" s="128"/>
      <c r="AL175" s="128"/>
      <c r="AM175" s="244"/>
      <c r="AN175" s="262">
        <v>5.0465999999999998</v>
      </c>
      <c r="AO175" s="262">
        <v>4.8079999999999998</v>
      </c>
      <c r="AP175" s="262"/>
      <c r="AQ175" s="262"/>
      <c r="AR175" s="262"/>
      <c r="AS175" s="262"/>
      <c r="AT175" s="262"/>
      <c r="AU175" s="262"/>
      <c r="AV175" s="245">
        <v>0.6</v>
      </c>
      <c r="AW175" s="245"/>
      <c r="AX175" s="245"/>
      <c r="AY175" s="245">
        <v>0.4</v>
      </c>
      <c r="AZ175" s="245">
        <v>0</v>
      </c>
      <c r="BA175" s="245">
        <v>0</v>
      </c>
      <c r="BB175" s="245"/>
      <c r="BC175" s="245">
        <f t="shared" si="23"/>
        <v>1</v>
      </c>
      <c r="BD175" s="240">
        <f t="shared" si="24"/>
        <v>1.6046</v>
      </c>
      <c r="BE175" s="243">
        <f t="shared" si="27"/>
        <v>1.6046</v>
      </c>
      <c r="BF175" s="332"/>
      <c r="BG175" s="330"/>
      <c r="BH175" s="331"/>
      <c r="BI175" s="331"/>
      <c r="BJ175" s="330"/>
      <c r="BK175" s="330"/>
      <c r="BL175" s="330"/>
      <c r="BM175" s="330"/>
      <c r="BN175" s="330"/>
      <c r="BO175" s="330"/>
      <c r="BP175" s="330"/>
      <c r="BQ175" s="330"/>
      <c r="CB175" s="243">
        <f t="shared" si="29"/>
        <v>0.64340301100034303</v>
      </c>
      <c r="CC175" s="243"/>
      <c r="CD175" s="243">
        <f t="shared" si="31"/>
        <v>0.64340301100034303</v>
      </c>
      <c r="CG175" s="734">
        <f t="shared" si="25"/>
        <v>2.0390000000000001</v>
      </c>
      <c r="CJ175" s="1264">
        <f t="shared" si="30"/>
        <v>0.79741404289037643</v>
      </c>
    </row>
    <row r="176" spans="1:88" x14ac:dyDescent="0.2">
      <c r="A176" s="19">
        <v>32873</v>
      </c>
      <c r="B176" s="262">
        <v>2.4009999999999998</v>
      </c>
      <c r="C176" s="262">
        <v>2.39</v>
      </c>
      <c r="D176" s="262">
        <v>2.3199999999999998</v>
      </c>
      <c r="E176" s="262">
        <v>3.5720999999999998</v>
      </c>
      <c r="F176" s="278"/>
      <c r="G176" s="278"/>
      <c r="H176" s="262">
        <v>0.39900000000000002</v>
      </c>
      <c r="I176" s="262">
        <v>1.1339999999999999</v>
      </c>
      <c r="J176" s="262">
        <v>-0.34799999999999998</v>
      </c>
      <c r="K176" s="128">
        <v>0.73440000000000005</v>
      </c>
      <c r="L176" s="262"/>
      <c r="M176" s="262"/>
      <c r="N176" s="262">
        <f t="shared" si="32"/>
        <v>0.39900000000000002</v>
      </c>
      <c r="O176" s="262">
        <f t="shared" si="33"/>
        <v>1.1339999999999999</v>
      </c>
      <c r="P176" s="262">
        <f t="shared" si="34"/>
        <v>-0.34799999999999998</v>
      </c>
      <c r="Q176" s="262">
        <v>1.0394000000000001</v>
      </c>
      <c r="R176" s="128">
        <v>0.495</v>
      </c>
      <c r="S176" s="128">
        <v>1.923</v>
      </c>
      <c r="T176" s="128"/>
      <c r="U176" s="262">
        <v>3.754</v>
      </c>
      <c r="V176" s="279"/>
      <c r="W176" s="262">
        <v>0.26800000000000002</v>
      </c>
      <c r="X176" s="128">
        <v>0.39</v>
      </c>
      <c r="Y176" s="128"/>
      <c r="Z176" s="279"/>
      <c r="AA176" s="262">
        <v>3.714</v>
      </c>
      <c r="AB176" s="262">
        <v>3.1402999999999999</v>
      </c>
      <c r="AC176" s="262">
        <v>4.2343000000000002</v>
      </c>
      <c r="AD176" s="278"/>
      <c r="AE176" s="278"/>
      <c r="AF176" s="262">
        <f t="shared" si="26"/>
        <v>3.714</v>
      </c>
      <c r="AG176" s="128">
        <v>0.67720000000000002</v>
      </c>
      <c r="AH176" s="128"/>
      <c r="AI176" s="128"/>
      <c r="AJ176" s="128"/>
      <c r="AK176" s="128"/>
      <c r="AL176" s="128"/>
      <c r="AM176" s="244"/>
      <c r="AN176" s="262">
        <v>3.7040999999999999</v>
      </c>
      <c r="AO176" s="262">
        <v>3.754</v>
      </c>
      <c r="AP176" s="262"/>
      <c r="AQ176" s="262"/>
      <c r="AR176" s="262"/>
      <c r="AS176" s="262"/>
      <c r="AT176" s="262"/>
      <c r="AU176" s="262"/>
      <c r="AV176" s="245">
        <v>0.6</v>
      </c>
      <c r="AW176" s="245"/>
      <c r="AX176" s="245"/>
      <c r="AY176" s="245">
        <v>0.4</v>
      </c>
      <c r="AZ176" s="245">
        <v>0</v>
      </c>
      <c r="BA176" s="245">
        <v>0</v>
      </c>
      <c r="BB176" s="245"/>
      <c r="BC176" s="245">
        <f t="shared" si="23"/>
        <v>1</v>
      </c>
      <c r="BD176" s="240">
        <f t="shared" si="24"/>
        <v>1.5477999999999998</v>
      </c>
      <c r="BE176" s="243">
        <f t="shared" si="27"/>
        <v>1.5477999999999998</v>
      </c>
      <c r="BF176" s="332"/>
      <c r="BG176" s="330"/>
      <c r="BH176" s="331"/>
      <c r="BI176" s="331"/>
      <c r="BJ176" s="330"/>
      <c r="BK176" s="330"/>
      <c r="BL176" s="330"/>
      <c r="BM176" s="330"/>
      <c r="BN176" s="330"/>
      <c r="BO176" s="330"/>
      <c r="BP176" s="330"/>
      <c r="BQ176" s="330"/>
      <c r="CB176" s="243">
        <f t="shared" si="29"/>
        <v>0.64340301100034303</v>
      </c>
      <c r="CC176" s="243"/>
      <c r="CD176" s="243">
        <f t="shared" si="31"/>
        <v>0.64340301100034303</v>
      </c>
      <c r="CG176" s="734">
        <f t="shared" si="25"/>
        <v>2.4009999999999998</v>
      </c>
      <c r="CJ176" s="1264">
        <f t="shared" si="30"/>
        <v>0.79741404289037643</v>
      </c>
    </row>
    <row r="177" spans="1:88" x14ac:dyDescent="0.2">
      <c r="A177" s="19">
        <v>32904</v>
      </c>
      <c r="B177" s="262">
        <v>-6.7140000000000004</v>
      </c>
      <c r="C177" s="270">
        <v>-7.47</v>
      </c>
      <c r="D177" s="270">
        <v>-5.87</v>
      </c>
      <c r="E177" s="270">
        <v>-8.4573999999999998</v>
      </c>
      <c r="F177" s="281"/>
      <c r="G177" s="281"/>
      <c r="H177" s="270">
        <v>-8.734</v>
      </c>
      <c r="I177" s="262">
        <v>-10.321999999999999</v>
      </c>
      <c r="J177" s="270">
        <v>-7.0880000000000001</v>
      </c>
      <c r="K177" s="128">
        <v>-9.2177000000000007</v>
      </c>
      <c r="L177" s="270"/>
      <c r="M177" s="270"/>
      <c r="N177" s="262">
        <f t="shared" si="32"/>
        <v>-8.734</v>
      </c>
      <c r="O177" s="262">
        <f t="shared" si="33"/>
        <v>-10.321999999999999</v>
      </c>
      <c r="P177" s="262">
        <f t="shared" si="34"/>
        <v>-7.0880000000000001</v>
      </c>
      <c r="Q177" s="270">
        <v>-9.9884000000000004</v>
      </c>
      <c r="R177" s="128">
        <v>-8.3390000000000004</v>
      </c>
      <c r="S177" s="128">
        <v>-7.25</v>
      </c>
      <c r="T177" s="128"/>
      <c r="U177" s="270">
        <v>-3.75</v>
      </c>
      <c r="V177" s="280"/>
      <c r="W177" s="262">
        <v>-1.1879999999999999</v>
      </c>
      <c r="X177" s="128">
        <v>-0.66</v>
      </c>
      <c r="Y177" s="128"/>
      <c r="Z177" s="279"/>
      <c r="AA177" s="262">
        <v>-3.7029999999999998</v>
      </c>
      <c r="AB177" s="270">
        <v>-4.4600999999999997</v>
      </c>
      <c r="AC177" s="270">
        <v>-2.8612000000000002</v>
      </c>
      <c r="AD177" s="280"/>
      <c r="AE177" s="280"/>
      <c r="AF177" s="262">
        <f t="shared" si="26"/>
        <v>-3.7029999999999998</v>
      </c>
      <c r="AG177" s="128">
        <v>0.58069999999999999</v>
      </c>
      <c r="AH177" s="128"/>
      <c r="AI177" s="128"/>
      <c r="AJ177" s="128"/>
      <c r="AK177" s="128"/>
      <c r="AL177" s="128"/>
      <c r="AM177" s="242"/>
      <c r="AN177" s="270">
        <v>-3.6905000000000001</v>
      </c>
      <c r="AO177" s="270">
        <v>-3.75</v>
      </c>
      <c r="AP177" s="270"/>
      <c r="AQ177" s="270"/>
      <c r="AR177" s="270"/>
      <c r="AS177" s="270"/>
      <c r="AT177" s="270"/>
      <c r="AU177" s="270"/>
      <c r="AV177" s="245">
        <v>0.6</v>
      </c>
      <c r="AW177" s="245"/>
      <c r="AX177" s="245"/>
      <c r="AY177" s="245">
        <v>0.4</v>
      </c>
      <c r="AZ177" s="245">
        <v>0</v>
      </c>
      <c r="BA177" s="245">
        <v>0</v>
      </c>
      <c r="BB177" s="245"/>
      <c r="BC177" s="245">
        <f t="shared" si="23"/>
        <v>1</v>
      </c>
      <c r="BD177" s="240">
        <f t="shared" si="24"/>
        <v>-4.5036000000000005</v>
      </c>
      <c r="BE177" s="243">
        <f t="shared" si="27"/>
        <v>-4.5036000000000005</v>
      </c>
      <c r="BF177" s="332"/>
      <c r="BG177" s="330"/>
      <c r="BH177" s="331"/>
      <c r="BI177" s="331"/>
      <c r="BJ177" s="330"/>
      <c r="BK177" s="330"/>
      <c r="BL177" s="330"/>
      <c r="BM177" s="330"/>
      <c r="BN177" s="330"/>
      <c r="BO177" s="330"/>
      <c r="BP177" s="330"/>
      <c r="BQ177" s="330"/>
      <c r="CB177" s="243">
        <f t="shared" si="29"/>
        <v>0.64340301100034303</v>
      </c>
      <c r="CC177" s="243"/>
      <c r="CD177" s="243">
        <f t="shared" si="31"/>
        <v>0.64340301100034303</v>
      </c>
      <c r="CG177" s="734">
        <f t="shared" si="25"/>
        <v>-6.7140000000000004</v>
      </c>
      <c r="CJ177" s="1264">
        <f t="shared" si="30"/>
        <v>0.79741404289037643</v>
      </c>
    </row>
    <row r="178" spans="1:88" x14ac:dyDescent="0.2">
      <c r="A178" s="19">
        <v>32932</v>
      </c>
      <c r="B178" s="262">
        <v>1.3</v>
      </c>
      <c r="C178" s="270">
        <v>0.57999999999999996</v>
      </c>
      <c r="D178" s="270">
        <v>2.0299999999999998</v>
      </c>
      <c r="E178" s="270">
        <v>3.5918999999999999</v>
      </c>
      <c r="F178" s="281"/>
      <c r="G178" s="281"/>
      <c r="H178" s="270">
        <v>3.1030000000000002</v>
      </c>
      <c r="I178" s="262">
        <v>3.7909999999999999</v>
      </c>
      <c r="J178" s="270">
        <v>2.4049999999999998</v>
      </c>
      <c r="K178" s="128">
        <v>2.4641999999999999</v>
      </c>
      <c r="L178" s="270"/>
      <c r="M178" s="270"/>
      <c r="N178" s="262">
        <f t="shared" si="32"/>
        <v>3.1030000000000002</v>
      </c>
      <c r="O178" s="262">
        <f t="shared" si="33"/>
        <v>3.7909999999999999</v>
      </c>
      <c r="P178" s="262">
        <f t="shared" si="34"/>
        <v>2.4049999999999998</v>
      </c>
      <c r="Q178" s="270">
        <v>3.0089999999999999</v>
      </c>
      <c r="R178" s="128">
        <v>2.8010000000000002</v>
      </c>
      <c r="S178" s="128">
        <v>1.7190000000000001</v>
      </c>
      <c r="T178" s="128"/>
      <c r="U178" s="270">
        <v>-6.6429999999999998</v>
      </c>
      <c r="V178" s="280"/>
      <c r="W178" s="262">
        <v>0.32100000000000001</v>
      </c>
      <c r="X178" s="128">
        <v>0.45</v>
      </c>
      <c r="Y178" s="128"/>
      <c r="Z178" s="279"/>
      <c r="AA178" s="262">
        <v>-6.9580000000000002</v>
      </c>
      <c r="AB178" s="270">
        <v>-7.8753000000000002</v>
      </c>
      <c r="AC178" s="270">
        <v>-6.1787999999999998</v>
      </c>
      <c r="AD178" s="280"/>
      <c r="AE178" s="280"/>
      <c r="AF178" s="262">
        <f t="shared" si="26"/>
        <v>-6.9580000000000002</v>
      </c>
      <c r="AG178" s="128">
        <v>0.58069999999999999</v>
      </c>
      <c r="AH178" s="128"/>
      <c r="AI178" s="128"/>
      <c r="AJ178" s="128"/>
      <c r="AK178" s="128"/>
      <c r="AL178" s="128"/>
      <c r="AM178" s="242"/>
      <c r="AN178" s="270">
        <v>-6.9630999999999998</v>
      </c>
      <c r="AO178" s="270">
        <v>-6.6429999999999998</v>
      </c>
      <c r="AP178" s="270"/>
      <c r="AQ178" s="270"/>
      <c r="AR178" s="270"/>
      <c r="AS178" s="270"/>
      <c r="AT178" s="270"/>
      <c r="AU178" s="270"/>
      <c r="AV178" s="245">
        <v>0.6</v>
      </c>
      <c r="AW178" s="245"/>
      <c r="AX178" s="245"/>
      <c r="AY178" s="245">
        <v>0.4</v>
      </c>
      <c r="AZ178" s="245">
        <v>0</v>
      </c>
      <c r="BA178" s="245">
        <v>0</v>
      </c>
      <c r="BB178" s="245"/>
      <c r="BC178" s="245">
        <f t="shared" si="23"/>
        <v>1</v>
      </c>
      <c r="BD178" s="240">
        <f t="shared" si="24"/>
        <v>0.9084000000000001</v>
      </c>
      <c r="BE178" s="243">
        <f t="shared" si="27"/>
        <v>0.9084000000000001</v>
      </c>
      <c r="BF178" s="332"/>
      <c r="BG178" s="330"/>
      <c r="BH178" s="331"/>
      <c r="BI178" s="331"/>
      <c r="BJ178" s="330"/>
      <c r="BK178" s="330"/>
      <c r="BL178" s="330"/>
      <c r="BM178" s="330"/>
      <c r="BN178" s="330"/>
      <c r="BO178" s="330"/>
      <c r="BP178" s="330"/>
      <c r="BQ178" s="330"/>
      <c r="CB178" s="243">
        <f t="shared" si="29"/>
        <v>0.64340301100034303</v>
      </c>
      <c r="CC178" s="243"/>
      <c r="CD178" s="243">
        <f t="shared" si="31"/>
        <v>0.64340301100034303</v>
      </c>
      <c r="CG178" s="734">
        <f t="shared" si="25"/>
        <v>1.3</v>
      </c>
      <c r="CJ178" s="1264">
        <f t="shared" si="30"/>
        <v>0.79741404289037643</v>
      </c>
    </row>
    <row r="179" spans="1:88" x14ac:dyDescent="0.2">
      <c r="A179" s="19">
        <v>32963</v>
      </c>
      <c r="B179" s="262">
        <v>2.65</v>
      </c>
      <c r="C179" s="270">
        <v>3.9902000000000002</v>
      </c>
      <c r="D179" s="270">
        <v>1.19</v>
      </c>
      <c r="E179" s="270">
        <v>2.1625000000000001</v>
      </c>
      <c r="F179" s="281"/>
      <c r="G179" s="281"/>
      <c r="H179" s="270">
        <v>3.9220000000000002</v>
      </c>
      <c r="I179" s="262">
        <v>4.5830000000000002</v>
      </c>
      <c r="J179" s="270">
        <v>3.2389999999999999</v>
      </c>
      <c r="K179" s="128">
        <v>3.1074999999999999</v>
      </c>
      <c r="L179" s="270"/>
      <c r="M179" s="270"/>
      <c r="N179" s="262">
        <f t="shared" si="32"/>
        <v>3.9220000000000002</v>
      </c>
      <c r="O179" s="262">
        <f t="shared" si="33"/>
        <v>4.5830000000000002</v>
      </c>
      <c r="P179" s="262">
        <f t="shared" si="34"/>
        <v>3.2389999999999999</v>
      </c>
      <c r="Q179" s="270">
        <v>4.7484000000000002</v>
      </c>
      <c r="R179" s="128">
        <v>3.1749999999999998</v>
      </c>
      <c r="S179" s="128">
        <v>2.5840000000000001</v>
      </c>
      <c r="T179" s="128"/>
      <c r="U179" s="270">
        <v>-10.137</v>
      </c>
      <c r="V179" s="280"/>
      <c r="W179" s="262">
        <v>7.3999999999999996E-2</v>
      </c>
      <c r="X179" s="128">
        <v>0.17</v>
      </c>
      <c r="Y179" s="128"/>
      <c r="Z179" s="279"/>
      <c r="AA179" s="262">
        <v>-10.396000000000001</v>
      </c>
      <c r="AB179" s="270">
        <v>-11.509499999999999</v>
      </c>
      <c r="AC179" s="270">
        <v>-9.1021000000000001</v>
      </c>
      <c r="AD179" s="280"/>
      <c r="AE179" s="280"/>
      <c r="AF179" s="262">
        <f t="shared" si="26"/>
        <v>-10.396000000000001</v>
      </c>
      <c r="AG179" s="128">
        <v>0.58069999999999999</v>
      </c>
      <c r="AH179" s="128"/>
      <c r="AI179" s="128"/>
      <c r="AJ179" s="128"/>
      <c r="AK179" s="128"/>
      <c r="AL179" s="128"/>
      <c r="AM179" s="242"/>
      <c r="AN179" s="270">
        <v>-10.403499999999999</v>
      </c>
      <c r="AO179" s="270">
        <v>-10.137</v>
      </c>
      <c r="AP179" s="270"/>
      <c r="AQ179" s="270"/>
      <c r="AR179" s="270"/>
      <c r="AS179" s="270"/>
      <c r="AT179" s="270"/>
      <c r="AU179" s="270"/>
      <c r="AV179" s="245">
        <v>0.6</v>
      </c>
      <c r="AW179" s="245"/>
      <c r="AX179" s="245"/>
      <c r="AY179" s="245">
        <v>0.4</v>
      </c>
      <c r="AZ179" s="245">
        <v>0</v>
      </c>
      <c r="BA179" s="245">
        <v>0</v>
      </c>
      <c r="BB179" s="245"/>
      <c r="BC179" s="245">
        <f t="shared" si="23"/>
        <v>1</v>
      </c>
      <c r="BD179" s="240">
        <f t="shared" si="24"/>
        <v>1.6195999999999999</v>
      </c>
      <c r="BE179" s="243">
        <f t="shared" si="27"/>
        <v>1.6195999999999999</v>
      </c>
      <c r="BF179" s="332"/>
      <c r="BG179" s="330"/>
      <c r="BH179" s="331"/>
      <c r="BI179" s="331"/>
      <c r="BJ179" s="330"/>
      <c r="BK179" s="330"/>
      <c r="BL179" s="330"/>
      <c r="BM179" s="330"/>
      <c r="BN179" s="330"/>
      <c r="BO179" s="330"/>
      <c r="BP179" s="330"/>
      <c r="BQ179" s="330"/>
      <c r="CB179" s="243">
        <f t="shared" si="29"/>
        <v>0.64340301100034303</v>
      </c>
      <c r="CC179" s="243"/>
      <c r="CD179" s="243">
        <f t="shared" si="31"/>
        <v>0.64340301100034303</v>
      </c>
      <c r="CG179" s="734">
        <f t="shared" si="25"/>
        <v>2.65</v>
      </c>
      <c r="CJ179" s="1264">
        <f t="shared" si="30"/>
        <v>0.79741404289037643</v>
      </c>
    </row>
    <row r="180" spans="1:88" x14ac:dyDescent="0.2">
      <c r="A180" s="19">
        <v>32993</v>
      </c>
      <c r="B180" s="262">
        <v>-2.4950000000000001</v>
      </c>
      <c r="C180" s="270">
        <v>-1.62</v>
      </c>
      <c r="D180" s="270">
        <v>-3.4</v>
      </c>
      <c r="E180" s="270">
        <v>-3.8818000000000001</v>
      </c>
      <c r="F180" s="281"/>
      <c r="G180" s="281"/>
      <c r="H180" s="270">
        <v>-3.2679999999999998</v>
      </c>
      <c r="I180" s="262">
        <v>-2.9670000000000001</v>
      </c>
      <c r="J180" s="270">
        <v>-3.5859999999999999</v>
      </c>
      <c r="K180" s="128">
        <v>-4.1576000000000004</v>
      </c>
      <c r="L180" s="270"/>
      <c r="M180" s="270"/>
      <c r="N180" s="262">
        <f t="shared" si="32"/>
        <v>-3.2679999999999998</v>
      </c>
      <c r="O180" s="262">
        <f t="shared" si="33"/>
        <v>-2.9670000000000001</v>
      </c>
      <c r="P180" s="262">
        <f t="shared" si="34"/>
        <v>-3.5859999999999999</v>
      </c>
      <c r="Q180" s="270">
        <v>-2.5461999999999998</v>
      </c>
      <c r="R180" s="128">
        <v>-3.6840000000000002</v>
      </c>
      <c r="S180" s="128">
        <v>-2.641</v>
      </c>
      <c r="T180" s="128"/>
      <c r="U180" s="270">
        <v>-0.84799999999999998</v>
      </c>
      <c r="V180" s="280"/>
      <c r="W180" s="262">
        <v>-0.91600000000000004</v>
      </c>
      <c r="X180" s="128">
        <v>-0.55000000000000004</v>
      </c>
      <c r="Y180" s="128"/>
      <c r="Z180" s="279"/>
      <c r="AA180" s="262">
        <v>-0.76700000000000002</v>
      </c>
      <c r="AB180" s="270">
        <v>-1.1229</v>
      </c>
      <c r="AC180" s="270">
        <v>-0.4874</v>
      </c>
      <c r="AD180" s="280"/>
      <c r="AE180" s="280"/>
      <c r="AF180" s="262">
        <f t="shared" si="26"/>
        <v>-0.76700000000000002</v>
      </c>
      <c r="AG180" s="128">
        <v>0.45700000000000002</v>
      </c>
      <c r="AH180" s="128"/>
      <c r="AI180" s="128"/>
      <c r="AJ180" s="128"/>
      <c r="AK180" s="128"/>
      <c r="AL180" s="128"/>
      <c r="AM180" s="242"/>
      <c r="AN180" s="270">
        <v>-0.75570000000000004</v>
      </c>
      <c r="AO180" s="270">
        <v>-0.84799999999999998</v>
      </c>
      <c r="AP180" s="270"/>
      <c r="AQ180" s="270"/>
      <c r="AR180" s="270"/>
      <c r="AS180" s="270"/>
      <c r="AT180" s="270"/>
      <c r="AU180" s="270"/>
      <c r="AV180" s="245">
        <v>0.6</v>
      </c>
      <c r="AW180" s="245"/>
      <c r="AX180" s="245"/>
      <c r="AY180" s="245">
        <v>0.4</v>
      </c>
      <c r="AZ180" s="245">
        <v>0</v>
      </c>
      <c r="BA180" s="245">
        <v>0</v>
      </c>
      <c r="BB180" s="245"/>
      <c r="BC180" s="245">
        <f t="shared" si="23"/>
        <v>1</v>
      </c>
      <c r="BD180" s="240">
        <f t="shared" si="24"/>
        <v>-1.8634000000000002</v>
      </c>
      <c r="BE180" s="243">
        <f t="shared" si="27"/>
        <v>-1.8634000000000002</v>
      </c>
      <c r="BF180" s="332"/>
      <c r="BG180" s="330"/>
      <c r="BH180" s="331"/>
      <c r="BI180" s="331"/>
      <c r="BJ180" s="330"/>
      <c r="BK180" s="330"/>
      <c r="BL180" s="330"/>
      <c r="BM180" s="330"/>
      <c r="BN180" s="330"/>
      <c r="BO180" s="330"/>
      <c r="BP180" s="330"/>
      <c r="BQ180" s="330"/>
      <c r="CB180" s="243">
        <f t="shared" si="29"/>
        <v>0.64340301100034303</v>
      </c>
      <c r="CC180" s="243"/>
      <c r="CD180" s="243">
        <f t="shared" si="31"/>
        <v>0.64340301100034303</v>
      </c>
      <c r="CG180" s="734">
        <f t="shared" si="25"/>
        <v>-2.4950000000000001</v>
      </c>
      <c r="CJ180" s="1264">
        <f t="shared" si="30"/>
        <v>0.79741404289037643</v>
      </c>
    </row>
    <row r="181" spans="1:88" x14ac:dyDescent="0.2">
      <c r="A181" s="19">
        <v>33024</v>
      </c>
      <c r="B181" s="262">
        <v>9.7490000000000006</v>
      </c>
      <c r="C181" s="270">
        <v>11.319800000000001</v>
      </c>
      <c r="D181" s="270">
        <v>7.96</v>
      </c>
      <c r="E181" s="270">
        <v>9.7622</v>
      </c>
      <c r="F181" s="281"/>
      <c r="G181" s="281"/>
      <c r="H181" s="270">
        <v>7.0830000000000002</v>
      </c>
      <c r="I181" s="262">
        <v>8.9149999999999991</v>
      </c>
      <c r="J181" s="270">
        <v>5.125</v>
      </c>
      <c r="K181" s="128">
        <v>7.0559000000000003</v>
      </c>
      <c r="L181" s="270"/>
      <c r="M181" s="270"/>
      <c r="N181" s="262">
        <f t="shared" si="32"/>
        <v>7.0830000000000002</v>
      </c>
      <c r="O181" s="262">
        <f t="shared" si="33"/>
        <v>8.9149999999999991</v>
      </c>
      <c r="P181" s="262">
        <f t="shared" si="34"/>
        <v>5.125</v>
      </c>
      <c r="Q181" s="270">
        <v>9.4292999999999996</v>
      </c>
      <c r="R181" s="128">
        <v>7.9029999999999996</v>
      </c>
      <c r="S181" s="128">
        <v>9.2070000000000007</v>
      </c>
      <c r="T181" s="128"/>
      <c r="U181" s="270">
        <v>11.066000000000001</v>
      </c>
      <c r="V181" s="280"/>
      <c r="W181" s="262">
        <v>2.9609999999999999</v>
      </c>
      <c r="X181" s="128">
        <v>2.5299999999999998</v>
      </c>
      <c r="Y181" s="128"/>
      <c r="Z181" s="279"/>
      <c r="AA181" s="262">
        <v>11.44</v>
      </c>
      <c r="AB181" s="270">
        <v>12.5693</v>
      </c>
      <c r="AC181" s="270">
        <v>10.4139</v>
      </c>
      <c r="AD181" s="280"/>
      <c r="AE181" s="280"/>
      <c r="AF181" s="262">
        <f t="shared" si="26"/>
        <v>11.44</v>
      </c>
      <c r="AG181" s="128">
        <v>0.45700000000000002</v>
      </c>
      <c r="AH181" s="128"/>
      <c r="AI181" s="128"/>
      <c r="AJ181" s="128"/>
      <c r="AK181" s="128"/>
      <c r="AL181" s="128"/>
      <c r="AM181" s="242"/>
      <c r="AN181" s="270">
        <v>11.4397</v>
      </c>
      <c r="AO181" s="270">
        <v>11.066000000000001</v>
      </c>
      <c r="AP181" s="270"/>
      <c r="AQ181" s="270"/>
      <c r="AR181" s="270"/>
      <c r="AS181" s="270"/>
      <c r="AT181" s="270"/>
      <c r="AU181" s="270"/>
      <c r="AV181" s="245">
        <v>0.6</v>
      </c>
      <c r="AW181" s="245"/>
      <c r="AX181" s="245"/>
      <c r="AY181" s="245">
        <v>0.4</v>
      </c>
      <c r="AZ181" s="245">
        <v>0</v>
      </c>
      <c r="BA181" s="245">
        <v>0</v>
      </c>
      <c r="BB181" s="245"/>
      <c r="BC181" s="245">
        <f t="shared" si="23"/>
        <v>1</v>
      </c>
      <c r="BD181" s="240">
        <f t="shared" si="24"/>
        <v>7.0338000000000003</v>
      </c>
      <c r="BE181" s="243">
        <f t="shared" si="27"/>
        <v>7.0338000000000003</v>
      </c>
      <c r="BF181" s="332"/>
      <c r="BG181" s="330"/>
      <c r="BH181" s="331"/>
      <c r="BI181" s="331"/>
      <c r="BJ181" s="330"/>
      <c r="BK181" s="330"/>
      <c r="BL181" s="330"/>
      <c r="BM181" s="330"/>
      <c r="BN181" s="330"/>
      <c r="BO181" s="330"/>
      <c r="BP181" s="330"/>
      <c r="BQ181" s="330"/>
      <c r="CB181" s="243">
        <f t="shared" si="29"/>
        <v>0.64340301100034303</v>
      </c>
      <c r="CC181" s="243"/>
      <c r="CD181" s="243">
        <f t="shared" si="31"/>
        <v>0.64340301100034303</v>
      </c>
      <c r="CG181" s="734">
        <f t="shared" si="25"/>
        <v>9.7490000000000006</v>
      </c>
      <c r="CJ181" s="1264">
        <f t="shared" si="30"/>
        <v>0.79741404289037643</v>
      </c>
    </row>
    <row r="182" spans="1:88" x14ac:dyDescent="0.2">
      <c r="A182" s="19">
        <v>33054</v>
      </c>
      <c r="B182" s="262">
        <v>-0.67500000000000004</v>
      </c>
      <c r="C182" s="270">
        <v>0.33</v>
      </c>
      <c r="D182" s="270">
        <v>-1.89</v>
      </c>
      <c r="E182" s="270">
        <v>0.41070000000000001</v>
      </c>
      <c r="F182" s="281"/>
      <c r="G182" s="281"/>
      <c r="H182" s="270">
        <v>0.26400000000000001</v>
      </c>
      <c r="I182" s="262">
        <v>0.59299999999999997</v>
      </c>
      <c r="J182" s="270">
        <v>-0.10100000000000001</v>
      </c>
      <c r="K182" s="128">
        <v>-7.3599999999999999E-2</v>
      </c>
      <c r="L182" s="270"/>
      <c r="M182" s="270"/>
      <c r="N182" s="262">
        <f t="shared" si="32"/>
        <v>0.26400000000000001</v>
      </c>
      <c r="O182" s="262">
        <f t="shared" si="33"/>
        <v>0.59299999999999997</v>
      </c>
      <c r="P182" s="262">
        <f t="shared" si="34"/>
        <v>-0.10100000000000001</v>
      </c>
      <c r="Q182" s="270">
        <v>0.74529999999999996</v>
      </c>
      <c r="R182" s="128">
        <v>5.0000000000000001E-3</v>
      </c>
      <c r="S182" s="128">
        <v>-0.496</v>
      </c>
      <c r="T182" s="128"/>
      <c r="U182" s="270">
        <v>-0.82599999999999996</v>
      </c>
      <c r="V182" s="280"/>
      <c r="W182" s="262">
        <v>1.605</v>
      </c>
      <c r="X182" s="128">
        <v>1.43</v>
      </c>
      <c r="Y182" s="128"/>
      <c r="Z182" s="279"/>
      <c r="AA182" s="262">
        <v>-0.875</v>
      </c>
      <c r="AB182" s="270">
        <v>-1.4779</v>
      </c>
      <c r="AC182" s="270">
        <v>-0.22</v>
      </c>
      <c r="AD182" s="280"/>
      <c r="AE182" s="280"/>
      <c r="AF182" s="262">
        <f t="shared" si="26"/>
        <v>-0.875</v>
      </c>
      <c r="AG182" s="128">
        <v>0.45700000000000002</v>
      </c>
      <c r="AH182" s="128"/>
      <c r="AI182" s="128"/>
      <c r="AJ182" s="128"/>
      <c r="AK182" s="128"/>
      <c r="AL182" s="128"/>
      <c r="AM182" s="242"/>
      <c r="AN182" s="270">
        <v>-0.86029999999999995</v>
      </c>
      <c r="AO182" s="270">
        <v>-0.82599999999999996</v>
      </c>
      <c r="AP182" s="270"/>
      <c r="AQ182" s="270"/>
      <c r="AR182" s="270"/>
      <c r="AS182" s="270"/>
      <c r="AT182" s="270"/>
      <c r="AU182" s="270"/>
      <c r="AV182" s="245">
        <v>0.6</v>
      </c>
      <c r="AW182" s="245"/>
      <c r="AX182" s="245"/>
      <c r="AY182" s="245">
        <v>0.4</v>
      </c>
      <c r="AZ182" s="245">
        <v>0</v>
      </c>
      <c r="BA182" s="245">
        <v>0</v>
      </c>
      <c r="BB182" s="245"/>
      <c r="BC182" s="245">
        <f t="shared" si="23"/>
        <v>1</v>
      </c>
      <c r="BD182" s="240">
        <f t="shared" si="24"/>
        <v>0.23699999999999999</v>
      </c>
      <c r="BE182" s="243">
        <f t="shared" si="27"/>
        <v>0.23699999999999999</v>
      </c>
      <c r="BF182" s="332"/>
      <c r="BG182" s="330"/>
      <c r="BH182" s="331"/>
      <c r="BI182" s="331"/>
      <c r="BJ182" s="330"/>
      <c r="BK182" s="330"/>
      <c r="BL182" s="330"/>
      <c r="BM182" s="330"/>
      <c r="BN182" s="330"/>
      <c r="BO182" s="330"/>
      <c r="BP182" s="330"/>
      <c r="BQ182" s="330"/>
      <c r="CB182" s="243">
        <f t="shared" si="29"/>
        <v>0.64340301100034303</v>
      </c>
      <c r="CC182" s="243"/>
      <c r="CD182" s="243">
        <f t="shared" si="31"/>
        <v>0.64340301100034303</v>
      </c>
      <c r="CG182" s="734">
        <f t="shared" si="25"/>
        <v>-0.67500000000000004</v>
      </c>
      <c r="CJ182" s="1264">
        <f t="shared" si="30"/>
        <v>0.79741404289037643</v>
      </c>
    </row>
    <row r="183" spans="1:88" x14ac:dyDescent="0.2">
      <c r="A183" s="19">
        <v>33085</v>
      </c>
      <c r="B183" s="262">
        <v>-0.32100000000000001</v>
      </c>
      <c r="C183" s="270">
        <v>-0.62990000000000002</v>
      </c>
      <c r="D183" s="270">
        <v>0.01</v>
      </c>
      <c r="E183" s="270">
        <v>-2.2862</v>
      </c>
      <c r="F183" s="281"/>
      <c r="G183" s="281"/>
      <c r="H183" s="270">
        <v>-4.3840000000000003</v>
      </c>
      <c r="I183" s="262">
        <v>-4.5410000000000004</v>
      </c>
      <c r="J183" s="270">
        <v>-4.2240000000000002</v>
      </c>
      <c r="K183" s="128">
        <v>-5.2927</v>
      </c>
      <c r="L183" s="270"/>
      <c r="M183" s="270"/>
      <c r="N183" s="262">
        <f t="shared" si="32"/>
        <v>-4.3840000000000003</v>
      </c>
      <c r="O183" s="262">
        <f t="shared" si="33"/>
        <v>-4.5410000000000004</v>
      </c>
      <c r="P183" s="262">
        <f t="shared" si="34"/>
        <v>-4.2240000000000002</v>
      </c>
      <c r="Q183" s="270">
        <v>-3.3862999999999999</v>
      </c>
      <c r="R183" s="128">
        <v>-3.585</v>
      </c>
      <c r="S183" s="128">
        <v>-1.093</v>
      </c>
      <c r="T183" s="128"/>
      <c r="U183" s="270">
        <v>1.603</v>
      </c>
      <c r="V183" s="280"/>
      <c r="W183" s="262">
        <v>1.383</v>
      </c>
      <c r="X183" s="128">
        <v>1.52</v>
      </c>
      <c r="Y183" s="128"/>
      <c r="Z183" s="279"/>
      <c r="AA183" s="262">
        <v>1.452</v>
      </c>
      <c r="AB183" s="270">
        <v>1.1175999999999999</v>
      </c>
      <c r="AC183" s="270">
        <v>1.7198</v>
      </c>
      <c r="AD183" s="280"/>
      <c r="AE183" s="280"/>
      <c r="AF183" s="262">
        <f t="shared" si="26"/>
        <v>1.452</v>
      </c>
      <c r="AG183" s="128">
        <v>0.50339999999999996</v>
      </c>
      <c r="AH183" s="128"/>
      <c r="AI183" s="128"/>
      <c r="AJ183" s="128"/>
      <c r="AK183" s="128"/>
      <c r="AL183" s="128"/>
      <c r="AM183" s="242"/>
      <c r="AN183" s="270">
        <v>1.444</v>
      </c>
      <c r="AO183" s="270">
        <v>1.603</v>
      </c>
      <c r="AP183" s="270"/>
      <c r="AQ183" s="270"/>
      <c r="AR183" s="270"/>
      <c r="AS183" s="270"/>
      <c r="AT183" s="270"/>
      <c r="AU183" s="270"/>
      <c r="AV183" s="245">
        <v>0.6</v>
      </c>
      <c r="AW183" s="245"/>
      <c r="AX183" s="245"/>
      <c r="AY183" s="245">
        <v>0.4</v>
      </c>
      <c r="AZ183" s="245">
        <v>0</v>
      </c>
      <c r="BA183" s="245">
        <v>0</v>
      </c>
      <c r="BB183" s="245"/>
      <c r="BC183" s="245">
        <f t="shared" si="23"/>
        <v>1</v>
      </c>
      <c r="BD183" s="240">
        <f t="shared" si="24"/>
        <v>0.36060000000000003</v>
      </c>
      <c r="BE183" s="243">
        <f t="shared" si="27"/>
        <v>0.36060000000000003</v>
      </c>
      <c r="BF183" s="332"/>
      <c r="BG183" s="330"/>
      <c r="BH183" s="331"/>
      <c r="BI183" s="331"/>
      <c r="BJ183" s="330"/>
      <c r="BK183" s="330"/>
      <c r="BL183" s="330"/>
      <c r="BM183" s="330"/>
      <c r="BN183" s="330"/>
      <c r="BO183" s="330"/>
      <c r="BP183" s="330"/>
      <c r="BQ183" s="330"/>
      <c r="CB183" s="243">
        <f t="shared" si="29"/>
        <v>0.64340301100034303</v>
      </c>
      <c r="CC183" s="243"/>
      <c r="CD183" s="243">
        <f t="shared" si="31"/>
        <v>0.64340301100034303</v>
      </c>
      <c r="CG183" s="734">
        <f t="shared" si="25"/>
        <v>-0.32100000000000001</v>
      </c>
      <c r="CJ183" s="1264">
        <f t="shared" si="30"/>
        <v>0.79741404289037643</v>
      </c>
    </row>
    <row r="184" spans="1:88" x14ac:dyDescent="0.2">
      <c r="A184" s="19">
        <v>33116</v>
      </c>
      <c r="B184" s="262">
        <v>-9.0389999999999997</v>
      </c>
      <c r="C184" s="270">
        <v>-9.2200000000000006</v>
      </c>
      <c r="D184" s="270">
        <v>-8.8000000000000007</v>
      </c>
      <c r="E184" s="270">
        <v>-10.366099999999999</v>
      </c>
      <c r="F184" s="281"/>
      <c r="G184" s="281"/>
      <c r="H184" s="270">
        <v>-13.375999999999999</v>
      </c>
      <c r="I184" s="262">
        <v>-14.478</v>
      </c>
      <c r="J184" s="270">
        <v>-12.254</v>
      </c>
      <c r="K184" s="128">
        <v>-12.3332</v>
      </c>
      <c r="L184" s="270"/>
      <c r="M184" s="270"/>
      <c r="N184" s="262">
        <f t="shared" si="32"/>
        <v>-13.375999999999999</v>
      </c>
      <c r="O184" s="262">
        <f t="shared" si="33"/>
        <v>-14.478</v>
      </c>
      <c r="P184" s="262">
        <f t="shared" si="34"/>
        <v>-12.254</v>
      </c>
      <c r="Q184" s="270">
        <v>-13.7425</v>
      </c>
      <c r="R184" s="128">
        <v>-12.032999999999999</v>
      </c>
      <c r="S184" s="128">
        <v>-9.42</v>
      </c>
      <c r="T184" s="128"/>
      <c r="U184" s="270">
        <v>-9.5280000000000005</v>
      </c>
      <c r="V184" s="280"/>
      <c r="W184" s="262">
        <v>-1.335</v>
      </c>
      <c r="X184" s="128">
        <v>-0.65</v>
      </c>
      <c r="Y184" s="128"/>
      <c r="Z184" s="279"/>
      <c r="AA184" s="262">
        <v>-9.6829999999999998</v>
      </c>
      <c r="AB184" s="270">
        <v>-9.5115999999999996</v>
      </c>
      <c r="AC184" s="270">
        <v>-9.8516999999999992</v>
      </c>
      <c r="AD184" s="280"/>
      <c r="AE184" s="280"/>
      <c r="AF184" s="262">
        <f t="shared" si="26"/>
        <v>-9.6829999999999998</v>
      </c>
      <c r="AG184" s="128">
        <v>0.50339999999999996</v>
      </c>
      <c r="AH184" s="128"/>
      <c r="AI184" s="128"/>
      <c r="AJ184" s="128"/>
      <c r="AK184" s="128"/>
      <c r="AL184" s="128"/>
      <c r="AM184" s="242"/>
      <c r="AN184" s="270">
        <v>-9.6819000000000006</v>
      </c>
      <c r="AO184" s="270">
        <v>-9.5280000000000005</v>
      </c>
      <c r="AP184" s="270"/>
      <c r="AQ184" s="270"/>
      <c r="AR184" s="270"/>
      <c r="AS184" s="270"/>
      <c r="AT184" s="270"/>
      <c r="AU184" s="270"/>
      <c r="AV184" s="245">
        <v>0.6</v>
      </c>
      <c r="AW184" s="245"/>
      <c r="AX184" s="245"/>
      <c r="AY184" s="245">
        <v>0.4</v>
      </c>
      <c r="AZ184" s="245">
        <v>0</v>
      </c>
      <c r="BA184" s="245">
        <v>0</v>
      </c>
      <c r="BB184" s="245"/>
      <c r="BC184" s="245">
        <f t="shared" si="23"/>
        <v>1</v>
      </c>
      <c r="BD184" s="240">
        <f t="shared" si="24"/>
        <v>-5.9573999999999998</v>
      </c>
      <c r="BE184" s="243">
        <f t="shared" si="27"/>
        <v>-5.9573999999999998</v>
      </c>
      <c r="BF184" s="332"/>
      <c r="BG184" s="330"/>
      <c r="BH184" s="331"/>
      <c r="BI184" s="331"/>
      <c r="BJ184" s="330"/>
      <c r="BK184" s="330"/>
      <c r="BL184" s="330"/>
      <c r="BM184" s="330"/>
      <c r="BN184" s="330"/>
      <c r="BO184" s="330"/>
      <c r="BP184" s="330"/>
      <c r="BQ184" s="330"/>
      <c r="CB184" s="243">
        <f t="shared" si="29"/>
        <v>0.64340301100034303</v>
      </c>
      <c r="CC184" s="243"/>
      <c r="CD184" s="243">
        <f t="shared" si="31"/>
        <v>0.64340301100034303</v>
      </c>
      <c r="CG184" s="734">
        <f t="shared" si="25"/>
        <v>-9.0389999999999997</v>
      </c>
      <c r="CJ184" s="1264">
        <f t="shared" si="30"/>
        <v>0.79741404289037643</v>
      </c>
    </row>
    <row r="185" spans="1:88" x14ac:dyDescent="0.2">
      <c r="A185" s="19">
        <v>33146</v>
      </c>
      <c r="B185" s="262">
        <v>-4.867</v>
      </c>
      <c r="C185" s="270">
        <v>-5.1599000000000004</v>
      </c>
      <c r="D185" s="270">
        <v>-4.63</v>
      </c>
      <c r="E185" s="270">
        <v>-6.1238999999999999</v>
      </c>
      <c r="F185" s="281"/>
      <c r="G185" s="281"/>
      <c r="H185" s="270">
        <v>-8.891</v>
      </c>
      <c r="I185" s="262">
        <v>-9.4730000000000008</v>
      </c>
      <c r="J185" s="270">
        <v>-8.3089999999999993</v>
      </c>
      <c r="K185" s="128">
        <v>-9.3130000000000006</v>
      </c>
      <c r="L185" s="270"/>
      <c r="M185" s="270"/>
      <c r="N185" s="262">
        <f t="shared" si="32"/>
        <v>-8.891</v>
      </c>
      <c r="O185" s="262">
        <f t="shared" si="33"/>
        <v>-9.4730000000000008</v>
      </c>
      <c r="P185" s="262">
        <f t="shared" si="34"/>
        <v>-8.3089999999999993</v>
      </c>
      <c r="Q185" s="270">
        <v>-8.9098000000000006</v>
      </c>
      <c r="R185" s="128">
        <v>-8.0090000000000003</v>
      </c>
      <c r="S185" s="128">
        <v>-5.3129999999999997</v>
      </c>
      <c r="T185" s="128"/>
      <c r="U185" s="270">
        <v>-13.33</v>
      </c>
      <c r="V185" s="280"/>
      <c r="W185" s="262">
        <v>0.82699999999999996</v>
      </c>
      <c r="X185" s="128">
        <v>0.79</v>
      </c>
      <c r="Y185" s="128"/>
      <c r="Z185" s="279"/>
      <c r="AA185" s="262">
        <v>-13.907</v>
      </c>
      <c r="AB185" s="270">
        <v>-15.162800000000001</v>
      </c>
      <c r="AC185" s="270">
        <v>-12.6622</v>
      </c>
      <c r="AD185" s="280"/>
      <c r="AE185" s="280"/>
      <c r="AF185" s="262">
        <f t="shared" si="26"/>
        <v>-13.907</v>
      </c>
      <c r="AG185" s="128">
        <v>0.50339999999999996</v>
      </c>
      <c r="AH185" s="128"/>
      <c r="AI185" s="128"/>
      <c r="AJ185" s="128"/>
      <c r="AK185" s="128"/>
      <c r="AL185" s="128"/>
      <c r="AM185" s="242"/>
      <c r="AN185" s="270">
        <v>-13.917400000000001</v>
      </c>
      <c r="AO185" s="270">
        <v>-13.33</v>
      </c>
      <c r="AP185" s="270"/>
      <c r="AQ185" s="270"/>
      <c r="AR185" s="270"/>
      <c r="AS185" s="270"/>
      <c r="AT185" s="270"/>
      <c r="AU185" s="270"/>
      <c r="AV185" s="245">
        <v>0.6</v>
      </c>
      <c r="AW185" s="245"/>
      <c r="AX185" s="245"/>
      <c r="AY185" s="245">
        <v>0.4</v>
      </c>
      <c r="AZ185" s="245">
        <v>0</v>
      </c>
      <c r="BA185" s="245">
        <v>0</v>
      </c>
      <c r="BB185" s="245"/>
      <c r="BC185" s="245">
        <f t="shared" si="23"/>
        <v>1</v>
      </c>
      <c r="BD185" s="240">
        <f t="shared" si="24"/>
        <v>-2.5893999999999999</v>
      </c>
      <c r="BE185" s="243">
        <f t="shared" si="27"/>
        <v>-2.5893999999999999</v>
      </c>
      <c r="BF185" s="332"/>
      <c r="BG185" s="330"/>
      <c r="BH185" s="331"/>
      <c r="BI185" s="331"/>
      <c r="BJ185" s="330"/>
      <c r="BK185" s="330"/>
      <c r="BL185" s="330"/>
      <c r="BM185" s="330"/>
      <c r="BN185" s="330"/>
      <c r="BO185" s="330"/>
      <c r="BP185" s="330"/>
      <c r="BQ185" s="330"/>
      <c r="CB185" s="243">
        <f t="shared" si="29"/>
        <v>0.64340301100034303</v>
      </c>
      <c r="CC185" s="243"/>
      <c r="CD185" s="243">
        <f t="shared" si="31"/>
        <v>0.64340301100034303</v>
      </c>
      <c r="CG185" s="734">
        <f t="shared" si="25"/>
        <v>-4.867</v>
      </c>
      <c r="CJ185" s="1264">
        <f t="shared" si="30"/>
        <v>0.79741404289037643</v>
      </c>
    </row>
    <row r="186" spans="1:88" x14ac:dyDescent="0.2">
      <c r="A186" s="19">
        <v>33177</v>
      </c>
      <c r="B186" s="262">
        <v>-0.42599999999999999</v>
      </c>
      <c r="C186" s="270">
        <v>0.65990000000000004</v>
      </c>
      <c r="D186" s="270">
        <v>-1.42</v>
      </c>
      <c r="E186" s="270">
        <v>-3.0461999999999998</v>
      </c>
      <c r="F186" s="281"/>
      <c r="G186" s="281"/>
      <c r="H186" s="270">
        <v>-6.1050000000000004</v>
      </c>
      <c r="I186" s="262">
        <v>-5.6070000000000002</v>
      </c>
      <c r="J186" s="270">
        <v>-6.601</v>
      </c>
      <c r="K186" s="128">
        <v>-7.0464000000000002</v>
      </c>
      <c r="L186" s="270"/>
      <c r="M186" s="270"/>
      <c r="N186" s="262">
        <f t="shared" si="32"/>
        <v>-6.1050000000000004</v>
      </c>
      <c r="O186" s="262">
        <f t="shared" si="33"/>
        <v>-5.6070000000000002</v>
      </c>
      <c r="P186" s="262">
        <f t="shared" si="34"/>
        <v>-6.601</v>
      </c>
      <c r="Q186" s="270">
        <v>-4.4915000000000003</v>
      </c>
      <c r="R186" s="128">
        <v>-4.7530000000000001</v>
      </c>
      <c r="S186" s="128">
        <v>-0.78200000000000003</v>
      </c>
      <c r="T186" s="128"/>
      <c r="U186" s="270">
        <v>14.355</v>
      </c>
      <c r="V186" s="280"/>
      <c r="W186" s="262">
        <v>1.27</v>
      </c>
      <c r="X186" s="128">
        <v>1.1499999999999999</v>
      </c>
      <c r="Y186" s="128"/>
      <c r="Z186" s="279"/>
      <c r="AA186" s="262">
        <v>15.614000000000001</v>
      </c>
      <c r="AB186" s="270">
        <v>17.614999999999998</v>
      </c>
      <c r="AC186" s="270">
        <v>13.8141</v>
      </c>
      <c r="AD186" s="280"/>
      <c r="AE186" s="280"/>
      <c r="AF186" s="262">
        <f t="shared" si="26"/>
        <v>15.614000000000001</v>
      </c>
      <c r="AG186" s="128">
        <v>0.27879999999999999</v>
      </c>
      <c r="AH186" s="128"/>
      <c r="AI186" s="128"/>
      <c r="AJ186" s="128"/>
      <c r="AK186" s="128"/>
      <c r="AL186" s="128"/>
      <c r="AM186" s="242"/>
      <c r="AN186" s="270">
        <v>15.629799999999999</v>
      </c>
      <c r="AO186" s="270">
        <v>14.355</v>
      </c>
      <c r="AP186" s="270"/>
      <c r="AQ186" s="270"/>
      <c r="AR186" s="270"/>
      <c r="AS186" s="270"/>
      <c r="AT186" s="270"/>
      <c r="AU186" s="270"/>
      <c r="AV186" s="245">
        <v>0.6</v>
      </c>
      <c r="AW186" s="245"/>
      <c r="AX186" s="245"/>
      <c r="AY186" s="245">
        <v>0.4</v>
      </c>
      <c r="AZ186" s="245">
        <v>0</v>
      </c>
      <c r="BA186" s="245">
        <v>0</v>
      </c>
      <c r="BB186" s="245"/>
      <c r="BC186" s="245">
        <f t="shared" si="23"/>
        <v>1</v>
      </c>
      <c r="BD186" s="240">
        <f t="shared" si="24"/>
        <v>0.25240000000000001</v>
      </c>
      <c r="BE186" s="243">
        <f t="shared" si="27"/>
        <v>0.25240000000000001</v>
      </c>
      <c r="BF186" s="332"/>
      <c r="BG186" s="330"/>
      <c r="BH186" s="331"/>
      <c r="BI186" s="331"/>
      <c r="BJ186" s="330"/>
      <c r="BK186" s="330"/>
      <c r="BL186" s="330"/>
      <c r="BM186" s="330"/>
      <c r="BN186" s="330"/>
      <c r="BO186" s="330"/>
      <c r="BP186" s="330"/>
      <c r="BQ186" s="330"/>
      <c r="CB186" s="243">
        <f t="shared" si="29"/>
        <v>0.64340301100034303</v>
      </c>
      <c r="CC186" s="243"/>
      <c r="CD186" s="243">
        <f t="shared" si="31"/>
        <v>0.64340301100034303</v>
      </c>
      <c r="CG186" s="734">
        <f t="shared" si="25"/>
        <v>-0.42599999999999999</v>
      </c>
      <c r="CJ186" s="1264">
        <f t="shared" si="30"/>
        <v>0.79741404289037643</v>
      </c>
    </row>
    <row r="187" spans="1:88" x14ac:dyDescent="0.2">
      <c r="A187" s="19">
        <v>33207</v>
      </c>
      <c r="B187" s="262">
        <v>6.4640000000000004</v>
      </c>
      <c r="C187" s="270">
        <v>6.0399000000000003</v>
      </c>
      <c r="D187" s="270">
        <v>6.83</v>
      </c>
      <c r="E187" s="270">
        <v>9.6112000000000002</v>
      </c>
      <c r="F187" s="281"/>
      <c r="G187" s="281"/>
      <c r="H187" s="270">
        <v>7.6289999999999996</v>
      </c>
      <c r="I187" s="262">
        <v>9.1929999999999996</v>
      </c>
      <c r="J187" s="270">
        <v>6.05</v>
      </c>
      <c r="K187" s="128">
        <v>7.2423000000000002</v>
      </c>
      <c r="L187" s="270"/>
      <c r="M187" s="270"/>
      <c r="N187" s="262">
        <f t="shared" si="32"/>
        <v>7.6289999999999996</v>
      </c>
      <c r="O187" s="262">
        <f t="shared" si="33"/>
        <v>9.1929999999999996</v>
      </c>
      <c r="P187" s="262">
        <f t="shared" si="34"/>
        <v>6.05</v>
      </c>
      <c r="Q187" s="270">
        <v>9.9146999999999998</v>
      </c>
      <c r="R187" s="128">
        <v>8.5239999999999991</v>
      </c>
      <c r="S187" s="128">
        <v>6.8739999999999997</v>
      </c>
      <c r="T187" s="128"/>
      <c r="U187" s="270">
        <v>-5.5579999999999998</v>
      </c>
      <c r="V187" s="280"/>
      <c r="W187" s="262">
        <v>2.153</v>
      </c>
      <c r="X187" s="128">
        <v>1.74</v>
      </c>
      <c r="Y187" s="128"/>
      <c r="Z187" s="279"/>
      <c r="AA187" s="262">
        <v>-5.867</v>
      </c>
      <c r="AB187" s="270">
        <v>-5.7525000000000004</v>
      </c>
      <c r="AC187" s="270">
        <v>-5.9904000000000002</v>
      </c>
      <c r="AD187" s="280"/>
      <c r="AE187" s="280"/>
      <c r="AF187" s="262">
        <f t="shared" si="26"/>
        <v>-5.867</v>
      </c>
      <c r="AG187" s="128">
        <v>0.27879999999999999</v>
      </c>
      <c r="AH187" s="128"/>
      <c r="AI187" s="128"/>
      <c r="AJ187" s="128"/>
      <c r="AK187" s="128"/>
      <c r="AL187" s="128"/>
      <c r="AM187" s="242"/>
      <c r="AN187" s="270">
        <v>-5.8718000000000004</v>
      </c>
      <c r="AO187" s="270">
        <v>-5.5579999999999998</v>
      </c>
      <c r="AP187" s="270"/>
      <c r="AQ187" s="270"/>
      <c r="AR187" s="270"/>
      <c r="AS187" s="270"/>
      <c r="AT187" s="270"/>
      <c r="AU187" s="270"/>
      <c r="AV187" s="245">
        <v>0.6</v>
      </c>
      <c r="AW187" s="245"/>
      <c r="AX187" s="245"/>
      <c r="AY187" s="245">
        <v>0.4</v>
      </c>
      <c r="AZ187" s="245">
        <v>0</v>
      </c>
      <c r="BA187" s="245">
        <v>0</v>
      </c>
      <c r="BB187" s="245"/>
      <c r="BC187" s="245">
        <f t="shared" si="23"/>
        <v>1</v>
      </c>
      <c r="BD187" s="240">
        <f t="shared" si="24"/>
        <v>4.7396000000000003</v>
      </c>
      <c r="BE187" s="243">
        <f t="shared" si="27"/>
        <v>4.7396000000000003</v>
      </c>
      <c r="BF187" s="332"/>
      <c r="BG187" s="330"/>
      <c r="BH187" s="331"/>
      <c r="BI187" s="331"/>
      <c r="BJ187" s="330"/>
      <c r="BK187" s="330"/>
      <c r="BL187" s="330"/>
      <c r="BM187" s="330"/>
      <c r="BN187" s="330"/>
      <c r="BO187" s="330"/>
      <c r="BP187" s="330"/>
      <c r="BQ187" s="330"/>
      <c r="CB187" s="243">
        <f t="shared" si="29"/>
        <v>0.64340301100034303</v>
      </c>
      <c r="CC187" s="243"/>
      <c r="CD187" s="243">
        <f t="shared" si="31"/>
        <v>0.64340301100034303</v>
      </c>
      <c r="CG187" s="734">
        <f t="shared" si="25"/>
        <v>6.4640000000000004</v>
      </c>
      <c r="CJ187" s="1264">
        <f t="shared" si="30"/>
        <v>0.79741404289037643</v>
      </c>
    </row>
    <row r="188" spans="1:88" x14ac:dyDescent="0.2">
      <c r="A188" s="19">
        <v>33238</v>
      </c>
      <c r="B188" s="262">
        <v>2.786</v>
      </c>
      <c r="C188" s="270">
        <v>3.1800999999999999</v>
      </c>
      <c r="D188" s="270">
        <v>2.2599999999999998</v>
      </c>
      <c r="E188" s="270">
        <v>5.8053999999999997</v>
      </c>
      <c r="F188" s="281"/>
      <c r="G188" s="281"/>
      <c r="H188" s="270">
        <v>3.927</v>
      </c>
      <c r="I188" s="262">
        <v>4.7699999999999996</v>
      </c>
      <c r="J188" s="270">
        <v>3.048</v>
      </c>
      <c r="K188" s="128">
        <v>3.3932000000000002</v>
      </c>
      <c r="L188" s="270"/>
      <c r="M188" s="270"/>
      <c r="N188" s="262">
        <f t="shared" si="32"/>
        <v>3.927</v>
      </c>
      <c r="O188" s="262">
        <f t="shared" si="33"/>
        <v>4.7699999999999996</v>
      </c>
      <c r="P188" s="262">
        <f t="shared" si="34"/>
        <v>3.048</v>
      </c>
      <c r="Q188" s="270">
        <v>5.5833000000000004</v>
      </c>
      <c r="R188" s="128">
        <v>4.4569999999999999</v>
      </c>
      <c r="S188" s="128">
        <v>3.0819999999999999</v>
      </c>
      <c r="T188" s="128"/>
      <c r="U188" s="270">
        <v>1.8260000000000001</v>
      </c>
      <c r="V188" s="280"/>
      <c r="W188" s="262">
        <v>1.5580000000000001</v>
      </c>
      <c r="X188" s="128">
        <v>1.48</v>
      </c>
      <c r="Y188" s="128"/>
      <c r="Z188" s="279"/>
      <c r="AA188" s="262">
        <v>1.659</v>
      </c>
      <c r="AB188" s="270">
        <v>2.2277999999999998</v>
      </c>
      <c r="AC188" s="270">
        <v>1.1006</v>
      </c>
      <c r="AD188" s="280"/>
      <c r="AE188" s="280"/>
      <c r="AF188" s="262">
        <f t="shared" si="26"/>
        <v>1.659</v>
      </c>
      <c r="AG188" s="128">
        <v>0.27879999999999999</v>
      </c>
      <c r="AH188" s="128"/>
      <c r="AI188" s="128"/>
      <c r="AJ188" s="128"/>
      <c r="AK188" s="128"/>
      <c r="AL188" s="128"/>
      <c r="AM188" s="242"/>
      <c r="AN188" s="270">
        <v>1.6676</v>
      </c>
      <c r="AO188" s="270">
        <v>1.8260000000000001</v>
      </c>
      <c r="AP188" s="270"/>
      <c r="AQ188" s="270"/>
      <c r="AR188" s="270"/>
      <c r="AS188" s="270"/>
      <c r="AT188" s="270"/>
      <c r="AU188" s="270"/>
      <c r="AV188" s="245">
        <v>0.6</v>
      </c>
      <c r="AW188" s="245"/>
      <c r="AX188" s="245"/>
      <c r="AY188" s="245">
        <v>0.4</v>
      </c>
      <c r="AZ188" s="245">
        <v>0</v>
      </c>
      <c r="BA188" s="245">
        <v>0</v>
      </c>
      <c r="BB188" s="245"/>
      <c r="BC188" s="245">
        <f t="shared" si="23"/>
        <v>1</v>
      </c>
      <c r="BD188" s="240">
        <f t="shared" si="24"/>
        <v>2.2948</v>
      </c>
      <c r="BE188" s="243">
        <f t="shared" si="27"/>
        <v>2.2948</v>
      </c>
      <c r="BF188" s="332"/>
      <c r="BG188" s="330"/>
      <c r="BH188" s="331"/>
      <c r="BI188" s="331"/>
      <c r="BJ188" s="330"/>
      <c r="BK188" s="330"/>
      <c r="BL188" s="330"/>
      <c r="BM188" s="330"/>
      <c r="BN188" s="330"/>
      <c r="BO188" s="330"/>
      <c r="BP188" s="330"/>
      <c r="BQ188" s="330"/>
      <c r="CB188" s="243">
        <f t="shared" si="29"/>
        <v>0.64340301100034303</v>
      </c>
      <c r="CC188" s="243"/>
      <c r="CD188" s="243">
        <f t="shared" si="31"/>
        <v>0.64340301100034303</v>
      </c>
      <c r="CG188" s="734">
        <f t="shared" si="25"/>
        <v>2.786</v>
      </c>
      <c r="CJ188" s="1264">
        <f t="shared" si="30"/>
        <v>0.79741404289037643</v>
      </c>
    </row>
    <row r="189" spans="1:88" x14ac:dyDescent="0.2">
      <c r="A189" s="19">
        <v>33269</v>
      </c>
      <c r="B189" s="262">
        <v>4.3550000000000004</v>
      </c>
      <c r="C189" s="270">
        <v>4.1601999999999997</v>
      </c>
      <c r="D189" s="270">
        <v>4.7300000000000004</v>
      </c>
      <c r="E189" s="270">
        <v>7.9</v>
      </c>
      <c r="F189" s="281"/>
      <c r="G189" s="281"/>
      <c r="H189" s="270">
        <v>9.01</v>
      </c>
      <c r="I189" s="262">
        <v>9.391</v>
      </c>
      <c r="J189" s="270">
        <v>8.6029999999999998</v>
      </c>
      <c r="K189" s="128">
        <v>7.1809000000000003</v>
      </c>
      <c r="L189" s="270"/>
      <c r="M189" s="270"/>
      <c r="N189" s="262">
        <f t="shared" si="32"/>
        <v>9.01</v>
      </c>
      <c r="O189" s="262">
        <f t="shared" si="33"/>
        <v>9.391</v>
      </c>
      <c r="P189" s="262">
        <f t="shared" si="34"/>
        <v>8.6029999999999998</v>
      </c>
      <c r="Q189" s="270">
        <v>9.3035999999999994</v>
      </c>
      <c r="R189" s="128">
        <v>7.9530000000000003</v>
      </c>
      <c r="S189" s="128">
        <v>5.0179999999999998</v>
      </c>
      <c r="T189" s="128"/>
      <c r="U189" s="270">
        <v>3.125</v>
      </c>
      <c r="V189" s="280"/>
      <c r="W189" s="262">
        <v>1.236</v>
      </c>
      <c r="X189" s="128">
        <v>1.2</v>
      </c>
      <c r="Y189" s="128"/>
      <c r="Z189" s="279"/>
      <c r="AA189" s="262">
        <v>3.26</v>
      </c>
      <c r="AB189" s="270">
        <v>3.7370000000000001</v>
      </c>
      <c r="AC189" s="270">
        <v>2.8028</v>
      </c>
      <c r="AD189" s="280"/>
      <c r="AE189" s="280"/>
      <c r="AF189" s="262">
        <f t="shared" si="26"/>
        <v>3.26</v>
      </c>
      <c r="AG189" s="128">
        <v>-0.47989999999999999</v>
      </c>
      <c r="AH189" s="128"/>
      <c r="AI189" s="128"/>
      <c r="AJ189" s="128"/>
      <c r="AK189" s="128"/>
      <c r="AL189" s="128"/>
      <c r="AM189" s="242"/>
      <c r="AN189" s="270">
        <v>3.2603</v>
      </c>
      <c r="AO189" s="270">
        <v>3.125</v>
      </c>
      <c r="AP189" s="270"/>
      <c r="AQ189" s="270"/>
      <c r="AR189" s="270"/>
      <c r="AS189" s="270"/>
      <c r="AT189" s="270"/>
      <c r="AU189" s="270"/>
      <c r="AV189" s="245">
        <v>0.6</v>
      </c>
      <c r="AW189" s="245"/>
      <c r="AX189" s="245"/>
      <c r="AY189" s="245">
        <v>0.4</v>
      </c>
      <c r="AZ189" s="245">
        <v>0</v>
      </c>
      <c r="BA189" s="245">
        <v>0</v>
      </c>
      <c r="BB189" s="245"/>
      <c r="BC189" s="245">
        <f t="shared" si="23"/>
        <v>1</v>
      </c>
      <c r="BD189" s="240">
        <f t="shared" si="24"/>
        <v>3.1074000000000002</v>
      </c>
      <c r="BE189" s="243">
        <f t="shared" si="27"/>
        <v>3.1074000000000002</v>
      </c>
      <c r="BF189" s="332"/>
      <c r="BG189" s="330"/>
      <c r="BH189" s="331"/>
      <c r="BI189" s="331"/>
      <c r="BJ189" s="330"/>
      <c r="BK189" s="330"/>
      <c r="BL189" s="330"/>
      <c r="BM189" s="330"/>
      <c r="BN189" s="330"/>
      <c r="BO189" s="330"/>
      <c r="BP189" s="330"/>
      <c r="BQ189" s="330"/>
      <c r="CB189" s="243">
        <f t="shared" si="29"/>
        <v>0.64340301100034303</v>
      </c>
      <c r="CC189" s="243"/>
      <c r="CD189" s="243">
        <f t="shared" si="31"/>
        <v>0.64340301100034303</v>
      </c>
      <c r="CG189" s="734">
        <f t="shared" si="25"/>
        <v>4.3550000000000004</v>
      </c>
      <c r="CJ189" s="1264">
        <f t="shared" si="30"/>
        <v>0.79741404289037643</v>
      </c>
    </row>
    <row r="190" spans="1:88" x14ac:dyDescent="0.2">
      <c r="A190" s="19">
        <v>33297</v>
      </c>
      <c r="B190" s="262">
        <v>7.1520000000000001</v>
      </c>
      <c r="C190" s="270">
        <v>7.7497999999999996</v>
      </c>
      <c r="D190" s="270">
        <v>6.52</v>
      </c>
      <c r="E190" s="270">
        <v>8.9786000000000001</v>
      </c>
      <c r="F190" s="281"/>
      <c r="G190" s="281"/>
      <c r="H190" s="270">
        <v>11.215</v>
      </c>
      <c r="I190" s="262">
        <v>11.489000000000001</v>
      </c>
      <c r="J190" s="270">
        <v>10.92</v>
      </c>
      <c r="K190" s="128">
        <v>11.3184</v>
      </c>
      <c r="L190" s="270"/>
      <c r="M190" s="270"/>
      <c r="N190" s="262">
        <f t="shared" si="32"/>
        <v>11.215</v>
      </c>
      <c r="O190" s="262">
        <f t="shared" si="33"/>
        <v>11.489000000000001</v>
      </c>
      <c r="P190" s="262">
        <f t="shared" si="34"/>
        <v>10.92</v>
      </c>
      <c r="Q190" s="270">
        <v>10.809799999999999</v>
      </c>
      <c r="R190" s="128">
        <v>10.19</v>
      </c>
      <c r="S190" s="128">
        <v>7.5</v>
      </c>
      <c r="T190" s="128"/>
      <c r="U190" s="270">
        <v>10.74</v>
      </c>
      <c r="V190" s="280"/>
      <c r="W190" s="262">
        <v>0.85360000000000003</v>
      </c>
      <c r="X190" s="128">
        <v>0.81</v>
      </c>
      <c r="Y190" s="128"/>
      <c r="Z190" s="279"/>
      <c r="AA190" s="262">
        <v>10.749000000000001</v>
      </c>
      <c r="AB190" s="270">
        <v>9.8383000000000003</v>
      </c>
      <c r="AC190" s="270">
        <v>11.6348</v>
      </c>
      <c r="AD190" s="280"/>
      <c r="AE190" s="280"/>
      <c r="AF190" s="262">
        <f t="shared" si="26"/>
        <v>10.749000000000001</v>
      </c>
      <c r="AG190" s="128">
        <v>-0.47989999999999999</v>
      </c>
      <c r="AH190" s="128"/>
      <c r="AI190" s="128"/>
      <c r="AJ190" s="128"/>
      <c r="AK190" s="128"/>
      <c r="AL190" s="128"/>
      <c r="AM190" s="242"/>
      <c r="AN190" s="270">
        <v>10.733499999999999</v>
      </c>
      <c r="AO190" s="270">
        <v>10.74</v>
      </c>
      <c r="AP190" s="270"/>
      <c r="AQ190" s="270"/>
      <c r="AR190" s="270"/>
      <c r="AS190" s="270"/>
      <c r="AT190" s="270"/>
      <c r="AU190" s="270"/>
      <c r="AV190" s="245">
        <v>0.6</v>
      </c>
      <c r="AW190" s="245"/>
      <c r="AX190" s="245"/>
      <c r="AY190" s="245">
        <v>0.4</v>
      </c>
      <c r="AZ190" s="245">
        <v>0</v>
      </c>
      <c r="BA190" s="245">
        <v>0</v>
      </c>
      <c r="BB190" s="245"/>
      <c r="BC190" s="245">
        <f t="shared" si="23"/>
        <v>1</v>
      </c>
      <c r="BD190" s="240">
        <f t="shared" si="24"/>
        <v>4.6326400000000003</v>
      </c>
      <c r="BE190" s="243">
        <f t="shared" si="27"/>
        <v>4.6326400000000003</v>
      </c>
      <c r="BF190" s="332"/>
      <c r="BG190" s="330"/>
      <c r="BH190" s="331"/>
      <c r="BI190" s="331"/>
      <c r="BJ190" s="330"/>
      <c r="BK190" s="330"/>
      <c r="BL190" s="330"/>
      <c r="BM190" s="330"/>
      <c r="BN190" s="330"/>
      <c r="BO190" s="330"/>
      <c r="BP190" s="330"/>
      <c r="BQ190" s="330"/>
      <c r="CB190" s="243">
        <f t="shared" si="29"/>
        <v>0.64340301100034303</v>
      </c>
      <c r="CC190" s="243"/>
      <c r="CD190" s="243">
        <f t="shared" si="31"/>
        <v>0.64340301100034303</v>
      </c>
      <c r="CG190" s="734">
        <f t="shared" si="25"/>
        <v>7.1520000000000001</v>
      </c>
      <c r="CJ190" s="1264">
        <f t="shared" si="30"/>
        <v>0.79741404289037643</v>
      </c>
    </row>
    <row r="191" spans="1:88" x14ac:dyDescent="0.2">
      <c r="A191" s="19">
        <v>33328</v>
      </c>
      <c r="B191" s="262">
        <v>2.4220000000000002</v>
      </c>
      <c r="C191" s="270">
        <v>3.7801999999999998</v>
      </c>
      <c r="D191" s="270">
        <v>0.91</v>
      </c>
      <c r="E191" s="270">
        <v>4.5621999999999998</v>
      </c>
      <c r="F191" s="281"/>
      <c r="G191" s="281"/>
      <c r="H191" s="270">
        <v>7.0129999999999999</v>
      </c>
      <c r="I191" s="262">
        <v>7.0449999999999999</v>
      </c>
      <c r="J191" s="270">
        <v>6.9790000000000001</v>
      </c>
      <c r="K191" s="128">
        <v>6.2854999999999999</v>
      </c>
      <c r="L191" s="270"/>
      <c r="M191" s="270"/>
      <c r="N191" s="262">
        <f t="shared" si="32"/>
        <v>7.0129999999999999</v>
      </c>
      <c r="O191" s="262">
        <f t="shared" si="33"/>
        <v>7.0449999999999999</v>
      </c>
      <c r="P191" s="262">
        <f t="shared" si="34"/>
        <v>6.9790000000000001</v>
      </c>
      <c r="Q191" s="270">
        <v>6.3963999999999999</v>
      </c>
      <c r="R191" s="128">
        <v>5.4740000000000002</v>
      </c>
      <c r="S191" s="128">
        <v>2.952</v>
      </c>
      <c r="T191" s="128"/>
      <c r="U191" s="270">
        <v>-5.5030000000000001</v>
      </c>
      <c r="V191" s="280"/>
      <c r="W191" s="262">
        <v>0.68799999999999994</v>
      </c>
      <c r="X191" s="128">
        <v>0.68</v>
      </c>
      <c r="Y191" s="128"/>
      <c r="Z191" s="279"/>
      <c r="AA191" s="262">
        <v>-5.9790000000000001</v>
      </c>
      <c r="AB191" s="270">
        <v>-5.6616</v>
      </c>
      <c r="AC191" s="270">
        <v>-6.4343000000000004</v>
      </c>
      <c r="AD191" s="280"/>
      <c r="AE191" s="280"/>
      <c r="AF191" s="262">
        <f t="shared" si="26"/>
        <v>-5.9790000000000001</v>
      </c>
      <c r="AG191" s="128">
        <v>-0.47989999999999999</v>
      </c>
      <c r="AH191" s="128"/>
      <c r="AI191" s="128"/>
      <c r="AJ191" s="128"/>
      <c r="AK191" s="128"/>
      <c r="AL191" s="128"/>
      <c r="AM191" s="242"/>
      <c r="AN191" s="270">
        <v>-5.9821999999999997</v>
      </c>
      <c r="AO191" s="270">
        <v>-5.5030000000000001</v>
      </c>
      <c r="AP191" s="270"/>
      <c r="AQ191" s="270"/>
      <c r="AR191" s="270"/>
      <c r="AS191" s="270"/>
      <c r="AT191" s="270"/>
      <c r="AU191" s="270"/>
      <c r="AV191" s="245">
        <v>0.6</v>
      </c>
      <c r="AW191" s="245"/>
      <c r="AX191" s="245"/>
      <c r="AY191" s="245">
        <v>0.4</v>
      </c>
      <c r="AZ191" s="245">
        <v>0</v>
      </c>
      <c r="BA191" s="245">
        <v>0</v>
      </c>
      <c r="BB191" s="245"/>
      <c r="BC191" s="245">
        <f t="shared" si="23"/>
        <v>1</v>
      </c>
      <c r="BD191" s="240">
        <f t="shared" si="24"/>
        <v>1.7284000000000002</v>
      </c>
      <c r="BE191" s="243">
        <f t="shared" si="27"/>
        <v>1.7284000000000002</v>
      </c>
      <c r="BF191" s="332"/>
      <c r="BG191" s="330"/>
      <c r="BH191" s="331"/>
      <c r="BI191" s="331"/>
      <c r="BJ191" s="330"/>
      <c r="BK191" s="330"/>
      <c r="BL191" s="330"/>
      <c r="BM191" s="330"/>
      <c r="BN191" s="330"/>
      <c r="BO191" s="330"/>
      <c r="BP191" s="330"/>
      <c r="BQ191" s="330"/>
      <c r="CB191" s="243">
        <f t="shared" si="29"/>
        <v>0.64340301100034303</v>
      </c>
      <c r="CC191" s="243"/>
      <c r="CD191" s="243">
        <f t="shared" si="31"/>
        <v>0.64340301100034303</v>
      </c>
      <c r="CG191" s="734">
        <f t="shared" si="25"/>
        <v>2.4220000000000002</v>
      </c>
      <c r="CJ191" s="1264">
        <f t="shared" si="30"/>
        <v>0.79741404289037643</v>
      </c>
    </row>
    <row r="192" spans="1:88" x14ac:dyDescent="0.2">
      <c r="A192" s="19">
        <v>33358</v>
      </c>
      <c r="B192" s="262">
        <v>0.23699999999999999</v>
      </c>
      <c r="C192" s="270">
        <v>-0.19020000000000001</v>
      </c>
      <c r="D192" s="270">
        <v>0.79</v>
      </c>
      <c r="E192" s="270">
        <v>-2.46E-2</v>
      </c>
      <c r="F192" s="281"/>
      <c r="G192" s="281"/>
      <c r="H192" s="270">
        <v>-0.25800000000000001</v>
      </c>
      <c r="I192" s="262">
        <v>-1.19</v>
      </c>
      <c r="J192" s="270">
        <v>0.76700000000000002</v>
      </c>
      <c r="K192" s="128">
        <v>0.22889999999999999</v>
      </c>
      <c r="L192" s="270"/>
      <c r="M192" s="270"/>
      <c r="N192" s="262">
        <f t="shared" si="32"/>
        <v>-0.25800000000000001</v>
      </c>
      <c r="O192" s="262">
        <f t="shared" si="33"/>
        <v>-1.19</v>
      </c>
      <c r="P192" s="262">
        <f t="shared" si="34"/>
        <v>0.76700000000000002</v>
      </c>
      <c r="Q192" s="270">
        <v>-2.2448999999999999</v>
      </c>
      <c r="R192" s="128">
        <v>-0.219</v>
      </c>
      <c r="S192" s="128">
        <v>0.10100000000000001</v>
      </c>
      <c r="T192" s="128"/>
      <c r="U192" s="270">
        <v>1.0860000000000001</v>
      </c>
      <c r="V192" s="280"/>
      <c r="W192" s="262">
        <v>1.0832999999999999</v>
      </c>
      <c r="X192" s="128">
        <v>1.03</v>
      </c>
      <c r="Y192" s="128"/>
      <c r="Z192" s="279"/>
      <c r="AA192" s="262">
        <v>1.0109999999999999</v>
      </c>
      <c r="AB192" s="270">
        <v>1.0548999999999999</v>
      </c>
      <c r="AC192" s="270">
        <v>1.0711999999999999</v>
      </c>
      <c r="AD192" s="280"/>
      <c r="AE192" s="280"/>
      <c r="AF192" s="262">
        <f t="shared" si="26"/>
        <v>1.0109999999999999</v>
      </c>
      <c r="AG192" s="128">
        <v>1.5299999999999999E-2</v>
      </c>
      <c r="AH192" s="128"/>
      <c r="AI192" s="128"/>
      <c r="AJ192" s="128"/>
      <c r="AK192" s="128"/>
      <c r="AL192" s="128"/>
      <c r="AM192" s="242"/>
      <c r="AN192" s="270">
        <v>1.0287999999999999</v>
      </c>
      <c r="AO192" s="270">
        <v>1.0860000000000001</v>
      </c>
      <c r="AP192" s="270"/>
      <c r="AQ192" s="270"/>
      <c r="AR192" s="270"/>
      <c r="AS192" s="270"/>
      <c r="AT192" s="270"/>
      <c r="AU192" s="270"/>
      <c r="AV192" s="245">
        <v>0.6</v>
      </c>
      <c r="AW192" s="245"/>
      <c r="AX192" s="245"/>
      <c r="AY192" s="245">
        <v>0.4</v>
      </c>
      <c r="AZ192" s="245">
        <v>0</v>
      </c>
      <c r="BA192" s="245">
        <v>0</v>
      </c>
      <c r="BB192" s="245"/>
      <c r="BC192" s="245">
        <f t="shared" si="23"/>
        <v>1</v>
      </c>
      <c r="BD192" s="240">
        <f t="shared" si="24"/>
        <v>0.57552000000000003</v>
      </c>
      <c r="BE192" s="243">
        <f t="shared" si="27"/>
        <v>0.57552000000000003</v>
      </c>
      <c r="BF192" s="332"/>
      <c r="BG192" s="330"/>
      <c r="BH192" s="331"/>
      <c r="BI192" s="331"/>
      <c r="BJ192" s="330"/>
      <c r="BK192" s="330"/>
      <c r="BL192" s="330"/>
      <c r="BM192" s="330"/>
      <c r="BN192" s="330"/>
      <c r="BO192" s="330"/>
      <c r="BP192" s="330"/>
      <c r="BQ192" s="330"/>
      <c r="CB192" s="243">
        <f t="shared" si="29"/>
        <v>0.64340301100034303</v>
      </c>
      <c r="CC192" s="243"/>
      <c r="CD192" s="243">
        <f t="shared" si="31"/>
        <v>0.64340301100034303</v>
      </c>
      <c r="CG192" s="734">
        <f t="shared" si="25"/>
        <v>0.23699999999999999</v>
      </c>
      <c r="CJ192" s="1264">
        <f t="shared" si="30"/>
        <v>0.79741404289037643</v>
      </c>
    </row>
    <row r="193" spans="1:88" x14ac:dyDescent="0.2">
      <c r="A193" s="19">
        <v>33389</v>
      </c>
      <c r="B193" s="262">
        <v>4.3140000000000001</v>
      </c>
      <c r="C193" s="270">
        <v>3.78</v>
      </c>
      <c r="D193" s="270">
        <v>4.7699999999999996</v>
      </c>
      <c r="E193" s="270">
        <v>4.6092000000000004</v>
      </c>
      <c r="F193" s="281"/>
      <c r="G193" s="281"/>
      <c r="H193" s="270">
        <v>4.7629999999999999</v>
      </c>
      <c r="I193" s="262">
        <v>4.8289999999999997</v>
      </c>
      <c r="J193" s="270">
        <v>4.6909999999999998</v>
      </c>
      <c r="K193" s="128">
        <v>3.9419</v>
      </c>
      <c r="L193" s="270"/>
      <c r="M193" s="270"/>
      <c r="N193" s="262">
        <f t="shared" si="32"/>
        <v>4.7629999999999999</v>
      </c>
      <c r="O193" s="262">
        <f t="shared" si="33"/>
        <v>4.8289999999999997</v>
      </c>
      <c r="P193" s="262">
        <f t="shared" si="34"/>
        <v>4.6909999999999998</v>
      </c>
      <c r="Q193" s="270">
        <v>5.0972</v>
      </c>
      <c r="R193" s="128">
        <v>4.593</v>
      </c>
      <c r="S193" s="128">
        <v>4.1369999999999996</v>
      </c>
      <c r="T193" s="128"/>
      <c r="U193" s="270">
        <v>1.42</v>
      </c>
      <c r="V193" s="280"/>
      <c r="W193" s="262">
        <v>0.58479999999999999</v>
      </c>
      <c r="X193" s="128">
        <v>0.71</v>
      </c>
      <c r="Y193" s="128"/>
      <c r="Z193" s="279"/>
      <c r="AA193" s="262">
        <v>1.073</v>
      </c>
      <c r="AB193" s="270">
        <v>1.2324999999999999</v>
      </c>
      <c r="AC193" s="270">
        <v>0.91339999999999999</v>
      </c>
      <c r="AD193" s="280"/>
      <c r="AE193" s="280"/>
      <c r="AF193" s="262">
        <f t="shared" si="26"/>
        <v>1.073</v>
      </c>
      <c r="AG193" s="128">
        <v>1.5299999999999999E-2</v>
      </c>
      <c r="AH193" s="128"/>
      <c r="AI193" s="128"/>
      <c r="AJ193" s="128"/>
      <c r="AK193" s="128"/>
      <c r="AL193" s="128"/>
      <c r="AM193" s="242"/>
      <c r="AN193" s="270">
        <v>1.07</v>
      </c>
      <c r="AO193" s="270">
        <v>1.42</v>
      </c>
      <c r="AP193" s="270"/>
      <c r="AQ193" s="270"/>
      <c r="AR193" s="270"/>
      <c r="AS193" s="270"/>
      <c r="AT193" s="270"/>
      <c r="AU193" s="270"/>
      <c r="AV193" s="245">
        <v>0.6</v>
      </c>
      <c r="AW193" s="245"/>
      <c r="AX193" s="245"/>
      <c r="AY193" s="245">
        <v>0.4</v>
      </c>
      <c r="AZ193" s="245">
        <v>0</v>
      </c>
      <c r="BA193" s="245">
        <v>0</v>
      </c>
      <c r="BB193" s="245"/>
      <c r="BC193" s="245">
        <f t="shared" si="23"/>
        <v>1</v>
      </c>
      <c r="BD193" s="240">
        <f t="shared" si="24"/>
        <v>2.8223199999999999</v>
      </c>
      <c r="BE193" s="243">
        <f t="shared" si="27"/>
        <v>2.8223199999999999</v>
      </c>
      <c r="BF193" s="332"/>
      <c r="BG193" s="330"/>
      <c r="BH193" s="331"/>
      <c r="BI193" s="331"/>
      <c r="BJ193" s="330"/>
      <c r="BK193" s="330"/>
      <c r="BL193" s="330"/>
      <c r="BM193" s="330"/>
      <c r="BN193" s="330"/>
      <c r="BO193" s="330"/>
      <c r="BP193" s="330"/>
      <c r="BQ193" s="330"/>
      <c r="CB193" s="243">
        <f t="shared" si="29"/>
        <v>0.64340301100034303</v>
      </c>
      <c r="CC193" s="243"/>
      <c r="CD193" s="243">
        <f t="shared" si="31"/>
        <v>0.64340301100034303</v>
      </c>
      <c r="CG193" s="734">
        <f t="shared" si="25"/>
        <v>4.3140000000000001</v>
      </c>
      <c r="CJ193" s="1264">
        <f t="shared" si="30"/>
        <v>0.79741404289037643</v>
      </c>
    </row>
    <row r="194" spans="1:88" x14ac:dyDescent="0.2">
      <c r="A194" s="19">
        <v>33419</v>
      </c>
      <c r="B194" s="262">
        <v>-4.5810000000000004</v>
      </c>
      <c r="C194" s="270">
        <v>-4.1798999999999999</v>
      </c>
      <c r="D194" s="270">
        <v>-4.97</v>
      </c>
      <c r="E194" s="270">
        <v>-5.0843999999999996</v>
      </c>
      <c r="F194" s="281"/>
      <c r="G194" s="281"/>
      <c r="H194" s="270">
        <v>-5.7830000000000004</v>
      </c>
      <c r="I194" s="262">
        <v>-6.806</v>
      </c>
      <c r="J194" s="270">
        <v>-4.6820000000000004</v>
      </c>
      <c r="K194" s="128">
        <v>-4.3125</v>
      </c>
      <c r="L194" s="270"/>
      <c r="M194" s="270"/>
      <c r="N194" s="262">
        <f t="shared" si="32"/>
        <v>-5.7830000000000004</v>
      </c>
      <c r="O194" s="262">
        <f t="shared" si="33"/>
        <v>-6.806</v>
      </c>
      <c r="P194" s="262">
        <f t="shared" si="34"/>
        <v>-4.6820000000000004</v>
      </c>
      <c r="Q194" s="270">
        <v>-5.4874000000000001</v>
      </c>
      <c r="R194" s="128">
        <v>-4.3620000000000001</v>
      </c>
      <c r="S194" s="128">
        <v>-4.556</v>
      </c>
      <c r="T194" s="128"/>
      <c r="U194" s="270">
        <v>-6.9550000000000001</v>
      </c>
      <c r="V194" s="280"/>
      <c r="W194" s="262">
        <v>-5.0799999999999998E-2</v>
      </c>
      <c r="X194" s="128">
        <v>0.08</v>
      </c>
      <c r="Y194" s="128"/>
      <c r="Z194" s="279"/>
      <c r="AA194" s="262">
        <v>-7.3220000000000001</v>
      </c>
      <c r="AB194" s="270">
        <v>-7.476</v>
      </c>
      <c r="AC194" s="270">
        <v>-7.0997000000000003</v>
      </c>
      <c r="AD194" s="280"/>
      <c r="AE194" s="280"/>
      <c r="AF194" s="262">
        <f t="shared" si="26"/>
        <v>-7.3220000000000001</v>
      </c>
      <c r="AG194" s="128">
        <v>1.5299999999999999E-2</v>
      </c>
      <c r="AH194" s="128"/>
      <c r="AI194" s="128"/>
      <c r="AJ194" s="128"/>
      <c r="AK194" s="128"/>
      <c r="AL194" s="128"/>
      <c r="AM194" s="242"/>
      <c r="AN194" s="270">
        <v>-7.3261000000000003</v>
      </c>
      <c r="AO194" s="270">
        <v>-6.9550000000000001</v>
      </c>
      <c r="AP194" s="270"/>
      <c r="AQ194" s="270"/>
      <c r="AR194" s="270"/>
      <c r="AS194" s="270"/>
      <c r="AT194" s="270"/>
      <c r="AU194" s="270"/>
      <c r="AV194" s="245">
        <v>0.6</v>
      </c>
      <c r="AW194" s="245"/>
      <c r="AX194" s="245"/>
      <c r="AY194" s="245">
        <v>0.4</v>
      </c>
      <c r="AZ194" s="245">
        <v>0</v>
      </c>
      <c r="BA194" s="245">
        <v>0</v>
      </c>
      <c r="BB194" s="245"/>
      <c r="BC194" s="245">
        <f t="shared" si="23"/>
        <v>1</v>
      </c>
      <c r="BD194" s="240">
        <f t="shared" si="24"/>
        <v>-2.76892</v>
      </c>
      <c r="BE194" s="243">
        <f t="shared" si="27"/>
        <v>-2.76892</v>
      </c>
      <c r="BF194" s="332"/>
      <c r="BG194" s="330"/>
      <c r="BH194" s="331"/>
      <c r="BI194" s="331"/>
      <c r="BJ194" s="330"/>
      <c r="BK194" s="330"/>
      <c r="BL194" s="330"/>
      <c r="BM194" s="330"/>
      <c r="BN194" s="330"/>
      <c r="BO194" s="330"/>
      <c r="BP194" s="330"/>
      <c r="BQ194" s="330"/>
      <c r="CB194" s="243">
        <f t="shared" si="29"/>
        <v>0.64340301100034303</v>
      </c>
      <c r="CC194" s="243"/>
      <c r="CD194" s="243">
        <f t="shared" si="31"/>
        <v>0.64340301100034303</v>
      </c>
      <c r="CG194" s="734">
        <f t="shared" si="25"/>
        <v>-4.5810000000000004</v>
      </c>
      <c r="CJ194" s="1264">
        <f t="shared" si="30"/>
        <v>0.79741404289037643</v>
      </c>
    </row>
    <row r="195" spans="1:88" x14ac:dyDescent="0.2">
      <c r="A195" s="19">
        <v>33450</v>
      </c>
      <c r="B195" s="262">
        <v>4.6609999999999996</v>
      </c>
      <c r="C195" s="270">
        <v>5.3497000000000003</v>
      </c>
      <c r="D195" s="270">
        <v>3.97</v>
      </c>
      <c r="E195" s="270">
        <v>6.0183999999999997</v>
      </c>
      <c r="F195" s="270">
        <v>6.8197000000000001</v>
      </c>
      <c r="G195" s="270">
        <v>5.1002000000000001</v>
      </c>
      <c r="H195" s="270">
        <v>3.4990000000000001</v>
      </c>
      <c r="I195" s="262">
        <v>4.532</v>
      </c>
      <c r="J195" s="270">
        <v>2.597</v>
      </c>
      <c r="K195" s="128">
        <v>3.9407999999999999</v>
      </c>
      <c r="L195" s="270"/>
      <c r="M195" s="270"/>
      <c r="N195" s="262">
        <f t="shared" si="32"/>
        <v>3.4990000000000001</v>
      </c>
      <c r="O195" s="262">
        <f t="shared" si="33"/>
        <v>4.532</v>
      </c>
      <c r="P195" s="262">
        <f t="shared" si="34"/>
        <v>2.597</v>
      </c>
      <c r="Q195" s="270">
        <v>5.6303999999999998</v>
      </c>
      <c r="R195" s="128">
        <v>4.6779999999999999</v>
      </c>
      <c r="S195" s="128">
        <v>4.72</v>
      </c>
      <c r="T195" s="128"/>
      <c r="U195" s="270">
        <v>4.8049999999999997</v>
      </c>
      <c r="V195" s="280"/>
      <c r="W195" s="262">
        <v>1.3867</v>
      </c>
      <c r="X195" s="128">
        <v>1.33</v>
      </c>
      <c r="Y195" s="128"/>
      <c r="Z195" s="279"/>
      <c r="AA195" s="262">
        <v>4.9400000000000004</v>
      </c>
      <c r="AB195" s="270">
        <v>4.3520000000000003</v>
      </c>
      <c r="AC195" s="270">
        <v>5.4557000000000002</v>
      </c>
      <c r="AD195" s="280"/>
      <c r="AE195" s="280"/>
      <c r="AF195" s="262">
        <f t="shared" si="26"/>
        <v>4.9400000000000004</v>
      </c>
      <c r="AG195" s="128">
        <v>4.0000000000000001E-3</v>
      </c>
      <c r="AH195" s="128"/>
      <c r="AI195" s="128"/>
      <c r="AJ195" s="128"/>
      <c r="AK195" s="128"/>
      <c r="AL195" s="128"/>
      <c r="AM195" s="242"/>
      <c r="AN195" s="270">
        <v>5</v>
      </c>
      <c r="AO195" s="270">
        <v>4.8049999999999997</v>
      </c>
      <c r="AP195" s="270"/>
      <c r="AQ195" s="270"/>
      <c r="AR195" s="270"/>
      <c r="AS195" s="270"/>
      <c r="AT195" s="270"/>
      <c r="AU195" s="270"/>
      <c r="AV195" s="245">
        <v>0.6</v>
      </c>
      <c r="AW195" s="245"/>
      <c r="AX195" s="245"/>
      <c r="AY195" s="245">
        <v>0.4</v>
      </c>
      <c r="AZ195" s="245">
        <v>0</v>
      </c>
      <c r="BA195" s="245">
        <v>0</v>
      </c>
      <c r="BB195" s="245"/>
      <c r="BC195" s="245">
        <f t="shared" ref="BC195:BC258" si="35">SUM(AV195:BA195)</f>
        <v>1</v>
      </c>
      <c r="BD195" s="240">
        <f t="shared" ref="BD195:BD258" si="36">(B195*AV195)+(W195*AY195)+(AA195*AZ195)+(U195*BA195)</f>
        <v>3.35128</v>
      </c>
      <c r="BE195" s="243">
        <f t="shared" si="27"/>
        <v>3.35128</v>
      </c>
      <c r="BF195" s="332"/>
      <c r="BG195" s="330"/>
      <c r="BH195" s="331"/>
      <c r="BI195" s="331"/>
      <c r="BJ195" s="330"/>
      <c r="BK195" s="330"/>
      <c r="BL195" s="330"/>
      <c r="BM195" s="330"/>
      <c r="BN195" s="330"/>
      <c r="BO195" s="330"/>
      <c r="BP195" s="330"/>
      <c r="BQ195" s="330"/>
      <c r="CB195" s="243">
        <f t="shared" si="29"/>
        <v>0.64340301100034303</v>
      </c>
      <c r="CC195" s="243"/>
      <c r="CD195" s="243">
        <f t="shared" si="31"/>
        <v>0.64340301100034303</v>
      </c>
      <c r="CG195" s="734">
        <f t="shared" ref="CG195:CG258" si="37">B195</f>
        <v>4.6609999999999996</v>
      </c>
      <c r="CJ195" s="1264">
        <f t="shared" si="30"/>
        <v>0.79741404289037643</v>
      </c>
    </row>
    <row r="196" spans="1:88" x14ac:dyDescent="0.2">
      <c r="A196" s="19">
        <v>33481</v>
      </c>
      <c r="B196" s="262">
        <v>2.3690000000000002</v>
      </c>
      <c r="C196" s="270">
        <v>3.22</v>
      </c>
      <c r="D196" s="270">
        <v>1.45</v>
      </c>
      <c r="E196" s="270">
        <v>3.6412</v>
      </c>
      <c r="F196" s="270">
        <v>3.83</v>
      </c>
      <c r="G196" s="270">
        <v>3.3298999999999999</v>
      </c>
      <c r="H196" s="270">
        <v>3.6880000000000002</v>
      </c>
      <c r="I196" s="262">
        <v>4.4139999999999997</v>
      </c>
      <c r="J196" s="270">
        <v>3.0350000000000001</v>
      </c>
      <c r="K196" s="128">
        <v>4.3804999999999996</v>
      </c>
      <c r="L196" s="270"/>
      <c r="M196" s="270"/>
      <c r="N196" s="262">
        <f t="shared" si="32"/>
        <v>3.6880000000000002</v>
      </c>
      <c r="O196" s="262">
        <f t="shared" si="33"/>
        <v>4.4139999999999997</v>
      </c>
      <c r="P196" s="262">
        <f t="shared" si="34"/>
        <v>3.0350000000000001</v>
      </c>
      <c r="Q196" s="270">
        <v>4.3254000000000001</v>
      </c>
      <c r="R196" s="128">
        <v>3.75</v>
      </c>
      <c r="S196" s="128">
        <v>2.6749999999999998</v>
      </c>
      <c r="T196" s="128"/>
      <c r="U196" s="270">
        <v>-1.7170000000000001</v>
      </c>
      <c r="V196" s="280"/>
      <c r="W196" s="262">
        <v>2.1640000000000001</v>
      </c>
      <c r="X196" s="128">
        <v>1.88</v>
      </c>
      <c r="Y196" s="128"/>
      <c r="Z196" s="279"/>
      <c r="AA196" s="262">
        <v>-2.0059999999999998</v>
      </c>
      <c r="AB196" s="270">
        <v>-1.8935999999999999</v>
      </c>
      <c r="AC196" s="270">
        <v>-2.1101999999999999</v>
      </c>
      <c r="AD196" s="280"/>
      <c r="AE196" s="280"/>
      <c r="AF196" s="262">
        <f t="shared" ref="AF196:AF259" si="38">AA196</f>
        <v>-2.0059999999999998</v>
      </c>
      <c r="AG196" s="128">
        <v>4.0000000000000001E-3</v>
      </c>
      <c r="AH196" s="128"/>
      <c r="AI196" s="128"/>
      <c r="AJ196" s="128"/>
      <c r="AK196" s="128"/>
      <c r="AL196" s="128"/>
      <c r="AM196" s="242"/>
      <c r="AN196" s="270">
        <v>-2</v>
      </c>
      <c r="AO196" s="270">
        <v>-1.7170000000000001</v>
      </c>
      <c r="AP196" s="270"/>
      <c r="AQ196" s="270"/>
      <c r="AR196" s="270"/>
      <c r="AS196" s="270"/>
      <c r="AT196" s="270"/>
      <c r="AU196" s="270"/>
      <c r="AV196" s="245">
        <v>0.6</v>
      </c>
      <c r="AW196" s="245"/>
      <c r="AX196" s="245"/>
      <c r="AY196" s="245">
        <v>0.4</v>
      </c>
      <c r="AZ196" s="245">
        <v>0</v>
      </c>
      <c r="BA196" s="245">
        <v>0</v>
      </c>
      <c r="BB196" s="245"/>
      <c r="BC196" s="245">
        <f t="shared" si="35"/>
        <v>1</v>
      </c>
      <c r="BD196" s="240">
        <f t="shared" si="36"/>
        <v>2.2869999999999999</v>
      </c>
      <c r="BE196" s="243">
        <f t="shared" ref="BE196:BE259" si="39">BD196</f>
        <v>2.2869999999999999</v>
      </c>
      <c r="BF196" s="332"/>
      <c r="BG196" s="330"/>
      <c r="BH196" s="331"/>
      <c r="BI196" s="331"/>
      <c r="BJ196" s="330"/>
      <c r="BK196" s="330"/>
      <c r="BL196" s="330"/>
      <c r="BM196" s="330"/>
      <c r="BN196" s="330"/>
      <c r="BO196" s="330"/>
      <c r="BP196" s="330"/>
      <c r="BQ196" s="330"/>
      <c r="CB196" s="243">
        <f t="shared" si="29"/>
        <v>0.64340301100034303</v>
      </c>
      <c r="CC196" s="243"/>
      <c r="CD196" s="243">
        <f t="shared" si="31"/>
        <v>0.64340301100034303</v>
      </c>
      <c r="CG196" s="734">
        <f t="shared" si="37"/>
        <v>2.3690000000000002</v>
      </c>
      <c r="CJ196" s="1264">
        <f t="shared" si="30"/>
        <v>0.79741404289037643</v>
      </c>
    </row>
    <row r="197" spans="1:88" x14ac:dyDescent="0.2">
      <c r="A197" s="19">
        <v>33511</v>
      </c>
      <c r="B197" s="262">
        <v>-1.673</v>
      </c>
      <c r="C197" s="270">
        <v>-2.19</v>
      </c>
      <c r="D197" s="270">
        <v>-1.05</v>
      </c>
      <c r="E197" s="270">
        <v>-0.32300000000000001</v>
      </c>
      <c r="F197" s="270">
        <v>-0.42930000000000001</v>
      </c>
      <c r="G197" s="270">
        <v>-0.2903</v>
      </c>
      <c r="H197" s="270">
        <v>0.78</v>
      </c>
      <c r="I197" s="262">
        <v>1.508</v>
      </c>
      <c r="J197" s="270">
        <v>0.11600000000000001</v>
      </c>
      <c r="K197" s="128">
        <v>0.83799999999999997</v>
      </c>
      <c r="L197" s="270"/>
      <c r="M197" s="270"/>
      <c r="N197" s="262">
        <f t="shared" si="32"/>
        <v>0.78</v>
      </c>
      <c r="O197" s="262">
        <f t="shared" si="33"/>
        <v>1.508</v>
      </c>
      <c r="P197" s="262">
        <f t="shared" si="34"/>
        <v>0.11600000000000001</v>
      </c>
      <c r="Q197" s="270">
        <v>1.1476</v>
      </c>
      <c r="R197" s="128">
        <v>-8.9999999999999993E-3</v>
      </c>
      <c r="S197" s="128">
        <v>-1.139</v>
      </c>
      <c r="T197" s="128"/>
      <c r="U197" s="270">
        <v>5.0880000000000001</v>
      </c>
      <c r="V197" s="280"/>
      <c r="W197" s="262">
        <v>2.0263</v>
      </c>
      <c r="X197" s="128">
        <v>1.78</v>
      </c>
      <c r="Y197" s="128"/>
      <c r="Z197" s="279"/>
      <c r="AA197" s="262">
        <v>5.6660000000000004</v>
      </c>
      <c r="AB197" s="270">
        <v>5.1010999999999997</v>
      </c>
      <c r="AC197" s="270">
        <v>6.3144999999999998</v>
      </c>
      <c r="AD197" s="280"/>
      <c r="AE197" s="280"/>
      <c r="AF197" s="262">
        <f t="shared" si="38"/>
        <v>5.6660000000000004</v>
      </c>
      <c r="AG197" s="128">
        <v>4.0000000000000001E-3</v>
      </c>
      <c r="AH197" s="128"/>
      <c r="AI197" s="128"/>
      <c r="AJ197" s="128"/>
      <c r="AK197" s="128"/>
      <c r="AL197" s="128"/>
      <c r="AM197" s="242"/>
      <c r="AN197" s="270">
        <v>5.7</v>
      </c>
      <c r="AO197" s="270">
        <v>5.0880000000000001</v>
      </c>
      <c r="AP197" s="270"/>
      <c r="AQ197" s="270"/>
      <c r="AR197" s="270"/>
      <c r="AS197" s="270"/>
      <c r="AT197" s="270"/>
      <c r="AU197" s="270"/>
      <c r="AV197" s="245">
        <v>0.6</v>
      </c>
      <c r="AW197" s="245"/>
      <c r="AX197" s="245"/>
      <c r="AY197" s="245">
        <v>0.4</v>
      </c>
      <c r="AZ197" s="245">
        <v>0</v>
      </c>
      <c r="BA197" s="245">
        <v>0</v>
      </c>
      <c r="BB197" s="245"/>
      <c r="BC197" s="245">
        <f t="shared" si="35"/>
        <v>1</v>
      </c>
      <c r="BD197" s="240">
        <f t="shared" si="36"/>
        <v>-0.19328000000000001</v>
      </c>
      <c r="BE197" s="243">
        <f t="shared" si="39"/>
        <v>-0.19328000000000001</v>
      </c>
      <c r="BF197" s="332"/>
      <c r="BG197" s="330"/>
      <c r="BH197" s="331"/>
      <c r="BI197" s="331"/>
      <c r="BJ197" s="330"/>
      <c r="BK197" s="330"/>
      <c r="BL197" s="330"/>
      <c r="BM197" s="330"/>
      <c r="BN197" s="330"/>
      <c r="BO197" s="330"/>
      <c r="BP197" s="330"/>
      <c r="BQ197" s="330"/>
      <c r="CB197" s="243">
        <f t="shared" si="29"/>
        <v>0.64340301100034303</v>
      </c>
      <c r="CC197" s="243"/>
      <c r="CD197" s="243">
        <f t="shared" si="31"/>
        <v>0.64340301100034303</v>
      </c>
      <c r="CG197" s="734">
        <f t="shared" si="37"/>
        <v>-1.673</v>
      </c>
      <c r="CJ197" s="1264">
        <f t="shared" si="30"/>
        <v>0.79741404289037643</v>
      </c>
    </row>
    <row r="198" spans="1:88" x14ac:dyDescent="0.2">
      <c r="A198" s="19">
        <v>33542</v>
      </c>
      <c r="B198" s="262">
        <v>1.3440000000000001</v>
      </c>
      <c r="C198" s="270">
        <v>1.2199</v>
      </c>
      <c r="D198" s="270">
        <v>1.46</v>
      </c>
      <c r="E198" s="270">
        <v>3.9175</v>
      </c>
      <c r="F198" s="270">
        <v>4.6997999999999998</v>
      </c>
      <c r="G198" s="270">
        <v>2.9803000000000002</v>
      </c>
      <c r="H198" s="270">
        <v>2.6440000000000001</v>
      </c>
      <c r="I198" s="262">
        <v>4.258</v>
      </c>
      <c r="J198" s="270">
        <v>1.137</v>
      </c>
      <c r="K198" s="128">
        <v>3.5251000000000001</v>
      </c>
      <c r="L198" s="270"/>
      <c r="M198" s="270"/>
      <c r="N198" s="262">
        <f t="shared" si="32"/>
        <v>2.6440000000000001</v>
      </c>
      <c r="O198" s="262">
        <f t="shared" si="33"/>
        <v>4.258</v>
      </c>
      <c r="P198" s="262">
        <f t="shared" si="34"/>
        <v>1.137</v>
      </c>
      <c r="Q198" s="270">
        <v>3.3858000000000001</v>
      </c>
      <c r="R198" s="128">
        <v>2.2639999999999998</v>
      </c>
      <c r="S198" s="128">
        <v>1.6679999999999999</v>
      </c>
      <c r="T198" s="128"/>
      <c r="U198" s="270">
        <v>1.748</v>
      </c>
      <c r="V198" s="280"/>
      <c r="W198" s="262">
        <v>1.1133999999999999</v>
      </c>
      <c r="X198" s="128">
        <v>1.34</v>
      </c>
      <c r="Y198" s="128"/>
      <c r="Z198" s="279"/>
      <c r="AA198" s="262">
        <v>1.4430000000000001</v>
      </c>
      <c r="AB198" s="270">
        <v>2.9599000000000002</v>
      </c>
      <c r="AC198" s="270">
        <v>-1.55E-2</v>
      </c>
      <c r="AD198" s="280"/>
      <c r="AE198" s="280"/>
      <c r="AF198" s="262">
        <f t="shared" si="38"/>
        <v>1.4430000000000001</v>
      </c>
      <c r="AG198" s="128">
        <v>-0.1114</v>
      </c>
      <c r="AH198" s="128"/>
      <c r="AI198" s="128"/>
      <c r="AJ198" s="128"/>
      <c r="AK198" s="128"/>
      <c r="AL198" s="128"/>
      <c r="AM198" s="242"/>
      <c r="AN198" s="270">
        <v>1.5</v>
      </c>
      <c r="AO198" s="270">
        <v>1.748</v>
      </c>
      <c r="AP198" s="270"/>
      <c r="AQ198" s="270"/>
      <c r="AR198" s="270"/>
      <c r="AS198" s="270"/>
      <c r="AT198" s="270"/>
      <c r="AU198" s="270"/>
      <c r="AV198" s="245">
        <v>0.6</v>
      </c>
      <c r="AW198" s="245"/>
      <c r="AX198" s="245"/>
      <c r="AY198" s="245">
        <v>0.4</v>
      </c>
      <c r="AZ198" s="245">
        <v>0</v>
      </c>
      <c r="BA198" s="245">
        <v>0</v>
      </c>
      <c r="BB198" s="245"/>
      <c r="BC198" s="245">
        <f t="shared" si="35"/>
        <v>1</v>
      </c>
      <c r="BD198" s="240">
        <f t="shared" si="36"/>
        <v>1.25176</v>
      </c>
      <c r="BE198" s="243">
        <f t="shared" si="39"/>
        <v>1.25176</v>
      </c>
      <c r="BF198" s="332"/>
      <c r="BG198" s="330"/>
      <c r="BH198" s="331"/>
      <c r="BI198" s="331"/>
      <c r="BJ198" s="330"/>
      <c r="BK198" s="330"/>
      <c r="BL198" s="330"/>
      <c r="BM198" s="330"/>
      <c r="BN198" s="330"/>
      <c r="BO198" s="330"/>
      <c r="BP198" s="330"/>
      <c r="BQ198" s="330"/>
      <c r="CB198" s="243">
        <f t="shared" si="29"/>
        <v>0.64340301100034303</v>
      </c>
      <c r="CC198" s="243"/>
      <c r="CD198" s="243">
        <f t="shared" si="31"/>
        <v>0.64340301100034303</v>
      </c>
      <c r="CG198" s="734">
        <f t="shared" si="37"/>
        <v>1.3440000000000001</v>
      </c>
      <c r="CJ198" s="1264">
        <f t="shared" si="30"/>
        <v>0.79741404289037643</v>
      </c>
    </row>
    <row r="199" spans="1:88" x14ac:dyDescent="0.2">
      <c r="A199" s="19">
        <v>33572</v>
      </c>
      <c r="B199" s="262">
        <v>-4.0289999999999999</v>
      </c>
      <c r="C199" s="270">
        <v>-2.5497999999999998</v>
      </c>
      <c r="D199" s="270">
        <v>-5.58</v>
      </c>
      <c r="E199" s="270">
        <v>-3.3696000000000002</v>
      </c>
      <c r="F199" s="270">
        <v>-2.8506999999999998</v>
      </c>
      <c r="G199" s="270">
        <v>-3.8799000000000001</v>
      </c>
      <c r="H199" s="270">
        <v>-4.6280000000000001</v>
      </c>
      <c r="I199" s="262">
        <v>-5.2169999999999996</v>
      </c>
      <c r="J199" s="270">
        <v>-4.0579999999999998</v>
      </c>
      <c r="K199" s="128">
        <v>-4.4894999999999996</v>
      </c>
      <c r="L199" s="270"/>
      <c r="M199" s="270"/>
      <c r="N199" s="262">
        <f t="shared" si="32"/>
        <v>-4.6280000000000001</v>
      </c>
      <c r="O199" s="262">
        <f t="shared" si="33"/>
        <v>-5.2169999999999996</v>
      </c>
      <c r="P199" s="262">
        <f t="shared" si="34"/>
        <v>-4.0579999999999998</v>
      </c>
      <c r="Q199" s="270">
        <v>-4.2141999999999999</v>
      </c>
      <c r="R199" s="128">
        <v>-3.9950000000000001</v>
      </c>
      <c r="S199" s="128">
        <v>-3.8340000000000001</v>
      </c>
      <c r="T199" s="128"/>
      <c r="U199" s="270">
        <v>-4.4539999999999997</v>
      </c>
      <c r="V199" s="280"/>
      <c r="W199" s="262">
        <v>0.91690000000000005</v>
      </c>
      <c r="X199" s="128">
        <v>0.99</v>
      </c>
      <c r="Y199" s="128"/>
      <c r="Z199" s="279"/>
      <c r="AA199" s="262">
        <v>-4.6420000000000003</v>
      </c>
      <c r="AB199" s="270">
        <v>-3.5064000000000002</v>
      </c>
      <c r="AC199" s="270">
        <v>-5.7530000000000001</v>
      </c>
      <c r="AD199" s="280"/>
      <c r="AE199" s="280"/>
      <c r="AF199" s="262">
        <f t="shared" si="38"/>
        <v>-4.6420000000000003</v>
      </c>
      <c r="AG199" s="128">
        <v>-0.1114</v>
      </c>
      <c r="AH199" s="128"/>
      <c r="AI199" s="128"/>
      <c r="AJ199" s="128"/>
      <c r="AK199" s="128"/>
      <c r="AL199" s="128"/>
      <c r="AM199" s="242"/>
      <c r="AN199" s="270">
        <v>-4.8</v>
      </c>
      <c r="AO199" s="270">
        <v>-4.4539999999999997</v>
      </c>
      <c r="AP199" s="270"/>
      <c r="AQ199" s="270"/>
      <c r="AR199" s="270"/>
      <c r="AS199" s="270"/>
      <c r="AT199" s="270"/>
      <c r="AU199" s="270"/>
      <c r="AV199" s="245">
        <v>0.6</v>
      </c>
      <c r="AW199" s="245"/>
      <c r="AX199" s="245"/>
      <c r="AY199" s="245">
        <v>0.4</v>
      </c>
      <c r="AZ199" s="245">
        <v>0</v>
      </c>
      <c r="BA199" s="245">
        <v>0</v>
      </c>
      <c r="BB199" s="245"/>
      <c r="BC199" s="245">
        <f t="shared" si="35"/>
        <v>1</v>
      </c>
      <c r="BD199" s="240">
        <f t="shared" si="36"/>
        <v>-2.0506399999999996</v>
      </c>
      <c r="BE199" s="243">
        <f t="shared" si="39"/>
        <v>-2.0506399999999996</v>
      </c>
      <c r="BF199" s="332"/>
      <c r="BG199" s="330"/>
      <c r="BH199" s="331"/>
      <c r="BI199" s="331"/>
      <c r="BJ199" s="330"/>
      <c r="BK199" s="330"/>
      <c r="BL199" s="330"/>
      <c r="BM199" s="330"/>
      <c r="BN199" s="330"/>
      <c r="BO199" s="330"/>
      <c r="BP199" s="330"/>
      <c r="BQ199" s="330"/>
      <c r="CB199" s="243">
        <f t="shared" si="29"/>
        <v>0.64340301100034303</v>
      </c>
      <c r="CC199" s="243"/>
      <c r="CD199" s="243">
        <f t="shared" si="31"/>
        <v>0.64340301100034303</v>
      </c>
      <c r="CG199" s="734">
        <f t="shared" si="37"/>
        <v>-4.0289999999999999</v>
      </c>
      <c r="CJ199" s="1264">
        <f t="shared" si="30"/>
        <v>0.79741404289037643</v>
      </c>
    </row>
    <row r="200" spans="1:88" x14ac:dyDescent="0.2">
      <c r="A200" s="19">
        <v>33603</v>
      </c>
      <c r="B200" s="262">
        <v>11.436999999999999</v>
      </c>
      <c r="C200" s="270">
        <v>14.0898</v>
      </c>
      <c r="D200" s="270">
        <v>8.51</v>
      </c>
      <c r="E200" s="270">
        <v>11.8203</v>
      </c>
      <c r="F200" s="270">
        <v>14.4504</v>
      </c>
      <c r="G200" s="270">
        <v>8.9896999999999991</v>
      </c>
      <c r="H200" s="270">
        <v>8.0020000000000007</v>
      </c>
      <c r="I200" s="262">
        <v>9.5760000000000005</v>
      </c>
      <c r="J200" s="270">
        <v>6.484</v>
      </c>
      <c r="K200" s="128">
        <v>8.5838000000000001</v>
      </c>
      <c r="L200" s="270"/>
      <c r="M200" s="270"/>
      <c r="N200" s="262">
        <f t="shared" si="32"/>
        <v>8.0020000000000007</v>
      </c>
      <c r="O200" s="262">
        <f t="shared" si="33"/>
        <v>9.5760000000000005</v>
      </c>
      <c r="P200" s="262">
        <f t="shared" si="34"/>
        <v>6.484</v>
      </c>
      <c r="Q200" s="270">
        <v>12.234500000000001</v>
      </c>
      <c r="R200" s="128">
        <v>9.8770000000000007</v>
      </c>
      <c r="S200" s="128">
        <v>11.215</v>
      </c>
      <c r="T200" s="128"/>
      <c r="U200" s="270">
        <v>5.1909999999999998</v>
      </c>
      <c r="V200" s="280"/>
      <c r="W200" s="262">
        <v>2.9698000000000002</v>
      </c>
      <c r="X200" s="128">
        <v>2.21</v>
      </c>
      <c r="Y200" s="128"/>
      <c r="Z200" s="279"/>
      <c r="AA200" s="262">
        <v>5.1950000000000003</v>
      </c>
      <c r="AB200" s="270">
        <v>5.1374000000000004</v>
      </c>
      <c r="AC200" s="270">
        <v>5.2523</v>
      </c>
      <c r="AD200" s="280"/>
      <c r="AE200" s="280"/>
      <c r="AF200" s="262">
        <f t="shared" si="38"/>
        <v>5.1950000000000003</v>
      </c>
      <c r="AG200" s="128">
        <v>-0.1114</v>
      </c>
      <c r="AH200" s="128"/>
      <c r="AI200" s="128"/>
      <c r="AJ200" s="128"/>
      <c r="AK200" s="128"/>
      <c r="AL200" s="128"/>
      <c r="AM200" s="242"/>
      <c r="AN200" s="270">
        <v>5.2</v>
      </c>
      <c r="AO200" s="270">
        <v>5.1909999999999998</v>
      </c>
      <c r="AP200" s="270"/>
      <c r="AQ200" s="270"/>
      <c r="AR200" s="270"/>
      <c r="AS200" s="270"/>
      <c r="AT200" s="270"/>
      <c r="AU200" s="270"/>
      <c r="AV200" s="246">
        <v>0.6</v>
      </c>
      <c r="AW200" s="246"/>
      <c r="AX200" s="246"/>
      <c r="AY200" s="246">
        <v>0.4</v>
      </c>
      <c r="AZ200" s="246">
        <v>0</v>
      </c>
      <c r="BA200" s="246">
        <v>0</v>
      </c>
      <c r="BB200" s="246"/>
      <c r="BC200" s="246">
        <f t="shared" si="35"/>
        <v>1</v>
      </c>
      <c r="BD200" s="275">
        <f t="shared" si="36"/>
        <v>8.0501199999999997</v>
      </c>
      <c r="BE200" s="243">
        <f t="shared" si="39"/>
        <v>8.0501199999999997</v>
      </c>
      <c r="BF200" s="332"/>
      <c r="BG200" s="330"/>
      <c r="BH200" s="331"/>
      <c r="BI200" s="331"/>
      <c r="BJ200" s="330"/>
      <c r="BK200" s="330"/>
      <c r="BL200" s="330"/>
      <c r="BM200" s="330"/>
      <c r="BN200" s="330"/>
      <c r="BO200" s="330"/>
      <c r="BP200" s="330"/>
      <c r="BQ200" s="330"/>
      <c r="CB200" s="243">
        <f t="shared" si="29"/>
        <v>0.64340301100034303</v>
      </c>
      <c r="CC200" s="243"/>
      <c r="CD200" s="243">
        <f t="shared" si="31"/>
        <v>0.64340301100034303</v>
      </c>
      <c r="CG200" s="734">
        <f t="shared" si="37"/>
        <v>11.436999999999999</v>
      </c>
      <c r="CJ200" s="1264">
        <f t="shared" si="30"/>
        <v>0.79741404289037643</v>
      </c>
    </row>
    <row r="201" spans="1:88" x14ac:dyDescent="0.2">
      <c r="A201" s="19">
        <v>33634</v>
      </c>
      <c r="B201" s="262">
        <v>-1.863</v>
      </c>
      <c r="C201" s="270">
        <v>-3.5099</v>
      </c>
      <c r="D201" s="270">
        <v>0</v>
      </c>
      <c r="E201" s="270">
        <v>1.7690999999999999</v>
      </c>
      <c r="F201" s="270">
        <v>0.52</v>
      </c>
      <c r="G201" s="270">
        <v>3.1297999999999999</v>
      </c>
      <c r="H201" s="270">
        <v>8.11</v>
      </c>
      <c r="I201" s="262">
        <v>7.8550000000000004</v>
      </c>
      <c r="J201" s="270">
        <v>8.3650000000000002</v>
      </c>
      <c r="K201" s="128">
        <v>7.5899000000000001</v>
      </c>
      <c r="L201" s="270"/>
      <c r="M201" s="270"/>
      <c r="N201" s="262">
        <f t="shared" si="32"/>
        <v>8.11</v>
      </c>
      <c r="O201" s="262">
        <f t="shared" si="33"/>
        <v>7.8550000000000004</v>
      </c>
      <c r="P201" s="262">
        <f t="shared" si="34"/>
        <v>8.3650000000000002</v>
      </c>
      <c r="Q201" s="270">
        <v>4.2298999999999998</v>
      </c>
      <c r="R201" s="128">
        <v>4.95</v>
      </c>
      <c r="S201" s="128">
        <v>-0.67900000000000005</v>
      </c>
      <c r="T201" s="128"/>
      <c r="U201" s="270">
        <v>-1.3939999999999999</v>
      </c>
      <c r="V201" s="280"/>
      <c r="W201" s="262">
        <v>-1.3604000000000001</v>
      </c>
      <c r="X201" s="128">
        <v>-0.98</v>
      </c>
      <c r="Y201" s="128"/>
      <c r="Z201" s="279"/>
      <c r="AA201" s="262">
        <v>-2.1070000000000002</v>
      </c>
      <c r="AB201" s="270">
        <v>-3.4110999999999998</v>
      </c>
      <c r="AC201" s="270">
        <v>-0.75439999999999996</v>
      </c>
      <c r="AD201" s="280"/>
      <c r="AE201" s="280"/>
      <c r="AF201" s="262">
        <f t="shared" si="38"/>
        <v>-2.1070000000000002</v>
      </c>
      <c r="AG201" s="128">
        <v>-1.8103</v>
      </c>
      <c r="AH201" s="128"/>
      <c r="AI201" s="128"/>
      <c r="AJ201" s="128"/>
      <c r="AK201" s="128"/>
      <c r="AL201" s="128"/>
      <c r="AM201" s="242"/>
      <c r="AN201" s="270">
        <v>-2.1</v>
      </c>
      <c r="AO201" s="270">
        <v>-1.3939999999999999</v>
      </c>
      <c r="AP201" s="270"/>
      <c r="AQ201" s="270"/>
      <c r="AR201" s="270"/>
      <c r="AS201" s="270"/>
      <c r="AT201" s="270"/>
      <c r="AU201" s="270"/>
      <c r="AV201" s="245">
        <v>0.5</v>
      </c>
      <c r="AW201" s="245"/>
      <c r="AX201" s="245"/>
      <c r="AY201" s="245">
        <v>0.4</v>
      </c>
      <c r="AZ201" s="245">
        <v>0.1</v>
      </c>
      <c r="BA201" s="245">
        <v>0</v>
      </c>
      <c r="BB201" s="245"/>
      <c r="BC201" s="245">
        <f t="shared" si="35"/>
        <v>1</v>
      </c>
      <c r="BD201" s="240">
        <f t="shared" si="36"/>
        <v>-1.6863600000000001</v>
      </c>
      <c r="BE201" s="243">
        <f t="shared" si="39"/>
        <v>-1.6863600000000001</v>
      </c>
      <c r="BF201" s="332"/>
      <c r="BG201" s="330"/>
      <c r="BH201" s="331"/>
      <c r="BI201" s="331"/>
      <c r="BJ201" s="330"/>
      <c r="BK201" s="330"/>
      <c r="BL201" s="330"/>
      <c r="BM201" s="330"/>
      <c r="BN201" s="330"/>
      <c r="BO201" s="330"/>
      <c r="BP201" s="330"/>
      <c r="BQ201" s="330"/>
      <c r="CB201" s="243">
        <f t="shared" si="29"/>
        <v>0.64340301100034303</v>
      </c>
      <c r="CC201" s="243"/>
      <c r="CD201" s="243">
        <f t="shared" si="31"/>
        <v>0.64340301100034303</v>
      </c>
      <c r="CG201" s="734">
        <f t="shared" si="37"/>
        <v>-1.863</v>
      </c>
      <c r="CJ201" s="1264">
        <f t="shared" si="30"/>
        <v>0.79741404289037643</v>
      </c>
    </row>
    <row r="202" spans="1:88" x14ac:dyDescent="0.2">
      <c r="A202" s="19">
        <v>33663</v>
      </c>
      <c r="B202" s="262">
        <v>1.2949999999999999</v>
      </c>
      <c r="C202" s="270">
        <v>0.59019999999999995</v>
      </c>
      <c r="D202" s="270">
        <v>2.0299999999999998</v>
      </c>
      <c r="E202" s="270">
        <v>1.5911</v>
      </c>
      <c r="F202" s="270">
        <v>0.43020000000000003</v>
      </c>
      <c r="G202" s="270">
        <v>2.67</v>
      </c>
      <c r="H202" s="270">
        <v>2.919</v>
      </c>
      <c r="I202" s="262">
        <v>1.0669999999999999</v>
      </c>
      <c r="J202" s="270">
        <v>4.7699999999999996</v>
      </c>
      <c r="K202" s="128">
        <v>2.0985</v>
      </c>
      <c r="L202" s="270"/>
      <c r="M202" s="270"/>
      <c r="N202" s="262">
        <f t="shared" si="32"/>
        <v>2.919</v>
      </c>
      <c r="O202" s="262">
        <f t="shared" si="33"/>
        <v>1.0669999999999999</v>
      </c>
      <c r="P202" s="262">
        <f t="shared" si="34"/>
        <v>4.7699999999999996</v>
      </c>
      <c r="Q202" s="270">
        <v>0.98529999999999995</v>
      </c>
      <c r="R202" s="128">
        <v>2.64</v>
      </c>
      <c r="S202" s="128">
        <v>1.329</v>
      </c>
      <c r="T202" s="128"/>
      <c r="U202" s="270">
        <v>-3.0710000000000002</v>
      </c>
      <c r="V202" s="280"/>
      <c r="W202" s="262">
        <v>0.6502</v>
      </c>
      <c r="X202" s="128">
        <v>0.6</v>
      </c>
      <c r="Y202" s="128"/>
      <c r="Z202" s="279"/>
      <c r="AA202" s="262">
        <v>-3.552</v>
      </c>
      <c r="AB202" s="270">
        <v>-3.9176000000000002</v>
      </c>
      <c r="AC202" s="270">
        <v>-3.1840000000000002</v>
      </c>
      <c r="AD202" s="280"/>
      <c r="AE202" s="280"/>
      <c r="AF202" s="262">
        <f t="shared" si="38"/>
        <v>-3.552</v>
      </c>
      <c r="AG202" s="128">
        <v>-1.8103</v>
      </c>
      <c r="AH202" s="128"/>
      <c r="AI202" s="128"/>
      <c r="AJ202" s="128"/>
      <c r="AK202" s="128"/>
      <c r="AL202" s="128"/>
      <c r="AM202" s="242"/>
      <c r="AN202" s="270">
        <v>-3.5</v>
      </c>
      <c r="AO202" s="270">
        <v>-3.0710000000000002</v>
      </c>
      <c r="AP202" s="270"/>
      <c r="AQ202" s="270"/>
      <c r="AR202" s="270"/>
      <c r="AS202" s="270"/>
      <c r="AT202" s="270"/>
      <c r="AU202" s="270"/>
      <c r="AV202" s="245">
        <v>0.5</v>
      </c>
      <c r="AW202" s="245"/>
      <c r="AX202" s="245"/>
      <c r="AY202" s="245">
        <v>0.4</v>
      </c>
      <c r="AZ202" s="245">
        <v>0.1</v>
      </c>
      <c r="BA202" s="245">
        <v>0</v>
      </c>
      <c r="BB202" s="245"/>
      <c r="BC202" s="245">
        <f t="shared" si="35"/>
        <v>1</v>
      </c>
      <c r="BD202" s="240">
        <f t="shared" si="36"/>
        <v>0.55238000000000009</v>
      </c>
      <c r="BE202" s="243">
        <f t="shared" si="39"/>
        <v>0.55238000000000009</v>
      </c>
      <c r="BF202" s="332"/>
      <c r="BG202" s="330"/>
      <c r="BH202" s="331"/>
      <c r="BI202" s="331"/>
      <c r="BJ202" s="330"/>
      <c r="BK202" s="330"/>
      <c r="BL202" s="330"/>
      <c r="BM202" s="330"/>
      <c r="BN202" s="330"/>
      <c r="BO202" s="330"/>
      <c r="BP202" s="330"/>
      <c r="BQ202" s="330"/>
      <c r="CB202" s="243">
        <f t="shared" si="29"/>
        <v>0.64340301100034303</v>
      </c>
      <c r="CC202" s="243"/>
      <c r="CD202" s="243">
        <f t="shared" si="31"/>
        <v>0.64340301100034303</v>
      </c>
      <c r="CG202" s="734">
        <f t="shared" si="37"/>
        <v>1.2949999999999999</v>
      </c>
      <c r="CJ202" s="1264">
        <f t="shared" si="30"/>
        <v>0.79741404289037643</v>
      </c>
    </row>
    <row r="203" spans="1:88" x14ac:dyDescent="0.2">
      <c r="A203" s="19">
        <v>33694</v>
      </c>
      <c r="B203" s="262">
        <v>-1.9450000000000001</v>
      </c>
      <c r="C203" s="270">
        <v>-2.3201000000000001</v>
      </c>
      <c r="D203" s="270">
        <v>-1.57</v>
      </c>
      <c r="E203" s="270">
        <v>-3.7660999999999998</v>
      </c>
      <c r="F203" s="270">
        <v>-4.4897</v>
      </c>
      <c r="G203" s="270">
        <v>-3.0893000000000002</v>
      </c>
      <c r="H203" s="270">
        <v>-3.3839999999999999</v>
      </c>
      <c r="I203" s="262">
        <v>-5.7510000000000003</v>
      </c>
      <c r="J203" s="270">
        <v>-1.0880000000000001</v>
      </c>
      <c r="K203" s="128">
        <v>-2.7879999999999998</v>
      </c>
      <c r="L203" s="270"/>
      <c r="M203" s="270"/>
      <c r="N203" s="262">
        <f t="shared" si="32"/>
        <v>-3.3839999999999999</v>
      </c>
      <c r="O203" s="262">
        <f t="shared" si="33"/>
        <v>-5.7510000000000003</v>
      </c>
      <c r="P203" s="262">
        <f t="shared" si="34"/>
        <v>-1.0880000000000001</v>
      </c>
      <c r="Q203" s="270">
        <v>-5.7023000000000001</v>
      </c>
      <c r="R203" s="128">
        <v>-3.1960000000000002</v>
      </c>
      <c r="S203" s="128">
        <v>-2.2130000000000001</v>
      </c>
      <c r="T203" s="128"/>
      <c r="U203" s="270">
        <v>-6.048</v>
      </c>
      <c r="V203" s="280"/>
      <c r="W203" s="262">
        <v>-0.56379999999999997</v>
      </c>
      <c r="X203" s="128">
        <v>-0.48</v>
      </c>
      <c r="Y203" s="128"/>
      <c r="Z203" s="279"/>
      <c r="AA203" s="262">
        <v>-6.5739999999999998</v>
      </c>
      <c r="AB203" s="270">
        <v>-6.6426999999999996</v>
      </c>
      <c r="AC203" s="270">
        <v>-6.4751000000000003</v>
      </c>
      <c r="AD203" s="280"/>
      <c r="AE203" s="280"/>
      <c r="AF203" s="262">
        <f t="shared" si="38"/>
        <v>-6.5739999999999998</v>
      </c>
      <c r="AG203" s="128">
        <v>-1.8103</v>
      </c>
      <c r="AH203" s="128"/>
      <c r="AI203" s="128"/>
      <c r="AJ203" s="128"/>
      <c r="AK203" s="128"/>
      <c r="AL203" s="128"/>
      <c r="AM203" s="242"/>
      <c r="AN203" s="270">
        <v>-6.6</v>
      </c>
      <c r="AO203" s="270">
        <v>-6.048</v>
      </c>
      <c r="AP203" s="270"/>
      <c r="AQ203" s="270"/>
      <c r="AR203" s="270"/>
      <c r="AS203" s="270"/>
      <c r="AT203" s="270"/>
      <c r="AU203" s="270"/>
      <c r="AV203" s="245">
        <v>0.5</v>
      </c>
      <c r="AW203" s="245"/>
      <c r="AX203" s="245"/>
      <c r="AY203" s="245">
        <v>0.4</v>
      </c>
      <c r="AZ203" s="245">
        <v>0.1</v>
      </c>
      <c r="BA203" s="245">
        <v>0</v>
      </c>
      <c r="BB203" s="245"/>
      <c r="BC203" s="245">
        <f t="shared" si="35"/>
        <v>1</v>
      </c>
      <c r="BD203" s="240">
        <f t="shared" si="36"/>
        <v>-1.8554200000000001</v>
      </c>
      <c r="BE203" s="243">
        <f t="shared" si="39"/>
        <v>-1.8554200000000001</v>
      </c>
      <c r="BF203" s="332"/>
      <c r="BG203" s="330"/>
      <c r="BH203" s="331"/>
      <c r="BI203" s="331"/>
      <c r="BJ203" s="330"/>
      <c r="BK203" s="330"/>
      <c r="BL203" s="330"/>
      <c r="BM203" s="330"/>
      <c r="BN203" s="330"/>
      <c r="BO203" s="330"/>
      <c r="BP203" s="330"/>
      <c r="BQ203" s="330"/>
      <c r="CB203" s="243">
        <f t="shared" si="29"/>
        <v>0.64340301100034303</v>
      </c>
      <c r="CC203" s="243"/>
      <c r="CD203" s="243">
        <f t="shared" si="31"/>
        <v>0.64340301100034303</v>
      </c>
      <c r="CG203" s="734">
        <f t="shared" si="37"/>
        <v>-1.9450000000000001</v>
      </c>
      <c r="CJ203" s="1264">
        <f t="shared" si="30"/>
        <v>0.79741404289037643</v>
      </c>
    </row>
    <row r="204" spans="1:88" x14ac:dyDescent="0.2">
      <c r="A204" s="19">
        <v>33724</v>
      </c>
      <c r="B204" s="262">
        <v>2.9350000000000001</v>
      </c>
      <c r="C204" s="270">
        <v>1.06</v>
      </c>
      <c r="D204" s="270">
        <v>4.88</v>
      </c>
      <c r="E204" s="270">
        <v>-1.1943999999999999</v>
      </c>
      <c r="F204" s="270">
        <v>-3.8500999999999999</v>
      </c>
      <c r="G204" s="270">
        <v>1.4092</v>
      </c>
      <c r="H204" s="270">
        <v>-3.5110000000000001</v>
      </c>
      <c r="I204" s="262">
        <v>-5.806</v>
      </c>
      <c r="J204" s="270">
        <v>-1.385</v>
      </c>
      <c r="K204" s="128">
        <v>-4.0274000000000001</v>
      </c>
      <c r="L204" s="270"/>
      <c r="M204" s="270"/>
      <c r="N204" s="262">
        <f t="shared" si="32"/>
        <v>-3.5110000000000001</v>
      </c>
      <c r="O204" s="262">
        <f t="shared" si="33"/>
        <v>-5.806</v>
      </c>
      <c r="P204" s="262">
        <f t="shared" si="34"/>
        <v>-1.385</v>
      </c>
      <c r="Q204" s="270">
        <v>-5.2126000000000001</v>
      </c>
      <c r="R204" s="128">
        <v>-1.994</v>
      </c>
      <c r="S204" s="128">
        <v>2.024</v>
      </c>
      <c r="T204" s="128"/>
      <c r="U204" s="270">
        <v>0.32800000000000001</v>
      </c>
      <c r="V204" s="280"/>
      <c r="W204" s="262">
        <v>0.72230000000000005</v>
      </c>
      <c r="X204" s="128">
        <v>0.92</v>
      </c>
      <c r="Y204" s="128"/>
      <c r="Z204" s="279"/>
      <c r="AA204" s="262">
        <v>0.501</v>
      </c>
      <c r="AB204" s="270">
        <v>-2.2090999999999998</v>
      </c>
      <c r="AC204" s="270">
        <v>3.1770999999999998</v>
      </c>
      <c r="AD204" s="280"/>
      <c r="AE204" s="280"/>
      <c r="AF204" s="262">
        <f t="shared" si="38"/>
        <v>0.501</v>
      </c>
      <c r="AG204" s="128">
        <v>-8.6E-3</v>
      </c>
      <c r="AH204" s="128"/>
      <c r="AI204" s="128"/>
      <c r="AJ204" s="128"/>
      <c r="AK204" s="128"/>
      <c r="AL204" s="128"/>
      <c r="AM204" s="242"/>
      <c r="AN204" s="270">
        <v>0.5</v>
      </c>
      <c r="AO204" s="270">
        <v>0.32800000000000001</v>
      </c>
      <c r="AP204" s="270"/>
      <c r="AQ204" s="270"/>
      <c r="AR204" s="270"/>
      <c r="AS204" s="270"/>
      <c r="AT204" s="270"/>
      <c r="AU204" s="270"/>
      <c r="AV204" s="245">
        <v>0.5</v>
      </c>
      <c r="AW204" s="245"/>
      <c r="AX204" s="245"/>
      <c r="AY204" s="245">
        <v>0.4</v>
      </c>
      <c r="AZ204" s="245">
        <v>0.1</v>
      </c>
      <c r="BA204" s="245">
        <v>0</v>
      </c>
      <c r="BB204" s="245"/>
      <c r="BC204" s="245">
        <f t="shared" si="35"/>
        <v>1</v>
      </c>
      <c r="BD204" s="240">
        <f t="shared" si="36"/>
        <v>1.8065200000000001</v>
      </c>
      <c r="BE204" s="243">
        <f t="shared" si="39"/>
        <v>1.8065200000000001</v>
      </c>
      <c r="BF204" s="332"/>
      <c r="BG204" s="330"/>
      <c r="BH204" s="331"/>
      <c r="BI204" s="331"/>
      <c r="BJ204" s="330"/>
      <c r="BK204" s="330"/>
      <c r="BL204" s="330"/>
      <c r="BM204" s="330"/>
      <c r="BN204" s="330"/>
      <c r="BO204" s="330"/>
      <c r="BP204" s="330"/>
      <c r="BQ204" s="330"/>
      <c r="CB204" s="243">
        <f t="shared" si="29"/>
        <v>0.64340301100034303</v>
      </c>
      <c r="CC204" s="243"/>
      <c r="CD204" s="243">
        <f t="shared" si="31"/>
        <v>0.64340301100034303</v>
      </c>
      <c r="CG204" s="734">
        <f t="shared" si="37"/>
        <v>2.9350000000000001</v>
      </c>
      <c r="CJ204" s="1264">
        <f t="shared" si="30"/>
        <v>0.79741404289037643</v>
      </c>
    </row>
    <row r="205" spans="1:88" x14ac:dyDescent="0.2">
      <c r="A205" s="19">
        <v>33755</v>
      </c>
      <c r="B205" s="262">
        <v>0.49</v>
      </c>
      <c r="C205" s="270">
        <v>0.78</v>
      </c>
      <c r="D205" s="270">
        <v>0.28000000000000003</v>
      </c>
      <c r="E205" s="270">
        <v>0.94679999999999997</v>
      </c>
      <c r="F205" s="270">
        <v>0.96940000000000004</v>
      </c>
      <c r="G205" s="270">
        <v>0.93020000000000003</v>
      </c>
      <c r="H205" s="270">
        <v>1.33</v>
      </c>
      <c r="I205" s="262">
        <v>-0.224</v>
      </c>
      <c r="J205" s="270">
        <v>2.7189999999999999</v>
      </c>
      <c r="K205" s="128">
        <v>1.1506000000000001</v>
      </c>
      <c r="L205" s="270"/>
      <c r="M205" s="270"/>
      <c r="N205" s="262">
        <f t="shared" si="32"/>
        <v>1.33</v>
      </c>
      <c r="O205" s="262">
        <f t="shared" si="33"/>
        <v>-0.224</v>
      </c>
      <c r="P205" s="262">
        <f t="shared" si="34"/>
        <v>2.7189999999999999</v>
      </c>
      <c r="Q205" s="270">
        <v>0.1759</v>
      </c>
      <c r="R205" s="128">
        <v>0.91100000000000003</v>
      </c>
      <c r="S205" s="128">
        <v>0.66600000000000004</v>
      </c>
      <c r="T205" s="128"/>
      <c r="U205" s="270">
        <v>6.0720000000000001</v>
      </c>
      <c r="V205" s="280"/>
      <c r="W205" s="262">
        <v>1.887</v>
      </c>
      <c r="X205" s="128">
        <v>1.64</v>
      </c>
      <c r="Y205" s="128"/>
      <c r="Z205" s="279"/>
      <c r="AA205" s="262">
        <v>6.7240000000000002</v>
      </c>
      <c r="AB205" s="270">
        <v>7.5</v>
      </c>
      <c r="AC205" s="270">
        <v>5.9936999999999996</v>
      </c>
      <c r="AD205" s="280"/>
      <c r="AE205" s="280"/>
      <c r="AF205" s="262">
        <f t="shared" si="38"/>
        <v>6.7240000000000002</v>
      </c>
      <c r="AG205" s="128">
        <v>-8.6E-3</v>
      </c>
      <c r="AH205" s="128"/>
      <c r="AI205" s="128"/>
      <c r="AJ205" s="128"/>
      <c r="AK205" s="128"/>
      <c r="AL205" s="128"/>
      <c r="AM205" s="242"/>
      <c r="AN205" s="270">
        <v>6.7</v>
      </c>
      <c r="AO205" s="270">
        <v>6.0720000000000001</v>
      </c>
      <c r="AP205" s="270"/>
      <c r="AQ205" s="270"/>
      <c r="AR205" s="270"/>
      <c r="AS205" s="270"/>
      <c r="AT205" s="270"/>
      <c r="AU205" s="270"/>
      <c r="AV205" s="245">
        <v>0.5</v>
      </c>
      <c r="AW205" s="245"/>
      <c r="AX205" s="245"/>
      <c r="AY205" s="245">
        <v>0.4</v>
      </c>
      <c r="AZ205" s="245">
        <v>0.1</v>
      </c>
      <c r="BA205" s="245">
        <v>0</v>
      </c>
      <c r="BB205" s="245"/>
      <c r="BC205" s="245">
        <f t="shared" si="35"/>
        <v>1</v>
      </c>
      <c r="BD205" s="240">
        <f t="shared" si="36"/>
        <v>1.6722000000000001</v>
      </c>
      <c r="BE205" s="243">
        <f t="shared" si="39"/>
        <v>1.6722000000000001</v>
      </c>
      <c r="BF205" s="332"/>
      <c r="BG205" s="330"/>
      <c r="BH205" s="331"/>
      <c r="BI205" s="331"/>
      <c r="BJ205" s="330"/>
      <c r="BK205" s="330"/>
      <c r="BL205" s="330"/>
      <c r="BM205" s="330"/>
      <c r="BN205" s="330"/>
      <c r="BO205" s="330"/>
      <c r="BP205" s="330"/>
      <c r="BQ205" s="330"/>
      <c r="CB205" s="243">
        <f t="shared" si="29"/>
        <v>0.64340301100034303</v>
      </c>
      <c r="CC205" s="243"/>
      <c r="CD205" s="243">
        <f t="shared" si="31"/>
        <v>0.64340301100034303</v>
      </c>
      <c r="CG205" s="734">
        <f t="shared" si="37"/>
        <v>0.49</v>
      </c>
      <c r="CJ205" s="1264">
        <f t="shared" si="30"/>
        <v>0.79741404289037643</v>
      </c>
    </row>
    <row r="206" spans="1:88" x14ac:dyDescent="0.2">
      <c r="A206" s="19">
        <v>33785</v>
      </c>
      <c r="B206" s="262">
        <v>-1.488</v>
      </c>
      <c r="C206" s="270">
        <v>-2.0699999999999998</v>
      </c>
      <c r="D206" s="270">
        <v>-0.82</v>
      </c>
      <c r="E206" s="270">
        <v>-2.8555000000000001</v>
      </c>
      <c r="F206" s="270">
        <v>-3.9693999999999998</v>
      </c>
      <c r="G206" s="270">
        <v>-1.89</v>
      </c>
      <c r="H206" s="270">
        <v>-4.6989999999999998</v>
      </c>
      <c r="I206" s="262">
        <v>-6.3769999999999998</v>
      </c>
      <c r="J206" s="270">
        <v>-3.238</v>
      </c>
      <c r="K206" s="128">
        <v>-3.8304999999999998</v>
      </c>
      <c r="L206" s="270"/>
      <c r="M206" s="270"/>
      <c r="N206" s="262">
        <f t="shared" si="32"/>
        <v>-4.6989999999999998</v>
      </c>
      <c r="O206" s="262">
        <f t="shared" si="33"/>
        <v>-6.3769999999999998</v>
      </c>
      <c r="P206" s="262">
        <f t="shared" si="34"/>
        <v>-3.238</v>
      </c>
      <c r="Q206" s="270">
        <v>-5.4389000000000003</v>
      </c>
      <c r="R206" s="128">
        <v>-3.4769999999999999</v>
      </c>
      <c r="S206" s="128">
        <v>-1.7989999999999999</v>
      </c>
      <c r="T206" s="128"/>
      <c r="U206" s="270">
        <v>-4.8259999999999996</v>
      </c>
      <c r="V206" s="280"/>
      <c r="W206" s="262">
        <v>1.3762000000000001</v>
      </c>
      <c r="X206" s="128">
        <v>1.36</v>
      </c>
      <c r="Y206" s="128"/>
      <c r="Z206" s="279"/>
      <c r="AA206" s="262">
        <v>-4.71</v>
      </c>
      <c r="AB206" s="270">
        <v>-4.4063999999999997</v>
      </c>
      <c r="AC206" s="270">
        <v>-5.0026000000000002</v>
      </c>
      <c r="AD206" s="280"/>
      <c r="AE206" s="280"/>
      <c r="AF206" s="262">
        <f t="shared" si="38"/>
        <v>-4.71</v>
      </c>
      <c r="AG206" s="128">
        <v>-8.6E-3</v>
      </c>
      <c r="AH206" s="128"/>
      <c r="AI206" s="128"/>
      <c r="AJ206" s="128"/>
      <c r="AK206" s="128"/>
      <c r="AL206" s="128"/>
      <c r="AM206" s="242"/>
      <c r="AN206" s="270">
        <v>-4.7</v>
      </c>
      <c r="AO206" s="270">
        <v>-4.8259999999999996</v>
      </c>
      <c r="AP206" s="270"/>
      <c r="AQ206" s="270"/>
      <c r="AR206" s="270"/>
      <c r="AS206" s="270"/>
      <c r="AT206" s="270"/>
      <c r="AU206" s="270"/>
      <c r="AV206" s="245">
        <v>0.5</v>
      </c>
      <c r="AW206" s="245"/>
      <c r="AX206" s="245"/>
      <c r="AY206" s="245">
        <v>0.4</v>
      </c>
      <c r="AZ206" s="245">
        <v>0.1</v>
      </c>
      <c r="BA206" s="245">
        <v>0</v>
      </c>
      <c r="BB206" s="245"/>
      <c r="BC206" s="245">
        <f t="shared" si="35"/>
        <v>1</v>
      </c>
      <c r="BD206" s="240">
        <f t="shared" si="36"/>
        <v>-0.66452</v>
      </c>
      <c r="BE206" s="243">
        <f t="shared" si="39"/>
        <v>-0.66452</v>
      </c>
      <c r="BF206" s="332"/>
      <c r="BG206" s="330"/>
      <c r="BH206" s="331"/>
      <c r="BI206" s="331"/>
      <c r="BJ206" s="330"/>
      <c r="BK206" s="330"/>
      <c r="BL206" s="330"/>
      <c r="BM206" s="330"/>
      <c r="BN206" s="330"/>
      <c r="BO206" s="330"/>
      <c r="BP206" s="330"/>
      <c r="BQ206" s="330"/>
      <c r="CB206" s="243">
        <f t="shared" si="29"/>
        <v>0.64340301100034303</v>
      </c>
      <c r="CC206" s="243"/>
      <c r="CD206" s="243">
        <f t="shared" si="31"/>
        <v>0.64340301100034303</v>
      </c>
      <c r="CG206" s="734">
        <f t="shared" si="37"/>
        <v>-1.488</v>
      </c>
      <c r="CJ206" s="1264">
        <f t="shared" si="30"/>
        <v>0.79741404289037643</v>
      </c>
    </row>
    <row r="207" spans="1:88" x14ac:dyDescent="0.2">
      <c r="A207" s="19">
        <v>33816</v>
      </c>
      <c r="B207" s="262">
        <v>4.085</v>
      </c>
      <c r="C207" s="270">
        <v>4.5098000000000003</v>
      </c>
      <c r="D207" s="270">
        <v>3.61</v>
      </c>
      <c r="E207" s="270">
        <v>4.9649000000000001</v>
      </c>
      <c r="F207" s="270">
        <v>5.1599000000000004</v>
      </c>
      <c r="G207" s="270">
        <v>4.3800999999999997</v>
      </c>
      <c r="H207" s="270">
        <v>3.476</v>
      </c>
      <c r="I207" s="262">
        <v>3.1389999999999998</v>
      </c>
      <c r="J207" s="270">
        <v>3.7669999999999999</v>
      </c>
      <c r="K207" s="128">
        <v>3.7248000000000001</v>
      </c>
      <c r="L207" s="270"/>
      <c r="M207" s="270"/>
      <c r="N207" s="262">
        <f t="shared" si="32"/>
        <v>3.476</v>
      </c>
      <c r="O207" s="262">
        <f t="shared" si="33"/>
        <v>3.1389999999999998</v>
      </c>
      <c r="P207" s="262">
        <f t="shared" si="34"/>
        <v>3.7669999999999999</v>
      </c>
      <c r="Q207" s="270">
        <v>3.8866000000000001</v>
      </c>
      <c r="R207" s="128">
        <v>3.7429999999999999</v>
      </c>
      <c r="S207" s="128">
        <v>4.1319999999999997</v>
      </c>
      <c r="T207" s="128"/>
      <c r="U207" s="270">
        <v>-2.1269999999999998</v>
      </c>
      <c r="V207" s="280"/>
      <c r="W207" s="262">
        <v>2.0402</v>
      </c>
      <c r="X207" s="128">
        <v>1.56</v>
      </c>
      <c r="Y207" s="128"/>
      <c r="Z207" s="279"/>
      <c r="AA207" s="262">
        <v>-2.5270000000000001</v>
      </c>
      <c r="AB207" s="270">
        <v>-1.5564</v>
      </c>
      <c r="AC207" s="270">
        <v>-3.4352</v>
      </c>
      <c r="AD207" s="280"/>
      <c r="AE207" s="280"/>
      <c r="AF207" s="262">
        <f t="shared" si="38"/>
        <v>-2.5270000000000001</v>
      </c>
      <c r="AG207" s="128">
        <v>-0.34560000000000002</v>
      </c>
      <c r="AH207" s="128"/>
      <c r="AI207" s="128"/>
      <c r="AJ207" s="128"/>
      <c r="AK207" s="128"/>
      <c r="AL207" s="128"/>
      <c r="AM207" s="242"/>
      <c r="AN207" s="270">
        <v>-2.5</v>
      </c>
      <c r="AO207" s="270">
        <v>-2.1269999999999998</v>
      </c>
      <c r="AP207" s="270"/>
      <c r="AQ207" s="270"/>
      <c r="AR207" s="270"/>
      <c r="AS207" s="270"/>
      <c r="AT207" s="270"/>
      <c r="AU207" s="270"/>
      <c r="AV207" s="245">
        <v>0.5</v>
      </c>
      <c r="AW207" s="245"/>
      <c r="AX207" s="245"/>
      <c r="AY207" s="245">
        <v>0.4</v>
      </c>
      <c r="AZ207" s="245">
        <v>0.1</v>
      </c>
      <c r="BA207" s="245">
        <v>0</v>
      </c>
      <c r="BB207" s="245"/>
      <c r="BC207" s="245">
        <f t="shared" si="35"/>
        <v>1</v>
      </c>
      <c r="BD207" s="240">
        <f t="shared" si="36"/>
        <v>2.60588</v>
      </c>
      <c r="BE207" s="243">
        <f t="shared" si="39"/>
        <v>2.60588</v>
      </c>
      <c r="BF207" s="332"/>
      <c r="BG207" s="330"/>
      <c r="BH207" s="331"/>
      <c r="BI207" s="331"/>
      <c r="BJ207" s="330"/>
      <c r="BK207" s="330"/>
      <c r="BL207" s="330"/>
      <c r="BM207" s="330"/>
      <c r="BN207" s="330"/>
      <c r="BO207" s="330"/>
      <c r="BP207" s="330"/>
      <c r="BQ207" s="330"/>
      <c r="CB207" s="243">
        <f t="shared" si="29"/>
        <v>0.64340301100034303</v>
      </c>
      <c r="CC207" s="243"/>
      <c r="CD207" s="243">
        <f t="shared" si="31"/>
        <v>0.64340301100034303</v>
      </c>
      <c r="CG207" s="734">
        <f t="shared" si="37"/>
        <v>4.085</v>
      </c>
      <c r="CJ207" s="1264">
        <f t="shared" si="30"/>
        <v>0.79741404289037643</v>
      </c>
    </row>
    <row r="208" spans="1:88" x14ac:dyDescent="0.2">
      <c r="A208" s="19">
        <v>33847</v>
      </c>
      <c r="B208" s="262">
        <v>-2.0470000000000002</v>
      </c>
      <c r="C208" s="270">
        <v>-1.1498999999999999</v>
      </c>
      <c r="D208" s="270">
        <v>-2.9</v>
      </c>
      <c r="E208" s="270">
        <v>-2.3919000000000001</v>
      </c>
      <c r="F208" s="270">
        <v>-2.5102000000000002</v>
      </c>
      <c r="G208" s="270">
        <v>-2.2900999999999998</v>
      </c>
      <c r="H208" s="270">
        <v>-2.8279999999999998</v>
      </c>
      <c r="I208" s="262">
        <v>-3.85</v>
      </c>
      <c r="J208" s="270">
        <v>-1.9490000000000001</v>
      </c>
      <c r="K208" s="128">
        <v>-2.8511000000000002</v>
      </c>
      <c r="L208" s="270"/>
      <c r="M208" s="270"/>
      <c r="N208" s="262">
        <f t="shared" si="32"/>
        <v>-2.8279999999999998</v>
      </c>
      <c r="O208" s="262">
        <f t="shared" si="33"/>
        <v>-3.85</v>
      </c>
      <c r="P208" s="262">
        <f t="shared" si="34"/>
        <v>-1.9490000000000001</v>
      </c>
      <c r="Q208" s="270">
        <v>-2.9504000000000001</v>
      </c>
      <c r="R208" s="128">
        <v>-2.6309999999999998</v>
      </c>
      <c r="S208" s="128">
        <v>-2.16</v>
      </c>
      <c r="T208" s="128"/>
      <c r="U208" s="270">
        <v>5.3330000000000002</v>
      </c>
      <c r="V208" s="280"/>
      <c r="W208" s="262">
        <v>1.0129999999999999</v>
      </c>
      <c r="X208" s="128">
        <v>1.1100000000000001</v>
      </c>
      <c r="Y208" s="128"/>
      <c r="Z208" s="279"/>
      <c r="AA208" s="262">
        <v>6.306</v>
      </c>
      <c r="AB208" s="270">
        <v>7.8606999999999996</v>
      </c>
      <c r="AC208" s="270">
        <v>4.8238000000000003</v>
      </c>
      <c r="AD208" s="280"/>
      <c r="AE208" s="280"/>
      <c r="AF208" s="262">
        <f t="shared" si="38"/>
        <v>6.306</v>
      </c>
      <c r="AG208" s="128">
        <v>-0.34560000000000002</v>
      </c>
      <c r="AH208" s="128"/>
      <c r="AI208" s="128"/>
      <c r="AJ208" s="128"/>
      <c r="AK208" s="128"/>
      <c r="AL208" s="128"/>
      <c r="AM208" s="242"/>
      <c r="AN208" s="270">
        <v>6.3</v>
      </c>
      <c r="AO208" s="270">
        <v>5.3330000000000002</v>
      </c>
      <c r="AP208" s="270"/>
      <c r="AQ208" s="270"/>
      <c r="AR208" s="270"/>
      <c r="AS208" s="270"/>
      <c r="AT208" s="270"/>
      <c r="AU208" s="270"/>
      <c r="AV208" s="245">
        <v>0.5</v>
      </c>
      <c r="AW208" s="245"/>
      <c r="AX208" s="245"/>
      <c r="AY208" s="245">
        <v>0.4</v>
      </c>
      <c r="AZ208" s="245">
        <v>0.1</v>
      </c>
      <c r="BA208" s="245">
        <v>0</v>
      </c>
      <c r="BB208" s="245"/>
      <c r="BC208" s="245">
        <f t="shared" si="35"/>
        <v>1</v>
      </c>
      <c r="BD208" s="240">
        <f t="shared" si="36"/>
        <v>1.2299999999999978E-2</v>
      </c>
      <c r="BE208" s="243">
        <f t="shared" si="39"/>
        <v>1.2299999999999978E-2</v>
      </c>
      <c r="BF208" s="332"/>
      <c r="BG208" s="330"/>
      <c r="BH208" s="331"/>
      <c r="BI208" s="331"/>
      <c r="BJ208" s="330"/>
      <c r="BK208" s="330"/>
      <c r="BL208" s="330"/>
      <c r="BM208" s="330"/>
      <c r="BN208" s="330"/>
      <c r="BO208" s="330"/>
      <c r="BP208" s="330"/>
      <c r="BQ208" s="330"/>
      <c r="CB208" s="243">
        <f t="shared" si="29"/>
        <v>0.64340301100034303</v>
      </c>
      <c r="CC208" s="243"/>
      <c r="CD208" s="243">
        <f t="shared" si="31"/>
        <v>0.64340301100034303</v>
      </c>
      <c r="CG208" s="734">
        <f t="shared" si="37"/>
        <v>-2.0470000000000002</v>
      </c>
      <c r="CJ208" s="1264">
        <f t="shared" si="30"/>
        <v>0.79741404289037643</v>
      </c>
    </row>
    <row r="209" spans="1:88" x14ac:dyDescent="0.2">
      <c r="A209" s="19">
        <v>33877</v>
      </c>
      <c r="B209" s="262">
        <v>1.175</v>
      </c>
      <c r="C209" s="270">
        <v>1.1800999999999999</v>
      </c>
      <c r="D209" s="270">
        <v>1.1000000000000001</v>
      </c>
      <c r="E209" s="270">
        <v>1.3995</v>
      </c>
      <c r="F209" s="270">
        <v>1.7504</v>
      </c>
      <c r="G209" s="270">
        <v>1.0698000000000001</v>
      </c>
      <c r="H209" s="270">
        <v>2.3029999999999999</v>
      </c>
      <c r="I209" s="262">
        <v>2.7919999999999998</v>
      </c>
      <c r="J209" s="270">
        <v>1.8879999999999999</v>
      </c>
      <c r="K209" s="128">
        <v>2.8527</v>
      </c>
      <c r="L209" s="270"/>
      <c r="M209" s="270"/>
      <c r="N209" s="262">
        <f t="shared" si="32"/>
        <v>2.3029999999999999</v>
      </c>
      <c r="O209" s="262">
        <f t="shared" si="33"/>
        <v>2.7919999999999998</v>
      </c>
      <c r="P209" s="262">
        <f t="shared" si="34"/>
        <v>1.8879999999999999</v>
      </c>
      <c r="Q209" s="270">
        <v>1.5289999999999999</v>
      </c>
      <c r="R209" s="128">
        <v>1.7010000000000001</v>
      </c>
      <c r="S209" s="128">
        <v>1.34</v>
      </c>
      <c r="T209" s="128"/>
      <c r="U209" s="270">
        <v>-2.052</v>
      </c>
      <c r="V209" s="280"/>
      <c r="W209" s="262">
        <v>1.1854</v>
      </c>
      <c r="X209" s="128">
        <v>1.1299999999999999</v>
      </c>
      <c r="Y209" s="128"/>
      <c r="Z209" s="279"/>
      <c r="AA209" s="262">
        <v>-1.9419999999999999</v>
      </c>
      <c r="AB209" s="270">
        <v>-2.0503</v>
      </c>
      <c r="AC209" s="270">
        <v>-1.7909999999999999</v>
      </c>
      <c r="AD209" s="280"/>
      <c r="AE209" s="280"/>
      <c r="AF209" s="262">
        <f t="shared" si="38"/>
        <v>-1.9419999999999999</v>
      </c>
      <c r="AG209" s="128">
        <v>-0.34560000000000002</v>
      </c>
      <c r="AH209" s="128"/>
      <c r="AI209" s="128"/>
      <c r="AJ209" s="128"/>
      <c r="AK209" s="128"/>
      <c r="AL209" s="128"/>
      <c r="AM209" s="242"/>
      <c r="AN209" s="270">
        <v>-1.9</v>
      </c>
      <c r="AO209" s="270">
        <v>-2.052</v>
      </c>
      <c r="AP209" s="270"/>
      <c r="AQ209" s="270"/>
      <c r="AR209" s="270"/>
      <c r="AS209" s="270"/>
      <c r="AT209" s="270"/>
      <c r="AU209" s="270"/>
      <c r="AV209" s="245">
        <v>0.5</v>
      </c>
      <c r="AW209" s="245"/>
      <c r="AX209" s="245"/>
      <c r="AY209" s="245">
        <v>0.4</v>
      </c>
      <c r="AZ209" s="245">
        <v>0.1</v>
      </c>
      <c r="BA209" s="245">
        <v>0</v>
      </c>
      <c r="BB209" s="245"/>
      <c r="BC209" s="245">
        <f t="shared" si="35"/>
        <v>1</v>
      </c>
      <c r="BD209" s="240">
        <f t="shared" si="36"/>
        <v>0.86746000000000001</v>
      </c>
      <c r="BE209" s="243">
        <f t="shared" si="39"/>
        <v>0.86746000000000001</v>
      </c>
      <c r="BF209" s="332"/>
      <c r="BG209" s="330"/>
      <c r="BH209" s="331"/>
      <c r="BI209" s="331"/>
      <c r="BJ209" s="330"/>
      <c r="BK209" s="330"/>
      <c r="BL209" s="330"/>
      <c r="BM209" s="330"/>
      <c r="BN209" s="330"/>
      <c r="BO209" s="330"/>
      <c r="BP209" s="330"/>
      <c r="BQ209" s="330"/>
      <c r="CB209" s="243">
        <f t="shared" si="29"/>
        <v>0.64340301100034303</v>
      </c>
      <c r="CC209" s="243"/>
      <c r="CD209" s="243">
        <f t="shared" si="31"/>
        <v>0.64340301100034303</v>
      </c>
      <c r="CG209" s="734">
        <f t="shared" si="37"/>
        <v>1.175</v>
      </c>
      <c r="CJ209" s="1264">
        <f t="shared" si="30"/>
        <v>0.79741404289037643</v>
      </c>
    </row>
    <row r="210" spans="1:88" x14ac:dyDescent="0.2">
      <c r="A210" s="19">
        <v>33908</v>
      </c>
      <c r="B210" s="262">
        <v>0.34499999999999997</v>
      </c>
      <c r="C210" s="270">
        <v>1.5018</v>
      </c>
      <c r="D210" s="270">
        <v>-0.8</v>
      </c>
      <c r="E210" s="270">
        <v>2.3946999999999998</v>
      </c>
      <c r="F210" s="270">
        <v>3.4695999999999998</v>
      </c>
      <c r="G210" s="270">
        <v>1.3202</v>
      </c>
      <c r="H210" s="270">
        <v>3.1560000000000001</v>
      </c>
      <c r="I210" s="262">
        <v>4.1120000000000001</v>
      </c>
      <c r="J210" s="270">
        <v>2.3340000000000001</v>
      </c>
      <c r="K210" s="128">
        <v>4.1615000000000002</v>
      </c>
      <c r="L210" s="270"/>
      <c r="M210" s="270"/>
      <c r="N210" s="262">
        <f t="shared" si="32"/>
        <v>3.1560000000000001</v>
      </c>
      <c r="O210" s="262">
        <f t="shared" si="33"/>
        <v>4.1120000000000001</v>
      </c>
      <c r="P210" s="262">
        <f t="shared" si="34"/>
        <v>2.3340000000000001</v>
      </c>
      <c r="Q210" s="270">
        <v>4.2492000000000001</v>
      </c>
      <c r="R210" s="128">
        <v>2.9990000000000001</v>
      </c>
      <c r="S210" s="128">
        <v>0.99</v>
      </c>
      <c r="T210" s="128"/>
      <c r="U210" s="270">
        <v>-4.391</v>
      </c>
      <c r="V210" s="280"/>
      <c r="W210" s="262">
        <v>-1.3258000000000001</v>
      </c>
      <c r="X210" s="128">
        <v>-1.1299999999999999</v>
      </c>
      <c r="Y210" s="128"/>
      <c r="Z210" s="279"/>
      <c r="AA210" s="262">
        <v>-5.2149999999999999</v>
      </c>
      <c r="AB210" s="270">
        <v>-5.1733000000000002</v>
      </c>
      <c r="AC210" s="270">
        <v>-5.2546999999999997</v>
      </c>
      <c r="AD210" s="280"/>
      <c r="AE210" s="280"/>
      <c r="AF210" s="262">
        <f t="shared" si="38"/>
        <v>-5.2149999999999999</v>
      </c>
      <c r="AG210" s="128">
        <v>-0.1472</v>
      </c>
      <c r="AH210" s="128"/>
      <c r="AI210" s="128"/>
      <c r="AJ210" s="128"/>
      <c r="AK210" s="128"/>
      <c r="AL210" s="128"/>
      <c r="AM210" s="242"/>
      <c r="AN210" s="270">
        <v>-5.2</v>
      </c>
      <c r="AO210" s="270">
        <v>-4.391</v>
      </c>
      <c r="AP210" s="270"/>
      <c r="AQ210" s="270"/>
      <c r="AR210" s="270"/>
      <c r="AS210" s="270"/>
      <c r="AT210" s="270"/>
      <c r="AU210" s="270"/>
      <c r="AV210" s="245">
        <v>0.5</v>
      </c>
      <c r="AW210" s="245"/>
      <c r="AX210" s="245"/>
      <c r="AY210" s="245">
        <v>0.4</v>
      </c>
      <c r="AZ210" s="245">
        <v>0.1</v>
      </c>
      <c r="BA210" s="245">
        <v>0</v>
      </c>
      <c r="BB210" s="245"/>
      <c r="BC210" s="245">
        <f t="shared" si="35"/>
        <v>1</v>
      </c>
      <c r="BD210" s="240">
        <f t="shared" si="36"/>
        <v>-0.87931999999999999</v>
      </c>
      <c r="BE210" s="243">
        <f t="shared" si="39"/>
        <v>-0.87931999999999999</v>
      </c>
      <c r="BF210" s="332"/>
      <c r="BG210" s="330"/>
      <c r="BH210" s="331"/>
      <c r="BI210" s="331"/>
      <c r="BJ210" s="330"/>
      <c r="BK210" s="330"/>
      <c r="BL210" s="330"/>
      <c r="BM210" s="330"/>
      <c r="BN210" s="330"/>
      <c r="BO210" s="330"/>
      <c r="BP210" s="330"/>
      <c r="BQ210" s="330"/>
      <c r="CB210" s="243">
        <f t="shared" si="29"/>
        <v>0.64340301100034303</v>
      </c>
      <c r="CC210" s="243"/>
      <c r="CD210" s="243">
        <f t="shared" si="31"/>
        <v>0.64340301100034303</v>
      </c>
      <c r="CG210" s="734">
        <f t="shared" si="37"/>
        <v>0.34499999999999997</v>
      </c>
      <c r="CJ210" s="1264">
        <f t="shared" si="30"/>
        <v>0.79741404289037643</v>
      </c>
    </row>
    <row r="211" spans="1:88" x14ac:dyDescent="0.2">
      <c r="A211" s="19">
        <v>33938</v>
      </c>
      <c r="B211" s="262">
        <v>3.4049999999999998</v>
      </c>
      <c r="C211" s="270">
        <v>4.0350000000000001</v>
      </c>
      <c r="D211" s="270">
        <v>2.71</v>
      </c>
      <c r="E211" s="270">
        <v>5.5880999999999998</v>
      </c>
      <c r="F211" s="270">
        <v>7.1802999999999999</v>
      </c>
      <c r="G211" s="270">
        <v>3.9098000000000002</v>
      </c>
      <c r="H211" s="270">
        <v>7.6580000000000004</v>
      </c>
      <c r="I211" s="262">
        <v>9.3330000000000002</v>
      </c>
      <c r="J211" s="270">
        <v>6.1870000000000003</v>
      </c>
      <c r="K211" s="128">
        <v>8.6038999999999994</v>
      </c>
      <c r="L211" s="270"/>
      <c r="M211" s="270"/>
      <c r="N211" s="262">
        <f t="shared" si="32"/>
        <v>7.6580000000000004</v>
      </c>
      <c r="O211" s="262">
        <f t="shared" si="33"/>
        <v>9.3330000000000002</v>
      </c>
      <c r="P211" s="262">
        <f t="shared" si="34"/>
        <v>6.1870000000000003</v>
      </c>
      <c r="Q211" s="270">
        <v>8.0510000000000002</v>
      </c>
      <c r="R211" s="128">
        <v>6.5789999999999997</v>
      </c>
      <c r="S211" s="128">
        <v>4.1150000000000002</v>
      </c>
      <c r="T211" s="128"/>
      <c r="U211" s="270">
        <v>0.55300000000000005</v>
      </c>
      <c r="V211" s="280"/>
      <c r="W211" s="262">
        <v>2.2599999999999999E-2</v>
      </c>
      <c r="X211" s="128">
        <v>-0.12</v>
      </c>
      <c r="Y211" s="128"/>
      <c r="Z211" s="279"/>
      <c r="AA211" s="262">
        <v>0.97099999999999997</v>
      </c>
      <c r="AB211" s="270">
        <v>1.4237</v>
      </c>
      <c r="AC211" s="270">
        <v>0.52139999999999997</v>
      </c>
      <c r="AD211" s="280"/>
      <c r="AE211" s="280"/>
      <c r="AF211" s="262">
        <f t="shared" si="38"/>
        <v>0.97099999999999997</v>
      </c>
      <c r="AG211" s="128">
        <v>-0.1472</v>
      </c>
      <c r="AH211" s="128"/>
      <c r="AI211" s="128"/>
      <c r="AJ211" s="128"/>
      <c r="AK211" s="128"/>
      <c r="AL211" s="128"/>
      <c r="AM211" s="242"/>
      <c r="AN211" s="270">
        <v>1</v>
      </c>
      <c r="AO211" s="270">
        <v>0.55300000000000005</v>
      </c>
      <c r="AP211" s="270"/>
      <c r="AQ211" s="270"/>
      <c r="AR211" s="270"/>
      <c r="AS211" s="270"/>
      <c r="AT211" s="270"/>
      <c r="AU211" s="270"/>
      <c r="AV211" s="245">
        <v>0.5</v>
      </c>
      <c r="AW211" s="245"/>
      <c r="AX211" s="245"/>
      <c r="AY211" s="245">
        <v>0.4</v>
      </c>
      <c r="AZ211" s="245">
        <v>0.1</v>
      </c>
      <c r="BA211" s="245">
        <v>0</v>
      </c>
      <c r="BB211" s="245"/>
      <c r="BC211" s="245">
        <f t="shared" si="35"/>
        <v>1</v>
      </c>
      <c r="BD211" s="240">
        <f t="shared" si="36"/>
        <v>1.8086399999999998</v>
      </c>
      <c r="BE211" s="243">
        <f t="shared" si="39"/>
        <v>1.8086399999999998</v>
      </c>
      <c r="BF211" s="332"/>
      <c r="BG211" s="330"/>
      <c r="BH211" s="331"/>
      <c r="BI211" s="331"/>
      <c r="BJ211" s="330"/>
      <c r="BK211" s="330"/>
      <c r="BL211" s="330"/>
      <c r="BM211" s="330"/>
      <c r="BN211" s="330"/>
      <c r="BO211" s="330"/>
      <c r="BP211" s="330"/>
      <c r="BQ211" s="330"/>
      <c r="CB211" s="243">
        <f t="shared" si="29"/>
        <v>0.64340301100034303</v>
      </c>
      <c r="CC211" s="243"/>
      <c r="CD211" s="243">
        <f t="shared" si="31"/>
        <v>0.64340301100034303</v>
      </c>
      <c r="CG211" s="734">
        <f t="shared" si="37"/>
        <v>3.4049999999999998</v>
      </c>
      <c r="CJ211" s="1264">
        <f t="shared" si="30"/>
        <v>0.79741404289037643</v>
      </c>
    </row>
    <row r="212" spans="1:88" x14ac:dyDescent="0.2">
      <c r="A212" s="19">
        <v>33969</v>
      </c>
      <c r="B212" s="262">
        <v>1.2270000000000001</v>
      </c>
      <c r="C212" s="270">
        <v>0.65710000000000002</v>
      </c>
      <c r="D212" s="270">
        <v>1.81</v>
      </c>
      <c r="E212" s="270">
        <v>3.3542999999999998</v>
      </c>
      <c r="F212" s="270">
        <v>2.84</v>
      </c>
      <c r="G212" s="270">
        <v>3.7507000000000001</v>
      </c>
      <c r="H212" s="270">
        <v>3.4809999999999999</v>
      </c>
      <c r="I212" s="262">
        <v>2.7440000000000002</v>
      </c>
      <c r="J212" s="270">
        <v>4.1470000000000002</v>
      </c>
      <c r="K212" s="128">
        <v>3.5571999999999999</v>
      </c>
      <c r="L212" s="270"/>
      <c r="M212" s="270"/>
      <c r="N212" s="262">
        <f t="shared" si="32"/>
        <v>3.4809999999999999</v>
      </c>
      <c r="O212" s="262">
        <f t="shared" si="33"/>
        <v>2.7440000000000002</v>
      </c>
      <c r="P212" s="262">
        <f t="shared" si="34"/>
        <v>4.1470000000000002</v>
      </c>
      <c r="Q212" s="270">
        <v>2.9462999999999999</v>
      </c>
      <c r="R212" s="128">
        <v>3.4980000000000002</v>
      </c>
      <c r="S212" s="128">
        <v>1.786</v>
      </c>
      <c r="T212" s="128"/>
      <c r="U212" s="270">
        <v>0.83499999999999996</v>
      </c>
      <c r="V212" s="280"/>
      <c r="W212" s="262">
        <v>1.5901000000000001</v>
      </c>
      <c r="X212" s="128">
        <v>1.32</v>
      </c>
      <c r="Y212" s="128"/>
      <c r="Z212" s="279"/>
      <c r="AA212" s="262">
        <v>0.54700000000000004</v>
      </c>
      <c r="AB212" s="270">
        <v>0.14799999999999999</v>
      </c>
      <c r="AC212" s="270">
        <v>0.93240000000000001</v>
      </c>
      <c r="AD212" s="280"/>
      <c r="AE212" s="280"/>
      <c r="AF212" s="262">
        <f t="shared" si="38"/>
        <v>0.54700000000000004</v>
      </c>
      <c r="AG212" s="128">
        <v>-0.1472</v>
      </c>
      <c r="AH212" s="128"/>
      <c r="AI212" s="128"/>
      <c r="AJ212" s="128"/>
      <c r="AK212" s="128"/>
      <c r="AL212" s="128"/>
      <c r="AM212" s="242"/>
      <c r="AN212" s="270">
        <v>0.6</v>
      </c>
      <c r="AO212" s="270">
        <v>0.83499999999999996</v>
      </c>
      <c r="AP212" s="270"/>
      <c r="AQ212" s="270"/>
      <c r="AR212" s="270"/>
      <c r="AS212" s="270"/>
      <c r="AT212" s="270"/>
      <c r="AU212" s="270"/>
      <c r="AV212" s="245">
        <v>0.5</v>
      </c>
      <c r="AW212" s="245"/>
      <c r="AX212" s="245"/>
      <c r="AY212" s="245">
        <v>0.4</v>
      </c>
      <c r="AZ212" s="245">
        <v>0.1</v>
      </c>
      <c r="BA212" s="245">
        <v>0</v>
      </c>
      <c r="BB212" s="245"/>
      <c r="BC212" s="245">
        <f t="shared" si="35"/>
        <v>1</v>
      </c>
      <c r="BD212" s="240">
        <f t="shared" si="36"/>
        <v>1.3042400000000001</v>
      </c>
      <c r="BE212" s="243">
        <f t="shared" si="39"/>
        <v>1.3042400000000001</v>
      </c>
      <c r="BF212" s="332"/>
      <c r="BG212" s="330"/>
      <c r="BH212" s="331"/>
      <c r="BI212" s="331"/>
      <c r="BJ212" s="330"/>
      <c r="BK212" s="330"/>
      <c r="BL212" s="330"/>
      <c r="BM212" s="330"/>
      <c r="BN212" s="330"/>
      <c r="BO212" s="330"/>
      <c r="BP212" s="330"/>
      <c r="BQ212" s="330"/>
      <c r="CB212" s="243">
        <f t="shared" si="29"/>
        <v>0.64340301100034303</v>
      </c>
      <c r="CC212" s="243"/>
      <c r="CD212" s="243">
        <f t="shared" si="31"/>
        <v>0.64340301100034303</v>
      </c>
      <c r="CG212" s="734">
        <f t="shared" si="37"/>
        <v>1.2270000000000001</v>
      </c>
      <c r="CJ212" s="1264">
        <f t="shared" si="30"/>
        <v>0.79741404289037643</v>
      </c>
    </row>
    <row r="213" spans="1:88" x14ac:dyDescent="0.2">
      <c r="A213" s="19">
        <v>34000</v>
      </c>
      <c r="B213" s="262">
        <v>0.83599999999999997</v>
      </c>
      <c r="C213" s="270">
        <v>-1.075</v>
      </c>
      <c r="D213" s="270">
        <v>2.76</v>
      </c>
      <c r="E213" s="270">
        <v>1.2507999999999999</v>
      </c>
      <c r="F213" s="270">
        <v>0.47010000000000002</v>
      </c>
      <c r="G213" s="270">
        <v>2.0398000000000001</v>
      </c>
      <c r="H213" s="270">
        <v>3.3820000000000001</v>
      </c>
      <c r="I213" s="262">
        <v>1.24</v>
      </c>
      <c r="J213" s="270">
        <v>5.306</v>
      </c>
      <c r="K213" s="128">
        <v>2.6823000000000001</v>
      </c>
      <c r="L213" s="270"/>
      <c r="M213" s="270"/>
      <c r="N213" s="262">
        <f t="shared" si="32"/>
        <v>3.3820000000000001</v>
      </c>
      <c r="O213" s="262">
        <f t="shared" si="33"/>
        <v>1.24</v>
      </c>
      <c r="P213" s="262">
        <f t="shared" si="34"/>
        <v>5.306</v>
      </c>
      <c r="Q213" s="270">
        <v>0.69940000000000002</v>
      </c>
      <c r="R213" s="128">
        <v>2.4009999999999998</v>
      </c>
      <c r="S213" s="128">
        <v>0.97699999999999998</v>
      </c>
      <c r="T213" s="128"/>
      <c r="U213" s="270">
        <v>-1.2E-2</v>
      </c>
      <c r="V213" s="280"/>
      <c r="W213" s="262">
        <v>1.9176</v>
      </c>
      <c r="X213" s="128">
        <v>1.71</v>
      </c>
      <c r="Y213" s="128"/>
      <c r="Z213" s="279"/>
      <c r="AA213" s="262">
        <v>1.7610000000000001E-2</v>
      </c>
      <c r="AB213" s="270">
        <v>-0.88700000000000001</v>
      </c>
      <c r="AC213" s="270">
        <v>0.94850000000000001</v>
      </c>
      <c r="AD213" s="280"/>
      <c r="AE213" s="280"/>
      <c r="AF213" s="262">
        <f t="shared" si="38"/>
        <v>1.7610000000000001E-2</v>
      </c>
      <c r="AG213" s="128">
        <v>-0.94589999999999996</v>
      </c>
      <c r="AH213" s="128"/>
      <c r="AI213" s="128"/>
      <c r="AJ213" s="128"/>
      <c r="AK213" s="128"/>
      <c r="AL213" s="128"/>
      <c r="AM213" s="242"/>
      <c r="AN213" s="270">
        <v>0.04</v>
      </c>
      <c r="AO213" s="270">
        <v>-1.2E-2</v>
      </c>
      <c r="AP213" s="270"/>
      <c r="AQ213" s="270"/>
      <c r="AR213" s="270"/>
      <c r="AS213" s="270"/>
      <c r="AT213" s="270"/>
      <c r="AU213" s="270"/>
      <c r="AV213" s="245">
        <v>0.5</v>
      </c>
      <c r="AW213" s="245"/>
      <c r="AX213" s="245"/>
      <c r="AY213" s="245">
        <v>0.4</v>
      </c>
      <c r="AZ213" s="245">
        <v>0.1</v>
      </c>
      <c r="BA213" s="245">
        <v>0</v>
      </c>
      <c r="BB213" s="245"/>
      <c r="BC213" s="245">
        <f t="shared" si="35"/>
        <v>1</v>
      </c>
      <c r="BD213" s="240">
        <f t="shared" si="36"/>
        <v>1.186801</v>
      </c>
      <c r="BE213" s="243">
        <f t="shared" si="39"/>
        <v>1.186801</v>
      </c>
      <c r="BF213" s="332"/>
      <c r="BG213" s="330"/>
      <c r="BH213" s="331"/>
      <c r="BI213" s="331"/>
      <c r="BJ213" s="330"/>
      <c r="BK213" s="330"/>
      <c r="BL213" s="330"/>
      <c r="BM213" s="330"/>
      <c r="BN213" s="330"/>
      <c r="BO213" s="330"/>
      <c r="BP213" s="330"/>
      <c r="BQ213" s="330"/>
      <c r="CB213" s="243">
        <f t="shared" si="29"/>
        <v>0.64340301100034303</v>
      </c>
      <c r="CC213" s="243"/>
      <c r="CD213" s="243">
        <f t="shared" si="31"/>
        <v>0.64340301100034303</v>
      </c>
      <c r="CG213" s="734">
        <f t="shared" si="37"/>
        <v>0.83599999999999997</v>
      </c>
      <c r="CJ213" s="1264">
        <f t="shared" si="30"/>
        <v>0.79741404289037643</v>
      </c>
    </row>
    <row r="214" spans="1:88" x14ac:dyDescent="0.2">
      <c r="A214" s="19">
        <v>34028</v>
      </c>
      <c r="B214" s="262">
        <v>1.363</v>
      </c>
      <c r="C214" s="270">
        <v>-0.80989999999999995</v>
      </c>
      <c r="D214" s="270">
        <v>3.45</v>
      </c>
      <c r="E214" s="270">
        <v>-1.3989</v>
      </c>
      <c r="F214" s="270">
        <v>-4.2599</v>
      </c>
      <c r="G214" s="270">
        <v>1.54</v>
      </c>
      <c r="H214" s="270">
        <v>-2.306</v>
      </c>
      <c r="I214" s="262">
        <v>-5.431</v>
      </c>
      <c r="J214" s="270">
        <v>0.4</v>
      </c>
      <c r="K214" s="128">
        <v>-2.8454999999999999</v>
      </c>
      <c r="L214" s="270"/>
      <c r="M214" s="270"/>
      <c r="N214" s="262">
        <f t="shared" si="32"/>
        <v>-2.306</v>
      </c>
      <c r="O214" s="262">
        <f t="shared" si="33"/>
        <v>-5.431</v>
      </c>
      <c r="P214" s="262">
        <f t="shared" si="34"/>
        <v>0.4</v>
      </c>
      <c r="Q214" s="270">
        <v>-5.0214999999999996</v>
      </c>
      <c r="R214" s="128">
        <v>-1.401</v>
      </c>
      <c r="S214" s="128">
        <v>0.65100000000000002</v>
      </c>
      <c r="T214" s="128"/>
      <c r="U214" s="270">
        <v>3.06</v>
      </c>
      <c r="V214" s="280"/>
      <c r="W214" s="262">
        <v>1.7504999999999999</v>
      </c>
      <c r="X214" s="128">
        <v>1.36</v>
      </c>
      <c r="Y214" s="128"/>
      <c r="Z214" s="279"/>
      <c r="AA214" s="262">
        <v>3.0502500000000001</v>
      </c>
      <c r="AB214" s="270">
        <v>2.8744999999999998</v>
      </c>
      <c r="AC214" s="270">
        <v>3.2149999999999999</v>
      </c>
      <c r="AD214" s="280"/>
      <c r="AE214" s="280"/>
      <c r="AF214" s="262">
        <f t="shared" si="38"/>
        <v>3.0502500000000001</v>
      </c>
      <c r="AG214" s="128">
        <v>-0.94589999999999996</v>
      </c>
      <c r="AH214" s="128"/>
      <c r="AI214" s="128"/>
      <c r="AJ214" s="128"/>
      <c r="AK214" s="128"/>
      <c r="AL214" s="128"/>
      <c r="AM214" s="242"/>
      <c r="AN214" s="270">
        <v>3.0790000000000002</v>
      </c>
      <c r="AO214" s="270">
        <v>3.06</v>
      </c>
      <c r="AP214" s="270"/>
      <c r="AQ214" s="270"/>
      <c r="AR214" s="270"/>
      <c r="AS214" s="270"/>
      <c r="AT214" s="270"/>
      <c r="AU214" s="270"/>
      <c r="AV214" s="245">
        <v>0.5</v>
      </c>
      <c r="AW214" s="245"/>
      <c r="AX214" s="245"/>
      <c r="AY214" s="245">
        <v>0.4</v>
      </c>
      <c r="AZ214" s="245">
        <v>0.1</v>
      </c>
      <c r="BA214" s="245">
        <v>0</v>
      </c>
      <c r="BB214" s="245"/>
      <c r="BC214" s="245">
        <f t="shared" si="35"/>
        <v>1</v>
      </c>
      <c r="BD214" s="240">
        <f t="shared" si="36"/>
        <v>1.686725</v>
      </c>
      <c r="BE214" s="243">
        <f t="shared" si="39"/>
        <v>1.686725</v>
      </c>
      <c r="BF214" s="332"/>
      <c r="BG214" s="330"/>
      <c r="BH214" s="331"/>
      <c r="BI214" s="331"/>
      <c r="BJ214" s="330"/>
      <c r="BK214" s="330"/>
      <c r="BL214" s="330"/>
      <c r="BM214" s="330"/>
      <c r="BN214" s="330"/>
      <c r="BO214" s="330"/>
      <c r="BP214" s="330"/>
      <c r="BQ214" s="330"/>
      <c r="CB214" s="243">
        <f t="shared" si="29"/>
        <v>0.64340301100034303</v>
      </c>
      <c r="CC214" s="243"/>
      <c r="CD214" s="243">
        <f t="shared" si="31"/>
        <v>0.64340301100034303</v>
      </c>
      <c r="CG214" s="734">
        <f t="shared" si="37"/>
        <v>1.363</v>
      </c>
      <c r="CJ214" s="1264">
        <f t="shared" si="30"/>
        <v>0.79741404289037643</v>
      </c>
    </row>
    <row r="215" spans="1:88" x14ac:dyDescent="0.2">
      <c r="A215" s="19">
        <v>34059</v>
      </c>
      <c r="B215" s="262">
        <v>2.11</v>
      </c>
      <c r="C215" s="270">
        <v>1.4129</v>
      </c>
      <c r="D215" s="270">
        <v>2.76</v>
      </c>
      <c r="E215" s="270">
        <v>3.4525000000000001</v>
      </c>
      <c r="F215" s="270">
        <v>2.9994999999999998</v>
      </c>
      <c r="G215" s="270">
        <v>3.7894999999999999</v>
      </c>
      <c r="H215" s="270">
        <v>3.2440000000000002</v>
      </c>
      <c r="I215" s="262">
        <v>2.5760000000000001</v>
      </c>
      <c r="J215" s="270">
        <v>3.7930000000000001</v>
      </c>
      <c r="K215" s="128">
        <v>3.8186</v>
      </c>
      <c r="L215" s="270"/>
      <c r="M215" s="270"/>
      <c r="N215" s="262">
        <f t="shared" si="32"/>
        <v>3.2440000000000002</v>
      </c>
      <c r="O215" s="262">
        <f t="shared" si="33"/>
        <v>2.5760000000000001</v>
      </c>
      <c r="P215" s="262">
        <f t="shared" si="34"/>
        <v>3.7930000000000001</v>
      </c>
      <c r="Q215" s="270">
        <v>3.2397999999999998</v>
      </c>
      <c r="R215" s="128">
        <v>3.738</v>
      </c>
      <c r="S215" s="128">
        <v>2.496</v>
      </c>
      <c r="T215" s="128"/>
      <c r="U215" s="270">
        <v>8.234</v>
      </c>
      <c r="V215" s="280"/>
      <c r="W215" s="262">
        <v>0.41670000000000001</v>
      </c>
      <c r="X215" s="128">
        <v>0.48</v>
      </c>
      <c r="Y215" s="128"/>
      <c r="Z215" s="279"/>
      <c r="AA215" s="262">
        <v>8.7457200000000004</v>
      </c>
      <c r="AB215" s="270">
        <v>7.1230000000000002</v>
      </c>
      <c r="AC215" s="270">
        <v>10.4313</v>
      </c>
      <c r="AD215" s="280"/>
      <c r="AE215" s="280"/>
      <c r="AF215" s="262">
        <f t="shared" si="38"/>
        <v>8.7457200000000004</v>
      </c>
      <c r="AG215" s="128">
        <v>-0.94589999999999996</v>
      </c>
      <c r="AH215" s="128"/>
      <c r="AI215" s="128"/>
      <c r="AJ215" s="128"/>
      <c r="AK215" s="128"/>
      <c r="AL215" s="128"/>
      <c r="AM215" s="242"/>
      <c r="AN215" s="270">
        <v>8.7780000000000005</v>
      </c>
      <c r="AO215" s="270">
        <v>8.234</v>
      </c>
      <c r="AP215" s="270"/>
      <c r="AQ215" s="270"/>
      <c r="AR215" s="270"/>
      <c r="AS215" s="270"/>
      <c r="AT215" s="270"/>
      <c r="AU215" s="270"/>
      <c r="AV215" s="245">
        <v>0.5</v>
      </c>
      <c r="AW215" s="245"/>
      <c r="AX215" s="245"/>
      <c r="AY215" s="245">
        <v>0.4</v>
      </c>
      <c r="AZ215" s="245">
        <v>0.1</v>
      </c>
      <c r="BA215" s="245">
        <v>0</v>
      </c>
      <c r="BB215" s="245"/>
      <c r="BC215" s="245">
        <f t="shared" si="35"/>
        <v>1</v>
      </c>
      <c r="BD215" s="240">
        <f t="shared" si="36"/>
        <v>2.0962519999999998</v>
      </c>
      <c r="BE215" s="243">
        <f t="shared" si="39"/>
        <v>2.0962519999999998</v>
      </c>
      <c r="BF215" s="332"/>
      <c r="BG215" s="330"/>
      <c r="BH215" s="331"/>
      <c r="BI215" s="331"/>
      <c r="BJ215" s="330"/>
      <c r="BK215" s="330"/>
      <c r="BL215" s="330"/>
      <c r="BM215" s="330"/>
      <c r="BN215" s="330"/>
      <c r="BO215" s="330"/>
      <c r="BP215" s="330"/>
      <c r="BQ215" s="330"/>
      <c r="CB215" s="243">
        <f t="shared" si="29"/>
        <v>0.64340301100034303</v>
      </c>
      <c r="CC215" s="243"/>
      <c r="CD215" s="243">
        <f t="shared" si="31"/>
        <v>0.64340301100034303</v>
      </c>
      <c r="CG215" s="734">
        <f t="shared" si="37"/>
        <v>2.11</v>
      </c>
      <c r="CJ215" s="1264">
        <f t="shared" si="30"/>
        <v>0.79741404289037643</v>
      </c>
    </row>
    <row r="216" spans="1:88" x14ac:dyDescent="0.2">
      <c r="A216" s="19">
        <v>34089</v>
      </c>
      <c r="B216" s="262">
        <v>-2.4169999999999998</v>
      </c>
      <c r="C216" s="270">
        <v>-4.6131000000000002</v>
      </c>
      <c r="D216" s="270">
        <v>-0.4</v>
      </c>
      <c r="E216" s="270">
        <v>-2.6166</v>
      </c>
      <c r="F216" s="270">
        <v>-3.5099</v>
      </c>
      <c r="G216" s="270">
        <v>-1.74</v>
      </c>
      <c r="H216" s="270">
        <v>-2.7490000000000001</v>
      </c>
      <c r="I216" s="262">
        <v>-3.173</v>
      </c>
      <c r="J216" s="270">
        <v>-2.403</v>
      </c>
      <c r="K216" s="128">
        <v>-3.6423000000000001</v>
      </c>
      <c r="L216" s="270"/>
      <c r="M216" s="270"/>
      <c r="N216" s="262">
        <f t="shared" si="32"/>
        <v>-2.7490000000000001</v>
      </c>
      <c r="O216" s="262">
        <f t="shared" si="33"/>
        <v>-3.173</v>
      </c>
      <c r="P216" s="262">
        <f t="shared" si="34"/>
        <v>-2.403</v>
      </c>
      <c r="Q216" s="270">
        <v>-3.7311000000000001</v>
      </c>
      <c r="R216" s="128">
        <v>-2.8540000000000001</v>
      </c>
      <c r="S216" s="128">
        <v>-2.6469999999999998</v>
      </c>
      <c r="T216" s="128"/>
      <c r="U216" s="270">
        <v>8.8330000000000002</v>
      </c>
      <c r="V216" s="280"/>
      <c r="W216" s="262">
        <v>0.69630000000000003</v>
      </c>
      <c r="X216" s="128">
        <v>0.7</v>
      </c>
      <c r="Y216" s="128"/>
      <c r="Z216" s="279"/>
      <c r="AA216" s="262">
        <v>9.5177300000000002</v>
      </c>
      <c r="AB216" s="270">
        <v>8.0992999999999995</v>
      </c>
      <c r="AC216" s="270">
        <v>10.8413</v>
      </c>
      <c r="AD216" s="280"/>
      <c r="AE216" s="280"/>
      <c r="AF216" s="262">
        <f t="shared" si="38"/>
        <v>9.5177300000000002</v>
      </c>
      <c r="AG216" s="128">
        <v>0.25690000000000002</v>
      </c>
      <c r="AH216" s="128"/>
      <c r="AI216" s="128"/>
      <c r="AJ216" s="128"/>
      <c r="AK216" s="128"/>
      <c r="AL216" s="128"/>
      <c r="AM216" s="242"/>
      <c r="AN216" s="270">
        <v>9.5399999999999991</v>
      </c>
      <c r="AO216" s="270">
        <v>8.8330000000000002</v>
      </c>
      <c r="AP216" s="270"/>
      <c r="AQ216" s="270"/>
      <c r="AR216" s="270"/>
      <c r="AS216" s="270"/>
      <c r="AT216" s="270"/>
      <c r="AU216" s="270"/>
      <c r="AV216" s="245">
        <v>0.5</v>
      </c>
      <c r="AW216" s="245"/>
      <c r="AX216" s="245"/>
      <c r="AY216" s="245">
        <v>0.4</v>
      </c>
      <c r="AZ216" s="245">
        <v>0.1</v>
      </c>
      <c r="BA216" s="245">
        <v>0</v>
      </c>
      <c r="BB216" s="245"/>
      <c r="BC216" s="245">
        <f t="shared" si="35"/>
        <v>1</v>
      </c>
      <c r="BD216" s="240">
        <f t="shared" si="36"/>
        <v>2.1793000000000284E-2</v>
      </c>
      <c r="BE216" s="243">
        <f t="shared" si="39"/>
        <v>2.1793000000000284E-2</v>
      </c>
      <c r="BF216" s="332"/>
      <c r="BG216" s="330"/>
      <c r="BH216" s="331"/>
      <c r="BI216" s="331"/>
      <c r="BJ216" s="330"/>
      <c r="BK216" s="330"/>
      <c r="BL216" s="330"/>
      <c r="BM216" s="330"/>
      <c r="BN216" s="330"/>
      <c r="BO216" s="330"/>
      <c r="BP216" s="330"/>
      <c r="BQ216" s="330"/>
      <c r="CB216" s="243">
        <f t="shared" si="29"/>
        <v>0.64340301100034303</v>
      </c>
      <c r="CC216" s="243"/>
      <c r="CD216" s="243">
        <f t="shared" si="31"/>
        <v>0.64340301100034303</v>
      </c>
      <c r="CG216" s="734">
        <f t="shared" si="37"/>
        <v>-2.4169999999999998</v>
      </c>
      <c r="CJ216" s="1264">
        <f t="shared" si="30"/>
        <v>0.79741404289037643</v>
      </c>
    </row>
    <row r="217" spans="1:88" x14ac:dyDescent="0.2">
      <c r="A217" s="19">
        <v>34120</v>
      </c>
      <c r="B217" s="262">
        <v>2.6749999999999998</v>
      </c>
      <c r="C217" s="270">
        <v>3.556</v>
      </c>
      <c r="D217" s="270">
        <v>1.87</v>
      </c>
      <c r="E217" s="270">
        <v>4.5552999999999999</v>
      </c>
      <c r="F217" s="270">
        <v>6.7301000000000002</v>
      </c>
      <c r="G217" s="270">
        <v>2.4903</v>
      </c>
      <c r="H217" s="270">
        <v>4.423</v>
      </c>
      <c r="I217" s="262">
        <v>5.9950000000000001</v>
      </c>
      <c r="J217" s="270">
        <v>3.145</v>
      </c>
      <c r="K217" s="128">
        <v>5.3719000000000001</v>
      </c>
      <c r="L217" s="270"/>
      <c r="M217" s="270"/>
      <c r="N217" s="262">
        <f t="shared" si="32"/>
        <v>4.423</v>
      </c>
      <c r="O217" s="262">
        <f t="shared" si="33"/>
        <v>5.9950000000000001</v>
      </c>
      <c r="P217" s="262">
        <f t="shared" si="34"/>
        <v>3.145</v>
      </c>
      <c r="Q217" s="270">
        <v>6.1593</v>
      </c>
      <c r="R217" s="128">
        <v>4.0119999999999996</v>
      </c>
      <c r="S217" s="128">
        <v>2.8719999999999999</v>
      </c>
      <c r="T217" s="128"/>
      <c r="U217" s="270">
        <v>2.226</v>
      </c>
      <c r="V217" s="280"/>
      <c r="W217" s="262">
        <v>0.1273</v>
      </c>
      <c r="X217" s="128">
        <v>0.08</v>
      </c>
      <c r="Y217" s="128"/>
      <c r="Z217" s="279"/>
      <c r="AA217" s="262">
        <v>2.1364000000000001</v>
      </c>
      <c r="AB217" s="270">
        <v>2.9636</v>
      </c>
      <c r="AC217" s="270">
        <v>1.3496999999999999</v>
      </c>
      <c r="AD217" s="280"/>
      <c r="AE217" s="280"/>
      <c r="AF217" s="262">
        <f t="shared" si="38"/>
        <v>2.1364000000000001</v>
      </c>
      <c r="AG217" s="128">
        <v>0.25690000000000002</v>
      </c>
      <c r="AH217" s="128"/>
      <c r="AI217" s="128"/>
      <c r="AJ217" s="128"/>
      <c r="AK217" s="128"/>
      <c r="AL217" s="128"/>
      <c r="AM217" s="242"/>
      <c r="AN217" s="270">
        <v>2.1560000000000001</v>
      </c>
      <c r="AO217" s="270">
        <v>2.226</v>
      </c>
      <c r="AP217" s="270"/>
      <c r="AQ217" s="270"/>
      <c r="AR217" s="270"/>
      <c r="AS217" s="270"/>
      <c r="AT217" s="270"/>
      <c r="AU217" s="270"/>
      <c r="AV217" s="245">
        <v>0.5</v>
      </c>
      <c r="AW217" s="245"/>
      <c r="AX217" s="245"/>
      <c r="AY217" s="245">
        <v>0.4</v>
      </c>
      <c r="AZ217" s="245">
        <v>0.1</v>
      </c>
      <c r="BA217" s="245">
        <v>0</v>
      </c>
      <c r="BB217" s="245"/>
      <c r="BC217" s="245">
        <f t="shared" si="35"/>
        <v>1</v>
      </c>
      <c r="BD217" s="240">
        <f t="shared" si="36"/>
        <v>1.60206</v>
      </c>
      <c r="BE217" s="243">
        <f t="shared" si="39"/>
        <v>1.60206</v>
      </c>
      <c r="BF217" s="332"/>
      <c r="BG217" s="330"/>
      <c r="BH217" s="331"/>
      <c r="BI217" s="331"/>
      <c r="BJ217" s="330"/>
      <c r="BK217" s="330"/>
      <c r="BL217" s="330"/>
      <c r="BM217" s="330"/>
      <c r="BN217" s="330"/>
      <c r="BO217" s="330"/>
      <c r="BP217" s="330"/>
      <c r="BQ217" s="330"/>
      <c r="CB217" s="243">
        <f t="shared" si="29"/>
        <v>0.64340301100034303</v>
      </c>
      <c r="CC217" s="243"/>
      <c r="CD217" s="243">
        <f t="shared" si="31"/>
        <v>0.64340301100034303</v>
      </c>
      <c r="CG217" s="734">
        <f t="shared" si="37"/>
        <v>2.6749999999999998</v>
      </c>
      <c r="CJ217" s="1264">
        <f t="shared" si="30"/>
        <v>0.79741404289037643</v>
      </c>
    </row>
    <row r="218" spans="1:88" x14ac:dyDescent="0.2">
      <c r="A218" s="19">
        <v>34150</v>
      </c>
      <c r="B218" s="262">
        <v>0.29299999999999998</v>
      </c>
      <c r="C218" s="270">
        <v>-0.8518</v>
      </c>
      <c r="D218" s="270">
        <v>1.32</v>
      </c>
      <c r="E218" s="270">
        <v>0.50149999999999995</v>
      </c>
      <c r="F218" s="270">
        <v>-0.1</v>
      </c>
      <c r="G218" s="270">
        <v>1.1203000000000001</v>
      </c>
      <c r="H218" s="270">
        <v>0.621</v>
      </c>
      <c r="I218" s="262">
        <v>0.23799999999999999</v>
      </c>
      <c r="J218" s="270">
        <v>0.94299999999999995</v>
      </c>
      <c r="K218" s="128">
        <v>0.63239999999999996</v>
      </c>
      <c r="L218" s="270"/>
      <c r="M218" s="270"/>
      <c r="N218" s="262">
        <f t="shared" si="32"/>
        <v>0.621</v>
      </c>
      <c r="O218" s="262">
        <f t="shared" si="33"/>
        <v>0.23799999999999999</v>
      </c>
      <c r="P218" s="262">
        <f t="shared" si="34"/>
        <v>0.94299999999999995</v>
      </c>
      <c r="Q218" s="270">
        <v>0.2409</v>
      </c>
      <c r="R218" s="128">
        <v>1.0389999999999999</v>
      </c>
      <c r="S218" s="128">
        <v>0.65300000000000002</v>
      </c>
      <c r="T218" s="128"/>
      <c r="U218" s="270">
        <v>-1.1970000000000001</v>
      </c>
      <c r="V218" s="280"/>
      <c r="W218" s="262">
        <v>1.8123</v>
      </c>
      <c r="X218" s="128">
        <v>1.27</v>
      </c>
      <c r="Y218" s="128"/>
      <c r="Z218" s="279"/>
      <c r="AA218" s="262">
        <v>-1.53714</v>
      </c>
      <c r="AB218" s="270">
        <v>-0.8881</v>
      </c>
      <c r="AC218" s="270">
        <v>-2.1315</v>
      </c>
      <c r="AD218" s="280"/>
      <c r="AE218" s="280"/>
      <c r="AF218" s="262">
        <f t="shared" si="38"/>
        <v>-1.53714</v>
      </c>
      <c r="AG218" s="128">
        <v>0.25690000000000002</v>
      </c>
      <c r="AH218" s="128"/>
      <c r="AI218" s="128"/>
      <c r="AJ218" s="128"/>
      <c r="AK218" s="128"/>
      <c r="AL218" s="128"/>
      <c r="AM218" s="242"/>
      <c r="AN218" s="270">
        <v>-1.53</v>
      </c>
      <c r="AO218" s="270">
        <v>-1.1970000000000001</v>
      </c>
      <c r="AP218" s="270"/>
      <c r="AQ218" s="270"/>
      <c r="AR218" s="270"/>
      <c r="AS218" s="270"/>
      <c r="AT218" s="270"/>
      <c r="AU218" s="270"/>
      <c r="AV218" s="245">
        <v>0.5</v>
      </c>
      <c r="AW218" s="245"/>
      <c r="AX218" s="245"/>
      <c r="AY218" s="245">
        <v>0.4</v>
      </c>
      <c r="AZ218" s="245">
        <v>0.1</v>
      </c>
      <c r="BA218" s="245">
        <v>0</v>
      </c>
      <c r="BB218" s="245"/>
      <c r="BC218" s="245">
        <f t="shared" si="35"/>
        <v>1</v>
      </c>
      <c r="BD218" s="240">
        <f t="shared" si="36"/>
        <v>0.71770599999999996</v>
      </c>
      <c r="BE218" s="243">
        <f t="shared" si="39"/>
        <v>0.71770599999999996</v>
      </c>
      <c r="BF218" s="332"/>
      <c r="BG218" s="330"/>
      <c r="BH218" s="331"/>
      <c r="BI218" s="331"/>
      <c r="BJ218" s="330"/>
      <c r="BK218" s="330"/>
      <c r="BL218" s="330"/>
      <c r="BM218" s="330"/>
      <c r="BN218" s="330"/>
      <c r="BO218" s="330"/>
      <c r="BP218" s="330"/>
      <c r="BQ218" s="330"/>
      <c r="CB218" s="243">
        <f t="shared" si="29"/>
        <v>0.64340301100034303</v>
      </c>
      <c r="CC218" s="243"/>
      <c r="CD218" s="243">
        <f t="shared" si="31"/>
        <v>0.64340301100034303</v>
      </c>
      <c r="CG218" s="734">
        <f t="shared" si="37"/>
        <v>0.29299999999999998</v>
      </c>
      <c r="CJ218" s="1264">
        <f t="shared" si="30"/>
        <v>0.79741404289037643</v>
      </c>
    </row>
    <row r="219" spans="1:88" x14ac:dyDescent="0.2">
      <c r="A219" s="19">
        <v>34181</v>
      </c>
      <c r="B219" s="262">
        <v>-0.40200000000000002</v>
      </c>
      <c r="C219" s="270">
        <v>-2.056</v>
      </c>
      <c r="D219" s="270">
        <v>1.24</v>
      </c>
      <c r="E219" s="270">
        <v>-0.192</v>
      </c>
      <c r="F219" s="270">
        <v>-0.11</v>
      </c>
      <c r="G219" s="270">
        <v>-0.3201</v>
      </c>
      <c r="H219" s="270">
        <v>1.381</v>
      </c>
      <c r="I219" s="262">
        <v>0.998</v>
      </c>
      <c r="J219" s="270">
        <v>1.7170000000000001</v>
      </c>
      <c r="K219" s="128">
        <v>1.0345</v>
      </c>
      <c r="L219" s="270"/>
      <c r="M219" s="270"/>
      <c r="N219" s="262">
        <f t="shared" si="32"/>
        <v>1.381</v>
      </c>
      <c r="O219" s="262">
        <f t="shared" si="33"/>
        <v>0.998</v>
      </c>
      <c r="P219" s="262">
        <f t="shared" si="34"/>
        <v>1.7170000000000001</v>
      </c>
      <c r="Q219" s="270">
        <v>8.2400000000000001E-2</v>
      </c>
      <c r="R219" s="128">
        <v>0.63700000000000001</v>
      </c>
      <c r="S219" s="128">
        <v>-0.17100000000000001</v>
      </c>
      <c r="T219" s="128"/>
      <c r="U219" s="270">
        <v>3.3239999999999998</v>
      </c>
      <c r="V219" s="280"/>
      <c r="W219" s="262">
        <v>0.56559999999999999</v>
      </c>
      <c r="X219" s="128">
        <v>0.3</v>
      </c>
      <c r="Y219" s="128"/>
      <c r="Z219" s="279"/>
      <c r="AA219" s="262">
        <v>3.5234899999999998</v>
      </c>
      <c r="AB219" s="270">
        <v>2.9365000000000001</v>
      </c>
      <c r="AC219" s="270">
        <v>4.0811000000000002</v>
      </c>
      <c r="AD219" s="280"/>
      <c r="AE219" s="280"/>
      <c r="AF219" s="262">
        <f t="shared" si="38"/>
        <v>3.5234899999999998</v>
      </c>
      <c r="AG219" s="128">
        <v>-7.9500000000000001E-2</v>
      </c>
      <c r="AH219" s="128"/>
      <c r="AI219" s="128"/>
      <c r="AJ219" s="128"/>
      <c r="AK219" s="128"/>
      <c r="AL219" s="128"/>
      <c r="AM219" s="242"/>
      <c r="AN219" s="270">
        <v>3.5230000000000001</v>
      </c>
      <c r="AO219" s="270">
        <v>3.3239999999999998</v>
      </c>
      <c r="AP219" s="270"/>
      <c r="AQ219" s="270"/>
      <c r="AR219" s="270"/>
      <c r="AS219" s="270"/>
      <c r="AT219" s="270"/>
      <c r="AU219" s="270"/>
      <c r="AV219" s="245">
        <v>0.5</v>
      </c>
      <c r="AW219" s="245"/>
      <c r="AX219" s="245"/>
      <c r="AY219" s="245">
        <v>0.4</v>
      </c>
      <c r="AZ219" s="245">
        <v>0.1</v>
      </c>
      <c r="BA219" s="245">
        <v>0</v>
      </c>
      <c r="BB219" s="245"/>
      <c r="BC219" s="245">
        <f t="shared" si="35"/>
        <v>1</v>
      </c>
      <c r="BD219" s="240">
        <f t="shared" si="36"/>
        <v>0.37758900000000001</v>
      </c>
      <c r="BE219" s="243">
        <f t="shared" si="39"/>
        <v>0.37758900000000001</v>
      </c>
      <c r="BF219" s="332"/>
      <c r="BG219" s="330"/>
      <c r="BH219" s="331"/>
      <c r="BI219" s="331"/>
      <c r="BJ219" s="330"/>
      <c r="BK219" s="330"/>
      <c r="BL219" s="330"/>
      <c r="BM219" s="330"/>
      <c r="BN219" s="330"/>
      <c r="BO219" s="330"/>
      <c r="BP219" s="330"/>
      <c r="BQ219" s="330"/>
      <c r="CB219" s="243">
        <f t="shared" si="29"/>
        <v>0.64340301100034303</v>
      </c>
      <c r="CC219" s="243"/>
      <c r="CD219" s="243">
        <f t="shared" si="31"/>
        <v>0.64340301100034303</v>
      </c>
      <c r="CG219" s="734">
        <f t="shared" si="37"/>
        <v>-0.40200000000000002</v>
      </c>
      <c r="CJ219" s="1264">
        <f t="shared" si="30"/>
        <v>0.79741404289037643</v>
      </c>
    </row>
    <row r="220" spans="1:88" x14ac:dyDescent="0.2">
      <c r="A220" s="19">
        <v>34212</v>
      </c>
      <c r="B220" s="262">
        <v>3.794</v>
      </c>
      <c r="C220" s="270">
        <v>3.6467999999999998</v>
      </c>
      <c r="D220" s="270">
        <v>3.92</v>
      </c>
      <c r="E220" s="270">
        <v>4.1294000000000004</v>
      </c>
      <c r="F220" s="270">
        <v>4.7896999999999998</v>
      </c>
      <c r="G220" s="270">
        <v>3.57</v>
      </c>
      <c r="H220" s="270">
        <v>4.3179999999999996</v>
      </c>
      <c r="I220" s="262">
        <v>4.7889999999999997</v>
      </c>
      <c r="J220" s="270">
        <v>3.9079999999999999</v>
      </c>
      <c r="K220" s="128">
        <v>5.2816000000000001</v>
      </c>
      <c r="L220" s="270"/>
      <c r="M220" s="270"/>
      <c r="N220" s="262">
        <f t="shared" si="32"/>
        <v>4.3179999999999996</v>
      </c>
      <c r="O220" s="262">
        <f t="shared" si="33"/>
        <v>4.7889999999999997</v>
      </c>
      <c r="P220" s="262">
        <f t="shared" si="34"/>
        <v>3.9079999999999999</v>
      </c>
      <c r="Q220" s="270">
        <v>5.2690000000000001</v>
      </c>
      <c r="R220" s="128">
        <v>4.4260000000000002</v>
      </c>
      <c r="S220" s="128">
        <v>3.8889999999999998</v>
      </c>
      <c r="T220" s="128"/>
      <c r="U220" s="270">
        <v>5.367</v>
      </c>
      <c r="V220" s="280"/>
      <c r="W220" s="262">
        <v>1.7527999999999999</v>
      </c>
      <c r="X220" s="128">
        <v>1.17</v>
      </c>
      <c r="Y220" s="128"/>
      <c r="Z220" s="279"/>
      <c r="AA220" s="262">
        <v>5.4209899999999998</v>
      </c>
      <c r="AB220" s="270">
        <v>5.1271000000000004</v>
      </c>
      <c r="AC220" s="270">
        <v>5.6779999999999999</v>
      </c>
      <c r="AD220" s="280"/>
      <c r="AE220" s="280"/>
      <c r="AF220" s="262">
        <f t="shared" si="38"/>
        <v>5.4209899999999998</v>
      </c>
      <c r="AG220" s="128">
        <v>-7.9500000000000001E-2</v>
      </c>
      <c r="AH220" s="128"/>
      <c r="AI220" s="128"/>
      <c r="AJ220" s="128"/>
      <c r="AK220" s="128"/>
      <c r="AL220" s="128"/>
      <c r="AM220" s="242"/>
      <c r="AN220" s="270">
        <v>5.5</v>
      </c>
      <c r="AO220" s="270">
        <v>5.367</v>
      </c>
      <c r="AP220" s="270"/>
      <c r="AQ220" s="270"/>
      <c r="AR220" s="270"/>
      <c r="AS220" s="270"/>
      <c r="AT220" s="270"/>
      <c r="AU220" s="270"/>
      <c r="AV220" s="245">
        <v>0.5</v>
      </c>
      <c r="AW220" s="245"/>
      <c r="AX220" s="245"/>
      <c r="AY220" s="245">
        <v>0.4</v>
      </c>
      <c r="AZ220" s="245">
        <v>0.1</v>
      </c>
      <c r="BA220" s="245">
        <v>0</v>
      </c>
      <c r="BB220" s="245"/>
      <c r="BC220" s="245">
        <f t="shared" si="35"/>
        <v>1</v>
      </c>
      <c r="BD220" s="240">
        <f t="shared" si="36"/>
        <v>3.1402189999999996</v>
      </c>
      <c r="BE220" s="243">
        <f t="shared" si="39"/>
        <v>3.1402189999999996</v>
      </c>
      <c r="BF220" s="332"/>
      <c r="BG220" s="330"/>
      <c r="BH220" s="331"/>
      <c r="BI220" s="331"/>
      <c r="BJ220" s="330"/>
      <c r="BK220" s="330"/>
      <c r="BL220" s="330"/>
      <c r="BM220" s="330"/>
      <c r="BN220" s="330"/>
      <c r="BO220" s="330"/>
      <c r="BP220" s="330"/>
      <c r="BQ220" s="330"/>
      <c r="CB220" s="243">
        <f t="shared" si="29"/>
        <v>0.64340301100034303</v>
      </c>
      <c r="CC220" s="243"/>
      <c r="CD220" s="243">
        <f t="shared" si="31"/>
        <v>0.64340301100034303</v>
      </c>
      <c r="CG220" s="734">
        <f t="shared" si="37"/>
        <v>3.794</v>
      </c>
      <c r="CJ220" s="1264">
        <f t="shared" si="30"/>
        <v>0.79741404289037643</v>
      </c>
    </row>
    <row r="221" spans="1:88" x14ac:dyDescent="0.2">
      <c r="A221" s="19">
        <v>34242</v>
      </c>
      <c r="B221" s="262">
        <v>-0.76700000000000002</v>
      </c>
      <c r="C221" s="270">
        <v>-1.534</v>
      </c>
      <c r="D221" s="270">
        <v>-0.04</v>
      </c>
      <c r="E221" s="270">
        <v>1.0562</v>
      </c>
      <c r="F221" s="270">
        <v>1.7601</v>
      </c>
      <c r="G221" s="270">
        <v>0.16969999999999999</v>
      </c>
      <c r="H221" s="270">
        <v>2.8220000000000001</v>
      </c>
      <c r="I221" s="262">
        <v>3.3029999999999999</v>
      </c>
      <c r="J221" s="270">
        <v>2.3969999999999998</v>
      </c>
      <c r="K221" s="128">
        <v>3.6297000000000001</v>
      </c>
      <c r="L221" s="270"/>
      <c r="M221" s="270"/>
      <c r="N221" s="262">
        <f t="shared" si="32"/>
        <v>2.8220000000000001</v>
      </c>
      <c r="O221" s="262">
        <f t="shared" si="33"/>
        <v>3.3029999999999999</v>
      </c>
      <c r="P221" s="262">
        <f t="shared" si="34"/>
        <v>2.3969999999999998</v>
      </c>
      <c r="Q221" s="270">
        <v>2.5682999999999998</v>
      </c>
      <c r="R221" s="128">
        <v>1.885</v>
      </c>
      <c r="S221" s="128">
        <v>-1.2E-2</v>
      </c>
      <c r="T221" s="128"/>
      <c r="U221" s="270">
        <v>-2.056</v>
      </c>
      <c r="V221" s="280"/>
      <c r="W221" s="262">
        <v>0.2747</v>
      </c>
      <c r="X221" s="128">
        <v>0.3</v>
      </c>
      <c r="Y221" s="128"/>
      <c r="Z221" s="279"/>
      <c r="AA221" s="262">
        <v>-2.22899</v>
      </c>
      <c r="AB221" s="270">
        <v>-2.4232</v>
      </c>
      <c r="AC221" s="270">
        <v>-2.0310000000000001</v>
      </c>
      <c r="AD221" s="280"/>
      <c r="AE221" s="280"/>
      <c r="AF221" s="262">
        <f t="shared" si="38"/>
        <v>-2.22899</v>
      </c>
      <c r="AG221" s="128">
        <v>-7.9500000000000001E-2</v>
      </c>
      <c r="AH221" s="128"/>
      <c r="AI221" s="128"/>
      <c r="AJ221" s="128"/>
      <c r="AK221" s="128"/>
      <c r="AL221" s="128"/>
      <c r="AM221" s="242"/>
      <c r="AN221" s="270">
        <v>-2.23</v>
      </c>
      <c r="AO221" s="270">
        <v>-2.056</v>
      </c>
      <c r="AP221" s="270"/>
      <c r="AQ221" s="270"/>
      <c r="AR221" s="270"/>
      <c r="AS221" s="270"/>
      <c r="AT221" s="270"/>
      <c r="AU221" s="270"/>
      <c r="AV221" s="245">
        <v>0.5</v>
      </c>
      <c r="AW221" s="245"/>
      <c r="AX221" s="245"/>
      <c r="AY221" s="245">
        <v>0.4</v>
      </c>
      <c r="AZ221" s="245">
        <v>0.1</v>
      </c>
      <c r="BA221" s="245">
        <v>0</v>
      </c>
      <c r="BB221" s="245"/>
      <c r="BC221" s="245">
        <f t="shared" si="35"/>
        <v>1</v>
      </c>
      <c r="BD221" s="240">
        <f t="shared" si="36"/>
        <v>-0.49651899999999999</v>
      </c>
      <c r="BE221" s="243">
        <f t="shared" si="39"/>
        <v>-0.49651899999999999</v>
      </c>
      <c r="BF221" s="332"/>
      <c r="BG221" s="330"/>
      <c r="BH221" s="331"/>
      <c r="BI221" s="331"/>
      <c r="BJ221" s="330"/>
      <c r="BK221" s="330"/>
      <c r="BL221" s="330"/>
      <c r="BM221" s="330"/>
      <c r="BN221" s="330"/>
      <c r="BO221" s="330"/>
      <c r="BP221" s="330"/>
      <c r="BQ221" s="330"/>
      <c r="CB221" s="243">
        <f t="shared" si="29"/>
        <v>0.64340301100034303</v>
      </c>
      <c r="CC221" s="243"/>
      <c r="CD221" s="243">
        <f t="shared" si="31"/>
        <v>0.64340301100034303</v>
      </c>
      <c r="CG221" s="734">
        <f t="shared" si="37"/>
        <v>-0.76700000000000002</v>
      </c>
      <c r="CJ221" s="1264">
        <f t="shared" si="30"/>
        <v>0.79741404289037643</v>
      </c>
    </row>
    <row r="222" spans="1:88" x14ac:dyDescent="0.2">
      <c r="A222" s="19">
        <v>34273</v>
      </c>
      <c r="B222" s="262">
        <v>2.069</v>
      </c>
      <c r="C222" s="270">
        <v>3.72</v>
      </c>
      <c r="D222" s="270">
        <v>0.54300000000000004</v>
      </c>
      <c r="E222" s="270">
        <v>0.3266</v>
      </c>
      <c r="F222" s="270">
        <v>1.0403</v>
      </c>
      <c r="G222" s="270">
        <v>-0.38019999999999998</v>
      </c>
      <c r="H222" s="270">
        <v>2.5750000000000002</v>
      </c>
      <c r="I222" s="262">
        <v>2.8919999999999999</v>
      </c>
      <c r="J222" s="270">
        <v>2.29</v>
      </c>
      <c r="K222" s="128">
        <v>1.9160999999999999</v>
      </c>
      <c r="L222" s="270"/>
      <c r="M222" s="270"/>
      <c r="N222" s="262">
        <f t="shared" si="32"/>
        <v>2.5750000000000002</v>
      </c>
      <c r="O222" s="262">
        <f t="shared" si="33"/>
        <v>2.8919999999999999</v>
      </c>
      <c r="P222" s="262">
        <f t="shared" si="34"/>
        <v>2.29</v>
      </c>
      <c r="Q222" s="270">
        <v>1.9671000000000001</v>
      </c>
      <c r="R222" s="128">
        <v>1.1990000000000001</v>
      </c>
      <c r="S222" s="128">
        <v>1.43</v>
      </c>
      <c r="T222" s="128"/>
      <c r="U222" s="270">
        <v>3.617</v>
      </c>
      <c r="V222" s="280"/>
      <c r="W222" s="262">
        <v>0.37369999999999998</v>
      </c>
      <c r="X222" s="128">
        <v>0.28000000000000003</v>
      </c>
      <c r="Y222" s="128"/>
      <c r="Z222" s="279"/>
      <c r="AA222" s="262">
        <v>3.10371</v>
      </c>
      <c r="AB222" s="270">
        <v>3.1692</v>
      </c>
      <c r="AC222" s="270">
        <v>3.0228999999999999</v>
      </c>
      <c r="AD222" s="280"/>
      <c r="AE222" s="280"/>
      <c r="AF222" s="262">
        <f t="shared" si="38"/>
        <v>3.10371</v>
      </c>
      <c r="AG222" s="128">
        <v>0.3664</v>
      </c>
      <c r="AH222" s="128"/>
      <c r="AI222" s="128"/>
      <c r="AJ222" s="128"/>
      <c r="AK222" s="128"/>
      <c r="AL222" s="128"/>
      <c r="AM222" s="242"/>
      <c r="AN222" s="270">
        <v>3.1</v>
      </c>
      <c r="AO222" s="270">
        <v>3.617</v>
      </c>
      <c r="AP222" s="270"/>
      <c r="AQ222" s="270"/>
      <c r="AR222" s="270"/>
      <c r="AS222" s="270"/>
      <c r="AT222" s="270"/>
      <c r="AU222" s="270"/>
      <c r="AV222" s="245">
        <v>0.5</v>
      </c>
      <c r="AW222" s="245"/>
      <c r="AX222" s="245"/>
      <c r="AY222" s="245">
        <v>0.4</v>
      </c>
      <c r="AZ222" s="245">
        <v>0.1</v>
      </c>
      <c r="BA222" s="245">
        <v>0</v>
      </c>
      <c r="BB222" s="245"/>
      <c r="BC222" s="245">
        <f t="shared" si="35"/>
        <v>1</v>
      </c>
      <c r="BD222" s="240">
        <f t="shared" si="36"/>
        <v>1.494351</v>
      </c>
      <c r="BE222" s="243">
        <f t="shared" si="39"/>
        <v>1.494351</v>
      </c>
      <c r="BF222" s="332"/>
      <c r="BG222" s="330"/>
      <c r="BH222" s="331"/>
      <c r="BI222" s="331"/>
      <c r="BJ222" s="330"/>
      <c r="BK222" s="330"/>
      <c r="BL222" s="330"/>
      <c r="BM222" s="330"/>
      <c r="BN222" s="330"/>
      <c r="BO222" s="330"/>
      <c r="BP222" s="330"/>
      <c r="BQ222" s="330"/>
      <c r="CB222" s="243">
        <f t="shared" si="29"/>
        <v>0.64340301100034303</v>
      </c>
      <c r="CC222" s="243"/>
      <c r="CD222" s="243">
        <f t="shared" si="31"/>
        <v>0.64340301100034303</v>
      </c>
      <c r="CG222" s="734">
        <f t="shared" si="37"/>
        <v>2.069</v>
      </c>
      <c r="CJ222" s="1264">
        <f t="shared" si="30"/>
        <v>0.79741404289037643</v>
      </c>
    </row>
    <row r="223" spans="1:88" x14ac:dyDescent="0.2">
      <c r="A223" s="19">
        <v>34303</v>
      </c>
      <c r="B223" s="262">
        <v>-0.95299999999999996</v>
      </c>
      <c r="C223" s="270">
        <v>-7.0000000000000007E-2</v>
      </c>
      <c r="D223" s="270">
        <v>-1.7889999999999999</v>
      </c>
      <c r="E223" s="270">
        <v>-2.2121</v>
      </c>
      <c r="F223" s="270">
        <v>-2.0001000000000002</v>
      </c>
      <c r="G223" s="270">
        <v>-2.8199000000000001</v>
      </c>
      <c r="H223" s="270">
        <v>-3.258</v>
      </c>
      <c r="I223" s="262">
        <v>-4.0449999999999999</v>
      </c>
      <c r="J223" s="270">
        <v>-2.5449999999999999</v>
      </c>
      <c r="K223" s="128">
        <v>-3.58</v>
      </c>
      <c r="L223" s="270"/>
      <c r="M223" s="270"/>
      <c r="N223" s="262">
        <f t="shared" si="32"/>
        <v>-3.258</v>
      </c>
      <c r="O223" s="262">
        <f t="shared" si="33"/>
        <v>-4.0449999999999999</v>
      </c>
      <c r="P223" s="262">
        <f t="shared" si="34"/>
        <v>-2.5449999999999999</v>
      </c>
      <c r="Q223" s="270">
        <v>-3.6261999999999999</v>
      </c>
      <c r="R223" s="128">
        <v>-3.2090000000000001</v>
      </c>
      <c r="S223" s="128">
        <v>-1.5449999999999999</v>
      </c>
      <c r="T223" s="128"/>
      <c r="U223" s="270">
        <v>-7.6159999999999997</v>
      </c>
      <c r="V223" s="280"/>
      <c r="W223" s="262">
        <v>-0.85070000000000001</v>
      </c>
      <c r="X223" s="128">
        <v>-0.42</v>
      </c>
      <c r="Y223" s="128"/>
      <c r="Z223" s="279"/>
      <c r="AA223" s="262">
        <v>-8.7200399999999991</v>
      </c>
      <c r="AB223" s="270">
        <v>-9.7888000000000002</v>
      </c>
      <c r="AC223" s="270">
        <v>-7.6982999999999997</v>
      </c>
      <c r="AD223" s="280"/>
      <c r="AE223" s="280"/>
      <c r="AF223" s="262">
        <f t="shared" si="38"/>
        <v>-8.7200399999999991</v>
      </c>
      <c r="AG223" s="128">
        <v>0.3664</v>
      </c>
      <c r="AH223" s="128"/>
      <c r="AI223" s="128"/>
      <c r="AJ223" s="128"/>
      <c r="AK223" s="128"/>
      <c r="AL223" s="128"/>
      <c r="AM223" s="242"/>
      <c r="AN223" s="270">
        <v>-8.68</v>
      </c>
      <c r="AO223" s="270">
        <v>-7.6159999999999997</v>
      </c>
      <c r="AP223" s="270"/>
      <c r="AQ223" s="270"/>
      <c r="AR223" s="270"/>
      <c r="AS223" s="270"/>
      <c r="AT223" s="270"/>
      <c r="AU223" s="270"/>
      <c r="AV223" s="245">
        <v>0.5</v>
      </c>
      <c r="AW223" s="245"/>
      <c r="AX223" s="245"/>
      <c r="AY223" s="245">
        <v>0.4</v>
      </c>
      <c r="AZ223" s="245">
        <v>0.1</v>
      </c>
      <c r="BA223" s="245">
        <v>0</v>
      </c>
      <c r="BB223" s="245"/>
      <c r="BC223" s="245">
        <f t="shared" si="35"/>
        <v>1</v>
      </c>
      <c r="BD223" s="240">
        <f t="shared" si="36"/>
        <v>-1.6887840000000001</v>
      </c>
      <c r="BE223" s="243">
        <f t="shared" si="39"/>
        <v>-1.6887840000000001</v>
      </c>
      <c r="BF223" s="332"/>
      <c r="BG223" s="330"/>
      <c r="BH223" s="331"/>
      <c r="BI223" s="331"/>
      <c r="BJ223" s="330"/>
      <c r="BK223" s="330"/>
      <c r="BL223" s="330"/>
      <c r="BM223" s="330"/>
      <c r="BN223" s="330"/>
      <c r="BO223" s="330"/>
      <c r="BP223" s="330"/>
      <c r="BQ223" s="330"/>
      <c r="CB223" s="243">
        <f t="shared" si="29"/>
        <v>0.64340301100034303</v>
      </c>
      <c r="CC223" s="243"/>
      <c r="CD223" s="243">
        <f t="shared" si="31"/>
        <v>0.64340301100034303</v>
      </c>
      <c r="CG223" s="734">
        <f t="shared" si="37"/>
        <v>-0.95299999999999996</v>
      </c>
      <c r="CJ223" s="1264">
        <f t="shared" si="30"/>
        <v>0.79741404289037643</v>
      </c>
    </row>
    <row r="224" spans="1:88" x14ac:dyDescent="0.2">
      <c r="A224" s="19">
        <v>34334</v>
      </c>
      <c r="B224" s="262">
        <v>1.2090000000000001</v>
      </c>
      <c r="C224" s="270">
        <v>0.70009999999999994</v>
      </c>
      <c r="D224" s="270">
        <v>1.702</v>
      </c>
      <c r="E224" s="270">
        <v>4.6425000000000001</v>
      </c>
      <c r="F224" s="270">
        <v>5.73</v>
      </c>
      <c r="G224" s="270">
        <v>3.4603000000000002</v>
      </c>
      <c r="H224" s="270">
        <v>3.4169999999999998</v>
      </c>
      <c r="I224" s="262">
        <v>3.9460000000000002</v>
      </c>
      <c r="J224" s="270">
        <v>2.9420000000000002</v>
      </c>
      <c r="K224" s="128">
        <v>3.6242999999999999</v>
      </c>
      <c r="L224" s="270"/>
      <c r="M224" s="270"/>
      <c r="N224" s="262">
        <f t="shared" si="32"/>
        <v>3.4169999999999998</v>
      </c>
      <c r="O224" s="262">
        <f t="shared" si="33"/>
        <v>3.9460000000000002</v>
      </c>
      <c r="P224" s="262">
        <f t="shared" si="34"/>
        <v>2.9420000000000002</v>
      </c>
      <c r="Q224" s="270">
        <v>4.3971999999999998</v>
      </c>
      <c r="R224" s="128">
        <v>3.9129999999999998</v>
      </c>
      <c r="S224" s="128">
        <v>1.96</v>
      </c>
      <c r="T224" s="128"/>
      <c r="U224" s="270">
        <v>7.8</v>
      </c>
      <c r="V224" s="280"/>
      <c r="W224" s="262">
        <v>0.54200000000000004</v>
      </c>
      <c r="X224" s="128">
        <v>0.57999999999999996</v>
      </c>
      <c r="Y224" s="128"/>
      <c r="Z224" s="279"/>
      <c r="AA224" s="262">
        <v>7.2434200000000004</v>
      </c>
      <c r="AB224" s="270">
        <v>5.9137000000000004</v>
      </c>
      <c r="AC224" s="270">
        <v>8.3033000000000001</v>
      </c>
      <c r="AD224" s="280"/>
      <c r="AE224" s="280"/>
      <c r="AF224" s="262">
        <f t="shared" si="38"/>
        <v>7.2434200000000004</v>
      </c>
      <c r="AG224" s="128">
        <v>0.3664</v>
      </c>
      <c r="AH224" s="128"/>
      <c r="AI224" s="128"/>
      <c r="AJ224" s="128"/>
      <c r="AK224" s="128"/>
      <c r="AL224" s="128"/>
      <c r="AM224" s="242"/>
      <c r="AN224" s="270">
        <v>7.28</v>
      </c>
      <c r="AO224" s="270">
        <v>7.8</v>
      </c>
      <c r="AP224" s="270"/>
      <c r="AQ224" s="270"/>
      <c r="AR224" s="270"/>
      <c r="AS224" s="270"/>
      <c r="AT224" s="270"/>
      <c r="AU224" s="270"/>
      <c r="AV224" s="245">
        <v>0.5</v>
      </c>
      <c r="AW224" s="245"/>
      <c r="AX224" s="245"/>
      <c r="AY224" s="245">
        <v>0.4</v>
      </c>
      <c r="AZ224" s="245">
        <v>0.1</v>
      </c>
      <c r="BA224" s="245">
        <v>0</v>
      </c>
      <c r="BB224" s="245"/>
      <c r="BC224" s="245">
        <f t="shared" si="35"/>
        <v>1</v>
      </c>
      <c r="BD224" s="240">
        <f t="shared" si="36"/>
        <v>1.545642</v>
      </c>
      <c r="BE224" s="243">
        <f t="shared" si="39"/>
        <v>1.545642</v>
      </c>
      <c r="BF224" s="332"/>
      <c r="BG224" s="330"/>
      <c r="BH224" s="331"/>
      <c r="BI224" s="331"/>
      <c r="BJ224" s="330"/>
      <c r="BK224" s="330"/>
      <c r="BL224" s="330"/>
      <c r="BM224" s="330"/>
      <c r="BN224" s="330"/>
      <c r="BO224" s="330"/>
      <c r="BP224" s="330"/>
      <c r="BQ224" s="330"/>
      <c r="CB224" s="243">
        <f t="shared" si="29"/>
        <v>0.64340301100034303</v>
      </c>
      <c r="CC224" s="243"/>
      <c r="CD224" s="243">
        <f t="shared" si="31"/>
        <v>0.64340301100034303</v>
      </c>
      <c r="CG224" s="734">
        <f t="shared" si="37"/>
        <v>1.2090000000000001</v>
      </c>
      <c r="CJ224" s="1264">
        <f t="shared" si="30"/>
        <v>0.79741404289037643</v>
      </c>
    </row>
    <row r="225" spans="1:88" x14ac:dyDescent="0.2">
      <c r="A225" s="19">
        <v>34365</v>
      </c>
      <c r="B225" s="262">
        <v>3.4</v>
      </c>
      <c r="C225" s="270">
        <v>2.1377000000000002</v>
      </c>
      <c r="D225" s="270">
        <v>4.6619999999999999</v>
      </c>
      <c r="E225" s="270">
        <v>2.3260999999999998</v>
      </c>
      <c r="F225" s="270">
        <v>2.1595</v>
      </c>
      <c r="G225" s="270">
        <v>2.4998</v>
      </c>
      <c r="H225" s="270">
        <v>3.133</v>
      </c>
      <c r="I225" s="262">
        <v>2.6619999999999999</v>
      </c>
      <c r="J225" s="270">
        <v>3.5619999999999998</v>
      </c>
      <c r="K225" s="128">
        <v>2.3576000000000001</v>
      </c>
      <c r="L225" s="128">
        <v>2.16</v>
      </c>
      <c r="M225" s="128">
        <v>2.4900000000000002</v>
      </c>
      <c r="N225" s="262">
        <f t="shared" si="32"/>
        <v>3.133</v>
      </c>
      <c r="O225" s="262">
        <f t="shared" si="33"/>
        <v>2.6619999999999999</v>
      </c>
      <c r="P225" s="262">
        <f t="shared" si="34"/>
        <v>3.5619999999999998</v>
      </c>
      <c r="Q225" s="270">
        <v>2.8835000000000002</v>
      </c>
      <c r="R225" s="128">
        <v>3.1579999999999999</v>
      </c>
      <c r="S225" s="128">
        <v>3.06</v>
      </c>
      <c r="T225" s="128"/>
      <c r="U225" s="270">
        <v>8.2240000000000002</v>
      </c>
      <c r="V225" s="280"/>
      <c r="W225" s="262">
        <v>1.3502000000000001</v>
      </c>
      <c r="X225" s="128">
        <v>1.06</v>
      </c>
      <c r="Y225" s="128"/>
      <c r="Z225" s="279"/>
      <c r="AA225" s="262">
        <v>8.47607</v>
      </c>
      <c r="AB225" s="270">
        <v>7.5373999999999999</v>
      </c>
      <c r="AC225" s="270">
        <v>9.3362999999999996</v>
      </c>
      <c r="AD225" s="280"/>
      <c r="AE225" s="280"/>
      <c r="AF225" s="262">
        <f t="shared" si="38"/>
        <v>8.47607</v>
      </c>
      <c r="AG225" s="128">
        <v>-8.4099999999999994E-2</v>
      </c>
      <c r="AH225" s="128"/>
      <c r="AI225" s="128"/>
      <c r="AJ225" s="128"/>
      <c r="AK225" s="128"/>
      <c r="AL225" s="128"/>
      <c r="AM225" s="242"/>
      <c r="AN225" s="270">
        <v>8.48</v>
      </c>
      <c r="AO225" s="270">
        <v>8.2240000000000002</v>
      </c>
      <c r="AP225" s="270"/>
      <c r="AQ225" s="270"/>
      <c r="AR225" s="270"/>
      <c r="AS225" s="270"/>
      <c r="AT225" s="270"/>
      <c r="AU225" s="270"/>
      <c r="AV225" s="245">
        <v>0.5</v>
      </c>
      <c r="AW225" s="245"/>
      <c r="AX225" s="245"/>
      <c r="AY225" s="245">
        <v>0.4</v>
      </c>
      <c r="AZ225" s="245">
        <v>0.1</v>
      </c>
      <c r="BA225" s="245">
        <v>0</v>
      </c>
      <c r="BB225" s="245"/>
      <c r="BC225" s="245">
        <f t="shared" si="35"/>
        <v>1</v>
      </c>
      <c r="BD225" s="240">
        <f t="shared" si="36"/>
        <v>3.0876869999999998</v>
      </c>
      <c r="BE225" s="243">
        <f t="shared" si="39"/>
        <v>3.0876869999999998</v>
      </c>
      <c r="BF225" s="332"/>
      <c r="BG225" s="330"/>
      <c r="BH225" s="331"/>
      <c r="BI225" s="331"/>
      <c r="BJ225" s="330"/>
      <c r="BK225" s="330"/>
      <c r="BL225" s="330"/>
      <c r="BM225" s="330"/>
      <c r="BN225" s="330"/>
      <c r="BO225" s="330"/>
      <c r="BP225" s="330"/>
      <c r="BQ225" s="330"/>
      <c r="CB225" s="243">
        <f t="shared" si="29"/>
        <v>0.64340301100034303</v>
      </c>
      <c r="CC225" s="243"/>
      <c r="CD225" s="243">
        <f t="shared" si="31"/>
        <v>0.64340301100034303</v>
      </c>
      <c r="CG225" s="734">
        <f t="shared" si="37"/>
        <v>3.4</v>
      </c>
      <c r="CJ225" s="1264">
        <f t="shared" si="30"/>
        <v>0.79741404289037643</v>
      </c>
    </row>
    <row r="226" spans="1:88" x14ac:dyDescent="0.2">
      <c r="A226" s="19">
        <v>34393</v>
      </c>
      <c r="B226" s="262">
        <v>-2.714</v>
      </c>
      <c r="C226" s="270">
        <v>-1.7873000000000001</v>
      </c>
      <c r="D226" s="270">
        <v>-3.6179999999999999</v>
      </c>
      <c r="E226" s="270">
        <v>-1.419</v>
      </c>
      <c r="F226" s="270">
        <v>-1.2097</v>
      </c>
      <c r="G226" s="270">
        <v>-1.6198999999999999</v>
      </c>
      <c r="H226" s="270">
        <v>-0.36299999999999999</v>
      </c>
      <c r="I226" s="262">
        <v>-0.44</v>
      </c>
      <c r="J226" s="270">
        <v>-0.29299999999999998</v>
      </c>
      <c r="K226" s="128">
        <v>-0.29070000000000001</v>
      </c>
      <c r="L226" s="128">
        <v>-0.33</v>
      </c>
      <c r="M226" s="128">
        <v>-0.23</v>
      </c>
      <c r="N226" s="262">
        <f t="shared" si="32"/>
        <v>-0.36299999999999999</v>
      </c>
      <c r="O226" s="262">
        <f t="shared" si="33"/>
        <v>-0.44</v>
      </c>
      <c r="P226" s="262">
        <f t="shared" si="34"/>
        <v>-0.29299999999999998</v>
      </c>
      <c r="Q226" s="270">
        <v>0.16900000000000001</v>
      </c>
      <c r="R226" s="128">
        <v>-0.36299999999999999</v>
      </c>
      <c r="S226" s="128">
        <v>-2.4209999999999998</v>
      </c>
      <c r="T226" s="128"/>
      <c r="U226" s="270">
        <v>-0.75600000000000001</v>
      </c>
      <c r="V226" s="280"/>
      <c r="W226" s="262">
        <v>-1.7373000000000001</v>
      </c>
      <c r="X226" s="128">
        <v>-1.18</v>
      </c>
      <c r="Y226" s="128"/>
      <c r="Z226" s="279"/>
      <c r="AA226" s="262">
        <v>-0.25642999999999999</v>
      </c>
      <c r="AB226" s="270">
        <v>-0.73780000000000001</v>
      </c>
      <c r="AC226" s="270">
        <v>0.1913</v>
      </c>
      <c r="AD226" s="280"/>
      <c r="AE226" s="280"/>
      <c r="AF226" s="262">
        <f t="shared" si="38"/>
        <v>-0.25642999999999999</v>
      </c>
      <c r="AG226" s="128">
        <v>-8.4099999999999994E-2</v>
      </c>
      <c r="AH226" s="128"/>
      <c r="AI226" s="128"/>
      <c r="AJ226" s="128"/>
      <c r="AK226" s="128"/>
      <c r="AL226" s="128"/>
      <c r="AM226" s="242"/>
      <c r="AN226" s="270">
        <v>-0.24399999999999999</v>
      </c>
      <c r="AO226" s="270">
        <v>-0.75600000000000001</v>
      </c>
      <c r="AP226" s="270"/>
      <c r="AQ226" s="270"/>
      <c r="AR226" s="270"/>
      <c r="AS226" s="270"/>
      <c r="AT226" s="270"/>
      <c r="AU226" s="270"/>
      <c r="AV226" s="245">
        <v>0.5</v>
      </c>
      <c r="AW226" s="245"/>
      <c r="AX226" s="245"/>
      <c r="AY226" s="245">
        <v>0.4</v>
      </c>
      <c r="AZ226" s="245">
        <v>0.1</v>
      </c>
      <c r="BA226" s="245">
        <v>0</v>
      </c>
      <c r="BB226" s="245"/>
      <c r="BC226" s="245">
        <f t="shared" si="35"/>
        <v>1</v>
      </c>
      <c r="BD226" s="240">
        <f t="shared" si="36"/>
        <v>-2.077563</v>
      </c>
      <c r="BE226" s="243">
        <f t="shared" si="39"/>
        <v>-2.077563</v>
      </c>
      <c r="BF226" s="332"/>
      <c r="BG226" s="330"/>
      <c r="BH226" s="331"/>
      <c r="BI226" s="331"/>
      <c r="BJ226" s="330"/>
      <c r="BK226" s="330"/>
      <c r="BL226" s="330"/>
      <c r="BM226" s="330"/>
      <c r="BN226" s="330"/>
      <c r="BO226" s="330"/>
      <c r="BP226" s="330"/>
      <c r="BQ226" s="330"/>
      <c r="CB226" s="243">
        <f t="shared" si="29"/>
        <v>0.64340301100034303</v>
      </c>
      <c r="CC226" s="243"/>
      <c r="CD226" s="243">
        <f t="shared" si="31"/>
        <v>0.64340301100034303</v>
      </c>
      <c r="CG226" s="734">
        <f t="shared" si="37"/>
        <v>-2.714</v>
      </c>
      <c r="CJ226" s="1264">
        <f t="shared" si="30"/>
        <v>0.79741404289037643</v>
      </c>
    </row>
    <row r="227" spans="1:88" x14ac:dyDescent="0.2">
      <c r="A227" s="19">
        <v>34424</v>
      </c>
      <c r="B227" s="262">
        <v>-4.3600000000000003</v>
      </c>
      <c r="C227" s="270">
        <v>-4.6172000000000004</v>
      </c>
      <c r="D227" s="270">
        <v>-4.1130000000000004</v>
      </c>
      <c r="E227" s="270">
        <v>-4.6318000000000001</v>
      </c>
      <c r="F227" s="270">
        <v>-5.4999000000000002</v>
      </c>
      <c r="G227" s="270">
        <v>-3.6002999999999998</v>
      </c>
      <c r="H227" s="270">
        <v>-5.2670000000000003</v>
      </c>
      <c r="I227" s="262">
        <v>-6.1429999999999998</v>
      </c>
      <c r="J227" s="270">
        <v>-4.4749999999999996</v>
      </c>
      <c r="K227" s="128">
        <v>-7.1809000000000003</v>
      </c>
      <c r="L227" s="128">
        <v>-7.42</v>
      </c>
      <c r="M227" s="128">
        <v>-5.31</v>
      </c>
      <c r="N227" s="262">
        <f t="shared" si="32"/>
        <v>-5.2670000000000003</v>
      </c>
      <c r="O227" s="262">
        <f t="shared" si="33"/>
        <v>-6.1429999999999998</v>
      </c>
      <c r="P227" s="262">
        <f t="shared" si="34"/>
        <v>-4.4749999999999996</v>
      </c>
      <c r="Q227" s="270">
        <v>-5.8182999999999998</v>
      </c>
      <c r="R227" s="128">
        <v>-4.8650000000000002</v>
      </c>
      <c r="S227" s="128">
        <v>-4.37</v>
      </c>
      <c r="T227" s="128"/>
      <c r="U227" s="270">
        <v>-4.58</v>
      </c>
      <c r="V227" s="280"/>
      <c r="W227" s="262">
        <v>-2.4653999999999998</v>
      </c>
      <c r="X227" s="128">
        <v>-1.98</v>
      </c>
      <c r="Y227" s="128"/>
      <c r="Z227" s="279"/>
      <c r="AA227" s="262">
        <v>-4.2858299999999998</v>
      </c>
      <c r="AB227" s="270">
        <v>-4.9039000000000001</v>
      </c>
      <c r="AC227" s="270">
        <v>-3.6652</v>
      </c>
      <c r="AD227" s="280"/>
      <c r="AE227" s="280"/>
      <c r="AF227" s="262">
        <f t="shared" si="38"/>
        <v>-4.2858299999999998</v>
      </c>
      <c r="AG227" s="128">
        <v>-8.4099999999999994E-2</v>
      </c>
      <c r="AH227" s="128"/>
      <c r="AI227" s="128"/>
      <c r="AJ227" s="128"/>
      <c r="AK227" s="128"/>
      <c r="AL227" s="128"/>
      <c r="AM227" s="242"/>
      <c r="AN227" s="270">
        <v>-4.29</v>
      </c>
      <c r="AO227" s="270">
        <v>-4.58</v>
      </c>
      <c r="AP227" s="270"/>
      <c r="AQ227" s="270"/>
      <c r="AR227" s="270"/>
      <c r="AS227" s="270"/>
      <c r="AT227" s="270"/>
      <c r="AU227" s="270"/>
      <c r="AV227" s="245">
        <v>0.5</v>
      </c>
      <c r="AW227" s="245"/>
      <c r="AX227" s="245"/>
      <c r="AY227" s="245">
        <v>0.4</v>
      </c>
      <c r="AZ227" s="245">
        <v>0.1</v>
      </c>
      <c r="BA227" s="245">
        <v>0</v>
      </c>
      <c r="BB227" s="245"/>
      <c r="BC227" s="245">
        <f t="shared" si="35"/>
        <v>1</v>
      </c>
      <c r="BD227" s="240">
        <f t="shared" si="36"/>
        <v>-3.5947430000000002</v>
      </c>
      <c r="BE227" s="243">
        <f t="shared" si="39"/>
        <v>-3.5947430000000002</v>
      </c>
      <c r="BF227" s="332"/>
      <c r="BG227" s="330"/>
      <c r="BH227" s="331"/>
      <c r="BI227" s="331"/>
      <c r="BJ227" s="330"/>
      <c r="BK227" s="330"/>
      <c r="BL227" s="330"/>
      <c r="BM227" s="330"/>
      <c r="BN227" s="330"/>
      <c r="BO227" s="330"/>
      <c r="BP227" s="330"/>
      <c r="BQ227" s="330"/>
      <c r="CB227" s="243">
        <f t="shared" si="29"/>
        <v>0.64340301100034303</v>
      </c>
      <c r="CC227" s="243"/>
      <c r="CD227" s="243">
        <f t="shared" si="31"/>
        <v>0.64340301100034303</v>
      </c>
      <c r="CG227" s="734">
        <f t="shared" si="37"/>
        <v>-4.3600000000000003</v>
      </c>
      <c r="CJ227" s="1264">
        <f t="shared" si="30"/>
        <v>0.79741404289037643</v>
      </c>
    </row>
    <row r="228" spans="1:88" x14ac:dyDescent="0.2">
      <c r="A228" s="19">
        <v>34454</v>
      </c>
      <c r="B228" s="262">
        <v>1.282</v>
      </c>
      <c r="C228" s="270">
        <v>0.45279999999999998</v>
      </c>
      <c r="D228" s="270">
        <v>2.1059999999999999</v>
      </c>
      <c r="E228" s="270">
        <v>0.74399999999999999</v>
      </c>
      <c r="F228" s="270">
        <v>-0.86009999999999998</v>
      </c>
      <c r="G228" s="270">
        <v>1.6606000000000001</v>
      </c>
      <c r="H228" s="270">
        <v>0.59299999999999997</v>
      </c>
      <c r="I228" s="262">
        <v>0.153</v>
      </c>
      <c r="J228" s="270">
        <v>0.98299999999999998</v>
      </c>
      <c r="K228" s="128">
        <v>1.5031000000000001</v>
      </c>
      <c r="L228" s="128">
        <v>-0.26</v>
      </c>
      <c r="M228" s="128">
        <v>1.48</v>
      </c>
      <c r="N228" s="262">
        <f t="shared" si="32"/>
        <v>0.59299999999999997</v>
      </c>
      <c r="O228" s="262">
        <f t="shared" si="33"/>
        <v>0.153</v>
      </c>
      <c r="P228" s="262">
        <f t="shared" si="34"/>
        <v>0.98299999999999998</v>
      </c>
      <c r="Q228" s="270">
        <v>-0.11409999999999999</v>
      </c>
      <c r="R228" s="128">
        <v>0.58499999999999996</v>
      </c>
      <c r="S228" s="128">
        <v>1.1439999999999999</v>
      </c>
      <c r="T228" s="128"/>
      <c r="U228" s="270">
        <v>3.3919999999999999</v>
      </c>
      <c r="V228" s="280"/>
      <c r="W228" s="262">
        <v>-0.79849999999999999</v>
      </c>
      <c r="X228" s="128">
        <v>-0.7</v>
      </c>
      <c r="Y228" s="128"/>
      <c r="Z228" s="279"/>
      <c r="AA228" s="262">
        <v>4.2651500000000002</v>
      </c>
      <c r="AB228" s="270">
        <v>4.1449999999999996</v>
      </c>
      <c r="AC228" s="270">
        <v>4.3757999999999999</v>
      </c>
      <c r="AD228" s="280"/>
      <c r="AE228" s="280"/>
      <c r="AF228" s="262">
        <f t="shared" si="38"/>
        <v>4.2651500000000002</v>
      </c>
      <c r="AG228" s="128">
        <v>0.43359999999999999</v>
      </c>
      <c r="AH228" s="128"/>
      <c r="AI228" s="128"/>
      <c r="AJ228" s="128"/>
      <c r="AK228" s="128"/>
      <c r="AL228" s="128"/>
      <c r="AM228" s="242"/>
      <c r="AN228" s="270">
        <v>4.2560000000000002</v>
      </c>
      <c r="AO228" s="270">
        <v>3.3919999999999999</v>
      </c>
      <c r="AP228" s="270"/>
      <c r="AQ228" s="270"/>
      <c r="AR228" s="270"/>
      <c r="AS228" s="270"/>
      <c r="AT228" s="270"/>
      <c r="AU228" s="270"/>
      <c r="AV228" s="245">
        <v>0.5</v>
      </c>
      <c r="AW228" s="245"/>
      <c r="AX228" s="245"/>
      <c r="AY228" s="245">
        <v>0.4</v>
      </c>
      <c r="AZ228" s="245">
        <v>0.1</v>
      </c>
      <c r="BA228" s="245">
        <v>0</v>
      </c>
      <c r="BB228" s="245"/>
      <c r="BC228" s="245">
        <f t="shared" si="35"/>
        <v>1</v>
      </c>
      <c r="BD228" s="240">
        <f t="shared" si="36"/>
        <v>0.74811500000000009</v>
      </c>
      <c r="BE228" s="243">
        <f t="shared" si="39"/>
        <v>0.74811500000000009</v>
      </c>
      <c r="BF228" s="332"/>
      <c r="BG228" s="330"/>
      <c r="BH228" s="331"/>
      <c r="BI228" s="331"/>
      <c r="BJ228" s="330"/>
      <c r="BK228" s="330"/>
      <c r="BL228" s="330"/>
      <c r="BM228" s="330"/>
      <c r="BN228" s="330"/>
      <c r="BO228" s="330"/>
      <c r="BP228" s="330"/>
      <c r="BQ228" s="330"/>
      <c r="CB228" s="243">
        <f t="shared" si="29"/>
        <v>0.64340301100034303</v>
      </c>
      <c r="CC228" s="243"/>
      <c r="CD228" s="243">
        <f t="shared" si="31"/>
        <v>0.64340301100034303</v>
      </c>
      <c r="CG228" s="734">
        <f t="shared" si="37"/>
        <v>1.282</v>
      </c>
      <c r="CJ228" s="1264">
        <f t="shared" si="30"/>
        <v>0.79741404289037643</v>
      </c>
    </row>
    <row r="229" spans="1:88" x14ac:dyDescent="0.2">
      <c r="A229" s="19">
        <v>34485</v>
      </c>
      <c r="B229" s="262">
        <v>1.641</v>
      </c>
      <c r="C229" s="270">
        <v>1.6264000000000001</v>
      </c>
      <c r="D229" s="270">
        <v>1.655</v>
      </c>
      <c r="E229" s="270">
        <v>-0.9466</v>
      </c>
      <c r="F229" s="270">
        <v>-2.1602000000000001</v>
      </c>
      <c r="G229" s="270">
        <v>0.28999999999999998</v>
      </c>
      <c r="H229" s="270">
        <v>-1.125</v>
      </c>
      <c r="I229" s="262">
        <v>-2.2410000000000001</v>
      </c>
      <c r="J229" s="270">
        <v>-0.14299999999999999</v>
      </c>
      <c r="K229" s="128">
        <v>-1.9761</v>
      </c>
      <c r="L229" s="128">
        <v>-2.65</v>
      </c>
      <c r="M229" s="128">
        <v>-1.32</v>
      </c>
      <c r="N229" s="262">
        <f t="shared" si="32"/>
        <v>-1.125</v>
      </c>
      <c r="O229" s="262">
        <f t="shared" si="33"/>
        <v>-2.2410000000000001</v>
      </c>
      <c r="P229" s="262">
        <f t="shared" si="34"/>
        <v>-0.14299999999999999</v>
      </c>
      <c r="Q229" s="270">
        <v>-2.0066999999999999</v>
      </c>
      <c r="R229" s="128">
        <v>-1.032</v>
      </c>
      <c r="S229" s="128">
        <v>1.099</v>
      </c>
      <c r="T229" s="128"/>
      <c r="U229" s="270">
        <v>3.4000000000000002E-2</v>
      </c>
      <c r="V229" s="280"/>
      <c r="W229" s="262">
        <v>-1.4E-2</v>
      </c>
      <c r="X229" s="128">
        <v>0.19</v>
      </c>
      <c r="Y229" s="128"/>
      <c r="Z229" s="279"/>
      <c r="AA229" s="262">
        <v>-0.55276999999999998</v>
      </c>
      <c r="AB229" s="270">
        <v>-1.1475</v>
      </c>
      <c r="AC229" s="270">
        <v>7.6899999999999996E-2</v>
      </c>
      <c r="AD229" s="280"/>
      <c r="AE229" s="280"/>
      <c r="AF229" s="262">
        <f t="shared" si="38"/>
        <v>-0.55276999999999998</v>
      </c>
      <c r="AG229" s="128">
        <v>0.43359999999999999</v>
      </c>
      <c r="AH229" s="128"/>
      <c r="AI229" s="128"/>
      <c r="AJ229" s="128"/>
      <c r="AK229" s="128"/>
      <c r="AL229" s="128"/>
      <c r="AM229" s="242"/>
      <c r="AN229" s="270">
        <v>-0.55449999999999999</v>
      </c>
      <c r="AO229" s="270">
        <v>3.4000000000000002E-2</v>
      </c>
      <c r="AP229" s="270"/>
      <c r="AQ229" s="270"/>
      <c r="AR229" s="270"/>
      <c r="AS229" s="270"/>
      <c r="AT229" s="270"/>
      <c r="AU229" s="270"/>
      <c r="AV229" s="245">
        <v>0.5</v>
      </c>
      <c r="AW229" s="245"/>
      <c r="AX229" s="245"/>
      <c r="AY229" s="245">
        <v>0.4</v>
      </c>
      <c r="AZ229" s="245">
        <v>0.1</v>
      </c>
      <c r="BA229" s="245">
        <v>0</v>
      </c>
      <c r="BB229" s="245"/>
      <c r="BC229" s="245">
        <f t="shared" si="35"/>
        <v>1</v>
      </c>
      <c r="BD229" s="240">
        <f t="shared" si="36"/>
        <v>0.75962299999999994</v>
      </c>
      <c r="BE229" s="243">
        <f t="shared" si="39"/>
        <v>0.75962299999999994</v>
      </c>
      <c r="BF229" s="332"/>
      <c r="BG229" s="330"/>
      <c r="BH229" s="331"/>
      <c r="BI229" s="331"/>
      <c r="BJ229" s="330"/>
      <c r="BK229" s="330"/>
      <c r="BL229" s="330"/>
      <c r="BM229" s="330"/>
      <c r="BN229" s="330"/>
      <c r="BO229" s="330"/>
      <c r="BP229" s="330"/>
      <c r="BQ229" s="330"/>
      <c r="CB229" s="243">
        <f t="shared" ref="CB229:CB292" si="40">((1+0.08)^(1/12)-1)*100</f>
        <v>0.64340301100034303</v>
      </c>
      <c r="CC229" s="243"/>
      <c r="CD229" s="243">
        <f t="shared" si="31"/>
        <v>0.64340301100034303</v>
      </c>
      <c r="CG229" s="734">
        <f t="shared" si="37"/>
        <v>1.641</v>
      </c>
      <c r="CJ229" s="1264">
        <f t="shared" si="30"/>
        <v>0.79741404289037643</v>
      </c>
    </row>
    <row r="230" spans="1:88" x14ac:dyDescent="0.2">
      <c r="A230" s="19">
        <v>34515</v>
      </c>
      <c r="B230" s="262">
        <v>-2.4510000000000001</v>
      </c>
      <c r="C230" s="270">
        <v>-2.1331000000000002</v>
      </c>
      <c r="D230" s="270">
        <v>-2.766</v>
      </c>
      <c r="E230" s="270">
        <v>-3.4439000000000002</v>
      </c>
      <c r="F230" s="270">
        <v>-4.9097999999999997</v>
      </c>
      <c r="G230" s="270">
        <v>-2.0905999999999998</v>
      </c>
      <c r="H230" s="270">
        <v>-3.3740000000000001</v>
      </c>
      <c r="I230" s="262">
        <v>-4.2729999999999997</v>
      </c>
      <c r="J230" s="270">
        <v>-2.5950000000000002</v>
      </c>
      <c r="K230" s="128">
        <v>-3.7170999999999998</v>
      </c>
      <c r="L230" s="128">
        <v>-5.08</v>
      </c>
      <c r="M230" s="128">
        <v>-2.5</v>
      </c>
      <c r="N230" s="262">
        <f t="shared" si="32"/>
        <v>-3.3740000000000001</v>
      </c>
      <c r="O230" s="262">
        <f t="shared" si="33"/>
        <v>-4.2729999999999997</v>
      </c>
      <c r="P230" s="262">
        <f t="shared" si="34"/>
        <v>-2.5950000000000002</v>
      </c>
      <c r="Q230" s="270">
        <v>-4.4409000000000001</v>
      </c>
      <c r="R230" s="128">
        <v>-3.1</v>
      </c>
      <c r="S230" s="128">
        <v>-2.7360000000000002</v>
      </c>
      <c r="T230" s="128"/>
      <c r="U230" s="270">
        <v>0.70899999999999996</v>
      </c>
      <c r="V230" s="280"/>
      <c r="W230" s="262">
        <v>-0.221</v>
      </c>
      <c r="X230" s="128">
        <v>-0.06</v>
      </c>
      <c r="Y230" s="128"/>
      <c r="Z230" s="279"/>
      <c r="AA230" s="262">
        <v>1.43557</v>
      </c>
      <c r="AB230" s="270">
        <v>0.96719999999999995</v>
      </c>
      <c r="AC230" s="270">
        <v>1.9389000000000001</v>
      </c>
      <c r="AD230" s="280"/>
      <c r="AE230" s="280"/>
      <c r="AF230" s="262">
        <f t="shared" si="38"/>
        <v>1.43557</v>
      </c>
      <c r="AG230" s="128">
        <v>0.43359999999999999</v>
      </c>
      <c r="AH230" s="128"/>
      <c r="AI230" s="128"/>
      <c r="AJ230" s="128"/>
      <c r="AK230" s="128"/>
      <c r="AL230" s="128"/>
      <c r="AM230" s="242"/>
      <c r="AN230" s="270">
        <v>1.43</v>
      </c>
      <c r="AO230" s="270">
        <v>0.70899999999999996</v>
      </c>
      <c r="AP230" s="270"/>
      <c r="AQ230" s="270"/>
      <c r="AR230" s="270"/>
      <c r="AS230" s="270"/>
      <c r="AT230" s="270"/>
      <c r="AU230" s="270"/>
      <c r="AV230" s="245">
        <v>0.5</v>
      </c>
      <c r="AW230" s="245"/>
      <c r="AX230" s="245"/>
      <c r="AY230" s="245">
        <v>0.4</v>
      </c>
      <c r="AZ230" s="245">
        <v>0.1</v>
      </c>
      <c r="BA230" s="245">
        <v>0</v>
      </c>
      <c r="BB230" s="245"/>
      <c r="BC230" s="245">
        <f t="shared" si="35"/>
        <v>1</v>
      </c>
      <c r="BD230" s="240">
        <f t="shared" si="36"/>
        <v>-1.1703430000000001</v>
      </c>
      <c r="BE230" s="243">
        <f t="shared" si="39"/>
        <v>-1.1703430000000001</v>
      </c>
      <c r="BF230" s="332"/>
      <c r="BG230" s="330"/>
      <c r="BH230" s="331"/>
      <c r="BI230" s="331"/>
      <c r="BJ230" s="330"/>
      <c r="BK230" s="330"/>
      <c r="BL230" s="330"/>
      <c r="BM230" s="330"/>
      <c r="BN230" s="330"/>
      <c r="BO230" s="330"/>
      <c r="BP230" s="330"/>
      <c r="BQ230" s="330"/>
      <c r="CB230" s="243">
        <f t="shared" si="40"/>
        <v>0.64340301100034303</v>
      </c>
      <c r="CC230" s="243"/>
      <c r="CD230" s="243">
        <f t="shared" si="31"/>
        <v>0.64340301100034303</v>
      </c>
      <c r="CG230" s="734">
        <f t="shared" si="37"/>
        <v>-2.4510000000000001</v>
      </c>
      <c r="CJ230" s="1264">
        <f t="shared" si="30"/>
        <v>0.79741404289037643</v>
      </c>
    </row>
    <row r="231" spans="1:88" x14ac:dyDescent="0.2">
      <c r="A231" s="19">
        <v>34546</v>
      </c>
      <c r="B231" s="262">
        <v>3.2839999999999998</v>
      </c>
      <c r="C231" s="270">
        <v>3.1871</v>
      </c>
      <c r="D231" s="270">
        <v>3.38</v>
      </c>
      <c r="E231" s="270">
        <v>3.3860999999999999</v>
      </c>
      <c r="F231" s="270">
        <v>2.4996999999999998</v>
      </c>
      <c r="G231" s="270">
        <v>4.1101999999999999</v>
      </c>
      <c r="H231" s="270">
        <v>1.6439999999999999</v>
      </c>
      <c r="I231" s="262">
        <v>1.425</v>
      </c>
      <c r="J231" s="270">
        <v>1.8480000000000001</v>
      </c>
      <c r="K231" s="128">
        <v>1.2446999999999999</v>
      </c>
      <c r="L231" s="128">
        <v>0.94</v>
      </c>
      <c r="M231" s="128">
        <v>1.59</v>
      </c>
      <c r="N231" s="262">
        <f t="shared" si="32"/>
        <v>1.6439999999999999</v>
      </c>
      <c r="O231" s="262">
        <f t="shared" si="33"/>
        <v>1.425</v>
      </c>
      <c r="P231" s="262">
        <f t="shared" si="34"/>
        <v>1.8480000000000001</v>
      </c>
      <c r="Q231" s="270">
        <v>2.1732999999999998</v>
      </c>
      <c r="R231" s="128">
        <v>2.71</v>
      </c>
      <c r="S231" s="128">
        <v>3.101</v>
      </c>
      <c r="T231" s="128"/>
      <c r="U231" s="270">
        <v>1.6259999999999999</v>
      </c>
      <c r="V231" s="280"/>
      <c r="W231" s="262">
        <v>1.9863</v>
      </c>
      <c r="X231" s="128">
        <v>1.64</v>
      </c>
      <c r="Y231" s="128"/>
      <c r="Z231" s="279"/>
      <c r="AA231" s="262">
        <v>0.98372999999999999</v>
      </c>
      <c r="AB231" s="270">
        <v>0.8931</v>
      </c>
      <c r="AC231" s="270">
        <v>1.0596000000000001</v>
      </c>
      <c r="AD231" s="280"/>
      <c r="AE231" s="280"/>
      <c r="AF231" s="262">
        <f t="shared" si="38"/>
        <v>0.98372999999999999</v>
      </c>
      <c r="AG231" s="128">
        <v>0.50939999999999996</v>
      </c>
      <c r="AH231" s="128"/>
      <c r="AI231" s="128"/>
      <c r="AJ231" s="128"/>
      <c r="AK231" s="128"/>
      <c r="AL231" s="128"/>
      <c r="AM231" s="242"/>
      <c r="AN231" s="270">
        <v>0.97550000000000003</v>
      </c>
      <c r="AO231" s="270">
        <v>1.6259999999999999</v>
      </c>
      <c r="AP231" s="270"/>
      <c r="AQ231" s="270"/>
      <c r="AR231" s="270"/>
      <c r="AS231" s="270"/>
      <c r="AT231" s="270"/>
      <c r="AU231" s="270"/>
      <c r="AV231" s="245">
        <v>0.5</v>
      </c>
      <c r="AW231" s="245"/>
      <c r="AX231" s="245"/>
      <c r="AY231" s="245">
        <v>0.4</v>
      </c>
      <c r="AZ231" s="245">
        <v>0.1</v>
      </c>
      <c r="BA231" s="245">
        <v>0</v>
      </c>
      <c r="BB231" s="245"/>
      <c r="BC231" s="245">
        <f t="shared" si="35"/>
        <v>1</v>
      </c>
      <c r="BD231" s="240">
        <f t="shared" si="36"/>
        <v>2.5348929999999998</v>
      </c>
      <c r="BE231" s="243">
        <f t="shared" si="39"/>
        <v>2.5348929999999998</v>
      </c>
      <c r="BF231" s="332"/>
      <c r="BG231" s="330"/>
      <c r="BH231" s="331"/>
      <c r="BI231" s="331"/>
      <c r="BJ231" s="330"/>
      <c r="BK231" s="330"/>
      <c r="BL231" s="330"/>
      <c r="BM231" s="330"/>
      <c r="BN231" s="330"/>
      <c r="BO231" s="330"/>
      <c r="BP231" s="330"/>
      <c r="BQ231" s="330"/>
      <c r="CB231" s="243">
        <f t="shared" si="40"/>
        <v>0.64340301100034303</v>
      </c>
      <c r="CC231" s="243"/>
      <c r="CD231" s="243">
        <f t="shared" si="31"/>
        <v>0.64340301100034303</v>
      </c>
      <c r="CG231" s="734">
        <f t="shared" si="37"/>
        <v>3.2839999999999998</v>
      </c>
      <c r="CJ231" s="1264">
        <f t="shared" si="30"/>
        <v>0.79741404289037643</v>
      </c>
    </row>
    <row r="232" spans="1:88" x14ac:dyDescent="0.2">
      <c r="A232" s="19">
        <v>34577</v>
      </c>
      <c r="B232" s="262">
        <v>4.0999999999999996</v>
      </c>
      <c r="C232" s="270">
        <v>5.3429000000000002</v>
      </c>
      <c r="D232" s="270">
        <v>2.827</v>
      </c>
      <c r="E232" s="270">
        <v>5.2371999999999996</v>
      </c>
      <c r="F232" s="270">
        <v>6.7798999999999996</v>
      </c>
      <c r="G232" s="270">
        <v>3.8403</v>
      </c>
      <c r="H232" s="270">
        <v>5.57</v>
      </c>
      <c r="I232" s="262">
        <v>7.3380000000000001</v>
      </c>
      <c r="J232" s="270">
        <v>3.9329999999999998</v>
      </c>
      <c r="K232" s="128">
        <v>6.8121</v>
      </c>
      <c r="L232" s="128">
        <v>8.24</v>
      </c>
      <c r="M232" s="128">
        <v>5.22</v>
      </c>
      <c r="N232" s="262">
        <f t="shared" si="32"/>
        <v>5.57</v>
      </c>
      <c r="O232" s="262">
        <f t="shared" si="33"/>
        <v>7.3380000000000001</v>
      </c>
      <c r="P232" s="262">
        <f t="shared" si="34"/>
        <v>3.9329999999999998</v>
      </c>
      <c r="Q232" s="270">
        <v>7.3510999999999997</v>
      </c>
      <c r="R232" s="128">
        <v>5.4029999999999996</v>
      </c>
      <c r="S232" s="128">
        <v>4.3570000000000002</v>
      </c>
      <c r="T232" s="128"/>
      <c r="U232" s="270">
        <v>3.3650000000000002</v>
      </c>
      <c r="V232" s="280"/>
      <c r="W232" s="262">
        <v>0.1241</v>
      </c>
      <c r="X232" s="128">
        <v>0.31</v>
      </c>
      <c r="Y232" s="128"/>
      <c r="Z232" s="279"/>
      <c r="AA232" s="262">
        <v>2.3895300000000002</v>
      </c>
      <c r="AB232" s="270">
        <v>2.2864</v>
      </c>
      <c r="AC232" s="270">
        <v>2.4668000000000001</v>
      </c>
      <c r="AD232" s="280"/>
      <c r="AE232" s="280"/>
      <c r="AF232" s="262">
        <f t="shared" si="38"/>
        <v>2.3895300000000002</v>
      </c>
      <c r="AG232" s="128">
        <v>0.50939999999999996</v>
      </c>
      <c r="AH232" s="128"/>
      <c r="AI232" s="128"/>
      <c r="AJ232" s="128"/>
      <c r="AK232" s="128"/>
      <c r="AL232" s="128"/>
      <c r="AM232" s="242"/>
      <c r="AN232" s="270">
        <v>2.3956</v>
      </c>
      <c r="AO232" s="270">
        <v>3.3650000000000002</v>
      </c>
      <c r="AP232" s="270"/>
      <c r="AQ232" s="270"/>
      <c r="AR232" s="270"/>
      <c r="AS232" s="270"/>
      <c r="AT232" s="270"/>
      <c r="AU232" s="270"/>
      <c r="AV232" s="245">
        <v>0.5</v>
      </c>
      <c r="AW232" s="245"/>
      <c r="AX232" s="245"/>
      <c r="AY232" s="245">
        <v>0.4</v>
      </c>
      <c r="AZ232" s="245">
        <v>0.1</v>
      </c>
      <c r="BA232" s="245">
        <v>0</v>
      </c>
      <c r="BB232" s="245"/>
      <c r="BC232" s="245">
        <f t="shared" si="35"/>
        <v>1</v>
      </c>
      <c r="BD232" s="240">
        <f t="shared" si="36"/>
        <v>2.3385929999999999</v>
      </c>
      <c r="BE232" s="243">
        <f t="shared" si="39"/>
        <v>2.3385929999999999</v>
      </c>
      <c r="BF232" s="332"/>
      <c r="BG232" s="330"/>
      <c r="BH232" s="331"/>
      <c r="BI232" s="331"/>
      <c r="BJ232" s="330"/>
      <c r="BK232" s="330"/>
      <c r="BL232" s="330"/>
      <c r="BM232" s="330"/>
      <c r="BN232" s="330"/>
      <c r="BO232" s="330"/>
      <c r="BP232" s="330"/>
      <c r="BQ232" s="330"/>
      <c r="CB232" s="243">
        <f t="shared" si="40"/>
        <v>0.64340301100034303</v>
      </c>
      <c r="CC232" s="243"/>
      <c r="CD232" s="243">
        <f t="shared" si="31"/>
        <v>0.64340301100034303</v>
      </c>
      <c r="CG232" s="734">
        <f t="shared" si="37"/>
        <v>4.0999999999999996</v>
      </c>
      <c r="CJ232" s="1264">
        <f t="shared" si="30"/>
        <v>0.79741404289037643</v>
      </c>
    </row>
    <row r="233" spans="1:88" x14ac:dyDescent="0.2">
      <c r="A233" s="19">
        <v>34607</v>
      </c>
      <c r="B233" s="262">
        <v>-2.4449999999999998</v>
      </c>
      <c r="C233" s="270">
        <v>-1.5804</v>
      </c>
      <c r="D233" s="270">
        <v>-3.52</v>
      </c>
      <c r="E233" s="270">
        <v>-1.8661000000000001</v>
      </c>
      <c r="F233" s="270">
        <v>-1.0793999999999999</v>
      </c>
      <c r="G233" s="270">
        <v>-2.5200999999999998</v>
      </c>
      <c r="H233" s="270">
        <v>-0.33900000000000002</v>
      </c>
      <c r="I233" s="262">
        <v>0.41899999999999998</v>
      </c>
      <c r="J233" s="270">
        <v>-1.0640000000000001</v>
      </c>
      <c r="K233" s="128">
        <v>-0.51580000000000004</v>
      </c>
      <c r="L233" s="128">
        <v>0.55000000000000004</v>
      </c>
      <c r="M233" s="128">
        <v>-1.5</v>
      </c>
      <c r="N233" s="262">
        <f t="shared" si="32"/>
        <v>-0.33900000000000002</v>
      </c>
      <c r="O233" s="262">
        <f t="shared" si="33"/>
        <v>0.41899999999999998</v>
      </c>
      <c r="P233" s="262">
        <f t="shared" si="34"/>
        <v>-1.0640000000000001</v>
      </c>
      <c r="Q233" s="270">
        <v>-4.7800000000000002E-2</v>
      </c>
      <c r="R233" s="128">
        <v>-1.01</v>
      </c>
      <c r="S233" s="128">
        <v>-2.1280000000000001</v>
      </c>
      <c r="T233" s="128"/>
      <c r="U233" s="270">
        <v>-2.4750000000000001</v>
      </c>
      <c r="V233" s="280"/>
      <c r="W233" s="262">
        <v>-1.4718</v>
      </c>
      <c r="X233" s="128">
        <v>-1.0900000000000001</v>
      </c>
      <c r="Y233" s="128"/>
      <c r="Z233" s="279"/>
      <c r="AA233" s="262">
        <v>-3.12764</v>
      </c>
      <c r="AB233" s="270">
        <v>-3.3209</v>
      </c>
      <c r="AC233" s="270">
        <v>-2.9159999999999999</v>
      </c>
      <c r="AD233" s="280"/>
      <c r="AE233" s="280"/>
      <c r="AF233" s="262">
        <f t="shared" si="38"/>
        <v>-3.12764</v>
      </c>
      <c r="AG233" s="128">
        <v>0.50939999999999996</v>
      </c>
      <c r="AH233" s="128"/>
      <c r="AI233" s="128"/>
      <c r="AJ233" s="128"/>
      <c r="AK233" s="128"/>
      <c r="AL233" s="128"/>
      <c r="AM233" s="242"/>
      <c r="AN233" s="270">
        <v>-3.13</v>
      </c>
      <c r="AO233" s="270">
        <v>-2.4750000000000001</v>
      </c>
      <c r="AP233" s="270"/>
      <c r="AQ233" s="270"/>
      <c r="AR233" s="270"/>
      <c r="AS233" s="270"/>
      <c r="AT233" s="270"/>
      <c r="AU233" s="270"/>
      <c r="AV233" s="245">
        <v>0.5</v>
      </c>
      <c r="AW233" s="245"/>
      <c r="AX233" s="245"/>
      <c r="AY233" s="245">
        <v>0.4</v>
      </c>
      <c r="AZ233" s="245">
        <v>0.1</v>
      </c>
      <c r="BA233" s="245">
        <v>0</v>
      </c>
      <c r="BB233" s="245"/>
      <c r="BC233" s="245">
        <f t="shared" si="35"/>
        <v>1</v>
      </c>
      <c r="BD233" s="240">
        <f t="shared" si="36"/>
        <v>-2.1239840000000001</v>
      </c>
      <c r="BE233" s="243">
        <f t="shared" si="39"/>
        <v>-2.1239840000000001</v>
      </c>
      <c r="BF233" s="332"/>
      <c r="BG233" s="330"/>
      <c r="BH233" s="331"/>
      <c r="BI233" s="331"/>
      <c r="BJ233" s="330"/>
      <c r="BK233" s="330"/>
      <c r="BL233" s="330"/>
      <c r="BM233" s="330"/>
      <c r="BN233" s="330"/>
      <c r="BO233" s="330"/>
      <c r="BP233" s="330"/>
      <c r="BQ233" s="330"/>
      <c r="CB233" s="243">
        <f t="shared" si="40"/>
        <v>0.64340301100034303</v>
      </c>
      <c r="CC233" s="243"/>
      <c r="CD233" s="243">
        <f t="shared" si="31"/>
        <v>0.64340301100034303</v>
      </c>
      <c r="CG233" s="734">
        <f t="shared" si="37"/>
        <v>-2.4449999999999998</v>
      </c>
      <c r="CJ233" s="1264">
        <f t="shared" ref="CJ233:CJ296" si="41">((1+0.1)^(1/12)-1)*100</f>
        <v>0.79741404289037643</v>
      </c>
    </row>
    <row r="234" spans="1:88" x14ac:dyDescent="0.2">
      <c r="A234" s="19">
        <v>34638</v>
      </c>
      <c r="B234" s="262">
        <v>2.2469999999999999</v>
      </c>
      <c r="C234" s="270">
        <v>2.4885000000000002</v>
      </c>
      <c r="D234" s="270">
        <v>2.177</v>
      </c>
      <c r="E234" s="270">
        <v>1.0933999999999999</v>
      </c>
      <c r="F234" s="270">
        <v>1.5697000000000001</v>
      </c>
      <c r="G234" s="270">
        <v>0.57969999999999999</v>
      </c>
      <c r="H234" s="270">
        <v>-0.40400000000000003</v>
      </c>
      <c r="I234" s="262">
        <v>1.0649999999999999</v>
      </c>
      <c r="J234" s="270">
        <v>-1.8340000000000001</v>
      </c>
      <c r="K234" s="128">
        <v>-0.99860000000000004</v>
      </c>
      <c r="L234" s="128">
        <v>0.41</v>
      </c>
      <c r="M234" s="128">
        <v>-2.5299999999999998</v>
      </c>
      <c r="N234" s="262">
        <f t="shared" si="32"/>
        <v>-0.40400000000000003</v>
      </c>
      <c r="O234" s="262">
        <f t="shared" si="33"/>
        <v>1.0649999999999999</v>
      </c>
      <c r="P234" s="262">
        <f t="shared" si="34"/>
        <v>-1.8340000000000001</v>
      </c>
      <c r="Q234" s="270">
        <v>1.7181999999999999</v>
      </c>
      <c r="R234" s="128">
        <v>0.158</v>
      </c>
      <c r="S234" s="128">
        <v>1.6519999999999999</v>
      </c>
      <c r="T234" s="128"/>
      <c r="U234" s="270">
        <v>2.6880000000000002</v>
      </c>
      <c r="V234" s="280"/>
      <c r="W234" s="262">
        <v>-8.9099999999999999E-2</v>
      </c>
      <c r="X234" s="128">
        <v>-0.02</v>
      </c>
      <c r="Y234" s="128"/>
      <c r="Z234" s="279"/>
      <c r="AA234" s="262">
        <v>3.3533400000000002</v>
      </c>
      <c r="AB234" s="270">
        <v>2.8203</v>
      </c>
      <c r="AC234" s="270">
        <v>3.8761999999999999</v>
      </c>
      <c r="AD234" s="280"/>
      <c r="AE234" s="280"/>
      <c r="AF234" s="262">
        <f t="shared" si="38"/>
        <v>3.3533400000000002</v>
      </c>
      <c r="AG234" s="128">
        <v>0.5</v>
      </c>
      <c r="AH234" s="128"/>
      <c r="AI234" s="128"/>
      <c r="AJ234" s="128"/>
      <c r="AK234" s="128"/>
      <c r="AL234" s="128"/>
      <c r="AM234" s="242"/>
      <c r="AN234" s="270">
        <v>3.3456000000000001</v>
      </c>
      <c r="AO234" s="270">
        <v>2.6880000000000002</v>
      </c>
      <c r="AP234" s="270"/>
      <c r="AQ234" s="270"/>
      <c r="AR234" s="270"/>
      <c r="AS234" s="270"/>
      <c r="AT234" s="270"/>
      <c r="AU234" s="270"/>
      <c r="AV234" s="245">
        <v>0.5</v>
      </c>
      <c r="AW234" s="245"/>
      <c r="AX234" s="245"/>
      <c r="AY234" s="245">
        <v>0.4</v>
      </c>
      <c r="AZ234" s="245">
        <v>0.1</v>
      </c>
      <c r="BA234" s="245">
        <v>0</v>
      </c>
      <c r="BB234" s="245"/>
      <c r="BC234" s="245">
        <f t="shared" si="35"/>
        <v>1</v>
      </c>
      <c r="BD234" s="240">
        <f t="shared" si="36"/>
        <v>1.4231940000000001</v>
      </c>
      <c r="BE234" s="243">
        <f t="shared" si="39"/>
        <v>1.4231940000000001</v>
      </c>
      <c r="BF234" s="332"/>
      <c r="BG234" s="330"/>
      <c r="BH234" s="331"/>
      <c r="BI234" s="331"/>
      <c r="BJ234" s="330"/>
      <c r="BK234" s="330"/>
      <c r="BL234" s="330"/>
      <c r="BM234" s="330"/>
      <c r="BN234" s="330"/>
      <c r="BO234" s="330"/>
      <c r="BP234" s="330"/>
      <c r="BQ234" s="330"/>
      <c r="CB234" s="243">
        <f t="shared" si="40"/>
        <v>0.64340301100034303</v>
      </c>
      <c r="CC234" s="243"/>
      <c r="CD234" s="243">
        <f t="shared" ref="CD234:CD297" si="42">((1+0.08)^(1/12)-1)*100</f>
        <v>0.64340301100034303</v>
      </c>
      <c r="CG234" s="734">
        <f t="shared" si="37"/>
        <v>2.2469999999999999</v>
      </c>
      <c r="CJ234" s="1264">
        <f t="shared" si="41"/>
        <v>0.79741404289037643</v>
      </c>
    </row>
    <row r="235" spans="1:88" x14ac:dyDescent="0.2">
      <c r="A235" s="19">
        <v>34668</v>
      </c>
      <c r="B235" s="262">
        <v>-3.6419999999999999</v>
      </c>
      <c r="C235" s="270">
        <v>-3.2764000000000002</v>
      </c>
      <c r="D235" s="270">
        <v>-4.0519999999999996</v>
      </c>
      <c r="E235" s="270">
        <v>-4.5105000000000004</v>
      </c>
      <c r="F235" s="270">
        <v>-4.58</v>
      </c>
      <c r="G235" s="270">
        <v>-4.3901000000000003</v>
      </c>
      <c r="H235" s="270">
        <v>-4.0410000000000004</v>
      </c>
      <c r="I235" s="262">
        <v>-4.0460000000000003</v>
      </c>
      <c r="J235" s="270">
        <v>-4.0369999999999999</v>
      </c>
      <c r="K235" s="128">
        <v>-3.8182</v>
      </c>
      <c r="L235" s="128">
        <v>-3.97</v>
      </c>
      <c r="M235" s="128">
        <v>-3.59</v>
      </c>
      <c r="N235" s="262">
        <f t="shared" si="32"/>
        <v>-4.0410000000000004</v>
      </c>
      <c r="O235" s="262">
        <f t="shared" si="33"/>
        <v>-4.0460000000000003</v>
      </c>
      <c r="P235" s="262">
        <f t="shared" si="34"/>
        <v>-4.0369999999999999</v>
      </c>
      <c r="Q235" s="270">
        <v>-4.4290000000000003</v>
      </c>
      <c r="R235" s="128">
        <v>-4.3360000000000003</v>
      </c>
      <c r="S235" s="128">
        <v>-3.65</v>
      </c>
      <c r="T235" s="128"/>
      <c r="U235" s="270">
        <v>-4.8239999999999998</v>
      </c>
      <c r="V235" s="280"/>
      <c r="W235" s="262">
        <v>-0.22209999999999999</v>
      </c>
      <c r="X235" s="128">
        <v>-0.4</v>
      </c>
      <c r="Y235" s="128"/>
      <c r="Z235" s="279"/>
      <c r="AA235" s="262">
        <v>-4.7840400000000001</v>
      </c>
      <c r="AB235" s="270">
        <v>-4.4775999999999998</v>
      </c>
      <c r="AC235" s="270">
        <v>-5.0697000000000001</v>
      </c>
      <c r="AD235" s="280"/>
      <c r="AE235" s="280"/>
      <c r="AF235" s="262">
        <f t="shared" si="38"/>
        <v>-4.7840400000000001</v>
      </c>
      <c r="AG235" s="128">
        <v>0.5</v>
      </c>
      <c r="AH235" s="128"/>
      <c r="AI235" s="128"/>
      <c r="AJ235" s="128"/>
      <c r="AK235" s="128"/>
      <c r="AL235" s="128"/>
      <c r="AM235" s="242"/>
      <c r="AN235" s="270">
        <v>-4.78</v>
      </c>
      <c r="AO235" s="270">
        <v>-4.8239999999999998</v>
      </c>
      <c r="AP235" s="270"/>
      <c r="AQ235" s="270"/>
      <c r="AR235" s="270"/>
      <c r="AS235" s="270"/>
      <c r="AT235" s="270"/>
      <c r="AU235" s="270"/>
      <c r="AV235" s="245">
        <v>0.5</v>
      </c>
      <c r="AW235" s="245"/>
      <c r="AX235" s="245"/>
      <c r="AY235" s="245">
        <v>0.4</v>
      </c>
      <c r="AZ235" s="245">
        <v>0.1</v>
      </c>
      <c r="BA235" s="245">
        <v>0</v>
      </c>
      <c r="BB235" s="245"/>
      <c r="BC235" s="245">
        <f t="shared" si="35"/>
        <v>1</v>
      </c>
      <c r="BD235" s="240">
        <f t="shared" si="36"/>
        <v>-2.3882440000000003</v>
      </c>
      <c r="BE235" s="243">
        <f t="shared" si="39"/>
        <v>-2.3882440000000003</v>
      </c>
      <c r="BF235" s="332"/>
      <c r="BG235" s="330"/>
      <c r="BH235" s="331"/>
      <c r="BI235" s="331"/>
      <c r="BJ235" s="330"/>
      <c r="BK235" s="330"/>
      <c r="BL235" s="330"/>
      <c r="BM235" s="330"/>
      <c r="BN235" s="330"/>
      <c r="BO235" s="330"/>
      <c r="BP235" s="330"/>
      <c r="BQ235" s="330"/>
      <c r="CB235" s="243">
        <f t="shared" si="40"/>
        <v>0.64340301100034303</v>
      </c>
      <c r="CC235" s="243"/>
      <c r="CD235" s="243">
        <f t="shared" si="42"/>
        <v>0.64340301100034303</v>
      </c>
      <c r="CG235" s="734">
        <f t="shared" si="37"/>
        <v>-3.6419999999999999</v>
      </c>
      <c r="CJ235" s="1264">
        <f t="shared" si="41"/>
        <v>0.79741404289037643</v>
      </c>
    </row>
    <row r="236" spans="1:88" x14ac:dyDescent="0.2">
      <c r="A236" s="19">
        <v>34699</v>
      </c>
      <c r="B236" s="262">
        <v>1.4830000000000001</v>
      </c>
      <c r="C236" s="270">
        <v>1.7261</v>
      </c>
      <c r="D236" s="270">
        <v>1.228</v>
      </c>
      <c r="E236" s="270">
        <v>0.91790000000000005</v>
      </c>
      <c r="F236" s="270">
        <v>0.77</v>
      </c>
      <c r="G236" s="270">
        <v>1.1104000000000001</v>
      </c>
      <c r="H236" s="270">
        <v>2.677</v>
      </c>
      <c r="I236" s="262">
        <v>2.3559999999999999</v>
      </c>
      <c r="J236" s="270">
        <v>3.0009999999999999</v>
      </c>
      <c r="K236" s="128">
        <v>2.4300999999999999</v>
      </c>
      <c r="L236" s="128">
        <v>2.71</v>
      </c>
      <c r="M236" s="128">
        <v>2.08</v>
      </c>
      <c r="N236" s="262">
        <f t="shared" si="32"/>
        <v>2.677</v>
      </c>
      <c r="O236" s="262">
        <f t="shared" si="33"/>
        <v>2.3559999999999999</v>
      </c>
      <c r="P236" s="262">
        <f t="shared" si="34"/>
        <v>3.0009999999999999</v>
      </c>
      <c r="Q236" s="270">
        <v>2.0291000000000001</v>
      </c>
      <c r="R236" s="128">
        <v>2.16</v>
      </c>
      <c r="S236" s="128">
        <v>1.55</v>
      </c>
      <c r="T236" s="128"/>
      <c r="U236" s="270">
        <v>-0.23400000000000001</v>
      </c>
      <c r="V236" s="280"/>
      <c r="W236" s="262">
        <v>0.6905</v>
      </c>
      <c r="X236" s="128">
        <v>0.51</v>
      </c>
      <c r="Y236" s="128"/>
      <c r="Z236" s="279"/>
      <c r="AA236" s="262">
        <v>0.64958000000000005</v>
      </c>
      <c r="AB236" s="270">
        <v>1.3087</v>
      </c>
      <c r="AC236" s="270">
        <v>-2.1499999999999998E-2</v>
      </c>
      <c r="AD236" s="280"/>
      <c r="AE236" s="280"/>
      <c r="AF236" s="262">
        <f t="shared" si="38"/>
        <v>0.64958000000000005</v>
      </c>
      <c r="AG236" s="128">
        <v>0.5</v>
      </c>
      <c r="AH236" s="128"/>
      <c r="AI236" s="128"/>
      <c r="AJ236" s="128"/>
      <c r="AK236" s="128"/>
      <c r="AL236" s="128"/>
      <c r="AM236" s="242"/>
      <c r="AN236" s="270">
        <v>0.65</v>
      </c>
      <c r="AO236" s="270">
        <v>-0.23400000000000001</v>
      </c>
      <c r="AP236" s="270"/>
      <c r="AQ236" s="270"/>
      <c r="AR236" s="270"/>
      <c r="AS236" s="270"/>
      <c r="AT236" s="270"/>
      <c r="AU236" s="270"/>
      <c r="AV236" s="246">
        <v>0.5</v>
      </c>
      <c r="AW236" s="246"/>
      <c r="AX236" s="246"/>
      <c r="AY236" s="246">
        <v>0.4</v>
      </c>
      <c r="AZ236" s="246">
        <v>0.1</v>
      </c>
      <c r="BA236" s="246">
        <v>0</v>
      </c>
      <c r="BB236" s="246"/>
      <c r="BC236" s="246">
        <f t="shared" si="35"/>
        <v>1</v>
      </c>
      <c r="BD236" s="275">
        <f t="shared" si="36"/>
        <v>1.0826580000000001</v>
      </c>
      <c r="BE236" s="243">
        <f t="shared" si="39"/>
        <v>1.0826580000000001</v>
      </c>
      <c r="BF236" s="332"/>
      <c r="BG236" s="330"/>
      <c r="BH236" s="331"/>
      <c r="BI236" s="331"/>
      <c r="BJ236" s="330"/>
      <c r="BK236" s="330"/>
      <c r="BL236" s="330"/>
      <c r="BM236" s="330"/>
      <c r="BN236" s="330"/>
      <c r="BO236" s="330"/>
      <c r="BP236" s="330"/>
      <c r="BQ236" s="330"/>
      <c r="BS236" s="342"/>
      <c r="BT236" s="342"/>
      <c r="BU236" s="342"/>
      <c r="BV236" s="342"/>
      <c r="BW236" s="342"/>
      <c r="BX236" s="342"/>
      <c r="BY236" s="342"/>
      <c r="CB236" s="243">
        <f t="shared" si="40"/>
        <v>0.64340301100034303</v>
      </c>
      <c r="CC236" s="243"/>
      <c r="CD236" s="243">
        <f t="shared" si="42"/>
        <v>0.64340301100034303</v>
      </c>
      <c r="CG236" s="734">
        <f t="shared" si="37"/>
        <v>1.4830000000000001</v>
      </c>
      <c r="CJ236" s="1264">
        <f t="shared" si="41"/>
        <v>0.79741404289037643</v>
      </c>
    </row>
    <row r="237" spans="1:88" x14ac:dyDescent="0.2">
      <c r="A237" s="19">
        <v>34730</v>
      </c>
      <c r="B237" s="262">
        <v>2.593</v>
      </c>
      <c r="C237" s="270">
        <v>2.4803000000000002</v>
      </c>
      <c r="D237" s="270">
        <v>2.7080000000000002</v>
      </c>
      <c r="E237" s="270">
        <v>1.0457000000000001</v>
      </c>
      <c r="F237" s="270">
        <v>-0.47970000000000002</v>
      </c>
      <c r="G237" s="270">
        <v>2.2498</v>
      </c>
      <c r="H237" s="270">
        <v>-1.2629999999999999</v>
      </c>
      <c r="I237" s="262">
        <v>-2.0369999999999999</v>
      </c>
      <c r="J237" s="270">
        <v>-0.48399999999999999</v>
      </c>
      <c r="K237" s="128">
        <v>-1.4114</v>
      </c>
      <c r="L237" s="128">
        <v>-2.57</v>
      </c>
      <c r="M237" s="128">
        <v>-0.25</v>
      </c>
      <c r="N237" s="262">
        <f t="shared" si="32"/>
        <v>-1.2629999999999999</v>
      </c>
      <c r="O237" s="262">
        <f t="shared" si="33"/>
        <v>-2.0369999999999999</v>
      </c>
      <c r="P237" s="262">
        <f t="shared" si="34"/>
        <v>-0.48399999999999999</v>
      </c>
      <c r="Q237" s="270">
        <v>-0.97809999999999997</v>
      </c>
      <c r="R237" s="128">
        <v>-0.20399999999999999</v>
      </c>
      <c r="S237" s="128">
        <v>2.1920000000000002</v>
      </c>
      <c r="T237" s="128"/>
      <c r="U237" s="270">
        <v>-4.5350000000000001</v>
      </c>
      <c r="V237" s="280"/>
      <c r="W237" s="262">
        <v>1.9790000000000001</v>
      </c>
      <c r="X237" s="128">
        <v>1.84</v>
      </c>
      <c r="Y237" s="128"/>
      <c r="Z237" s="128">
        <v>-0.74</v>
      </c>
      <c r="AA237" s="262">
        <v>-3.81779</v>
      </c>
      <c r="AB237" s="270">
        <v>-3.8180000000000001</v>
      </c>
      <c r="AC237" s="270">
        <v>-3.8086000000000002</v>
      </c>
      <c r="AD237" s="280"/>
      <c r="AE237" s="277">
        <f t="shared" ref="AE237:AE266" si="43">(B237*0.5)+(W237*0.5)</f>
        <v>2.286</v>
      </c>
      <c r="AF237" s="262">
        <f t="shared" si="38"/>
        <v>-3.81779</v>
      </c>
      <c r="AG237" s="128">
        <v>0.62419999999999998</v>
      </c>
      <c r="AH237" s="128"/>
      <c r="AI237" s="128"/>
      <c r="AJ237" s="128"/>
      <c r="AK237" s="128"/>
      <c r="AL237" s="128"/>
      <c r="AM237" s="242"/>
      <c r="AN237" s="270">
        <v>-3.8119999999999998</v>
      </c>
      <c r="AO237" s="270">
        <v>-4.5350000000000001</v>
      </c>
      <c r="AP237" s="270"/>
      <c r="AQ237" s="270"/>
      <c r="AR237" s="270"/>
      <c r="AS237" s="270"/>
      <c r="AT237" s="270"/>
      <c r="AU237" s="270"/>
      <c r="AV237" s="245">
        <v>0.45</v>
      </c>
      <c r="AW237" s="245"/>
      <c r="AX237" s="245"/>
      <c r="AY237" s="245">
        <v>0.4</v>
      </c>
      <c r="AZ237" s="245">
        <v>0.15</v>
      </c>
      <c r="BA237" s="245">
        <v>0</v>
      </c>
      <c r="BB237" s="245"/>
      <c r="BC237" s="245">
        <f t="shared" si="35"/>
        <v>1</v>
      </c>
      <c r="BD237" s="240">
        <f t="shared" si="36"/>
        <v>1.3857815</v>
      </c>
      <c r="BE237" s="243">
        <f t="shared" si="39"/>
        <v>1.3857815</v>
      </c>
      <c r="BF237" s="235">
        <v>0.35</v>
      </c>
      <c r="BG237" s="235">
        <v>0</v>
      </c>
      <c r="BH237" s="235">
        <v>0</v>
      </c>
      <c r="BI237" s="235"/>
      <c r="BJ237" s="235">
        <v>0.15</v>
      </c>
      <c r="BK237" s="235"/>
      <c r="BL237" s="235"/>
      <c r="BM237" s="235">
        <v>0.3</v>
      </c>
      <c r="BN237" s="235"/>
      <c r="BO237" s="235">
        <v>0.2</v>
      </c>
      <c r="BP237" s="235">
        <f>SUM(BF237:BO237)</f>
        <v>1</v>
      </c>
      <c r="BQ237" s="243">
        <f t="shared" ref="BQ237:BQ268" si="44">(B237*BF237)+(E237*BG237)+(H237*BH237)+(AA237*BJ237)+(U237*BK237)+(V237*BL237)+(W237*BM237)+(AE237*BO237)</f>
        <v>1.3857815</v>
      </c>
      <c r="BS237" s="341">
        <f t="array" ref="BS237">((1+10.8/100)^(1/12)-1)*100</f>
        <v>0.85830069477084159</v>
      </c>
      <c r="BT237" s="341"/>
      <c r="BU237" s="341"/>
      <c r="BV237" s="341">
        <f t="array" ref="BV237">((1+6.8/100)^(1/12)-1)*100</f>
        <v>0.54973670825229082</v>
      </c>
      <c r="BW237" s="341">
        <f t="array" ref="BW237">((1+11.6/100)^(1/12)-1)*100</f>
        <v>0.9187856919632198</v>
      </c>
      <c r="BX237" s="341"/>
      <c r="BY237" s="341">
        <f>(BS237*AV237)+(BV237*AY237)+(BW237*AZ237)</f>
        <v>0.74394784974227801</v>
      </c>
      <c r="BZ237" s="341">
        <f t="shared" ref="BZ237:BZ300" si="45">BS237</f>
        <v>0.85830069477084159</v>
      </c>
      <c r="CA237" s="341"/>
      <c r="CB237" s="243">
        <f t="shared" si="40"/>
        <v>0.64340301100034303</v>
      </c>
      <c r="CC237" s="243"/>
      <c r="CD237" s="243">
        <f t="shared" si="42"/>
        <v>0.64340301100034303</v>
      </c>
      <c r="CG237" s="734">
        <f t="shared" si="37"/>
        <v>2.593</v>
      </c>
      <c r="CJ237" s="1264">
        <f t="shared" si="41"/>
        <v>0.79741404289037643</v>
      </c>
    </row>
    <row r="238" spans="1:88" x14ac:dyDescent="0.2">
      <c r="A238" s="19">
        <v>34758</v>
      </c>
      <c r="B238" s="262">
        <v>3.8969999999999998</v>
      </c>
      <c r="C238" s="270">
        <v>3.9024000000000001</v>
      </c>
      <c r="D238" s="270">
        <v>3.883</v>
      </c>
      <c r="E238" s="270">
        <v>5.2419000000000002</v>
      </c>
      <c r="F238" s="270">
        <v>5.5899000000000001</v>
      </c>
      <c r="G238" s="270">
        <v>4.8099999999999996</v>
      </c>
      <c r="H238" s="270">
        <v>4.1630000000000003</v>
      </c>
      <c r="I238" s="262">
        <v>4.6210000000000004</v>
      </c>
      <c r="J238" s="270">
        <v>3.7029999999999998</v>
      </c>
      <c r="K238" s="128">
        <v>4.1214000000000004</v>
      </c>
      <c r="L238" s="128">
        <v>4.8099999999999996</v>
      </c>
      <c r="M238" s="128">
        <v>3.43</v>
      </c>
      <c r="N238" s="262">
        <f t="shared" ref="N238:N301" si="46">H238</f>
        <v>4.1630000000000003</v>
      </c>
      <c r="O238" s="262">
        <f t="shared" ref="O238:O301" si="47">I238</f>
        <v>4.6210000000000004</v>
      </c>
      <c r="P238" s="262">
        <f t="shared" ref="P238:P301" si="48">J238</f>
        <v>3.7029999999999998</v>
      </c>
      <c r="Q238" s="270">
        <v>5.4382000000000001</v>
      </c>
      <c r="R238" s="128">
        <v>5.0309999999999997</v>
      </c>
      <c r="S238" s="128">
        <v>4.085</v>
      </c>
      <c r="T238" s="128"/>
      <c r="U238" s="270">
        <v>-0.54700000000000004</v>
      </c>
      <c r="V238" s="280"/>
      <c r="W238" s="262">
        <v>2.3776000000000002</v>
      </c>
      <c r="X238" s="128">
        <v>2.2400000000000002</v>
      </c>
      <c r="Y238" s="128"/>
      <c r="Z238" s="128">
        <v>3.04</v>
      </c>
      <c r="AA238" s="262">
        <v>-0.26136999999999999</v>
      </c>
      <c r="AB238" s="270">
        <v>-1.5699999999999999E-2</v>
      </c>
      <c r="AC238" s="270">
        <v>-0.5131</v>
      </c>
      <c r="AD238" s="280"/>
      <c r="AE238" s="277">
        <f t="shared" si="43"/>
        <v>3.1372999999999998</v>
      </c>
      <c r="AF238" s="262">
        <f t="shared" si="38"/>
        <v>-0.26136999999999999</v>
      </c>
      <c r="AG238" s="128">
        <v>0.62419999999999998</v>
      </c>
      <c r="AH238" s="128"/>
      <c r="AI238" s="128"/>
      <c r="AJ238" s="128"/>
      <c r="AK238" s="128"/>
      <c r="AL238" s="128"/>
      <c r="AM238" s="242"/>
      <c r="AN238" s="270">
        <v>-0.27960000000000002</v>
      </c>
      <c r="AO238" s="270">
        <v>-0.54700000000000004</v>
      </c>
      <c r="AP238" s="270"/>
      <c r="AQ238" s="270"/>
      <c r="AR238" s="270"/>
      <c r="AS238" s="270"/>
      <c r="AT238" s="270"/>
      <c r="AU238" s="270"/>
      <c r="AV238" s="245">
        <v>0.45</v>
      </c>
      <c r="AW238" s="245"/>
      <c r="AX238" s="245"/>
      <c r="AY238" s="245">
        <v>0.4</v>
      </c>
      <c r="AZ238" s="245">
        <v>0.15</v>
      </c>
      <c r="BA238" s="245">
        <v>0</v>
      </c>
      <c r="BB238" s="245"/>
      <c r="BC238" s="245">
        <f t="shared" si="35"/>
        <v>1</v>
      </c>
      <c r="BD238" s="240">
        <f t="shared" si="36"/>
        <v>2.6654845000000003</v>
      </c>
      <c r="BE238" s="243">
        <f t="shared" si="39"/>
        <v>2.6654845000000003</v>
      </c>
      <c r="BF238" s="235">
        <v>0.35</v>
      </c>
      <c r="BG238" s="235">
        <v>0</v>
      </c>
      <c r="BH238" s="235">
        <v>0</v>
      </c>
      <c r="BI238" s="235"/>
      <c r="BJ238" s="235">
        <v>0.15</v>
      </c>
      <c r="BK238" s="235"/>
      <c r="BL238" s="235"/>
      <c r="BM238" s="235">
        <v>0.3</v>
      </c>
      <c r="BN238" s="235"/>
      <c r="BO238" s="235">
        <v>0.2</v>
      </c>
      <c r="BP238" s="235">
        <f t="shared" ref="BP238:BP301" si="49">SUM(BF238:BO238)</f>
        <v>1</v>
      </c>
      <c r="BQ238" s="243">
        <f t="shared" si="44"/>
        <v>2.6654844999999998</v>
      </c>
      <c r="BS238" s="341">
        <f t="array" ref="BS238">((1+10.8/100)^(1/12)-1)*100</f>
        <v>0.85830069477084159</v>
      </c>
      <c r="BT238" s="341"/>
      <c r="BU238" s="341"/>
      <c r="BV238" s="341">
        <f t="array" ref="BV238">((1+6.8/100)^(1/12)-1)*100</f>
        <v>0.54973670825229082</v>
      </c>
      <c r="BW238" s="341">
        <f t="array" ref="BW238">((1+11.6/100)^(1/12)-1)*100</f>
        <v>0.9187856919632198</v>
      </c>
      <c r="BX238" s="341"/>
      <c r="BY238" s="341">
        <f t="shared" ref="BY238:BY266" si="50">(BS238*AV238)+(BV238*AY238)+(BW238*AZ238)</f>
        <v>0.74394784974227801</v>
      </c>
      <c r="BZ238" s="341">
        <f t="shared" si="45"/>
        <v>0.85830069477084159</v>
      </c>
      <c r="CA238" s="341"/>
      <c r="CB238" s="243">
        <f t="shared" si="40"/>
        <v>0.64340301100034303</v>
      </c>
      <c r="CC238" s="243"/>
      <c r="CD238" s="243">
        <f t="shared" si="42"/>
        <v>0.64340301100034303</v>
      </c>
      <c r="CG238" s="734">
        <f t="shared" si="37"/>
        <v>3.8969999999999998</v>
      </c>
      <c r="CJ238" s="1264">
        <f t="shared" si="41"/>
        <v>0.79741404289037643</v>
      </c>
    </row>
    <row r="239" spans="1:88" x14ac:dyDescent="0.2">
      <c r="A239" s="19">
        <v>34789</v>
      </c>
      <c r="B239" s="262">
        <v>2.9510000000000001</v>
      </c>
      <c r="C239" s="270">
        <v>3.1372</v>
      </c>
      <c r="D239" s="270">
        <v>2.7570000000000001</v>
      </c>
      <c r="E239" s="270">
        <v>1.7353000000000001</v>
      </c>
      <c r="F239" s="262">
        <v>2.9699</v>
      </c>
      <c r="G239" s="270">
        <v>0.76029999999999998</v>
      </c>
      <c r="H239" s="270">
        <v>1.714</v>
      </c>
      <c r="I239" s="262">
        <v>2.9209999999999998</v>
      </c>
      <c r="J239" s="270">
        <v>0.48699999999999999</v>
      </c>
      <c r="K239" s="128">
        <v>2.0228999999999999</v>
      </c>
      <c r="L239" s="128">
        <v>2.2200000000000002</v>
      </c>
      <c r="M239" s="128">
        <v>1.87</v>
      </c>
      <c r="N239" s="262">
        <f t="shared" si="46"/>
        <v>1.714</v>
      </c>
      <c r="O239" s="262">
        <f t="shared" si="47"/>
        <v>2.9209999999999998</v>
      </c>
      <c r="P239" s="262">
        <f t="shared" si="48"/>
        <v>0.48699999999999999</v>
      </c>
      <c r="Q239" s="270">
        <v>3.879</v>
      </c>
      <c r="R239" s="128">
        <v>2.4540000000000002</v>
      </c>
      <c r="S239" s="128">
        <v>2.4870000000000001</v>
      </c>
      <c r="T239" s="128"/>
      <c r="U239" s="270">
        <v>5.65</v>
      </c>
      <c r="V239" s="280"/>
      <c r="W239" s="262">
        <v>0.61350000000000005</v>
      </c>
      <c r="X239" s="128">
        <v>0.54</v>
      </c>
      <c r="Y239" s="128"/>
      <c r="Z239" s="128">
        <v>0.81</v>
      </c>
      <c r="AA239" s="262">
        <v>6.2651399999999997</v>
      </c>
      <c r="AB239" s="270">
        <v>6.3140999999999998</v>
      </c>
      <c r="AC239" s="270">
        <v>6.2438000000000002</v>
      </c>
      <c r="AD239" s="279"/>
      <c r="AE239" s="277">
        <f t="shared" si="43"/>
        <v>1.7822500000000001</v>
      </c>
      <c r="AF239" s="262">
        <f t="shared" si="38"/>
        <v>6.2651399999999997</v>
      </c>
      <c r="AG239" s="128">
        <v>0.62419999999999998</v>
      </c>
      <c r="AH239" s="128"/>
      <c r="AI239" s="128"/>
      <c r="AJ239" s="128"/>
      <c r="AK239" s="128"/>
      <c r="AL239" s="128"/>
      <c r="AM239" s="240"/>
      <c r="AN239" s="270">
        <v>6.2550999999999997</v>
      </c>
      <c r="AO239" s="270">
        <v>5.65</v>
      </c>
      <c r="AP239" s="270"/>
      <c r="AQ239" s="270"/>
      <c r="AR239" s="270"/>
      <c r="AS239" s="270"/>
      <c r="AT239" s="270"/>
      <c r="AU239" s="270"/>
      <c r="AV239" s="245">
        <v>0.45</v>
      </c>
      <c r="AW239" s="245"/>
      <c r="AX239" s="245"/>
      <c r="AY239" s="245">
        <v>0.4</v>
      </c>
      <c r="AZ239" s="245">
        <v>0.15</v>
      </c>
      <c r="BA239" s="245">
        <v>0</v>
      </c>
      <c r="BB239" s="245"/>
      <c r="BC239" s="245">
        <f t="shared" si="35"/>
        <v>1</v>
      </c>
      <c r="BD239" s="240">
        <f t="shared" si="36"/>
        <v>2.5131209999999999</v>
      </c>
      <c r="BE239" s="243">
        <f t="shared" si="39"/>
        <v>2.5131209999999999</v>
      </c>
      <c r="BF239" s="235">
        <v>0.35</v>
      </c>
      <c r="BG239" s="235">
        <v>0</v>
      </c>
      <c r="BH239" s="235">
        <v>0</v>
      </c>
      <c r="BI239" s="235"/>
      <c r="BJ239" s="235">
        <v>0.15</v>
      </c>
      <c r="BK239" s="235"/>
      <c r="BL239" s="235"/>
      <c r="BM239" s="235">
        <v>0.3</v>
      </c>
      <c r="BN239" s="235"/>
      <c r="BO239" s="235">
        <v>0.2</v>
      </c>
      <c r="BP239" s="235">
        <f t="shared" si="49"/>
        <v>1</v>
      </c>
      <c r="BQ239" s="243">
        <f t="shared" si="44"/>
        <v>2.5131209999999999</v>
      </c>
      <c r="BS239" s="341">
        <f t="array" ref="BS239">((1+10.8/100)^(1/12)-1)*100</f>
        <v>0.85830069477084159</v>
      </c>
      <c r="BT239" s="341"/>
      <c r="BU239" s="341"/>
      <c r="BV239" s="341">
        <f t="array" ref="BV239">((1+6.8/100)^(1/12)-1)*100</f>
        <v>0.54973670825229082</v>
      </c>
      <c r="BW239" s="341">
        <f t="array" ref="BW239">((1+11.6/100)^(1/12)-1)*100</f>
        <v>0.9187856919632198</v>
      </c>
      <c r="BX239" s="341"/>
      <c r="BY239" s="341">
        <f t="shared" si="50"/>
        <v>0.74394784974227801</v>
      </c>
      <c r="BZ239" s="341">
        <f t="shared" si="45"/>
        <v>0.85830069477084159</v>
      </c>
      <c r="CA239" s="341"/>
      <c r="CB239" s="243">
        <f t="shared" si="40"/>
        <v>0.64340301100034303</v>
      </c>
      <c r="CC239" s="243"/>
      <c r="CD239" s="243">
        <f t="shared" si="42"/>
        <v>0.64340301100034303</v>
      </c>
      <c r="CG239" s="734">
        <f t="shared" si="37"/>
        <v>2.9510000000000001</v>
      </c>
      <c r="CJ239" s="1264">
        <f t="shared" si="41"/>
        <v>0.79741404289037643</v>
      </c>
    </row>
    <row r="240" spans="1:88" x14ac:dyDescent="0.2">
      <c r="A240" s="19">
        <v>34819</v>
      </c>
      <c r="B240" s="262">
        <v>2.9449999999999998</v>
      </c>
      <c r="C240" s="270">
        <v>2.6023999999999998</v>
      </c>
      <c r="D240" s="270">
        <v>3.2919999999999998</v>
      </c>
      <c r="E240" s="270">
        <v>2.0110000000000001</v>
      </c>
      <c r="F240" s="262">
        <v>1.3097000000000001</v>
      </c>
      <c r="G240" s="270">
        <v>2.5996000000000001</v>
      </c>
      <c r="H240" s="270">
        <v>2.222</v>
      </c>
      <c r="I240" s="262">
        <v>1.504</v>
      </c>
      <c r="J240" s="270">
        <v>2.9740000000000002</v>
      </c>
      <c r="K240" s="128">
        <v>2.2353999999999998</v>
      </c>
      <c r="L240" s="128">
        <v>0.37</v>
      </c>
      <c r="M240" s="128">
        <v>4.22</v>
      </c>
      <c r="N240" s="262">
        <f t="shared" si="46"/>
        <v>2.222</v>
      </c>
      <c r="O240" s="262">
        <f t="shared" si="47"/>
        <v>1.504</v>
      </c>
      <c r="P240" s="262">
        <f t="shared" si="48"/>
        <v>2.9740000000000002</v>
      </c>
      <c r="Q240" s="270">
        <v>1.1316999999999999</v>
      </c>
      <c r="R240" s="128">
        <v>1.776</v>
      </c>
      <c r="S240" s="128">
        <v>2.613</v>
      </c>
      <c r="T240" s="128"/>
      <c r="U240" s="270">
        <v>3.9009999999999998</v>
      </c>
      <c r="V240" s="280"/>
      <c r="W240" s="262">
        <v>1.3969</v>
      </c>
      <c r="X240" s="128">
        <v>1.3</v>
      </c>
      <c r="Y240" s="128"/>
      <c r="Z240" s="128">
        <v>1.36</v>
      </c>
      <c r="AA240" s="262">
        <v>3.7875299999999998</v>
      </c>
      <c r="AB240" s="270">
        <v>4.4451999999999998</v>
      </c>
      <c r="AC240" s="270">
        <v>3.1223999999999998</v>
      </c>
      <c r="AD240" s="279"/>
      <c r="AE240" s="277">
        <f t="shared" si="43"/>
        <v>2.1709499999999999</v>
      </c>
      <c r="AF240" s="262">
        <f t="shared" si="38"/>
        <v>3.7875299999999998</v>
      </c>
      <c r="AG240" s="128">
        <v>0.69710000000000005</v>
      </c>
      <c r="AH240" s="128"/>
      <c r="AI240" s="128"/>
      <c r="AJ240" s="128"/>
      <c r="AK240" s="128"/>
      <c r="AL240" s="128"/>
      <c r="AM240" s="240"/>
      <c r="AN240" s="270">
        <v>3.7719999999999998</v>
      </c>
      <c r="AO240" s="270">
        <v>3.9009999999999998</v>
      </c>
      <c r="AP240" s="270"/>
      <c r="AQ240" s="270"/>
      <c r="AR240" s="270"/>
      <c r="AS240" s="270"/>
      <c r="AT240" s="270"/>
      <c r="AU240" s="270"/>
      <c r="AV240" s="245">
        <v>0.45</v>
      </c>
      <c r="AW240" s="245"/>
      <c r="AX240" s="245"/>
      <c r="AY240" s="245">
        <v>0.4</v>
      </c>
      <c r="AZ240" s="245">
        <v>0.15</v>
      </c>
      <c r="BA240" s="245">
        <v>0</v>
      </c>
      <c r="BB240" s="245"/>
      <c r="BC240" s="245">
        <f t="shared" si="35"/>
        <v>1</v>
      </c>
      <c r="BD240" s="240">
        <f t="shared" si="36"/>
        <v>2.4521394999999999</v>
      </c>
      <c r="BE240" s="243">
        <f t="shared" si="39"/>
        <v>2.4521394999999999</v>
      </c>
      <c r="BF240" s="235">
        <v>0.35</v>
      </c>
      <c r="BG240" s="235">
        <v>0</v>
      </c>
      <c r="BH240" s="235">
        <v>0</v>
      </c>
      <c r="BI240" s="235"/>
      <c r="BJ240" s="235">
        <v>0.15</v>
      </c>
      <c r="BK240" s="235"/>
      <c r="BL240" s="235"/>
      <c r="BM240" s="235">
        <v>0.3</v>
      </c>
      <c r="BN240" s="235"/>
      <c r="BO240" s="235">
        <v>0.2</v>
      </c>
      <c r="BP240" s="235">
        <f t="shared" si="49"/>
        <v>1</v>
      </c>
      <c r="BQ240" s="243">
        <f t="shared" si="44"/>
        <v>2.4521394999999999</v>
      </c>
      <c r="BS240" s="341">
        <f t="array" ref="BS240">((1+10.8/100)^(1/12)-1)*100</f>
        <v>0.85830069477084159</v>
      </c>
      <c r="BT240" s="341"/>
      <c r="BU240" s="341"/>
      <c r="BV240" s="341">
        <f t="array" ref="BV240">((1+6.8/100)^(1/12)-1)*100</f>
        <v>0.54973670825229082</v>
      </c>
      <c r="BW240" s="341">
        <f t="array" ref="BW240">((1+11.6/100)^(1/12)-1)*100</f>
        <v>0.9187856919632198</v>
      </c>
      <c r="BX240" s="341"/>
      <c r="BY240" s="341">
        <f t="shared" si="50"/>
        <v>0.74394784974227801</v>
      </c>
      <c r="BZ240" s="341">
        <f t="shared" si="45"/>
        <v>0.85830069477084159</v>
      </c>
      <c r="CA240" s="341"/>
      <c r="CB240" s="243">
        <f t="shared" si="40"/>
        <v>0.64340301100034303</v>
      </c>
      <c r="CC240" s="243"/>
      <c r="CD240" s="243">
        <f t="shared" si="42"/>
        <v>0.64340301100034303</v>
      </c>
      <c r="CG240" s="734">
        <f t="shared" si="37"/>
        <v>2.9449999999999998</v>
      </c>
      <c r="CJ240" s="1264">
        <f t="shared" si="41"/>
        <v>0.79741404289037643</v>
      </c>
    </row>
    <row r="241" spans="1:88" x14ac:dyDescent="0.2">
      <c r="A241" s="19">
        <v>34850</v>
      </c>
      <c r="B241" s="262">
        <v>3.9969999999999999</v>
      </c>
      <c r="C241" s="270">
        <v>3.5771999999999999</v>
      </c>
      <c r="D241" s="270">
        <v>4.4489999999999998</v>
      </c>
      <c r="E241" s="270">
        <v>2.4089</v>
      </c>
      <c r="F241" s="262">
        <v>1.7202999999999999</v>
      </c>
      <c r="G241" s="270">
        <v>3.16</v>
      </c>
      <c r="H241" s="270">
        <v>1.7190000000000001</v>
      </c>
      <c r="I241" s="262">
        <v>1.31</v>
      </c>
      <c r="J241" s="270">
        <v>2.1440000000000001</v>
      </c>
      <c r="K241" s="128">
        <v>1.5604</v>
      </c>
      <c r="L241" s="128">
        <v>0.9</v>
      </c>
      <c r="M241" s="128">
        <v>2.21</v>
      </c>
      <c r="N241" s="262">
        <f t="shared" si="46"/>
        <v>1.7190000000000001</v>
      </c>
      <c r="O241" s="262">
        <f t="shared" si="47"/>
        <v>1.31</v>
      </c>
      <c r="P241" s="262">
        <f t="shared" si="48"/>
        <v>2.1440000000000001</v>
      </c>
      <c r="Q241" s="270">
        <v>1.5343</v>
      </c>
      <c r="R241" s="128">
        <v>2.113</v>
      </c>
      <c r="S241" s="128">
        <v>3.63</v>
      </c>
      <c r="T241" s="128"/>
      <c r="U241" s="270">
        <v>-0.442</v>
      </c>
      <c r="V241" s="280"/>
      <c r="W241" s="262">
        <v>3.8696999999999999</v>
      </c>
      <c r="X241" s="128">
        <v>3.06</v>
      </c>
      <c r="Y241" s="128"/>
      <c r="Z241" s="128">
        <v>2.0299999999999998</v>
      </c>
      <c r="AA241" s="262">
        <v>-1.1662699999999999</v>
      </c>
      <c r="AB241" s="270">
        <v>-1.1279999999999999</v>
      </c>
      <c r="AC241" s="270">
        <v>-1.2107000000000001</v>
      </c>
      <c r="AD241" s="279"/>
      <c r="AE241" s="277">
        <f t="shared" si="43"/>
        <v>3.9333499999999999</v>
      </c>
      <c r="AF241" s="262">
        <f t="shared" si="38"/>
        <v>-1.1662699999999999</v>
      </c>
      <c r="AG241" s="128">
        <v>0.69710000000000005</v>
      </c>
      <c r="AH241" s="128"/>
      <c r="AI241" s="128"/>
      <c r="AJ241" s="128"/>
      <c r="AK241" s="128"/>
      <c r="AL241" s="128"/>
      <c r="AM241" s="240"/>
      <c r="AN241" s="270">
        <v>-1.153</v>
      </c>
      <c r="AO241" s="270">
        <v>-0.442</v>
      </c>
      <c r="AP241" s="270"/>
      <c r="AQ241" s="270"/>
      <c r="AR241" s="270"/>
      <c r="AS241" s="270"/>
      <c r="AT241" s="270"/>
      <c r="AU241" s="270"/>
      <c r="AV241" s="245">
        <v>0.45</v>
      </c>
      <c r="AW241" s="245"/>
      <c r="AX241" s="245"/>
      <c r="AY241" s="245">
        <v>0.4</v>
      </c>
      <c r="AZ241" s="245">
        <v>0.15</v>
      </c>
      <c r="BA241" s="245">
        <v>0</v>
      </c>
      <c r="BB241" s="245"/>
      <c r="BC241" s="245">
        <f t="shared" si="35"/>
        <v>1</v>
      </c>
      <c r="BD241" s="240">
        <f t="shared" si="36"/>
        <v>3.1715895000000005</v>
      </c>
      <c r="BE241" s="243">
        <f t="shared" si="39"/>
        <v>3.1715895000000005</v>
      </c>
      <c r="BF241" s="235">
        <v>0.35</v>
      </c>
      <c r="BG241" s="235">
        <v>0</v>
      </c>
      <c r="BH241" s="235">
        <v>0</v>
      </c>
      <c r="BI241" s="235"/>
      <c r="BJ241" s="235">
        <v>0.15</v>
      </c>
      <c r="BK241" s="235"/>
      <c r="BL241" s="235"/>
      <c r="BM241" s="235">
        <v>0.3</v>
      </c>
      <c r="BN241" s="235"/>
      <c r="BO241" s="235">
        <v>0.2</v>
      </c>
      <c r="BP241" s="235">
        <f t="shared" si="49"/>
        <v>1</v>
      </c>
      <c r="BQ241" s="243">
        <f t="shared" si="44"/>
        <v>3.1715894999999996</v>
      </c>
      <c r="BS241" s="341">
        <f t="array" ref="BS241">((1+10.8/100)^(1/12)-1)*100</f>
        <v>0.85830069477084159</v>
      </c>
      <c r="BT241" s="341"/>
      <c r="BU241" s="341"/>
      <c r="BV241" s="341">
        <f t="array" ref="BV241">((1+6.8/100)^(1/12)-1)*100</f>
        <v>0.54973670825229082</v>
      </c>
      <c r="BW241" s="341">
        <f t="array" ref="BW241">((1+11.6/100)^(1/12)-1)*100</f>
        <v>0.9187856919632198</v>
      </c>
      <c r="BX241" s="341"/>
      <c r="BY241" s="341">
        <f t="shared" si="50"/>
        <v>0.74394784974227801</v>
      </c>
      <c r="BZ241" s="341">
        <f t="shared" si="45"/>
        <v>0.85830069477084159</v>
      </c>
      <c r="CA241" s="341"/>
      <c r="CB241" s="243">
        <f t="shared" si="40"/>
        <v>0.64340301100034303</v>
      </c>
      <c r="CC241" s="243"/>
      <c r="CD241" s="243">
        <f t="shared" si="42"/>
        <v>0.64340301100034303</v>
      </c>
      <c r="CG241" s="734">
        <f t="shared" si="37"/>
        <v>3.9969999999999999</v>
      </c>
      <c r="CJ241" s="1264">
        <f t="shared" si="41"/>
        <v>0.79741404289037643</v>
      </c>
    </row>
    <row r="242" spans="1:88" x14ac:dyDescent="0.2">
      <c r="A242" s="19">
        <v>34880</v>
      </c>
      <c r="B242" s="262">
        <v>2.323</v>
      </c>
      <c r="C242" s="270">
        <v>3.8256000000000001</v>
      </c>
      <c r="D242" s="270">
        <v>0.75900000000000001</v>
      </c>
      <c r="E242" s="270">
        <v>4.0709</v>
      </c>
      <c r="F242" s="262">
        <v>5.4802</v>
      </c>
      <c r="G242" s="270">
        <v>2.7101000000000002</v>
      </c>
      <c r="H242" s="270">
        <v>5.1879999999999997</v>
      </c>
      <c r="I242" s="262">
        <v>6.891</v>
      </c>
      <c r="J242" s="270">
        <v>3.4169999999999998</v>
      </c>
      <c r="K242" s="128">
        <v>5.4850000000000003</v>
      </c>
      <c r="L242" s="128">
        <v>6.18</v>
      </c>
      <c r="M242" s="128">
        <v>4.74</v>
      </c>
      <c r="N242" s="262">
        <f t="shared" si="46"/>
        <v>5.1879999999999997</v>
      </c>
      <c r="O242" s="262">
        <f t="shared" si="47"/>
        <v>6.891</v>
      </c>
      <c r="P242" s="262">
        <f t="shared" si="48"/>
        <v>3.4169999999999998</v>
      </c>
      <c r="Q242" s="270">
        <v>6.07</v>
      </c>
      <c r="R242" s="128">
        <v>4.7960000000000003</v>
      </c>
      <c r="S242" s="128">
        <v>2.8919999999999999</v>
      </c>
      <c r="T242" s="128"/>
      <c r="U242" s="270">
        <v>-1.383</v>
      </c>
      <c r="V242" s="280"/>
      <c r="W242" s="262">
        <v>0.73319999999999996</v>
      </c>
      <c r="X242" s="128">
        <v>0.64</v>
      </c>
      <c r="Y242" s="128"/>
      <c r="Z242" s="128">
        <v>3.51</v>
      </c>
      <c r="AA242" s="262">
        <v>-1.72712</v>
      </c>
      <c r="AB242" s="270">
        <v>-2.0522</v>
      </c>
      <c r="AC242" s="270">
        <v>-1.3654999999999999</v>
      </c>
      <c r="AD242" s="279"/>
      <c r="AE242" s="277">
        <f t="shared" si="43"/>
        <v>1.5281</v>
      </c>
      <c r="AF242" s="262">
        <f t="shared" si="38"/>
        <v>-1.72712</v>
      </c>
      <c r="AG242" s="128">
        <v>0.69710000000000005</v>
      </c>
      <c r="AH242" s="128"/>
      <c r="AI242" s="128"/>
      <c r="AJ242" s="128"/>
      <c r="AK242" s="128"/>
      <c r="AL242" s="128"/>
      <c r="AM242" s="240"/>
      <c r="AN242" s="270">
        <v>-1.73</v>
      </c>
      <c r="AO242" s="270">
        <v>-1.383</v>
      </c>
      <c r="AP242" s="270"/>
      <c r="AQ242" s="270"/>
      <c r="AR242" s="270"/>
      <c r="AS242" s="270"/>
      <c r="AT242" s="270"/>
      <c r="AU242" s="270"/>
      <c r="AV242" s="245">
        <v>0.45</v>
      </c>
      <c r="AW242" s="245"/>
      <c r="AX242" s="245"/>
      <c r="AY242" s="245">
        <v>0.4</v>
      </c>
      <c r="AZ242" s="245">
        <v>0.15</v>
      </c>
      <c r="BA242" s="245">
        <v>0</v>
      </c>
      <c r="BB242" s="245"/>
      <c r="BC242" s="245">
        <f t="shared" si="35"/>
        <v>1</v>
      </c>
      <c r="BD242" s="240">
        <f t="shared" si="36"/>
        <v>1.0795620000000001</v>
      </c>
      <c r="BE242" s="243">
        <f t="shared" si="39"/>
        <v>1.0795620000000001</v>
      </c>
      <c r="BF242" s="235">
        <v>0.35</v>
      </c>
      <c r="BG242" s="235">
        <v>0</v>
      </c>
      <c r="BH242" s="235">
        <v>0</v>
      </c>
      <c r="BI242" s="235"/>
      <c r="BJ242" s="235">
        <v>0.15</v>
      </c>
      <c r="BK242" s="235"/>
      <c r="BL242" s="235"/>
      <c r="BM242" s="235">
        <v>0.3</v>
      </c>
      <c r="BN242" s="235"/>
      <c r="BO242" s="235">
        <v>0.2</v>
      </c>
      <c r="BP242" s="235">
        <f t="shared" si="49"/>
        <v>1</v>
      </c>
      <c r="BQ242" s="243">
        <f t="shared" si="44"/>
        <v>1.0795619999999999</v>
      </c>
      <c r="BS242" s="341">
        <f t="array" ref="BS242">((1+10.8/100)^(1/12)-1)*100</f>
        <v>0.85830069477084159</v>
      </c>
      <c r="BT242" s="341"/>
      <c r="BU242" s="341"/>
      <c r="BV242" s="341">
        <f t="array" ref="BV242">((1+6.8/100)^(1/12)-1)*100</f>
        <v>0.54973670825229082</v>
      </c>
      <c r="BW242" s="341">
        <f t="array" ref="BW242">((1+11.6/100)^(1/12)-1)*100</f>
        <v>0.9187856919632198</v>
      </c>
      <c r="BX242" s="341"/>
      <c r="BY242" s="341">
        <f t="shared" si="50"/>
        <v>0.74394784974227801</v>
      </c>
      <c r="BZ242" s="341">
        <f t="shared" si="45"/>
        <v>0.85830069477084159</v>
      </c>
      <c r="CA242" s="341"/>
      <c r="CB242" s="243">
        <f t="shared" si="40"/>
        <v>0.64340301100034303</v>
      </c>
      <c r="CC242" s="243"/>
      <c r="CD242" s="243">
        <f t="shared" si="42"/>
        <v>0.64340301100034303</v>
      </c>
      <c r="CG242" s="734">
        <f t="shared" si="37"/>
        <v>2.323</v>
      </c>
      <c r="CJ242" s="1264">
        <f t="shared" si="41"/>
        <v>0.79741404289037643</v>
      </c>
    </row>
    <row r="243" spans="1:88" x14ac:dyDescent="0.2">
      <c r="A243" s="19">
        <v>34911</v>
      </c>
      <c r="B243" s="262">
        <v>3.3159999999999998</v>
      </c>
      <c r="C243" s="270">
        <v>3.1894</v>
      </c>
      <c r="D243" s="270">
        <v>3.4449999999999998</v>
      </c>
      <c r="E243" s="270">
        <v>5.2168000000000001</v>
      </c>
      <c r="F243" s="262">
        <v>6.1199000000000003</v>
      </c>
      <c r="G243" s="270">
        <v>4.2601000000000004</v>
      </c>
      <c r="H243" s="270">
        <v>5.76</v>
      </c>
      <c r="I243" s="262">
        <v>7.7939999999999996</v>
      </c>
      <c r="J243" s="270">
        <v>3.649</v>
      </c>
      <c r="K243" s="128">
        <v>7.6463000000000001</v>
      </c>
      <c r="L243" s="128">
        <v>10.6036</v>
      </c>
      <c r="M243" s="128">
        <v>4.6982999999999997</v>
      </c>
      <c r="N243" s="262">
        <f t="shared" si="46"/>
        <v>5.76</v>
      </c>
      <c r="O243" s="262">
        <f t="shared" si="47"/>
        <v>7.7939999999999996</v>
      </c>
      <c r="P243" s="262">
        <f t="shared" si="48"/>
        <v>3.649</v>
      </c>
      <c r="Q243" s="270">
        <v>7.8840000000000003</v>
      </c>
      <c r="R243" s="128">
        <v>5.9009999999999998</v>
      </c>
      <c r="S243" s="128">
        <v>4.016</v>
      </c>
      <c r="T243" s="128"/>
      <c r="U243" s="270">
        <v>5.6790000000000003</v>
      </c>
      <c r="V243" s="280"/>
      <c r="W243" s="262">
        <v>-0.2233</v>
      </c>
      <c r="X243" s="128">
        <v>7.0000000000000007E-2</v>
      </c>
      <c r="Y243" s="128"/>
      <c r="Z243" s="128">
        <v>5.15</v>
      </c>
      <c r="AA243" s="262">
        <v>6.2528199999999998</v>
      </c>
      <c r="AB243" s="270">
        <v>6.3967999999999998</v>
      </c>
      <c r="AC243" s="270">
        <v>6.0945</v>
      </c>
      <c r="AD243" s="279"/>
      <c r="AE243" s="277">
        <f t="shared" si="43"/>
        <v>1.5463499999999999</v>
      </c>
      <c r="AF243" s="262">
        <f t="shared" si="38"/>
        <v>6.2528199999999998</v>
      </c>
      <c r="AG243" s="128">
        <v>0.68940000000000001</v>
      </c>
      <c r="AH243" s="702">
        <v>1.61</v>
      </c>
      <c r="AI243" s="128"/>
      <c r="AJ243" s="128"/>
      <c r="AK243" s="128"/>
      <c r="AL243" s="128"/>
      <c r="AM243" s="240"/>
      <c r="AN243" s="270">
        <v>6.25</v>
      </c>
      <c r="AO243" s="270">
        <v>5.6790000000000003</v>
      </c>
      <c r="AP243" s="270"/>
      <c r="AQ243" s="270"/>
      <c r="AR243" s="270"/>
      <c r="AS243" s="270"/>
      <c r="AT243" s="270"/>
      <c r="AU243" s="270"/>
      <c r="AV243" s="245">
        <v>0.45</v>
      </c>
      <c r="AW243" s="245"/>
      <c r="AX243" s="245"/>
      <c r="AY243" s="245">
        <v>0.4</v>
      </c>
      <c r="AZ243" s="245">
        <v>0.15</v>
      </c>
      <c r="BA243" s="245">
        <v>0</v>
      </c>
      <c r="BB243" s="245"/>
      <c r="BC243" s="245">
        <f t="shared" si="35"/>
        <v>1</v>
      </c>
      <c r="BD243" s="240">
        <f t="shared" si="36"/>
        <v>2.3408029999999997</v>
      </c>
      <c r="BE243" s="243">
        <f t="shared" si="39"/>
        <v>2.3408029999999997</v>
      </c>
      <c r="BF243" s="235">
        <v>0.35</v>
      </c>
      <c r="BG243" s="235">
        <v>0</v>
      </c>
      <c r="BH243" s="235">
        <v>0</v>
      </c>
      <c r="BI243" s="235"/>
      <c r="BJ243" s="235">
        <v>0.15</v>
      </c>
      <c r="BK243" s="235"/>
      <c r="BL243" s="235"/>
      <c r="BM243" s="235">
        <v>0.3</v>
      </c>
      <c r="BN243" s="235"/>
      <c r="BO243" s="235">
        <v>0.2</v>
      </c>
      <c r="BP243" s="235">
        <f t="shared" si="49"/>
        <v>1</v>
      </c>
      <c r="BQ243" s="243">
        <f t="shared" si="44"/>
        <v>2.3408029999999997</v>
      </c>
      <c r="BS243" s="341">
        <f t="array" ref="BS243">((1+10.8/100)^(1/12)-1)*100</f>
        <v>0.85830069477084159</v>
      </c>
      <c r="BT243" s="341"/>
      <c r="BU243" s="341"/>
      <c r="BV243" s="341">
        <f t="array" ref="BV243">((1+6.8/100)^(1/12)-1)*100</f>
        <v>0.54973670825229082</v>
      </c>
      <c r="BW243" s="341">
        <f t="array" ref="BW243">((1+11.6/100)^(1/12)-1)*100</f>
        <v>0.9187856919632198</v>
      </c>
      <c r="BX243" s="341"/>
      <c r="BY243" s="341">
        <f t="shared" si="50"/>
        <v>0.74394784974227801</v>
      </c>
      <c r="BZ243" s="341">
        <f t="shared" si="45"/>
        <v>0.85830069477084159</v>
      </c>
      <c r="CA243" s="341"/>
      <c r="CB243" s="243">
        <f t="shared" si="40"/>
        <v>0.64340301100034303</v>
      </c>
      <c r="CC243" s="243"/>
      <c r="CD243" s="243">
        <f t="shared" si="42"/>
        <v>0.64340301100034303</v>
      </c>
      <c r="CG243" s="734">
        <f t="shared" si="37"/>
        <v>3.3159999999999998</v>
      </c>
      <c r="CJ243" s="1264">
        <f t="shared" si="41"/>
        <v>0.79741404289037643</v>
      </c>
    </row>
    <row r="244" spans="1:88" x14ac:dyDescent="0.2">
      <c r="A244" s="19">
        <v>34942</v>
      </c>
      <c r="B244" s="262">
        <v>0.251</v>
      </c>
      <c r="C244" s="270">
        <v>-0.3246</v>
      </c>
      <c r="D244" s="270">
        <v>0.85399999999999998</v>
      </c>
      <c r="E244" s="270">
        <v>1.8493999999999999</v>
      </c>
      <c r="F244" s="262">
        <v>1.59</v>
      </c>
      <c r="G244" s="270">
        <v>2.1701999999999999</v>
      </c>
      <c r="H244" s="270">
        <v>2.069</v>
      </c>
      <c r="I244" s="262">
        <v>1.234</v>
      </c>
      <c r="J244" s="270">
        <v>2.9710000000000001</v>
      </c>
      <c r="K244" s="128">
        <v>2.1680999999999999</v>
      </c>
      <c r="L244" s="128">
        <v>1.4950000000000001</v>
      </c>
      <c r="M244" s="128">
        <v>2.8835999999999999</v>
      </c>
      <c r="N244" s="262">
        <f t="shared" si="46"/>
        <v>2.069</v>
      </c>
      <c r="O244" s="262">
        <f t="shared" si="47"/>
        <v>1.234</v>
      </c>
      <c r="P244" s="262">
        <f t="shared" si="48"/>
        <v>2.9710000000000001</v>
      </c>
      <c r="Q244" s="270">
        <v>0.83299999999999996</v>
      </c>
      <c r="R244" s="128">
        <v>1.6</v>
      </c>
      <c r="S244" s="128">
        <v>0.88800000000000001</v>
      </c>
      <c r="T244" s="128"/>
      <c r="U244" s="270">
        <v>-3.47</v>
      </c>
      <c r="V244" s="280"/>
      <c r="W244" s="262">
        <v>1.2069000000000001</v>
      </c>
      <c r="X244" s="128">
        <v>0.95</v>
      </c>
      <c r="Y244" s="128"/>
      <c r="Z244" s="128">
        <v>2.2599999999999998</v>
      </c>
      <c r="AA244" s="262">
        <v>-3.7903500000000001</v>
      </c>
      <c r="AB244" s="270">
        <v>-4.1886000000000001</v>
      </c>
      <c r="AC244" s="270">
        <v>-3.3822000000000001</v>
      </c>
      <c r="AD244" s="279"/>
      <c r="AE244" s="277">
        <f t="shared" si="43"/>
        <v>0.72894999999999999</v>
      </c>
      <c r="AF244" s="262">
        <f t="shared" si="38"/>
        <v>-3.7903500000000001</v>
      </c>
      <c r="AG244" s="128">
        <v>0.68940000000000001</v>
      </c>
      <c r="AH244" s="702">
        <v>1.22</v>
      </c>
      <c r="AI244" s="128"/>
      <c r="AJ244" s="128"/>
      <c r="AK244" s="128"/>
      <c r="AL244" s="128"/>
      <c r="AM244" s="240"/>
      <c r="AN244" s="270">
        <v>-3.7822</v>
      </c>
      <c r="AO244" s="270">
        <v>-3.47</v>
      </c>
      <c r="AP244" s="270"/>
      <c r="AQ244" s="270"/>
      <c r="AR244" s="270"/>
      <c r="AS244" s="270"/>
      <c r="AT244" s="270"/>
      <c r="AU244" s="270"/>
      <c r="AV244" s="245">
        <v>0.45</v>
      </c>
      <c r="AW244" s="245"/>
      <c r="AX244" s="245"/>
      <c r="AY244" s="245">
        <v>0.4</v>
      </c>
      <c r="AZ244" s="245">
        <v>0.15</v>
      </c>
      <c r="BA244" s="245">
        <v>0</v>
      </c>
      <c r="BB244" s="245"/>
      <c r="BC244" s="245">
        <f t="shared" si="35"/>
        <v>1</v>
      </c>
      <c r="BD244" s="240">
        <f t="shared" si="36"/>
        <v>2.7157500000000057E-2</v>
      </c>
      <c r="BE244" s="243">
        <f t="shared" si="39"/>
        <v>2.7157500000000057E-2</v>
      </c>
      <c r="BF244" s="235">
        <v>0.35</v>
      </c>
      <c r="BG244" s="235">
        <v>0</v>
      </c>
      <c r="BH244" s="235">
        <v>0</v>
      </c>
      <c r="BI244" s="235"/>
      <c r="BJ244" s="235">
        <v>0.15</v>
      </c>
      <c r="BK244" s="235"/>
      <c r="BL244" s="235"/>
      <c r="BM244" s="235">
        <v>0.3</v>
      </c>
      <c r="BN244" s="235"/>
      <c r="BO244" s="235">
        <v>0.2</v>
      </c>
      <c r="BP244" s="235">
        <f t="shared" si="49"/>
        <v>1</v>
      </c>
      <c r="BQ244" s="243">
        <f t="shared" si="44"/>
        <v>2.7157499999999973E-2</v>
      </c>
      <c r="BS244" s="341">
        <f t="array" ref="BS244">((1+10.8/100)^(1/12)-1)*100</f>
        <v>0.85830069477084159</v>
      </c>
      <c r="BT244" s="341"/>
      <c r="BU244" s="341"/>
      <c r="BV244" s="341">
        <f t="array" ref="BV244">((1+6.8/100)^(1/12)-1)*100</f>
        <v>0.54973670825229082</v>
      </c>
      <c r="BW244" s="341">
        <f t="array" ref="BW244">((1+11.6/100)^(1/12)-1)*100</f>
        <v>0.9187856919632198</v>
      </c>
      <c r="BX244" s="341"/>
      <c r="BY244" s="341">
        <f t="shared" si="50"/>
        <v>0.74394784974227801</v>
      </c>
      <c r="BZ244" s="341">
        <f t="shared" si="45"/>
        <v>0.85830069477084159</v>
      </c>
      <c r="CA244" s="341"/>
      <c r="CB244" s="243">
        <f t="shared" si="40"/>
        <v>0.64340301100034303</v>
      </c>
      <c r="CC244" s="243"/>
      <c r="CD244" s="243">
        <f t="shared" si="42"/>
        <v>0.64340301100034303</v>
      </c>
      <c r="CG244" s="734">
        <f t="shared" si="37"/>
        <v>0.251</v>
      </c>
      <c r="CJ244" s="1264">
        <f t="shared" si="41"/>
        <v>0.79741404289037643</v>
      </c>
    </row>
    <row r="245" spans="1:88" x14ac:dyDescent="0.2">
      <c r="A245" s="19">
        <v>34972</v>
      </c>
      <c r="B245" s="262">
        <v>4.22</v>
      </c>
      <c r="C245" s="270">
        <v>4.9429999999999996</v>
      </c>
      <c r="D245" s="270">
        <v>3.4780000000000002</v>
      </c>
      <c r="E245" s="270">
        <v>2.4239000000000002</v>
      </c>
      <c r="F245" s="262">
        <v>2.5297999999999998</v>
      </c>
      <c r="G245" s="270">
        <v>2.4196</v>
      </c>
      <c r="H245" s="270">
        <v>1.786</v>
      </c>
      <c r="I245" s="262">
        <v>2.0590000000000002</v>
      </c>
      <c r="J245" s="270">
        <v>1.4930000000000001</v>
      </c>
      <c r="K245" s="128">
        <v>2.5531999999999999</v>
      </c>
      <c r="L245" s="128">
        <v>3.008</v>
      </c>
      <c r="M245" s="128">
        <v>2.0663999999999998</v>
      </c>
      <c r="N245" s="262">
        <f t="shared" si="46"/>
        <v>1.786</v>
      </c>
      <c r="O245" s="262">
        <f t="shared" si="47"/>
        <v>2.0590000000000002</v>
      </c>
      <c r="P245" s="262">
        <f t="shared" si="48"/>
        <v>1.4930000000000001</v>
      </c>
      <c r="Q245" s="270">
        <v>2.141</v>
      </c>
      <c r="R245" s="128">
        <v>1.873</v>
      </c>
      <c r="S245" s="128">
        <v>3.875</v>
      </c>
      <c r="T245" s="128"/>
      <c r="U245" s="270">
        <v>1.7090000000000001</v>
      </c>
      <c r="V245" s="280"/>
      <c r="W245" s="262">
        <v>0.97289999999999999</v>
      </c>
      <c r="X245" s="128">
        <v>0.78</v>
      </c>
      <c r="Y245" s="128"/>
      <c r="Z245" s="128">
        <v>1.1100000000000001</v>
      </c>
      <c r="AA245" s="262">
        <v>1.9790099999999999</v>
      </c>
      <c r="AB245" s="270">
        <v>2.3067000000000002</v>
      </c>
      <c r="AC245" s="270">
        <v>1.7498</v>
      </c>
      <c r="AD245" s="279"/>
      <c r="AE245" s="277">
        <f t="shared" si="43"/>
        <v>2.5964499999999999</v>
      </c>
      <c r="AF245" s="262">
        <f t="shared" si="38"/>
        <v>1.9790099999999999</v>
      </c>
      <c r="AG245" s="128">
        <v>0.68940000000000001</v>
      </c>
      <c r="AH245" s="702">
        <v>1.84</v>
      </c>
      <c r="AI245" s="128"/>
      <c r="AJ245" s="128"/>
      <c r="AK245" s="128"/>
      <c r="AL245" s="128"/>
      <c r="AM245" s="242"/>
      <c r="AN245" s="270">
        <v>1.9527000000000001</v>
      </c>
      <c r="AO245" s="270">
        <v>1.7090000000000001</v>
      </c>
      <c r="AP245" s="270"/>
      <c r="AQ245" s="270"/>
      <c r="AR245" s="270"/>
      <c r="AS245" s="270"/>
      <c r="AT245" s="270"/>
      <c r="AU245" s="270"/>
      <c r="AV245" s="245">
        <v>0.45</v>
      </c>
      <c r="AW245" s="245"/>
      <c r="AX245" s="245"/>
      <c r="AY245" s="245">
        <v>0.4</v>
      </c>
      <c r="AZ245" s="245">
        <v>0.15</v>
      </c>
      <c r="BA245" s="245">
        <v>0</v>
      </c>
      <c r="BB245" s="245"/>
      <c r="BC245" s="245">
        <f t="shared" si="35"/>
        <v>1</v>
      </c>
      <c r="BD245" s="240">
        <f t="shared" si="36"/>
        <v>2.5850114999999998</v>
      </c>
      <c r="BE245" s="243">
        <f t="shared" si="39"/>
        <v>2.5850114999999998</v>
      </c>
      <c r="BF245" s="235">
        <v>0.35</v>
      </c>
      <c r="BG245" s="235">
        <v>0</v>
      </c>
      <c r="BH245" s="235">
        <v>0</v>
      </c>
      <c r="BI245" s="235"/>
      <c r="BJ245" s="235">
        <v>0.15</v>
      </c>
      <c r="BK245" s="235"/>
      <c r="BL245" s="235"/>
      <c r="BM245" s="235">
        <v>0.3</v>
      </c>
      <c r="BN245" s="235"/>
      <c r="BO245" s="235">
        <v>0.2</v>
      </c>
      <c r="BP245" s="235">
        <f t="shared" si="49"/>
        <v>1</v>
      </c>
      <c r="BQ245" s="243">
        <f t="shared" si="44"/>
        <v>2.5850115000000002</v>
      </c>
      <c r="BS245" s="341">
        <f t="array" ref="BS245">((1+10.8/100)^(1/12)-1)*100</f>
        <v>0.85830069477084159</v>
      </c>
      <c r="BT245" s="341"/>
      <c r="BU245" s="341"/>
      <c r="BV245" s="341">
        <f t="array" ref="BV245">((1+6.8/100)^(1/12)-1)*100</f>
        <v>0.54973670825229082</v>
      </c>
      <c r="BW245" s="341">
        <f t="array" ref="BW245">((1+11.6/100)^(1/12)-1)*100</f>
        <v>0.9187856919632198</v>
      </c>
      <c r="BX245" s="341"/>
      <c r="BY245" s="341">
        <f t="shared" si="50"/>
        <v>0.74394784974227801</v>
      </c>
      <c r="BZ245" s="341">
        <f t="shared" si="45"/>
        <v>0.85830069477084159</v>
      </c>
      <c r="CA245" s="341"/>
      <c r="CB245" s="243">
        <f t="shared" si="40"/>
        <v>0.64340301100034303</v>
      </c>
      <c r="CC245" s="243"/>
      <c r="CD245" s="243">
        <f t="shared" si="42"/>
        <v>0.64340301100034303</v>
      </c>
      <c r="CG245" s="734">
        <f t="shared" si="37"/>
        <v>4.22</v>
      </c>
      <c r="CJ245" s="1264">
        <f t="shared" si="41"/>
        <v>0.79741404289037643</v>
      </c>
    </row>
    <row r="246" spans="1:88" x14ac:dyDescent="0.2">
      <c r="A246" s="19">
        <v>35003</v>
      </c>
      <c r="B246" s="262">
        <v>-0.35699999999999998</v>
      </c>
      <c r="C246" s="270">
        <v>0.79849999999999999</v>
      </c>
      <c r="D246" s="270">
        <v>-1.5569999999999999</v>
      </c>
      <c r="E246" s="270">
        <v>-2.573</v>
      </c>
      <c r="F246" s="262">
        <v>-4.04</v>
      </c>
      <c r="G246" s="270">
        <v>-1.0799000000000001</v>
      </c>
      <c r="H246" s="270">
        <v>-4.4720000000000004</v>
      </c>
      <c r="I246" s="262">
        <v>-4.9189999999999996</v>
      </c>
      <c r="J246" s="270">
        <v>-3.9940000000000002</v>
      </c>
      <c r="K246" s="128">
        <v>-4.9374000000000002</v>
      </c>
      <c r="L246" s="128">
        <v>-4.9092000000000002</v>
      </c>
      <c r="M246" s="128">
        <v>-4.9481999999999999</v>
      </c>
      <c r="N246" s="262">
        <f t="shared" si="46"/>
        <v>-4.4720000000000004</v>
      </c>
      <c r="O246" s="262">
        <f t="shared" si="47"/>
        <v>-4.9189999999999996</v>
      </c>
      <c r="P246" s="262">
        <f t="shared" si="48"/>
        <v>-3.9940000000000002</v>
      </c>
      <c r="Q246" s="270">
        <v>-3.5339999999999998</v>
      </c>
      <c r="R246" s="128">
        <v>-3.129</v>
      </c>
      <c r="S246" s="128">
        <v>-0.86399999999999999</v>
      </c>
      <c r="T246" s="128"/>
      <c r="U246" s="270">
        <v>-2.6720000000000002</v>
      </c>
      <c r="V246" s="280"/>
      <c r="W246" s="262">
        <v>1.3005</v>
      </c>
      <c r="X246" s="128">
        <v>1.03</v>
      </c>
      <c r="Y246" s="128"/>
      <c r="Z246" s="128">
        <v>-1.82</v>
      </c>
      <c r="AA246" s="262">
        <v>-2.6623600000000001</v>
      </c>
      <c r="AB246" s="270">
        <v>-2.6827999999999999</v>
      </c>
      <c r="AC246" s="270">
        <v>-2.6391</v>
      </c>
      <c r="AD246" s="279"/>
      <c r="AE246" s="277">
        <f t="shared" si="43"/>
        <v>0.47175</v>
      </c>
      <c r="AF246" s="262">
        <f t="shared" si="38"/>
        <v>-2.6623600000000001</v>
      </c>
      <c r="AG246" s="128">
        <v>0.68079999999999996</v>
      </c>
      <c r="AH246" s="702">
        <v>-3.1</v>
      </c>
      <c r="AI246" s="128"/>
      <c r="AJ246" s="128"/>
      <c r="AK246" s="128"/>
      <c r="AL246" s="128"/>
      <c r="AM246" s="242"/>
      <c r="AN246" s="270">
        <v>-2.6556000000000002</v>
      </c>
      <c r="AO246" s="270">
        <v>-2.6720000000000002</v>
      </c>
      <c r="AP246" s="270"/>
      <c r="AQ246" s="270"/>
      <c r="AR246" s="270"/>
      <c r="AS246" s="270"/>
      <c r="AT246" s="270"/>
      <c r="AU246" s="270"/>
      <c r="AV246" s="245">
        <v>0.45</v>
      </c>
      <c r="AW246" s="245"/>
      <c r="AX246" s="245"/>
      <c r="AY246" s="245">
        <v>0.4</v>
      </c>
      <c r="AZ246" s="245">
        <v>0.15</v>
      </c>
      <c r="BA246" s="245">
        <v>0</v>
      </c>
      <c r="BB246" s="245"/>
      <c r="BC246" s="245">
        <f t="shared" si="35"/>
        <v>1</v>
      </c>
      <c r="BD246" s="240">
        <f t="shared" si="36"/>
        <v>-3.9803999999999951E-2</v>
      </c>
      <c r="BE246" s="243">
        <f t="shared" si="39"/>
        <v>-3.9803999999999951E-2</v>
      </c>
      <c r="BF246" s="235">
        <v>0.35</v>
      </c>
      <c r="BG246" s="235">
        <v>0</v>
      </c>
      <c r="BH246" s="235">
        <v>0</v>
      </c>
      <c r="BI246" s="235"/>
      <c r="BJ246" s="235">
        <v>0.15</v>
      </c>
      <c r="BK246" s="235"/>
      <c r="BL246" s="235"/>
      <c r="BM246" s="235">
        <v>0.3</v>
      </c>
      <c r="BN246" s="235"/>
      <c r="BO246" s="235">
        <v>0.2</v>
      </c>
      <c r="BP246" s="235">
        <f t="shared" si="49"/>
        <v>1</v>
      </c>
      <c r="BQ246" s="243">
        <f t="shared" si="44"/>
        <v>-3.9803999999999992E-2</v>
      </c>
      <c r="BS246" s="341">
        <f t="array" ref="BS246">((1+10.8/100)^(1/12)-1)*100</f>
        <v>0.85830069477084159</v>
      </c>
      <c r="BT246" s="341"/>
      <c r="BU246" s="341"/>
      <c r="BV246" s="341">
        <f t="array" ref="BV246">((1+6.8/100)^(1/12)-1)*100</f>
        <v>0.54973670825229082</v>
      </c>
      <c r="BW246" s="341">
        <f t="array" ref="BW246">((1+11.6/100)^(1/12)-1)*100</f>
        <v>0.9187856919632198</v>
      </c>
      <c r="BX246" s="341"/>
      <c r="BY246" s="341">
        <f t="shared" si="50"/>
        <v>0.74394784974227801</v>
      </c>
      <c r="BZ246" s="341">
        <f t="shared" si="45"/>
        <v>0.85830069477084159</v>
      </c>
      <c r="CA246" s="341"/>
      <c r="CB246" s="243">
        <f t="shared" si="40"/>
        <v>0.64340301100034303</v>
      </c>
      <c r="CC246" s="243"/>
      <c r="CD246" s="243">
        <f t="shared" si="42"/>
        <v>0.64340301100034303</v>
      </c>
      <c r="CG246" s="734">
        <f t="shared" si="37"/>
        <v>-0.35699999999999998</v>
      </c>
      <c r="CJ246" s="1264">
        <f t="shared" si="41"/>
        <v>0.79741404289037643</v>
      </c>
    </row>
    <row r="247" spans="1:88" x14ac:dyDescent="0.2">
      <c r="A247" s="19">
        <v>35033</v>
      </c>
      <c r="B247" s="262">
        <v>4.3899999999999997</v>
      </c>
      <c r="C247" s="270">
        <v>3.6017000000000001</v>
      </c>
      <c r="D247" s="270">
        <v>5.2409999999999997</v>
      </c>
      <c r="E247" s="270">
        <v>4.3674999999999997</v>
      </c>
      <c r="F247" s="270">
        <v>3.7698999999999998</v>
      </c>
      <c r="G247" s="270">
        <v>4.8898000000000001</v>
      </c>
      <c r="H247" s="270">
        <v>4.2009999999999996</v>
      </c>
      <c r="I247" s="262">
        <v>4.4139999999999997</v>
      </c>
      <c r="J247" s="270">
        <v>3.9740000000000002</v>
      </c>
      <c r="K247" s="128">
        <v>3.9567999999999999</v>
      </c>
      <c r="L247" s="128">
        <v>4.0376000000000003</v>
      </c>
      <c r="M247" s="128">
        <v>3.8757999999999999</v>
      </c>
      <c r="N247" s="262">
        <f t="shared" si="46"/>
        <v>4.2009999999999996</v>
      </c>
      <c r="O247" s="262">
        <f t="shared" si="47"/>
        <v>4.4139999999999997</v>
      </c>
      <c r="P247" s="262">
        <f t="shared" si="48"/>
        <v>3.9740000000000002</v>
      </c>
      <c r="Q247" s="270">
        <v>4.0919999999999996</v>
      </c>
      <c r="R247" s="128">
        <v>4.2709999999999999</v>
      </c>
      <c r="S247" s="128">
        <v>4.4349999999999996</v>
      </c>
      <c r="T247" s="128"/>
      <c r="U247" s="270">
        <v>2.3490000000000002</v>
      </c>
      <c r="V247" s="280"/>
      <c r="W247" s="262">
        <v>1.4984999999999999</v>
      </c>
      <c r="X247" s="128">
        <v>1.25</v>
      </c>
      <c r="Y247" s="128"/>
      <c r="Z247" s="128">
        <v>2.29</v>
      </c>
      <c r="AA247" s="262">
        <v>2.8085100000000001</v>
      </c>
      <c r="AB247" s="270">
        <v>2.7736999999999998</v>
      </c>
      <c r="AC247" s="270">
        <v>2.8637999999999999</v>
      </c>
      <c r="AD247" s="280"/>
      <c r="AE247" s="277">
        <f t="shared" si="43"/>
        <v>2.9442499999999998</v>
      </c>
      <c r="AF247" s="262">
        <f t="shared" si="38"/>
        <v>2.8085100000000001</v>
      </c>
      <c r="AG247" s="128">
        <v>0.68079999999999996</v>
      </c>
      <c r="AH247" s="702">
        <v>1.04</v>
      </c>
      <c r="AI247" s="128"/>
      <c r="AJ247" s="128"/>
      <c r="AK247" s="128"/>
      <c r="AL247" s="128"/>
      <c r="AM247" s="242"/>
      <c r="AN247" s="270">
        <v>2.8069999999999999</v>
      </c>
      <c r="AO247" s="270">
        <v>2.3490000000000002</v>
      </c>
      <c r="AP247" s="270"/>
      <c r="AQ247" s="270"/>
      <c r="AR247" s="270"/>
      <c r="AS247" s="270"/>
      <c r="AT247" s="270"/>
      <c r="AU247" s="270"/>
      <c r="AV247" s="245">
        <v>0.45</v>
      </c>
      <c r="AW247" s="245"/>
      <c r="AX247" s="245"/>
      <c r="AY247" s="245">
        <v>0.4</v>
      </c>
      <c r="AZ247" s="245">
        <v>0.15</v>
      </c>
      <c r="BA247" s="245">
        <v>0</v>
      </c>
      <c r="BB247" s="245"/>
      <c r="BC247" s="245">
        <f t="shared" si="35"/>
        <v>1</v>
      </c>
      <c r="BD247" s="240">
        <f t="shared" si="36"/>
        <v>2.9961764999999998</v>
      </c>
      <c r="BE247" s="243">
        <f t="shared" si="39"/>
        <v>2.9961764999999998</v>
      </c>
      <c r="BF247" s="235">
        <v>0.35</v>
      </c>
      <c r="BG247" s="235">
        <v>0</v>
      </c>
      <c r="BH247" s="235">
        <v>0</v>
      </c>
      <c r="BI247" s="235"/>
      <c r="BJ247" s="235">
        <v>0.15</v>
      </c>
      <c r="BK247" s="235"/>
      <c r="BL247" s="235"/>
      <c r="BM247" s="235">
        <v>0.3</v>
      </c>
      <c r="BN247" s="235"/>
      <c r="BO247" s="235">
        <v>0.2</v>
      </c>
      <c r="BP247" s="235">
        <f t="shared" si="49"/>
        <v>1</v>
      </c>
      <c r="BQ247" s="243">
        <f t="shared" si="44"/>
        <v>2.9961764999999998</v>
      </c>
      <c r="BS247" s="341">
        <f t="array" ref="BS247">((1+10.8/100)^(1/12)-1)*100</f>
        <v>0.85830069477084159</v>
      </c>
      <c r="BT247" s="341"/>
      <c r="BU247" s="341"/>
      <c r="BV247" s="341">
        <f t="array" ref="BV247">((1+6.8/100)^(1/12)-1)*100</f>
        <v>0.54973670825229082</v>
      </c>
      <c r="BW247" s="341">
        <f t="array" ref="BW247">((1+11.6/100)^(1/12)-1)*100</f>
        <v>0.9187856919632198</v>
      </c>
      <c r="BX247" s="341"/>
      <c r="BY247" s="341">
        <f t="shared" si="50"/>
        <v>0.74394784974227801</v>
      </c>
      <c r="BZ247" s="341">
        <f t="shared" si="45"/>
        <v>0.85830069477084159</v>
      </c>
      <c r="CA247" s="341"/>
      <c r="CB247" s="243">
        <f t="shared" si="40"/>
        <v>0.64340301100034303</v>
      </c>
      <c r="CC247" s="243"/>
      <c r="CD247" s="243">
        <f t="shared" si="42"/>
        <v>0.64340301100034303</v>
      </c>
      <c r="CG247" s="734">
        <f t="shared" si="37"/>
        <v>4.3899999999999997</v>
      </c>
      <c r="CJ247" s="1264">
        <f t="shared" si="41"/>
        <v>0.79741404289037643</v>
      </c>
    </row>
    <row r="248" spans="1:88" x14ac:dyDescent="0.2">
      <c r="A248" s="19">
        <v>35064</v>
      </c>
      <c r="B248" s="262">
        <v>1.9259999999999999</v>
      </c>
      <c r="C248" s="270">
        <v>1.1336999999999999</v>
      </c>
      <c r="D248" s="270">
        <v>2.7719999999999998</v>
      </c>
      <c r="E248" s="270">
        <v>-0.24879999999999999</v>
      </c>
      <c r="F248" s="262">
        <v>-1.6696</v>
      </c>
      <c r="G248" s="270">
        <v>0.87019999999999997</v>
      </c>
      <c r="H248" s="270">
        <v>2.6379999999999999</v>
      </c>
      <c r="I248" s="262">
        <v>2.2160000000000002</v>
      </c>
      <c r="J248" s="270">
        <v>3.0979999999999999</v>
      </c>
      <c r="K248" s="128">
        <v>1.6495</v>
      </c>
      <c r="L248" s="128">
        <v>0.52929999999999999</v>
      </c>
      <c r="M248" s="128">
        <v>2.7890000000000001</v>
      </c>
      <c r="N248" s="262">
        <f t="shared" si="46"/>
        <v>2.6379999999999999</v>
      </c>
      <c r="O248" s="262">
        <f t="shared" si="47"/>
        <v>2.2160000000000002</v>
      </c>
      <c r="P248" s="262">
        <f t="shared" si="48"/>
        <v>3.0979999999999999</v>
      </c>
      <c r="Q248" s="270">
        <v>1.327</v>
      </c>
      <c r="R248" s="128">
        <v>1.7070000000000001</v>
      </c>
      <c r="S248" s="128">
        <v>1.633</v>
      </c>
      <c r="T248" s="128"/>
      <c r="U248" s="270">
        <v>3.9540000000000002</v>
      </c>
      <c r="V248" s="280"/>
      <c r="W248" s="262">
        <v>1.4034</v>
      </c>
      <c r="X248" s="128">
        <v>1.1200000000000001</v>
      </c>
      <c r="Y248" s="128"/>
      <c r="Z248" s="128">
        <v>2.09</v>
      </c>
      <c r="AA248" s="262">
        <v>4.0545799999999996</v>
      </c>
      <c r="AB248" s="270">
        <v>3.5032999999999999</v>
      </c>
      <c r="AC248" s="270">
        <v>4.6493000000000002</v>
      </c>
      <c r="AD248" s="279"/>
      <c r="AE248" s="277">
        <f t="shared" si="43"/>
        <v>1.6646999999999998</v>
      </c>
      <c r="AF248" s="262">
        <f t="shared" si="38"/>
        <v>4.0545799999999996</v>
      </c>
      <c r="AG248" s="128">
        <v>0.68079999999999996</v>
      </c>
      <c r="AH248" s="702">
        <v>5.8</v>
      </c>
      <c r="AI248" s="128"/>
      <c r="AJ248" s="128"/>
      <c r="AK248" s="128"/>
      <c r="AL248" s="128"/>
      <c r="AM248" s="242"/>
      <c r="AN248" s="270">
        <v>4.05</v>
      </c>
      <c r="AO248" s="270">
        <v>3.9540000000000002</v>
      </c>
      <c r="AP248" s="270"/>
      <c r="AQ248" s="270"/>
      <c r="AR248" s="270"/>
      <c r="AS248" s="270"/>
      <c r="AT248" s="270"/>
      <c r="AU248" s="270"/>
      <c r="AV248" s="245">
        <v>0.45</v>
      </c>
      <c r="AW248" s="245"/>
      <c r="AX248" s="245"/>
      <c r="AY248" s="245">
        <v>0.4</v>
      </c>
      <c r="AZ248" s="245">
        <v>0.15</v>
      </c>
      <c r="BA248" s="245">
        <v>0</v>
      </c>
      <c r="BB248" s="245"/>
      <c r="BC248" s="245">
        <f t="shared" si="35"/>
        <v>1</v>
      </c>
      <c r="BD248" s="240">
        <f t="shared" si="36"/>
        <v>2.0362469999999999</v>
      </c>
      <c r="BE248" s="243">
        <f t="shared" si="39"/>
        <v>2.0362469999999999</v>
      </c>
      <c r="BF248" s="235">
        <v>0.35</v>
      </c>
      <c r="BG248" s="235">
        <v>0</v>
      </c>
      <c r="BH248" s="235">
        <v>0</v>
      </c>
      <c r="BI248" s="235"/>
      <c r="BJ248" s="235">
        <v>0.15</v>
      </c>
      <c r="BK248" s="235"/>
      <c r="BL248" s="235"/>
      <c r="BM248" s="235">
        <v>0.3</v>
      </c>
      <c r="BN248" s="235"/>
      <c r="BO248" s="235">
        <v>0.2</v>
      </c>
      <c r="BP248" s="235">
        <f t="shared" si="49"/>
        <v>1</v>
      </c>
      <c r="BQ248" s="243">
        <f t="shared" si="44"/>
        <v>2.0362469999999995</v>
      </c>
      <c r="BS248" s="341">
        <f t="array" ref="BS248">((1+10.8/100)^(1/12)-1)*100</f>
        <v>0.85830069477084159</v>
      </c>
      <c r="BT248" s="341"/>
      <c r="BU248" s="341"/>
      <c r="BV248" s="341">
        <f t="array" ref="BV248">((1+6.8/100)^(1/12)-1)*100</f>
        <v>0.54973670825229082</v>
      </c>
      <c r="BW248" s="341">
        <f t="array" ref="BW248">((1+11.6/100)^(1/12)-1)*100</f>
        <v>0.9187856919632198</v>
      </c>
      <c r="BX248" s="341"/>
      <c r="BY248" s="341">
        <f t="shared" si="50"/>
        <v>0.74394784974227801</v>
      </c>
      <c r="BZ248" s="341">
        <f t="shared" si="45"/>
        <v>0.85830069477084159</v>
      </c>
      <c r="CA248" s="341"/>
      <c r="CB248" s="243">
        <f t="shared" si="40"/>
        <v>0.64340301100034303</v>
      </c>
      <c r="CC248" s="243"/>
      <c r="CD248" s="243">
        <f t="shared" si="42"/>
        <v>0.64340301100034303</v>
      </c>
      <c r="CG248" s="734">
        <f t="shared" si="37"/>
        <v>1.9259999999999999</v>
      </c>
      <c r="CJ248" s="1264">
        <f t="shared" si="41"/>
        <v>0.79741404289037643</v>
      </c>
    </row>
    <row r="249" spans="1:88" x14ac:dyDescent="0.2">
      <c r="A249" s="19">
        <v>35095</v>
      </c>
      <c r="B249" s="262">
        <v>3.4039999999999999</v>
      </c>
      <c r="C249" s="270">
        <v>3.8153999999999999</v>
      </c>
      <c r="D249" s="270">
        <v>2.9940000000000002</v>
      </c>
      <c r="E249" s="270">
        <v>1.4508000000000001</v>
      </c>
      <c r="F249" s="270">
        <v>1.19</v>
      </c>
      <c r="G249" s="270">
        <v>1.65</v>
      </c>
      <c r="H249" s="270">
        <v>-0.108</v>
      </c>
      <c r="I249" s="262">
        <v>-0.82799999999999996</v>
      </c>
      <c r="J249" s="270">
        <v>0.66300000000000003</v>
      </c>
      <c r="K249" s="128">
        <v>0.21690000000000001</v>
      </c>
      <c r="L249" s="128">
        <v>0.26300000000000001</v>
      </c>
      <c r="M249" s="128">
        <v>0.18959999999999999</v>
      </c>
      <c r="N249" s="262">
        <f t="shared" si="46"/>
        <v>-0.108</v>
      </c>
      <c r="O249" s="262">
        <f t="shared" si="47"/>
        <v>-0.82799999999999996</v>
      </c>
      <c r="P249" s="262">
        <f t="shared" si="48"/>
        <v>0.66300000000000003</v>
      </c>
      <c r="Q249" s="270">
        <v>0.309</v>
      </c>
      <c r="R249" s="128">
        <v>0.70799999999999996</v>
      </c>
      <c r="S249" s="128">
        <v>2.903</v>
      </c>
      <c r="T249" s="128"/>
      <c r="U249" s="270">
        <v>1.3740000000000001</v>
      </c>
      <c r="V249" s="280"/>
      <c r="W249" s="262">
        <v>0.66410000000000002</v>
      </c>
      <c r="X249" s="128">
        <v>0.82</v>
      </c>
      <c r="Y249" s="128"/>
      <c r="Z249" s="128">
        <v>1.97</v>
      </c>
      <c r="AA249" s="262">
        <v>0.43430000000000002</v>
      </c>
      <c r="AB249" s="270">
        <v>8.6699999999999999E-2</v>
      </c>
      <c r="AC249" s="270">
        <v>0.7732</v>
      </c>
      <c r="AD249" s="280"/>
      <c r="AE249" s="277">
        <f t="shared" si="43"/>
        <v>2.0340500000000001</v>
      </c>
      <c r="AF249" s="262">
        <f t="shared" si="38"/>
        <v>0.43430000000000002</v>
      </c>
      <c r="AG249" s="128">
        <v>0.36130000000000001</v>
      </c>
      <c r="AH249" s="702">
        <v>1.38</v>
      </c>
      <c r="AI249" s="128"/>
      <c r="AJ249" s="128"/>
      <c r="AK249" s="128"/>
      <c r="AL249" s="128"/>
      <c r="AM249" s="242"/>
      <c r="AN249" s="270">
        <v>0.43</v>
      </c>
      <c r="AO249" s="270">
        <v>1.3740000000000001</v>
      </c>
      <c r="AP249" s="270"/>
      <c r="AQ249" s="270"/>
      <c r="AR249" s="270"/>
      <c r="AS249" s="270"/>
      <c r="AT249" s="270"/>
      <c r="AU249" s="270"/>
      <c r="AV249" s="245">
        <v>0.45</v>
      </c>
      <c r="AW249" s="245"/>
      <c r="AX249" s="245"/>
      <c r="AY249" s="245">
        <v>0.4</v>
      </c>
      <c r="AZ249" s="245">
        <v>0.15</v>
      </c>
      <c r="BA249" s="245">
        <v>0</v>
      </c>
      <c r="BB249" s="245"/>
      <c r="BC249" s="245">
        <f t="shared" si="35"/>
        <v>1</v>
      </c>
      <c r="BD249" s="240">
        <f t="shared" si="36"/>
        <v>1.8625850000000002</v>
      </c>
      <c r="BE249" s="243">
        <f t="shared" si="39"/>
        <v>1.8625850000000002</v>
      </c>
      <c r="BF249" s="235">
        <v>0.35</v>
      </c>
      <c r="BG249" s="235">
        <v>0</v>
      </c>
      <c r="BH249" s="235">
        <v>0</v>
      </c>
      <c r="BI249" s="235"/>
      <c r="BJ249" s="235">
        <v>0.15</v>
      </c>
      <c r="BK249" s="235"/>
      <c r="BL249" s="235"/>
      <c r="BM249" s="235">
        <v>0.3</v>
      </c>
      <c r="BN249" s="235"/>
      <c r="BO249" s="235">
        <v>0.2</v>
      </c>
      <c r="BP249" s="235">
        <f t="shared" si="49"/>
        <v>1</v>
      </c>
      <c r="BQ249" s="243">
        <f t="shared" si="44"/>
        <v>1.8625849999999999</v>
      </c>
      <c r="BS249" s="341">
        <f t="array" ref="BS249">((1+10.8/100)^(1/12)-1)*100</f>
        <v>0.85830069477084159</v>
      </c>
      <c r="BT249" s="341"/>
      <c r="BU249" s="341"/>
      <c r="BV249" s="341">
        <f t="array" ref="BV249">((1+6.8/100)^(1/12)-1)*100</f>
        <v>0.54973670825229082</v>
      </c>
      <c r="BW249" s="341">
        <f t="array" ref="BW249">((1+11.6/100)^(1/12)-1)*100</f>
        <v>0.9187856919632198</v>
      </c>
      <c r="BX249" s="341"/>
      <c r="BY249" s="341">
        <f t="shared" si="50"/>
        <v>0.74394784974227801</v>
      </c>
      <c r="BZ249" s="341">
        <f t="shared" si="45"/>
        <v>0.85830069477084159</v>
      </c>
      <c r="CA249" s="341"/>
      <c r="CB249" s="243">
        <f t="shared" si="40"/>
        <v>0.64340301100034303</v>
      </c>
      <c r="CC249" s="243"/>
      <c r="CD249" s="243">
        <f t="shared" si="42"/>
        <v>0.64340301100034303</v>
      </c>
      <c r="CG249" s="734">
        <f t="shared" si="37"/>
        <v>3.4039999999999999</v>
      </c>
      <c r="CJ249" s="1264">
        <f t="shared" si="41"/>
        <v>0.79741404289037643</v>
      </c>
    </row>
    <row r="250" spans="1:88" x14ac:dyDescent="0.2">
      <c r="A250" s="19">
        <v>35124</v>
      </c>
      <c r="B250" s="262">
        <v>0.92700000000000005</v>
      </c>
      <c r="C250" s="270">
        <v>0.91459999999999997</v>
      </c>
      <c r="D250" s="270">
        <v>0.93799999999999994</v>
      </c>
      <c r="E250" s="270">
        <v>3.3988</v>
      </c>
      <c r="F250" s="270">
        <v>4.6600999999999999</v>
      </c>
      <c r="G250" s="270">
        <v>1.6304000000000001</v>
      </c>
      <c r="H250" s="270">
        <v>3.117</v>
      </c>
      <c r="I250" s="262">
        <v>4.5599999999999996</v>
      </c>
      <c r="J250" s="270">
        <v>1.5669999999999999</v>
      </c>
      <c r="K250" s="128">
        <v>3.2732000000000001</v>
      </c>
      <c r="L250" s="128">
        <v>3.8628</v>
      </c>
      <c r="M250" s="128">
        <v>2.7208000000000001</v>
      </c>
      <c r="N250" s="262">
        <f t="shared" si="46"/>
        <v>3.117</v>
      </c>
      <c r="O250" s="262">
        <f t="shared" si="47"/>
        <v>4.5599999999999996</v>
      </c>
      <c r="P250" s="262">
        <f t="shared" si="48"/>
        <v>1.5669999999999999</v>
      </c>
      <c r="Q250" s="270">
        <v>4.4000000000000004</v>
      </c>
      <c r="R250" s="128">
        <v>3.0139999999999998</v>
      </c>
      <c r="S250" s="128">
        <v>1.4750000000000001</v>
      </c>
      <c r="T250" s="128"/>
      <c r="U250" s="270">
        <v>4.0000000000000001E-3</v>
      </c>
      <c r="V250" s="280"/>
      <c r="W250" s="262">
        <v>-1.7382</v>
      </c>
      <c r="X250" s="128">
        <v>-1.05</v>
      </c>
      <c r="Y250" s="128"/>
      <c r="Z250" s="128">
        <v>1.35</v>
      </c>
      <c r="AA250" s="262">
        <v>0.36301</v>
      </c>
      <c r="AB250" s="270">
        <v>0.36259999999999998</v>
      </c>
      <c r="AC250" s="270">
        <v>0.36759999999999998</v>
      </c>
      <c r="AD250" s="280"/>
      <c r="AE250" s="277">
        <f t="shared" si="43"/>
        <v>-0.40559999999999996</v>
      </c>
      <c r="AF250" s="262">
        <f t="shared" si="38"/>
        <v>0.36301</v>
      </c>
      <c r="AG250" s="128">
        <v>0.36130000000000001</v>
      </c>
      <c r="AH250" s="702">
        <v>1.98</v>
      </c>
      <c r="AI250" s="128"/>
      <c r="AJ250" s="128"/>
      <c r="AK250" s="128"/>
      <c r="AL250" s="128"/>
      <c r="AM250" s="242"/>
      <c r="AN250" s="270">
        <v>0.36</v>
      </c>
      <c r="AO250" s="270">
        <v>4.0000000000000001E-3</v>
      </c>
      <c r="AP250" s="270"/>
      <c r="AQ250" s="270"/>
      <c r="AR250" s="270"/>
      <c r="AS250" s="270"/>
      <c r="AT250" s="270"/>
      <c r="AU250" s="270"/>
      <c r="AV250" s="245">
        <v>0.45</v>
      </c>
      <c r="AW250" s="245"/>
      <c r="AX250" s="245"/>
      <c r="AY250" s="245">
        <v>0.4</v>
      </c>
      <c r="AZ250" s="245">
        <v>0.15</v>
      </c>
      <c r="BA250" s="245">
        <v>0</v>
      </c>
      <c r="BB250" s="245"/>
      <c r="BC250" s="245">
        <f t="shared" si="35"/>
        <v>1</v>
      </c>
      <c r="BD250" s="240">
        <f t="shared" si="36"/>
        <v>-0.2236785</v>
      </c>
      <c r="BE250" s="243">
        <f t="shared" si="39"/>
        <v>-0.2236785</v>
      </c>
      <c r="BF250" s="235">
        <v>0.35</v>
      </c>
      <c r="BG250" s="235">
        <v>0</v>
      </c>
      <c r="BH250" s="235">
        <v>0</v>
      </c>
      <c r="BI250" s="235"/>
      <c r="BJ250" s="235">
        <v>0.15</v>
      </c>
      <c r="BK250" s="235"/>
      <c r="BL250" s="235"/>
      <c r="BM250" s="235">
        <v>0.3</v>
      </c>
      <c r="BN250" s="235"/>
      <c r="BO250" s="235">
        <v>0.2</v>
      </c>
      <c r="BP250" s="235">
        <f t="shared" si="49"/>
        <v>1</v>
      </c>
      <c r="BQ250" s="243">
        <f t="shared" si="44"/>
        <v>-0.22367849999999992</v>
      </c>
      <c r="BS250" s="341">
        <f t="array" ref="BS250">((1+10.8/100)^(1/12)-1)*100</f>
        <v>0.85830069477084159</v>
      </c>
      <c r="BT250" s="341"/>
      <c r="BU250" s="341"/>
      <c r="BV250" s="341">
        <f t="array" ref="BV250">((1+6.8/100)^(1/12)-1)*100</f>
        <v>0.54973670825229082</v>
      </c>
      <c r="BW250" s="341">
        <f t="array" ref="BW250">((1+11.6/100)^(1/12)-1)*100</f>
        <v>0.9187856919632198</v>
      </c>
      <c r="BX250" s="341"/>
      <c r="BY250" s="341">
        <f t="shared" si="50"/>
        <v>0.74394784974227801</v>
      </c>
      <c r="BZ250" s="341">
        <f t="shared" si="45"/>
        <v>0.85830069477084159</v>
      </c>
      <c r="CA250" s="341"/>
      <c r="CB250" s="243">
        <f t="shared" si="40"/>
        <v>0.64340301100034303</v>
      </c>
      <c r="CC250" s="243"/>
      <c r="CD250" s="243">
        <f t="shared" si="42"/>
        <v>0.64340301100034303</v>
      </c>
      <c r="CG250" s="734">
        <f t="shared" si="37"/>
        <v>0.92700000000000005</v>
      </c>
      <c r="CJ250" s="1264">
        <f t="shared" si="41"/>
        <v>0.79741404289037643</v>
      </c>
    </row>
    <row r="251" spans="1:88" x14ac:dyDescent="0.2">
      <c r="A251" s="19">
        <v>35155</v>
      </c>
      <c r="B251" s="262">
        <v>0.96299999999999997</v>
      </c>
      <c r="C251" s="270">
        <v>-0.41799999999999998</v>
      </c>
      <c r="D251" s="270">
        <v>2.3410000000000002</v>
      </c>
      <c r="E251" s="270">
        <v>1.1983999999999999</v>
      </c>
      <c r="F251" s="262">
        <v>1.3396999999999999</v>
      </c>
      <c r="G251" s="270">
        <v>1.23</v>
      </c>
      <c r="H251" s="270">
        <v>2.0350000000000001</v>
      </c>
      <c r="I251" s="262">
        <v>1.9770000000000001</v>
      </c>
      <c r="J251" s="270">
        <v>2.0990000000000002</v>
      </c>
      <c r="K251" s="128">
        <v>1.9469000000000001</v>
      </c>
      <c r="L251" s="128">
        <v>1.5317000000000001</v>
      </c>
      <c r="M251" s="128">
        <v>2.7250000000000001</v>
      </c>
      <c r="N251" s="262">
        <f t="shared" si="46"/>
        <v>2.0350000000000001</v>
      </c>
      <c r="O251" s="262">
        <f t="shared" si="47"/>
        <v>1.9770000000000001</v>
      </c>
      <c r="P251" s="262">
        <f t="shared" si="48"/>
        <v>2.0990000000000002</v>
      </c>
      <c r="Q251" s="270">
        <v>2.1720000000000002</v>
      </c>
      <c r="R251" s="128">
        <v>2.0369999999999999</v>
      </c>
      <c r="S251" s="128">
        <v>1.0049999999999999</v>
      </c>
      <c r="T251" s="128"/>
      <c r="U251" s="270">
        <v>1.861</v>
      </c>
      <c r="V251" s="280"/>
      <c r="W251" s="262">
        <v>-0.69510000000000005</v>
      </c>
      <c r="X251" s="128">
        <v>-0.46</v>
      </c>
      <c r="Y251" s="128"/>
      <c r="Z251" s="128">
        <v>1.21</v>
      </c>
      <c r="AA251" s="262">
        <v>2.1489400000000001</v>
      </c>
      <c r="AB251" s="270">
        <v>2.4203999999999999</v>
      </c>
      <c r="AC251" s="270">
        <v>1.8996</v>
      </c>
      <c r="AD251" s="279"/>
      <c r="AE251" s="277">
        <f t="shared" si="43"/>
        <v>0.13394999999999996</v>
      </c>
      <c r="AF251" s="262">
        <f t="shared" si="38"/>
        <v>2.1489400000000001</v>
      </c>
      <c r="AG251" s="128">
        <v>0.36130000000000001</v>
      </c>
      <c r="AH251" s="702">
        <v>0.81</v>
      </c>
      <c r="AI251" s="128"/>
      <c r="AJ251" s="128"/>
      <c r="AK251" s="128"/>
      <c r="AL251" s="128"/>
      <c r="AM251" s="242"/>
      <c r="AN251" s="270">
        <v>2.14</v>
      </c>
      <c r="AO251" s="270">
        <v>1.861</v>
      </c>
      <c r="AP251" s="270"/>
      <c r="AQ251" s="270"/>
      <c r="AR251" s="270"/>
      <c r="AS251" s="270"/>
      <c r="AT251" s="270"/>
      <c r="AU251" s="270"/>
      <c r="AV251" s="245">
        <v>0.45</v>
      </c>
      <c r="AW251" s="245"/>
      <c r="AX251" s="245"/>
      <c r="AY251" s="245">
        <v>0.4</v>
      </c>
      <c r="AZ251" s="245">
        <v>0.15</v>
      </c>
      <c r="BA251" s="245">
        <v>0</v>
      </c>
      <c r="BB251" s="245"/>
      <c r="BC251" s="245">
        <f t="shared" si="35"/>
        <v>1</v>
      </c>
      <c r="BD251" s="240">
        <f t="shared" si="36"/>
        <v>0.47765099999999999</v>
      </c>
      <c r="BE251" s="243">
        <f t="shared" si="39"/>
        <v>0.47765099999999999</v>
      </c>
      <c r="BF251" s="235">
        <v>0.35</v>
      </c>
      <c r="BG251" s="235">
        <v>0</v>
      </c>
      <c r="BH251" s="235">
        <v>0</v>
      </c>
      <c r="BI251" s="235"/>
      <c r="BJ251" s="235">
        <v>0.15</v>
      </c>
      <c r="BK251" s="235"/>
      <c r="BL251" s="235"/>
      <c r="BM251" s="235">
        <v>0.3</v>
      </c>
      <c r="BN251" s="235"/>
      <c r="BO251" s="235">
        <v>0.2</v>
      </c>
      <c r="BP251" s="235">
        <f t="shared" si="49"/>
        <v>1</v>
      </c>
      <c r="BQ251" s="243">
        <f t="shared" si="44"/>
        <v>0.47765099999999994</v>
      </c>
      <c r="BS251" s="341">
        <f t="array" ref="BS251">((1+10.8/100)^(1/12)-1)*100</f>
        <v>0.85830069477084159</v>
      </c>
      <c r="BT251" s="341"/>
      <c r="BU251" s="341"/>
      <c r="BV251" s="341">
        <f t="array" ref="BV251">((1+6.8/100)^(1/12)-1)*100</f>
        <v>0.54973670825229082</v>
      </c>
      <c r="BW251" s="341">
        <f t="array" ref="BW251">((1+11.6/100)^(1/12)-1)*100</f>
        <v>0.9187856919632198</v>
      </c>
      <c r="BX251" s="341"/>
      <c r="BY251" s="341">
        <f t="shared" si="50"/>
        <v>0.74394784974227801</v>
      </c>
      <c r="BZ251" s="341">
        <f t="shared" si="45"/>
        <v>0.85830069477084159</v>
      </c>
      <c r="CA251" s="341"/>
      <c r="CB251" s="243">
        <f t="shared" si="40"/>
        <v>0.64340301100034303</v>
      </c>
      <c r="CC251" s="243"/>
      <c r="CD251" s="243">
        <f t="shared" si="42"/>
        <v>0.64340301100034303</v>
      </c>
      <c r="CG251" s="734">
        <f t="shared" si="37"/>
        <v>0.96299999999999997</v>
      </c>
      <c r="CJ251" s="1264">
        <f t="shared" si="41"/>
        <v>0.79741404289037643</v>
      </c>
    </row>
    <row r="252" spans="1:88" x14ac:dyDescent="0.2">
      <c r="A252" s="19">
        <v>35185</v>
      </c>
      <c r="B252" s="262">
        <v>1.474</v>
      </c>
      <c r="C252" s="270">
        <v>1.9443999999999999</v>
      </c>
      <c r="D252" s="270">
        <v>1.018</v>
      </c>
      <c r="E252" s="270">
        <v>3.0541</v>
      </c>
      <c r="F252" s="270">
        <v>5.1898999999999997</v>
      </c>
      <c r="G252" s="270">
        <v>0.84009999999999996</v>
      </c>
      <c r="H252" s="270">
        <v>5.3470000000000004</v>
      </c>
      <c r="I252" s="262">
        <v>7.6769999999999996</v>
      </c>
      <c r="J252" s="270">
        <v>2.7280000000000002</v>
      </c>
      <c r="K252" s="128">
        <v>5.9474</v>
      </c>
      <c r="L252" s="128">
        <v>6.7461000000000002</v>
      </c>
      <c r="M252" s="128">
        <v>4.8411</v>
      </c>
      <c r="N252" s="262">
        <f t="shared" si="46"/>
        <v>5.3470000000000004</v>
      </c>
      <c r="O252" s="262">
        <f t="shared" si="47"/>
        <v>7.6769999999999996</v>
      </c>
      <c r="P252" s="262">
        <f t="shared" si="48"/>
        <v>2.7280000000000002</v>
      </c>
      <c r="Q252" s="270">
        <v>6.8460000000000001</v>
      </c>
      <c r="R252" s="128">
        <v>4.6239999999999997</v>
      </c>
      <c r="S252" s="128">
        <v>1.8959999999999999</v>
      </c>
      <c r="T252" s="128"/>
      <c r="U252" s="270">
        <v>3.0339999999999998</v>
      </c>
      <c r="V252" s="280"/>
      <c r="W252" s="262">
        <v>-0.56240000000000001</v>
      </c>
      <c r="X252" s="128">
        <v>-0.32</v>
      </c>
      <c r="Y252" s="128"/>
      <c r="Z252" s="128">
        <v>4.1399999999999997</v>
      </c>
      <c r="AA252" s="262">
        <v>2.9319500000000001</v>
      </c>
      <c r="AB252" s="270">
        <v>2.4388999999999998</v>
      </c>
      <c r="AC252" s="270">
        <v>3.3954</v>
      </c>
      <c r="AD252" s="280"/>
      <c r="AE252" s="277">
        <f t="shared" si="43"/>
        <v>0.45579999999999998</v>
      </c>
      <c r="AF252" s="262">
        <f t="shared" si="38"/>
        <v>2.9319500000000001</v>
      </c>
      <c r="AG252" s="128">
        <v>0.79369999999999996</v>
      </c>
      <c r="AH252" s="702">
        <v>0.45</v>
      </c>
      <c r="AI252" s="128"/>
      <c r="AJ252" s="128"/>
      <c r="AK252" s="128"/>
      <c r="AL252" s="128"/>
      <c r="AM252" s="242"/>
      <c r="AN252" s="270">
        <v>2.93</v>
      </c>
      <c r="AO252" s="270">
        <v>3.0339999999999998</v>
      </c>
      <c r="AP252" s="270"/>
      <c r="AQ252" s="270"/>
      <c r="AR252" s="270"/>
      <c r="AS252" s="270"/>
      <c r="AT252" s="270"/>
      <c r="AU252" s="270"/>
      <c r="AV252" s="245">
        <v>0.45</v>
      </c>
      <c r="AW252" s="245"/>
      <c r="AX252" s="245"/>
      <c r="AY252" s="245">
        <v>0.4</v>
      </c>
      <c r="AZ252" s="245">
        <v>0.15</v>
      </c>
      <c r="BA252" s="245">
        <v>0</v>
      </c>
      <c r="BB252" s="245"/>
      <c r="BC252" s="245">
        <f t="shared" si="35"/>
        <v>1</v>
      </c>
      <c r="BD252" s="240">
        <f t="shared" si="36"/>
        <v>0.87813249999999998</v>
      </c>
      <c r="BE252" s="243">
        <f t="shared" si="39"/>
        <v>0.87813249999999998</v>
      </c>
      <c r="BF252" s="235">
        <v>0.35</v>
      </c>
      <c r="BG252" s="235">
        <v>0</v>
      </c>
      <c r="BH252" s="235">
        <v>0</v>
      </c>
      <c r="BI252" s="235"/>
      <c r="BJ252" s="235">
        <v>0.15</v>
      </c>
      <c r="BK252" s="235"/>
      <c r="BL252" s="235"/>
      <c r="BM252" s="235">
        <v>0.3</v>
      </c>
      <c r="BN252" s="235"/>
      <c r="BO252" s="235">
        <v>0.2</v>
      </c>
      <c r="BP252" s="235">
        <f t="shared" si="49"/>
        <v>1</v>
      </c>
      <c r="BQ252" s="243">
        <f t="shared" si="44"/>
        <v>0.87813249999999987</v>
      </c>
      <c r="BS252" s="341">
        <f t="array" ref="BS252">((1+10.8/100)^(1/12)-1)*100</f>
        <v>0.85830069477084159</v>
      </c>
      <c r="BT252" s="341"/>
      <c r="BU252" s="341"/>
      <c r="BV252" s="341">
        <f t="array" ref="BV252">((1+6.8/100)^(1/12)-1)*100</f>
        <v>0.54973670825229082</v>
      </c>
      <c r="BW252" s="341">
        <f t="array" ref="BW252">((1+11.6/100)^(1/12)-1)*100</f>
        <v>0.9187856919632198</v>
      </c>
      <c r="BX252" s="341"/>
      <c r="BY252" s="341">
        <f t="shared" si="50"/>
        <v>0.74394784974227801</v>
      </c>
      <c r="BZ252" s="341">
        <f t="shared" si="45"/>
        <v>0.85830069477084159</v>
      </c>
      <c r="CA252" s="341"/>
      <c r="CB252" s="243">
        <f t="shared" si="40"/>
        <v>0.64340301100034303</v>
      </c>
      <c r="CC252" s="243"/>
      <c r="CD252" s="243">
        <f t="shared" si="42"/>
        <v>0.64340301100034303</v>
      </c>
      <c r="CG252" s="734">
        <f t="shared" si="37"/>
        <v>1.474</v>
      </c>
      <c r="CJ252" s="1264">
        <f t="shared" si="41"/>
        <v>0.79741404289037643</v>
      </c>
    </row>
    <row r="253" spans="1:88" x14ac:dyDescent="0.2">
      <c r="A253" s="19">
        <v>35216</v>
      </c>
      <c r="B253" s="262">
        <v>2.5790000000000002</v>
      </c>
      <c r="C253" s="270">
        <v>3.6762999999999999</v>
      </c>
      <c r="D253" s="270">
        <v>1.5069999999999999</v>
      </c>
      <c r="E253" s="270">
        <v>1.3524</v>
      </c>
      <c r="F253" s="270">
        <v>1.2001999999999999</v>
      </c>
      <c r="G253" s="270">
        <v>1.5396000000000001</v>
      </c>
      <c r="H253" s="270">
        <v>3.9409999999999998</v>
      </c>
      <c r="I253" s="262">
        <v>5.1280000000000001</v>
      </c>
      <c r="J253" s="270">
        <v>2.532</v>
      </c>
      <c r="K253" s="128">
        <v>3.5539000000000001</v>
      </c>
      <c r="L253" s="128">
        <v>3.2722000000000002</v>
      </c>
      <c r="M253" s="128">
        <v>3.8136999999999999</v>
      </c>
      <c r="N253" s="262">
        <f t="shared" si="46"/>
        <v>3.9409999999999998</v>
      </c>
      <c r="O253" s="262">
        <f t="shared" si="47"/>
        <v>5.1280000000000001</v>
      </c>
      <c r="P253" s="262">
        <f t="shared" si="48"/>
        <v>2.532</v>
      </c>
      <c r="Q253" s="270">
        <v>3.5670000000000002</v>
      </c>
      <c r="R253" s="128">
        <v>2.714</v>
      </c>
      <c r="S253" s="128">
        <v>2.5590000000000002</v>
      </c>
      <c r="T253" s="128"/>
      <c r="U253" s="270">
        <v>-1.502</v>
      </c>
      <c r="V253" s="280"/>
      <c r="W253" s="262">
        <v>-0.2031</v>
      </c>
      <c r="X253" s="128">
        <v>-0.15</v>
      </c>
      <c r="Y253" s="128"/>
      <c r="Z253" s="128">
        <v>2.13</v>
      </c>
      <c r="AA253" s="262">
        <v>-1.8163100000000001</v>
      </c>
      <c r="AB253" s="270">
        <v>-2.0678000000000001</v>
      </c>
      <c r="AC253" s="270">
        <v>-1.5809</v>
      </c>
      <c r="AD253" s="280"/>
      <c r="AE253" s="277">
        <f t="shared" si="43"/>
        <v>1.1879500000000001</v>
      </c>
      <c r="AF253" s="262">
        <f t="shared" si="38"/>
        <v>-1.8163100000000001</v>
      </c>
      <c r="AG253" s="128">
        <v>0.79369999999999996</v>
      </c>
      <c r="AH253" s="702">
        <v>2.23</v>
      </c>
      <c r="AI253" s="128"/>
      <c r="AJ253" s="128"/>
      <c r="AK253" s="128"/>
      <c r="AL253" s="128"/>
      <c r="AM253" s="242"/>
      <c r="AN253" s="270">
        <v>-1.82</v>
      </c>
      <c r="AO253" s="270">
        <v>-1.502</v>
      </c>
      <c r="AP253" s="270"/>
      <c r="AQ253" s="270"/>
      <c r="AR253" s="270"/>
      <c r="AS253" s="270"/>
      <c r="AT253" s="270"/>
      <c r="AU253" s="270"/>
      <c r="AV253" s="245">
        <v>0.45</v>
      </c>
      <c r="AW253" s="245"/>
      <c r="AX253" s="245"/>
      <c r="AY253" s="245">
        <v>0.4</v>
      </c>
      <c r="AZ253" s="245">
        <v>0.15</v>
      </c>
      <c r="BA253" s="245">
        <v>0</v>
      </c>
      <c r="BB253" s="245"/>
      <c r="BC253" s="245">
        <f t="shared" si="35"/>
        <v>1</v>
      </c>
      <c r="BD253" s="240">
        <f t="shared" si="36"/>
        <v>0.80686350000000018</v>
      </c>
      <c r="BE253" s="243">
        <f t="shared" si="39"/>
        <v>0.80686350000000018</v>
      </c>
      <c r="BF253" s="235">
        <v>0.35</v>
      </c>
      <c r="BG253" s="235">
        <v>0</v>
      </c>
      <c r="BH253" s="235">
        <v>0</v>
      </c>
      <c r="BI253" s="235"/>
      <c r="BJ253" s="235">
        <v>0.15</v>
      </c>
      <c r="BK253" s="235"/>
      <c r="BL253" s="235"/>
      <c r="BM253" s="235">
        <v>0.3</v>
      </c>
      <c r="BN253" s="235"/>
      <c r="BO253" s="235">
        <v>0.2</v>
      </c>
      <c r="BP253" s="235">
        <f t="shared" si="49"/>
        <v>1</v>
      </c>
      <c r="BQ253" s="243">
        <f t="shared" si="44"/>
        <v>0.80686349999999996</v>
      </c>
      <c r="BS253" s="341">
        <f t="array" ref="BS253">((1+10.8/100)^(1/12)-1)*100</f>
        <v>0.85830069477084159</v>
      </c>
      <c r="BT253" s="341"/>
      <c r="BU253" s="341"/>
      <c r="BV253" s="341">
        <f t="array" ref="BV253">((1+6.8/100)^(1/12)-1)*100</f>
        <v>0.54973670825229082</v>
      </c>
      <c r="BW253" s="341">
        <f t="array" ref="BW253">((1+11.6/100)^(1/12)-1)*100</f>
        <v>0.9187856919632198</v>
      </c>
      <c r="BX253" s="341"/>
      <c r="BY253" s="341">
        <f t="shared" si="50"/>
        <v>0.74394784974227801</v>
      </c>
      <c r="BZ253" s="341">
        <f t="shared" si="45"/>
        <v>0.85830069477084159</v>
      </c>
      <c r="CA253" s="341"/>
      <c r="CB253" s="243">
        <f t="shared" si="40"/>
        <v>0.64340301100034303</v>
      </c>
      <c r="CC253" s="243"/>
      <c r="CD253" s="243">
        <f t="shared" si="42"/>
        <v>0.64340301100034303</v>
      </c>
      <c r="CG253" s="734">
        <f t="shared" si="37"/>
        <v>2.5790000000000002</v>
      </c>
      <c r="CJ253" s="1264">
        <f t="shared" si="41"/>
        <v>0.79741404289037643</v>
      </c>
    </row>
    <row r="254" spans="1:88" x14ac:dyDescent="0.2">
      <c r="A254" s="19">
        <v>35246</v>
      </c>
      <c r="B254" s="262">
        <v>0.38100000000000001</v>
      </c>
      <c r="C254" s="270">
        <v>1.2454000000000001</v>
      </c>
      <c r="D254" s="270">
        <v>-0.48299999999999998</v>
      </c>
      <c r="E254" s="270">
        <v>-1.5004999999999999</v>
      </c>
      <c r="F254" s="262">
        <v>-3.4302999999999999</v>
      </c>
      <c r="G254" s="270">
        <v>0.45989999999999998</v>
      </c>
      <c r="H254" s="270">
        <v>-4.1059999999999999</v>
      </c>
      <c r="I254" s="262">
        <v>-6.4980000000000002</v>
      </c>
      <c r="J254" s="270">
        <v>-1.181</v>
      </c>
      <c r="K254" s="128">
        <v>-3.9209999999999998</v>
      </c>
      <c r="L254" s="128">
        <v>-5.5500999999999996</v>
      </c>
      <c r="M254" s="128">
        <v>-2.4199000000000002</v>
      </c>
      <c r="N254" s="262">
        <f t="shared" si="46"/>
        <v>-4.1059999999999999</v>
      </c>
      <c r="O254" s="262">
        <f t="shared" si="47"/>
        <v>-6.4980000000000002</v>
      </c>
      <c r="P254" s="262">
        <f t="shared" si="48"/>
        <v>-1.181</v>
      </c>
      <c r="Q254" s="270">
        <v>-5.0129999999999999</v>
      </c>
      <c r="R254" s="128">
        <v>-3.0710000000000002</v>
      </c>
      <c r="S254" s="128">
        <v>-0.32300000000000001</v>
      </c>
      <c r="T254" s="128"/>
      <c r="U254" s="270">
        <v>0.50700000000000001</v>
      </c>
      <c r="V254" s="280"/>
      <c r="W254" s="262">
        <v>1.3429</v>
      </c>
      <c r="X254" s="128">
        <v>1.18</v>
      </c>
      <c r="Y254" s="128"/>
      <c r="Z254" s="128">
        <v>-1.53</v>
      </c>
      <c r="AA254" s="262">
        <v>0.58730000000000004</v>
      </c>
      <c r="AB254" s="270">
        <v>0.36909999999999998</v>
      </c>
      <c r="AC254" s="270">
        <v>1.0585</v>
      </c>
      <c r="AD254" s="279"/>
      <c r="AE254" s="277">
        <f t="shared" si="43"/>
        <v>0.86194999999999999</v>
      </c>
      <c r="AF254" s="262">
        <f t="shared" si="38"/>
        <v>0.58730000000000004</v>
      </c>
      <c r="AG254" s="128">
        <v>0.79369999999999996</v>
      </c>
      <c r="AH254" s="702">
        <v>2</v>
      </c>
      <c r="AI254" s="128"/>
      <c r="AJ254" s="128"/>
      <c r="AK254" s="128"/>
      <c r="AL254" s="128"/>
      <c r="AM254" s="242"/>
      <c r="AN254" s="270">
        <v>0.61</v>
      </c>
      <c r="AO254" s="270">
        <v>0.50700000000000001</v>
      </c>
      <c r="AP254" s="270"/>
      <c r="AQ254" s="270"/>
      <c r="AR254" s="270"/>
      <c r="AS254" s="270"/>
      <c r="AT254" s="270"/>
      <c r="AU254" s="270"/>
      <c r="AV254" s="245">
        <v>0.45</v>
      </c>
      <c r="AW254" s="245"/>
      <c r="AX254" s="245"/>
      <c r="AY254" s="245">
        <v>0.4</v>
      </c>
      <c r="AZ254" s="245">
        <v>0.15</v>
      </c>
      <c r="BA254" s="245">
        <v>0</v>
      </c>
      <c r="BB254" s="245"/>
      <c r="BC254" s="245">
        <f t="shared" si="35"/>
        <v>1</v>
      </c>
      <c r="BD254" s="240">
        <f t="shared" si="36"/>
        <v>0.796705</v>
      </c>
      <c r="BE254" s="243">
        <f t="shared" si="39"/>
        <v>0.796705</v>
      </c>
      <c r="BF254" s="235">
        <v>0.35</v>
      </c>
      <c r="BG254" s="235">
        <v>0</v>
      </c>
      <c r="BH254" s="235">
        <v>0</v>
      </c>
      <c r="BI254" s="235"/>
      <c r="BJ254" s="235">
        <v>0.15</v>
      </c>
      <c r="BK254" s="235"/>
      <c r="BL254" s="235"/>
      <c r="BM254" s="235">
        <v>0.3</v>
      </c>
      <c r="BN254" s="235"/>
      <c r="BO254" s="235">
        <v>0.2</v>
      </c>
      <c r="BP254" s="235">
        <f t="shared" si="49"/>
        <v>1</v>
      </c>
      <c r="BQ254" s="243">
        <f t="shared" si="44"/>
        <v>0.796705</v>
      </c>
      <c r="BS254" s="341">
        <f t="array" ref="BS254">((1+10.8/100)^(1/12)-1)*100</f>
        <v>0.85830069477084159</v>
      </c>
      <c r="BT254" s="341"/>
      <c r="BU254" s="341"/>
      <c r="BV254" s="341">
        <f t="array" ref="BV254">((1+6.8/100)^(1/12)-1)*100</f>
        <v>0.54973670825229082</v>
      </c>
      <c r="BW254" s="341">
        <f t="array" ref="BW254">((1+11.6/100)^(1/12)-1)*100</f>
        <v>0.9187856919632198</v>
      </c>
      <c r="BX254" s="341"/>
      <c r="BY254" s="341">
        <f t="shared" si="50"/>
        <v>0.74394784974227801</v>
      </c>
      <c r="BZ254" s="341">
        <f t="shared" si="45"/>
        <v>0.85830069477084159</v>
      </c>
      <c r="CA254" s="341"/>
      <c r="CB254" s="243">
        <f t="shared" si="40"/>
        <v>0.64340301100034303</v>
      </c>
      <c r="CC254" s="243"/>
      <c r="CD254" s="243">
        <f t="shared" si="42"/>
        <v>0.64340301100034303</v>
      </c>
      <c r="CG254" s="734">
        <f t="shared" si="37"/>
        <v>0.38100000000000001</v>
      </c>
      <c r="CJ254" s="1264">
        <f t="shared" si="41"/>
        <v>0.79741404289037643</v>
      </c>
    </row>
    <row r="255" spans="1:88" x14ac:dyDescent="0.2">
      <c r="A255" s="19">
        <v>35277</v>
      </c>
      <c r="B255" s="262">
        <v>-4.4180000000000001</v>
      </c>
      <c r="C255" s="270">
        <v>-4.6102999999999996</v>
      </c>
      <c r="D255" s="270">
        <v>-4.2190000000000003</v>
      </c>
      <c r="E255" s="270">
        <v>-6.7653999999999996</v>
      </c>
      <c r="F255" s="270">
        <v>-7.4496000000000002</v>
      </c>
      <c r="G255" s="270">
        <v>-5.8498999999999999</v>
      </c>
      <c r="H255" s="270">
        <v>-8.734</v>
      </c>
      <c r="I255" s="262">
        <v>-12.208</v>
      </c>
      <c r="J255" s="270">
        <v>-5.3159999999999998</v>
      </c>
      <c r="K255" s="128">
        <v>-6.88</v>
      </c>
      <c r="L255" s="128">
        <v>-8.4280000000000008</v>
      </c>
      <c r="M255" s="128">
        <v>-5.2912999999999997</v>
      </c>
      <c r="N255" s="262">
        <f t="shared" si="46"/>
        <v>-8.734</v>
      </c>
      <c r="O255" s="262">
        <f t="shared" si="47"/>
        <v>-12.208</v>
      </c>
      <c r="P255" s="262">
        <f t="shared" si="48"/>
        <v>-5.3159999999999998</v>
      </c>
      <c r="Q255" s="270">
        <v>-9.9380000000000006</v>
      </c>
      <c r="R255" s="128">
        <v>-7.32</v>
      </c>
      <c r="S255" s="128">
        <v>-5.2350000000000003</v>
      </c>
      <c r="T255" s="128"/>
      <c r="U255" s="270">
        <v>-3.3239999999999998</v>
      </c>
      <c r="V255" s="280"/>
      <c r="W255" s="262">
        <v>0.2737</v>
      </c>
      <c r="X255" s="128">
        <v>0.32</v>
      </c>
      <c r="Y255" s="128"/>
      <c r="Z255" s="128">
        <v>-3.8</v>
      </c>
      <c r="AA255" s="262">
        <v>-2.8977300000000001</v>
      </c>
      <c r="AB255" s="270">
        <v>-3.2183000000000002</v>
      </c>
      <c r="AC255" s="270">
        <v>-2.5832000000000002</v>
      </c>
      <c r="AD255" s="280"/>
      <c r="AE255" s="277">
        <f t="shared" si="43"/>
        <v>-2.0721500000000002</v>
      </c>
      <c r="AF255" s="262">
        <f t="shared" si="38"/>
        <v>-2.8977300000000001</v>
      </c>
      <c r="AG255" s="128">
        <v>0.75719999999999998</v>
      </c>
      <c r="AH255" s="702">
        <v>-0.89</v>
      </c>
      <c r="AI255" s="128"/>
      <c r="AJ255" s="128"/>
      <c r="AK255" s="128"/>
      <c r="AL255" s="128"/>
      <c r="AM255" s="242"/>
      <c r="AN255" s="270">
        <v>-2.9</v>
      </c>
      <c r="AO255" s="270">
        <v>-3.3239999999999998</v>
      </c>
      <c r="AP255" s="270"/>
      <c r="AQ255" s="270"/>
      <c r="AR255" s="270"/>
      <c r="AS255" s="270"/>
      <c r="AT255" s="270"/>
      <c r="AU255" s="270"/>
      <c r="AV255" s="245">
        <v>0.45</v>
      </c>
      <c r="AW255" s="245"/>
      <c r="AX255" s="245"/>
      <c r="AY255" s="245">
        <v>0.4</v>
      </c>
      <c r="AZ255" s="245">
        <v>0.15</v>
      </c>
      <c r="BA255" s="245">
        <v>0</v>
      </c>
      <c r="BB255" s="245"/>
      <c r="BC255" s="245">
        <f t="shared" si="35"/>
        <v>1</v>
      </c>
      <c r="BD255" s="240">
        <f t="shared" si="36"/>
        <v>-2.3132795000000002</v>
      </c>
      <c r="BE255" s="243">
        <f t="shared" si="39"/>
        <v>-2.3132795000000002</v>
      </c>
      <c r="BF255" s="235">
        <v>0.35</v>
      </c>
      <c r="BG255" s="235">
        <v>0</v>
      </c>
      <c r="BH255" s="235">
        <v>0</v>
      </c>
      <c r="BI255" s="235"/>
      <c r="BJ255" s="235">
        <v>0.15</v>
      </c>
      <c r="BK255" s="235"/>
      <c r="BL255" s="235"/>
      <c r="BM255" s="235">
        <v>0.3</v>
      </c>
      <c r="BN255" s="235"/>
      <c r="BO255" s="235">
        <v>0.2</v>
      </c>
      <c r="BP255" s="235">
        <f t="shared" si="49"/>
        <v>1</v>
      </c>
      <c r="BQ255" s="243">
        <f t="shared" si="44"/>
        <v>-2.3132795000000002</v>
      </c>
      <c r="BS255" s="341">
        <f t="array" ref="BS255">((1+10.8/100)^(1/12)-1)*100</f>
        <v>0.85830069477084159</v>
      </c>
      <c r="BT255" s="341"/>
      <c r="BU255" s="341"/>
      <c r="BV255" s="341">
        <f t="array" ref="BV255">((1+6.8/100)^(1/12)-1)*100</f>
        <v>0.54973670825229082</v>
      </c>
      <c r="BW255" s="341">
        <f t="array" ref="BW255">((1+11.6/100)^(1/12)-1)*100</f>
        <v>0.9187856919632198</v>
      </c>
      <c r="BX255" s="341"/>
      <c r="BY255" s="341">
        <f t="shared" si="50"/>
        <v>0.74394784974227801</v>
      </c>
      <c r="BZ255" s="341">
        <f t="shared" si="45"/>
        <v>0.85830069477084159</v>
      </c>
      <c r="CA255" s="341"/>
      <c r="CB255" s="243">
        <f t="shared" si="40"/>
        <v>0.64340301100034303</v>
      </c>
      <c r="CC255" s="243"/>
      <c r="CD255" s="243">
        <f t="shared" si="42"/>
        <v>0.64340301100034303</v>
      </c>
      <c r="CG255" s="734">
        <f t="shared" si="37"/>
        <v>-4.4180000000000001</v>
      </c>
      <c r="CJ255" s="1264">
        <f t="shared" si="41"/>
        <v>0.79741404289037643</v>
      </c>
    </row>
    <row r="256" spans="1:88" x14ac:dyDescent="0.2">
      <c r="A256" s="19">
        <v>35308</v>
      </c>
      <c r="B256" s="262">
        <v>2.109</v>
      </c>
      <c r="C256" s="270">
        <v>1.4802999999999999</v>
      </c>
      <c r="D256" s="270">
        <v>2.76</v>
      </c>
      <c r="E256" s="270">
        <v>5.7672999999999996</v>
      </c>
      <c r="F256" s="270">
        <v>5.8398000000000003</v>
      </c>
      <c r="G256" s="270">
        <v>5.2499000000000002</v>
      </c>
      <c r="H256" s="270">
        <v>5.806</v>
      </c>
      <c r="I256" s="262">
        <v>7.4029999999999996</v>
      </c>
      <c r="J256" s="270">
        <v>4.3390000000000004</v>
      </c>
      <c r="K256" s="128">
        <v>6.1769999999999996</v>
      </c>
      <c r="L256" s="128">
        <v>6.6261000000000001</v>
      </c>
      <c r="M256" s="128">
        <v>5.7290000000000001</v>
      </c>
      <c r="N256" s="262">
        <f t="shared" si="46"/>
        <v>5.806</v>
      </c>
      <c r="O256" s="262">
        <f t="shared" si="47"/>
        <v>7.4029999999999996</v>
      </c>
      <c r="P256" s="262">
        <f t="shared" si="48"/>
        <v>4.3390000000000004</v>
      </c>
      <c r="Q256" s="270">
        <v>6.8849999999999998</v>
      </c>
      <c r="R256" s="128">
        <v>5.75</v>
      </c>
      <c r="S256" s="128">
        <v>3.0339999999999998</v>
      </c>
      <c r="T256" s="128"/>
      <c r="U256" s="270">
        <v>0.58699999999999997</v>
      </c>
      <c r="V256" s="280"/>
      <c r="W256" s="262">
        <v>-0.1676</v>
      </c>
      <c r="X256" s="128">
        <v>0.05</v>
      </c>
      <c r="Y256" s="128"/>
      <c r="Z256" s="128">
        <v>2.38</v>
      </c>
      <c r="AA256" s="262">
        <v>0.24490999999999999</v>
      </c>
      <c r="AB256" s="270">
        <v>0.11700000000000001</v>
      </c>
      <c r="AC256" s="270">
        <v>0.36899999999999999</v>
      </c>
      <c r="AD256" s="280"/>
      <c r="AE256" s="277">
        <f t="shared" si="43"/>
        <v>0.97070000000000001</v>
      </c>
      <c r="AF256" s="262">
        <f t="shared" si="38"/>
        <v>0.24490999999999999</v>
      </c>
      <c r="AG256" s="128">
        <v>0.75719999999999998</v>
      </c>
      <c r="AH256" s="702">
        <v>4.25</v>
      </c>
      <c r="AI256" s="128"/>
      <c r="AJ256" s="128"/>
      <c r="AK256" s="128"/>
      <c r="AL256" s="128"/>
      <c r="AM256" s="242"/>
      <c r="AN256" s="270">
        <v>0.25</v>
      </c>
      <c r="AO256" s="270">
        <v>0.58699999999999997</v>
      </c>
      <c r="AP256" s="270"/>
      <c r="AQ256" s="270"/>
      <c r="AR256" s="270"/>
      <c r="AS256" s="270"/>
      <c r="AT256" s="270"/>
      <c r="AU256" s="270"/>
      <c r="AV256" s="245">
        <v>0.45</v>
      </c>
      <c r="AW256" s="245"/>
      <c r="AX256" s="245"/>
      <c r="AY256" s="245">
        <v>0.4</v>
      </c>
      <c r="AZ256" s="245">
        <v>0.15</v>
      </c>
      <c r="BA256" s="245">
        <v>0</v>
      </c>
      <c r="BB256" s="245"/>
      <c r="BC256" s="245">
        <f t="shared" si="35"/>
        <v>1</v>
      </c>
      <c r="BD256" s="240">
        <f t="shared" si="36"/>
        <v>0.91874650000000002</v>
      </c>
      <c r="BE256" s="243">
        <f t="shared" si="39"/>
        <v>0.91874650000000002</v>
      </c>
      <c r="BF256" s="235">
        <v>0.35</v>
      </c>
      <c r="BG256" s="235">
        <v>0</v>
      </c>
      <c r="BH256" s="235">
        <v>0</v>
      </c>
      <c r="BI256" s="235"/>
      <c r="BJ256" s="235">
        <v>0.15</v>
      </c>
      <c r="BK256" s="235"/>
      <c r="BL256" s="235"/>
      <c r="BM256" s="235">
        <v>0.3</v>
      </c>
      <c r="BN256" s="235"/>
      <c r="BO256" s="235">
        <v>0.2</v>
      </c>
      <c r="BP256" s="235">
        <f t="shared" si="49"/>
        <v>1</v>
      </c>
      <c r="BQ256" s="243">
        <f t="shared" si="44"/>
        <v>0.91874649999999991</v>
      </c>
      <c r="BS256" s="341">
        <f t="array" ref="BS256">((1+10.8/100)^(1/12)-1)*100</f>
        <v>0.85830069477084159</v>
      </c>
      <c r="BT256" s="341"/>
      <c r="BU256" s="341"/>
      <c r="BV256" s="341">
        <f t="array" ref="BV256">((1+6.8/100)^(1/12)-1)*100</f>
        <v>0.54973670825229082</v>
      </c>
      <c r="BW256" s="341">
        <f t="array" ref="BW256">((1+11.6/100)^(1/12)-1)*100</f>
        <v>0.9187856919632198</v>
      </c>
      <c r="BX256" s="341"/>
      <c r="BY256" s="341">
        <f t="shared" si="50"/>
        <v>0.74394784974227801</v>
      </c>
      <c r="BZ256" s="341">
        <f t="shared" si="45"/>
        <v>0.85830069477084159</v>
      </c>
      <c r="CA256" s="341"/>
      <c r="CB256" s="243">
        <f t="shared" si="40"/>
        <v>0.64340301100034303</v>
      </c>
      <c r="CC256" s="243"/>
      <c r="CD256" s="243">
        <f t="shared" si="42"/>
        <v>0.64340301100034303</v>
      </c>
      <c r="CG256" s="734">
        <f t="shared" si="37"/>
        <v>2.109</v>
      </c>
      <c r="CJ256" s="1264">
        <f t="shared" si="41"/>
        <v>0.79741404289037643</v>
      </c>
    </row>
    <row r="257" spans="1:88" x14ac:dyDescent="0.2">
      <c r="A257" s="19">
        <v>35338</v>
      </c>
      <c r="B257" s="262">
        <v>5.6280000000000001</v>
      </c>
      <c r="C257" s="270">
        <v>6.9413</v>
      </c>
      <c r="D257" s="270">
        <v>4.2830000000000004</v>
      </c>
      <c r="E257" s="270">
        <v>4.3601000000000001</v>
      </c>
      <c r="F257" s="262">
        <v>6.1801000000000004</v>
      </c>
      <c r="G257" s="270">
        <v>2.7902</v>
      </c>
      <c r="H257" s="270">
        <v>3.9079999999999999</v>
      </c>
      <c r="I257" s="262">
        <v>5.15</v>
      </c>
      <c r="J257" s="270">
        <v>2.73</v>
      </c>
      <c r="K257" s="128">
        <v>4.3865999999999996</v>
      </c>
      <c r="L257" s="128">
        <v>5.3110999999999997</v>
      </c>
      <c r="M257" s="128">
        <v>3.4605000000000001</v>
      </c>
      <c r="N257" s="262">
        <f t="shared" si="46"/>
        <v>3.9079999999999999</v>
      </c>
      <c r="O257" s="262">
        <f t="shared" si="47"/>
        <v>5.15</v>
      </c>
      <c r="P257" s="262">
        <f t="shared" si="48"/>
        <v>2.73</v>
      </c>
      <c r="Q257" s="270">
        <v>5.3070000000000004</v>
      </c>
      <c r="R257" s="128">
        <v>4.3339999999999996</v>
      </c>
      <c r="S257" s="128">
        <v>5.4429999999999996</v>
      </c>
      <c r="T257" s="128"/>
      <c r="U257" s="270">
        <v>2.4830000000000001</v>
      </c>
      <c r="V257" s="280"/>
      <c r="W257" s="262">
        <v>1.7426999999999999</v>
      </c>
      <c r="X257" s="128">
        <v>1.5</v>
      </c>
      <c r="Y257" s="128"/>
      <c r="Z257" s="128">
        <v>2.5</v>
      </c>
      <c r="AA257" s="262">
        <v>2.6818399999999998</v>
      </c>
      <c r="AB257" s="270">
        <v>2.7606000000000002</v>
      </c>
      <c r="AC257" s="270">
        <v>2.5491999999999999</v>
      </c>
      <c r="AD257" s="279"/>
      <c r="AE257" s="277">
        <f t="shared" si="43"/>
        <v>3.6853500000000001</v>
      </c>
      <c r="AF257" s="262">
        <f t="shared" si="38"/>
        <v>2.6818399999999998</v>
      </c>
      <c r="AG257" s="128">
        <v>0.75719999999999998</v>
      </c>
      <c r="AH257" s="702">
        <v>2.5</v>
      </c>
      <c r="AI257" s="128"/>
      <c r="AJ257" s="128"/>
      <c r="AK257" s="128"/>
      <c r="AL257" s="128"/>
      <c r="AM257" s="242"/>
      <c r="AN257" s="270">
        <v>2.68</v>
      </c>
      <c r="AO257" s="270">
        <v>2.4830000000000001</v>
      </c>
      <c r="AP257" s="270"/>
      <c r="AQ257" s="270"/>
      <c r="AR257" s="270"/>
      <c r="AS257" s="270"/>
      <c r="AT257" s="270"/>
      <c r="AU257" s="270"/>
      <c r="AV257" s="245">
        <v>0.45</v>
      </c>
      <c r="AW257" s="245"/>
      <c r="AX257" s="245"/>
      <c r="AY257" s="245">
        <v>0.4</v>
      </c>
      <c r="AZ257" s="245">
        <v>0.15</v>
      </c>
      <c r="BA257" s="245">
        <v>0</v>
      </c>
      <c r="BB257" s="245"/>
      <c r="BC257" s="245">
        <f t="shared" si="35"/>
        <v>1</v>
      </c>
      <c r="BD257" s="240">
        <f t="shared" si="36"/>
        <v>3.6319560000000002</v>
      </c>
      <c r="BE257" s="243">
        <f t="shared" si="39"/>
        <v>3.6319560000000002</v>
      </c>
      <c r="BF257" s="235">
        <v>0.35</v>
      </c>
      <c r="BG257" s="235">
        <v>0</v>
      </c>
      <c r="BH257" s="235">
        <v>0</v>
      </c>
      <c r="BI257" s="235"/>
      <c r="BJ257" s="235">
        <v>0.15</v>
      </c>
      <c r="BK257" s="235"/>
      <c r="BL257" s="235"/>
      <c r="BM257" s="235">
        <v>0.3</v>
      </c>
      <c r="BN257" s="235"/>
      <c r="BO257" s="235">
        <v>0.2</v>
      </c>
      <c r="BP257" s="235">
        <f t="shared" si="49"/>
        <v>1</v>
      </c>
      <c r="BQ257" s="243">
        <f t="shared" si="44"/>
        <v>3.6319559999999997</v>
      </c>
      <c r="BS257" s="341">
        <f t="array" ref="BS257">((1+10.8/100)^(1/12)-1)*100</f>
        <v>0.85830069477084159</v>
      </c>
      <c r="BT257" s="341"/>
      <c r="BU257" s="341"/>
      <c r="BV257" s="341">
        <f t="array" ref="BV257">((1+6.8/100)^(1/12)-1)*100</f>
        <v>0.54973670825229082</v>
      </c>
      <c r="BW257" s="341">
        <f t="array" ref="BW257">((1+11.6/100)^(1/12)-1)*100</f>
        <v>0.9187856919632198</v>
      </c>
      <c r="BX257" s="341"/>
      <c r="BY257" s="341">
        <f t="shared" si="50"/>
        <v>0.74394784974227801</v>
      </c>
      <c r="BZ257" s="341">
        <f t="shared" si="45"/>
        <v>0.85830069477084159</v>
      </c>
      <c r="CA257" s="341"/>
      <c r="CB257" s="243">
        <f t="shared" si="40"/>
        <v>0.64340301100034303</v>
      </c>
      <c r="CC257" s="243"/>
      <c r="CD257" s="243">
        <f t="shared" si="42"/>
        <v>0.64340301100034303</v>
      </c>
      <c r="CG257" s="734">
        <f t="shared" si="37"/>
        <v>5.6280000000000001</v>
      </c>
      <c r="CJ257" s="1264">
        <f t="shared" si="41"/>
        <v>0.79741404289037643</v>
      </c>
    </row>
    <row r="258" spans="1:88" x14ac:dyDescent="0.2">
      <c r="A258" s="19">
        <v>35369</v>
      </c>
      <c r="B258" s="262">
        <v>2.758</v>
      </c>
      <c r="C258" s="270">
        <v>2.1669</v>
      </c>
      <c r="D258" s="270">
        <v>3.39</v>
      </c>
      <c r="E258" s="270">
        <v>0.29060000000000002</v>
      </c>
      <c r="F258" s="270">
        <v>-1.0201</v>
      </c>
      <c r="G258" s="270">
        <v>1.6597999999999999</v>
      </c>
      <c r="H258" s="270">
        <v>-1.5409999999999999</v>
      </c>
      <c r="I258" s="262">
        <v>-4.3140000000000001</v>
      </c>
      <c r="J258" s="270">
        <v>1.1599999999999999</v>
      </c>
      <c r="K258" s="128">
        <v>-0.69220000000000004</v>
      </c>
      <c r="L258" s="128">
        <v>-2.4314</v>
      </c>
      <c r="M258" s="128">
        <v>1.1006</v>
      </c>
      <c r="N258" s="262">
        <f t="shared" si="46"/>
        <v>-1.5409999999999999</v>
      </c>
      <c r="O258" s="262">
        <f t="shared" si="47"/>
        <v>-4.3140000000000001</v>
      </c>
      <c r="P258" s="262">
        <f t="shared" si="48"/>
        <v>1.1599999999999999</v>
      </c>
      <c r="Q258" s="270">
        <v>-3.1110000000000002</v>
      </c>
      <c r="R258" s="128">
        <v>-0.65700000000000003</v>
      </c>
      <c r="S258" s="128">
        <v>1.8280000000000001</v>
      </c>
      <c r="T258" s="128"/>
      <c r="U258" s="270">
        <v>-1.0009999999999999</v>
      </c>
      <c r="V258" s="280"/>
      <c r="W258" s="262">
        <v>2.2151000000000001</v>
      </c>
      <c r="X258" s="128">
        <v>1.84</v>
      </c>
      <c r="Y258" s="128"/>
      <c r="Z258" s="128">
        <v>1.93</v>
      </c>
      <c r="AA258" s="262">
        <v>-0.99848000000000003</v>
      </c>
      <c r="AB258" s="270">
        <v>-0.80869999999999997</v>
      </c>
      <c r="AC258" s="270">
        <v>-1.2231000000000001</v>
      </c>
      <c r="AD258" s="280"/>
      <c r="AE258" s="277">
        <f t="shared" si="43"/>
        <v>2.4865500000000003</v>
      </c>
      <c r="AF258" s="262">
        <f t="shared" si="38"/>
        <v>-0.99848000000000003</v>
      </c>
      <c r="AG258" s="128">
        <v>0.86839999999999995</v>
      </c>
      <c r="AH258" s="702">
        <v>2.71</v>
      </c>
      <c r="AI258" s="128"/>
      <c r="AJ258" s="128"/>
      <c r="AK258" s="128"/>
      <c r="AL258" s="128"/>
      <c r="AM258" s="242"/>
      <c r="AN258" s="270">
        <v>-1</v>
      </c>
      <c r="AO258" s="270">
        <v>-1.0009999999999999</v>
      </c>
      <c r="AP258" s="270"/>
      <c r="AQ258" s="270"/>
      <c r="AR258" s="270"/>
      <c r="AS258" s="270"/>
      <c r="AT258" s="270"/>
      <c r="AU258" s="270"/>
      <c r="AV258" s="245">
        <v>0.45</v>
      </c>
      <c r="AW258" s="245"/>
      <c r="AX258" s="245"/>
      <c r="AY258" s="245">
        <v>0.4</v>
      </c>
      <c r="AZ258" s="245">
        <v>0.15</v>
      </c>
      <c r="BA258" s="245">
        <v>0</v>
      </c>
      <c r="BB258" s="245"/>
      <c r="BC258" s="245">
        <f t="shared" si="35"/>
        <v>1</v>
      </c>
      <c r="BD258" s="240">
        <f t="shared" si="36"/>
        <v>1.9773680000000002</v>
      </c>
      <c r="BE258" s="243">
        <f t="shared" si="39"/>
        <v>1.9773680000000002</v>
      </c>
      <c r="BF258" s="235">
        <v>0.35</v>
      </c>
      <c r="BG258" s="235">
        <v>0</v>
      </c>
      <c r="BH258" s="235">
        <v>0</v>
      </c>
      <c r="BI258" s="235"/>
      <c r="BJ258" s="235">
        <v>0.15</v>
      </c>
      <c r="BK258" s="235"/>
      <c r="BL258" s="235"/>
      <c r="BM258" s="235">
        <v>0.3</v>
      </c>
      <c r="BN258" s="235"/>
      <c r="BO258" s="235">
        <v>0.2</v>
      </c>
      <c r="BP258" s="235">
        <f t="shared" si="49"/>
        <v>1</v>
      </c>
      <c r="BQ258" s="243">
        <f t="shared" si="44"/>
        <v>1.977368</v>
      </c>
      <c r="BS258" s="341">
        <f t="array" ref="BS258">((1+10.8/100)^(1/12)-1)*100</f>
        <v>0.85830069477084159</v>
      </c>
      <c r="BT258" s="341"/>
      <c r="BU258" s="341"/>
      <c r="BV258" s="341">
        <f t="array" ref="BV258">((1+6.8/100)^(1/12)-1)*100</f>
        <v>0.54973670825229082</v>
      </c>
      <c r="BW258" s="341">
        <f t="array" ref="BW258">((1+11.6/100)^(1/12)-1)*100</f>
        <v>0.9187856919632198</v>
      </c>
      <c r="BX258" s="341"/>
      <c r="BY258" s="341">
        <f t="shared" si="50"/>
        <v>0.74394784974227801</v>
      </c>
      <c r="BZ258" s="341">
        <f t="shared" si="45"/>
        <v>0.85830069477084159</v>
      </c>
      <c r="CA258" s="341"/>
      <c r="CB258" s="243">
        <f t="shared" si="40"/>
        <v>0.64340301100034303</v>
      </c>
      <c r="CC258" s="243"/>
      <c r="CD258" s="243">
        <f t="shared" si="42"/>
        <v>0.64340301100034303</v>
      </c>
      <c r="CG258" s="734">
        <f t="shared" si="37"/>
        <v>2.758</v>
      </c>
      <c r="CJ258" s="1264">
        <f t="shared" si="41"/>
        <v>0.79741404289037643</v>
      </c>
    </row>
    <row r="259" spans="1:88" x14ac:dyDescent="0.2">
      <c r="A259" s="19">
        <v>35399</v>
      </c>
      <c r="B259" s="262">
        <v>7.5590000000000002</v>
      </c>
      <c r="C259" s="270">
        <v>7.4739000000000004</v>
      </c>
      <c r="D259" s="270">
        <v>7.65</v>
      </c>
      <c r="E259" s="270">
        <v>5.6329000000000002</v>
      </c>
      <c r="F259" s="270">
        <v>5.42</v>
      </c>
      <c r="G259" s="270">
        <v>5.8593000000000002</v>
      </c>
      <c r="H259" s="270">
        <v>4.12</v>
      </c>
      <c r="I259" s="262">
        <v>2.7810000000000001</v>
      </c>
      <c r="J259" s="270">
        <v>5.3810000000000002</v>
      </c>
      <c r="K259" s="128">
        <v>5.1936999999999998</v>
      </c>
      <c r="L259" s="128">
        <v>4.4362000000000004</v>
      </c>
      <c r="M259" s="128">
        <v>5.9522000000000004</v>
      </c>
      <c r="N259" s="262">
        <f t="shared" si="46"/>
        <v>4.12</v>
      </c>
      <c r="O259" s="262">
        <f t="shared" si="47"/>
        <v>2.7810000000000001</v>
      </c>
      <c r="P259" s="262">
        <f t="shared" si="48"/>
        <v>5.3810000000000002</v>
      </c>
      <c r="Q259" s="270">
        <v>3.6659999999999999</v>
      </c>
      <c r="R259" s="128">
        <v>4.8319999999999999</v>
      </c>
      <c r="S259" s="128">
        <v>7.0540000000000003</v>
      </c>
      <c r="T259" s="128"/>
      <c r="U259" s="270">
        <v>3.8580000000000001</v>
      </c>
      <c r="V259" s="280"/>
      <c r="W259" s="262">
        <v>1.7129000000000001</v>
      </c>
      <c r="X259" s="128">
        <v>1.36</v>
      </c>
      <c r="Y259" s="128"/>
      <c r="Z259" s="128">
        <v>3.07</v>
      </c>
      <c r="AA259" s="262">
        <v>4.0038</v>
      </c>
      <c r="AB259" s="270">
        <v>3.2155999999999998</v>
      </c>
      <c r="AC259" s="270">
        <v>4.8350999999999997</v>
      </c>
      <c r="AD259" s="280"/>
      <c r="AE259" s="277">
        <f t="shared" si="43"/>
        <v>4.6359500000000002</v>
      </c>
      <c r="AF259" s="262">
        <f t="shared" si="38"/>
        <v>4.0038</v>
      </c>
      <c r="AG259" s="128">
        <v>0.86839999999999995</v>
      </c>
      <c r="AH259" s="702">
        <v>4.1500000000000004</v>
      </c>
      <c r="AI259" s="128"/>
      <c r="AJ259" s="128"/>
      <c r="AK259" s="128"/>
      <c r="AL259" s="128"/>
      <c r="AM259" s="242"/>
      <c r="AN259" s="270">
        <v>4.0038</v>
      </c>
      <c r="AO259" s="270">
        <v>3.8580000000000001</v>
      </c>
      <c r="AP259" s="270"/>
      <c r="AQ259" s="270"/>
      <c r="AR259" s="270"/>
      <c r="AS259" s="270"/>
      <c r="AT259" s="270"/>
      <c r="AU259" s="270"/>
      <c r="AV259" s="245">
        <v>0.45</v>
      </c>
      <c r="AW259" s="245"/>
      <c r="AX259" s="245"/>
      <c r="AY259" s="245">
        <v>0.4</v>
      </c>
      <c r="AZ259" s="245">
        <v>0.15</v>
      </c>
      <c r="BA259" s="245">
        <v>0</v>
      </c>
      <c r="BB259" s="245"/>
      <c r="BC259" s="245">
        <f t="shared" ref="BC259:BC322" si="51">SUM(AV259:BA259)</f>
        <v>1</v>
      </c>
      <c r="BD259" s="240">
        <f t="shared" ref="BD259:BD322" si="52">(B259*AV259)+(W259*AY259)+(AA259*AZ259)+(U259*BA259)</f>
        <v>4.6872800000000003</v>
      </c>
      <c r="BE259" s="243">
        <f t="shared" si="39"/>
        <v>4.6872800000000003</v>
      </c>
      <c r="BF259" s="235">
        <v>0.35</v>
      </c>
      <c r="BG259" s="235">
        <v>0</v>
      </c>
      <c r="BH259" s="235">
        <v>0</v>
      </c>
      <c r="BI259" s="235"/>
      <c r="BJ259" s="235">
        <v>0.15</v>
      </c>
      <c r="BK259" s="235"/>
      <c r="BL259" s="235"/>
      <c r="BM259" s="235">
        <v>0.3</v>
      </c>
      <c r="BN259" s="235"/>
      <c r="BO259" s="235">
        <v>0.2</v>
      </c>
      <c r="BP259" s="235">
        <f t="shared" si="49"/>
        <v>1</v>
      </c>
      <c r="BQ259" s="243">
        <f t="shared" si="44"/>
        <v>4.6872800000000003</v>
      </c>
      <c r="BS259" s="341">
        <f t="array" ref="BS259">((1+10.8/100)^(1/12)-1)*100</f>
        <v>0.85830069477084159</v>
      </c>
      <c r="BT259" s="341"/>
      <c r="BU259" s="341"/>
      <c r="BV259" s="341">
        <f t="array" ref="BV259">((1+6.8/100)^(1/12)-1)*100</f>
        <v>0.54973670825229082</v>
      </c>
      <c r="BW259" s="341">
        <f t="array" ref="BW259">((1+11.6/100)^(1/12)-1)*100</f>
        <v>0.9187856919632198</v>
      </c>
      <c r="BX259" s="341"/>
      <c r="BY259" s="341">
        <f t="shared" si="50"/>
        <v>0.74394784974227801</v>
      </c>
      <c r="BZ259" s="341">
        <f t="shared" si="45"/>
        <v>0.85830069477084159</v>
      </c>
      <c r="CA259" s="341"/>
      <c r="CB259" s="243">
        <f t="shared" si="40"/>
        <v>0.64340301100034303</v>
      </c>
      <c r="CC259" s="243"/>
      <c r="CD259" s="243">
        <f t="shared" si="42"/>
        <v>0.64340301100034303</v>
      </c>
      <c r="CG259" s="734">
        <f t="shared" ref="CG259:CG322" si="53">B259</f>
        <v>7.5590000000000002</v>
      </c>
      <c r="CJ259" s="1264">
        <f t="shared" si="41"/>
        <v>0.79741404289037643</v>
      </c>
    </row>
    <row r="260" spans="1:88" x14ac:dyDescent="0.2">
      <c r="A260" s="19">
        <v>35430</v>
      </c>
      <c r="B260" s="262">
        <v>-1.9810000000000001</v>
      </c>
      <c r="C260" s="270">
        <v>-2.3104</v>
      </c>
      <c r="D260" s="270">
        <v>-1.64</v>
      </c>
      <c r="E260" s="270">
        <v>0.11070000000000001</v>
      </c>
      <c r="F260" s="262">
        <v>-1.0702</v>
      </c>
      <c r="G260" s="270">
        <v>1.2098</v>
      </c>
      <c r="H260" s="270">
        <v>2.621</v>
      </c>
      <c r="I260" s="262">
        <v>1.95</v>
      </c>
      <c r="J260" s="270">
        <v>3.246</v>
      </c>
      <c r="K260" s="128">
        <v>1.1706000000000001</v>
      </c>
      <c r="L260" s="128">
        <v>0.90939999999999999</v>
      </c>
      <c r="M260" s="128">
        <v>1.4285000000000001</v>
      </c>
      <c r="N260" s="262">
        <f t="shared" si="46"/>
        <v>2.621</v>
      </c>
      <c r="O260" s="262">
        <f t="shared" si="47"/>
        <v>1.95</v>
      </c>
      <c r="P260" s="262">
        <f t="shared" si="48"/>
        <v>3.246</v>
      </c>
      <c r="Q260" s="270">
        <v>0.49</v>
      </c>
      <c r="R260" s="128">
        <v>1.369</v>
      </c>
      <c r="S260" s="128">
        <v>-1.204</v>
      </c>
      <c r="T260" s="128"/>
      <c r="U260" s="270">
        <v>-1.1579999999999999</v>
      </c>
      <c r="V260" s="280"/>
      <c r="W260" s="262">
        <v>-0.92979999999999996</v>
      </c>
      <c r="X260" s="128">
        <v>-0.59</v>
      </c>
      <c r="Y260" s="128"/>
      <c r="Z260" s="128">
        <v>0.82</v>
      </c>
      <c r="AA260" s="262">
        <v>-1.26234</v>
      </c>
      <c r="AB260" s="270">
        <v>-1.7997000000000001</v>
      </c>
      <c r="AC260" s="270">
        <v>-0.75449999999999995</v>
      </c>
      <c r="AD260" s="279"/>
      <c r="AE260" s="277">
        <f t="shared" si="43"/>
        <v>-1.4554</v>
      </c>
      <c r="AF260" s="262">
        <f t="shared" ref="AF260:AF323" si="54">AA260</f>
        <v>-1.26234</v>
      </c>
      <c r="AG260" s="128">
        <v>0.86839999999999995</v>
      </c>
      <c r="AH260" s="702">
        <v>10.67</v>
      </c>
      <c r="AI260" s="128"/>
      <c r="AJ260" s="128"/>
      <c r="AK260" s="128"/>
      <c r="AL260" s="128"/>
      <c r="AM260" s="242"/>
      <c r="AN260" s="270">
        <v>-1.2625</v>
      </c>
      <c r="AO260" s="270">
        <v>-1.1579999999999999</v>
      </c>
      <c r="AP260" s="270"/>
      <c r="AQ260" s="270"/>
      <c r="AR260" s="270"/>
      <c r="AS260" s="270"/>
      <c r="AT260" s="270"/>
      <c r="AU260" s="270"/>
      <c r="AV260" s="245">
        <v>0.45</v>
      </c>
      <c r="AW260" s="245"/>
      <c r="AX260" s="245"/>
      <c r="AY260" s="245">
        <v>0.4</v>
      </c>
      <c r="AZ260" s="245">
        <v>0.15</v>
      </c>
      <c r="BA260" s="245">
        <v>0</v>
      </c>
      <c r="BB260" s="245"/>
      <c r="BC260" s="245">
        <f t="shared" si="51"/>
        <v>1</v>
      </c>
      <c r="BD260" s="240">
        <f t="shared" si="52"/>
        <v>-1.4527210000000002</v>
      </c>
      <c r="BE260" s="243">
        <f t="shared" ref="BE260:BE323" si="55">BD260</f>
        <v>-1.4527210000000002</v>
      </c>
      <c r="BF260" s="235">
        <v>0.35</v>
      </c>
      <c r="BG260" s="235">
        <v>0</v>
      </c>
      <c r="BH260" s="235">
        <v>0</v>
      </c>
      <c r="BI260" s="235"/>
      <c r="BJ260" s="235">
        <v>0.15</v>
      </c>
      <c r="BK260" s="235"/>
      <c r="BL260" s="235"/>
      <c r="BM260" s="235">
        <v>0.3</v>
      </c>
      <c r="BN260" s="235"/>
      <c r="BO260" s="235">
        <v>0.2</v>
      </c>
      <c r="BP260" s="235">
        <f t="shared" si="49"/>
        <v>1</v>
      </c>
      <c r="BQ260" s="243">
        <f t="shared" si="44"/>
        <v>-1.4527209999999999</v>
      </c>
      <c r="BS260" s="341">
        <f t="array" ref="BS260">((1+10.8/100)^(1/12)-1)*100</f>
        <v>0.85830069477084159</v>
      </c>
      <c r="BT260" s="341"/>
      <c r="BU260" s="341"/>
      <c r="BV260" s="341">
        <f t="array" ref="BV260">((1+6.8/100)^(1/12)-1)*100</f>
        <v>0.54973670825229082</v>
      </c>
      <c r="BW260" s="341">
        <f t="array" ref="BW260">((1+11.6/100)^(1/12)-1)*100</f>
        <v>0.9187856919632198</v>
      </c>
      <c r="BX260" s="341"/>
      <c r="BY260" s="341">
        <f t="shared" si="50"/>
        <v>0.74394784974227801</v>
      </c>
      <c r="BZ260" s="341">
        <f t="shared" si="45"/>
        <v>0.85830069477084159</v>
      </c>
      <c r="CA260" s="341"/>
      <c r="CB260" s="243">
        <f t="shared" si="40"/>
        <v>0.64340301100034303</v>
      </c>
      <c r="CC260" s="243"/>
      <c r="CD260" s="243">
        <f t="shared" si="42"/>
        <v>0.64340301100034303</v>
      </c>
      <c r="CG260" s="734">
        <f t="shared" si="53"/>
        <v>-1.9810000000000001</v>
      </c>
      <c r="CJ260" s="1264">
        <f t="shared" si="41"/>
        <v>0.79741404289037643</v>
      </c>
    </row>
    <row r="261" spans="1:88" x14ac:dyDescent="0.2">
      <c r="A261" s="19">
        <v>35461</v>
      </c>
      <c r="B261" s="262">
        <v>6.2480000000000002</v>
      </c>
      <c r="C261" s="270">
        <v>7.8329000000000004</v>
      </c>
      <c r="D261" s="270">
        <v>4.6100000000000003</v>
      </c>
      <c r="E261" s="270">
        <v>3.7541000000000002</v>
      </c>
      <c r="F261" s="270">
        <v>5.4298000000000002</v>
      </c>
      <c r="G261" s="270">
        <v>2.46</v>
      </c>
      <c r="H261" s="270">
        <v>1.998</v>
      </c>
      <c r="I261" s="262">
        <v>2.4980000000000002</v>
      </c>
      <c r="J261" s="270">
        <v>1.5369999999999999</v>
      </c>
      <c r="K261" s="128">
        <v>1.6625000000000001</v>
      </c>
      <c r="L261" s="128">
        <v>2.0301</v>
      </c>
      <c r="M261" s="128">
        <v>1.2761</v>
      </c>
      <c r="N261" s="262">
        <f t="shared" si="46"/>
        <v>1.998</v>
      </c>
      <c r="O261" s="262">
        <f t="shared" si="47"/>
        <v>2.4980000000000002</v>
      </c>
      <c r="P261" s="262">
        <f t="shared" si="48"/>
        <v>1.5369999999999999</v>
      </c>
      <c r="Q261" s="270">
        <v>2.9910000000000001</v>
      </c>
      <c r="R261" s="128">
        <v>2.7629999999999999</v>
      </c>
      <c r="S261" s="128">
        <v>5.5339999999999998</v>
      </c>
      <c r="T261" s="128"/>
      <c r="U261" s="270">
        <v>-1.837</v>
      </c>
      <c r="V261" s="280"/>
      <c r="W261" s="262">
        <v>0.30620000000000003</v>
      </c>
      <c r="X261" s="128">
        <v>0.52</v>
      </c>
      <c r="Y261" s="128"/>
      <c r="Z261" s="128">
        <v>3.49</v>
      </c>
      <c r="AA261" s="262">
        <v>-3.47662</v>
      </c>
      <c r="AB261" s="270">
        <v>-4.1482999999999999</v>
      </c>
      <c r="AC261" s="270">
        <v>-2.7461000000000002</v>
      </c>
      <c r="AD261" s="280"/>
      <c r="AE261" s="277">
        <f t="shared" si="43"/>
        <v>3.2770999999999999</v>
      </c>
      <c r="AF261" s="262">
        <f t="shared" si="54"/>
        <v>-3.47662</v>
      </c>
      <c r="AG261" s="128">
        <v>0.86170000000000002</v>
      </c>
      <c r="AH261" s="702">
        <v>1.43</v>
      </c>
      <c r="AI261" s="128"/>
      <c r="AJ261" s="128"/>
      <c r="AK261" s="128"/>
      <c r="AL261" s="128"/>
      <c r="AM261" s="242"/>
      <c r="AN261" s="270">
        <v>-3.4767000000000001</v>
      </c>
      <c r="AO261" s="270">
        <v>-1.837</v>
      </c>
      <c r="AP261" s="270"/>
      <c r="AQ261" s="270"/>
      <c r="AR261" s="270"/>
      <c r="AS261" s="270"/>
      <c r="AT261" s="270"/>
      <c r="AU261" s="270"/>
      <c r="AV261" s="245">
        <v>0.45</v>
      </c>
      <c r="AW261" s="245"/>
      <c r="AX261" s="245"/>
      <c r="AY261" s="245">
        <v>0.4</v>
      </c>
      <c r="AZ261" s="245">
        <v>0.15</v>
      </c>
      <c r="BA261" s="245">
        <v>0</v>
      </c>
      <c r="BB261" s="245"/>
      <c r="BC261" s="245">
        <f t="shared" si="51"/>
        <v>1</v>
      </c>
      <c r="BD261" s="240">
        <f t="shared" si="52"/>
        <v>2.4125870000000003</v>
      </c>
      <c r="BE261" s="243">
        <f t="shared" si="55"/>
        <v>2.4125870000000003</v>
      </c>
      <c r="BF261" s="235">
        <v>0.35</v>
      </c>
      <c r="BG261" s="235">
        <v>0</v>
      </c>
      <c r="BH261" s="235">
        <v>0</v>
      </c>
      <c r="BI261" s="235"/>
      <c r="BJ261" s="235">
        <v>0.15</v>
      </c>
      <c r="BK261" s="235"/>
      <c r="BL261" s="235"/>
      <c r="BM261" s="235">
        <v>0.3</v>
      </c>
      <c r="BN261" s="235"/>
      <c r="BO261" s="235">
        <v>0.2</v>
      </c>
      <c r="BP261" s="235">
        <f t="shared" si="49"/>
        <v>1</v>
      </c>
      <c r="BQ261" s="243">
        <f t="shared" si="44"/>
        <v>2.4125869999999998</v>
      </c>
      <c r="BS261" s="341">
        <f t="array" ref="BS261">((1+10.8/100)^(1/12)-1)*100</f>
        <v>0.85830069477084159</v>
      </c>
      <c r="BT261" s="341"/>
      <c r="BU261" s="341"/>
      <c r="BV261" s="341">
        <f t="array" ref="BV261">((1+6.8/100)^(1/12)-1)*100</f>
        <v>0.54973670825229082</v>
      </c>
      <c r="BW261" s="341">
        <f t="array" ref="BW261">((1+11.6/100)^(1/12)-1)*100</f>
        <v>0.9187856919632198</v>
      </c>
      <c r="BX261" s="341"/>
      <c r="BY261" s="341">
        <f t="shared" si="50"/>
        <v>0.74394784974227801</v>
      </c>
      <c r="BZ261" s="341">
        <f t="shared" si="45"/>
        <v>0.85830069477084159</v>
      </c>
      <c r="CA261" s="341"/>
      <c r="CB261" s="243">
        <f t="shared" si="40"/>
        <v>0.64340301100034303</v>
      </c>
      <c r="CC261" s="243"/>
      <c r="CD261" s="243">
        <f t="shared" si="42"/>
        <v>0.64340301100034303</v>
      </c>
      <c r="CG261" s="734">
        <f t="shared" si="53"/>
        <v>6.2480000000000002</v>
      </c>
      <c r="CJ261" s="1264">
        <f t="shared" si="41"/>
        <v>0.79741404289037643</v>
      </c>
    </row>
    <row r="262" spans="1:88" x14ac:dyDescent="0.2">
      <c r="A262" s="19">
        <v>35489</v>
      </c>
      <c r="B262" s="262">
        <v>0.78400000000000003</v>
      </c>
      <c r="C262" s="270">
        <v>0.83640000000000003</v>
      </c>
      <c r="D262" s="270">
        <v>0.73</v>
      </c>
      <c r="E262" s="270">
        <v>-0.82240000000000002</v>
      </c>
      <c r="F262" s="270">
        <v>-2.59</v>
      </c>
      <c r="G262" s="270">
        <v>0.93</v>
      </c>
      <c r="H262" s="270">
        <v>-2.4249999999999998</v>
      </c>
      <c r="I262" s="262">
        <v>-6.0389999999999997</v>
      </c>
      <c r="J262" s="270">
        <v>0.94899999999999995</v>
      </c>
      <c r="K262" s="128">
        <v>-2.0693000000000001</v>
      </c>
      <c r="L262" s="128">
        <v>-4.6802000000000001</v>
      </c>
      <c r="M262" s="128">
        <v>0.66320000000000001</v>
      </c>
      <c r="N262" s="262">
        <f t="shared" si="46"/>
        <v>-2.4249999999999998</v>
      </c>
      <c r="O262" s="262">
        <f t="shared" si="47"/>
        <v>-6.0389999999999997</v>
      </c>
      <c r="P262" s="262">
        <f t="shared" si="48"/>
        <v>0.94899999999999995</v>
      </c>
      <c r="Q262" s="270">
        <v>-4.3819999999999997</v>
      </c>
      <c r="R262" s="128">
        <v>-1.4850000000000001</v>
      </c>
      <c r="S262" s="128">
        <v>0.109</v>
      </c>
      <c r="T262" s="128"/>
      <c r="U262" s="270">
        <v>1.8340000000000001</v>
      </c>
      <c r="V262" s="280"/>
      <c r="W262" s="262">
        <v>0.24879999999999999</v>
      </c>
      <c r="X262" s="128">
        <v>0.24</v>
      </c>
      <c r="Y262" s="128"/>
      <c r="Z262" s="128">
        <v>-1.58</v>
      </c>
      <c r="AA262" s="262">
        <v>1.65974</v>
      </c>
      <c r="AB262" s="270">
        <v>1.5650999999999999</v>
      </c>
      <c r="AC262" s="270">
        <v>1.7607999999999999</v>
      </c>
      <c r="AD262" s="280"/>
      <c r="AE262" s="277">
        <f t="shared" si="43"/>
        <v>0.51639999999999997</v>
      </c>
      <c r="AF262" s="262">
        <f t="shared" si="54"/>
        <v>1.65974</v>
      </c>
      <c r="AG262" s="128">
        <v>0.86170000000000002</v>
      </c>
      <c r="AH262" s="702">
        <v>0.06</v>
      </c>
      <c r="AI262" s="128"/>
      <c r="AJ262" s="128"/>
      <c r="AK262" s="128"/>
      <c r="AL262" s="128"/>
      <c r="AM262" s="242"/>
      <c r="AN262" s="270">
        <v>1.6597</v>
      </c>
      <c r="AO262" s="270">
        <v>1.8340000000000001</v>
      </c>
      <c r="AP262" s="270"/>
      <c r="AQ262" s="270"/>
      <c r="AR262" s="270"/>
      <c r="AS262" s="270"/>
      <c r="AT262" s="270"/>
      <c r="AU262" s="270"/>
      <c r="AV262" s="245">
        <v>0.45</v>
      </c>
      <c r="AW262" s="245"/>
      <c r="AX262" s="245"/>
      <c r="AY262" s="245">
        <v>0.4</v>
      </c>
      <c r="AZ262" s="245">
        <v>0.15</v>
      </c>
      <c r="BA262" s="245">
        <v>0</v>
      </c>
      <c r="BB262" s="245"/>
      <c r="BC262" s="245">
        <f t="shared" si="51"/>
        <v>1</v>
      </c>
      <c r="BD262" s="240">
        <f t="shared" si="52"/>
        <v>0.70128100000000004</v>
      </c>
      <c r="BE262" s="243">
        <f t="shared" si="55"/>
        <v>0.70128100000000004</v>
      </c>
      <c r="BF262" s="235">
        <v>0.35</v>
      </c>
      <c r="BG262" s="235">
        <v>0</v>
      </c>
      <c r="BH262" s="235">
        <v>0</v>
      </c>
      <c r="BI262" s="235"/>
      <c r="BJ262" s="235">
        <v>0.15</v>
      </c>
      <c r="BK262" s="235"/>
      <c r="BL262" s="235"/>
      <c r="BM262" s="235">
        <v>0.3</v>
      </c>
      <c r="BN262" s="235"/>
      <c r="BO262" s="235">
        <v>0.2</v>
      </c>
      <c r="BP262" s="235">
        <f t="shared" si="49"/>
        <v>1</v>
      </c>
      <c r="BQ262" s="243">
        <f t="shared" si="44"/>
        <v>0.70128100000000004</v>
      </c>
      <c r="BS262" s="341">
        <f t="array" ref="BS262">((1+10.8/100)^(1/12)-1)*100</f>
        <v>0.85830069477084159</v>
      </c>
      <c r="BT262" s="341"/>
      <c r="BU262" s="341"/>
      <c r="BV262" s="341">
        <f t="array" ref="BV262">((1+6.8/100)^(1/12)-1)*100</f>
        <v>0.54973670825229082</v>
      </c>
      <c r="BW262" s="341">
        <f t="array" ref="BW262">((1+11.6/100)^(1/12)-1)*100</f>
        <v>0.9187856919632198</v>
      </c>
      <c r="BX262" s="341"/>
      <c r="BY262" s="341">
        <f t="shared" si="50"/>
        <v>0.74394784974227801</v>
      </c>
      <c r="BZ262" s="341">
        <f t="shared" si="45"/>
        <v>0.85830069477084159</v>
      </c>
      <c r="CA262" s="341"/>
      <c r="CB262" s="243">
        <f t="shared" si="40"/>
        <v>0.64340301100034303</v>
      </c>
      <c r="CC262" s="243"/>
      <c r="CD262" s="243">
        <f t="shared" si="42"/>
        <v>0.64340301100034303</v>
      </c>
      <c r="CG262" s="734">
        <f t="shared" si="53"/>
        <v>0.78400000000000003</v>
      </c>
      <c r="CJ262" s="1264">
        <f t="shared" si="41"/>
        <v>0.79741404289037643</v>
      </c>
    </row>
    <row r="263" spans="1:88" x14ac:dyDescent="0.2">
      <c r="A263" s="19">
        <v>35520</v>
      </c>
      <c r="B263" s="262">
        <v>-4.109</v>
      </c>
      <c r="C263" s="270">
        <v>-4.7481</v>
      </c>
      <c r="D263" s="270">
        <v>-3.42</v>
      </c>
      <c r="E263" s="270">
        <v>-4.2633999999999999</v>
      </c>
      <c r="F263" s="270">
        <v>-5.23</v>
      </c>
      <c r="G263" s="270">
        <v>-3.32</v>
      </c>
      <c r="H263" s="270">
        <v>-4.7190000000000003</v>
      </c>
      <c r="I263" s="262">
        <v>-7.0570000000000004</v>
      </c>
      <c r="J263" s="270">
        <v>-2.6819999999999999</v>
      </c>
      <c r="K263" s="128">
        <v>-5.1330999999999998</v>
      </c>
      <c r="L263" s="128">
        <v>-7.2182000000000004</v>
      </c>
      <c r="M263" s="128">
        <v>-3.0243000000000002</v>
      </c>
      <c r="N263" s="262">
        <f t="shared" si="46"/>
        <v>-4.7190000000000003</v>
      </c>
      <c r="O263" s="262">
        <f t="shared" si="47"/>
        <v>-7.0570000000000004</v>
      </c>
      <c r="P263" s="262">
        <f t="shared" si="48"/>
        <v>-2.6819999999999999</v>
      </c>
      <c r="Q263" s="270">
        <v>-6.58</v>
      </c>
      <c r="R263" s="128">
        <v>-4.5289999999999999</v>
      </c>
      <c r="S263" s="128">
        <v>-4.5250000000000004</v>
      </c>
      <c r="T263" s="128"/>
      <c r="U263" s="270">
        <v>-0.21</v>
      </c>
      <c r="V263" s="280"/>
      <c r="W263" s="262">
        <v>-1.1082000000000001</v>
      </c>
      <c r="X263" s="128">
        <v>-0.78</v>
      </c>
      <c r="Y263" s="128"/>
      <c r="Z263" s="128">
        <v>-2.27</v>
      </c>
      <c r="AA263" s="262">
        <v>0.38675999999999999</v>
      </c>
      <c r="AB263" s="270">
        <v>0.61150000000000004</v>
      </c>
      <c r="AC263" s="270">
        <v>0.16350000000000001</v>
      </c>
      <c r="AD263" s="280"/>
      <c r="AE263" s="277">
        <f t="shared" si="43"/>
        <v>-2.6086</v>
      </c>
      <c r="AF263" s="262">
        <f t="shared" si="54"/>
        <v>0.38675999999999999</v>
      </c>
      <c r="AG263" s="128">
        <v>0.86170000000000002</v>
      </c>
      <c r="AH263" s="702">
        <v>0.34</v>
      </c>
      <c r="AI263" s="128"/>
      <c r="AJ263" s="128"/>
      <c r="AK263" s="128"/>
      <c r="AL263" s="128"/>
      <c r="AM263" s="242"/>
      <c r="AN263" s="270">
        <v>0.38700000000000001</v>
      </c>
      <c r="AO263" s="270">
        <v>-0.21</v>
      </c>
      <c r="AP263" s="270"/>
      <c r="AQ263" s="270"/>
      <c r="AR263" s="270"/>
      <c r="AS263" s="270"/>
      <c r="AT263" s="270"/>
      <c r="AU263" s="270"/>
      <c r="AV263" s="245">
        <v>0.45</v>
      </c>
      <c r="AW263" s="245"/>
      <c r="AX263" s="245"/>
      <c r="AY263" s="245">
        <v>0.4</v>
      </c>
      <c r="AZ263" s="245">
        <v>0.15</v>
      </c>
      <c r="BA263" s="245">
        <v>0</v>
      </c>
      <c r="BB263" s="245"/>
      <c r="BC263" s="245">
        <f t="shared" si="51"/>
        <v>1</v>
      </c>
      <c r="BD263" s="240">
        <f t="shared" si="52"/>
        <v>-2.2343160000000002</v>
      </c>
      <c r="BE263" s="243">
        <f t="shared" si="55"/>
        <v>-2.2343160000000002</v>
      </c>
      <c r="BF263" s="235">
        <v>0.35</v>
      </c>
      <c r="BG263" s="235">
        <v>0</v>
      </c>
      <c r="BH263" s="235">
        <v>0</v>
      </c>
      <c r="BI263" s="235"/>
      <c r="BJ263" s="235">
        <v>0.15</v>
      </c>
      <c r="BK263" s="235"/>
      <c r="BL263" s="235"/>
      <c r="BM263" s="235">
        <v>0.3</v>
      </c>
      <c r="BN263" s="235"/>
      <c r="BO263" s="235">
        <v>0.2</v>
      </c>
      <c r="BP263" s="235">
        <f t="shared" si="49"/>
        <v>1</v>
      </c>
      <c r="BQ263" s="243">
        <f t="shared" si="44"/>
        <v>-2.2343159999999997</v>
      </c>
      <c r="BS263" s="341">
        <f t="array" ref="BS263">((1+10.8/100)^(1/12)-1)*100</f>
        <v>0.85830069477084159</v>
      </c>
      <c r="BT263" s="341"/>
      <c r="BU263" s="341"/>
      <c r="BV263" s="341">
        <f t="array" ref="BV263">((1+6.8/100)^(1/12)-1)*100</f>
        <v>0.54973670825229082</v>
      </c>
      <c r="BW263" s="341">
        <f t="array" ref="BW263">((1+11.6/100)^(1/12)-1)*100</f>
        <v>0.9187856919632198</v>
      </c>
      <c r="BX263" s="341"/>
      <c r="BY263" s="341">
        <f t="shared" si="50"/>
        <v>0.74394784974227801</v>
      </c>
      <c r="BZ263" s="341">
        <f t="shared" si="45"/>
        <v>0.85830069477084159</v>
      </c>
      <c r="CA263" s="341"/>
      <c r="CB263" s="243">
        <f t="shared" si="40"/>
        <v>0.64340301100034303</v>
      </c>
      <c r="CC263" s="243"/>
      <c r="CD263" s="243">
        <f t="shared" si="42"/>
        <v>0.64340301100034303</v>
      </c>
      <c r="CG263" s="734">
        <f t="shared" si="53"/>
        <v>-4.109</v>
      </c>
      <c r="CJ263" s="1264">
        <f t="shared" si="41"/>
        <v>0.79741404289037643</v>
      </c>
    </row>
    <row r="264" spans="1:88" x14ac:dyDescent="0.2">
      <c r="A264" s="19">
        <v>35550</v>
      </c>
      <c r="B264" s="262">
        <v>5.97</v>
      </c>
      <c r="C264" s="270">
        <v>8.0745000000000005</v>
      </c>
      <c r="D264" s="270">
        <v>3.75</v>
      </c>
      <c r="E264" s="270">
        <v>2.5933999999999999</v>
      </c>
      <c r="F264" s="270">
        <v>3.11</v>
      </c>
      <c r="G264" s="270">
        <v>2.25</v>
      </c>
      <c r="H264" s="270">
        <v>0.27900000000000003</v>
      </c>
      <c r="I264" s="262">
        <v>-1.157</v>
      </c>
      <c r="J264" s="270">
        <v>1.47</v>
      </c>
      <c r="K264" s="128">
        <v>1.2244999999999999</v>
      </c>
      <c r="L264" s="128">
        <v>1.5732999999999999</v>
      </c>
      <c r="M264" s="128">
        <v>0.86060000000000003</v>
      </c>
      <c r="N264" s="262">
        <f t="shared" si="46"/>
        <v>0.27900000000000003</v>
      </c>
      <c r="O264" s="262">
        <f t="shared" si="47"/>
        <v>-1.157</v>
      </c>
      <c r="P264" s="262">
        <f t="shared" si="48"/>
        <v>1.47</v>
      </c>
      <c r="Q264" s="270">
        <v>0.45</v>
      </c>
      <c r="R264" s="128">
        <v>1.2649999999999999</v>
      </c>
      <c r="S264" s="128">
        <v>4.9260000000000002</v>
      </c>
      <c r="T264" s="128"/>
      <c r="U264" s="270">
        <v>0.84299999999999997</v>
      </c>
      <c r="V264" s="280"/>
      <c r="W264" s="262">
        <v>1.4968999999999999</v>
      </c>
      <c r="X264" s="128">
        <v>1.33</v>
      </c>
      <c r="Y264" s="128"/>
      <c r="Z264" s="128">
        <v>0.01</v>
      </c>
      <c r="AA264" s="262">
        <v>0.55478000000000005</v>
      </c>
      <c r="AB264" s="270">
        <v>1.0227999999999999</v>
      </c>
      <c r="AC264" s="270">
        <v>8.5999999999999993E-2</v>
      </c>
      <c r="AD264" s="280"/>
      <c r="AE264" s="277">
        <f t="shared" si="43"/>
        <v>3.7334499999999999</v>
      </c>
      <c r="AF264" s="262">
        <f t="shared" si="54"/>
        <v>0.55478000000000005</v>
      </c>
      <c r="AG264" s="128">
        <v>0.77329999999999999</v>
      </c>
      <c r="AH264" s="702">
        <v>-3.23</v>
      </c>
      <c r="AI264" s="128"/>
      <c r="AJ264" s="128"/>
      <c r="AK264" s="128"/>
      <c r="AL264" s="128"/>
      <c r="AM264" s="242"/>
      <c r="AN264" s="270">
        <v>0.55469999999999997</v>
      </c>
      <c r="AO264" s="270">
        <v>0.84299999999999997</v>
      </c>
      <c r="AP264" s="270"/>
      <c r="AQ264" s="270"/>
      <c r="AR264" s="270"/>
      <c r="AS264" s="270"/>
      <c r="AT264" s="270"/>
      <c r="AU264" s="270"/>
      <c r="AV264" s="245">
        <v>0.45</v>
      </c>
      <c r="AW264" s="245"/>
      <c r="AX264" s="245"/>
      <c r="AY264" s="245">
        <v>0.4</v>
      </c>
      <c r="AZ264" s="245">
        <v>0.15</v>
      </c>
      <c r="BA264" s="245">
        <v>0</v>
      </c>
      <c r="BB264" s="245"/>
      <c r="BC264" s="245">
        <f t="shared" si="51"/>
        <v>1</v>
      </c>
      <c r="BD264" s="240">
        <f t="shared" si="52"/>
        <v>3.3684769999999999</v>
      </c>
      <c r="BE264" s="243">
        <f t="shared" si="55"/>
        <v>3.3684769999999999</v>
      </c>
      <c r="BF264" s="235">
        <v>0.35</v>
      </c>
      <c r="BG264" s="235">
        <v>0</v>
      </c>
      <c r="BH264" s="235">
        <v>0</v>
      </c>
      <c r="BI264" s="235"/>
      <c r="BJ264" s="235">
        <v>0.15</v>
      </c>
      <c r="BK264" s="235"/>
      <c r="BL264" s="235"/>
      <c r="BM264" s="235">
        <v>0.3</v>
      </c>
      <c r="BN264" s="235"/>
      <c r="BO264" s="235">
        <v>0.2</v>
      </c>
      <c r="BP264" s="235">
        <f t="shared" si="49"/>
        <v>1</v>
      </c>
      <c r="BQ264" s="243">
        <f t="shared" si="44"/>
        <v>3.3684769999999995</v>
      </c>
      <c r="BS264" s="341">
        <f t="array" ref="BS264">((1+10.8/100)^(1/12)-1)*100</f>
        <v>0.85830069477084159</v>
      </c>
      <c r="BT264" s="341"/>
      <c r="BU264" s="341"/>
      <c r="BV264" s="341">
        <f t="array" ref="BV264">((1+6.8/100)^(1/12)-1)*100</f>
        <v>0.54973670825229082</v>
      </c>
      <c r="BW264" s="341">
        <f t="array" ref="BW264">((1+11.6/100)^(1/12)-1)*100</f>
        <v>0.9187856919632198</v>
      </c>
      <c r="BX264" s="341"/>
      <c r="BY264" s="341">
        <f t="shared" si="50"/>
        <v>0.74394784974227801</v>
      </c>
      <c r="BZ264" s="341">
        <f t="shared" si="45"/>
        <v>0.85830069477084159</v>
      </c>
      <c r="CA264" s="341"/>
      <c r="CB264" s="243">
        <f t="shared" si="40"/>
        <v>0.64340301100034303</v>
      </c>
      <c r="CC264" s="243"/>
      <c r="CD264" s="243">
        <f t="shared" si="42"/>
        <v>0.64340301100034303</v>
      </c>
      <c r="CG264" s="734">
        <f t="shared" si="53"/>
        <v>5.97</v>
      </c>
      <c r="CJ264" s="1264">
        <f t="shared" si="41"/>
        <v>0.79741404289037643</v>
      </c>
    </row>
    <row r="265" spans="1:88" x14ac:dyDescent="0.2">
      <c r="A265" s="19">
        <v>35581</v>
      </c>
      <c r="B265" s="262">
        <v>6.0880000000000001</v>
      </c>
      <c r="C265" s="270">
        <v>5.9263000000000003</v>
      </c>
      <c r="D265" s="270">
        <v>6.2720000000000002</v>
      </c>
      <c r="E265" s="270">
        <v>8.7439</v>
      </c>
      <c r="F265" s="270">
        <v>11.2867</v>
      </c>
      <c r="G265" s="270">
        <v>6.38</v>
      </c>
      <c r="H265" s="270">
        <v>11.125</v>
      </c>
      <c r="I265" s="262">
        <v>15.03</v>
      </c>
      <c r="J265" s="270">
        <v>7.9610000000000003</v>
      </c>
      <c r="K265" s="128">
        <v>11.745200000000001</v>
      </c>
      <c r="L265" s="128">
        <v>13.7875</v>
      </c>
      <c r="M265" s="128">
        <v>9.7342999999999993</v>
      </c>
      <c r="N265" s="262">
        <f t="shared" si="46"/>
        <v>11.125</v>
      </c>
      <c r="O265" s="262">
        <f t="shared" si="47"/>
        <v>15.03</v>
      </c>
      <c r="P265" s="262">
        <f t="shared" si="48"/>
        <v>7.9610000000000003</v>
      </c>
      <c r="Q265" s="270">
        <v>11.986000000000001</v>
      </c>
      <c r="R265" s="128">
        <v>9.2059999999999995</v>
      </c>
      <c r="S265" s="128">
        <v>6.83</v>
      </c>
      <c r="T265" s="128"/>
      <c r="U265" s="270">
        <v>6.1769999999999996</v>
      </c>
      <c r="V265" s="280"/>
      <c r="W265" s="262">
        <v>0.94530000000000003</v>
      </c>
      <c r="X265" s="128">
        <v>0.88</v>
      </c>
      <c r="Y265" s="128"/>
      <c r="Z265" s="128">
        <v>5.14</v>
      </c>
      <c r="AA265" s="262">
        <v>6.5321699999999998</v>
      </c>
      <c r="AB265" s="270">
        <v>5.8952999999999998</v>
      </c>
      <c r="AC265" s="270">
        <v>7.1760000000000002</v>
      </c>
      <c r="AD265" s="280"/>
      <c r="AE265" s="277">
        <f t="shared" si="43"/>
        <v>3.5166500000000003</v>
      </c>
      <c r="AF265" s="262">
        <f t="shared" si="54"/>
        <v>6.5321699999999998</v>
      </c>
      <c r="AG265" s="128">
        <v>0.77329999999999999</v>
      </c>
      <c r="AH265" s="702">
        <v>2.98</v>
      </c>
      <c r="AI265" s="128"/>
      <c r="AJ265" s="128"/>
      <c r="AK265" s="128"/>
      <c r="AL265" s="128"/>
      <c r="AM265" s="242"/>
      <c r="AN265" s="270">
        <v>6.5289999999999999</v>
      </c>
      <c r="AO265" s="270">
        <v>6.1769999999999996</v>
      </c>
      <c r="AP265" s="270"/>
      <c r="AQ265" s="270"/>
      <c r="AR265" s="270"/>
      <c r="AS265" s="270"/>
      <c r="AT265" s="270"/>
      <c r="AU265" s="270"/>
      <c r="AV265" s="245">
        <v>0.45</v>
      </c>
      <c r="AW265" s="245"/>
      <c r="AX265" s="245"/>
      <c r="AY265" s="245">
        <v>0.4</v>
      </c>
      <c r="AZ265" s="245">
        <v>0.15</v>
      </c>
      <c r="BA265" s="245">
        <v>0</v>
      </c>
      <c r="BB265" s="245"/>
      <c r="BC265" s="245">
        <f t="shared" si="51"/>
        <v>1</v>
      </c>
      <c r="BD265" s="240">
        <f t="shared" si="52"/>
        <v>4.0975454999999998</v>
      </c>
      <c r="BE265" s="243">
        <f t="shared" si="55"/>
        <v>4.0975454999999998</v>
      </c>
      <c r="BF265" s="235">
        <v>0.35</v>
      </c>
      <c r="BG265" s="235">
        <v>0</v>
      </c>
      <c r="BH265" s="235">
        <v>0</v>
      </c>
      <c r="BI265" s="235"/>
      <c r="BJ265" s="235">
        <v>0.15</v>
      </c>
      <c r="BK265" s="235"/>
      <c r="BL265" s="235"/>
      <c r="BM265" s="235">
        <v>0.3</v>
      </c>
      <c r="BN265" s="235"/>
      <c r="BO265" s="235">
        <v>0.2</v>
      </c>
      <c r="BP265" s="235">
        <f t="shared" si="49"/>
        <v>1</v>
      </c>
      <c r="BQ265" s="243">
        <f t="shared" si="44"/>
        <v>4.0975454999999998</v>
      </c>
      <c r="BS265" s="341">
        <f t="array" ref="BS265">((1+10.8/100)^(1/12)-1)*100</f>
        <v>0.85830069477084159</v>
      </c>
      <c r="BT265" s="341"/>
      <c r="BU265" s="341"/>
      <c r="BV265" s="341">
        <f t="array" ref="BV265">((1+6.8/100)^(1/12)-1)*100</f>
        <v>0.54973670825229082</v>
      </c>
      <c r="BW265" s="341">
        <f t="array" ref="BW265">((1+11.6/100)^(1/12)-1)*100</f>
        <v>0.9187856919632198</v>
      </c>
      <c r="BX265" s="341"/>
      <c r="BY265" s="341">
        <f t="shared" si="50"/>
        <v>0.74394784974227801</v>
      </c>
      <c r="BZ265" s="341">
        <f t="shared" si="45"/>
        <v>0.85830069477084159</v>
      </c>
      <c r="CA265" s="341"/>
      <c r="CB265" s="243">
        <f t="shared" si="40"/>
        <v>0.64340301100034303</v>
      </c>
      <c r="CC265" s="243"/>
      <c r="CD265" s="243">
        <f t="shared" si="42"/>
        <v>0.64340301100034303</v>
      </c>
      <c r="CG265" s="734">
        <f t="shared" si="53"/>
        <v>6.0880000000000001</v>
      </c>
      <c r="CJ265" s="1264">
        <f t="shared" si="41"/>
        <v>0.79741404289037643</v>
      </c>
    </row>
    <row r="266" spans="1:88" x14ac:dyDescent="0.2">
      <c r="A266" s="19">
        <v>35611</v>
      </c>
      <c r="B266" s="262">
        <v>4.4800000000000004</v>
      </c>
      <c r="C266" s="270">
        <v>5.0689000000000002</v>
      </c>
      <c r="D266" s="270">
        <v>3.82</v>
      </c>
      <c r="E266" s="270">
        <v>2.8094000000000001</v>
      </c>
      <c r="F266" s="270">
        <v>2.9298000000000002</v>
      </c>
      <c r="G266" s="270">
        <v>2.7</v>
      </c>
      <c r="H266" s="270">
        <v>4.2859999999999996</v>
      </c>
      <c r="I266" s="262">
        <v>3.391</v>
      </c>
      <c r="J266" s="270">
        <v>5.0609999999999999</v>
      </c>
      <c r="K266" s="128">
        <v>4.4203000000000001</v>
      </c>
      <c r="L266" s="128">
        <v>3.1282999999999999</v>
      </c>
      <c r="M266" s="128">
        <v>5.694</v>
      </c>
      <c r="N266" s="262">
        <f t="shared" si="46"/>
        <v>4.2859999999999996</v>
      </c>
      <c r="O266" s="262">
        <f t="shared" si="47"/>
        <v>3.391</v>
      </c>
      <c r="P266" s="262">
        <f t="shared" si="48"/>
        <v>5.0609999999999999</v>
      </c>
      <c r="Q266" s="270">
        <v>3.3460000000000001</v>
      </c>
      <c r="R266" s="128">
        <v>4.0869999999999997</v>
      </c>
      <c r="S266" s="128">
        <v>4.157</v>
      </c>
      <c r="T266" s="128"/>
      <c r="U266" s="270">
        <v>5.5179999999999998</v>
      </c>
      <c r="V266" s="280"/>
      <c r="W266" s="262">
        <v>1.1869000000000001</v>
      </c>
      <c r="X266" s="128">
        <v>1.01</v>
      </c>
      <c r="Y266" s="128"/>
      <c r="Z266" s="128">
        <v>2.2799999999999998</v>
      </c>
      <c r="AA266" s="262">
        <v>5.53749</v>
      </c>
      <c r="AB266" s="270">
        <v>5.8337000000000003</v>
      </c>
      <c r="AC266" s="270">
        <v>5.2304000000000004</v>
      </c>
      <c r="AD266" s="280"/>
      <c r="AE266" s="326">
        <f t="shared" si="43"/>
        <v>2.83345</v>
      </c>
      <c r="AF266" s="262">
        <f t="shared" si="54"/>
        <v>5.53749</v>
      </c>
      <c r="AG266" s="128">
        <v>0.77329999999999999</v>
      </c>
      <c r="AH266" s="702">
        <v>4.96</v>
      </c>
      <c r="AI266" s="128"/>
      <c r="AJ266" s="128"/>
      <c r="AK266" s="128"/>
      <c r="AL266" s="128"/>
      <c r="AM266" s="242"/>
      <c r="AN266" s="270">
        <v>5.5374999999999996</v>
      </c>
      <c r="AO266" s="270">
        <v>5.5179999999999998</v>
      </c>
      <c r="AP266" s="270"/>
      <c r="AQ266" s="270"/>
      <c r="AR266" s="270"/>
      <c r="AS266" s="270"/>
      <c r="AT266" s="270"/>
      <c r="AU266" s="270"/>
      <c r="AV266" s="246">
        <v>0.45</v>
      </c>
      <c r="AW266" s="246"/>
      <c r="AX266" s="246"/>
      <c r="AY266" s="246">
        <v>0.4</v>
      </c>
      <c r="AZ266" s="246">
        <v>0.15</v>
      </c>
      <c r="BA266" s="246">
        <v>0</v>
      </c>
      <c r="BB266" s="246"/>
      <c r="BC266" s="246">
        <f t="shared" si="51"/>
        <v>1</v>
      </c>
      <c r="BD266" s="275">
        <f t="shared" si="52"/>
        <v>3.3213835000000005</v>
      </c>
      <c r="BE266" s="243">
        <f t="shared" si="55"/>
        <v>3.3213835000000005</v>
      </c>
      <c r="BF266" s="235">
        <v>0.35</v>
      </c>
      <c r="BG266" s="235">
        <v>0</v>
      </c>
      <c r="BH266" s="235">
        <v>0</v>
      </c>
      <c r="BI266" s="235"/>
      <c r="BJ266" s="235">
        <v>0.15</v>
      </c>
      <c r="BK266" s="235"/>
      <c r="BL266" s="235"/>
      <c r="BM266" s="235">
        <v>0.3</v>
      </c>
      <c r="BN266" s="235"/>
      <c r="BO266" s="235">
        <v>0.2</v>
      </c>
      <c r="BP266" s="235">
        <f t="shared" si="49"/>
        <v>1</v>
      </c>
      <c r="BQ266" s="243">
        <f t="shared" si="44"/>
        <v>3.3213835</v>
      </c>
      <c r="BS266" s="343">
        <f t="array" ref="BS266">((1+10.8/100)^(1/12)-1)*100</f>
        <v>0.85830069477084159</v>
      </c>
      <c r="BT266" s="343"/>
      <c r="BU266" s="343"/>
      <c r="BV266" s="343">
        <f t="array" ref="BV266">((1+6.8/100)^(1/12)-1)*100</f>
        <v>0.54973670825229082</v>
      </c>
      <c r="BW266" s="343">
        <f t="array" ref="BW266">((1+11.6/100)^(1/12)-1)*100</f>
        <v>0.9187856919632198</v>
      </c>
      <c r="BX266" s="343"/>
      <c r="BY266" s="343">
        <f t="shared" si="50"/>
        <v>0.74394784974227801</v>
      </c>
      <c r="BZ266" s="341">
        <f t="shared" si="45"/>
        <v>0.85830069477084159</v>
      </c>
      <c r="CA266" s="341"/>
      <c r="CB266" s="243">
        <f t="shared" si="40"/>
        <v>0.64340301100034303</v>
      </c>
      <c r="CC266" s="243"/>
      <c r="CD266" s="243">
        <f t="shared" si="42"/>
        <v>0.64340301100034303</v>
      </c>
      <c r="CG266" s="734">
        <f t="shared" si="53"/>
        <v>4.4800000000000004</v>
      </c>
      <c r="CJ266" s="1264">
        <f t="shared" si="41"/>
        <v>0.79741404289037643</v>
      </c>
    </row>
    <row r="267" spans="1:88" x14ac:dyDescent="0.2">
      <c r="A267" s="19">
        <v>35642</v>
      </c>
      <c r="B267" s="262">
        <v>7.9569999999999999</v>
      </c>
      <c r="C267" s="270">
        <v>7.9169</v>
      </c>
      <c r="D267" s="270">
        <v>8</v>
      </c>
      <c r="E267" s="270">
        <v>9.9009</v>
      </c>
      <c r="F267" s="270">
        <v>12.453099999999999</v>
      </c>
      <c r="G267" s="270">
        <v>7.39</v>
      </c>
      <c r="H267" s="270">
        <v>4.6529999999999996</v>
      </c>
      <c r="I267" s="262">
        <v>5.1239999999999997</v>
      </c>
      <c r="J267" s="270">
        <v>4.1970000000000001</v>
      </c>
      <c r="K267" s="128">
        <v>6.2866999999999997</v>
      </c>
      <c r="L267" s="128">
        <v>7.0399000000000003</v>
      </c>
      <c r="M267" s="128">
        <v>5.5023999999999997</v>
      </c>
      <c r="N267" s="262">
        <f t="shared" si="46"/>
        <v>4.6529999999999996</v>
      </c>
      <c r="O267" s="262">
        <f t="shared" si="47"/>
        <v>5.1239999999999997</v>
      </c>
      <c r="P267" s="262">
        <f t="shared" si="48"/>
        <v>4.1970000000000001</v>
      </c>
      <c r="Q267" s="270">
        <v>6.3470000000000004</v>
      </c>
      <c r="R267" s="128">
        <v>5.8620000000000001</v>
      </c>
      <c r="S267" s="128">
        <v>7.84</v>
      </c>
      <c r="T267" s="128"/>
      <c r="U267" s="270">
        <v>2.0249999999999999</v>
      </c>
      <c r="V267" s="280"/>
      <c r="W267" s="262">
        <v>2.6966999999999999</v>
      </c>
      <c r="X267" s="128">
        <v>1.97</v>
      </c>
      <c r="Y267" s="128"/>
      <c r="Z267" s="128">
        <v>7.03</v>
      </c>
      <c r="AA267" s="262">
        <v>1.6383300000000001</v>
      </c>
      <c r="AB267" s="270">
        <v>2.4068999999999998</v>
      </c>
      <c r="AC267" s="270">
        <v>0.83009999999999995</v>
      </c>
      <c r="AD267" s="280"/>
      <c r="AE267" s="277">
        <f t="shared" ref="AE267:AE298" si="56">(B267*0.75)+(W267*0.25)</f>
        <v>6.6419249999999996</v>
      </c>
      <c r="AF267" s="262">
        <f t="shared" si="54"/>
        <v>1.6383300000000001</v>
      </c>
      <c r="AG267" s="128">
        <v>0.93189999999999995</v>
      </c>
      <c r="AH267" s="702">
        <v>3.29</v>
      </c>
      <c r="AI267" s="128"/>
      <c r="AJ267" s="128"/>
      <c r="AK267" s="128"/>
      <c r="AL267" s="128"/>
      <c r="AM267" s="242"/>
      <c r="AN267" s="270">
        <v>1.6385000000000001</v>
      </c>
      <c r="AO267" s="270">
        <v>2.0249999999999999</v>
      </c>
      <c r="AP267" s="270"/>
      <c r="AQ267" s="270"/>
      <c r="AR267" s="270"/>
      <c r="AS267" s="270"/>
      <c r="AT267" s="270"/>
      <c r="AU267" s="270"/>
      <c r="AV267" s="245">
        <v>0.5</v>
      </c>
      <c r="AW267" s="245"/>
      <c r="AX267" s="245"/>
      <c r="AY267" s="245">
        <v>0.35</v>
      </c>
      <c r="AZ267" s="245">
        <v>0.15</v>
      </c>
      <c r="BA267" s="245">
        <v>0</v>
      </c>
      <c r="BB267" s="245"/>
      <c r="BC267" s="245">
        <f t="shared" si="51"/>
        <v>1</v>
      </c>
      <c r="BD267" s="240">
        <f t="shared" si="52"/>
        <v>5.1680944999999996</v>
      </c>
      <c r="BE267" s="243">
        <f t="shared" si="55"/>
        <v>5.1680944999999996</v>
      </c>
      <c r="BF267" s="235">
        <v>0.35</v>
      </c>
      <c r="BG267" s="235">
        <v>0</v>
      </c>
      <c r="BH267" s="235">
        <v>0</v>
      </c>
      <c r="BI267" s="235"/>
      <c r="BJ267" s="235">
        <v>0.15</v>
      </c>
      <c r="BK267" s="235"/>
      <c r="BL267" s="235"/>
      <c r="BM267" s="235">
        <v>0.3</v>
      </c>
      <c r="BN267" s="235"/>
      <c r="BO267" s="235">
        <v>0.2</v>
      </c>
      <c r="BP267" s="235">
        <f t="shared" si="49"/>
        <v>1</v>
      </c>
      <c r="BQ267" s="243">
        <f t="shared" si="44"/>
        <v>5.1680944999999996</v>
      </c>
      <c r="BS267" s="341">
        <f t="array" ref="BS267">((1+10.2/100)^(1/12)-1)*100</f>
        <v>0.81267366616946113</v>
      </c>
      <c r="BT267" s="341"/>
      <c r="BU267" s="341"/>
      <c r="BV267" s="341">
        <f t="array" ref="BV267">((1+7/100)^(1/12)-1)*100</f>
        <v>0.56541453874052738</v>
      </c>
      <c r="BW267" s="341">
        <f t="array" ref="BW267">((1+10.6/100)^(1/12)-1)*100</f>
        <v>0.8431169043400244</v>
      </c>
      <c r="BX267" s="341"/>
      <c r="BY267" s="341">
        <f>(BS267*AV267)+(BV267*AY267)+(BW267*AZ267)</f>
        <v>0.73069945729491881</v>
      </c>
      <c r="BZ267" s="341">
        <f t="shared" si="45"/>
        <v>0.81267366616946113</v>
      </c>
      <c r="CA267" s="341"/>
      <c r="CB267" s="243">
        <f t="shared" si="40"/>
        <v>0.64340301100034303</v>
      </c>
      <c r="CC267" s="243"/>
      <c r="CD267" s="243">
        <f t="shared" si="42"/>
        <v>0.64340301100034303</v>
      </c>
      <c r="CG267" s="734">
        <f t="shared" si="53"/>
        <v>7.9569999999999999</v>
      </c>
      <c r="CJ267" s="1264">
        <f t="shared" si="41"/>
        <v>0.79741404289037643</v>
      </c>
    </row>
    <row r="268" spans="1:88" x14ac:dyDescent="0.2">
      <c r="A268" s="19">
        <v>35673</v>
      </c>
      <c r="B268" s="262">
        <v>-5.6020000000000003</v>
      </c>
      <c r="C268" s="270">
        <v>-6.6534000000000004</v>
      </c>
      <c r="D268" s="270">
        <v>-4.5199999999999996</v>
      </c>
      <c r="E268" s="270">
        <v>-0.1215</v>
      </c>
      <c r="F268" s="270">
        <v>-0.93610000000000004</v>
      </c>
      <c r="G268" s="270">
        <v>0.66</v>
      </c>
      <c r="H268" s="270">
        <v>2.2879999999999998</v>
      </c>
      <c r="I268" s="262">
        <v>3.0009999999999999</v>
      </c>
      <c r="J268" s="270">
        <v>1.5880000000000001</v>
      </c>
      <c r="K268" s="128">
        <v>2.5181</v>
      </c>
      <c r="L268" s="128">
        <v>2.9988000000000001</v>
      </c>
      <c r="M268" s="128">
        <v>2.0177</v>
      </c>
      <c r="N268" s="262">
        <f t="shared" si="46"/>
        <v>2.2879999999999998</v>
      </c>
      <c r="O268" s="262">
        <f t="shared" si="47"/>
        <v>3.0009999999999999</v>
      </c>
      <c r="P268" s="262">
        <f t="shared" si="48"/>
        <v>1.5880000000000001</v>
      </c>
      <c r="Q268" s="270">
        <v>2.44</v>
      </c>
      <c r="R268" s="128">
        <v>1.3919999999999999</v>
      </c>
      <c r="S268" s="128">
        <v>-4.056</v>
      </c>
      <c r="T268" s="128"/>
      <c r="U268" s="270">
        <v>-7.867</v>
      </c>
      <c r="V268" s="280"/>
      <c r="W268" s="262">
        <v>-0.85299999999999998</v>
      </c>
      <c r="X268" s="128">
        <v>-0.4</v>
      </c>
      <c r="Y268" s="128"/>
      <c r="Z268" s="128">
        <v>0.62</v>
      </c>
      <c r="AA268" s="262">
        <v>-7.4478799999999996</v>
      </c>
      <c r="AB268" s="270">
        <v>-7.6962999999999999</v>
      </c>
      <c r="AC268" s="270">
        <v>-7.1801000000000004</v>
      </c>
      <c r="AD268" s="280"/>
      <c r="AE268" s="277">
        <f t="shared" si="56"/>
        <v>-4.4147500000000006</v>
      </c>
      <c r="AF268" s="262">
        <f t="shared" si="54"/>
        <v>-7.4478799999999996</v>
      </c>
      <c r="AG268" s="128">
        <v>0.93189999999999995</v>
      </c>
      <c r="AH268" s="702">
        <v>-0.74</v>
      </c>
      <c r="AI268" s="128"/>
      <c r="AJ268" s="128"/>
      <c r="AK268" s="128"/>
      <c r="AL268" s="128"/>
      <c r="AM268" s="242"/>
      <c r="AN268" s="270">
        <v>-7.4481000000000002</v>
      </c>
      <c r="AO268" s="270">
        <v>-7.867</v>
      </c>
      <c r="AP268" s="270"/>
      <c r="AQ268" s="270"/>
      <c r="AR268" s="270"/>
      <c r="AS268" s="270"/>
      <c r="AT268" s="270"/>
      <c r="AU268" s="270"/>
      <c r="AV268" s="245">
        <v>0.5</v>
      </c>
      <c r="AW268" s="245"/>
      <c r="AX268" s="245"/>
      <c r="AY268" s="245">
        <v>0.35</v>
      </c>
      <c r="AZ268" s="245">
        <v>0.15</v>
      </c>
      <c r="BA268" s="245">
        <v>0</v>
      </c>
      <c r="BB268" s="245"/>
      <c r="BC268" s="245">
        <f t="shared" si="51"/>
        <v>1</v>
      </c>
      <c r="BD268" s="240">
        <f t="shared" si="52"/>
        <v>-4.2167320000000004</v>
      </c>
      <c r="BE268" s="243">
        <f t="shared" si="55"/>
        <v>-4.2167320000000004</v>
      </c>
      <c r="BF268" s="235">
        <v>0.35</v>
      </c>
      <c r="BG268" s="235">
        <v>0</v>
      </c>
      <c r="BH268" s="235">
        <v>0</v>
      </c>
      <c r="BI268" s="235"/>
      <c r="BJ268" s="235">
        <v>0.15</v>
      </c>
      <c r="BK268" s="235"/>
      <c r="BL268" s="235"/>
      <c r="BM268" s="235">
        <v>0.3</v>
      </c>
      <c r="BN268" s="235"/>
      <c r="BO268" s="235">
        <v>0.2</v>
      </c>
      <c r="BP268" s="235">
        <f t="shared" si="49"/>
        <v>1</v>
      </c>
      <c r="BQ268" s="243">
        <f t="shared" si="44"/>
        <v>-4.2167320000000004</v>
      </c>
      <c r="BS268" s="341">
        <f t="array" ref="BS268">((1+10.2/100)^(1/12)-1)*100</f>
        <v>0.81267366616946113</v>
      </c>
      <c r="BT268" s="341"/>
      <c r="BU268" s="341"/>
      <c r="BV268" s="341">
        <f t="array" ref="BV268">((1+7/100)^(1/12)-1)*100</f>
        <v>0.56541453874052738</v>
      </c>
      <c r="BW268" s="341">
        <f t="array" ref="BW268">((1+10.6/100)^(1/12)-1)*100</f>
        <v>0.8431169043400244</v>
      </c>
      <c r="BX268" s="341"/>
      <c r="BY268" s="341">
        <f>(BS268*AV268)+(BV268*AY268)+(BW268*AZ268)</f>
        <v>0.73069945729491881</v>
      </c>
      <c r="BZ268" s="341">
        <f t="shared" si="45"/>
        <v>0.81267366616946113</v>
      </c>
      <c r="CA268" s="341"/>
      <c r="CB268" s="243">
        <f t="shared" si="40"/>
        <v>0.64340301100034303</v>
      </c>
      <c r="CC268" s="243"/>
      <c r="CD268" s="243">
        <f t="shared" si="42"/>
        <v>0.64340301100034303</v>
      </c>
      <c r="CG268" s="734">
        <f t="shared" si="53"/>
        <v>-5.6020000000000003</v>
      </c>
      <c r="CJ268" s="1264">
        <f t="shared" si="41"/>
        <v>0.79741404289037643</v>
      </c>
    </row>
    <row r="269" spans="1:88" x14ac:dyDescent="0.2">
      <c r="A269" s="19">
        <v>35703</v>
      </c>
      <c r="B269" s="262">
        <v>5.4770000000000003</v>
      </c>
      <c r="C269" s="270">
        <v>5.0974000000000004</v>
      </c>
      <c r="D269" s="270">
        <v>5.86</v>
      </c>
      <c r="E269" s="270">
        <v>5.7480000000000002</v>
      </c>
      <c r="F269" s="270">
        <v>5.9099000000000004</v>
      </c>
      <c r="G269" s="270">
        <v>5.6</v>
      </c>
      <c r="H269" s="270">
        <v>7.319</v>
      </c>
      <c r="I269" s="262">
        <v>7.98</v>
      </c>
      <c r="J269" s="270">
        <v>6.65</v>
      </c>
      <c r="K269" s="128">
        <v>6.6130000000000004</v>
      </c>
      <c r="L269" s="128">
        <v>6.6882999999999999</v>
      </c>
      <c r="M269" s="128">
        <v>6.5465</v>
      </c>
      <c r="N269" s="262">
        <f t="shared" si="46"/>
        <v>7.319</v>
      </c>
      <c r="O269" s="262">
        <f t="shared" si="47"/>
        <v>7.98</v>
      </c>
      <c r="P269" s="262">
        <f t="shared" si="48"/>
        <v>6.65</v>
      </c>
      <c r="Q269" s="270">
        <v>7.0629999999999997</v>
      </c>
      <c r="R269" s="128">
        <v>6.5369999999999999</v>
      </c>
      <c r="S269" s="128">
        <v>5.67</v>
      </c>
      <c r="T269" s="128"/>
      <c r="U269" s="270">
        <v>5.4063999999999997</v>
      </c>
      <c r="V269" s="280"/>
      <c r="W269" s="262">
        <v>1.4748000000000001</v>
      </c>
      <c r="X269" s="128">
        <v>1.2</v>
      </c>
      <c r="Y269" s="128"/>
      <c r="Z269" s="128">
        <v>5.91</v>
      </c>
      <c r="AA269" s="262">
        <v>5.6244500000000004</v>
      </c>
      <c r="AB269" s="270">
        <v>6.6276999999999999</v>
      </c>
      <c r="AC269" s="270">
        <v>4.5602</v>
      </c>
      <c r="AD269" s="280"/>
      <c r="AE269" s="277">
        <f t="shared" si="56"/>
        <v>4.4764499999999998</v>
      </c>
      <c r="AF269" s="262">
        <f t="shared" si="54"/>
        <v>5.6244500000000004</v>
      </c>
      <c r="AG269" s="128">
        <v>0.93189999999999995</v>
      </c>
      <c r="AH269" s="702">
        <v>9.86</v>
      </c>
      <c r="AI269" s="128"/>
      <c r="AJ269" s="128"/>
      <c r="AK269" s="128"/>
      <c r="AL269" s="128"/>
      <c r="AM269" s="242"/>
      <c r="AN269" s="270">
        <v>5.6243999999999996</v>
      </c>
      <c r="AO269" s="270">
        <v>5.4063999999999997</v>
      </c>
      <c r="AP269" s="270"/>
      <c r="AQ269" s="270"/>
      <c r="AR269" s="270"/>
      <c r="AS269" s="270"/>
      <c r="AT269" s="270"/>
      <c r="AU269" s="270"/>
      <c r="AV269" s="245">
        <v>0.5</v>
      </c>
      <c r="AW269" s="245"/>
      <c r="AX269" s="245"/>
      <c r="AY269" s="245">
        <v>0.35</v>
      </c>
      <c r="AZ269" s="245">
        <v>0.15</v>
      </c>
      <c r="BA269" s="245">
        <v>0</v>
      </c>
      <c r="BB269" s="245"/>
      <c r="BC269" s="245">
        <f t="shared" si="51"/>
        <v>1</v>
      </c>
      <c r="BD269" s="240">
        <f t="shared" si="52"/>
        <v>4.0983475</v>
      </c>
      <c r="BE269" s="243">
        <f t="shared" si="55"/>
        <v>4.0983475</v>
      </c>
      <c r="BF269" s="235">
        <v>0.35</v>
      </c>
      <c r="BG269" s="235">
        <v>0</v>
      </c>
      <c r="BH269" s="235">
        <v>0</v>
      </c>
      <c r="BI269" s="235"/>
      <c r="BJ269" s="235">
        <v>0.15</v>
      </c>
      <c r="BK269" s="235"/>
      <c r="BL269" s="235"/>
      <c r="BM269" s="235">
        <v>0.3</v>
      </c>
      <c r="BN269" s="235"/>
      <c r="BO269" s="235">
        <v>0.2</v>
      </c>
      <c r="BP269" s="235">
        <f t="shared" si="49"/>
        <v>1</v>
      </c>
      <c r="BQ269" s="243">
        <f t="shared" ref="BQ269:BQ300" si="57">(B269*BF269)+(E269*BG269)+(H269*BH269)+(AA269*BJ269)+(U269*BK269)+(V269*BL269)+(W269*BM269)+(AE269*BO269)</f>
        <v>4.0983475</v>
      </c>
      <c r="BS269" s="341">
        <f t="array" ref="BS269">((1+10.2/100)^(1/12)-1)*100</f>
        <v>0.81267366616946113</v>
      </c>
      <c r="BT269" s="341"/>
      <c r="BU269" s="341"/>
      <c r="BV269" s="341">
        <f t="array" ref="BV269">((1+7/100)^(1/12)-1)*100</f>
        <v>0.56541453874052738</v>
      </c>
      <c r="BW269" s="341">
        <f t="array" ref="BW269">((1+10.6/100)^(1/12)-1)*100</f>
        <v>0.8431169043400244</v>
      </c>
      <c r="BX269" s="341"/>
      <c r="BY269" s="341">
        <f>(BS269*AV269)+(BV269*AY269)+(BW269*AZ269)</f>
        <v>0.73069945729491881</v>
      </c>
      <c r="BZ269" s="341">
        <f t="shared" si="45"/>
        <v>0.81267366616946113</v>
      </c>
      <c r="CA269" s="341"/>
      <c r="CB269" s="243">
        <f t="shared" si="40"/>
        <v>0.64340301100034303</v>
      </c>
      <c r="CC269" s="243"/>
      <c r="CD269" s="243">
        <f t="shared" si="42"/>
        <v>0.64340301100034303</v>
      </c>
      <c r="CG269" s="734">
        <f t="shared" si="53"/>
        <v>5.4770000000000003</v>
      </c>
      <c r="CJ269" s="1264">
        <f t="shared" si="41"/>
        <v>0.79741404289037643</v>
      </c>
    </row>
    <row r="270" spans="1:88" x14ac:dyDescent="0.2">
      <c r="A270" s="19">
        <v>35734</v>
      </c>
      <c r="B270" s="262">
        <v>-3.34</v>
      </c>
      <c r="C270" s="270">
        <v>-3.0089999999999999</v>
      </c>
      <c r="D270" s="270">
        <v>-3.6749999999999998</v>
      </c>
      <c r="E270" s="270">
        <v>-4.3513000000000002</v>
      </c>
      <c r="F270" s="270">
        <v>-5.7958999999999996</v>
      </c>
      <c r="G270" s="270">
        <v>-2.9849999999999999</v>
      </c>
      <c r="H270" s="270">
        <v>-4.3929999999999998</v>
      </c>
      <c r="I270" s="262">
        <v>-6.0060000000000002</v>
      </c>
      <c r="J270" s="270">
        <v>-2.7189999999999999</v>
      </c>
      <c r="K270" s="128">
        <v>-4.3159000000000001</v>
      </c>
      <c r="L270" s="128">
        <v>-6.2012999999999998</v>
      </c>
      <c r="M270" s="128">
        <v>-2.3567</v>
      </c>
      <c r="N270" s="262">
        <f t="shared" si="46"/>
        <v>-4.3929999999999998</v>
      </c>
      <c r="O270" s="262">
        <f t="shared" si="47"/>
        <v>-6.0060000000000002</v>
      </c>
      <c r="P270" s="262">
        <f t="shared" si="48"/>
        <v>-2.7189999999999999</v>
      </c>
      <c r="Q270" s="270">
        <v>-6.2389999999999999</v>
      </c>
      <c r="R270" s="128">
        <v>-4.492</v>
      </c>
      <c r="S270" s="128">
        <v>-3.359</v>
      </c>
      <c r="T270" s="128"/>
      <c r="U270" s="270">
        <v>-8.5138999999999996</v>
      </c>
      <c r="V270" s="280"/>
      <c r="W270" s="262">
        <v>1.4507000000000001</v>
      </c>
      <c r="X270" s="128">
        <v>1.1100000000000001</v>
      </c>
      <c r="Y270" s="128"/>
      <c r="Z270" s="128">
        <v>-0.84</v>
      </c>
      <c r="AA270" s="262">
        <v>-7.6645700000000003</v>
      </c>
      <c r="AB270" s="270">
        <v>-9.4461999999999993</v>
      </c>
      <c r="AC270" s="270">
        <v>-5.7385999999999999</v>
      </c>
      <c r="AD270" s="280"/>
      <c r="AE270" s="277">
        <f t="shared" si="56"/>
        <v>-2.142325</v>
      </c>
      <c r="AF270" s="262">
        <f t="shared" si="54"/>
        <v>-7.6645700000000003</v>
      </c>
      <c r="AG270" s="128">
        <v>1.1153</v>
      </c>
      <c r="AH270" s="702">
        <v>-4.25</v>
      </c>
      <c r="AI270" s="128"/>
      <c r="AJ270" s="128"/>
      <c r="AK270" s="128"/>
      <c r="AL270" s="128"/>
      <c r="AM270" s="242"/>
      <c r="AN270" s="270">
        <v>-7.6645000000000003</v>
      </c>
      <c r="AO270" s="270">
        <v>-8.5138999999999996</v>
      </c>
      <c r="AP270" s="270"/>
      <c r="AQ270" s="270"/>
      <c r="AR270" s="270"/>
      <c r="AS270" s="270"/>
      <c r="AT270" s="270"/>
      <c r="AU270" s="270"/>
      <c r="AV270" s="245">
        <v>0.5</v>
      </c>
      <c r="AW270" s="245"/>
      <c r="AX270" s="245"/>
      <c r="AY270" s="245">
        <v>0.35</v>
      </c>
      <c r="AZ270" s="245">
        <v>0.15</v>
      </c>
      <c r="BA270" s="245">
        <v>0</v>
      </c>
      <c r="BB270" s="245"/>
      <c r="BC270" s="245">
        <f t="shared" si="51"/>
        <v>1</v>
      </c>
      <c r="BD270" s="240">
        <f t="shared" si="52"/>
        <v>-2.3119405</v>
      </c>
      <c r="BE270" s="243">
        <f t="shared" si="55"/>
        <v>-2.3119405</v>
      </c>
      <c r="BF270" s="235">
        <v>0.35</v>
      </c>
      <c r="BG270" s="235">
        <v>0</v>
      </c>
      <c r="BH270" s="235">
        <v>0</v>
      </c>
      <c r="BI270" s="235"/>
      <c r="BJ270" s="235">
        <v>0.15</v>
      </c>
      <c r="BK270" s="235"/>
      <c r="BL270" s="235"/>
      <c r="BM270" s="235">
        <v>0.3</v>
      </c>
      <c r="BN270" s="235"/>
      <c r="BO270" s="235">
        <v>0.2</v>
      </c>
      <c r="BP270" s="235">
        <f t="shared" si="49"/>
        <v>1</v>
      </c>
      <c r="BQ270" s="243">
        <f t="shared" si="57"/>
        <v>-2.3119405</v>
      </c>
      <c r="BS270" s="341">
        <f t="array" ref="BS270">((1+10.2/100)^(1/12)-1)*100</f>
        <v>0.81267366616946113</v>
      </c>
      <c r="BT270" s="341"/>
      <c r="BU270" s="341"/>
      <c r="BV270" s="341">
        <f t="array" ref="BV270">((1+7/100)^(1/12)-1)*100</f>
        <v>0.56541453874052738</v>
      </c>
      <c r="BW270" s="341">
        <f t="array" ref="BW270">((1+10.6/100)^(1/12)-1)*100</f>
        <v>0.8431169043400244</v>
      </c>
      <c r="BX270" s="341"/>
      <c r="BY270" s="341">
        <f t="shared" ref="BY270:BY296" si="58">(BS270*AV270)+(BV270*AY270)+(BW270*AZ270)</f>
        <v>0.73069945729491881</v>
      </c>
      <c r="BZ270" s="341">
        <f t="shared" si="45"/>
        <v>0.81267366616946113</v>
      </c>
      <c r="CA270" s="341"/>
      <c r="CB270" s="243">
        <f t="shared" si="40"/>
        <v>0.64340301100034303</v>
      </c>
      <c r="CC270" s="243"/>
      <c r="CD270" s="243">
        <f t="shared" si="42"/>
        <v>0.64340301100034303</v>
      </c>
      <c r="CG270" s="734">
        <f t="shared" si="53"/>
        <v>-3.34</v>
      </c>
      <c r="CJ270" s="1264">
        <f t="shared" si="41"/>
        <v>0.79741404289037643</v>
      </c>
    </row>
    <row r="271" spans="1:88" x14ac:dyDescent="0.2">
      <c r="A271" s="19">
        <v>35764</v>
      </c>
      <c r="B271" s="262">
        <v>4.6289999999999996</v>
      </c>
      <c r="C271" s="270">
        <v>5.4260999999999999</v>
      </c>
      <c r="D271" s="270">
        <v>3.8119999999999998</v>
      </c>
      <c r="E271" s="270">
        <v>1.4822</v>
      </c>
      <c r="F271" s="270">
        <v>0.38229999999999997</v>
      </c>
      <c r="G271" s="270">
        <v>2.4969999999999999</v>
      </c>
      <c r="H271" s="270">
        <v>-0.64700000000000002</v>
      </c>
      <c r="I271" s="262">
        <v>-2.3839999999999999</v>
      </c>
      <c r="J271" s="270">
        <v>1.0960000000000001</v>
      </c>
      <c r="K271" s="128">
        <v>-0.72770000000000001</v>
      </c>
      <c r="L271" s="128">
        <v>-1.9971000000000001</v>
      </c>
      <c r="M271" s="128">
        <v>0.55489999999999995</v>
      </c>
      <c r="N271" s="262">
        <f t="shared" si="46"/>
        <v>-0.64700000000000002</v>
      </c>
      <c r="O271" s="262">
        <f t="shared" si="47"/>
        <v>-2.3839999999999999</v>
      </c>
      <c r="P271" s="262">
        <f t="shared" si="48"/>
        <v>1.0960000000000001</v>
      </c>
      <c r="Q271" s="270">
        <v>-1.534</v>
      </c>
      <c r="R271" s="128">
        <v>0.44700000000000001</v>
      </c>
      <c r="S271" s="128">
        <v>3.8290000000000002</v>
      </c>
      <c r="T271" s="128"/>
      <c r="U271" s="270">
        <v>-1.2496</v>
      </c>
      <c r="V271" s="280"/>
      <c r="W271" s="262">
        <v>0.46050000000000002</v>
      </c>
      <c r="X271" s="128">
        <v>0.26</v>
      </c>
      <c r="Y271" s="128"/>
      <c r="Z271" s="128">
        <v>-1.22</v>
      </c>
      <c r="AA271" s="262">
        <v>-0.99634999999999996</v>
      </c>
      <c r="AB271" s="270">
        <v>-0.1973</v>
      </c>
      <c r="AC271" s="270">
        <v>-1.8182</v>
      </c>
      <c r="AD271" s="280"/>
      <c r="AE271" s="277">
        <f t="shared" si="56"/>
        <v>3.5868749999999996</v>
      </c>
      <c r="AF271" s="262">
        <f t="shared" si="54"/>
        <v>-0.99634999999999996</v>
      </c>
      <c r="AG271" s="128">
        <v>1.1153</v>
      </c>
      <c r="AH271" s="702">
        <v>2.0099999999999998</v>
      </c>
      <c r="AI271" s="128"/>
      <c r="AJ271" s="128"/>
      <c r="AK271" s="128"/>
      <c r="AL271" s="128"/>
      <c r="AM271" s="242"/>
      <c r="AN271" s="270">
        <v>-0.99619999999999997</v>
      </c>
      <c r="AO271" s="270">
        <v>-1.2496</v>
      </c>
      <c r="AP271" s="270"/>
      <c r="AQ271" s="270"/>
      <c r="AR271" s="270"/>
      <c r="AS271" s="270"/>
      <c r="AT271" s="270"/>
      <c r="AU271" s="270"/>
      <c r="AV271" s="245">
        <v>0.5</v>
      </c>
      <c r="AW271" s="245"/>
      <c r="AX271" s="245"/>
      <c r="AY271" s="245">
        <v>0.35</v>
      </c>
      <c r="AZ271" s="245">
        <v>0.15</v>
      </c>
      <c r="BA271" s="245">
        <v>0</v>
      </c>
      <c r="BB271" s="245"/>
      <c r="BC271" s="245">
        <f t="shared" si="51"/>
        <v>1</v>
      </c>
      <c r="BD271" s="240">
        <f t="shared" si="52"/>
        <v>2.3262225000000001</v>
      </c>
      <c r="BE271" s="243">
        <f t="shared" si="55"/>
        <v>2.3262225000000001</v>
      </c>
      <c r="BF271" s="235">
        <v>0.35</v>
      </c>
      <c r="BG271" s="235">
        <v>0</v>
      </c>
      <c r="BH271" s="235">
        <v>0</v>
      </c>
      <c r="BI271" s="235"/>
      <c r="BJ271" s="235">
        <v>0.15</v>
      </c>
      <c r="BK271" s="235"/>
      <c r="BL271" s="235"/>
      <c r="BM271" s="235">
        <v>0.3</v>
      </c>
      <c r="BN271" s="235"/>
      <c r="BO271" s="235">
        <v>0.2</v>
      </c>
      <c r="BP271" s="235">
        <f t="shared" si="49"/>
        <v>1</v>
      </c>
      <c r="BQ271" s="243">
        <f t="shared" si="57"/>
        <v>2.3262224999999996</v>
      </c>
      <c r="BS271" s="341">
        <f t="array" ref="BS271">((1+10.2/100)^(1/12)-1)*100</f>
        <v>0.81267366616946113</v>
      </c>
      <c r="BT271" s="341"/>
      <c r="BU271" s="341"/>
      <c r="BV271" s="341">
        <f t="array" ref="BV271">((1+7/100)^(1/12)-1)*100</f>
        <v>0.56541453874052738</v>
      </c>
      <c r="BW271" s="341">
        <f t="array" ref="BW271">((1+10.6/100)^(1/12)-1)*100</f>
        <v>0.8431169043400244</v>
      </c>
      <c r="BX271" s="341"/>
      <c r="BY271" s="341">
        <f t="shared" si="58"/>
        <v>0.73069945729491881</v>
      </c>
      <c r="BZ271" s="341">
        <f t="shared" si="45"/>
        <v>0.81267366616946113</v>
      </c>
      <c r="CA271" s="341"/>
      <c r="CB271" s="243">
        <f t="shared" si="40"/>
        <v>0.64340301100034303</v>
      </c>
      <c r="CC271" s="243"/>
      <c r="CD271" s="243">
        <f t="shared" si="42"/>
        <v>0.64340301100034303</v>
      </c>
      <c r="CG271" s="734">
        <f t="shared" si="53"/>
        <v>4.6289999999999996</v>
      </c>
      <c r="CJ271" s="1264">
        <f t="shared" si="41"/>
        <v>0.79741404289037643</v>
      </c>
    </row>
    <row r="272" spans="1:88" x14ac:dyDescent="0.2">
      <c r="A272" s="19">
        <v>35795</v>
      </c>
      <c r="B272" s="262">
        <v>1.7170000000000001</v>
      </c>
      <c r="C272" s="270">
        <v>1.2339</v>
      </c>
      <c r="D272" s="270">
        <v>2.2200000000000002</v>
      </c>
      <c r="E272" s="270">
        <v>3.8811</v>
      </c>
      <c r="F272" s="270">
        <v>1.5821000000000001</v>
      </c>
      <c r="G272" s="270">
        <v>6</v>
      </c>
      <c r="H272" s="270">
        <v>1.75</v>
      </c>
      <c r="I272" s="262">
        <v>5.6000000000000001E-2</v>
      </c>
      <c r="J272" s="270">
        <v>3.39</v>
      </c>
      <c r="K272" s="128">
        <v>2.0192999999999999</v>
      </c>
      <c r="L272" s="128">
        <v>0.69789999999999996</v>
      </c>
      <c r="M272" s="128">
        <v>3.3075000000000001</v>
      </c>
      <c r="N272" s="262">
        <f t="shared" si="46"/>
        <v>1.75</v>
      </c>
      <c r="O272" s="262">
        <f t="shared" si="47"/>
        <v>5.6000000000000001E-2</v>
      </c>
      <c r="P272" s="262">
        <f t="shared" si="48"/>
        <v>3.39</v>
      </c>
      <c r="Q272" s="270">
        <v>-0.35599999999999998</v>
      </c>
      <c r="R272" s="128">
        <v>1.8919999999999999</v>
      </c>
      <c r="S272" s="128">
        <v>2.0030000000000001</v>
      </c>
      <c r="T272" s="128"/>
      <c r="U272" s="270">
        <v>1.1509</v>
      </c>
      <c r="V272" s="280"/>
      <c r="W272" s="262">
        <v>1.0067999999999999</v>
      </c>
      <c r="X272" s="128">
        <v>0.84</v>
      </c>
      <c r="Y272" s="128"/>
      <c r="Z272" s="128">
        <v>1.55</v>
      </c>
      <c r="AA272" s="262">
        <v>0.89524000000000004</v>
      </c>
      <c r="AB272" s="270">
        <v>1.3035000000000001</v>
      </c>
      <c r="AC272" s="270">
        <v>0.47210000000000002</v>
      </c>
      <c r="AD272" s="280"/>
      <c r="AE272" s="277">
        <f t="shared" si="56"/>
        <v>1.53945</v>
      </c>
      <c r="AF272" s="262">
        <f t="shared" si="54"/>
        <v>0.89524000000000004</v>
      </c>
      <c r="AG272" s="128">
        <v>1.1153</v>
      </c>
      <c r="AH272" s="702">
        <v>2.23</v>
      </c>
      <c r="AI272" s="128"/>
      <c r="AJ272" s="128"/>
      <c r="AK272" s="128"/>
      <c r="AL272" s="128"/>
      <c r="AM272" s="242"/>
      <c r="AN272" s="270">
        <v>0.89500000000000002</v>
      </c>
      <c r="AO272" s="270">
        <v>1.1509</v>
      </c>
      <c r="AP272" s="270"/>
      <c r="AQ272" s="270"/>
      <c r="AR272" s="270"/>
      <c r="AS272" s="270"/>
      <c r="AT272" s="270"/>
      <c r="AU272" s="270"/>
      <c r="AV272" s="245">
        <v>0.5</v>
      </c>
      <c r="AW272" s="245"/>
      <c r="AX272" s="245"/>
      <c r="AY272" s="245">
        <v>0.35</v>
      </c>
      <c r="AZ272" s="245">
        <v>0.15</v>
      </c>
      <c r="BA272" s="245">
        <v>0</v>
      </c>
      <c r="BB272" s="245"/>
      <c r="BC272" s="245">
        <f t="shared" si="51"/>
        <v>1</v>
      </c>
      <c r="BD272" s="240">
        <f t="shared" si="52"/>
        <v>1.3451659999999999</v>
      </c>
      <c r="BE272" s="243">
        <f t="shared" si="55"/>
        <v>1.3451659999999999</v>
      </c>
      <c r="BF272" s="235">
        <v>0.35</v>
      </c>
      <c r="BG272" s="235">
        <v>0</v>
      </c>
      <c r="BH272" s="235">
        <v>0</v>
      </c>
      <c r="BI272" s="235"/>
      <c r="BJ272" s="235">
        <v>0.15</v>
      </c>
      <c r="BK272" s="235"/>
      <c r="BL272" s="235"/>
      <c r="BM272" s="235">
        <v>0.3</v>
      </c>
      <c r="BN272" s="235"/>
      <c r="BO272" s="235">
        <v>0.2</v>
      </c>
      <c r="BP272" s="235">
        <f t="shared" si="49"/>
        <v>1</v>
      </c>
      <c r="BQ272" s="243">
        <f t="shared" si="57"/>
        <v>1.3451659999999999</v>
      </c>
      <c r="BS272" s="341">
        <f t="array" ref="BS272">((1+10.2/100)^(1/12)-1)*100</f>
        <v>0.81267366616946113</v>
      </c>
      <c r="BT272" s="341"/>
      <c r="BU272" s="341"/>
      <c r="BV272" s="341">
        <f t="array" ref="BV272">((1+7/100)^(1/12)-1)*100</f>
        <v>0.56541453874052738</v>
      </c>
      <c r="BW272" s="341">
        <f t="array" ref="BW272">((1+10.6/100)^(1/12)-1)*100</f>
        <v>0.8431169043400244</v>
      </c>
      <c r="BX272" s="341"/>
      <c r="BY272" s="341">
        <f t="shared" si="58"/>
        <v>0.73069945729491881</v>
      </c>
      <c r="BZ272" s="341">
        <f t="shared" si="45"/>
        <v>0.81267366616946113</v>
      </c>
      <c r="CA272" s="341"/>
      <c r="CB272" s="243">
        <f t="shared" si="40"/>
        <v>0.64340301100034303</v>
      </c>
      <c r="CC272" s="243"/>
      <c r="CD272" s="243">
        <f t="shared" si="42"/>
        <v>0.64340301100034303</v>
      </c>
      <c r="CG272" s="734">
        <f t="shared" si="53"/>
        <v>1.7170000000000001</v>
      </c>
      <c r="CJ272" s="1264">
        <f t="shared" si="41"/>
        <v>0.79741404289037643</v>
      </c>
    </row>
    <row r="273" spans="1:88" x14ac:dyDescent="0.2">
      <c r="A273" s="19">
        <v>35826</v>
      </c>
      <c r="B273" s="262">
        <v>1.1060000000000001</v>
      </c>
      <c r="C273" s="270">
        <v>3.36</v>
      </c>
      <c r="D273" s="270">
        <v>-1.2330000000000001</v>
      </c>
      <c r="E273" s="270">
        <v>-1.9035</v>
      </c>
      <c r="F273" s="270">
        <v>-1.5089999999999999</v>
      </c>
      <c r="G273" s="270">
        <v>-2.2930000000000001</v>
      </c>
      <c r="H273" s="270">
        <v>-1.5780000000000001</v>
      </c>
      <c r="I273" s="262">
        <v>-1.3340000000000001</v>
      </c>
      <c r="J273" s="270">
        <v>-1.8089999999999999</v>
      </c>
      <c r="K273" s="128">
        <v>-1.9501999999999999</v>
      </c>
      <c r="L273" s="128">
        <v>-2.1953999999999998</v>
      </c>
      <c r="M273" s="128">
        <v>-1.7032</v>
      </c>
      <c r="N273" s="262">
        <f t="shared" si="46"/>
        <v>-1.5780000000000001</v>
      </c>
      <c r="O273" s="262">
        <f t="shared" si="47"/>
        <v>-1.3340000000000001</v>
      </c>
      <c r="P273" s="262">
        <f t="shared" si="48"/>
        <v>-1.8089999999999999</v>
      </c>
      <c r="Q273" s="270">
        <v>-1.306</v>
      </c>
      <c r="R273" s="128">
        <v>-1.528</v>
      </c>
      <c r="S273" s="128">
        <v>0.51800000000000002</v>
      </c>
      <c r="T273" s="128"/>
      <c r="U273" s="270">
        <v>2.9912999999999998</v>
      </c>
      <c r="V273" s="280"/>
      <c r="W273" s="262">
        <v>1.2838000000000001</v>
      </c>
      <c r="X273" s="128">
        <v>1.1904999999999999</v>
      </c>
      <c r="Y273" s="128"/>
      <c r="Z273" s="128">
        <v>-0.93</v>
      </c>
      <c r="AA273" s="262">
        <v>4.59659</v>
      </c>
      <c r="AB273" s="270">
        <v>4.5388000000000002</v>
      </c>
      <c r="AC273" s="270">
        <v>4.6577999999999999</v>
      </c>
      <c r="AD273" s="280"/>
      <c r="AE273" s="277">
        <f t="shared" si="56"/>
        <v>1.1504500000000002</v>
      </c>
      <c r="AF273" s="262">
        <f t="shared" si="54"/>
        <v>4.59659</v>
      </c>
      <c r="AG273" s="128">
        <v>1.5446</v>
      </c>
      <c r="AH273" s="702">
        <v>-1.41</v>
      </c>
      <c r="AI273" s="128"/>
      <c r="AJ273" s="128"/>
      <c r="AK273" s="128"/>
      <c r="AL273" s="128"/>
      <c r="AM273" s="242"/>
      <c r="AN273" s="270">
        <v>4.5968</v>
      </c>
      <c r="AO273" s="270">
        <v>2.9912999999999998</v>
      </c>
      <c r="AP273" s="270"/>
      <c r="AQ273" s="270"/>
      <c r="AR273" s="270"/>
      <c r="AS273" s="270"/>
      <c r="AT273" s="270"/>
      <c r="AU273" s="270"/>
      <c r="AV273" s="245">
        <v>0.5</v>
      </c>
      <c r="AW273" s="245"/>
      <c r="AX273" s="245"/>
      <c r="AY273" s="245">
        <v>0.35</v>
      </c>
      <c r="AZ273" s="245">
        <v>0.15</v>
      </c>
      <c r="BA273" s="245">
        <v>0</v>
      </c>
      <c r="BB273" s="245"/>
      <c r="BC273" s="245">
        <f t="shared" si="51"/>
        <v>1</v>
      </c>
      <c r="BD273" s="240">
        <f t="shared" si="52"/>
        <v>1.6918185000000001</v>
      </c>
      <c r="BE273" s="243">
        <f t="shared" si="55"/>
        <v>1.6918185000000001</v>
      </c>
      <c r="BF273" s="235">
        <v>0.35</v>
      </c>
      <c r="BG273" s="235">
        <v>0</v>
      </c>
      <c r="BH273" s="235">
        <v>0</v>
      </c>
      <c r="BI273" s="235"/>
      <c r="BJ273" s="235">
        <v>0.15</v>
      </c>
      <c r="BK273" s="235"/>
      <c r="BL273" s="235"/>
      <c r="BM273" s="235">
        <v>0.3</v>
      </c>
      <c r="BN273" s="235"/>
      <c r="BO273" s="235">
        <v>0.2</v>
      </c>
      <c r="BP273" s="235">
        <f t="shared" si="49"/>
        <v>1</v>
      </c>
      <c r="BQ273" s="243">
        <f t="shared" si="57"/>
        <v>1.6918185000000001</v>
      </c>
      <c r="BS273" s="341">
        <f t="array" ref="BS273">((1+10.2/100)^(1/12)-1)*100</f>
        <v>0.81267366616946113</v>
      </c>
      <c r="BT273" s="341"/>
      <c r="BU273" s="341"/>
      <c r="BV273" s="341">
        <f t="array" ref="BV273">((1+7/100)^(1/12)-1)*100</f>
        <v>0.56541453874052738</v>
      </c>
      <c r="BW273" s="341">
        <f t="array" ref="BW273">((1+10.6/100)^(1/12)-1)*100</f>
        <v>0.8431169043400244</v>
      </c>
      <c r="BX273" s="341"/>
      <c r="BY273" s="341">
        <f t="shared" si="58"/>
        <v>0.73069945729491881</v>
      </c>
      <c r="BZ273" s="341">
        <f t="shared" si="45"/>
        <v>0.81267366616946113</v>
      </c>
      <c r="CA273" s="341"/>
      <c r="CB273" s="243">
        <f t="shared" si="40"/>
        <v>0.64340301100034303</v>
      </c>
      <c r="CC273" s="243"/>
      <c r="CD273" s="243">
        <f t="shared" si="42"/>
        <v>0.64340301100034303</v>
      </c>
      <c r="CG273" s="734">
        <f t="shared" si="53"/>
        <v>1.1060000000000001</v>
      </c>
      <c r="CJ273" s="1264">
        <f t="shared" si="41"/>
        <v>0.79741404289037643</v>
      </c>
    </row>
    <row r="274" spans="1:88" x14ac:dyDescent="0.2">
      <c r="A274" s="19">
        <v>35854</v>
      </c>
      <c r="B274" s="262">
        <v>7.2119999999999997</v>
      </c>
      <c r="C274" s="270">
        <v>6.9476000000000004</v>
      </c>
      <c r="D274" s="270">
        <v>7.5010000000000003</v>
      </c>
      <c r="E274" s="270">
        <v>8.2849000000000004</v>
      </c>
      <c r="F274" s="270">
        <v>9.1852999999999998</v>
      </c>
      <c r="G274" s="270">
        <v>7.4</v>
      </c>
      <c r="H274" s="270">
        <v>7.3940000000000001</v>
      </c>
      <c r="I274" s="262">
        <v>8.8290000000000006</v>
      </c>
      <c r="J274" s="270">
        <v>6.0449999999999999</v>
      </c>
      <c r="K274" s="128">
        <v>9.1084999999999994</v>
      </c>
      <c r="L274" s="128">
        <v>10.3056</v>
      </c>
      <c r="M274" s="128">
        <v>7.9432</v>
      </c>
      <c r="N274" s="262">
        <f t="shared" si="46"/>
        <v>7.3940000000000001</v>
      </c>
      <c r="O274" s="262">
        <f t="shared" si="47"/>
        <v>8.8290000000000006</v>
      </c>
      <c r="P274" s="262">
        <f t="shared" si="48"/>
        <v>6.0449999999999999</v>
      </c>
      <c r="Q274" s="270">
        <v>8.5839999999999996</v>
      </c>
      <c r="R274" s="128">
        <v>7.2610000000000001</v>
      </c>
      <c r="S274" s="128">
        <v>7.1539999999999999</v>
      </c>
      <c r="T274" s="128"/>
      <c r="U274" s="270">
        <v>6.6725000000000003</v>
      </c>
      <c r="V274" s="280"/>
      <c r="W274" s="262">
        <v>-7.5300000000000006E-2</v>
      </c>
      <c r="X274" s="128">
        <v>3.4799999999999998E-2</v>
      </c>
      <c r="Y274" s="128"/>
      <c r="Z274" s="128">
        <v>5.64</v>
      </c>
      <c r="AA274" s="262">
        <v>6.4398099999999996</v>
      </c>
      <c r="AB274" s="270">
        <v>6.6543999999999999</v>
      </c>
      <c r="AC274" s="270">
        <v>6.2176999999999998</v>
      </c>
      <c r="AD274" s="280"/>
      <c r="AE274" s="277">
        <f t="shared" si="56"/>
        <v>5.3901750000000002</v>
      </c>
      <c r="AF274" s="262">
        <f t="shared" si="54"/>
        <v>6.4398099999999996</v>
      </c>
      <c r="AG274" s="128">
        <v>1.5446</v>
      </c>
      <c r="AH274" s="702">
        <v>-1.28</v>
      </c>
      <c r="AI274" s="128"/>
      <c r="AJ274" s="128"/>
      <c r="AK274" s="128"/>
      <c r="AL274" s="128"/>
      <c r="AM274" s="242"/>
      <c r="AN274" s="270">
        <v>6.4396000000000004</v>
      </c>
      <c r="AO274" s="270">
        <v>6.6725000000000003</v>
      </c>
      <c r="AP274" s="270"/>
      <c r="AQ274" s="270"/>
      <c r="AR274" s="270"/>
      <c r="AS274" s="270"/>
      <c r="AT274" s="270"/>
      <c r="AU274" s="270"/>
      <c r="AV274" s="245">
        <v>0.5</v>
      </c>
      <c r="AW274" s="245"/>
      <c r="AX274" s="245"/>
      <c r="AY274" s="245">
        <v>0.35</v>
      </c>
      <c r="AZ274" s="245">
        <v>0.15</v>
      </c>
      <c r="BA274" s="245">
        <v>0</v>
      </c>
      <c r="BB274" s="245"/>
      <c r="BC274" s="245">
        <f t="shared" si="51"/>
        <v>1</v>
      </c>
      <c r="BD274" s="240">
        <f t="shared" si="52"/>
        <v>4.5456164999999995</v>
      </c>
      <c r="BE274" s="243">
        <f t="shared" si="55"/>
        <v>4.5456164999999995</v>
      </c>
      <c r="BF274" s="235">
        <v>0.35</v>
      </c>
      <c r="BG274" s="235">
        <v>0</v>
      </c>
      <c r="BH274" s="235">
        <v>0</v>
      </c>
      <c r="BI274" s="235"/>
      <c r="BJ274" s="235">
        <v>0.15</v>
      </c>
      <c r="BK274" s="235"/>
      <c r="BL274" s="235"/>
      <c r="BM274" s="235">
        <v>0.3</v>
      </c>
      <c r="BN274" s="235"/>
      <c r="BO274" s="235">
        <v>0.2</v>
      </c>
      <c r="BP274" s="235">
        <f t="shared" si="49"/>
        <v>1</v>
      </c>
      <c r="BQ274" s="243">
        <f t="shared" si="57"/>
        <v>4.5456164999999995</v>
      </c>
      <c r="BS274" s="341">
        <f t="array" ref="BS274">((1+10.2/100)^(1/12)-1)*100</f>
        <v>0.81267366616946113</v>
      </c>
      <c r="BT274" s="341"/>
      <c r="BU274" s="341"/>
      <c r="BV274" s="341">
        <f t="array" ref="BV274">((1+7/100)^(1/12)-1)*100</f>
        <v>0.56541453874052738</v>
      </c>
      <c r="BW274" s="341">
        <f t="array" ref="BW274">((1+10.6/100)^(1/12)-1)*100</f>
        <v>0.8431169043400244</v>
      </c>
      <c r="BX274" s="341"/>
      <c r="BY274" s="341">
        <f t="shared" si="58"/>
        <v>0.73069945729491881</v>
      </c>
      <c r="BZ274" s="341">
        <f t="shared" si="45"/>
        <v>0.81267366616946113</v>
      </c>
      <c r="CA274" s="341"/>
      <c r="CB274" s="243">
        <f t="shared" si="40"/>
        <v>0.64340301100034303</v>
      </c>
      <c r="CC274" s="243"/>
      <c r="CD274" s="243">
        <f t="shared" si="42"/>
        <v>0.64340301100034303</v>
      </c>
      <c r="CG274" s="734">
        <f t="shared" si="53"/>
        <v>7.2119999999999997</v>
      </c>
      <c r="CJ274" s="1264">
        <f t="shared" si="41"/>
        <v>0.79741404289037643</v>
      </c>
    </row>
    <row r="275" spans="1:88" x14ac:dyDescent="0.2">
      <c r="A275" s="19">
        <v>35885</v>
      </c>
      <c r="B275" s="262">
        <v>5.1210000000000004</v>
      </c>
      <c r="C275" s="270">
        <v>5.1733000000000002</v>
      </c>
      <c r="D275" s="270">
        <v>5.0650000000000004</v>
      </c>
      <c r="E275" s="270">
        <v>4.5103</v>
      </c>
      <c r="F275" s="270">
        <v>4.3483000000000001</v>
      </c>
      <c r="G275" s="270">
        <v>4.6749999999999998</v>
      </c>
      <c r="H275" s="270">
        <v>4.1239999999999997</v>
      </c>
      <c r="I275" s="262">
        <v>4.1950000000000003</v>
      </c>
      <c r="J275" s="270">
        <v>4.056</v>
      </c>
      <c r="K275" s="128">
        <v>3.8186</v>
      </c>
      <c r="L275" s="128">
        <v>3.1736</v>
      </c>
      <c r="M275" s="128">
        <v>4.4672999999999998</v>
      </c>
      <c r="N275" s="262">
        <f t="shared" si="46"/>
        <v>4.1239999999999997</v>
      </c>
      <c r="O275" s="262">
        <f t="shared" si="47"/>
        <v>4.1950000000000003</v>
      </c>
      <c r="P275" s="262">
        <f t="shared" si="48"/>
        <v>4.056</v>
      </c>
      <c r="Q275" s="270">
        <v>3.7130000000000001</v>
      </c>
      <c r="R275" s="128">
        <v>4.3860000000000001</v>
      </c>
      <c r="S275" s="128">
        <v>4.9560000000000004</v>
      </c>
      <c r="T275" s="128"/>
      <c r="U275" s="270">
        <v>3.4552</v>
      </c>
      <c r="V275" s="280"/>
      <c r="W275" s="262">
        <v>0.34410000000000002</v>
      </c>
      <c r="X275" s="128">
        <v>0.36130000000000001</v>
      </c>
      <c r="Y275" s="128"/>
      <c r="Z275" s="128">
        <v>5.03</v>
      </c>
      <c r="AA275" s="262">
        <v>3.1017600000000001</v>
      </c>
      <c r="AB275" s="270">
        <v>1.3673999999999999</v>
      </c>
      <c r="AC275" s="270">
        <v>4.9429999999999996</v>
      </c>
      <c r="AD275" s="280"/>
      <c r="AE275" s="277">
        <f t="shared" si="56"/>
        <v>3.9267750000000001</v>
      </c>
      <c r="AF275" s="262">
        <f t="shared" si="54"/>
        <v>3.1017600000000001</v>
      </c>
      <c r="AG275" s="128">
        <v>1.5446</v>
      </c>
      <c r="AH275" s="702">
        <v>1.97</v>
      </c>
      <c r="AI275" s="128"/>
      <c r="AJ275" s="128"/>
      <c r="AK275" s="128"/>
      <c r="AL275" s="128"/>
      <c r="AM275" s="242"/>
      <c r="AN275" s="270">
        <v>3.1017999999999999</v>
      </c>
      <c r="AO275" s="270">
        <v>3.4552</v>
      </c>
      <c r="AP275" s="270"/>
      <c r="AQ275" s="270"/>
      <c r="AR275" s="270"/>
      <c r="AS275" s="270"/>
      <c r="AT275" s="270"/>
      <c r="AU275" s="270"/>
      <c r="AV275" s="245">
        <v>0.5</v>
      </c>
      <c r="AW275" s="245"/>
      <c r="AX275" s="245"/>
      <c r="AY275" s="245">
        <v>0.35</v>
      </c>
      <c r="AZ275" s="245">
        <v>0.15</v>
      </c>
      <c r="BA275" s="245">
        <v>0</v>
      </c>
      <c r="BB275" s="245"/>
      <c r="BC275" s="245">
        <f t="shared" si="51"/>
        <v>1</v>
      </c>
      <c r="BD275" s="240">
        <f t="shared" si="52"/>
        <v>3.1461990000000002</v>
      </c>
      <c r="BE275" s="243">
        <f t="shared" si="55"/>
        <v>3.1461990000000002</v>
      </c>
      <c r="BF275" s="235">
        <v>0.35</v>
      </c>
      <c r="BG275" s="235">
        <v>0</v>
      </c>
      <c r="BH275" s="235">
        <v>0</v>
      </c>
      <c r="BI275" s="235"/>
      <c r="BJ275" s="235">
        <v>0.15</v>
      </c>
      <c r="BK275" s="235"/>
      <c r="BL275" s="235"/>
      <c r="BM275" s="235">
        <v>0.3</v>
      </c>
      <c r="BN275" s="235"/>
      <c r="BO275" s="235">
        <v>0.2</v>
      </c>
      <c r="BP275" s="235">
        <f t="shared" si="49"/>
        <v>1</v>
      </c>
      <c r="BQ275" s="243">
        <f t="shared" si="57"/>
        <v>3.1461990000000002</v>
      </c>
      <c r="BS275" s="341">
        <f t="array" ref="BS275">((1+10.2/100)^(1/12)-1)*100</f>
        <v>0.81267366616946113</v>
      </c>
      <c r="BT275" s="341"/>
      <c r="BU275" s="341"/>
      <c r="BV275" s="341">
        <f t="array" ref="BV275">((1+7/100)^(1/12)-1)*100</f>
        <v>0.56541453874052738</v>
      </c>
      <c r="BW275" s="341">
        <f t="array" ref="BW275">((1+10.6/100)^(1/12)-1)*100</f>
        <v>0.8431169043400244</v>
      </c>
      <c r="BX275" s="341"/>
      <c r="BY275" s="341">
        <f t="shared" si="58"/>
        <v>0.73069945729491881</v>
      </c>
      <c r="BZ275" s="341">
        <f t="shared" si="45"/>
        <v>0.81267366616946113</v>
      </c>
      <c r="CA275" s="341"/>
      <c r="CB275" s="243">
        <f t="shared" si="40"/>
        <v>0.64340301100034303</v>
      </c>
      <c r="CC275" s="243"/>
      <c r="CD275" s="243">
        <f t="shared" si="42"/>
        <v>0.64340301100034303</v>
      </c>
      <c r="CG275" s="734">
        <f t="shared" si="53"/>
        <v>5.1210000000000004</v>
      </c>
      <c r="CJ275" s="1264">
        <f t="shared" si="41"/>
        <v>0.79741404289037643</v>
      </c>
    </row>
    <row r="276" spans="1:88" x14ac:dyDescent="0.2">
      <c r="A276" s="19">
        <v>35915</v>
      </c>
      <c r="B276" s="262">
        <v>1.006</v>
      </c>
      <c r="C276" s="270">
        <v>0.83809999999999996</v>
      </c>
      <c r="D276" s="270">
        <v>1.1839999999999999</v>
      </c>
      <c r="E276" s="270">
        <v>1.8250999999999999</v>
      </c>
      <c r="F276" s="270">
        <v>2.9575</v>
      </c>
      <c r="G276" s="270">
        <v>0.64400000000000002</v>
      </c>
      <c r="H276" s="270">
        <v>0.55300000000000005</v>
      </c>
      <c r="I276" s="262">
        <v>0.61299999999999999</v>
      </c>
      <c r="J276" s="270">
        <v>0.49399999999999999</v>
      </c>
      <c r="K276" s="128">
        <v>0.58860000000000001</v>
      </c>
      <c r="L276" s="128">
        <v>0.90869999999999995</v>
      </c>
      <c r="M276" s="128">
        <v>0.28460000000000002</v>
      </c>
      <c r="N276" s="262">
        <f t="shared" si="46"/>
        <v>0.55300000000000005</v>
      </c>
      <c r="O276" s="262">
        <f t="shared" si="47"/>
        <v>0.61299999999999999</v>
      </c>
      <c r="P276" s="262">
        <f t="shared" si="48"/>
        <v>0.49399999999999999</v>
      </c>
      <c r="Q276" s="270">
        <v>0.90900000000000003</v>
      </c>
      <c r="R276" s="128">
        <v>0.378</v>
      </c>
      <c r="S276" s="128">
        <v>0.98299999999999998</v>
      </c>
      <c r="T276" s="128"/>
      <c r="U276" s="270">
        <v>0.71619999999999995</v>
      </c>
      <c r="V276" s="280"/>
      <c r="W276" s="262">
        <v>0.52229999999999999</v>
      </c>
      <c r="X276" s="128">
        <v>0.5272</v>
      </c>
      <c r="Y276" s="128"/>
      <c r="Z276" s="128">
        <v>1.1399999999999999</v>
      </c>
      <c r="AA276" s="262">
        <v>0.81428</v>
      </c>
      <c r="AB276" s="270">
        <v>1.0178</v>
      </c>
      <c r="AC276" s="270">
        <v>0.60499999999999998</v>
      </c>
      <c r="AD276" s="280"/>
      <c r="AE276" s="277">
        <f t="shared" si="56"/>
        <v>0.88507499999999995</v>
      </c>
      <c r="AF276" s="262">
        <f t="shared" si="54"/>
        <v>0.81428</v>
      </c>
      <c r="AG276" s="128">
        <v>1.3612</v>
      </c>
      <c r="AH276" s="702">
        <v>-3.15</v>
      </c>
      <c r="AI276" s="128"/>
      <c r="AJ276" s="128"/>
      <c r="AK276" s="128"/>
      <c r="AL276" s="128"/>
      <c r="AM276" s="242"/>
      <c r="AN276" s="270">
        <v>0.81420000000000003</v>
      </c>
      <c r="AO276" s="270">
        <v>0.71619999999999995</v>
      </c>
      <c r="AP276" s="270"/>
      <c r="AQ276" s="270"/>
      <c r="AR276" s="270"/>
      <c r="AS276" s="270"/>
      <c r="AT276" s="270"/>
      <c r="AU276" s="270"/>
      <c r="AV276" s="245">
        <v>0.5</v>
      </c>
      <c r="AW276" s="245"/>
      <c r="AX276" s="245"/>
      <c r="AY276" s="245">
        <v>0.35</v>
      </c>
      <c r="AZ276" s="245">
        <v>0.15</v>
      </c>
      <c r="BA276" s="245">
        <v>0</v>
      </c>
      <c r="BB276" s="245"/>
      <c r="BC276" s="245">
        <f t="shared" si="51"/>
        <v>1</v>
      </c>
      <c r="BD276" s="240">
        <f t="shared" si="52"/>
        <v>0.80794699999999997</v>
      </c>
      <c r="BE276" s="243">
        <f t="shared" si="55"/>
        <v>0.80794699999999997</v>
      </c>
      <c r="BF276" s="235">
        <v>0.35</v>
      </c>
      <c r="BG276" s="235">
        <v>0</v>
      </c>
      <c r="BH276" s="235">
        <v>0</v>
      </c>
      <c r="BI276" s="235"/>
      <c r="BJ276" s="235">
        <v>0.15</v>
      </c>
      <c r="BK276" s="235"/>
      <c r="BL276" s="235"/>
      <c r="BM276" s="235">
        <v>0.3</v>
      </c>
      <c r="BN276" s="235"/>
      <c r="BO276" s="235">
        <v>0.2</v>
      </c>
      <c r="BP276" s="235">
        <f t="shared" si="49"/>
        <v>1</v>
      </c>
      <c r="BQ276" s="243">
        <f t="shared" si="57"/>
        <v>0.80794699999999997</v>
      </c>
      <c r="BS276" s="341">
        <f t="array" ref="BS276">((1+10.2/100)^(1/12)-1)*100</f>
        <v>0.81267366616946113</v>
      </c>
      <c r="BT276" s="341"/>
      <c r="BU276" s="341"/>
      <c r="BV276" s="341">
        <f t="array" ref="BV276">((1+7/100)^(1/12)-1)*100</f>
        <v>0.56541453874052738</v>
      </c>
      <c r="BW276" s="341">
        <f t="array" ref="BW276">((1+10.6/100)^(1/12)-1)*100</f>
        <v>0.8431169043400244</v>
      </c>
      <c r="BX276" s="341"/>
      <c r="BY276" s="341">
        <f t="shared" si="58"/>
        <v>0.73069945729491881</v>
      </c>
      <c r="BZ276" s="341">
        <f t="shared" si="45"/>
        <v>0.81267366616946113</v>
      </c>
      <c r="CA276" s="341"/>
      <c r="CB276" s="243">
        <f t="shared" si="40"/>
        <v>0.64340301100034303</v>
      </c>
      <c r="CC276" s="243"/>
      <c r="CD276" s="243">
        <f t="shared" si="42"/>
        <v>0.64340301100034303</v>
      </c>
      <c r="CG276" s="734">
        <f t="shared" si="53"/>
        <v>1.006</v>
      </c>
      <c r="CJ276" s="1264">
        <f t="shared" si="41"/>
        <v>0.79741404289037643</v>
      </c>
    </row>
    <row r="277" spans="1:88" x14ac:dyDescent="0.2">
      <c r="A277" s="19">
        <v>35946</v>
      </c>
      <c r="B277" s="262">
        <v>-1.7190000000000001</v>
      </c>
      <c r="C277" s="270">
        <v>-2.0062000000000002</v>
      </c>
      <c r="D277" s="270">
        <v>-1.407</v>
      </c>
      <c r="E277" s="270">
        <v>-4.4985999999999997</v>
      </c>
      <c r="F277" s="270">
        <v>-4.9287000000000001</v>
      </c>
      <c r="G277" s="270">
        <v>-4.0430000000000001</v>
      </c>
      <c r="H277" s="270">
        <v>-5.3860000000000001</v>
      </c>
      <c r="I277" s="262">
        <v>-7.2649999999999997</v>
      </c>
      <c r="J277" s="270">
        <v>-3.54</v>
      </c>
      <c r="K277" s="128">
        <v>-5.2938000000000001</v>
      </c>
      <c r="L277" s="128">
        <v>-6.8093000000000004</v>
      </c>
      <c r="M277" s="128">
        <v>-3.8050000000000002</v>
      </c>
      <c r="N277" s="262">
        <f t="shared" si="46"/>
        <v>-5.3860000000000001</v>
      </c>
      <c r="O277" s="262">
        <f t="shared" si="47"/>
        <v>-7.2649999999999997</v>
      </c>
      <c r="P277" s="262">
        <f t="shared" si="48"/>
        <v>-3.54</v>
      </c>
      <c r="Q277" s="270">
        <v>-6.42</v>
      </c>
      <c r="R277" s="128">
        <v>-4.6420000000000003</v>
      </c>
      <c r="S277" s="128">
        <v>-2.468</v>
      </c>
      <c r="T277" s="128"/>
      <c r="U277" s="270">
        <v>-1.8133999999999999</v>
      </c>
      <c r="V277" s="280"/>
      <c r="W277" s="262">
        <v>0.94810000000000005</v>
      </c>
      <c r="X277" s="128">
        <v>0.70679999999999998</v>
      </c>
      <c r="Y277" s="128"/>
      <c r="Z277" s="128">
        <v>-1.69</v>
      </c>
      <c r="AA277" s="262">
        <v>-0.46266000000000002</v>
      </c>
      <c r="AB277" s="270">
        <v>-0.6835</v>
      </c>
      <c r="AC277" s="270">
        <v>-0.23569999999999999</v>
      </c>
      <c r="AD277" s="280"/>
      <c r="AE277" s="277">
        <f t="shared" si="56"/>
        <v>-1.052225</v>
      </c>
      <c r="AF277" s="262">
        <f t="shared" si="54"/>
        <v>-0.46266000000000002</v>
      </c>
      <c r="AG277" s="128">
        <v>1.3612</v>
      </c>
      <c r="AH277" s="702">
        <v>-0.96</v>
      </c>
      <c r="AI277" s="128"/>
      <c r="AJ277" s="128"/>
      <c r="AK277" s="128"/>
      <c r="AL277" s="128"/>
      <c r="AM277" s="242"/>
      <c r="AN277" s="270">
        <v>-0.46260000000000001</v>
      </c>
      <c r="AO277" s="270">
        <v>-1.8133999999999999</v>
      </c>
      <c r="AP277" s="270"/>
      <c r="AQ277" s="270"/>
      <c r="AR277" s="270"/>
      <c r="AS277" s="270"/>
      <c r="AT277" s="270"/>
      <c r="AU277" s="270"/>
      <c r="AV277" s="245">
        <v>0.5</v>
      </c>
      <c r="AW277" s="245"/>
      <c r="AX277" s="245"/>
      <c r="AY277" s="245">
        <v>0.35</v>
      </c>
      <c r="AZ277" s="245">
        <v>0.15</v>
      </c>
      <c r="BA277" s="245">
        <v>0</v>
      </c>
      <c r="BB277" s="245"/>
      <c r="BC277" s="245">
        <f t="shared" si="51"/>
        <v>1</v>
      </c>
      <c r="BD277" s="240">
        <f t="shared" si="52"/>
        <v>-0.59706400000000004</v>
      </c>
      <c r="BE277" s="243">
        <f t="shared" si="55"/>
        <v>-0.59706400000000004</v>
      </c>
      <c r="BF277" s="235">
        <v>0.35</v>
      </c>
      <c r="BG277" s="235">
        <v>0</v>
      </c>
      <c r="BH277" s="235">
        <v>0</v>
      </c>
      <c r="BI277" s="235"/>
      <c r="BJ277" s="235">
        <v>0.15</v>
      </c>
      <c r="BK277" s="235"/>
      <c r="BL277" s="235"/>
      <c r="BM277" s="235">
        <v>0.3</v>
      </c>
      <c r="BN277" s="235"/>
      <c r="BO277" s="235">
        <v>0.2</v>
      </c>
      <c r="BP277" s="235">
        <f t="shared" si="49"/>
        <v>1</v>
      </c>
      <c r="BQ277" s="243">
        <f t="shared" si="57"/>
        <v>-0.59706400000000004</v>
      </c>
      <c r="BS277" s="341">
        <f t="array" ref="BS277">((1+10.2/100)^(1/12)-1)*100</f>
        <v>0.81267366616946113</v>
      </c>
      <c r="BT277" s="341"/>
      <c r="BU277" s="341"/>
      <c r="BV277" s="341">
        <f t="array" ref="BV277">((1+7/100)^(1/12)-1)*100</f>
        <v>0.56541453874052738</v>
      </c>
      <c r="BW277" s="341">
        <f t="array" ref="BW277">((1+10.6/100)^(1/12)-1)*100</f>
        <v>0.8431169043400244</v>
      </c>
      <c r="BX277" s="341"/>
      <c r="BY277" s="341">
        <f t="shared" si="58"/>
        <v>0.73069945729491881</v>
      </c>
      <c r="BZ277" s="341">
        <f t="shared" si="45"/>
        <v>0.81267366616946113</v>
      </c>
      <c r="CA277" s="341"/>
      <c r="CB277" s="243">
        <f t="shared" si="40"/>
        <v>0.64340301100034303</v>
      </c>
      <c r="CC277" s="243"/>
      <c r="CD277" s="243">
        <f t="shared" si="42"/>
        <v>0.64340301100034303</v>
      </c>
      <c r="CG277" s="734">
        <f t="shared" si="53"/>
        <v>-1.7190000000000001</v>
      </c>
      <c r="CJ277" s="1264">
        <f t="shared" si="41"/>
        <v>0.79741404289037643</v>
      </c>
    </row>
    <row r="278" spans="1:88" x14ac:dyDescent="0.2">
      <c r="A278" s="19">
        <v>35976</v>
      </c>
      <c r="B278" s="262">
        <v>4.0620000000000003</v>
      </c>
      <c r="C278" s="270">
        <v>7.1256000000000004</v>
      </c>
      <c r="D278" s="270">
        <v>0.75900000000000001</v>
      </c>
      <c r="E278" s="270">
        <v>0.62839999999999996</v>
      </c>
      <c r="F278" s="270">
        <v>1.9341999999999999</v>
      </c>
      <c r="G278" s="270">
        <v>-0.745</v>
      </c>
      <c r="H278" s="270">
        <v>0.21</v>
      </c>
      <c r="I278" s="262">
        <v>1.022</v>
      </c>
      <c r="J278" s="270">
        <v>-0.56499999999999995</v>
      </c>
      <c r="K278" s="128">
        <v>0.29330000000000001</v>
      </c>
      <c r="L278" s="128">
        <v>0.1119</v>
      </c>
      <c r="M278" s="128">
        <v>0.46789999999999998</v>
      </c>
      <c r="N278" s="262">
        <f t="shared" si="46"/>
        <v>0.21</v>
      </c>
      <c r="O278" s="262">
        <f t="shared" si="47"/>
        <v>1.022</v>
      </c>
      <c r="P278" s="262">
        <f t="shared" si="48"/>
        <v>-0.56499999999999995</v>
      </c>
      <c r="Q278" s="270">
        <v>0.73199999999999998</v>
      </c>
      <c r="R278" s="128">
        <v>0.11799999999999999</v>
      </c>
      <c r="S278" s="128">
        <v>3.3809999999999998</v>
      </c>
      <c r="T278" s="128"/>
      <c r="U278" s="270">
        <v>-0.37590000000000001</v>
      </c>
      <c r="V278" s="280"/>
      <c r="W278" s="262">
        <v>0.84830000000000005</v>
      </c>
      <c r="X278" s="128">
        <v>0.57569999999999999</v>
      </c>
      <c r="Y278" s="128"/>
      <c r="Z278" s="128">
        <v>3.4</v>
      </c>
      <c r="AA278" s="262">
        <v>0.77927999999999997</v>
      </c>
      <c r="AB278" s="270">
        <v>1.3992</v>
      </c>
      <c r="AC278" s="270">
        <v>0.13780000000000001</v>
      </c>
      <c r="AD278" s="280"/>
      <c r="AE278" s="277">
        <f t="shared" si="56"/>
        <v>3.258575</v>
      </c>
      <c r="AF278" s="262">
        <f t="shared" si="54"/>
        <v>0.77927999999999997</v>
      </c>
      <c r="AG278" s="128">
        <v>1.3612</v>
      </c>
      <c r="AH278" s="702">
        <v>-0.53</v>
      </c>
      <c r="AI278" s="128"/>
      <c r="AJ278" s="128"/>
      <c r="AK278" s="128"/>
      <c r="AL278" s="128"/>
      <c r="AM278" s="242"/>
      <c r="AN278" s="270">
        <v>0.77949999999999997</v>
      </c>
      <c r="AO278" s="270">
        <v>-0.37590000000000001</v>
      </c>
      <c r="AP278" s="270"/>
      <c r="AQ278" s="270"/>
      <c r="AR278" s="270"/>
      <c r="AS278" s="270"/>
      <c r="AT278" s="270"/>
      <c r="AU278" s="270"/>
      <c r="AV278" s="245">
        <v>0.5</v>
      </c>
      <c r="AW278" s="245"/>
      <c r="AX278" s="245"/>
      <c r="AY278" s="245">
        <v>0.35</v>
      </c>
      <c r="AZ278" s="245">
        <v>0.15</v>
      </c>
      <c r="BA278" s="245">
        <v>0</v>
      </c>
      <c r="BB278" s="245"/>
      <c r="BC278" s="245">
        <f t="shared" si="51"/>
        <v>1</v>
      </c>
      <c r="BD278" s="240">
        <f t="shared" si="52"/>
        <v>2.4447970000000003</v>
      </c>
      <c r="BE278" s="243">
        <f t="shared" si="55"/>
        <v>2.4447970000000003</v>
      </c>
      <c r="BF278" s="235">
        <v>0.35</v>
      </c>
      <c r="BG278" s="235">
        <v>0</v>
      </c>
      <c r="BH278" s="235">
        <v>0</v>
      </c>
      <c r="BI278" s="235"/>
      <c r="BJ278" s="235">
        <v>0.15</v>
      </c>
      <c r="BK278" s="235"/>
      <c r="BL278" s="235"/>
      <c r="BM278" s="235">
        <v>0.3</v>
      </c>
      <c r="BN278" s="235"/>
      <c r="BO278" s="235">
        <v>0.2</v>
      </c>
      <c r="BP278" s="235">
        <f t="shared" si="49"/>
        <v>1</v>
      </c>
      <c r="BQ278" s="243">
        <f t="shared" si="57"/>
        <v>2.4447970000000003</v>
      </c>
      <c r="BS278" s="341">
        <f t="array" ref="BS278">((1+10.2/100)^(1/12)-1)*100</f>
        <v>0.81267366616946113</v>
      </c>
      <c r="BT278" s="341"/>
      <c r="BU278" s="341"/>
      <c r="BV278" s="341">
        <f t="array" ref="BV278">((1+7/100)^(1/12)-1)*100</f>
        <v>0.56541453874052738</v>
      </c>
      <c r="BW278" s="341">
        <f t="array" ref="BW278">((1+10.6/100)^(1/12)-1)*100</f>
        <v>0.8431169043400244</v>
      </c>
      <c r="BX278" s="341"/>
      <c r="BY278" s="341">
        <f t="shared" si="58"/>
        <v>0.73069945729491881</v>
      </c>
      <c r="BZ278" s="341">
        <f t="shared" si="45"/>
        <v>0.81267366616946113</v>
      </c>
      <c r="CA278" s="341"/>
      <c r="CB278" s="243">
        <f t="shared" si="40"/>
        <v>0.64340301100034303</v>
      </c>
      <c r="CC278" s="243"/>
      <c r="CD278" s="243">
        <f t="shared" si="42"/>
        <v>0.64340301100034303</v>
      </c>
      <c r="CG278" s="734">
        <f t="shared" si="53"/>
        <v>4.0620000000000003</v>
      </c>
      <c r="CJ278" s="1264">
        <f t="shared" si="41"/>
        <v>0.79741404289037643</v>
      </c>
    </row>
    <row r="279" spans="1:88" x14ac:dyDescent="0.2">
      <c r="A279" s="19">
        <v>36007</v>
      </c>
      <c r="B279" s="262">
        <v>-1.0649999999999999</v>
      </c>
      <c r="C279" s="270">
        <v>-5.7000000000000002E-2</v>
      </c>
      <c r="D279" s="270">
        <v>-2.17</v>
      </c>
      <c r="E279" s="270">
        <v>-3.8767999999999998</v>
      </c>
      <c r="F279" s="270">
        <v>-3.4712999999999998</v>
      </c>
      <c r="G279" s="270">
        <v>-4.3499999999999996</v>
      </c>
      <c r="H279" s="270">
        <v>-8.0950000000000006</v>
      </c>
      <c r="I279" s="262">
        <v>-8.35</v>
      </c>
      <c r="J279" s="270">
        <v>-7.8330000000000002</v>
      </c>
      <c r="K279" s="128">
        <v>-7.6509</v>
      </c>
      <c r="L279" s="128">
        <v>-7.2088000000000001</v>
      </c>
      <c r="M279" s="128">
        <v>-8.1084999999999994</v>
      </c>
      <c r="N279" s="262">
        <f t="shared" si="46"/>
        <v>-8.0950000000000006</v>
      </c>
      <c r="O279" s="262">
        <f t="shared" si="47"/>
        <v>-8.35</v>
      </c>
      <c r="P279" s="262">
        <f t="shared" si="48"/>
        <v>-7.8330000000000002</v>
      </c>
      <c r="Q279" s="270">
        <v>-7.4459999999999997</v>
      </c>
      <c r="R279" s="128">
        <v>-6.8680000000000003</v>
      </c>
      <c r="S279" s="128">
        <v>-1.8160000000000001</v>
      </c>
      <c r="T279" s="128"/>
      <c r="U279" s="270">
        <v>0.95050000000000001</v>
      </c>
      <c r="V279" s="280"/>
      <c r="W279" s="262">
        <v>0.2122</v>
      </c>
      <c r="X279" s="128">
        <v>0.41249999999999998</v>
      </c>
      <c r="Y279" s="128"/>
      <c r="Z279" s="128">
        <v>0.61</v>
      </c>
      <c r="AA279" s="262">
        <v>1.03603</v>
      </c>
      <c r="AB279" s="270">
        <v>0.47170000000000001</v>
      </c>
      <c r="AC279" s="270">
        <v>1.6369</v>
      </c>
      <c r="AD279" s="280"/>
      <c r="AE279" s="277">
        <f t="shared" si="56"/>
        <v>-0.74569999999999992</v>
      </c>
      <c r="AF279" s="262">
        <f t="shared" si="54"/>
        <v>1.03603</v>
      </c>
      <c r="AG279" s="128">
        <v>1.3784000000000001</v>
      </c>
      <c r="AH279" s="702">
        <v>-6.96</v>
      </c>
      <c r="AI279" s="128"/>
      <c r="AJ279" s="128"/>
      <c r="AK279" s="128"/>
      <c r="AL279" s="128"/>
      <c r="AM279" s="242"/>
      <c r="AN279" s="270">
        <v>1.0358000000000001</v>
      </c>
      <c r="AO279" s="270">
        <v>0.95050000000000001</v>
      </c>
      <c r="AP279" s="270"/>
      <c r="AQ279" s="270"/>
      <c r="AR279" s="270"/>
      <c r="AS279" s="270"/>
      <c r="AT279" s="270"/>
      <c r="AU279" s="270"/>
      <c r="AV279" s="245">
        <v>0.5</v>
      </c>
      <c r="AW279" s="245"/>
      <c r="AX279" s="245"/>
      <c r="AY279" s="245">
        <v>0.35</v>
      </c>
      <c r="AZ279" s="245">
        <v>0.15</v>
      </c>
      <c r="BA279" s="245">
        <v>0</v>
      </c>
      <c r="BB279" s="245"/>
      <c r="BC279" s="245">
        <f t="shared" si="51"/>
        <v>1</v>
      </c>
      <c r="BD279" s="240">
        <f t="shared" si="52"/>
        <v>-0.30282549999999997</v>
      </c>
      <c r="BE279" s="243">
        <f t="shared" si="55"/>
        <v>-0.30282549999999997</v>
      </c>
      <c r="BF279" s="235">
        <v>0.35</v>
      </c>
      <c r="BG279" s="235">
        <v>0</v>
      </c>
      <c r="BH279" s="235">
        <v>0</v>
      </c>
      <c r="BI279" s="235"/>
      <c r="BJ279" s="235">
        <v>0.15</v>
      </c>
      <c r="BK279" s="235"/>
      <c r="BL279" s="235"/>
      <c r="BM279" s="235">
        <v>0.3</v>
      </c>
      <c r="BN279" s="235"/>
      <c r="BO279" s="235">
        <v>0.2</v>
      </c>
      <c r="BP279" s="235">
        <f t="shared" si="49"/>
        <v>1</v>
      </c>
      <c r="BQ279" s="243">
        <f t="shared" si="57"/>
        <v>-0.30282549999999997</v>
      </c>
      <c r="BS279" s="341">
        <f t="array" ref="BS279">((1+10.2/100)^(1/12)-1)*100</f>
        <v>0.81267366616946113</v>
      </c>
      <c r="BT279" s="341"/>
      <c r="BU279" s="341"/>
      <c r="BV279" s="341">
        <f t="array" ref="BV279">((1+7/100)^(1/12)-1)*100</f>
        <v>0.56541453874052738</v>
      </c>
      <c r="BW279" s="341">
        <f t="array" ref="BW279">((1+10.6/100)^(1/12)-1)*100</f>
        <v>0.8431169043400244</v>
      </c>
      <c r="BX279" s="341"/>
      <c r="BY279" s="341">
        <f t="shared" si="58"/>
        <v>0.73069945729491881</v>
      </c>
      <c r="BZ279" s="341">
        <f t="shared" si="45"/>
        <v>0.81267366616946113</v>
      </c>
      <c r="CA279" s="341"/>
      <c r="CB279" s="243">
        <f t="shared" si="40"/>
        <v>0.64340301100034303</v>
      </c>
      <c r="CC279" s="243"/>
      <c r="CD279" s="243">
        <f t="shared" si="42"/>
        <v>0.64340301100034303</v>
      </c>
      <c r="CG279" s="734">
        <f t="shared" si="53"/>
        <v>-1.0649999999999999</v>
      </c>
      <c r="CJ279" s="1264">
        <f t="shared" si="41"/>
        <v>0.79741404289037643</v>
      </c>
    </row>
    <row r="280" spans="1:88" x14ac:dyDescent="0.2">
      <c r="A280" s="19">
        <v>36038</v>
      </c>
      <c r="B280" s="262">
        <v>-14.458</v>
      </c>
      <c r="C280" s="270">
        <v>-13.010300000000001</v>
      </c>
      <c r="D280" s="270">
        <v>-16.079999999999998</v>
      </c>
      <c r="E280" s="270">
        <v>-18.6143</v>
      </c>
      <c r="F280" s="270">
        <v>-20.8079</v>
      </c>
      <c r="G280" s="270">
        <v>-16.378</v>
      </c>
      <c r="H280" s="270">
        <v>-19.417999999999999</v>
      </c>
      <c r="I280" s="262">
        <v>-23.084</v>
      </c>
      <c r="J280" s="270">
        <v>-15.661</v>
      </c>
      <c r="K280" s="128">
        <v>-19.3019</v>
      </c>
      <c r="L280" s="128">
        <v>-21.650600000000001</v>
      </c>
      <c r="M280" s="128">
        <v>-16.864599999999999</v>
      </c>
      <c r="N280" s="262">
        <f t="shared" si="46"/>
        <v>-19.417999999999999</v>
      </c>
      <c r="O280" s="262">
        <f t="shared" si="47"/>
        <v>-23.084</v>
      </c>
      <c r="P280" s="262">
        <f t="shared" si="48"/>
        <v>-15.661</v>
      </c>
      <c r="Q280" s="270">
        <v>-22.722999999999999</v>
      </c>
      <c r="R280" s="128">
        <v>-18.864999999999998</v>
      </c>
      <c r="S280" s="128">
        <v>-15.319000000000001</v>
      </c>
      <c r="T280" s="128"/>
      <c r="U280" s="270">
        <v>-14.1023</v>
      </c>
      <c r="V280" s="280"/>
      <c r="W280" s="262">
        <v>1.6276999999999999</v>
      </c>
      <c r="X280" s="128">
        <v>1.3104</v>
      </c>
      <c r="Y280" s="128"/>
      <c r="Z280" s="128">
        <v>-11.43</v>
      </c>
      <c r="AA280" s="262">
        <v>-12.366860000000001</v>
      </c>
      <c r="AB280" s="270">
        <v>-10.726000000000001</v>
      </c>
      <c r="AC280" s="270">
        <v>-14.095599999999999</v>
      </c>
      <c r="AD280" s="280"/>
      <c r="AE280" s="277">
        <f t="shared" si="56"/>
        <v>-10.436575000000001</v>
      </c>
      <c r="AF280" s="262">
        <f t="shared" si="54"/>
        <v>-12.366860000000001</v>
      </c>
      <c r="AG280" s="128">
        <v>1.3784000000000001</v>
      </c>
      <c r="AH280" s="702">
        <v>-10.39</v>
      </c>
      <c r="AI280" s="128"/>
      <c r="AJ280" s="128"/>
      <c r="AK280" s="128"/>
      <c r="AL280" s="128"/>
      <c r="AM280" s="242"/>
      <c r="AN280" s="270">
        <v>-12.366899999999999</v>
      </c>
      <c r="AO280" s="270">
        <v>-14.1023</v>
      </c>
      <c r="AP280" s="270"/>
      <c r="AQ280" s="270"/>
      <c r="AR280" s="270"/>
      <c r="AS280" s="270"/>
      <c r="AT280" s="270"/>
      <c r="AU280" s="270"/>
      <c r="AV280" s="245">
        <v>0.5</v>
      </c>
      <c r="AW280" s="245"/>
      <c r="AX280" s="245"/>
      <c r="AY280" s="245">
        <v>0.35</v>
      </c>
      <c r="AZ280" s="245">
        <v>0.15</v>
      </c>
      <c r="BA280" s="245">
        <v>0</v>
      </c>
      <c r="BB280" s="245"/>
      <c r="BC280" s="245">
        <f t="shared" si="51"/>
        <v>1</v>
      </c>
      <c r="BD280" s="240">
        <f t="shared" si="52"/>
        <v>-8.5143339999999998</v>
      </c>
      <c r="BE280" s="243">
        <f t="shared" si="55"/>
        <v>-8.5143339999999998</v>
      </c>
      <c r="BF280" s="235">
        <v>0.35</v>
      </c>
      <c r="BG280" s="235">
        <v>0</v>
      </c>
      <c r="BH280" s="235">
        <v>0</v>
      </c>
      <c r="BI280" s="235"/>
      <c r="BJ280" s="235">
        <v>0.15</v>
      </c>
      <c r="BK280" s="235"/>
      <c r="BL280" s="235"/>
      <c r="BM280" s="235">
        <v>0.3</v>
      </c>
      <c r="BN280" s="235"/>
      <c r="BO280" s="235">
        <v>0.2</v>
      </c>
      <c r="BP280" s="235">
        <f t="shared" si="49"/>
        <v>1</v>
      </c>
      <c r="BQ280" s="243">
        <f t="shared" si="57"/>
        <v>-8.5143339999999998</v>
      </c>
      <c r="BS280" s="341">
        <f t="array" ref="BS280">((1+10.2/100)^(1/12)-1)*100</f>
        <v>0.81267366616946113</v>
      </c>
      <c r="BT280" s="341"/>
      <c r="BU280" s="341"/>
      <c r="BV280" s="341">
        <f t="array" ref="BV280">((1+7/100)^(1/12)-1)*100</f>
        <v>0.56541453874052738</v>
      </c>
      <c r="BW280" s="341">
        <f t="array" ref="BW280">((1+10.6/100)^(1/12)-1)*100</f>
        <v>0.8431169043400244</v>
      </c>
      <c r="BX280" s="341"/>
      <c r="BY280" s="341">
        <f t="shared" si="58"/>
        <v>0.73069945729491881</v>
      </c>
      <c r="BZ280" s="341">
        <f t="shared" si="45"/>
        <v>0.81267366616946113</v>
      </c>
      <c r="CA280" s="341"/>
      <c r="CB280" s="243">
        <f t="shared" si="40"/>
        <v>0.64340301100034303</v>
      </c>
      <c r="CC280" s="243"/>
      <c r="CD280" s="243">
        <f t="shared" si="42"/>
        <v>0.64340301100034303</v>
      </c>
      <c r="CG280" s="734">
        <f t="shared" si="53"/>
        <v>-14.458</v>
      </c>
      <c r="CJ280" s="1264">
        <f t="shared" si="41"/>
        <v>0.79741404289037643</v>
      </c>
    </row>
    <row r="281" spans="1:88" x14ac:dyDescent="0.2">
      <c r="A281" s="19">
        <v>36068</v>
      </c>
      <c r="B281" s="262">
        <v>6.4059999999999997</v>
      </c>
      <c r="C281" s="270">
        <v>6.6909000000000001</v>
      </c>
      <c r="D281" s="270">
        <v>6.0759999999999996</v>
      </c>
      <c r="E281" s="270">
        <v>9.3348999999999993</v>
      </c>
      <c r="F281" s="270">
        <v>10.9674</v>
      </c>
      <c r="G281" s="270">
        <v>7.7759999999999998</v>
      </c>
      <c r="H281" s="270">
        <v>7.8259999999999996</v>
      </c>
      <c r="I281" s="262">
        <v>10.138999999999999</v>
      </c>
      <c r="J281" s="270">
        <v>5.6470000000000002</v>
      </c>
      <c r="K281" s="128">
        <v>6.1246</v>
      </c>
      <c r="L281" s="128">
        <v>6.26</v>
      </c>
      <c r="M281" s="128">
        <v>6.0004999999999997</v>
      </c>
      <c r="N281" s="262">
        <f t="shared" si="46"/>
        <v>7.8259999999999996</v>
      </c>
      <c r="O281" s="262">
        <f t="shared" si="47"/>
        <v>10.138999999999999</v>
      </c>
      <c r="P281" s="262">
        <f t="shared" si="48"/>
        <v>5.6470000000000002</v>
      </c>
      <c r="Q281" s="270">
        <v>8.7680000000000007</v>
      </c>
      <c r="R281" s="128">
        <v>7.1020000000000003</v>
      </c>
      <c r="S281" s="128">
        <v>6.8209999999999997</v>
      </c>
      <c r="T281" s="128"/>
      <c r="U281" s="270">
        <v>-2.1124000000000001</v>
      </c>
      <c r="V281" s="280"/>
      <c r="W281" s="262">
        <v>2.3412000000000002</v>
      </c>
      <c r="X281" s="128">
        <v>1.9907999999999999</v>
      </c>
      <c r="Y281" s="128"/>
      <c r="Z281" s="128">
        <v>3.47</v>
      </c>
      <c r="AA281" s="262">
        <v>-3.0396899999999998</v>
      </c>
      <c r="AB281" s="270">
        <v>-2.7957000000000001</v>
      </c>
      <c r="AC281" s="270">
        <v>-3.282</v>
      </c>
      <c r="AD281" s="280"/>
      <c r="AE281" s="277">
        <f t="shared" si="56"/>
        <v>5.3898000000000001</v>
      </c>
      <c r="AF281" s="262">
        <f t="shared" si="54"/>
        <v>-3.0396899999999998</v>
      </c>
      <c r="AG281" s="128">
        <v>1.3784000000000001</v>
      </c>
      <c r="AH281" s="702">
        <v>5.6</v>
      </c>
      <c r="AI281" s="128"/>
      <c r="AJ281" s="128"/>
      <c r="AK281" s="128"/>
      <c r="AL281" s="128"/>
      <c r="AM281" s="242"/>
      <c r="AN281" s="270">
        <v>-3.0396999999999998</v>
      </c>
      <c r="AO281" s="270">
        <v>-2.1124000000000001</v>
      </c>
      <c r="AP281" s="270"/>
      <c r="AQ281" s="270"/>
      <c r="AR281" s="270"/>
      <c r="AS281" s="270"/>
      <c r="AT281" s="270"/>
      <c r="AU281" s="270"/>
      <c r="AV281" s="245">
        <v>0.5</v>
      </c>
      <c r="AW281" s="245"/>
      <c r="AX281" s="245"/>
      <c r="AY281" s="245">
        <v>0.35</v>
      </c>
      <c r="AZ281" s="245">
        <v>0.15</v>
      </c>
      <c r="BA281" s="245">
        <v>0</v>
      </c>
      <c r="BB281" s="245"/>
      <c r="BC281" s="245">
        <f t="shared" si="51"/>
        <v>1</v>
      </c>
      <c r="BD281" s="240">
        <f t="shared" si="52"/>
        <v>3.5664665000000002</v>
      </c>
      <c r="BE281" s="243">
        <f t="shared" si="55"/>
        <v>3.5664665000000002</v>
      </c>
      <c r="BF281" s="328">
        <v>0.35</v>
      </c>
      <c r="BG281" s="328">
        <v>0</v>
      </c>
      <c r="BH281" s="328">
        <v>0</v>
      </c>
      <c r="BI281" s="328"/>
      <c r="BJ281" s="328">
        <v>0.15</v>
      </c>
      <c r="BK281" s="328"/>
      <c r="BL281" s="328"/>
      <c r="BM281" s="328">
        <v>0.3</v>
      </c>
      <c r="BN281" s="328"/>
      <c r="BO281" s="328">
        <v>0.2</v>
      </c>
      <c r="BP281" s="328">
        <f t="shared" si="49"/>
        <v>1</v>
      </c>
      <c r="BQ281" s="327">
        <f t="shared" si="57"/>
        <v>3.5664664999999998</v>
      </c>
      <c r="BS281" s="341">
        <f t="array" ref="BS281">((1+10.2/100)^(1/12)-1)*100</f>
        <v>0.81267366616946113</v>
      </c>
      <c r="BT281" s="341"/>
      <c r="BU281" s="341"/>
      <c r="BV281" s="341">
        <f t="array" ref="BV281">((1+7/100)^(1/12)-1)*100</f>
        <v>0.56541453874052738</v>
      </c>
      <c r="BW281" s="341">
        <f t="array" ref="BW281">((1+10.6/100)^(1/12)-1)*100</f>
        <v>0.8431169043400244</v>
      </c>
      <c r="BX281" s="341"/>
      <c r="BY281" s="341">
        <f t="shared" si="58"/>
        <v>0.73069945729491881</v>
      </c>
      <c r="BZ281" s="341">
        <f t="shared" si="45"/>
        <v>0.81267366616946113</v>
      </c>
      <c r="CA281" s="341"/>
      <c r="CB281" s="243">
        <f t="shared" si="40"/>
        <v>0.64340301100034303</v>
      </c>
      <c r="CC281" s="243"/>
      <c r="CD281" s="243">
        <f t="shared" si="42"/>
        <v>0.64340301100034303</v>
      </c>
      <c r="CG281" s="734">
        <f t="shared" si="53"/>
        <v>6.4059999999999997</v>
      </c>
      <c r="CJ281" s="1264">
        <f t="shared" si="41"/>
        <v>0.79741404289037643</v>
      </c>
    </row>
    <row r="282" spans="1:88" x14ac:dyDescent="0.2">
      <c r="A282" s="19">
        <v>36099</v>
      </c>
      <c r="B282" s="262">
        <v>8.1340000000000003</v>
      </c>
      <c r="C282" s="270">
        <v>8.3847000000000005</v>
      </c>
      <c r="D282" s="270">
        <v>7.8330000000000002</v>
      </c>
      <c r="E282" s="270">
        <v>8.9365000000000006</v>
      </c>
      <c r="F282" s="270">
        <v>10.218</v>
      </c>
      <c r="G282" s="270">
        <v>7.8860000000000001</v>
      </c>
      <c r="H282" s="270">
        <v>4.0780000000000003</v>
      </c>
      <c r="I282" s="262">
        <v>5.2160000000000002</v>
      </c>
      <c r="J282" s="270">
        <v>2.9689999999999999</v>
      </c>
      <c r="K282" s="128">
        <v>4.6444000000000001</v>
      </c>
      <c r="L282" s="128">
        <v>6.4116</v>
      </c>
      <c r="M282" s="128">
        <v>2.9283999999999999</v>
      </c>
      <c r="N282" s="262">
        <f t="shared" si="46"/>
        <v>4.0780000000000003</v>
      </c>
      <c r="O282" s="262">
        <f t="shared" si="47"/>
        <v>5.2160000000000002</v>
      </c>
      <c r="P282" s="262">
        <f t="shared" si="48"/>
        <v>2.9689999999999999</v>
      </c>
      <c r="Q282" s="270">
        <v>6.7519999999999998</v>
      </c>
      <c r="R282" s="128">
        <v>5.4669999999999996</v>
      </c>
      <c r="S282" s="128">
        <v>7.5910000000000002</v>
      </c>
      <c r="T282" s="128"/>
      <c r="U282" s="270">
        <v>10.4748</v>
      </c>
      <c r="V282" s="280"/>
      <c r="W282" s="262">
        <v>-0.52759999999999996</v>
      </c>
      <c r="X282" s="128">
        <v>-0.1166</v>
      </c>
      <c r="Y282" s="128"/>
      <c r="Z282" s="128">
        <v>1.74</v>
      </c>
      <c r="AA282" s="262">
        <v>10.452</v>
      </c>
      <c r="AB282" s="270">
        <v>10.162800000000001</v>
      </c>
      <c r="AC282" s="270">
        <v>10.7446</v>
      </c>
      <c r="AD282" s="280"/>
      <c r="AE282" s="277">
        <f t="shared" si="56"/>
        <v>5.9686000000000003</v>
      </c>
      <c r="AF282" s="262">
        <f t="shared" si="54"/>
        <v>10.452</v>
      </c>
      <c r="AG282" s="128">
        <v>1.1405000000000001</v>
      </c>
      <c r="AH282" s="702">
        <v>-1.37</v>
      </c>
      <c r="AI282" s="128"/>
      <c r="AJ282" s="128"/>
      <c r="AK282" s="128"/>
      <c r="AL282" s="128"/>
      <c r="AM282" s="242"/>
      <c r="AN282" s="270">
        <v>10.452299999999999</v>
      </c>
      <c r="AO282" s="270">
        <v>10.4748</v>
      </c>
      <c r="AP282" s="270"/>
      <c r="AQ282" s="270"/>
      <c r="AR282" s="270"/>
      <c r="AS282" s="270"/>
      <c r="AT282" s="270"/>
      <c r="AU282" s="270"/>
      <c r="AV282" s="245">
        <v>0.5</v>
      </c>
      <c r="AW282" s="245"/>
      <c r="AX282" s="245"/>
      <c r="AY282" s="245">
        <v>0.35</v>
      </c>
      <c r="AZ282" s="245">
        <v>0.15</v>
      </c>
      <c r="BA282" s="245">
        <v>0</v>
      </c>
      <c r="BB282" s="245"/>
      <c r="BC282" s="245">
        <f t="shared" si="51"/>
        <v>1</v>
      </c>
      <c r="BD282" s="240">
        <f t="shared" si="52"/>
        <v>5.4501400000000002</v>
      </c>
      <c r="BE282" s="243">
        <f t="shared" si="55"/>
        <v>5.4501400000000002</v>
      </c>
      <c r="BF282" s="235">
        <v>0.38750000000000001</v>
      </c>
      <c r="BG282" s="235">
        <v>0</v>
      </c>
      <c r="BH282" s="235">
        <v>0</v>
      </c>
      <c r="BI282" s="235"/>
      <c r="BJ282" s="235">
        <v>0.15</v>
      </c>
      <c r="BK282" s="235"/>
      <c r="BL282" s="235"/>
      <c r="BM282" s="235">
        <v>0.3125</v>
      </c>
      <c r="BN282" s="235"/>
      <c r="BO282" s="235">
        <v>0.15</v>
      </c>
      <c r="BP282" s="235">
        <f t="shared" si="49"/>
        <v>1</v>
      </c>
      <c r="BQ282" s="243">
        <f t="shared" si="57"/>
        <v>5.4501400000000002</v>
      </c>
      <c r="BS282" s="341">
        <f t="array" ref="BS282">((1+10.2/100)^(1/12)-1)*100</f>
        <v>0.81267366616946113</v>
      </c>
      <c r="BT282" s="341"/>
      <c r="BU282" s="341"/>
      <c r="BV282" s="341">
        <f t="array" ref="BV282">((1+7/100)^(1/12)-1)*100</f>
        <v>0.56541453874052738</v>
      </c>
      <c r="BW282" s="341">
        <f t="array" ref="BW282">((1+10.6/100)^(1/12)-1)*100</f>
        <v>0.8431169043400244</v>
      </c>
      <c r="BX282" s="341"/>
      <c r="BY282" s="341">
        <f t="shared" si="58"/>
        <v>0.73069945729491881</v>
      </c>
      <c r="BZ282" s="341">
        <f t="shared" si="45"/>
        <v>0.81267366616946113</v>
      </c>
      <c r="CA282" s="341"/>
      <c r="CB282" s="243">
        <f t="shared" si="40"/>
        <v>0.64340301100034303</v>
      </c>
      <c r="CC282" s="243"/>
      <c r="CD282" s="243">
        <f t="shared" si="42"/>
        <v>0.64340301100034303</v>
      </c>
      <c r="CG282" s="734">
        <f t="shared" si="53"/>
        <v>8.1340000000000003</v>
      </c>
      <c r="CJ282" s="1264">
        <f t="shared" si="41"/>
        <v>0.79741404289037643</v>
      </c>
    </row>
    <row r="283" spans="1:88" x14ac:dyDescent="0.2">
      <c r="A283" s="19">
        <v>36129</v>
      </c>
      <c r="B283" s="262">
        <v>6.06</v>
      </c>
      <c r="C283" s="270">
        <v>6.7742000000000004</v>
      </c>
      <c r="D283" s="270">
        <v>5.2089999999999996</v>
      </c>
      <c r="E283" s="270">
        <v>4.9904999999999999</v>
      </c>
      <c r="F283" s="270">
        <v>7.7529000000000003</v>
      </c>
      <c r="G283" s="270">
        <v>2.3319999999999999</v>
      </c>
      <c r="H283" s="270">
        <v>5.2389999999999999</v>
      </c>
      <c r="I283" s="262">
        <v>7.7569999999999997</v>
      </c>
      <c r="J283" s="270">
        <v>2.7069999999999999</v>
      </c>
      <c r="K283" s="128">
        <v>5.6284999999999998</v>
      </c>
      <c r="L283" s="128">
        <v>6.7027999999999999</v>
      </c>
      <c r="M283" s="128">
        <v>4.5378999999999996</v>
      </c>
      <c r="N283" s="262">
        <f t="shared" si="46"/>
        <v>5.2389999999999999</v>
      </c>
      <c r="O283" s="262">
        <f t="shared" si="47"/>
        <v>7.7569999999999997</v>
      </c>
      <c r="P283" s="262">
        <f t="shared" si="48"/>
        <v>2.7069999999999999</v>
      </c>
      <c r="Q283" s="270">
        <v>7.1130000000000004</v>
      </c>
      <c r="R283" s="128">
        <v>4.952</v>
      </c>
      <c r="S283" s="128">
        <v>6.1159999999999997</v>
      </c>
      <c r="T283" s="128"/>
      <c r="U283" s="270">
        <v>5.3739999999999997</v>
      </c>
      <c r="V283" s="280"/>
      <c r="W283" s="262">
        <v>0.56640000000000001</v>
      </c>
      <c r="X283" s="128">
        <v>0.20039999999999999</v>
      </c>
      <c r="Y283" s="128"/>
      <c r="Z283" s="128">
        <v>3.74</v>
      </c>
      <c r="AA283" s="262">
        <v>5.1479999999999997</v>
      </c>
      <c r="AB283" s="270">
        <v>4.8555000000000001</v>
      </c>
      <c r="AC283" s="270">
        <v>5.4433999999999996</v>
      </c>
      <c r="AD283" s="280"/>
      <c r="AE283" s="277">
        <f t="shared" si="56"/>
        <v>4.6866000000000003</v>
      </c>
      <c r="AF283" s="262">
        <f t="shared" si="54"/>
        <v>5.1479999999999997</v>
      </c>
      <c r="AG283" s="128">
        <v>1.1405000000000001</v>
      </c>
      <c r="AH283" s="702">
        <v>1.88</v>
      </c>
      <c r="AI283" s="128"/>
      <c r="AJ283" s="128"/>
      <c r="AK283" s="128"/>
      <c r="AL283" s="128"/>
      <c r="AM283" s="242"/>
      <c r="AN283" s="270">
        <v>5.1478999999999999</v>
      </c>
      <c r="AO283" s="270">
        <v>5.3739999999999997</v>
      </c>
      <c r="AP283" s="270"/>
      <c r="AQ283" s="270"/>
      <c r="AR283" s="270"/>
      <c r="AS283" s="270"/>
      <c r="AT283" s="270"/>
      <c r="AU283" s="270"/>
      <c r="AV283" s="245">
        <v>0.5</v>
      </c>
      <c r="AW283" s="245"/>
      <c r="AX283" s="245"/>
      <c r="AY283" s="245">
        <v>0.35</v>
      </c>
      <c r="AZ283" s="245">
        <v>0.15</v>
      </c>
      <c r="BA283" s="245">
        <v>0</v>
      </c>
      <c r="BB283" s="245"/>
      <c r="BC283" s="245">
        <f t="shared" si="51"/>
        <v>1</v>
      </c>
      <c r="BD283" s="240">
        <f t="shared" si="52"/>
        <v>4.0004400000000002</v>
      </c>
      <c r="BE283" s="243">
        <f t="shared" si="55"/>
        <v>4.0004400000000002</v>
      </c>
      <c r="BF283" s="235">
        <v>0.38750000000000001</v>
      </c>
      <c r="BG283" s="235">
        <v>0</v>
      </c>
      <c r="BH283" s="235">
        <v>0</v>
      </c>
      <c r="BI283" s="235"/>
      <c r="BJ283" s="235">
        <v>0.15</v>
      </c>
      <c r="BK283" s="235"/>
      <c r="BL283" s="235"/>
      <c r="BM283" s="235">
        <v>0.3125</v>
      </c>
      <c r="BN283" s="235"/>
      <c r="BO283" s="235">
        <v>0.15</v>
      </c>
      <c r="BP283" s="235">
        <f t="shared" si="49"/>
        <v>1</v>
      </c>
      <c r="BQ283" s="243">
        <f t="shared" si="57"/>
        <v>4.0004399999999993</v>
      </c>
      <c r="BS283" s="341">
        <f t="array" ref="BS283">((1+10.2/100)^(1/12)-1)*100</f>
        <v>0.81267366616946113</v>
      </c>
      <c r="BT283" s="341"/>
      <c r="BU283" s="341"/>
      <c r="BV283" s="341">
        <f t="array" ref="BV283">((1+7/100)^(1/12)-1)*100</f>
        <v>0.56541453874052738</v>
      </c>
      <c r="BW283" s="341">
        <f t="array" ref="BW283">((1+10.6/100)^(1/12)-1)*100</f>
        <v>0.8431169043400244</v>
      </c>
      <c r="BX283" s="341"/>
      <c r="BY283" s="341">
        <f t="shared" si="58"/>
        <v>0.73069945729491881</v>
      </c>
      <c r="BZ283" s="341">
        <f t="shared" si="45"/>
        <v>0.81267366616946113</v>
      </c>
      <c r="CA283" s="341"/>
      <c r="CB283" s="243">
        <f t="shared" si="40"/>
        <v>0.64340301100034303</v>
      </c>
      <c r="CC283" s="243"/>
      <c r="CD283" s="243">
        <f t="shared" si="42"/>
        <v>0.64340301100034303</v>
      </c>
      <c r="CG283" s="734">
        <f t="shared" si="53"/>
        <v>6.06</v>
      </c>
      <c r="CJ283" s="1264">
        <f t="shared" si="41"/>
        <v>0.79741404289037643</v>
      </c>
    </row>
    <row r="284" spans="1:88" x14ac:dyDescent="0.2">
      <c r="A284" s="19">
        <v>36160</v>
      </c>
      <c r="B284" s="262">
        <v>5.7619999999999996</v>
      </c>
      <c r="C284" s="270">
        <v>7.6059999999999999</v>
      </c>
      <c r="D284" s="270">
        <v>3.512</v>
      </c>
      <c r="E284" s="270">
        <v>12.0823</v>
      </c>
      <c r="F284" s="270">
        <v>19.559799999999999</v>
      </c>
      <c r="G284" s="270">
        <v>4.4580000000000002</v>
      </c>
      <c r="H284" s="270">
        <v>6.1879999999999997</v>
      </c>
      <c r="I284" s="262">
        <v>9.0489999999999995</v>
      </c>
      <c r="J284" s="270">
        <v>3.1360000000000001</v>
      </c>
      <c r="K284" s="128">
        <v>6.3910999999999998</v>
      </c>
      <c r="L284" s="128">
        <v>8.7055000000000007</v>
      </c>
      <c r="M284" s="128">
        <v>4.0255000000000001</v>
      </c>
      <c r="N284" s="262">
        <f t="shared" si="46"/>
        <v>6.1879999999999997</v>
      </c>
      <c r="O284" s="262">
        <f t="shared" si="47"/>
        <v>9.0489999999999995</v>
      </c>
      <c r="P284" s="262">
        <f t="shared" si="48"/>
        <v>3.1360000000000001</v>
      </c>
      <c r="Q284" s="270">
        <v>9.6280000000000001</v>
      </c>
      <c r="R284" s="128">
        <v>6.0590000000000002</v>
      </c>
      <c r="S284" s="128">
        <v>6.3559999999999999</v>
      </c>
      <c r="T284" s="128"/>
      <c r="U284" s="270">
        <v>3.4453</v>
      </c>
      <c r="V284" s="280"/>
      <c r="W284" s="262">
        <v>0.30070000000000002</v>
      </c>
      <c r="X284" s="128">
        <v>0.4098</v>
      </c>
      <c r="Y284" s="128"/>
      <c r="Z284" s="128">
        <v>6.56</v>
      </c>
      <c r="AA284" s="262">
        <v>3.9689999999999999</v>
      </c>
      <c r="AB284" s="270">
        <v>5.7606000000000002</v>
      </c>
      <c r="AC284" s="270">
        <v>2.1406000000000001</v>
      </c>
      <c r="AD284" s="280"/>
      <c r="AE284" s="277">
        <f t="shared" si="56"/>
        <v>4.3966749999999992</v>
      </c>
      <c r="AF284" s="262">
        <f t="shared" si="54"/>
        <v>3.9689999999999999</v>
      </c>
      <c r="AG284" s="128">
        <v>1.1405000000000001</v>
      </c>
      <c r="AH284" s="702">
        <v>-1.43</v>
      </c>
      <c r="AI284" s="128"/>
      <c r="AJ284" s="128"/>
      <c r="AK284" s="128"/>
      <c r="AL284" s="128"/>
      <c r="AM284" s="242"/>
      <c r="AN284" s="270">
        <v>3.9693999999999998</v>
      </c>
      <c r="AO284" s="270">
        <v>3.4453</v>
      </c>
      <c r="AP284" s="270"/>
      <c r="AQ284" s="270"/>
      <c r="AR284" s="270"/>
      <c r="AS284" s="270"/>
      <c r="AT284" s="270"/>
      <c r="AU284" s="270"/>
      <c r="AV284" s="245">
        <v>0.5</v>
      </c>
      <c r="AW284" s="245"/>
      <c r="AX284" s="245"/>
      <c r="AY284" s="245">
        <v>0.35</v>
      </c>
      <c r="AZ284" s="245">
        <v>0.15</v>
      </c>
      <c r="BA284" s="245">
        <v>0</v>
      </c>
      <c r="BB284" s="245"/>
      <c r="BC284" s="245">
        <f t="shared" si="51"/>
        <v>1</v>
      </c>
      <c r="BD284" s="240">
        <f t="shared" si="52"/>
        <v>3.5815949999999996</v>
      </c>
      <c r="BE284" s="243">
        <f t="shared" si="55"/>
        <v>3.5815949999999996</v>
      </c>
      <c r="BF284" s="235">
        <v>0.38750000000000001</v>
      </c>
      <c r="BG284" s="235">
        <v>0</v>
      </c>
      <c r="BH284" s="235">
        <v>0</v>
      </c>
      <c r="BI284" s="235"/>
      <c r="BJ284" s="235">
        <v>0.15</v>
      </c>
      <c r="BK284" s="235"/>
      <c r="BL284" s="235"/>
      <c r="BM284" s="235">
        <v>0.3125</v>
      </c>
      <c r="BN284" s="235"/>
      <c r="BO284" s="235">
        <v>0.15</v>
      </c>
      <c r="BP284" s="235">
        <f t="shared" si="49"/>
        <v>1</v>
      </c>
      <c r="BQ284" s="243">
        <f t="shared" si="57"/>
        <v>3.5815949999999996</v>
      </c>
      <c r="BS284" s="341">
        <f t="array" ref="BS284">((1+10.2/100)^(1/12)-1)*100</f>
        <v>0.81267366616946113</v>
      </c>
      <c r="BT284" s="341"/>
      <c r="BU284" s="341"/>
      <c r="BV284" s="341">
        <f t="array" ref="BV284">((1+7/100)^(1/12)-1)*100</f>
        <v>0.56541453874052738</v>
      </c>
      <c r="BW284" s="341">
        <f t="array" ref="BW284">((1+10.6/100)^(1/12)-1)*100</f>
        <v>0.8431169043400244</v>
      </c>
      <c r="BX284" s="341"/>
      <c r="BY284" s="341">
        <f t="shared" si="58"/>
        <v>0.73069945729491881</v>
      </c>
      <c r="BZ284" s="341">
        <f t="shared" si="45"/>
        <v>0.81267366616946113</v>
      </c>
      <c r="CA284" s="341"/>
      <c r="CB284" s="243">
        <f t="shared" si="40"/>
        <v>0.64340301100034303</v>
      </c>
      <c r="CC284" s="243"/>
      <c r="CD284" s="243">
        <f t="shared" si="42"/>
        <v>0.64340301100034303</v>
      </c>
      <c r="CG284" s="734">
        <f t="shared" si="53"/>
        <v>5.7619999999999996</v>
      </c>
      <c r="CJ284" s="1264">
        <f t="shared" si="41"/>
        <v>0.79741404289037643</v>
      </c>
    </row>
    <row r="285" spans="1:88" x14ac:dyDescent="0.2">
      <c r="A285" s="19">
        <v>36191</v>
      </c>
      <c r="B285" s="262">
        <v>4.1820000000000004</v>
      </c>
      <c r="C285" s="270">
        <v>6.1067</v>
      </c>
      <c r="D285" s="270">
        <v>2.02</v>
      </c>
      <c r="E285" s="270">
        <v>-3.8929999999999998</v>
      </c>
      <c r="F285" s="270">
        <v>-2.4546000000000001</v>
      </c>
      <c r="G285" s="270">
        <v>-5.2270000000000003</v>
      </c>
      <c r="H285" s="270">
        <v>1.329</v>
      </c>
      <c r="I285" s="262">
        <v>4.4980000000000002</v>
      </c>
      <c r="J285" s="270">
        <v>-2.27</v>
      </c>
      <c r="K285" s="128">
        <v>-1.2551000000000001</v>
      </c>
      <c r="L285" s="128">
        <v>-0.26600000000000001</v>
      </c>
      <c r="M285" s="128">
        <v>-2.3791000000000002</v>
      </c>
      <c r="N285" s="262">
        <f t="shared" si="46"/>
        <v>1.329</v>
      </c>
      <c r="O285" s="262">
        <f t="shared" si="47"/>
        <v>4.4980000000000002</v>
      </c>
      <c r="P285" s="262">
        <f t="shared" si="48"/>
        <v>-2.27</v>
      </c>
      <c r="Q285" s="270">
        <v>2.8940000000000001</v>
      </c>
      <c r="R285" s="128">
        <v>-0.17</v>
      </c>
      <c r="S285" s="128">
        <v>3.3969999999999998</v>
      </c>
      <c r="T285" s="128"/>
      <c r="U285" s="270">
        <v>-0.1071</v>
      </c>
      <c r="V285" s="270">
        <v>-1.2023999999999999</v>
      </c>
      <c r="W285" s="262">
        <v>0.71430000000000005</v>
      </c>
      <c r="X285" s="128">
        <v>0.61880000000000002</v>
      </c>
      <c r="Y285" s="128"/>
      <c r="Z285" s="128">
        <v>4.97</v>
      </c>
      <c r="AA285" s="262">
        <v>-0.27300000000000002</v>
      </c>
      <c r="AB285" s="270">
        <v>0.53810000000000002</v>
      </c>
      <c r="AC285" s="270">
        <v>-1.1231</v>
      </c>
      <c r="AD285" s="280"/>
      <c r="AE285" s="277">
        <f t="shared" si="56"/>
        <v>3.3150750000000002</v>
      </c>
      <c r="AF285" s="262">
        <f t="shared" si="54"/>
        <v>-0.27300000000000002</v>
      </c>
      <c r="AG285" s="128">
        <v>1.1706000000000001</v>
      </c>
      <c r="AH285" s="702">
        <v>-2.17</v>
      </c>
      <c r="AI285" s="128"/>
      <c r="AJ285" s="128"/>
      <c r="AK285" s="128"/>
      <c r="AL285" s="128"/>
      <c r="AM285" s="242"/>
      <c r="AN285" s="270">
        <v>-0.27289999999999998</v>
      </c>
      <c r="AO285" s="270">
        <v>-0.1071</v>
      </c>
      <c r="AP285" s="270"/>
      <c r="AQ285" s="270"/>
      <c r="AR285" s="270"/>
      <c r="AS285" s="270"/>
      <c r="AT285" s="270"/>
      <c r="AU285" s="270"/>
      <c r="AV285" s="245">
        <v>0.5</v>
      </c>
      <c r="AW285" s="245"/>
      <c r="AX285" s="245"/>
      <c r="AY285" s="245">
        <v>0.35</v>
      </c>
      <c r="AZ285" s="245">
        <v>0.15</v>
      </c>
      <c r="BA285" s="245">
        <v>0</v>
      </c>
      <c r="BB285" s="245"/>
      <c r="BC285" s="245">
        <f t="shared" si="51"/>
        <v>1</v>
      </c>
      <c r="BD285" s="240">
        <f t="shared" si="52"/>
        <v>2.300055</v>
      </c>
      <c r="BE285" s="243">
        <f t="shared" si="55"/>
        <v>2.300055</v>
      </c>
      <c r="BF285" s="235">
        <v>0.38750000000000001</v>
      </c>
      <c r="BG285" s="235">
        <v>0</v>
      </c>
      <c r="BH285" s="235">
        <v>0</v>
      </c>
      <c r="BI285" s="235"/>
      <c r="BJ285" s="235">
        <v>0.15</v>
      </c>
      <c r="BK285" s="235"/>
      <c r="BL285" s="235"/>
      <c r="BM285" s="235">
        <v>0.3125</v>
      </c>
      <c r="BN285" s="235"/>
      <c r="BO285" s="235">
        <v>0.15</v>
      </c>
      <c r="BP285" s="235">
        <f t="shared" si="49"/>
        <v>1</v>
      </c>
      <c r="BQ285" s="243">
        <f t="shared" si="57"/>
        <v>2.3000550000000004</v>
      </c>
      <c r="BS285" s="341">
        <f t="array" ref="BS285">((1+10.2/100)^(1/12)-1)*100</f>
        <v>0.81267366616946113</v>
      </c>
      <c r="BT285" s="341"/>
      <c r="BU285" s="341"/>
      <c r="BV285" s="341">
        <f t="array" ref="BV285">((1+7/100)^(1/12)-1)*100</f>
        <v>0.56541453874052738</v>
      </c>
      <c r="BW285" s="341">
        <f t="array" ref="BW285">((1+10.6/100)^(1/12)-1)*100</f>
        <v>0.8431169043400244</v>
      </c>
      <c r="BX285" s="341"/>
      <c r="BY285" s="341">
        <f t="shared" si="58"/>
        <v>0.73069945729491881</v>
      </c>
      <c r="BZ285" s="341">
        <f t="shared" si="45"/>
        <v>0.81267366616946113</v>
      </c>
      <c r="CA285" s="341"/>
      <c r="CB285" s="243">
        <f t="shared" si="40"/>
        <v>0.64340301100034303</v>
      </c>
      <c r="CC285" s="243"/>
      <c r="CD285" s="243">
        <f t="shared" si="42"/>
        <v>0.64340301100034303</v>
      </c>
      <c r="CG285" s="734">
        <f t="shared" si="53"/>
        <v>4.1820000000000004</v>
      </c>
      <c r="CJ285" s="1264">
        <f t="shared" si="41"/>
        <v>0.79741404289037643</v>
      </c>
    </row>
    <row r="286" spans="1:88" x14ac:dyDescent="0.2">
      <c r="A286" s="19">
        <v>36219</v>
      </c>
      <c r="B286" s="262">
        <v>-3.1080000000000001</v>
      </c>
      <c r="C286" s="270">
        <v>-3.9234</v>
      </c>
      <c r="D286" s="270">
        <v>-2.153</v>
      </c>
      <c r="E286" s="270">
        <v>-5.2363</v>
      </c>
      <c r="F286" s="270">
        <v>-5.7309000000000001</v>
      </c>
      <c r="G286" s="270">
        <v>-4.7729999999999997</v>
      </c>
      <c r="H286" s="270">
        <v>-8.0990000000000002</v>
      </c>
      <c r="I286" s="262">
        <v>-9.1479999999999997</v>
      </c>
      <c r="J286" s="270">
        <v>-6.827</v>
      </c>
      <c r="K286" s="128">
        <v>-9.0134000000000007</v>
      </c>
      <c r="L286" s="128">
        <v>-9.6583000000000006</v>
      </c>
      <c r="M286" s="128">
        <v>-8.2868999999999993</v>
      </c>
      <c r="N286" s="262">
        <f t="shared" si="46"/>
        <v>-8.0990000000000002</v>
      </c>
      <c r="O286" s="262">
        <f t="shared" si="47"/>
        <v>-9.1479999999999997</v>
      </c>
      <c r="P286" s="262">
        <f t="shared" si="48"/>
        <v>-6.827</v>
      </c>
      <c r="Q286" s="270">
        <v>-8.1140000000000008</v>
      </c>
      <c r="R286" s="128">
        <v>-6.5709999999999997</v>
      </c>
      <c r="S286" s="128">
        <v>-3.5419999999999998</v>
      </c>
      <c r="T286" s="128"/>
      <c r="U286" s="270">
        <v>-2.2389999999999999</v>
      </c>
      <c r="V286" s="270">
        <v>-1.2008000000000001</v>
      </c>
      <c r="W286" s="262">
        <v>-1.746</v>
      </c>
      <c r="X286" s="128">
        <v>-1.0385</v>
      </c>
      <c r="Y286" s="128"/>
      <c r="Z286" s="128">
        <v>-3.14</v>
      </c>
      <c r="AA286" s="262">
        <v>-2.3601299999999998</v>
      </c>
      <c r="AB286" s="270">
        <v>-3.2307999999999999</v>
      </c>
      <c r="AC286" s="270">
        <v>-1.4332</v>
      </c>
      <c r="AD286" s="280"/>
      <c r="AE286" s="277">
        <f t="shared" si="56"/>
        <v>-2.7675000000000001</v>
      </c>
      <c r="AF286" s="262">
        <f t="shared" si="54"/>
        <v>-2.3601299999999998</v>
      </c>
      <c r="AG286" s="128">
        <v>1.1706000000000001</v>
      </c>
      <c r="AH286" s="352">
        <v>-0.79</v>
      </c>
      <c r="AI286"/>
      <c r="AJ286"/>
      <c r="AK286"/>
      <c r="AL286"/>
      <c r="AM286" s="242"/>
      <c r="AN286" s="270">
        <v>-2.3660999999999999</v>
      </c>
      <c r="AO286" s="270">
        <v>-2.2389999999999999</v>
      </c>
      <c r="AP286" s="270"/>
      <c r="AQ286" s="270"/>
      <c r="AR286" s="270"/>
      <c r="AS286" s="270"/>
      <c r="AT286" s="270"/>
      <c r="AU286" s="270"/>
      <c r="AV286" s="245">
        <v>0.5</v>
      </c>
      <c r="AW286" s="245"/>
      <c r="AX286" s="245"/>
      <c r="AY286" s="245">
        <v>0.35</v>
      </c>
      <c r="AZ286" s="245">
        <v>0.15</v>
      </c>
      <c r="BA286" s="245">
        <v>0</v>
      </c>
      <c r="BB286" s="245"/>
      <c r="BC286" s="245">
        <f t="shared" si="51"/>
        <v>1</v>
      </c>
      <c r="BD286" s="240">
        <f t="shared" si="52"/>
        <v>-2.5191195</v>
      </c>
      <c r="BE286" s="243">
        <f t="shared" si="55"/>
        <v>-2.5191195</v>
      </c>
      <c r="BF286" s="235">
        <v>0.38750000000000001</v>
      </c>
      <c r="BG286" s="235">
        <v>0</v>
      </c>
      <c r="BH286" s="235">
        <v>0</v>
      </c>
      <c r="BI286" s="235"/>
      <c r="BJ286" s="235">
        <v>0.15</v>
      </c>
      <c r="BK286" s="235"/>
      <c r="BL286" s="235"/>
      <c r="BM286" s="235">
        <v>0.3125</v>
      </c>
      <c r="BN286" s="235"/>
      <c r="BO286" s="235">
        <v>0.15</v>
      </c>
      <c r="BP286" s="235">
        <f t="shared" si="49"/>
        <v>1</v>
      </c>
      <c r="BQ286" s="243">
        <f t="shared" si="57"/>
        <v>-2.5191195</v>
      </c>
      <c r="BS286" s="341">
        <f t="array" ref="BS286">((1+10.2/100)^(1/12)-1)*100</f>
        <v>0.81267366616946113</v>
      </c>
      <c r="BT286" s="341"/>
      <c r="BU286" s="341"/>
      <c r="BV286" s="341">
        <f t="array" ref="BV286">((1+7/100)^(1/12)-1)*100</f>
        <v>0.56541453874052738</v>
      </c>
      <c r="BW286" s="341">
        <f t="array" ref="BW286">((1+10.6/100)^(1/12)-1)*100</f>
        <v>0.8431169043400244</v>
      </c>
      <c r="BX286" s="341"/>
      <c r="BY286" s="341">
        <f t="shared" si="58"/>
        <v>0.73069945729491881</v>
      </c>
      <c r="BZ286" s="341">
        <f t="shared" si="45"/>
        <v>0.81267366616946113</v>
      </c>
      <c r="CA286" s="341"/>
      <c r="CB286" s="243">
        <f t="shared" si="40"/>
        <v>0.64340301100034303</v>
      </c>
      <c r="CC286" s="243"/>
      <c r="CD286" s="243">
        <f t="shared" si="42"/>
        <v>0.64340301100034303</v>
      </c>
      <c r="CG286" s="734">
        <f t="shared" si="53"/>
        <v>-3.1080000000000001</v>
      </c>
      <c r="CJ286" s="1264">
        <f t="shared" si="41"/>
        <v>0.79741404289037643</v>
      </c>
    </row>
    <row r="287" spans="1:88" x14ac:dyDescent="0.2">
      <c r="A287" s="19">
        <v>36250</v>
      </c>
      <c r="B287" s="262">
        <v>4.0010000000000003</v>
      </c>
      <c r="C287" s="270">
        <v>4.8441000000000001</v>
      </c>
      <c r="D287" s="270">
        <v>3.0310000000000001</v>
      </c>
      <c r="E287" s="270">
        <v>2.794</v>
      </c>
      <c r="F287" s="270">
        <v>3.7267000000000001</v>
      </c>
      <c r="G287" s="270">
        <v>1.8819999999999999</v>
      </c>
      <c r="H287" s="270">
        <v>1.5609999999999999</v>
      </c>
      <c r="I287" s="262">
        <v>3.5619999999999998</v>
      </c>
      <c r="J287" s="270">
        <v>-0.82499999999999996</v>
      </c>
      <c r="K287" s="128">
        <v>1.2910999999999999</v>
      </c>
      <c r="L287" s="128">
        <v>1.6241000000000001</v>
      </c>
      <c r="M287" s="128">
        <v>0.92859999999999998</v>
      </c>
      <c r="N287" s="262">
        <f t="shared" si="46"/>
        <v>1.5609999999999999</v>
      </c>
      <c r="O287" s="262">
        <f t="shared" si="47"/>
        <v>3.5619999999999998</v>
      </c>
      <c r="P287" s="262">
        <f t="shared" si="48"/>
        <v>-0.82499999999999996</v>
      </c>
      <c r="Q287" s="270">
        <v>4.6559999999999997</v>
      </c>
      <c r="R287" s="128">
        <v>2.1389999999999998</v>
      </c>
      <c r="S287" s="128">
        <v>3.669</v>
      </c>
      <c r="T287" s="128"/>
      <c r="U287" s="270">
        <v>4.8281000000000001</v>
      </c>
      <c r="V287" s="270">
        <v>5.8631000000000002</v>
      </c>
      <c r="W287" s="262">
        <v>0.55479999999999996</v>
      </c>
      <c r="X287" s="128">
        <v>0.71619999999999995</v>
      </c>
      <c r="Y287" s="128"/>
      <c r="Z287" s="128">
        <v>3.76</v>
      </c>
      <c r="AA287" s="262">
        <v>4.1980000000000004</v>
      </c>
      <c r="AB287" s="270">
        <v>1.3687</v>
      </c>
      <c r="AC287" s="270">
        <v>7.0106999999999999</v>
      </c>
      <c r="AD287" s="280"/>
      <c r="AE287" s="277">
        <f t="shared" si="56"/>
        <v>3.1394500000000001</v>
      </c>
      <c r="AF287" s="262">
        <f t="shared" si="54"/>
        <v>4.1980000000000004</v>
      </c>
      <c r="AG287" s="128">
        <v>1.1706000000000001</v>
      </c>
      <c r="AH287" s="352">
        <v>-0.54</v>
      </c>
      <c r="AI287"/>
      <c r="AJ287"/>
      <c r="AK287"/>
      <c r="AL287"/>
      <c r="AM287" s="242"/>
      <c r="AN287" s="270">
        <v>4.1985999999999999</v>
      </c>
      <c r="AO287" s="270">
        <v>4.8281000000000001</v>
      </c>
      <c r="AP287" s="270"/>
      <c r="AQ287" s="270"/>
      <c r="AR287" s="270"/>
      <c r="AS287" s="270"/>
      <c r="AT287" s="270"/>
      <c r="AU287" s="270"/>
      <c r="AV287" s="245">
        <v>0.5</v>
      </c>
      <c r="AW287" s="245"/>
      <c r="AX287" s="245"/>
      <c r="AY287" s="245">
        <v>0.35</v>
      </c>
      <c r="AZ287" s="245">
        <v>0.15</v>
      </c>
      <c r="BA287" s="245">
        <v>0</v>
      </c>
      <c r="BB287" s="245"/>
      <c r="BC287" s="245">
        <f t="shared" si="51"/>
        <v>1</v>
      </c>
      <c r="BD287" s="240">
        <f t="shared" si="52"/>
        <v>2.8243800000000001</v>
      </c>
      <c r="BE287" s="243">
        <f t="shared" si="55"/>
        <v>2.8243800000000001</v>
      </c>
      <c r="BF287" s="235">
        <v>0.38750000000000001</v>
      </c>
      <c r="BG287" s="235">
        <v>0</v>
      </c>
      <c r="BH287" s="235">
        <v>0</v>
      </c>
      <c r="BI287" s="235"/>
      <c r="BJ287" s="235">
        <v>0.15</v>
      </c>
      <c r="BK287" s="235"/>
      <c r="BL287" s="235"/>
      <c r="BM287" s="235">
        <v>0.3125</v>
      </c>
      <c r="BN287" s="235"/>
      <c r="BO287" s="235">
        <v>0.15</v>
      </c>
      <c r="BP287" s="235">
        <f t="shared" si="49"/>
        <v>1</v>
      </c>
      <c r="BQ287" s="243">
        <f t="shared" si="57"/>
        <v>2.8243800000000006</v>
      </c>
      <c r="BS287" s="341">
        <f t="array" ref="BS287">((1+10.2/100)^(1/12)-1)*100</f>
        <v>0.81267366616946113</v>
      </c>
      <c r="BT287" s="341"/>
      <c r="BU287" s="341"/>
      <c r="BV287" s="341">
        <f t="array" ref="BV287">((1+7/100)^(1/12)-1)*100</f>
        <v>0.56541453874052738</v>
      </c>
      <c r="BW287" s="341">
        <f t="array" ref="BW287">((1+10.6/100)^(1/12)-1)*100</f>
        <v>0.8431169043400244</v>
      </c>
      <c r="BX287" s="341"/>
      <c r="BY287" s="341">
        <f t="shared" si="58"/>
        <v>0.73069945729491881</v>
      </c>
      <c r="BZ287" s="341">
        <f t="shared" si="45"/>
        <v>0.81267366616946113</v>
      </c>
      <c r="CA287" s="341"/>
      <c r="CB287" s="243">
        <f t="shared" si="40"/>
        <v>0.64340301100034303</v>
      </c>
      <c r="CC287" s="243"/>
      <c r="CD287" s="243">
        <f t="shared" si="42"/>
        <v>0.64340301100034303</v>
      </c>
      <c r="CG287" s="734">
        <f t="shared" si="53"/>
        <v>4.0010000000000003</v>
      </c>
      <c r="CJ287" s="1264">
        <f t="shared" si="41"/>
        <v>0.79741404289037643</v>
      </c>
    </row>
    <row r="288" spans="1:88" x14ac:dyDescent="0.2">
      <c r="A288" s="19">
        <v>36280</v>
      </c>
      <c r="B288" s="262">
        <v>3.8730000000000002</v>
      </c>
      <c r="C288" s="270">
        <v>-0.19400000000000001</v>
      </c>
      <c r="D288" s="270">
        <v>8.6210000000000004</v>
      </c>
      <c r="E288" s="270">
        <v>7.8875999999999999</v>
      </c>
      <c r="F288" s="270">
        <v>6.1757</v>
      </c>
      <c r="G288" s="270">
        <v>9.6780000000000008</v>
      </c>
      <c r="H288" s="270">
        <v>8.9610000000000003</v>
      </c>
      <c r="I288" s="262">
        <v>8.8309999999999995</v>
      </c>
      <c r="J288" s="270">
        <v>9.1289999999999996</v>
      </c>
      <c r="K288" s="128">
        <v>6.6063999999999998</v>
      </c>
      <c r="L288" s="128">
        <v>5.8442999999999996</v>
      </c>
      <c r="M288" s="128">
        <v>7.4082999999999997</v>
      </c>
      <c r="N288" s="262">
        <f t="shared" si="46"/>
        <v>8.9610000000000003</v>
      </c>
      <c r="O288" s="262">
        <f t="shared" si="47"/>
        <v>8.8309999999999995</v>
      </c>
      <c r="P288" s="262">
        <f t="shared" si="48"/>
        <v>9.1289999999999996</v>
      </c>
      <c r="Q288" s="270">
        <v>7.9779999999999998</v>
      </c>
      <c r="R288" s="128">
        <v>8.9459999999999997</v>
      </c>
      <c r="S288" s="128">
        <v>4.5140000000000002</v>
      </c>
      <c r="T288" s="128"/>
      <c r="U288" s="270">
        <v>5.0016999999999996</v>
      </c>
      <c r="V288" s="270">
        <v>7.6963999999999997</v>
      </c>
      <c r="W288" s="262">
        <v>0.317</v>
      </c>
      <c r="X288" s="128">
        <v>0.36890000000000001</v>
      </c>
      <c r="Y288" s="128"/>
      <c r="Z288" s="128">
        <v>3.29</v>
      </c>
      <c r="AA288" s="262">
        <v>4.07</v>
      </c>
      <c r="AB288" s="270">
        <v>1.0394000000000001</v>
      </c>
      <c r="AC288" s="270">
        <v>6.968</v>
      </c>
      <c r="AD288" s="280"/>
      <c r="AE288" s="277">
        <f t="shared" si="56"/>
        <v>2.984</v>
      </c>
      <c r="AF288" s="262">
        <f t="shared" si="54"/>
        <v>4.07</v>
      </c>
      <c r="AG288" s="128">
        <v>0.8569</v>
      </c>
      <c r="AH288" s="352">
        <v>10.66</v>
      </c>
      <c r="AI288"/>
      <c r="AJ288"/>
      <c r="AK288"/>
      <c r="AL288"/>
      <c r="AM288" s="242"/>
      <c r="AN288" s="270">
        <v>4.0747</v>
      </c>
      <c r="AO288" s="270">
        <v>5.0016999999999996</v>
      </c>
      <c r="AP288" s="270"/>
      <c r="AQ288" s="270"/>
      <c r="AR288" s="270"/>
      <c r="AS288" s="270"/>
      <c r="AT288" s="270"/>
      <c r="AU288" s="270"/>
      <c r="AV288" s="245">
        <v>0.5</v>
      </c>
      <c r="AW288" s="245"/>
      <c r="AX288" s="245"/>
      <c r="AY288" s="245">
        <v>0.35</v>
      </c>
      <c r="AZ288" s="245">
        <v>0.15</v>
      </c>
      <c r="BA288" s="245">
        <v>0</v>
      </c>
      <c r="BB288" s="245"/>
      <c r="BC288" s="245">
        <f t="shared" si="51"/>
        <v>1</v>
      </c>
      <c r="BD288" s="240">
        <f t="shared" si="52"/>
        <v>2.65795</v>
      </c>
      <c r="BE288" s="243">
        <f t="shared" si="55"/>
        <v>2.65795</v>
      </c>
      <c r="BF288" s="235">
        <v>0.38750000000000001</v>
      </c>
      <c r="BG288" s="235">
        <v>0</v>
      </c>
      <c r="BH288" s="235">
        <v>0</v>
      </c>
      <c r="BI288" s="235"/>
      <c r="BJ288" s="235">
        <v>0.15</v>
      </c>
      <c r="BK288" s="235"/>
      <c r="BL288" s="235"/>
      <c r="BM288" s="235">
        <v>0.3125</v>
      </c>
      <c r="BN288" s="235"/>
      <c r="BO288" s="235">
        <v>0.15</v>
      </c>
      <c r="BP288" s="235">
        <f t="shared" si="49"/>
        <v>1</v>
      </c>
      <c r="BQ288" s="243">
        <f t="shared" si="57"/>
        <v>2.6579500000000005</v>
      </c>
      <c r="BS288" s="341">
        <f t="array" ref="BS288">((1+10.2/100)^(1/12)-1)*100</f>
        <v>0.81267366616946113</v>
      </c>
      <c r="BT288" s="341"/>
      <c r="BU288" s="341"/>
      <c r="BV288" s="341">
        <f t="array" ref="BV288">((1+7/100)^(1/12)-1)*100</f>
        <v>0.56541453874052738</v>
      </c>
      <c r="BW288" s="341">
        <f t="array" ref="BW288">((1+10.6/100)^(1/12)-1)*100</f>
        <v>0.8431169043400244</v>
      </c>
      <c r="BX288" s="341"/>
      <c r="BY288" s="341">
        <f t="shared" si="58"/>
        <v>0.73069945729491881</v>
      </c>
      <c r="BZ288" s="341">
        <f t="shared" si="45"/>
        <v>0.81267366616946113</v>
      </c>
      <c r="CA288" s="341"/>
      <c r="CB288" s="243">
        <f t="shared" si="40"/>
        <v>0.64340301100034303</v>
      </c>
      <c r="CC288" s="243"/>
      <c r="CD288" s="243">
        <f t="shared" si="42"/>
        <v>0.64340301100034303</v>
      </c>
      <c r="CG288" s="734">
        <f t="shared" si="53"/>
        <v>3.8730000000000002</v>
      </c>
      <c r="CJ288" s="1264">
        <f t="shared" si="41"/>
        <v>0.79741404289037643</v>
      </c>
    </row>
    <row r="289" spans="1:88" x14ac:dyDescent="0.2">
      <c r="A289" s="19">
        <v>36311</v>
      </c>
      <c r="B289" s="262">
        <v>-2.3610000000000002</v>
      </c>
      <c r="C289" s="270">
        <v>-2.915</v>
      </c>
      <c r="D289" s="270">
        <v>-1.7669999999999999</v>
      </c>
      <c r="E289" s="270">
        <v>0.43309999999999998</v>
      </c>
      <c r="F289" s="270">
        <v>-0.72619999999999996</v>
      </c>
      <c r="G289" s="270">
        <v>1.629</v>
      </c>
      <c r="H289" s="270">
        <v>1.4610000000000001</v>
      </c>
      <c r="I289" s="262">
        <v>0.158</v>
      </c>
      <c r="J289" s="270">
        <v>3.0739999999999998</v>
      </c>
      <c r="K289" s="128">
        <v>2.4346000000000001</v>
      </c>
      <c r="L289" s="128">
        <v>2.1989000000000001</v>
      </c>
      <c r="M289" s="128">
        <v>2.6722000000000001</v>
      </c>
      <c r="N289" s="262">
        <f t="shared" si="46"/>
        <v>1.4610000000000001</v>
      </c>
      <c r="O289" s="262">
        <f t="shared" si="47"/>
        <v>0.158</v>
      </c>
      <c r="P289" s="262">
        <f t="shared" si="48"/>
        <v>3.0739999999999998</v>
      </c>
      <c r="Q289" s="270">
        <v>1.034</v>
      </c>
      <c r="R289" s="128">
        <v>1.554</v>
      </c>
      <c r="S289" s="128">
        <v>-1.901</v>
      </c>
      <c r="T289" s="128"/>
      <c r="U289" s="270">
        <v>-4.6970000000000001</v>
      </c>
      <c r="V289" s="270">
        <v>-3.4710999999999999</v>
      </c>
      <c r="W289" s="262">
        <v>-0.87629999999999997</v>
      </c>
      <c r="X289" s="128">
        <v>-0.68310000000000004</v>
      </c>
      <c r="Y289" s="128"/>
      <c r="Z289" s="128">
        <v>-0.82</v>
      </c>
      <c r="AA289" s="262">
        <v>-5.1280000000000001</v>
      </c>
      <c r="AB289" s="270">
        <v>-4.3282999999999996</v>
      </c>
      <c r="AC289" s="270">
        <v>-5.8472999999999997</v>
      </c>
      <c r="AD289" s="280"/>
      <c r="AE289" s="277">
        <f t="shared" si="56"/>
        <v>-1.989825</v>
      </c>
      <c r="AF289" s="262">
        <f t="shared" si="54"/>
        <v>-5.1280000000000001</v>
      </c>
      <c r="AG289" s="128">
        <v>0.8569</v>
      </c>
      <c r="AH289" s="352">
        <v>1.69</v>
      </c>
      <c r="AI289"/>
      <c r="AJ289"/>
      <c r="AK289"/>
      <c r="AL289"/>
      <c r="AM289" s="242"/>
      <c r="AN289" s="270">
        <v>-5.1276999999999999</v>
      </c>
      <c r="AO289" s="270">
        <v>-4.6970000000000001</v>
      </c>
      <c r="AP289" s="270"/>
      <c r="AQ289" s="270"/>
      <c r="AR289" s="270"/>
      <c r="AS289" s="270"/>
      <c r="AT289" s="270"/>
      <c r="AU289" s="270"/>
      <c r="AV289" s="245">
        <v>0.5</v>
      </c>
      <c r="AW289" s="245"/>
      <c r="AX289" s="245"/>
      <c r="AY289" s="245">
        <v>0.35</v>
      </c>
      <c r="AZ289" s="245">
        <v>0.15</v>
      </c>
      <c r="BA289" s="245">
        <v>0</v>
      </c>
      <c r="BB289" s="245"/>
      <c r="BC289" s="245">
        <f t="shared" si="51"/>
        <v>1</v>
      </c>
      <c r="BD289" s="240">
        <f t="shared" si="52"/>
        <v>-2.256405</v>
      </c>
      <c r="BE289" s="243">
        <f t="shared" si="55"/>
        <v>-2.256405</v>
      </c>
      <c r="BF289" s="235">
        <v>0.38750000000000001</v>
      </c>
      <c r="BG289" s="235">
        <v>0</v>
      </c>
      <c r="BH289" s="235">
        <v>0</v>
      </c>
      <c r="BI289" s="235"/>
      <c r="BJ289" s="235">
        <v>0.15</v>
      </c>
      <c r="BK289" s="235"/>
      <c r="BL289" s="235"/>
      <c r="BM289" s="235">
        <v>0.3125</v>
      </c>
      <c r="BN289" s="235"/>
      <c r="BO289" s="235">
        <v>0.15</v>
      </c>
      <c r="BP289" s="235">
        <f t="shared" si="49"/>
        <v>1</v>
      </c>
      <c r="BQ289" s="243">
        <f t="shared" si="57"/>
        <v>-2.256405</v>
      </c>
      <c r="BS289" s="341">
        <f t="array" ref="BS289">((1+10.2/100)^(1/12)-1)*100</f>
        <v>0.81267366616946113</v>
      </c>
      <c r="BT289" s="341"/>
      <c r="BU289" s="341"/>
      <c r="BV289" s="341">
        <f t="array" ref="BV289">((1+7/100)^(1/12)-1)*100</f>
        <v>0.56541453874052738</v>
      </c>
      <c r="BW289" s="341">
        <f t="array" ref="BW289">((1+10.6/100)^(1/12)-1)*100</f>
        <v>0.8431169043400244</v>
      </c>
      <c r="BX289" s="341"/>
      <c r="BY289" s="341">
        <f t="shared" si="58"/>
        <v>0.73069945729491881</v>
      </c>
      <c r="BZ289" s="341">
        <f t="shared" si="45"/>
        <v>0.81267366616946113</v>
      </c>
      <c r="CA289" s="341"/>
      <c r="CB289" s="243">
        <f t="shared" si="40"/>
        <v>0.64340301100034303</v>
      </c>
      <c r="CC289" s="243"/>
      <c r="CD289" s="243">
        <f t="shared" si="42"/>
        <v>0.64340301100034303</v>
      </c>
      <c r="CG289" s="734">
        <f t="shared" si="53"/>
        <v>-2.3610000000000002</v>
      </c>
      <c r="CJ289" s="1264">
        <f t="shared" si="41"/>
        <v>0.79741404289037643</v>
      </c>
    </row>
    <row r="290" spans="1:88" x14ac:dyDescent="0.2">
      <c r="A290" s="19">
        <v>36341</v>
      </c>
      <c r="B290" s="262">
        <v>5.55</v>
      </c>
      <c r="C290" s="270">
        <v>7.1574</v>
      </c>
      <c r="D290" s="270">
        <v>3.8410000000000002</v>
      </c>
      <c r="E290" s="270">
        <v>5.3545999999999996</v>
      </c>
      <c r="F290" s="270">
        <v>7.6108000000000002</v>
      </c>
      <c r="G290" s="270">
        <v>3.11</v>
      </c>
      <c r="H290" s="270">
        <v>4.5220000000000002</v>
      </c>
      <c r="I290" s="262">
        <v>5.2679999999999998</v>
      </c>
      <c r="J290" s="270">
        <v>3.621</v>
      </c>
      <c r="K290" s="128">
        <v>5.6914999999999996</v>
      </c>
      <c r="L290" s="128">
        <v>5.8238000000000003</v>
      </c>
      <c r="M290" s="128">
        <v>5.5571000000000002</v>
      </c>
      <c r="N290" s="262">
        <f t="shared" si="46"/>
        <v>4.5220000000000002</v>
      </c>
      <c r="O290" s="262">
        <f t="shared" si="47"/>
        <v>5.2679999999999998</v>
      </c>
      <c r="P290" s="262">
        <f t="shared" si="48"/>
        <v>3.621</v>
      </c>
      <c r="Q290" s="270">
        <v>7.0679999999999996</v>
      </c>
      <c r="R290" s="128">
        <v>5.2030000000000003</v>
      </c>
      <c r="S290" s="128">
        <v>5.0540000000000003</v>
      </c>
      <c r="T290" s="128"/>
      <c r="U290" s="270">
        <v>4.5949999999999998</v>
      </c>
      <c r="V290" s="270">
        <v>5.7949000000000002</v>
      </c>
      <c r="W290" s="262">
        <v>-0.31940000000000002</v>
      </c>
      <c r="X290" s="128">
        <v>-0.1017</v>
      </c>
      <c r="Y290" s="128"/>
      <c r="Z290" s="128">
        <v>4.6500000000000004</v>
      </c>
      <c r="AA290" s="262">
        <v>3.9220000000000002</v>
      </c>
      <c r="AB290" s="270">
        <v>3.8883999999999999</v>
      </c>
      <c r="AC290" s="270">
        <v>3.9468999999999999</v>
      </c>
      <c r="AD290" s="280"/>
      <c r="AE290" s="277">
        <f t="shared" si="56"/>
        <v>4.0826499999999992</v>
      </c>
      <c r="AF290" s="262">
        <f t="shared" si="54"/>
        <v>3.9220000000000002</v>
      </c>
      <c r="AG290" s="128">
        <v>0.8569</v>
      </c>
      <c r="AH290" s="352">
        <v>-1.7</v>
      </c>
      <c r="AI290"/>
      <c r="AJ290"/>
      <c r="AK290"/>
      <c r="AL290"/>
      <c r="AM290" s="242"/>
      <c r="AN290" s="270">
        <v>3.9218000000000002</v>
      </c>
      <c r="AO290" s="270">
        <v>4.5949999999999998</v>
      </c>
      <c r="AP290" s="270"/>
      <c r="AQ290" s="270"/>
      <c r="AR290" s="270"/>
      <c r="AS290" s="270"/>
      <c r="AT290" s="270"/>
      <c r="AU290" s="270"/>
      <c r="AV290" s="245">
        <v>0.5</v>
      </c>
      <c r="AW290" s="245"/>
      <c r="AX290" s="245"/>
      <c r="AY290" s="245">
        <v>0.35</v>
      </c>
      <c r="AZ290" s="245">
        <v>0.15</v>
      </c>
      <c r="BA290" s="245">
        <v>0</v>
      </c>
      <c r="BB290" s="245"/>
      <c r="BC290" s="245">
        <f t="shared" si="51"/>
        <v>1</v>
      </c>
      <c r="BD290" s="240">
        <f t="shared" si="52"/>
        <v>3.2515099999999997</v>
      </c>
      <c r="BE290" s="243">
        <f t="shared" si="55"/>
        <v>3.2515099999999997</v>
      </c>
      <c r="BF290" s="235">
        <v>0.38750000000000001</v>
      </c>
      <c r="BG290" s="235">
        <v>0</v>
      </c>
      <c r="BH290" s="235">
        <v>0</v>
      </c>
      <c r="BI290" s="235"/>
      <c r="BJ290" s="235">
        <v>0.15</v>
      </c>
      <c r="BK290" s="235"/>
      <c r="BL290" s="235"/>
      <c r="BM290" s="235">
        <v>0.3125</v>
      </c>
      <c r="BN290" s="235"/>
      <c r="BO290" s="235">
        <v>0.15</v>
      </c>
      <c r="BP290" s="235">
        <f t="shared" si="49"/>
        <v>1</v>
      </c>
      <c r="BQ290" s="243">
        <f t="shared" si="57"/>
        <v>3.2515099999999997</v>
      </c>
      <c r="BS290" s="341">
        <f t="array" ref="BS290">((1+10.2/100)^(1/12)-1)*100</f>
        <v>0.81267366616946113</v>
      </c>
      <c r="BT290" s="341"/>
      <c r="BU290" s="341"/>
      <c r="BV290" s="341">
        <f t="array" ref="BV290">((1+7/100)^(1/12)-1)*100</f>
        <v>0.56541453874052738</v>
      </c>
      <c r="BW290" s="341">
        <f t="array" ref="BW290">((1+10.6/100)^(1/12)-1)*100</f>
        <v>0.8431169043400244</v>
      </c>
      <c r="BX290" s="341"/>
      <c r="BY290" s="341">
        <f t="shared" si="58"/>
        <v>0.73069945729491881</v>
      </c>
      <c r="BZ290" s="341">
        <f t="shared" si="45"/>
        <v>0.81267366616946113</v>
      </c>
      <c r="CA290" s="341"/>
      <c r="CB290" s="243">
        <f t="shared" si="40"/>
        <v>0.64340301100034303</v>
      </c>
      <c r="CC290" s="243"/>
      <c r="CD290" s="243">
        <f t="shared" si="42"/>
        <v>0.64340301100034303</v>
      </c>
      <c r="CG290" s="734">
        <f t="shared" si="53"/>
        <v>5.55</v>
      </c>
      <c r="CJ290" s="1264">
        <f t="shared" si="41"/>
        <v>0.79741404289037643</v>
      </c>
    </row>
    <row r="291" spans="1:88" x14ac:dyDescent="0.2">
      <c r="A291" s="19">
        <v>36372</v>
      </c>
      <c r="B291" s="262">
        <v>-3.1219999999999999</v>
      </c>
      <c r="C291" s="270">
        <v>-3.1640999999999999</v>
      </c>
      <c r="D291" s="270">
        <v>-3.0750000000000002</v>
      </c>
      <c r="E291" s="270">
        <v>-2.125</v>
      </c>
      <c r="F291" s="270">
        <v>-2.9093</v>
      </c>
      <c r="G291" s="270">
        <v>-1.327</v>
      </c>
      <c r="H291" s="270">
        <v>-2.7440000000000002</v>
      </c>
      <c r="I291" s="262">
        <v>-3.0920000000000001</v>
      </c>
      <c r="J291" s="270">
        <v>-2.3730000000000002</v>
      </c>
      <c r="K291" s="128">
        <v>-0.88200000000000001</v>
      </c>
      <c r="L291" s="128">
        <v>-0.90690000000000004</v>
      </c>
      <c r="M291" s="128">
        <v>-0.84340000000000004</v>
      </c>
      <c r="N291" s="262">
        <f t="shared" si="46"/>
        <v>-2.7440000000000002</v>
      </c>
      <c r="O291" s="262">
        <f t="shared" si="47"/>
        <v>-3.0920000000000001</v>
      </c>
      <c r="P291" s="262">
        <f t="shared" si="48"/>
        <v>-2.3730000000000002</v>
      </c>
      <c r="Q291" s="270">
        <v>-2.0379999999999998</v>
      </c>
      <c r="R291" s="128">
        <v>-1.9650000000000001</v>
      </c>
      <c r="S291" s="128">
        <v>-3.032</v>
      </c>
      <c r="T291" s="128"/>
      <c r="U291" s="270">
        <v>2.3454000000000002</v>
      </c>
      <c r="V291" s="270">
        <v>3.2320000000000002</v>
      </c>
      <c r="W291" s="262">
        <v>-0.42480000000000001</v>
      </c>
      <c r="X291" s="128">
        <v>-0.35639999999999999</v>
      </c>
      <c r="Y291" s="128"/>
      <c r="Z291" s="128">
        <v>1.54</v>
      </c>
      <c r="AA291" s="262">
        <v>2.9950000000000001</v>
      </c>
      <c r="AB291" s="270">
        <v>1.9411</v>
      </c>
      <c r="AC291" s="270">
        <v>3.9266999999999999</v>
      </c>
      <c r="AD291" s="280"/>
      <c r="AE291" s="277">
        <f t="shared" si="56"/>
        <v>-2.4476999999999998</v>
      </c>
      <c r="AF291" s="262">
        <f t="shared" si="54"/>
        <v>2.9950000000000001</v>
      </c>
      <c r="AG291" s="128">
        <v>0.86650000000000005</v>
      </c>
      <c r="AH291" s="352">
        <v>-3.83</v>
      </c>
      <c r="AI291"/>
      <c r="AJ291"/>
      <c r="AK291"/>
      <c r="AL291"/>
      <c r="AM291" s="242"/>
      <c r="AN291" s="270">
        <v>2.9952000000000001</v>
      </c>
      <c r="AO291" s="270">
        <v>2.3454000000000002</v>
      </c>
      <c r="AP291" s="270"/>
      <c r="AQ291" s="270"/>
      <c r="AR291" s="270"/>
      <c r="AS291" s="270"/>
      <c r="AT291" s="270"/>
      <c r="AU291" s="270"/>
      <c r="AV291" s="245">
        <v>0.5</v>
      </c>
      <c r="AW291" s="245"/>
      <c r="AX291" s="245"/>
      <c r="AY291" s="245">
        <v>0.35</v>
      </c>
      <c r="AZ291" s="245">
        <v>0.15</v>
      </c>
      <c r="BA291" s="245">
        <v>0</v>
      </c>
      <c r="BB291" s="245"/>
      <c r="BC291" s="245">
        <f t="shared" si="51"/>
        <v>1</v>
      </c>
      <c r="BD291" s="240">
        <f t="shared" si="52"/>
        <v>-1.2604299999999999</v>
      </c>
      <c r="BE291" s="243">
        <f t="shared" si="55"/>
        <v>-1.2604299999999999</v>
      </c>
      <c r="BF291" s="235">
        <v>0.38750000000000001</v>
      </c>
      <c r="BG291" s="235">
        <v>0</v>
      </c>
      <c r="BH291" s="235">
        <v>0</v>
      </c>
      <c r="BI291" s="235"/>
      <c r="BJ291" s="235">
        <v>0.15</v>
      </c>
      <c r="BK291" s="235"/>
      <c r="BL291" s="235"/>
      <c r="BM291" s="235">
        <v>0.3125</v>
      </c>
      <c r="BN291" s="235"/>
      <c r="BO291" s="235">
        <v>0.15</v>
      </c>
      <c r="BP291" s="235">
        <f t="shared" si="49"/>
        <v>1</v>
      </c>
      <c r="BQ291" s="243">
        <f t="shared" si="57"/>
        <v>-1.2604300000000002</v>
      </c>
      <c r="BS291" s="341">
        <f t="array" ref="BS291">((1+10.2/100)^(1/12)-1)*100</f>
        <v>0.81267366616946113</v>
      </c>
      <c r="BT291" s="341"/>
      <c r="BU291" s="341"/>
      <c r="BV291" s="341">
        <f t="array" ref="BV291">((1+7/100)^(1/12)-1)*100</f>
        <v>0.56541453874052738</v>
      </c>
      <c r="BW291" s="341">
        <f t="array" ref="BW291">((1+10.6/100)^(1/12)-1)*100</f>
        <v>0.8431169043400244</v>
      </c>
      <c r="BX291" s="341"/>
      <c r="BY291" s="341">
        <f t="shared" si="58"/>
        <v>0.73069945729491881</v>
      </c>
      <c r="BZ291" s="341">
        <f t="shared" si="45"/>
        <v>0.81267366616946113</v>
      </c>
      <c r="CA291" s="341"/>
      <c r="CB291" s="243">
        <f t="shared" si="40"/>
        <v>0.64340301100034303</v>
      </c>
      <c r="CC291" s="243"/>
      <c r="CD291" s="243">
        <f t="shared" si="42"/>
        <v>0.64340301100034303</v>
      </c>
      <c r="CG291" s="734">
        <f t="shared" si="53"/>
        <v>-3.1219999999999999</v>
      </c>
      <c r="CJ291" s="1264">
        <f t="shared" si="41"/>
        <v>0.79741404289037643</v>
      </c>
    </row>
    <row r="292" spans="1:88" x14ac:dyDescent="0.2">
      <c r="A292" s="19">
        <v>36403</v>
      </c>
      <c r="B292" s="262">
        <v>-0.5</v>
      </c>
      <c r="C292" s="270">
        <v>1.3868</v>
      </c>
      <c r="D292" s="270">
        <v>-2.5299999999999998</v>
      </c>
      <c r="E292" s="270">
        <v>-3.4279999999999999</v>
      </c>
      <c r="F292" s="270">
        <v>-3.0421999999999998</v>
      </c>
      <c r="G292" s="270">
        <v>-3.79</v>
      </c>
      <c r="H292" s="270">
        <v>-3.7010000000000001</v>
      </c>
      <c r="I292" s="262">
        <v>-3.74</v>
      </c>
      <c r="J292" s="270">
        <v>-3.6549999999999998</v>
      </c>
      <c r="K292" s="128">
        <v>-4.4001999999999999</v>
      </c>
      <c r="L292" s="128">
        <v>-5.6079999999999997</v>
      </c>
      <c r="M292" s="128">
        <v>-3.1568999999999998</v>
      </c>
      <c r="N292" s="262">
        <f t="shared" si="46"/>
        <v>-3.7010000000000001</v>
      </c>
      <c r="O292" s="262">
        <f t="shared" si="47"/>
        <v>-3.74</v>
      </c>
      <c r="P292" s="262">
        <f t="shared" si="48"/>
        <v>-3.6549999999999998</v>
      </c>
      <c r="Q292" s="270">
        <v>-2.1619999999999999</v>
      </c>
      <c r="R292" s="128">
        <v>-3.129</v>
      </c>
      <c r="S292" s="128">
        <v>-1.137</v>
      </c>
      <c r="T292" s="128"/>
      <c r="U292" s="270">
        <v>0.34689999999999999</v>
      </c>
      <c r="V292" s="270">
        <v>2.2099000000000002</v>
      </c>
      <c r="W292" s="262">
        <v>-5.0799999999999998E-2</v>
      </c>
      <c r="X292" s="128">
        <v>4.2200000000000001E-2</v>
      </c>
      <c r="Y292" s="128"/>
      <c r="Z292" s="128">
        <v>-0.27</v>
      </c>
      <c r="AA292" s="262">
        <v>0.38800000000000001</v>
      </c>
      <c r="AB292" s="270">
        <v>0.57830000000000004</v>
      </c>
      <c r="AC292" s="270">
        <v>0.20449999999999999</v>
      </c>
      <c r="AD292" s="280"/>
      <c r="AE292" s="277">
        <f t="shared" si="56"/>
        <v>-0.38769999999999999</v>
      </c>
      <c r="AF292" s="262">
        <f t="shared" si="54"/>
        <v>0.38800000000000001</v>
      </c>
      <c r="AG292" s="128">
        <v>0.86650000000000005</v>
      </c>
      <c r="AH292" s="352">
        <v>-1.5</v>
      </c>
      <c r="AI292"/>
      <c r="AJ292"/>
      <c r="AK292"/>
      <c r="AL292"/>
      <c r="AM292" s="242"/>
      <c r="AN292" s="270">
        <v>0.3876</v>
      </c>
      <c r="AO292" s="270">
        <v>0.34689999999999999</v>
      </c>
      <c r="AP292" s="270"/>
      <c r="AQ292" s="270"/>
      <c r="AR292" s="270"/>
      <c r="AS292" s="270"/>
      <c r="AT292" s="270"/>
      <c r="AU292" s="270"/>
      <c r="AV292" s="245">
        <v>0.5</v>
      </c>
      <c r="AW292" s="245"/>
      <c r="AX292" s="245"/>
      <c r="AY292" s="245">
        <v>0.35</v>
      </c>
      <c r="AZ292" s="245">
        <v>0.15</v>
      </c>
      <c r="BA292" s="245">
        <v>0</v>
      </c>
      <c r="BB292" s="245"/>
      <c r="BC292" s="245">
        <f t="shared" si="51"/>
        <v>1</v>
      </c>
      <c r="BD292" s="240">
        <f t="shared" si="52"/>
        <v>-0.20958000000000002</v>
      </c>
      <c r="BE292" s="243">
        <f t="shared" si="55"/>
        <v>-0.20958000000000002</v>
      </c>
      <c r="BF292" s="235">
        <v>0.38750000000000001</v>
      </c>
      <c r="BG292" s="235">
        <v>0</v>
      </c>
      <c r="BH292" s="235">
        <v>0</v>
      </c>
      <c r="BI292" s="235"/>
      <c r="BJ292" s="235">
        <v>0.15</v>
      </c>
      <c r="BK292" s="235"/>
      <c r="BL292" s="235"/>
      <c r="BM292" s="235">
        <v>0.3125</v>
      </c>
      <c r="BN292" s="235"/>
      <c r="BO292" s="235">
        <v>0.15</v>
      </c>
      <c r="BP292" s="235">
        <f t="shared" si="49"/>
        <v>1</v>
      </c>
      <c r="BQ292" s="243">
        <f t="shared" si="57"/>
        <v>-0.20957999999999999</v>
      </c>
      <c r="BS292" s="341">
        <f t="array" ref="BS292">((1+10.2/100)^(1/12)-1)*100</f>
        <v>0.81267366616946113</v>
      </c>
      <c r="BT292" s="341"/>
      <c r="BU292" s="341"/>
      <c r="BV292" s="341">
        <f t="array" ref="BV292">((1+7/100)^(1/12)-1)*100</f>
        <v>0.56541453874052738</v>
      </c>
      <c r="BW292" s="341">
        <f t="array" ref="BW292">((1+10.6/100)^(1/12)-1)*100</f>
        <v>0.8431169043400244</v>
      </c>
      <c r="BX292" s="341"/>
      <c r="BY292" s="341">
        <f t="shared" si="58"/>
        <v>0.73069945729491881</v>
      </c>
      <c r="BZ292" s="341">
        <f t="shared" si="45"/>
        <v>0.81267366616946113</v>
      </c>
      <c r="CA292" s="341"/>
      <c r="CB292" s="243">
        <f t="shared" si="40"/>
        <v>0.64340301100034303</v>
      </c>
      <c r="CC292" s="243"/>
      <c r="CD292" s="243">
        <f t="shared" si="42"/>
        <v>0.64340301100034303</v>
      </c>
      <c r="CG292" s="734">
        <f t="shared" si="53"/>
        <v>-0.5</v>
      </c>
      <c r="CJ292" s="1264">
        <f t="shared" si="41"/>
        <v>0.79741404289037643</v>
      </c>
    </row>
    <row r="293" spans="1:88" x14ac:dyDescent="0.2">
      <c r="A293" s="19">
        <v>36433</v>
      </c>
      <c r="B293" s="262">
        <v>-2.74</v>
      </c>
      <c r="C293" s="270">
        <v>-1.7020999999999999</v>
      </c>
      <c r="D293" s="270">
        <v>-3.9129999999999998</v>
      </c>
      <c r="E293" s="270">
        <v>-3.0874999999999999</v>
      </c>
      <c r="F293" s="270">
        <v>-1.1556</v>
      </c>
      <c r="G293" s="270">
        <v>-4.9240000000000004</v>
      </c>
      <c r="H293" s="270">
        <v>2.1999999999999999E-2</v>
      </c>
      <c r="I293" s="262">
        <v>1.929</v>
      </c>
      <c r="J293" s="270">
        <v>-1.9990000000000001</v>
      </c>
      <c r="K293" s="128">
        <v>0.42370000000000002</v>
      </c>
      <c r="L293" s="128">
        <v>2.6358999999999999</v>
      </c>
      <c r="M293" s="128">
        <v>-1.8348</v>
      </c>
      <c r="N293" s="262">
        <f t="shared" si="46"/>
        <v>2.1999999999999999E-2</v>
      </c>
      <c r="O293" s="262">
        <f t="shared" si="47"/>
        <v>1.929</v>
      </c>
      <c r="P293" s="262">
        <f t="shared" si="48"/>
        <v>-1.9990000000000001</v>
      </c>
      <c r="Q293" s="270">
        <v>0.71599999999999997</v>
      </c>
      <c r="R293" s="128">
        <v>-1.488</v>
      </c>
      <c r="S293" s="128">
        <v>-2.556</v>
      </c>
      <c r="T293" s="128"/>
      <c r="U293" s="270">
        <v>0.67630000000000001</v>
      </c>
      <c r="V293" s="270">
        <v>-7.6700000000000004E-2</v>
      </c>
      <c r="W293" s="262">
        <v>1.1604000000000001</v>
      </c>
      <c r="X293" s="128">
        <v>1.2388999999999999</v>
      </c>
      <c r="Y293" s="128"/>
      <c r="Z293" s="128">
        <v>0.6</v>
      </c>
      <c r="AA293" s="262">
        <v>1.0289999999999999</v>
      </c>
      <c r="AB293" s="270">
        <v>1.6033999999999999</v>
      </c>
      <c r="AC293" s="270">
        <v>0.49080000000000001</v>
      </c>
      <c r="AD293" s="280"/>
      <c r="AE293" s="277">
        <f t="shared" si="56"/>
        <v>-1.7649000000000001</v>
      </c>
      <c r="AF293" s="262">
        <f t="shared" si="54"/>
        <v>1.0289999999999999</v>
      </c>
      <c r="AG293" s="128">
        <v>0.86650000000000005</v>
      </c>
      <c r="AH293" s="352">
        <v>-4.51</v>
      </c>
      <c r="AI293"/>
      <c r="AJ293"/>
      <c r="AK293"/>
      <c r="AL293"/>
      <c r="AM293" s="242"/>
      <c r="AN293" s="270">
        <v>1.0287999999999999</v>
      </c>
      <c r="AO293" s="270">
        <v>0.67630000000000001</v>
      </c>
      <c r="AP293" s="270"/>
      <c r="AQ293" s="270"/>
      <c r="AR293" s="270"/>
      <c r="AS293" s="270"/>
      <c r="AT293" s="270"/>
      <c r="AU293" s="270"/>
      <c r="AV293" s="245">
        <v>0.5</v>
      </c>
      <c r="AW293" s="245"/>
      <c r="AX293" s="245"/>
      <c r="AY293" s="245">
        <v>0.35</v>
      </c>
      <c r="AZ293" s="245">
        <v>0.15</v>
      </c>
      <c r="BA293" s="245">
        <v>0</v>
      </c>
      <c r="BB293" s="245"/>
      <c r="BC293" s="245">
        <f t="shared" si="51"/>
        <v>1</v>
      </c>
      <c r="BD293" s="240">
        <f t="shared" si="52"/>
        <v>-0.80951000000000017</v>
      </c>
      <c r="BE293" s="243">
        <f t="shared" si="55"/>
        <v>-0.80951000000000017</v>
      </c>
      <c r="BF293" s="328">
        <v>0.38750000000000001</v>
      </c>
      <c r="BG293" s="328">
        <v>0</v>
      </c>
      <c r="BH293" s="328">
        <v>0</v>
      </c>
      <c r="BI293" s="328"/>
      <c r="BJ293" s="328">
        <v>0.15</v>
      </c>
      <c r="BK293" s="328"/>
      <c r="BL293" s="328"/>
      <c r="BM293" s="328">
        <v>0.3125</v>
      </c>
      <c r="BN293" s="328"/>
      <c r="BO293" s="328">
        <v>0.15</v>
      </c>
      <c r="BP293" s="328">
        <f t="shared" si="49"/>
        <v>1</v>
      </c>
      <c r="BQ293" s="327">
        <f t="shared" si="57"/>
        <v>-0.80951000000000017</v>
      </c>
      <c r="BS293" s="341">
        <f t="array" ref="BS293">((1+10.2/100)^(1/12)-1)*100</f>
        <v>0.81267366616946113</v>
      </c>
      <c r="BT293" s="341"/>
      <c r="BU293" s="341"/>
      <c r="BV293" s="341">
        <f t="array" ref="BV293">((1+7/100)^(1/12)-1)*100</f>
        <v>0.56541453874052738</v>
      </c>
      <c r="BW293" s="341">
        <f t="array" ref="BW293">((1+10.6/100)^(1/12)-1)*100</f>
        <v>0.8431169043400244</v>
      </c>
      <c r="BX293" s="341"/>
      <c r="BY293" s="341">
        <f t="shared" si="58"/>
        <v>0.73069945729491881</v>
      </c>
      <c r="BZ293" s="341">
        <f t="shared" si="45"/>
        <v>0.81267366616946113</v>
      </c>
      <c r="CA293" s="341"/>
      <c r="CB293" s="243">
        <f t="shared" ref="CB293:CB356" si="59">((1+0.08)^(1/12)-1)*100</f>
        <v>0.64340301100034303</v>
      </c>
      <c r="CC293" s="243"/>
      <c r="CD293" s="243">
        <f t="shared" si="42"/>
        <v>0.64340301100034303</v>
      </c>
      <c r="CG293" s="734">
        <f t="shared" si="53"/>
        <v>-2.74</v>
      </c>
      <c r="CJ293" s="1264">
        <f t="shared" si="41"/>
        <v>0.79741404289037643</v>
      </c>
    </row>
    <row r="294" spans="1:88" x14ac:dyDescent="0.2">
      <c r="A294" s="19">
        <v>36464</v>
      </c>
      <c r="B294" s="262">
        <v>6.33</v>
      </c>
      <c r="C294" s="270">
        <v>6.9151999999999996</v>
      </c>
      <c r="D294" s="270">
        <v>5.6449999999999996</v>
      </c>
      <c r="E294" s="270">
        <v>5.0959000000000003</v>
      </c>
      <c r="F294" s="270">
        <v>8.2469999999999999</v>
      </c>
      <c r="G294" s="270">
        <v>2.0049999999999999</v>
      </c>
      <c r="H294" s="270">
        <v>0.40500000000000003</v>
      </c>
      <c r="I294" s="262">
        <v>2.5609999999999999</v>
      </c>
      <c r="J294" s="270">
        <v>-2.0009999999999999</v>
      </c>
      <c r="K294" s="128">
        <v>-0.25159999999999999</v>
      </c>
      <c r="L294" s="128">
        <v>0.82299999999999995</v>
      </c>
      <c r="M294" s="128">
        <v>-1.3431999999999999</v>
      </c>
      <c r="N294" s="262">
        <f t="shared" si="46"/>
        <v>0.40500000000000003</v>
      </c>
      <c r="O294" s="262">
        <f t="shared" si="47"/>
        <v>2.5609999999999999</v>
      </c>
      <c r="P294" s="262">
        <f t="shared" si="48"/>
        <v>-2.0009999999999999</v>
      </c>
      <c r="Q294" s="270">
        <v>4.87</v>
      </c>
      <c r="R294" s="128">
        <v>2.1909999999999998</v>
      </c>
      <c r="S294" s="128">
        <v>6.2729999999999997</v>
      </c>
      <c r="T294" s="128"/>
      <c r="U294" s="270">
        <v>3.7235999999999998</v>
      </c>
      <c r="V294" s="270">
        <v>-1.2955000000000001</v>
      </c>
      <c r="W294" s="262">
        <v>0.36890000000000001</v>
      </c>
      <c r="X294" s="128">
        <v>0.39400000000000002</v>
      </c>
      <c r="Y294" s="128"/>
      <c r="Z294" s="128">
        <v>4.3899999999999997</v>
      </c>
      <c r="AA294" s="262">
        <v>3.7669999999999999</v>
      </c>
      <c r="AB294" s="270">
        <v>5.3731</v>
      </c>
      <c r="AC294" s="270">
        <v>2.2544</v>
      </c>
      <c r="AD294" s="280"/>
      <c r="AE294" s="277">
        <f t="shared" si="56"/>
        <v>4.8397250000000005</v>
      </c>
      <c r="AF294" s="262">
        <f t="shared" si="54"/>
        <v>3.7669999999999999</v>
      </c>
      <c r="AG294" s="128">
        <v>0.9274</v>
      </c>
      <c r="AH294" s="352">
        <v>-1.86</v>
      </c>
      <c r="AI294"/>
      <c r="AJ294"/>
      <c r="AK294"/>
      <c r="AL294"/>
      <c r="AM294" s="242"/>
      <c r="AN294" s="270">
        <v>3.7675000000000001</v>
      </c>
      <c r="AO294" s="270">
        <v>3.7235999999999998</v>
      </c>
      <c r="AP294" s="270"/>
      <c r="AQ294" s="270"/>
      <c r="AR294" s="270"/>
      <c r="AS294" s="270"/>
      <c r="AT294" s="270"/>
      <c r="AU294" s="270"/>
      <c r="AV294" s="245">
        <v>0.5</v>
      </c>
      <c r="AW294" s="245"/>
      <c r="AX294" s="245"/>
      <c r="AY294" s="245">
        <v>0.35</v>
      </c>
      <c r="AZ294" s="245">
        <v>0.15</v>
      </c>
      <c r="BA294" s="245">
        <v>0</v>
      </c>
      <c r="BB294" s="245"/>
      <c r="BC294" s="245">
        <f t="shared" si="51"/>
        <v>1</v>
      </c>
      <c r="BD294" s="240">
        <f t="shared" si="52"/>
        <v>3.859165</v>
      </c>
      <c r="BE294" s="243">
        <f t="shared" si="55"/>
        <v>3.859165</v>
      </c>
      <c r="BF294" s="235">
        <v>0.42499999999999999</v>
      </c>
      <c r="BG294" s="235">
        <v>0</v>
      </c>
      <c r="BH294" s="235">
        <v>0</v>
      </c>
      <c r="BI294" s="235"/>
      <c r="BJ294" s="235">
        <v>0.15</v>
      </c>
      <c r="BK294" s="235"/>
      <c r="BL294" s="235"/>
      <c r="BM294" s="235">
        <v>0.32500000000000001</v>
      </c>
      <c r="BN294" s="235"/>
      <c r="BO294" s="235">
        <v>0.1</v>
      </c>
      <c r="BP294" s="235">
        <f t="shared" si="49"/>
        <v>0.99999999999999989</v>
      </c>
      <c r="BQ294" s="243">
        <f t="shared" si="57"/>
        <v>3.859165</v>
      </c>
      <c r="BS294" s="341">
        <f t="array" ref="BS294">((1+10.2/100)^(1/12)-1)*100</f>
        <v>0.81267366616946113</v>
      </c>
      <c r="BT294" s="341"/>
      <c r="BU294" s="341"/>
      <c r="BV294" s="341">
        <f t="array" ref="BV294">((1+7/100)^(1/12)-1)*100</f>
        <v>0.56541453874052738</v>
      </c>
      <c r="BW294" s="341">
        <f t="array" ref="BW294">((1+10.6/100)^(1/12)-1)*100</f>
        <v>0.8431169043400244</v>
      </c>
      <c r="BX294" s="341"/>
      <c r="BY294" s="341">
        <f t="shared" si="58"/>
        <v>0.73069945729491881</v>
      </c>
      <c r="BZ294" s="341">
        <f t="shared" si="45"/>
        <v>0.81267366616946113</v>
      </c>
      <c r="CA294" s="341"/>
      <c r="CB294" s="243">
        <f t="shared" si="59"/>
        <v>0.64340301100034303</v>
      </c>
      <c r="CC294" s="243"/>
      <c r="CD294" s="243">
        <f t="shared" si="42"/>
        <v>0.64340301100034303</v>
      </c>
      <c r="CG294" s="734">
        <f t="shared" si="53"/>
        <v>6.33</v>
      </c>
      <c r="CJ294" s="1264">
        <f t="shared" si="41"/>
        <v>0.79741404289037643</v>
      </c>
    </row>
    <row r="295" spans="1:88" x14ac:dyDescent="0.2">
      <c r="A295" s="19">
        <v>36494</v>
      </c>
      <c r="B295" s="262">
        <v>2.0299999999999998</v>
      </c>
      <c r="C295" s="270">
        <v>4.2782</v>
      </c>
      <c r="D295" s="270">
        <v>-0.58599999999999997</v>
      </c>
      <c r="E295" s="270">
        <v>5.2485999999999997</v>
      </c>
      <c r="F295" s="270">
        <v>8.5464000000000002</v>
      </c>
      <c r="G295" s="270">
        <v>2.0099999999999998</v>
      </c>
      <c r="H295" s="270">
        <v>5.9710000000000001</v>
      </c>
      <c r="I295" s="262">
        <v>10.574</v>
      </c>
      <c r="J295" s="270">
        <v>0.51800000000000002</v>
      </c>
      <c r="K295" s="128">
        <v>4.1809000000000003</v>
      </c>
      <c r="L295" s="128">
        <v>5.9122000000000003</v>
      </c>
      <c r="M295" s="128">
        <v>2.3332000000000002</v>
      </c>
      <c r="N295" s="262">
        <f t="shared" si="46"/>
        <v>5.9710000000000001</v>
      </c>
      <c r="O295" s="262">
        <f t="shared" si="47"/>
        <v>10.574</v>
      </c>
      <c r="P295" s="262">
        <f t="shared" si="48"/>
        <v>0.51800000000000002</v>
      </c>
      <c r="Q295" s="270">
        <v>11.805999999999999</v>
      </c>
      <c r="R295" s="128">
        <v>5.6459999999999999</v>
      </c>
      <c r="S295" s="128">
        <v>2.7989999999999999</v>
      </c>
      <c r="T295" s="128"/>
      <c r="U295" s="270">
        <v>3.9984999999999999</v>
      </c>
      <c r="V295" s="270">
        <v>0.60940000000000005</v>
      </c>
      <c r="W295" s="262">
        <v>-6.8999999999999999E-3</v>
      </c>
      <c r="X295" s="128">
        <v>0.10340000000000001</v>
      </c>
      <c r="Y295" s="128"/>
      <c r="Z295" s="128">
        <v>8.31</v>
      </c>
      <c r="AA295" s="262">
        <v>3.4950700000000001</v>
      </c>
      <c r="AB295" s="270">
        <v>7.3411</v>
      </c>
      <c r="AC295" s="270">
        <v>-0.16569999999999999</v>
      </c>
      <c r="AD295" s="280"/>
      <c r="AE295" s="277">
        <f t="shared" si="56"/>
        <v>1.520775</v>
      </c>
      <c r="AF295" s="262">
        <f t="shared" si="54"/>
        <v>3.4950700000000001</v>
      </c>
      <c r="AG295" s="128">
        <v>0.9274</v>
      </c>
      <c r="AH295" s="352">
        <v>-1.57</v>
      </c>
      <c r="AI295"/>
      <c r="AJ295"/>
      <c r="AK295"/>
      <c r="AL295"/>
      <c r="AM295" s="242"/>
      <c r="AN295" s="270">
        <v>3.4948999999999999</v>
      </c>
      <c r="AO295" s="270">
        <v>3.9984999999999999</v>
      </c>
      <c r="AP295" s="270"/>
      <c r="AQ295" s="270"/>
      <c r="AR295" s="270"/>
      <c r="AS295" s="270"/>
      <c r="AT295" s="270"/>
      <c r="AU295" s="270"/>
      <c r="AV295" s="245">
        <v>0.5</v>
      </c>
      <c r="AW295" s="245"/>
      <c r="AX295" s="245"/>
      <c r="AY295" s="245">
        <v>0.35</v>
      </c>
      <c r="AZ295" s="245">
        <v>0.15</v>
      </c>
      <c r="BA295" s="245">
        <v>0</v>
      </c>
      <c r="BB295" s="245"/>
      <c r="BC295" s="245">
        <f t="shared" si="51"/>
        <v>1</v>
      </c>
      <c r="BD295" s="240">
        <f t="shared" si="52"/>
        <v>1.5368454999999999</v>
      </c>
      <c r="BE295" s="243">
        <f t="shared" si="55"/>
        <v>1.5368454999999999</v>
      </c>
      <c r="BF295" s="235">
        <v>0.42499999999999999</v>
      </c>
      <c r="BG295" s="235">
        <v>0</v>
      </c>
      <c r="BH295" s="235">
        <v>0</v>
      </c>
      <c r="BI295" s="235"/>
      <c r="BJ295" s="235">
        <v>0.15</v>
      </c>
      <c r="BK295" s="235"/>
      <c r="BL295" s="235"/>
      <c r="BM295" s="235">
        <v>0.32500000000000001</v>
      </c>
      <c r="BN295" s="235"/>
      <c r="BO295" s="235">
        <v>0.1</v>
      </c>
      <c r="BP295" s="235">
        <f t="shared" si="49"/>
        <v>0.99999999999999989</v>
      </c>
      <c r="BQ295" s="243">
        <f t="shared" si="57"/>
        <v>1.5368455000000001</v>
      </c>
      <c r="BS295" s="341">
        <f t="array" ref="BS295">((1+10.2/100)^(1/12)-1)*100</f>
        <v>0.81267366616946113</v>
      </c>
      <c r="BT295" s="341"/>
      <c r="BU295" s="341"/>
      <c r="BV295" s="341">
        <f t="array" ref="BV295">((1+7/100)^(1/12)-1)*100</f>
        <v>0.56541453874052738</v>
      </c>
      <c r="BW295" s="341">
        <f t="array" ref="BW295">((1+10.6/100)^(1/12)-1)*100</f>
        <v>0.8431169043400244</v>
      </c>
      <c r="BX295" s="341"/>
      <c r="BY295" s="341">
        <f t="shared" si="58"/>
        <v>0.73069945729491881</v>
      </c>
      <c r="BZ295" s="341">
        <f t="shared" si="45"/>
        <v>0.81267366616946113</v>
      </c>
      <c r="CA295" s="341"/>
      <c r="CB295" s="243">
        <f t="shared" si="59"/>
        <v>0.64340301100034303</v>
      </c>
      <c r="CC295" s="243"/>
      <c r="CD295" s="243">
        <f t="shared" si="42"/>
        <v>0.64340301100034303</v>
      </c>
      <c r="CG295" s="734">
        <f t="shared" si="53"/>
        <v>2.0299999999999998</v>
      </c>
      <c r="CJ295" s="1264">
        <f t="shared" si="41"/>
        <v>0.79741404289037643</v>
      </c>
    </row>
    <row r="296" spans="1:88" x14ac:dyDescent="0.2">
      <c r="A296" s="19">
        <v>36525</v>
      </c>
      <c r="B296" s="262">
        <v>5.89</v>
      </c>
      <c r="C296" s="270">
        <v>7.4025999999999996</v>
      </c>
      <c r="D296" s="270">
        <v>3.7570000000000001</v>
      </c>
      <c r="E296" s="270">
        <v>5.9427000000000003</v>
      </c>
      <c r="F296" s="270">
        <v>8.8356999999999992</v>
      </c>
      <c r="G296" s="270">
        <v>3.0960000000000001</v>
      </c>
      <c r="H296" s="270">
        <v>11.32</v>
      </c>
      <c r="I296" s="262">
        <v>17.625</v>
      </c>
      <c r="J296" s="270">
        <v>3.0720000000000001</v>
      </c>
      <c r="K296" s="128">
        <v>8.2205999999999992</v>
      </c>
      <c r="L296" s="128">
        <v>11.422599999999999</v>
      </c>
      <c r="M296" s="128">
        <v>4.798</v>
      </c>
      <c r="N296" s="262">
        <f t="shared" si="46"/>
        <v>11.32</v>
      </c>
      <c r="O296" s="262">
        <f t="shared" si="47"/>
        <v>17.625</v>
      </c>
      <c r="P296" s="262">
        <f t="shared" si="48"/>
        <v>3.0720000000000001</v>
      </c>
      <c r="Q296" s="270">
        <v>18.859000000000002</v>
      </c>
      <c r="R296" s="128">
        <v>10.85</v>
      </c>
      <c r="S296" s="128">
        <v>6.3810000000000002</v>
      </c>
      <c r="T296" s="128"/>
      <c r="U296" s="270">
        <v>9.5372000000000003</v>
      </c>
      <c r="V296" s="270">
        <v>1.0061</v>
      </c>
      <c r="W296" s="262">
        <v>-0.48220000000000002</v>
      </c>
      <c r="X296" s="128">
        <v>-0.29970000000000002</v>
      </c>
      <c r="Y296" s="128"/>
      <c r="Z296" s="128">
        <v>13.01</v>
      </c>
      <c r="AA296" s="262">
        <v>8.9947599999999994</v>
      </c>
      <c r="AB296" s="270">
        <v>11.1441</v>
      </c>
      <c r="AC296" s="270">
        <v>6.7702999999999998</v>
      </c>
      <c r="AD296" s="280"/>
      <c r="AE296" s="277">
        <f t="shared" si="56"/>
        <v>4.2969499999999998</v>
      </c>
      <c r="AF296" s="262">
        <f t="shared" si="54"/>
        <v>8.9947599999999994</v>
      </c>
      <c r="AG296" s="128">
        <v>0.9274</v>
      </c>
      <c r="AH296" s="352">
        <v>3.76</v>
      </c>
      <c r="AI296"/>
      <c r="AJ296"/>
      <c r="AK296"/>
      <c r="AL296"/>
      <c r="AM296" s="242"/>
      <c r="AN296" s="270">
        <v>8.9947999999999997</v>
      </c>
      <c r="AO296" s="270">
        <v>9.5372000000000003</v>
      </c>
      <c r="AP296" s="270"/>
      <c r="AQ296" s="270"/>
      <c r="AR296" s="270"/>
      <c r="AS296" s="270"/>
      <c r="AT296" s="270"/>
      <c r="AU296" s="270"/>
      <c r="AV296" s="246">
        <v>0.5</v>
      </c>
      <c r="AW296" s="246"/>
      <c r="AX296" s="246"/>
      <c r="AY296" s="246">
        <v>0.35</v>
      </c>
      <c r="AZ296" s="246">
        <v>0.15</v>
      </c>
      <c r="BA296" s="246">
        <v>0</v>
      </c>
      <c r="BB296" s="246"/>
      <c r="BC296" s="246">
        <f t="shared" si="51"/>
        <v>1</v>
      </c>
      <c r="BD296" s="275">
        <f t="shared" si="52"/>
        <v>4.1254439999999999</v>
      </c>
      <c r="BE296" s="243">
        <f t="shared" si="55"/>
        <v>4.1254439999999999</v>
      </c>
      <c r="BF296" s="328">
        <v>0.42499999999999999</v>
      </c>
      <c r="BG296" s="328">
        <v>0</v>
      </c>
      <c r="BH296" s="328">
        <v>0</v>
      </c>
      <c r="BI296" s="328"/>
      <c r="BJ296" s="328">
        <v>0.15</v>
      </c>
      <c r="BK296" s="328"/>
      <c r="BL296" s="328"/>
      <c r="BM296" s="328">
        <v>0.32500000000000001</v>
      </c>
      <c r="BN296" s="328"/>
      <c r="BO296" s="328">
        <v>0.1</v>
      </c>
      <c r="BP296" s="328">
        <f t="shared" si="49"/>
        <v>0.99999999999999989</v>
      </c>
      <c r="BQ296" s="327">
        <f t="shared" si="57"/>
        <v>4.1254439999999999</v>
      </c>
      <c r="BS296" s="343">
        <f t="array" ref="BS296">((1+10.2/100)^(1/12)-1)*100</f>
        <v>0.81267366616946113</v>
      </c>
      <c r="BT296" s="343"/>
      <c r="BU296" s="343"/>
      <c r="BV296" s="343">
        <f t="array" ref="BV296">((1+7/100)^(1/12)-1)*100</f>
        <v>0.56541453874052738</v>
      </c>
      <c r="BW296" s="343">
        <f t="array" ref="BW296">((1+10.6/100)^(1/12)-1)*100</f>
        <v>0.8431169043400244</v>
      </c>
      <c r="BX296" s="343"/>
      <c r="BY296" s="343">
        <f t="shared" si="58"/>
        <v>0.73069945729491881</v>
      </c>
      <c r="BZ296" s="341">
        <f t="shared" si="45"/>
        <v>0.81267366616946113</v>
      </c>
      <c r="CA296" s="341"/>
      <c r="CB296" s="243">
        <f t="shared" si="59"/>
        <v>0.64340301100034303</v>
      </c>
      <c r="CC296" s="243"/>
      <c r="CD296" s="243">
        <f t="shared" si="42"/>
        <v>0.64340301100034303</v>
      </c>
      <c r="CG296" s="734">
        <f t="shared" si="53"/>
        <v>5.89</v>
      </c>
      <c r="CJ296" s="1264">
        <f t="shared" si="41"/>
        <v>0.79741404289037643</v>
      </c>
    </row>
    <row r="297" spans="1:88" x14ac:dyDescent="0.2">
      <c r="A297" s="19">
        <v>36556</v>
      </c>
      <c r="B297" s="262">
        <v>-5.024</v>
      </c>
      <c r="C297" s="270">
        <v>-6.6622000000000003</v>
      </c>
      <c r="D297" s="270">
        <v>-3.1819999999999999</v>
      </c>
      <c r="E297" s="270">
        <v>-2.8155999999999999</v>
      </c>
      <c r="F297" s="270">
        <v>-1.4676</v>
      </c>
      <c r="G297" s="270">
        <v>-4.32</v>
      </c>
      <c r="H297" s="270">
        <v>-1.6060000000000001</v>
      </c>
      <c r="I297" s="262">
        <v>-0.93100000000000005</v>
      </c>
      <c r="J297" s="270">
        <v>-2.6150000000000002</v>
      </c>
      <c r="K297" s="128">
        <v>-3.0991</v>
      </c>
      <c r="L297" s="128">
        <v>-3.8054999999999999</v>
      </c>
      <c r="M297" s="128">
        <v>-2.3639999999999999</v>
      </c>
      <c r="N297" s="262">
        <f t="shared" si="46"/>
        <v>-1.6060000000000001</v>
      </c>
      <c r="O297" s="262">
        <f t="shared" si="47"/>
        <v>-0.93100000000000005</v>
      </c>
      <c r="P297" s="262">
        <f t="shared" si="48"/>
        <v>-2.6150000000000002</v>
      </c>
      <c r="Q297" s="270">
        <v>-0.55700000000000005</v>
      </c>
      <c r="R297" s="128">
        <v>-2.2999999999999998</v>
      </c>
      <c r="S297" s="128">
        <v>-3.92</v>
      </c>
      <c r="T297" s="128"/>
      <c r="U297" s="270">
        <v>-5.4263000000000003</v>
      </c>
      <c r="V297" s="270">
        <v>0.16439999999999999</v>
      </c>
      <c r="W297" s="262">
        <v>-0.32719999999999999</v>
      </c>
      <c r="X297" s="128">
        <v>-0.57950000000000002</v>
      </c>
      <c r="Y297" s="128"/>
      <c r="Z297" s="128">
        <v>0.52</v>
      </c>
      <c r="AA297" s="262">
        <v>-6.3364500000000001</v>
      </c>
      <c r="AB297" s="270">
        <v>-5.6124999999999998</v>
      </c>
      <c r="AC297" s="270">
        <v>-7.1196000000000002</v>
      </c>
      <c r="AD297" s="280"/>
      <c r="AE297" s="277">
        <f t="shared" si="56"/>
        <v>-3.8497999999999997</v>
      </c>
      <c r="AF297" s="262">
        <f t="shared" si="54"/>
        <v>-6.3364500000000001</v>
      </c>
      <c r="AG297" s="128">
        <v>0.95330000000000004</v>
      </c>
      <c r="AH297" s="352">
        <v>0.41</v>
      </c>
      <c r="AI297"/>
      <c r="AJ297"/>
      <c r="AK297"/>
      <c r="AL297"/>
      <c r="AM297" s="242"/>
      <c r="AN297" s="270">
        <v>-6.3365</v>
      </c>
      <c r="AO297" s="270">
        <v>-5.4263000000000003</v>
      </c>
      <c r="AP297" s="270"/>
      <c r="AQ297" s="270"/>
      <c r="AR297" s="270"/>
      <c r="AS297" s="270"/>
      <c r="AT297" s="270"/>
      <c r="AU297" s="270"/>
      <c r="AV297" s="245">
        <v>0.53</v>
      </c>
      <c r="AW297" s="245"/>
      <c r="AX297" s="245"/>
      <c r="AY297" s="245">
        <v>0.3</v>
      </c>
      <c r="AZ297" s="245">
        <v>0.17</v>
      </c>
      <c r="BA297" s="245">
        <v>0</v>
      </c>
      <c r="BB297" s="245"/>
      <c r="BC297" s="245">
        <f t="shared" si="51"/>
        <v>1</v>
      </c>
      <c r="BD297" s="240">
        <f t="shared" si="52"/>
        <v>-3.8380765000000006</v>
      </c>
      <c r="BE297" s="243">
        <f t="shared" si="55"/>
        <v>-3.8380765000000006</v>
      </c>
      <c r="BF297" s="235">
        <v>0.375</v>
      </c>
      <c r="BG297" s="235">
        <v>0.04</v>
      </c>
      <c r="BH297" s="235">
        <v>0.04</v>
      </c>
      <c r="BI297" s="235"/>
      <c r="BJ297" s="235">
        <v>0.17</v>
      </c>
      <c r="BK297" s="235"/>
      <c r="BL297" s="235"/>
      <c r="BM297" s="235">
        <v>0.27500000000000002</v>
      </c>
      <c r="BN297" s="235"/>
      <c r="BO297" s="235">
        <v>0.1</v>
      </c>
      <c r="BP297" s="235">
        <f t="shared" si="49"/>
        <v>1</v>
      </c>
      <c r="BQ297" s="243">
        <f t="shared" si="57"/>
        <v>-3.6130205000000002</v>
      </c>
      <c r="BS297" s="341">
        <f t="array" ref="BS297">((1+9.4/100)^(1/12)-1)*100</f>
        <v>0.75148209323356863</v>
      </c>
      <c r="BT297" s="341"/>
      <c r="BU297" s="341"/>
      <c r="BV297" s="341">
        <f t="array" ref="BV297">((1+5.6/100)^(1/12)-1)*100</f>
        <v>0.45510066248739545</v>
      </c>
      <c r="BW297" s="341">
        <f t="array" ref="BW297">((1+10/100)^(1/12)-1)*100</f>
        <v>0.79741404289037643</v>
      </c>
      <c r="BX297" s="341"/>
      <c r="BY297" s="341">
        <f>(BS297*AV297)+(BV297*AY297)+(BW297*AZ297)</f>
        <v>0.670376095451374</v>
      </c>
      <c r="BZ297" s="341">
        <f t="shared" si="45"/>
        <v>0.75148209323356863</v>
      </c>
      <c r="CA297" s="341"/>
      <c r="CB297" s="243">
        <f t="shared" si="59"/>
        <v>0.64340301100034303</v>
      </c>
      <c r="CC297" s="243"/>
      <c r="CD297" s="243">
        <f t="shared" si="42"/>
        <v>0.64340301100034303</v>
      </c>
      <c r="CG297" s="734">
        <f t="shared" si="53"/>
        <v>-5.024</v>
      </c>
      <c r="CJ297" s="1264">
        <f t="shared" ref="CJ297:CJ360" si="60">((1+0.1)^(1/12)-1)*100</f>
        <v>0.79741404289037643</v>
      </c>
    </row>
    <row r="298" spans="1:88" x14ac:dyDescent="0.2">
      <c r="A298" s="19">
        <v>36585</v>
      </c>
      <c r="B298" s="262">
        <v>-1.893</v>
      </c>
      <c r="C298" s="270">
        <v>2.0992999999999999</v>
      </c>
      <c r="D298" s="270">
        <v>-6.2480000000000002</v>
      </c>
      <c r="E298" s="270">
        <v>6.9984999999999999</v>
      </c>
      <c r="F298" s="270">
        <v>16.6617</v>
      </c>
      <c r="G298" s="270">
        <v>-3.67</v>
      </c>
      <c r="H298" s="270">
        <v>16.513999999999999</v>
      </c>
      <c r="I298" s="262">
        <v>23.265999999999998</v>
      </c>
      <c r="J298" s="270">
        <v>6.1120000000000001</v>
      </c>
      <c r="K298" s="128">
        <v>13.3916</v>
      </c>
      <c r="L298" s="128">
        <v>17.012</v>
      </c>
      <c r="M298" s="128">
        <v>9.1859999999999999</v>
      </c>
      <c r="N298" s="262">
        <f t="shared" si="46"/>
        <v>16.513999999999999</v>
      </c>
      <c r="O298" s="262">
        <f t="shared" si="47"/>
        <v>23.265999999999998</v>
      </c>
      <c r="P298" s="262">
        <f t="shared" si="48"/>
        <v>6.1120000000000001</v>
      </c>
      <c r="Q298" s="270">
        <v>25.651</v>
      </c>
      <c r="R298" s="128">
        <v>14.442</v>
      </c>
      <c r="S298" s="128">
        <v>0.92700000000000005</v>
      </c>
      <c r="T298" s="128"/>
      <c r="U298" s="270">
        <v>2.7010999999999998</v>
      </c>
      <c r="V298" s="270">
        <v>2.5059999999999998</v>
      </c>
      <c r="W298" s="262">
        <v>1.2092000000000001</v>
      </c>
      <c r="X298" s="128">
        <v>0.96279999999999999</v>
      </c>
      <c r="Y298" s="128"/>
      <c r="Z298" s="128">
        <v>11.14</v>
      </c>
      <c r="AA298" s="262">
        <v>2.71088</v>
      </c>
      <c r="AB298" s="270">
        <v>5.5567000000000002</v>
      </c>
      <c r="AC298" s="270">
        <v>-0.39079999999999998</v>
      </c>
      <c r="AD298" s="280"/>
      <c r="AE298" s="277">
        <f t="shared" si="56"/>
        <v>-1.1174500000000001</v>
      </c>
      <c r="AF298" s="262">
        <f t="shared" si="54"/>
        <v>2.71088</v>
      </c>
      <c r="AG298" s="128">
        <v>0.95330000000000004</v>
      </c>
      <c r="AH298" s="352">
        <v>-1.91</v>
      </c>
      <c r="AI298"/>
      <c r="AJ298"/>
      <c r="AK298"/>
      <c r="AL298"/>
      <c r="AM298" s="242"/>
      <c r="AN298" s="270">
        <v>2.7109999999999999</v>
      </c>
      <c r="AO298" s="270">
        <v>2.7010999999999998</v>
      </c>
      <c r="AP298" s="270"/>
      <c r="AQ298" s="270"/>
      <c r="AR298" s="270"/>
      <c r="AS298" s="270"/>
      <c r="AT298" s="270"/>
      <c r="AU298" s="270"/>
      <c r="AV298" s="245">
        <v>0.53</v>
      </c>
      <c r="AW298" s="245"/>
      <c r="AX298" s="245"/>
      <c r="AY298" s="245">
        <v>0.3</v>
      </c>
      <c r="AZ298" s="245">
        <v>0.17</v>
      </c>
      <c r="BA298" s="245">
        <v>0</v>
      </c>
      <c r="BB298" s="245"/>
      <c r="BC298" s="245">
        <f t="shared" si="51"/>
        <v>1</v>
      </c>
      <c r="BD298" s="240">
        <f t="shared" si="52"/>
        <v>-0.17968040000000002</v>
      </c>
      <c r="BE298" s="243">
        <f t="shared" si="55"/>
        <v>-0.17968040000000002</v>
      </c>
      <c r="BF298" s="235">
        <v>0.375</v>
      </c>
      <c r="BG298" s="235">
        <v>0.04</v>
      </c>
      <c r="BH298" s="235">
        <v>0.04</v>
      </c>
      <c r="BI298" s="235"/>
      <c r="BJ298" s="235">
        <v>0.17</v>
      </c>
      <c r="BK298" s="235"/>
      <c r="BL298" s="235"/>
      <c r="BM298" s="235">
        <v>0.27500000000000002</v>
      </c>
      <c r="BN298" s="235"/>
      <c r="BO298" s="235">
        <v>0.1</v>
      </c>
      <c r="BP298" s="235">
        <f t="shared" si="49"/>
        <v>1</v>
      </c>
      <c r="BQ298" s="243">
        <f t="shared" si="57"/>
        <v>0.91225960000000006</v>
      </c>
      <c r="BS298" s="341">
        <f t="array" ref="BS298">((1+9.4/100)^(1/12)-1)*100</f>
        <v>0.75148209323356863</v>
      </c>
      <c r="BT298" s="341"/>
      <c r="BU298" s="341"/>
      <c r="BV298" s="341">
        <f t="array" ref="BV298">((1+5.6/100)^(1/12)-1)*100</f>
        <v>0.45510066248739545</v>
      </c>
      <c r="BW298" s="341">
        <f t="array" ref="BW298">((1+10/100)^(1/12)-1)*100</f>
        <v>0.79741404289037643</v>
      </c>
      <c r="BX298" s="341"/>
      <c r="BY298" s="341">
        <f t="shared" ref="BY298:BY341" si="61">(BS298*AV298)+(BV298*AY298)+(BW298*AZ298)</f>
        <v>0.670376095451374</v>
      </c>
      <c r="BZ298" s="341">
        <f t="shared" si="45"/>
        <v>0.75148209323356863</v>
      </c>
      <c r="CA298" s="341"/>
      <c r="CB298" s="243">
        <f t="shared" si="59"/>
        <v>0.64340301100034303</v>
      </c>
      <c r="CC298" s="243"/>
      <c r="CD298" s="243">
        <f t="shared" ref="CD298:CD361" si="62">((1+0.08)^(1/12)-1)*100</f>
        <v>0.64340301100034303</v>
      </c>
      <c r="CG298" s="734">
        <f t="shared" si="53"/>
        <v>-1.893</v>
      </c>
      <c r="CJ298" s="1264">
        <f t="shared" si="60"/>
        <v>0.79741404289037643</v>
      </c>
    </row>
    <row r="299" spans="1:88" x14ac:dyDescent="0.2">
      <c r="A299" s="19">
        <v>36616</v>
      </c>
      <c r="B299" s="262">
        <v>9.7829999999999995</v>
      </c>
      <c r="C299" s="270">
        <v>9.2481000000000009</v>
      </c>
      <c r="D299" s="270">
        <v>10.427</v>
      </c>
      <c r="E299" s="270">
        <v>8.3691999999999993</v>
      </c>
      <c r="F299" s="270">
        <v>3.4937</v>
      </c>
      <c r="G299" s="270">
        <v>15.302</v>
      </c>
      <c r="H299" s="270">
        <v>-6.593</v>
      </c>
      <c r="I299" s="262">
        <v>-10.512</v>
      </c>
      <c r="J299" s="270">
        <v>0.46899999999999997</v>
      </c>
      <c r="K299" s="128">
        <v>-3.6974999999999998</v>
      </c>
      <c r="L299" s="128">
        <v>-5.5964</v>
      </c>
      <c r="M299" s="128">
        <v>-1.3139000000000001</v>
      </c>
      <c r="N299" s="262">
        <f t="shared" si="46"/>
        <v>-6.593</v>
      </c>
      <c r="O299" s="262">
        <f t="shared" si="47"/>
        <v>-10.512</v>
      </c>
      <c r="P299" s="262">
        <f t="shared" si="48"/>
        <v>0.46899999999999997</v>
      </c>
      <c r="Q299" s="270">
        <v>-7.8460000000000001</v>
      </c>
      <c r="R299" s="128">
        <v>-1.5309999999999999</v>
      </c>
      <c r="S299" s="128">
        <v>7.8339999999999996</v>
      </c>
      <c r="T299" s="128"/>
      <c r="U299" s="270">
        <v>3.7633999999999999</v>
      </c>
      <c r="V299" s="270">
        <v>2.7709000000000001</v>
      </c>
      <c r="W299" s="262">
        <v>1.3166</v>
      </c>
      <c r="X299" s="128">
        <v>1.0669999999999999</v>
      </c>
      <c r="Y299" s="128"/>
      <c r="Z299" s="128">
        <v>-3.98</v>
      </c>
      <c r="AA299" s="262">
        <v>3.8959999999999999</v>
      </c>
      <c r="AB299" s="270">
        <v>1.8888</v>
      </c>
      <c r="AC299" s="270">
        <v>6.1189</v>
      </c>
      <c r="AD299" s="280"/>
      <c r="AE299" s="277">
        <f t="shared" ref="AE299:AE330" si="63">(B299*0.75)+(W299*0.25)</f>
        <v>7.6663999999999994</v>
      </c>
      <c r="AF299" s="262">
        <f t="shared" si="54"/>
        <v>3.8959999999999999</v>
      </c>
      <c r="AG299" s="128">
        <v>0.95330000000000004</v>
      </c>
      <c r="AH299" s="352">
        <v>4.38</v>
      </c>
      <c r="AI299"/>
      <c r="AJ299"/>
      <c r="AK299"/>
      <c r="AL299"/>
      <c r="AM299" s="242"/>
      <c r="AN299" s="270">
        <v>3.8955000000000002</v>
      </c>
      <c r="AO299" s="270">
        <v>3.7633999999999999</v>
      </c>
      <c r="AP299" s="270"/>
      <c r="AQ299" s="270"/>
      <c r="AR299" s="270"/>
      <c r="AS299" s="270"/>
      <c r="AT299" s="270"/>
      <c r="AU299" s="270"/>
      <c r="AV299" s="245">
        <v>0.53</v>
      </c>
      <c r="AW299" s="245"/>
      <c r="AX299" s="245"/>
      <c r="AY299" s="245">
        <v>0.3</v>
      </c>
      <c r="AZ299" s="245">
        <v>0.17</v>
      </c>
      <c r="BA299" s="245">
        <v>0</v>
      </c>
      <c r="BB299" s="245"/>
      <c r="BC299" s="245">
        <f t="shared" si="51"/>
        <v>1</v>
      </c>
      <c r="BD299" s="240">
        <f t="shared" si="52"/>
        <v>6.2422900000000006</v>
      </c>
      <c r="BE299" s="243">
        <f t="shared" si="55"/>
        <v>6.2422900000000006</v>
      </c>
      <c r="BF299" s="235">
        <v>0.375</v>
      </c>
      <c r="BG299" s="235">
        <v>0.04</v>
      </c>
      <c r="BH299" s="235">
        <v>0.04</v>
      </c>
      <c r="BI299" s="235"/>
      <c r="BJ299" s="235">
        <v>0.17</v>
      </c>
      <c r="BK299" s="235"/>
      <c r="BL299" s="235"/>
      <c r="BM299" s="235">
        <v>0.27500000000000002</v>
      </c>
      <c r="BN299" s="235"/>
      <c r="BO299" s="235">
        <v>0.1</v>
      </c>
      <c r="BP299" s="235">
        <f t="shared" si="49"/>
        <v>1</v>
      </c>
      <c r="BQ299" s="243">
        <f t="shared" si="57"/>
        <v>5.5306979999999992</v>
      </c>
      <c r="BS299" s="341">
        <f t="array" ref="BS299">((1+9.4/100)^(1/12)-1)*100</f>
        <v>0.75148209323356863</v>
      </c>
      <c r="BT299" s="341"/>
      <c r="BU299" s="341"/>
      <c r="BV299" s="341">
        <f t="array" ref="BV299">((1+5.6/100)^(1/12)-1)*100</f>
        <v>0.45510066248739545</v>
      </c>
      <c r="BW299" s="341">
        <f t="array" ref="BW299">((1+10/100)^(1/12)-1)*100</f>
        <v>0.79741404289037643</v>
      </c>
      <c r="BX299" s="341"/>
      <c r="BY299" s="341">
        <f t="shared" si="61"/>
        <v>0.670376095451374</v>
      </c>
      <c r="BZ299" s="341">
        <f t="shared" si="45"/>
        <v>0.75148209323356863</v>
      </c>
      <c r="CA299" s="341"/>
      <c r="CB299" s="243">
        <f t="shared" si="59"/>
        <v>0.64340301100034303</v>
      </c>
      <c r="CC299" s="243"/>
      <c r="CD299" s="243">
        <f t="shared" si="62"/>
        <v>0.64340301100034303</v>
      </c>
      <c r="CG299" s="734">
        <f t="shared" si="53"/>
        <v>9.7829999999999995</v>
      </c>
      <c r="CJ299" s="1264">
        <f t="shared" si="60"/>
        <v>0.79741404289037643</v>
      </c>
    </row>
    <row r="300" spans="1:88" x14ac:dyDescent="0.2">
      <c r="A300" s="19">
        <v>36646</v>
      </c>
      <c r="B300" s="262">
        <v>-3.0089999999999999</v>
      </c>
      <c r="C300" s="270">
        <v>-4.9496000000000002</v>
      </c>
      <c r="D300" s="270">
        <v>-0.66900000000000004</v>
      </c>
      <c r="E300" s="270">
        <v>-3.4918</v>
      </c>
      <c r="F300" s="270">
        <v>-5.6692999999999998</v>
      </c>
      <c r="G300" s="270">
        <v>-0.91100000000000003</v>
      </c>
      <c r="H300" s="270">
        <v>-6.0179999999999998</v>
      </c>
      <c r="I300" s="262">
        <v>-10.097</v>
      </c>
      <c r="J300" s="270">
        <v>0.59199999999999997</v>
      </c>
      <c r="K300" s="128">
        <v>-1.7139</v>
      </c>
      <c r="L300" s="128">
        <v>-2.9218999999999999</v>
      </c>
      <c r="M300" s="128">
        <v>-0.28210000000000002</v>
      </c>
      <c r="N300" s="262">
        <f t="shared" si="46"/>
        <v>-6.0179999999999998</v>
      </c>
      <c r="O300" s="262">
        <f t="shared" si="47"/>
        <v>-10.097</v>
      </c>
      <c r="P300" s="262">
        <f t="shared" si="48"/>
        <v>0.59199999999999997</v>
      </c>
      <c r="Q300" s="270">
        <v>-9.7430000000000003</v>
      </c>
      <c r="R300" s="128">
        <v>-5.3780000000000001</v>
      </c>
      <c r="S300" s="128">
        <v>-3.524</v>
      </c>
      <c r="T300" s="128"/>
      <c r="U300" s="270">
        <v>-5.5814000000000004</v>
      </c>
      <c r="V300" s="270">
        <v>-7.3552</v>
      </c>
      <c r="W300" s="262">
        <v>-0.28539999999999999</v>
      </c>
      <c r="X300" s="128">
        <v>-9.5299999999999996E-2</v>
      </c>
      <c r="Y300" s="128"/>
      <c r="Z300" s="128">
        <v>-7.46</v>
      </c>
      <c r="AA300" s="262">
        <v>-5.2443</v>
      </c>
      <c r="AB300" s="270">
        <v>-6.5980999999999996</v>
      </c>
      <c r="AC300" s="270">
        <v>-3.8620999999999999</v>
      </c>
      <c r="AD300" s="280"/>
      <c r="AE300" s="277">
        <f t="shared" si="63"/>
        <v>-2.3280999999999996</v>
      </c>
      <c r="AF300" s="262">
        <f t="shared" si="54"/>
        <v>-5.2443</v>
      </c>
      <c r="AG300" s="128">
        <v>0.79420000000000002</v>
      </c>
      <c r="AH300" s="352">
        <v>7.13</v>
      </c>
      <c r="AI300"/>
      <c r="AJ300"/>
      <c r="AK300"/>
      <c r="AL300"/>
      <c r="AM300" s="242"/>
      <c r="AN300" s="270">
        <v>-5.2439999999999998</v>
      </c>
      <c r="AO300" s="270">
        <v>-5.5814000000000004</v>
      </c>
      <c r="AP300" s="270"/>
      <c r="AQ300" s="270"/>
      <c r="AR300" s="270"/>
      <c r="AS300" s="270"/>
      <c r="AT300" s="270"/>
      <c r="AU300" s="270"/>
      <c r="AV300" s="245">
        <v>0.53</v>
      </c>
      <c r="AW300" s="245"/>
      <c r="AX300" s="245"/>
      <c r="AY300" s="245">
        <v>0.3</v>
      </c>
      <c r="AZ300" s="245">
        <v>0.17</v>
      </c>
      <c r="BA300" s="245">
        <v>0</v>
      </c>
      <c r="BB300" s="245"/>
      <c r="BC300" s="245">
        <f t="shared" si="51"/>
        <v>1</v>
      </c>
      <c r="BD300" s="240">
        <f t="shared" si="52"/>
        <v>-2.5719210000000001</v>
      </c>
      <c r="BE300" s="243">
        <f t="shared" si="55"/>
        <v>-2.5719210000000001</v>
      </c>
      <c r="BF300" s="235">
        <v>0.375</v>
      </c>
      <c r="BG300" s="235">
        <v>0.04</v>
      </c>
      <c r="BH300" s="235">
        <v>0.04</v>
      </c>
      <c r="BI300" s="235"/>
      <c r="BJ300" s="235">
        <v>0.17</v>
      </c>
      <c r="BK300" s="235"/>
      <c r="BL300" s="235"/>
      <c r="BM300" s="235">
        <v>0.27500000000000002</v>
      </c>
      <c r="BN300" s="235"/>
      <c r="BO300" s="235">
        <v>0.1</v>
      </c>
      <c r="BP300" s="235">
        <f t="shared" si="49"/>
        <v>1</v>
      </c>
      <c r="BQ300" s="243">
        <f t="shared" si="57"/>
        <v>-2.7115930000000006</v>
      </c>
      <c r="BS300" s="341">
        <f t="array" ref="BS300">((1+9.4/100)^(1/12)-1)*100</f>
        <v>0.75148209323356863</v>
      </c>
      <c r="BT300" s="341"/>
      <c r="BU300" s="341"/>
      <c r="BV300" s="341">
        <f t="array" ref="BV300">((1+5.6/100)^(1/12)-1)*100</f>
        <v>0.45510066248739545</v>
      </c>
      <c r="BW300" s="341">
        <f t="array" ref="BW300">((1+10/100)^(1/12)-1)*100</f>
        <v>0.79741404289037643</v>
      </c>
      <c r="BX300" s="341"/>
      <c r="BY300" s="341">
        <f t="shared" si="61"/>
        <v>0.670376095451374</v>
      </c>
      <c r="BZ300" s="341">
        <f t="shared" si="45"/>
        <v>0.75148209323356863</v>
      </c>
      <c r="CA300" s="341"/>
      <c r="CB300" s="243">
        <f t="shared" si="59"/>
        <v>0.64340301100034303</v>
      </c>
      <c r="CC300" s="243"/>
      <c r="CD300" s="243">
        <f t="shared" si="62"/>
        <v>0.64340301100034303</v>
      </c>
      <c r="CG300" s="734">
        <f t="shared" si="53"/>
        <v>-3.0089999999999999</v>
      </c>
      <c r="CJ300" s="1264">
        <f t="shared" si="60"/>
        <v>0.79741404289037643</v>
      </c>
    </row>
    <row r="301" spans="1:88" x14ac:dyDescent="0.2">
      <c r="A301" s="19">
        <v>36677</v>
      </c>
      <c r="B301" s="262">
        <v>-2.052</v>
      </c>
      <c r="C301" s="270">
        <v>-4.0774999999999997</v>
      </c>
      <c r="D301" s="270">
        <v>0.312</v>
      </c>
      <c r="E301" s="270">
        <v>-1.2478</v>
      </c>
      <c r="F301" s="270">
        <v>-5.202</v>
      </c>
      <c r="G301" s="270">
        <v>2.8849999999999998</v>
      </c>
      <c r="H301" s="270">
        <v>-5.8280000000000003</v>
      </c>
      <c r="I301" s="262">
        <v>-8.7560000000000002</v>
      </c>
      <c r="J301" s="270">
        <v>-1.526</v>
      </c>
      <c r="K301" s="128">
        <v>-2.9641999999999999</v>
      </c>
      <c r="L301" s="128">
        <v>-3.7768999999999999</v>
      </c>
      <c r="M301" s="128">
        <v>-2.0655999999999999</v>
      </c>
      <c r="N301" s="262">
        <f t="shared" si="46"/>
        <v>-5.8280000000000003</v>
      </c>
      <c r="O301" s="262">
        <f t="shared" si="47"/>
        <v>-8.7560000000000002</v>
      </c>
      <c r="P301" s="262">
        <f t="shared" si="48"/>
        <v>-1.526</v>
      </c>
      <c r="Q301" s="270">
        <v>-8.9039999999999999</v>
      </c>
      <c r="R301" s="128">
        <v>-4.798</v>
      </c>
      <c r="S301" s="128">
        <v>-2.8090000000000002</v>
      </c>
      <c r="T301" s="128"/>
      <c r="U301" s="270">
        <v>-2.5579999999999998</v>
      </c>
      <c r="V301" s="270">
        <v>0.2001</v>
      </c>
      <c r="W301" s="262">
        <v>-4.5900000000000003E-2</v>
      </c>
      <c r="X301" s="128">
        <v>9.8699999999999996E-2</v>
      </c>
      <c r="Y301" s="128"/>
      <c r="Z301" s="128">
        <v>-3.45</v>
      </c>
      <c r="AA301" s="262">
        <v>-2.4227300000000001</v>
      </c>
      <c r="AB301" s="270">
        <v>-6.1849999999999996</v>
      </c>
      <c r="AC301" s="270">
        <v>1.2584</v>
      </c>
      <c r="AD301" s="280"/>
      <c r="AE301" s="277">
        <f t="shared" si="63"/>
        <v>-1.550475</v>
      </c>
      <c r="AF301" s="262">
        <f t="shared" si="54"/>
        <v>-2.4227300000000001</v>
      </c>
      <c r="AG301" s="128">
        <v>0.79420000000000002</v>
      </c>
      <c r="AH301" s="352">
        <v>1.2</v>
      </c>
      <c r="AI301"/>
      <c r="AJ301"/>
      <c r="AK301"/>
      <c r="AL301"/>
      <c r="AM301" s="242"/>
      <c r="AN301" s="270">
        <v>-2.4226000000000001</v>
      </c>
      <c r="AO301" s="270">
        <v>-2.5579999999999998</v>
      </c>
      <c r="AP301" s="270"/>
      <c r="AQ301" s="270"/>
      <c r="AR301" s="270"/>
      <c r="AS301" s="270"/>
      <c r="AT301" s="270"/>
      <c r="AU301" s="270"/>
      <c r="AV301" s="245">
        <v>0.53</v>
      </c>
      <c r="AW301" s="245"/>
      <c r="AX301" s="245"/>
      <c r="AY301" s="245">
        <v>0.3</v>
      </c>
      <c r="AZ301" s="245">
        <v>0.17</v>
      </c>
      <c r="BA301" s="245">
        <v>0</v>
      </c>
      <c r="BB301" s="245"/>
      <c r="BC301" s="245">
        <f t="shared" si="51"/>
        <v>1</v>
      </c>
      <c r="BD301" s="240">
        <f t="shared" si="52"/>
        <v>-1.5131941000000002</v>
      </c>
      <c r="BE301" s="243">
        <f t="shared" si="55"/>
        <v>-1.5131941000000002</v>
      </c>
      <c r="BF301" s="235">
        <v>0.375</v>
      </c>
      <c r="BG301" s="235">
        <v>0.04</v>
      </c>
      <c r="BH301" s="235">
        <v>0.04</v>
      </c>
      <c r="BI301" s="235"/>
      <c r="BJ301" s="235">
        <v>0.17</v>
      </c>
      <c r="BK301" s="235"/>
      <c r="BL301" s="235"/>
      <c r="BM301" s="235">
        <v>0.27500000000000002</v>
      </c>
      <c r="BN301" s="235"/>
      <c r="BO301" s="235">
        <v>0.1</v>
      </c>
      <c r="BP301" s="235">
        <f t="shared" si="49"/>
        <v>1</v>
      </c>
      <c r="BQ301" s="243">
        <f t="shared" ref="BQ301:BQ332" si="64">(B301*BF301)+(E301*BG301)+(H301*BH301)+(AA301*BJ301)+(U301*BK301)+(V301*BL301)+(W301*BM301)+(AE301*BO301)</f>
        <v>-1.6320661000000001</v>
      </c>
      <c r="BS301" s="341">
        <f t="array" ref="BS301">((1+9.4/100)^(1/12)-1)*100</f>
        <v>0.75148209323356863</v>
      </c>
      <c r="BT301" s="341"/>
      <c r="BU301" s="341"/>
      <c r="BV301" s="341">
        <f t="array" ref="BV301">((1+5.6/100)^(1/12)-1)*100</f>
        <v>0.45510066248739545</v>
      </c>
      <c r="BW301" s="341">
        <f t="array" ref="BW301">((1+10/100)^(1/12)-1)*100</f>
        <v>0.79741404289037643</v>
      </c>
      <c r="BX301" s="341"/>
      <c r="BY301" s="341">
        <f t="shared" si="61"/>
        <v>0.670376095451374</v>
      </c>
      <c r="BZ301" s="341">
        <f t="shared" ref="BZ301:BZ364" si="65">BS301</f>
        <v>0.75148209323356863</v>
      </c>
      <c r="CA301" s="341"/>
      <c r="CB301" s="243">
        <f t="shared" si="59"/>
        <v>0.64340301100034303</v>
      </c>
      <c r="CC301" s="243"/>
      <c r="CD301" s="243">
        <f t="shared" si="62"/>
        <v>0.64340301100034303</v>
      </c>
      <c r="CG301" s="734">
        <f t="shared" si="53"/>
        <v>-2.052</v>
      </c>
      <c r="CJ301" s="1264">
        <f t="shared" si="60"/>
        <v>0.79741404289037643</v>
      </c>
    </row>
    <row r="302" spans="1:88" x14ac:dyDescent="0.2">
      <c r="A302" s="19">
        <v>36707</v>
      </c>
      <c r="B302" s="262">
        <v>2.4649999999999999</v>
      </c>
      <c r="C302" s="270">
        <v>8.0694999999999997</v>
      </c>
      <c r="D302" s="270">
        <v>-3.95</v>
      </c>
      <c r="E302" s="270">
        <v>1.4686999999999999</v>
      </c>
      <c r="F302" s="270">
        <v>8.0541999999999998</v>
      </c>
      <c r="G302" s="270">
        <v>-4.5170000000000003</v>
      </c>
      <c r="H302" s="270">
        <v>8.7170000000000005</v>
      </c>
      <c r="I302" s="262">
        <v>12.917999999999999</v>
      </c>
      <c r="J302" s="270">
        <v>2.9220000000000002</v>
      </c>
      <c r="K302" s="128">
        <v>5.9134000000000002</v>
      </c>
      <c r="L302" s="128">
        <v>6.9602000000000004</v>
      </c>
      <c r="M302" s="128">
        <v>4.7845000000000004</v>
      </c>
      <c r="N302" s="262">
        <f t="shared" ref="N302:N365" si="66">H302</f>
        <v>8.7170000000000005</v>
      </c>
      <c r="O302" s="262">
        <f t="shared" ref="O302:O365" si="67">I302</f>
        <v>12.917999999999999</v>
      </c>
      <c r="P302" s="262">
        <f t="shared" ref="P302:P365" si="68">J302</f>
        <v>2.9220000000000002</v>
      </c>
      <c r="Q302" s="270">
        <v>13.221</v>
      </c>
      <c r="R302" s="128">
        <v>6.569</v>
      </c>
      <c r="S302" s="128">
        <v>2.9609999999999999</v>
      </c>
      <c r="T302" s="128"/>
      <c r="U302" s="270">
        <v>4.2577999999999996</v>
      </c>
      <c r="V302" s="270">
        <v>9.0047999999999995</v>
      </c>
      <c r="W302" s="262">
        <v>2.0802999999999998</v>
      </c>
      <c r="X302" s="128">
        <v>1.9371</v>
      </c>
      <c r="Y302" s="128"/>
      <c r="Z302" s="128">
        <v>6.13</v>
      </c>
      <c r="AA302" s="262">
        <v>3.9342100000000002</v>
      </c>
      <c r="AB302" s="270">
        <v>3.5855999999999999</v>
      </c>
      <c r="AC302" s="270">
        <v>4.2548000000000004</v>
      </c>
      <c r="AD302" s="280"/>
      <c r="AE302" s="277">
        <f t="shared" si="63"/>
        <v>2.3688249999999997</v>
      </c>
      <c r="AF302" s="262">
        <f t="shared" si="54"/>
        <v>3.9342100000000002</v>
      </c>
      <c r="AG302" s="128">
        <v>0.79420000000000002</v>
      </c>
      <c r="AH302" s="352">
        <v>3.37</v>
      </c>
      <c r="AI302"/>
      <c r="AJ302"/>
      <c r="AK302"/>
      <c r="AL302"/>
      <c r="AM302" s="242"/>
      <c r="AN302" s="270">
        <v>3.9340999999999999</v>
      </c>
      <c r="AO302" s="270">
        <v>4.2577999999999996</v>
      </c>
      <c r="AP302" s="270"/>
      <c r="AQ302" s="270"/>
      <c r="AR302" s="270"/>
      <c r="AS302" s="270"/>
      <c r="AT302" s="270"/>
      <c r="AU302" s="270"/>
      <c r="AV302" s="245">
        <v>0.53</v>
      </c>
      <c r="AW302" s="245"/>
      <c r="AX302" s="245"/>
      <c r="AY302" s="245">
        <v>0.3</v>
      </c>
      <c r="AZ302" s="245">
        <v>0.17</v>
      </c>
      <c r="BA302" s="245">
        <v>0</v>
      </c>
      <c r="BB302" s="245"/>
      <c r="BC302" s="245">
        <f t="shared" si="51"/>
        <v>1</v>
      </c>
      <c r="BD302" s="240">
        <f t="shared" si="52"/>
        <v>2.5993556999999998</v>
      </c>
      <c r="BE302" s="243">
        <f t="shared" si="55"/>
        <v>2.5993556999999998</v>
      </c>
      <c r="BF302" s="235">
        <v>0.375</v>
      </c>
      <c r="BG302" s="235">
        <v>0.04</v>
      </c>
      <c r="BH302" s="235">
        <v>0.04</v>
      </c>
      <c r="BI302" s="235"/>
      <c r="BJ302" s="235">
        <v>0.17</v>
      </c>
      <c r="BK302" s="235"/>
      <c r="BL302" s="235"/>
      <c r="BM302" s="235">
        <v>0.27500000000000002</v>
      </c>
      <c r="BN302" s="235"/>
      <c r="BO302" s="235">
        <v>0.1</v>
      </c>
      <c r="BP302" s="235">
        <f t="shared" ref="BP302:BP365" si="69">SUM(BF302:BO302)</f>
        <v>1</v>
      </c>
      <c r="BQ302" s="243">
        <f t="shared" si="64"/>
        <v>2.8095837000000006</v>
      </c>
      <c r="BS302" s="341">
        <f t="array" ref="BS302">((1+9.4/100)^(1/12)-1)*100</f>
        <v>0.75148209323356863</v>
      </c>
      <c r="BT302" s="341"/>
      <c r="BU302" s="341"/>
      <c r="BV302" s="341">
        <f t="array" ref="BV302">((1+5.6/100)^(1/12)-1)*100</f>
        <v>0.45510066248739545</v>
      </c>
      <c r="BW302" s="341">
        <f t="array" ref="BW302">((1+10/100)^(1/12)-1)*100</f>
        <v>0.79741404289037643</v>
      </c>
      <c r="BX302" s="341"/>
      <c r="BY302" s="341">
        <f t="shared" si="61"/>
        <v>0.670376095451374</v>
      </c>
      <c r="BZ302" s="341">
        <f t="shared" si="65"/>
        <v>0.75148209323356863</v>
      </c>
      <c r="CA302" s="341"/>
      <c r="CB302" s="243">
        <f t="shared" si="59"/>
        <v>0.64340301100034303</v>
      </c>
      <c r="CC302" s="243"/>
      <c r="CD302" s="243">
        <f t="shared" si="62"/>
        <v>0.64340301100034303</v>
      </c>
      <c r="CG302" s="734">
        <f t="shared" si="53"/>
        <v>2.4649999999999999</v>
      </c>
      <c r="CJ302" s="1264">
        <f t="shared" si="60"/>
        <v>0.79741404289037643</v>
      </c>
    </row>
    <row r="303" spans="1:88" x14ac:dyDescent="0.2">
      <c r="A303" s="19">
        <v>36738</v>
      </c>
      <c r="B303" s="262">
        <v>-1.5629999999999999</v>
      </c>
      <c r="C303" s="270">
        <v>-4.4523999999999999</v>
      </c>
      <c r="D303" s="270">
        <v>2.0009999999999999</v>
      </c>
      <c r="E303" s="270">
        <v>1.5797000000000001</v>
      </c>
      <c r="F303" s="270">
        <v>-0.63500000000000001</v>
      </c>
      <c r="G303" s="270">
        <v>3.9609999999999999</v>
      </c>
      <c r="H303" s="270">
        <v>-3.2170000000000001</v>
      </c>
      <c r="I303" s="262">
        <v>-8.57</v>
      </c>
      <c r="J303" s="270">
        <v>3.3319999999999999</v>
      </c>
      <c r="K303" s="128">
        <v>-2.4548000000000001</v>
      </c>
      <c r="L303" s="128">
        <v>-4.452</v>
      </c>
      <c r="M303" s="128">
        <v>-0.4108</v>
      </c>
      <c r="N303" s="262">
        <f t="shared" si="66"/>
        <v>-3.2170000000000001</v>
      </c>
      <c r="O303" s="262">
        <f t="shared" si="67"/>
        <v>-8.57</v>
      </c>
      <c r="P303" s="262">
        <f t="shared" si="68"/>
        <v>3.3319999999999999</v>
      </c>
      <c r="Q303" s="270">
        <v>-8.1950000000000003</v>
      </c>
      <c r="R303" s="128">
        <v>-2.5459999999999998</v>
      </c>
      <c r="S303" s="128">
        <v>-1.768</v>
      </c>
      <c r="T303" s="128"/>
      <c r="U303" s="270">
        <v>-3.9479000000000002</v>
      </c>
      <c r="V303" s="270">
        <v>-6.1990999999999996</v>
      </c>
      <c r="W303" s="262">
        <v>0.90769999999999995</v>
      </c>
      <c r="X303" s="128">
        <v>0.71199999999999997</v>
      </c>
      <c r="Y303" s="128"/>
      <c r="Z303" s="128">
        <v>-0.63</v>
      </c>
      <c r="AA303" s="262">
        <v>-4.1729399999999996</v>
      </c>
      <c r="AB303" s="270">
        <v>-6.2525000000000004</v>
      </c>
      <c r="AC303" s="270">
        <v>-2.2679999999999998</v>
      </c>
      <c r="AD303" s="280"/>
      <c r="AE303" s="277">
        <f t="shared" si="63"/>
        <v>-0.94532499999999997</v>
      </c>
      <c r="AF303" s="262">
        <f t="shared" si="54"/>
        <v>-4.1729399999999996</v>
      </c>
      <c r="AG303" s="128">
        <v>1.0081</v>
      </c>
      <c r="AH303" s="352">
        <v>8.98</v>
      </c>
      <c r="AI303"/>
      <c r="AJ303"/>
      <c r="AK303"/>
      <c r="AL303"/>
      <c r="AM303" s="242"/>
      <c r="AN303" s="270">
        <v>-4.173</v>
      </c>
      <c r="AO303" s="270">
        <v>-3.9479000000000002</v>
      </c>
      <c r="AP303" s="270"/>
      <c r="AQ303" s="270"/>
      <c r="AR303" s="270"/>
      <c r="AS303" s="270"/>
      <c r="AT303" s="270"/>
      <c r="AU303" s="270"/>
      <c r="AV303" s="245">
        <v>0.53</v>
      </c>
      <c r="AW303" s="245"/>
      <c r="AX303" s="245"/>
      <c r="AY303" s="245">
        <v>0.3</v>
      </c>
      <c r="AZ303" s="245">
        <v>0.17</v>
      </c>
      <c r="BA303" s="245">
        <v>0</v>
      </c>
      <c r="BB303" s="245"/>
      <c r="BC303" s="245">
        <f t="shared" si="51"/>
        <v>1</v>
      </c>
      <c r="BD303" s="240">
        <f t="shared" si="52"/>
        <v>-1.2654798</v>
      </c>
      <c r="BE303" s="243">
        <f t="shared" si="55"/>
        <v>-1.2654798</v>
      </c>
      <c r="BF303" s="235">
        <v>0.375</v>
      </c>
      <c r="BG303" s="235">
        <v>0.04</v>
      </c>
      <c r="BH303" s="235">
        <v>0.04</v>
      </c>
      <c r="BI303" s="235"/>
      <c r="BJ303" s="235">
        <v>0.17</v>
      </c>
      <c r="BK303" s="235"/>
      <c r="BL303" s="235"/>
      <c r="BM303" s="235">
        <v>0.27500000000000002</v>
      </c>
      <c r="BN303" s="235"/>
      <c r="BO303" s="235">
        <v>0.1</v>
      </c>
      <c r="BP303" s="235">
        <f t="shared" si="69"/>
        <v>1</v>
      </c>
      <c r="BQ303" s="243">
        <f t="shared" si="64"/>
        <v>-1.2059317999999999</v>
      </c>
      <c r="BS303" s="341">
        <f t="array" ref="BS303">((1+9.4/100)^(1/12)-1)*100</f>
        <v>0.75148209323356863</v>
      </c>
      <c r="BT303" s="341"/>
      <c r="BU303" s="341"/>
      <c r="BV303" s="341">
        <f t="array" ref="BV303">((1+5.6/100)^(1/12)-1)*100</f>
        <v>0.45510066248739545</v>
      </c>
      <c r="BW303" s="341">
        <f t="array" ref="BW303">((1+10/100)^(1/12)-1)*100</f>
        <v>0.79741404289037643</v>
      </c>
      <c r="BX303" s="341"/>
      <c r="BY303" s="341">
        <f t="shared" si="61"/>
        <v>0.670376095451374</v>
      </c>
      <c r="BZ303" s="341">
        <f t="shared" si="65"/>
        <v>0.75148209323356863</v>
      </c>
      <c r="CA303" s="341"/>
      <c r="CB303" s="243">
        <f t="shared" si="59"/>
        <v>0.64340301100034303</v>
      </c>
      <c r="CC303" s="243"/>
      <c r="CD303" s="243">
        <f t="shared" si="62"/>
        <v>0.64340301100034303</v>
      </c>
      <c r="CG303" s="734">
        <f t="shared" si="53"/>
        <v>-1.5629999999999999</v>
      </c>
      <c r="CJ303" s="1264">
        <f t="shared" si="60"/>
        <v>0.79741404289037643</v>
      </c>
    </row>
    <row r="304" spans="1:88" x14ac:dyDescent="0.2">
      <c r="A304" s="19">
        <v>36769</v>
      </c>
      <c r="B304" s="262">
        <v>6.2110000000000003</v>
      </c>
      <c r="C304" s="270">
        <v>5.7918000000000003</v>
      </c>
      <c r="D304" s="270">
        <v>6.7050000000000001</v>
      </c>
      <c r="E304" s="270">
        <v>11.1652</v>
      </c>
      <c r="F304" s="270">
        <v>14.9053</v>
      </c>
      <c r="G304" s="270">
        <v>7.1509999999999998</v>
      </c>
      <c r="H304" s="270">
        <v>7.63</v>
      </c>
      <c r="I304" s="262">
        <v>10.519</v>
      </c>
      <c r="J304" s="270">
        <v>4.4710000000000001</v>
      </c>
      <c r="K304" s="128">
        <v>8.8638999999999992</v>
      </c>
      <c r="L304" s="128">
        <v>10.875299999999999</v>
      </c>
      <c r="M304" s="128">
        <v>6.8842999999999996</v>
      </c>
      <c r="N304" s="262">
        <f t="shared" si="66"/>
        <v>7.63</v>
      </c>
      <c r="O304" s="262">
        <f t="shared" si="67"/>
        <v>10.519</v>
      </c>
      <c r="P304" s="262">
        <f t="shared" si="68"/>
        <v>4.4710000000000001</v>
      </c>
      <c r="Q304" s="270">
        <v>13.034000000000001</v>
      </c>
      <c r="R304" s="128">
        <v>8.6110000000000007</v>
      </c>
      <c r="S304" s="128">
        <v>7.4160000000000004</v>
      </c>
      <c r="T304" s="128"/>
      <c r="U304" s="270">
        <v>1.2366999999999999</v>
      </c>
      <c r="V304" s="270">
        <v>4.8266999999999998</v>
      </c>
      <c r="W304" s="262">
        <v>1.4497</v>
      </c>
      <c r="X304" s="128">
        <v>1.3335999999999999</v>
      </c>
      <c r="Y304" s="128"/>
      <c r="Z304" s="128">
        <v>4.9000000000000004</v>
      </c>
      <c r="AA304" s="262">
        <v>0.88800000000000001</v>
      </c>
      <c r="AB304" s="270">
        <v>1.0743</v>
      </c>
      <c r="AC304" s="270">
        <v>0.72640000000000005</v>
      </c>
      <c r="AD304" s="280"/>
      <c r="AE304" s="277">
        <f t="shared" si="63"/>
        <v>5.0206750000000007</v>
      </c>
      <c r="AF304" s="262">
        <f t="shared" si="54"/>
        <v>0.88800000000000001</v>
      </c>
      <c r="AG304" s="128">
        <v>1.0081</v>
      </c>
      <c r="AH304" s="352">
        <v>-3.6</v>
      </c>
      <c r="AI304"/>
      <c r="AJ304"/>
      <c r="AK304"/>
      <c r="AL304"/>
      <c r="AM304" s="242"/>
      <c r="AN304" s="270">
        <v>0.88859999999999995</v>
      </c>
      <c r="AO304" s="270">
        <v>1.2366999999999999</v>
      </c>
      <c r="AP304" s="270"/>
      <c r="AQ304" s="270"/>
      <c r="AR304" s="270"/>
      <c r="AS304" s="270"/>
      <c r="AT304" s="270"/>
      <c r="AU304" s="270"/>
      <c r="AV304" s="245">
        <v>0.53</v>
      </c>
      <c r="AW304" s="245"/>
      <c r="AX304" s="245"/>
      <c r="AY304" s="245">
        <v>0.3</v>
      </c>
      <c r="AZ304" s="245">
        <v>0.17</v>
      </c>
      <c r="BA304" s="245">
        <v>0</v>
      </c>
      <c r="BB304" s="245"/>
      <c r="BC304" s="245">
        <f t="shared" si="51"/>
        <v>1</v>
      </c>
      <c r="BD304" s="240">
        <f t="shared" si="52"/>
        <v>3.8777000000000004</v>
      </c>
      <c r="BE304" s="243">
        <f t="shared" si="55"/>
        <v>3.8777000000000004</v>
      </c>
      <c r="BF304" s="235">
        <v>0.375</v>
      </c>
      <c r="BG304" s="235">
        <v>0.04</v>
      </c>
      <c r="BH304" s="235">
        <v>0.04</v>
      </c>
      <c r="BI304" s="235"/>
      <c r="BJ304" s="235">
        <v>0.17</v>
      </c>
      <c r="BK304" s="235"/>
      <c r="BL304" s="235"/>
      <c r="BM304" s="235">
        <v>0.27500000000000002</v>
      </c>
      <c r="BN304" s="235"/>
      <c r="BO304" s="235">
        <v>0.1</v>
      </c>
      <c r="BP304" s="235">
        <f t="shared" si="69"/>
        <v>1</v>
      </c>
      <c r="BQ304" s="243">
        <f t="shared" si="64"/>
        <v>4.1326280000000004</v>
      </c>
      <c r="BS304" s="341">
        <f t="array" ref="BS304">((1+9.4/100)^(1/12)-1)*100</f>
        <v>0.75148209323356863</v>
      </c>
      <c r="BT304" s="341"/>
      <c r="BU304" s="341"/>
      <c r="BV304" s="341">
        <f t="array" ref="BV304">((1+5.6/100)^(1/12)-1)*100</f>
        <v>0.45510066248739545</v>
      </c>
      <c r="BW304" s="341">
        <f t="array" ref="BW304">((1+10/100)^(1/12)-1)*100</f>
        <v>0.79741404289037643</v>
      </c>
      <c r="BX304" s="341"/>
      <c r="BY304" s="341">
        <f t="shared" si="61"/>
        <v>0.670376095451374</v>
      </c>
      <c r="BZ304" s="341">
        <f t="shared" si="65"/>
        <v>0.75148209323356863</v>
      </c>
      <c r="CA304" s="341"/>
      <c r="CB304" s="243">
        <f t="shared" si="59"/>
        <v>0.64340301100034303</v>
      </c>
      <c r="CC304" s="243"/>
      <c r="CD304" s="243">
        <f t="shared" si="62"/>
        <v>0.64340301100034303</v>
      </c>
      <c r="CG304" s="734">
        <f t="shared" si="53"/>
        <v>6.2110000000000003</v>
      </c>
      <c r="CJ304" s="1264">
        <f t="shared" si="60"/>
        <v>0.79741404289037643</v>
      </c>
    </row>
    <row r="305" spans="1:88" x14ac:dyDescent="0.2">
      <c r="A305" s="19">
        <v>36799</v>
      </c>
      <c r="B305" s="262">
        <v>-5.2789999999999999</v>
      </c>
      <c r="C305" s="270">
        <v>-9.7621000000000002</v>
      </c>
      <c r="D305" s="270">
        <v>-2.4E-2</v>
      </c>
      <c r="E305" s="270">
        <v>-0.68459999999999999</v>
      </c>
      <c r="F305" s="270">
        <v>-2.4746999999999999</v>
      </c>
      <c r="G305" s="270">
        <v>1.4830000000000001</v>
      </c>
      <c r="H305" s="270">
        <v>-2.9390000000000001</v>
      </c>
      <c r="I305" s="262">
        <v>-4.968</v>
      </c>
      <c r="J305" s="270">
        <v>-0.56699999999999995</v>
      </c>
      <c r="K305" s="128">
        <v>-2.7227000000000001</v>
      </c>
      <c r="L305" s="128">
        <v>-3.5703999999999998</v>
      </c>
      <c r="M305" s="128">
        <v>-2.0754000000000001</v>
      </c>
      <c r="N305" s="262">
        <f t="shared" si="66"/>
        <v>-2.9390000000000001</v>
      </c>
      <c r="O305" s="262">
        <f t="shared" si="67"/>
        <v>-4.968</v>
      </c>
      <c r="P305" s="262">
        <f t="shared" si="68"/>
        <v>-0.56699999999999995</v>
      </c>
      <c r="Q305" s="270">
        <v>-6.4669999999999996</v>
      </c>
      <c r="R305" s="128">
        <v>-3.2530000000000001</v>
      </c>
      <c r="S305" s="128">
        <v>-4.5279999999999996</v>
      </c>
      <c r="T305" s="128"/>
      <c r="U305" s="270">
        <v>-5.5469999999999997</v>
      </c>
      <c r="V305" s="270">
        <v>-5.3423999999999996</v>
      </c>
      <c r="W305" s="262">
        <v>0.62860000000000005</v>
      </c>
      <c r="X305" s="128">
        <v>0.97370000000000001</v>
      </c>
      <c r="Y305" s="128"/>
      <c r="Z305" s="128">
        <v>-0.71</v>
      </c>
      <c r="AA305" s="262">
        <v>-4.84938</v>
      </c>
      <c r="AB305" s="270">
        <v>-6.6083999999999996</v>
      </c>
      <c r="AC305" s="270">
        <v>-2.9925000000000002</v>
      </c>
      <c r="AD305" s="280"/>
      <c r="AE305" s="277">
        <f t="shared" si="63"/>
        <v>-3.8020999999999998</v>
      </c>
      <c r="AF305" s="262">
        <f t="shared" si="54"/>
        <v>-4.84938</v>
      </c>
      <c r="AG305" s="128">
        <v>1.0081</v>
      </c>
      <c r="AH305" s="352">
        <v>3.25</v>
      </c>
      <c r="AI305"/>
      <c r="AJ305"/>
      <c r="AK305"/>
      <c r="AL305"/>
      <c r="AM305" s="242"/>
      <c r="AN305" s="270">
        <v>-4.8494999999999999</v>
      </c>
      <c r="AO305" s="270">
        <v>-5.5469999999999997</v>
      </c>
      <c r="AP305" s="270"/>
      <c r="AQ305" s="270"/>
      <c r="AR305" s="270"/>
      <c r="AS305" s="270"/>
      <c r="AT305" s="270"/>
      <c r="AU305" s="270"/>
      <c r="AV305" s="245">
        <v>0.53</v>
      </c>
      <c r="AW305" s="245"/>
      <c r="AX305" s="245"/>
      <c r="AY305" s="245">
        <v>0.3</v>
      </c>
      <c r="AZ305" s="245">
        <v>0.17</v>
      </c>
      <c r="BA305" s="245">
        <v>0</v>
      </c>
      <c r="BB305" s="245"/>
      <c r="BC305" s="245">
        <f t="shared" si="51"/>
        <v>1</v>
      </c>
      <c r="BD305" s="240">
        <f t="shared" si="52"/>
        <v>-3.4336846000000003</v>
      </c>
      <c r="BE305" s="243">
        <f t="shared" si="55"/>
        <v>-3.4336846000000003</v>
      </c>
      <c r="BF305" s="235">
        <v>0.375</v>
      </c>
      <c r="BG305" s="235">
        <v>0.04</v>
      </c>
      <c r="BH305" s="235">
        <v>0.04</v>
      </c>
      <c r="BI305" s="235"/>
      <c r="BJ305" s="235">
        <v>0.17</v>
      </c>
      <c r="BK305" s="235"/>
      <c r="BL305" s="235"/>
      <c r="BM305" s="235">
        <v>0.27500000000000002</v>
      </c>
      <c r="BN305" s="235"/>
      <c r="BO305" s="235">
        <v>0.1</v>
      </c>
      <c r="BP305" s="235">
        <f t="shared" si="69"/>
        <v>1</v>
      </c>
      <c r="BQ305" s="243">
        <f t="shared" si="64"/>
        <v>-3.1563086000000005</v>
      </c>
      <c r="BS305" s="341">
        <f t="array" ref="BS305">((1+9.4/100)^(1/12)-1)*100</f>
        <v>0.75148209323356863</v>
      </c>
      <c r="BT305" s="341"/>
      <c r="BU305" s="341"/>
      <c r="BV305" s="341">
        <f t="array" ref="BV305">((1+5.6/100)^(1/12)-1)*100</f>
        <v>0.45510066248739545</v>
      </c>
      <c r="BW305" s="341">
        <f t="array" ref="BW305">((1+10/100)^(1/12)-1)*100</f>
        <v>0.79741404289037643</v>
      </c>
      <c r="BX305" s="341"/>
      <c r="BY305" s="341">
        <f t="shared" si="61"/>
        <v>0.670376095451374</v>
      </c>
      <c r="BZ305" s="341">
        <f t="shared" si="65"/>
        <v>0.75148209323356863</v>
      </c>
      <c r="CA305" s="341"/>
      <c r="CB305" s="243">
        <f t="shared" si="59"/>
        <v>0.64340301100034303</v>
      </c>
      <c r="CC305" s="243"/>
      <c r="CD305" s="243">
        <f t="shared" si="62"/>
        <v>0.64340301100034303</v>
      </c>
      <c r="CG305" s="734">
        <f t="shared" si="53"/>
        <v>-5.2789999999999999</v>
      </c>
      <c r="CJ305" s="1264">
        <f t="shared" si="60"/>
        <v>0.79741404289037643</v>
      </c>
    </row>
    <row r="306" spans="1:88" x14ac:dyDescent="0.2">
      <c r="A306" s="19">
        <v>36830</v>
      </c>
      <c r="B306" s="262">
        <v>-0.42299999999999999</v>
      </c>
      <c r="C306" s="270">
        <v>-2.6006999999999998</v>
      </c>
      <c r="D306" s="270">
        <v>1.8680000000000001</v>
      </c>
      <c r="E306" s="270">
        <v>-3.3910999999999998</v>
      </c>
      <c r="F306" s="270">
        <v>-5.4325999999999999</v>
      </c>
      <c r="G306" s="270">
        <v>-0.95399999999999996</v>
      </c>
      <c r="H306" s="270">
        <v>-4.4640000000000004</v>
      </c>
      <c r="I306" s="262">
        <v>-8.1170000000000009</v>
      </c>
      <c r="J306" s="270">
        <v>-0.35499999999999998</v>
      </c>
      <c r="K306" s="128">
        <v>0.62590000000000001</v>
      </c>
      <c r="L306" s="128">
        <v>2.012</v>
      </c>
      <c r="M306" s="128">
        <v>-0.47599999999999998</v>
      </c>
      <c r="N306" s="262">
        <f t="shared" si="66"/>
        <v>-4.4640000000000004</v>
      </c>
      <c r="O306" s="262">
        <f t="shared" si="67"/>
        <v>-8.1170000000000009</v>
      </c>
      <c r="P306" s="262">
        <f t="shared" si="68"/>
        <v>-0.35499999999999998</v>
      </c>
      <c r="Q306" s="270">
        <v>-6.1840000000000002</v>
      </c>
      <c r="R306" s="128">
        <v>-2.7440000000000002</v>
      </c>
      <c r="S306" s="128">
        <v>-1.4239999999999999</v>
      </c>
      <c r="T306" s="128"/>
      <c r="U306" s="270">
        <v>-3.1783999999999999</v>
      </c>
      <c r="V306" s="270">
        <v>-6.8514999999999997</v>
      </c>
      <c r="W306" s="262">
        <v>0.66080000000000005</v>
      </c>
      <c r="X306" s="128">
        <v>0.57609999999999995</v>
      </c>
      <c r="Y306" s="128"/>
      <c r="Z306" s="128">
        <v>-2.54</v>
      </c>
      <c r="AA306" s="262">
        <v>-2.3420000000000001</v>
      </c>
      <c r="AB306" s="270">
        <v>-4.6106999999999996</v>
      </c>
      <c r="AC306" s="270">
        <v>-4.0300000000000002E-2</v>
      </c>
      <c r="AD306" s="280"/>
      <c r="AE306" s="277">
        <f t="shared" si="63"/>
        <v>-0.15204999999999996</v>
      </c>
      <c r="AF306" s="262">
        <f t="shared" si="54"/>
        <v>-2.3420000000000001</v>
      </c>
      <c r="AG306" s="128">
        <v>0.97070000000000001</v>
      </c>
      <c r="AH306" s="352">
        <v>-4.34</v>
      </c>
      <c r="AI306"/>
      <c r="AJ306"/>
      <c r="AK306"/>
      <c r="AL306"/>
      <c r="AM306" s="242"/>
      <c r="AN306" s="270">
        <v>-2.3418000000000001</v>
      </c>
      <c r="AO306" s="270">
        <v>-3.1783999999999999</v>
      </c>
      <c r="AP306" s="270"/>
      <c r="AQ306" s="270"/>
      <c r="AR306" s="270"/>
      <c r="AS306" s="270"/>
      <c r="AT306" s="270"/>
      <c r="AU306" s="270"/>
      <c r="AV306" s="245">
        <v>0.53</v>
      </c>
      <c r="AW306" s="245"/>
      <c r="AX306" s="245"/>
      <c r="AY306" s="245">
        <v>0.3</v>
      </c>
      <c r="AZ306" s="245">
        <v>0.17</v>
      </c>
      <c r="BA306" s="245">
        <v>0</v>
      </c>
      <c r="BB306" s="245"/>
      <c r="BC306" s="245">
        <f t="shared" si="51"/>
        <v>1</v>
      </c>
      <c r="BD306" s="240">
        <f t="shared" si="52"/>
        <v>-0.42409000000000008</v>
      </c>
      <c r="BE306" s="243">
        <f t="shared" si="55"/>
        <v>-0.42409000000000008</v>
      </c>
      <c r="BF306" s="235">
        <v>0.375</v>
      </c>
      <c r="BG306" s="235">
        <v>0.04</v>
      </c>
      <c r="BH306" s="235">
        <v>0.04</v>
      </c>
      <c r="BI306" s="235"/>
      <c r="BJ306" s="235">
        <v>0.17</v>
      </c>
      <c r="BK306" s="235"/>
      <c r="BL306" s="235"/>
      <c r="BM306" s="235">
        <v>0.27500000000000002</v>
      </c>
      <c r="BN306" s="235"/>
      <c r="BO306" s="235">
        <v>0.1</v>
      </c>
      <c r="BP306" s="235">
        <f t="shared" si="69"/>
        <v>1</v>
      </c>
      <c r="BQ306" s="243">
        <f t="shared" si="64"/>
        <v>-0.70445400000000014</v>
      </c>
      <c r="BS306" s="341">
        <f t="array" ref="BS306">((1+9.4/100)^(1/12)-1)*100</f>
        <v>0.75148209323356863</v>
      </c>
      <c r="BT306" s="341"/>
      <c r="BU306" s="341"/>
      <c r="BV306" s="341">
        <f t="array" ref="BV306">((1+5.6/100)^(1/12)-1)*100</f>
        <v>0.45510066248739545</v>
      </c>
      <c r="BW306" s="341">
        <f t="array" ref="BW306">((1+10/100)^(1/12)-1)*100</f>
        <v>0.79741404289037643</v>
      </c>
      <c r="BX306" s="341"/>
      <c r="BY306" s="341">
        <f t="shared" si="61"/>
        <v>0.670376095451374</v>
      </c>
      <c r="BZ306" s="341">
        <f t="shared" si="65"/>
        <v>0.75148209323356863</v>
      </c>
      <c r="CA306" s="341"/>
      <c r="CB306" s="243">
        <f t="shared" si="59"/>
        <v>0.64340301100034303</v>
      </c>
      <c r="CC306" s="243"/>
      <c r="CD306" s="243">
        <f t="shared" si="62"/>
        <v>0.64340301100034303</v>
      </c>
      <c r="CG306" s="734">
        <f t="shared" si="53"/>
        <v>-0.42299999999999999</v>
      </c>
      <c r="CJ306" s="1264">
        <f t="shared" si="60"/>
        <v>0.79741404289037643</v>
      </c>
    </row>
    <row r="307" spans="1:88" x14ac:dyDescent="0.2">
      <c r="A307" s="19">
        <v>36860</v>
      </c>
      <c r="B307" s="262">
        <v>-7.8840000000000003</v>
      </c>
      <c r="C307" s="270">
        <v>-10.6303</v>
      </c>
      <c r="D307" s="270">
        <v>-5.1180000000000003</v>
      </c>
      <c r="E307" s="270">
        <v>-7.5483000000000002</v>
      </c>
      <c r="F307" s="270">
        <v>-14.1753</v>
      </c>
      <c r="G307" s="270">
        <v>0.13400000000000001</v>
      </c>
      <c r="H307" s="270">
        <v>-10.265000000000001</v>
      </c>
      <c r="I307" s="262">
        <v>-18.157</v>
      </c>
      <c r="J307" s="270">
        <v>-2.036</v>
      </c>
      <c r="K307" s="128">
        <v>-10.4114</v>
      </c>
      <c r="L307" s="128">
        <v>-12.8001</v>
      </c>
      <c r="M307" s="128">
        <v>-8.1007999999999996</v>
      </c>
      <c r="N307" s="262">
        <f t="shared" si="66"/>
        <v>-10.265000000000001</v>
      </c>
      <c r="O307" s="262">
        <f t="shared" si="67"/>
        <v>-18.157</v>
      </c>
      <c r="P307" s="262">
        <f t="shared" si="68"/>
        <v>-2.036</v>
      </c>
      <c r="Q307" s="270">
        <v>-19.050999999999998</v>
      </c>
      <c r="R307" s="128">
        <v>-8.8000000000000007</v>
      </c>
      <c r="S307" s="128">
        <v>-9.2170000000000005</v>
      </c>
      <c r="T307" s="128"/>
      <c r="U307" s="270">
        <v>-4.4863999999999997</v>
      </c>
      <c r="V307" s="270">
        <v>-0.22550000000000001</v>
      </c>
      <c r="W307" s="262">
        <v>1.6355</v>
      </c>
      <c r="X307" s="128">
        <v>1.4309000000000001</v>
      </c>
      <c r="Y307" s="128"/>
      <c r="Z307" s="128">
        <v>-3.8</v>
      </c>
      <c r="AA307" s="262">
        <v>-3.7290000000000001</v>
      </c>
      <c r="AB307" s="270">
        <v>-4.6002999999999998</v>
      </c>
      <c r="AC307" s="270">
        <v>-2.8845000000000001</v>
      </c>
      <c r="AD307" s="280"/>
      <c r="AE307" s="277">
        <f t="shared" si="63"/>
        <v>-5.5041250000000002</v>
      </c>
      <c r="AF307" s="262">
        <f t="shared" si="54"/>
        <v>-3.7290000000000001</v>
      </c>
      <c r="AG307" s="128">
        <v>0.97070000000000001</v>
      </c>
      <c r="AH307" s="352">
        <v>2.25</v>
      </c>
      <c r="AI307"/>
      <c r="AJ307"/>
      <c r="AK307"/>
      <c r="AL307"/>
      <c r="AM307" s="242"/>
      <c r="AN307" s="270">
        <v>-3.7286999999999999</v>
      </c>
      <c r="AO307" s="270">
        <v>-4.4863999999999997</v>
      </c>
      <c r="AP307" s="270"/>
      <c r="AQ307" s="270"/>
      <c r="AR307" s="270"/>
      <c r="AS307" s="270"/>
      <c r="AT307" s="270"/>
      <c r="AU307" s="270"/>
      <c r="AV307" s="245">
        <v>0.53</v>
      </c>
      <c r="AW307" s="245"/>
      <c r="AX307" s="245"/>
      <c r="AY307" s="245">
        <v>0.3</v>
      </c>
      <c r="AZ307" s="245">
        <v>0.17</v>
      </c>
      <c r="BA307" s="245">
        <v>0</v>
      </c>
      <c r="BB307" s="245"/>
      <c r="BC307" s="245">
        <f t="shared" si="51"/>
        <v>1</v>
      </c>
      <c r="BD307" s="240">
        <f t="shared" si="52"/>
        <v>-4.3218000000000005</v>
      </c>
      <c r="BE307" s="243">
        <f t="shared" si="55"/>
        <v>-4.3218000000000005</v>
      </c>
      <c r="BF307" s="235">
        <v>0.375</v>
      </c>
      <c r="BG307" s="235">
        <v>0.04</v>
      </c>
      <c r="BH307" s="235">
        <v>0.04</v>
      </c>
      <c r="BI307" s="235"/>
      <c r="BJ307" s="235">
        <v>0.17</v>
      </c>
      <c r="BK307" s="235"/>
      <c r="BL307" s="235"/>
      <c r="BM307" s="235">
        <v>0.27500000000000002</v>
      </c>
      <c r="BN307" s="235"/>
      <c r="BO307" s="235">
        <v>0.1</v>
      </c>
      <c r="BP307" s="235">
        <f t="shared" si="69"/>
        <v>1</v>
      </c>
      <c r="BQ307" s="243">
        <f t="shared" si="64"/>
        <v>-4.4036119999999999</v>
      </c>
      <c r="BS307" s="341">
        <f t="array" ref="BS307">((1+9.4/100)^(1/12)-1)*100</f>
        <v>0.75148209323356863</v>
      </c>
      <c r="BT307" s="341"/>
      <c r="BU307" s="341"/>
      <c r="BV307" s="341">
        <f t="array" ref="BV307">((1+5.6/100)^(1/12)-1)*100</f>
        <v>0.45510066248739545</v>
      </c>
      <c r="BW307" s="341">
        <f t="array" ref="BW307">((1+10/100)^(1/12)-1)*100</f>
        <v>0.79741404289037643</v>
      </c>
      <c r="BX307" s="341"/>
      <c r="BY307" s="341">
        <f t="shared" si="61"/>
        <v>0.670376095451374</v>
      </c>
      <c r="BZ307" s="341">
        <f t="shared" si="65"/>
        <v>0.75148209323356863</v>
      </c>
      <c r="CA307" s="341"/>
      <c r="CB307" s="243">
        <f t="shared" si="59"/>
        <v>0.64340301100034303</v>
      </c>
      <c r="CC307" s="243"/>
      <c r="CD307" s="243">
        <f t="shared" si="62"/>
        <v>0.64340301100034303</v>
      </c>
      <c r="CG307" s="734">
        <f t="shared" si="53"/>
        <v>-7.8840000000000003</v>
      </c>
      <c r="CJ307" s="1264">
        <f t="shared" si="60"/>
        <v>0.79741404289037643</v>
      </c>
    </row>
    <row r="308" spans="1:88" x14ac:dyDescent="0.2">
      <c r="A308" s="19">
        <v>36891</v>
      </c>
      <c r="B308" s="262">
        <v>0.48899999999999999</v>
      </c>
      <c r="C308" s="270">
        <v>-4.3297999999999996</v>
      </c>
      <c r="D308" s="270">
        <v>5.1459999999999999</v>
      </c>
      <c r="E308" s="270">
        <v>7.6501999999999999</v>
      </c>
      <c r="F308" s="270">
        <v>5.0735000000000001</v>
      </c>
      <c r="G308" s="270">
        <v>10.223000000000001</v>
      </c>
      <c r="H308" s="270">
        <v>8.5879999999999992</v>
      </c>
      <c r="I308" s="262">
        <v>6.1189999999999998</v>
      </c>
      <c r="J308" s="270">
        <v>10.744999999999999</v>
      </c>
      <c r="K308" s="128">
        <v>12.3188</v>
      </c>
      <c r="L308" s="128">
        <v>11.530099999999999</v>
      </c>
      <c r="M308" s="128">
        <v>12.8111</v>
      </c>
      <c r="N308" s="262">
        <f t="shared" si="66"/>
        <v>8.5879999999999992</v>
      </c>
      <c r="O308" s="262">
        <f t="shared" si="67"/>
        <v>6.1189999999999998</v>
      </c>
      <c r="P308" s="262">
        <f t="shared" si="68"/>
        <v>10.744999999999999</v>
      </c>
      <c r="Q308" s="270">
        <v>6.2</v>
      </c>
      <c r="R308" s="128">
        <v>8.6129999999999995</v>
      </c>
      <c r="S308" s="128">
        <v>1.681</v>
      </c>
      <c r="T308" s="128"/>
      <c r="U308" s="270">
        <v>3.4150999999999998</v>
      </c>
      <c r="V308" s="270">
        <v>0.44729999999999998</v>
      </c>
      <c r="W308" s="262">
        <v>1.8553999999999999</v>
      </c>
      <c r="X308" s="128">
        <v>1.7601</v>
      </c>
      <c r="Y308" s="128"/>
      <c r="Z308" s="128">
        <v>3.42</v>
      </c>
      <c r="AA308" s="262">
        <v>3.5779999999999998</v>
      </c>
      <c r="AB308" s="270">
        <v>1.8915</v>
      </c>
      <c r="AC308" s="270">
        <v>5.2055999999999996</v>
      </c>
      <c r="AD308" s="280"/>
      <c r="AE308" s="277">
        <f t="shared" si="63"/>
        <v>0.8306</v>
      </c>
      <c r="AF308" s="262">
        <f t="shared" si="54"/>
        <v>3.5779999999999998</v>
      </c>
      <c r="AG308" s="128">
        <v>0.97070000000000001</v>
      </c>
      <c r="AH308" s="352">
        <v>6.95</v>
      </c>
      <c r="AI308"/>
      <c r="AJ308"/>
      <c r="AK308"/>
      <c r="AL308"/>
      <c r="AM308" s="242"/>
      <c r="AN308" s="270">
        <v>3.5777999999999999</v>
      </c>
      <c r="AO308" s="270">
        <v>3.4150999999999998</v>
      </c>
      <c r="AP308" s="270"/>
      <c r="AQ308" s="270"/>
      <c r="AR308" s="270"/>
      <c r="AS308" s="270"/>
      <c r="AT308" s="270"/>
      <c r="AU308" s="270"/>
      <c r="AV308" s="245">
        <v>0.53</v>
      </c>
      <c r="AW308" s="245"/>
      <c r="AX308" s="245"/>
      <c r="AY308" s="245">
        <v>0.3</v>
      </c>
      <c r="AZ308" s="245">
        <v>0.17</v>
      </c>
      <c r="BA308" s="245">
        <v>0</v>
      </c>
      <c r="BB308" s="245"/>
      <c r="BC308" s="245">
        <f t="shared" si="51"/>
        <v>1</v>
      </c>
      <c r="BD308" s="240">
        <f t="shared" si="52"/>
        <v>1.42405</v>
      </c>
      <c r="BE308" s="243">
        <f t="shared" si="55"/>
        <v>1.42405</v>
      </c>
      <c r="BF308" s="235">
        <v>0.375</v>
      </c>
      <c r="BG308" s="235">
        <v>0.04</v>
      </c>
      <c r="BH308" s="235">
        <v>0.04</v>
      </c>
      <c r="BI308" s="235"/>
      <c r="BJ308" s="235">
        <v>0.17</v>
      </c>
      <c r="BK308" s="235"/>
      <c r="BL308" s="235"/>
      <c r="BM308" s="235">
        <v>0.27500000000000002</v>
      </c>
      <c r="BN308" s="235"/>
      <c r="BO308" s="235">
        <v>0.1</v>
      </c>
      <c r="BP308" s="235">
        <f t="shared" si="69"/>
        <v>1</v>
      </c>
      <c r="BQ308" s="243">
        <f t="shared" si="64"/>
        <v>2.0344579999999999</v>
      </c>
      <c r="BS308" s="341">
        <f t="array" ref="BS308">((1+9.4/100)^(1/12)-1)*100</f>
        <v>0.75148209323356863</v>
      </c>
      <c r="BT308" s="341"/>
      <c r="BU308" s="341"/>
      <c r="BV308" s="341">
        <f t="array" ref="BV308">((1+5.6/100)^(1/12)-1)*100</f>
        <v>0.45510066248739545</v>
      </c>
      <c r="BW308" s="341">
        <f t="array" ref="BW308">((1+10/100)^(1/12)-1)*100</f>
        <v>0.79741404289037643</v>
      </c>
      <c r="BX308" s="341"/>
      <c r="BY308" s="341">
        <f t="shared" si="61"/>
        <v>0.670376095451374</v>
      </c>
      <c r="BZ308" s="341">
        <f t="shared" si="65"/>
        <v>0.75148209323356863</v>
      </c>
      <c r="CA308" s="341"/>
      <c r="CB308" s="243">
        <f t="shared" si="59"/>
        <v>0.64340301100034303</v>
      </c>
      <c r="CC308" s="243"/>
      <c r="CD308" s="243">
        <f t="shared" si="62"/>
        <v>0.64340301100034303</v>
      </c>
      <c r="CG308" s="734">
        <f t="shared" si="53"/>
        <v>0.48899999999999999</v>
      </c>
      <c r="CJ308" s="1264">
        <f t="shared" si="60"/>
        <v>0.79741404289037643</v>
      </c>
    </row>
    <row r="309" spans="1:88" x14ac:dyDescent="0.2">
      <c r="A309" s="19">
        <v>36922</v>
      </c>
      <c r="B309" s="262">
        <v>3.55</v>
      </c>
      <c r="C309" s="270">
        <v>2.8487</v>
      </c>
      <c r="D309" s="270">
        <v>4.2220000000000004</v>
      </c>
      <c r="E309" s="270">
        <v>2.2271000000000001</v>
      </c>
      <c r="F309" s="270">
        <v>6.9999999999999999E-4</v>
      </c>
      <c r="G309" s="270">
        <v>4.4569999999999999</v>
      </c>
      <c r="H309" s="270">
        <v>5.2060000000000004</v>
      </c>
      <c r="I309" s="262">
        <v>8.0939999999999994</v>
      </c>
      <c r="J309" s="270">
        <v>2.76</v>
      </c>
      <c r="K309" s="128">
        <v>4.2862</v>
      </c>
      <c r="L309" s="128">
        <v>4.8693</v>
      </c>
      <c r="M309" s="128">
        <v>3.8081</v>
      </c>
      <c r="N309" s="262">
        <f t="shared" si="66"/>
        <v>5.2060000000000004</v>
      </c>
      <c r="O309" s="262">
        <f t="shared" si="67"/>
        <v>8.0939999999999994</v>
      </c>
      <c r="P309" s="262">
        <f t="shared" si="68"/>
        <v>2.76</v>
      </c>
      <c r="Q309" s="270">
        <v>6.4779999999999998</v>
      </c>
      <c r="R309" s="128">
        <v>3.286</v>
      </c>
      <c r="S309" s="128">
        <v>3.4209999999999998</v>
      </c>
      <c r="T309" s="128"/>
      <c r="U309" s="270">
        <v>1.4999</v>
      </c>
      <c r="V309" s="270">
        <v>3.0139999999999998</v>
      </c>
      <c r="W309" s="262">
        <v>1.6346000000000001</v>
      </c>
      <c r="X309" s="128">
        <v>1.6062000000000001</v>
      </c>
      <c r="Y309" s="128"/>
      <c r="Z309" s="128">
        <v>-0.57999999999999996</v>
      </c>
      <c r="AA309" s="262">
        <v>-0.05</v>
      </c>
      <c r="AB309" s="270">
        <v>-0.28189999999999998</v>
      </c>
      <c r="AC309" s="270">
        <v>0.17380000000000001</v>
      </c>
      <c r="AD309" s="280"/>
      <c r="AE309" s="277">
        <f t="shared" si="63"/>
        <v>3.0711499999999998</v>
      </c>
      <c r="AF309" s="262">
        <f t="shared" si="54"/>
        <v>-0.05</v>
      </c>
      <c r="AG309" s="128">
        <v>1.0980000000000001</v>
      </c>
      <c r="AH309" s="352">
        <v>1</v>
      </c>
      <c r="AI309"/>
      <c r="AJ309"/>
      <c r="AK309"/>
      <c r="AL309"/>
      <c r="AM309" s="242"/>
      <c r="AN309" s="270">
        <v>5.5500000000000001E-2</v>
      </c>
      <c r="AO309" s="270">
        <v>1.4999</v>
      </c>
      <c r="AP309" s="270"/>
      <c r="AQ309" s="270"/>
      <c r="AR309" s="270"/>
      <c r="AS309" s="270"/>
      <c r="AT309" s="270"/>
      <c r="AU309" s="270"/>
      <c r="AV309" s="245">
        <v>0.53</v>
      </c>
      <c r="AW309" s="245"/>
      <c r="AX309" s="245"/>
      <c r="AY309" s="245">
        <v>0.3</v>
      </c>
      <c r="AZ309" s="245">
        <v>0.17</v>
      </c>
      <c r="BA309" s="245">
        <v>0</v>
      </c>
      <c r="BB309" s="245"/>
      <c r="BC309" s="245">
        <f t="shared" si="51"/>
        <v>1</v>
      </c>
      <c r="BD309" s="240">
        <f t="shared" si="52"/>
        <v>2.3633799999999998</v>
      </c>
      <c r="BE309" s="243">
        <f t="shared" si="55"/>
        <v>2.3633799999999998</v>
      </c>
      <c r="BF309" s="235">
        <v>0.375</v>
      </c>
      <c r="BG309" s="235">
        <v>0.04</v>
      </c>
      <c r="BH309" s="235">
        <v>0.04</v>
      </c>
      <c r="BI309" s="235"/>
      <c r="BJ309" s="235">
        <v>0.17</v>
      </c>
      <c r="BK309" s="235"/>
      <c r="BL309" s="235"/>
      <c r="BM309" s="235">
        <v>0.27500000000000002</v>
      </c>
      <c r="BN309" s="235"/>
      <c r="BO309" s="235">
        <v>0.1</v>
      </c>
      <c r="BP309" s="235">
        <f t="shared" si="69"/>
        <v>1</v>
      </c>
      <c r="BQ309" s="243">
        <f t="shared" si="64"/>
        <v>2.3767039999999997</v>
      </c>
      <c r="BS309" s="341">
        <f t="array" ref="BS309">((1+9.4/100)^(1/12)-1)*100</f>
        <v>0.75148209323356863</v>
      </c>
      <c r="BT309" s="341"/>
      <c r="BU309" s="341"/>
      <c r="BV309" s="341">
        <f t="array" ref="BV309">((1+5.6/100)^(1/12)-1)*100</f>
        <v>0.45510066248739545</v>
      </c>
      <c r="BW309" s="341">
        <f t="array" ref="BW309">((1+10/100)^(1/12)-1)*100</f>
        <v>0.79741404289037643</v>
      </c>
      <c r="BX309" s="341"/>
      <c r="BY309" s="341">
        <f t="shared" si="61"/>
        <v>0.670376095451374</v>
      </c>
      <c r="BZ309" s="341">
        <f t="shared" si="65"/>
        <v>0.75148209323356863</v>
      </c>
      <c r="CA309" s="341"/>
      <c r="CB309" s="243">
        <f t="shared" si="59"/>
        <v>0.64340301100034303</v>
      </c>
      <c r="CC309" s="243"/>
      <c r="CD309" s="243">
        <f t="shared" si="62"/>
        <v>0.64340301100034303</v>
      </c>
      <c r="CG309" s="734">
        <f t="shared" si="53"/>
        <v>3.55</v>
      </c>
      <c r="CJ309" s="1264">
        <f t="shared" si="60"/>
        <v>0.79741404289037643</v>
      </c>
    </row>
    <row r="310" spans="1:88" x14ac:dyDescent="0.2">
      <c r="A310" s="19">
        <v>36950</v>
      </c>
      <c r="B310" s="262">
        <v>-9.1180000000000003</v>
      </c>
      <c r="C310" s="270">
        <v>-11.7499</v>
      </c>
      <c r="D310" s="270">
        <v>-6.6280000000000001</v>
      </c>
      <c r="E310" s="270">
        <v>-5.7068000000000003</v>
      </c>
      <c r="F310" s="270">
        <v>-8.2098999999999993</v>
      </c>
      <c r="G310" s="270">
        <v>-3.3090000000000002</v>
      </c>
      <c r="H310" s="270">
        <v>-6.5609999999999999</v>
      </c>
      <c r="I310" s="262">
        <v>-13.708</v>
      </c>
      <c r="J310" s="270">
        <v>-0.13800000000000001</v>
      </c>
      <c r="K310" s="128">
        <v>-6.1021999999999998</v>
      </c>
      <c r="L310" s="128">
        <v>-8.5679999999999996</v>
      </c>
      <c r="M310" s="128">
        <v>-4.1691000000000003</v>
      </c>
      <c r="N310" s="262">
        <f t="shared" si="66"/>
        <v>-6.5609999999999999</v>
      </c>
      <c r="O310" s="262">
        <f t="shared" si="67"/>
        <v>-13.708</v>
      </c>
      <c r="P310" s="262">
        <f t="shared" si="68"/>
        <v>-0.13800000000000001</v>
      </c>
      <c r="Q310" s="270">
        <v>-15.43</v>
      </c>
      <c r="R310" s="128">
        <v>-6.4390000000000001</v>
      </c>
      <c r="S310" s="128">
        <v>-9.1370000000000005</v>
      </c>
      <c r="T310" s="128"/>
      <c r="U310" s="270">
        <v>-7.9169999999999998</v>
      </c>
      <c r="V310" s="270">
        <v>-1.99</v>
      </c>
      <c r="W310" s="262">
        <v>0.87129999999999996</v>
      </c>
      <c r="X310" s="128">
        <v>0.79039999999999999</v>
      </c>
      <c r="Y310" s="128"/>
      <c r="Z310" s="128">
        <v>-2.42</v>
      </c>
      <c r="AA310" s="262">
        <v>-7.49</v>
      </c>
      <c r="AB310" s="270">
        <v>-10.142300000000001</v>
      </c>
      <c r="AC310" s="270">
        <v>-5.0157999999999996</v>
      </c>
      <c r="AD310" s="280"/>
      <c r="AE310" s="277">
        <f t="shared" si="63"/>
        <v>-6.6206749999999994</v>
      </c>
      <c r="AF310" s="262">
        <f t="shared" si="54"/>
        <v>-7.49</v>
      </c>
      <c r="AG310" s="128">
        <v>1.0980000000000001</v>
      </c>
      <c r="AH310" s="352">
        <v>-2.08</v>
      </c>
      <c r="AI310"/>
      <c r="AJ310"/>
      <c r="AK310"/>
      <c r="AL310"/>
      <c r="AM310" s="242"/>
      <c r="AN310" s="270">
        <v>-7.4539999999999997</v>
      </c>
      <c r="AO310" s="270">
        <v>-7.9169999999999998</v>
      </c>
      <c r="AP310" s="270"/>
      <c r="AQ310" s="270"/>
      <c r="AR310" s="270"/>
      <c r="AS310" s="270"/>
      <c r="AT310" s="270"/>
      <c r="AU310" s="270"/>
      <c r="AV310" s="245">
        <v>0.53</v>
      </c>
      <c r="AW310" s="245"/>
      <c r="AX310" s="245"/>
      <c r="AY310" s="245">
        <v>0.3</v>
      </c>
      <c r="AZ310" s="245">
        <v>0.17</v>
      </c>
      <c r="BA310" s="245">
        <v>0</v>
      </c>
      <c r="BB310" s="245"/>
      <c r="BC310" s="245">
        <f t="shared" si="51"/>
        <v>1</v>
      </c>
      <c r="BD310" s="240">
        <f t="shared" si="52"/>
        <v>-5.844450000000001</v>
      </c>
      <c r="BE310" s="243">
        <f t="shared" si="55"/>
        <v>-5.844450000000001</v>
      </c>
      <c r="BF310" s="235">
        <v>0.375</v>
      </c>
      <c r="BG310" s="235">
        <v>0.04</v>
      </c>
      <c r="BH310" s="235">
        <v>0.04</v>
      </c>
      <c r="BI310" s="235"/>
      <c r="BJ310" s="235">
        <v>0.17</v>
      </c>
      <c r="BK310" s="235"/>
      <c r="BL310" s="235"/>
      <c r="BM310" s="235">
        <v>0.27500000000000002</v>
      </c>
      <c r="BN310" s="235"/>
      <c r="BO310" s="235">
        <v>0.1</v>
      </c>
      <c r="BP310" s="235">
        <f t="shared" si="69"/>
        <v>1</v>
      </c>
      <c r="BQ310" s="243">
        <f t="shared" si="64"/>
        <v>-5.6057220000000001</v>
      </c>
      <c r="BS310" s="341">
        <f t="array" ref="BS310">((1+9.4/100)^(1/12)-1)*100</f>
        <v>0.75148209323356863</v>
      </c>
      <c r="BT310" s="341"/>
      <c r="BU310" s="341"/>
      <c r="BV310" s="341">
        <f t="array" ref="BV310">((1+5.6/100)^(1/12)-1)*100</f>
        <v>0.45510066248739545</v>
      </c>
      <c r="BW310" s="341">
        <f t="array" ref="BW310">((1+10/100)^(1/12)-1)*100</f>
        <v>0.79741404289037643</v>
      </c>
      <c r="BX310" s="341"/>
      <c r="BY310" s="341">
        <f t="shared" si="61"/>
        <v>0.670376095451374</v>
      </c>
      <c r="BZ310" s="341">
        <f t="shared" si="65"/>
        <v>0.75148209323356863</v>
      </c>
      <c r="CA310" s="341"/>
      <c r="CB310" s="243">
        <f t="shared" si="59"/>
        <v>0.64340301100034303</v>
      </c>
      <c r="CC310" s="243"/>
      <c r="CD310" s="243">
        <f t="shared" si="62"/>
        <v>0.64340301100034303</v>
      </c>
      <c r="CG310" s="734">
        <f t="shared" si="53"/>
        <v>-9.1180000000000003</v>
      </c>
      <c r="CJ310" s="1264">
        <f t="shared" si="60"/>
        <v>0.79741404289037643</v>
      </c>
    </row>
    <row r="311" spans="1:88" x14ac:dyDescent="0.2">
      <c r="A311" s="19">
        <v>36981</v>
      </c>
      <c r="B311" s="262">
        <v>-6.335</v>
      </c>
      <c r="C311" s="270">
        <v>-9.0113000000000003</v>
      </c>
      <c r="D311" s="270">
        <v>-3.9470000000000001</v>
      </c>
      <c r="E311" s="270">
        <v>-7.4348000000000001</v>
      </c>
      <c r="F311" s="270">
        <v>-10.828099999999999</v>
      </c>
      <c r="G311" s="270">
        <v>-4.4029999999999996</v>
      </c>
      <c r="H311" s="270">
        <v>-4.8920000000000003</v>
      </c>
      <c r="I311" s="262">
        <v>-9.0920000000000005</v>
      </c>
      <c r="J311" s="270">
        <v>-1.6040000000000001</v>
      </c>
      <c r="K311" s="128">
        <v>-4.5857999999999999</v>
      </c>
      <c r="L311" s="128">
        <v>-6.1359000000000004</v>
      </c>
      <c r="M311" s="128">
        <v>-3.4176000000000002</v>
      </c>
      <c r="N311" s="262">
        <f t="shared" si="66"/>
        <v>-4.8920000000000003</v>
      </c>
      <c r="O311" s="262">
        <f t="shared" si="67"/>
        <v>-9.0920000000000005</v>
      </c>
      <c r="P311" s="262">
        <f t="shared" si="68"/>
        <v>-1.6040000000000001</v>
      </c>
      <c r="Q311" s="270">
        <v>-11.064</v>
      </c>
      <c r="R311" s="128">
        <v>-5.4859999999999998</v>
      </c>
      <c r="S311" s="128">
        <v>-6.5190000000000001</v>
      </c>
      <c r="T311" s="128"/>
      <c r="U311" s="270">
        <v>-7.0686</v>
      </c>
      <c r="V311" s="270">
        <v>-7.5472000000000001</v>
      </c>
      <c r="W311" s="262">
        <v>0.50180000000000002</v>
      </c>
      <c r="X311" s="128">
        <v>0.67469999999999997</v>
      </c>
      <c r="Y311" s="128"/>
      <c r="Z311" s="128">
        <v>-1.94</v>
      </c>
      <c r="AA311" s="262">
        <v>-6.6211000000000002</v>
      </c>
      <c r="AB311" s="270">
        <v>-6.8728999999999996</v>
      </c>
      <c r="AC311" s="270">
        <v>-6.3780000000000001</v>
      </c>
      <c r="AD311" s="280"/>
      <c r="AE311" s="277">
        <f t="shared" si="63"/>
        <v>-4.6257999999999999</v>
      </c>
      <c r="AF311" s="262">
        <f t="shared" si="54"/>
        <v>-6.6211000000000002</v>
      </c>
      <c r="AG311" s="128">
        <v>1.0980000000000001</v>
      </c>
      <c r="AH311" s="352">
        <v>0.08</v>
      </c>
      <c r="AI311"/>
      <c r="AJ311"/>
      <c r="AK311"/>
      <c r="AL311"/>
      <c r="AM311" s="242"/>
      <c r="AN311" s="270">
        <v>-6.7788000000000004</v>
      </c>
      <c r="AO311" s="270">
        <v>-7.0686</v>
      </c>
      <c r="AP311" s="270"/>
      <c r="AQ311" s="270"/>
      <c r="AR311" s="270"/>
      <c r="AS311" s="270"/>
      <c r="AT311" s="270"/>
      <c r="AU311" s="270"/>
      <c r="AV311" s="245">
        <v>0.53</v>
      </c>
      <c r="AW311" s="245"/>
      <c r="AX311" s="245"/>
      <c r="AY311" s="245">
        <v>0.3</v>
      </c>
      <c r="AZ311" s="245">
        <v>0.17</v>
      </c>
      <c r="BA311" s="245">
        <v>0</v>
      </c>
      <c r="BB311" s="245"/>
      <c r="BC311" s="245">
        <f t="shared" si="51"/>
        <v>1</v>
      </c>
      <c r="BD311" s="240">
        <f t="shared" si="52"/>
        <v>-4.3325970000000007</v>
      </c>
      <c r="BE311" s="243">
        <f t="shared" si="55"/>
        <v>-4.3325970000000007</v>
      </c>
      <c r="BF311" s="235">
        <v>0.375</v>
      </c>
      <c r="BG311" s="235">
        <v>0.04</v>
      </c>
      <c r="BH311" s="235">
        <v>0.04</v>
      </c>
      <c r="BI311" s="235"/>
      <c r="BJ311" s="235">
        <v>0.17</v>
      </c>
      <c r="BK311" s="235"/>
      <c r="BL311" s="235"/>
      <c r="BM311" s="235">
        <v>0.27500000000000002</v>
      </c>
      <c r="BN311" s="235"/>
      <c r="BO311" s="235">
        <v>0.1</v>
      </c>
      <c r="BP311" s="235">
        <f t="shared" si="69"/>
        <v>1</v>
      </c>
      <c r="BQ311" s="243">
        <f t="shared" si="64"/>
        <v>-4.3188689999999994</v>
      </c>
      <c r="BS311" s="341">
        <f t="array" ref="BS311">((1+9.4/100)^(1/12)-1)*100</f>
        <v>0.75148209323356863</v>
      </c>
      <c r="BT311" s="341"/>
      <c r="BU311" s="341"/>
      <c r="BV311" s="341">
        <f t="array" ref="BV311">((1+5.6/100)^(1/12)-1)*100</f>
        <v>0.45510066248739545</v>
      </c>
      <c r="BW311" s="341">
        <f t="array" ref="BW311">((1+10/100)^(1/12)-1)*100</f>
        <v>0.79741404289037643</v>
      </c>
      <c r="BX311" s="341"/>
      <c r="BY311" s="341">
        <f t="shared" si="61"/>
        <v>0.670376095451374</v>
      </c>
      <c r="BZ311" s="341">
        <f t="shared" si="65"/>
        <v>0.75148209323356863</v>
      </c>
      <c r="CA311" s="341"/>
      <c r="CB311" s="243">
        <f t="shared" si="59"/>
        <v>0.64340301100034303</v>
      </c>
      <c r="CC311" s="243"/>
      <c r="CD311" s="243">
        <f t="shared" si="62"/>
        <v>0.64340301100034303</v>
      </c>
      <c r="CG311" s="734">
        <f t="shared" si="53"/>
        <v>-6.335</v>
      </c>
      <c r="CJ311" s="1264">
        <f t="shared" si="60"/>
        <v>0.79741404289037643</v>
      </c>
    </row>
    <row r="312" spans="1:88" x14ac:dyDescent="0.2">
      <c r="A312" s="19">
        <v>37011</v>
      </c>
      <c r="B312" s="262">
        <v>7.7709999999999999</v>
      </c>
      <c r="C312" s="270">
        <v>8.9356000000000009</v>
      </c>
      <c r="D312" s="270">
        <v>6.7839999999999998</v>
      </c>
      <c r="E312" s="270">
        <v>11.031599999999999</v>
      </c>
      <c r="F312" s="270">
        <v>13.523300000000001</v>
      </c>
      <c r="G312" s="270">
        <v>9.0470000000000006</v>
      </c>
      <c r="H312" s="270">
        <v>7.8230000000000004</v>
      </c>
      <c r="I312" s="262">
        <v>12.243</v>
      </c>
      <c r="J312" s="270">
        <v>4.6289999999999996</v>
      </c>
      <c r="K312" s="128">
        <v>7.6220999999999997</v>
      </c>
      <c r="L312" s="128">
        <v>10.0396</v>
      </c>
      <c r="M312" s="128">
        <v>5.8659999999999997</v>
      </c>
      <c r="N312" s="262">
        <f t="shared" si="66"/>
        <v>7.8230000000000004</v>
      </c>
      <c r="O312" s="262">
        <f t="shared" si="67"/>
        <v>12.243</v>
      </c>
      <c r="P312" s="262">
        <f t="shared" si="68"/>
        <v>4.6289999999999996</v>
      </c>
      <c r="Q312" s="270">
        <v>15.242000000000001</v>
      </c>
      <c r="R312" s="128">
        <v>8.8309999999999995</v>
      </c>
      <c r="S312" s="128">
        <v>8.02</v>
      </c>
      <c r="T312" s="128"/>
      <c r="U312" s="270">
        <v>6.8013000000000003</v>
      </c>
      <c r="V312" s="270">
        <v>8.5886999999999993</v>
      </c>
      <c r="W312" s="262">
        <v>-0.41510000000000002</v>
      </c>
      <c r="X312" s="128">
        <v>-8.4000000000000005E-2</v>
      </c>
      <c r="Y312" s="128"/>
      <c r="Z312" s="128">
        <v>0.77</v>
      </c>
      <c r="AA312" s="262">
        <v>7.0140000000000002</v>
      </c>
      <c r="AB312" s="270">
        <v>6.9062000000000001</v>
      </c>
      <c r="AC312" s="270">
        <v>7.1155999999999997</v>
      </c>
      <c r="AD312" s="280"/>
      <c r="AE312" s="277">
        <f t="shared" si="63"/>
        <v>5.724475</v>
      </c>
      <c r="AF312" s="262">
        <f t="shared" si="54"/>
        <v>7.0140000000000002</v>
      </c>
      <c r="AG312" s="128">
        <v>0.78080000000000005</v>
      </c>
      <c r="AH312" s="352">
        <v>2.38</v>
      </c>
      <c r="AI312"/>
      <c r="AJ312"/>
      <c r="AK312"/>
      <c r="AL312"/>
      <c r="AM312" s="242"/>
      <c r="AN312" s="270">
        <v>7.0137999999999998</v>
      </c>
      <c r="AO312" s="270">
        <v>6.8013000000000003</v>
      </c>
      <c r="AP312" s="270"/>
      <c r="AQ312" s="270"/>
      <c r="AR312" s="270"/>
      <c r="AS312" s="270"/>
      <c r="AT312" s="270"/>
      <c r="AU312" s="270"/>
      <c r="AV312" s="245">
        <v>0.53</v>
      </c>
      <c r="AW312" s="245"/>
      <c r="AX312" s="245"/>
      <c r="AY312" s="245">
        <v>0.3</v>
      </c>
      <c r="AZ312" s="245">
        <v>0.17</v>
      </c>
      <c r="BA312" s="245">
        <v>0</v>
      </c>
      <c r="BB312" s="245"/>
      <c r="BC312" s="245">
        <f t="shared" si="51"/>
        <v>1</v>
      </c>
      <c r="BD312" s="240">
        <f t="shared" si="52"/>
        <v>5.1864800000000004</v>
      </c>
      <c r="BE312" s="243">
        <f t="shared" si="55"/>
        <v>5.1864800000000004</v>
      </c>
      <c r="BF312" s="235">
        <v>0.375</v>
      </c>
      <c r="BG312" s="235">
        <v>0.04</v>
      </c>
      <c r="BH312" s="235">
        <v>0.04</v>
      </c>
      <c r="BI312" s="235"/>
      <c r="BJ312" s="235">
        <v>0.17</v>
      </c>
      <c r="BK312" s="235"/>
      <c r="BL312" s="235"/>
      <c r="BM312" s="235">
        <v>0.27500000000000002</v>
      </c>
      <c r="BN312" s="235"/>
      <c r="BO312" s="235">
        <v>0.1</v>
      </c>
      <c r="BP312" s="235">
        <f t="shared" si="69"/>
        <v>1</v>
      </c>
      <c r="BQ312" s="243">
        <f t="shared" si="64"/>
        <v>5.3189839999999995</v>
      </c>
      <c r="BS312" s="341">
        <f t="array" ref="BS312">((1+9.4/100)^(1/12)-1)*100</f>
        <v>0.75148209323356863</v>
      </c>
      <c r="BT312" s="341"/>
      <c r="BU312" s="341"/>
      <c r="BV312" s="341">
        <f t="array" ref="BV312">((1+5.6/100)^(1/12)-1)*100</f>
        <v>0.45510066248739545</v>
      </c>
      <c r="BW312" s="341">
        <f t="array" ref="BW312">((1+10/100)^(1/12)-1)*100</f>
        <v>0.79741404289037643</v>
      </c>
      <c r="BX312" s="341"/>
      <c r="BY312" s="341">
        <f t="shared" si="61"/>
        <v>0.670376095451374</v>
      </c>
      <c r="BZ312" s="341">
        <f t="shared" si="65"/>
        <v>0.75148209323356863</v>
      </c>
      <c r="CA312" s="341"/>
      <c r="CB312" s="243">
        <f t="shared" si="59"/>
        <v>0.64340301100034303</v>
      </c>
      <c r="CC312" s="243"/>
      <c r="CD312" s="243">
        <f t="shared" si="62"/>
        <v>0.64340301100034303</v>
      </c>
      <c r="CG312" s="734">
        <f t="shared" si="53"/>
        <v>7.7709999999999999</v>
      </c>
      <c r="CJ312" s="1264">
        <f t="shared" si="60"/>
        <v>0.79741404289037643</v>
      </c>
    </row>
    <row r="313" spans="1:88" x14ac:dyDescent="0.2">
      <c r="A313" s="19">
        <v>37042</v>
      </c>
      <c r="B313" s="262">
        <v>0.67</v>
      </c>
      <c r="C313" s="270">
        <v>0.23730000000000001</v>
      </c>
      <c r="D313" s="270">
        <v>1.046</v>
      </c>
      <c r="E313" s="270">
        <v>2.3289</v>
      </c>
      <c r="F313" s="270">
        <v>2.7534999999999998</v>
      </c>
      <c r="G313" s="270">
        <v>1.9790000000000001</v>
      </c>
      <c r="H313" s="270">
        <v>2.4580000000000002</v>
      </c>
      <c r="I313" s="262">
        <v>2.3159999999999998</v>
      </c>
      <c r="J313" s="270">
        <v>2.5710000000000002</v>
      </c>
      <c r="K313" s="128">
        <v>1.913</v>
      </c>
      <c r="L313" s="128">
        <v>1.3985000000000001</v>
      </c>
      <c r="M313" s="128">
        <v>2.3069999999999999</v>
      </c>
      <c r="N313" s="262">
        <f t="shared" si="66"/>
        <v>2.4580000000000002</v>
      </c>
      <c r="O313" s="262">
        <f t="shared" si="67"/>
        <v>2.3159999999999998</v>
      </c>
      <c r="P313" s="262">
        <f t="shared" si="68"/>
        <v>2.5710000000000002</v>
      </c>
      <c r="Q313" s="270">
        <v>2.8969999999999998</v>
      </c>
      <c r="R313" s="128">
        <v>3.008</v>
      </c>
      <c r="S313" s="128">
        <v>0.80300000000000005</v>
      </c>
      <c r="T313" s="128"/>
      <c r="U313" s="270">
        <v>-2.7614999999999998</v>
      </c>
      <c r="V313" s="270">
        <v>-0.15590000000000001</v>
      </c>
      <c r="W313" s="262">
        <v>0.60409999999999997</v>
      </c>
      <c r="X313" s="128">
        <v>0.60340000000000005</v>
      </c>
      <c r="Y313" s="128"/>
      <c r="Z313" s="128">
        <v>0.4</v>
      </c>
      <c r="AA313" s="262">
        <v>-3.45</v>
      </c>
      <c r="AB313" s="270">
        <v>-3.9910999999999999</v>
      </c>
      <c r="AC313" s="270">
        <v>-2.9392</v>
      </c>
      <c r="AD313" s="280"/>
      <c r="AE313" s="277">
        <f t="shared" si="63"/>
        <v>0.65352500000000002</v>
      </c>
      <c r="AF313" s="262">
        <f t="shared" si="54"/>
        <v>-3.45</v>
      </c>
      <c r="AG313" s="128">
        <v>0.78080000000000005</v>
      </c>
      <c r="AH313" s="352">
        <v>2.8</v>
      </c>
      <c r="AI313"/>
      <c r="AJ313"/>
      <c r="AK313"/>
      <c r="AL313"/>
      <c r="AM313" s="242"/>
      <c r="AN313" s="270">
        <v>-3.4500999999999999</v>
      </c>
      <c r="AO313" s="270">
        <v>-2.7614999999999998</v>
      </c>
      <c r="AP313" s="270"/>
      <c r="AQ313" s="270"/>
      <c r="AR313" s="270"/>
      <c r="AS313" s="270"/>
      <c r="AT313" s="270"/>
      <c r="AU313" s="270"/>
      <c r="AV313" s="245">
        <v>0.53</v>
      </c>
      <c r="AW313" s="245"/>
      <c r="AX313" s="245"/>
      <c r="AY313" s="245">
        <v>0.3</v>
      </c>
      <c r="AZ313" s="245">
        <v>0.17</v>
      </c>
      <c r="BA313" s="245">
        <v>0</v>
      </c>
      <c r="BB313" s="245"/>
      <c r="BC313" s="245">
        <f t="shared" si="51"/>
        <v>1</v>
      </c>
      <c r="BD313" s="240">
        <f t="shared" si="52"/>
        <v>-5.0170000000000048E-2</v>
      </c>
      <c r="BE313" s="243">
        <f t="shared" si="55"/>
        <v>-5.0170000000000048E-2</v>
      </c>
      <c r="BF313" s="235">
        <v>0.375</v>
      </c>
      <c r="BG313" s="235">
        <v>0.04</v>
      </c>
      <c r="BH313" s="235">
        <v>0.04</v>
      </c>
      <c r="BI313" s="235"/>
      <c r="BJ313" s="235">
        <v>0.17</v>
      </c>
      <c r="BK313" s="235"/>
      <c r="BL313" s="235"/>
      <c r="BM313" s="235">
        <v>0.27500000000000002</v>
      </c>
      <c r="BN313" s="235"/>
      <c r="BO313" s="235">
        <v>0.1</v>
      </c>
      <c r="BP313" s="235">
        <f t="shared" si="69"/>
        <v>1</v>
      </c>
      <c r="BQ313" s="243">
        <f t="shared" si="64"/>
        <v>8.7706000000000062E-2</v>
      </c>
      <c r="BS313" s="341">
        <f t="array" ref="BS313">((1+9.4/100)^(1/12)-1)*100</f>
        <v>0.75148209323356863</v>
      </c>
      <c r="BT313" s="341"/>
      <c r="BU313" s="341"/>
      <c r="BV313" s="341">
        <f t="array" ref="BV313">((1+5.6/100)^(1/12)-1)*100</f>
        <v>0.45510066248739545</v>
      </c>
      <c r="BW313" s="341">
        <f t="array" ref="BW313">((1+10/100)^(1/12)-1)*100</f>
        <v>0.79741404289037643</v>
      </c>
      <c r="BX313" s="341"/>
      <c r="BY313" s="341">
        <f t="shared" si="61"/>
        <v>0.670376095451374</v>
      </c>
      <c r="BZ313" s="341">
        <f t="shared" si="65"/>
        <v>0.75148209323356863</v>
      </c>
      <c r="CA313" s="341"/>
      <c r="CB313" s="243">
        <f t="shared" si="59"/>
        <v>0.64340301100034303</v>
      </c>
      <c r="CC313" s="243"/>
      <c r="CD313" s="243">
        <f t="shared" si="62"/>
        <v>0.64340301100034303</v>
      </c>
      <c r="CG313" s="734">
        <f t="shared" si="53"/>
        <v>0.67</v>
      </c>
      <c r="CJ313" s="1264">
        <f t="shared" si="60"/>
        <v>0.79741404289037643</v>
      </c>
    </row>
    <row r="314" spans="1:88" x14ac:dyDescent="0.2">
      <c r="A314" s="19">
        <v>37072</v>
      </c>
      <c r="B314" s="262">
        <v>-2.4340000000000002</v>
      </c>
      <c r="C314" s="270">
        <v>-1.3561000000000001</v>
      </c>
      <c r="D314" s="270">
        <v>-3.2389999999999999</v>
      </c>
      <c r="E314" s="270">
        <v>-0.4037</v>
      </c>
      <c r="F314" s="270">
        <v>-0.93530000000000002</v>
      </c>
      <c r="G314" s="270">
        <v>0.158</v>
      </c>
      <c r="H314" s="270">
        <v>3.4529999999999998</v>
      </c>
      <c r="I314" s="262">
        <v>2.7269999999999999</v>
      </c>
      <c r="J314" s="270">
        <v>4.0229999999999997</v>
      </c>
      <c r="K314" s="128">
        <v>3.6650999999999998</v>
      </c>
      <c r="L314" s="128">
        <v>3.0125000000000002</v>
      </c>
      <c r="M314" s="128">
        <v>4.1481000000000003</v>
      </c>
      <c r="N314" s="262">
        <f t="shared" si="66"/>
        <v>3.4529999999999998</v>
      </c>
      <c r="O314" s="262">
        <f t="shared" si="67"/>
        <v>2.7269999999999999</v>
      </c>
      <c r="P314" s="262">
        <f t="shared" si="68"/>
        <v>4.0229999999999997</v>
      </c>
      <c r="Q314" s="270">
        <v>2.2650000000000001</v>
      </c>
      <c r="R314" s="128">
        <v>1.42</v>
      </c>
      <c r="S314" s="128">
        <v>-1.8440000000000001</v>
      </c>
      <c r="T314" s="128"/>
      <c r="U314" s="270">
        <v>-3.8353000000000002</v>
      </c>
      <c r="V314" s="270">
        <v>-2.9278</v>
      </c>
      <c r="W314" s="262">
        <v>0.37730000000000002</v>
      </c>
      <c r="X314" s="128">
        <v>0.29909999999999998</v>
      </c>
      <c r="Y314" s="128"/>
      <c r="Z314" s="128">
        <v>0.42</v>
      </c>
      <c r="AA314" s="262">
        <v>-4.0519999999999996</v>
      </c>
      <c r="AB314" s="270">
        <v>-4.8362999999999996</v>
      </c>
      <c r="AC314" s="270">
        <v>-3.3195999999999999</v>
      </c>
      <c r="AD314" s="280"/>
      <c r="AE314" s="277">
        <f t="shared" si="63"/>
        <v>-1.7311750000000001</v>
      </c>
      <c r="AF314" s="262">
        <f t="shared" si="54"/>
        <v>-4.0519999999999996</v>
      </c>
      <c r="AG314" s="128">
        <v>0.78080000000000005</v>
      </c>
      <c r="AH314" s="352">
        <v>5.37</v>
      </c>
      <c r="AI314"/>
      <c r="AJ314"/>
      <c r="AK314"/>
      <c r="AL314"/>
      <c r="AM314" s="242"/>
      <c r="AN314" s="270">
        <v>-4.0522999999999998</v>
      </c>
      <c r="AO314" s="270">
        <v>-3.8353000000000002</v>
      </c>
      <c r="AP314" s="270"/>
      <c r="AQ314" s="270"/>
      <c r="AR314" s="270"/>
      <c r="AS314" s="270"/>
      <c r="AT314" s="270"/>
      <c r="AU314" s="270"/>
      <c r="AV314" s="245">
        <v>0.53</v>
      </c>
      <c r="AW314" s="245"/>
      <c r="AX314" s="245"/>
      <c r="AY314" s="245">
        <v>0.3</v>
      </c>
      <c r="AZ314" s="245">
        <v>0.17</v>
      </c>
      <c r="BA314" s="245">
        <v>0</v>
      </c>
      <c r="BB314" s="245"/>
      <c r="BC314" s="245">
        <f t="shared" si="51"/>
        <v>1</v>
      </c>
      <c r="BD314" s="240">
        <f t="shared" si="52"/>
        <v>-1.8656700000000002</v>
      </c>
      <c r="BE314" s="243">
        <f t="shared" si="55"/>
        <v>-1.8656700000000002</v>
      </c>
      <c r="BF314" s="235">
        <v>0.375</v>
      </c>
      <c r="BG314" s="235">
        <v>0.04</v>
      </c>
      <c r="BH314" s="235">
        <v>0.04</v>
      </c>
      <c r="BI314" s="235"/>
      <c r="BJ314" s="235">
        <v>0.17</v>
      </c>
      <c r="BK314" s="235"/>
      <c r="BL314" s="235"/>
      <c r="BM314" s="235">
        <v>0.27500000000000002</v>
      </c>
      <c r="BN314" s="235"/>
      <c r="BO314" s="235">
        <v>0.1</v>
      </c>
      <c r="BP314" s="235">
        <f t="shared" si="69"/>
        <v>1</v>
      </c>
      <c r="BQ314" s="243">
        <f t="shared" si="64"/>
        <v>-1.5489780000000002</v>
      </c>
      <c r="BS314" s="341">
        <f t="array" ref="BS314">((1+9.4/100)^(1/12)-1)*100</f>
        <v>0.75148209323356863</v>
      </c>
      <c r="BT314" s="341"/>
      <c r="BU314" s="341"/>
      <c r="BV314" s="341">
        <f t="array" ref="BV314">((1+5.6/100)^(1/12)-1)*100</f>
        <v>0.45510066248739545</v>
      </c>
      <c r="BW314" s="341">
        <f t="array" ref="BW314">((1+10/100)^(1/12)-1)*100</f>
        <v>0.79741404289037643</v>
      </c>
      <c r="BX314" s="341"/>
      <c r="BY314" s="341">
        <f t="shared" si="61"/>
        <v>0.670376095451374</v>
      </c>
      <c r="BZ314" s="341">
        <f t="shared" si="65"/>
        <v>0.75148209323356863</v>
      </c>
      <c r="CA314" s="341"/>
      <c r="CB314" s="243">
        <f t="shared" si="59"/>
        <v>0.64340301100034303</v>
      </c>
      <c r="CC314" s="243"/>
      <c r="CD314" s="243">
        <f t="shared" si="62"/>
        <v>0.64340301100034303</v>
      </c>
      <c r="CG314" s="734">
        <f t="shared" si="53"/>
        <v>-2.4340000000000002</v>
      </c>
      <c r="CJ314" s="1264">
        <f t="shared" si="60"/>
        <v>0.79741404289037643</v>
      </c>
    </row>
    <row r="315" spans="1:88" x14ac:dyDescent="0.2">
      <c r="A315" s="19">
        <v>37103</v>
      </c>
      <c r="B315" s="262">
        <v>-0.98399999999999999</v>
      </c>
      <c r="C315" s="270">
        <v>-0.26250000000000001</v>
      </c>
      <c r="D315" s="270">
        <v>-1.7290000000000001</v>
      </c>
      <c r="E315" s="270">
        <v>-1.4897</v>
      </c>
      <c r="F315" s="270">
        <v>-2.9742999999999999</v>
      </c>
      <c r="G315" s="270">
        <v>0.01</v>
      </c>
      <c r="H315" s="270">
        <v>-5.4130000000000003</v>
      </c>
      <c r="I315" s="262">
        <v>-8.5310000000000006</v>
      </c>
      <c r="J315" s="270">
        <v>-2.242</v>
      </c>
      <c r="K315" s="128">
        <v>-1.6718999999999999</v>
      </c>
      <c r="L315" s="128">
        <v>-2.5265</v>
      </c>
      <c r="M315" s="128">
        <v>-0.7722</v>
      </c>
      <c r="N315" s="262">
        <f t="shared" si="66"/>
        <v>-5.4130000000000003</v>
      </c>
      <c r="O315" s="262">
        <f t="shared" si="67"/>
        <v>-8.5310000000000006</v>
      </c>
      <c r="P315" s="262">
        <f t="shared" si="68"/>
        <v>-2.242</v>
      </c>
      <c r="Q315" s="270">
        <v>-7.3730000000000002</v>
      </c>
      <c r="R315" s="128">
        <v>-3.5760000000000001</v>
      </c>
      <c r="S315" s="128">
        <v>-1.6479999999999999</v>
      </c>
      <c r="T315" s="128"/>
      <c r="U315" s="270">
        <v>-2.2248999999999999</v>
      </c>
      <c r="V315" s="270">
        <v>-4.1032000000000002</v>
      </c>
      <c r="W315" s="262">
        <v>2.2357</v>
      </c>
      <c r="X315" s="128">
        <v>1.9631000000000001</v>
      </c>
      <c r="Y315" s="128"/>
      <c r="Z315" s="128">
        <v>-0.72</v>
      </c>
      <c r="AA315" s="262">
        <v>-1.8120000000000001</v>
      </c>
      <c r="AB315" s="270">
        <v>-2.4213</v>
      </c>
      <c r="AC315" s="270">
        <v>-1.2523</v>
      </c>
      <c r="AD315" s="280"/>
      <c r="AE315" s="277">
        <f t="shared" si="63"/>
        <v>-0.17907499999999998</v>
      </c>
      <c r="AF315" s="262">
        <f t="shared" si="54"/>
        <v>-1.8120000000000001</v>
      </c>
      <c r="AG315" s="128">
        <v>0.81789999999999996</v>
      </c>
      <c r="AH315" s="352">
        <v>-2</v>
      </c>
      <c r="AI315"/>
      <c r="AJ315"/>
      <c r="AK315"/>
      <c r="AL315"/>
      <c r="AM315" s="242"/>
      <c r="AN315" s="270">
        <v>-1.8112999999999999</v>
      </c>
      <c r="AO315" s="270">
        <v>-2.2248999999999999</v>
      </c>
      <c r="AP315" s="270"/>
      <c r="AQ315" s="270"/>
      <c r="AR315" s="270"/>
      <c r="AS315" s="270"/>
      <c r="AT315" s="270"/>
      <c r="AU315" s="270"/>
      <c r="AV315" s="245">
        <v>0.53</v>
      </c>
      <c r="AW315" s="245"/>
      <c r="AX315" s="245"/>
      <c r="AY315" s="245">
        <v>0.3</v>
      </c>
      <c r="AZ315" s="245">
        <v>0.17</v>
      </c>
      <c r="BA315" s="245">
        <v>0</v>
      </c>
      <c r="BB315" s="245"/>
      <c r="BC315" s="245">
        <f t="shared" si="51"/>
        <v>1</v>
      </c>
      <c r="BD315" s="240">
        <f t="shared" si="52"/>
        <v>-0.15884999999999999</v>
      </c>
      <c r="BE315" s="243">
        <f t="shared" si="55"/>
        <v>-0.15884999999999999</v>
      </c>
      <c r="BF315" s="235">
        <v>0.375</v>
      </c>
      <c r="BG315" s="235">
        <v>0.04</v>
      </c>
      <c r="BH315" s="235">
        <v>0.04</v>
      </c>
      <c r="BI315" s="235"/>
      <c r="BJ315" s="235">
        <v>0.17</v>
      </c>
      <c r="BK315" s="235"/>
      <c r="BL315" s="235"/>
      <c r="BM315" s="235">
        <v>0.27500000000000002</v>
      </c>
      <c r="BN315" s="235"/>
      <c r="BO315" s="235">
        <v>0.1</v>
      </c>
      <c r="BP315" s="235">
        <f t="shared" si="69"/>
        <v>1</v>
      </c>
      <c r="BQ315" s="243">
        <f t="shared" si="64"/>
        <v>-0.35623800000000011</v>
      </c>
      <c r="BS315" s="341">
        <f t="array" ref="BS315">((1+9.4/100)^(1/12)-1)*100</f>
        <v>0.75148209323356863</v>
      </c>
      <c r="BT315" s="341"/>
      <c r="BU315" s="341"/>
      <c r="BV315" s="341">
        <f t="array" ref="BV315">((1+5.6/100)^(1/12)-1)*100</f>
        <v>0.45510066248739545</v>
      </c>
      <c r="BW315" s="341">
        <f t="array" ref="BW315">((1+10/100)^(1/12)-1)*100</f>
        <v>0.79741404289037643</v>
      </c>
      <c r="BX315" s="341"/>
      <c r="BY315" s="341">
        <f t="shared" si="61"/>
        <v>0.670376095451374</v>
      </c>
      <c r="BZ315" s="341">
        <f t="shared" si="65"/>
        <v>0.75148209323356863</v>
      </c>
      <c r="CA315" s="341"/>
      <c r="CB315" s="243">
        <f t="shared" si="59"/>
        <v>0.64340301100034303</v>
      </c>
      <c r="CC315" s="243"/>
      <c r="CD315" s="243">
        <f t="shared" si="62"/>
        <v>0.64340301100034303</v>
      </c>
      <c r="CG315" s="734">
        <f t="shared" si="53"/>
        <v>-0.98399999999999999</v>
      </c>
      <c r="CJ315" s="1264">
        <f t="shared" si="60"/>
        <v>0.79741404289037643</v>
      </c>
    </row>
    <row r="316" spans="1:88" x14ac:dyDescent="0.2">
      <c r="A316" s="19">
        <v>37134</v>
      </c>
      <c r="B316" s="262">
        <v>-6.26</v>
      </c>
      <c r="C316" s="270">
        <v>-6.7148000000000003</v>
      </c>
      <c r="D316" s="270">
        <v>-5.78</v>
      </c>
      <c r="E316" s="270">
        <v>-3.2707999999999999</v>
      </c>
      <c r="F316" s="270">
        <v>-4.5575000000000001</v>
      </c>
      <c r="G316" s="270">
        <v>-2.0270000000000001</v>
      </c>
      <c r="H316" s="270">
        <v>-3.23</v>
      </c>
      <c r="I316" s="262">
        <v>-6.2450000000000001</v>
      </c>
      <c r="J316" s="270">
        <v>-0.34599999999999997</v>
      </c>
      <c r="K316" s="128">
        <v>-2.2797999999999998</v>
      </c>
      <c r="L316" s="128">
        <v>-3.5985999999999998</v>
      </c>
      <c r="M316" s="128">
        <v>-0.95740000000000003</v>
      </c>
      <c r="N316" s="262">
        <f t="shared" si="66"/>
        <v>-3.23</v>
      </c>
      <c r="O316" s="262">
        <f t="shared" si="67"/>
        <v>-6.2450000000000001</v>
      </c>
      <c r="P316" s="262">
        <f t="shared" si="68"/>
        <v>-0.34599999999999997</v>
      </c>
      <c r="Q316" s="270">
        <v>-6.6520000000000001</v>
      </c>
      <c r="R316" s="128">
        <v>-3.2770000000000001</v>
      </c>
      <c r="S316" s="128">
        <v>-5.9039999999999999</v>
      </c>
      <c r="T316" s="128"/>
      <c r="U316" s="270">
        <v>-2.4836</v>
      </c>
      <c r="V316" s="270">
        <v>1.0932999999999999</v>
      </c>
      <c r="W316" s="262">
        <v>1.1457999999999999</v>
      </c>
      <c r="X316" s="128">
        <v>0.96679999999999999</v>
      </c>
      <c r="Y316" s="128"/>
      <c r="Z316" s="128">
        <v>0.45</v>
      </c>
      <c r="AA316" s="262">
        <v>-2.512</v>
      </c>
      <c r="AB316" s="270">
        <v>-4.5541</v>
      </c>
      <c r="AC316" s="270">
        <v>-0.63870000000000005</v>
      </c>
      <c r="AD316" s="280"/>
      <c r="AE316" s="277">
        <f t="shared" si="63"/>
        <v>-4.40855</v>
      </c>
      <c r="AF316" s="262">
        <f t="shared" si="54"/>
        <v>-2.512</v>
      </c>
      <c r="AG316" s="128">
        <v>0.81789999999999996</v>
      </c>
      <c r="AH316" s="352">
        <v>3.49</v>
      </c>
      <c r="AI316"/>
      <c r="AJ316"/>
      <c r="AK316"/>
      <c r="AL316"/>
      <c r="AM316" s="242"/>
      <c r="AN316" s="270">
        <v>-2.5125999999999999</v>
      </c>
      <c r="AO316" s="270">
        <v>-2.4836</v>
      </c>
      <c r="AP316" s="270"/>
      <c r="AQ316" s="270"/>
      <c r="AR316" s="270"/>
      <c r="AS316" s="270"/>
      <c r="AT316" s="270"/>
      <c r="AU316" s="270"/>
      <c r="AV316" s="245">
        <v>0.53</v>
      </c>
      <c r="AW316" s="245"/>
      <c r="AX316" s="245"/>
      <c r="AY316" s="245">
        <v>0.3</v>
      </c>
      <c r="AZ316" s="245">
        <v>0.17</v>
      </c>
      <c r="BA316" s="245">
        <v>0</v>
      </c>
      <c r="BB316" s="245"/>
      <c r="BC316" s="245">
        <f t="shared" si="51"/>
        <v>1</v>
      </c>
      <c r="BD316" s="240">
        <f t="shared" si="52"/>
        <v>-3.4011</v>
      </c>
      <c r="BE316" s="243">
        <f t="shared" si="55"/>
        <v>-3.4011</v>
      </c>
      <c r="BF316" s="235">
        <v>0.375</v>
      </c>
      <c r="BG316" s="235">
        <v>0.04</v>
      </c>
      <c r="BH316" s="235">
        <v>0.04</v>
      </c>
      <c r="BI316" s="235"/>
      <c r="BJ316" s="235">
        <v>0.17</v>
      </c>
      <c r="BK316" s="235"/>
      <c r="BL316" s="235"/>
      <c r="BM316" s="235">
        <v>0.27500000000000002</v>
      </c>
      <c r="BN316" s="235"/>
      <c r="BO316" s="235">
        <v>0.1</v>
      </c>
      <c r="BP316" s="235">
        <f t="shared" si="69"/>
        <v>1</v>
      </c>
      <c r="BQ316" s="243">
        <f t="shared" si="64"/>
        <v>-3.1603319999999999</v>
      </c>
      <c r="BS316" s="341">
        <f t="array" ref="BS316">((1+9.4/100)^(1/12)-1)*100</f>
        <v>0.75148209323356863</v>
      </c>
      <c r="BT316" s="341"/>
      <c r="BU316" s="341"/>
      <c r="BV316" s="341">
        <f t="array" ref="BV316">((1+5.6/100)^(1/12)-1)*100</f>
        <v>0.45510066248739545</v>
      </c>
      <c r="BW316" s="341">
        <f t="array" ref="BW316">((1+10/100)^(1/12)-1)*100</f>
        <v>0.79741404289037643</v>
      </c>
      <c r="BX316" s="341"/>
      <c r="BY316" s="341">
        <f t="shared" si="61"/>
        <v>0.670376095451374</v>
      </c>
      <c r="BZ316" s="341">
        <f t="shared" si="65"/>
        <v>0.75148209323356863</v>
      </c>
      <c r="CA316" s="341"/>
      <c r="CB316" s="243">
        <f t="shared" si="59"/>
        <v>0.64340301100034303</v>
      </c>
      <c r="CC316" s="243"/>
      <c r="CD316" s="243">
        <f t="shared" si="62"/>
        <v>0.64340301100034303</v>
      </c>
      <c r="CG316" s="734">
        <f t="shared" si="53"/>
        <v>-6.26</v>
      </c>
      <c r="CJ316" s="1264">
        <f t="shared" si="60"/>
        <v>0.79741404289037643</v>
      </c>
    </row>
    <row r="317" spans="1:88" x14ac:dyDescent="0.2">
      <c r="A317" s="19">
        <v>37164</v>
      </c>
      <c r="B317" s="262">
        <v>-8.0749999999999993</v>
      </c>
      <c r="C317" s="270">
        <v>-6.7110000000000003</v>
      </c>
      <c r="D317" s="270">
        <v>-9.4990000000000006</v>
      </c>
      <c r="E317" s="270">
        <v>-12.438700000000001</v>
      </c>
      <c r="F317" s="270">
        <v>-13.7844</v>
      </c>
      <c r="G317" s="270">
        <v>-11.221</v>
      </c>
      <c r="H317" s="270">
        <v>-13.461</v>
      </c>
      <c r="I317" s="262">
        <v>-16.135000000000002</v>
      </c>
      <c r="J317" s="270">
        <v>-11.039</v>
      </c>
      <c r="K317" s="128">
        <v>-13.5185</v>
      </c>
      <c r="L317" s="128">
        <v>-14.2408</v>
      </c>
      <c r="M317" s="128">
        <v>-12.818300000000001</v>
      </c>
      <c r="N317" s="262">
        <f t="shared" si="66"/>
        <v>-13.461</v>
      </c>
      <c r="O317" s="262">
        <f t="shared" si="67"/>
        <v>-16.135000000000002</v>
      </c>
      <c r="P317" s="262">
        <f t="shared" si="68"/>
        <v>-11.039</v>
      </c>
      <c r="Q317" s="270">
        <v>-15.659000000000001</v>
      </c>
      <c r="R317" s="128">
        <v>-12.941000000000001</v>
      </c>
      <c r="S317" s="128">
        <v>-8.8230000000000004</v>
      </c>
      <c r="T317" s="128"/>
      <c r="U317" s="270">
        <v>-10.6089</v>
      </c>
      <c r="V317" s="270">
        <v>-13.343299999999999</v>
      </c>
      <c r="W317" s="262">
        <v>1.1647000000000001</v>
      </c>
      <c r="X317" s="128">
        <v>1.4993000000000001</v>
      </c>
      <c r="Y317" s="128"/>
      <c r="Z317" s="128">
        <v>-1.57</v>
      </c>
      <c r="AA317" s="262">
        <v>-10.106</v>
      </c>
      <c r="AB317" s="270">
        <v>-9.4415999999999993</v>
      </c>
      <c r="AC317" s="270">
        <v>-10.7067</v>
      </c>
      <c r="AD317" s="280"/>
      <c r="AE317" s="277">
        <f t="shared" si="63"/>
        <v>-5.7650749999999995</v>
      </c>
      <c r="AF317" s="262">
        <f t="shared" si="54"/>
        <v>-10.106</v>
      </c>
      <c r="AG317" s="128">
        <v>0.81789999999999996</v>
      </c>
      <c r="AH317" s="352">
        <v>-5.93</v>
      </c>
      <c r="AI317"/>
      <c r="AJ317"/>
      <c r="AK317"/>
      <c r="AL317"/>
      <c r="AM317" s="242"/>
      <c r="AN317" s="270">
        <v>-10.106</v>
      </c>
      <c r="AO317" s="270">
        <v>-10.6089</v>
      </c>
      <c r="AP317" s="270"/>
      <c r="AQ317" s="270"/>
      <c r="AR317" s="270"/>
      <c r="AS317" s="270"/>
      <c r="AT317" s="270"/>
      <c r="AU317" s="270"/>
      <c r="AV317" s="245">
        <v>0.53</v>
      </c>
      <c r="AW317" s="245"/>
      <c r="AX317" s="245"/>
      <c r="AY317" s="245">
        <v>0.3</v>
      </c>
      <c r="AZ317" s="245">
        <v>0.17</v>
      </c>
      <c r="BA317" s="245">
        <v>0</v>
      </c>
      <c r="BB317" s="245"/>
      <c r="BC317" s="245">
        <f t="shared" si="51"/>
        <v>1</v>
      </c>
      <c r="BD317" s="240">
        <f t="shared" si="52"/>
        <v>-5.6483600000000003</v>
      </c>
      <c r="BE317" s="243">
        <f t="shared" si="55"/>
        <v>-5.6483600000000003</v>
      </c>
      <c r="BF317" s="235">
        <v>0.375</v>
      </c>
      <c r="BG317" s="235">
        <v>0.04</v>
      </c>
      <c r="BH317" s="235">
        <v>0.04</v>
      </c>
      <c r="BI317" s="235"/>
      <c r="BJ317" s="235">
        <v>0.17</v>
      </c>
      <c r="BK317" s="235"/>
      <c r="BL317" s="235"/>
      <c r="BM317" s="235">
        <v>0.27500000000000002</v>
      </c>
      <c r="BN317" s="235"/>
      <c r="BO317" s="235">
        <v>0.1</v>
      </c>
      <c r="BP317" s="235">
        <f t="shared" si="69"/>
        <v>1</v>
      </c>
      <c r="BQ317" s="243">
        <f t="shared" si="64"/>
        <v>-6.038348</v>
      </c>
      <c r="BS317" s="341">
        <f t="array" ref="BS317">((1+9.4/100)^(1/12)-1)*100</f>
        <v>0.75148209323356863</v>
      </c>
      <c r="BT317" s="341"/>
      <c r="BU317" s="341"/>
      <c r="BV317" s="341">
        <f t="array" ref="BV317">((1+5.6/100)^(1/12)-1)*100</f>
        <v>0.45510066248739545</v>
      </c>
      <c r="BW317" s="341">
        <f t="array" ref="BW317">((1+10/100)^(1/12)-1)*100</f>
        <v>0.79741404289037643</v>
      </c>
      <c r="BX317" s="341"/>
      <c r="BY317" s="341">
        <f t="shared" si="61"/>
        <v>0.670376095451374</v>
      </c>
      <c r="BZ317" s="341">
        <f t="shared" si="65"/>
        <v>0.75148209323356863</v>
      </c>
      <c r="CA317" s="341"/>
      <c r="CB317" s="243">
        <f t="shared" si="59"/>
        <v>0.64340301100034303</v>
      </c>
      <c r="CC317" s="243"/>
      <c r="CD317" s="243">
        <f t="shared" si="62"/>
        <v>0.64340301100034303</v>
      </c>
      <c r="CG317" s="734">
        <f t="shared" si="53"/>
        <v>-8.0749999999999993</v>
      </c>
      <c r="CJ317" s="1264">
        <f t="shared" si="60"/>
        <v>0.79741404289037643</v>
      </c>
    </row>
    <row r="318" spans="1:88" x14ac:dyDescent="0.2">
      <c r="A318" s="19">
        <v>37195</v>
      </c>
      <c r="B318" s="262">
        <v>1.907</v>
      </c>
      <c r="C318" s="270">
        <v>3.6781999999999999</v>
      </c>
      <c r="D318" s="270">
        <v>0</v>
      </c>
      <c r="E318" s="270">
        <v>4.4234999999999998</v>
      </c>
      <c r="F318" s="270">
        <v>7.6609999999999996</v>
      </c>
      <c r="G318" s="270">
        <v>1.57</v>
      </c>
      <c r="H318" s="270">
        <v>5.8520000000000003</v>
      </c>
      <c r="I318" s="262">
        <v>9.6199999999999992</v>
      </c>
      <c r="J318" s="270">
        <v>2.6120000000000001</v>
      </c>
      <c r="K318" s="128">
        <v>5.3326000000000002</v>
      </c>
      <c r="L318" s="128">
        <v>7.2714999999999996</v>
      </c>
      <c r="M318" s="128">
        <v>3.4647000000000001</v>
      </c>
      <c r="N318" s="262">
        <f t="shared" si="66"/>
        <v>5.8520000000000003</v>
      </c>
      <c r="O318" s="262">
        <f t="shared" si="67"/>
        <v>9.6199999999999992</v>
      </c>
      <c r="P318" s="262">
        <f t="shared" si="68"/>
        <v>2.6120000000000001</v>
      </c>
      <c r="Q318" s="270">
        <v>9.8620000000000001</v>
      </c>
      <c r="R318" s="128">
        <v>5.1710000000000003</v>
      </c>
      <c r="S318" s="128">
        <v>2.327</v>
      </c>
      <c r="T318" s="128"/>
      <c r="U318" s="270">
        <v>2.8018000000000001</v>
      </c>
      <c r="V318" s="270">
        <v>5.1169000000000002</v>
      </c>
      <c r="W318" s="262">
        <v>2.093</v>
      </c>
      <c r="X318" s="128">
        <v>1.5436000000000001</v>
      </c>
      <c r="Y318" s="128"/>
      <c r="Z318" s="128">
        <v>-0.8</v>
      </c>
      <c r="AA318" s="262">
        <v>2.5571000000000002</v>
      </c>
      <c r="AB318" s="270">
        <v>3.9811999999999999</v>
      </c>
      <c r="AC318" s="270">
        <v>1.2553000000000001</v>
      </c>
      <c r="AD318" s="280"/>
      <c r="AE318" s="277">
        <f t="shared" si="63"/>
        <v>1.9535</v>
      </c>
      <c r="AF318" s="262">
        <f t="shared" si="54"/>
        <v>2.5571000000000002</v>
      </c>
      <c r="AG318" s="128">
        <v>0.52910000000000001</v>
      </c>
      <c r="AH318" s="352">
        <v>-3.74</v>
      </c>
      <c r="AI318"/>
      <c r="AJ318"/>
      <c r="AK318"/>
      <c r="AL318"/>
      <c r="AM318" s="242"/>
      <c r="AN318" s="270">
        <v>2.5568</v>
      </c>
      <c r="AO318" s="270">
        <v>2.8018000000000001</v>
      </c>
      <c r="AP318" s="270"/>
      <c r="AQ318" s="270"/>
      <c r="AR318" s="270"/>
      <c r="AS318" s="270"/>
      <c r="AT318" s="270"/>
      <c r="AU318" s="270"/>
      <c r="AV318" s="245">
        <v>0.53</v>
      </c>
      <c r="AW318" s="245"/>
      <c r="AX318" s="245"/>
      <c r="AY318" s="245">
        <v>0.3</v>
      </c>
      <c r="AZ318" s="245">
        <v>0.17</v>
      </c>
      <c r="BA318" s="245">
        <v>0</v>
      </c>
      <c r="BB318" s="245"/>
      <c r="BC318" s="245">
        <f t="shared" si="51"/>
        <v>1</v>
      </c>
      <c r="BD318" s="240">
        <f t="shared" si="52"/>
        <v>2.0733169999999999</v>
      </c>
      <c r="BE318" s="243">
        <f t="shared" si="55"/>
        <v>2.0733169999999999</v>
      </c>
      <c r="BF318" s="235">
        <v>0.375</v>
      </c>
      <c r="BG318" s="235">
        <v>0.04</v>
      </c>
      <c r="BH318" s="235">
        <v>0.04</v>
      </c>
      <c r="BI318" s="235"/>
      <c r="BJ318" s="235">
        <v>0.17</v>
      </c>
      <c r="BK318" s="235"/>
      <c r="BL318" s="235"/>
      <c r="BM318" s="235">
        <v>0.27500000000000002</v>
      </c>
      <c r="BN318" s="235"/>
      <c r="BO318" s="235">
        <v>0.1</v>
      </c>
      <c r="BP318" s="235">
        <f t="shared" si="69"/>
        <v>1</v>
      </c>
      <c r="BQ318" s="243">
        <f t="shared" si="64"/>
        <v>2.3317770000000002</v>
      </c>
      <c r="BS318" s="341">
        <f t="array" ref="BS318">((1+9.4/100)^(1/12)-1)*100</f>
        <v>0.75148209323356863</v>
      </c>
      <c r="BT318" s="341"/>
      <c r="BU318" s="341"/>
      <c r="BV318" s="341">
        <f t="array" ref="BV318">((1+5.6/100)^(1/12)-1)*100</f>
        <v>0.45510066248739545</v>
      </c>
      <c r="BW318" s="341">
        <f t="array" ref="BW318">((1+10/100)^(1/12)-1)*100</f>
        <v>0.79741404289037643</v>
      </c>
      <c r="BX318" s="341"/>
      <c r="BY318" s="341">
        <f t="shared" si="61"/>
        <v>0.670376095451374</v>
      </c>
      <c r="BZ318" s="341">
        <f t="shared" si="65"/>
        <v>0.75148209323356863</v>
      </c>
      <c r="CA318" s="341"/>
      <c r="CB318" s="243">
        <f t="shared" si="59"/>
        <v>0.64340301100034303</v>
      </c>
      <c r="CC318" s="243"/>
      <c r="CD318" s="243">
        <f t="shared" si="62"/>
        <v>0.64340301100034303</v>
      </c>
      <c r="CG318" s="734">
        <f t="shared" si="53"/>
        <v>1.907</v>
      </c>
      <c r="CJ318" s="1264">
        <f t="shared" si="60"/>
        <v>0.79741404289037643</v>
      </c>
    </row>
    <row r="319" spans="1:88" x14ac:dyDescent="0.2">
      <c r="A319" s="19">
        <v>37225</v>
      </c>
      <c r="B319" s="262">
        <v>7.6710000000000003</v>
      </c>
      <c r="C319" s="270">
        <v>8.8574999999999999</v>
      </c>
      <c r="D319" s="270">
        <v>6.3460000000000001</v>
      </c>
      <c r="E319" s="270">
        <v>7.4390000000000001</v>
      </c>
      <c r="F319" s="270">
        <v>8.8958999999999993</v>
      </c>
      <c r="G319" s="270">
        <v>6.0780000000000003</v>
      </c>
      <c r="H319" s="270">
        <v>7.742</v>
      </c>
      <c r="I319" s="262">
        <v>8.3469999999999995</v>
      </c>
      <c r="J319" s="270">
        <v>7.1859999999999999</v>
      </c>
      <c r="K319" s="128">
        <v>7.3151999999999999</v>
      </c>
      <c r="L319" s="128">
        <v>6.9718</v>
      </c>
      <c r="M319" s="128">
        <v>7.6577999999999999</v>
      </c>
      <c r="N319" s="262">
        <f t="shared" si="66"/>
        <v>7.742</v>
      </c>
      <c r="O319" s="262">
        <f t="shared" si="67"/>
        <v>8.3469999999999995</v>
      </c>
      <c r="P319" s="262">
        <f t="shared" si="68"/>
        <v>7.1859999999999999</v>
      </c>
      <c r="Q319" s="270">
        <v>8.6419999999999995</v>
      </c>
      <c r="R319" s="128">
        <v>8.0879999999999992</v>
      </c>
      <c r="S319" s="128">
        <v>7.702</v>
      </c>
      <c r="T319" s="128"/>
      <c r="U319" s="270">
        <v>4.5738000000000003</v>
      </c>
      <c r="V319" s="270">
        <v>3.8603000000000001</v>
      </c>
      <c r="W319" s="262">
        <v>-1.3789</v>
      </c>
      <c r="X319" s="128">
        <v>-0.98760000000000003</v>
      </c>
      <c r="Y319" s="128"/>
      <c r="Z319" s="128">
        <v>1.1000000000000001</v>
      </c>
      <c r="AA319" s="262">
        <v>3.6930000000000001</v>
      </c>
      <c r="AB319" s="270">
        <v>5.1437999999999997</v>
      </c>
      <c r="AC319" s="270">
        <v>2.3306</v>
      </c>
      <c r="AD319" s="280"/>
      <c r="AE319" s="277">
        <f t="shared" si="63"/>
        <v>5.408525</v>
      </c>
      <c r="AF319" s="262">
        <f t="shared" si="54"/>
        <v>3.6930000000000001</v>
      </c>
      <c r="AG319" s="128">
        <v>0.52910000000000001</v>
      </c>
      <c r="AH319" s="352">
        <v>6.48</v>
      </c>
      <c r="AI319"/>
      <c r="AJ319"/>
      <c r="AK319"/>
      <c r="AL319"/>
      <c r="AM319" s="242"/>
      <c r="AN319" s="270">
        <v>3.6928999999999998</v>
      </c>
      <c r="AO319" s="270">
        <v>4.5738000000000003</v>
      </c>
      <c r="AP319" s="270"/>
      <c r="AQ319" s="270"/>
      <c r="AR319" s="270"/>
      <c r="AS319" s="270"/>
      <c r="AT319" s="270"/>
      <c r="AU319" s="270"/>
      <c r="AV319" s="245">
        <v>0.53</v>
      </c>
      <c r="AW319" s="245"/>
      <c r="AX319" s="245"/>
      <c r="AY319" s="245">
        <v>0.3</v>
      </c>
      <c r="AZ319" s="245">
        <v>0.17</v>
      </c>
      <c r="BA319" s="245">
        <v>0</v>
      </c>
      <c r="BB319" s="245"/>
      <c r="BC319" s="245">
        <f t="shared" si="51"/>
        <v>1</v>
      </c>
      <c r="BD319" s="240">
        <f t="shared" si="52"/>
        <v>4.279770000000001</v>
      </c>
      <c r="BE319" s="243">
        <f t="shared" si="55"/>
        <v>4.279770000000001</v>
      </c>
      <c r="BF319" s="235">
        <v>0.375</v>
      </c>
      <c r="BG319" s="235">
        <v>0.04</v>
      </c>
      <c r="BH319" s="235">
        <v>0.04</v>
      </c>
      <c r="BI319" s="235"/>
      <c r="BJ319" s="235">
        <v>0.17</v>
      </c>
      <c r="BK319" s="235"/>
      <c r="BL319" s="235"/>
      <c r="BM319" s="235">
        <v>0.27500000000000002</v>
      </c>
      <c r="BN319" s="235"/>
      <c r="BO319" s="235">
        <v>0.1</v>
      </c>
      <c r="BP319" s="235">
        <f t="shared" si="69"/>
        <v>1</v>
      </c>
      <c r="BQ319" s="243">
        <f t="shared" si="64"/>
        <v>4.2733299999999996</v>
      </c>
      <c r="BS319" s="341">
        <f t="array" ref="BS319">((1+9.4/100)^(1/12)-1)*100</f>
        <v>0.75148209323356863</v>
      </c>
      <c r="BT319" s="341"/>
      <c r="BU319" s="341"/>
      <c r="BV319" s="341">
        <f t="array" ref="BV319">((1+5.6/100)^(1/12)-1)*100</f>
        <v>0.45510066248739545</v>
      </c>
      <c r="BW319" s="341">
        <f t="array" ref="BW319">((1+10/100)^(1/12)-1)*100</f>
        <v>0.79741404289037643</v>
      </c>
      <c r="BX319" s="341"/>
      <c r="BY319" s="341">
        <f t="shared" si="61"/>
        <v>0.670376095451374</v>
      </c>
      <c r="BZ319" s="341">
        <f t="shared" si="65"/>
        <v>0.75148209323356863</v>
      </c>
      <c r="CA319" s="341"/>
      <c r="CB319" s="243">
        <f t="shared" si="59"/>
        <v>0.64340301100034303</v>
      </c>
      <c r="CC319" s="243"/>
      <c r="CD319" s="243">
        <f t="shared" si="62"/>
        <v>0.64340301100034303</v>
      </c>
      <c r="CG319" s="734">
        <f t="shared" si="53"/>
        <v>7.6710000000000003</v>
      </c>
      <c r="CJ319" s="1264">
        <f t="shared" si="60"/>
        <v>0.79741404289037643</v>
      </c>
    </row>
    <row r="320" spans="1:88" x14ac:dyDescent="0.2">
      <c r="A320" s="19">
        <v>37256</v>
      </c>
      <c r="B320" s="262">
        <v>0.876</v>
      </c>
      <c r="C320" s="270">
        <v>0.1452</v>
      </c>
      <c r="D320" s="270">
        <v>1.5209999999999999</v>
      </c>
      <c r="E320" s="270">
        <v>5.1658999999999997</v>
      </c>
      <c r="F320" s="270">
        <v>3.9487000000000001</v>
      </c>
      <c r="G320" s="270">
        <v>6.2960000000000003</v>
      </c>
      <c r="H320" s="270">
        <v>6.1719999999999997</v>
      </c>
      <c r="I320" s="262">
        <v>6.226</v>
      </c>
      <c r="J320" s="270">
        <v>6.1230000000000002</v>
      </c>
      <c r="K320" s="128">
        <v>6.7667000000000002</v>
      </c>
      <c r="L320" s="128">
        <v>7.6634000000000002</v>
      </c>
      <c r="M320" s="128">
        <v>5.8685999999999998</v>
      </c>
      <c r="N320" s="262">
        <f t="shared" si="66"/>
        <v>6.1719999999999997</v>
      </c>
      <c r="O320" s="262">
        <f t="shared" si="67"/>
        <v>6.226</v>
      </c>
      <c r="P320" s="262">
        <f t="shared" si="68"/>
        <v>6.1230000000000002</v>
      </c>
      <c r="Q320" s="270">
        <v>5.4850000000000003</v>
      </c>
      <c r="R320" s="128">
        <v>5.6059999999999999</v>
      </c>
      <c r="S320" s="128">
        <v>1.409</v>
      </c>
      <c r="T320" s="128"/>
      <c r="U320" s="270">
        <v>1.2883</v>
      </c>
      <c r="V320" s="270">
        <v>-2.4539</v>
      </c>
      <c r="W320" s="262">
        <v>-0.63570000000000004</v>
      </c>
      <c r="X320" s="128">
        <v>-0.48149999999999998</v>
      </c>
      <c r="Y320" s="128"/>
      <c r="Z320" s="128">
        <v>1.24</v>
      </c>
      <c r="AA320" s="262">
        <v>0.59613000000000005</v>
      </c>
      <c r="AB320" s="270">
        <v>0.58079999999999998</v>
      </c>
      <c r="AC320" s="270">
        <v>0.61099999999999999</v>
      </c>
      <c r="AD320" s="280"/>
      <c r="AE320" s="277">
        <f t="shared" si="63"/>
        <v>0.49807500000000005</v>
      </c>
      <c r="AF320" s="262">
        <f t="shared" si="54"/>
        <v>0.59613000000000005</v>
      </c>
      <c r="AG320" s="128">
        <v>0.52910000000000001</v>
      </c>
      <c r="AH320" s="352">
        <v>2.9</v>
      </c>
      <c r="AI320"/>
      <c r="AJ320"/>
      <c r="AK320"/>
      <c r="AL320"/>
      <c r="AM320" s="242"/>
      <c r="AN320" s="270">
        <v>0.59619999999999995</v>
      </c>
      <c r="AO320" s="270">
        <v>1.2883</v>
      </c>
      <c r="AP320" s="270"/>
      <c r="AQ320" s="270"/>
      <c r="AR320" s="270"/>
      <c r="AS320" s="270"/>
      <c r="AT320" s="270"/>
      <c r="AU320" s="270"/>
      <c r="AV320" s="245">
        <v>0.53</v>
      </c>
      <c r="AW320" s="245"/>
      <c r="AX320" s="245"/>
      <c r="AY320" s="245">
        <v>0.3</v>
      </c>
      <c r="AZ320" s="245">
        <v>0.17</v>
      </c>
      <c r="BA320" s="245">
        <v>0</v>
      </c>
      <c r="BB320" s="245"/>
      <c r="BC320" s="245">
        <f t="shared" si="51"/>
        <v>1</v>
      </c>
      <c r="BD320" s="240">
        <f t="shared" si="52"/>
        <v>0.37491209999999997</v>
      </c>
      <c r="BE320" s="243">
        <f t="shared" si="55"/>
        <v>0.37491209999999997</v>
      </c>
      <c r="BF320" s="235">
        <v>0.375</v>
      </c>
      <c r="BG320" s="235">
        <v>0.04</v>
      </c>
      <c r="BH320" s="235">
        <v>0.04</v>
      </c>
      <c r="BI320" s="235"/>
      <c r="BJ320" s="235">
        <v>0.17</v>
      </c>
      <c r="BK320" s="235"/>
      <c r="BL320" s="235"/>
      <c r="BM320" s="235">
        <v>0.27500000000000002</v>
      </c>
      <c r="BN320" s="235"/>
      <c r="BO320" s="235">
        <v>0.1</v>
      </c>
      <c r="BP320" s="235">
        <f t="shared" si="69"/>
        <v>1</v>
      </c>
      <c r="BQ320" s="243">
        <f t="shared" si="64"/>
        <v>0.75834810000000008</v>
      </c>
      <c r="BS320" s="341">
        <f t="array" ref="BS320">((1+9.4/100)^(1/12)-1)*100</f>
        <v>0.75148209323356863</v>
      </c>
      <c r="BT320" s="341"/>
      <c r="BU320" s="341"/>
      <c r="BV320" s="341">
        <f t="array" ref="BV320">((1+5.6/100)^(1/12)-1)*100</f>
        <v>0.45510066248739545</v>
      </c>
      <c r="BW320" s="341">
        <f t="array" ref="BW320">((1+10/100)^(1/12)-1)*100</f>
        <v>0.79741404289037643</v>
      </c>
      <c r="BX320" s="341"/>
      <c r="BY320" s="341">
        <f t="shared" si="61"/>
        <v>0.670376095451374</v>
      </c>
      <c r="BZ320" s="341">
        <f t="shared" si="65"/>
        <v>0.75148209323356863</v>
      </c>
      <c r="CA320" s="341"/>
      <c r="CB320" s="243">
        <f t="shared" si="59"/>
        <v>0.64340301100034303</v>
      </c>
      <c r="CC320" s="243"/>
      <c r="CD320" s="243">
        <f t="shared" si="62"/>
        <v>0.64340301100034303</v>
      </c>
      <c r="CG320" s="734">
        <f t="shared" si="53"/>
        <v>0.876</v>
      </c>
      <c r="CJ320" s="1264">
        <f t="shared" si="60"/>
        <v>0.79741404289037643</v>
      </c>
    </row>
    <row r="321" spans="1:88" x14ac:dyDescent="0.2">
      <c r="A321" s="19">
        <v>37287</v>
      </c>
      <c r="B321" s="262">
        <v>-1.4590000000000001</v>
      </c>
      <c r="C321" s="270">
        <v>-0.1545</v>
      </c>
      <c r="D321" s="270">
        <v>-2.7440000000000002</v>
      </c>
      <c r="E321" s="270">
        <v>-0.51939999999999997</v>
      </c>
      <c r="F321" s="270">
        <v>-1.0333000000000001</v>
      </c>
      <c r="G321" s="270">
        <v>-0.02</v>
      </c>
      <c r="H321" s="270">
        <v>-1.04</v>
      </c>
      <c r="I321" s="262">
        <v>-3.5579999999999998</v>
      </c>
      <c r="J321" s="270">
        <v>1.327</v>
      </c>
      <c r="K321" s="128">
        <v>0.87209999999999999</v>
      </c>
      <c r="L321" s="128">
        <v>-3.9699999999999999E-2</v>
      </c>
      <c r="M321" s="128">
        <v>1.8101</v>
      </c>
      <c r="N321" s="262">
        <f t="shared" si="66"/>
        <v>-1.04</v>
      </c>
      <c r="O321" s="262">
        <f t="shared" si="67"/>
        <v>-3.5579999999999998</v>
      </c>
      <c r="P321" s="262">
        <f t="shared" si="68"/>
        <v>1.327</v>
      </c>
      <c r="Q321" s="270">
        <v>-4.274</v>
      </c>
      <c r="R321" s="128">
        <v>-1.2410000000000001</v>
      </c>
      <c r="S321" s="128">
        <v>-1.254</v>
      </c>
      <c r="T321" s="128"/>
      <c r="U321" s="270">
        <v>-4.2827000000000002</v>
      </c>
      <c r="V321" s="270">
        <v>-2.3483000000000001</v>
      </c>
      <c r="W321" s="262">
        <v>0.80959999999999999</v>
      </c>
      <c r="X321" s="128">
        <v>0.70809999999999995</v>
      </c>
      <c r="Y321" s="128"/>
      <c r="Z321" s="128">
        <v>-0.6</v>
      </c>
      <c r="AA321" s="262">
        <v>-5.3059000000000003</v>
      </c>
      <c r="AB321" s="270">
        <v>-5.3898999999999999</v>
      </c>
      <c r="AC321" s="270">
        <v>-5.2252000000000001</v>
      </c>
      <c r="AD321" s="280"/>
      <c r="AE321" s="277">
        <f t="shared" si="63"/>
        <v>-0.89185000000000014</v>
      </c>
      <c r="AF321" s="262">
        <f t="shared" si="54"/>
        <v>-5.3059000000000003</v>
      </c>
      <c r="AG321" s="128">
        <v>0.22289999999999999</v>
      </c>
      <c r="AH321" s="352">
        <v>0.43</v>
      </c>
      <c r="AI321"/>
      <c r="AJ321"/>
      <c r="AK321"/>
      <c r="AL321"/>
      <c r="AM321" s="242"/>
      <c r="AN321" s="270">
        <v>-5.3057999999999996</v>
      </c>
      <c r="AO321" s="270">
        <v>-4.2827000000000002</v>
      </c>
      <c r="AP321" s="270"/>
      <c r="AQ321" s="270"/>
      <c r="AR321" s="270"/>
      <c r="AS321" s="270"/>
      <c r="AT321" s="270"/>
      <c r="AU321" s="270"/>
      <c r="AV321" s="245">
        <v>0.53</v>
      </c>
      <c r="AW321" s="245"/>
      <c r="AX321" s="245"/>
      <c r="AY321" s="245">
        <v>0.3</v>
      </c>
      <c r="AZ321" s="245">
        <v>0.17</v>
      </c>
      <c r="BA321" s="245">
        <v>0</v>
      </c>
      <c r="BB321" s="245"/>
      <c r="BC321" s="245">
        <f t="shared" si="51"/>
        <v>1</v>
      </c>
      <c r="BD321" s="240">
        <f t="shared" si="52"/>
        <v>-1.4323930000000002</v>
      </c>
      <c r="BE321" s="243">
        <f t="shared" si="55"/>
        <v>-1.4323930000000002</v>
      </c>
      <c r="BF321" s="235">
        <v>0.375</v>
      </c>
      <c r="BG321" s="235">
        <v>0.04</v>
      </c>
      <c r="BH321" s="235">
        <v>0.04</v>
      </c>
      <c r="BI321" s="235"/>
      <c r="BJ321" s="235">
        <v>0.17</v>
      </c>
      <c r="BK321" s="235"/>
      <c r="BL321" s="235"/>
      <c r="BM321" s="235">
        <v>0.27500000000000002</v>
      </c>
      <c r="BN321" s="235"/>
      <c r="BO321" s="235">
        <v>0.1</v>
      </c>
      <c r="BP321" s="235">
        <f t="shared" si="69"/>
        <v>1</v>
      </c>
      <c r="BQ321" s="243">
        <f t="shared" si="64"/>
        <v>-1.3780490000000003</v>
      </c>
      <c r="BS321" s="341">
        <f t="array" ref="BS321">((1+9.4/100)^(1/12)-1)*100</f>
        <v>0.75148209323356863</v>
      </c>
      <c r="BT321" s="341"/>
      <c r="BU321" s="341"/>
      <c r="BV321" s="341">
        <f t="array" ref="BV321">((1+5.6/100)^(1/12)-1)*100</f>
        <v>0.45510066248739545</v>
      </c>
      <c r="BW321" s="341">
        <f t="array" ref="BW321">((1+10/100)^(1/12)-1)*100</f>
        <v>0.79741404289037643</v>
      </c>
      <c r="BX321" s="341"/>
      <c r="BY321" s="341">
        <f t="shared" si="61"/>
        <v>0.670376095451374</v>
      </c>
      <c r="BZ321" s="341">
        <f t="shared" si="65"/>
        <v>0.75148209323356863</v>
      </c>
      <c r="CA321" s="341"/>
      <c r="CB321" s="243">
        <f t="shared" si="59"/>
        <v>0.64340301100034303</v>
      </c>
      <c r="CC321" s="243"/>
      <c r="CD321" s="243">
        <f t="shared" si="62"/>
        <v>0.64340301100034303</v>
      </c>
      <c r="CG321" s="734">
        <f t="shared" si="53"/>
        <v>-1.4590000000000001</v>
      </c>
      <c r="CJ321" s="1264">
        <f t="shared" si="60"/>
        <v>0.79741404289037643</v>
      </c>
    </row>
    <row r="322" spans="1:88" x14ac:dyDescent="0.2">
      <c r="A322" s="19">
        <v>37315</v>
      </c>
      <c r="B322" s="262">
        <v>-1.9279999999999999</v>
      </c>
      <c r="C322" s="270">
        <v>-2.9523999999999999</v>
      </c>
      <c r="D322" s="270">
        <v>-0.89500000000000002</v>
      </c>
      <c r="E322" s="270">
        <v>0.1231</v>
      </c>
      <c r="F322" s="270">
        <v>-2.1993999999999998</v>
      </c>
      <c r="G322" s="270">
        <v>2.371</v>
      </c>
      <c r="H322" s="270">
        <v>-2.7410000000000001</v>
      </c>
      <c r="I322" s="262">
        <v>-6.4720000000000004</v>
      </c>
      <c r="J322" s="270">
        <v>0.60899999999999999</v>
      </c>
      <c r="K322" s="128">
        <v>-1.7195</v>
      </c>
      <c r="L322" s="128">
        <v>-2.1387</v>
      </c>
      <c r="M322" s="128">
        <v>-1.3052999999999999</v>
      </c>
      <c r="N322" s="262">
        <f t="shared" si="66"/>
        <v>-2.7410000000000001</v>
      </c>
      <c r="O322" s="262">
        <f t="shared" si="67"/>
        <v>-6.4720000000000004</v>
      </c>
      <c r="P322" s="262">
        <f t="shared" si="68"/>
        <v>0.60899999999999999</v>
      </c>
      <c r="Q322" s="270">
        <v>-6.1769999999999996</v>
      </c>
      <c r="R322" s="128">
        <v>-1.7509999999999999</v>
      </c>
      <c r="S322" s="128">
        <v>-2.0449999999999999</v>
      </c>
      <c r="T322" s="128"/>
      <c r="U322" s="270">
        <v>0.72009999999999996</v>
      </c>
      <c r="V322" s="270">
        <v>1.6685000000000001</v>
      </c>
      <c r="W322" s="262">
        <v>0.96899999999999997</v>
      </c>
      <c r="X322" s="128">
        <v>0.96209999999999996</v>
      </c>
      <c r="Y322" s="128"/>
      <c r="Z322" s="128">
        <v>-0.99</v>
      </c>
      <c r="AA322" s="262">
        <v>0.70599999999999996</v>
      </c>
      <c r="AB322" s="270">
        <v>1.3502000000000001</v>
      </c>
      <c r="AC322" s="270">
        <v>8.77E-2</v>
      </c>
      <c r="AD322" s="280"/>
      <c r="AE322" s="277">
        <f t="shared" si="63"/>
        <v>-1.2037499999999999</v>
      </c>
      <c r="AF322" s="262">
        <f t="shared" si="54"/>
        <v>0.70599999999999996</v>
      </c>
      <c r="AG322" s="128">
        <v>0.22289999999999999</v>
      </c>
      <c r="AH322" s="352">
        <v>2.29</v>
      </c>
      <c r="AI322"/>
      <c r="AJ322"/>
      <c r="AK322"/>
      <c r="AL322"/>
      <c r="AM322" s="242"/>
      <c r="AN322" s="270">
        <v>0.70620000000000005</v>
      </c>
      <c r="AO322" s="270">
        <v>0.72009999999999996</v>
      </c>
      <c r="AP322" s="270"/>
      <c r="AQ322" s="270"/>
      <c r="AR322" s="270"/>
      <c r="AS322" s="270"/>
      <c r="AT322" s="270"/>
      <c r="AU322" s="270"/>
      <c r="AV322" s="245">
        <v>0.53</v>
      </c>
      <c r="AW322" s="245"/>
      <c r="AX322" s="245"/>
      <c r="AY322" s="245">
        <v>0.3</v>
      </c>
      <c r="AZ322" s="245">
        <v>0.17</v>
      </c>
      <c r="BA322" s="245">
        <v>0</v>
      </c>
      <c r="BB322" s="245"/>
      <c r="BC322" s="245">
        <f t="shared" si="51"/>
        <v>1</v>
      </c>
      <c r="BD322" s="240">
        <f t="shared" si="52"/>
        <v>-0.61112000000000011</v>
      </c>
      <c r="BE322" s="243">
        <f t="shared" si="55"/>
        <v>-0.61112000000000011</v>
      </c>
      <c r="BF322" s="235">
        <v>0.375</v>
      </c>
      <c r="BG322" s="235">
        <v>0.04</v>
      </c>
      <c r="BH322" s="235">
        <v>0.04</v>
      </c>
      <c r="BI322" s="235"/>
      <c r="BJ322" s="235">
        <v>0.17</v>
      </c>
      <c r="BK322" s="235"/>
      <c r="BL322" s="235"/>
      <c r="BM322" s="235">
        <v>0.27500000000000002</v>
      </c>
      <c r="BN322" s="235"/>
      <c r="BO322" s="235">
        <v>0.1</v>
      </c>
      <c r="BP322" s="235">
        <f t="shared" si="69"/>
        <v>1</v>
      </c>
      <c r="BQ322" s="243">
        <f t="shared" si="64"/>
        <v>-0.56159599999999987</v>
      </c>
      <c r="BS322" s="341">
        <f t="array" ref="BS322">((1+9.4/100)^(1/12)-1)*100</f>
        <v>0.75148209323356863</v>
      </c>
      <c r="BT322" s="341"/>
      <c r="BU322" s="341"/>
      <c r="BV322" s="341">
        <f t="array" ref="BV322">((1+5.6/100)^(1/12)-1)*100</f>
        <v>0.45510066248739545</v>
      </c>
      <c r="BW322" s="341">
        <f t="array" ref="BW322">((1+10/100)^(1/12)-1)*100</f>
        <v>0.79741404289037643</v>
      </c>
      <c r="BX322" s="341"/>
      <c r="BY322" s="341">
        <f t="shared" si="61"/>
        <v>0.670376095451374</v>
      </c>
      <c r="BZ322" s="341">
        <f t="shared" si="65"/>
        <v>0.75148209323356863</v>
      </c>
      <c r="CA322" s="341"/>
      <c r="CB322" s="243">
        <f t="shared" si="59"/>
        <v>0.64340301100034303</v>
      </c>
      <c r="CC322" s="243"/>
      <c r="CD322" s="243">
        <f t="shared" si="62"/>
        <v>0.64340301100034303</v>
      </c>
      <c r="CG322" s="734">
        <f t="shared" si="53"/>
        <v>-1.9279999999999999</v>
      </c>
      <c r="CJ322" s="1264">
        <f t="shared" si="60"/>
        <v>0.79741404289037643</v>
      </c>
    </row>
    <row r="323" spans="1:88" x14ac:dyDescent="0.2">
      <c r="A323" s="19">
        <v>37346</v>
      </c>
      <c r="B323" s="262">
        <v>3.7610000000000001</v>
      </c>
      <c r="C323" s="270">
        <v>2.3826000000000001</v>
      </c>
      <c r="D323" s="270">
        <v>5.1239999999999997</v>
      </c>
      <c r="E323" s="270">
        <v>7.1483999999999996</v>
      </c>
      <c r="F323" s="270">
        <v>6.8849</v>
      </c>
      <c r="G323" s="270">
        <v>7.4020000000000001</v>
      </c>
      <c r="H323" s="270">
        <v>8.0370000000000008</v>
      </c>
      <c r="I323" s="262">
        <v>8.6920000000000002</v>
      </c>
      <c r="J323" s="270">
        <v>7.4889999999999999</v>
      </c>
      <c r="K323" s="128">
        <v>7.8989000000000003</v>
      </c>
      <c r="L323" s="128">
        <v>7.8211000000000004</v>
      </c>
      <c r="M323" s="128">
        <v>7.9710999999999999</v>
      </c>
      <c r="N323" s="262">
        <f t="shared" si="66"/>
        <v>8.0370000000000008</v>
      </c>
      <c r="O323" s="262">
        <f t="shared" si="67"/>
        <v>8.6920000000000002</v>
      </c>
      <c r="P323" s="262">
        <f t="shared" si="68"/>
        <v>7.4889999999999999</v>
      </c>
      <c r="Q323" s="270">
        <v>8.0549999999999997</v>
      </c>
      <c r="R323" s="128">
        <v>6.9139999999999997</v>
      </c>
      <c r="S323" s="128">
        <v>4.3849999999999998</v>
      </c>
      <c r="T323" s="128"/>
      <c r="U323" s="270">
        <v>5.4321999999999999</v>
      </c>
      <c r="V323" s="270">
        <v>6.6547999999999998</v>
      </c>
      <c r="W323" s="262">
        <v>-1.6632</v>
      </c>
      <c r="X323" s="128">
        <v>-1.3265</v>
      </c>
      <c r="Y323" s="128"/>
      <c r="Z323" s="128">
        <v>0.91</v>
      </c>
      <c r="AA323" s="262">
        <v>5.4593999999999996</v>
      </c>
      <c r="AB323" s="270">
        <v>3.8527</v>
      </c>
      <c r="AC323" s="270">
        <v>7.0209000000000001</v>
      </c>
      <c r="AD323" s="280"/>
      <c r="AE323" s="277">
        <f t="shared" si="63"/>
        <v>2.4049500000000004</v>
      </c>
      <c r="AF323" s="262">
        <f t="shared" si="54"/>
        <v>5.4593999999999996</v>
      </c>
      <c r="AG323" s="128">
        <v>0.22289999999999999</v>
      </c>
      <c r="AH323" s="352">
        <v>6.15</v>
      </c>
      <c r="AI323"/>
      <c r="AJ323"/>
      <c r="AK323"/>
      <c r="AL323"/>
      <c r="AM323" s="242"/>
      <c r="AN323" s="270">
        <v>5.4592999999999998</v>
      </c>
      <c r="AO323" s="270">
        <v>5.4321999999999999</v>
      </c>
      <c r="AP323" s="270"/>
      <c r="AQ323" s="270"/>
      <c r="AR323" s="270"/>
      <c r="AS323" s="270"/>
      <c r="AT323" s="270"/>
      <c r="AU323" s="270"/>
      <c r="AV323" s="245">
        <v>0.53</v>
      </c>
      <c r="AW323" s="245"/>
      <c r="AX323" s="245"/>
      <c r="AY323" s="245">
        <v>0.3</v>
      </c>
      <c r="AZ323" s="245">
        <v>0.17</v>
      </c>
      <c r="BA323" s="245">
        <v>0</v>
      </c>
      <c r="BB323" s="245"/>
      <c r="BC323" s="245">
        <f t="shared" ref="BC323:BC363" si="70">SUM(AV323:BA323)</f>
        <v>1</v>
      </c>
      <c r="BD323" s="240">
        <f t="shared" ref="BD323:BD365" si="71">(B323*AV323)+(W323*AY323)+(AA323*AZ323)+(U323*BA323)</f>
        <v>2.4224680000000003</v>
      </c>
      <c r="BE323" s="243">
        <f t="shared" si="55"/>
        <v>2.4224680000000003</v>
      </c>
      <c r="BF323" s="235">
        <v>0.375</v>
      </c>
      <c r="BG323" s="235">
        <v>0.04</v>
      </c>
      <c r="BH323" s="235">
        <v>0.04</v>
      </c>
      <c r="BI323" s="235"/>
      <c r="BJ323" s="235">
        <v>0.17</v>
      </c>
      <c r="BK323" s="235"/>
      <c r="BL323" s="235"/>
      <c r="BM323" s="235">
        <v>0.27500000000000002</v>
      </c>
      <c r="BN323" s="235"/>
      <c r="BO323" s="235">
        <v>0.1</v>
      </c>
      <c r="BP323" s="235">
        <f t="shared" si="69"/>
        <v>1</v>
      </c>
      <c r="BQ323" s="243">
        <f t="shared" si="64"/>
        <v>2.7290040000000002</v>
      </c>
      <c r="BS323" s="341">
        <f t="array" ref="BS323">((1+9.4/100)^(1/12)-1)*100</f>
        <v>0.75148209323356863</v>
      </c>
      <c r="BT323" s="341"/>
      <c r="BU323" s="341"/>
      <c r="BV323" s="341">
        <f t="array" ref="BV323">((1+5.6/100)^(1/12)-1)*100</f>
        <v>0.45510066248739545</v>
      </c>
      <c r="BW323" s="341">
        <f t="array" ref="BW323">((1+10/100)^(1/12)-1)*100</f>
        <v>0.79741404289037643</v>
      </c>
      <c r="BX323" s="341"/>
      <c r="BY323" s="341">
        <f t="shared" si="61"/>
        <v>0.670376095451374</v>
      </c>
      <c r="BZ323" s="341">
        <f t="shared" si="65"/>
        <v>0.75148209323356863</v>
      </c>
      <c r="CA323" s="341"/>
      <c r="CB323" s="243">
        <f t="shared" si="59"/>
        <v>0.64340301100034303</v>
      </c>
      <c r="CC323" s="243"/>
      <c r="CD323" s="243">
        <f t="shared" si="62"/>
        <v>0.64340301100034303</v>
      </c>
      <c r="CG323" s="734">
        <f t="shared" ref="CG323:CG380" si="72">B323</f>
        <v>3.7610000000000001</v>
      </c>
      <c r="CJ323" s="1264">
        <f t="shared" si="60"/>
        <v>0.79741404289037643</v>
      </c>
    </row>
    <row r="324" spans="1:88" x14ac:dyDescent="0.2">
      <c r="A324" s="19">
        <v>37376</v>
      </c>
      <c r="B324" s="262">
        <v>-6.0629999999999997</v>
      </c>
      <c r="C324" s="270">
        <v>-7.1551</v>
      </c>
      <c r="D324" s="270">
        <v>-5.01</v>
      </c>
      <c r="E324" s="270">
        <v>-0.46750000000000003</v>
      </c>
      <c r="F324" s="270">
        <v>-2.5844999999999998</v>
      </c>
      <c r="G324" s="270">
        <v>1.5</v>
      </c>
      <c r="H324" s="270">
        <v>0.91100000000000003</v>
      </c>
      <c r="I324" s="262">
        <v>-2.1640000000000001</v>
      </c>
      <c r="J324" s="270">
        <v>3.52</v>
      </c>
      <c r="K324" s="128">
        <v>2.8260000000000001</v>
      </c>
      <c r="L324" s="128">
        <v>1.5105999999999999</v>
      </c>
      <c r="M324" s="128">
        <v>4.1108000000000002</v>
      </c>
      <c r="N324" s="262">
        <f t="shared" si="66"/>
        <v>0.91100000000000003</v>
      </c>
      <c r="O324" s="262">
        <f t="shared" si="67"/>
        <v>-2.1640000000000001</v>
      </c>
      <c r="P324" s="262">
        <f t="shared" si="68"/>
        <v>3.52</v>
      </c>
      <c r="Q324" s="270">
        <v>-3.319</v>
      </c>
      <c r="R324" s="128">
        <v>-0.254</v>
      </c>
      <c r="S324" s="128">
        <v>-5.2460000000000004</v>
      </c>
      <c r="T324" s="128"/>
      <c r="U324" s="270">
        <v>0.64980000000000004</v>
      </c>
      <c r="V324" s="270">
        <v>3.6705000000000001</v>
      </c>
      <c r="W324" s="262">
        <v>1.9393</v>
      </c>
      <c r="X324" s="128">
        <v>1.7892999999999999</v>
      </c>
      <c r="Y324" s="128"/>
      <c r="Z324" s="128">
        <v>0.61</v>
      </c>
      <c r="AA324" s="262">
        <v>0.72419999999999995</v>
      </c>
      <c r="AB324" s="270">
        <v>0.58309999999999995</v>
      </c>
      <c r="AC324" s="270">
        <v>0.85750000000000004</v>
      </c>
      <c r="AD324" s="280"/>
      <c r="AE324" s="277">
        <f t="shared" si="63"/>
        <v>-4.0624250000000002</v>
      </c>
      <c r="AF324" s="262">
        <f t="shared" ref="AF324:AF365" si="73">AA324</f>
        <v>0.72419999999999995</v>
      </c>
      <c r="AG324" s="128">
        <v>0.50129999999999997</v>
      </c>
      <c r="AH324" s="352">
        <v>0.6</v>
      </c>
      <c r="AI324"/>
      <c r="AJ324"/>
      <c r="AK324"/>
      <c r="AL324"/>
      <c r="AM324" s="242"/>
      <c r="AN324" s="270">
        <v>0.72430000000000005</v>
      </c>
      <c r="AO324" s="270">
        <v>0.64980000000000004</v>
      </c>
      <c r="AP324" s="270"/>
      <c r="AQ324" s="270"/>
      <c r="AR324" s="270"/>
      <c r="AS324" s="270"/>
      <c r="AT324" s="270"/>
      <c r="AU324" s="270"/>
      <c r="AV324" s="245">
        <v>0.53</v>
      </c>
      <c r="AW324" s="245"/>
      <c r="AX324" s="245"/>
      <c r="AY324" s="245">
        <v>0.3</v>
      </c>
      <c r="AZ324" s="245">
        <v>0.17</v>
      </c>
      <c r="BA324" s="245">
        <v>0</v>
      </c>
      <c r="BB324" s="245"/>
      <c r="BC324" s="245">
        <f t="shared" si="70"/>
        <v>1</v>
      </c>
      <c r="BD324" s="240">
        <f t="shared" si="71"/>
        <v>-2.5084859999999995</v>
      </c>
      <c r="BE324" s="243">
        <f t="shared" ref="BE324:BE387" si="74">BD324</f>
        <v>-2.5084859999999995</v>
      </c>
      <c r="BF324" s="235">
        <v>0.375</v>
      </c>
      <c r="BG324" s="235">
        <v>0.04</v>
      </c>
      <c r="BH324" s="235">
        <v>0.04</v>
      </c>
      <c r="BI324" s="235"/>
      <c r="BJ324" s="235">
        <v>0.17</v>
      </c>
      <c r="BK324" s="235"/>
      <c r="BL324" s="235"/>
      <c r="BM324" s="235">
        <v>0.27500000000000002</v>
      </c>
      <c r="BN324" s="235"/>
      <c r="BO324" s="235">
        <v>0.1</v>
      </c>
      <c r="BP324" s="235">
        <f t="shared" si="69"/>
        <v>1</v>
      </c>
      <c r="BQ324" s="243">
        <f t="shared" si="64"/>
        <v>-2.005706</v>
      </c>
      <c r="BS324" s="341">
        <f t="array" ref="BS324">((1+9.4/100)^(1/12)-1)*100</f>
        <v>0.75148209323356863</v>
      </c>
      <c r="BT324" s="341"/>
      <c r="BU324" s="341"/>
      <c r="BV324" s="341">
        <f t="array" ref="BV324">((1+5.6/100)^(1/12)-1)*100</f>
        <v>0.45510066248739545</v>
      </c>
      <c r="BW324" s="341">
        <f t="array" ref="BW324">((1+10/100)^(1/12)-1)*100</f>
        <v>0.79741404289037643</v>
      </c>
      <c r="BX324" s="341"/>
      <c r="BY324" s="341">
        <f t="shared" si="61"/>
        <v>0.670376095451374</v>
      </c>
      <c r="BZ324" s="341">
        <f t="shared" si="65"/>
        <v>0.75148209323356863</v>
      </c>
      <c r="CA324" s="341"/>
      <c r="CB324" s="243">
        <f t="shared" si="59"/>
        <v>0.64340301100034303</v>
      </c>
      <c r="CC324" s="243"/>
      <c r="CD324" s="243">
        <f t="shared" si="62"/>
        <v>0.64340301100034303</v>
      </c>
      <c r="CG324" s="734">
        <f t="shared" si="72"/>
        <v>-6.0629999999999997</v>
      </c>
      <c r="CJ324" s="1264">
        <f t="shared" si="60"/>
        <v>0.79741404289037643</v>
      </c>
    </row>
    <row r="325" spans="1:88" x14ac:dyDescent="0.2">
      <c r="A325" s="19">
        <v>37407</v>
      </c>
      <c r="B325" s="262">
        <v>-0.73699999999999999</v>
      </c>
      <c r="C325" s="270">
        <v>-1.9379</v>
      </c>
      <c r="D325" s="270">
        <v>0.39900000000000002</v>
      </c>
      <c r="E325" s="270">
        <v>-1.6866000000000001</v>
      </c>
      <c r="F325" s="270">
        <v>-1.6316999999999999</v>
      </c>
      <c r="G325" s="270">
        <v>-1.736</v>
      </c>
      <c r="H325" s="270">
        <v>-4.4379999999999997</v>
      </c>
      <c r="I325" s="262">
        <v>-5.8470000000000004</v>
      </c>
      <c r="J325" s="270">
        <v>-3.3069999999999999</v>
      </c>
      <c r="K325" s="128">
        <v>-4.1394000000000002</v>
      </c>
      <c r="L325" s="128">
        <v>-4.3479999999999999</v>
      </c>
      <c r="M325" s="128">
        <v>-3.9439000000000002</v>
      </c>
      <c r="N325" s="262">
        <f t="shared" si="66"/>
        <v>-4.4379999999999997</v>
      </c>
      <c r="O325" s="262">
        <f t="shared" si="67"/>
        <v>-5.8470000000000004</v>
      </c>
      <c r="P325" s="262">
        <f t="shared" si="68"/>
        <v>-3.3069999999999999</v>
      </c>
      <c r="Q325" s="270">
        <v>-5.04</v>
      </c>
      <c r="R325" s="128">
        <v>-2.931</v>
      </c>
      <c r="S325" s="128">
        <v>-1.159</v>
      </c>
      <c r="T325" s="128"/>
      <c r="U325" s="270">
        <v>1.0892999999999999</v>
      </c>
      <c r="V325" s="270">
        <v>4.4847000000000001</v>
      </c>
      <c r="W325" s="262">
        <v>0.84950000000000003</v>
      </c>
      <c r="X325" s="128">
        <v>0.87660000000000005</v>
      </c>
      <c r="Y325" s="128"/>
      <c r="Z325" s="128">
        <v>0.8</v>
      </c>
      <c r="AA325" s="262">
        <v>1.357</v>
      </c>
      <c r="AB325" s="270">
        <v>0.29049999999999998</v>
      </c>
      <c r="AC325" s="270">
        <v>2.3612000000000002</v>
      </c>
      <c r="AD325" s="280"/>
      <c r="AE325" s="277">
        <f t="shared" si="63"/>
        <v>-0.34037499999999998</v>
      </c>
      <c r="AF325" s="262">
        <f t="shared" si="73"/>
        <v>1.357</v>
      </c>
      <c r="AG325" s="128">
        <v>0.50129999999999997</v>
      </c>
      <c r="AH325" s="352">
        <v>1.01</v>
      </c>
      <c r="AI325"/>
      <c r="AJ325"/>
      <c r="AK325"/>
      <c r="AL325"/>
      <c r="AM325" s="242"/>
      <c r="AN325" s="270">
        <v>1.3564000000000001</v>
      </c>
      <c r="AO325" s="270">
        <v>1.0892999999999999</v>
      </c>
      <c r="AP325" s="270"/>
      <c r="AQ325" s="270"/>
      <c r="AR325" s="270"/>
      <c r="AS325" s="270"/>
      <c r="AT325" s="270"/>
      <c r="AU325" s="270"/>
      <c r="AV325" s="245">
        <v>0.53</v>
      </c>
      <c r="AW325" s="245"/>
      <c r="AX325" s="245"/>
      <c r="AY325" s="245">
        <v>0.3</v>
      </c>
      <c r="AZ325" s="245">
        <v>0.17</v>
      </c>
      <c r="BA325" s="245">
        <v>0</v>
      </c>
      <c r="BB325" s="245"/>
      <c r="BC325" s="245">
        <f t="shared" si="70"/>
        <v>1</v>
      </c>
      <c r="BD325" s="240">
        <f t="shared" si="71"/>
        <v>9.4930000000000014E-2</v>
      </c>
      <c r="BE325" s="243">
        <f t="shared" si="74"/>
        <v>9.4930000000000014E-2</v>
      </c>
      <c r="BF325" s="235">
        <v>0.375</v>
      </c>
      <c r="BG325" s="235">
        <v>0.04</v>
      </c>
      <c r="BH325" s="235">
        <v>0.04</v>
      </c>
      <c r="BI325" s="235"/>
      <c r="BJ325" s="235">
        <v>0.17</v>
      </c>
      <c r="BK325" s="235"/>
      <c r="BL325" s="235"/>
      <c r="BM325" s="235">
        <v>0.27500000000000002</v>
      </c>
      <c r="BN325" s="235"/>
      <c r="BO325" s="235">
        <v>0.1</v>
      </c>
      <c r="BP325" s="235">
        <f t="shared" si="69"/>
        <v>1</v>
      </c>
      <c r="BQ325" s="243">
        <f t="shared" si="64"/>
        <v>-9.1093999999999981E-2</v>
      </c>
      <c r="BS325" s="341">
        <f t="array" ref="BS325">((1+9.4/100)^(1/12)-1)*100</f>
        <v>0.75148209323356863</v>
      </c>
      <c r="BT325" s="341"/>
      <c r="BU325" s="341"/>
      <c r="BV325" s="341">
        <f t="array" ref="BV325">((1+5.6/100)^(1/12)-1)*100</f>
        <v>0.45510066248739545</v>
      </c>
      <c r="BW325" s="341">
        <f t="array" ref="BW325">((1+10/100)^(1/12)-1)*100</f>
        <v>0.79741404289037643</v>
      </c>
      <c r="BX325" s="341"/>
      <c r="BY325" s="341">
        <f t="shared" si="61"/>
        <v>0.670376095451374</v>
      </c>
      <c r="BZ325" s="341">
        <f t="shared" si="65"/>
        <v>0.75148209323356863</v>
      </c>
      <c r="CA325" s="341"/>
      <c r="CB325" s="243">
        <f t="shared" si="59"/>
        <v>0.64340301100034303</v>
      </c>
      <c r="CC325" s="243"/>
      <c r="CD325" s="243">
        <f t="shared" si="62"/>
        <v>0.64340301100034303</v>
      </c>
      <c r="CG325" s="734">
        <f t="shared" si="72"/>
        <v>-0.73699999999999999</v>
      </c>
      <c r="CJ325" s="1264">
        <f t="shared" si="60"/>
        <v>0.79741404289037643</v>
      </c>
    </row>
    <row r="326" spans="1:88" x14ac:dyDescent="0.2">
      <c r="A326" s="19">
        <v>37437</v>
      </c>
      <c r="B326" s="262">
        <v>-7.1239999999999997</v>
      </c>
      <c r="C326" s="270">
        <v>-8.0221999999999998</v>
      </c>
      <c r="D326" s="270">
        <v>-6.3029999999999999</v>
      </c>
      <c r="E326" s="270">
        <v>-7.3190999999999997</v>
      </c>
      <c r="F326" s="270">
        <v>-9.2187999999999999</v>
      </c>
      <c r="G326" s="270">
        <v>-5.6219999999999999</v>
      </c>
      <c r="H326" s="270">
        <v>-4.9619999999999997</v>
      </c>
      <c r="I326" s="262">
        <v>-8.48</v>
      </c>
      <c r="J326" s="270">
        <v>-2.214</v>
      </c>
      <c r="K326" s="128">
        <v>-5.1721000000000004</v>
      </c>
      <c r="L326" s="128">
        <v>-6.8921000000000001</v>
      </c>
      <c r="M326" s="128">
        <v>-3.577</v>
      </c>
      <c r="N326" s="262">
        <f t="shared" si="66"/>
        <v>-4.9619999999999997</v>
      </c>
      <c r="O326" s="262">
        <f t="shared" si="67"/>
        <v>-8.48</v>
      </c>
      <c r="P326" s="262">
        <f t="shared" si="68"/>
        <v>-2.214</v>
      </c>
      <c r="Q326" s="270">
        <v>-9.1929999999999996</v>
      </c>
      <c r="R326" s="128">
        <v>-5.6349999999999998</v>
      </c>
      <c r="S326" s="128">
        <v>-7.1980000000000004</v>
      </c>
      <c r="T326" s="128"/>
      <c r="U326" s="270">
        <v>-4.3178999999999998</v>
      </c>
      <c r="V326" s="270">
        <v>-3.7080000000000002</v>
      </c>
      <c r="W326" s="262">
        <v>0.86509999999999998</v>
      </c>
      <c r="X326" s="128">
        <v>0.875</v>
      </c>
      <c r="Y326" s="128"/>
      <c r="Z326" s="128">
        <v>-1.26</v>
      </c>
      <c r="AA326" s="262">
        <v>-3.9430000000000001</v>
      </c>
      <c r="AB326" s="270">
        <v>-2.5558000000000001</v>
      </c>
      <c r="AC326" s="270">
        <v>-5.2731000000000003</v>
      </c>
      <c r="AD326" s="280"/>
      <c r="AE326" s="277">
        <f t="shared" si="63"/>
        <v>-5.1267250000000004</v>
      </c>
      <c r="AF326" s="262">
        <f t="shared" si="73"/>
        <v>-3.9430000000000001</v>
      </c>
      <c r="AG326" s="128">
        <v>0.50129999999999997</v>
      </c>
      <c r="AH326" s="352">
        <v>2.0499999999999998</v>
      </c>
      <c r="AI326"/>
      <c r="AJ326"/>
      <c r="AK326"/>
      <c r="AL326"/>
      <c r="AM326" s="242"/>
      <c r="AN326" s="270">
        <v>-3.9432999999999998</v>
      </c>
      <c r="AO326" s="270">
        <v>-4.3178999999999998</v>
      </c>
      <c r="AP326" s="270"/>
      <c r="AQ326" s="270"/>
      <c r="AR326" s="270"/>
      <c r="AS326" s="270"/>
      <c r="AT326" s="270"/>
      <c r="AU326" s="270"/>
      <c r="AV326" s="245">
        <v>0.53</v>
      </c>
      <c r="AW326" s="245"/>
      <c r="AX326" s="245"/>
      <c r="AY326" s="245">
        <v>0.3</v>
      </c>
      <c r="AZ326" s="245">
        <v>0.17</v>
      </c>
      <c r="BA326" s="245">
        <v>0</v>
      </c>
      <c r="BB326" s="245"/>
      <c r="BC326" s="245">
        <f t="shared" si="70"/>
        <v>1</v>
      </c>
      <c r="BD326" s="240">
        <f t="shared" si="71"/>
        <v>-4.1865000000000006</v>
      </c>
      <c r="BE326" s="243">
        <f t="shared" si="74"/>
        <v>-4.1865000000000006</v>
      </c>
      <c r="BF326" s="235">
        <v>0.375</v>
      </c>
      <c r="BG326" s="235">
        <v>0.04</v>
      </c>
      <c r="BH326" s="235">
        <v>0.04</v>
      </c>
      <c r="BI326" s="235"/>
      <c r="BJ326" s="235">
        <v>0.17</v>
      </c>
      <c r="BK326" s="235"/>
      <c r="BL326" s="235"/>
      <c r="BM326" s="235">
        <v>0.27500000000000002</v>
      </c>
      <c r="BN326" s="235"/>
      <c r="BO326" s="235">
        <v>0.1</v>
      </c>
      <c r="BP326" s="235">
        <f t="shared" si="69"/>
        <v>1</v>
      </c>
      <c r="BQ326" s="243">
        <f t="shared" si="64"/>
        <v>-4.1078239999999999</v>
      </c>
      <c r="BS326" s="341">
        <f t="array" ref="BS326">((1+9.4/100)^(1/12)-1)*100</f>
        <v>0.75148209323356863</v>
      </c>
      <c r="BT326" s="341"/>
      <c r="BU326" s="341"/>
      <c r="BV326" s="341">
        <f t="array" ref="BV326">((1+5.6/100)^(1/12)-1)*100</f>
        <v>0.45510066248739545</v>
      </c>
      <c r="BW326" s="341">
        <f t="array" ref="BW326">((1+10/100)^(1/12)-1)*100</f>
        <v>0.79741404289037643</v>
      </c>
      <c r="BX326" s="341"/>
      <c r="BY326" s="341">
        <f t="shared" si="61"/>
        <v>0.670376095451374</v>
      </c>
      <c r="BZ326" s="341">
        <f t="shared" si="65"/>
        <v>0.75148209323356863</v>
      </c>
      <c r="CA326" s="341"/>
      <c r="CB326" s="243">
        <f t="shared" si="59"/>
        <v>0.64340301100034303</v>
      </c>
      <c r="CC326" s="243"/>
      <c r="CD326" s="243">
        <f t="shared" si="62"/>
        <v>0.64340301100034303</v>
      </c>
      <c r="CG326" s="734">
        <f t="shared" si="72"/>
        <v>-7.1239999999999997</v>
      </c>
      <c r="CJ326" s="1264">
        <f t="shared" si="60"/>
        <v>0.79741404289037643</v>
      </c>
    </row>
    <row r="327" spans="1:88" x14ac:dyDescent="0.2">
      <c r="A327" s="19">
        <v>37468</v>
      </c>
      <c r="B327" s="262">
        <v>-7.7949999999999999</v>
      </c>
      <c r="C327" s="270">
        <v>-4.8013000000000003</v>
      </c>
      <c r="D327" s="270">
        <v>-10.81</v>
      </c>
      <c r="E327" s="270">
        <v>-9.6866000000000003</v>
      </c>
      <c r="F327" s="270">
        <v>-8.9838000000000005</v>
      </c>
      <c r="G327" s="270">
        <v>-10.37</v>
      </c>
      <c r="H327" s="270">
        <v>-15.103</v>
      </c>
      <c r="I327" s="262">
        <v>-15.369</v>
      </c>
      <c r="J327" s="270">
        <v>-14.858000000000001</v>
      </c>
      <c r="K327" s="128">
        <v>-14.125400000000001</v>
      </c>
      <c r="L327" s="128">
        <v>-13.831300000000001</v>
      </c>
      <c r="M327" s="128">
        <v>-14.428800000000001</v>
      </c>
      <c r="N327" s="262">
        <f t="shared" si="66"/>
        <v>-15.103</v>
      </c>
      <c r="O327" s="262">
        <f t="shared" si="67"/>
        <v>-15.369</v>
      </c>
      <c r="P327" s="262">
        <f t="shared" si="68"/>
        <v>-14.858000000000001</v>
      </c>
      <c r="Q327" s="270">
        <v>-12.423999999999999</v>
      </c>
      <c r="R327" s="128">
        <v>-11.933999999999999</v>
      </c>
      <c r="S327" s="128">
        <v>-7.95</v>
      </c>
      <c r="T327" s="128"/>
      <c r="U327" s="270">
        <v>-9.7454999999999998</v>
      </c>
      <c r="V327" s="270">
        <v>-7.7107999999999999</v>
      </c>
      <c r="W327" s="262">
        <v>1.2061999999999999</v>
      </c>
      <c r="X327" s="128">
        <v>1.1959</v>
      </c>
      <c r="Y327" s="128"/>
      <c r="Z327" s="128">
        <v>-2.95</v>
      </c>
      <c r="AA327" s="262">
        <v>-9.8640000000000008</v>
      </c>
      <c r="AB327" s="270">
        <v>-10.657</v>
      </c>
      <c r="AC327" s="270">
        <v>-9.0830000000000002</v>
      </c>
      <c r="AD327" s="280"/>
      <c r="AE327" s="277">
        <f t="shared" si="63"/>
        <v>-5.5446999999999997</v>
      </c>
      <c r="AF327" s="262">
        <f t="shared" si="73"/>
        <v>-9.8640000000000008</v>
      </c>
      <c r="AG327" s="128">
        <v>0.53420000000000001</v>
      </c>
      <c r="AH327" s="352">
        <v>-6.19</v>
      </c>
      <c r="AI327"/>
      <c r="AJ327"/>
      <c r="AK327"/>
      <c r="AL327"/>
      <c r="AM327" s="242"/>
      <c r="AN327" s="270">
        <v>-9.8643999999999998</v>
      </c>
      <c r="AO327" s="270">
        <v>-9.7454999999999998</v>
      </c>
      <c r="AP327" s="270"/>
      <c r="AQ327" s="270"/>
      <c r="AR327" s="270"/>
      <c r="AS327" s="270"/>
      <c r="AT327" s="270"/>
      <c r="AU327" s="270"/>
      <c r="AV327" s="245">
        <v>0.53</v>
      </c>
      <c r="AW327" s="245"/>
      <c r="AX327" s="245"/>
      <c r="AY327" s="245">
        <v>0.3</v>
      </c>
      <c r="AZ327" s="245">
        <v>0.17</v>
      </c>
      <c r="BA327" s="245">
        <v>0</v>
      </c>
      <c r="BB327" s="245"/>
      <c r="BC327" s="245">
        <f t="shared" si="70"/>
        <v>1</v>
      </c>
      <c r="BD327" s="240">
        <f t="shared" si="71"/>
        <v>-5.4463699999999999</v>
      </c>
      <c r="BE327" s="243">
        <f t="shared" si="74"/>
        <v>-5.4463699999999999</v>
      </c>
      <c r="BF327" s="235">
        <v>0.375</v>
      </c>
      <c r="BG327" s="235">
        <v>0.04</v>
      </c>
      <c r="BH327" s="235">
        <v>0.04</v>
      </c>
      <c r="BI327" s="235"/>
      <c r="BJ327" s="235">
        <v>0.17</v>
      </c>
      <c r="BK327" s="235"/>
      <c r="BL327" s="235"/>
      <c r="BM327" s="235">
        <v>0.27500000000000002</v>
      </c>
      <c r="BN327" s="235"/>
      <c r="BO327" s="235">
        <v>0.1</v>
      </c>
      <c r="BP327" s="235">
        <f t="shared" si="69"/>
        <v>1</v>
      </c>
      <c r="BQ327" s="243">
        <f t="shared" si="64"/>
        <v>-5.8143539999999998</v>
      </c>
      <c r="BS327" s="341">
        <f t="array" ref="BS327">((1+9.4/100)^(1/12)-1)*100</f>
        <v>0.75148209323356863</v>
      </c>
      <c r="BT327" s="341"/>
      <c r="BU327" s="341"/>
      <c r="BV327" s="341">
        <f t="array" ref="BV327">((1+5.6/100)^(1/12)-1)*100</f>
        <v>0.45510066248739545</v>
      </c>
      <c r="BW327" s="341">
        <f t="array" ref="BW327">((1+10/100)^(1/12)-1)*100</f>
        <v>0.79741404289037643</v>
      </c>
      <c r="BX327" s="341"/>
      <c r="BY327" s="341">
        <f t="shared" si="61"/>
        <v>0.670376095451374</v>
      </c>
      <c r="BZ327" s="341">
        <f t="shared" si="65"/>
        <v>0.75148209323356863</v>
      </c>
      <c r="CA327" s="341"/>
      <c r="CB327" s="243">
        <f t="shared" si="59"/>
        <v>0.64340301100034303</v>
      </c>
      <c r="CC327" s="243"/>
      <c r="CD327" s="243">
        <f t="shared" si="62"/>
        <v>0.64340301100034303</v>
      </c>
      <c r="CG327" s="734">
        <f t="shared" si="72"/>
        <v>-7.7949999999999999</v>
      </c>
      <c r="CJ327" s="1264">
        <f t="shared" si="60"/>
        <v>0.79741404289037643</v>
      </c>
    </row>
    <row r="328" spans="1:88" x14ac:dyDescent="0.2">
      <c r="A328" s="19">
        <v>37499</v>
      </c>
      <c r="B328" s="262">
        <v>0.65700000000000003</v>
      </c>
      <c r="C328" s="270">
        <v>0.62729999999999997</v>
      </c>
      <c r="D328" s="270">
        <v>0.68700000000000006</v>
      </c>
      <c r="E328" s="270">
        <v>0.50309999999999999</v>
      </c>
      <c r="F328" s="270">
        <v>0.11219999999999999</v>
      </c>
      <c r="G328" s="270">
        <v>0.876</v>
      </c>
      <c r="H328" s="270">
        <v>-0.255</v>
      </c>
      <c r="I328" s="262">
        <v>-4.7E-2</v>
      </c>
      <c r="J328" s="270">
        <v>-0.44400000000000001</v>
      </c>
      <c r="K328" s="128">
        <v>0.95120000000000005</v>
      </c>
      <c r="L328" s="128">
        <v>1.8967000000000001</v>
      </c>
      <c r="M328" s="128">
        <v>-2.93E-2</v>
      </c>
      <c r="N328" s="262">
        <f t="shared" si="66"/>
        <v>-0.255</v>
      </c>
      <c r="O328" s="262">
        <f t="shared" si="67"/>
        <v>-4.7E-2</v>
      </c>
      <c r="P328" s="262">
        <f t="shared" si="68"/>
        <v>-0.44400000000000001</v>
      </c>
      <c r="Q328" s="270">
        <v>-1.7999999999999999E-2</v>
      </c>
      <c r="R328" s="128">
        <v>0.30199999999999999</v>
      </c>
      <c r="S328" s="128">
        <v>0.47199999999999998</v>
      </c>
      <c r="T328" s="128"/>
      <c r="U328" s="270">
        <v>6.1999999999999998E-3</v>
      </c>
      <c r="V328" s="270">
        <v>-1.2759</v>
      </c>
      <c r="W328" s="262">
        <v>1.6881999999999999</v>
      </c>
      <c r="X328" s="128">
        <v>1.1960999999999999</v>
      </c>
      <c r="Y328" s="128"/>
      <c r="Z328" s="128">
        <v>1.01</v>
      </c>
      <c r="AA328" s="262">
        <v>-0.20330000000000001</v>
      </c>
      <c r="AB328" s="270">
        <v>-0.75170000000000003</v>
      </c>
      <c r="AC328" s="270">
        <v>0.32700000000000001</v>
      </c>
      <c r="AD328" s="280"/>
      <c r="AE328" s="277">
        <f t="shared" si="63"/>
        <v>0.91480000000000006</v>
      </c>
      <c r="AF328" s="262">
        <f t="shared" si="73"/>
        <v>-0.20330000000000001</v>
      </c>
      <c r="AG328" s="128">
        <v>0.53420000000000001</v>
      </c>
      <c r="AH328" s="352">
        <v>0.04</v>
      </c>
      <c r="AI328"/>
      <c r="AJ328"/>
      <c r="AK328"/>
      <c r="AL328"/>
      <c r="AM328" s="242"/>
      <c r="AN328" s="270">
        <v>-0.2034</v>
      </c>
      <c r="AO328" s="270">
        <v>6.1999999999999998E-3</v>
      </c>
      <c r="AP328" s="270"/>
      <c r="AQ328" s="270"/>
      <c r="AR328" s="270"/>
      <c r="AS328" s="270"/>
      <c r="AT328" s="270"/>
      <c r="AU328" s="270"/>
      <c r="AV328" s="245">
        <v>0.53</v>
      </c>
      <c r="AW328" s="245"/>
      <c r="AX328" s="245"/>
      <c r="AY328" s="245">
        <v>0.3</v>
      </c>
      <c r="AZ328" s="245">
        <v>0.17</v>
      </c>
      <c r="BA328" s="245">
        <v>0</v>
      </c>
      <c r="BB328" s="245"/>
      <c r="BC328" s="245">
        <f t="shared" si="70"/>
        <v>1</v>
      </c>
      <c r="BD328" s="240">
        <f t="shared" si="71"/>
        <v>0.82010899999999998</v>
      </c>
      <c r="BE328" s="243">
        <f t="shared" si="74"/>
        <v>0.82010899999999998</v>
      </c>
      <c r="BF328" s="235">
        <v>0.375</v>
      </c>
      <c r="BG328" s="235">
        <v>0.04</v>
      </c>
      <c r="BH328" s="235">
        <v>0.04</v>
      </c>
      <c r="BI328" s="235"/>
      <c r="BJ328" s="235">
        <v>0.17</v>
      </c>
      <c r="BK328" s="235"/>
      <c r="BL328" s="235"/>
      <c r="BM328" s="235">
        <v>0.27500000000000002</v>
      </c>
      <c r="BN328" s="235"/>
      <c r="BO328" s="235">
        <v>0.1</v>
      </c>
      <c r="BP328" s="235">
        <f t="shared" si="69"/>
        <v>1</v>
      </c>
      <c r="BQ328" s="243">
        <f t="shared" si="64"/>
        <v>0.77747300000000008</v>
      </c>
      <c r="BS328" s="341">
        <f t="array" ref="BS328">((1+9.4/100)^(1/12)-1)*100</f>
        <v>0.75148209323356863</v>
      </c>
      <c r="BT328" s="341"/>
      <c r="BU328" s="341"/>
      <c r="BV328" s="341">
        <f t="array" ref="BV328">((1+5.6/100)^(1/12)-1)*100</f>
        <v>0.45510066248739545</v>
      </c>
      <c r="BW328" s="341">
        <f t="array" ref="BW328">((1+10/100)^(1/12)-1)*100</f>
        <v>0.79741404289037643</v>
      </c>
      <c r="BX328" s="341"/>
      <c r="BY328" s="341">
        <f t="shared" si="61"/>
        <v>0.670376095451374</v>
      </c>
      <c r="BZ328" s="341">
        <f t="shared" si="65"/>
        <v>0.75148209323356863</v>
      </c>
      <c r="CA328" s="341"/>
      <c r="CB328" s="243">
        <f t="shared" si="59"/>
        <v>0.64340301100034303</v>
      </c>
      <c r="CC328" s="243"/>
      <c r="CD328" s="243">
        <f t="shared" si="62"/>
        <v>0.64340301100034303</v>
      </c>
      <c r="CG328" s="734">
        <f t="shared" si="72"/>
        <v>0.65700000000000003</v>
      </c>
      <c r="CJ328" s="1264">
        <f t="shared" si="60"/>
        <v>0.79741404289037643</v>
      </c>
    </row>
    <row r="329" spans="1:88" x14ac:dyDescent="0.2">
      <c r="A329" s="19">
        <v>37529</v>
      </c>
      <c r="B329" s="262">
        <v>-10.868</v>
      </c>
      <c r="C329" s="270">
        <v>-10.353899999999999</v>
      </c>
      <c r="D329" s="270">
        <v>-11.426</v>
      </c>
      <c r="E329" s="270">
        <v>-8.0564999999999998</v>
      </c>
      <c r="F329" s="270">
        <v>-6.2329999999999997</v>
      </c>
      <c r="G329" s="270">
        <v>-9.8350000000000009</v>
      </c>
      <c r="H329" s="270">
        <v>-7.181</v>
      </c>
      <c r="I329" s="262">
        <v>-7.2229999999999999</v>
      </c>
      <c r="J329" s="270">
        <v>-7.1429999999999998</v>
      </c>
      <c r="K329" s="128">
        <v>-6.1199000000000003</v>
      </c>
      <c r="L329" s="128">
        <v>-5.9016000000000002</v>
      </c>
      <c r="M329" s="128">
        <v>-6.3491999999999997</v>
      </c>
      <c r="N329" s="262">
        <f t="shared" si="66"/>
        <v>-7.181</v>
      </c>
      <c r="O329" s="262">
        <f t="shared" si="67"/>
        <v>-7.2229999999999999</v>
      </c>
      <c r="P329" s="262">
        <f t="shared" si="68"/>
        <v>-7.1429999999999998</v>
      </c>
      <c r="Q329" s="270">
        <v>-7.5650000000000004</v>
      </c>
      <c r="R329" s="128">
        <v>-7.923</v>
      </c>
      <c r="S329" s="128">
        <v>-10.507</v>
      </c>
      <c r="T329" s="128"/>
      <c r="U329" s="270">
        <v>-10.597</v>
      </c>
      <c r="V329" s="270">
        <v>-7.7675999999999998</v>
      </c>
      <c r="W329" s="262">
        <v>1.6198999999999999</v>
      </c>
      <c r="X329" s="128">
        <v>1.3362000000000001</v>
      </c>
      <c r="Y329" s="128"/>
      <c r="Z329" s="128">
        <v>-0.47</v>
      </c>
      <c r="AA329" s="262">
        <v>-10.715</v>
      </c>
      <c r="AB329" s="270">
        <v>-8.6837</v>
      </c>
      <c r="AC329" s="270">
        <v>-12.6608</v>
      </c>
      <c r="AD329" s="280"/>
      <c r="AE329" s="277">
        <f t="shared" si="63"/>
        <v>-7.7460249999999995</v>
      </c>
      <c r="AF329" s="262">
        <f t="shared" si="73"/>
        <v>-10.715</v>
      </c>
      <c r="AG329" s="128">
        <v>0.53420000000000001</v>
      </c>
      <c r="AH329" s="352">
        <v>-4.42</v>
      </c>
      <c r="AI329"/>
      <c r="AJ329"/>
      <c r="AK329"/>
      <c r="AL329"/>
      <c r="AM329" s="242"/>
      <c r="AN329" s="270">
        <v>-10.714499999999999</v>
      </c>
      <c r="AO329" s="270">
        <v>-10.597</v>
      </c>
      <c r="AP329" s="270"/>
      <c r="AQ329" s="270"/>
      <c r="AR329" s="270"/>
      <c r="AS329" s="270"/>
      <c r="AT329" s="270"/>
      <c r="AU329" s="270"/>
      <c r="AV329" s="245">
        <v>0.53</v>
      </c>
      <c r="AW329" s="245"/>
      <c r="AX329" s="245"/>
      <c r="AY329" s="245">
        <v>0.3</v>
      </c>
      <c r="AZ329" s="245">
        <v>0.17</v>
      </c>
      <c r="BA329" s="245">
        <v>0</v>
      </c>
      <c r="BB329" s="245"/>
      <c r="BC329" s="245">
        <f t="shared" si="70"/>
        <v>1</v>
      </c>
      <c r="BD329" s="240">
        <f t="shared" si="71"/>
        <v>-7.0956200000000003</v>
      </c>
      <c r="BE329" s="243">
        <f t="shared" si="74"/>
        <v>-7.0956200000000003</v>
      </c>
      <c r="BF329" s="235">
        <v>0.375</v>
      </c>
      <c r="BG329" s="235">
        <v>0.04</v>
      </c>
      <c r="BH329" s="235">
        <v>0.04</v>
      </c>
      <c r="BI329" s="235"/>
      <c r="BJ329" s="235">
        <v>0.17</v>
      </c>
      <c r="BK329" s="235"/>
      <c r="BL329" s="235"/>
      <c r="BM329" s="235">
        <v>0.27500000000000002</v>
      </c>
      <c r="BN329" s="235"/>
      <c r="BO329" s="235">
        <v>0.1</v>
      </c>
      <c r="BP329" s="235">
        <f t="shared" si="69"/>
        <v>1</v>
      </c>
      <c r="BQ329" s="243">
        <f t="shared" si="64"/>
        <v>-6.83568</v>
      </c>
      <c r="BS329" s="341">
        <f t="array" ref="BS329">((1+9.4/100)^(1/12)-1)*100</f>
        <v>0.75148209323356863</v>
      </c>
      <c r="BT329" s="341"/>
      <c r="BU329" s="341"/>
      <c r="BV329" s="341">
        <f t="array" ref="BV329">((1+5.6/100)^(1/12)-1)*100</f>
        <v>0.45510066248739545</v>
      </c>
      <c r="BW329" s="341">
        <f t="array" ref="BW329">((1+10/100)^(1/12)-1)*100</f>
        <v>0.79741404289037643</v>
      </c>
      <c r="BX329" s="341"/>
      <c r="BY329" s="341">
        <f t="shared" si="61"/>
        <v>0.670376095451374</v>
      </c>
      <c r="BZ329" s="341">
        <f t="shared" si="65"/>
        <v>0.75148209323356863</v>
      </c>
      <c r="CA329" s="341"/>
      <c r="CB329" s="243">
        <f t="shared" si="59"/>
        <v>0.64340301100034303</v>
      </c>
      <c r="CC329" s="243"/>
      <c r="CD329" s="243">
        <f t="shared" si="62"/>
        <v>0.64340301100034303</v>
      </c>
      <c r="CG329" s="734">
        <f t="shared" si="72"/>
        <v>-10.868</v>
      </c>
      <c r="CJ329" s="1264">
        <f t="shared" si="60"/>
        <v>0.79741404289037643</v>
      </c>
    </row>
    <row r="330" spans="1:88" x14ac:dyDescent="0.2">
      <c r="A330" s="19">
        <v>37560</v>
      </c>
      <c r="B330" s="262">
        <v>8.8019999999999996</v>
      </c>
      <c r="C330" s="270">
        <v>9.2482000000000006</v>
      </c>
      <c r="D330" s="270">
        <v>8.3140000000000001</v>
      </c>
      <c r="E330" s="270">
        <v>4.3331</v>
      </c>
      <c r="F330" s="270">
        <v>4.6543000000000001</v>
      </c>
      <c r="G330" s="270">
        <v>3.9969999999999999</v>
      </c>
      <c r="H330" s="270">
        <v>3.206</v>
      </c>
      <c r="I330" s="262">
        <v>5.0579999999999998</v>
      </c>
      <c r="J330" s="270">
        <v>1.504</v>
      </c>
      <c r="K330" s="128">
        <v>3.2008000000000001</v>
      </c>
      <c r="L330" s="128">
        <v>4.3513000000000002</v>
      </c>
      <c r="M330" s="128">
        <v>2.0047999999999999</v>
      </c>
      <c r="N330" s="262">
        <f t="shared" si="66"/>
        <v>3.206</v>
      </c>
      <c r="O330" s="262">
        <f t="shared" si="67"/>
        <v>5.0579999999999998</v>
      </c>
      <c r="P330" s="262">
        <f t="shared" si="68"/>
        <v>1.504</v>
      </c>
      <c r="Q330" s="270">
        <v>5.7510000000000003</v>
      </c>
      <c r="R330" s="128">
        <v>3.2589999999999999</v>
      </c>
      <c r="S330" s="128">
        <v>7.9630000000000001</v>
      </c>
      <c r="T330" s="128"/>
      <c r="U330" s="270">
        <v>5.3647</v>
      </c>
      <c r="V330" s="270">
        <v>-1.2344999999999999</v>
      </c>
      <c r="W330" s="262">
        <v>-0.45590000000000003</v>
      </c>
      <c r="X330" s="128">
        <v>-6.4699999999999994E-2</v>
      </c>
      <c r="Y330" s="128"/>
      <c r="Z330" s="128">
        <v>0.08</v>
      </c>
      <c r="AA330" s="262">
        <v>5.3819999999999997</v>
      </c>
      <c r="AB330" s="270">
        <v>5.6611000000000002</v>
      </c>
      <c r="AC330" s="270">
        <v>5.1025999999999998</v>
      </c>
      <c r="AD330" s="280"/>
      <c r="AE330" s="277">
        <f t="shared" si="63"/>
        <v>6.4875249999999998</v>
      </c>
      <c r="AF330" s="262">
        <f t="shared" si="73"/>
        <v>5.3819999999999997</v>
      </c>
      <c r="AG330" s="128">
        <v>0.59289999999999998</v>
      </c>
      <c r="AH330" s="352">
        <v>-4.97</v>
      </c>
      <c r="AI330"/>
      <c r="AJ330"/>
      <c r="AK330"/>
      <c r="AL330"/>
      <c r="AM330" s="242"/>
      <c r="AN330" s="270">
        <v>5.3825000000000003</v>
      </c>
      <c r="AO330" s="270">
        <v>5.3647</v>
      </c>
      <c r="AP330" s="270"/>
      <c r="AQ330" s="270"/>
      <c r="AR330" s="270"/>
      <c r="AS330" s="270"/>
      <c r="AT330" s="270"/>
      <c r="AU330" s="270"/>
      <c r="AV330" s="245">
        <v>0.53</v>
      </c>
      <c r="AW330" s="245"/>
      <c r="AX330" s="245"/>
      <c r="AY330" s="245">
        <v>0.3</v>
      </c>
      <c r="AZ330" s="245">
        <v>0.17</v>
      </c>
      <c r="BA330" s="245">
        <v>0</v>
      </c>
      <c r="BB330" s="245"/>
      <c r="BC330" s="245">
        <f t="shared" si="70"/>
        <v>1</v>
      </c>
      <c r="BD330" s="240">
        <f t="shared" si="71"/>
        <v>5.4432299999999998</v>
      </c>
      <c r="BE330" s="243">
        <f t="shared" si="74"/>
        <v>5.4432299999999998</v>
      </c>
      <c r="BF330" s="235">
        <v>0.375</v>
      </c>
      <c r="BG330" s="235">
        <v>0.04</v>
      </c>
      <c r="BH330" s="235">
        <v>0.04</v>
      </c>
      <c r="BI330" s="235"/>
      <c r="BJ330" s="235">
        <v>0.17</v>
      </c>
      <c r="BK330" s="235"/>
      <c r="BL330" s="235"/>
      <c r="BM330" s="235">
        <v>0.27500000000000002</v>
      </c>
      <c r="BN330" s="235"/>
      <c r="BO330" s="235">
        <v>0.1</v>
      </c>
      <c r="BP330" s="235">
        <f t="shared" si="69"/>
        <v>1</v>
      </c>
      <c r="BQ330" s="243">
        <f t="shared" si="64"/>
        <v>5.0406339999999989</v>
      </c>
      <c r="BS330" s="341">
        <f t="array" ref="BS330">((1+9.4/100)^(1/12)-1)*100</f>
        <v>0.75148209323356863</v>
      </c>
      <c r="BT330" s="341"/>
      <c r="BU330" s="341"/>
      <c r="BV330" s="341">
        <f t="array" ref="BV330">((1+5.6/100)^(1/12)-1)*100</f>
        <v>0.45510066248739545</v>
      </c>
      <c r="BW330" s="341">
        <f t="array" ref="BW330">((1+10/100)^(1/12)-1)*100</f>
        <v>0.79741404289037643</v>
      </c>
      <c r="BX330" s="341"/>
      <c r="BY330" s="341">
        <f t="shared" si="61"/>
        <v>0.670376095451374</v>
      </c>
      <c r="BZ330" s="341">
        <f t="shared" si="65"/>
        <v>0.75148209323356863</v>
      </c>
      <c r="CA330" s="341"/>
      <c r="CB330" s="243">
        <f t="shared" si="59"/>
        <v>0.64340301100034303</v>
      </c>
      <c r="CC330" s="243"/>
      <c r="CD330" s="243">
        <f t="shared" si="62"/>
        <v>0.64340301100034303</v>
      </c>
      <c r="CG330" s="734">
        <f t="shared" si="72"/>
        <v>8.8019999999999996</v>
      </c>
      <c r="CJ330" s="1264">
        <f t="shared" si="60"/>
        <v>0.79741404289037643</v>
      </c>
    </row>
    <row r="331" spans="1:88" x14ac:dyDescent="0.2">
      <c r="A331" s="19">
        <v>37590</v>
      </c>
      <c r="B331" s="262">
        <v>5.8860000000000001</v>
      </c>
      <c r="C331" s="270">
        <v>4.8543000000000003</v>
      </c>
      <c r="D331" s="270">
        <v>7.0250000000000004</v>
      </c>
      <c r="E331" s="270">
        <v>5.7854999999999999</v>
      </c>
      <c r="F331" s="270">
        <v>5.1982999999999997</v>
      </c>
      <c r="G331" s="270">
        <v>6.4160000000000004</v>
      </c>
      <c r="H331" s="270">
        <v>8.9239999999999995</v>
      </c>
      <c r="I331" s="262">
        <v>9.9139999999999997</v>
      </c>
      <c r="J331" s="270">
        <v>7.98</v>
      </c>
      <c r="K331" s="128">
        <v>5.2054999999999998</v>
      </c>
      <c r="L331" s="128">
        <v>6.0444000000000004</v>
      </c>
      <c r="M331" s="128">
        <v>4.3121999999999998</v>
      </c>
      <c r="N331" s="262">
        <f t="shared" si="66"/>
        <v>8.9239999999999995</v>
      </c>
      <c r="O331" s="262">
        <f t="shared" si="67"/>
        <v>9.9139999999999997</v>
      </c>
      <c r="P331" s="262">
        <f t="shared" si="68"/>
        <v>7.98</v>
      </c>
      <c r="Q331" s="270">
        <v>9.298</v>
      </c>
      <c r="R331" s="128">
        <v>8.1639999999999997</v>
      </c>
      <c r="S331" s="128">
        <v>6.0510000000000002</v>
      </c>
      <c r="T331" s="128"/>
      <c r="U331" s="270">
        <v>4.8089000000000004</v>
      </c>
      <c r="V331" s="270">
        <v>2.8820999999999999</v>
      </c>
      <c r="W331" s="262">
        <v>-2.64E-2</v>
      </c>
      <c r="X331" s="128">
        <v>-0.1188</v>
      </c>
      <c r="Y331" s="128"/>
      <c r="Z331" s="128">
        <v>0.5736</v>
      </c>
      <c r="AA331" s="262">
        <v>4.5510000000000002</v>
      </c>
      <c r="AB331" s="270">
        <v>2.9531000000000001</v>
      </c>
      <c r="AC331" s="270">
        <v>6.1544999999999996</v>
      </c>
      <c r="AD331" s="280"/>
      <c r="AE331" s="277">
        <f t="shared" ref="AE331:AE344" si="75">(B331*0.75)+(W331*0.25)</f>
        <v>4.4079000000000006</v>
      </c>
      <c r="AF331" s="262">
        <f t="shared" si="73"/>
        <v>4.5510000000000002</v>
      </c>
      <c r="AG331" s="128">
        <v>0.59289999999999998</v>
      </c>
      <c r="AH331" s="352">
        <v>4.9400000000000004</v>
      </c>
      <c r="AI331"/>
      <c r="AJ331"/>
      <c r="AK331"/>
      <c r="AL331"/>
      <c r="AM331" s="242"/>
      <c r="AN331" s="270">
        <v>4.5513000000000003</v>
      </c>
      <c r="AO331" s="270">
        <v>4.8089000000000004</v>
      </c>
      <c r="AP331" s="270"/>
      <c r="AQ331" s="270"/>
      <c r="AR331" s="270"/>
      <c r="AS331" s="270"/>
      <c r="AT331" s="270"/>
      <c r="AU331" s="270"/>
      <c r="AV331" s="245">
        <v>0.53</v>
      </c>
      <c r="AW331" s="245"/>
      <c r="AX331" s="245"/>
      <c r="AY331" s="245">
        <v>0.3</v>
      </c>
      <c r="AZ331" s="245">
        <v>0.17</v>
      </c>
      <c r="BA331" s="245">
        <v>0</v>
      </c>
      <c r="BB331" s="245"/>
      <c r="BC331" s="245">
        <f t="shared" si="70"/>
        <v>1</v>
      </c>
      <c r="BD331" s="240">
        <f t="shared" si="71"/>
        <v>3.8853300000000002</v>
      </c>
      <c r="BE331" s="243">
        <f t="shared" si="74"/>
        <v>3.8853300000000002</v>
      </c>
      <c r="BF331" s="235">
        <v>0.375</v>
      </c>
      <c r="BG331" s="235">
        <v>0.04</v>
      </c>
      <c r="BH331" s="235">
        <v>0.04</v>
      </c>
      <c r="BI331" s="235"/>
      <c r="BJ331" s="235">
        <v>0.17</v>
      </c>
      <c r="BK331" s="235"/>
      <c r="BL331" s="235"/>
      <c r="BM331" s="235">
        <v>0.27500000000000002</v>
      </c>
      <c r="BN331" s="235"/>
      <c r="BO331" s="235">
        <v>0.1</v>
      </c>
      <c r="BP331" s="235">
        <f t="shared" si="69"/>
        <v>1</v>
      </c>
      <c r="BQ331" s="243">
        <f t="shared" si="64"/>
        <v>4.0028300000000003</v>
      </c>
      <c r="BS331" s="341">
        <f t="array" ref="BS331">((1+9.4/100)^(1/12)-1)*100</f>
        <v>0.75148209323356863</v>
      </c>
      <c r="BT331" s="341"/>
      <c r="BU331" s="341"/>
      <c r="BV331" s="341">
        <f t="array" ref="BV331">((1+5.6/100)^(1/12)-1)*100</f>
        <v>0.45510066248739545</v>
      </c>
      <c r="BW331" s="341">
        <f t="array" ref="BW331">((1+10/100)^(1/12)-1)*100</f>
        <v>0.79741404289037643</v>
      </c>
      <c r="BX331" s="341"/>
      <c r="BY331" s="341">
        <f t="shared" si="61"/>
        <v>0.670376095451374</v>
      </c>
      <c r="BZ331" s="341">
        <f t="shared" si="65"/>
        <v>0.75148209323356863</v>
      </c>
      <c r="CA331" s="341"/>
      <c r="CB331" s="243">
        <f t="shared" si="59"/>
        <v>0.64340301100034303</v>
      </c>
      <c r="CC331" s="243"/>
      <c r="CD331" s="243">
        <f t="shared" si="62"/>
        <v>0.64340301100034303</v>
      </c>
      <c r="CG331" s="734">
        <f t="shared" si="72"/>
        <v>5.8860000000000001</v>
      </c>
      <c r="CJ331" s="1264">
        <f t="shared" si="60"/>
        <v>0.79741404289037643</v>
      </c>
    </row>
    <row r="332" spans="1:88" x14ac:dyDescent="0.2">
      <c r="A332" s="19">
        <v>37621</v>
      </c>
      <c r="B332" s="262">
        <v>-5.875</v>
      </c>
      <c r="C332" s="270">
        <v>-6.5004999999999997</v>
      </c>
      <c r="D332" s="270">
        <v>-5.2</v>
      </c>
      <c r="E332" s="270">
        <v>-4.1093999999999999</v>
      </c>
      <c r="F332" s="270">
        <v>-4.5172999999999996</v>
      </c>
      <c r="G332" s="270">
        <v>-3.71</v>
      </c>
      <c r="H332" s="270">
        <v>-5.5678999999999998</v>
      </c>
      <c r="I332" s="262">
        <v>-6.8963999999999999</v>
      </c>
      <c r="J332" s="270">
        <v>-4.2727000000000004</v>
      </c>
      <c r="K332" s="128">
        <v>-3.3717000000000001</v>
      </c>
      <c r="L332" s="128">
        <v>-4.3007</v>
      </c>
      <c r="M332" s="128">
        <v>-2.3641000000000001</v>
      </c>
      <c r="N332" s="262">
        <f t="shared" si="66"/>
        <v>-5.5678999999999998</v>
      </c>
      <c r="O332" s="262">
        <f t="shared" si="67"/>
        <v>-6.8963999999999999</v>
      </c>
      <c r="P332" s="262">
        <f t="shared" si="68"/>
        <v>-4.2727000000000004</v>
      </c>
      <c r="Q332" s="270">
        <v>-6.3188000000000004</v>
      </c>
      <c r="R332" s="128">
        <v>-4.5244999999999997</v>
      </c>
      <c r="S332" s="128">
        <v>-5.6535000000000002</v>
      </c>
      <c r="T332" s="128"/>
      <c r="U332" s="270">
        <v>-3.2305999999999999</v>
      </c>
      <c r="V332" s="270">
        <v>-1.8567</v>
      </c>
      <c r="W332" s="262">
        <v>2.0653999999999999</v>
      </c>
      <c r="X332" s="128">
        <v>1.7142999999999999</v>
      </c>
      <c r="Y332" s="128"/>
      <c r="Z332" s="128">
        <v>0.75790000000000002</v>
      </c>
      <c r="AA332" s="262">
        <v>-3.355</v>
      </c>
      <c r="AB332" s="270">
        <v>-2.3018000000000001</v>
      </c>
      <c r="AC332" s="270">
        <v>-4.3577000000000004</v>
      </c>
      <c r="AD332" s="280"/>
      <c r="AE332" s="277">
        <f t="shared" si="75"/>
        <v>-3.8898999999999999</v>
      </c>
      <c r="AF332" s="262">
        <f t="shared" si="73"/>
        <v>-3.355</v>
      </c>
      <c r="AG332" s="128">
        <v>0.59289999999999998</v>
      </c>
      <c r="AH332" s="352">
        <v>1.46</v>
      </c>
      <c r="AI332"/>
      <c r="AJ332"/>
      <c r="AK332"/>
      <c r="AL332"/>
      <c r="AM332" s="242"/>
      <c r="AN332" s="270">
        <v>-3.355</v>
      </c>
      <c r="AO332" s="270">
        <v>-3.2305999999999999</v>
      </c>
      <c r="AP332" s="270"/>
      <c r="AQ332" s="270"/>
      <c r="AR332" s="270"/>
      <c r="AS332" s="270"/>
      <c r="AT332" s="270"/>
      <c r="AU332" s="270"/>
      <c r="AV332" s="245">
        <v>0.53</v>
      </c>
      <c r="AW332" s="245"/>
      <c r="AX332" s="245"/>
      <c r="AY332" s="245">
        <v>0.3</v>
      </c>
      <c r="AZ332" s="245">
        <v>0.17</v>
      </c>
      <c r="BA332" s="245">
        <v>0</v>
      </c>
      <c r="BB332" s="245"/>
      <c r="BC332" s="245">
        <f t="shared" si="70"/>
        <v>1</v>
      </c>
      <c r="BD332" s="240">
        <f t="shared" si="71"/>
        <v>-3.0644800000000001</v>
      </c>
      <c r="BE332" s="243">
        <f t="shared" si="74"/>
        <v>-3.0644800000000001</v>
      </c>
      <c r="BF332" s="235">
        <v>0.375</v>
      </c>
      <c r="BG332" s="235">
        <v>0.04</v>
      </c>
      <c r="BH332" s="235">
        <v>0.04</v>
      </c>
      <c r="BI332" s="235"/>
      <c r="BJ332" s="235">
        <v>0.17</v>
      </c>
      <c r="BK332" s="235"/>
      <c r="BL332" s="235"/>
      <c r="BM332" s="235">
        <v>0.27500000000000002</v>
      </c>
      <c r="BN332" s="235"/>
      <c r="BO332" s="235">
        <v>0.1</v>
      </c>
      <c r="BP332" s="235">
        <f t="shared" si="69"/>
        <v>1</v>
      </c>
      <c r="BQ332" s="243">
        <f t="shared" si="64"/>
        <v>-2.9815719999999999</v>
      </c>
      <c r="BS332" s="341">
        <f t="array" ref="BS332">((1+9.4/100)^(1/12)-1)*100</f>
        <v>0.75148209323356863</v>
      </c>
      <c r="BT332" s="341"/>
      <c r="BU332" s="341"/>
      <c r="BV332" s="341">
        <f t="array" ref="BV332">((1+5.6/100)^(1/12)-1)*100</f>
        <v>0.45510066248739545</v>
      </c>
      <c r="BW332" s="341">
        <f t="array" ref="BW332">((1+10/100)^(1/12)-1)*100</f>
        <v>0.79741404289037643</v>
      </c>
      <c r="BX332" s="341"/>
      <c r="BY332" s="341">
        <f t="shared" si="61"/>
        <v>0.670376095451374</v>
      </c>
      <c r="BZ332" s="341">
        <f t="shared" si="65"/>
        <v>0.75148209323356863</v>
      </c>
      <c r="CA332" s="341"/>
      <c r="CB332" s="243">
        <f t="shared" si="59"/>
        <v>0.64340301100034303</v>
      </c>
      <c r="CC332" s="243"/>
      <c r="CD332" s="243">
        <f t="shared" si="62"/>
        <v>0.64340301100034303</v>
      </c>
      <c r="CG332" s="734">
        <f t="shared" si="72"/>
        <v>-5.875</v>
      </c>
      <c r="CJ332" s="1264">
        <f t="shared" si="60"/>
        <v>0.79741404289037643</v>
      </c>
    </row>
    <row r="333" spans="1:88" x14ac:dyDescent="0.2">
      <c r="A333" s="19">
        <v>37652</v>
      </c>
      <c r="B333" s="262">
        <v>-2.62</v>
      </c>
      <c r="C333" s="270">
        <v>-2.5044</v>
      </c>
      <c r="D333" s="270">
        <v>-2.74</v>
      </c>
      <c r="E333" s="270">
        <v>-2.9224000000000001</v>
      </c>
      <c r="F333" s="270">
        <v>-2.3597000000000001</v>
      </c>
      <c r="G333" s="270">
        <v>-3.46</v>
      </c>
      <c r="H333" s="270">
        <v>-2.7677</v>
      </c>
      <c r="I333" s="262">
        <v>-2.7166999999999999</v>
      </c>
      <c r="J333" s="270">
        <v>-2.8155000000000001</v>
      </c>
      <c r="K333" s="128">
        <v>-3.4369999999999998</v>
      </c>
      <c r="L333" s="128">
        <v>-3.1389999999999998</v>
      </c>
      <c r="M333" s="128">
        <v>-3.7513000000000001</v>
      </c>
      <c r="N333" s="262">
        <f t="shared" si="66"/>
        <v>-2.7677</v>
      </c>
      <c r="O333" s="262">
        <f t="shared" si="67"/>
        <v>-2.7166999999999999</v>
      </c>
      <c r="P333" s="262">
        <f t="shared" si="68"/>
        <v>-2.8155000000000001</v>
      </c>
      <c r="Q333" s="270">
        <v>-2.1823000000000001</v>
      </c>
      <c r="R333" s="128">
        <v>-2.657</v>
      </c>
      <c r="S333" s="128">
        <v>-2.4468999999999999</v>
      </c>
      <c r="T333" s="128"/>
      <c r="U333" s="270">
        <v>-3.5106999999999999</v>
      </c>
      <c r="V333" s="270">
        <v>-1.4124000000000001</v>
      </c>
      <c r="W333" s="262">
        <v>8.5500000000000007E-2</v>
      </c>
      <c r="X333" s="128">
        <v>9.9699999999999997E-2</v>
      </c>
      <c r="Y333" s="128"/>
      <c r="Z333" s="128">
        <v>-7.0800000000000002E-2</v>
      </c>
      <c r="AA333" s="262">
        <v>-4.16716</v>
      </c>
      <c r="AB333" s="270">
        <v>-4.9424999999999999</v>
      </c>
      <c r="AC333" s="270">
        <v>-3.411</v>
      </c>
      <c r="AD333" s="280"/>
      <c r="AE333" s="277">
        <f t="shared" si="75"/>
        <v>-1.9436250000000002</v>
      </c>
      <c r="AF333" s="262">
        <f t="shared" si="73"/>
        <v>-4.16716</v>
      </c>
      <c r="AG333" s="128">
        <v>0.55389999999999995</v>
      </c>
      <c r="AH333" s="352">
        <v>-2.92</v>
      </c>
      <c r="AI333"/>
      <c r="AJ333"/>
      <c r="AK333"/>
      <c r="AL333"/>
      <c r="AM333" s="242"/>
      <c r="AN333" s="270">
        <v>-4.1672000000000002</v>
      </c>
      <c r="AO333" s="270">
        <v>-3.5106999999999999</v>
      </c>
      <c r="AP333" s="270"/>
      <c r="AQ333" s="270"/>
      <c r="AR333" s="270"/>
      <c r="AS333" s="270"/>
      <c r="AT333" s="270"/>
      <c r="AU333" s="270"/>
      <c r="AV333" s="245">
        <v>0.53</v>
      </c>
      <c r="AW333" s="245"/>
      <c r="AX333" s="245"/>
      <c r="AY333" s="245">
        <v>0.3</v>
      </c>
      <c r="AZ333" s="245">
        <v>0.17</v>
      </c>
      <c r="BA333" s="245">
        <v>0</v>
      </c>
      <c r="BB333" s="245"/>
      <c r="BC333" s="245">
        <f t="shared" si="70"/>
        <v>1</v>
      </c>
      <c r="BD333" s="240">
        <f t="shared" si="71"/>
        <v>-2.0713672000000001</v>
      </c>
      <c r="BE333" s="243">
        <f t="shared" si="74"/>
        <v>-2.0713672000000001</v>
      </c>
      <c r="BF333" s="235">
        <v>0.375</v>
      </c>
      <c r="BG333" s="235">
        <v>0.04</v>
      </c>
      <c r="BH333" s="235">
        <v>0.04</v>
      </c>
      <c r="BI333" s="235"/>
      <c r="BJ333" s="235">
        <v>0.17</v>
      </c>
      <c r="BK333" s="235"/>
      <c r="BL333" s="235"/>
      <c r="BM333" s="235">
        <v>0.27500000000000002</v>
      </c>
      <c r="BN333" s="235"/>
      <c r="BO333" s="235">
        <v>0.1</v>
      </c>
      <c r="BP333" s="235">
        <f t="shared" si="69"/>
        <v>1</v>
      </c>
      <c r="BQ333" s="243">
        <f t="shared" ref="BQ333:BQ365" si="76">(B333*BF333)+(E333*BG333)+(H333*BH333)+(AA333*BJ333)+(U333*BK333)+(V333*BL333)+(W333*BM333)+(AE333*BO333)</f>
        <v>-2.0893712000000004</v>
      </c>
      <c r="BS333" s="341">
        <f t="array" ref="BS333">((1+9.4/100)^(1/12)-1)*100</f>
        <v>0.75148209323356863</v>
      </c>
      <c r="BT333" s="341"/>
      <c r="BU333" s="341"/>
      <c r="BV333" s="341">
        <f t="array" ref="BV333">((1+5.6/100)^(1/12)-1)*100</f>
        <v>0.45510066248739545</v>
      </c>
      <c r="BW333" s="341">
        <f t="array" ref="BW333">((1+10/100)^(1/12)-1)*100</f>
        <v>0.79741404289037643</v>
      </c>
      <c r="BX333" s="341"/>
      <c r="BY333" s="341">
        <f t="shared" si="61"/>
        <v>0.670376095451374</v>
      </c>
      <c r="BZ333" s="341">
        <f t="shared" si="65"/>
        <v>0.75148209323356863</v>
      </c>
      <c r="CA333" s="341"/>
      <c r="CB333" s="243">
        <f t="shared" si="59"/>
        <v>0.64340301100034303</v>
      </c>
      <c r="CC333" s="243"/>
      <c r="CD333" s="243">
        <f t="shared" si="62"/>
        <v>0.64340301100034303</v>
      </c>
      <c r="CG333" s="734">
        <f t="shared" si="72"/>
        <v>-2.62</v>
      </c>
      <c r="CJ333" s="1264">
        <f t="shared" si="60"/>
        <v>0.79741404289037643</v>
      </c>
    </row>
    <row r="334" spans="1:88" x14ac:dyDescent="0.2">
      <c r="A334" s="19">
        <v>37680</v>
      </c>
      <c r="B334" s="262">
        <v>-1.5</v>
      </c>
      <c r="C334" s="270">
        <v>-0.29770000000000002</v>
      </c>
      <c r="D334" s="270">
        <v>-2.72</v>
      </c>
      <c r="E334" s="270">
        <v>-2.3814000000000002</v>
      </c>
      <c r="F334" s="270">
        <v>-2.665</v>
      </c>
      <c r="G334" s="270">
        <v>-2.11</v>
      </c>
      <c r="H334" s="270">
        <v>-3.0215000000000001</v>
      </c>
      <c r="I334" s="262">
        <v>-2.6667000000000001</v>
      </c>
      <c r="J334" s="270">
        <v>-3.3616999999999999</v>
      </c>
      <c r="K334" s="128">
        <v>-3.2</v>
      </c>
      <c r="L334" s="128">
        <v>-3.3033999999999999</v>
      </c>
      <c r="M334" s="128">
        <v>-3.0863999999999998</v>
      </c>
      <c r="N334" s="262">
        <f t="shared" si="66"/>
        <v>-3.0215000000000001</v>
      </c>
      <c r="O334" s="262">
        <f t="shared" si="67"/>
        <v>-2.6667000000000001</v>
      </c>
      <c r="P334" s="262">
        <f t="shared" si="68"/>
        <v>-3.3616999999999999</v>
      </c>
      <c r="Q334" s="270">
        <v>-2.3315000000000001</v>
      </c>
      <c r="R334" s="128">
        <v>-2.4028999999999998</v>
      </c>
      <c r="S334" s="128">
        <v>-1.6452</v>
      </c>
      <c r="T334" s="128"/>
      <c r="U334" s="270">
        <v>-2.0261999999999998</v>
      </c>
      <c r="V334" s="270">
        <v>-0.79300000000000004</v>
      </c>
      <c r="W334" s="262">
        <v>1.3843000000000001</v>
      </c>
      <c r="X334" s="128">
        <v>1.1135999999999999</v>
      </c>
      <c r="Y334" s="128"/>
      <c r="Z334" s="128">
        <v>-0.21240000000000001</v>
      </c>
      <c r="AA334" s="262">
        <v>-2.2859400000000001</v>
      </c>
      <c r="AB334" s="270">
        <v>-2.1473</v>
      </c>
      <c r="AC334" s="270">
        <v>-2.4165000000000001</v>
      </c>
      <c r="AD334" s="280"/>
      <c r="AE334" s="277">
        <f t="shared" si="75"/>
        <v>-0.77892499999999998</v>
      </c>
      <c r="AF334" s="262">
        <f t="shared" si="73"/>
        <v>-2.2859400000000001</v>
      </c>
      <c r="AG334" s="128">
        <v>0.55389999999999995</v>
      </c>
      <c r="AH334" s="352">
        <v>1.47</v>
      </c>
      <c r="AI334"/>
      <c r="AJ334"/>
      <c r="AK334"/>
      <c r="AL334"/>
      <c r="AM334" s="242"/>
      <c r="AN334" s="270">
        <v>-2.2858999999999998</v>
      </c>
      <c r="AO334" s="270">
        <v>-2.0261999999999998</v>
      </c>
      <c r="AP334" s="270"/>
      <c r="AQ334" s="270"/>
      <c r="AR334" s="270"/>
      <c r="AS334" s="270"/>
      <c r="AT334" s="270"/>
      <c r="AU334" s="270"/>
      <c r="AV334" s="245">
        <v>0.53</v>
      </c>
      <c r="AW334" s="245"/>
      <c r="AX334" s="245"/>
      <c r="AY334" s="245">
        <v>0.3</v>
      </c>
      <c r="AZ334" s="245">
        <v>0.17</v>
      </c>
      <c r="BA334" s="245">
        <v>0</v>
      </c>
      <c r="BB334" s="245"/>
      <c r="BC334" s="245">
        <f t="shared" si="70"/>
        <v>1</v>
      </c>
      <c r="BD334" s="240">
        <f t="shared" si="71"/>
        <v>-0.76831980000000011</v>
      </c>
      <c r="BE334" s="243">
        <f t="shared" si="74"/>
        <v>-0.76831980000000011</v>
      </c>
      <c r="BF334" s="235">
        <v>0.375</v>
      </c>
      <c r="BG334" s="235">
        <v>0.04</v>
      </c>
      <c r="BH334" s="235">
        <v>0.04</v>
      </c>
      <c r="BI334" s="235"/>
      <c r="BJ334" s="235">
        <v>0.17</v>
      </c>
      <c r="BK334" s="235"/>
      <c r="BL334" s="235"/>
      <c r="BM334" s="235">
        <v>0.27500000000000002</v>
      </c>
      <c r="BN334" s="235"/>
      <c r="BO334" s="235">
        <v>0.1</v>
      </c>
      <c r="BP334" s="235">
        <f t="shared" si="69"/>
        <v>1</v>
      </c>
      <c r="BQ334" s="243">
        <f t="shared" si="76"/>
        <v>-0.86443579999999998</v>
      </c>
      <c r="BS334" s="341">
        <f t="array" ref="BS334">((1+9.4/100)^(1/12)-1)*100</f>
        <v>0.75148209323356863</v>
      </c>
      <c r="BT334" s="341"/>
      <c r="BU334" s="341"/>
      <c r="BV334" s="341">
        <f t="array" ref="BV334">((1+5.6/100)^(1/12)-1)*100</f>
        <v>0.45510066248739545</v>
      </c>
      <c r="BW334" s="341">
        <f t="array" ref="BW334">((1+10/100)^(1/12)-1)*100</f>
        <v>0.79741404289037643</v>
      </c>
      <c r="BX334" s="341"/>
      <c r="BY334" s="341">
        <f t="shared" si="61"/>
        <v>0.670376095451374</v>
      </c>
      <c r="BZ334" s="341">
        <f t="shared" si="65"/>
        <v>0.75148209323356863</v>
      </c>
      <c r="CA334" s="341"/>
      <c r="CB334" s="243">
        <f t="shared" si="59"/>
        <v>0.64340301100034303</v>
      </c>
      <c r="CC334" s="243"/>
      <c r="CD334" s="243">
        <f t="shared" si="62"/>
        <v>0.64340301100034303</v>
      </c>
      <c r="CG334" s="734">
        <f t="shared" si="72"/>
        <v>-1.5</v>
      </c>
      <c r="CJ334" s="1264">
        <f t="shared" si="60"/>
        <v>0.79741404289037643</v>
      </c>
    </row>
    <row r="335" spans="1:88" x14ac:dyDescent="0.2">
      <c r="A335" s="19">
        <v>37711</v>
      </c>
      <c r="B335" s="262">
        <v>0.97099999999999997</v>
      </c>
      <c r="C335" s="270">
        <v>2.0253999999999999</v>
      </c>
      <c r="D335" s="270">
        <v>-0.13</v>
      </c>
      <c r="E335" s="270">
        <v>0.84289999999999998</v>
      </c>
      <c r="F335" s="270">
        <v>2.0484</v>
      </c>
      <c r="G335" s="270">
        <v>-0.32</v>
      </c>
      <c r="H335" s="270">
        <v>1.2876000000000001</v>
      </c>
      <c r="I335" s="262">
        <v>1.5139</v>
      </c>
      <c r="J335" s="270">
        <v>1.0680000000000001</v>
      </c>
      <c r="K335" s="128">
        <v>0.78559999999999997</v>
      </c>
      <c r="L335" s="128">
        <v>1.0383</v>
      </c>
      <c r="M335" s="128">
        <v>0.53159999999999996</v>
      </c>
      <c r="N335" s="262">
        <f t="shared" si="66"/>
        <v>1.2876000000000001</v>
      </c>
      <c r="O335" s="262">
        <f t="shared" si="67"/>
        <v>1.5139</v>
      </c>
      <c r="P335" s="262">
        <f t="shared" si="68"/>
        <v>1.0680000000000001</v>
      </c>
      <c r="Q335" s="270">
        <v>1.3212999999999999</v>
      </c>
      <c r="R335" s="128">
        <v>0.95320000000000005</v>
      </c>
      <c r="S335" s="128">
        <v>1.0516000000000001</v>
      </c>
      <c r="T335" s="128"/>
      <c r="U335" s="270">
        <v>-1.9398</v>
      </c>
      <c r="V335" s="270">
        <v>-0.51280000000000003</v>
      </c>
      <c r="W335" s="262">
        <v>-7.7299999999999994E-2</v>
      </c>
      <c r="X335" s="128">
        <v>5.8599999999999999E-2</v>
      </c>
      <c r="Y335" s="128"/>
      <c r="Z335" s="128">
        <v>0.42570000000000002</v>
      </c>
      <c r="AA335" s="262">
        <v>-1.88985</v>
      </c>
      <c r="AB335" s="270">
        <v>-0.97570000000000001</v>
      </c>
      <c r="AC335" s="270">
        <v>-2.7616000000000001</v>
      </c>
      <c r="AD335" s="280"/>
      <c r="AE335" s="277">
        <f t="shared" si="75"/>
        <v>0.70892499999999992</v>
      </c>
      <c r="AF335" s="262">
        <f t="shared" si="73"/>
        <v>-1.88985</v>
      </c>
      <c r="AG335" s="128">
        <v>0.55389999999999995</v>
      </c>
      <c r="AH335" s="352">
        <v>2.54</v>
      </c>
      <c r="AI335"/>
      <c r="AJ335"/>
      <c r="AK335"/>
      <c r="AL335"/>
      <c r="AM335" s="242"/>
      <c r="AN335" s="270">
        <v>-1.8898999999999999</v>
      </c>
      <c r="AO335" s="270">
        <v>-1.9398</v>
      </c>
      <c r="AP335" s="270"/>
      <c r="AQ335" s="270"/>
      <c r="AR335" s="270"/>
      <c r="AS335" s="270"/>
      <c r="AT335" s="270"/>
      <c r="AU335" s="270"/>
      <c r="AV335" s="245">
        <v>0.53</v>
      </c>
      <c r="AW335" s="245"/>
      <c r="AX335" s="245"/>
      <c r="AY335" s="245">
        <v>0.3</v>
      </c>
      <c r="AZ335" s="245">
        <v>0.17</v>
      </c>
      <c r="BA335" s="245">
        <v>0</v>
      </c>
      <c r="BB335" s="245"/>
      <c r="BC335" s="245">
        <f t="shared" si="70"/>
        <v>1</v>
      </c>
      <c r="BD335" s="240">
        <f t="shared" si="71"/>
        <v>0.17016550000000003</v>
      </c>
      <c r="BE335" s="243">
        <f t="shared" si="74"/>
        <v>0.17016550000000003</v>
      </c>
      <c r="BF335" s="235">
        <v>0.375</v>
      </c>
      <c r="BG335" s="235">
        <v>0.04</v>
      </c>
      <c r="BH335" s="235">
        <v>0.04</v>
      </c>
      <c r="BI335" s="235"/>
      <c r="BJ335" s="235">
        <v>0.17</v>
      </c>
      <c r="BK335" s="235"/>
      <c r="BL335" s="235"/>
      <c r="BM335" s="235">
        <v>0.27500000000000002</v>
      </c>
      <c r="BN335" s="235"/>
      <c r="BO335" s="235">
        <v>0.1</v>
      </c>
      <c r="BP335" s="235">
        <f t="shared" si="69"/>
        <v>1</v>
      </c>
      <c r="BQ335" s="243">
        <f t="shared" si="76"/>
        <v>0.17770549999999996</v>
      </c>
      <c r="BS335" s="341">
        <f t="array" ref="BS335">((1+9.4/100)^(1/12)-1)*100</f>
        <v>0.75148209323356863</v>
      </c>
      <c r="BT335" s="341"/>
      <c r="BU335" s="341"/>
      <c r="BV335" s="341">
        <f t="array" ref="BV335">((1+5.6/100)^(1/12)-1)*100</f>
        <v>0.45510066248739545</v>
      </c>
      <c r="BW335" s="341">
        <f t="array" ref="BW335">((1+10/100)^(1/12)-1)*100</f>
        <v>0.79741404289037643</v>
      </c>
      <c r="BX335" s="341"/>
      <c r="BY335" s="341">
        <f t="shared" si="61"/>
        <v>0.670376095451374</v>
      </c>
      <c r="BZ335" s="341">
        <f t="shared" si="65"/>
        <v>0.75148209323356863</v>
      </c>
      <c r="CA335" s="341"/>
      <c r="CB335" s="243">
        <f t="shared" si="59"/>
        <v>0.64340301100034303</v>
      </c>
      <c r="CC335" s="243"/>
      <c r="CD335" s="243">
        <f t="shared" si="62"/>
        <v>0.64340301100034303</v>
      </c>
      <c r="CG335" s="734">
        <f t="shared" si="72"/>
        <v>0.97099999999999997</v>
      </c>
      <c r="CJ335" s="1264">
        <f t="shared" si="60"/>
        <v>0.79741404289037643</v>
      </c>
    </row>
    <row r="336" spans="1:88" x14ac:dyDescent="0.2">
      <c r="A336" s="19">
        <v>37741</v>
      </c>
      <c r="B336" s="262">
        <v>8.2370000000000001</v>
      </c>
      <c r="C336" s="270">
        <v>6.6947000000000001</v>
      </c>
      <c r="D336" s="270">
        <v>9.89</v>
      </c>
      <c r="E336" s="270">
        <v>7.2603</v>
      </c>
      <c r="F336" s="270">
        <v>6.3780999999999999</v>
      </c>
      <c r="G336" s="270">
        <v>8.1199999999999992</v>
      </c>
      <c r="H336" s="270">
        <v>9.4817</v>
      </c>
      <c r="I336" s="262">
        <v>9.4640000000000004</v>
      </c>
      <c r="J336" s="270">
        <v>9.4984999999999999</v>
      </c>
      <c r="K336" s="128">
        <v>8.1156000000000006</v>
      </c>
      <c r="L336" s="128">
        <v>7.88</v>
      </c>
      <c r="M336" s="128">
        <v>8.3522999999999996</v>
      </c>
      <c r="N336" s="262">
        <f t="shared" si="66"/>
        <v>9.4817</v>
      </c>
      <c r="O336" s="262">
        <f t="shared" si="67"/>
        <v>9.4640000000000004</v>
      </c>
      <c r="P336" s="262">
        <f t="shared" si="68"/>
        <v>9.4984999999999999</v>
      </c>
      <c r="Q336" s="270">
        <v>8.7239000000000004</v>
      </c>
      <c r="R336" s="128">
        <v>8.9121000000000006</v>
      </c>
      <c r="S336" s="128">
        <v>8.1658000000000008</v>
      </c>
      <c r="T336" s="128"/>
      <c r="U336" s="270">
        <v>9.6359999999999992</v>
      </c>
      <c r="V336" s="270">
        <v>9.4913000000000007</v>
      </c>
      <c r="W336" s="262">
        <v>0.82540000000000002</v>
      </c>
      <c r="X336" s="128">
        <v>0.61870000000000003</v>
      </c>
      <c r="Y336" s="128"/>
      <c r="Z336" s="128">
        <v>2.4356</v>
      </c>
      <c r="AA336" s="262">
        <v>9.9157700000000002</v>
      </c>
      <c r="AB336" s="270">
        <v>8.7721999999999998</v>
      </c>
      <c r="AC336" s="270">
        <v>11.0212</v>
      </c>
      <c r="AD336" s="280"/>
      <c r="AE336" s="277">
        <f t="shared" si="75"/>
        <v>6.3840999999999992</v>
      </c>
      <c r="AF336" s="262">
        <f t="shared" si="73"/>
        <v>9.9157700000000002</v>
      </c>
      <c r="AG336" s="128">
        <v>0.62409999999999999</v>
      </c>
      <c r="AH336" s="352">
        <v>4.21</v>
      </c>
      <c r="AI336"/>
      <c r="AJ336"/>
      <c r="AK336"/>
      <c r="AL336"/>
      <c r="AM336" s="242"/>
      <c r="AN336" s="270">
        <v>9.9158000000000008</v>
      </c>
      <c r="AO336" s="270">
        <v>9.6359999999999992</v>
      </c>
      <c r="AP336" s="270"/>
      <c r="AQ336" s="270"/>
      <c r="AR336" s="270"/>
      <c r="AS336" s="270"/>
      <c r="AT336" s="270"/>
      <c r="AU336" s="270"/>
      <c r="AV336" s="245">
        <v>0.53</v>
      </c>
      <c r="AW336" s="245"/>
      <c r="AX336" s="245"/>
      <c r="AY336" s="245">
        <v>0.3</v>
      </c>
      <c r="AZ336" s="245">
        <v>0.17</v>
      </c>
      <c r="BA336" s="245">
        <v>0</v>
      </c>
      <c r="BB336" s="245"/>
      <c r="BC336" s="245">
        <f t="shared" si="70"/>
        <v>1</v>
      </c>
      <c r="BD336" s="240">
        <f t="shared" si="71"/>
        <v>6.298910900000001</v>
      </c>
      <c r="BE336" s="243">
        <f t="shared" si="74"/>
        <v>6.298910900000001</v>
      </c>
      <c r="BF336" s="235">
        <v>0.375</v>
      </c>
      <c r="BG336" s="235">
        <v>0.04</v>
      </c>
      <c r="BH336" s="235">
        <v>0.04</v>
      </c>
      <c r="BI336" s="235"/>
      <c r="BJ336" s="235">
        <v>0.17</v>
      </c>
      <c r="BK336" s="235"/>
      <c r="BL336" s="235"/>
      <c r="BM336" s="235">
        <v>0.27500000000000002</v>
      </c>
      <c r="BN336" s="235"/>
      <c r="BO336" s="235">
        <v>0.1</v>
      </c>
      <c r="BP336" s="235">
        <f t="shared" si="69"/>
        <v>1</v>
      </c>
      <c r="BQ336" s="243">
        <f t="shared" si="76"/>
        <v>6.3096309000000002</v>
      </c>
      <c r="BS336" s="341">
        <f t="array" ref="BS336">((1+9.4/100)^(1/12)-1)*100</f>
        <v>0.75148209323356863</v>
      </c>
      <c r="BT336" s="341"/>
      <c r="BU336" s="341"/>
      <c r="BV336" s="341">
        <f t="array" ref="BV336">((1+5.6/100)^(1/12)-1)*100</f>
        <v>0.45510066248739545</v>
      </c>
      <c r="BW336" s="341">
        <f t="array" ref="BW336">((1+10/100)^(1/12)-1)*100</f>
        <v>0.79741404289037643</v>
      </c>
      <c r="BX336" s="341"/>
      <c r="BY336" s="341">
        <f t="shared" si="61"/>
        <v>0.670376095451374</v>
      </c>
      <c r="BZ336" s="341">
        <f t="shared" si="65"/>
        <v>0.75148209323356863</v>
      </c>
      <c r="CA336" s="341"/>
      <c r="CB336" s="243">
        <f t="shared" si="59"/>
        <v>0.64340301100034303</v>
      </c>
      <c r="CC336" s="243"/>
      <c r="CD336" s="243">
        <f t="shared" si="62"/>
        <v>0.64340301100034303</v>
      </c>
      <c r="CG336" s="734">
        <f t="shared" si="72"/>
        <v>8.2370000000000001</v>
      </c>
      <c r="CJ336" s="1264">
        <f t="shared" si="60"/>
        <v>0.79741404289037643</v>
      </c>
    </row>
    <row r="337" spans="1:88" x14ac:dyDescent="0.2">
      <c r="A337" s="19">
        <v>37772</v>
      </c>
      <c r="B337" s="262">
        <v>5.2690000000000001</v>
      </c>
      <c r="C337" s="270">
        <v>3.2553000000000001</v>
      </c>
      <c r="D337" s="270">
        <v>7.36</v>
      </c>
      <c r="E337" s="270">
        <v>8.2873999999999999</v>
      </c>
      <c r="F337" s="270">
        <v>6.7592999999999996</v>
      </c>
      <c r="G337" s="270">
        <v>9.77</v>
      </c>
      <c r="H337" s="270">
        <v>10.731299999999999</v>
      </c>
      <c r="I337" s="262">
        <v>11.2691</v>
      </c>
      <c r="J337" s="270">
        <v>10.2105</v>
      </c>
      <c r="K337" s="128">
        <v>8.0639000000000003</v>
      </c>
      <c r="L337" s="128">
        <v>8.3495000000000008</v>
      </c>
      <c r="M337" s="128">
        <v>7.7790999999999997</v>
      </c>
      <c r="N337" s="262">
        <f t="shared" si="66"/>
        <v>10.731299999999999</v>
      </c>
      <c r="O337" s="262">
        <f t="shared" si="67"/>
        <v>11.2691</v>
      </c>
      <c r="P337" s="262">
        <f t="shared" si="68"/>
        <v>10.2105</v>
      </c>
      <c r="Q337" s="270">
        <v>10.5954</v>
      </c>
      <c r="R337" s="128">
        <v>9.8348999999999993</v>
      </c>
      <c r="S337" s="128">
        <v>6.0364000000000004</v>
      </c>
      <c r="T337" s="128"/>
      <c r="U337" s="270">
        <v>6.3705999999999996</v>
      </c>
      <c r="V337" s="270">
        <v>8.6176999999999992</v>
      </c>
      <c r="W337" s="262">
        <v>1.8645</v>
      </c>
      <c r="X337" s="128">
        <v>1.2423999999999999</v>
      </c>
      <c r="Y337" s="128"/>
      <c r="Z337" s="128">
        <v>3.6808000000000001</v>
      </c>
      <c r="AA337" s="262">
        <v>6.1520400000000004</v>
      </c>
      <c r="AB337" s="270">
        <v>5.2565</v>
      </c>
      <c r="AC337" s="270">
        <v>7.0003000000000002</v>
      </c>
      <c r="AD337" s="280"/>
      <c r="AE337" s="277">
        <f t="shared" si="75"/>
        <v>4.4178750000000004</v>
      </c>
      <c r="AF337" s="262">
        <f t="shared" si="73"/>
        <v>6.1520400000000004</v>
      </c>
      <c r="AG337" s="128">
        <v>0.62409999999999999</v>
      </c>
      <c r="AH337" s="352">
        <v>5.74</v>
      </c>
      <c r="AI337"/>
      <c r="AJ337"/>
      <c r="AK337"/>
      <c r="AL337"/>
      <c r="AM337" s="242"/>
      <c r="AN337" s="270">
        <v>6.1520000000000001</v>
      </c>
      <c r="AO337" s="270">
        <v>6.3705999999999996</v>
      </c>
      <c r="AP337" s="270"/>
      <c r="AQ337" s="270"/>
      <c r="AR337" s="270"/>
      <c r="AS337" s="270"/>
      <c r="AT337" s="270"/>
      <c r="AU337" s="270"/>
      <c r="AV337" s="245">
        <v>0.53</v>
      </c>
      <c r="AW337" s="245"/>
      <c r="AX337" s="245"/>
      <c r="AY337" s="245">
        <v>0.3</v>
      </c>
      <c r="AZ337" s="245">
        <v>0.17</v>
      </c>
      <c r="BA337" s="245">
        <v>0</v>
      </c>
      <c r="BB337" s="245"/>
      <c r="BC337" s="245">
        <f t="shared" si="70"/>
        <v>1</v>
      </c>
      <c r="BD337" s="240">
        <f t="shared" si="71"/>
        <v>4.3977667999999994</v>
      </c>
      <c r="BE337" s="243">
        <f t="shared" si="74"/>
        <v>4.3977667999999994</v>
      </c>
      <c r="BF337" s="235">
        <v>0.375</v>
      </c>
      <c r="BG337" s="235">
        <v>0.04</v>
      </c>
      <c r="BH337" s="235">
        <v>0.04</v>
      </c>
      <c r="BI337" s="235"/>
      <c r="BJ337" s="235">
        <v>0.17</v>
      </c>
      <c r="BK337" s="235"/>
      <c r="BL337" s="235"/>
      <c r="BM337" s="235">
        <v>0.27500000000000002</v>
      </c>
      <c r="BN337" s="235"/>
      <c r="BO337" s="235">
        <v>0.1</v>
      </c>
      <c r="BP337" s="235">
        <f t="shared" si="69"/>
        <v>1</v>
      </c>
      <c r="BQ337" s="243">
        <f t="shared" si="76"/>
        <v>4.7369947999999997</v>
      </c>
      <c r="BS337" s="341">
        <f t="array" ref="BS337">((1+9.4/100)^(1/12)-1)*100</f>
        <v>0.75148209323356863</v>
      </c>
      <c r="BT337" s="341"/>
      <c r="BU337" s="341"/>
      <c r="BV337" s="341">
        <f t="array" ref="BV337">((1+5.6/100)^(1/12)-1)*100</f>
        <v>0.45510066248739545</v>
      </c>
      <c r="BW337" s="341">
        <f t="array" ref="BW337">((1+10/100)^(1/12)-1)*100</f>
        <v>0.79741404289037643</v>
      </c>
      <c r="BX337" s="341"/>
      <c r="BY337" s="341">
        <f t="shared" si="61"/>
        <v>0.670376095451374</v>
      </c>
      <c r="BZ337" s="341">
        <f t="shared" si="65"/>
        <v>0.75148209323356863</v>
      </c>
      <c r="CA337" s="341"/>
      <c r="CB337" s="243">
        <f t="shared" si="59"/>
        <v>0.64340301100034303</v>
      </c>
      <c r="CC337" s="243"/>
      <c r="CD337" s="243">
        <f t="shared" si="62"/>
        <v>0.64340301100034303</v>
      </c>
      <c r="CG337" s="734">
        <f t="shared" si="72"/>
        <v>5.2690000000000001</v>
      </c>
      <c r="CJ337" s="1264">
        <f t="shared" si="60"/>
        <v>0.79741404289037643</v>
      </c>
    </row>
    <row r="338" spans="1:88" x14ac:dyDescent="0.2">
      <c r="A338" s="19">
        <v>37802</v>
      </c>
      <c r="B338" s="262">
        <v>1.276</v>
      </c>
      <c r="C338" s="270">
        <v>1.8208</v>
      </c>
      <c r="D338" s="270">
        <v>0.73</v>
      </c>
      <c r="E338" s="270">
        <v>1.2746</v>
      </c>
      <c r="F338" s="270">
        <v>2.1533000000000002</v>
      </c>
      <c r="G338" s="270">
        <v>0.42</v>
      </c>
      <c r="H338" s="270">
        <v>1.8097000000000001</v>
      </c>
      <c r="I338" s="262">
        <v>1.9272</v>
      </c>
      <c r="J338" s="270">
        <v>1.6943999999999999</v>
      </c>
      <c r="K338" s="128">
        <v>2.5983000000000001</v>
      </c>
      <c r="L338" s="128">
        <v>2.5743</v>
      </c>
      <c r="M338" s="128">
        <v>2.6227</v>
      </c>
      <c r="N338" s="262">
        <f t="shared" si="66"/>
        <v>1.8097000000000001</v>
      </c>
      <c r="O338" s="262">
        <f t="shared" si="67"/>
        <v>1.9272</v>
      </c>
      <c r="P338" s="262">
        <f t="shared" si="68"/>
        <v>1.6943999999999999</v>
      </c>
      <c r="Q338" s="270">
        <v>2.0592999999999999</v>
      </c>
      <c r="R338" s="128">
        <v>1.9105000000000001</v>
      </c>
      <c r="S338" s="128">
        <v>1.3494999999999999</v>
      </c>
      <c r="T338" s="128"/>
      <c r="U338" s="270">
        <v>2.7681</v>
      </c>
      <c r="V338" s="270">
        <v>5.3686999999999996</v>
      </c>
      <c r="W338" s="262">
        <v>-0.1986</v>
      </c>
      <c r="X338" s="128">
        <v>2.1399999999999999E-2</v>
      </c>
      <c r="Y338" s="128"/>
      <c r="Z338" s="128">
        <v>0.78779999999999994</v>
      </c>
      <c r="AA338" s="262">
        <v>2.4749699999999999</v>
      </c>
      <c r="AB338" s="270">
        <v>1.7734000000000001</v>
      </c>
      <c r="AC338" s="270">
        <v>3.1758000000000002</v>
      </c>
      <c r="AD338" s="280"/>
      <c r="AE338" s="277">
        <f t="shared" si="75"/>
        <v>0.9073500000000001</v>
      </c>
      <c r="AF338" s="262">
        <f t="shared" si="73"/>
        <v>2.4749699999999999</v>
      </c>
      <c r="AG338" s="128">
        <v>0.62409999999999999</v>
      </c>
      <c r="AH338" s="352">
        <v>1.95</v>
      </c>
      <c r="AI338"/>
      <c r="AJ338"/>
      <c r="AK338"/>
      <c r="AL338"/>
      <c r="AM338" s="242"/>
      <c r="AN338" s="270">
        <v>2.4750000000000001</v>
      </c>
      <c r="AO338" s="270">
        <v>2.7681</v>
      </c>
      <c r="AP338" s="270"/>
      <c r="AQ338" s="270"/>
      <c r="AR338" s="270"/>
      <c r="AS338" s="270"/>
      <c r="AT338" s="270"/>
      <c r="AU338" s="270"/>
      <c r="AV338" s="245">
        <v>0.53</v>
      </c>
      <c r="AW338" s="245"/>
      <c r="AX338" s="245"/>
      <c r="AY338" s="245">
        <v>0.3</v>
      </c>
      <c r="AZ338" s="245">
        <v>0.17</v>
      </c>
      <c r="BA338" s="245">
        <v>0</v>
      </c>
      <c r="BB338" s="245"/>
      <c r="BC338" s="245">
        <f t="shared" si="70"/>
        <v>1</v>
      </c>
      <c r="BD338" s="240">
        <f t="shared" si="71"/>
        <v>1.0374449000000001</v>
      </c>
      <c r="BE338" s="243">
        <f t="shared" si="74"/>
        <v>1.0374449000000001</v>
      </c>
      <c r="BF338" s="235">
        <v>0.375</v>
      </c>
      <c r="BG338" s="235">
        <v>0.04</v>
      </c>
      <c r="BH338" s="235">
        <v>0.04</v>
      </c>
      <c r="BI338" s="235"/>
      <c r="BJ338" s="235">
        <v>0.17</v>
      </c>
      <c r="BK338" s="235"/>
      <c r="BL338" s="235"/>
      <c r="BM338" s="235">
        <v>0.27500000000000002</v>
      </c>
      <c r="BN338" s="235"/>
      <c r="BO338" s="235">
        <v>0.1</v>
      </c>
      <c r="BP338" s="235">
        <f t="shared" si="69"/>
        <v>1</v>
      </c>
      <c r="BQ338" s="243">
        <f t="shared" si="76"/>
        <v>1.0587369</v>
      </c>
      <c r="BS338" s="341">
        <f t="array" ref="BS338">((1+9.4/100)^(1/12)-1)*100</f>
        <v>0.75148209323356863</v>
      </c>
      <c r="BT338" s="341"/>
      <c r="BU338" s="341"/>
      <c r="BV338" s="341">
        <f t="array" ref="BV338">((1+5.6/100)^(1/12)-1)*100</f>
        <v>0.45510066248739545</v>
      </c>
      <c r="BW338" s="341">
        <f t="array" ref="BW338">((1+10/100)^(1/12)-1)*100</f>
        <v>0.79741404289037643</v>
      </c>
      <c r="BX338" s="341"/>
      <c r="BY338" s="341">
        <f t="shared" si="61"/>
        <v>0.670376095451374</v>
      </c>
      <c r="BZ338" s="341">
        <f t="shared" si="65"/>
        <v>0.75148209323356863</v>
      </c>
      <c r="CA338" s="341"/>
      <c r="CB338" s="243">
        <f t="shared" si="59"/>
        <v>0.64340301100034303</v>
      </c>
      <c r="CC338" s="243"/>
      <c r="CD338" s="243">
        <f t="shared" si="62"/>
        <v>0.64340301100034303</v>
      </c>
      <c r="CG338" s="734">
        <f t="shared" si="72"/>
        <v>1.276</v>
      </c>
      <c r="CJ338" s="1264">
        <f t="shared" si="60"/>
        <v>0.79741404289037643</v>
      </c>
    </row>
    <row r="339" spans="1:88" x14ac:dyDescent="0.2">
      <c r="A339" s="19">
        <v>37833</v>
      </c>
      <c r="B339" s="262">
        <v>1.7629999999999999</v>
      </c>
      <c r="C339" s="270">
        <v>1.3089999999999999</v>
      </c>
      <c r="D339" s="270">
        <v>2.2200000000000002</v>
      </c>
      <c r="E339" s="270">
        <v>3.5482</v>
      </c>
      <c r="F339" s="270">
        <v>4.0869</v>
      </c>
      <c r="G339" s="270">
        <v>3.01</v>
      </c>
      <c r="H339" s="270">
        <v>6.2569999999999997</v>
      </c>
      <c r="I339" s="262">
        <v>7.5597000000000003</v>
      </c>
      <c r="J339" s="270">
        <v>4.9869000000000003</v>
      </c>
      <c r="K339" s="128">
        <v>5.1992000000000003</v>
      </c>
      <c r="L339" s="128">
        <v>4.8342000000000001</v>
      </c>
      <c r="M339" s="128">
        <v>5.5631000000000004</v>
      </c>
      <c r="N339" s="262">
        <f t="shared" si="66"/>
        <v>6.2569999999999997</v>
      </c>
      <c r="O339" s="262">
        <f t="shared" si="67"/>
        <v>7.5597000000000003</v>
      </c>
      <c r="P339" s="262">
        <f t="shared" si="68"/>
        <v>4.9869000000000003</v>
      </c>
      <c r="Q339" s="270">
        <v>6.6612999999999998</v>
      </c>
      <c r="R339" s="128">
        <v>5.3753000000000002</v>
      </c>
      <c r="S339" s="128">
        <v>2.294</v>
      </c>
      <c r="T339" s="128"/>
      <c r="U339" s="270">
        <v>2.6642999999999999</v>
      </c>
      <c r="V339" s="270">
        <v>3.1141999999999999</v>
      </c>
      <c r="W339" s="262">
        <v>-3.3620000000000001</v>
      </c>
      <c r="X339" s="128">
        <v>-2.4081000000000001</v>
      </c>
      <c r="Y339" s="128"/>
      <c r="Z339" s="128">
        <v>0.27100000000000002</v>
      </c>
      <c r="AA339" s="262">
        <v>2.4356300000000002</v>
      </c>
      <c r="AB339" s="270">
        <v>1.3258000000000001</v>
      </c>
      <c r="AC339" s="270">
        <v>3.5305</v>
      </c>
      <c r="AD339" s="280"/>
      <c r="AE339" s="277">
        <f t="shared" si="75"/>
        <v>0.4817499999999999</v>
      </c>
      <c r="AF339" s="262">
        <f t="shared" si="73"/>
        <v>2.4356300000000002</v>
      </c>
      <c r="AG339" s="128">
        <v>0.69079999999999997</v>
      </c>
      <c r="AH339" s="352">
        <v>5.8</v>
      </c>
      <c r="AI339"/>
      <c r="AJ339"/>
      <c r="AK339"/>
      <c r="AL339"/>
      <c r="AM339" s="242"/>
      <c r="AN339" s="270">
        <v>2.4356</v>
      </c>
      <c r="AO339" s="270">
        <v>2.6642999999999999</v>
      </c>
      <c r="AP339" s="270"/>
      <c r="AQ339" s="270"/>
      <c r="AR339" s="270"/>
      <c r="AS339" s="270"/>
      <c r="AT339" s="270"/>
      <c r="AU339" s="270"/>
      <c r="AV339" s="245">
        <v>0.53</v>
      </c>
      <c r="AW339" s="245"/>
      <c r="AX339" s="245"/>
      <c r="AY339" s="245">
        <v>0.3</v>
      </c>
      <c r="AZ339" s="245">
        <v>0.17</v>
      </c>
      <c r="BA339" s="245">
        <v>0</v>
      </c>
      <c r="BB339" s="245"/>
      <c r="BC339" s="245">
        <f t="shared" si="70"/>
        <v>1</v>
      </c>
      <c r="BD339" s="240">
        <f t="shared" si="71"/>
        <v>0.33984710000000007</v>
      </c>
      <c r="BE339" s="243">
        <f t="shared" si="74"/>
        <v>0.33984710000000007</v>
      </c>
      <c r="BF339" s="235">
        <v>0.375</v>
      </c>
      <c r="BG339" s="235">
        <v>0.04</v>
      </c>
      <c r="BH339" s="235">
        <v>0.04</v>
      </c>
      <c r="BI339" s="235"/>
      <c r="BJ339" s="235">
        <v>0.17</v>
      </c>
      <c r="BK339" s="235"/>
      <c r="BL339" s="235"/>
      <c r="BM339" s="235">
        <v>0.27500000000000002</v>
      </c>
      <c r="BN339" s="235"/>
      <c r="BO339" s="235">
        <v>0.1</v>
      </c>
      <c r="BP339" s="235">
        <f t="shared" si="69"/>
        <v>1</v>
      </c>
      <c r="BQ339" s="243">
        <f t="shared" si="76"/>
        <v>0.59101510000000013</v>
      </c>
      <c r="BS339" s="341">
        <f t="array" ref="BS339">((1+9.4/100)^(1/12)-1)*100</f>
        <v>0.75148209323356863</v>
      </c>
      <c r="BT339" s="341"/>
      <c r="BU339" s="341"/>
      <c r="BV339" s="341">
        <f t="array" ref="BV339">((1+5.6/100)^(1/12)-1)*100</f>
        <v>0.45510066248739545</v>
      </c>
      <c r="BW339" s="341">
        <f t="array" ref="BW339">((1+10/100)^(1/12)-1)*100</f>
        <v>0.79741404289037643</v>
      </c>
      <c r="BX339" s="341"/>
      <c r="BY339" s="341">
        <f t="shared" si="61"/>
        <v>0.670376095451374</v>
      </c>
      <c r="BZ339" s="341">
        <f t="shared" si="65"/>
        <v>0.75148209323356863</v>
      </c>
      <c r="CA339" s="341"/>
      <c r="CB339" s="243">
        <f t="shared" si="59"/>
        <v>0.64340301100034303</v>
      </c>
      <c r="CC339" s="243"/>
      <c r="CD339" s="243">
        <f t="shared" si="62"/>
        <v>0.64340301100034303</v>
      </c>
      <c r="CG339" s="734">
        <f t="shared" si="72"/>
        <v>1.7629999999999999</v>
      </c>
      <c r="CJ339" s="1264">
        <f t="shared" si="60"/>
        <v>0.79741404289037643</v>
      </c>
    </row>
    <row r="340" spans="1:88" x14ac:dyDescent="0.2">
      <c r="A340" s="19">
        <v>37864</v>
      </c>
      <c r="B340" s="262">
        <v>1.95</v>
      </c>
      <c r="C340" s="270">
        <v>1.7373000000000001</v>
      </c>
      <c r="D340" s="270">
        <v>2.16</v>
      </c>
      <c r="E340" s="270">
        <v>4.5361000000000002</v>
      </c>
      <c r="F340" s="270">
        <v>3.9809000000000001</v>
      </c>
      <c r="G340" s="270">
        <v>5.0999999999999996</v>
      </c>
      <c r="H340" s="270">
        <v>4.5849000000000002</v>
      </c>
      <c r="I340" s="262">
        <v>5.3712</v>
      </c>
      <c r="J340" s="270">
        <v>3.7985000000000002</v>
      </c>
      <c r="K340" s="128">
        <v>4.8669000000000002</v>
      </c>
      <c r="L340" s="128">
        <v>5.0644</v>
      </c>
      <c r="M340" s="128">
        <v>4.6721000000000004</v>
      </c>
      <c r="N340" s="262">
        <f t="shared" si="66"/>
        <v>4.5849000000000002</v>
      </c>
      <c r="O340" s="262">
        <f t="shared" si="67"/>
        <v>5.3712</v>
      </c>
      <c r="P340" s="262">
        <f t="shared" si="68"/>
        <v>3.7985000000000002</v>
      </c>
      <c r="Q340" s="270">
        <v>5.3631000000000002</v>
      </c>
      <c r="R340" s="128">
        <v>4.6273999999999997</v>
      </c>
      <c r="S340" s="128">
        <v>2.2160000000000002</v>
      </c>
      <c r="T340" s="128"/>
      <c r="U340" s="270">
        <v>2.9801000000000002</v>
      </c>
      <c r="V340" s="270">
        <v>6.6089000000000002</v>
      </c>
      <c r="W340" s="262">
        <v>0.66369999999999996</v>
      </c>
      <c r="X340" s="128">
        <v>0.434</v>
      </c>
      <c r="Y340" s="128"/>
      <c r="Z340" s="128">
        <v>1.0359</v>
      </c>
      <c r="AA340" s="262">
        <v>2.4323000000000001</v>
      </c>
      <c r="AB340" s="270">
        <v>1.8347</v>
      </c>
      <c r="AC340" s="270">
        <v>3.0108000000000001</v>
      </c>
      <c r="AD340" s="280"/>
      <c r="AE340" s="277">
        <f t="shared" si="75"/>
        <v>1.628425</v>
      </c>
      <c r="AF340" s="262">
        <f t="shared" si="73"/>
        <v>2.4323000000000001</v>
      </c>
      <c r="AG340" s="128">
        <v>0.69079999999999997</v>
      </c>
      <c r="AH340" s="352">
        <v>1.07</v>
      </c>
      <c r="AI340"/>
      <c r="AJ340"/>
      <c r="AK340"/>
      <c r="AL340"/>
      <c r="AM340" s="242"/>
      <c r="AN340" s="270">
        <v>2.4323000000000001</v>
      </c>
      <c r="AO340" s="270">
        <v>2.9801000000000002</v>
      </c>
      <c r="AP340" s="270"/>
      <c r="AQ340" s="270"/>
      <c r="AR340" s="270"/>
      <c r="AS340" s="270"/>
      <c r="AT340" s="270"/>
      <c r="AU340" s="270"/>
      <c r="AV340" s="245">
        <v>0.53</v>
      </c>
      <c r="AW340" s="245"/>
      <c r="AX340" s="245"/>
      <c r="AY340" s="245">
        <v>0.3</v>
      </c>
      <c r="AZ340" s="245">
        <v>0.17</v>
      </c>
      <c r="BA340" s="245">
        <v>0</v>
      </c>
      <c r="BB340" s="245"/>
      <c r="BC340" s="245">
        <f t="shared" si="70"/>
        <v>1</v>
      </c>
      <c r="BD340" s="240">
        <f t="shared" si="71"/>
        <v>1.646101</v>
      </c>
      <c r="BE340" s="243">
        <f t="shared" si="74"/>
        <v>1.646101</v>
      </c>
      <c r="BF340" s="235">
        <v>0.375</v>
      </c>
      <c r="BG340" s="235">
        <v>0.04</v>
      </c>
      <c r="BH340" s="235">
        <v>0.04</v>
      </c>
      <c r="BI340" s="235"/>
      <c r="BJ340" s="235">
        <v>0.17</v>
      </c>
      <c r="BK340" s="235"/>
      <c r="BL340" s="235"/>
      <c r="BM340" s="235">
        <v>0.27500000000000002</v>
      </c>
      <c r="BN340" s="235"/>
      <c r="BO340" s="235">
        <v>0.1</v>
      </c>
      <c r="BP340" s="235">
        <f t="shared" si="69"/>
        <v>1</v>
      </c>
      <c r="BQ340" s="243">
        <f t="shared" si="76"/>
        <v>1.8549410000000002</v>
      </c>
      <c r="BS340" s="341">
        <f t="array" ref="BS340">((1+9.4/100)^(1/12)-1)*100</f>
        <v>0.75148209323356863</v>
      </c>
      <c r="BT340" s="341"/>
      <c r="BU340" s="341"/>
      <c r="BV340" s="341">
        <f t="array" ref="BV340">((1+5.6/100)^(1/12)-1)*100</f>
        <v>0.45510066248739545</v>
      </c>
      <c r="BW340" s="341">
        <f t="array" ref="BW340">((1+10/100)^(1/12)-1)*100</f>
        <v>0.79741404289037643</v>
      </c>
      <c r="BX340" s="341"/>
      <c r="BY340" s="341">
        <f t="shared" si="61"/>
        <v>0.670376095451374</v>
      </c>
      <c r="BZ340" s="341">
        <f t="shared" si="65"/>
        <v>0.75148209323356863</v>
      </c>
      <c r="CA340" s="341"/>
      <c r="CB340" s="243">
        <f t="shared" si="59"/>
        <v>0.64340301100034303</v>
      </c>
      <c r="CC340" s="243"/>
      <c r="CD340" s="243">
        <f t="shared" si="62"/>
        <v>0.64340301100034303</v>
      </c>
      <c r="CG340" s="734">
        <f t="shared" si="72"/>
        <v>1.95</v>
      </c>
      <c r="CJ340" s="1264">
        <f t="shared" si="60"/>
        <v>0.79741404289037643</v>
      </c>
    </row>
    <row r="341" spans="1:88" x14ac:dyDescent="0.2">
      <c r="A341" s="19">
        <v>37894</v>
      </c>
      <c r="B341" s="262">
        <v>-1.0620000000000001</v>
      </c>
      <c r="C341" s="270">
        <v>-0.30830000000000002</v>
      </c>
      <c r="D341" s="270">
        <v>-1.81</v>
      </c>
      <c r="E341" s="270">
        <v>-1.5309999999999999</v>
      </c>
      <c r="F341" s="270">
        <v>-2.0710000000000002</v>
      </c>
      <c r="G341" s="270">
        <v>-0.98</v>
      </c>
      <c r="H341" s="270">
        <v>-1.8459000000000001</v>
      </c>
      <c r="I341" s="262">
        <v>-2.5314000000000001</v>
      </c>
      <c r="J341" s="270">
        <v>-1.1471</v>
      </c>
      <c r="K341" s="128">
        <v>-2.9373999999999998</v>
      </c>
      <c r="L341" s="128">
        <v>-2.3050999999999999</v>
      </c>
      <c r="M341" s="128">
        <v>-3.5701000000000001</v>
      </c>
      <c r="N341" s="262">
        <f t="shared" si="66"/>
        <v>-1.8459000000000001</v>
      </c>
      <c r="O341" s="262">
        <f t="shared" si="67"/>
        <v>-2.5314000000000001</v>
      </c>
      <c r="P341" s="262">
        <f t="shared" si="68"/>
        <v>-1.1471</v>
      </c>
      <c r="Q341" s="270">
        <v>-2.1463000000000001</v>
      </c>
      <c r="R341" s="128">
        <v>-1.3603000000000001</v>
      </c>
      <c r="S341" s="128">
        <v>-1.0857000000000001</v>
      </c>
      <c r="T341" s="128"/>
      <c r="U341" s="270">
        <v>2.8001</v>
      </c>
      <c r="V341" s="270">
        <v>6.0042</v>
      </c>
      <c r="W341" s="262">
        <v>2.6469</v>
      </c>
      <c r="X341" s="128">
        <v>2.2119</v>
      </c>
      <c r="Y341" s="128"/>
      <c r="Z341" s="128">
        <v>1.2138</v>
      </c>
      <c r="AA341" s="262">
        <v>3.1025399999999999</v>
      </c>
      <c r="AB341" s="270">
        <v>3.4005000000000001</v>
      </c>
      <c r="AC341" s="270">
        <v>2.8176000000000001</v>
      </c>
      <c r="AD341" s="280"/>
      <c r="AE341" s="277">
        <f t="shared" si="75"/>
        <v>-0.13477499999999998</v>
      </c>
      <c r="AF341" s="262">
        <f t="shared" si="73"/>
        <v>3.1025399999999999</v>
      </c>
      <c r="AG341" s="128">
        <v>0.69079999999999997</v>
      </c>
      <c r="AH341" s="352">
        <v>3.37</v>
      </c>
      <c r="AI341"/>
      <c r="AJ341"/>
      <c r="AK341"/>
      <c r="AL341"/>
      <c r="AM341" s="242"/>
      <c r="AN341" s="270">
        <v>3.1025</v>
      </c>
      <c r="AO341" s="270">
        <v>2.8001</v>
      </c>
      <c r="AP341" s="270"/>
      <c r="AQ341" s="270"/>
      <c r="AR341" s="270"/>
      <c r="AS341" s="270"/>
      <c r="AT341" s="270"/>
      <c r="AU341" s="270"/>
      <c r="AV341" s="246">
        <v>0.53</v>
      </c>
      <c r="AW341" s="246"/>
      <c r="AX341" s="246"/>
      <c r="AY341" s="246">
        <v>0.3</v>
      </c>
      <c r="AZ341" s="246">
        <v>0.17</v>
      </c>
      <c r="BA341" s="246">
        <v>0</v>
      </c>
      <c r="BB341" s="246"/>
      <c r="BC341" s="246">
        <f t="shared" si="70"/>
        <v>1</v>
      </c>
      <c r="BD341" s="275">
        <f t="shared" si="71"/>
        <v>0.75864179999999992</v>
      </c>
      <c r="BE341" s="243">
        <f t="shared" si="74"/>
        <v>0.75864179999999992</v>
      </c>
      <c r="BF341" s="328">
        <v>0.375</v>
      </c>
      <c r="BG341" s="328">
        <v>0.04</v>
      </c>
      <c r="BH341" s="328">
        <v>0.04</v>
      </c>
      <c r="BI341" s="328"/>
      <c r="BJ341" s="328">
        <v>0.17</v>
      </c>
      <c r="BK341" s="328"/>
      <c r="BL341" s="328"/>
      <c r="BM341" s="328">
        <v>0.27500000000000002</v>
      </c>
      <c r="BN341" s="328"/>
      <c r="BO341" s="328">
        <v>0.1</v>
      </c>
      <c r="BP341" s="328">
        <f t="shared" si="69"/>
        <v>1</v>
      </c>
      <c r="BQ341" s="327">
        <f t="shared" si="76"/>
        <v>0.70852580000000009</v>
      </c>
      <c r="BS341" s="343">
        <f t="array" ref="BS341">((1+9.4/100)^(1/12)-1)*100</f>
        <v>0.75148209323356863</v>
      </c>
      <c r="BT341" s="343"/>
      <c r="BU341" s="343"/>
      <c r="BV341" s="343">
        <f t="array" ref="BV341">((1+5.6/100)^(1/12)-1)*100</f>
        <v>0.45510066248739545</v>
      </c>
      <c r="BW341" s="343">
        <f t="array" ref="BW341">((1+10/100)^(1/12)-1)*100</f>
        <v>0.79741404289037643</v>
      </c>
      <c r="BX341" s="343"/>
      <c r="BY341" s="343">
        <f t="shared" si="61"/>
        <v>0.670376095451374</v>
      </c>
      <c r="BZ341" s="341">
        <f t="shared" si="65"/>
        <v>0.75148209323356863</v>
      </c>
      <c r="CA341" s="341"/>
      <c r="CB341" s="243">
        <f t="shared" si="59"/>
        <v>0.64340301100034303</v>
      </c>
      <c r="CC341" s="243"/>
      <c r="CD341" s="243">
        <f t="shared" si="62"/>
        <v>0.64340301100034303</v>
      </c>
      <c r="CG341" s="734">
        <f t="shared" si="72"/>
        <v>-1.0620000000000001</v>
      </c>
      <c r="CJ341" s="1264">
        <f t="shared" si="60"/>
        <v>0.79741404289037643</v>
      </c>
    </row>
    <row r="342" spans="1:88" x14ac:dyDescent="0.2">
      <c r="A342" s="19">
        <v>37925</v>
      </c>
      <c r="B342" s="262">
        <v>5.657</v>
      </c>
      <c r="C342" s="270">
        <v>4.4911000000000003</v>
      </c>
      <c r="D342" s="270">
        <v>6.84</v>
      </c>
      <c r="E342" s="270">
        <v>7.5613000000000001</v>
      </c>
      <c r="F342" s="270">
        <v>6.9249000000000001</v>
      </c>
      <c r="G342" s="270">
        <v>8.19</v>
      </c>
      <c r="H342" s="270">
        <v>8.3977000000000004</v>
      </c>
      <c r="I342" s="262">
        <v>8.6388999999999996</v>
      </c>
      <c r="J342" s="270">
        <v>8.1541999999999994</v>
      </c>
      <c r="K342" s="128">
        <v>8.6681000000000008</v>
      </c>
      <c r="L342" s="128">
        <v>9.0884</v>
      </c>
      <c r="M342" s="128">
        <v>8.2434999999999992</v>
      </c>
      <c r="N342" s="262">
        <f t="shared" si="66"/>
        <v>8.3977000000000004</v>
      </c>
      <c r="O342" s="262">
        <f t="shared" si="67"/>
        <v>8.6388999999999996</v>
      </c>
      <c r="P342" s="262">
        <f t="shared" si="68"/>
        <v>8.1541999999999994</v>
      </c>
      <c r="Q342" s="270">
        <v>8.2228999999999992</v>
      </c>
      <c r="R342" s="128">
        <v>7.9013999999999998</v>
      </c>
      <c r="S342" s="128">
        <v>6.0518999999999998</v>
      </c>
      <c r="T342" s="128"/>
      <c r="U342" s="270">
        <v>6.4821999999999997</v>
      </c>
      <c r="V342" s="270">
        <v>7.9889000000000001</v>
      </c>
      <c r="W342" s="262">
        <v>-0.93200000000000005</v>
      </c>
      <c r="X342" s="128">
        <v>-0.69920000000000004</v>
      </c>
      <c r="Y342" s="128"/>
      <c r="Z342" s="128">
        <v>2.4561000000000002</v>
      </c>
      <c r="AA342" s="262">
        <v>6.2392599999999998</v>
      </c>
      <c r="AB342" s="270">
        <v>5.7619999999999996</v>
      </c>
      <c r="AC342" s="270">
        <v>6.6985000000000001</v>
      </c>
      <c r="AD342" s="280"/>
      <c r="AE342" s="277">
        <f t="shared" si="75"/>
        <v>4.0097500000000004</v>
      </c>
      <c r="AF342" s="262">
        <f t="shared" si="73"/>
        <v>6.2392599999999998</v>
      </c>
      <c r="AG342" s="128">
        <v>0.65380000000000005</v>
      </c>
      <c r="AH342" s="352">
        <v>1.52</v>
      </c>
      <c r="AI342"/>
      <c r="AJ342"/>
      <c r="AK342"/>
      <c r="AL342"/>
      <c r="AM342" s="242"/>
      <c r="AN342" s="270">
        <v>6.2393000000000001</v>
      </c>
      <c r="AO342" s="270">
        <v>6.4821999999999997</v>
      </c>
      <c r="AP342" s="270"/>
      <c r="AQ342" s="270"/>
      <c r="AR342" s="270"/>
      <c r="AS342" s="270"/>
      <c r="AT342" s="270"/>
      <c r="AU342" s="270"/>
      <c r="AV342" s="245">
        <v>0.56000000000000005</v>
      </c>
      <c r="AW342" s="245"/>
      <c r="AX342" s="245"/>
      <c r="AY342" s="245">
        <v>0.28000000000000003</v>
      </c>
      <c r="AZ342" s="245">
        <v>0.16</v>
      </c>
      <c r="BA342" s="245">
        <v>0</v>
      </c>
      <c r="BB342" s="245"/>
      <c r="BC342" s="245">
        <f t="shared" si="70"/>
        <v>1</v>
      </c>
      <c r="BD342" s="240">
        <f t="shared" si="71"/>
        <v>3.9052416000000005</v>
      </c>
      <c r="BE342" s="243">
        <f t="shared" si="74"/>
        <v>3.9052416000000005</v>
      </c>
      <c r="BF342" s="235">
        <v>0.38500000000000001</v>
      </c>
      <c r="BG342" s="235">
        <v>0.05</v>
      </c>
      <c r="BH342" s="235">
        <v>0.05</v>
      </c>
      <c r="BI342" s="235"/>
      <c r="BJ342" s="235">
        <v>0.16</v>
      </c>
      <c r="BK342" s="235"/>
      <c r="BL342" s="235"/>
      <c r="BM342" s="235">
        <v>0.255</v>
      </c>
      <c r="BN342" s="235"/>
      <c r="BO342" s="235">
        <v>0.1</v>
      </c>
      <c r="BP342" s="235">
        <f t="shared" si="69"/>
        <v>1</v>
      </c>
      <c r="BQ342" s="243">
        <f t="shared" si="76"/>
        <v>4.1374916000000006</v>
      </c>
      <c r="BS342" s="341">
        <f t="array" ref="BS342">((1+8.5/100)^(1/12)-1)*100</f>
        <v>0.68214933659622723</v>
      </c>
      <c r="BT342" s="341"/>
      <c r="BU342" s="341"/>
      <c r="BV342" s="341">
        <f t="array" ref="BV342">((1+4.5/100)^(1/12)-1)*100</f>
        <v>0.36748094004368514</v>
      </c>
      <c r="BW342" s="341">
        <f t="array" ref="BW342">((1+8.5/100)^(1/12)-1)*100</f>
        <v>0.68214933659622723</v>
      </c>
      <c r="BX342" s="341">
        <f t="array" ref="BX342">((1+7.7/100)^(1/12)-1)*100</f>
        <v>0.62007621358530773</v>
      </c>
      <c r="BY342" s="341">
        <f>(BS342*AV342)+(BV342*AY342)+(BW342*AZ342)+(BX342*BB342)</f>
        <v>0.59404218556151545</v>
      </c>
      <c r="BZ342" s="341">
        <f t="shared" si="65"/>
        <v>0.68214933659622723</v>
      </c>
      <c r="CA342" s="341"/>
      <c r="CB342" s="243">
        <f t="shared" si="59"/>
        <v>0.64340301100034303</v>
      </c>
      <c r="CC342" s="243"/>
      <c r="CD342" s="243">
        <f t="shared" si="62"/>
        <v>0.64340301100034303</v>
      </c>
      <c r="CG342" s="734">
        <f t="shared" si="72"/>
        <v>5.657</v>
      </c>
      <c r="CJ342" s="1264">
        <f t="shared" si="60"/>
        <v>0.79741404289037643</v>
      </c>
    </row>
    <row r="343" spans="1:88" x14ac:dyDescent="0.2">
      <c r="A343" s="19">
        <v>37955</v>
      </c>
      <c r="B343" s="262">
        <v>0.88</v>
      </c>
      <c r="C343" s="270">
        <v>0.86040000000000005</v>
      </c>
      <c r="D343" s="270">
        <v>0.9</v>
      </c>
      <c r="E343" s="270">
        <v>3.4839000000000002</v>
      </c>
      <c r="F343" s="270">
        <v>3.0078</v>
      </c>
      <c r="G343" s="270">
        <v>3.95</v>
      </c>
      <c r="H343" s="270">
        <v>3.5488</v>
      </c>
      <c r="I343" s="262">
        <v>3.2603</v>
      </c>
      <c r="J343" s="270">
        <v>3.8386</v>
      </c>
      <c r="K343" s="128">
        <v>3.7841999999999998</v>
      </c>
      <c r="L343" s="128">
        <v>3.4897999999999998</v>
      </c>
      <c r="M343" s="128">
        <v>4.2140000000000004</v>
      </c>
      <c r="N343" s="262">
        <f t="shared" si="66"/>
        <v>3.5488</v>
      </c>
      <c r="O343" s="262">
        <f t="shared" si="67"/>
        <v>3.2603</v>
      </c>
      <c r="P343" s="262">
        <f t="shared" si="68"/>
        <v>3.8386</v>
      </c>
      <c r="Q343" s="270">
        <v>3.3834</v>
      </c>
      <c r="R343" s="128">
        <v>3.7644000000000002</v>
      </c>
      <c r="S343" s="128">
        <v>1.3774</v>
      </c>
      <c r="T343" s="128"/>
      <c r="U343" s="270">
        <v>2.1806000000000001</v>
      </c>
      <c r="V343" s="270">
        <v>-0.40620000000000001</v>
      </c>
      <c r="W343" s="262">
        <v>0.23910000000000001</v>
      </c>
      <c r="X343" s="128">
        <v>0.16500000000000001</v>
      </c>
      <c r="Y343" s="128"/>
      <c r="Z343" s="128">
        <v>1.6962999999999999</v>
      </c>
      <c r="AA343" s="262">
        <v>2.23752</v>
      </c>
      <c r="AB343" s="270">
        <v>2.3512</v>
      </c>
      <c r="AC343" s="270">
        <v>2.1295999999999999</v>
      </c>
      <c r="AD343" s="280"/>
      <c r="AE343" s="277">
        <f t="shared" si="75"/>
        <v>0.71977500000000005</v>
      </c>
      <c r="AF343" s="262">
        <f t="shared" si="73"/>
        <v>2.23752</v>
      </c>
      <c r="AG343" s="128">
        <v>0.65380000000000005</v>
      </c>
      <c r="AH343" s="352">
        <v>4.33</v>
      </c>
      <c r="AI343"/>
      <c r="AJ343"/>
      <c r="AK343"/>
      <c r="AL343"/>
      <c r="AM343" s="242"/>
      <c r="AN343" s="270">
        <v>2.2400000000000002</v>
      </c>
      <c r="AO343" s="270">
        <v>2.1806000000000001</v>
      </c>
      <c r="AP343" s="270"/>
      <c r="AQ343" s="270"/>
      <c r="AR343" s="270"/>
      <c r="AS343" s="270"/>
      <c r="AT343" s="270"/>
      <c r="AU343" s="270"/>
      <c r="AV343" s="245">
        <v>0.56000000000000005</v>
      </c>
      <c r="AW343" s="245"/>
      <c r="AX343" s="245"/>
      <c r="AY343" s="245">
        <v>0.28000000000000003</v>
      </c>
      <c r="AZ343" s="245">
        <v>0.16</v>
      </c>
      <c r="BA343" s="245">
        <v>0</v>
      </c>
      <c r="BB343" s="245"/>
      <c r="BC343" s="245">
        <f t="shared" si="70"/>
        <v>1</v>
      </c>
      <c r="BD343" s="240">
        <f t="shared" si="71"/>
        <v>0.9177512000000001</v>
      </c>
      <c r="BE343" s="243">
        <f t="shared" si="74"/>
        <v>0.9177512000000001</v>
      </c>
      <c r="BF343" s="235">
        <v>0.38500000000000001</v>
      </c>
      <c r="BG343" s="235">
        <v>0.05</v>
      </c>
      <c r="BH343" s="235">
        <v>0.05</v>
      </c>
      <c r="BI343" s="235"/>
      <c r="BJ343" s="235">
        <v>0.16</v>
      </c>
      <c r="BK343" s="235"/>
      <c r="BL343" s="235"/>
      <c r="BM343" s="235">
        <v>0.255</v>
      </c>
      <c r="BN343" s="235"/>
      <c r="BO343" s="235">
        <v>0.1</v>
      </c>
      <c r="BP343" s="235">
        <f t="shared" si="69"/>
        <v>1</v>
      </c>
      <c r="BQ343" s="243">
        <f t="shared" si="76"/>
        <v>1.1813862000000002</v>
      </c>
      <c r="BS343" s="341">
        <f t="array" ref="BS343">((1+8.5/100)^(1/12)-1)*100</f>
        <v>0.68214933659622723</v>
      </c>
      <c r="BT343" s="341"/>
      <c r="BU343" s="341"/>
      <c r="BV343" s="341">
        <f t="array" ref="BV343">((1+4.5/100)^(1/12)-1)*100</f>
        <v>0.36748094004368514</v>
      </c>
      <c r="BW343" s="341">
        <f t="array" ref="BW343">((1+8.5/100)^(1/12)-1)*100</f>
        <v>0.68214933659622723</v>
      </c>
      <c r="BX343" s="341">
        <f t="array" ref="BX343">((1+7.7/100)^(1/12)-1)*100</f>
        <v>0.62007621358530773</v>
      </c>
      <c r="BY343" s="341">
        <f>(BS343*AV343)+(BV343*AY343)+(BW343*AZ343)+(BX343*BB343)</f>
        <v>0.59404218556151545</v>
      </c>
      <c r="BZ343" s="341">
        <f t="shared" si="65"/>
        <v>0.68214933659622723</v>
      </c>
      <c r="CA343" s="341"/>
      <c r="CB343" s="243">
        <f t="shared" si="59"/>
        <v>0.64340301100034303</v>
      </c>
      <c r="CC343" s="243"/>
      <c r="CD343" s="243">
        <f t="shared" si="62"/>
        <v>0.64340301100034303</v>
      </c>
      <c r="CG343" s="734">
        <f t="shared" si="72"/>
        <v>0.88</v>
      </c>
      <c r="CJ343" s="1264">
        <f t="shared" si="60"/>
        <v>0.79741404289037643</v>
      </c>
    </row>
    <row r="344" spans="1:88" x14ac:dyDescent="0.2">
      <c r="A344" s="19">
        <v>37986</v>
      </c>
      <c r="B344" s="262">
        <v>5.2439999999999998</v>
      </c>
      <c r="C344" s="270">
        <v>4.3064999999999998</v>
      </c>
      <c r="D344" s="270">
        <v>6.18</v>
      </c>
      <c r="E344" s="270">
        <v>1.6874</v>
      </c>
      <c r="F344" s="270">
        <v>-0.30130000000000001</v>
      </c>
      <c r="G344" s="270">
        <v>3.59</v>
      </c>
      <c r="H344" s="270">
        <v>2.0287999999999999</v>
      </c>
      <c r="I344" s="262">
        <v>0.4471</v>
      </c>
      <c r="J344" s="270">
        <v>3.6164999999999998</v>
      </c>
      <c r="K344" s="128">
        <v>1.7712000000000001</v>
      </c>
      <c r="L344" s="128">
        <v>0.48330000000000001</v>
      </c>
      <c r="M344" s="128">
        <v>3.0503999999999998</v>
      </c>
      <c r="N344" s="262">
        <f t="shared" si="66"/>
        <v>2.0287999999999999</v>
      </c>
      <c r="O344" s="262">
        <f t="shared" si="67"/>
        <v>0.4471</v>
      </c>
      <c r="P344" s="262">
        <f t="shared" si="68"/>
        <v>3.6164999999999998</v>
      </c>
      <c r="Q344" s="270">
        <v>0.1057</v>
      </c>
      <c r="R344" s="128">
        <v>2.2073</v>
      </c>
      <c r="S344" s="128">
        <v>4.5739999999999998</v>
      </c>
      <c r="T344" s="128"/>
      <c r="U344" s="270">
        <v>7.6345999999999998</v>
      </c>
      <c r="V344" s="270">
        <v>6.1003999999999996</v>
      </c>
      <c r="W344" s="262">
        <v>1.0176000000000001</v>
      </c>
      <c r="X344" s="128">
        <v>0.96199999999999997</v>
      </c>
      <c r="Y344" s="128"/>
      <c r="Z344" s="128">
        <v>2.3963000000000001</v>
      </c>
      <c r="AA344" s="262">
        <v>7.8169899999999997</v>
      </c>
      <c r="AB344" s="270">
        <v>6.8834999999999997</v>
      </c>
      <c r="AC344" s="270">
        <v>8.7447999999999997</v>
      </c>
      <c r="AD344" s="280"/>
      <c r="AE344" s="326">
        <f t="shared" si="75"/>
        <v>4.1874000000000002</v>
      </c>
      <c r="AF344" s="262">
        <f t="shared" si="73"/>
        <v>7.8169899999999997</v>
      </c>
      <c r="AG344" s="128">
        <v>0.65380000000000005</v>
      </c>
      <c r="AH344" s="352">
        <v>3.18</v>
      </c>
      <c r="AI344"/>
      <c r="AJ344"/>
      <c r="AK344"/>
      <c r="AL344"/>
      <c r="AM344" s="242"/>
      <c r="AN344" s="270">
        <v>7.8170000000000002</v>
      </c>
      <c r="AO344" s="270">
        <v>7.6345999999999998</v>
      </c>
      <c r="AP344" s="270"/>
      <c r="AQ344" s="270"/>
      <c r="AR344" s="270"/>
      <c r="AS344" s="270"/>
      <c r="AT344" s="270"/>
      <c r="AU344" s="270"/>
      <c r="AV344" s="245">
        <v>0.56000000000000005</v>
      </c>
      <c r="AW344" s="245"/>
      <c r="AX344" s="245"/>
      <c r="AY344" s="245">
        <v>0.28000000000000003</v>
      </c>
      <c r="AZ344" s="245">
        <v>0.16</v>
      </c>
      <c r="BA344" s="245">
        <v>0</v>
      </c>
      <c r="BB344" s="245"/>
      <c r="BC344" s="245">
        <f t="shared" si="70"/>
        <v>1</v>
      </c>
      <c r="BD344" s="240">
        <f t="shared" si="71"/>
        <v>4.4722864000000007</v>
      </c>
      <c r="BE344" s="243">
        <f t="shared" si="74"/>
        <v>4.4722864000000007</v>
      </c>
      <c r="BF344" s="328">
        <v>0.38500000000000001</v>
      </c>
      <c r="BG344" s="328">
        <v>0.05</v>
      </c>
      <c r="BH344" s="328">
        <v>0.05</v>
      </c>
      <c r="BI344" s="328"/>
      <c r="BJ344" s="328">
        <v>0.16</v>
      </c>
      <c r="BK344" s="328"/>
      <c r="BL344" s="328"/>
      <c r="BM344" s="328">
        <v>0.255</v>
      </c>
      <c r="BN344" s="328"/>
      <c r="BO344" s="328">
        <v>0.1</v>
      </c>
      <c r="BP344" s="328">
        <f t="shared" si="69"/>
        <v>1</v>
      </c>
      <c r="BQ344" s="327">
        <f t="shared" si="76"/>
        <v>4.1336963999999998</v>
      </c>
      <c r="BS344" s="341">
        <f t="array" ref="BS344">((1+8.5/100)^(1/12)-1)*100</f>
        <v>0.68214933659622723</v>
      </c>
      <c r="BT344" s="341"/>
      <c r="BU344" s="341"/>
      <c r="BV344" s="341">
        <f t="array" ref="BV344">((1+4.5/100)^(1/12)-1)*100</f>
        <v>0.36748094004368514</v>
      </c>
      <c r="BW344" s="341">
        <f t="array" ref="BW344">((1+8.5/100)^(1/12)-1)*100</f>
        <v>0.68214933659622723</v>
      </c>
      <c r="BX344" s="341">
        <f t="array" ref="BX344">((1+7.7/100)^(1/12)-1)*100</f>
        <v>0.62007621358530773</v>
      </c>
      <c r="BY344" s="341">
        <f t="shared" ref="BY344:BY365" si="77">(BS344*AV344)+(BV344*AY344)+(BW344*AZ344)+(BX344*BB344)</f>
        <v>0.59404218556151545</v>
      </c>
      <c r="BZ344" s="341">
        <f t="shared" si="65"/>
        <v>0.68214933659622723</v>
      </c>
      <c r="CA344" s="341"/>
      <c r="CB344" s="243">
        <f t="shared" si="59"/>
        <v>0.64340301100034303</v>
      </c>
      <c r="CC344" s="243"/>
      <c r="CD344" s="243">
        <f t="shared" si="62"/>
        <v>0.64340301100034303</v>
      </c>
      <c r="CG344" s="734">
        <f t="shared" si="72"/>
        <v>5.2439999999999998</v>
      </c>
      <c r="CJ344" s="1264">
        <f t="shared" si="60"/>
        <v>0.79741404289037643</v>
      </c>
    </row>
    <row r="345" spans="1:88" x14ac:dyDescent="0.2">
      <c r="A345" s="19">
        <v>38017</v>
      </c>
      <c r="B345" s="262">
        <v>1.8360000000000001</v>
      </c>
      <c r="C345" s="270">
        <v>1.903</v>
      </c>
      <c r="D345" s="270">
        <v>1.77</v>
      </c>
      <c r="E345" s="270">
        <v>2.1671</v>
      </c>
      <c r="F345" s="270">
        <v>1.6915</v>
      </c>
      <c r="G345" s="270">
        <v>2.62</v>
      </c>
      <c r="H345" s="270">
        <v>4.3445999999999998</v>
      </c>
      <c r="I345" s="262">
        <v>5.2534000000000001</v>
      </c>
      <c r="J345" s="270">
        <v>3.4575999999999998</v>
      </c>
      <c r="K345" s="128">
        <v>2.8751000000000002</v>
      </c>
      <c r="L345" s="128">
        <v>3.1482999999999999</v>
      </c>
      <c r="M345" s="128">
        <v>2.6404000000000001</v>
      </c>
      <c r="N345" s="262">
        <f t="shared" si="66"/>
        <v>4.3445999999999998</v>
      </c>
      <c r="O345" s="262">
        <f t="shared" si="67"/>
        <v>5.2534000000000001</v>
      </c>
      <c r="P345" s="262">
        <f t="shared" si="68"/>
        <v>3.4575999999999998</v>
      </c>
      <c r="Q345" s="270">
        <v>4.1672000000000002</v>
      </c>
      <c r="R345" s="128">
        <v>3.6484000000000001</v>
      </c>
      <c r="S345" s="128">
        <v>2.0861000000000001</v>
      </c>
      <c r="T345" s="128"/>
      <c r="U345" s="270">
        <v>1.6056999999999999</v>
      </c>
      <c r="V345" s="270">
        <v>5.0852000000000004</v>
      </c>
      <c r="W345" s="262">
        <v>0.80469999999999997</v>
      </c>
      <c r="X345" s="128">
        <v>0.65339999999999998</v>
      </c>
      <c r="Y345" s="128"/>
      <c r="Z345" s="128">
        <v>1.9973000000000001</v>
      </c>
      <c r="AA345" s="262">
        <v>1.4214899999999999</v>
      </c>
      <c r="AB345" s="270">
        <v>1.9584999999999999</v>
      </c>
      <c r="AC345" s="270">
        <v>0.89610000000000001</v>
      </c>
      <c r="AD345" s="277">
        <v>1.4796</v>
      </c>
      <c r="AE345" s="277">
        <f>AD345</f>
        <v>1.4796</v>
      </c>
      <c r="AF345" s="262">
        <f t="shared" si="73"/>
        <v>1.4214899999999999</v>
      </c>
      <c r="AG345" s="128">
        <v>0.9133</v>
      </c>
      <c r="AH345" s="352">
        <v>3.73</v>
      </c>
      <c r="AI345"/>
      <c r="AJ345"/>
      <c r="AK345"/>
      <c r="AL345"/>
      <c r="AM345" s="242"/>
      <c r="AN345" s="270">
        <v>1.4215</v>
      </c>
      <c r="AO345" s="270">
        <v>1.6056999999999999</v>
      </c>
      <c r="AP345" s="270"/>
      <c r="AQ345" s="270"/>
      <c r="AR345" s="270"/>
      <c r="AS345" s="270"/>
      <c r="AT345" s="270"/>
      <c r="AU345" s="270"/>
      <c r="AV345" s="245">
        <v>0.56000000000000005</v>
      </c>
      <c r="AW345" s="245"/>
      <c r="AX345" s="245"/>
      <c r="AY345" s="245">
        <v>0.28000000000000003</v>
      </c>
      <c r="AZ345" s="245">
        <v>0.16</v>
      </c>
      <c r="BA345" s="245">
        <v>0</v>
      </c>
      <c r="BB345" s="245"/>
      <c r="BC345" s="245">
        <f t="shared" si="70"/>
        <v>1</v>
      </c>
      <c r="BD345" s="240">
        <f t="shared" si="71"/>
        <v>1.4809144000000003</v>
      </c>
      <c r="BE345" s="243">
        <f t="shared" si="74"/>
        <v>1.4809144000000003</v>
      </c>
      <c r="BF345" s="329">
        <v>0.40400000000000003</v>
      </c>
      <c r="BG345" s="329">
        <v>0.05</v>
      </c>
      <c r="BH345" s="329">
        <v>0.05</v>
      </c>
      <c r="BI345" s="329"/>
      <c r="BJ345" s="329">
        <v>0.14399999999999999</v>
      </c>
      <c r="BK345" s="329"/>
      <c r="BL345" s="329"/>
      <c r="BM345" s="329">
        <v>0.252</v>
      </c>
      <c r="BN345" s="329"/>
      <c r="BO345" s="329">
        <v>0.1</v>
      </c>
      <c r="BP345" s="235">
        <f t="shared" si="69"/>
        <v>1</v>
      </c>
      <c r="BQ345" s="243">
        <f t="shared" si="76"/>
        <v>1.6227679600000002</v>
      </c>
      <c r="BS345" s="341">
        <f t="array" ref="BS345">((1+8.5/100)^(1/12)-1)*100</f>
        <v>0.68214933659622723</v>
      </c>
      <c r="BT345" s="341"/>
      <c r="BU345" s="341"/>
      <c r="BV345" s="341">
        <f t="array" ref="BV345">((1+4.5/100)^(1/12)-1)*100</f>
        <v>0.36748094004368514</v>
      </c>
      <c r="BW345" s="341">
        <f t="array" ref="BW345">((1+8.5/100)^(1/12)-1)*100</f>
        <v>0.68214933659622723</v>
      </c>
      <c r="BX345" s="341">
        <f t="array" ref="BX345">((1+7.7/100)^(1/12)-1)*100</f>
        <v>0.62007621358530773</v>
      </c>
      <c r="BY345" s="341">
        <f t="shared" si="77"/>
        <v>0.59404218556151545</v>
      </c>
      <c r="BZ345" s="341">
        <f t="shared" si="65"/>
        <v>0.68214933659622723</v>
      </c>
      <c r="CA345" s="341"/>
      <c r="CB345" s="243">
        <f t="shared" si="59"/>
        <v>0.64340301100034303</v>
      </c>
      <c r="CC345" s="243"/>
      <c r="CD345" s="243">
        <f t="shared" si="62"/>
        <v>0.64340301100034303</v>
      </c>
      <c r="CG345" s="734">
        <f t="shared" si="72"/>
        <v>1.8360000000000001</v>
      </c>
      <c r="CJ345" s="1264">
        <f t="shared" si="60"/>
        <v>0.79741404289037643</v>
      </c>
    </row>
    <row r="346" spans="1:88" x14ac:dyDescent="0.2">
      <c r="A346" s="19">
        <v>38046</v>
      </c>
      <c r="B346" s="262">
        <v>1.39</v>
      </c>
      <c r="C346" s="270">
        <v>0.51280000000000003</v>
      </c>
      <c r="D346" s="270">
        <v>2.2599999999999998</v>
      </c>
      <c r="E346" s="270">
        <v>2.4013</v>
      </c>
      <c r="F346" s="270">
        <v>2.1366000000000001</v>
      </c>
      <c r="G346" s="270">
        <v>2.65</v>
      </c>
      <c r="H346" s="270">
        <v>0.89639999999999997</v>
      </c>
      <c r="I346" s="262">
        <v>-0.1547</v>
      </c>
      <c r="J346" s="270">
        <v>1.9363999999999999</v>
      </c>
      <c r="K346" s="128">
        <v>1.9244000000000001</v>
      </c>
      <c r="L346" s="128">
        <v>2.2159</v>
      </c>
      <c r="M346" s="128">
        <v>1.6881999999999999</v>
      </c>
      <c r="N346" s="262">
        <f t="shared" si="66"/>
        <v>0.89639999999999997</v>
      </c>
      <c r="O346" s="262">
        <f t="shared" si="67"/>
        <v>-0.1547</v>
      </c>
      <c r="P346" s="262">
        <f t="shared" si="68"/>
        <v>1.9363999999999999</v>
      </c>
      <c r="Q346" s="270">
        <v>0.93130000000000002</v>
      </c>
      <c r="R346" s="128">
        <v>1.5464</v>
      </c>
      <c r="S346" s="128">
        <v>1.3472</v>
      </c>
      <c r="T346" s="128"/>
      <c r="U346" s="270">
        <v>2.5425</v>
      </c>
      <c r="V346" s="270">
        <v>2.8488000000000002</v>
      </c>
      <c r="W346" s="262">
        <v>1.0820000000000001</v>
      </c>
      <c r="X346" s="128">
        <v>0.94979999999999998</v>
      </c>
      <c r="Y346" s="128"/>
      <c r="Z346" s="128">
        <v>1.7496</v>
      </c>
      <c r="AA346" s="262">
        <v>2.3254600000000001</v>
      </c>
      <c r="AB346" s="270">
        <v>1.9105000000000001</v>
      </c>
      <c r="AC346" s="270">
        <v>2.7351999999999999</v>
      </c>
      <c r="AD346" s="277">
        <v>1.4529000000000001</v>
      </c>
      <c r="AE346" s="277">
        <f t="shared" ref="AE346:AE391" si="78">AD346</f>
        <v>1.4529000000000001</v>
      </c>
      <c r="AF346" s="262">
        <f t="shared" si="73"/>
        <v>2.3254600000000001</v>
      </c>
      <c r="AG346" s="128">
        <v>0.9133</v>
      </c>
      <c r="AH346" s="352">
        <v>2.0499999999999998</v>
      </c>
      <c r="AI346"/>
      <c r="AJ346"/>
      <c r="AK346"/>
      <c r="AL346"/>
      <c r="AM346" s="242"/>
      <c r="AN346" s="270">
        <v>2.3254999999999999</v>
      </c>
      <c r="AO346" s="270">
        <v>2.5425</v>
      </c>
      <c r="AP346" s="270"/>
      <c r="AQ346" s="270"/>
      <c r="AR346" s="270"/>
      <c r="AS346" s="270"/>
      <c r="AT346" s="270"/>
      <c r="AU346" s="270"/>
      <c r="AV346" s="245">
        <v>0.56000000000000005</v>
      </c>
      <c r="AW346" s="245"/>
      <c r="AX346" s="245"/>
      <c r="AY346" s="245">
        <v>0.28000000000000003</v>
      </c>
      <c r="AZ346" s="245">
        <v>0.16</v>
      </c>
      <c r="BA346" s="245">
        <v>0</v>
      </c>
      <c r="BB346" s="245"/>
      <c r="BC346" s="245">
        <f t="shared" si="70"/>
        <v>1</v>
      </c>
      <c r="BD346" s="240">
        <f t="shared" si="71"/>
        <v>1.4534336000000001</v>
      </c>
      <c r="BE346" s="243">
        <f t="shared" si="74"/>
        <v>1.4534336000000001</v>
      </c>
      <c r="BF346" s="329">
        <v>0.40400000000000003</v>
      </c>
      <c r="BG346" s="329">
        <v>0.05</v>
      </c>
      <c r="BH346" s="329">
        <v>0.05</v>
      </c>
      <c r="BI346" s="329"/>
      <c r="BJ346" s="329">
        <v>0.14399999999999999</v>
      </c>
      <c r="BK346" s="329"/>
      <c r="BL346" s="329"/>
      <c r="BM346" s="329">
        <v>0.252</v>
      </c>
      <c r="BN346" s="329"/>
      <c r="BO346" s="329">
        <v>0.1</v>
      </c>
      <c r="BP346" s="235">
        <f t="shared" si="69"/>
        <v>1</v>
      </c>
      <c r="BQ346" s="243">
        <f t="shared" si="76"/>
        <v>1.4792652399999997</v>
      </c>
      <c r="BS346" s="341">
        <f t="array" ref="BS346">((1+8.5/100)^(1/12)-1)*100</f>
        <v>0.68214933659622723</v>
      </c>
      <c r="BT346" s="341"/>
      <c r="BU346" s="341"/>
      <c r="BV346" s="341">
        <f t="array" ref="BV346">((1+4.5/100)^(1/12)-1)*100</f>
        <v>0.36748094004368514</v>
      </c>
      <c r="BW346" s="341">
        <f t="array" ref="BW346">((1+8.5/100)^(1/12)-1)*100</f>
        <v>0.68214933659622723</v>
      </c>
      <c r="BX346" s="341">
        <f t="array" ref="BX346">((1+7.7/100)^(1/12)-1)*100</f>
        <v>0.62007621358530773</v>
      </c>
      <c r="BY346" s="341">
        <f t="shared" si="77"/>
        <v>0.59404218556151545</v>
      </c>
      <c r="BZ346" s="341">
        <f t="shared" si="65"/>
        <v>0.68214933659622723</v>
      </c>
      <c r="CA346" s="341"/>
      <c r="CB346" s="243">
        <f t="shared" si="59"/>
        <v>0.64340301100034303</v>
      </c>
      <c r="CC346" s="243"/>
      <c r="CD346" s="243">
        <f t="shared" si="62"/>
        <v>0.64340301100034303</v>
      </c>
      <c r="CG346" s="734">
        <f t="shared" si="72"/>
        <v>1.39</v>
      </c>
      <c r="CJ346" s="1264">
        <f t="shared" si="60"/>
        <v>0.79741404289037643</v>
      </c>
    </row>
    <row r="347" spans="1:88" x14ac:dyDescent="0.2">
      <c r="A347" s="19">
        <v>38077</v>
      </c>
      <c r="B347" s="262">
        <v>-1.5089999999999999</v>
      </c>
      <c r="C347" s="270">
        <v>-2.3443999999999998</v>
      </c>
      <c r="D347" s="270">
        <v>-0.69</v>
      </c>
      <c r="E347" s="270">
        <v>0.42459999999999998</v>
      </c>
      <c r="F347" s="270">
        <v>0.66800000000000004</v>
      </c>
      <c r="G347" s="270">
        <v>0.18</v>
      </c>
      <c r="H347" s="270">
        <v>0.93200000000000005</v>
      </c>
      <c r="I347" s="262">
        <v>0.46739999999999998</v>
      </c>
      <c r="J347" s="270">
        <v>1.3829</v>
      </c>
      <c r="K347" s="128">
        <v>1.3029999999999999</v>
      </c>
      <c r="L347" s="128">
        <v>1.3045</v>
      </c>
      <c r="M347" s="128">
        <v>1.3048</v>
      </c>
      <c r="N347" s="262">
        <f t="shared" si="66"/>
        <v>0.93200000000000005</v>
      </c>
      <c r="O347" s="262">
        <f t="shared" si="67"/>
        <v>0.46739999999999998</v>
      </c>
      <c r="P347" s="262">
        <f t="shared" si="68"/>
        <v>1.3829</v>
      </c>
      <c r="Q347" s="270">
        <v>0.3493</v>
      </c>
      <c r="R347" s="128">
        <v>0.60099999999999998</v>
      </c>
      <c r="S347" s="128">
        <v>-1.1870000000000001</v>
      </c>
      <c r="T347" s="128"/>
      <c r="U347" s="270">
        <v>0.61529999999999996</v>
      </c>
      <c r="V347" s="270">
        <v>4.1451000000000002</v>
      </c>
      <c r="W347" s="262">
        <v>0.74960000000000004</v>
      </c>
      <c r="X347" s="128">
        <v>0.64639999999999997</v>
      </c>
      <c r="Y347" s="128"/>
      <c r="Z347" s="128">
        <v>0.2019</v>
      </c>
      <c r="AA347" s="262">
        <v>0.60189000000000004</v>
      </c>
      <c r="AB347" s="270">
        <v>0.1113</v>
      </c>
      <c r="AC347" s="270">
        <v>1.0851</v>
      </c>
      <c r="AD347" s="277">
        <v>-0.53869999999999996</v>
      </c>
      <c r="AE347" s="277">
        <f t="shared" si="78"/>
        <v>-0.53869999999999996</v>
      </c>
      <c r="AF347" s="262">
        <f t="shared" si="73"/>
        <v>0.60189000000000004</v>
      </c>
      <c r="AG347" s="128">
        <v>0.9133</v>
      </c>
      <c r="AH347" s="352">
        <v>5.91</v>
      </c>
      <c r="AI347"/>
      <c r="AJ347"/>
      <c r="AK347"/>
      <c r="AL347"/>
      <c r="AM347" s="242"/>
      <c r="AN347" s="270">
        <v>0.60189999999999999</v>
      </c>
      <c r="AO347" s="270">
        <v>0.61529999999999996</v>
      </c>
      <c r="AP347" s="270"/>
      <c r="AQ347" s="270"/>
      <c r="AR347" s="270"/>
      <c r="AS347" s="270"/>
      <c r="AT347" s="270"/>
      <c r="AU347" s="270"/>
      <c r="AV347" s="245">
        <v>0.56000000000000005</v>
      </c>
      <c r="AW347" s="245"/>
      <c r="AX347" s="245"/>
      <c r="AY347" s="245">
        <v>0.28000000000000003</v>
      </c>
      <c r="AZ347" s="245">
        <v>0.16</v>
      </c>
      <c r="BA347" s="245">
        <v>0</v>
      </c>
      <c r="BB347" s="245"/>
      <c r="BC347" s="245">
        <f t="shared" si="70"/>
        <v>1</v>
      </c>
      <c r="BD347" s="240">
        <f t="shared" si="71"/>
        <v>-0.53884959999999993</v>
      </c>
      <c r="BE347" s="243">
        <f t="shared" si="74"/>
        <v>-0.53884959999999993</v>
      </c>
      <c r="BF347" s="329">
        <v>0.40400000000000003</v>
      </c>
      <c r="BG347" s="329">
        <v>0.05</v>
      </c>
      <c r="BH347" s="329">
        <v>0.05</v>
      </c>
      <c r="BI347" s="329"/>
      <c r="BJ347" s="329">
        <v>0.14399999999999999</v>
      </c>
      <c r="BK347" s="329"/>
      <c r="BL347" s="329"/>
      <c r="BM347" s="329">
        <v>0.252</v>
      </c>
      <c r="BN347" s="329"/>
      <c r="BO347" s="329">
        <v>0.1</v>
      </c>
      <c r="BP347" s="235">
        <f t="shared" si="69"/>
        <v>1</v>
      </c>
      <c r="BQ347" s="243">
        <f t="shared" si="76"/>
        <v>-0.32010463999999994</v>
      </c>
      <c r="BS347" s="341">
        <f t="array" ref="BS347">((1+8.5/100)^(1/12)-1)*100</f>
        <v>0.68214933659622723</v>
      </c>
      <c r="BT347" s="341"/>
      <c r="BU347" s="341"/>
      <c r="BV347" s="341">
        <f t="array" ref="BV347">((1+4.5/100)^(1/12)-1)*100</f>
        <v>0.36748094004368514</v>
      </c>
      <c r="BW347" s="341">
        <f t="array" ref="BW347">((1+8.5/100)^(1/12)-1)*100</f>
        <v>0.68214933659622723</v>
      </c>
      <c r="BX347" s="341">
        <f t="array" ref="BX347">((1+7.7/100)^(1/12)-1)*100</f>
        <v>0.62007621358530773</v>
      </c>
      <c r="BY347" s="341">
        <f t="shared" si="77"/>
        <v>0.59404218556151545</v>
      </c>
      <c r="BZ347" s="341">
        <f t="shared" si="65"/>
        <v>0.68214933659622723</v>
      </c>
      <c r="CA347" s="341"/>
      <c r="CB347" s="243">
        <f t="shared" si="59"/>
        <v>0.64340301100034303</v>
      </c>
      <c r="CC347" s="243"/>
      <c r="CD347" s="243">
        <f t="shared" si="62"/>
        <v>0.64340301100034303</v>
      </c>
      <c r="CG347" s="734">
        <f t="shared" si="72"/>
        <v>-1.5089999999999999</v>
      </c>
      <c r="CJ347" s="1264">
        <f t="shared" si="60"/>
        <v>0.79741404289037643</v>
      </c>
    </row>
    <row r="348" spans="1:88" x14ac:dyDescent="0.2">
      <c r="A348" s="19">
        <v>38107</v>
      </c>
      <c r="B348" s="262">
        <v>-1.57</v>
      </c>
      <c r="C348" s="270">
        <v>-0.62429999999999997</v>
      </c>
      <c r="D348" s="270">
        <v>-2.4700000000000002</v>
      </c>
      <c r="E348" s="270">
        <v>-3.2824</v>
      </c>
      <c r="F348" s="270">
        <v>-2.6859999999999999</v>
      </c>
      <c r="G348" s="270">
        <v>-3.87</v>
      </c>
      <c r="H348" s="270">
        <v>-5.0983999999999998</v>
      </c>
      <c r="I348" s="262">
        <v>-5.0198</v>
      </c>
      <c r="J348" s="270">
        <v>-5.1715</v>
      </c>
      <c r="K348" s="128">
        <v>-3.3155000000000001</v>
      </c>
      <c r="L348" s="128">
        <v>-2.6423000000000001</v>
      </c>
      <c r="M348" s="128">
        <v>-3.9508999999999999</v>
      </c>
      <c r="N348" s="262">
        <f t="shared" si="66"/>
        <v>-5.0983999999999998</v>
      </c>
      <c r="O348" s="262">
        <f t="shared" si="67"/>
        <v>-5.0198</v>
      </c>
      <c r="P348" s="262">
        <f t="shared" si="68"/>
        <v>-5.1715</v>
      </c>
      <c r="Q348" s="270">
        <v>-4.2423000000000002</v>
      </c>
      <c r="R348" s="128">
        <v>-4.8033000000000001</v>
      </c>
      <c r="S348" s="128">
        <v>-2.0676000000000001</v>
      </c>
      <c r="T348" s="128"/>
      <c r="U348" s="270">
        <v>-3.1076000000000001</v>
      </c>
      <c r="V348" s="270">
        <v>-2.9988999999999999</v>
      </c>
      <c r="W348" s="262">
        <v>-2.6021999999999998</v>
      </c>
      <c r="X348" s="128">
        <v>-2.1454</v>
      </c>
      <c r="Y348" s="128"/>
      <c r="Z348" s="128">
        <v>-1.4046000000000001</v>
      </c>
      <c r="AA348" s="262">
        <v>-2.1772800000000001</v>
      </c>
      <c r="AB348" s="270">
        <v>-2.4140999999999999</v>
      </c>
      <c r="AC348" s="270">
        <v>-1.9460999999999999</v>
      </c>
      <c r="AD348" s="277">
        <v>-1.9556</v>
      </c>
      <c r="AE348" s="277">
        <f t="shared" si="78"/>
        <v>-1.9556</v>
      </c>
      <c r="AF348" s="262">
        <f t="shared" si="73"/>
        <v>-2.1772800000000001</v>
      </c>
      <c r="AG348" s="128">
        <v>0.84760000000000002</v>
      </c>
      <c r="AH348" s="352">
        <v>-13.88</v>
      </c>
      <c r="AI348"/>
      <c r="AJ348"/>
      <c r="AK348"/>
      <c r="AL348"/>
      <c r="AM348" s="242"/>
      <c r="AN348" s="270">
        <v>-2.1772999999999998</v>
      </c>
      <c r="AO348" s="270">
        <v>-3.1076000000000001</v>
      </c>
      <c r="AP348" s="270"/>
      <c r="AQ348" s="270"/>
      <c r="AR348" s="270"/>
      <c r="AS348" s="270"/>
      <c r="AT348" s="270"/>
      <c r="AU348" s="270"/>
      <c r="AV348" s="245">
        <v>0.56000000000000005</v>
      </c>
      <c r="AW348" s="245"/>
      <c r="AX348" s="245"/>
      <c r="AY348" s="245">
        <v>0.28000000000000003</v>
      </c>
      <c r="AZ348" s="245">
        <v>0.16</v>
      </c>
      <c r="BA348" s="245">
        <v>0</v>
      </c>
      <c r="BB348" s="245"/>
      <c r="BC348" s="245">
        <f t="shared" si="70"/>
        <v>1</v>
      </c>
      <c r="BD348" s="240">
        <f t="shared" si="71"/>
        <v>-1.9561808000000003</v>
      </c>
      <c r="BE348" s="243">
        <f t="shared" si="74"/>
        <v>-1.9561808000000003</v>
      </c>
      <c r="BF348" s="329">
        <v>0.40400000000000003</v>
      </c>
      <c r="BG348" s="329">
        <v>0.05</v>
      </c>
      <c r="BH348" s="329">
        <v>0.05</v>
      </c>
      <c r="BI348" s="329"/>
      <c r="BJ348" s="329">
        <v>0.14399999999999999</v>
      </c>
      <c r="BK348" s="329"/>
      <c r="BL348" s="329"/>
      <c r="BM348" s="329">
        <v>0.252</v>
      </c>
      <c r="BN348" s="329"/>
      <c r="BO348" s="329">
        <v>0.1</v>
      </c>
      <c r="BP348" s="235">
        <f t="shared" si="69"/>
        <v>1</v>
      </c>
      <c r="BQ348" s="243">
        <f t="shared" si="76"/>
        <v>-2.21816272</v>
      </c>
      <c r="BS348" s="341">
        <f t="array" ref="BS348">((1+8.5/100)^(1/12)-1)*100</f>
        <v>0.68214933659622723</v>
      </c>
      <c r="BT348" s="341"/>
      <c r="BU348" s="341"/>
      <c r="BV348" s="341">
        <f t="array" ref="BV348">((1+4.5/100)^(1/12)-1)*100</f>
        <v>0.36748094004368514</v>
      </c>
      <c r="BW348" s="341">
        <f t="array" ref="BW348">((1+8.5/100)^(1/12)-1)*100</f>
        <v>0.68214933659622723</v>
      </c>
      <c r="BX348" s="341">
        <f t="array" ref="BX348">((1+7.7/100)^(1/12)-1)*100</f>
        <v>0.62007621358530773</v>
      </c>
      <c r="BY348" s="341">
        <f t="shared" si="77"/>
        <v>0.59404218556151545</v>
      </c>
      <c r="BZ348" s="341">
        <f t="shared" si="65"/>
        <v>0.68214933659622723</v>
      </c>
      <c r="CA348" s="341"/>
      <c r="CB348" s="243">
        <f t="shared" si="59"/>
        <v>0.64340301100034303</v>
      </c>
      <c r="CC348" s="243"/>
      <c r="CD348" s="243">
        <f t="shared" si="62"/>
        <v>0.64340301100034303</v>
      </c>
      <c r="CG348" s="734">
        <f t="shared" si="72"/>
        <v>-1.57</v>
      </c>
      <c r="CJ348" s="1264">
        <f t="shared" si="60"/>
        <v>0.79741404289037643</v>
      </c>
    </row>
    <row r="349" spans="1:88" x14ac:dyDescent="0.2">
      <c r="A349" s="19">
        <v>38138</v>
      </c>
      <c r="B349" s="262">
        <v>1.3720000000000001</v>
      </c>
      <c r="C349" s="262">
        <v>1.5993999999999999</v>
      </c>
      <c r="D349" s="262">
        <v>1.1499999999999999</v>
      </c>
      <c r="E349" s="262">
        <v>2.0743</v>
      </c>
      <c r="F349" s="262">
        <v>2.0676999999999999</v>
      </c>
      <c r="G349" s="262">
        <v>2.09</v>
      </c>
      <c r="H349" s="262">
        <v>1.5915999999999999</v>
      </c>
      <c r="I349" s="262">
        <v>1.9892000000000001</v>
      </c>
      <c r="J349" s="262">
        <v>1.2071000000000001</v>
      </c>
      <c r="K349" s="128">
        <v>1.5303</v>
      </c>
      <c r="L349" s="128">
        <v>1.2614000000000001</v>
      </c>
      <c r="M349" s="128">
        <v>1.7664</v>
      </c>
      <c r="N349" s="262">
        <f t="shared" si="66"/>
        <v>1.5915999999999999</v>
      </c>
      <c r="O349" s="262">
        <f t="shared" si="67"/>
        <v>1.9892000000000001</v>
      </c>
      <c r="P349" s="262">
        <f t="shared" si="68"/>
        <v>1.2071000000000001</v>
      </c>
      <c r="Q349" s="262">
        <v>2.0811000000000002</v>
      </c>
      <c r="R349" s="128">
        <v>2.0409999999999999</v>
      </c>
      <c r="S349" s="128">
        <v>1.4533</v>
      </c>
      <c r="T349" s="128"/>
      <c r="U349" s="262">
        <v>0.31619999999999998</v>
      </c>
      <c r="V349" s="262">
        <v>-1.5590999999999999</v>
      </c>
      <c r="W349" s="262">
        <v>-0.40029999999999999</v>
      </c>
      <c r="X349" s="128">
        <v>-0.35089999999999999</v>
      </c>
      <c r="Y349" s="128"/>
      <c r="Z349" s="128">
        <v>-0.36230000000000001</v>
      </c>
      <c r="AA349" s="262">
        <v>0.43303999999999998</v>
      </c>
      <c r="AB349" s="262">
        <v>-0.1148</v>
      </c>
      <c r="AC349" s="262">
        <v>0.96619999999999995</v>
      </c>
      <c r="AD349" s="277">
        <v>0.72560000000000002</v>
      </c>
      <c r="AE349" s="277">
        <f t="shared" si="78"/>
        <v>0.72560000000000002</v>
      </c>
      <c r="AF349" s="262">
        <f t="shared" si="73"/>
        <v>0.43303999999999998</v>
      </c>
      <c r="AG349" s="128">
        <v>0.84760000000000002</v>
      </c>
      <c r="AH349" s="352">
        <v>7.52</v>
      </c>
      <c r="AI349"/>
      <c r="AJ349"/>
      <c r="AK349"/>
      <c r="AL349"/>
      <c r="AM349" s="242"/>
      <c r="AN349" s="262">
        <v>0.433</v>
      </c>
      <c r="AO349" s="262">
        <v>0.31619999999999998</v>
      </c>
      <c r="AP349" s="262"/>
      <c r="AQ349" s="262"/>
      <c r="AR349" s="262"/>
      <c r="AS349" s="262"/>
      <c r="AT349" s="262"/>
      <c r="AU349" s="262"/>
      <c r="AV349" s="245">
        <v>0.56000000000000005</v>
      </c>
      <c r="AW349" s="245"/>
      <c r="AX349" s="245"/>
      <c r="AY349" s="245">
        <v>0.28000000000000003</v>
      </c>
      <c r="AZ349" s="245">
        <v>0.16</v>
      </c>
      <c r="BA349" s="245">
        <v>0</v>
      </c>
      <c r="BB349" s="245"/>
      <c r="BC349" s="245">
        <f t="shared" si="70"/>
        <v>1</v>
      </c>
      <c r="BD349" s="240">
        <f t="shared" si="71"/>
        <v>0.72552240000000012</v>
      </c>
      <c r="BE349" s="243">
        <f t="shared" si="74"/>
        <v>0.72552240000000012</v>
      </c>
      <c r="BF349" s="329">
        <v>0.40400000000000003</v>
      </c>
      <c r="BG349" s="329">
        <v>0.05</v>
      </c>
      <c r="BH349" s="329">
        <v>0.05</v>
      </c>
      <c r="BI349" s="329"/>
      <c r="BJ349" s="329">
        <v>0.14399999999999999</v>
      </c>
      <c r="BK349" s="329"/>
      <c r="BL349" s="329"/>
      <c r="BM349" s="329">
        <v>0.252</v>
      </c>
      <c r="BN349" s="329"/>
      <c r="BO349" s="329">
        <v>0.1</v>
      </c>
      <c r="BP349" s="235">
        <f t="shared" si="69"/>
        <v>1</v>
      </c>
      <c r="BQ349" s="243">
        <f t="shared" si="76"/>
        <v>0.77162516000000014</v>
      </c>
      <c r="BS349" s="341">
        <f t="array" ref="BS349">((1+8.5/100)^(1/12)-1)*100</f>
        <v>0.68214933659622723</v>
      </c>
      <c r="BT349" s="341"/>
      <c r="BU349" s="341"/>
      <c r="BV349" s="341">
        <f t="array" ref="BV349">((1+4.5/100)^(1/12)-1)*100</f>
        <v>0.36748094004368514</v>
      </c>
      <c r="BW349" s="341">
        <f t="array" ref="BW349">((1+8.5/100)^(1/12)-1)*100</f>
        <v>0.68214933659622723</v>
      </c>
      <c r="BX349" s="341">
        <f t="array" ref="BX349">((1+7.7/100)^(1/12)-1)*100</f>
        <v>0.62007621358530773</v>
      </c>
      <c r="BY349" s="341">
        <f t="shared" si="77"/>
        <v>0.59404218556151545</v>
      </c>
      <c r="BZ349" s="341">
        <f t="shared" si="65"/>
        <v>0.68214933659622723</v>
      </c>
      <c r="CA349" s="341"/>
      <c r="CB349" s="243">
        <f t="shared" si="59"/>
        <v>0.64340301100034303</v>
      </c>
      <c r="CC349" s="243"/>
      <c r="CD349" s="243">
        <f t="shared" si="62"/>
        <v>0.64340301100034303</v>
      </c>
      <c r="CG349" s="734">
        <f t="shared" si="72"/>
        <v>1.3720000000000001</v>
      </c>
      <c r="CJ349" s="1264">
        <f t="shared" si="60"/>
        <v>0.79741404289037643</v>
      </c>
    </row>
    <row r="350" spans="1:88" x14ac:dyDescent="0.2">
      <c r="A350" s="19">
        <v>38168</v>
      </c>
      <c r="B350" s="262">
        <v>1.944</v>
      </c>
      <c r="C350" s="262">
        <v>1.7122999999999999</v>
      </c>
      <c r="D350" s="262">
        <v>2.17</v>
      </c>
      <c r="E350" s="262">
        <v>2.2759999999999998</v>
      </c>
      <c r="F350" s="262">
        <v>1.4448000000000001</v>
      </c>
      <c r="G350" s="262">
        <v>3.11</v>
      </c>
      <c r="H350" s="262">
        <v>4.2114000000000003</v>
      </c>
      <c r="I350" s="262">
        <v>3.3273999999999999</v>
      </c>
      <c r="J350" s="262">
        <v>5.0789</v>
      </c>
      <c r="K350" s="128">
        <v>5.5397999999999996</v>
      </c>
      <c r="L350" s="128">
        <v>5.0023</v>
      </c>
      <c r="M350" s="128">
        <v>6.0114999999999998</v>
      </c>
      <c r="N350" s="262">
        <f t="shared" si="66"/>
        <v>4.2114000000000003</v>
      </c>
      <c r="O350" s="262">
        <f t="shared" si="67"/>
        <v>3.3273999999999999</v>
      </c>
      <c r="P350" s="262">
        <f t="shared" si="68"/>
        <v>5.0789</v>
      </c>
      <c r="Q350" s="262">
        <v>2.4386000000000001</v>
      </c>
      <c r="R350" s="128">
        <v>3.2898000000000001</v>
      </c>
      <c r="S350" s="128">
        <v>1.9875</v>
      </c>
      <c r="T350" s="128"/>
      <c r="U350" s="262">
        <v>2.1675</v>
      </c>
      <c r="V350" s="262">
        <v>5.4177</v>
      </c>
      <c r="W350" s="262">
        <v>0.56520000000000004</v>
      </c>
      <c r="X350" s="128">
        <v>0.52800000000000002</v>
      </c>
      <c r="Y350" s="128"/>
      <c r="Z350" s="128">
        <v>0.65580000000000005</v>
      </c>
      <c r="AA350" s="262">
        <v>2.23169</v>
      </c>
      <c r="AB350" s="262">
        <v>1.304</v>
      </c>
      <c r="AC350" s="262">
        <v>3.1337999999999999</v>
      </c>
      <c r="AD350" s="277">
        <v>1.605</v>
      </c>
      <c r="AE350" s="277">
        <f t="shared" si="78"/>
        <v>1.605</v>
      </c>
      <c r="AF350" s="262">
        <f t="shared" si="73"/>
        <v>2.23169</v>
      </c>
      <c r="AG350" s="128">
        <v>0.84760000000000002</v>
      </c>
      <c r="AH350" s="352">
        <v>3.1</v>
      </c>
      <c r="AI350"/>
      <c r="AJ350"/>
      <c r="AK350"/>
      <c r="AL350"/>
      <c r="AM350" s="242"/>
      <c r="AN350" s="262">
        <v>2.23</v>
      </c>
      <c r="AO350" s="262">
        <v>2.1675</v>
      </c>
      <c r="AP350" s="262"/>
      <c r="AQ350" s="262"/>
      <c r="AR350" s="262"/>
      <c r="AS350" s="262"/>
      <c r="AT350" s="262"/>
      <c r="AU350" s="262"/>
      <c r="AV350" s="245">
        <v>0.56000000000000005</v>
      </c>
      <c r="AW350" s="245"/>
      <c r="AX350" s="245"/>
      <c r="AY350" s="245">
        <v>0.28000000000000003</v>
      </c>
      <c r="AZ350" s="245">
        <v>0.16</v>
      </c>
      <c r="BA350" s="245">
        <v>0</v>
      </c>
      <c r="BB350" s="245"/>
      <c r="BC350" s="245">
        <f t="shared" si="70"/>
        <v>1</v>
      </c>
      <c r="BD350" s="240">
        <f t="shared" si="71"/>
        <v>1.6039664</v>
      </c>
      <c r="BE350" s="243">
        <f t="shared" si="74"/>
        <v>1.6039664</v>
      </c>
      <c r="BF350" s="329">
        <v>0.40400000000000003</v>
      </c>
      <c r="BG350" s="329">
        <v>0.05</v>
      </c>
      <c r="BH350" s="329">
        <v>0.05</v>
      </c>
      <c r="BI350" s="329"/>
      <c r="BJ350" s="329">
        <v>0.14399999999999999</v>
      </c>
      <c r="BK350" s="329"/>
      <c r="BL350" s="329"/>
      <c r="BM350" s="329">
        <v>0.252</v>
      </c>
      <c r="BN350" s="329"/>
      <c r="BO350" s="329">
        <v>0.1</v>
      </c>
      <c r="BP350" s="235">
        <f t="shared" si="69"/>
        <v>1</v>
      </c>
      <c r="BQ350" s="243">
        <f t="shared" si="76"/>
        <v>1.7340397600000004</v>
      </c>
      <c r="BS350" s="341">
        <f t="array" ref="BS350">((1+8.5/100)^(1/12)-1)*100</f>
        <v>0.68214933659622723</v>
      </c>
      <c r="BT350" s="341"/>
      <c r="BU350" s="341"/>
      <c r="BV350" s="341">
        <f t="array" ref="BV350">((1+4.5/100)^(1/12)-1)*100</f>
        <v>0.36748094004368514</v>
      </c>
      <c r="BW350" s="341">
        <f t="array" ref="BW350">((1+8.5/100)^(1/12)-1)*100</f>
        <v>0.68214933659622723</v>
      </c>
      <c r="BX350" s="341">
        <f t="array" ref="BX350">((1+7.7/100)^(1/12)-1)*100</f>
        <v>0.62007621358530773</v>
      </c>
      <c r="BY350" s="341">
        <f t="shared" si="77"/>
        <v>0.59404218556151545</v>
      </c>
      <c r="BZ350" s="341">
        <f t="shared" si="65"/>
        <v>0.68214933659622723</v>
      </c>
      <c r="CA350" s="341"/>
      <c r="CB350" s="243">
        <f t="shared" si="59"/>
        <v>0.64340301100034303</v>
      </c>
      <c r="CC350" s="243"/>
      <c r="CD350" s="243">
        <f t="shared" si="62"/>
        <v>0.64340301100034303</v>
      </c>
      <c r="CG350" s="734">
        <f t="shared" si="72"/>
        <v>1.944</v>
      </c>
      <c r="CJ350" s="1264">
        <f t="shared" si="60"/>
        <v>0.79741404289037643</v>
      </c>
    </row>
    <row r="351" spans="1:88" x14ac:dyDescent="0.2">
      <c r="A351" s="19">
        <v>38199</v>
      </c>
      <c r="B351" s="262">
        <v>-3.31</v>
      </c>
      <c r="C351" s="262">
        <v>-4.7263000000000002</v>
      </c>
      <c r="D351" s="262">
        <v>-1.9</v>
      </c>
      <c r="E351" s="262">
        <v>-4.6662999999999997</v>
      </c>
      <c r="F351" s="262">
        <v>-4.9828999999999999</v>
      </c>
      <c r="G351" s="262">
        <v>-4.34</v>
      </c>
      <c r="H351" s="262">
        <v>-6.7332999999999998</v>
      </c>
      <c r="I351" s="262">
        <v>-8.9760000000000009</v>
      </c>
      <c r="J351" s="262">
        <v>-4.5971000000000002</v>
      </c>
      <c r="K351" s="128">
        <v>-5.4787999999999997</v>
      </c>
      <c r="L351" s="128">
        <v>-5.3513000000000002</v>
      </c>
      <c r="M351" s="128">
        <v>-5.6058000000000003</v>
      </c>
      <c r="N351" s="262">
        <f t="shared" si="66"/>
        <v>-6.7332999999999998</v>
      </c>
      <c r="O351" s="262">
        <f t="shared" si="67"/>
        <v>-8.9760000000000009</v>
      </c>
      <c r="P351" s="262">
        <f t="shared" si="68"/>
        <v>-4.5971000000000002</v>
      </c>
      <c r="Q351" s="262">
        <v>-7.8258999999999999</v>
      </c>
      <c r="R351" s="128">
        <v>-5.8188000000000004</v>
      </c>
      <c r="S351" s="128">
        <v>-3.7814999999999999</v>
      </c>
      <c r="T351" s="128"/>
      <c r="U351" s="262">
        <v>-2.9142999999999999</v>
      </c>
      <c r="V351" s="262">
        <v>-4.5090000000000003</v>
      </c>
      <c r="W351" s="262">
        <v>0.99119999999999997</v>
      </c>
      <c r="X351" s="128">
        <v>0.8679</v>
      </c>
      <c r="Y351" s="128"/>
      <c r="Z351" s="128">
        <v>-1.4205000000000001</v>
      </c>
      <c r="AA351" s="262">
        <v>-3.2315499999999999</v>
      </c>
      <c r="AB351" s="262">
        <v>-4.0529000000000002</v>
      </c>
      <c r="AC351" s="262">
        <v>-2.4499</v>
      </c>
      <c r="AD351" s="277">
        <v>-2.0933999999999999</v>
      </c>
      <c r="AE351" s="277">
        <f t="shared" si="78"/>
        <v>-2.0933999999999999</v>
      </c>
      <c r="AF351" s="262">
        <f t="shared" si="73"/>
        <v>-3.2315499999999999</v>
      </c>
      <c r="AG351" s="128">
        <v>1.0314000000000001</v>
      </c>
      <c r="AH351" s="352">
        <v>0.53</v>
      </c>
      <c r="AI351"/>
      <c r="AJ351"/>
      <c r="AK351"/>
      <c r="AL351"/>
      <c r="AM351" s="242"/>
      <c r="AN351" s="262">
        <v>-3.2315</v>
      </c>
      <c r="AO351" s="262">
        <v>-2.9142999999999999</v>
      </c>
      <c r="AP351" s="262"/>
      <c r="AQ351" s="262"/>
      <c r="AR351" s="262"/>
      <c r="AS351" s="262"/>
      <c r="AT351" s="262"/>
      <c r="AU351" s="262"/>
      <c r="AV351" s="245">
        <v>0.56000000000000005</v>
      </c>
      <c r="AW351" s="245"/>
      <c r="AX351" s="245"/>
      <c r="AY351" s="245">
        <v>0.28000000000000003</v>
      </c>
      <c r="AZ351" s="245">
        <v>0.16</v>
      </c>
      <c r="BA351" s="245">
        <v>0</v>
      </c>
      <c r="BB351" s="245"/>
      <c r="BC351" s="245">
        <f t="shared" si="70"/>
        <v>1</v>
      </c>
      <c r="BD351" s="240">
        <f t="shared" si="71"/>
        <v>-2.0931120000000001</v>
      </c>
      <c r="BE351" s="243">
        <f t="shared" si="74"/>
        <v>-2.0931120000000001</v>
      </c>
      <c r="BF351" s="329">
        <v>0.40400000000000003</v>
      </c>
      <c r="BG351" s="329">
        <v>0.05</v>
      </c>
      <c r="BH351" s="329">
        <v>0.05</v>
      </c>
      <c r="BI351" s="329"/>
      <c r="BJ351" s="329">
        <v>0.14399999999999999</v>
      </c>
      <c r="BK351" s="329"/>
      <c r="BL351" s="329"/>
      <c r="BM351" s="329">
        <v>0.252</v>
      </c>
      <c r="BN351" s="329"/>
      <c r="BO351" s="329">
        <v>0.1</v>
      </c>
      <c r="BP351" s="235">
        <f t="shared" si="69"/>
        <v>1</v>
      </c>
      <c r="BQ351" s="243">
        <f t="shared" si="76"/>
        <v>-2.3321208000000002</v>
      </c>
      <c r="BS351" s="341">
        <f t="array" ref="BS351">((1+8.5/100)^(1/12)-1)*100</f>
        <v>0.68214933659622723</v>
      </c>
      <c r="BT351" s="341"/>
      <c r="BU351" s="341"/>
      <c r="BV351" s="341">
        <f t="array" ref="BV351">((1+4.5/100)^(1/12)-1)*100</f>
        <v>0.36748094004368514</v>
      </c>
      <c r="BW351" s="341">
        <f t="array" ref="BW351">((1+8.5/100)^(1/12)-1)*100</f>
        <v>0.68214933659622723</v>
      </c>
      <c r="BX351" s="341">
        <f t="array" ref="BX351">((1+7.7/100)^(1/12)-1)*100</f>
        <v>0.62007621358530773</v>
      </c>
      <c r="BY351" s="341">
        <f t="shared" si="77"/>
        <v>0.59404218556151545</v>
      </c>
      <c r="BZ351" s="341">
        <f t="shared" si="65"/>
        <v>0.68214933659622723</v>
      </c>
      <c r="CA351" s="341"/>
      <c r="CB351" s="243">
        <f t="shared" si="59"/>
        <v>0.64340301100034303</v>
      </c>
      <c r="CC351" s="243"/>
      <c r="CD351" s="243">
        <f t="shared" si="62"/>
        <v>0.64340301100034303</v>
      </c>
      <c r="CG351" s="734">
        <f t="shared" si="72"/>
        <v>-3.31</v>
      </c>
      <c r="CJ351" s="1264">
        <f t="shared" si="60"/>
        <v>0.79741404289037643</v>
      </c>
    </row>
    <row r="352" spans="1:88" x14ac:dyDescent="0.2">
      <c r="A352" s="19">
        <v>38230</v>
      </c>
      <c r="B352" s="262">
        <v>0.40500000000000003</v>
      </c>
      <c r="C352" s="262">
        <v>-0.2893</v>
      </c>
      <c r="D352" s="262">
        <v>1.08</v>
      </c>
      <c r="E352" s="262">
        <v>-0.26179999999999998</v>
      </c>
      <c r="F352" s="262">
        <v>-1.2422</v>
      </c>
      <c r="G352" s="262">
        <v>0.7</v>
      </c>
      <c r="H352" s="262">
        <v>-0.51400000000000001</v>
      </c>
      <c r="I352" s="262">
        <v>-2.1528999999999998</v>
      </c>
      <c r="J352" s="262">
        <v>0.98089999999999999</v>
      </c>
      <c r="K352" s="128">
        <v>-0.88249999999999995</v>
      </c>
      <c r="L352" s="128">
        <v>-1.0109999999999999</v>
      </c>
      <c r="M352" s="128">
        <v>-0.75229999999999997</v>
      </c>
      <c r="N352" s="262">
        <f t="shared" si="66"/>
        <v>-0.51400000000000001</v>
      </c>
      <c r="O352" s="262">
        <f t="shared" si="67"/>
        <v>-2.1528999999999998</v>
      </c>
      <c r="P352" s="262">
        <f t="shared" si="68"/>
        <v>0.98089999999999999</v>
      </c>
      <c r="Q352" s="262">
        <v>-2.012</v>
      </c>
      <c r="R352" s="128">
        <v>-0.25559999999999999</v>
      </c>
      <c r="S352" s="128">
        <v>0.4118</v>
      </c>
      <c r="T352" s="128"/>
      <c r="U352" s="262">
        <v>0.80079999999999996</v>
      </c>
      <c r="V352" s="262">
        <v>0.72960000000000003</v>
      </c>
      <c r="W352" s="262">
        <v>1.9075</v>
      </c>
      <c r="X352" s="128">
        <v>1.6357999999999999</v>
      </c>
      <c r="Y352" s="128"/>
      <c r="Z352" s="128">
        <v>8.77E-2</v>
      </c>
      <c r="AA352" s="262">
        <v>0.46428000000000003</v>
      </c>
      <c r="AB352" s="262">
        <v>0.1221</v>
      </c>
      <c r="AC352" s="262">
        <v>0.78249999999999997</v>
      </c>
      <c r="AD352" s="277">
        <v>0.83589999999999998</v>
      </c>
      <c r="AE352" s="277">
        <f t="shared" si="78"/>
        <v>0.83589999999999998</v>
      </c>
      <c r="AF352" s="262">
        <f t="shared" si="73"/>
        <v>0.46428000000000003</v>
      </c>
      <c r="AG352" s="128">
        <v>1.0314000000000001</v>
      </c>
      <c r="AH352" s="352">
        <v>7.81</v>
      </c>
      <c r="AI352"/>
      <c r="AJ352"/>
      <c r="AK352"/>
      <c r="AL352"/>
      <c r="AM352" s="242"/>
      <c r="AN352" s="262">
        <v>0.46429999999999999</v>
      </c>
      <c r="AO352" s="262">
        <v>0.80079999999999996</v>
      </c>
      <c r="AP352" s="262"/>
      <c r="AQ352" s="262"/>
      <c r="AR352" s="262"/>
      <c r="AS352" s="262"/>
      <c r="AT352" s="262"/>
      <c r="AU352" s="262"/>
      <c r="AV352" s="245">
        <v>0.56000000000000005</v>
      </c>
      <c r="AW352" s="245"/>
      <c r="AX352" s="245"/>
      <c r="AY352" s="245">
        <v>0.28000000000000003</v>
      </c>
      <c r="AZ352" s="245">
        <v>0.16</v>
      </c>
      <c r="BA352" s="245">
        <v>0</v>
      </c>
      <c r="BB352" s="245"/>
      <c r="BC352" s="245">
        <f t="shared" si="70"/>
        <v>1</v>
      </c>
      <c r="BD352" s="240">
        <f t="shared" si="71"/>
        <v>0.83518480000000006</v>
      </c>
      <c r="BE352" s="243">
        <f t="shared" si="74"/>
        <v>0.83518480000000006</v>
      </c>
      <c r="BF352" s="329">
        <v>0.40400000000000003</v>
      </c>
      <c r="BG352" s="329">
        <v>0.05</v>
      </c>
      <c r="BH352" s="329">
        <v>0.05</v>
      </c>
      <c r="BI352" s="329"/>
      <c r="BJ352" s="329">
        <v>0.14399999999999999</v>
      </c>
      <c r="BK352" s="329"/>
      <c r="BL352" s="329"/>
      <c r="BM352" s="329">
        <v>0.252</v>
      </c>
      <c r="BN352" s="329"/>
      <c r="BO352" s="329">
        <v>0.1</v>
      </c>
      <c r="BP352" s="235">
        <f t="shared" si="69"/>
        <v>1</v>
      </c>
      <c r="BQ352" s="243">
        <f t="shared" si="76"/>
        <v>0.75596631999999997</v>
      </c>
      <c r="BS352" s="341">
        <f t="array" ref="BS352">((1+8.5/100)^(1/12)-1)*100</f>
        <v>0.68214933659622723</v>
      </c>
      <c r="BT352" s="341"/>
      <c r="BU352" s="341"/>
      <c r="BV352" s="341">
        <f t="array" ref="BV352">((1+4.5/100)^(1/12)-1)*100</f>
        <v>0.36748094004368514</v>
      </c>
      <c r="BW352" s="341">
        <f t="array" ref="BW352">((1+8.5/100)^(1/12)-1)*100</f>
        <v>0.68214933659622723</v>
      </c>
      <c r="BX352" s="341">
        <f t="array" ref="BX352">((1+7.7/100)^(1/12)-1)*100</f>
        <v>0.62007621358530773</v>
      </c>
      <c r="BY352" s="341">
        <f t="shared" si="77"/>
        <v>0.59404218556151545</v>
      </c>
      <c r="BZ352" s="341">
        <f t="shared" si="65"/>
        <v>0.68214933659622723</v>
      </c>
      <c r="CA352" s="341"/>
      <c r="CB352" s="243">
        <f t="shared" si="59"/>
        <v>0.64340301100034303</v>
      </c>
      <c r="CC352" s="243"/>
      <c r="CD352" s="243">
        <f t="shared" si="62"/>
        <v>0.64340301100034303</v>
      </c>
      <c r="CG352" s="734">
        <f t="shared" si="72"/>
        <v>0.40500000000000003</v>
      </c>
      <c r="CJ352" s="1264">
        <f t="shared" si="60"/>
        <v>0.79741404289037643</v>
      </c>
    </row>
    <row r="353" spans="1:88" x14ac:dyDescent="0.2">
      <c r="A353" s="19">
        <v>38260</v>
      </c>
      <c r="B353" s="262">
        <v>1.083</v>
      </c>
      <c r="C353" s="262">
        <v>0.24</v>
      </c>
      <c r="D353" s="262">
        <v>1.9</v>
      </c>
      <c r="E353" s="262">
        <v>2.9615</v>
      </c>
      <c r="F353" s="262">
        <v>2.9182000000000001</v>
      </c>
      <c r="G353" s="262">
        <v>3</v>
      </c>
      <c r="H353" s="262">
        <v>4.6946000000000003</v>
      </c>
      <c r="I353" s="262">
        <v>5.5294999999999996</v>
      </c>
      <c r="J353" s="262">
        <v>3.9556</v>
      </c>
      <c r="K353" s="128">
        <v>5.2731000000000003</v>
      </c>
      <c r="L353" s="128">
        <v>5.6890999999999998</v>
      </c>
      <c r="M353" s="128">
        <v>4.8685999999999998</v>
      </c>
      <c r="N353" s="262">
        <f t="shared" si="66"/>
        <v>4.6946000000000003</v>
      </c>
      <c r="O353" s="262">
        <f t="shared" si="67"/>
        <v>5.5294999999999996</v>
      </c>
      <c r="P353" s="262">
        <f t="shared" si="68"/>
        <v>3.9556</v>
      </c>
      <c r="Q353" s="262">
        <v>4.5109000000000004</v>
      </c>
      <c r="R353" s="128">
        <v>3.7715999999999998</v>
      </c>
      <c r="S353" s="128">
        <v>1.5371999999999999</v>
      </c>
      <c r="T353" s="128"/>
      <c r="U353" s="262">
        <v>3.2151999999999998</v>
      </c>
      <c r="V353" s="262">
        <v>2.3934000000000002</v>
      </c>
      <c r="W353" s="262">
        <v>0.27129999999999999</v>
      </c>
      <c r="X353" s="128">
        <v>0.1658</v>
      </c>
      <c r="Y353" s="128"/>
      <c r="Z353" s="128">
        <v>2.3597999999999999</v>
      </c>
      <c r="AA353" s="262">
        <v>2.62825</v>
      </c>
      <c r="AB353" s="262">
        <v>2.4786999999999999</v>
      </c>
      <c r="AC353" s="262">
        <v>2.7669999999999999</v>
      </c>
      <c r="AD353" s="277">
        <v>1.1026</v>
      </c>
      <c r="AE353" s="277">
        <f t="shared" si="78"/>
        <v>1.1026</v>
      </c>
      <c r="AF353" s="262">
        <f t="shared" si="73"/>
        <v>2.62825</v>
      </c>
      <c r="AG353" s="128">
        <v>1.0314000000000001</v>
      </c>
      <c r="AH353" s="352">
        <v>-0.21</v>
      </c>
      <c r="AI353"/>
      <c r="AJ353"/>
      <c r="AK353"/>
      <c r="AL353"/>
      <c r="AM353" s="242"/>
      <c r="AN353" s="262">
        <v>2.6282999999999999</v>
      </c>
      <c r="AO353" s="262">
        <v>3.2151999999999998</v>
      </c>
      <c r="AP353" s="262"/>
      <c r="AQ353" s="262"/>
      <c r="AR353" s="262"/>
      <c r="AS353" s="262"/>
      <c r="AT353" s="262"/>
      <c r="AU353" s="262"/>
      <c r="AV353" s="245">
        <v>0.56000000000000005</v>
      </c>
      <c r="AW353" s="245"/>
      <c r="AX353" s="245"/>
      <c r="AY353" s="245">
        <v>0.28000000000000003</v>
      </c>
      <c r="AZ353" s="245">
        <v>0.16</v>
      </c>
      <c r="BA353" s="245">
        <v>0</v>
      </c>
      <c r="BB353" s="245"/>
      <c r="BC353" s="245">
        <f t="shared" si="70"/>
        <v>1</v>
      </c>
      <c r="BD353" s="240">
        <f t="shared" si="71"/>
        <v>1.1029640000000001</v>
      </c>
      <c r="BE353" s="243">
        <f t="shared" si="74"/>
        <v>1.1029640000000001</v>
      </c>
      <c r="BF353" s="329">
        <v>0.40400000000000003</v>
      </c>
      <c r="BG353" s="329">
        <v>0.05</v>
      </c>
      <c r="BH353" s="329">
        <v>0.05</v>
      </c>
      <c r="BI353" s="329"/>
      <c r="BJ353" s="329">
        <v>0.14399999999999999</v>
      </c>
      <c r="BK353" s="329"/>
      <c r="BL353" s="329"/>
      <c r="BM353" s="329">
        <v>0.252</v>
      </c>
      <c r="BN353" s="329"/>
      <c r="BO353" s="329">
        <v>0.1</v>
      </c>
      <c r="BP353" s="235">
        <f t="shared" si="69"/>
        <v>1</v>
      </c>
      <c r="BQ353" s="243">
        <f t="shared" si="76"/>
        <v>1.3774325999999999</v>
      </c>
      <c r="BS353" s="341">
        <f t="array" ref="BS353">((1+8.5/100)^(1/12)-1)*100</f>
        <v>0.68214933659622723</v>
      </c>
      <c r="BT353" s="341"/>
      <c r="BU353" s="341"/>
      <c r="BV353" s="341">
        <f t="array" ref="BV353">((1+4.5/100)^(1/12)-1)*100</f>
        <v>0.36748094004368514</v>
      </c>
      <c r="BW353" s="341">
        <f t="array" ref="BW353">((1+8.5/100)^(1/12)-1)*100</f>
        <v>0.68214933659622723</v>
      </c>
      <c r="BX353" s="341">
        <f t="array" ref="BX353">((1+7.7/100)^(1/12)-1)*100</f>
        <v>0.62007621358530773</v>
      </c>
      <c r="BY353" s="341">
        <f t="shared" si="77"/>
        <v>0.59404218556151545</v>
      </c>
      <c r="BZ353" s="341">
        <f t="shared" si="65"/>
        <v>0.68214933659622723</v>
      </c>
      <c r="CA353" s="341"/>
      <c r="CB353" s="243">
        <f t="shared" si="59"/>
        <v>0.64340301100034303</v>
      </c>
      <c r="CC353" s="243"/>
      <c r="CD353" s="243">
        <f t="shared" si="62"/>
        <v>0.64340301100034303</v>
      </c>
      <c r="CG353" s="734">
        <f t="shared" si="72"/>
        <v>1.083</v>
      </c>
      <c r="CJ353" s="1264">
        <f t="shared" si="60"/>
        <v>0.79741404289037643</v>
      </c>
    </row>
    <row r="354" spans="1:88" x14ac:dyDescent="0.2">
      <c r="A354" s="19">
        <v>38291</v>
      </c>
      <c r="B354" s="262">
        <v>1.528</v>
      </c>
      <c r="C354" s="262">
        <v>1.5457000000000001</v>
      </c>
      <c r="D354" s="262">
        <v>1.51</v>
      </c>
      <c r="E354" s="262">
        <v>1.5996999999999999</v>
      </c>
      <c r="F354" s="262">
        <v>2.4243999999999999</v>
      </c>
      <c r="G354" s="262">
        <v>0.82</v>
      </c>
      <c r="H354" s="262">
        <v>1.9683999999999999</v>
      </c>
      <c r="I354" s="262">
        <v>2.4298000000000002</v>
      </c>
      <c r="J354" s="262">
        <v>1.5535000000000001</v>
      </c>
      <c r="K354" s="128">
        <v>1.8653</v>
      </c>
      <c r="L354" s="128">
        <v>2.7713000000000001</v>
      </c>
      <c r="M354" s="128">
        <v>0.98080000000000001</v>
      </c>
      <c r="N354" s="262">
        <f t="shared" si="66"/>
        <v>1.9683999999999999</v>
      </c>
      <c r="O354" s="262">
        <f t="shared" si="67"/>
        <v>2.4298000000000002</v>
      </c>
      <c r="P354" s="262">
        <f t="shared" si="68"/>
        <v>1.5535000000000001</v>
      </c>
      <c r="Q354" s="262">
        <v>2.8384</v>
      </c>
      <c r="R354" s="128">
        <v>2.2808000000000002</v>
      </c>
      <c r="S354" s="128">
        <v>1.6424000000000001</v>
      </c>
      <c r="T354" s="128"/>
      <c r="U354" s="262">
        <v>3.4782000000000002</v>
      </c>
      <c r="V354" s="262">
        <v>3.762</v>
      </c>
      <c r="W354" s="262">
        <v>0.83860000000000001</v>
      </c>
      <c r="X354" s="128">
        <v>0.72929999999999995</v>
      </c>
      <c r="Y354" s="128"/>
      <c r="Z354" s="128">
        <v>1.4432</v>
      </c>
      <c r="AA354" s="262">
        <v>3.4160400000000002</v>
      </c>
      <c r="AB354" s="262">
        <v>3.3511000000000002</v>
      </c>
      <c r="AC354" s="262">
        <v>3.4763000000000002</v>
      </c>
      <c r="AD354" s="277">
        <v>1.6392</v>
      </c>
      <c r="AE354" s="277">
        <f t="shared" si="78"/>
        <v>1.6392</v>
      </c>
      <c r="AF354" s="262">
        <f t="shared" si="73"/>
        <v>3.4160400000000002</v>
      </c>
      <c r="AG354" s="128">
        <v>1.1284000000000001</v>
      </c>
      <c r="AH354" s="352">
        <v>5.41</v>
      </c>
      <c r="AI354"/>
      <c r="AJ354"/>
      <c r="AK354"/>
      <c r="AL354"/>
      <c r="AM354" s="242"/>
      <c r="AN354" s="262">
        <v>3.42</v>
      </c>
      <c r="AO354" s="262">
        <v>3.4782000000000002</v>
      </c>
      <c r="AP354" s="262"/>
      <c r="AQ354" s="262"/>
      <c r="AR354" s="262"/>
      <c r="AS354" s="262"/>
      <c r="AT354" s="262"/>
      <c r="AU354" s="262"/>
      <c r="AV354" s="245">
        <v>0.56000000000000005</v>
      </c>
      <c r="AW354" s="245"/>
      <c r="AX354" s="245"/>
      <c r="AY354" s="245">
        <v>0.28000000000000003</v>
      </c>
      <c r="AZ354" s="245">
        <v>0.16</v>
      </c>
      <c r="BA354" s="245">
        <v>0</v>
      </c>
      <c r="BB354" s="245"/>
      <c r="BC354" s="245">
        <f t="shared" si="70"/>
        <v>1</v>
      </c>
      <c r="BD354" s="240">
        <f t="shared" si="71"/>
        <v>1.6370544000000002</v>
      </c>
      <c r="BE354" s="243">
        <f t="shared" si="74"/>
        <v>1.6370544000000002</v>
      </c>
      <c r="BF354" s="329">
        <v>0.40400000000000003</v>
      </c>
      <c r="BG354" s="329">
        <v>0.05</v>
      </c>
      <c r="BH354" s="329">
        <v>0.05</v>
      </c>
      <c r="BI354" s="329"/>
      <c r="BJ354" s="329">
        <v>0.14399999999999999</v>
      </c>
      <c r="BK354" s="329"/>
      <c r="BL354" s="329"/>
      <c r="BM354" s="329">
        <v>0.252</v>
      </c>
      <c r="BN354" s="329"/>
      <c r="BO354" s="329">
        <v>0.1</v>
      </c>
      <c r="BP354" s="235">
        <f t="shared" si="69"/>
        <v>1</v>
      </c>
      <c r="BQ354" s="243">
        <f t="shared" si="76"/>
        <v>1.66287396</v>
      </c>
      <c r="BS354" s="341">
        <f t="array" ref="BS354">((1+8.5/100)^(1/12)-1)*100</f>
        <v>0.68214933659622723</v>
      </c>
      <c r="BT354" s="341"/>
      <c r="BU354" s="341"/>
      <c r="BV354" s="341">
        <f t="array" ref="BV354">((1+4.5/100)^(1/12)-1)*100</f>
        <v>0.36748094004368514</v>
      </c>
      <c r="BW354" s="341">
        <f t="array" ref="BW354">((1+8.5/100)^(1/12)-1)*100</f>
        <v>0.68214933659622723</v>
      </c>
      <c r="BX354" s="341">
        <f t="array" ref="BX354">((1+7.7/100)^(1/12)-1)*100</f>
        <v>0.62007621358530773</v>
      </c>
      <c r="BY354" s="341">
        <f t="shared" si="77"/>
        <v>0.59404218556151545</v>
      </c>
      <c r="BZ354" s="341">
        <f t="shared" si="65"/>
        <v>0.68214933659622723</v>
      </c>
      <c r="CA354" s="341"/>
      <c r="CB354" s="243">
        <f t="shared" si="59"/>
        <v>0.64340301100034303</v>
      </c>
      <c r="CC354" s="243"/>
      <c r="CD354" s="243">
        <f t="shared" si="62"/>
        <v>0.64340301100034303</v>
      </c>
      <c r="CG354" s="734">
        <f t="shared" si="72"/>
        <v>1.528</v>
      </c>
      <c r="CJ354" s="1264">
        <f t="shared" si="60"/>
        <v>0.79741404289037643</v>
      </c>
    </row>
    <row r="355" spans="1:88" x14ac:dyDescent="0.2">
      <c r="A355" s="19">
        <v>38321</v>
      </c>
      <c r="B355" s="262">
        <v>4.0460000000000003</v>
      </c>
      <c r="C355" s="262">
        <v>3.1642999999999999</v>
      </c>
      <c r="D355" s="262">
        <v>4.8799000000000001</v>
      </c>
      <c r="E355" s="262">
        <v>5.9550999999999998</v>
      </c>
      <c r="F355" s="262">
        <v>4.7504</v>
      </c>
      <c r="G355" s="262">
        <v>7.1116000000000001</v>
      </c>
      <c r="H355" s="262">
        <v>8.6738</v>
      </c>
      <c r="I355" s="262">
        <v>8.4526000000000003</v>
      </c>
      <c r="J355" s="262">
        <v>8.8736999999999995</v>
      </c>
      <c r="K355" s="128">
        <v>8.5455000000000005</v>
      </c>
      <c r="L355" s="128">
        <v>7.7103000000000002</v>
      </c>
      <c r="M355" s="128">
        <v>9.3887</v>
      </c>
      <c r="N355" s="262">
        <f t="shared" si="66"/>
        <v>8.6738</v>
      </c>
      <c r="O355" s="262">
        <f t="shared" si="67"/>
        <v>8.4526000000000003</v>
      </c>
      <c r="P355" s="262">
        <f t="shared" si="68"/>
        <v>8.8736999999999995</v>
      </c>
      <c r="Q355" s="262">
        <v>6.6334999999999997</v>
      </c>
      <c r="R355" s="128">
        <v>7.4668000000000001</v>
      </c>
      <c r="S355" s="128">
        <v>4.6486000000000001</v>
      </c>
      <c r="T355" s="128"/>
      <c r="U355" s="262">
        <v>6.9408000000000003</v>
      </c>
      <c r="V355" s="262">
        <v>7.9733000000000001</v>
      </c>
      <c r="W355" s="262">
        <v>-0.79759999999999998</v>
      </c>
      <c r="X355" s="128">
        <v>-0.64100000000000001</v>
      </c>
      <c r="Y355" s="128"/>
      <c r="Z355" s="128">
        <v>3.2401</v>
      </c>
      <c r="AA355" s="262">
        <v>6.859</v>
      </c>
      <c r="AB355" s="262">
        <v>6.923</v>
      </c>
      <c r="AC355" s="262">
        <v>6.7995999999999999</v>
      </c>
      <c r="AD355" s="277">
        <v>3.1394000000000002</v>
      </c>
      <c r="AE355" s="277">
        <f t="shared" si="78"/>
        <v>3.1394000000000002</v>
      </c>
      <c r="AF355" s="262">
        <f t="shared" si="73"/>
        <v>6.859</v>
      </c>
      <c r="AG355" s="128">
        <v>1.1284000000000001</v>
      </c>
      <c r="AH355" s="352">
        <v>4.6900000000000004</v>
      </c>
      <c r="AI355"/>
      <c r="AJ355"/>
      <c r="AK355"/>
      <c r="AL355"/>
      <c r="AM355" s="242"/>
      <c r="AN355" s="262">
        <v>6.86</v>
      </c>
      <c r="AO355" s="262">
        <v>6.9408000000000003</v>
      </c>
      <c r="AP355" s="262"/>
      <c r="AQ355" s="262"/>
      <c r="AR355" s="262"/>
      <c r="AS355" s="262"/>
      <c r="AT355" s="262"/>
      <c r="AU355" s="262"/>
      <c r="AV355" s="245">
        <v>0.56000000000000005</v>
      </c>
      <c r="AW355" s="245"/>
      <c r="AX355" s="245"/>
      <c r="AY355" s="245">
        <v>0.28000000000000003</v>
      </c>
      <c r="AZ355" s="245">
        <v>0.16</v>
      </c>
      <c r="BA355" s="245">
        <v>0</v>
      </c>
      <c r="BB355" s="245"/>
      <c r="BC355" s="245">
        <f t="shared" si="70"/>
        <v>1</v>
      </c>
      <c r="BD355" s="240">
        <f t="shared" si="71"/>
        <v>3.1398720000000004</v>
      </c>
      <c r="BE355" s="243">
        <f t="shared" si="74"/>
        <v>3.1398720000000004</v>
      </c>
      <c r="BF355" s="329">
        <v>0.40400000000000003</v>
      </c>
      <c r="BG355" s="329">
        <v>0.05</v>
      </c>
      <c r="BH355" s="329">
        <v>0.05</v>
      </c>
      <c r="BI355" s="329"/>
      <c r="BJ355" s="329">
        <v>0.14399999999999999</v>
      </c>
      <c r="BK355" s="329"/>
      <c r="BL355" s="329"/>
      <c r="BM355" s="329">
        <v>0.252</v>
      </c>
      <c r="BN355" s="329"/>
      <c r="BO355" s="329">
        <v>0.1</v>
      </c>
      <c r="BP355" s="235">
        <f t="shared" si="69"/>
        <v>1</v>
      </c>
      <c r="BQ355" s="243">
        <f t="shared" si="76"/>
        <v>3.4666698</v>
      </c>
      <c r="BS355" s="341">
        <f t="array" ref="BS355">((1+8.5/100)^(1/12)-1)*100</f>
        <v>0.68214933659622723</v>
      </c>
      <c r="BT355" s="341"/>
      <c r="BU355" s="341"/>
      <c r="BV355" s="341">
        <f t="array" ref="BV355">((1+4.5/100)^(1/12)-1)*100</f>
        <v>0.36748094004368514</v>
      </c>
      <c r="BW355" s="341">
        <f t="array" ref="BW355">((1+8.5/100)^(1/12)-1)*100</f>
        <v>0.68214933659622723</v>
      </c>
      <c r="BX355" s="341">
        <f t="array" ref="BX355">((1+7.7/100)^(1/12)-1)*100</f>
        <v>0.62007621358530773</v>
      </c>
      <c r="BY355" s="341">
        <f t="shared" si="77"/>
        <v>0.59404218556151545</v>
      </c>
      <c r="BZ355" s="341">
        <f t="shared" si="65"/>
        <v>0.68214933659622723</v>
      </c>
      <c r="CA355" s="341"/>
      <c r="CB355" s="243">
        <f t="shared" si="59"/>
        <v>0.64340301100034303</v>
      </c>
      <c r="CC355" s="243"/>
      <c r="CD355" s="243">
        <f t="shared" si="62"/>
        <v>0.64340301100034303</v>
      </c>
      <c r="CG355" s="734">
        <f t="shared" si="72"/>
        <v>4.0460000000000003</v>
      </c>
      <c r="CJ355" s="1264">
        <f t="shared" si="60"/>
        <v>0.79741404289037643</v>
      </c>
    </row>
    <row r="356" spans="1:88" x14ac:dyDescent="0.2">
      <c r="A356" s="19">
        <v>38352</v>
      </c>
      <c r="B356" s="262">
        <v>3.403</v>
      </c>
      <c r="C356" s="262">
        <v>3.5777999999999999</v>
      </c>
      <c r="D356" s="262">
        <v>3.2578999999999998</v>
      </c>
      <c r="E356" s="262">
        <v>4.1871999999999998</v>
      </c>
      <c r="F356" s="262">
        <v>4.4340000000000002</v>
      </c>
      <c r="G356" s="262">
        <v>3.9426999999999999</v>
      </c>
      <c r="H356" s="262">
        <v>2.96</v>
      </c>
      <c r="I356" s="262">
        <v>3.5941000000000001</v>
      </c>
      <c r="J356" s="262">
        <v>2.3868999999999998</v>
      </c>
      <c r="K356" s="128">
        <v>2.2000000000000002</v>
      </c>
      <c r="L356" s="128">
        <v>2.5794999999999999</v>
      </c>
      <c r="M356" s="128">
        <v>1.8357000000000001</v>
      </c>
      <c r="N356" s="262">
        <f t="shared" si="66"/>
        <v>2.96</v>
      </c>
      <c r="O356" s="262">
        <f t="shared" si="67"/>
        <v>3.5941000000000001</v>
      </c>
      <c r="P356" s="262">
        <f t="shared" si="68"/>
        <v>2.3868999999999998</v>
      </c>
      <c r="Q356" s="262">
        <v>4.7854000000000001</v>
      </c>
      <c r="R356" s="128">
        <v>3.9152</v>
      </c>
      <c r="S356" s="128">
        <v>3.5632000000000001</v>
      </c>
      <c r="T356" s="128"/>
      <c r="U356" s="262">
        <v>4.2938000000000001</v>
      </c>
      <c r="V356" s="262">
        <v>4.9995000000000003</v>
      </c>
      <c r="W356" s="262">
        <v>0.92010000000000003</v>
      </c>
      <c r="X356" s="128">
        <v>0.69299999999999995</v>
      </c>
      <c r="Y356" s="128"/>
      <c r="Z356" s="128">
        <v>2.5750000000000002</v>
      </c>
      <c r="AA356" s="262">
        <v>4.3916700000000004</v>
      </c>
      <c r="AB356" s="262">
        <v>4.2370999999999999</v>
      </c>
      <c r="AC356" s="262">
        <v>4.5429000000000004</v>
      </c>
      <c r="AD356" s="277">
        <v>2.8656999999999999</v>
      </c>
      <c r="AE356" s="277">
        <f t="shared" si="78"/>
        <v>2.8656999999999999</v>
      </c>
      <c r="AF356" s="262">
        <f t="shared" si="73"/>
        <v>4.3916700000000004</v>
      </c>
      <c r="AG356" s="128">
        <v>1.1284000000000001</v>
      </c>
      <c r="AH356" s="352">
        <v>5.54</v>
      </c>
      <c r="AI356"/>
      <c r="AJ356"/>
      <c r="AK356"/>
      <c r="AL356"/>
      <c r="AM356" s="242"/>
      <c r="AN356" s="262">
        <v>4.3899999999999997</v>
      </c>
      <c r="AO356" s="262">
        <v>4.2938000000000001</v>
      </c>
      <c r="AP356" s="262"/>
      <c r="AQ356" s="262"/>
      <c r="AR356" s="262"/>
      <c r="AS356" s="262"/>
      <c r="AT356" s="262"/>
      <c r="AU356" s="262"/>
      <c r="AV356" s="245">
        <v>0.56000000000000005</v>
      </c>
      <c r="AW356" s="245"/>
      <c r="AX356" s="245"/>
      <c r="AY356" s="245">
        <v>0.28000000000000003</v>
      </c>
      <c r="AZ356" s="245">
        <v>0.16</v>
      </c>
      <c r="BA356" s="245">
        <v>0</v>
      </c>
      <c r="BB356" s="245"/>
      <c r="BC356" s="245">
        <f t="shared" si="70"/>
        <v>1</v>
      </c>
      <c r="BD356" s="240">
        <f t="shared" si="71"/>
        <v>2.8659752000000003</v>
      </c>
      <c r="BE356" s="243">
        <f t="shared" si="74"/>
        <v>2.8659752000000003</v>
      </c>
      <c r="BF356" s="329">
        <v>0.40400000000000003</v>
      </c>
      <c r="BG356" s="329">
        <v>0.05</v>
      </c>
      <c r="BH356" s="329">
        <v>0.05</v>
      </c>
      <c r="BI356" s="329"/>
      <c r="BJ356" s="329">
        <v>0.14399999999999999</v>
      </c>
      <c r="BK356" s="329"/>
      <c r="BL356" s="329"/>
      <c r="BM356" s="329">
        <v>0.252</v>
      </c>
      <c r="BN356" s="329"/>
      <c r="BO356" s="329">
        <v>0.1</v>
      </c>
      <c r="BP356" s="235">
        <f t="shared" si="69"/>
        <v>1</v>
      </c>
      <c r="BQ356" s="243">
        <f t="shared" si="76"/>
        <v>2.8830076800000004</v>
      </c>
      <c r="BS356" s="341">
        <f t="array" ref="BS356">((1+8.5/100)^(1/12)-1)*100</f>
        <v>0.68214933659622723</v>
      </c>
      <c r="BT356" s="341"/>
      <c r="BU356" s="341"/>
      <c r="BV356" s="341">
        <f t="array" ref="BV356">((1+4.5/100)^(1/12)-1)*100</f>
        <v>0.36748094004368514</v>
      </c>
      <c r="BW356" s="341">
        <f t="array" ref="BW356">((1+8.5/100)^(1/12)-1)*100</f>
        <v>0.68214933659622723</v>
      </c>
      <c r="BX356" s="341">
        <f t="array" ref="BX356">((1+7.7/100)^(1/12)-1)*100</f>
        <v>0.62007621358530773</v>
      </c>
      <c r="BY356" s="341">
        <f t="shared" si="77"/>
        <v>0.59404218556151545</v>
      </c>
      <c r="BZ356" s="341">
        <f t="shared" si="65"/>
        <v>0.68214933659622723</v>
      </c>
      <c r="CA356" s="341"/>
      <c r="CB356" s="243">
        <f t="shared" si="59"/>
        <v>0.64340301100034303</v>
      </c>
      <c r="CC356" s="243"/>
      <c r="CD356" s="243">
        <f t="shared" si="62"/>
        <v>0.64340301100034303</v>
      </c>
      <c r="CG356" s="734">
        <f t="shared" si="72"/>
        <v>3.403</v>
      </c>
      <c r="CJ356" s="1264">
        <f t="shared" si="60"/>
        <v>0.79741404289037643</v>
      </c>
    </row>
    <row r="357" spans="1:88" x14ac:dyDescent="0.2">
      <c r="A357" s="19">
        <v>38383</v>
      </c>
      <c r="B357" s="262">
        <v>-2.4369999999999998</v>
      </c>
      <c r="C357" s="262">
        <v>-2.4453</v>
      </c>
      <c r="D357" s="262">
        <v>-2.4296000000000002</v>
      </c>
      <c r="E357" s="262">
        <v>-2.5524</v>
      </c>
      <c r="F357" s="262">
        <v>-2.3336999999999999</v>
      </c>
      <c r="G357" s="262">
        <v>-2.7688000000000001</v>
      </c>
      <c r="H357" s="262">
        <v>-4.1722999999999999</v>
      </c>
      <c r="I357" s="262">
        <v>-4.5049999999999999</v>
      </c>
      <c r="J357" s="262">
        <v>-3.8683000000000001</v>
      </c>
      <c r="K357" s="128">
        <v>-2.2639999999999998</v>
      </c>
      <c r="L357" s="128">
        <v>-1.4829000000000001</v>
      </c>
      <c r="M357" s="128">
        <v>-3.0306000000000002</v>
      </c>
      <c r="N357" s="262">
        <f t="shared" si="66"/>
        <v>-4.1722999999999999</v>
      </c>
      <c r="O357" s="262">
        <f t="shared" si="67"/>
        <v>-4.5049999999999999</v>
      </c>
      <c r="P357" s="262">
        <f t="shared" si="68"/>
        <v>-3.8683000000000001</v>
      </c>
      <c r="Q357" s="262">
        <v>-3.5255999999999998</v>
      </c>
      <c r="R357" s="128">
        <v>-3.3595000000000002</v>
      </c>
      <c r="S357" s="128">
        <v>-2.6635</v>
      </c>
      <c r="T357" s="128">
        <f>S357</f>
        <v>-2.6635</v>
      </c>
      <c r="U357" s="262">
        <v>-1.7223999999999999</v>
      </c>
      <c r="V357" s="262">
        <v>1.9782</v>
      </c>
      <c r="W357" s="262">
        <v>0.62790000000000001</v>
      </c>
      <c r="X357" s="128">
        <v>0.34329999999999999</v>
      </c>
      <c r="Y357" s="128"/>
      <c r="Z357" s="128">
        <v>-0.83960000000000001</v>
      </c>
      <c r="AA357" s="262">
        <v>-1.82728</v>
      </c>
      <c r="AB357" s="262">
        <v>-2.2989999999999999</v>
      </c>
      <c r="AC357" s="262">
        <v>-1.3666</v>
      </c>
      <c r="AD357" s="277">
        <v>-1.4806999999999999</v>
      </c>
      <c r="AE357" s="277">
        <f t="shared" si="78"/>
        <v>-1.4806999999999999</v>
      </c>
      <c r="AF357" s="262">
        <f t="shared" si="73"/>
        <v>-1.82728</v>
      </c>
      <c r="AG357" s="128">
        <v>1.5293000000000001</v>
      </c>
      <c r="AH357" s="352">
        <v>-8.2799999999999994</v>
      </c>
      <c r="AI357"/>
      <c r="AJ357"/>
      <c r="AK357"/>
      <c r="AL357"/>
      <c r="AM357" s="242"/>
      <c r="AN357" s="262">
        <v>-1.8272999999999999</v>
      </c>
      <c r="AO357" s="262">
        <v>-1.7223999999999999</v>
      </c>
      <c r="AP357" s="262"/>
      <c r="AQ357" s="262"/>
      <c r="AR357" s="262"/>
      <c r="AS357" s="262"/>
      <c r="AT357" s="262"/>
      <c r="AU357" s="262"/>
      <c r="AV357" s="245">
        <v>0.56000000000000005</v>
      </c>
      <c r="AW357" s="245"/>
      <c r="AX357" s="245"/>
      <c r="AY357" s="245">
        <v>0.28000000000000003</v>
      </c>
      <c r="AZ357" s="245">
        <v>0.16</v>
      </c>
      <c r="BA357" s="245">
        <v>0</v>
      </c>
      <c r="BB357" s="245"/>
      <c r="BC357" s="245">
        <f t="shared" si="70"/>
        <v>1</v>
      </c>
      <c r="BD357" s="240">
        <f t="shared" si="71"/>
        <v>-1.4812727999999999</v>
      </c>
      <c r="BE357" s="243">
        <f t="shared" si="74"/>
        <v>-1.4812727999999999</v>
      </c>
      <c r="BF357" s="329">
        <v>0.40400000000000003</v>
      </c>
      <c r="BG357" s="329">
        <v>0.05</v>
      </c>
      <c r="BH357" s="329">
        <v>0.05</v>
      </c>
      <c r="BI357" s="329"/>
      <c r="BJ357" s="329">
        <v>0.14399999999999999</v>
      </c>
      <c r="BK357" s="329"/>
      <c r="BL357" s="329"/>
      <c r="BM357" s="329">
        <v>0.252</v>
      </c>
      <c r="BN357" s="329"/>
      <c r="BO357" s="329">
        <v>0.1</v>
      </c>
      <c r="BP357" s="235">
        <f t="shared" si="69"/>
        <v>1</v>
      </c>
      <c r="BQ357" s="243">
        <f t="shared" si="76"/>
        <v>-1.5737505199999997</v>
      </c>
      <c r="BS357" s="341">
        <f t="array" ref="BS357">((1+8.5/100)^(1/12)-1)*100</f>
        <v>0.68214933659622723</v>
      </c>
      <c r="BT357" s="341"/>
      <c r="BU357" s="341"/>
      <c r="BV357" s="341">
        <f t="array" ref="BV357">((1+4.5/100)^(1/12)-1)*100</f>
        <v>0.36748094004368514</v>
      </c>
      <c r="BW357" s="341">
        <f t="array" ref="BW357">((1+8.5/100)^(1/12)-1)*100</f>
        <v>0.68214933659622723</v>
      </c>
      <c r="BX357" s="341">
        <f t="array" ref="BX357">((1+7.7/100)^(1/12)-1)*100</f>
        <v>0.62007621358530773</v>
      </c>
      <c r="BY357" s="341">
        <f t="shared" si="77"/>
        <v>0.59404218556151545</v>
      </c>
      <c r="BZ357" s="341">
        <f t="shared" si="65"/>
        <v>0.68214933659622723</v>
      </c>
      <c r="CA357" s="341"/>
      <c r="CB357" s="243">
        <f t="shared" ref="CB357:CB431" si="79">((1+0.08)^(1/12)-1)*100</f>
        <v>0.64340301100034303</v>
      </c>
      <c r="CC357" s="243"/>
      <c r="CD357" s="243">
        <f t="shared" si="62"/>
        <v>0.64340301100034303</v>
      </c>
      <c r="CG357" s="734">
        <f t="shared" si="72"/>
        <v>-2.4369999999999998</v>
      </c>
      <c r="CJ357" s="1264">
        <f t="shared" si="60"/>
        <v>0.79741404289037643</v>
      </c>
    </row>
    <row r="358" spans="1:88" x14ac:dyDescent="0.2">
      <c r="A358" s="19">
        <v>38411</v>
      </c>
      <c r="B358" s="262">
        <v>2.1040000000000001</v>
      </c>
      <c r="C358" s="262">
        <v>2.4</v>
      </c>
      <c r="D358" s="262">
        <v>1.8104</v>
      </c>
      <c r="E358" s="262">
        <v>3.3546</v>
      </c>
      <c r="F358" s="262">
        <v>3.5853999999999999</v>
      </c>
      <c r="G358" s="262">
        <v>3.1244999999999998</v>
      </c>
      <c r="H358" s="262">
        <v>1.6938</v>
      </c>
      <c r="I358" s="262">
        <v>1.3725000000000001</v>
      </c>
      <c r="J358" s="262">
        <v>1.9856</v>
      </c>
      <c r="K358" s="128">
        <v>2.8666</v>
      </c>
      <c r="L358" s="128">
        <v>2.6019999999999999</v>
      </c>
      <c r="M358" s="128">
        <v>3.1328</v>
      </c>
      <c r="N358" s="262">
        <f t="shared" si="66"/>
        <v>1.6938</v>
      </c>
      <c r="O358" s="262">
        <f t="shared" si="67"/>
        <v>1.3725000000000001</v>
      </c>
      <c r="P358" s="262">
        <f t="shared" si="68"/>
        <v>1.9856</v>
      </c>
      <c r="Q358" s="262">
        <v>1.9879</v>
      </c>
      <c r="R358" s="128">
        <v>2.2633999999999999</v>
      </c>
      <c r="S358" s="128">
        <v>2.2012999999999998</v>
      </c>
      <c r="T358" s="128">
        <f t="shared" ref="T358:T457" si="80">S358</f>
        <v>2.2012999999999998</v>
      </c>
      <c r="U358" s="262">
        <v>4.9324000000000003</v>
      </c>
      <c r="V358" s="262">
        <v>4.0274999999999999</v>
      </c>
      <c r="W358" s="262">
        <v>-0.59030000000000005</v>
      </c>
      <c r="X358" s="128">
        <v>-0.51870000000000005</v>
      </c>
      <c r="Y358" s="128"/>
      <c r="Z358" s="128">
        <v>2.0320999999999998</v>
      </c>
      <c r="AA358" s="262">
        <v>4.3437099999999997</v>
      </c>
      <c r="AB358" s="262">
        <v>4.0251000000000001</v>
      </c>
      <c r="AC358" s="262">
        <v>4.6506999999999996</v>
      </c>
      <c r="AD358" s="277">
        <v>1.708</v>
      </c>
      <c r="AE358" s="277">
        <f t="shared" si="78"/>
        <v>1.708</v>
      </c>
      <c r="AF358" s="262">
        <f t="shared" si="73"/>
        <v>4.3437099999999997</v>
      </c>
      <c r="AG358" s="128">
        <v>1.5293000000000001</v>
      </c>
      <c r="AH358" s="352">
        <v>3.05</v>
      </c>
      <c r="AI358"/>
      <c r="AJ358"/>
      <c r="AK358"/>
      <c r="AL358"/>
      <c r="AM358" s="242"/>
      <c r="AN358" s="262">
        <v>4.3437000000000001</v>
      </c>
      <c r="AO358" s="262">
        <v>4.9324000000000003</v>
      </c>
      <c r="AP358" s="262"/>
      <c r="AQ358" s="262"/>
      <c r="AR358" s="262"/>
      <c r="AS358" s="262"/>
      <c r="AT358" s="262"/>
      <c r="AU358" s="262"/>
      <c r="AV358" s="245">
        <v>0.56000000000000005</v>
      </c>
      <c r="AW358" s="245"/>
      <c r="AX358" s="245"/>
      <c r="AY358" s="245">
        <v>0.28000000000000003</v>
      </c>
      <c r="AZ358" s="245">
        <v>0.16</v>
      </c>
      <c r="BA358" s="245">
        <v>0</v>
      </c>
      <c r="BB358" s="245"/>
      <c r="BC358" s="245">
        <f t="shared" si="70"/>
        <v>1</v>
      </c>
      <c r="BD358" s="240">
        <f t="shared" si="71"/>
        <v>1.7079496000000001</v>
      </c>
      <c r="BE358" s="243">
        <f t="shared" si="74"/>
        <v>1.7079496000000001</v>
      </c>
      <c r="BF358" s="329">
        <v>0.40400000000000003</v>
      </c>
      <c r="BG358" s="329">
        <v>0.05</v>
      </c>
      <c r="BH358" s="329">
        <v>0.05</v>
      </c>
      <c r="BI358" s="329"/>
      <c r="BJ358" s="329">
        <v>0.14399999999999999</v>
      </c>
      <c r="BK358" s="329"/>
      <c r="BL358" s="329"/>
      <c r="BM358" s="329">
        <v>0.252</v>
      </c>
      <c r="BN358" s="329"/>
      <c r="BO358" s="329">
        <v>0.1</v>
      </c>
      <c r="BP358" s="235">
        <f t="shared" si="69"/>
        <v>1</v>
      </c>
      <c r="BQ358" s="243">
        <f t="shared" si="76"/>
        <v>1.7499746399999998</v>
      </c>
      <c r="BS358" s="341">
        <f t="array" ref="BS358">((1+8.5/100)^(1/12)-1)*100</f>
        <v>0.68214933659622723</v>
      </c>
      <c r="BT358" s="341"/>
      <c r="BU358" s="341"/>
      <c r="BV358" s="341">
        <f t="array" ref="BV358">((1+4.5/100)^(1/12)-1)*100</f>
        <v>0.36748094004368514</v>
      </c>
      <c r="BW358" s="341">
        <f t="array" ref="BW358">((1+8.5/100)^(1/12)-1)*100</f>
        <v>0.68214933659622723</v>
      </c>
      <c r="BX358" s="341">
        <f t="array" ref="BX358">((1+7.7/100)^(1/12)-1)*100</f>
        <v>0.62007621358530773</v>
      </c>
      <c r="BY358" s="341">
        <f t="shared" si="77"/>
        <v>0.59404218556151545</v>
      </c>
      <c r="BZ358" s="341">
        <f t="shared" si="65"/>
        <v>0.68214933659622723</v>
      </c>
      <c r="CA358" s="341"/>
      <c r="CB358" s="243">
        <f t="shared" si="79"/>
        <v>0.64340301100034303</v>
      </c>
      <c r="CC358" s="243"/>
      <c r="CD358" s="243">
        <f t="shared" si="62"/>
        <v>0.64340301100034303</v>
      </c>
      <c r="CG358" s="734">
        <f t="shared" si="72"/>
        <v>2.1040000000000001</v>
      </c>
      <c r="CJ358" s="1264">
        <f t="shared" si="60"/>
        <v>0.79741404289037643</v>
      </c>
    </row>
    <row r="359" spans="1:88" x14ac:dyDescent="0.2">
      <c r="A359" s="19">
        <v>38442</v>
      </c>
      <c r="B359" s="262">
        <v>-1.7709999999999999</v>
      </c>
      <c r="C359" s="262">
        <v>-1.7596000000000001</v>
      </c>
      <c r="D359" s="262">
        <v>-1.778</v>
      </c>
      <c r="E359" s="262">
        <v>-1.107</v>
      </c>
      <c r="F359" s="262">
        <v>-1.2430000000000001</v>
      </c>
      <c r="G359" s="262">
        <v>-0.97199999999999998</v>
      </c>
      <c r="H359" s="262">
        <v>-2.8626999999999998</v>
      </c>
      <c r="I359" s="262">
        <v>-3.7509000000000001</v>
      </c>
      <c r="J359" s="262">
        <v>-2.0587</v>
      </c>
      <c r="K359" s="128">
        <v>-2.5889000000000002</v>
      </c>
      <c r="L359" s="128">
        <v>-2.6071</v>
      </c>
      <c r="M359" s="128">
        <v>-2.2770000000000001</v>
      </c>
      <c r="N359" s="262">
        <f t="shared" si="66"/>
        <v>-2.8626999999999998</v>
      </c>
      <c r="O359" s="262">
        <f t="shared" si="67"/>
        <v>-3.7509000000000001</v>
      </c>
      <c r="P359" s="262">
        <f t="shared" si="68"/>
        <v>-2.0587</v>
      </c>
      <c r="Q359" s="262">
        <v>-2.7639999999999998</v>
      </c>
      <c r="R359" s="128">
        <v>-1.9916</v>
      </c>
      <c r="S359" s="128">
        <v>-1.6914</v>
      </c>
      <c r="T359" s="128">
        <f t="shared" si="80"/>
        <v>-1.6914</v>
      </c>
      <c r="U359" s="262">
        <v>-2.7126000000000001</v>
      </c>
      <c r="V359" s="262">
        <v>-1.5787</v>
      </c>
      <c r="W359" s="262">
        <v>-0.51359999999999995</v>
      </c>
      <c r="X359" s="128">
        <v>-0.38279999999999997</v>
      </c>
      <c r="Y359" s="128"/>
      <c r="Z359" s="128">
        <v>-1.1393</v>
      </c>
      <c r="AA359" s="262">
        <v>-2.4735</v>
      </c>
      <c r="AB359" s="262">
        <v>-2.4079000000000002</v>
      </c>
      <c r="AC359" s="262">
        <v>-2.5365000000000002</v>
      </c>
      <c r="AD359" s="277">
        <v>-1.5303</v>
      </c>
      <c r="AE359" s="277">
        <f t="shared" si="78"/>
        <v>-1.5303</v>
      </c>
      <c r="AF359" s="262">
        <f t="shared" si="73"/>
        <v>-2.4735</v>
      </c>
      <c r="AG359" s="128">
        <v>1.5293000000000001</v>
      </c>
      <c r="AH359" s="352">
        <v>-1.18</v>
      </c>
      <c r="AI359"/>
      <c r="AJ359"/>
      <c r="AK359"/>
      <c r="AL359"/>
      <c r="AM359" s="242"/>
      <c r="AN359" s="262">
        <v>-2.4735</v>
      </c>
      <c r="AO359" s="262">
        <v>-2.7126000000000001</v>
      </c>
      <c r="AP359" s="262"/>
      <c r="AQ359" s="262"/>
      <c r="AR359" s="262"/>
      <c r="AS359" s="262"/>
      <c r="AT359" s="262"/>
      <c r="AU359" s="262"/>
      <c r="AV359" s="245">
        <v>0.56000000000000005</v>
      </c>
      <c r="AW359" s="245"/>
      <c r="AX359" s="245"/>
      <c r="AY359" s="245">
        <v>0.28000000000000003</v>
      </c>
      <c r="AZ359" s="245">
        <v>0.16</v>
      </c>
      <c r="BA359" s="245">
        <v>0</v>
      </c>
      <c r="BB359" s="245"/>
      <c r="BC359" s="245">
        <f t="shared" si="70"/>
        <v>1</v>
      </c>
      <c r="BD359" s="240">
        <f t="shared" si="71"/>
        <v>-1.5313280000000002</v>
      </c>
      <c r="BE359" s="243">
        <f t="shared" si="74"/>
        <v>-1.5313280000000002</v>
      </c>
      <c r="BF359" s="329">
        <v>0.40400000000000003</v>
      </c>
      <c r="BG359" s="329">
        <v>0.05</v>
      </c>
      <c r="BH359" s="329">
        <v>0.05</v>
      </c>
      <c r="BI359" s="329"/>
      <c r="BJ359" s="329">
        <v>0.14399999999999999</v>
      </c>
      <c r="BK359" s="329"/>
      <c r="BL359" s="329"/>
      <c r="BM359" s="329">
        <v>0.252</v>
      </c>
      <c r="BN359" s="329"/>
      <c r="BO359" s="329">
        <v>0.1</v>
      </c>
      <c r="BP359" s="235">
        <f t="shared" si="69"/>
        <v>1</v>
      </c>
      <c r="BQ359" s="243">
        <f t="shared" si="76"/>
        <v>-1.5526102000000002</v>
      </c>
      <c r="BS359" s="341">
        <f t="array" ref="BS359">((1+8.5/100)^(1/12)-1)*100</f>
        <v>0.68214933659622723</v>
      </c>
      <c r="BT359" s="341"/>
      <c r="BU359" s="341"/>
      <c r="BV359" s="341">
        <f t="array" ref="BV359">((1+4.5/100)^(1/12)-1)*100</f>
        <v>0.36748094004368514</v>
      </c>
      <c r="BW359" s="341">
        <f t="array" ref="BW359">((1+8.5/100)^(1/12)-1)*100</f>
        <v>0.68214933659622723</v>
      </c>
      <c r="BX359" s="341">
        <f t="array" ref="BX359">((1+7.7/100)^(1/12)-1)*100</f>
        <v>0.62007621358530773</v>
      </c>
      <c r="BY359" s="341">
        <f t="shared" si="77"/>
        <v>0.59404218556151545</v>
      </c>
      <c r="BZ359" s="341">
        <f t="shared" si="65"/>
        <v>0.68214933659622723</v>
      </c>
      <c r="CA359" s="341"/>
      <c r="CB359" s="243">
        <f t="shared" si="79"/>
        <v>0.64340301100034303</v>
      </c>
      <c r="CC359" s="243"/>
      <c r="CD359" s="243">
        <f t="shared" si="62"/>
        <v>0.64340301100034303</v>
      </c>
      <c r="CG359" s="734">
        <f t="shared" si="72"/>
        <v>-1.7709999999999999</v>
      </c>
      <c r="CJ359" s="1264">
        <f t="shared" si="60"/>
        <v>0.79741404289037643</v>
      </c>
    </row>
    <row r="360" spans="1:88" x14ac:dyDescent="0.2">
      <c r="A360" s="19">
        <v>38472</v>
      </c>
      <c r="B360" s="262">
        <v>-1.897</v>
      </c>
      <c r="C360" s="262">
        <v>-1.7481</v>
      </c>
      <c r="D360" s="262">
        <v>-2.0424000000000002</v>
      </c>
      <c r="E360" s="262">
        <v>-3.8864999999999998</v>
      </c>
      <c r="F360" s="262">
        <v>-4.0286</v>
      </c>
      <c r="G360" s="262">
        <v>-3.7526000000000002</v>
      </c>
      <c r="H360" s="262">
        <v>-5.7268999999999997</v>
      </c>
      <c r="I360" s="262">
        <v>-6.3643999999999998</v>
      </c>
      <c r="J360" s="262">
        <v>-5.1584000000000003</v>
      </c>
      <c r="K360" s="128">
        <v>-5.5853000000000002</v>
      </c>
      <c r="L360" s="128">
        <v>-5.0890000000000004</v>
      </c>
      <c r="M360" s="128">
        <v>-6.0850999999999997</v>
      </c>
      <c r="N360" s="262">
        <f t="shared" si="66"/>
        <v>-5.7268999999999997</v>
      </c>
      <c r="O360" s="262">
        <f t="shared" si="67"/>
        <v>-6.3643999999999998</v>
      </c>
      <c r="P360" s="262">
        <f t="shared" si="68"/>
        <v>-5.1584000000000003</v>
      </c>
      <c r="Q360" s="262">
        <v>-5.4039999999999999</v>
      </c>
      <c r="R360" s="128">
        <v>-4.4977999999999998</v>
      </c>
      <c r="S360" s="128">
        <v>-2.1726000000000001</v>
      </c>
      <c r="T360" s="128">
        <f t="shared" si="80"/>
        <v>-2.1726000000000001</v>
      </c>
      <c r="U360" s="262">
        <v>-2.4662999999999999</v>
      </c>
      <c r="V360" s="262">
        <v>-2.2988</v>
      </c>
      <c r="W360" s="262">
        <v>1.3533999999999999</v>
      </c>
      <c r="X360" s="128">
        <v>1.1373</v>
      </c>
      <c r="Y360" s="128"/>
      <c r="Z360" s="128">
        <v>-1.548</v>
      </c>
      <c r="AA360" s="262">
        <v>-2.23834</v>
      </c>
      <c r="AB360" s="262">
        <v>-1.8501000000000001</v>
      </c>
      <c r="AC360" s="262">
        <v>-2.6124999999999998</v>
      </c>
      <c r="AD360" s="277">
        <v>-1.0424</v>
      </c>
      <c r="AE360" s="277">
        <f t="shared" si="78"/>
        <v>-1.0424</v>
      </c>
      <c r="AF360" s="262">
        <f t="shared" si="73"/>
        <v>-2.23834</v>
      </c>
      <c r="AG360" s="128">
        <v>1.1571</v>
      </c>
      <c r="AH360" s="352">
        <v>5.0199999999999996</v>
      </c>
      <c r="AI360"/>
      <c r="AJ360"/>
      <c r="AK360"/>
      <c r="AL360"/>
      <c r="AM360" s="242"/>
      <c r="AN360" s="262">
        <v>-2.2383000000000002</v>
      </c>
      <c r="AO360" s="262">
        <v>-2.4662999999999999</v>
      </c>
      <c r="AP360" s="262"/>
      <c r="AQ360" s="262"/>
      <c r="AR360" s="262"/>
      <c r="AS360" s="262"/>
      <c r="AT360" s="262"/>
      <c r="AU360" s="262"/>
      <c r="AV360" s="245">
        <v>0.56000000000000005</v>
      </c>
      <c r="AW360" s="245"/>
      <c r="AX360" s="245"/>
      <c r="AY360" s="245">
        <v>0.28000000000000003</v>
      </c>
      <c r="AZ360" s="245">
        <v>0.16</v>
      </c>
      <c r="BA360" s="245">
        <v>0</v>
      </c>
      <c r="BB360" s="245"/>
      <c r="BC360" s="245">
        <f t="shared" si="70"/>
        <v>1</v>
      </c>
      <c r="BD360" s="240">
        <f t="shared" si="71"/>
        <v>-1.0415024000000002</v>
      </c>
      <c r="BE360" s="243">
        <f t="shared" si="74"/>
        <v>-1.0415024000000002</v>
      </c>
      <c r="BF360" s="329">
        <v>0.40400000000000003</v>
      </c>
      <c r="BG360" s="329">
        <v>0.05</v>
      </c>
      <c r="BH360" s="329">
        <v>0.05</v>
      </c>
      <c r="BI360" s="329"/>
      <c r="BJ360" s="329">
        <v>0.14399999999999999</v>
      </c>
      <c r="BK360" s="329"/>
      <c r="BL360" s="329"/>
      <c r="BM360" s="329">
        <v>0.252</v>
      </c>
      <c r="BN360" s="329"/>
      <c r="BO360" s="329">
        <v>0.1</v>
      </c>
      <c r="BP360" s="235">
        <f t="shared" si="69"/>
        <v>1</v>
      </c>
      <c r="BQ360" s="243">
        <f t="shared" si="76"/>
        <v>-1.3325621599999997</v>
      </c>
      <c r="BS360" s="341">
        <f t="array" ref="BS360">((1+8.5/100)^(1/12)-1)*100</f>
        <v>0.68214933659622723</v>
      </c>
      <c r="BT360" s="341"/>
      <c r="BU360" s="341"/>
      <c r="BV360" s="341">
        <f t="array" ref="BV360">((1+4.5/100)^(1/12)-1)*100</f>
        <v>0.36748094004368514</v>
      </c>
      <c r="BW360" s="341">
        <f t="array" ref="BW360">((1+8.5/100)^(1/12)-1)*100</f>
        <v>0.68214933659622723</v>
      </c>
      <c r="BX360" s="341">
        <f t="array" ref="BX360">((1+7.7/100)^(1/12)-1)*100</f>
        <v>0.62007621358530773</v>
      </c>
      <c r="BY360" s="341">
        <f t="shared" si="77"/>
        <v>0.59404218556151545</v>
      </c>
      <c r="BZ360" s="341">
        <f t="shared" si="65"/>
        <v>0.68214933659622723</v>
      </c>
      <c r="CA360" s="341"/>
      <c r="CB360" s="243">
        <f t="shared" si="79"/>
        <v>0.64340301100034303</v>
      </c>
      <c r="CC360" s="243"/>
      <c r="CD360" s="243">
        <f t="shared" si="62"/>
        <v>0.64340301100034303</v>
      </c>
      <c r="CG360" s="734">
        <f t="shared" si="72"/>
        <v>-1.897</v>
      </c>
      <c r="CJ360" s="1264">
        <f t="shared" si="60"/>
        <v>0.79741404289037643</v>
      </c>
    </row>
    <row r="361" spans="1:88" x14ac:dyDescent="0.2">
      <c r="A361" s="19">
        <v>38503</v>
      </c>
      <c r="B361" s="262">
        <v>3.1819999999999999</v>
      </c>
      <c r="C361" s="262">
        <v>3.1985000000000001</v>
      </c>
      <c r="D361" s="262">
        <v>3.1654</v>
      </c>
      <c r="E361" s="262">
        <v>6.0223000000000004</v>
      </c>
      <c r="F361" s="262">
        <v>6.0938999999999997</v>
      </c>
      <c r="G361" s="262">
        <v>5.9512</v>
      </c>
      <c r="H361" s="262">
        <v>6.5450999999999997</v>
      </c>
      <c r="I361" s="262">
        <v>7.0507</v>
      </c>
      <c r="J361" s="262">
        <v>6.0991999999999997</v>
      </c>
      <c r="K361" s="128">
        <v>6.6231</v>
      </c>
      <c r="L361" s="128">
        <v>6.5979000000000001</v>
      </c>
      <c r="M361" s="128">
        <v>6.6454000000000004</v>
      </c>
      <c r="N361" s="262">
        <f t="shared" si="66"/>
        <v>6.5450999999999997</v>
      </c>
      <c r="O361" s="262">
        <f t="shared" si="67"/>
        <v>7.0507</v>
      </c>
      <c r="P361" s="262">
        <f t="shared" si="68"/>
        <v>6.0991999999999997</v>
      </c>
      <c r="Q361" s="262">
        <v>6.6609999999999996</v>
      </c>
      <c r="R361" s="128">
        <v>6.0510000000000002</v>
      </c>
      <c r="S361" s="128">
        <v>3.7890999999999999</v>
      </c>
      <c r="T361" s="128">
        <f t="shared" si="80"/>
        <v>3.7890999999999999</v>
      </c>
      <c r="U361" s="262">
        <v>0.62670000000000003</v>
      </c>
      <c r="V361" s="262">
        <v>5.0700000000000002E-2</v>
      </c>
      <c r="W361" s="262">
        <v>1.0819000000000001</v>
      </c>
      <c r="X361" s="128">
        <v>0.86060000000000003</v>
      </c>
      <c r="Y361" s="128"/>
      <c r="Z361" s="128">
        <v>0.50580000000000003</v>
      </c>
      <c r="AA361" s="262">
        <v>0.15298</v>
      </c>
      <c r="AB361" s="262">
        <v>0.3745</v>
      </c>
      <c r="AC361" s="262">
        <v>-6.2700000000000006E-2</v>
      </c>
      <c r="AD361" s="277">
        <v>2.1088</v>
      </c>
      <c r="AE361" s="277">
        <f t="shared" si="78"/>
        <v>2.1088</v>
      </c>
      <c r="AF361" s="262">
        <f t="shared" si="73"/>
        <v>0.15298</v>
      </c>
      <c r="AG361" s="128">
        <v>1.1571</v>
      </c>
      <c r="AH361" s="352">
        <v>3.3</v>
      </c>
      <c r="AI361"/>
      <c r="AJ361"/>
      <c r="AK361"/>
      <c r="AL361"/>
      <c r="AM361" s="242"/>
      <c r="AN361" s="262">
        <v>0.153</v>
      </c>
      <c r="AO361" s="262">
        <v>0.62670000000000003</v>
      </c>
      <c r="AP361" s="262"/>
      <c r="AQ361" s="262"/>
      <c r="AR361" s="262"/>
      <c r="AS361" s="262"/>
      <c r="AT361" s="262"/>
      <c r="AU361" s="262"/>
      <c r="AV361" s="245">
        <v>0.56000000000000005</v>
      </c>
      <c r="AW361" s="245"/>
      <c r="AX361" s="245"/>
      <c r="AY361" s="245">
        <v>0.28000000000000003</v>
      </c>
      <c r="AZ361" s="245">
        <v>0.16</v>
      </c>
      <c r="BA361" s="245">
        <v>0</v>
      </c>
      <c r="BB361" s="245"/>
      <c r="BC361" s="245">
        <f t="shared" si="70"/>
        <v>1</v>
      </c>
      <c r="BD361" s="240">
        <f t="shared" si="71"/>
        <v>2.1093288000000001</v>
      </c>
      <c r="BE361" s="243">
        <f t="shared" si="74"/>
        <v>2.1093288000000001</v>
      </c>
      <c r="BF361" s="329">
        <v>0.40400000000000003</v>
      </c>
      <c r="BG361" s="329">
        <v>0.05</v>
      </c>
      <c r="BH361" s="329">
        <v>0.05</v>
      </c>
      <c r="BI361" s="329"/>
      <c r="BJ361" s="329">
        <v>0.14399999999999999</v>
      </c>
      <c r="BK361" s="329"/>
      <c r="BL361" s="329"/>
      <c r="BM361" s="329">
        <v>0.252</v>
      </c>
      <c r="BN361" s="329"/>
      <c r="BO361" s="329">
        <v>0.1</v>
      </c>
      <c r="BP361" s="235">
        <f t="shared" si="69"/>
        <v>1</v>
      </c>
      <c r="BQ361" s="243">
        <f t="shared" si="76"/>
        <v>2.4194459200000002</v>
      </c>
      <c r="BS361" s="341">
        <f t="array" ref="BS361">((1+8.5/100)^(1/12)-1)*100</f>
        <v>0.68214933659622723</v>
      </c>
      <c r="BT361" s="341"/>
      <c r="BU361" s="341"/>
      <c r="BV361" s="341">
        <f t="array" ref="BV361">((1+4.5/100)^(1/12)-1)*100</f>
        <v>0.36748094004368514</v>
      </c>
      <c r="BW361" s="341">
        <f t="array" ref="BW361">((1+8.5/100)^(1/12)-1)*100</f>
        <v>0.68214933659622723</v>
      </c>
      <c r="BX361" s="341">
        <f t="array" ref="BX361">((1+7.7/100)^(1/12)-1)*100</f>
        <v>0.62007621358530773</v>
      </c>
      <c r="BY361" s="341">
        <f t="shared" si="77"/>
        <v>0.59404218556151545</v>
      </c>
      <c r="BZ361" s="341">
        <f t="shared" si="65"/>
        <v>0.68214933659622723</v>
      </c>
      <c r="CA361" s="341"/>
      <c r="CB361" s="243">
        <f t="shared" si="79"/>
        <v>0.64340301100034303</v>
      </c>
      <c r="CC361" s="243"/>
      <c r="CD361" s="243">
        <f t="shared" si="62"/>
        <v>0.64340301100034303</v>
      </c>
      <c r="CG361" s="734">
        <f t="shared" si="72"/>
        <v>3.1819999999999999</v>
      </c>
      <c r="CJ361" s="1264">
        <f t="shared" ref="CJ361:CJ396" si="81">((1+0.1)^(1/12)-1)*100</f>
        <v>0.79741404289037643</v>
      </c>
    </row>
    <row r="362" spans="1:88" x14ac:dyDescent="0.2">
      <c r="A362" s="19">
        <v>38533</v>
      </c>
      <c r="B362" s="262">
        <v>0.14199999999999999</v>
      </c>
      <c r="C362" s="262">
        <v>-1.2413000000000001</v>
      </c>
      <c r="D362" s="262">
        <v>1.5094000000000001</v>
      </c>
      <c r="E362" s="262">
        <v>2.3184</v>
      </c>
      <c r="F362" s="262">
        <v>1.8078000000000001</v>
      </c>
      <c r="G362" s="262">
        <v>2.8315999999999999</v>
      </c>
      <c r="H362" s="262">
        <v>3.8571</v>
      </c>
      <c r="I362" s="262">
        <v>3.2332999999999998</v>
      </c>
      <c r="J362" s="262">
        <v>4.4219999999999997</v>
      </c>
      <c r="K362" s="128">
        <v>3.2513999999999998</v>
      </c>
      <c r="L362" s="128">
        <v>3.0072000000000001</v>
      </c>
      <c r="M362" s="128">
        <v>3.4992999999999999</v>
      </c>
      <c r="N362" s="262">
        <f t="shared" si="66"/>
        <v>3.8571</v>
      </c>
      <c r="O362" s="262">
        <f t="shared" si="67"/>
        <v>3.2332999999999998</v>
      </c>
      <c r="P362" s="262">
        <f t="shared" si="68"/>
        <v>4.4219999999999997</v>
      </c>
      <c r="Q362" s="262">
        <v>2.637</v>
      </c>
      <c r="R362" s="128">
        <v>3.1998000000000002</v>
      </c>
      <c r="S362" s="128">
        <v>0.6986</v>
      </c>
      <c r="T362" s="128">
        <f t="shared" si="80"/>
        <v>0.6986</v>
      </c>
      <c r="U362" s="262">
        <v>1.8818999999999999</v>
      </c>
      <c r="V362" s="262">
        <v>2.7172000000000001</v>
      </c>
      <c r="W362" s="262">
        <v>0.54530000000000001</v>
      </c>
      <c r="X362" s="128">
        <v>0.40229999999999999</v>
      </c>
      <c r="Y362" s="128"/>
      <c r="Z362" s="128">
        <v>1.9095</v>
      </c>
      <c r="AA362" s="262">
        <v>1.3669199999999999</v>
      </c>
      <c r="AB362" s="262">
        <v>0.83230000000000004</v>
      </c>
      <c r="AC362" s="262">
        <v>1.9034</v>
      </c>
      <c r="AD362" s="277">
        <v>0.45090000000000002</v>
      </c>
      <c r="AE362" s="277">
        <f t="shared" si="78"/>
        <v>0.45090000000000002</v>
      </c>
      <c r="AF362" s="262">
        <f t="shared" si="73"/>
        <v>1.3669199999999999</v>
      </c>
      <c r="AG362" s="128">
        <v>1.1571</v>
      </c>
      <c r="AH362" s="352">
        <v>5.24</v>
      </c>
      <c r="AI362"/>
      <c r="AJ362"/>
      <c r="AK362"/>
      <c r="AL362"/>
      <c r="AM362" s="242"/>
      <c r="AN362" s="262">
        <v>1.3669</v>
      </c>
      <c r="AO362" s="262">
        <v>1.8818999999999999</v>
      </c>
      <c r="AP362" s="262"/>
      <c r="AQ362" s="262"/>
      <c r="AR362" s="262"/>
      <c r="AS362" s="262"/>
      <c r="AT362" s="262"/>
      <c r="AU362" s="262"/>
      <c r="AV362" s="245">
        <v>0.56000000000000005</v>
      </c>
      <c r="AW362" s="245"/>
      <c r="AX362" s="245"/>
      <c r="AY362" s="245">
        <v>0.28000000000000003</v>
      </c>
      <c r="AZ362" s="245">
        <v>0.16</v>
      </c>
      <c r="BA362" s="245">
        <v>0</v>
      </c>
      <c r="BB362" s="245"/>
      <c r="BC362" s="245">
        <f t="shared" si="70"/>
        <v>1</v>
      </c>
      <c r="BD362" s="240">
        <f t="shared" si="71"/>
        <v>0.45091120000000001</v>
      </c>
      <c r="BE362" s="243">
        <f t="shared" si="74"/>
        <v>0.45091120000000001</v>
      </c>
      <c r="BF362" s="329">
        <v>0.40400000000000003</v>
      </c>
      <c r="BG362" s="329">
        <v>0.05</v>
      </c>
      <c r="BH362" s="329">
        <v>0.05</v>
      </c>
      <c r="BI362" s="329"/>
      <c r="BJ362" s="329">
        <v>0.14399999999999999</v>
      </c>
      <c r="BK362" s="329"/>
      <c r="BL362" s="329"/>
      <c r="BM362" s="329">
        <v>0.252</v>
      </c>
      <c r="BN362" s="329"/>
      <c r="BO362" s="329">
        <v>0.1</v>
      </c>
      <c r="BP362" s="235">
        <f t="shared" si="69"/>
        <v>1</v>
      </c>
      <c r="BQ362" s="243">
        <f t="shared" si="76"/>
        <v>0.74548507999999991</v>
      </c>
      <c r="BS362" s="341">
        <f t="array" ref="BS362">((1+8.5/100)^(1/12)-1)*100</f>
        <v>0.68214933659622723</v>
      </c>
      <c r="BT362" s="341"/>
      <c r="BU362" s="341"/>
      <c r="BV362" s="341">
        <f t="array" ref="BV362">((1+4.5/100)^(1/12)-1)*100</f>
        <v>0.36748094004368514</v>
      </c>
      <c r="BW362" s="341">
        <f t="array" ref="BW362">((1+8.5/100)^(1/12)-1)*100</f>
        <v>0.68214933659622723</v>
      </c>
      <c r="BX362" s="341">
        <f t="array" ref="BX362">((1+7.7/100)^(1/12)-1)*100</f>
        <v>0.62007621358530773</v>
      </c>
      <c r="BY362" s="341">
        <f t="shared" si="77"/>
        <v>0.59404218556151545</v>
      </c>
      <c r="BZ362" s="341">
        <f t="shared" si="65"/>
        <v>0.68214933659622723</v>
      </c>
      <c r="CA362" s="341"/>
      <c r="CB362" s="243">
        <f t="shared" si="79"/>
        <v>0.64340301100034303</v>
      </c>
      <c r="CC362" s="243"/>
      <c r="CD362" s="243">
        <f t="shared" ref="CD362:CD431" si="82">((1+0.08)^(1/12)-1)*100</f>
        <v>0.64340301100034303</v>
      </c>
      <c r="CG362" s="734">
        <f t="shared" si="72"/>
        <v>0.14199999999999999</v>
      </c>
      <c r="CJ362" s="1264">
        <f t="shared" si="81"/>
        <v>0.79741404289037643</v>
      </c>
    </row>
    <row r="363" spans="1:88" x14ac:dyDescent="0.2">
      <c r="A363" s="19">
        <v>38564</v>
      </c>
      <c r="B363" s="262">
        <v>3.7189999999999999</v>
      </c>
      <c r="C363" s="262">
        <v>4.3068999999999997</v>
      </c>
      <c r="D363" s="262">
        <v>3.1516000000000002</v>
      </c>
      <c r="E363" s="262">
        <v>5.2523999999999997</v>
      </c>
      <c r="F363" s="262">
        <v>4.8963000000000001</v>
      </c>
      <c r="G363" s="262">
        <v>5.6226000000000003</v>
      </c>
      <c r="H363" s="262">
        <v>6.3356000000000003</v>
      </c>
      <c r="I363" s="262">
        <v>6.9898999999999996</v>
      </c>
      <c r="J363" s="262">
        <v>5.69</v>
      </c>
      <c r="K363" s="128">
        <v>6.0201000000000002</v>
      </c>
      <c r="L363" s="128">
        <v>5.8266999999999998</v>
      </c>
      <c r="M363" s="128">
        <v>6.2141000000000002</v>
      </c>
      <c r="N363" s="262">
        <f t="shared" si="66"/>
        <v>6.3356000000000003</v>
      </c>
      <c r="O363" s="262">
        <f t="shared" si="67"/>
        <v>6.9898999999999996</v>
      </c>
      <c r="P363" s="262">
        <f t="shared" si="68"/>
        <v>5.69</v>
      </c>
      <c r="Q363" s="262">
        <v>6.4916999999999998</v>
      </c>
      <c r="R363" s="128">
        <v>5.9103000000000003</v>
      </c>
      <c r="S363" s="128">
        <v>4.1025</v>
      </c>
      <c r="T363" s="128">
        <f t="shared" si="80"/>
        <v>4.1025</v>
      </c>
      <c r="U363" s="262">
        <v>3.69</v>
      </c>
      <c r="V363" s="262">
        <v>4.5229999999999997</v>
      </c>
      <c r="W363" s="262">
        <v>-0.9103</v>
      </c>
      <c r="X363" s="128">
        <v>-0.71399999999999997</v>
      </c>
      <c r="Y363" s="128"/>
      <c r="Z363" s="128">
        <v>2.6751</v>
      </c>
      <c r="AA363" s="262">
        <v>3.0719099999999999</v>
      </c>
      <c r="AB363" s="262">
        <v>3.0535000000000001</v>
      </c>
      <c r="AC363" s="262">
        <v>3.0956000000000001</v>
      </c>
      <c r="AD363" s="277">
        <v>2.3191999999999999</v>
      </c>
      <c r="AE363" s="277">
        <f t="shared" si="78"/>
        <v>2.3191999999999999</v>
      </c>
      <c r="AF363" s="262">
        <f t="shared" si="73"/>
        <v>3.0719099999999999</v>
      </c>
      <c r="AG363" s="128">
        <v>1.748</v>
      </c>
      <c r="AH363" s="352">
        <v>7.56</v>
      </c>
      <c r="AI363"/>
      <c r="AJ363"/>
      <c r="AK363"/>
      <c r="AL363"/>
      <c r="AM363" s="242"/>
      <c r="AN363" s="262">
        <v>3.07</v>
      </c>
      <c r="AO363" s="262">
        <v>3.69</v>
      </c>
      <c r="AP363" s="262"/>
      <c r="AQ363" s="262"/>
      <c r="AR363" s="262"/>
      <c r="AS363" s="262"/>
      <c r="AT363" s="262"/>
      <c r="AU363" s="262"/>
      <c r="AV363" s="245">
        <v>0.56000000000000005</v>
      </c>
      <c r="AW363" s="245"/>
      <c r="AX363" s="245"/>
      <c r="AY363" s="245">
        <v>0.28000000000000003</v>
      </c>
      <c r="AZ363" s="245">
        <v>0.16</v>
      </c>
      <c r="BA363" s="245">
        <v>0</v>
      </c>
      <c r="BB363" s="245"/>
      <c r="BC363" s="245">
        <f t="shared" si="70"/>
        <v>1</v>
      </c>
      <c r="BD363" s="240">
        <f t="shared" si="71"/>
        <v>2.3192615999999999</v>
      </c>
      <c r="BE363" s="243">
        <f t="shared" si="74"/>
        <v>2.3192615999999999</v>
      </c>
      <c r="BF363" s="329">
        <v>0.40400000000000003</v>
      </c>
      <c r="BG363" s="329">
        <v>0.05</v>
      </c>
      <c r="BH363" s="329">
        <v>0.05</v>
      </c>
      <c r="BI363" s="329"/>
      <c r="BJ363" s="329">
        <v>0.14399999999999999</v>
      </c>
      <c r="BK363" s="329"/>
      <c r="BL363" s="329"/>
      <c r="BM363" s="329">
        <v>0.252</v>
      </c>
      <c r="BN363" s="329"/>
      <c r="BO363" s="329">
        <v>0.1</v>
      </c>
      <c r="BP363" s="235">
        <f t="shared" si="69"/>
        <v>1</v>
      </c>
      <c r="BQ363" s="243">
        <f t="shared" si="76"/>
        <v>2.5267554400000001</v>
      </c>
      <c r="BS363" s="341">
        <f t="array" ref="BS363">((1+8.5/100)^(1/12)-1)*100</f>
        <v>0.68214933659622723</v>
      </c>
      <c r="BT363" s="341"/>
      <c r="BU363" s="341"/>
      <c r="BV363" s="341">
        <f t="array" ref="BV363">((1+4.5/100)^(1/12)-1)*100</f>
        <v>0.36748094004368514</v>
      </c>
      <c r="BW363" s="341">
        <f t="array" ref="BW363">((1+8.5/100)^(1/12)-1)*100</f>
        <v>0.68214933659622723</v>
      </c>
      <c r="BX363" s="341">
        <f t="array" ref="BX363">((1+7.7/100)^(1/12)-1)*100</f>
        <v>0.62007621358530773</v>
      </c>
      <c r="BY363" s="341">
        <f t="shared" si="77"/>
        <v>0.59404218556151545</v>
      </c>
      <c r="BZ363" s="341">
        <f t="shared" si="65"/>
        <v>0.68214933659622723</v>
      </c>
      <c r="CA363" s="341"/>
      <c r="CB363" s="243">
        <f t="shared" si="79"/>
        <v>0.64340301100034303</v>
      </c>
      <c r="CC363" s="243"/>
      <c r="CD363" s="243">
        <f t="shared" si="82"/>
        <v>0.64340301100034303</v>
      </c>
      <c r="CG363" s="734">
        <f t="shared" si="72"/>
        <v>3.7189999999999999</v>
      </c>
      <c r="CJ363" s="1264">
        <f t="shared" si="81"/>
        <v>0.79741404289037643</v>
      </c>
    </row>
    <row r="364" spans="1:88" x14ac:dyDescent="0.2">
      <c r="A364" s="19">
        <v>38595</v>
      </c>
      <c r="B364" s="262">
        <v>-0.91241000000000005</v>
      </c>
      <c r="C364" s="262">
        <v>-1.0789</v>
      </c>
      <c r="D364" s="262">
        <v>-0.75049999999999994</v>
      </c>
      <c r="E364" s="262">
        <v>-1.1146</v>
      </c>
      <c r="F364" s="262">
        <v>-1.0983000000000001</v>
      </c>
      <c r="G364" s="262">
        <v>-1.1315</v>
      </c>
      <c r="H364" s="262">
        <v>-1.8541000000000001</v>
      </c>
      <c r="I364" s="262">
        <v>-1.4091</v>
      </c>
      <c r="J364" s="262">
        <v>-2.2959000000000001</v>
      </c>
      <c r="K364" s="128">
        <v>-1.4742999999999999</v>
      </c>
      <c r="L364" s="128">
        <v>-1.9936</v>
      </c>
      <c r="M364" s="128">
        <v>-0.9</v>
      </c>
      <c r="N364" s="262">
        <f t="shared" si="66"/>
        <v>-1.8541000000000001</v>
      </c>
      <c r="O364" s="262">
        <f t="shared" si="67"/>
        <v>-1.4091</v>
      </c>
      <c r="P364" s="262">
        <f t="shared" si="68"/>
        <v>-2.2959000000000001</v>
      </c>
      <c r="Q364" s="262">
        <v>-1.1498999999999999</v>
      </c>
      <c r="R364" s="128">
        <v>-1.4916</v>
      </c>
      <c r="S364" s="128">
        <v>-0.95330000000000004</v>
      </c>
      <c r="T364" s="128">
        <f t="shared" si="80"/>
        <v>-0.95330000000000004</v>
      </c>
      <c r="U364" s="262">
        <v>2.5590000000000002</v>
      </c>
      <c r="V364" s="262">
        <v>2.9083999999999999</v>
      </c>
      <c r="W364" s="262">
        <v>1.282</v>
      </c>
      <c r="X364" s="128">
        <v>1.0723</v>
      </c>
      <c r="Y364" s="128"/>
      <c r="Z364" s="128">
        <v>1.1241000000000001</v>
      </c>
      <c r="AA364" s="262">
        <v>2.5557400000000001</v>
      </c>
      <c r="AB364" s="262">
        <v>2.8831000000000002</v>
      </c>
      <c r="AC364" s="262">
        <v>2.2395999999999998</v>
      </c>
      <c r="AD364" s="277">
        <v>0.25769999999999998</v>
      </c>
      <c r="AE364" s="277">
        <f t="shared" si="78"/>
        <v>0.25769999999999998</v>
      </c>
      <c r="AF364" s="262">
        <f t="shared" si="73"/>
        <v>2.5557400000000001</v>
      </c>
      <c r="AG364" s="128">
        <v>1.748</v>
      </c>
      <c r="AH364" s="352">
        <v>-3.99</v>
      </c>
      <c r="AI364"/>
      <c r="AJ364"/>
      <c r="AK364"/>
      <c r="AL364"/>
      <c r="AM364" s="268"/>
      <c r="AN364" s="262">
        <v>2.5556999999999999</v>
      </c>
      <c r="AO364" s="262">
        <v>2.5590000000000002</v>
      </c>
      <c r="AP364" s="262"/>
      <c r="AQ364" s="262"/>
      <c r="AR364" s="262"/>
      <c r="AS364" s="262"/>
      <c r="AT364" s="262"/>
      <c r="AU364" s="262"/>
      <c r="AV364" s="245">
        <v>0.56000000000000005</v>
      </c>
      <c r="AW364" s="245"/>
      <c r="AX364" s="245"/>
      <c r="AY364" s="245">
        <v>0.28000000000000003</v>
      </c>
      <c r="AZ364" s="245">
        <v>0.16</v>
      </c>
      <c r="BA364" s="245">
        <v>0</v>
      </c>
      <c r="BB364" s="245"/>
      <c r="BC364" s="245">
        <f t="shared" ref="BC364:BC371" si="83">SUM(AV364:BB364)</f>
        <v>1</v>
      </c>
      <c r="BD364" s="240">
        <f t="shared" si="71"/>
        <v>0.25692879999999996</v>
      </c>
      <c r="BE364" s="243">
        <f t="shared" si="74"/>
        <v>0.25692879999999996</v>
      </c>
      <c r="BF364" s="329">
        <v>0.40400000000000003</v>
      </c>
      <c r="BG364" s="329">
        <v>0.05</v>
      </c>
      <c r="BH364" s="329">
        <v>0.05</v>
      </c>
      <c r="BI364" s="329"/>
      <c r="BJ364" s="329">
        <v>0.14399999999999999</v>
      </c>
      <c r="BK364" s="329"/>
      <c r="BL364" s="329"/>
      <c r="BM364" s="329">
        <v>0.252</v>
      </c>
      <c r="BN364" s="329"/>
      <c r="BO364" s="329">
        <v>0.1</v>
      </c>
      <c r="BP364" s="235">
        <f t="shared" si="69"/>
        <v>1</v>
      </c>
      <c r="BQ364" s="243">
        <f t="shared" si="76"/>
        <v>0.19981191999999998</v>
      </c>
      <c r="BS364" s="341">
        <f t="array" ref="BS364">((1+8.5/100)^(1/12)-1)*100</f>
        <v>0.68214933659622723</v>
      </c>
      <c r="BT364" s="341"/>
      <c r="BU364" s="341"/>
      <c r="BV364" s="341">
        <f t="array" ref="BV364">((1+4.5/100)^(1/12)-1)*100</f>
        <v>0.36748094004368514</v>
      </c>
      <c r="BW364" s="341">
        <f t="array" ref="BW364">((1+8.5/100)^(1/12)-1)*100</f>
        <v>0.68214933659622723</v>
      </c>
      <c r="BX364" s="341">
        <f t="array" ref="BX364">((1+7.7/100)^(1/12)-1)*100</f>
        <v>0.62007621358530773</v>
      </c>
      <c r="BY364" s="341">
        <f t="shared" si="77"/>
        <v>0.59404218556151545</v>
      </c>
      <c r="BZ364" s="341">
        <f t="shared" si="65"/>
        <v>0.68214933659622723</v>
      </c>
      <c r="CA364" s="341"/>
      <c r="CB364" s="243">
        <f t="shared" si="79"/>
        <v>0.64340301100034303</v>
      </c>
      <c r="CC364" s="243"/>
      <c r="CD364" s="243">
        <f t="shared" si="82"/>
        <v>0.64340301100034303</v>
      </c>
      <c r="CG364" s="734">
        <f t="shared" si="72"/>
        <v>-0.91241000000000005</v>
      </c>
      <c r="CJ364" s="1264">
        <f t="shared" si="81"/>
        <v>0.79741404289037643</v>
      </c>
    </row>
    <row r="365" spans="1:88" x14ac:dyDescent="0.2">
      <c r="A365" s="19">
        <v>38625</v>
      </c>
      <c r="B365" s="262">
        <v>0.81</v>
      </c>
      <c r="C365" s="262">
        <v>0.57979999999999998</v>
      </c>
      <c r="D365" s="262">
        <v>1.0378000000000001</v>
      </c>
      <c r="E365" s="262">
        <v>0.76880000000000004</v>
      </c>
      <c r="F365" s="262">
        <v>0.61009999999999998</v>
      </c>
      <c r="G365" s="262">
        <v>0.94120000000000004</v>
      </c>
      <c r="H365" s="262">
        <v>0.31369999999999998</v>
      </c>
      <c r="I365" s="262">
        <v>0.79239999999999999</v>
      </c>
      <c r="J365" s="262">
        <v>-0.1651</v>
      </c>
      <c r="K365" s="128">
        <v>0.88009999999999999</v>
      </c>
      <c r="L365" s="128">
        <v>1.2929999999999999</v>
      </c>
      <c r="M365" s="128">
        <v>0.4753</v>
      </c>
      <c r="N365" s="262">
        <f t="shared" si="66"/>
        <v>0.31369999999999998</v>
      </c>
      <c r="O365" s="262">
        <f t="shared" si="67"/>
        <v>0.79239999999999999</v>
      </c>
      <c r="P365" s="262">
        <f t="shared" si="68"/>
        <v>-0.1651</v>
      </c>
      <c r="Q365" s="262">
        <v>0.97299999999999998</v>
      </c>
      <c r="R365" s="128">
        <v>0.53320000000000001</v>
      </c>
      <c r="S365" s="128">
        <v>0.87490000000000001</v>
      </c>
      <c r="T365" s="128">
        <f t="shared" si="80"/>
        <v>0.87490000000000001</v>
      </c>
      <c r="U365" s="262">
        <v>5.1580000000000004</v>
      </c>
      <c r="V365" s="262">
        <v>4.1329000000000002</v>
      </c>
      <c r="W365" s="262">
        <v>-1.0301</v>
      </c>
      <c r="X365" s="128">
        <v>-0.73599999999999999</v>
      </c>
      <c r="Y365" s="128"/>
      <c r="Z365" s="128">
        <v>2.0219999999999998</v>
      </c>
      <c r="AA365" s="262">
        <v>4.4740200000000003</v>
      </c>
      <c r="AB365" s="262">
        <v>4.2255000000000003</v>
      </c>
      <c r="AC365" s="262">
        <v>4.7157</v>
      </c>
      <c r="AD365" s="277">
        <v>0.88039999999999996</v>
      </c>
      <c r="AE365" s="277">
        <f t="shared" si="78"/>
        <v>0.88039999999999996</v>
      </c>
      <c r="AF365" s="262">
        <f t="shared" si="73"/>
        <v>4.4740200000000003</v>
      </c>
      <c r="AG365" s="128">
        <v>1.748</v>
      </c>
      <c r="AH365" s="352">
        <v>0.33</v>
      </c>
      <c r="AI365"/>
      <c r="AJ365"/>
      <c r="AK365"/>
      <c r="AL365"/>
      <c r="AM365" s="268"/>
      <c r="AN365" s="262">
        <v>4.47</v>
      </c>
      <c r="AO365" s="262">
        <v>5.1580000000000004</v>
      </c>
      <c r="AP365" s="262"/>
      <c r="AQ365" s="262"/>
      <c r="AR365" s="262"/>
      <c r="AS365" s="262"/>
      <c r="AT365" s="262"/>
      <c r="AU365" s="262"/>
      <c r="AV365" s="246">
        <v>0.56000000000000005</v>
      </c>
      <c r="AW365" s="246"/>
      <c r="AX365" s="246"/>
      <c r="AY365" s="246">
        <v>0.28000000000000003</v>
      </c>
      <c r="AZ365" s="246">
        <v>0.16</v>
      </c>
      <c r="BA365" s="246">
        <v>0</v>
      </c>
      <c r="BB365" s="246"/>
      <c r="BC365" s="246">
        <f t="shared" si="83"/>
        <v>1</v>
      </c>
      <c r="BD365" s="275">
        <f t="shared" si="71"/>
        <v>0.8810152</v>
      </c>
      <c r="BE365" s="243">
        <f t="shared" si="74"/>
        <v>0.8810152</v>
      </c>
      <c r="BF365" s="328">
        <v>0.40400000000000003</v>
      </c>
      <c r="BG365" s="328">
        <v>0.05</v>
      </c>
      <c r="BH365" s="328">
        <v>0.05</v>
      </c>
      <c r="BI365" s="328"/>
      <c r="BJ365" s="328">
        <v>0.14399999999999999</v>
      </c>
      <c r="BK365" s="328"/>
      <c r="BL365" s="328"/>
      <c r="BM365" s="328">
        <v>0.252</v>
      </c>
      <c r="BN365" s="328"/>
      <c r="BO365" s="328">
        <v>0.1</v>
      </c>
      <c r="BP365" s="328">
        <f t="shared" si="69"/>
        <v>1</v>
      </c>
      <c r="BQ365" s="327">
        <f t="shared" si="76"/>
        <v>0.85407867999999987</v>
      </c>
      <c r="BS365" s="341">
        <f t="array" ref="BS365">((1+8.5/100)^(1/12)-1)*100</f>
        <v>0.68214933659622723</v>
      </c>
      <c r="BT365" s="341"/>
      <c r="BU365" s="341"/>
      <c r="BV365" s="341">
        <f t="array" ref="BV365">((1+4.5/100)^(1/12)-1)*100</f>
        <v>0.36748094004368514</v>
      </c>
      <c r="BW365" s="341">
        <f t="array" ref="BW365">((1+8.5/100)^(1/12)-1)*100</f>
        <v>0.68214933659622723</v>
      </c>
      <c r="BX365" s="341">
        <f t="array" ref="BX365">((1+7.7/100)^(1/12)-1)*100</f>
        <v>0.62007621358530773</v>
      </c>
      <c r="BY365" s="341">
        <f t="shared" si="77"/>
        <v>0.59404218556151545</v>
      </c>
      <c r="BZ365" s="341">
        <f t="shared" ref="BZ365:BZ379" si="84">BS365</f>
        <v>0.68214933659622723</v>
      </c>
      <c r="CA365" s="341"/>
      <c r="CB365" s="243">
        <f t="shared" si="79"/>
        <v>0.64340301100034303</v>
      </c>
      <c r="CC365" s="243"/>
      <c r="CD365" s="243">
        <f t="shared" si="82"/>
        <v>0.64340301100034303</v>
      </c>
      <c r="CG365" s="734">
        <f t="shared" si="72"/>
        <v>0.81</v>
      </c>
      <c r="CJ365" s="1264">
        <f t="shared" si="81"/>
        <v>0.79741404289037643</v>
      </c>
    </row>
    <row r="366" spans="1:88" x14ac:dyDescent="0.2">
      <c r="A366" s="19">
        <v>38656</v>
      </c>
      <c r="B366" s="262">
        <v>-1.66709</v>
      </c>
      <c r="C366" s="262">
        <v>-1.5842000000000001</v>
      </c>
      <c r="D366" s="262">
        <v>-1.7451000000000001</v>
      </c>
      <c r="E366" s="262">
        <v>-2.1488</v>
      </c>
      <c r="F366" s="262">
        <v>-1.4105000000000001</v>
      </c>
      <c r="G366" s="262">
        <v>-2.9287000000000001</v>
      </c>
      <c r="H366" s="262">
        <v>-3.105</v>
      </c>
      <c r="I366" s="262">
        <v>-3.6955</v>
      </c>
      <c r="J366" s="262">
        <v>-2.5118</v>
      </c>
      <c r="K366" s="128">
        <v>-3.13</v>
      </c>
      <c r="L366" s="128">
        <v>-3.7082000000000002</v>
      </c>
      <c r="M366" s="128">
        <v>-2.5528</v>
      </c>
      <c r="N366" s="262">
        <f t="shared" ref="N366:N379" si="85">H366</f>
        <v>-3.105</v>
      </c>
      <c r="O366" s="262">
        <f t="shared" ref="O366:O379" si="86">I366</f>
        <v>-3.6955</v>
      </c>
      <c r="P366" s="262">
        <f t="shared" ref="P366:P379" si="87">J366</f>
        <v>-2.5118</v>
      </c>
      <c r="Q366" s="262">
        <v>-3.2669999999999999</v>
      </c>
      <c r="R366" s="128">
        <v>-3.1055000000000001</v>
      </c>
      <c r="S366" s="128">
        <v>-1.8729</v>
      </c>
      <c r="T366" s="128">
        <f t="shared" si="80"/>
        <v>-1.8729</v>
      </c>
      <c r="U366" s="262">
        <v>-3.64</v>
      </c>
      <c r="V366" s="262">
        <v>-3.2625999999999999</v>
      </c>
      <c r="W366" s="262">
        <v>-0.79139999999999999</v>
      </c>
      <c r="X366" s="128">
        <v>-0.61280000000000001</v>
      </c>
      <c r="Y366" s="128"/>
      <c r="Z366" s="128">
        <v>-2.2883</v>
      </c>
      <c r="AA366" s="262">
        <v>-2.9136600000000001</v>
      </c>
      <c r="AB366" s="262">
        <v>-2.7315999999999998</v>
      </c>
      <c r="AC366" s="262">
        <v>-3.0897999999999999</v>
      </c>
      <c r="AD366" s="277">
        <v>-1.6226</v>
      </c>
      <c r="AE366" s="277">
        <f t="shared" si="78"/>
        <v>-1.6226</v>
      </c>
      <c r="AF366" s="277">
        <f>U366</f>
        <v>-3.64</v>
      </c>
      <c r="AG366" s="128">
        <v>1.5286999999999999</v>
      </c>
      <c r="AH366" s="352">
        <v>-1.89</v>
      </c>
      <c r="AI366"/>
      <c r="AJ366"/>
      <c r="AK366"/>
      <c r="AL366"/>
      <c r="AM366" s="268"/>
      <c r="AN366" s="262">
        <v>-3.6404999999999998</v>
      </c>
      <c r="AO366" s="262">
        <v>-3.64</v>
      </c>
      <c r="AP366" s="262"/>
      <c r="AQ366" s="262"/>
      <c r="AR366" s="262"/>
      <c r="AS366" s="262"/>
      <c r="AT366" s="262"/>
      <c r="AU366" s="262"/>
      <c r="AV366" s="125">
        <f t="shared" ref="AV366:AV380" si="88">56%-0.005</f>
        <v>0.55500000000000005</v>
      </c>
      <c r="AW366" s="125"/>
      <c r="AX366" s="125"/>
      <c r="AY366" s="125">
        <f t="shared" ref="AY366:AY380" si="89">28%-0.003</f>
        <v>0.27700000000000002</v>
      </c>
      <c r="AZ366" s="245"/>
      <c r="BA366" s="125">
        <f t="shared" ref="BA366:BA380" si="90">16%-0.002</f>
        <v>0.158</v>
      </c>
      <c r="BB366" s="125">
        <v>0.01</v>
      </c>
      <c r="BC366" s="125">
        <f t="shared" si="83"/>
        <v>1</v>
      </c>
      <c r="BD366" s="240">
        <f t="shared" ref="BD366:BD380" si="91">(B366*AV366)+(W366*AY366)+(U366*BA366)+(AG366*BB366)</f>
        <v>-1.7042857500000002</v>
      </c>
      <c r="BE366" s="243">
        <f t="shared" si="74"/>
        <v>-1.7042857500000002</v>
      </c>
      <c r="BF366" s="329">
        <v>0.39900000000000002</v>
      </c>
      <c r="BG366" s="329">
        <v>0.05</v>
      </c>
      <c r="BH366" s="329">
        <v>0.05</v>
      </c>
      <c r="BI366" s="329"/>
      <c r="BJ366" s="329"/>
      <c r="BK366" s="329">
        <v>0.12759999999999999</v>
      </c>
      <c r="BL366" s="329">
        <v>1.44E-2</v>
      </c>
      <c r="BM366" s="329">
        <v>0.249</v>
      </c>
      <c r="BN366" s="329">
        <v>0.01</v>
      </c>
      <c r="BO366" s="329">
        <v>0.1</v>
      </c>
      <c r="BP366" s="235">
        <f t="shared" ref="BP366:BP371" si="92">SUM(BF366:BO366)</f>
        <v>1</v>
      </c>
      <c r="BQ366" s="243">
        <f t="shared" ref="BQ366:BQ380" si="93">(B366*BF366)+(E366*BG366)+(H366*BH366)+(AG366*BN366)+(U366*BK366)+(V366*BL366)+(W366*BM366)+(AE366*BO366)</f>
        <v>-1.7833359500000001</v>
      </c>
      <c r="BS366" s="341">
        <f t="array" ref="BS366">((1+8.5/100)^(1/12)-1)*100</f>
        <v>0.68214933659622723</v>
      </c>
      <c r="BT366" s="341"/>
      <c r="BU366" s="341"/>
      <c r="BV366" s="341">
        <f t="array" ref="BV366">((1+4.5/100)^(1/12)-1)*100</f>
        <v>0.36748094004368514</v>
      </c>
      <c r="BW366" s="341">
        <f t="array" ref="BW366">((1+8.5/100)^(1/12)-1)*100</f>
        <v>0.68214933659622723</v>
      </c>
      <c r="BX366" s="341">
        <f t="array" ref="BX366">((1+7.7/100)^(1/12)-1)*100</f>
        <v>0.62007621358530773</v>
      </c>
      <c r="BY366" s="341">
        <f t="shared" ref="BY366:BY371" si="94">(BS366*AV366)+(BV366*AY366)+(BW366*BA366)+(BX366*BB366)</f>
        <v>0.5943654595210639</v>
      </c>
      <c r="BZ366" s="341">
        <f t="shared" si="84"/>
        <v>0.68214933659622723</v>
      </c>
      <c r="CA366" s="341"/>
      <c r="CB366" s="243">
        <f t="shared" si="79"/>
        <v>0.64340301100034303</v>
      </c>
      <c r="CC366" s="243"/>
      <c r="CD366" s="243">
        <f t="shared" si="82"/>
        <v>0.64340301100034303</v>
      </c>
      <c r="CG366" s="734">
        <f t="shared" si="72"/>
        <v>-1.66709</v>
      </c>
      <c r="CJ366" s="1264">
        <f t="shared" si="81"/>
        <v>0.79741404289037643</v>
      </c>
    </row>
    <row r="367" spans="1:88" x14ac:dyDescent="0.2">
      <c r="A367" s="19">
        <v>38686</v>
      </c>
      <c r="B367" s="262">
        <v>3.7822300000000002</v>
      </c>
      <c r="C367" s="262">
        <v>3.8252000000000002</v>
      </c>
      <c r="D367" s="262">
        <v>3.7414000000000001</v>
      </c>
      <c r="E367" s="262">
        <v>4.8864000000000001</v>
      </c>
      <c r="F367" s="262">
        <v>5.5937999999999999</v>
      </c>
      <c r="G367" s="262">
        <v>4.1361999999999997</v>
      </c>
      <c r="H367" s="262">
        <v>4.8545999999999996</v>
      </c>
      <c r="I367" s="262">
        <v>5.6615000000000002</v>
      </c>
      <c r="J367" s="262">
        <v>4.0566000000000004</v>
      </c>
      <c r="K367" s="128">
        <v>4.5922000000000001</v>
      </c>
      <c r="L367" s="128">
        <v>4.4391999999999996</v>
      </c>
      <c r="M367" s="128">
        <v>4.7439</v>
      </c>
      <c r="N367" s="262">
        <f t="shared" si="85"/>
        <v>4.8545999999999996</v>
      </c>
      <c r="O367" s="262">
        <f t="shared" si="86"/>
        <v>5.6615000000000002</v>
      </c>
      <c r="P367" s="262">
        <f t="shared" si="87"/>
        <v>4.0566000000000004</v>
      </c>
      <c r="Q367" s="262">
        <v>5.5860000000000003</v>
      </c>
      <c r="R367" s="128">
        <v>4.8296999999999999</v>
      </c>
      <c r="S367" s="128">
        <v>3.8898999999999999</v>
      </c>
      <c r="T367" s="128">
        <f t="shared" si="80"/>
        <v>3.8898999999999999</v>
      </c>
      <c r="U367" s="262">
        <v>3.3620000000000001</v>
      </c>
      <c r="V367" s="262">
        <v>3.2292999999999998</v>
      </c>
      <c r="W367" s="262">
        <v>0.44230000000000003</v>
      </c>
      <c r="X367" s="128">
        <v>0.39019999999999999</v>
      </c>
      <c r="Y367" s="128"/>
      <c r="Z367" s="128">
        <v>2.2219000000000002</v>
      </c>
      <c r="AA367" s="262">
        <v>2.4727399999999999</v>
      </c>
      <c r="AB367" s="262">
        <v>1.9035</v>
      </c>
      <c r="AC367" s="262">
        <v>3.0251999999999999</v>
      </c>
      <c r="AD367" s="277">
        <v>2.6356000000000002</v>
      </c>
      <c r="AE367" s="277">
        <f t="shared" si="78"/>
        <v>2.6356000000000002</v>
      </c>
      <c r="AF367" s="277">
        <f>U367</f>
        <v>3.3620000000000001</v>
      </c>
      <c r="AG367" s="128">
        <v>1.5288999999999999</v>
      </c>
      <c r="AH367" s="352">
        <v>4.5599999999999996</v>
      </c>
      <c r="AI367"/>
      <c r="AJ367"/>
      <c r="AK367"/>
      <c r="AL367"/>
      <c r="AM367" s="268"/>
      <c r="AN367" s="262">
        <v>3.3620999999999999</v>
      </c>
      <c r="AO367" s="262">
        <v>3.3620000000000001</v>
      </c>
      <c r="AP367" s="262"/>
      <c r="AQ367" s="262"/>
      <c r="AR367" s="262"/>
      <c r="AS367" s="262"/>
      <c r="AT367" s="262"/>
      <c r="AU367" s="262"/>
      <c r="AV367" s="125">
        <f t="shared" si="88"/>
        <v>0.55500000000000005</v>
      </c>
      <c r="AW367" s="125"/>
      <c r="AX367" s="125"/>
      <c r="AY367" s="125">
        <f t="shared" si="89"/>
        <v>0.27700000000000002</v>
      </c>
      <c r="AZ367" s="245"/>
      <c r="BA367" s="125">
        <f t="shared" si="90"/>
        <v>0.158</v>
      </c>
      <c r="BB367" s="125">
        <v>0.01</v>
      </c>
      <c r="BC367" s="125">
        <f t="shared" si="83"/>
        <v>1</v>
      </c>
      <c r="BD367" s="240">
        <f t="shared" si="91"/>
        <v>2.7681397500000005</v>
      </c>
      <c r="BE367" s="243">
        <f t="shared" si="74"/>
        <v>2.7681397500000005</v>
      </c>
      <c r="BF367" s="329">
        <v>0.39900000000000002</v>
      </c>
      <c r="BG367" s="329">
        <v>0.05</v>
      </c>
      <c r="BH367" s="329">
        <v>0.05</v>
      </c>
      <c r="BI367" s="329"/>
      <c r="BJ367" s="329"/>
      <c r="BK367" s="329">
        <v>0.12759999999999999</v>
      </c>
      <c r="BL367" s="329">
        <v>1.44E-2</v>
      </c>
      <c r="BM367" s="329">
        <v>0.249</v>
      </c>
      <c r="BN367" s="329">
        <v>0.01</v>
      </c>
      <c r="BO367" s="329">
        <v>0.1</v>
      </c>
      <c r="BP367" s="235">
        <f t="shared" si="92"/>
        <v>1</v>
      </c>
      <c r="BQ367" s="243">
        <f t="shared" si="93"/>
        <v>2.8606345900000001</v>
      </c>
      <c r="BS367" s="341">
        <f t="array" ref="BS367">((1+8.5/100)^(1/12)-1)*100</f>
        <v>0.68214933659622723</v>
      </c>
      <c r="BT367" s="341"/>
      <c r="BU367" s="341"/>
      <c r="BV367" s="341">
        <f t="array" ref="BV367">((1+4.5/100)^(1/12)-1)*100</f>
        <v>0.36748094004368514</v>
      </c>
      <c r="BW367" s="341">
        <f t="array" ref="BW367">((1+8.5/100)^(1/12)-1)*100</f>
        <v>0.68214933659622723</v>
      </c>
      <c r="BX367" s="341">
        <f t="array" ref="BX367">((1+7.7/100)^(1/12)-1)*100</f>
        <v>0.62007621358530773</v>
      </c>
      <c r="BY367" s="341">
        <f t="shared" si="94"/>
        <v>0.5943654595210639</v>
      </c>
      <c r="BZ367" s="341">
        <f t="shared" si="84"/>
        <v>0.68214933659622723</v>
      </c>
      <c r="CA367" s="341"/>
      <c r="CB367" s="243">
        <f t="shared" si="79"/>
        <v>0.64340301100034303</v>
      </c>
      <c r="CC367" s="243"/>
      <c r="CD367" s="243">
        <f t="shared" si="82"/>
        <v>0.64340301100034303</v>
      </c>
      <c r="CG367" s="734">
        <f t="shared" si="72"/>
        <v>3.7822300000000002</v>
      </c>
      <c r="CJ367" s="1264">
        <f t="shared" si="81"/>
        <v>0.79741404289037643</v>
      </c>
    </row>
    <row r="368" spans="1:88" x14ac:dyDescent="0.2">
      <c r="A368" s="19">
        <v>38717</v>
      </c>
      <c r="B368" s="270">
        <v>3.4279999999999998E-2</v>
      </c>
      <c r="C368" s="270">
        <v>-0.2</v>
      </c>
      <c r="D368" s="270">
        <v>0.27</v>
      </c>
      <c r="E368" s="270">
        <v>0.69110000000000005</v>
      </c>
      <c r="F368" s="270">
        <v>0.92</v>
      </c>
      <c r="G368" s="270">
        <v>0.48</v>
      </c>
      <c r="H368" s="270">
        <v>-0.45700000000000002</v>
      </c>
      <c r="I368" s="270">
        <v>-0.1489</v>
      </c>
      <c r="J368" s="270">
        <v>-0.76770000000000005</v>
      </c>
      <c r="K368" s="128">
        <v>-0.92079999999999995</v>
      </c>
      <c r="L368" s="128">
        <v>-1.04</v>
      </c>
      <c r="M368" s="128">
        <v>-0.81</v>
      </c>
      <c r="N368" s="262">
        <f t="shared" si="85"/>
        <v>-0.45700000000000002</v>
      </c>
      <c r="O368" s="262">
        <f t="shared" si="86"/>
        <v>-0.1489</v>
      </c>
      <c r="P368" s="262">
        <f t="shared" si="87"/>
        <v>-0.76770000000000005</v>
      </c>
      <c r="Q368" s="270">
        <v>0.57110000000000005</v>
      </c>
      <c r="R368" s="128">
        <v>0.23130000000000001</v>
      </c>
      <c r="S368" s="128">
        <v>8.9800000000000005E-2</v>
      </c>
      <c r="T368" s="128">
        <f t="shared" si="80"/>
        <v>8.9800000000000005E-2</v>
      </c>
      <c r="U368" s="270">
        <v>4.8109999999999999</v>
      </c>
      <c r="V368" s="270">
        <v>8.0044000000000004</v>
      </c>
      <c r="W368" s="270">
        <v>0.95079999999999998</v>
      </c>
      <c r="X368" s="128">
        <v>0.77559999999999996</v>
      </c>
      <c r="Y368" s="128"/>
      <c r="Z368" s="128">
        <v>2.7789999999999999</v>
      </c>
      <c r="AA368" s="270">
        <v>4.6597799999999996</v>
      </c>
      <c r="AB368" s="270">
        <v>5.2965999999999998</v>
      </c>
      <c r="AC368" s="270">
        <v>4.0372000000000003</v>
      </c>
      <c r="AD368" s="277">
        <v>1.034</v>
      </c>
      <c r="AE368" s="277">
        <f t="shared" si="78"/>
        <v>1.034</v>
      </c>
      <c r="AF368" s="277">
        <f>U368</f>
        <v>4.8109999999999999</v>
      </c>
      <c r="AG368" s="128">
        <v>1.5290999999999999</v>
      </c>
      <c r="AH368" s="352">
        <v>0.43</v>
      </c>
      <c r="AI368"/>
      <c r="AJ368"/>
      <c r="AK368"/>
      <c r="AL368"/>
      <c r="AM368" s="268"/>
      <c r="AN368" s="270">
        <v>4.8113999999999999</v>
      </c>
      <c r="AO368" s="270">
        <v>4.8109999999999999</v>
      </c>
      <c r="AP368" s="270"/>
      <c r="AQ368" s="270"/>
      <c r="AR368" s="270"/>
      <c r="AS368" s="270"/>
      <c r="AT368" s="270"/>
      <c r="AU368" s="270"/>
      <c r="AV368" s="125">
        <f t="shared" si="88"/>
        <v>0.55500000000000005</v>
      </c>
      <c r="AW368" s="125"/>
      <c r="AX368" s="125"/>
      <c r="AY368" s="125">
        <f t="shared" si="89"/>
        <v>0.27700000000000002</v>
      </c>
      <c r="AZ368" s="247"/>
      <c r="BA368" s="125">
        <f t="shared" si="90"/>
        <v>0.158</v>
      </c>
      <c r="BB368" s="125">
        <v>0.01</v>
      </c>
      <c r="BC368" s="125">
        <f t="shared" si="83"/>
        <v>1</v>
      </c>
      <c r="BD368" s="240">
        <f t="shared" si="91"/>
        <v>1.0578259999999999</v>
      </c>
      <c r="BE368" s="243">
        <f t="shared" si="74"/>
        <v>1.0578259999999999</v>
      </c>
      <c r="BF368" s="329">
        <v>0.39900000000000002</v>
      </c>
      <c r="BG368" s="329">
        <v>0.05</v>
      </c>
      <c r="BH368" s="329">
        <v>0.05</v>
      </c>
      <c r="BI368" s="329"/>
      <c r="BJ368" s="329"/>
      <c r="BK368" s="329">
        <v>0.12759999999999999</v>
      </c>
      <c r="BL368" s="329">
        <v>1.44E-2</v>
      </c>
      <c r="BM368" s="329">
        <v>0.249</v>
      </c>
      <c r="BN368" s="329">
        <v>0.01</v>
      </c>
      <c r="BO368" s="329">
        <v>0.1</v>
      </c>
      <c r="BP368" s="235">
        <f t="shared" si="92"/>
        <v>1</v>
      </c>
      <c r="BQ368" s="243">
        <f t="shared" si="93"/>
        <v>1.10996988</v>
      </c>
      <c r="BS368" s="341">
        <f t="array" ref="BS368">((1+8.5/100)^(1/12)-1)*100</f>
        <v>0.68214933659622723</v>
      </c>
      <c r="BT368" s="341"/>
      <c r="BU368" s="341"/>
      <c r="BV368" s="341">
        <f t="array" ref="BV368">((1+4.5/100)^(1/12)-1)*100</f>
        <v>0.36748094004368514</v>
      </c>
      <c r="BW368" s="341">
        <f t="array" ref="BW368">((1+8.5/100)^(1/12)-1)*100</f>
        <v>0.68214933659622723</v>
      </c>
      <c r="BX368" s="341">
        <f t="array" ref="BX368">((1+7.7/100)^(1/12)-1)*100</f>
        <v>0.62007621358530773</v>
      </c>
      <c r="BY368" s="341">
        <f t="shared" si="94"/>
        <v>0.5943654595210639</v>
      </c>
      <c r="BZ368" s="341">
        <f t="shared" si="84"/>
        <v>0.68214933659622723</v>
      </c>
      <c r="CA368" s="341"/>
      <c r="CB368" s="243">
        <f t="shared" si="79"/>
        <v>0.64340301100034303</v>
      </c>
      <c r="CC368" s="243"/>
      <c r="CD368" s="243">
        <f t="shared" si="82"/>
        <v>0.64340301100034303</v>
      </c>
      <c r="CG368" s="734">
        <f t="shared" si="72"/>
        <v>3.4279999999999998E-2</v>
      </c>
      <c r="CJ368" s="1264">
        <f t="shared" si="81"/>
        <v>0.79741404289037643</v>
      </c>
    </row>
    <row r="369" spans="1:90" x14ac:dyDescent="0.2">
      <c r="A369" s="19">
        <v>38748</v>
      </c>
      <c r="B369" s="262">
        <v>2.6482999999999999</v>
      </c>
      <c r="C369" s="262">
        <v>2.3249</v>
      </c>
      <c r="D369" s="262">
        <v>2.9847999999999999</v>
      </c>
      <c r="E369" s="262">
        <v>5.8918999999999997</v>
      </c>
      <c r="F369" s="262">
        <v>5.5434999999999999</v>
      </c>
      <c r="G369" s="262">
        <v>6.2408999999999999</v>
      </c>
      <c r="H369" s="262">
        <v>8.9672000000000001</v>
      </c>
      <c r="I369" s="262">
        <v>9.6460000000000008</v>
      </c>
      <c r="J369" s="262">
        <v>8.2691999999999997</v>
      </c>
      <c r="K369" s="128">
        <v>8.3716000000000008</v>
      </c>
      <c r="L369" s="128">
        <v>7.4539999999999997</v>
      </c>
      <c r="M369" s="128">
        <v>9.2605000000000004</v>
      </c>
      <c r="N369" s="262">
        <f t="shared" si="85"/>
        <v>8.9672000000000001</v>
      </c>
      <c r="O369" s="262">
        <f t="shared" si="86"/>
        <v>9.6460000000000008</v>
      </c>
      <c r="P369" s="262">
        <f t="shared" si="87"/>
        <v>8.2691999999999997</v>
      </c>
      <c r="Q369" s="262">
        <v>7.5712000000000002</v>
      </c>
      <c r="R369" s="128">
        <v>7.0744999999999996</v>
      </c>
      <c r="S369" s="128">
        <v>3.3411</v>
      </c>
      <c r="T369" s="128">
        <f t="shared" si="80"/>
        <v>3.3411</v>
      </c>
      <c r="U369" s="262">
        <v>6.9720000000000004</v>
      </c>
      <c r="V369" s="262">
        <v>6.8301999999999996</v>
      </c>
      <c r="W369" s="262">
        <v>5.7000000000000002E-3</v>
      </c>
      <c r="X369" s="128">
        <v>0.12379999999999999</v>
      </c>
      <c r="Y369" s="128"/>
      <c r="Z369" s="128">
        <v>4.1778000000000004</v>
      </c>
      <c r="AA369" s="262">
        <v>6.14689</v>
      </c>
      <c r="AB369" s="262">
        <v>6.1675000000000004</v>
      </c>
      <c r="AC369" s="262">
        <v>6.1180000000000003</v>
      </c>
      <c r="AD369" s="277">
        <v>2.4702999999999999</v>
      </c>
      <c r="AE369" s="277">
        <f t="shared" si="78"/>
        <v>2.4702999999999999</v>
      </c>
      <c r="AF369" s="277">
        <f t="shared" ref="AF369:AF376" si="95">U369</f>
        <v>6.9720000000000004</v>
      </c>
      <c r="AG369" s="128">
        <v>1.8509</v>
      </c>
      <c r="AH369" s="352">
        <v>7.16</v>
      </c>
      <c r="AI369"/>
      <c r="AJ369"/>
      <c r="AK369"/>
      <c r="AL369"/>
      <c r="AM369" s="268"/>
      <c r="AN369" s="262">
        <v>6.9722999999999997</v>
      </c>
      <c r="AO369" s="262">
        <v>6.9720000000000004</v>
      </c>
      <c r="AP369" s="262"/>
      <c r="AQ369" s="262"/>
      <c r="AR369" s="262"/>
      <c r="AS369" s="262"/>
      <c r="AT369" s="262"/>
      <c r="AU369" s="262"/>
      <c r="AV369" s="125">
        <f t="shared" si="88"/>
        <v>0.55500000000000005</v>
      </c>
      <c r="AW369" s="125"/>
      <c r="AX369" s="125"/>
      <c r="AY369" s="125">
        <f t="shared" si="89"/>
        <v>0.27700000000000002</v>
      </c>
      <c r="AZ369" s="125"/>
      <c r="BA369" s="125">
        <f t="shared" si="90"/>
        <v>0.158</v>
      </c>
      <c r="BB369" s="125">
        <v>0.01</v>
      </c>
      <c r="BC369" s="125">
        <f t="shared" si="83"/>
        <v>1</v>
      </c>
      <c r="BD369" s="240">
        <f t="shared" si="91"/>
        <v>2.5914704</v>
      </c>
      <c r="BE369" s="243">
        <f t="shared" si="74"/>
        <v>2.5914704</v>
      </c>
      <c r="BF369" s="329">
        <v>0.39900000000000002</v>
      </c>
      <c r="BG369" s="329">
        <v>0.05</v>
      </c>
      <c r="BH369" s="329">
        <v>0.05</v>
      </c>
      <c r="BI369" s="329"/>
      <c r="BJ369" s="329"/>
      <c r="BK369" s="329">
        <v>0.12759999999999999</v>
      </c>
      <c r="BL369" s="329">
        <v>1.44E-2</v>
      </c>
      <c r="BM369" s="329">
        <v>0.249</v>
      </c>
      <c r="BN369" s="329">
        <v>0.01</v>
      </c>
      <c r="BO369" s="329">
        <v>0.1</v>
      </c>
      <c r="BP369" s="235">
        <f t="shared" si="92"/>
        <v>1</v>
      </c>
      <c r="BQ369" s="243">
        <f t="shared" si="93"/>
        <v>3.05456708</v>
      </c>
      <c r="BS369" s="341">
        <f t="array" ref="BS369">((1+8.5/100)^(1/12)-1)*100</f>
        <v>0.68214933659622723</v>
      </c>
      <c r="BT369" s="341"/>
      <c r="BU369" s="341"/>
      <c r="BV369" s="341">
        <f t="array" ref="BV369">((1+4.5/100)^(1/12)-1)*100</f>
        <v>0.36748094004368514</v>
      </c>
      <c r="BW369" s="341">
        <f t="array" ref="BW369">((1+8.5/100)^(1/12)-1)*100</f>
        <v>0.68214933659622723</v>
      </c>
      <c r="BX369" s="341">
        <f t="array" ref="BX369">((1+7.7/100)^(1/12)-1)*100</f>
        <v>0.62007621358530773</v>
      </c>
      <c r="BY369" s="341">
        <f t="shared" si="94"/>
        <v>0.5943654595210639</v>
      </c>
      <c r="BZ369" s="341">
        <f t="shared" si="84"/>
        <v>0.68214933659622723</v>
      </c>
      <c r="CA369" s="341"/>
      <c r="CB369" s="243">
        <f t="shared" si="79"/>
        <v>0.64340301100034303</v>
      </c>
      <c r="CC369" s="243"/>
      <c r="CD369" s="243">
        <f t="shared" si="82"/>
        <v>0.64340301100034303</v>
      </c>
      <c r="CG369" s="734">
        <f t="shared" si="72"/>
        <v>2.6482999999999999</v>
      </c>
      <c r="CJ369" s="1264">
        <f t="shared" si="81"/>
        <v>0.79741404289037643</v>
      </c>
    </row>
    <row r="370" spans="1:90" x14ac:dyDescent="0.2">
      <c r="A370" s="19">
        <v>38776</v>
      </c>
      <c r="B370" s="262">
        <v>0.27137</v>
      </c>
      <c r="C370" s="262">
        <v>-0.50849999999999995</v>
      </c>
      <c r="D370" s="262">
        <v>1.0801000000000001</v>
      </c>
      <c r="E370" s="262">
        <v>-0.83830000000000005</v>
      </c>
      <c r="F370" s="262">
        <v>-1.6931</v>
      </c>
      <c r="G370" s="262">
        <v>2.2000000000000001E-3</v>
      </c>
      <c r="H370" s="262">
        <v>-0.27529999999999999</v>
      </c>
      <c r="I370" s="262">
        <v>-0.53290000000000004</v>
      </c>
      <c r="J370" s="262">
        <v>-6.7999999999999996E-3</v>
      </c>
      <c r="K370" s="128">
        <v>-0.749</v>
      </c>
      <c r="L370" s="128">
        <v>-1.3516999999999999</v>
      </c>
      <c r="M370" s="128">
        <v>-0.18709999999999999</v>
      </c>
      <c r="N370" s="262">
        <f t="shared" si="85"/>
        <v>-0.27529999999999999</v>
      </c>
      <c r="O370" s="262">
        <f t="shared" si="86"/>
        <v>-0.53290000000000004</v>
      </c>
      <c r="P370" s="262">
        <f t="shared" si="87"/>
        <v>-6.7999999999999996E-3</v>
      </c>
      <c r="Q370" s="262">
        <v>-0.30031999999999998</v>
      </c>
      <c r="R370" s="128">
        <v>-8.3799999999999999E-2</v>
      </c>
      <c r="S370" s="128">
        <v>0.17780000000000001</v>
      </c>
      <c r="T370" s="128">
        <f t="shared" si="80"/>
        <v>0.17780000000000001</v>
      </c>
      <c r="U370" s="262">
        <v>-0.28899999999999998</v>
      </c>
      <c r="V370" s="262">
        <v>-1.2132000000000001</v>
      </c>
      <c r="W370" s="262">
        <v>0.33200000000000002</v>
      </c>
      <c r="X370" s="128">
        <v>0.23280000000000001</v>
      </c>
      <c r="Y370" s="128"/>
      <c r="Z370" s="128">
        <v>0.13950000000000001</v>
      </c>
      <c r="AA370" s="262">
        <v>-0.20482</v>
      </c>
      <c r="AB370" s="262">
        <v>-1.1273</v>
      </c>
      <c r="AC370" s="262">
        <v>0.70840000000000003</v>
      </c>
      <c r="AD370" s="277">
        <v>0.21079999999999999</v>
      </c>
      <c r="AE370" s="277">
        <f t="shared" si="78"/>
        <v>0.21079999999999999</v>
      </c>
      <c r="AF370" s="277">
        <f t="shared" si="95"/>
        <v>-0.28899999999999998</v>
      </c>
      <c r="AG370" s="128">
        <v>1.8517999999999999</v>
      </c>
      <c r="AH370" s="352">
        <v>2.2200000000000002</v>
      </c>
      <c r="AI370"/>
      <c r="AJ370"/>
      <c r="AK370"/>
      <c r="AL370"/>
      <c r="AM370" s="268"/>
      <c r="AN370" s="262">
        <v>-0.28870000000000001</v>
      </c>
      <c r="AO370" s="262">
        <v>-0.28899999999999998</v>
      </c>
      <c r="AP370" s="262"/>
      <c r="AQ370" s="262"/>
      <c r="AR370" s="262"/>
      <c r="AS370" s="262"/>
      <c r="AT370" s="262"/>
      <c r="AU370" s="262"/>
      <c r="AV370" s="125">
        <f t="shared" si="88"/>
        <v>0.55500000000000005</v>
      </c>
      <c r="AW370" s="125"/>
      <c r="AX370" s="125"/>
      <c r="AY370" s="125">
        <f t="shared" si="89"/>
        <v>0.27700000000000002</v>
      </c>
      <c r="AZ370" s="125"/>
      <c r="BA370" s="125">
        <f t="shared" si="90"/>
        <v>0.158</v>
      </c>
      <c r="BB370" s="125">
        <v>0.01</v>
      </c>
      <c r="BC370" s="125">
        <f t="shared" si="83"/>
        <v>1</v>
      </c>
      <c r="BD370" s="240">
        <f t="shared" si="91"/>
        <v>0.21543035000000002</v>
      </c>
      <c r="BE370" s="243">
        <f t="shared" si="74"/>
        <v>0.21543035000000002</v>
      </c>
      <c r="BF370" s="329">
        <v>0.39900000000000002</v>
      </c>
      <c r="BG370" s="329">
        <v>0.05</v>
      </c>
      <c r="BH370" s="329">
        <v>0.05</v>
      </c>
      <c r="BI370" s="329"/>
      <c r="BJ370" s="329"/>
      <c r="BK370" s="329">
        <v>0.12759999999999999</v>
      </c>
      <c r="BL370" s="329">
        <v>1.44E-2</v>
      </c>
      <c r="BM370" s="329">
        <v>0.249</v>
      </c>
      <c r="BN370" s="329">
        <v>0.01</v>
      </c>
      <c r="BO370" s="329">
        <v>0.1</v>
      </c>
      <c r="BP370" s="235">
        <f t="shared" si="92"/>
        <v>1</v>
      </c>
      <c r="BQ370" s="243">
        <f t="shared" si="93"/>
        <v>0.12051615000000003</v>
      </c>
      <c r="BS370" s="341">
        <f t="array" ref="BS370">((1+8.5/100)^(1/12)-1)*100</f>
        <v>0.68214933659622723</v>
      </c>
      <c r="BT370" s="341"/>
      <c r="BU370" s="341"/>
      <c r="BV370" s="341">
        <f t="array" ref="BV370">((1+4.5/100)^(1/12)-1)*100</f>
        <v>0.36748094004368514</v>
      </c>
      <c r="BW370" s="341">
        <f t="array" ref="BW370">((1+8.5/100)^(1/12)-1)*100</f>
        <v>0.68214933659622723</v>
      </c>
      <c r="BX370" s="341">
        <f t="array" ref="BX370">((1+7.7/100)^(1/12)-1)*100</f>
        <v>0.62007621358530773</v>
      </c>
      <c r="BY370" s="341">
        <f t="shared" si="94"/>
        <v>0.5943654595210639</v>
      </c>
      <c r="BZ370" s="341">
        <f t="shared" si="84"/>
        <v>0.68214933659622723</v>
      </c>
      <c r="CA370" s="341"/>
      <c r="CB370" s="243">
        <f t="shared" si="79"/>
        <v>0.64340301100034303</v>
      </c>
      <c r="CC370" s="243"/>
      <c r="CD370" s="243">
        <f t="shared" si="82"/>
        <v>0.64340301100034303</v>
      </c>
      <c r="CG370" s="734">
        <f t="shared" si="72"/>
        <v>0.27137</v>
      </c>
      <c r="CJ370" s="1264">
        <f t="shared" si="81"/>
        <v>0.79741404289037643</v>
      </c>
    </row>
    <row r="371" spans="1:90" x14ac:dyDescent="0.2">
      <c r="A371" s="19">
        <v>38807</v>
      </c>
      <c r="B371" s="262">
        <v>1.2447600000000001</v>
      </c>
      <c r="C371" s="262">
        <v>0.79500000000000004</v>
      </c>
      <c r="D371" s="262">
        <v>1.7049000000000001</v>
      </c>
      <c r="E371" s="262">
        <v>2.4971000000000001</v>
      </c>
      <c r="F371" s="262">
        <v>2.3252000000000002</v>
      </c>
      <c r="G371" s="262">
        <v>2.6633</v>
      </c>
      <c r="H371" s="262">
        <v>4.8517000000000001</v>
      </c>
      <c r="I371" s="262">
        <v>4.8601999999999999</v>
      </c>
      <c r="J371" s="262">
        <v>4.8434999999999997</v>
      </c>
      <c r="K371" s="128">
        <v>4.9065000000000003</v>
      </c>
      <c r="L371" s="128">
        <v>5.0365000000000002</v>
      </c>
      <c r="M371" s="128">
        <v>4.7866</v>
      </c>
      <c r="N371" s="262">
        <f t="shared" si="85"/>
        <v>4.8517000000000001</v>
      </c>
      <c r="O371" s="262">
        <f t="shared" si="86"/>
        <v>4.8601999999999999</v>
      </c>
      <c r="P371" s="262">
        <f t="shared" si="87"/>
        <v>4.8434999999999997</v>
      </c>
      <c r="Q371" s="262">
        <v>4.2678099999999999</v>
      </c>
      <c r="R371" s="128">
        <v>3.8875000000000002</v>
      </c>
      <c r="S371" s="128">
        <v>1.7285999999999999</v>
      </c>
      <c r="T371" s="128">
        <f t="shared" si="80"/>
        <v>1.7285999999999999</v>
      </c>
      <c r="U371" s="262">
        <v>2.9049999999999998</v>
      </c>
      <c r="V371" s="262">
        <v>4.8646000000000003</v>
      </c>
      <c r="W371" s="262">
        <v>-0.98129999999999995</v>
      </c>
      <c r="X371" s="128">
        <v>-0.60980000000000001</v>
      </c>
      <c r="Y371" s="128"/>
      <c r="Z371" s="128">
        <v>2.4500999999999999</v>
      </c>
      <c r="AA371" s="262">
        <v>3.3448799999999999</v>
      </c>
      <c r="AB371" s="262">
        <v>3.9249999999999998</v>
      </c>
      <c r="AC371" s="262">
        <v>2.7740999999999998</v>
      </c>
      <c r="AD371" s="277">
        <v>0.95520000000000005</v>
      </c>
      <c r="AE371" s="277">
        <f t="shared" si="78"/>
        <v>0.95520000000000005</v>
      </c>
      <c r="AF371" s="277">
        <f t="shared" si="95"/>
        <v>2.9049999999999998</v>
      </c>
      <c r="AG371" s="128">
        <v>1.8527</v>
      </c>
      <c r="AH371" s="352">
        <v>5.33</v>
      </c>
      <c r="AI371"/>
      <c r="AJ371"/>
      <c r="AK371"/>
      <c r="AL371"/>
      <c r="AM371" s="268"/>
      <c r="AN371" s="262">
        <v>2.9045999999999998</v>
      </c>
      <c r="AO371" s="262">
        <v>2.9049999999999998</v>
      </c>
      <c r="AP371" s="262"/>
      <c r="AQ371" s="262"/>
      <c r="AR371" s="262"/>
      <c r="AS371" s="262"/>
      <c r="AT371" s="262"/>
      <c r="AU371" s="262"/>
      <c r="AV371" s="125">
        <f t="shared" si="88"/>
        <v>0.55500000000000005</v>
      </c>
      <c r="AW371" s="125"/>
      <c r="AX371" s="125"/>
      <c r="AY371" s="125">
        <f t="shared" si="89"/>
        <v>0.27700000000000002</v>
      </c>
      <c r="AZ371" s="125"/>
      <c r="BA371" s="125">
        <f t="shared" si="90"/>
        <v>0.158</v>
      </c>
      <c r="BB371" s="125">
        <v>0.01</v>
      </c>
      <c r="BC371" s="125">
        <f t="shared" si="83"/>
        <v>1</v>
      </c>
      <c r="BD371" s="240">
        <f t="shared" si="91"/>
        <v>0.89653870000000002</v>
      </c>
      <c r="BE371" s="243">
        <f t="shared" si="74"/>
        <v>0.89653870000000002</v>
      </c>
      <c r="BF371" s="329">
        <v>0.39900000000000002</v>
      </c>
      <c r="BG371" s="329">
        <v>0.05</v>
      </c>
      <c r="BH371" s="329">
        <v>0.05</v>
      </c>
      <c r="BI371" s="329"/>
      <c r="BJ371" s="329"/>
      <c r="BK371" s="329">
        <v>0.12759999999999999</v>
      </c>
      <c r="BL371" s="329">
        <v>1.44E-2</v>
      </c>
      <c r="BM371" s="329">
        <v>0.249</v>
      </c>
      <c r="BN371" s="329">
        <v>0.01</v>
      </c>
      <c r="BO371" s="329">
        <v>0.1</v>
      </c>
      <c r="BP371" s="235">
        <f t="shared" si="92"/>
        <v>1</v>
      </c>
      <c r="BQ371" s="243">
        <f t="shared" si="93"/>
        <v>1.1745307800000002</v>
      </c>
      <c r="BS371" s="341">
        <f t="array" ref="BS371">((1+8.5/100)^(1/12)-1)*100</f>
        <v>0.68214933659622723</v>
      </c>
      <c r="BT371" s="341"/>
      <c r="BU371" s="341"/>
      <c r="BV371" s="341">
        <f t="array" ref="BV371">((1+4.5/100)^(1/12)-1)*100</f>
        <v>0.36748094004368514</v>
      </c>
      <c r="BW371" s="341">
        <f t="array" ref="BW371">((1+8.5/100)^(1/12)-1)*100</f>
        <v>0.68214933659622723</v>
      </c>
      <c r="BX371" s="341">
        <f t="array" ref="BX371">((1+7.7/100)^(1/12)-1)*100</f>
        <v>0.62007621358530773</v>
      </c>
      <c r="BY371" s="341">
        <f t="shared" si="94"/>
        <v>0.5943654595210639</v>
      </c>
      <c r="BZ371" s="341">
        <f t="shared" si="84"/>
        <v>0.68214933659622723</v>
      </c>
      <c r="CA371" s="341"/>
      <c r="CB371" s="243">
        <f t="shared" si="79"/>
        <v>0.64340301100034303</v>
      </c>
      <c r="CC371" s="243"/>
      <c r="CD371" s="243">
        <f t="shared" si="82"/>
        <v>0.64340301100034303</v>
      </c>
      <c r="CG371" s="734">
        <f t="shared" si="72"/>
        <v>1.2447600000000001</v>
      </c>
      <c r="CJ371" s="1264">
        <f t="shared" si="81"/>
        <v>0.79741404289037643</v>
      </c>
    </row>
    <row r="372" spans="1:90" x14ac:dyDescent="0.2">
      <c r="A372" s="19">
        <v>38837</v>
      </c>
      <c r="B372" s="262">
        <v>1.3427500000000001</v>
      </c>
      <c r="C372" s="262">
        <v>-8.0299999999999996E-2</v>
      </c>
      <c r="D372" s="262">
        <v>2.7885</v>
      </c>
      <c r="E372" s="262">
        <v>1.4072</v>
      </c>
      <c r="F372" s="262">
        <v>0.65190000000000003</v>
      </c>
      <c r="G372" s="262">
        <v>2.0985999999999998</v>
      </c>
      <c r="H372" s="262">
        <v>-1.6299999999999999E-2</v>
      </c>
      <c r="I372" s="262">
        <v>-0.28870000000000001</v>
      </c>
      <c r="J372" s="262">
        <v>0.26740000000000003</v>
      </c>
      <c r="K372" s="128">
        <v>-9.1999999999999998E-3</v>
      </c>
      <c r="L372" s="128">
        <v>-0.17080000000000001</v>
      </c>
      <c r="M372" s="128">
        <v>0.14069999999999999</v>
      </c>
      <c r="N372" s="262">
        <f t="shared" si="85"/>
        <v>-1.6299999999999999E-2</v>
      </c>
      <c r="O372" s="262">
        <f t="shared" si="86"/>
        <v>-0.28870000000000001</v>
      </c>
      <c r="P372" s="262">
        <f t="shared" si="87"/>
        <v>0.26740000000000003</v>
      </c>
      <c r="Q372" s="262">
        <v>0.30640000000000001</v>
      </c>
      <c r="R372" s="128">
        <v>0.35049999999999998</v>
      </c>
      <c r="S372" s="128">
        <v>1.0849</v>
      </c>
      <c r="T372" s="128">
        <f t="shared" si="80"/>
        <v>1.0849</v>
      </c>
      <c r="U372" s="262">
        <v>5.1559999999999997</v>
      </c>
      <c r="V372" s="262">
        <v>4.3884999999999996</v>
      </c>
      <c r="W372" s="262">
        <v>-0.18129999999999999</v>
      </c>
      <c r="X372" s="128">
        <v>3.5700000000000003E-2</v>
      </c>
      <c r="Y372" s="128"/>
      <c r="Z372" s="128">
        <v>2.3380999999999998</v>
      </c>
      <c r="AA372" s="262">
        <v>4.8498999999999999</v>
      </c>
      <c r="AB372" s="262">
        <v>4.5938999999999997</v>
      </c>
      <c r="AC372" s="262">
        <v>5.1055000000000001</v>
      </c>
      <c r="AD372" s="277">
        <v>1.476</v>
      </c>
      <c r="AE372" s="277">
        <f t="shared" si="78"/>
        <v>1.476</v>
      </c>
      <c r="AF372" s="277">
        <f t="shared" si="95"/>
        <v>5.1559999999999997</v>
      </c>
      <c r="AG372" s="128">
        <v>1.2592000000000001</v>
      </c>
      <c r="AH372" s="352">
        <v>-3.69</v>
      </c>
      <c r="AI372"/>
      <c r="AJ372"/>
      <c r="AK372"/>
      <c r="AL372"/>
      <c r="AM372" s="268"/>
      <c r="AN372" s="262">
        <v>5.1562000000000001</v>
      </c>
      <c r="AO372" s="262">
        <v>5.1559999999999997</v>
      </c>
      <c r="AP372" s="262"/>
      <c r="AQ372" s="262"/>
      <c r="AR372" s="262"/>
      <c r="AS372" s="262"/>
      <c r="AT372" s="262"/>
      <c r="AU372" s="262"/>
      <c r="AV372" s="125">
        <f t="shared" si="88"/>
        <v>0.55500000000000005</v>
      </c>
      <c r="AW372" s="125"/>
      <c r="AX372" s="125"/>
      <c r="AY372" s="125">
        <f t="shared" si="89"/>
        <v>0.27700000000000002</v>
      </c>
      <c r="AZ372" s="125"/>
      <c r="BA372" s="125">
        <f t="shared" si="90"/>
        <v>0.158</v>
      </c>
      <c r="BB372" s="125">
        <v>0.01</v>
      </c>
      <c r="BC372" s="125">
        <f t="shared" ref="BC372:BC377" si="96">SUM(AV372:BB372)</f>
        <v>1</v>
      </c>
      <c r="BD372" s="240">
        <f t="shared" si="91"/>
        <v>1.52224615</v>
      </c>
      <c r="BE372" s="243">
        <f t="shared" si="74"/>
        <v>1.52224615</v>
      </c>
      <c r="BF372" s="329">
        <v>0.39900000000000002</v>
      </c>
      <c r="BG372" s="329">
        <v>0.05</v>
      </c>
      <c r="BH372" s="329">
        <v>0.05</v>
      </c>
      <c r="BI372" s="329"/>
      <c r="BJ372" s="329"/>
      <c r="BK372" s="329">
        <v>0.12759999999999999</v>
      </c>
      <c r="BL372" s="329">
        <v>1.44E-2</v>
      </c>
      <c r="BM372" s="329">
        <v>0.249</v>
      </c>
      <c r="BN372" s="329">
        <v>0.01</v>
      </c>
      <c r="BO372" s="329">
        <v>0.1</v>
      </c>
      <c r="BP372" s="235">
        <f t="shared" ref="BP372:BP383" si="97">SUM(BF372:BO372)</f>
        <v>1</v>
      </c>
      <c r="BQ372" s="243">
        <f t="shared" si="93"/>
        <v>1.4414505499999999</v>
      </c>
      <c r="BS372" s="341">
        <f t="array" ref="BS372">((1+8.5/100)^(1/12)-1)*100</f>
        <v>0.68214933659622723</v>
      </c>
      <c r="BT372" s="341"/>
      <c r="BU372" s="341"/>
      <c r="BV372" s="341">
        <f t="array" ref="BV372">((1+4.5/100)^(1/12)-1)*100</f>
        <v>0.36748094004368514</v>
      </c>
      <c r="BW372" s="341">
        <f t="array" ref="BW372">((1+8.5/100)^(1/12)-1)*100</f>
        <v>0.68214933659622723</v>
      </c>
      <c r="BX372" s="341">
        <f t="array" ref="BX372">((1+7.7/100)^(1/12)-1)*100</f>
        <v>0.62007621358530773</v>
      </c>
      <c r="BY372" s="341">
        <f t="shared" ref="BY372:BY377" si="98">(BS372*AV372)+(BV372*AY372)+(BW372*BA372)+(BX372*BB372)</f>
        <v>0.5943654595210639</v>
      </c>
      <c r="BZ372" s="341">
        <f t="shared" si="84"/>
        <v>0.68214933659622723</v>
      </c>
      <c r="CA372" s="341"/>
      <c r="CB372" s="243">
        <f t="shared" si="79"/>
        <v>0.64340301100034303</v>
      </c>
      <c r="CC372" s="243"/>
      <c r="CD372" s="243">
        <f t="shared" si="82"/>
        <v>0.64340301100034303</v>
      </c>
      <c r="CG372" s="734">
        <f t="shared" si="72"/>
        <v>1.3427500000000001</v>
      </c>
      <c r="CJ372" s="1264">
        <f t="shared" si="81"/>
        <v>0.79741404289037643</v>
      </c>
    </row>
    <row r="373" spans="1:90" x14ac:dyDescent="0.2">
      <c r="A373" s="19">
        <v>38868</v>
      </c>
      <c r="B373" s="262">
        <v>-2.8781300000000001</v>
      </c>
      <c r="C373" s="262">
        <v>-3.3155000000000001</v>
      </c>
      <c r="D373" s="262">
        <v>-2.4453999999999998</v>
      </c>
      <c r="E373" s="262">
        <v>-4.5103</v>
      </c>
      <c r="F373" s="262">
        <v>-5.0781999999999998</v>
      </c>
      <c r="G373" s="262">
        <v>-4.0016999999999996</v>
      </c>
      <c r="H373" s="262">
        <v>-5.6159999999999997</v>
      </c>
      <c r="I373" s="262">
        <v>-7.0374999999999996</v>
      </c>
      <c r="J373" s="262">
        <v>-4.1407999999999996</v>
      </c>
      <c r="K373" s="128">
        <v>-4.5666000000000002</v>
      </c>
      <c r="L373" s="128">
        <v>-4.5909000000000004</v>
      </c>
      <c r="M373" s="128">
        <v>-4.5456000000000003</v>
      </c>
      <c r="N373" s="262">
        <f t="shared" si="85"/>
        <v>-5.6159999999999997</v>
      </c>
      <c r="O373" s="262">
        <f t="shared" si="86"/>
        <v>-7.0374999999999996</v>
      </c>
      <c r="P373" s="262">
        <f t="shared" si="87"/>
        <v>-4.1407999999999996</v>
      </c>
      <c r="Q373" s="262">
        <v>-5.9661999999999997</v>
      </c>
      <c r="R373" s="128">
        <v>-4.7229999999999999</v>
      </c>
      <c r="S373" s="128">
        <v>-3.2016</v>
      </c>
      <c r="T373" s="128">
        <f t="shared" si="80"/>
        <v>-3.2016</v>
      </c>
      <c r="U373" s="262">
        <v>-4.6100000000000003</v>
      </c>
      <c r="V373" s="262">
        <v>-5.6856</v>
      </c>
      <c r="W373" s="262">
        <v>-0.1067</v>
      </c>
      <c r="X373" s="128">
        <v>-8.1600000000000006E-2</v>
      </c>
      <c r="Y373" s="128"/>
      <c r="Z373" s="128">
        <v>-2.8374000000000001</v>
      </c>
      <c r="AA373" s="262">
        <v>-3.7631600000000001</v>
      </c>
      <c r="AB373" s="262">
        <v>-4.1226000000000003</v>
      </c>
      <c r="AC373" s="262">
        <v>-3.3908</v>
      </c>
      <c r="AD373" s="277">
        <v>-2.2456999999999998</v>
      </c>
      <c r="AE373" s="277">
        <f t="shared" si="78"/>
        <v>-2.2456999999999998</v>
      </c>
      <c r="AF373" s="277">
        <f t="shared" si="95"/>
        <v>-4.6100000000000003</v>
      </c>
      <c r="AG373" s="128">
        <v>1.2633000000000001</v>
      </c>
      <c r="AH373" s="352">
        <v>-2.81</v>
      </c>
      <c r="AI373"/>
      <c r="AJ373"/>
      <c r="AK373"/>
      <c r="AL373"/>
      <c r="AM373" s="268"/>
      <c r="AN373" s="262">
        <v>-4.6102999999999996</v>
      </c>
      <c r="AO373" s="262">
        <v>-4.6100000000000003</v>
      </c>
      <c r="AP373" s="262"/>
      <c r="AQ373" s="262"/>
      <c r="AR373" s="262"/>
      <c r="AS373" s="262"/>
      <c r="AT373" s="262"/>
      <c r="AU373" s="262"/>
      <c r="AV373" s="125">
        <f t="shared" si="88"/>
        <v>0.55500000000000005</v>
      </c>
      <c r="AW373" s="125"/>
      <c r="AX373" s="125"/>
      <c r="AY373" s="125">
        <f t="shared" si="89"/>
        <v>0.27700000000000002</v>
      </c>
      <c r="AZ373" s="125"/>
      <c r="BA373" s="125">
        <f t="shared" si="90"/>
        <v>0.158</v>
      </c>
      <c r="BB373" s="125">
        <v>0.01</v>
      </c>
      <c r="BC373" s="125">
        <f t="shared" si="96"/>
        <v>1</v>
      </c>
      <c r="BD373" s="240">
        <f t="shared" si="91"/>
        <v>-2.3426650499999999</v>
      </c>
      <c r="BE373" s="243">
        <f t="shared" si="74"/>
        <v>-2.3426650499999999</v>
      </c>
      <c r="BF373" s="329">
        <v>0.39900000000000002</v>
      </c>
      <c r="BG373" s="329">
        <v>0.05</v>
      </c>
      <c r="BH373" s="329">
        <v>0.05</v>
      </c>
      <c r="BI373" s="329"/>
      <c r="BJ373" s="329"/>
      <c r="BK373" s="329">
        <v>0.12759999999999999</v>
      </c>
      <c r="BL373" s="329">
        <v>1.44E-2</v>
      </c>
      <c r="BM373" s="329">
        <v>0.249</v>
      </c>
      <c r="BN373" s="329">
        <v>0.01</v>
      </c>
      <c r="BO373" s="329">
        <v>0.1</v>
      </c>
      <c r="BP373" s="235">
        <f t="shared" si="97"/>
        <v>1</v>
      </c>
      <c r="BQ373" s="243">
        <f t="shared" si="93"/>
        <v>-2.5633028100000002</v>
      </c>
      <c r="BS373" s="341">
        <f t="array" ref="BS373">((1+8.5/100)^(1/12)-1)*100</f>
        <v>0.68214933659622723</v>
      </c>
      <c r="BT373" s="341"/>
      <c r="BU373" s="341"/>
      <c r="BV373" s="341">
        <f t="array" ref="BV373">((1+4.5/100)^(1/12)-1)*100</f>
        <v>0.36748094004368514</v>
      </c>
      <c r="BW373" s="341">
        <f t="array" ref="BW373">((1+8.5/100)^(1/12)-1)*100</f>
        <v>0.68214933659622723</v>
      </c>
      <c r="BX373" s="341">
        <f t="array" ref="BX373">((1+7.7/100)^(1/12)-1)*100</f>
        <v>0.62007621358530773</v>
      </c>
      <c r="BY373" s="341">
        <f t="shared" si="98"/>
        <v>0.5943654595210639</v>
      </c>
      <c r="BZ373" s="341">
        <f t="shared" si="84"/>
        <v>0.68214933659622723</v>
      </c>
      <c r="CA373" s="341"/>
      <c r="CB373" s="243">
        <f t="shared" si="79"/>
        <v>0.64340301100034303</v>
      </c>
      <c r="CC373" s="243"/>
      <c r="CD373" s="243">
        <f t="shared" si="82"/>
        <v>0.64340301100034303</v>
      </c>
      <c r="CG373" s="734">
        <f t="shared" si="72"/>
        <v>-2.8781300000000001</v>
      </c>
      <c r="CJ373" s="1264">
        <f t="shared" si="81"/>
        <v>0.79741404289037643</v>
      </c>
    </row>
    <row r="374" spans="1:90" x14ac:dyDescent="0.2">
      <c r="A374" s="19">
        <v>38898</v>
      </c>
      <c r="B374" s="262">
        <v>0.13556000000000001</v>
      </c>
      <c r="C374" s="262">
        <v>-6.9199999999999998E-2</v>
      </c>
      <c r="D374" s="262">
        <v>0.33610000000000001</v>
      </c>
      <c r="E374" s="262">
        <v>2.2599999999999999E-2</v>
      </c>
      <c r="F374" s="262">
        <v>9.2299999999999993E-2</v>
      </c>
      <c r="G374" s="262">
        <v>-3.4299999999999997E-2</v>
      </c>
      <c r="H374" s="262">
        <v>0.64290000000000003</v>
      </c>
      <c r="I374" s="262">
        <v>6.0299999999999999E-2</v>
      </c>
      <c r="J374" s="262">
        <v>1.2283999999999999</v>
      </c>
      <c r="K374" s="128">
        <v>1.8800000000000001E-2</v>
      </c>
      <c r="L374" s="128">
        <v>-0.37269999999999998</v>
      </c>
      <c r="M374" s="128">
        <v>0.3871</v>
      </c>
      <c r="N374" s="262">
        <f t="shared" si="85"/>
        <v>0.64290000000000003</v>
      </c>
      <c r="O374" s="262">
        <f t="shared" si="86"/>
        <v>6.0299999999999999E-2</v>
      </c>
      <c r="P374" s="262">
        <f t="shared" si="87"/>
        <v>1.2283999999999999</v>
      </c>
      <c r="Q374" s="262">
        <v>-0.47372999999999998</v>
      </c>
      <c r="R374" s="128">
        <v>4.9599999999999998E-2</v>
      </c>
      <c r="S374" s="128">
        <v>0.1769</v>
      </c>
      <c r="T374" s="128">
        <f t="shared" si="80"/>
        <v>0.1769</v>
      </c>
      <c r="U374" s="262">
        <v>-0.1</v>
      </c>
      <c r="V374" s="262">
        <v>-2.161</v>
      </c>
      <c r="W374" s="262">
        <v>0.21199999999999999</v>
      </c>
      <c r="X374" s="128">
        <v>0.16750000000000001</v>
      </c>
      <c r="Y374" s="128"/>
      <c r="Z374" s="128">
        <v>-1.0108999999999999</v>
      </c>
      <c r="AA374" s="262">
        <v>3.6659999999999998E-2</v>
      </c>
      <c r="AB374" s="262">
        <v>0.14560000000000001</v>
      </c>
      <c r="AC374" s="262">
        <v>-6.5199999999999994E-2</v>
      </c>
      <c r="AD374" s="277">
        <v>0.1431</v>
      </c>
      <c r="AE374" s="277">
        <f t="shared" si="78"/>
        <v>0.1431</v>
      </c>
      <c r="AF374" s="277">
        <f t="shared" si="95"/>
        <v>-0.1</v>
      </c>
      <c r="AG374" s="128">
        <v>1.2635000000000001</v>
      </c>
      <c r="AH374" s="352">
        <v>5.72</v>
      </c>
      <c r="AI374"/>
      <c r="AJ374"/>
      <c r="AK374"/>
      <c r="AL374"/>
      <c r="AM374" s="268"/>
      <c r="AN374" s="262">
        <v>-9.9699999999999997E-2</v>
      </c>
      <c r="AO374" s="262">
        <v>-0.1</v>
      </c>
      <c r="AP374" s="262"/>
      <c r="AQ374" s="262"/>
      <c r="AR374" s="262"/>
      <c r="AS374" s="262"/>
      <c r="AT374" s="262"/>
      <c r="AU374" s="262"/>
      <c r="AV374" s="125">
        <f t="shared" si="88"/>
        <v>0.55500000000000005</v>
      </c>
      <c r="AW374" s="125"/>
      <c r="AX374" s="125"/>
      <c r="AY374" s="125">
        <f t="shared" si="89"/>
        <v>0.27700000000000002</v>
      </c>
      <c r="AZ374" s="125"/>
      <c r="BA374" s="125">
        <f t="shared" si="90"/>
        <v>0.158</v>
      </c>
      <c r="BB374" s="125">
        <v>0.01</v>
      </c>
      <c r="BC374" s="125">
        <f t="shared" si="96"/>
        <v>1</v>
      </c>
      <c r="BD374" s="240">
        <f t="shared" si="91"/>
        <v>0.13079480000000002</v>
      </c>
      <c r="BE374" s="243">
        <f t="shared" si="74"/>
        <v>0.13079480000000002</v>
      </c>
      <c r="BF374" s="329">
        <v>0.39900000000000002</v>
      </c>
      <c r="BG374" s="329">
        <v>0.05</v>
      </c>
      <c r="BH374" s="329">
        <v>0.05</v>
      </c>
      <c r="BI374" s="329"/>
      <c r="BJ374" s="329"/>
      <c r="BK374" s="329">
        <v>0.12759999999999999</v>
      </c>
      <c r="BL374" s="329">
        <v>1.44E-2</v>
      </c>
      <c r="BM374" s="329">
        <v>0.249</v>
      </c>
      <c r="BN374" s="329">
        <v>0.01</v>
      </c>
      <c r="BO374" s="329">
        <v>0.1</v>
      </c>
      <c r="BP374" s="235">
        <f t="shared" si="97"/>
        <v>1</v>
      </c>
      <c r="BQ374" s="243">
        <f t="shared" si="93"/>
        <v>0.12321804000000003</v>
      </c>
      <c r="BS374" s="341">
        <f t="array" ref="BS374">((1+8.5/100)^(1/12)-1)*100</f>
        <v>0.68214933659622723</v>
      </c>
      <c r="BT374" s="341"/>
      <c r="BU374" s="341"/>
      <c r="BV374" s="341">
        <f t="array" ref="BV374">((1+4.5/100)^(1/12)-1)*100</f>
        <v>0.36748094004368514</v>
      </c>
      <c r="BW374" s="341">
        <f t="array" ref="BW374">((1+8.5/100)^(1/12)-1)*100</f>
        <v>0.68214933659622723</v>
      </c>
      <c r="BX374" s="341">
        <f t="array" ref="BX374">((1+7.7/100)^(1/12)-1)*100</f>
        <v>0.62007621358530773</v>
      </c>
      <c r="BY374" s="341">
        <f t="shared" si="98"/>
        <v>0.5943654595210639</v>
      </c>
      <c r="BZ374" s="341">
        <f t="shared" si="84"/>
        <v>0.68214933659622723</v>
      </c>
      <c r="CA374" s="341"/>
      <c r="CB374" s="243">
        <f t="shared" si="79"/>
        <v>0.64340301100034303</v>
      </c>
      <c r="CC374" s="243"/>
      <c r="CD374" s="243">
        <f t="shared" si="82"/>
        <v>0.64340301100034303</v>
      </c>
      <c r="CG374" s="734">
        <f t="shared" si="72"/>
        <v>0.13556000000000001</v>
      </c>
      <c r="CJ374" s="1264">
        <f t="shared" si="81"/>
        <v>0.79741404289037643</v>
      </c>
    </row>
    <row r="375" spans="1:90" x14ac:dyDescent="0.2">
      <c r="A375" s="19">
        <v>38929</v>
      </c>
      <c r="B375" s="262">
        <v>0.61685000000000001</v>
      </c>
      <c r="C375" s="262">
        <v>0.22220000000000001</v>
      </c>
      <c r="D375" s="262">
        <v>1.0031000000000001</v>
      </c>
      <c r="E375" s="262">
        <v>-2.8519000000000001</v>
      </c>
      <c r="F375" s="262">
        <v>-3.5720999999999998</v>
      </c>
      <c r="G375" s="262">
        <v>-2.2336999999999998</v>
      </c>
      <c r="H375" s="262">
        <v>-3.2538999999999998</v>
      </c>
      <c r="I375" s="262">
        <v>-5.1947000000000001</v>
      </c>
      <c r="J375" s="262">
        <v>-1.3869</v>
      </c>
      <c r="K375" s="128">
        <v>-3.4357000000000002</v>
      </c>
      <c r="L375" s="128">
        <v>-3.6013000000000002</v>
      </c>
      <c r="M375" s="128">
        <v>-3.2797999999999998</v>
      </c>
      <c r="N375" s="262">
        <f t="shared" si="85"/>
        <v>-3.2538999999999998</v>
      </c>
      <c r="O375" s="262">
        <f t="shared" si="86"/>
        <v>-5.1947000000000001</v>
      </c>
      <c r="P375" s="262">
        <f t="shared" si="87"/>
        <v>-1.3869</v>
      </c>
      <c r="Q375" s="262">
        <v>-4.87331</v>
      </c>
      <c r="R375" s="128">
        <v>-3.1454</v>
      </c>
      <c r="S375" s="128">
        <v>-9.3700000000000006E-2</v>
      </c>
      <c r="T375" s="128">
        <f t="shared" si="80"/>
        <v>-9.3700000000000006E-2</v>
      </c>
      <c r="U375" s="262">
        <v>1.0229999999999999</v>
      </c>
      <c r="V375" s="262">
        <v>-2.6958000000000002</v>
      </c>
      <c r="W375" s="262">
        <v>1.3522000000000001</v>
      </c>
      <c r="X375" s="128">
        <v>1.2612000000000001</v>
      </c>
      <c r="Y375" s="128"/>
      <c r="Z375" s="128">
        <v>-4.9299999999999997E-2</v>
      </c>
      <c r="AA375" s="262">
        <v>1.00136</v>
      </c>
      <c r="AB375" s="262">
        <v>0.47049999999999997</v>
      </c>
      <c r="AC375" s="262">
        <v>1.5305</v>
      </c>
      <c r="AD375" s="277">
        <v>0.88539999999999996</v>
      </c>
      <c r="AE375" s="277">
        <f t="shared" si="78"/>
        <v>0.88539999999999996</v>
      </c>
      <c r="AF375" s="277">
        <f t="shared" si="95"/>
        <v>1.0229999999999999</v>
      </c>
      <c r="AG375" s="128">
        <v>1.39</v>
      </c>
      <c r="AH375" s="352">
        <v>3.55</v>
      </c>
      <c r="AI375"/>
      <c r="AJ375"/>
      <c r="AK375"/>
      <c r="AL375"/>
      <c r="AM375" s="268"/>
      <c r="AN375" s="262">
        <v>1.0230999999999999</v>
      </c>
      <c r="AO375" s="262">
        <v>1.0229999999999999</v>
      </c>
      <c r="AP375" s="262"/>
      <c r="AQ375" s="262"/>
      <c r="AR375" s="262"/>
      <c r="AS375" s="262"/>
      <c r="AT375" s="262"/>
      <c r="AU375" s="262"/>
      <c r="AV375" s="125">
        <f t="shared" si="88"/>
        <v>0.55500000000000005</v>
      </c>
      <c r="AW375" s="125"/>
      <c r="AX375" s="125"/>
      <c r="AY375" s="125">
        <f t="shared" si="89"/>
        <v>0.27700000000000002</v>
      </c>
      <c r="AZ375" s="125"/>
      <c r="BA375" s="125">
        <f t="shared" si="90"/>
        <v>0.158</v>
      </c>
      <c r="BB375" s="125">
        <v>0.01</v>
      </c>
      <c r="BC375" s="125">
        <f t="shared" si="96"/>
        <v>1</v>
      </c>
      <c r="BD375" s="240">
        <f t="shared" si="91"/>
        <v>0.89244515000000013</v>
      </c>
      <c r="BE375" s="243">
        <f t="shared" si="74"/>
        <v>0.89244515000000013</v>
      </c>
      <c r="BF375" s="329">
        <v>0.39900000000000002</v>
      </c>
      <c r="BG375" s="329">
        <v>0.05</v>
      </c>
      <c r="BH375" s="329">
        <v>0.05</v>
      </c>
      <c r="BI375" s="329"/>
      <c r="BJ375" s="329"/>
      <c r="BK375" s="329">
        <v>0.12759999999999999</v>
      </c>
      <c r="BL375" s="329">
        <v>1.44E-2</v>
      </c>
      <c r="BM375" s="329">
        <v>0.249</v>
      </c>
      <c r="BN375" s="329">
        <v>0.01</v>
      </c>
      <c r="BO375" s="329">
        <v>0.1</v>
      </c>
      <c r="BP375" s="235">
        <f t="shared" si="97"/>
        <v>1</v>
      </c>
      <c r="BQ375" s="243">
        <f t="shared" si="93"/>
        <v>0.47168622999999998</v>
      </c>
      <c r="BS375" s="341">
        <f t="array" ref="BS375">((1+8.5/100)^(1/12)-1)*100</f>
        <v>0.68214933659622723</v>
      </c>
      <c r="BT375" s="341"/>
      <c r="BU375" s="341"/>
      <c r="BV375" s="341">
        <f t="array" ref="BV375">((1+4.5/100)^(1/12)-1)*100</f>
        <v>0.36748094004368514</v>
      </c>
      <c r="BW375" s="341">
        <f t="array" ref="BW375">((1+8.5/100)^(1/12)-1)*100</f>
        <v>0.68214933659622723</v>
      </c>
      <c r="BX375" s="341">
        <f t="array" ref="BX375">((1+7.7/100)^(1/12)-1)*100</f>
        <v>0.62007621358530773</v>
      </c>
      <c r="BY375" s="341">
        <f t="shared" si="98"/>
        <v>0.5943654595210639</v>
      </c>
      <c r="BZ375" s="341">
        <f t="shared" si="84"/>
        <v>0.68214933659622723</v>
      </c>
      <c r="CA375" s="341"/>
      <c r="CB375" s="243">
        <f t="shared" si="79"/>
        <v>0.64340301100034303</v>
      </c>
      <c r="CD375" s="243">
        <f t="shared" si="82"/>
        <v>0.64340301100034303</v>
      </c>
      <c r="CG375" s="734">
        <f t="shared" si="72"/>
        <v>0.61685000000000001</v>
      </c>
      <c r="CJ375" s="1264">
        <f t="shared" si="81"/>
        <v>0.79741404289037643</v>
      </c>
    </row>
    <row r="376" spans="1:90" x14ac:dyDescent="0.2">
      <c r="A376" s="19">
        <v>38960</v>
      </c>
      <c r="B376" s="262">
        <v>2.3793000000000002</v>
      </c>
      <c r="C376" s="262">
        <v>3.2587000000000002</v>
      </c>
      <c r="D376" s="262">
        <v>1.5262</v>
      </c>
      <c r="E376" s="262">
        <v>1.1429</v>
      </c>
      <c r="F376" s="262">
        <v>0.73599999999999999</v>
      </c>
      <c r="G376" s="262">
        <v>1.4844999999999999</v>
      </c>
      <c r="H376" s="262">
        <v>2.9607000000000001</v>
      </c>
      <c r="I376" s="262">
        <v>2.9291</v>
      </c>
      <c r="J376" s="262">
        <v>2.9889999999999999</v>
      </c>
      <c r="K376" s="128">
        <v>1.7221</v>
      </c>
      <c r="L376" s="128">
        <v>0.69010000000000005</v>
      </c>
      <c r="M376" s="128">
        <v>2.6825999999999999</v>
      </c>
      <c r="N376" s="262">
        <f t="shared" si="85"/>
        <v>2.9607000000000001</v>
      </c>
      <c r="O376" s="262">
        <f t="shared" si="86"/>
        <v>2.9291</v>
      </c>
      <c r="P376" s="262">
        <f t="shared" si="87"/>
        <v>2.9889999999999999</v>
      </c>
      <c r="Q376" s="262">
        <v>2.4044300000000001</v>
      </c>
      <c r="R376" s="128">
        <v>2.5345</v>
      </c>
      <c r="S376" s="128">
        <v>2.4462999999999999</v>
      </c>
      <c r="T376" s="128">
        <f t="shared" si="80"/>
        <v>2.4462999999999999</v>
      </c>
      <c r="U376" s="262">
        <v>2.8340000000000001</v>
      </c>
      <c r="V376" s="262">
        <v>2.8111000000000002</v>
      </c>
      <c r="W376" s="262">
        <v>1.5307999999999999</v>
      </c>
      <c r="X376" s="128">
        <v>1.3486</v>
      </c>
      <c r="Y376" s="128"/>
      <c r="Z376" s="128">
        <v>1.5399</v>
      </c>
      <c r="AA376" s="262">
        <v>2.77685</v>
      </c>
      <c r="AB376" s="262">
        <v>2.4209999999999998</v>
      </c>
      <c r="AC376" s="262">
        <v>3.1271</v>
      </c>
      <c r="AD376" s="277">
        <v>2.2054999999999998</v>
      </c>
      <c r="AE376" s="277">
        <f t="shared" si="78"/>
        <v>2.2054999999999998</v>
      </c>
      <c r="AF376" s="277">
        <f t="shared" si="95"/>
        <v>2.8340000000000001</v>
      </c>
      <c r="AG376" s="128">
        <v>1.3904000000000001</v>
      </c>
      <c r="AH376" s="352">
        <v>3.38</v>
      </c>
      <c r="AI376"/>
      <c r="AJ376"/>
      <c r="AK376"/>
      <c r="AL376"/>
      <c r="AM376" s="268"/>
      <c r="AN376" s="262">
        <v>2.8342999999999998</v>
      </c>
      <c r="AO376" s="262">
        <v>2.8340000000000001</v>
      </c>
      <c r="AP376" s="262"/>
      <c r="AQ376" s="262"/>
      <c r="AR376" s="262"/>
      <c r="AS376" s="262"/>
      <c r="AT376" s="262"/>
      <c r="AU376" s="262"/>
      <c r="AV376" s="125">
        <f t="shared" si="88"/>
        <v>0.55500000000000005</v>
      </c>
      <c r="AW376" s="125"/>
      <c r="AX376" s="125"/>
      <c r="AY376" s="125">
        <f t="shared" si="89"/>
        <v>0.27700000000000002</v>
      </c>
      <c r="AZ376" s="125"/>
      <c r="BA376" s="125">
        <f t="shared" si="90"/>
        <v>0.158</v>
      </c>
      <c r="BB376" s="125">
        <v>0.01</v>
      </c>
      <c r="BC376" s="125">
        <f t="shared" si="96"/>
        <v>1</v>
      </c>
      <c r="BD376" s="240">
        <f t="shared" si="91"/>
        <v>2.2062191000000002</v>
      </c>
      <c r="BE376" s="243">
        <f t="shared" si="74"/>
        <v>2.2062191000000002</v>
      </c>
      <c r="BF376" s="329">
        <v>0.39900000000000002</v>
      </c>
      <c r="BG376" s="329">
        <v>0.05</v>
      </c>
      <c r="BH376" s="329">
        <v>0.05</v>
      </c>
      <c r="BI376" s="329"/>
      <c r="BJ376" s="329"/>
      <c r="BK376" s="329">
        <v>0.12759999999999999</v>
      </c>
      <c r="BL376" s="329">
        <v>1.44E-2</v>
      </c>
      <c r="BM376" s="329">
        <v>0.249</v>
      </c>
      <c r="BN376" s="329">
        <v>0.01</v>
      </c>
      <c r="BO376" s="329">
        <v>0.1</v>
      </c>
      <c r="BP376" s="235">
        <f t="shared" si="97"/>
        <v>1</v>
      </c>
      <c r="BQ376" s="243">
        <f t="shared" si="93"/>
        <v>2.1722421399999998</v>
      </c>
      <c r="BS376" s="341">
        <f t="array" ref="BS376">((1+8.5/100)^(1/12)-1)*100</f>
        <v>0.68214933659622723</v>
      </c>
      <c r="BT376" s="341"/>
      <c r="BU376" s="341"/>
      <c r="BV376" s="341">
        <f t="array" ref="BV376">((1+4.5/100)^(1/12)-1)*100</f>
        <v>0.36748094004368514</v>
      </c>
      <c r="BW376" s="341">
        <f t="array" ref="BW376">((1+8.5/100)^(1/12)-1)*100</f>
        <v>0.68214933659622723</v>
      </c>
      <c r="BX376" s="341">
        <f t="array" ref="BX376">((1+7.7/100)^(1/12)-1)*100</f>
        <v>0.62007621358530773</v>
      </c>
      <c r="BY376" s="341">
        <f t="shared" si="98"/>
        <v>0.5943654595210639</v>
      </c>
      <c r="BZ376" s="341">
        <f t="shared" si="84"/>
        <v>0.68214933659622723</v>
      </c>
      <c r="CA376" s="341"/>
      <c r="CB376" s="243">
        <f t="shared" si="79"/>
        <v>0.64340301100034303</v>
      </c>
      <c r="CD376" s="243">
        <f t="shared" si="82"/>
        <v>0.64340301100034303</v>
      </c>
      <c r="CG376" s="734">
        <f t="shared" si="72"/>
        <v>2.3793000000000002</v>
      </c>
      <c r="CJ376" s="1264">
        <f t="shared" si="81"/>
        <v>0.79741404289037643</v>
      </c>
    </row>
    <row r="377" spans="1:90" x14ac:dyDescent="0.2">
      <c r="A377" s="19">
        <v>38990</v>
      </c>
      <c r="B377" s="262">
        <v>2.5770300000000002</v>
      </c>
      <c r="C377" s="262">
        <v>2.4897999999999998</v>
      </c>
      <c r="D377" s="262">
        <v>2.6623000000000001</v>
      </c>
      <c r="E377" s="262">
        <v>0.67290000000000005</v>
      </c>
      <c r="F377" s="262">
        <v>1.2302</v>
      </c>
      <c r="G377" s="262">
        <v>0.21260000000000001</v>
      </c>
      <c r="H377" s="262">
        <v>0.83260000000000001</v>
      </c>
      <c r="I377" s="262">
        <v>0.67679999999999996</v>
      </c>
      <c r="J377" s="262">
        <v>0.97609999999999997</v>
      </c>
      <c r="K377" s="128">
        <v>0.90910000000000002</v>
      </c>
      <c r="L377" s="128">
        <v>0.498</v>
      </c>
      <c r="M377" s="128">
        <v>1.2850999999999999</v>
      </c>
      <c r="N377" s="262">
        <f t="shared" si="85"/>
        <v>0.83260000000000001</v>
      </c>
      <c r="O377" s="262">
        <f t="shared" si="86"/>
        <v>0.67679999999999996</v>
      </c>
      <c r="P377" s="262">
        <f t="shared" si="87"/>
        <v>0.97609999999999997</v>
      </c>
      <c r="Q377" s="262">
        <v>1.42001</v>
      </c>
      <c r="R377" s="128">
        <v>1.2174</v>
      </c>
      <c r="S377" s="262">
        <v>2.2385000000000002</v>
      </c>
      <c r="T377" s="128">
        <f t="shared" si="80"/>
        <v>2.2385000000000002</v>
      </c>
      <c r="U377" s="262">
        <v>6.5000000000000002E-2</v>
      </c>
      <c r="V377" s="262">
        <v>0.4199</v>
      </c>
      <c r="W377" s="262">
        <v>0.87839999999999996</v>
      </c>
      <c r="X377" s="128">
        <v>0.76329999999999998</v>
      </c>
      <c r="Y377" s="128"/>
      <c r="Z377" s="262">
        <v>8.5099999999999995E-2</v>
      </c>
      <c r="AA377" s="262">
        <v>0.17401</v>
      </c>
      <c r="AB377" s="262">
        <v>-0.54520000000000002</v>
      </c>
      <c r="AC377" s="262">
        <v>0.87260000000000004</v>
      </c>
      <c r="AD377" s="277">
        <v>1.7190000000000001</v>
      </c>
      <c r="AE377" s="277">
        <f t="shared" si="78"/>
        <v>1.7190000000000001</v>
      </c>
      <c r="AF377" s="277">
        <f t="shared" ref="AF377:AF391" si="99">U377</f>
        <v>6.5000000000000002E-2</v>
      </c>
      <c r="AG377" s="128">
        <v>1.3908</v>
      </c>
      <c r="AH377" s="352">
        <v>1.92</v>
      </c>
      <c r="AI377"/>
      <c r="AJ377"/>
      <c r="AK377"/>
      <c r="AL377"/>
      <c r="AM377" s="268"/>
      <c r="AN377" s="262">
        <v>6.4899999999999999E-2</v>
      </c>
      <c r="AO377" s="262">
        <v>6.5000000000000002E-2</v>
      </c>
      <c r="AP377" s="262"/>
      <c r="AQ377" s="262"/>
      <c r="AR377" s="262"/>
      <c r="AS377" s="262"/>
      <c r="AT377" s="262"/>
      <c r="AU377" s="262"/>
      <c r="AV377" s="125">
        <f t="shared" si="88"/>
        <v>0.55500000000000005</v>
      </c>
      <c r="AW377" s="125"/>
      <c r="AX377" s="125"/>
      <c r="AY377" s="125">
        <f t="shared" si="89"/>
        <v>0.27700000000000002</v>
      </c>
      <c r="AZ377" s="125"/>
      <c r="BA377" s="125">
        <f t="shared" si="90"/>
        <v>0.158</v>
      </c>
      <c r="BB377" s="125">
        <v>0.01</v>
      </c>
      <c r="BC377" s="125">
        <f t="shared" si="96"/>
        <v>1</v>
      </c>
      <c r="BD377" s="240">
        <f t="shared" si="91"/>
        <v>1.6977464500000004</v>
      </c>
      <c r="BE377" s="243">
        <f t="shared" si="74"/>
        <v>1.6977464500000004</v>
      </c>
      <c r="BF377" s="329">
        <v>0.39900000000000002</v>
      </c>
      <c r="BG377" s="329">
        <v>0.05</v>
      </c>
      <c r="BH377" s="329">
        <v>0.05</v>
      </c>
      <c r="BI377" s="329"/>
      <c r="BJ377" s="329"/>
      <c r="BK377" s="329">
        <v>0.12759999999999999</v>
      </c>
      <c r="BL377" s="329">
        <v>1.44E-2</v>
      </c>
      <c r="BM377" s="329">
        <v>0.249</v>
      </c>
      <c r="BN377" s="329">
        <v>0.01</v>
      </c>
      <c r="BO377" s="329">
        <v>0.1</v>
      </c>
      <c r="BP377" s="235">
        <f t="shared" si="97"/>
        <v>1</v>
      </c>
      <c r="BQ377" s="243">
        <f t="shared" si="93"/>
        <v>1.5223801300000002</v>
      </c>
      <c r="BR377" s="1"/>
      <c r="BS377" s="341">
        <f t="array" ref="BS377">((1+8.5/100)^(1/12)-1)*100</f>
        <v>0.68214933659622723</v>
      </c>
      <c r="BT377" s="341"/>
      <c r="BU377" s="341"/>
      <c r="BV377" s="341">
        <f t="array" ref="BV377">((1+4.5/100)^(1/12)-1)*100</f>
        <v>0.36748094004368514</v>
      </c>
      <c r="BW377" s="341">
        <f t="array" ref="BW377">((1+8.5/100)^(1/12)-1)*100</f>
        <v>0.68214933659622723</v>
      </c>
      <c r="BX377" s="341">
        <f t="array" ref="BX377">((1+7.7/100)^(1/12)-1)*100</f>
        <v>0.62007621358530773</v>
      </c>
      <c r="BY377" s="341">
        <f t="shared" si="98"/>
        <v>0.5943654595210639</v>
      </c>
      <c r="BZ377" s="341">
        <f t="shared" si="84"/>
        <v>0.68214933659622723</v>
      </c>
      <c r="CA377" s="341"/>
      <c r="CB377" s="243">
        <f t="shared" si="79"/>
        <v>0.64340301100034303</v>
      </c>
      <c r="CC377" s="243"/>
      <c r="CD377" s="243">
        <f t="shared" si="82"/>
        <v>0.64340301100034303</v>
      </c>
      <c r="CG377" s="734">
        <f t="shared" si="72"/>
        <v>2.5770300000000002</v>
      </c>
      <c r="CJ377" s="1264">
        <f t="shared" si="81"/>
        <v>0.79741404289037643</v>
      </c>
    </row>
    <row r="378" spans="1:90" x14ac:dyDescent="0.2">
      <c r="A378" s="19">
        <v>39021</v>
      </c>
      <c r="B378" s="262">
        <v>3.2585999999999999</v>
      </c>
      <c r="C378" s="262">
        <v>3.1804000000000001</v>
      </c>
      <c r="D378" s="262">
        <v>3.3349000000000002</v>
      </c>
      <c r="E378" s="262">
        <v>4.157</v>
      </c>
      <c r="F378" s="262">
        <v>3.7263000000000002</v>
      </c>
      <c r="G378" s="262">
        <v>4.5171000000000001</v>
      </c>
      <c r="H378" s="262">
        <v>5.7577999999999996</v>
      </c>
      <c r="I378" s="262">
        <v>6.4798</v>
      </c>
      <c r="J378" s="262">
        <v>5.0896999999999997</v>
      </c>
      <c r="K378" s="128">
        <v>4.9513999999999996</v>
      </c>
      <c r="L378" s="128">
        <v>4.4203999999999999</v>
      </c>
      <c r="M378" s="128">
        <v>5.4302999999999999</v>
      </c>
      <c r="N378" s="262">
        <f t="shared" si="85"/>
        <v>5.7577999999999996</v>
      </c>
      <c r="O378" s="262">
        <f t="shared" si="86"/>
        <v>6.4798</v>
      </c>
      <c r="P378" s="262">
        <f t="shared" si="87"/>
        <v>5.0896999999999997</v>
      </c>
      <c r="Q378" s="262">
        <v>4.9273300000000004</v>
      </c>
      <c r="R378" s="128">
        <v>4.8049999999999997</v>
      </c>
      <c r="S378" s="262">
        <v>3.5996999999999999</v>
      </c>
      <c r="T378" s="128">
        <f t="shared" si="80"/>
        <v>3.5996999999999999</v>
      </c>
      <c r="U378" s="262">
        <v>4.0720000000000001</v>
      </c>
      <c r="V378" s="262">
        <v>3.6726999999999999</v>
      </c>
      <c r="W378" s="262">
        <v>0.66149999999999998</v>
      </c>
      <c r="X378" s="128">
        <v>0.61150000000000004</v>
      </c>
      <c r="Y378" s="128"/>
      <c r="Z378" s="262">
        <v>2.1928000000000001</v>
      </c>
      <c r="AA378" s="262">
        <v>3.8983099999999999</v>
      </c>
      <c r="AB378" s="262">
        <v>3.42</v>
      </c>
      <c r="AC378" s="262">
        <v>4.3615000000000004</v>
      </c>
      <c r="AD378" s="277">
        <v>2.6343999999999999</v>
      </c>
      <c r="AE378" s="277">
        <f t="shared" si="78"/>
        <v>2.6343999999999999</v>
      </c>
      <c r="AF378" s="277">
        <f t="shared" si="99"/>
        <v>4.0720000000000001</v>
      </c>
      <c r="AG378" s="128">
        <v>1.2289000000000001</v>
      </c>
      <c r="AH378" s="352">
        <v>6.32</v>
      </c>
      <c r="AI378"/>
      <c r="AJ378"/>
      <c r="AK378"/>
      <c r="AL378"/>
      <c r="AM378" s="268"/>
      <c r="AN378" s="262">
        <v>4.07</v>
      </c>
      <c r="AO378" s="262">
        <v>4.0720000000000001</v>
      </c>
      <c r="AP378" s="262"/>
      <c r="AQ378" s="262"/>
      <c r="AR378" s="262"/>
      <c r="AS378" s="262"/>
      <c r="AT378" s="262"/>
      <c r="AU378" s="262"/>
      <c r="AV378" s="125">
        <f t="shared" si="88"/>
        <v>0.55500000000000005</v>
      </c>
      <c r="AW378" s="125"/>
      <c r="AX378" s="125"/>
      <c r="AY378" s="125">
        <f t="shared" si="89"/>
        <v>0.27700000000000002</v>
      </c>
      <c r="AZ378" s="125"/>
      <c r="BA378" s="125">
        <f t="shared" si="90"/>
        <v>0.158</v>
      </c>
      <c r="BB378" s="125">
        <v>0.01</v>
      </c>
      <c r="BC378" s="125">
        <f t="shared" ref="BC378:BC383" si="100">SUM(AV378:BB378)</f>
        <v>1</v>
      </c>
      <c r="BD378" s="240">
        <f t="shared" si="91"/>
        <v>2.6474234999999999</v>
      </c>
      <c r="BE378" s="243">
        <f t="shared" si="74"/>
        <v>2.6474234999999999</v>
      </c>
      <c r="BF378" s="329">
        <v>0.39900000000000002</v>
      </c>
      <c r="BG378" s="329">
        <v>0.05</v>
      </c>
      <c r="BH378" s="329">
        <v>0.05</v>
      </c>
      <c r="BI378" s="329"/>
      <c r="BJ378" s="329"/>
      <c r="BK378" s="329">
        <v>0.12759999999999999</v>
      </c>
      <c r="BL378" s="329">
        <v>1.44E-2</v>
      </c>
      <c r="BM378" s="329">
        <v>0.249</v>
      </c>
      <c r="BN378" s="329">
        <v>0.01</v>
      </c>
      <c r="BO378" s="329">
        <v>0.1</v>
      </c>
      <c r="BP378" s="235">
        <f t="shared" si="97"/>
        <v>1</v>
      </c>
      <c r="BQ378" s="243">
        <f t="shared" si="93"/>
        <v>2.8088379800000003</v>
      </c>
      <c r="BS378" s="341">
        <f t="array" ref="BS378">((1+8.5/100)^(1/12)-1)*100</f>
        <v>0.68214933659622723</v>
      </c>
      <c r="BT378" s="341"/>
      <c r="BU378" s="341"/>
      <c r="BV378" s="341">
        <f t="array" ref="BV378">((1+4.5/100)^(1/12)-1)*100</f>
        <v>0.36748094004368514</v>
      </c>
      <c r="BW378" s="341">
        <f t="array" ref="BW378">((1+8.5/100)^(1/12)-1)*100</f>
        <v>0.68214933659622723</v>
      </c>
      <c r="BX378" s="341">
        <f t="array" ref="BX378">((1+7.7/100)^(1/12)-1)*100</f>
        <v>0.62007621358530773</v>
      </c>
      <c r="BY378" s="341">
        <f>(BS378*AV378)+(BV378*AY378)+(BW378*BA378)+(BX378*BB378)</f>
        <v>0.5943654595210639</v>
      </c>
      <c r="BZ378" s="341">
        <f t="shared" si="84"/>
        <v>0.68214933659622723</v>
      </c>
      <c r="CA378" s="341"/>
      <c r="CB378" s="243">
        <f t="shared" si="79"/>
        <v>0.64340301100034303</v>
      </c>
      <c r="CD378" s="243">
        <f t="shared" si="82"/>
        <v>0.64340301100034303</v>
      </c>
      <c r="CG378" s="734">
        <f t="shared" si="72"/>
        <v>3.2585999999999999</v>
      </c>
      <c r="CJ378" s="1264">
        <f t="shared" si="81"/>
        <v>0.79741404289037643</v>
      </c>
    </row>
    <row r="379" spans="1:90" x14ac:dyDescent="0.2">
      <c r="A379" s="19">
        <v>39051</v>
      </c>
      <c r="B379" s="262">
        <v>1.90161</v>
      </c>
      <c r="C379" s="262">
        <v>2.0114000000000001</v>
      </c>
      <c r="D379" s="262">
        <v>1.7946</v>
      </c>
      <c r="E379" s="262">
        <v>3.2174999999999998</v>
      </c>
      <c r="F379" s="262">
        <v>3.4066000000000001</v>
      </c>
      <c r="G379" s="262">
        <v>3.0630000000000002</v>
      </c>
      <c r="H379" s="262">
        <v>2.6305000000000001</v>
      </c>
      <c r="I379" s="262">
        <v>2.3940999999999999</v>
      </c>
      <c r="J379" s="262">
        <v>2.8515000000000001</v>
      </c>
      <c r="K379" s="128">
        <v>2.7698999999999998</v>
      </c>
      <c r="L379" s="128">
        <v>3.1151</v>
      </c>
      <c r="M379" s="128">
        <v>2.4628999999999999</v>
      </c>
      <c r="N379" s="262">
        <f t="shared" si="85"/>
        <v>2.6305000000000001</v>
      </c>
      <c r="O379" s="262">
        <f t="shared" si="86"/>
        <v>2.3940999999999999</v>
      </c>
      <c r="P379" s="262">
        <f t="shared" si="87"/>
        <v>2.8515000000000001</v>
      </c>
      <c r="Q379" s="262">
        <v>3.4025500000000002</v>
      </c>
      <c r="R379" s="128">
        <v>3.2625999999999999</v>
      </c>
      <c r="S379" s="262">
        <v>2.1758000000000002</v>
      </c>
      <c r="T379" s="128">
        <f t="shared" si="80"/>
        <v>2.1758000000000002</v>
      </c>
      <c r="U379" s="262">
        <v>3.6309999999999998</v>
      </c>
      <c r="V379" s="262">
        <v>4.2994000000000003</v>
      </c>
      <c r="W379" s="262">
        <v>1.1600999999999999</v>
      </c>
      <c r="X379" s="128">
        <v>1.0197000000000001</v>
      </c>
      <c r="Y379" s="128"/>
      <c r="Z379" s="262">
        <v>2.6044</v>
      </c>
      <c r="AA379" s="262">
        <v>3.0162599999999999</v>
      </c>
      <c r="AB379" s="262">
        <v>2.9312</v>
      </c>
      <c r="AC379" s="262">
        <v>3.0943000000000001</v>
      </c>
      <c r="AD379" s="277">
        <v>1.8720000000000001</v>
      </c>
      <c r="AE379" s="277">
        <f t="shared" si="78"/>
        <v>1.8720000000000001</v>
      </c>
      <c r="AF379" s="277">
        <f t="shared" si="99"/>
        <v>3.6309999999999998</v>
      </c>
      <c r="AG379" s="262">
        <v>1.1571</v>
      </c>
      <c r="AH379" s="351">
        <v>4.79</v>
      </c>
      <c r="AI379" s="262"/>
      <c r="AJ379" s="262"/>
      <c r="AK379" s="262"/>
      <c r="AL379" s="262"/>
      <c r="AM379" s="268"/>
      <c r="AN379" s="262">
        <v>3.63</v>
      </c>
      <c r="AO379" s="262">
        <v>3.6309999999999998</v>
      </c>
      <c r="AP379" s="262"/>
      <c r="AQ379" s="262"/>
      <c r="AR379" s="262"/>
      <c r="AS379" s="262"/>
      <c r="AT379" s="262"/>
      <c r="AU379" s="262"/>
      <c r="AV379" s="510">
        <f t="shared" si="88"/>
        <v>0.55500000000000005</v>
      </c>
      <c r="AW379" s="510"/>
      <c r="AX379" s="510"/>
      <c r="AY379" s="510">
        <f t="shared" si="89"/>
        <v>0.27700000000000002</v>
      </c>
      <c r="AZ379" s="510"/>
      <c r="BA379" s="510">
        <f t="shared" si="90"/>
        <v>0.158</v>
      </c>
      <c r="BB379" s="510">
        <v>0.01</v>
      </c>
      <c r="BC379" s="510">
        <f t="shared" si="100"/>
        <v>1</v>
      </c>
      <c r="BD379" s="747">
        <f t="shared" si="91"/>
        <v>1.9620102500000001</v>
      </c>
      <c r="BE379" s="243">
        <f t="shared" si="74"/>
        <v>1.9620102500000001</v>
      </c>
      <c r="BF379" s="329">
        <v>0.39900000000000002</v>
      </c>
      <c r="BG379" s="329">
        <v>0.05</v>
      </c>
      <c r="BH379" s="329">
        <v>0.05</v>
      </c>
      <c r="BI379" s="329"/>
      <c r="BJ379" s="329"/>
      <c r="BK379" s="329">
        <v>0.12759999999999999</v>
      </c>
      <c r="BL379" s="329">
        <v>1.44E-2</v>
      </c>
      <c r="BM379" s="329">
        <v>0.249</v>
      </c>
      <c r="BN379" s="329">
        <v>0.01</v>
      </c>
      <c r="BO379" s="329">
        <v>0.1</v>
      </c>
      <c r="BP379" s="329">
        <f t="shared" si="97"/>
        <v>1</v>
      </c>
      <c r="BQ379" s="748">
        <f t="shared" si="93"/>
        <v>2.0640052500000001</v>
      </c>
      <c r="BR379" s="207"/>
      <c r="BS379" s="749">
        <f t="array" ref="BS379">((1+8.5/100)^(1/12)-1)*100</f>
        <v>0.68214933659622723</v>
      </c>
      <c r="BT379" s="749"/>
      <c r="BU379" s="749"/>
      <c r="BV379" s="749">
        <f t="array" ref="BV379">((1+4.5/100)^(1/12)-1)*100</f>
        <v>0.36748094004368514</v>
      </c>
      <c r="BW379" s="749">
        <f t="array" ref="BW379">((1+8.5/100)^(1/12)-1)*100</f>
        <v>0.68214933659622723</v>
      </c>
      <c r="BX379" s="749">
        <f t="array" ref="BX379">((1+7.7/100)^(1/12)-1)*100</f>
        <v>0.62007621358530773</v>
      </c>
      <c r="BY379" s="749">
        <f>(BS379*AV379)+(BV379*AY379)+(BW379*BA379)+(BX379*BB379)</f>
        <v>0.5943654595210639</v>
      </c>
      <c r="BZ379" s="749">
        <f t="shared" si="84"/>
        <v>0.68214933659622723</v>
      </c>
      <c r="CA379" s="749"/>
      <c r="CB379" s="748">
        <f t="shared" si="79"/>
        <v>0.64340301100034303</v>
      </c>
      <c r="CC379" s="207"/>
      <c r="CD379" s="748">
        <f t="shared" si="82"/>
        <v>0.64340301100034303</v>
      </c>
      <c r="CE379" s="207"/>
      <c r="CF379" s="207"/>
      <c r="CG379" s="1063">
        <f t="shared" si="72"/>
        <v>1.90161</v>
      </c>
      <c r="CH379" s="207"/>
      <c r="CI379" s="207"/>
      <c r="CJ379" s="1264">
        <f t="shared" si="81"/>
        <v>0.79741404289037643</v>
      </c>
      <c r="CK379" s="207"/>
      <c r="CL379" s="207"/>
    </row>
    <row r="380" spans="1:90" x14ac:dyDescent="0.2">
      <c r="A380" s="19">
        <v>39082</v>
      </c>
      <c r="B380" s="262">
        <v>1.4027700000000001</v>
      </c>
      <c r="C380" s="262">
        <v>0.37240000000000001</v>
      </c>
      <c r="D380" s="262">
        <v>2.4100999999999999</v>
      </c>
      <c r="E380" s="262">
        <v>-0.48649999999999999</v>
      </c>
      <c r="F380" s="262">
        <v>-1.1914</v>
      </c>
      <c r="G380" s="262">
        <v>0.1394</v>
      </c>
      <c r="H380" s="262">
        <v>0.33489999999999998</v>
      </c>
      <c r="I380" s="262">
        <v>-0.23799999999999999</v>
      </c>
      <c r="J380" s="262">
        <v>0.87119999999999997</v>
      </c>
      <c r="K380" s="262">
        <v>-1.49E-2</v>
      </c>
      <c r="L380" s="262">
        <v>-0.3851</v>
      </c>
      <c r="M380" s="262">
        <v>0.34389999999999998</v>
      </c>
      <c r="N380" s="262">
        <f>H380</f>
        <v>0.33489999999999998</v>
      </c>
      <c r="O380" s="262">
        <f>I380</f>
        <v>-0.23799999999999999</v>
      </c>
      <c r="P380" s="262">
        <f>J380</f>
        <v>0.87119999999999997</v>
      </c>
      <c r="Q380" s="262">
        <v>-0.23297000000000001</v>
      </c>
      <c r="R380" s="128">
        <v>0.438</v>
      </c>
      <c r="S380" s="262">
        <v>1.1976</v>
      </c>
      <c r="T380" s="128">
        <f t="shared" si="80"/>
        <v>1.1976</v>
      </c>
      <c r="U380" s="262">
        <v>3.1160000000000001</v>
      </c>
      <c r="V380" s="262">
        <v>3.3431000000000002</v>
      </c>
      <c r="W380" s="262">
        <v>-0.58030000000000004</v>
      </c>
      <c r="X380" s="128">
        <v>-0.36820000000000003</v>
      </c>
      <c r="Y380" s="128"/>
      <c r="Z380" s="262">
        <v>2.0819999999999999</v>
      </c>
      <c r="AA380" s="262">
        <v>3.1453899999999999</v>
      </c>
      <c r="AB380" s="262">
        <v>2.8085</v>
      </c>
      <c r="AC380" s="262">
        <v>3.4544000000000001</v>
      </c>
      <c r="AD380" s="277">
        <v>1.1249</v>
      </c>
      <c r="AE380" s="277">
        <f t="shared" si="78"/>
        <v>1.1249</v>
      </c>
      <c r="AF380" s="277">
        <f t="shared" si="99"/>
        <v>3.1160000000000001</v>
      </c>
      <c r="AG380" s="262">
        <v>1.1571</v>
      </c>
      <c r="AH380" s="351">
        <v>-2.25</v>
      </c>
      <c r="AI380" s="262"/>
      <c r="AJ380" s="262"/>
      <c r="AK380" s="262"/>
      <c r="AL380" s="262"/>
      <c r="AM380" s="268"/>
      <c r="AN380" s="262">
        <v>3.1164000000000001</v>
      </c>
      <c r="AO380" s="262">
        <v>3.1160000000000001</v>
      </c>
      <c r="AP380" s="262"/>
      <c r="AQ380" s="262"/>
      <c r="AR380" s="262"/>
      <c r="AS380" s="262"/>
      <c r="AT380" s="262"/>
      <c r="AU380" s="262"/>
      <c r="AV380" s="510">
        <f t="shared" si="88"/>
        <v>0.55500000000000005</v>
      </c>
      <c r="AW380" s="510"/>
      <c r="AX380" s="510"/>
      <c r="AY380" s="510">
        <f t="shared" si="89"/>
        <v>0.27700000000000002</v>
      </c>
      <c r="AZ380" s="510"/>
      <c r="BA380" s="510">
        <f t="shared" si="90"/>
        <v>0.158</v>
      </c>
      <c r="BB380" s="510">
        <v>0.01</v>
      </c>
      <c r="BC380" s="510">
        <f t="shared" si="100"/>
        <v>1</v>
      </c>
      <c r="BD380" s="747">
        <f t="shared" si="91"/>
        <v>1.1216932500000001</v>
      </c>
      <c r="BE380" s="243">
        <f t="shared" si="74"/>
        <v>1.1216932500000001</v>
      </c>
      <c r="BF380" s="329">
        <v>0.39900000000000002</v>
      </c>
      <c r="BG380" s="329">
        <v>0.05</v>
      </c>
      <c r="BH380" s="329">
        <v>0.05</v>
      </c>
      <c r="BI380" s="329"/>
      <c r="BJ380" s="329"/>
      <c r="BK380" s="329">
        <v>0.12759999999999999</v>
      </c>
      <c r="BL380" s="329">
        <v>1.44E-2</v>
      </c>
      <c r="BM380" s="329">
        <v>0.249</v>
      </c>
      <c r="BN380" s="329">
        <v>0.01</v>
      </c>
      <c r="BO380" s="329">
        <v>0.1</v>
      </c>
      <c r="BP380" s="329">
        <f t="shared" si="97"/>
        <v>1</v>
      </c>
      <c r="BQ380" s="748">
        <f t="shared" si="93"/>
        <v>0.97743377000000009</v>
      </c>
      <c r="BR380" s="616"/>
      <c r="BS380" s="749">
        <f t="array" ref="BS380">((1+8.5/100)^(1/12)-1)*100</f>
        <v>0.68214933659622723</v>
      </c>
      <c r="BT380" s="749"/>
      <c r="BU380" s="749"/>
      <c r="BV380" s="749">
        <f t="array" ref="BV380">((1+4.5/100)^(1/12)-1)*100</f>
        <v>0.36748094004368514</v>
      </c>
      <c r="BW380" s="749">
        <f t="array" ref="BW380">((1+8.5/100)^(1/12)-1)*100</f>
        <v>0.68214933659622723</v>
      </c>
      <c r="BX380" s="749">
        <f t="array" ref="BX380">((1+7.7/100)^(1/12)-1)*100</f>
        <v>0.62007621358530773</v>
      </c>
      <c r="BY380" s="749">
        <f>(BS380*AV380)+(BV380*AY380)+(BW380*BA380)+(BX380*BB380)</f>
        <v>0.5943654595210639</v>
      </c>
      <c r="BZ380" s="749">
        <f>BS380</f>
        <v>0.68214933659622723</v>
      </c>
      <c r="CA380" s="749"/>
      <c r="CB380" s="748">
        <f t="shared" si="79"/>
        <v>0.64340301100034303</v>
      </c>
      <c r="CC380" s="207"/>
      <c r="CD380" s="748">
        <f t="shared" si="82"/>
        <v>0.64340301100034303</v>
      </c>
      <c r="CE380" s="207"/>
      <c r="CF380" s="207"/>
      <c r="CG380" s="1063">
        <f t="shared" si="72"/>
        <v>1.4027700000000001</v>
      </c>
      <c r="CH380" s="207"/>
      <c r="CI380" s="207"/>
      <c r="CJ380" s="1264">
        <f t="shared" si="81"/>
        <v>0.79741404289037643</v>
      </c>
      <c r="CK380" s="207"/>
      <c r="CL380" s="207"/>
    </row>
    <row r="381" spans="1:90" x14ac:dyDescent="0.2">
      <c r="A381" s="19">
        <v>39113</v>
      </c>
      <c r="B381" s="262">
        <v>1.512</v>
      </c>
      <c r="C381" s="262">
        <v>1.2499</v>
      </c>
      <c r="D381" s="262">
        <v>1.7617</v>
      </c>
      <c r="E381" s="262">
        <v>3.6335999999999999</v>
      </c>
      <c r="F381" s="262">
        <v>3.9426999999999999</v>
      </c>
      <c r="G381" s="262">
        <v>3.3307000000000002</v>
      </c>
      <c r="H381" s="262">
        <v>1.6735</v>
      </c>
      <c r="I381" s="262">
        <v>1.8605</v>
      </c>
      <c r="J381" s="262">
        <v>1.498</v>
      </c>
      <c r="K381" s="262">
        <v>2.0588000000000002</v>
      </c>
      <c r="L381" s="262">
        <v>2.0203000000000002</v>
      </c>
      <c r="M381" s="262">
        <v>2.0958999999999999</v>
      </c>
      <c r="N381" s="262">
        <f t="shared" ref="N381:P382" si="101">K381</f>
        <v>2.0588000000000002</v>
      </c>
      <c r="O381" s="262">
        <f t="shared" si="101"/>
        <v>2.0203000000000002</v>
      </c>
      <c r="P381" s="262">
        <f t="shared" si="101"/>
        <v>2.0958999999999999</v>
      </c>
      <c r="Q381" s="262">
        <v>3.1782900000000001</v>
      </c>
      <c r="R381" s="128">
        <v>2.6981999999999999</v>
      </c>
      <c r="S381" s="262">
        <v>1.9034</v>
      </c>
      <c r="T381" s="128">
        <f t="shared" si="80"/>
        <v>1.9034</v>
      </c>
      <c r="U381" s="262">
        <v>0.373</v>
      </c>
      <c r="V381" s="262">
        <v>2.0939999999999999</v>
      </c>
      <c r="W381" s="262">
        <v>-4.1000000000000002E-2</v>
      </c>
      <c r="X381" s="128">
        <v>2.8400000000000002E-2</v>
      </c>
      <c r="Y381" s="128"/>
      <c r="Z381" s="262">
        <v>1.1525000000000001</v>
      </c>
      <c r="AA381" s="262">
        <v>0.68433999999999995</v>
      </c>
      <c r="AB381" s="262">
        <v>0.81269999999999998</v>
      </c>
      <c r="AC381" s="262">
        <v>0.55740000000000001</v>
      </c>
      <c r="AD381" s="277">
        <v>0.94389999999999996</v>
      </c>
      <c r="AE381" s="277">
        <f t="shared" si="78"/>
        <v>0.94389999999999996</v>
      </c>
      <c r="AF381" s="277">
        <f t="shared" si="99"/>
        <v>0.373</v>
      </c>
      <c r="AG381" s="262">
        <v>1.4813000000000001</v>
      </c>
      <c r="AH381" s="351">
        <v>9.0399999999999991</v>
      </c>
      <c r="AI381" s="262"/>
      <c r="AJ381" s="262"/>
      <c r="AK381" s="262"/>
      <c r="AL381" s="262"/>
      <c r="AM381" s="268"/>
      <c r="AN381" s="262">
        <v>0.3735</v>
      </c>
      <c r="AO381" s="262">
        <v>0.373</v>
      </c>
      <c r="AP381" s="262"/>
      <c r="AQ381" s="262"/>
      <c r="AR381" s="262"/>
      <c r="AS381" s="262"/>
      <c r="AT381" s="262"/>
      <c r="AU381" s="262"/>
      <c r="AV381" s="510">
        <v>0.39</v>
      </c>
      <c r="AW381" s="510">
        <v>7.0000000000000007E-2</v>
      </c>
      <c r="AX381" s="510">
        <v>7.0000000000000007E-2</v>
      </c>
      <c r="AY381" s="510">
        <v>0.27</v>
      </c>
      <c r="AZ381" s="510"/>
      <c r="BA381" s="510">
        <v>0.19</v>
      </c>
      <c r="BB381" s="510">
        <v>0.01</v>
      </c>
      <c r="BC381" s="510">
        <f t="shared" si="100"/>
        <v>1</v>
      </c>
      <c r="BD381" s="747">
        <f t="shared" ref="BD381:BD398" si="102">(AV381*B381)+(AW381*E381)+(AX381*K381)+(AY381*W381)+(BA381*U381)+(BB381*AG381)</f>
        <v>1.0627610000000001</v>
      </c>
      <c r="BE381" s="243">
        <f t="shared" si="74"/>
        <v>1.0627610000000001</v>
      </c>
      <c r="BF381" s="329">
        <v>0.33400000000000002</v>
      </c>
      <c r="BG381" s="329">
        <v>7.0000000000000007E-2</v>
      </c>
      <c r="BH381" s="329"/>
      <c r="BI381" s="329">
        <v>7.0000000000000007E-2</v>
      </c>
      <c r="BJ381" s="329"/>
      <c r="BK381" s="329">
        <v>0.156</v>
      </c>
      <c r="BL381" s="329">
        <v>1.7999999999999999E-2</v>
      </c>
      <c r="BM381" s="329">
        <v>0.24199999999999999</v>
      </c>
      <c r="BN381" s="329">
        <v>0.01</v>
      </c>
      <c r="BO381" s="329">
        <v>0.1</v>
      </c>
      <c r="BP381" s="329">
        <f t="shared" si="97"/>
        <v>1</v>
      </c>
      <c r="BQ381" s="748">
        <f t="shared" ref="BQ381:BQ412" si="103">(BF381*B381)+(BG381*E381)+(BI381*K381)+(BK381*U381)+(BL381*V381)+(BM381*W381)+(BN381*AG381)+(BO381*AE381)</f>
        <v>1.0986370000000001</v>
      </c>
      <c r="BR381" s="616"/>
      <c r="BS381" s="615">
        <f t="array" ref="BS381">100*((1+8.5/100)^(1/12)-1)</f>
        <v>0.68214933659622723</v>
      </c>
      <c r="BT381" s="615">
        <f t="array" ref="BT381">100*((1+8.75/100)^(1/12)-1)</f>
        <v>0.70146116041400752</v>
      </c>
      <c r="BU381" s="615">
        <f t="array" ref="BU381">100*((1+9/100)^(1/12)-1)</f>
        <v>0.72073233161367156</v>
      </c>
      <c r="BV381" s="615">
        <f t="array" ref="BV381">100*((1+5/100)^(1/12)-1)</f>
        <v>0.40741237836483535</v>
      </c>
      <c r="BW381" s="615">
        <f t="array" ref="BW381">100*((1+9/100)^(1/12)-1)</f>
        <v>0.72073233161367156</v>
      </c>
      <c r="BX381" s="749">
        <f t="array" ref="BX381">((1+6.75/100)^(1/12)-1)*100</f>
        <v>0.54581304569467637</v>
      </c>
      <c r="BY381" s="615">
        <f t="array" ref="BY381">((1+8.3/100)^(1/12)-1)*100</f>
        <v>0.66667048692337083</v>
      </c>
      <c r="BZ381" s="749">
        <f t="shared" ref="BZ381:BZ386" si="104">0.74*BS381+0.13*BT381+0.13*BU381</f>
        <v>0.68967566304480643</v>
      </c>
      <c r="CA381" s="749"/>
      <c r="CB381" s="748">
        <f t="shared" si="79"/>
        <v>0.64340301100034303</v>
      </c>
      <c r="CC381" s="207"/>
      <c r="CD381" s="748">
        <f t="shared" si="82"/>
        <v>0.64340301100034303</v>
      </c>
      <c r="CE381" s="207"/>
      <c r="CF381" s="207"/>
      <c r="CG381" s="1063">
        <f t="shared" ref="CG381:CG412" si="105">B381*(AV381/SUM(AV381:AX381))+E381*(AW381/SUM(AV381:AX381))+K381*(AX381/SUM(AV381:AX381))</f>
        <v>1.8644301886792456</v>
      </c>
      <c r="CH381" s="207"/>
      <c r="CI381" s="207"/>
      <c r="CJ381" s="1264">
        <f t="shared" si="81"/>
        <v>0.79741404289037643</v>
      </c>
      <c r="CK381" s="207"/>
      <c r="CL381" s="207"/>
    </row>
    <row r="382" spans="1:90" x14ac:dyDescent="0.2">
      <c r="A382" s="19">
        <v>39141</v>
      </c>
      <c r="B382" s="262">
        <v>-1.9558800000000001</v>
      </c>
      <c r="C382" s="262">
        <v>-2.2321</v>
      </c>
      <c r="D382" s="262">
        <v>-1.6937</v>
      </c>
      <c r="E382" s="262">
        <v>0.73309999999999997</v>
      </c>
      <c r="F382" s="262">
        <v>0.25690000000000002</v>
      </c>
      <c r="G382" s="262">
        <v>1.2072000000000001</v>
      </c>
      <c r="H382" s="262">
        <v>-0.79349999999999998</v>
      </c>
      <c r="I382" s="262">
        <v>-0.31630000000000003</v>
      </c>
      <c r="J382" s="262">
        <v>-1.2281</v>
      </c>
      <c r="K382" s="262">
        <v>-0.54279999999999995</v>
      </c>
      <c r="L382" s="262">
        <v>-0.10059999999999999</v>
      </c>
      <c r="M382" s="262">
        <v>-0.95420000000000005</v>
      </c>
      <c r="N382" s="262">
        <f t="shared" si="101"/>
        <v>-0.54279999999999995</v>
      </c>
      <c r="O382" s="262">
        <f t="shared" si="101"/>
        <v>-0.10059999999999999</v>
      </c>
      <c r="P382" s="262">
        <f t="shared" si="101"/>
        <v>-0.95420000000000005</v>
      </c>
      <c r="Q382" s="262">
        <v>-4.5920000000000002E-2</v>
      </c>
      <c r="R382" s="128">
        <v>-0.14050000000000001</v>
      </c>
      <c r="S382" s="262">
        <v>-1.6404000000000001</v>
      </c>
      <c r="T382" s="128">
        <f t="shared" si="80"/>
        <v>-1.6404000000000001</v>
      </c>
      <c r="U382" s="262">
        <v>0.61</v>
      </c>
      <c r="V382" s="262">
        <v>1.6819</v>
      </c>
      <c r="W382" s="262">
        <v>1.542</v>
      </c>
      <c r="X382" s="128">
        <v>1.3337000000000001</v>
      </c>
      <c r="Y382" s="128"/>
      <c r="Z382" s="262">
        <v>0.7087</v>
      </c>
      <c r="AA382" s="262">
        <v>0.82</v>
      </c>
      <c r="AB382" s="262">
        <v>0.7742</v>
      </c>
      <c r="AC382" s="262">
        <v>0.86299999999999999</v>
      </c>
      <c r="AD382" s="277">
        <v>-0.53520000000000001</v>
      </c>
      <c r="AE382" s="277">
        <f t="shared" si="78"/>
        <v>-0.53520000000000001</v>
      </c>
      <c r="AF382" s="277">
        <f t="shared" si="99"/>
        <v>0.61</v>
      </c>
      <c r="AG382" s="262">
        <v>1.4823</v>
      </c>
      <c r="AH382" s="351">
        <v>-2.2599999999999998</v>
      </c>
      <c r="AI382" s="262"/>
      <c r="AJ382" s="262"/>
      <c r="AK382" s="262"/>
      <c r="AL382" s="262"/>
      <c r="AM382" s="268"/>
      <c r="AN382" s="262">
        <v>0.61</v>
      </c>
      <c r="AO382" s="262">
        <v>0.61</v>
      </c>
      <c r="AP382" s="262"/>
      <c r="AQ382" s="262"/>
      <c r="AR382" s="262"/>
      <c r="AS382" s="262"/>
      <c r="AT382" s="262"/>
      <c r="AU382" s="262"/>
      <c r="AV382" s="510">
        <v>0.39</v>
      </c>
      <c r="AW382" s="510">
        <v>7.0000000000000007E-2</v>
      </c>
      <c r="AX382" s="510">
        <v>7.0000000000000007E-2</v>
      </c>
      <c r="AY382" s="510">
        <v>0.27</v>
      </c>
      <c r="AZ382" s="510"/>
      <c r="BA382" s="510">
        <v>0.19</v>
      </c>
      <c r="BB382" s="510">
        <v>0.01</v>
      </c>
      <c r="BC382" s="510">
        <f t="shared" si="100"/>
        <v>1</v>
      </c>
      <c r="BD382" s="747">
        <f t="shared" si="102"/>
        <v>-0.20240920000000009</v>
      </c>
      <c r="BE382" s="243">
        <f t="shared" si="74"/>
        <v>-0.20240920000000009</v>
      </c>
      <c r="BF382" s="329">
        <v>0.33400000000000002</v>
      </c>
      <c r="BG382" s="329">
        <v>7.0000000000000007E-2</v>
      </c>
      <c r="BH382" s="329"/>
      <c r="BI382" s="329">
        <v>7.0000000000000007E-2</v>
      </c>
      <c r="BJ382" s="329"/>
      <c r="BK382" s="329">
        <v>0.156</v>
      </c>
      <c r="BL382" s="329">
        <v>1.7999999999999999E-2</v>
      </c>
      <c r="BM382" s="329">
        <v>0.24199999999999999</v>
      </c>
      <c r="BN382" s="329">
        <v>0.01</v>
      </c>
      <c r="BO382" s="329">
        <v>0.1</v>
      </c>
      <c r="BP382" s="329">
        <f t="shared" si="97"/>
        <v>1</v>
      </c>
      <c r="BQ382" s="748">
        <f t="shared" si="103"/>
        <v>-0.18004172000000004</v>
      </c>
      <c r="BR382" s="616"/>
      <c r="BS382" s="615">
        <f t="array" ref="BS382">100*((1+8.5/100)^(1/12)-1)</f>
        <v>0.68214933659622723</v>
      </c>
      <c r="BT382" s="615">
        <f t="array" ref="BT382">100*((1+8.75/100)^(1/12)-1)</f>
        <v>0.70146116041400752</v>
      </c>
      <c r="BU382" s="615">
        <f t="array" ref="BU382">100*((1+9/100)^(1/12)-1)</f>
        <v>0.72073233161367156</v>
      </c>
      <c r="BV382" s="615">
        <f t="array" ref="BV382">100*((1+5/100)^(1/12)-1)</f>
        <v>0.40741237836483535</v>
      </c>
      <c r="BW382" s="615">
        <f t="array" ref="BW382">100*((1+9/100)^(1/12)-1)</f>
        <v>0.72073233161367156</v>
      </c>
      <c r="BX382" s="749">
        <f t="array" ref="BX382">((1+6.75/100)^(1/12)-1)*100</f>
        <v>0.54581304569467637</v>
      </c>
      <c r="BY382" s="615">
        <f t="array" ref="BY382">((1+8.3/100)^(1/12)-1)*100</f>
        <v>0.66667048692337083</v>
      </c>
      <c r="BZ382" s="749">
        <f t="shared" si="104"/>
        <v>0.68967566304480643</v>
      </c>
      <c r="CA382" s="749"/>
      <c r="CB382" s="748">
        <f t="shared" si="79"/>
        <v>0.64340301100034303</v>
      </c>
      <c r="CC382" s="207"/>
      <c r="CD382" s="748">
        <f t="shared" si="82"/>
        <v>0.64340301100034303</v>
      </c>
      <c r="CE382" s="207"/>
      <c r="CF382" s="207"/>
      <c r="CG382" s="1063">
        <f t="shared" si="105"/>
        <v>-1.4140984905660376</v>
      </c>
      <c r="CH382" s="207"/>
      <c r="CI382" s="207"/>
      <c r="CJ382" s="1264">
        <f t="shared" si="81"/>
        <v>0.79741404289037643</v>
      </c>
      <c r="CK382" s="207"/>
      <c r="CL382" s="207"/>
    </row>
    <row r="383" spans="1:90" x14ac:dyDescent="0.2">
      <c r="A383" s="19">
        <v>39172</v>
      </c>
      <c r="B383" s="262">
        <v>1.1185</v>
      </c>
      <c r="C383" s="262">
        <v>0.92589999999999995</v>
      </c>
      <c r="D383" s="262">
        <v>1.2999000000000001</v>
      </c>
      <c r="E383" s="262">
        <v>1.3460000000000001</v>
      </c>
      <c r="F383" s="262">
        <v>1.6476</v>
      </c>
      <c r="G383" s="262">
        <v>1.0481</v>
      </c>
      <c r="H383" s="262">
        <v>1.0705</v>
      </c>
      <c r="I383" s="262">
        <v>0.92359999999999998</v>
      </c>
      <c r="J383" s="262">
        <v>1.2068000000000001</v>
      </c>
      <c r="K383" s="262">
        <v>1.6766000000000001</v>
      </c>
      <c r="L383" s="262">
        <v>2.3639000000000001</v>
      </c>
      <c r="M383" s="262">
        <v>1.0370999999999999</v>
      </c>
      <c r="N383" s="262">
        <f t="shared" ref="N383:P384" si="106">K383</f>
        <v>1.6766000000000001</v>
      </c>
      <c r="O383" s="262">
        <f t="shared" si="106"/>
        <v>2.3639000000000001</v>
      </c>
      <c r="P383" s="262">
        <f t="shared" si="106"/>
        <v>1.0370999999999999</v>
      </c>
      <c r="Q383" s="262">
        <v>0.87580000000000002</v>
      </c>
      <c r="R383" s="128">
        <v>0.97309999999999997</v>
      </c>
      <c r="S383" s="262">
        <v>1.0407999999999999</v>
      </c>
      <c r="T383" s="128">
        <f t="shared" si="80"/>
        <v>1.0407999999999999</v>
      </c>
      <c r="U383" s="262">
        <v>2.8170000000000002</v>
      </c>
      <c r="V383" s="262">
        <v>3.2564000000000002</v>
      </c>
      <c r="W383" s="262">
        <v>3.0999999999999999E-3</v>
      </c>
      <c r="X383" s="128">
        <v>0.20710000000000001</v>
      </c>
      <c r="Y383" s="128"/>
      <c r="Z383" s="262" t="e">
        <v>#N/A</v>
      </c>
      <c r="AA383" s="262">
        <v>2.5963599999999998</v>
      </c>
      <c r="AB383" s="262">
        <v>3.3727999999999998</v>
      </c>
      <c r="AC383" s="262">
        <v>1.8284</v>
      </c>
      <c r="AD383" s="277">
        <v>1.0435000000000001</v>
      </c>
      <c r="AE383" s="277">
        <f t="shared" si="78"/>
        <v>1.0435000000000001</v>
      </c>
      <c r="AF383" s="277">
        <f t="shared" si="99"/>
        <v>2.8170000000000002</v>
      </c>
      <c r="AG383" s="262">
        <v>1.4823</v>
      </c>
      <c r="AH383" s="351">
        <v>-2.68</v>
      </c>
      <c r="AI383" s="262"/>
      <c r="AJ383" s="262"/>
      <c r="AK383" s="262"/>
      <c r="AL383" s="262"/>
      <c r="AM383" s="268"/>
      <c r="AN383" s="262">
        <v>2.8174999999999999</v>
      </c>
      <c r="AO383" s="262">
        <v>2.8170000000000002</v>
      </c>
      <c r="AP383" s="262"/>
      <c r="AQ383" s="262"/>
      <c r="AR383" s="262"/>
      <c r="AS383" s="262"/>
      <c r="AT383" s="262"/>
      <c r="AU383" s="262"/>
      <c r="AV383" s="510">
        <v>0.39</v>
      </c>
      <c r="AW383" s="510">
        <v>7.0000000000000007E-2</v>
      </c>
      <c r="AX383" s="510">
        <v>7.0000000000000007E-2</v>
      </c>
      <c r="AY383" s="510">
        <v>0.27</v>
      </c>
      <c r="AZ383" s="510"/>
      <c r="BA383" s="510">
        <v>0.19</v>
      </c>
      <c r="BB383" s="510">
        <v>0.01</v>
      </c>
      <c r="BC383" s="510">
        <f t="shared" si="100"/>
        <v>1</v>
      </c>
      <c r="BD383" s="747">
        <f t="shared" si="102"/>
        <v>1.1986869999999998</v>
      </c>
      <c r="BE383" s="243">
        <f t="shared" si="74"/>
        <v>1.1986869999999998</v>
      </c>
      <c r="BF383" s="329">
        <v>0.33400000000000002</v>
      </c>
      <c r="BG383" s="329">
        <v>7.0000000000000007E-2</v>
      </c>
      <c r="BH383" s="329"/>
      <c r="BI383" s="329">
        <v>7.0000000000000007E-2</v>
      </c>
      <c r="BJ383" s="329"/>
      <c r="BK383" s="329">
        <v>0.156</v>
      </c>
      <c r="BL383" s="329">
        <v>1.7999999999999999E-2</v>
      </c>
      <c r="BM383" s="329">
        <v>0.24199999999999999</v>
      </c>
      <c r="BN383" s="329">
        <v>0.01</v>
      </c>
      <c r="BO383" s="329">
        <v>0.1</v>
      </c>
      <c r="BP383" s="329">
        <f t="shared" si="97"/>
        <v>1</v>
      </c>
      <c r="BQ383" s="748">
        <f t="shared" si="103"/>
        <v>1.2031513999999999</v>
      </c>
      <c r="BR383" s="617"/>
      <c r="BS383" s="615">
        <f t="array" ref="BS383">100*((1+8.5/100)^(1/12)-1)</f>
        <v>0.68214933659622723</v>
      </c>
      <c r="BT383" s="615">
        <f t="array" ref="BT383">100*((1+8.75/100)^(1/12)-1)</f>
        <v>0.70146116041400752</v>
      </c>
      <c r="BU383" s="615">
        <f t="array" ref="BU383">100*((1+9/100)^(1/12)-1)</f>
        <v>0.72073233161367156</v>
      </c>
      <c r="BV383" s="615">
        <f t="array" ref="BV383">100*((1+5/100)^(1/12)-1)</f>
        <v>0.40741237836483535</v>
      </c>
      <c r="BW383" s="615">
        <f t="array" ref="BW383">100*((1+9/100)^(1/12)-1)</f>
        <v>0.72073233161367156</v>
      </c>
      <c r="BX383" s="749">
        <f t="array" ref="BX383">((1+6.75/100)^(1/12)-1)*100</f>
        <v>0.54581304569467637</v>
      </c>
      <c r="BY383" s="615">
        <f t="array" ref="BY383">((1+8.3/100)^(1/12)-1)*100</f>
        <v>0.66667048692337083</v>
      </c>
      <c r="BZ383" s="749">
        <f t="shared" si="104"/>
        <v>0.68967566304480643</v>
      </c>
      <c r="CA383" s="749"/>
      <c r="CB383" s="748">
        <f t="shared" si="79"/>
        <v>0.64340301100034303</v>
      </c>
      <c r="CC383" s="207"/>
      <c r="CD383" s="748">
        <f t="shared" si="82"/>
        <v>0.64340301100034303</v>
      </c>
      <c r="CE383" s="207"/>
      <c r="CF383" s="207"/>
      <c r="CG383" s="1063">
        <f t="shared" si="105"/>
        <v>1.2222584905660379</v>
      </c>
      <c r="CH383" s="207"/>
      <c r="CI383" s="207"/>
      <c r="CJ383" s="1264">
        <f t="shared" si="81"/>
        <v>0.79741404289037643</v>
      </c>
      <c r="CK383" s="207"/>
      <c r="CL383" s="207"/>
    </row>
    <row r="384" spans="1:90" x14ac:dyDescent="0.2">
      <c r="A384" s="19">
        <v>39202</v>
      </c>
      <c r="B384" s="262">
        <v>4.4295299999999997</v>
      </c>
      <c r="C384" s="262">
        <v>4.6803999999999997</v>
      </c>
      <c r="D384" s="262">
        <v>4.1965000000000003</v>
      </c>
      <c r="E384" s="262">
        <v>3.0417999999999998</v>
      </c>
      <c r="F384" s="262">
        <v>3.2665000000000002</v>
      </c>
      <c r="G384" s="262">
        <v>2.8184</v>
      </c>
      <c r="H384" s="262">
        <v>1.7962</v>
      </c>
      <c r="I384" s="262">
        <v>2.6217999999999999</v>
      </c>
      <c r="J384" s="262">
        <v>1.0377000000000001</v>
      </c>
      <c r="K384" s="262">
        <v>2.2290999999999999</v>
      </c>
      <c r="L384" s="262">
        <v>2.5047000000000001</v>
      </c>
      <c r="M384" s="262">
        <v>1.9710000000000001</v>
      </c>
      <c r="N384" s="262">
        <f t="shared" si="106"/>
        <v>2.2290999999999999</v>
      </c>
      <c r="O384" s="262">
        <f t="shared" si="106"/>
        <v>2.5047000000000001</v>
      </c>
      <c r="P384" s="262">
        <f t="shared" si="106"/>
        <v>1.9710000000000001</v>
      </c>
      <c r="Q384" s="262">
        <v>3.07</v>
      </c>
      <c r="R384" s="128">
        <v>2.5767000000000002</v>
      </c>
      <c r="S384" s="262">
        <v>3.9946999999999999</v>
      </c>
      <c r="T384" s="128">
        <f t="shared" si="80"/>
        <v>3.9946999999999999</v>
      </c>
      <c r="U384" s="262">
        <v>4.6369999999999996</v>
      </c>
      <c r="V384" s="262">
        <v>3.7696999999999998</v>
      </c>
      <c r="W384" s="262">
        <v>0.53920000000000001</v>
      </c>
      <c r="X384" s="128">
        <v>0.47960000000000003</v>
      </c>
      <c r="Y384" s="128"/>
      <c r="Z384" s="262">
        <v>2.9033000000000002</v>
      </c>
      <c r="AA384" s="262">
        <v>4.5322100000000001</v>
      </c>
      <c r="AB384" s="262">
        <v>4.3440000000000003</v>
      </c>
      <c r="AC384" s="262">
        <v>4.7184999999999997</v>
      </c>
      <c r="AD384" s="277">
        <v>3.3567999999999998</v>
      </c>
      <c r="AE384" s="277">
        <f t="shared" si="78"/>
        <v>3.3567999999999998</v>
      </c>
      <c r="AF384" s="277">
        <f t="shared" si="99"/>
        <v>4.6369999999999996</v>
      </c>
      <c r="AG384" s="262">
        <v>1.194</v>
      </c>
      <c r="AH384" s="351">
        <v>-0.02</v>
      </c>
      <c r="AI384" s="262"/>
      <c r="AJ384" s="262"/>
      <c r="AK384" s="262"/>
      <c r="AL384" s="262"/>
      <c r="AM384" s="268"/>
      <c r="AN384" s="262">
        <v>4.6399999999999997</v>
      </c>
      <c r="AO384" s="262">
        <v>4.6369999999999996</v>
      </c>
      <c r="AP384" s="262"/>
      <c r="AQ384" s="262"/>
      <c r="AR384" s="262"/>
      <c r="AS384" s="262"/>
      <c r="AT384" s="262"/>
      <c r="AU384" s="262"/>
      <c r="AV384" s="510">
        <v>0.39</v>
      </c>
      <c r="AW384" s="510">
        <v>7.0000000000000007E-2</v>
      </c>
      <c r="AX384" s="510">
        <v>7.0000000000000007E-2</v>
      </c>
      <c r="AY384" s="510">
        <v>0.27</v>
      </c>
      <c r="AZ384" s="510"/>
      <c r="BA384" s="510">
        <v>0.19</v>
      </c>
      <c r="BB384" s="510">
        <v>0.01</v>
      </c>
      <c r="BC384" s="510">
        <f t="shared" ref="BC384:BC389" si="107">SUM(AV384:BB384)</f>
        <v>1</v>
      </c>
      <c r="BD384" s="747">
        <f t="shared" si="102"/>
        <v>3.1350337000000001</v>
      </c>
      <c r="BE384" s="243">
        <f t="shared" si="74"/>
        <v>3.1350337000000001</v>
      </c>
      <c r="BF384" s="329">
        <v>0.33400000000000002</v>
      </c>
      <c r="BG384" s="329">
        <v>7.0000000000000007E-2</v>
      </c>
      <c r="BH384" s="329"/>
      <c r="BI384" s="329">
        <v>7.0000000000000007E-2</v>
      </c>
      <c r="BJ384" s="329"/>
      <c r="BK384" s="329">
        <v>0.156</v>
      </c>
      <c r="BL384" s="329">
        <v>1.7999999999999999E-2</v>
      </c>
      <c r="BM384" s="329">
        <v>0.24199999999999999</v>
      </c>
      <c r="BN384" s="329">
        <v>0.01</v>
      </c>
      <c r="BO384" s="329">
        <v>0.1</v>
      </c>
      <c r="BP384" s="329">
        <f t="shared" ref="BP384:BP392" si="108">SUM(BF384:BO384)</f>
        <v>1</v>
      </c>
      <c r="BQ384" s="748">
        <f t="shared" si="103"/>
        <v>3.1177590200000003</v>
      </c>
      <c r="BR384" s="207"/>
      <c r="BS384" s="615">
        <f t="array" ref="BS384">100*((1+8.5/100)^(1/12)-1)</f>
        <v>0.68214933659622723</v>
      </c>
      <c r="BT384" s="615">
        <f t="array" ref="BT384">100*((1+8.75/100)^(1/12)-1)</f>
        <v>0.70146116041400752</v>
      </c>
      <c r="BU384" s="615">
        <f t="array" ref="BU384">100*((1+9/100)^(1/12)-1)</f>
        <v>0.72073233161367156</v>
      </c>
      <c r="BV384" s="615">
        <f t="array" ref="BV384">100*((1+5/100)^(1/12)-1)</f>
        <v>0.40741237836483535</v>
      </c>
      <c r="BW384" s="615">
        <f t="array" ref="BW384">100*((1+9/100)^(1/12)-1)</f>
        <v>0.72073233161367156</v>
      </c>
      <c r="BX384" s="749">
        <f t="array" ref="BX384">((1+6.75/100)^(1/12)-1)*100</f>
        <v>0.54581304569467637</v>
      </c>
      <c r="BY384" s="615">
        <f t="array" ref="BY384">((1+8.3/100)^(1/12)-1)*100</f>
        <v>0.66667048692337083</v>
      </c>
      <c r="BZ384" s="749">
        <f t="shared" si="104"/>
        <v>0.68967566304480643</v>
      </c>
      <c r="CA384" s="749"/>
      <c r="CB384" s="748">
        <f t="shared" si="79"/>
        <v>0.64340301100034303</v>
      </c>
      <c r="CC384" s="207"/>
      <c r="CD384" s="748">
        <f t="shared" si="82"/>
        <v>0.64340301100034303</v>
      </c>
      <c r="CE384" s="207"/>
      <c r="CF384" s="207"/>
      <c r="CG384" s="1063">
        <f t="shared" si="105"/>
        <v>3.9556220754716978</v>
      </c>
      <c r="CH384" s="207"/>
      <c r="CI384" s="207"/>
      <c r="CJ384" s="1264">
        <f t="shared" si="81"/>
        <v>0.79741404289037643</v>
      </c>
      <c r="CK384" s="207"/>
      <c r="CL384" s="207"/>
    </row>
    <row r="385" spans="1:90" x14ac:dyDescent="0.2">
      <c r="A385" s="19">
        <v>39233</v>
      </c>
      <c r="B385" s="262">
        <v>3.4895100000000001</v>
      </c>
      <c r="C385" s="262">
        <v>3.1371000000000002</v>
      </c>
      <c r="D385" s="262">
        <v>3.8187000000000002</v>
      </c>
      <c r="E385" s="262">
        <v>5.0110999999999999</v>
      </c>
      <c r="F385" s="262">
        <v>5.6542000000000003</v>
      </c>
      <c r="G385" s="262">
        <v>4.3655999999999997</v>
      </c>
      <c r="H385" s="262">
        <v>4.0956000000000001</v>
      </c>
      <c r="I385" s="262">
        <v>4.5536000000000003</v>
      </c>
      <c r="J385" s="262">
        <v>3.6665999999999999</v>
      </c>
      <c r="K385" s="262">
        <v>4.6033999999999997</v>
      </c>
      <c r="L385" s="262">
        <v>4.6451000000000002</v>
      </c>
      <c r="M385" s="262">
        <v>4.5654000000000003</v>
      </c>
      <c r="N385" s="262">
        <f t="shared" ref="N385:P386" si="109">K385</f>
        <v>4.6033999999999997</v>
      </c>
      <c r="O385" s="262">
        <f t="shared" si="109"/>
        <v>4.6451000000000002</v>
      </c>
      <c r="P385" s="262">
        <f t="shared" si="109"/>
        <v>4.5654000000000003</v>
      </c>
      <c r="Q385" s="262">
        <v>4.8003999999999998</v>
      </c>
      <c r="R385" s="128">
        <v>4.1760999999999999</v>
      </c>
      <c r="S385" s="262">
        <v>3.6438000000000001</v>
      </c>
      <c r="T385" s="128">
        <f t="shared" si="80"/>
        <v>3.6438000000000001</v>
      </c>
      <c r="U385" s="262">
        <v>2.7410000000000001</v>
      </c>
      <c r="V385" s="262">
        <v>0.76549999999999996</v>
      </c>
      <c r="W385" s="262">
        <v>-0.75790000000000002</v>
      </c>
      <c r="X385" s="128">
        <v>-0.63370000000000004</v>
      </c>
      <c r="Y385" s="128"/>
      <c r="Z385" s="262" t="e">
        <v>#N/A</v>
      </c>
      <c r="AA385" s="262">
        <v>1.8876599999999999</v>
      </c>
      <c r="AB385" s="262">
        <v>2.1238999999999999</v>
      </c>
      <c r="AC385" s="262">
        <v>1.6443000000000001</v>
      </c>
      <c r="AD385" s="277">
        <v>2.044</v>
      </c>
      <c r="AE385" s="277">
        <f t="shared" si="78"/>
        <v>2.044</v>
      </c>
      <c r="AF385" s="277">
        <f t="shared" si="99"/>
        <v>2.7410000000000001</v>
      </c>
      <c r="AG385" s="262">
        <v>1.194</v>
      </c>
      <c r="AH385" s="351">
        <v>0.01</v>
      </c>
      <c r="AI385" s="262"/>
      <c r="AJ385" s="262"/>
      <c r="AK385" s="262"/>
      <c r="AL385" s="262"/>
      <c r="AM385" s="268"/>
      <c r="AN385" s="262">
        <v>2.74</v>
      </c>
      <c r="AO385" s="262">
        <v>2.7410000000000001</v>
      </c>
      <c r="AP385" s="262"/>
      <c r="AQ385" s="262"/>
      <c r="AR385" s="262"/>
      <c r="AS385" s="262"/>
      <c r="AT385" s="262"/>
      <c r="AU385" s="262"/>
      <c r="AV385" s="510">
        <v>0.39</v>
      </c>
      <c r="AW385" s="510">
        <v>7.0000000000000007E-2</v>
      </c>
      <c r="AX385" s="510">
        <v>7.0000000000000007E-2</v>
      </c>
      <c r="AY385" s="510">
        <v>0.27</v>
      </c>
      <c r="AZ385" s="510"/>
      <c r="BA385" s="510">
        <v>0.19</v>
      </c>
      <c r="BB385" s="510">
        <v>0.01</v>
      </c>
      <c r="BC385" s="510">
        <f t="shared" si="107"/>
        <v>1</v>
      </c>
      <c r="BD385" s="747">
        <f t="shared" si="102"/>
        <v>2.3620209000000001</v>
      </c>
      <c r="BE385" s="243">
        <f t="shared" si="74"/>
        <v>2.3620209000000001</v>
      </c>
      <c r="BF385" s="329">
        <v>0.33400000000000002</v>
      </c>
      <c r="BG385" s="329">
        <v>7.0000000000000007E-2</v>
      </c>
      <c r="BH385" s="329"/>
      <c r="BI385" s="329">
        <v>7.0000000000000007E-2</v>
      </c>
      <c r="BJ385" s="329"/>
      <c r="BK385" s="329">
        <v>0.156</v>
      </c>
      <c r="BL385" s="329">
        <v>1.7999999999999999E-2</v>
      </c>
      <c r="BM385" s="329">
        <v>0.24199999999999999</v>
      </c>
      <c r="BN385" s="329">
        <v>0.01</v>
      </c>
      <c r="BO385" s="329">
        <v>0.1</v>
      </c>
      <c r="BP385" s="329">
        <f t="shared" si="108"/>
        <v>1</v>
      </c>
      <c r="BQ385" s="748">
        <f t="shared" si="103"/>
        <v>2.3128145400000002</v>
      </c>
      <c r="BR385" s="248"/>
      <c r="BS385" s="615">
        <f t="array" ref="BS385">100*((1+8.5/100)^(1/12)-1)</f>
        <v>0.68214933659622723</v>
      </c>
      <c r="BT385" s="615">
        <f t="array" ref="BT385">100*((1+8.75/100)^(1/12)-1)</f>
        <v>0.70146116041400752</v>
      </c>
      <c r="BU385" s="615">
        <f t="array" ref="BU385">100*((1+9/100)^(1/12)-1)</f>
        <v>0.72073233161367156</v>
      </c>
      <c r="BV385" s="615">
        <f t="array" ref="BV385">100*((1+5/100)^(1/12)-1)</f>
        <v>0.40741237836483535</v>
      </c>
      <c r="BW385" s="615">
        <f t="array" ref="BW385">100*((1+9/100)^(1/12)-1)</f>
        <v>0.72073233161367156</v>
      </c>
      <c r="BX385" s="749">
        <f t="array" ref="BX385">((1+6.75/100)^(1/12)-1)*100</f>
        <v>0.54581304569467637</v>
      </c>
      <c r="BY385" s="615">
        <f t="array" ref="BY385">((1+8.3/100)^(1/12)-1)*100</f>
        <v>0.66667048692337083</v>
      </c>
      <c r="BZ385" s="749">
        <f t="shared" si="104"/>
        <v>0.68967566304480643</v>
      </c>
      <c r="CA385" s="749"/>
      <c r="CB385" s="748">
        <f t="shared" si="79"/>
        <v>0.64340301100034303</v>
      </c>
      <c r="CC385" s="1064"/>
      <c r="CD385" s="748">
        <f t="shared" si="82"/>
        <v>0.64340301100034303</v>
      </c>
      <c r="CE385" s="207"/>
      <c r="CF385" s="207"/>
      <c r="CG385" s="1063">
        <f t="shared" si="105"/>
        <v>3.8375922641509432</v>
      </c>
      <c r="CH385" s="207"/>
      <c r="CI385" s="207"/>
      <c r="CJ385" s="1264">
        <f t="shared" si="81"/>
        <v>0.79741404289037643</v>
      </c>
      <c r="CK385" s="207"/>
      <c r="CL385" s="207"/>
    </row>
    <row r="386" spans="1:90" x14ac:dyDescent="0.2">
      <c r="A386" s="19">
        <v>39263</v>
      </c>
      <c r="B386" s="262">
        <v>-1.6613199999999999</v>
      </c>
      <c r="C386" s="262">
        <v>-1.2387999999999999</v>
      </c>
      <c r="D386" s="262">
        <v>-2.0550000000000002</v>
      </c>
      <c r="E386" s="262">
        <v>-2.1842999999999999</v>
      </c>
      <c r="F386" s="262">
        <v>-1.7181</v>
      </c>
      <c r="G386" s="262">
        <v>-2.6583999999999999</v>
      </c>
      <c r="H386" s="262">
        <v>-1.4629000000000001</v>
      </c>
      <c r="I386" s="262">
        <v>-0.56579999999999997</v>
      </c>
      <c r="J386" s="262">
        <v>-2.3308</v>
      </c>
      <c r="K386" s="262">
        <v>-1.6375999999999999</v>
      </c>
      <c r="L386" s="262">
        <v>-0.97599999999999998</v>
      </c>
      <c r="M386" s="262">
        <v>-2.2385000000000002</v>
      </c>
      <c r="N386" s="262">
        <f t="shared" si="109"/>
        <v>-1.6375999999999999</v>
      </c>
      <c r="O386" s="262">
        <f t="shared" si="109"/>
        <v>-0.97599999999999998</v>
      </c>
      <c r="P386" s="262">
        <f t="shared" si="109"/>
        <v>-2.2385000000000002</v>
      </c>
      <c r="Q386" s="262">
        <v>-0.95133999999999996</v>
      </c>
      <c r="R386" s="128">
        <v>-1.7945</v>
      </c>
      <c r="S386" s="262">
        <v>-1.8724000000000001</v>
      </c>
      <c r="T386" s="128">
        <f t="shared" si="80"/>
        <v>-1.8724000000000001</v>
      </c>
      <c r="U386" s="262">
        <v>0.85099999999999998</v>
      </c>
      <c r="V386" s="262">
        <v>-0.1845</v>
      </c>
      <c r="W386" s="262">
        <v>-0.29580000000000001</v>
      </c>
      <c r="X386" s="128">
        <v>-0.191</v>
      </c>
      <c r="Y386" s="128"/>
      <c r="Z386" s="262">
        <v>0.4153</v>
      </c>
      <c r="AA386" s="262">
        <v>0.15429000000000001</v>
      </c>
      <c r="AB386" s="262">
        <v>0.2616</v>
      </c>
      <c r="AC386" s="262">
        <v>-1.3599999999999999E-2</v>
      </c>
      <c r="AD386" s="277">
        <v>-0.98960000000000004</v>
      </c>
      <c r="AE386" s="277">
        <f t="shared" si="78"/>
        <v>-0.98960000000000004</v>
      </c>
      <c r="AF386" s="277">
        <f t="shared" si="99"/>
        <v>0.85099999999999998</v>
      </c>
      <c r="AG386" s="262">
        <v>1.194</v>
      </c>
      <c r="AH386" s="351">
        <v>-9.34</v>
      </c>
      <c r="AI386" s="262"/>
      <c r="AJ386" s="262"/>
      <c r="AK386" s="262"/>
      <c r="AL386" s="262"/>
      <c r="AM386" s="268"/>
      <c r="AN386" s="262">
        <v>0.85</v>
      </c>
      <c r="AO386" s="262">
        <v>0.85099999999999998</v>
      </c>
      <c r="AP386" s="262"/>
      <c r="AQ386" s="262"/>
      <c r="AR386" s="262"/>
      <c r="AS386" s="262"/>
      <c r="AT386" s="262"/>
      <c r="AU386" s="262"/>
      <c r="AV386" s="510">
        <v>0.39</v>
      </c>
      <c r="AW386" s="510">
        <v>7.0000000000000007E-2</v>
      </c>
      <c r="AX386" s="510">
        <v>7.0000000000000007E-2</v>
      </c>
      <c r="AY386" s="510">
        <v>0.27</v>
      </c>
      <c r="AZ386" s="510"/>
      <c r="BA386" s="510">
        <v>0.19</v>
      </c>
      <c r="BB386" s="510">
        <v>0.01</v>
      </c>
      <c r="BC386" s="510">
        <f t="shared" si="107"/>
        <v>1</v>
      </c>
      <c r="BD386" s="747">
        <f t="shared" si="102"/>
        <v>-0.82168380000000019</v>
      </c>
      <c r="BE386" s="243">
        <f t="shared" si="74"/>
        <v>-0.82168380000000019</v>
      </c>
      <c r="BF386" s="329">
        <v>0.33400000000000002</v>
      </c>
      <c r="BG386" s="329">
        <v>7.0000000000000007E-2</v>
      </c>
      <c r="BH386" s="329"/>
      <c r="BI386" s="329">
        <v>7.0000000000000007E-2</v>
      </c>
      <c r="BJ386" s="329"/>
      <c r="BK386" s="329">
        <v>0.156</v>
      </c>
      <c r="BL386" s="329">
        <v>1.7999999999999999E-2</v>
      </c>
      <c r="BM386" s="329">
        <v>0.24199999999999999</v>
      </c>
      <c r="BN386" s="329">
        <v>0.01</v>
      </c>
      <c r="BO386" s="329">
        <v>0.1</v>
      </c>
      <c r="BP386" s="329">
        <f t="shared" si="108"/>
        <v>1</v>
      </c>
      <c r="BQ386" s="748">
        <f t="shared" si="103"/>
        <v>-0.85158248000000014</v>
      </c>
      <c r="BR386" s="207"/>
      <c r="BS386" s="615">
        <f t="array" ref="BS386">100*((1+8.5/100)^(1/12)-1)</f>
        <v>0.68214933659622723</v>
      </c>
      <c r="BT386" s="615">
        <f t="array" ref="BT386">100*((1+8.75/100)^(1/12)-1)</f>
        <v>0.70146116041400752</v>
      </c>
      <c r="BU386" s="615">
        <f t="array" ref="BU386">100*((1+9/100)^(1/12)-1)</f>
        <v>0.72073233161367156</v>
      </c>
      <c r="BV386" s="615">
        <f t="array" ref="BV386">100*((1+5/100)^(1/12)-1)</f>
        <v>0.40741237836483535</v>
      </c>
      <c r="BW386" s="615">
        <f t="array" ref="BW386">100*((1+9/100)^(1/12)-1)</f>
        <v>0.72073233161367156</v>
      </c>
      <c r="BX386" s="749">
        <f t="array" ref="BX386">((1+6.75/100)^(1/12)-1)*100</f>
        <v>0.54581304569467637</v>
      </c>
      <c r="BY386" s="615">
        <f>((1+8.3/100)^(1/12)-1)*100</f>
        <v>0.66667048692337083</v>
      </c>
      <c r="BZ386" s="749">
        <f t="shared" si="104"/>
        <v>0.68967566304480643</v>
      </c>
      <c r="CA386" s="749"/>
      <c r="CB386" s="748">
        <f t="shared" si="79"/>
        <v>0.64340301100034303</v>
      </c>
      <c r="CC386" s="207"/>
      <c r="CD386" s="748">
        <f t="shared" si="82"/>
        <v>0.64340301100034303</v>
      </c>
      <c r="CE386" s="207"/>
      <c r="CF386" s="207"/>
      <c r="CG386" s="1063">
        <f t="shared" si="105"/>
        <v>-1.7272599999999998</v>
      </c>
      <c r="CH386" s="207"/>
      <c r="CI386" s="207"/>
      <c r="CJ386" s="1264">
        <f t="shared" si="81"/>
        <v>0.79741404289037643</v>
      </c>
      <c r="CK386" s="207"/>
      <c r="CL386" s="207"/>
    </row>
    <row r="387" spans="1:90" x14ac:dyDescent="0.2">
      <c r="A387" s="19">
        <v>39294</v>
      </c>
      <c r="B387" s="262">
        <v>-3.1004900000000002</v>
      </c>
      <c r="C387" s="262">
        <v>-2.2238000000000002</v>
      </c>
      <c r="D387" s="262">
        <v>-3.9300999999999999</v>
      </c>
      <c r="E387" s="262">
        <v>-4.3059000000000003</v>
      </c>
      <c r="F387" s="262">
        <v>-3.7441</v>
      </c>
      <c r="G387" s="262">
        <v>-4.8768000000000002</v>
      </c>
      <c r="H387" s="262">
        <v>-6.8395000000000001</v>
      </c>
      <c r="I387" s="262">
        <v>-5.1920999999999999</v>
      </c>
      <c r="J387" s="262">
        <v>-8.5113000000000003</v>
      </c>
      <c r="K387" s="262">
        <v>-5.0464000000000002</v>
      </c>
      <c r="L387" s="262">
        <v>-4.0940000000000003</v>
      </c>
      <c r="M387" s="262">
        <v>-5.9215999999999998</v>
      </c>
      <c r="N387" s="262">
        <f t="shared" ref="N387:P388" si="110">K387</f>
        <v>-5.0464000000000002</v>
      </c>
      <c r="O387" s="262">
        <f t="shared" si="110"/>
        <v>-4.0940000000000003</v>
      </c>
      <c r="P387" s="262">
        <f t="shared" si="110"/>
        <v>-5.9215999999999998</v>
      </c>
      <c r="Q387" s="262">
        <v>-4.1921900000000001</v>
      </c>
      <c r="R387" s="128">
        <v>-5.7451999999999996</v>
      </c>
      <c r="S387" s="262">
        <v>-3.4102999999999999</v>
      </c>
      <c r="T387" s="128">
        <f t="shared" si="80"/>
        <v>-3.4102999999999999</v>
      </c>
      <c r="U387" s="262">
        <v>-0.28499999999999998</v>
      </c>
      <c r="V387" s="262">
        <v>-0.37959999999999999</v>
      </c>
      <c r="W387" s="262">
        <v>0.83409999999999995</v>
      </c>
      <c r="X387" s="128">
        <v>0.79120000000000001</v>
      </c>
      <c r="Y387" s="128"/>
      <c r="Z387" s="262">
        <v>-0.68659999999999999</v>
      </c>
      <c r="AA387" s="262">
        <v>-1.46204</v>
      </c>
      <c r="AB387" s="262">
        <v>-0.80549999999999999</v>
      </c>
      <c r="AC387" s="262">
        <v>-2.1183000000000001</v>
      </c>
      <c r="AD387" s="277">
        <v>-1.7372000000000001</v>
      </c>
      <c r="AE387" s="277">
        <f t="shared" si="78"/>
        <v>-1.7372000000000001</v>
      </c>
      <c r="AF387" s="277">
        <f t="shared" si="99"/>
        <v>-0.28499999999999998</v>
      </c>
      <c r="AG387" s="262">
        <v>1.5081</v>
      </c>
      <c r="AH387" s="351">
        <v>-7.83</v>
      </c>
      <c r="AI387" s="262"/>
      <c r="AJ387" s="262"/>
      <c r="AK387" s="262"/>
      <c r="AL387" s="262"/>
      <c r="AM387" s="268"/>
      <c r="AN387" s="262">
        <v>-0.28000000000000003</v>
      </c>
      <c r="AO387" s="262">
        <v>-0.28499999999999998</v>
      </c>
      <c r="AP387" s="262"/>
      <c r="AQ387" s="262"/>
      <c r="AR387" s="262"/>
      <c r="AS387" s="262"/>
      <c r="AT387" s="262"/>
      <c r="AU387" s="262"/>
      <c r="AV387" s="510">
        <v>0.39</v>
      </c>
      <c r="AW387" s="510">
        <v>7.0000000000000007E-2</v>
      </c>
      <c r="AX387" s="510">
        <v>7.0000000000000007E-2</v>
      </c>
      <c r="AY387" s="510">
        <v>0.27</v>
      </c>
      <c r="AZ387" s="510"/>
      <c r="BA387" s="510">
        <v>0.19</v>
      </c>
      <c r="BB387" s="510">
        <v>0.01</v>
      </c>
      <c r="BC387" s="510">
        <f t="shared" si="107"/>
        <v>1</v>
      </c>
      <c r="BD387" s="747">
        <f t="shared" si="102"/>
        <v>-1.6777141000000002</v>
      </c>
      <c r="BE387" s="243">
        <f t="shared" si="74"/>
        <v>-1.6777141000000002</v>
      </c>
      <c r="BF387" s="329">
        <v>0.33400000000000002</v>
      </c>
      <c r="BG387" s="329">
        <v>7.0000000000000007E-2</v>
      </c>
      <c r="BH387" s="329"/>
      <c r="BI387" s="329">
        <v>7.0000000000000007E-2</v>
      </c>
      <c r="BJ387" s="329"/>
      <c r="BK387" s="329">
        <v>0.156</v>
      </c>
      <c r="BL387" s="329">
        <v>1.7999999999999999E-2</v>
      </c>
      <c r="BM387" s="329">
        <v>0.24199999999999999</v>
      </c>
      <c r="BN387" s="329">
        <v>0.01</v>
      </c>
      <c r="BO387" s="329">
        <v>0.1</v>
      </c>
      <c r="BP387" s="329">
        <f t="shared" si="108"/>
        <v>1</v>
      </c>
      <c r="BQ387" s="748">
        <f t="shared" si="103"/>
        <v>-1.6983042600000005</v>
      </c>
      <c r="BR387" s="207"/>
      <c r="BS387" s="615">
        <f t="array" ref="BS387">100*((1+8.5/100)^(1/12)-1)</f>
        <v>0.68214933659622723</v>
      </c>
      <c r="BT387" s="615">
        <f t="array" ref="BT387">100*((1+8.75/100)^(1/12)-1)</f>
        <v>0.70146116041400752</v>
      </c>
      <c r="BU387" s="615">
        <f t="array" ref="BU387">100*((1+9/100)^(1/12)-1)</f>
        <v>0.72073233161367156</v>
      </c>
      <c r="BV387" s="615">
        <f t="array" ref="BV387">100*((1+5/100)^(1/12)-1)</f>
        <v>0.40741237836483535</v>
      </c>
      <c r="BW387" s="615">
        <f t="array" ref="BW387">100*((1+9/100)^(1/12)-1)</f>
        <v>0.72073233161367156</v>
      </c>
      <c r="BX387" s="749">
        <f t="array" ref="BX387">((1+6.75/100)^(1/12)-1)*100</f>
        <v>0.54581304569467637</v>
      </c>
      <c r="BY387" s="615">
        <f t="array" ref="BY387">((1+8.3/100)^(1/12)-1)*100</f>
        <v>0.66667048692337083</v>
      </c>
      <c r="BZ387" s="749">
        <f t="shared" ref="BZ387:BZ392" si="111">0.74*BS387+0.13*BT387+0.13*BU387</f>
        <v>0.68967566304480643</v>
      </c>
      <c r="CA387" s="207"/>
      <c r="CB387" s="748">
        <f t="shared" si="79"/>
        <v>0.64340301100034303</v>
      </c>
      <c r="CC387" s="207"/>
      <c r="CD387" s="748">
        <f t="shared" si="82"/>
        <v>0.64340301100034303</v>
      </c>
      <c r="CE387" s="207"/>
      <c r="CF387" s="207"/>
      <c r="CG387" s="1063">
        <f t="shared" si="105"/>
        <v>-3.5167020754716982</v>
      </c>
      <c r="CH387" s="207"/>
      <c r="CI387" s="207"/>
      <c r="CJ387" s="1264">
        <f t="shared" si="81"/>
        <v>0.79741404289037643</v>
      </c>
      <c r="CK387" s="207"/>
      <c r="CL387" s="207"/>
    </row>
    <row r="388" spans="1:90" x14ac:dyDescent="0.2">
      <c r="A388" s="19">
        <v>39325</v>
      </c>
      <c r="B388" s="262">
        <v>1.49902</v>
      </c>
      <c r="C388" s="262">
        <v>1.655</v>
      </c>
      <c r="D388" s="262">
        <v>1.3471</v>
      </c>
      <c r="E388" s="262">
        <v>0.92120000000000002</v>
      </c>
      <c r="F388" s="262">
        <v>1.1114999999999999</v>
      </c>
      <c r="G388" s="262">
        <v>0.72550000000000003</v>
      </c>
      <c r="H388" s="262">
        <v>2.2665999999999999</v>
      </c>
      <c r="I388" s="262">
        <v>2.5150999999999999</v>
      </c>
      <c r="J388" s="262">
        <v>2.0036</v>
      </c>
      <c r="K388" s="262">
        <v>1.8743000000000001</v>
      </c>
      <c r="L388" s="262">
        <v>2.7837999999999998</v>
      </c>
      <c r="M388" s="262">
        <v>1.0337000000000001</v>
      </c>
      <c r="N388" s="262">
        <f t="shared" si="110"/>
        <v>1.8743000000000001</v>
      </c>
      <c r="O388" s="262">
        <f t="shared" si="110"/>
        <v>2.7837999999999998</v>
      </c>
      <c r="P388" s="262">
        <f t="shared" si="110"/>
        <v>1.0337000000000001</v>
      </c>
      <c r="Q388" s="262">
        <v>1.5329999999999999</v>
      </c>
      <c r="R388" s="128">
        <v>1.0604</v>
      </c>
      <c r="S388" s="262">
        <v>1.4354</v>
      </c>
      <c r="T388" s="128">
        <f t="shared" si="80"/>
        <v>1.4354</v>
      </c>
      <c r="U388" s="262">
        <v>-1.5349999999999999</v>
      </c>
      <c r="V388" s="262">
        <v>-5.1435000000000004</v>
      </c>
      <c r="W388" s="262">
        <v>1.2257</v>
      </c>
      <c r="X388" s="128">
        <v>1.1814</v>
      </c>
      <c r="Y388" s="128"/>
      <c r="Z388" s="262">
        <v>-1.3785000000000001</v>
      </c>
      <c r="AA388" s="262">
        <v>-1.53881</v>
      </c>
      <c r="AB388" s="262">
        <v>-0.96989999999999998</v>
      </c>
      <c r="AC388" s="262">
        <v>-2.1152000000000002</v>
      </c>
      <c r="AD388" s="277">
        <v>0.93799999999999994</v>
      </c>
      <c r="AE388" s="277">
        <f t="shared" si="78"/>
        <v>0.93799999999999994</v>
      </c>
      <c r="AF388" s="277">
        <f t="shared" si="99"/>
        <v>-1.5349999999999999</v>
      </c>
      <c r="AG388" s="262">
        <v>1.5081</v>
      </c>
      <c r="AH388" s="351">
        <v>5.86</v>
      </c>
      <c r="AI388" s="262"/>
      <c r="AJ388" s="262"/>
      <c r="AK388" s="262"/>
      <c r="AL388" s="262"/>
      <c r="AM388" s="268"/>
      <c r="AN388" s="262">
        <v>-1.54</v>
      </c>
      <c r="AO388" s="262">
        <v>-1.5349999999999999</v>
      </c>
      <c r="AP388" s="262"/>
      <c r="AQ388" s="262"/>
      <c r="AR388" s="262"/>
      <c r="AS388" s="262"/>
      <c r="AT388" s="262"/>
      <c r="AU388" s="262"/>
      <c r="AV388" s="510">
        <v>0.39</v>
      </c>
      <c r="AW388" s="510">
        <v>7.0000000000000007E-2</v>
      </c>
      <c r="AX388" s="510">
        <v>7.0000000000000007E-2</v>
      </c>
      <c r="AY388" s="510">
        <v>0.27</v>
      </c>
      <c r="AZ388" s="510"/>
      <c r="BA388" s="510">
        <v>0.19</v>
      </c>
      <c r="BB388" s="510">
        <v>0.01</v>
      </c>
      <c r="BC388" s="510">
        <f t="shared" si="107"/>
        <v>1</v>
      </c>
      <c r="BD388" s="747">
        <f t="shared" si="102"/>
        <v>0.83467280000000021</v>
      </c>
      <c r="BE388" s="243">
        <f>BD388</f>
        <v>0.83467280000000021</v>
      </c>
      <c r="BF388" s="329">
        <v>0.33400000000000002</v>
      </c>
      <c r="BG388" s="329">
        <v>7.0000000000000007E-2</v>
      </c>
      <c r="BH388" s="329"/>
      <c r="BI388" s="329">
        <v>7.0000000000000007E-2</v>
      </c>
      <c r="BJ388" s="329"/>
      <c r="BK388" s="329">
        <v>0.156</v>
      </c>
      <c r="BL388" s="329">
        <v>1.7999999999999999E-2</v>
      </c>
      <c r="BM388" s="329">
        <v>0.24199999999999999</v>
      </c>
      <c r="BN388" s="329">
        <v>0.01</v>
      </c>
      <c r="BO388" s="329">
        <v>0.1</v>
      </c>
      <c r="BP388" s="329">
        <f t="shared" si="108"/>
        <v>1</v>
      </c>
      <c r="BQ388" s="748">
        <f t="shared" si="103"/>
        <v>0.76981507999999998</v>
      </c>
      <c r="BR388" s="207"/>
      <c r="BS388" s="615">
        <f t="array" ref="BS388">100*((1+8.5/100)^(1/12)-1)</f>
        <v>0.68214933659622723</v>
      </c>
      <c r="BT388" s="615">
        <f t="array" ref="BT388">100*((1+8.75/100)^(1/12)-1)</f>
        <v>0.70146116041400752</v>
      </c>
      <c r="BU388" s="615">
        <f t="array" ref="BU388">100*((1+9/100)^(1/12)-1)</f>
        <v>0.72073233161367156</v>
      </c>
      <c r="BV388" s="615">
        <f t="array" ref="BV388">100*((1+5/100)^(1/12)-1)</f>
        <v>0.40741237836483535</v>
      </c>
      <c r="BW388" s="615">
        <f t="array" ref="BW388">100*((1+9/100)^(1/12)-1)</f>
        <v>0.72073233161367156</v>
      </c>
      <c r="BX388" s="749">
        <f t="array" ref="BX388">((1+6.75/100)^(1/12)-1)*100</f>
        <v>0.54581304569467637</v>
      </c>
      <c r="BY388" s="615">
        <f t="array" ref="BY388">((1+8.3/100)^(1/12)-1)*100</f>
        <v>0.66667048692337083</v>
      </c>
      <c r="BZ388" s="749">
        <f t="shared" si="111"/>
        <v>0.68967566304480643</v>
      </c>
      <c r="CA388" s="207"/>
      <c r="CB388" s="748">
        <f t="shared" si="79"/>
        <v>0.64340301100034303</v>
      </c>
      <c r="CC388" s="207"/>
      <c r="CD388" s="748">
        <f t="shared" si="82"/>
        <v>0.64340301100034303</v>
      </c>
      <c r="CE388" s="207"/>
      <c r="CF388" s="207"/>
      <c r="CG388" s="1063">
        <f t="shared" si="105"/>
        <v>1.4722694339622642</v>
      </c>
      <c r="CH388" s="207"/>
      <c r="CI388" s="207"/>
      <c r="CJ388" s="1264">
        <f t="shared" si="81"/>
        <v>0.79741404289037643</v>
      </c>
      <c r="CK388" s="207"/>
      <c r="CL388" s="207"/>
    </row>
    <row r="389" spans="1:90" x14ac:dyDescent="0.2">
      <c r="A389" s="19">
        <v>39355</v>
      </c>
      <c r="B389" s="262">
        <v>3.7398600000000002</v>
      </c>
      <c r="C389" s="262">
        <v>4.3971</v>
      </c>
      <c r="D389" s="262">
        <v>3.1048</v>
      </c>
      <c r="E389" s="262">
        <v>2.6453000000000002</v>
      </c>
      <c r="F389" s="262">
        <v>3.5261</v>
      </c>
      <c r="G389" s="262">
        <v>1.7378</v>
      </c>
      <c r="H389" s="262">
        <v>1.7164999999999999</v>
      </c>
      <c r="I389" s="262">
        <v>2.9051</v>
      </c>
      <c r="J389" s="262">
        <v>0.45150000000000001</v>
      </c>
      <c r="K389" s="262">
        <v>1.4903999999999999</v>
      </c>
      <c r="L389" s="262">
        <v>2.7894000000000001</v>
      </c>
      <c r="M389" s="262">
        <v>0.26269999999999999</v>
      </c>
      <c r="N389" s="262">
        <f t="shared" ref="N389:P390" si="112">K389</f>
        <v>1.4903999999999999</v>
      </c>
      <c r="O389" s="262">
        <f t="shared" si="112"/>
        <v>2.7894000000000001</v>
      </c>
      <c r="P389" s="262">
        <f t="shared" si="112"/>
        <v>0.26269999999999999</v>
      </c>
      <c r="Q389" s="262">
        <v>3.4735999999999998</v>
      </c>
      <c r="R389" s="128">
        <v>2.3546999999999998</v>
      </c>
      <c r="S389" s="262">
        <v>3.6457000000000002</v>
      </c>
      <c r="T389" s="128">
        <f t="shared" si="80"/>
        <v>3.6457000000000002</v>
      </c>
      <c r="U389" s="262">
        <v>6.6219999999999999</v>
      </c>
      <c r="V389" s="262">
        <v>1.1355</v>
      </c>
      <c r="W389" s="262">
        <v>0.75860000000000005</v>
      </c>
      <c r="X389" s="128">
        <v>0.76160000000000005</v>
      </c>
      <c r="Y389" s="128"/>
      <c r="Z389" s="262" t="e">
        <v>#N/A</v>
      </c>
      <c r="AA389" s="262">
        <v>5.3690800000000003</v>
      </c>
      <c r="AB389" s="262">
        <v>6.2545999999999999</v>
      </c>
      <c r="AC389" s="262">
        <v>4.4641999999999999</v>
      </c>
      <c r="AD389" s="277">
        <v>3.1663999999999999</v>
      </c>
      <c r="AE389" s="277">
        <f t="shared" si="78"/>
        <v>3.1663999999999999</v>
      </c>
      <c r="AF389" s="277">
        <f t="shared" si="99"/>
        <v>6.6219999999999999</v>
      </c>
      <c r="AG389" s="262">
        <v>1.5081</v>
      </c>
      <c r="AH389" s="351">
        <v>3.96</v>
      </c>
      <c r="AI389" s="262"/>
      <c r="AJ389" s="262"/>
      <c r="AK389" s="262"/>
      <c r="AL389" s="262"/>
      <c r="AM389" s="268"/>
      <c r="AN389" s="262">
        <v>6.62</v>
      </c>
      <c r="AO389" s="262">
        <v>6.6219999999999999</v>
      </c>
      <c r="AP389" s="262"/>
      <c r="AQ389" s="262"/>
      <c r="AR389" s="262"/>
      <c r="AS389" s="262"/>
      <c r="AT389" s="262"/>
      <c r="AU389" s="262"/>
      <c r="AV389" s="510">
        <v>0.39</v>
      </c>
      <c r="AW389" s="510">
        <v>7.0000000000000007E-2</v>
      </c>
      <c r="AX389" s="510">
        <v>7.0000000000000007E-2</v>
      </c>
      <c r="AY389" s="510">
        <v>0.27</v>
      </c>
      <c r="AZ389" s="510"/>
      <c r="BA389" s="510">
        <v>0.19</v>
      </c>
      <c r="BB389" s="510">
        <v>0.01</v>
      </c>
      <c r="BC389" s="510">
        <f t="shared" si="107"/>
        <v>1</v>
      </c>
      <c r="BD389" s="747">
        <f t="shared" si="102"/>
        <v>3.2261274000000002</v>
      </c>
      <c r="BE389" s="243">
        <f>BD389</f>
        <v>3.2261274000000002</v>
      </c>
      <c r="BF389" s="329">
        <v>0.33400000000000002</v>
      </c>
      <c r="BG389" s="329">
        <v>7.0000000000000007E-2</v>
      </c>
      <c r="BH389" s="329"/>
      <c r="BI389" s="329">
        <v>7.0000000000000007E-2</v>
      </c>
      <c r="BJ389" s="329"/>
      <c r="BK389" s="329">
        <v>0.156</v>
      </c>
      <c r="BL389" s="329">
        <v>1.7999999999999999E-2</v>
      </c>
      <c r="BM389" s="329">
        <v>0.24199999999999999</v>
      </c>
      <c r="BN389" s="329">
        <v>0.01</v>
      </c>
      <c r="BO389" s="329">
        <v>0.1</v>
      </c>
      <c r="BP389" s="329">
        <f t="shared" si="108"/>
        <v>1</v>
      </c>
      <c r="BQ389" s="748">
        <f t="shared" si="103"/>
        <v>3.1073854400000003</v>
      </c>
      <c r="BR389" s="749"/>
      <c r="BS389" s="615">
        <f t="array" ref="BS389">100*((1+8.5/100)^(1/12)-1)</f>
        <v>0.68214933659622723</v>
      </c>
      <c r="BT389" s="615">
        <f t="array" ref="BT389">100*((1+8.75/100)^(1/12)-1)</f>
        <v>0.70146116041400752</v>
      </c>
      <c r="BU389" s="615">
        <f t="array" ref="BU389">100*((1+9/100)^(1/12)-1)</f>
        <v>0.72073233161367156</v>
      </c>
      <c r="BV389" s="615">
        <f t="array" ref="BV389">100*((1+5/100)^(1/12)-1)</f>
        <v>0.40741237836483535</v>
      </c>
      <c r="BW389" s="615">
        <f t="array" ref="BW389">100*((1+9/100)^(1/12)-1)</f>
        <v>0.72073233161367156</v>
      </c>
      <c r="BX389" s="749">
        <f t="array" ref="BX389">((1+6.75/100)^(1/12)-1)*100</f>
        <v>0.54581304569467637</v>
      </c>
      <c r="BY389" s="615">
        <f t="array" ref="BY389">((1+8.3/100)^(1/12)-1)*100</f>
        <v>0.66667048692337083</v>
      </c>
      <c r="BZ389" s="749">
        <f t="shared" si="111"/>
        <v>0.68967566304480643</v>
      </c>
      <c r="CA389" s="749"/>
      <c r="CB389" s="748">
        <f t="shared" si="79"/>
        <v>0.64340301100034303</v>
      </c>
      <c r="CC389" s="207"/>
      <c r="CD389" s="748">
        <f t="shared" si="82"/>
        <v>0.64340301100034303</v>
      </c>
      <c r="CE389" s="207"/>
      <c r="CF389" s="207"/>
      <c r="CG389" s="1063">
        <f t="shared" si="105"/>
        <v>3.2981969811320755</v>
      </c>
      <c r="CH389" s="207"/>
      <c r="CI389" s="207"/>
      <c r="CJ389" s="1264">
        <f t="shared" si="81"/>
        <v>0.79741404289037643</v>
      </c>
      <c r="CK389" s="207"/>
      <c r="CL389" s="207"/>
    </row>
    <row r="390" spans="1:90" x14ac:dyDescent="0.2">
      <c r="A390" s="19">
        <v>39386</v>
      </c>
      <c r="B390" s="262">
        <v>1.59067</v>
      </c>
      <c r="C390" s="262">
        <v>2.1345999999999998</v>
      </c>
      <c r="D390" s="262">
        <v>1.0502</v>
      </c>
      <c r="E390" s="262">
        <v>2.6314000000000002</v>
      </c>
      <c r="F390" s="262">
        <v>3.5215999999999998</v>
      </c>
      <c r="G390" s="262">
        <v>1.7283999999999999</v>
      </c>
      <c r="H390" s="262">
        <v>2.8691</v>
      </c>
      <c r="I390" s="262">
        <v>4.5021000000000004</v>
      </c>
      <c r="J390" s="262">
        <v>1.0891</v>
      </c>
      <c r="K390" s="262">
        <v>1.8603000000000001</v>
      </c>
      <c r="L390" s="262">
        <v>2.5459000000000001</v>
      </c>
      <c r="M390" s="262">
        <v>1.2118</v>
      </c>
      <c r="N390" s="262">
        <f t="shared" si="112"/>
        <v>1.8603000000000001</v>
      </c>
      <c r="O390" s="262">
        <f t="shared" si="112"/>
        <v>2.5459000000000001</v>
      </c>
      <c r="P390" s="262">
        <f t="shared" si="112"/>
        <v>1.2118</v>
      </c>
      <c r="Q390" s="262">
        <v>4.1393199999999997</v>
      </c>
      <c r="R390" s="128">
        <v>2.5688</v>
      </c>
      <c r="S390" s="262">
        <v>1.8344</v>
      </c>
      <c r="T390" s="128">
        <f t="shared" si="80"/>
        <v>1.8344</v>
      </c>
      <c r="U390" s="262">
        <v>5.5819999999999999</v>
      </c>
      <c r="V390" s="262">
        <v>6.2426000000000004</v>
      </c>
      <c r="W390" s="262">
        <v>0.89829999999999999</v>
      </c>
      <c r="X390" s="128">
        <v>0.80730000000000002</v>
      </c>
      <c r="Y390" s="128"/>
      <c r="Z390" s="262">
        <v>3.7339000000000002</v>
      </c>
      <c r="AA390" s="262">
        <v>3.94028</v>
      </c>
      <c r="AB390" s="262">
        <v>4.0267999999999997</v>
      </c>
      <c r="AC390" s="262">
        <v>3.8647</v>
      </c>
      <c r="AD390" s="277">
        <v>1.7727999999999999</v>
      </c>
      <c r="AE390" s="277">
        <f t="shared" si="78"/>
        <v>1.7727999999999999</v>
      </c>
      <c r="AF390" s="277">
        <f t="shared" si="99"/>
        <v>5.5819999999999999</v>
      </c>
      <c r="AG390" s="262">
        <v>1.1741999999999999</v>
      </c>
      <c r="AH390" s="351">
        <v>1.1299999999999999</v>
      </c>
      <c r="AI390" s="262"/>
      <c r="AJ390" s="262"/>
      <c r="AK390" s="262"/>
      <c r="AL390" s="262"/>
      <c r="AM390" s="268"/>
      <c r="AN390" s="262">
        <v>5.58</v>
      </c>
      <c r="AO390" s="262">
        <v>5.5819999999999999</v>
      </c>
      <c r="AP390" s="262"/>
      <c r="AQ390" s="262"/>
      <c r="AR390" s="262"/>
      <c r="AS390" s="262"/>
      <c r="AT390" s="262"/>
      <c r="AU390" s="262"/>
      <c r="AV390" s="510">
        <v>0.39</v>
      </c>
      <c r="AW390" s="510">
        <v>7.0000000000000007E-2</v>
      </c>
      <c r="AX390" s="510">
        <v>7.0000000000000007E-2</v>
      </c>
      <c r="AY390" s="510">
        <v>0.27</v>
      </c>
      <c r="AZ390" s="510"/>
      <c r="BA390" s="510">
        <v>0.19</v>
      </c>
      <c r="BB390" s="510">
        <v>0.01</v>
      </c>
      <c r="BC390" s="510">
        <f t="shared" ref="BC390:BC395" si="113">SUM(AV390:BB390)</f>
        <v>1</v>
      </c>
      <c r="BD390" s="747">
        <f t="shared" si="102"/>
        <v>2.2496432999999998</v>
      </c>
      <c r="BE390" s="243">
        <f>BD390</f>
        <v>2.2496432999999998</v>
      </c>
      <c r="BF390" s="329">
        <v>0.33400000000000002</v>
      </c>
      <c r="BG390" s="329">
        <v>7.0000000000000007E-2</v>
      </c>
      <c r="BH390" s="329"/>
      <c r="BI390" s="329">
        <v>7.0000000000000007E-2</v>
      </c>
      <c r="BJ390" s="329"/>
      <c r="BK390" s="329">
        <v>0.156</v>
      </c>
      <c r="BL390" s="329">
        <v>1.7999999999999999E-2</v>
      </c>
      <c r="BM390" s="329">
        <v>0.24199999999999999</v>
      </c>
      <c r="BN390" s="329">
        <v>0.01</v>
      </c>
      <c r="BO390" s="329">
        <v>0.1</v>
      </c>
      <c r="BP390" s="329">
        <f t="shared" si="108"/>
        <v>1</v>
      </c>
      <c r="BQ390" s="748">
        <f t="shared" si="103"/>
        <v>2.2352721799999999</v>
      </c>
      <c r="BR390" s="207"/>
      <c r="BS390" s="615">
        <f t="array" ref="BS390">100*((1+8.5/100)^(1/12)-1)</f>
        <v>0.68214933659622723</v>
      </c>
      <c r="BT390" s="615">
        <f t="array" ref="BT390">100*((1+8.75/100)^(1/12)-1)</f>
        <v>0.70146116041400752</v>
      </c>
      <c r="BU390" s="615">
        <f t="array" ref="BU390">100*((1+9/100)^(1/12)-1)</f>
        <v>0.72073233161367156</v>
      </c>
      <c r="BV390" s="615">
        <f t="array" ref="BV390">100*((1+5/100)^(1/12)-1)</f>
        <v>0.40741237836483535</v>
      </c>
      <c r="BW390" s="615">
        <f t="array" ref="BW390">100*((1+9/100)^(1/12)-1)</f>
        <v>0.72073233161367156</v>
      </c>
      <c r="BX390" s="749">
        <f t="array" ref="BX390">((1+6.75/100)^(1/12)-1)*100</f>
        <v>0.54581304569467637</v>
      </c>
      <c r="BY390" s="615">
        <f t="array" ref="BY390">((1+8.3/100)^(1/12)-1)*100</f>
        <v>0.66667048692337083</v>
      </c>
      <c r="BZ390" s="749">
        <f t="shared" si="111"/>
        <v>0.68967566304480643</v>
      </c>
      <c r="CA390" s="749"/>
      <c r="CB390" s="748">
        <f t="shared" si="79"/>
        <v>0.64340301100034303</v>
      </c>
      <c r="CC390" s="207"/>
      <c r="CD390" s="748">
        <f t="shared" si="82"/>
        <v>0.64340301100034303</v>
      </c>
      <c r="CE390" s="207"/>
      <c r="CF390" s="207"/>
      <c r="CG390" s="1063">
        <f t="shared" si="105"/>
        <v>1.7637364150943398</v>
      </c>
      <c r="CH390" s="207"/>
      <c r="CI390" s="207"/>
      <c r="CJ390" s="1264">
        <f t="shared" si="81"/>
        <v>0.79741404289037643</v>
      </c>
      <c r="CK390" s="207"/>
      <c r="CL390" s="207"/>
    </row>
    <row r="391" spans="1:90" x14ac:dyDescent="0.2">
      <c r="A391" s="19">
        <v>39416</v>
      </c>
      <c r="B391" s="262">
        <v>-4.18065</v>
      </c>
      <c r="C391" s="262">
        <v>-3.5042</v>
      </c>
      <c r="D391" s="262">
        <v>-4.8575999999999997</v>
      </c>
      <c r="E391" s="262">
        <v>-5.0377999999999998</v>
      </c>
      <c r="F391" s="262">
        <v>-4.3272000000000004</v>
      </c>
      <c r="G391" s="262">
        <v>-5.7393999999999998</v>
      </c>
      <c r="H391" s="262">
        <v>-7.1806000000000001</v>
      </c>
      <c r="I391" s="262">
        <v>-6.9061000000000003</v>
      </c>
      <c r="J391" s="262">
        <v>-7.492</v>
      </c>
      <c r="K391" s="262">
        <v>-7.4217000000000004</v>
      </c>
      <c r="L391" s="262">
        <v>-7.8262999999999998</v>
      </c>
      <c r="M391" s="262">
        <v>-7.0376000000000003</v>
      </c>
      <c r="N391" s="262">
        <f t="shared" ref="N391:P392" si="114">K391</f>
        <v>-7.4217000000000004</v>
      </c>
      <c r="O391" s="262">
        <f t="shared" si="114"/>
        <v>-7.8262999999999998</v>
      </c>
      <c r="P391" s="262">
        <f t="shared" si="114"/>
        <v>-7.0376000000000003</v>
      </c>
      <c r="Q391" s="262">
        <v>-5.9035799999999998</v>
      </c>
      <c r="R391" s="128">
        <v>-6.1287000000000003</v>
      </c>
      <c r="S391" s="262">
        <v>-4.5019</v>
      </c>
      <c r="T391" s="128">
        <f t="shared" si="80"/>
        <v>-4.5019</v>
      </c>
      <c r="U391" s="262">
        <v>-4.4930000000000003</v>
      </c>
      <c r="V391" s="262">
        <v>-7.1863999999999999</v>
      </c>
      <c r="W391" s="262">
        <v>1.7983</v>
      </c>
      <c r="X391" s="128">
        <v>1.7378</v>
      </c>
      <c r="Y391" s="128"/>
      <c r="Z391" s="262">
        <v>-1.7121</v>
      </c>
      <c r="AA391" s="262">
        <v>-3.26248</v>
      </c>
      <c r="AB391" s="262">
        <v>-2.0356000000000001</v>
      </c>
      <c r="AC391" s="262">
        <v>-4.5693000000000001</v>
      </c>
      <c r="AD391" s="277">
        <v>-2.3584000000000001</v>
      </c>
      <c r="AE391" s="277">
        <f t="shared" si="78"/>
        <v>-2.3584000000000001</v>
      </c>
      <c r="AF391" s="277">
        <f t="shared" si="99"/>
        <v>-4.4930000000000003</v>
      </c>
      <c r="AG391" s="262">
        <v>1.1741999999999999</v>
      </c>
      <c r="AH391" s="351">
        <v>-9.7799999999999994</v>
      </c>
      <c r="AI391" s="262"/>
      <c r="AJ391" s="262"/>
      <c r="AK391" s="262"/>
      <c r="AL391" s="262"/>
      <c r="AM391" s="268"/>
      <c r="AN391" s="262">
        <v>-4.49</v>
      </c>
      <c r="AO391" s="262">
        <v>-4.4930000000000003</v>
      </c>
      <c r="AP391" s="262"/>
      <c r="AQ391" s="262"/>
      <c r="AR391" s="262"/>
      <c r="AS391" s="262"/>
      <c r="AT391" s="262"/>
      <c r="AU391" s="262"/>
      <c r="AV391" s="510">
        <v>0.39</v>
      </c>
      <c r="AW391" s="510">
        <v>7.0000000000000007E-2</v>
      </c>
      <c r="AX391" s="510">
        <v>7.0000000000000007E-2</v>
      </c>
      <c r="AY391" s="510">
        <v>0.27</v>
      </c>
      <c r="AZ391" s="510"/>
      <c r="BA391" s="510">
        <v>0.19</v>
      </c>
      <c r="BB391" s="510">
        <v>0.01</v>
      </c>
      <c r="BC391" s="510">
        <f t="shared" si="113"/>
        <v>1</v>
      </c>
      <c r="BD391" s="747">
        <f t="shared" si="102"/>
        <v>-2.8590055000000003</v>
      </c>
      <c r="BE391" s="243">
        <f>BD391</f>
        <v>-2.8590055000000003</v>
      </c>
      <c r="BF391" s="329">
        <v>0.33400000000000002</v>
      </c>
      <c r="BG391" s="329">
        <v>7.0000000000000007E-2</v>
      </c>
      <c r="BH391" s="329"/>
      <c r="BI391" s="329">
        <v>7.0000000000000007E-2</v>
      </c>
      <c r="BJ391" s="329"/>
      <c r="BK391" s="329">
        <v>0.156</v>
      </c>
      <c r="BL391" s="329">
        <v>1.7999999999999999E-2</v>
      </c>
      <c r="BM391" s="329">
        <v>0.24199999999999999</v>
      </c>
      <c r="BN391" s="329">
        <v>0.01</v>
      </c>
      <c r="BO391" s="329">
        <v>0.1</v>
      </c>
      <c r="BP391" s="329">
        <f t="shared" si="108"/>
        <v>1</v>
      </c>
      <c r="BQ391" s="748">
        <f t="shared" si="103"/>
        <v>-2.8876747000000003</v>
      </c>
      <c r="BR391" s="207"/>
      <c r="BS391" s="615">
        <f t="array" ref="BS391">100*((1+8.5/100)^(1/12)-1)</f>
        <v>0.68214933659622723</v>
      </c>
      <c r="BT391" s="615">
        <f t="array" ref="BT391">100*((1+8.75/100)^(1/12)-1)</f>
        <v>0.70146116041400752</v>
      </c>
      <c r="BU391" s="615">
        <f t="array" ref="BU391">100*((1+9/100)^(1/12)-1)</f>
        <v>0.72073233161367156</v>
      </c>
      <c r="BV391" s="615">
        <f t="array" ref="BV391">100*((1+5/100)^(1/12)-1)</f>
        <v>0.40741237836483535</v>
      </c>
      <c r="BW391" s="615">
        <f t="array" ref="BW391">100*((1+9/100)^(1/12)-1)</f>
        <v>0.72073233161367156</v>
      </c>
      <c r="BX391" s="749">
        <f t="array" ref="BX391">((1+6.75/100)^(1/12)-1)*100</f>
        <v>0.54581304569467637</v>
      </c>
      <c r="BY391" s="615">
        <f t="array" ref="BY391">((1+8.3/100)^(1/12)-1)*100</f>
        <v>0.66667048692337083</v>
      </c>
      <c r="BZ391" s="749">
        <f t="shared" si="111"/>
        <v>0.68967566304480643</v>
      </c>
      <c r="CA391" s="749"/>
      <c r="CB391" s="748">
        <f t="shared" si="79"/>
        <v>0.64340301100034303</v>
      </c>
      <c r="CC391" s="207"/>
      <c r="CD391" s="748">
        <f t="shared" si="82"/>
        <v>0.64340301100034303</v>
      </c>
      <c r="CE391" s="207"/>
      <c r="CF391" s="207"/>
      <c r="CG391" s="1063">
        <f t="shared" si="105"/>
        <v>-4.7219216981132073</v>
      </c>
      <c r="CH391" s="207"/>
      <c r="CI391" s="207"/>
      <c r="CJ391" s="1264">
        <f t="shared" si="81"/>
        <v>0.79741404289037643</v>
      </c>
      <c r="CK391" s="207"/>
      <c r="CL391" s="207"/>
    </row>
    <row r="392" spans="1:90" x14ac:dyDescent="0.2">
      <c r="A392" s="19">
        <v>39447</v>
      </c>
      <c r="B392" s="262">
        <v>-0.69377999999999995</v>
      </c>
      <c r="C392" s="262">
        <v>0.17050000000000001</v>
      </c>
      <c r="D392" s="262">
        <v>-1.5768</v>
      </c>
      <c r="E392" s="262">
        <v>-0.19189999999999999</v>
      </c>
      <c r="F392" s="262">
        <v>0.1305</v>
      </c>
      <c r="G392" s="262">
        <v>-0.51380000000000003</v>
      </c>
      <c r="H392" s="262">
        <v>-6.2399999999999997E-2</v>
      </c>
      <c r="I392" s="262">
        <v>0.62809999999999999</v>
      </c>
      <c r="J392" s="262">
        <v>-0.84540000000000004</v>
      </c>
      <c r="K392" s="262">
        <v>-0.79400000000000004</v>
      </c>
      <c r="L392" s="262">
        <v>-0.50309999999999999</v>
      </c>
      <c r="M392" s="262">
        <v>-1.087</v>
      </c>
      <c r="N392" s="262">
        <f t="shared" si="114"/>
        <v>-0.79400000000000004</v>
      </c>
      <c r="O392" s="262">
        <f t="shared" si="114"/>
        <v>-0.50309999999999999</v>
      </c>
      <c r="P392" s="262">
        <f t="shared" si="114"/>
        <v>-1.087</v>
      </c>
      <c r="Q392" s="262">
        <v>-8.5529999999999995E-2</v>
      </c>
      <c r="R392" s="262">
        <v>-0.62290000000000001</v>
      </c>
      <c r="S392" s="262">
        <v>-0.60509999999999997</v>
      </c>
      <c r="T392" s="128">
        <f t="shared" si="80"/>
        <v>-0.60509999999999997</v>
      </c>
      <c r="U392" s="262">
        <v>-1.4450000000000001</v>
      </c>
      <c r="V392" s="262">
        <v>-3.4577</v>
      </c>
      <c r="W392" s="262">
        <v>0.28089999999999998</v>
      </c>
      <c r="X392" s="262">
        <v>0.32369999999999999</v>
      </c>
      <c r="Y392" s="262"/>
      <c r="Z392" s="262" t="e">
        <v>#N/A</v>
      </c>
      <c r="AA392" s="262">
        <v>-2.2450100000000002</v>
      </c>
      <c r="AB392" s="262">
        <v>-2.1274999999999999</v>
      </c>
      <c r="AC392" s="262">
        <v>-2.3725999999999998</v>
      </c>
      <c r="AD392" s="277">
        <v>-0.66800000000000004</v>
      </c>
      <c r="AE392" s="277">
        <f t="shared" ref="AE392:AE398" si="115">AD392</f>
        <v>-0.66800000000000004</v>
      </c>
      <c r="AF392" s="277">
        <f t="shared" ref="AF392:AF400" si="116">U392</f>
        <v>-1.4450000000000001</v>
      </c>
      <c r="AG392" s="262">
        <v>1.1741999999999999</v>
      </c>
      <c r="AH392" s="351">
        <v>-5.39</v>
      </c>
      <c r="AI392" s="262"/>
      <c r="AJ392" s="262"/>
      <c r="AK392" s="262"/>
      <c r="AL392" s="262"/>
      <c r="AM392" s="268"/>
      <c r="AN392" s="262">
        <v>-1.45</v>
      </c>
      <c r="AO392" s="262">
        <v>-1.4450000000000001</v>
      </c>
      <c r="AP392" s="262"/>
      <c r="AQ392" s="262"/>
      <c r="AR392" s="262"/>
      <c r="AS392" s="262"/>
      <c r="AT392" s="262"/>
      <c r="AU392" s="262"/>
      <c r="AV392" s="510">
        <v>0.39</v>
      </c>
      <c r="AW392" s="510">
        <v>7.0000000000000007E-2</v>
      </c>
      <c r="AX392" s="510">
        <v>7.0000000000000007E-2</v>
      </c>
      <c r="AY392" s="510">
        <v>0.27</v>
      </c>
      <c r="AZ392" s="510"/>
      <c r="BA392" s="510">
        <v>0.19</v>
      </c>
      <c r="BB392" s="510">
        <v>0.01</v>
      </c>
      <c r="BC392" s="510">
        <f t="shared" si="113"/>
        <v>1</v>
      </c>
      <c r="BD392" s="747">
        <f t="shared" si="102"/>
        <v>-0.52655220000000003</v>
      </c>
      <c r="BE392" s="243">
        <f t="shared" ref="BE392:BE403" si="117">BB392*AG392+BA392*U392+AY392*W392+X392*0.05+AX392*K392+AW392*E392+(AV392-0.05)*B392</f>
        <v>-0.47567820000000005</v>
      </c>
      <c r="BF392" s="329">
        <v>0.33400000000000002</v>
      </c>
      <c r="BG392" s="329">
        <v>7.0000000000000007E-2</v>
      </c>
      <c r="BH392" s="329"/>
      <c r="BI392" s="329">
        <v>7.0000000000000007E-2</v>
      </c>
      <c r="BJ392" s="329"/>
      <c r="BK392" s="329">
        <v>0.156</v>
      </c>
      <c r="BL392" s="329">
        <v>1.7999999999999999E-2</v>
      </c>
      <c r="BM392" s="329">
        <v>0.24199999999999999</v>
      </c>
      <c r="BN392" s="329">
        <v>0.01</v>
      </c>
      <c r="BO392" s="329">
        <v>0.1</v>
      </c>
      <c r="BP392" s="329">
        <f t="shared" si="108"/>
        <v>1</v>
      </c>
      <c r="BQ392" s="748">
        <f t="shared" si="103"/>
        <v>-0.57547431999999998</v>
      </c>
      <c r="BR392" s="207"/>
      <c r="BS392" s="615">
        <f t="array" ref="BS392">100*((1+8.5/100)^(1/12)-1)</f>
        <v>0.68214933659622723</v>
      </c>
      <c r="BT392" s="615">
        <f t="array" ref="BT392">100*((1+8.75/100)^(1/12)-1)</f>
        <v>0.70146116041400752</v>
      </c>
      <c r="BU392" s="615">
        <f t="array" ref="BU392">100*((1+9/100)^(1/12)-1)</f>
        <v>0.72073233161367156</v>
      </c>
      <c r="BV392" s="615">
        <f t="array" ref="BV392">100*((1+5/100)^(1/12)-1)</f>
        <v>0.40741237836483535</v>
      </c>
      <c r="BW392" s="615">
        <f t="array" ref="BW392">100*((1+9/100)^(1/12)-1)</f>
        <v>0.72073233161367156</v>
      </c>
      <c r="BX392" s="749">
        <f t="array" ref="BX392">((1+6.75/100)^(1/12)-1)*100</f>
        <v>0.54581304569467637</v>
      </c>
      <c r="BY392" s="615">
        <f t="array" ref="BY392">((1+8.3/100)^(1/12)-1)*100</f>
        <v>0.66667048692337083</v>
      </c>
      <c r="BZ392" s="749">
        <f t="shared" si="111"/>
        <v>0.68967566304480643</v>
      </c>
      <c r="CA392" s="749"/>
      <c r="CB392" s="748">
        <f t="shared" si="79"/>
        <v>0.64340301100034303</v>
      </c>
      <c r="CC392" s="207"/>
      <c r="CD392" s="748">
        <f t="shared" si="82"/>
        <v>0.64340301100034303</v>
      </c>
      <c r="CE392" s="207"/>
      <c r="CF392" s="207"/>
      <c r="CG392" s="1063">
        <f t="shared" si="105"/>
        <v>-0.64073056603773582</v>
      </c>
      <c r="CH392" s="207"/>
      <c r="CI392" s="207"/>
      <c r="CJ392" s="1264">
        <f t="shared" si="81"/>
        <v>0.79741404289037643</v>
      </c>
      <c r="CK392" s="207"/>
      <c r="CL392" s="207"/>
    </row>
    <row r="393" spans="1:90" x14ac:dyDescent="0.2">
      <c r="A393" s="19">
        <v>39478</v>
      </c>
      <c r="B393" s="262">
        <v>-5.9981400000000002</v>
      </c>
      <c r="C393" s="262">
        <v>-8.3744999999999994</v>
      </c>
      <c r="D393" s="262">
        <v>-3.4870000000000001</v>
      </c>
      <c r="E393" s="262">
        <v>-6.1608000000000001</v>
      </c>
      <c r="F393" s="262">
        <v>-7.2321999999999997</v>
      </c>
      <c r="G393" s="262">
        <v>-5.1033999999999997</v>
      </c>
      <c r="H393" s="262">
        <v>-6.8193999999999999</v>
      </c>
      <c r="I393" s="262">
        <v>-9.1737000000000002</v>
      </c>
      <c r="J393" s="262">
        <v>-4.1036000000000001</v>
      </c>
      <c r="K393" s="262">
        <v>-4.8906000000000001</v>
      </c>
      <c r="L393" s="262">
        <v>-6.0563000000000002</v>
      </c>
      <c r="M393" s="262">
        <v>-3.7391999999999999</v>
      </c>
      <c r="N393" s="262">
        <f t="shared" ref="N393:P394" si="118">K393</f>
        <v>-4.8906000000000001</v>
      </c>
      <c r="O393" s="262">
        <f t="shared" si="118"/>
        <v>-6.0563000000000002</v>
      </c>
      <c r="P393" s="262">
        <f t="shared" si="118"/>
        <v>-3.7391999999999999</v>
      </c>
      <c r="Q393" s="262">
        <v>-8.1477699999999995</v>
      </c>
      <c r="R393" s="262">
        <v>-6.1082999999999998</v>
      </c>
      <c r="S393" s="262">
        <v>-6.0612000000000004</v>
      </c>
      <c r="T393" s="128">
        <f t="shared" si="80"/>
        <v>-6.0612000000000004</v>
      </c>
      <c r="U393" s="262">
        <v>-9.6760000000000002</v>
      </c>
      <c r="V393" s="262">
        <v>-9.7558000000000007</v>
      </c>
      <c r="W393" s="262">
        <v>1.6798</v>
      </c>
      <c r="X393" s="262">
        <v>1.7624</v>
      </c>
      <c r="Y393" s="262"/>
      <c r="Z393" s="262" t="e">
        <v>#N/A</v>
      </c>
      <c r="AA393" s="262">
        <v>-9.2280300000000004</v>
      </c>
      <c r="AB393" s="262">
        <v>-9.2034000000000002</v>
      </c>
      <c r="AC393" s="262">
        <v>-9.2630999999999997</v>
      </c>
      <c r="AD393" s="277">
        <v>-4.3663999999999996</v>
      </c>
      <c r="AE393" s="277">
        <f t="shared" si="115"/>
        <v>-4.3663999999999996</v>
      </c>
      <c r="AF393" s="277">
        <f t="shared" si="116"/>
        <v>-9.6760000000000002</v>
      </c>
      <c r="AG393" s="262">
        <v>1.0581</v>
      </c>
      <c r="AH393" s="1329">
        <v>-0.39</v>
      </c>
      <c r="AI393" s="277"/>
      <c r="AJ393" s="277"/>
      <c r="AK393" s="277"/>
      <c r="AL393" s="277"/>
      <c r="AM393" s="268"/>
      <c r="AN393" s="262">
        <v>-9.68</v>
      </c>
      <c r="AO393" s="262">
        <v>-9.6760000000000002</v>
      </c>
      <c r="AP393" s="262"/>
      <c r="AQ393" s="262"/>
      <c r="AR393" s="262"/>
      <c r="AS393" s="262"/>
      <c r="AT393" s="262"/>
      <c r="AU393" s="262"/>
      <c r="AV393" s="510">
        <v>0.38</v>
      </c>
      <c r="AW393" s="510">
        <v>7.0000000000000007E-2</v>
      </c>
      <c r="AX393" s="510">
        <v>7.0000000000000007E-2</v>
      </c>
      <c r="AY393" s="510">
        <v>0.27</v>
      </c>
      <c r="AZ393" s="510"/>
      <c r="BA393" s="510">
        <v>0.19</v>
      </c>
      <c r="BB393" s="510">
        <v>0.02</v>
      </c>
      <c r="BC393" s="510">
        <f t="shared" si="113"/>
        <v>1</v>
      </c>
      <c r="BD393" s="747">
        <f t="shared" si="102"/>
        <v>-4.4166232000000001</v>
      </c>
      <c r="BE393" s="243">
        <f t="shared" si="117"/>
        <v>-4.0285962</v>
      </c>
      <c r="BF393" s="329">
        <v>0.32400000000000001</v>
      </c>
      <c r="BG393" s="329">
        <v>7.0000000000000007E-2</v>
      </c>
      <c r="BH393" s="329"/>
      <c r="BI393" s="329">
        <v>7.0000000000000007E-2</v>
      </c>
      <c r="BJ393" s="329"/>
      <c r="BK393" s="329">
        <v>0.156</v>
      </c>
      <c r="BL393" s="329">
        <v>1.7999999999999999E-2</v>
      </c>
      <c r="BM393" s="329">
        <v>0.24199999999999999</v>
      </c>
      <c r="BN393" s="329">
        <v>0.02</v>
      </c>
      <c r="BO393" s="329">
        <v>0.1</v>
      </c>
      <c r="BP393" s="329">
        <f t="shared" ref="BP393:BP398" si="119">SUM(BF393:BO393)</f>
        <v>1</v>
      </c>
      <c r="BQ393" s="748">
        <f t="shared" si="103"/>
        <v>-4.4110221600000008</v>
      </c>
      <c r="BR393" s="207"/>
      <c r="BS393" s="615">
        <f t="array" ref="BS393">100*((1+8.5/100)^(1/12)-1)</f>
        <v>0.68214933659622723</v>
      </c>
      <c r="BT393" s="615">
        <f t="array" ref="BT393">100*((1+8.75/100)^(1/12)-1)</f>
        <v>0.70146116041400752</v>
      </c>
      <c r="BU393" s="615">
        <f t="array" ref="BU393">100*((1+9/100)^(1/12)-1)</f>
        <v>0.72073233161367156</v>
      </c>
      <c r="BV393" s="615">
        <f t="array" ref="BV393">100*((1+5/100)^(1/12)-1)</f>
        <v>0.40741237836483535</v>
      </c>
      <c r="BW393" s="615">
        <f t="array" ref="BW393">100*((1+9/100)^(1/12)-1)</f>
        <v>0.72073233161367156</v>
      </c>
      <c r="BX393" s="749">
        <f t="array" ref="BX393">((1+6.75/100)^(1/12)-1)*100</f>
        <v>0.54581304569467637</v>
      </c>
      <c r="BY393" s="615">
        <f t="array" ref="BY393">((1+8.3/100)^(1/12)-1)*100</f>
        <v>0.66667048692337083</v>
      </c>
      <c r="BZ393" s="749">
        <f t="shared" ref="BZ393:BZ398" si="120">0.74*BS393+0.13*BT393+0.13*BU393</f>
        <v>0.68967566304480643</v>
      </c>
      <c r="CA393" s="207"/>
      <c r="CB393" s="748">
        <f t="shared" si="79"/>
        <v>0.64340301100034303</v>
      </c>
      <c r="CC393" s="207"/>
      <c r="CD393" s="748">
        <f t="shared" si="82"/>
        <v>0.64340301100034303</v>
      </c>
      <c r="CE393" s="207"/>
      <c r="CF393" s="207"/>
      <c r="CG393" s="1063">
        <f t="shared" si="105"/>
        <v>-5.8709446153846159</v>
      </c>
      <c r="CH393" s="207"/>
      <c r="CI393" s="207"/>
      <c r="CJ393" s="1264">
        <f t="shared" si="81"/>
        <v>0.79741404289037643</v>
      </c>
      <c r="CK393" s="207"/>
      <c r="CL393" s="207"/>
    </row>
    <row r="394" spans="1:90" x14ac:dyDescent="0.2">
      <c r="A394" s="19">
        <v>39507</v>
      </c>
      <c r="B394" s="262">
        <v>-3.24858</v>
      </c>
      <c r="C394" s="262">
        <v>-1.2965</v>
      </c>
      <c r="D394" s="262">
        <v>-5.2122999999999999</v>
      </c>
      <c r="E394" s="262">
        <v>-1.86</v>
      </c>
      <c r="F394" s="262">
        <v>-0.43780000000000002</v>
      </c>
      <c r="G394" s="262">
        <v>-3.2130000000000001</v>
      </c>
      <c r="H394" s="262">
        <v>-3.7067000000000001</v>
      </c>
      <c r="I394" s="262">
        <v>-3.4609999999999999</v>
      </c>
      <c r="J394" s="262">
        <v>-3.9742999999999999</v>
      </c>
      <c r="K394" s="262">
        <v>-3.0796000000000001</v>
      </c>
      <c r="L394" s="262">
        <v>-2.3014999999999999</v>
      </c>
      <c r="M394" s="262">
        <v>-3.8269000000000002</v>
      </c>
      <c r="N394" s="262">
        <f t="shared" si="118"/>
        <v>-3.0796000000000001</v>
      </c>
      <c r="O394" s="262">
        <f t="shared" si="118"/>
        <v>-2.3014999999999999</v>
      </c>
      <c r="P394" s="262">
        <f t="shared" si="118"/>
        <v>-3.8269000000000002</v>
      </c>
      <c r="Q394" s="262">
        <v>-2.0098799999999999</v>
      </c>
      <c r="R394" s="262">
        <v>-2.7471000000000001</v>
      </c>
      <c r="S394" s="262">
        <v>-3.1059999999999999</v>
      </c>
      <c r="T394" s="128">
        <f t="shared" si="80"/>
        <v>-3.1059999999999999</v>
      </c>
      <c r="U394" s="262">
        <v>2.8980000000000001</v>
      </c>
      <c r="V394" s="262">
        <v>4.2618</v>
      </c>
      <c r="W394" s="262">
        <v>0.13880000000000001</v>
      </c>
      <c r="X394" s="262">
        <v>0.1905</v>
      </c>
      <c r="Y394" s="262"/>
      <c r="Z394" s="262" t="e">
        <v>#N/A</v>
      </c>
      <c r="AA394" s="262">
        <v>1.4636800000000001</v>
      </c>
      <c r="AB394" s="262">
        <v>2.7528999999999999</v>
      </c>
      <c r="AC394" s="262">
        <v>0.1532</v>
      </c>
      <c r="AD394" s="277">
        <v>-1.5471999999999999</v>
      </c>
      <c r="AE394" s="277">
        <f t="shared" si="115"/>
        <v>-1.5471999999999999</v>
      </c>
      <c r="AF394" s="277">
        <f t="shared" si="116"/>
        <v>2.8980000000000001</v>
      </c>
      <c r="AG394" s="262">
        <v>1.0581</v>
      </c>
      <c r="AH394" s="1329">
        <v>-3.83</v>
      </c>
      <c r="AI394" s="277"/>
      <c r="AJ394" s="277"/>
      <c r="AK394" s="277"/>
      <c r="AL394" s="277"/>
      <c r="AM394" s="268"/>
      <c r="AN394" s="262">
        <v>2.9</v>
      </c>
      <c r="AO394" s="262">
        <v>2.8980000000000001</v>
      </c>
      <c r="AP394" s="262"/>
      <c r="AQ394" s="262"/>
      <c r="AR394" s="262"/>
      <c r="AS394" s="262"/>
      <c r="AT394" s="262"/>
      <c r="AU394" s="262"/>
      <c r="AV394" s="510">
        <v>0.38</v>
      </c>
      <c r="AW394" s="510">
        <v>7.0000000000000007E-2</v>
      </c>
      <c r="AX394" s="510">
        <v>7.0000000000000007E-2</v>
      </c>
      <c r="AY394" s="510">
        <v>0.27</v>
      </c>
      <c r="AZ394" s="510"/>
      <c r="BA394" s="510">
        <v>0.19</v>
      </c>
      <c r="BB394" s="510">
        <v>0.02</v>
      </c>
      <c r="BC394" s="510">
        <f t="shared" si="113"/>
        <v>1</v>
      </c>
      <c r="BD394" s="747">
        <f t="shared" si="102"/>
        <v>-0.97097440000000024</v>
      </c>
      <c r="BE394" s="243">
        <f t="shared" si="117"/>
        <v>-0.79902040000000008</v>
      </c>
      <c r="BF394" s="329">
        <v>0.32400000000000001</v>
      </c>
      <c r="BG394" s="329">
        <v>7.0000000000000007E-2</v>
      </c>
      <c r="BH394" s="329"/>
      <c r="BI394" s="329">
        <v>7.0000000000000007E-2</v>
      </c>
      <c r="BJ394" s="329"/>
      <c r="BK394" s="329">
        <v>0.156</v>
      </c>
      <c r="BL394" s="329">
        <v>1.7999999999999999E-2</v>
      </c>
      <c r="BM394" s="329">
        <v>0.24199999999999999</v>
      </c>
      <c r="BN394" s="329">
        <v>0.02</v>
      </c>
      <c r="BO394" s="329">
        <v>0.1</v>
      </c>
      <c r="BP394" s="329">
        <f t="shared" si="119"/>
        <v>1</v>
      </c>
      <c r="BQ394" s="748">
        <f t="shared" si="103"/>
        <v>-0.96947992000000016</v>
      </c>
      <c r="BR394" s="207"/>
      <c r="BS394" s="615">
        <f t="array" ref="BS394">100*((1+8.5/100)^(1/12)-1)</f>
        <v>0.68214933659622723</v>
      </c>
      <c r="BT394" s="615">
        <f t="array" ref="BT394">100*((1+8.75/100)^(1/12)-1)</f>
        <v>0.70146116041400752</v>
      </c>
      <c r="BU394" s="615">
        <f t="array" ref="BU394">100*((1+9/100)^(1/12)-1)</f>
        <v>0.72073233161367156</v>
      </c>
      <c r="BV394" s="615">
        <f t="array" ref="BV394">100*((1+5/100)^(1/12)-1)</f>
        <v>0.40741237836483535</v>
      </c>
      <c r="BW394" s="615">
        <f t="array" ref="BW394">100*((1+9/100)^(1/12)-1)</f>
        <v>0.72073233161367156</v>
      </c>
      <c r="BX394" s="749">
        <f t="array" ref="BX394">((1+6.75/100)^(1/12)-1)*100</f>
        <v>0.54581304569467637</v>
      </c>
      <c r="BY394" s="615">
        <f t="array" ref="BY394">((1+8.3/100)^(1/12)-1)*100</f>
        <v>0.66667048692337083</v>
      </c>
      <c r="BZ394" s="749">
        <f t="shared" si="120"/>
        <v>0.68967566304480643</v>
      </c>
      <c r="CA394" s="207"/>
      <c r="CB394" s="748">
        <f t="shared" si="79"/>
        <v>0.64340301100034303</v>
      </c>
      <c r="CC394" s="207"/>
      <c r="CD394" s="748">
        <f t="shared" si="82"/>
        <v>0.64340301100034303</v>
      </c>
      <c r="CE394" s="207"/>
      <c r="CF394" s="207"/>
      <c r="CG394" s="1063">
        <f t="shared" si="105"/>
        <v>-3.0389084615384618</v>
      </c>
      <c r="CH394" s="207"/>
      <c r="CI394" s="207"/>
      <c r="CJ394" s="1264">
        <f t="shared" si="81"/>
        <v>0.79741404289037643</v>
      </c>
      <c r="CK394" s="207"/>
      <c r="CL394" s="207"/>
    </row>
    <row r="395" spans="1:90" x14ac:dyDescent="0.2">
      <c r="A395" s="19">
        <v>39538</v>
      </c>
      <c r="B395" s="262">
        <v>-0.43180000000000002</v>
      </c>
      <c r="C395" s="262">
        <v>-0.39379999999999998</v>
      </c>
      <c r="D395" s="262">
        <v>-0.46679999999999999</v>
      </c>
      <c r="E395" s="262">
        <v>-1.0244</v>
      </c>
      <c r="F395" s="262">
        <v>-1.5282</v>
      </c>
      <c r="G395" s="262">
        <v>-0.5282</v>
      </c>
      <c r="H395" s="262">
        <v>0.41889999999999999</v>
      </c>
      <c r="I395" s="262">
        <v>-0.58209999999999995</v>
      </c>
      <c r="J395" s="262">
        <v>1.5074000000000001</v>
      </c>
      <c r="K395" s="262">
        <v>0.3871</v>
      </c>
      <c r="L395" s="262">
        <v>-0.30940000000000001</v>
      </c>
      <c r="M395" s="262">
        <v>1.0417000000000001</v>
      </c>
      <c r="N395" s="262">
        <f t="shared" ref="N395:P397" si="121">K395</f>
        <v>0.3871</v>
      </c>
      <c r="O395" s="262">
        <f t="shared" si="121"/>
        <v>-0.30940000000000001</v>
      </c>
      <c r="P395" s="262">
        <f t="shared" si="121"/>
        <v>1.0417000000000001</v>
      </c>
      <c r="Q395" s="262">
        <v>-1.21207</v>
      </c>
      <c r="R395" s="262">
        <v>-0.74360000000000004</v>
      </c>
      <c r="S395" s="262">
        <v>-0.59250000000000003</v>
      </c>
      <c r="T395" s="128">
        <f t="shared" si="80"/>
        <v>-0.59250000000000003</v>
      </c>
      <c r="U395" s="262">
        <v>-2.1560000000000001</v>
      </c>
      <c r="V395" s="262">
        <v>-0.26540000000000002</v>
      </c>
      <c r="W395" s="262">
        <v>0.3412</v>
      </c>
      <c r="X395" s="262">
        <v>0.38629999999999998</v>
      </c>
      <c r="Y395" s="262"/>
      <c r="Z395" s="262" t="e">
        <v>#N/A</v>
      </c>
      <c r="AA395" s="262">
        <v>-1.0041100000000001</v>
      </c>
      <c r="AB395" s="262">
        <v>-1.4814000000000001</v>
      </c>
      <c r="AC395" s="262">
        <v>-0.51139999999999997</v>
      </c>
      <c r="AD395" s="277">
        <v>-0.30559999999999998</v>
      </c>
      <c r="AE395" s="277">
        <f t="shared" si="115"/>
        <v>-0.30559999999999998</v>
      </c>
      <c r="AF395" s="277">
        <f t="shared" si="116"/>
        <v>-2.1560000000000001</v>
      </c>
      <c r="AG395" s="262">
        <v>1.0581</v>
      </c>
      <c r="AH395" s="1329">
        <v>6.6</v>
      </c>
      <c r="AI395" s="277"/>
      <c r="AJ395" s="277"/>
      <c r="AK395" s="277"/>
      <c r="AL395" s="277"/>
      <c r="AM395" s="268"/>
      <c r="AN395" s="262">
        <v>-2.16</v>
      </c>
      <c r="AO395" s="262">
        <v>-2.1560000000000001</v>
      </c>
      <c r="AP395" s="262"/>
      <c r="AQ395" s="262"/>
      <c r="AR395" s="262"/>
      <c r="AS395" s="262"/>
      <c r="AT395" s="262"/>
      <c r="AU395" s="262"/>
      <c r="AV395" s="510">
        <v>0.38</v>
      </c>
      <c r="AW395" s="510">
        <v>7.0000000000000007E-2</v>
      </c>
      <c r="AX395" s="510">
        <v>7.0000000000000007E-2</v>
      </c>
      <c r="AY395" s="510">
        <v>0.27</v>
      </c>
      <c r="AZ395" s="510"/>
      <c r="BA395" s="510">
        <v>0.19</v>
      </c>
      <c r="BB395" s="510">
        <v>0.02</v>
      </c>
      <c r="BC395" s="510">
        <f t="shared" si="113"/>
        <v>1</v>
      </c>
      <c r="BD395" s="747">
        <f t="shared" si="102"/>
        <v>-0.50504899999999997</v>
      </c>
      <c r="BE395" s="243">
        <f t="shared" si="117"/>
        <v>-0.46414400000000006</v>
      </c>
      <c r="BF395" s="329">
        <v>0.32400000000000001</v>
      </c>
      <c r="BG395" s="329">
        <v>7.0000000000000007E-2</v>
      </c>
      <c r="BH395" s="329"/>
      <c r="BI395" s="329">
        <v>7.0000000000000007E-2</v>
      </c>
      <c r="BJ395" s="329"/>
      <c r="BK395" s="329">
        <v>0.156</v>
      </c>
      <c r="BL395" s="329">
        <v>1.7999999999999999E-2</v>
      </c>
      <c r="BM395" s="329">
        <v>0.24199999999999999</v>
      </c>
      <c r="BN395" s="329">
        <v>0.02</v>
      </c>
      <c r="BO395" s="329">
        <v>0.1</v>
      </c>
      <c r="BP395" s="329">
        <f t="shared" si="119"/>
        <v>1</v>
      </c>
      <c r="BQ395" s="748">
        <f t="shared" si="103"/>
        <v>-0.45245500000000005</v>
      </c>
      <c r="BS395" s="615">
        <f t="array" ref="BS395">100*((1+8.5/100)^(1/12)-1)</f>
        <v>0.68214933659622723</v>
      </c>
      <c r="BT395" s="615">
        <f t="array" ref="BT395">100*((1+8.75/100)^(1/12)-1)</f>
        <v>0.70146116041400752</v>
      </c>
      <c r="BU395" s="615">
        <f t="array" ref="BU395">100*((1+9/100)^(1/12)-1)</f>
        <v>0.72073233161367156</v>
      </c>
      <c r="BV395" s="615">
        <f t="array" ref="BV395">100*((1+5/100)^(1/12)-1)</f>
        <v>0.40741237836483535</v>
      </c>
      <c r="BW395" s="615">
        <f t="array" ref="BW395">100*((1+9/100)^(1/12)-1)</f>
        <v>0.72073233161367156</v>
      </c>
      <c r="BX395" s="749">
        <f t="array" ref="BX395">((1+6.75/100)^(1/12)-1)*100</f>
        <v>0.54581304569467637</v>
      </c>
      <c r="BY395" s="615">
        <f t="array" ref="BY395">((1+8.3/100)^(1/12)-1)*100</f>
        <v>0.66667048692337083</v>
      </c>
      <c r="BZ395" s="341">
        <f t="shared" si="120"/>
        <v>0.68967566304480643</v>
      </c>
      <c r="CB395" s="243">
        <f t="shared" si="79"/>
        <v>0.64340301100034303</v>
      </c>
      <c r="CD395" s="243">
        <f t="shared" si="82"/>
        <v>0.64340301100034303</v>
      </c>
      <c r="CG395" s="734">
        <f t="shared" si="105"/>
        <v>-0.40133653846153849</v>
      </c>
      <c r="CJ395" s="1264">
        <f t="shared" si="81"/>
        <v>0.79741404289037643</v>
      </c>
    </row>
    <row r="396" spans="1:90" x14ac:dyDescent="0.2">
      <c r="A396" s="19">
        <v>39568</v>
      </c>
      <c r="B396" s="262">
        <v>4.8703399999999997</v>
      </c>
      <c r="C396" s="262">
        <v>5.9447999999999999</v>
      </c>
      <c r="D396" s="262">
        <v>3.7319</v>
      </c>
      <c r="E396" s="262">
        <v>7.7061000000000002</v>
      </c>
      <c r="F396" s="262">
        <v>8.1062999999999992</v>
      </c>
      <c r="G396" s="262">
        <v>7.3150000000000004</v>
      </c>
      <c r="H396" s="262">
        <v>4.1870000000000003</v>
      </c>
      <c r="I396" s="262">
        <v>5.1382000000000003</v>
      </c>
      <c r="J396" s="262">
        <v>3.1640999999999999</v>
      </c>
      <c r="K396" s="262">
        <v>4.0133999999999999</v>
      </c>
      <c r="L396" s="262">
        <v>5.3650000000000002</v>
      </c>
      <c r="M396" s="262">
        <v>2.7385999999999999</v>
      </c>
      <c r="N396" s="262">
        <f t="shared" si="121"/>
        <v>4.0133999999999999</v>
      </c>
      <c r="O396" s="262">
        <f t="shared" si="121"/>
        <v>5.3650000000000002</v>
      </c>
      <c r="P396" s="262">
        <f t="shared" si="121"/>
        <v>2.7385999999999999</v>
      </c>
      <c r="Q396" s="262">
        <v>6.0272699999999997</v>
      </c>
      <c r="R396" s="262">
        <v>5.3837999999999999</v>
      </c>
      <c r="S396" s="262">
        <v>5.0008999999999997</v>
      </c>
      <c r="T396" s="128">
        <f t="shared" si="80"/>
        <v>5.0008999999999997</v>
      </c>
      <c r="U396" s="262">
        <v>6.1539999999999999</v>
      </c>
      <c r="V396" s="262">
        <v>2.4165999999999999</v>
      </c>
      <c r="W396" s="262">
        <v>-0.20899999999999999</v>
      </c>
      <c r="X396" s="262">
        <v>-0.23380000000000001</v>
      </c>
      <c r="Y396" s="262"/>
      <c r="Z396" s="262" t="e">
        <v>#N/A</v>
      </c>
      <c r="AA396" s="262">
        <v>5.5562699999999996</v>
      </c>
      <c r="AB396" s="262">
        <v>5.0376000000000003</v>
      </c>
      <c r="AC396" s="262">
        <v>6.0815999999999999</v>
      </c>
      <c r="AD396" s="277">
        <v>3.5579999999999998</v>
      </c>
      <c r="AE396" s="277">
        <f t="shared" si="115"/>
        <v>3.5579999999999998</v>
      </c>
      <c r="AF396" s="277">
        <f t="shared" si="116"/>
        <v>6.1539999999999999</v>
      </c>
      <c r="AG396" s="262">
        <v>0.53010000000000002</v>
      </c>
      <c r="AH396" s="1329">
        <v>6.14</v>
      </c>
      <c r="AI396" s="277"/>
      <c r="AJ396" s="277"/>
      <c r="AK396" s="277"/>
      <c r="AL396" s="277"/>
      <c r="AM396" s="268"/>
      <c r="AN396" s="262">
        <v>6.15</v>
      </c>
      <c r="AO396" s="262">
        <v>6.1539999999999999</v>
      </c>
      <c r="AP396" s="262"/>
      <c r="AQ396" s="262"/>
      <c r="AR396" s="262"/>
      <c r="AS396" s="262"/>
      <c r="AT396" s="262"/>
      <c r="AU396" s="262"/>
      <c r="AV396" s="510">
        <v>0.38</v>
      </c>
      <c r="AW396" s="510">
        <v>7.0000000000000007E-2</v>
      </c>
      <c r="AX396" s="510">
        <v>7.0000000000000007E-2</v>
      </c>
      <c r="AY396" s="510">
        <v>0.27</v>
      </c>
      <c r="AZ396" s="510"/>
      <c r="BA396" s="510">
        <v>0.19</v>
      </c>
      <c r="BB396" s="510">
        <v>0.02</v>
      </c>
      <c r="BC396" s="510">
        <f t="shared" ref="BC396:BC401" si="122">SUM(AV396:BB396)</f>
        <v>1</v>
      </c>
      <c r="BD396" s="747">
        <f t="shared" si="102"/>
        <v>3.7945261999999995</v>
      </c>
      <c r="BE396" s="243">
        <f t="shared" si="117"/>
        <v>3.5393192</v>
      </c>
      <c r="BF396" s="329">
        <v>0.32400000000000001</v>
      </c>
      <c r="BG396" s="329">
        <v>7.0000000000000007E-2</v>
      </c>
      <c r="BH396" s="329"/>
      <c r="BI396" s="329">
        <v>7.0000000000000007E-2</v>
      </c>
      <c r="BJ396" s="329"/>
      <c r="BK396" s="329">
        <v>0.156</v>
      </c>
      <c r="BL396" s="329">
        <v>1.7999999999999999E-2</v>
      </c>
      <c r="BM396" s="329">
        <v>0.24199999999999999</v>
      </c>
      <c r="BN396" s="329">
        <v>0.02</v>
      </c>
      <c r="BO396" s="329">
        <v>0.1</v>
      </c>
      <c r="BP396" s="329">
        <f t="shared" si="119"/>
        <v>1</v>
      </c>
      <c r="BQ396" s="748">
        <f t="shared" si="103"/>
        <v>3.7177019600000003</v>
      </c>
      <c r="BS396" s="615">
        <f t="array" ref="BS396">100*((1+8.5/100)^(1/12)-1)</f>
        <v>0.68214933659622723</v>
      </c>
      <c r="BT396" s="615">
        <f t="array" ref="BT396">100*((1+8.75/100)^(1/12)-1)</f>
        <v>0.70146116041400752</v>
      </c>
      <c r="BU396" s="615">
        <f t="array" ref="BU396">100*((1+9/100)^(1/12)-1)</f>
        <v>0.72073233161367156</v>
      </c>
      <c r="BV396" s="615">
        <f t="array" ref="BV396">100*((1+5/100)^(1/12)-1)</f>
        <v>0.40741237836483535</v>
      </c>
      <c r="BW396" s="615">
        <f t="array" ref="BW396">100*((1+9/100)^(1/12)-1)</f>
        <v>0.72073233161367156</v>
      </c>
      <c r="BX396" s="749">
        <f t="array" ref="BX396">((1+6.75/100)^(1/12)-1)*100</f>
        <v>0.54581304569467637</v>
      </c>
      <c r="BY396" s="615">
        <f t="array" ref="BY396">((1+8.3/100)^(1/12)-1)*100</f>
        <v>0.66667048692337083</v>
      </c>
      <c r="BZ396" s="341">
        <f t="shared" si="120"/>
        <v>0.68967566304480643</v>
      </c>
      <c r="CB396" s="243">
        <f t="shared" si="79"/>
        <v>0.64340301100034303</v>
      </c>
      <c r="CD396" s="243">
        <f t="shared" si="82"/>
        <v>0.64340301100034303</v>
      </c>
      <c r="CG396" s="734">
        <f t="shared" si="105"/>
        <v>5.1367196153846155</v>
      </c>
      <c r="CJ396" s="1264">
        <f t="shared" si="81"/>
        <v>0.79741404289037643</v>
      </c>
    </row>
    <row r="397" spans="1:90" x14ac:dyDescent="0.2">
      <c r="A397" s="19">
        <v>39599</v>
      </c>
      <c r="B397" s="262">
        <v>1.2952600000000001</v>
      </c>
      <c r="C397" s="262">
        <v>2.3858999999999999</v>
      </c>
      <c r="D397" s="262">
        <v>0.11650000000000001</v>
      </c>
      <c r="E397" s="262">
        <v>5.2907999999999999</v>
      </c>
      <c r="F397" s="262">
        <v>5.9714</v>
      </c>
      <c r="G397" s="262">
        <v>4.6252000000000004</v>
      </c>
      <c r="H397" s="262">
        <v>4.5937000000000001</v>
      </c>
      <c r="I397" s="262">
        <v>5.6646999999999998</v>
      </c>
      <c r="J397" s="262">
        <v>3.4188999999999998</v>
      </c>
      <c r="K397" s="262">
        <v>4.4172000000000002</v>
      </c>
      <c r="L397" s="262">
        <v>4.6615000000000002</v>
      </c>
      <c r="M397" s="262">
        <v>4.1811999999999996</v>
      </c>
      <c r="N397" s="262">
        <f t="shared" si="121"/>
        <v>4.4172000000000002</v>
      </c>
      <c r="O397" s="262">
        <f t="shared" ref="O397:P400" si="123">L397</f>
        <v>4.6615000000000002</v>
      </c>
      <c r="P397" s="262">
        <f t="shared" si="123"/>
        <v>4.1811999999999996</v>
      </c>
      <c r="Q397" s="262">
        <v>5.2670599999999999</v>
      </c>
      <c r="R397" s="262">
        <v>4.7485999999999997</v>
      </c>
      <c r="S397" s="262">
        <v>2.0487000000000002</v>
      </c>
      <c r="T397" s="128">
        <f t="shared" si="80"/>
        <v>2.0487000000000002</v>
      </c>
      <c r="U397" s="262">
        <v>1.7330000000000001</v>
      </c>
      <c r="V397" s="262">
        <v>1.7644</v>
      </c>
      <c r="W397" s="262">
        <v>-0.73329999999999995</v>
      </c>
      <c r="X397" s="262">
        <v>-0.58299999999999996</v>
      </c>
      <c r="Y397" s="262"/>
      <c r="Z397" s="262" t="e">
        <v>#N/A</v>
      </c>
      <c r="AA397" s="262">
        <v>1.1638599999999999</v>
      </c>
      <c r="AB397" s="262">
        <v>2.4182999999999999</v>
      </c>
      <c r="AC397" s="262">
        <v>-0.12659999999999999</v>
      </c>
      <c r="AD397" s="277">
        <v>0.70920000000000005</v>
      </c>
      <c r="AE397" s="277">
        <f t="shared" si="115"/>
        <v>0.70920000000000005</v>
      </c>
      <c r="AF397" s="277">
        <f t="shared" si="116"/>
        <v>1.7330000000000001</v>
      </c>
      <c r="AG397" s="262">
        <v>0.53010000000000002</v>
      </c>
      <c r="AH397" s="1329">
        <v>0.23</v>
      </c>
      <c r="AI397" s="277"/>
      <c r="AJ397" s="277"/>
      <c r="AK397" s="277"/>
      <c r="AL397" s="277"/>
      <c r="AM397" s="268"/>
      <c r="AN397" s="262">
        <v>1.73</v>
      </c>
      <c r="AO397" s="262">
        <v>1.7330000000000001</v>
      </c>
      <c r="AP397" s="262"/>
      <c r="AQ397" s="262"/>
      <c r="AR397" s="262"/>
      <c r="AS397" s="262"/>
      <c r="AT397" s="262"/>
      <c r="AU397" s="262"/>
      <c r="AV397" s="510">
        <v>0.38</v>
      </c>
      <c r="AW397" s="510">
        <v>7.0000000000000007E-2</v>
      </c>
      <c r="AX397" s="510">
        <v>7.0000000000000007E-2</v>
      </c>
      <c r="AY397" s="510">
        <v>0.27</v>
      </c>
      <c r="AZ397" s="510"/>
      <c r="BA397" s="510">
        <v>0.19</v>
      </c>
      <c r="BB397" s="510">
        <v>0.02</v>
      </c>
      <c r="BC397" s="510">
        <f t="shared" si="122"/>
        <v>1</v>
      </c>
      <c r="BD397" s="747">
        <f t="shared" si="102"/>
        <v>1.3136398</v>
      </c>
      <c r="BE397" s="243">
        <f t="shared" si="117"/>
        <v>1.2197268000000001</v>
      </c>
      <c r="BF397" s="329">
        <v>0.32400000000000001</v>
      </c>
      <c r="BG397" s="329">
        <v>7.0000000000000007E-2</v>
      </c>
      <c r="BH397" s="329"/>
      <c r="BI397" s="329">
        <v>7.0000000000000007E-2</v>
      </c>
      <c r="BJ397" s="329"/>
      <c r="BK397" s="329">
        <v>0.156</v>
      </c>
      <c r="BL397" s="329">
        <v>1.7999999999999999E-2</v>
      </c>
      <c r="BM397" s="329">
        <v>0.24199999999999999</v>
      </c>
      <c r="BN397" s="329">
        <v>0.02</v>
      </c>
      <c r="BO397" s="329">
        <v>0.1</v>
      </c>
      <c r="BP397" s="329">
        <f t="shared" si="119"/>
        <v>1</v>
      </c>
      <c r="BQ397" s="748">
        <f t="shared" si="103"/>
        <v>1.3053948400000002</v>
      </c>
      <c r="BS397" s="615">
        <f t="array" ref="BS397">100*((1+8.5/100)^(1/12)-1)</f>
        <v>0.68214933659622723</v>
      </c>
      <c r="BT397" s="615">
        <f t="array" ref="BT397">100*((1+8.75/100)^(1/12)-1)</f>
        <v>0.70146116041400752</v>
      </c>
      <c r="BU397" s="615">
        <f t="array" ref="BU397">100*((1+9/100)^(1/12)-1)</f>
        <v>0.72073233161367156</v>
      </c>
      <c r="BV397" s="615">
        <f t="array" ref="BV397">100*((1+5/100)^(1/12)-1)</f>
        <v>0.40741237836483535</v>
      </c>
      <c r="BW397" s="615">
        <f t="array" ref="BW397">100*((1+9/100)^(1/12)-1)</f>
        <v>0.72073233161367156</v>
      </c>
      <c r="BX397" s="749">
        <f t="array" ref="BX397">((1+6.75/100)^(1/12)-1)*100</f>
        <v>0.54581304569467637</v>
      </c>
      <c r="BY397" s="615">
        <f t="array" ref="BY397">((1+8.3/100)^(1/12)-1)*100</f>
        <v>0.66667048692337083</v>
      </c>
      <c r="BZ397" s="341">
        <f t="shared" si="120"/>
        <v>0.68967566304480643</v>
      </c>
      <c r="CB397" s="243">
        <f t="shared" si="79"/>
        <v>0.64340301100034303</v>
      </c>
      <c r="CD397" s="243">
        <f t="shared" si="82"/>
        <v>0.64340301100034303</v>
      </c>
      <c r="CG397" s="734">
        <f t="shared" si="105"/>
        <v>2.2533823076923079</v>
      </c>
      <c r="CJ397" s="1264">
        <f>((1+0.1)^(1/12)-1)*100</f>
        <v>0.79741404289037643</v>
      </c>
    </row>
    <row r="398" spans="1:90" x14ac:dyDescent="0.2">
      <c r="A398" s="19">
        <v>39629</v>
      </c>
      <c r="B398" s="262">
        <v>-8.4303799999999995</v>
      </c>
      <c r="C398" s="262">
        <v>-5.9192999999999998</v>
      </c>
      <c r="D398" s="262">
        <v>-11.214</v>
      </c>
      <c r="E398" s="262">
        <v>-7.0342000000000002</v>
      </c>
      <c r="F398" s="262">
        <v>-5.1040999999999999</v>
      </c>
      <c r="G398" s="262">
        <v>-8.8839000000000006</v>
      </c>
      <c r="H398" s="262">
        <v>-7.6988000000000003</v>
      </c>
      <c r="I398" s="262">
        <v>-5.9614000000000003</v>
      </c>
      <c r="J398" s="262">
        <v>-9.5950000000000006</v>
      </c>
      <c r="K398" s="262">
        <v>-7.5548000000000002</v>
      </c>
      <c r="L398" s="262">
        <v>-6.1746999999999996</v>
      </c>
      <c r="M398" s="262">
        <v>-8.8634000000000004</v>
      </c>
      <c r="N398" s="262">
        <f t="shared" ref="N398:N404" si="124">K398</f>
        <v>-7.5548000000000002</v>
      </c>
      <c r="O398" s="262">
        <f t="shared" si="123"/>
        <v>-6.1746999999999996</v>
      </c>
      <c r="P398" s="262">
        <f t="shared" si="123"/>
        <v>-8.8634000000000004</v>
      </c>
      <c r="Q398" s="262">
        <v>-7.1585200000000002</v>
      </c>
      <c r="R398" s="262">
        <v>-8.1548999999999996</v>
      </c>
      <c r="S398" s="262">
        <v>-8.2521000000000004</v>
      </c>
      <c r="T398" s="128">
        <f t="shared" si="80"/>
        <v>-8.2521000000000004</v>
      </c>
      <c r="U398" s="262">
        <v>-8.1969999999999992</v>
      </c>
      <c r="V398" s="262">
        <v>-8.1744000000000003</v>
      </c>
      <c r="W398" s="262">
        <v>-8.0799999999999997E-2</v>
      </c>
      <c r="X398" s="262">
        <v>-0.1492</v>
      </c>
      <c r="Y398" s="262"/>
      <c r="Z398" s="262" t="e">
        <v>#N/A</v>
      </c>
      <c r="AA398" s="262">
        <v>-8.1584000000000003</v>
      </c>
      <c r="AB398" s="262">
        <v>-6.798</v>
      </c>
      <c r="AC398" s="262">
        <v>-9.4967000000000006</v>
      </c>
      <c r="AD398" s="277">
        <v>-6.0488</v>
      </c>
      <c r="AE398" s="277">
        <f t="shared" si="115"/>
        <v>-6.0488</v>
      </c>
      <c r="AF398" s="277">
        <f t="shared" si="116"/>
        <v>-8.1969999999999992</v>
      </c>
      <c r="AG398" s="262">
        <v>0.53010000000000002</v>
      </c>
      <c r="AH398" s="1329">
        <v>-11.09</v>
      </c>
      <c r="AI398" s="277"/>
      <c r="AJ398" s="277"/>
      <c r="AK398" s="277"/>
      <c r="AL398" s="277"/>
      <c r="AM398" s="268"/>
      <c r="AN398" s="262">
        <v>-8.1999999999999993</v>
      </c>
      <c r="AO398" s="262">
        <v>-8.1969999999999992</v>
      </c>
      <c r="AP398" s="262"/>
      <c r="AQ398" s="262"/>
      <c r="AR398" s="262"/>
      <c r="AS398" s="262"/>
      <c r="AT398" s="262"/>
      <c r="AU398" s="262"/>
      <c r="AV398" s="510">
        <v>0.38</v>
      </c>
      <c r="AW398" s="510">
        <v>7.0000000000000007E-2</v>
      </c>
      <c r="AX398" s="510">
        <v>7.0000000000000007E-2</v>
      </c>
      <c r="AY398" s="510">
        <v>0.27</v>
      </c>
      <c r="AZ398" s="510"/>
      <c r="BA398" s="510">
        <v>0.19</v>
      </c>
      <c r="BB398" s="510">
        <v>0.02</v>
      </c>
      <c r="BC398" s="510">
        <f t="shared" si="122"/>
        <v>1</v>
      </c>
      <c r="BD398" s="747">
        <f t="shared" si="102"/>
        <v>-5.7934184000000002</v>
      </c>
      <c r="BE398" s="243">
        <f t="shared" si="117"/>
        <v>-5.3793594000000002</v>
      </c>
      <c r="BF398" s="329">
        <v>0.32400000000000001</v>
      </c>
      <c r="BG398" s="329">
        <v>7.0000000000000007E-2</v>
      </c>
      <c r="BH398" s="329"/>
      <c r="BI398" s="329">
        <v>7.0000000000000007E-2</v>
      </c>
      <c r="BJ398" s="329"/>
      <c r="BK398" s="329">
        <v>0.156</v>
      </c>
      <c r="BL398" s="329">
        <v>1.7999999999999999E-2</v>
      </c>
      <c r="BM398" s="329">
        <v>0.24199999999999999</v>
      </c>
      <c r="BN398" s="329">
        <v>0.02</v>
      </c>
      <c r="BO398" s="329">
        <v>0.1</v>
      </c>
      <c r="BP398" s="329">
        <f t="shared" si="119"/>
        <v>1</v>
      </c>
      <c r="BQ398" s="748">
        <f t="shared" si="103"/>
        <v>-5.7923759199999996</v>
      </c>
      <c r="BS398" s="615">
        <f t="array" ref="BS398">100*((1+8.5/100)^(1/12)-1)</f>
        <v>0.68214933659622723</v>
      </c>
      <c r="BT398" s="615">
        <f t="array" ref="BT398">100*((1+8.75/100)^(1/12)-1)</f>
        <v>0.70146116041400752</v>
      </c>
      <c r="BU398" s="615">
        <f t="array" ref="BU398">100*((1+9/100)^(1/12)-1)</f>
        <v>0.72073233161367156</v>
      </c>
      <c r="BV398" s="615">
        <f t="array" ref="BV398">100*((1+5/100)^(1/12)-1)</f>
        <v>0.40741237836483535</v>
      </c>
      <c r="BW398" s="615">
        <f t="array" ref="BW398">100*((1+9/100)^(1/12)-1)</f>
        <v>0.72073233161367156</v>
      </c>
      <c r="BX398" s="749">
        <f t="array" ref="BX398">((1+6.75/100)^(1/12)-1)*100</f>
        <v>0.54581304569467637</v>
      </c>
      <c r="BY398" s="615">
        <f t="array" ref="BY398">((1+8.3/100)^(1/12)-1)*100</f>
        <v>0.66667048692337083</v>
      </c>
      <c r="BZ398" s="341">
        <f t="shared" si="120"/>
        <v>0.68967566304480643</v>
      </c>
      <c r="CB398" s="243">
        <f t="shared" si="79"/>
        <v>0.64340301100034303</v>
      </c>
      <c r="CD398" s="243">
        <f t="shared" si="82"/>
        <v>0.64340301100034303</v>
      </c>
      <c r="CG398" s="734">
        <f t="shared" si="105"/>
        <v>-8.1245661538461533</v>
      </c>
      <c r="CJ398" s="1264">
        <f t="shared" ref="CJ398:CJ446" si="125">((1+0.1)^(1/12)-1)*100</f>
        <v>0.79741404289037643</v>
      </c>
    </row>
    <row r="399" spans="1:90" x14ac:dyDescent="0.2">
      <c r="A399" s="19">
        <v>39660</v>
      </c>
      <c r="B399" s="262">
        <v>-0.84062000000000003</v>
      </c>
      <c r="C399" s="262">
        <v>-2.7090000000000001</v>
      </c>
      <c r="D399" s="262">
        <v>1.3581000000000001</v>
      </c>
      <c r="E399" s="262">
        <v>-1.8543000000000001</v>
      </c>
      <c r="F399" s="262">
        <v>-3.3361999999999998</v>
      </c>
      <c r="G399" s="262">
        <v>-0.33360000000000001</v>
      </c>
      <c r="H399" s="262">
        <v>3.7006000000000001</v>
      </c>
      <c r="I399" s="262">
        <v>2.3252999999999999</v>
      </c>
      <c r="J399" s="262">
        <v>5.1262999999999996</v>
      </c>
      <c r="K399" s="262">
        <v>2.0642999999999998</v>
      </c>
      <c r="L399" s="262">
        <v>0.71240000000000003</v>
      </c>
      <c r="M399" s="262">
        <v>3.3130000000000002</v>
      </c>
      <c r="N399" s="262">
        <f t="shared" si="124"/>
        <v>2.0642999999999998</v>
      </c>
      <c r="O399" s="262">
        <f t="shared" si="123"/>
        <v>0.71240000000000003</v>
      </c>
      <c r="P399" s="262">
        <f t="shared" si="123"/>
        <v>3.3130000000000002</v>
      </c>
      <c r="Q399" s="262">
        <v>-0.35492000000000001</v>
      </c>
      <c r="R399" s="262">
        <v>0.69369999999999998</v>
      </c>
      <c r="S399" s="262">
        <v>-0.79759999999999998</v>
      </c>
      <c r="T399" s="128">
        <f t="shared" si="80"/>
        <v>-0.79759999999999998</v>
      </c>
      <c r="U399" s="262">
        <v>-3.5760000000000001</v>
      </c>
      <c r="V399" s="262">
        <v>-4.5591999999999997</v>
      </c>
      <c r="W399" s="262">
        <v>-8.1600000000000006E-2</v>
      </c>
      <c r="X399" s="262">
        <v>3.0000000000000001E-3</v>
      </c>
      <c r="Y399" s="262"/>
      <c r="Z399" s="262" t="e">
        <v>#N/A</v>
      </c>
      <c r="AA399" s="262">
        <v>-3.2012900000000002</v>
      </c>
      <c r="AB399" s="262">
        <v>-3.4794999999999998</v>
      </c>
      <c r="AC399" s="262">
        <v>-2.9066999999999998</v>
      </c>
      <c r="AD399" s="277">
        <v>-1.0047999999999999</v>
      </c>
      <c r="AE399" s="277">
        <f t="shared" ref="AE399:AE404" si="126">AD399</f>
        <v>-1.0047999999999999</v>
      </c>
      <c r="AF399" s="277">
        <f t="shared" si="116"/>
        <v>-3.5760000000000001</v>
      </c>
      <c r="AG399" s="262">
        <v>0.18729999999999999</v>
      </c>
      <c r="AH399" s="1329">
        <v>2.94</v>
      </c>
      <c r="AI399" s="277"/>
      <c r="AJ399" s="277"/>
      <c r="AK399" s="277"/>
      <c r="AL399" s="277"/>
      <c r="AM399" s="268"/>
      <c r="AN399" s="262">
        <v>-3.58</v>
      </c>
      <c r="AO399" s="262">
        <v>-3.5760000000000001</v>
      </c>
      <c r="AP399" s="262"/>
      <c r="AQ399" s="262"/>
      <c r="AR399" s="262"/>
      <c r="AS399" s="262"/>
      <c r="AT399" s="262"/>
      <c r="AU399" s="262"/>
      <c r="AV399" s="510">
        <v>0.38</v>
      </c>
      <c r="AW399" s="510">
        <v>7.0000000000000007E-2</v>
      </c>
      <c r="AX399" s="510">
        <v>7.0000000000000007E-2</v>
      </c>
      <c r="AY399" s="510">
        <v>0.27</v>
      </c>
      <c r="AZ399" s="510"/>
      <c r="BA399" s="510">
        <v>0.19</v>
      </c>
      <c r="BB399" s="510">
        <v>0.02</v>
      </c>
      <c r="BC399" s="510">
        <f t="shared" si="122"/>
        <v>1</v>
      </c>
      <c r="BD399" s="1177">
        <v>-1.0008999999999999</v>
      </c>
      <c r="BE399" s="243">
        <f t="shared" si="117"/>
        <v>-0.96028060000000015</v>
      </c>
      <c r="BF399" s="329">
        <v>0.32400000000000001</v>
      </c>
      <c r="BG399" s="329">
        <v>7.0000000000000007E-2</v>
      </c>
      <c r="BH399" s="329"/>
      <c r="BI399" s="329">
        <v>7.0000000000000007E-2</v>
      </c>
      <c r="BJ399" s="329"/>
      <c r="BK399" s="329">
        <v>0.156</v>
      </c>
      <c r="BL399" s="329">
        <v>1.7999999999999999E-2</v>
      </c>
      <c r="BM399" s="329">
        <v>0.24199999999999999</v>
      </c>
      <c r="BN399" s="329">
        <v>0.02</v>
      </c>
      <c r="BO399" s="329">
        <v>0.1</v>
      </c>
      <c r="BP399" s="329">
        <f t="shared" ref="BP399:BP404" si="127">SUM(BF399:BO399)</f>
        <v>1</v>
      </c>
      <c r="BQ399" s="748">
        <f t="shared" si="103"/>
        <v>-1.01406368</v>
      </c>
      <c r="BS399" s="615">
        <f t="array" ref="BS399">100*((1+8.5/100)^(1/12)-1)</f>
        <v>0.68214933659622723</v>
      </c>
      <c r="BT399" s="615">
        <f t="array" ref="BT399">100*((1+8.75/100)^(1/12)-1)</f>
        <v>0.70146116041400752</v>
      </c>
      <c r="BU399" s="615">
        <f t="array" ref="BU399">100*((1+9/100)^(1/12)-1)</f>
        <v>0.72073233161367156</v>
      </c>
      <c r="BV399" s="615">
        <f t="array" ref="BV399">100*((1+5/100)^(1/12)-1)</f>
        <v>0.40741237836483535</v>
      </c>
      <c r="BW399" s="615">
        <f t="array" ref="BW399">100*((1+9/100)^(1/12)-1)</f>
        <v>0.72073233161367156</v>
      </c>
      <c r="BX399" s="749">
        <f t="array" ref="BX399">((1+6.75/100)^(1/12)-1)*100</f>
        <v>0.54581304569467637</v>
      </c>
      <c r="BY399" s="615">
        <f t="array" ref="BY399">((1+8.3/100)^(1/12)-1)*100</f>
        <v>0.66667048692337083</v>
      </c>
      <c r="BZ399" s="341">
        <f t="shared" ref="BZ399:BZ404" si="128">0.74*BS399+0.13*BT399+0.13*BU399</f>
        <v>0.68967566304480643</v>
      </c>
      <c r="CB399" s="243">
        <f t="shared" si="79"/>
        <v>0.64340301100034303</v>
      </c>
      <c r="CD399" s="243">
        <f t="shared" si="82"/>
        <v>0.64340301100034303</v>
      </c>
      <c r="CG399" s="734">
        <f t="shared" si="105"/>
        <v>-0.58603000000000005</v>
      </c>
      <c r="CJ399" s="1264">
        <f t="shared" si="125"/>
        <v>0.79741404289037643</v>
      </c>
    </row>
    <row r="400" spans="1:90" x14ac:dyDescent="0.2">
      <c r="A400" s="19">
        <v>39691</v>
      </c>
      <c r="B400" s="262">
        <v>1.4464900000000001</v>
      </c>
      <c r="C400" s="262">
        <v>1.5444</v>
      </c>
      <c r="D400" s="262">
        <v>1.339</v>
      </c>
      <c r="E400" s="262">
        <v>1.7122999999999999</v>
      </c>
      <c r="F400" s="262">
        <v>1.3271999999999999</v>
      </c>
      <c r="G400" s="262">
        <v>2.0971000000000002</v>
      </c>
      <c r="H400" s="262">
        <v>3.6143999999999998</v>
      </c>
      <c r="I400" s="262">
        <v>2.4843000000000002</v>
      </c>
      <c r="J400" s="262">
        <v>4.7531999999999996</v>
      </c>
      <c r="K400" s="262">
        <v>4.1769999999999996</v>
      </c>
      <c r="L400" s="262">
        <v>3.6825999999999999</v>
      </c>
      <c r="M400" s="262">
        <v>4.6087999999999996</v>
      </c>
      <c r="N400" s="262">
        <f t="shared" si="124"/>
        <v>4.1769999999999996</v>
      </c>
      <c r="O400" s="262">
        <f t="shared" si="123"/>
        <v>3.6825999999999999</v>
      </c>
      <c r="P400" s="262">
        <f t="shared" si="123"/>
        <v>4.6087999999999996</v>
      </c>
      <c r="Q400" s="262">
        <v>1.6764300000000001</v>
      </c>
      <c r="R400" s="262">
        <v>2.8572000000000002</v>
      </c>
      <c r="S400" s="262">
        <v>1.5530999999999999</v>
      </c>
      <c r="T400" s="128">
        <f t="shared" si="80"/>
        <v>1.5530999999999999</v>
      </c>
      <c r="U400" s="262">
        <v>-4.6509999999999998</v>
      </c>
      <c r="V400" s="262">
        <v>-3.8269000000000002</v>
      </c>
      <c r="W400" s="262">
        <v>0.94910000000000005</v>
      </c>
      <c r="X400" s="262">
        <v>0.8488</v>
      </c>
      <c r="Y400" s="262"/>
      <c r="Z400" s="262" t="e">
        <v>#N/A</v>
      </c>
      <c r="AA400" s="262">
        <v>-4.0261199999999997</v>
      </c>
      <c r="AB400" s="262">
        <v>-4.7462</v>
      </c>
      <c r="AC400" s="262">
        <v>-3.2856999999999998</v>
      </c>
      <c r="AD400" s="277">
        <v>0.43319999999999997</v>
      </c>
      <c r="AE400" s="277">
        <f t="shared" si="126"/>
        <v>0.43319999999999997</v>
      </c>
      <c r="AF400" s="277">
        <f t="shared" si="116"/>
        <v>-4.6509999999999998</v>
      </c>
      <c r="AG400" s="262">
        <v>0.18729999999999999</v>
      </c>
      <c r="AH400" s="1329">
        <v>2.39</v>
      </c>
      <c r="AI400" s="277"/>
      <c r="AJ400" s="277"/>
      <c r="AK400" s="277"/>
      <c r="AL400" s="277"/>
      <c r="AM400" s="268"/>
      <c r="AN400" s="262">
        <v>-4.6500000000000004</v>
      </c>
      <c r="AO400" s="262">
        <v>-4.6509999999999998</v>
      </c>
      <c r="AP400" s="262"/>
      <c r="AQ400" s="262"/>
      <c r="AR400" s="262"/>
      <c r="AS400" s="262"/>
      <c r="AT400" s="262"/>
      <c r="AU400" s="262"/>
      <c r="AV400" s="510">
        <v>0.38</v>
      </c>
      <c r="AW400" s="510">
        <v>7.0000000000000007E-2</v>
      </c>
      <c r="AX400" s="510">
        <v>7.0000000000000007E-2</v>
      </c>
      <c r="AY400" s="510">
        <v>0.27</v>
      </c>
      <c r="AZ400" s="510"/>
      <c r="BA400" s="510">
        <v>0.19</v>
      </c>
      <c r="BB400" s="510">
        <v>0.02</v>
      </c>
      <c r="BC400" s="510">
        <f t="shared" si="122"/>
        <v>1</v>
      </c>
      <c r="BD400" s="1177">
        <v>0.33979999999999999</v>
      </c>
      <c r="BE400" s="243">
        <f t="shared" si="117"/>
        <v>0.30834570000000017</v>
      </c>
      <c r="BF400" s="329">
        <v>0.32400000000000001</v>
      </c>
      <c r="BG400" s="329">
        <v>7.0000000000000007E-2</v>
      </c>
      <c r="BH400" s="329"/>
      <c r="BI400" s="329">
        <v>7.0000000000000007E-2</v>
      </c>
      <c r="BJ400" s="329"/>
      <c r="BK400" s="329">
        <v>0.156</v>
      </c>
      <c r="BL400" s="329">
        <v>1.7999999999999999E-2</v>
      </c>
      <c r="BM400" s="329">
        <v>0.24199999999999999</v>
      </c>
      <c r="BN400" s="329">
        <v>0.02</v>
      </c>
      <c r="BO400" s="329">
        <v>0.1</v>
      </c>
      <c r="BP400" s="329">
        <f t="shared" si="127"/>
        <v>1</v>
      </c>
      <c r="BQ400" s="748">
        <f t="shared" si="103"/>
        <v>0.36322176000000017</v>
      </c>
      <c r="BS400" s="615">
        <f t="array" ref="BS400">100*((1+8.5/100)^(1/12)-1)</f>
        <v>0.68214933659622723</v>
      </c>
      <c r="BT400" s="615">
        <f t="array" ref="BT400">100*((1+8.75/100)^(1/12)-1)</f>
        <v>0.70146116041400752</v>
      </c>
      <c r="BU400" s="615">
        <f t="array" ref="BU400">100*((1+9/100)^(1/12)-1)</f>
        <v>0.72073233161367156</v>
      </c>
      <c r="BV400" s="615">
        <f t="array" ref="BV400">100*((1+5/100)^(1/12)-1)</f>
        <v>0.40741237836483535</v>
      </c>
      <c r="BW400" s="615">
        <f t="array" ref="BW400">100*((1+9/100)^(1/12)-1)</f>
        <v>0.72073233161367156</v>
      </c>
      <c r="BX400" s="749">
        <f t="array" ref="BX400">((1+6.75/100)^(1/12)-1)*100</f>
        <v>0.54581304569467637</v>
      </c>
      <c r="BY400" s="615">
        <f t="array" ref="BY400">((1+8.3/100)^(1/12)-1)*100</f>
        <v>0.66667048692337083</v>
      </c>
      <c r="BZ400" s="341">
        <f t="shared" si="128"/>
        <v>0.68967566304480643</v>
      </c>
      <c r="CB400" s="243">
        <f t="shared" si="79"/>
        <v>0.64340301100034303</v>
      </c>
      <c r="CD400" s="243">
        <f t="shared" si="82"/>
        <v>0.64340301100034303</v>
      </c>
      <c r="CG400" s="734">
        <f t="shared" si="105"/>
        <v>1.8498407692307695</v>
      </c>
      <c r="CJ400" s="1264">
        <f t="shared" si="125"/>
        <v>0.79741404289037643</v>
      </c>
    </row>
    <row r="401" spans="1:88" x14ac:dyDescent="0.2">
      <c r="A401" s="19">
        <v>39721</v>
      </c>
      <c r="B401" s="262">
        <v>-8.9107500000000002</v>
      </c>
      <c r="C401" s="262">
        <v>-10.1549</v>
      </c>
      <c r="D401" s="262">
        <v>-7.4828999999999999</v>
      </c>
      <c r="E401" s="262">
        <v>-10.710900000000001</v>
      </c>
      <c r="F401" s="262">
        <v>-12.928900000000001</v>
      </c>
      <c r="G401" s="262">
        <v>-8.5399999999999991</v>
      </c>
      <c r="H401" s="262">
        <v>-7.968</v>
      </c>
      <c r="I401" s="262">
        <v>-11.3025</v>
      </c>
      <c r="J401" s="262">
        <v>-4.6875</v>
      </c>
      <c r="K401" s="262">
        <v>-6.7549999999999999</v>
      </c>
      <c r="L401" s="262">
        <v>-8.4536999999999995</v>
      </c>
      <c r="M401" s="262">
        <v>-5.2915999999999999</v>
      </c>
      <c r="N401" s="262">
        <f t="shared" si="124"/>
        <v>-6.7549999999999999</v>
      </c>
      <c r="O401" s="262">
        <f t="shared" ref="O401:P404" si="129">L401</f>
        <v>-8.4536999999999995</v>
      </c>
      <c r="P401" s="262">
        <f t="shared" si="129"/>
        <v>-5.2915999999999999</v>
      </c>
      <c r="Q401" s="262">
        <v>-13.236079999999999</v>
      </c>
      <c r="R401" s="262">
        <v>-9.9369999999999994</v>
      </c>
      <c r="S401" s="262">
        <v>-9.4024000000000001</v>
      </c>
      <c r="T401" s="128">
        <f t="shared" si="80"/>
        <v>-9.4024000000000001</v>
      </c>
      <c r="U401" s="262">
        <v>-14.99</v>
      </c>
      <c r="V401" s="262">
        <v>-17.116</v>
      </c>
      <c r="W401" s="262">
        <v>-1.3431999999999999</v>
      </c>
      <c r="X401" s="262">
        <v>-0.96909999999999996</v>
      </c>
      <c r="Y401" s="262"/>
      <c r="Z401" s="262" t="e">
        <v>#N/A</v>
      </c>
      <c r="AA401" s="262">
        <v>-14.424379999999999</v>
      </c>
      <c r="AB401" s="262">
        <v>-15.035399999999999</v>
      </c>
      <c r="AC401" s="262">
        <v>-13.8028</v>
      </c>
      <c r="AD401" s="277">
        <v>-7.6719999999999997</v>
      </c>
      <c r="AE401" s="277">
        <f t="shared" si="126"/>
        <v>-7.6719999999999997</v>
      </c>
      <c r="AF401" s="277">
        <f t="shared" ref="AF401:AF406" si="130">U401</f>
        <v>-14.99</v>
      </c>
      <c r="AG401" s="262">
        <v>0.18729999999999999</v>
      </c>
      <c r="AH401" s="1329">
        <v>-0.84</v>
      </c>
      <c r="AI401" s="277"/>
      <c r="AJ401" s="277"/>
      <c r="AK401" s="277"/>
      <c r="AL401" s="277"/>
      <c r="AM401" s="268"/>
      <c r="AN401" s="262">
        <v>-14.99</v>
      </c>
      <c r="AO401" s="262">
        <v>-14.99</v>
      </c>
      <c r="AP401" s="262"/>
      <c r="AQ401" s="262"/>
      <c r="AR401" s="262"/>
      <c r="AS401" s="262"/>
      <c r="AT401" s="262"/>
      <c r="AU401" s="262"/>
      <c r="AV401" s="510">
        <v>0.38</v>
      </c>
      <c r="AW401" s="510">
        <v>7.0000000000000007E-2</v>
      </c>
      <c r="AX401" s="510">
        <v>7.0000000000000007E-2</v>
      </c>
      <c r="AY401" s="510">
        <v>0.27</v>
      </c>
      <c r="AZ401" s="510"/>
      <c r="BA401" s="510">
        <v>0.19</v>
      </c>
      <c r="BB401" s="510">
        <v>0.02</v>
      </c>
      <c r="BC401" s="510">
        <f t="shared" si="122"/>
        <v>1</v>
      </c>
      <c r="BD401" s="1177">
        <v>-7.8141999999999996</v>
      </c>
      <c r="BE401" s="243">
        <f t="shared" si="117"/>
        <v>-7.4186335000000003</v>
      </c>
      <c r="BF401" s="329">
        <v>0.32400000000000001</v>
      </c>
      <c r="BG401" s="329">
        <v>7.0000000000000007E-2</v>
      </c>
      <c r="BH401" s="329"/>
      <c r="BI401" s="329">
        <v>7.0000000000000007E-2</v>
      </c>
      <c r="BJ401" s="329"/>
      <c r="BK401" s="329">
        <v>0.156</v>
      </c>
      <c r="BL401" s="329">
        <v>1.7999999999999999E-2</v>
      </c>
      <c r="BM401" s="329">
        <v>0.24199999999999999</v>
      </c>
      <c r="BN401" s="329">
        <v>0.02</v>
      </c>
      <c r="BO401" s="329">
        <v>0.1</v>
      </c>
      <c r="BP401" s="329">
        <f t="shared" si="127"/>
        <v>1</v>
      </c>
      <c r="BQ401" s="748">
        <f t="shared" si="103"/>
        <v>-7.8447323999999998</v>
      </c>
      <c r="BS401" s="615">
        <f t="array" ref="BS401">100*((1+8.5/100)^(1/12)-1)</f>
        <v>0.68214933659622723</v>
      </c>
      <c r="BT401" s="615">
        <f t="array" ref="BT401">100*((1+8.75/100)^(1/12)-1)</f>
        <v>0.70146116041400752</v>
      </c>
      <c r="BU401" s="615">
        <f t="array" ref="BU401">100*((1+9/100)^(1/12)-1)</f>
        <v>0.72073233161367156</v>
      </c>
      <c r="BV401" s="615">
        <f t="array" ref="BV401">100*((1+5/100)^(1/12)-1)</f>
        <v>0.40741237836483535</v>
      </c>
      <c r="BW401" s="615">
        <f t="array" ref="BW401">100*((1+9/100)^(1/12)-1)</f>
        <v>0.72073233161367156</v>
      </c>
      <c r="BX401" s="749">
        <f t="array" ref="BX401">((1+6.75/100)^(1/12)-1)*100</f>
        <v>0.54581304569467637</v>
      </c>
      <c r="BY401" s="615">
        <f t="array" ref="BY401">((1+8.3/100)^(1/12)-1)*100</f>
        <v>0.66667048692337083</v>
      </c>
      <c r="BZ401" s="341">
        <f t="shared" si="128"/>
        <v>0.68967566304480643</v>
      </c>
      <c r="CB401" s="243">
        <f t="shared" si="79"/>
        <v>0.64340301100034303</v>
      </c>
      <c r="CD401" s="243">
        <f t="shared" si="82"/>
        <v>0.64340301100034303</v>
      </c>
      <c r="CG401" s="734">
        <f t="shared" si="105"/>
        <v>-8.8628807692307685</v>
      </c>
      <c r="CJ401" s="1264">
        <f t="shared" si="125"/>
        <v>0.79741404289037643</v>
      </c>
    </row>
    <row r="402" spans="1:88" x14ac:dyDescent="0.2">
      <c r="A402" s="19">
        <v>39752</v>
      </c>
      <c r="B402" s="262">
        <v>-16.79476</v>
      </c>
      <c r="C402" s="262">
        <v>-16.512799999999999</v>
      </c>
      <c r="D402" s="262">
        <v>-17.107099999999999</v>
      </c>
      <c r="E402" s="262">
        <v>-21.738900000000001</v>
      </c>
      <c r="F402" s="262">
        <v>-21.694700000000001</v>
      </c>
      <c r="G402" s="262">
        <v>-21.775099999999998</v>
      </c>
      <c r="H402" s="262">
        <v>-20.802900000000001</v>
      </c>
      <c r="I402" s="262">
        <v>-21.703600000000002</v>
      </c>
      <c r="J402" s="262">
        <v>-19.977699999999999</v>
      </c>
      <c r="K402" s="262">
        <v>-20.147200000000002</v>
      </c>
      <c r="L402" s="262">
        <v>-20.791499999999999</v>
      </c>
      <c r="M402" s="262">
        <v>-19.611499999999999</v>
      </c>
      <c r="N402" s="262">
        <f t="shared" si="124"/>
        <v>-20.147200000000002</v>
      </c>
      <c r="O402" s="262">
        <f t="shared" si="129"/>
        <v>-20.791499999999999</v>
      </c>
      <c r="P402" s="262">
        <f t="shared" si="129"/>
        <v>-19.611499999999999</v>
      </c>
      <c r="Q402" s="262">
        <v>-22.520910000000001</v>
      </c>
      <c r="R402" s="262">
        <v>-21.5426</v>
      </c>
      <c r="S402" s="262">
        <v>-17.736000000000001</v>
      </c>
      <c r="T402" s="128">
        <f t="shared" si="80"/>
        <v>-17.736000000000001</v>
      </c>
      <c r="U402" s="262">
        <v>-22.009</v>
      </c>
      <c r="V402" s="262">
        <v>-23.733899999999998</v>
      </c>
      <c r="W402" s="262">
        <v>-2.3603999999999998</v>
      </c>
      <c r="X402" s="262">
        <v>-1.7849999999999999</v>
      </c>
      <c r="Y402" s="262"/>
      <c r="Z402" s="262" t="e">
        <v>#N/A</v>
      </c>
      <c r="AA402" s="262">
        <v>-20.173539999999999</v>
      </c>
      <c r="AB402" s="262">
        <v>-19.7852</v>
      </c>
      <c r="AC402" s="262">
        <v>-20.555599999999998</v>
      </c>
      <c r="AD402" s="277">
        <v>-13.295999999999999</v>
      </c>
      <c r="AE402" s="277">
        <f t="shared" si="126"/>
        <v>-13.295999999999999</v>
      </c>
      <c r="AF402" s="277">
        <f t="shared" si="130"/>
        <v>-22.009</v>
      </c>
      <c r="AG402" s="262">
        <v>-5.7299999999999997E-2</v>
      </c>
      <c r="AH402" s="1329">
        <v>-32.67</v>
      </c>
      <c r="AI402" s="277"/>
      <c r="AJ402" s="277"/>
      <c r="AK402" s="277"/>
      <c r="AL402" s="277"/>
      <c r="AM402" s="268"/>
      <c r="AN402" s="262">
        <v>-22.01</v>
      </c>
      <c r="AO402" s="262">
        <v>-22.009</v>
      </c>
      <c r="AP402" s="262"/>
      <c r="AQ402" s="262"/>
      <c r="AR402" s="262"/>
      <c r="AS402" s="262"/>
      <c r="AT402" s="262"/>
      <c r="AU402" s="262"/>
      <c r="AV402" s="510">
        <v>0.37</v>
      </c>
      <c r="AW402" s="510">
        <v>7.0000000000000007E-2</v>
      </c>
      <c r="AX402" s="510">
        <v>7.0000000000000007E-2</v>
      </c>
      <c r="AY402" s="510">
        <v>0.27</v>
      </c>
      <c r="AZ402" s="510"/>
      <c r="BA402" s="510">
        <v>0.19</v>
      </c>
      <c r="BB402" s="510">
        <v>0.03</v>
      </c>
      <c r="BC402" s="510">
        <f t="shared" ref="BC402:BC408" si="131">SUM(AV402:BB402)</f>
        <v>1</v>
      </c>
      <c r="BD402" s="747">
        <f t="shared" ref="BD402:BD446" si="132">(AV402*B402)+(AW402*E402)+(AX402*K402)+(AY402*W402)+(BA402*U402)+(BB402*AG402)</f>
        <v>-13.966825199999997</v>
      </c>
      <c r="BE402" s="243">
        <f t="shared" si="117"/>
        <v>-13.216337199999998</v>
      </c>
      <c r="BF402" s="329">
        <v>0.314</v>
      </c>
      <c r="BG402" s="329">
        <v>7.0000000000000007E-2</v>
      </c>
      <c r="BH402" s="329"/>
      <c r="BI402" s="329">
        <v>7.0000000000000007E-2</v>
      </c>
      <c r="BJ402" s="329"/>
      <c r="BK402" s="329">
        <v>0.156</v>
      </c>
      <c r="BL402" s="329">
        <v>1.7999999999999999E-2</v>
      </c>
      <c r="BM402" s="329">
        <v>0.24199999999999999</v>
      </c>
      <c r="BN402" s="329">
        <v>0.03</v>
      </c>
      <c r="BO402" s="329">
        <v>0.1</v>
      </c>
      <c r="BP402" s="329">
        <f t="shared" si="127"/>
        <v>1</v>
      </c>
      <c r="BQ402" s="748">
        <f t="shared" si="103"/>
        <v>-13.968731639999998</v>
      </c>
      <c r="BS402" s="615">
        <f t="array" ref="BS402">100*((1+8.5/100)^(1/12)-1)</f>
        <v>0.68214933659622723</v>
      </c>
      <c r="BT402" s="615">
        <f t="array" ref="BT402">100*((1+8.75/100)^(1/12)-1)</f>
        <v>0.70146116041400752</v>
      </c>
      <c r="BU402" s="615">
        <f t="array" ref="BU402">100*((1+9/100)^(1/12)-1)</f>
        <v>0.72073233161367156</v>
      </c>
      <c r="BV402" s="615">
        <f t="array" ref="BV402">100*((1+5/100)^(1/12)-1)</f>
        <v>0.40741237836483535</v>
      </c>
      <c r="BW402" s="615">
        <f t="array" ref="BW402">100*((1+9/100)^(1/12)-1)</f>
        <v>0.72073233161367156</v>
      </c>
      <c r="BX402" s="749">
        <f t="array" ref="BX402">((1+6.75/100)^(1/12)-1)*100</f>
        <v>0.54581304569467637</v>
      </c>
      <c r="BY402" s="615">
        <f t="array" ref="BY402">((1+8.3/100)^(1/12)-1)*100</f>
        <v>0.66667048692337083</v>
      </c>
      <c r="BZ402" s="341">
        <f t="shared" si="128"/>
        <v>0.68967566304480643</v>
      </c>
      <c r="CB402" s="243">
        <f t="shared" si="79"/>
        <v>0.64340301100034303</v>
      </c>
      <c r="CD402" s="243">
        <f t="shared" si="82"/>
        <v>0.64340301100034303</v>
      </c>
      <c r="CG402" s="734">
        <f t="shared" si="105"/>
        <v>-17.933506274509806</v>
      </c>
      <c r="CJ402" s="1264">
        <f t="shared" si="125"/>
        <v>0.79741404289037643</v>
      </c>
    </row>
    <row r="403" spans="1:88" x14ac:dyDescent="0.2">
      <c r="A403" s="19">
        <v>39782</v>
      </c>
      <c r="B403" s="262">
        <v>-7.1754899999999999</v>
      </c>
      <c r="C403" s="262">
        <v>-5.5608000000000004</v>
      </c>
      <c r="D403" s="262">
        <v>-8.9718</v>
      </c>
      <c r="E403" s="262">
        <v>-9.2696000000000005</v>
      </c>
      <c r="F403" s="262">
        <v>-9.718</v>
      </c>
      <c r="G403" s="262">
        <v>-8.8521999999999998</v>
      </c>
      <c r="H403" s="262">
        <v>-11.8287</v>
      </c>
      <c r="I403" s="262">
        <v>-12.100899999999999</v>
      </c>
      <c r="J403" s="262">
        <v>-11.5809</v>
      </c>
      <c r="K403" s="262">
        <v>-11.683400000000001</v>
      </c>
      <c r="L403" s="262">
        <v>-11.1922</v>
      </c>
      <c r="M403" s="262">
        <v>-12.0648</v>
      </c>
      <c r="N403" s="262">
        <f t="shared" si="124"/>
        <v>-11.683400000000001</v>
      </c>
      <c r="O403" s="262">
        <f t="shared" si="129"/>
        <v>-11.1922</v>
      </c>
      <c r="P403" s="262">
        <f t="shared" si="129"/>
        <v>-12.0648</v>
      </c>
      <c r="Q403" s="262">
        <v>-11.27594</v>
      </c>
      <c r="R403" s="262">
        <v>-10.843999999999999</v>
      </c>
      <c r="S403" s="262">
        <v>-7.8939000000000004</v>
      </c>
      <c r="T403" s="128">
        <f t="shared" si="80"/>
        <v>-7.8939000000000004</v>
      </c>
      <c r="U403" s="262">
        <v>-5.7439999999999998</v>
      </c>
      <c r="V403" s="262">
        <v>-4.4138999999999999</v>
      </c>
      <c r="W403" s="262">
        <v>3.2549999999999999</v>
      </c>
      <c r="X403" s="262">
        <v>2.5495000000000001</v>
      </c>
      <c r="Y403" s="262">
        <v>3.27</v>
      </c>
      <c r="Z403" s="262" t="e">
        <v>#N/A</v>
      </c>
      <c r="AA403" s="262">
        <v>-5.3582200000000002</v>
      </c>
      <c r="AB403" s="262">
        <v>-6.4770000000000003</v>
      </c>
      <c r="AC403" s="262">
        <v>-4.1352000000000002</v>
      </c>
      <c r="AD403" s="277">
        <v>-3.9628000000000001</v>
      </c>
      <c r="AE403" s="277">
        <f t="shared" si="126"/>
        <v>-3.9628000000000001</v>
      </c>
      <c r="AF403" s="277">
        <f t="shared" si="130"/>
        <v>-5.7439999999999998</v>
      </c>
      <c r="AG403" s="262">
        <v>-5.7299999999999997E-2</v>
      </c>
      <c r="AH403" s="1329">
        <v>-24.69</v>
      </c>
      <c r="AI403" s="277"/>
      <c r="AJ403" s="277"/>
      <c r="AK403" s="277"/>
      <c r="AL403" s="277"/>
      <c r="AM403" s="268"/>
      <c r="AN403" s="262">
        <v>-5.74</v>
      </c>
      <c r="AO403" s="262">
        <v>-5.7439999999999998</v>
      </c>
      <c r="AP403" s="262"/>
      <c r="AQ403" s="262"/>
      <c r="AR403" s="262"/>
      <c r="AS403" s="262"/>
      <c r="AT403" s="262"/>
      <c r="AU403" s="262"/>
      <c r="AV403" s="510">
        <v>0.37</v>
      </c>
      <c r="AW403" s="510">
        <v>7.0000000000000007E-2</v>
      </c>
      <c r="AX403" s="510">
        <v>7.0000000000000007E-2</v>
      </c>
      <c r="AY403" s="510">
        <v>0.27</v>
      </c>
      <c r="AZ403" s="510"/>
      <c r="BA403" s="510">
        <v>0.19</v>
      </c>
      <c r="BB403" s="510">
        <v>0.03</v>
      </c>
      <c r="BC403" s="510">
        <f t="shared" si="131"/>
        <v>1</v>
      </c>
      <c r="BD403" s="747">
        <f t="shared" si="132"/>
        <v>-4.3358702999999998</v>
      </c>
      <c r="BE403" s="243">
        <f t="shared" si="117"/>
        <v>-3.8496208000000003</v>
      </c>
      <c r="BF403" s="329">
        <v>0.314</v>
      </c>
      <c r="BG403" s="329">
        <v>7.0000000000000007E-2</v>
      </c>
      <c r="BH403" s="329"/>
      <c r="BI403" s="329">
        <v>7.0000000000000007E-2</v>
      </c>
      <c r="BJ403" s="329"/>
      <c r="BK403" s="329">
        <v>0.156</v>
      </c>
      <c r="BL403" s="329">
        <v>1.7999999999999999E-2</v>
      </c>
      <c r="BM403" s="329">
        <v>0.24199999999999999</v>
      </c>
      <c r="BN403" s="329">
        <v>0.03</v>
      </c>
      <c r="BO403" s="329">
        <v>0.1</v>
      </c>
      <c r="BP403" s="329">
        <f t="shared" si="127"/>
        <v>1</v>
      </c>
      <c r="BQ403" s="748">
        <f t="shared" si="103"/>
        <v>-4.3056170600000012</v>
      </c>
      <c r="BS403" s="615">
        <f t="array" ref="BS403">100*((1+8.5/100)^(1/12)-1)</f>
        <v>0.68214933659622723</v>
      </c>
      <c r="BT403" s="615">
        <f t="array" ref="BT403">100*((1+8.75/100)^(1/12)-1)</f>
        <v>0.70146116041400752</v>
      </c>
      <c r="BU403" s="615">
        <f t="array" ref="BU403">100*((1+9/100)^(1/12)-1)</f>
        <v>0.72073233161367156</v>
      </c>
      <c r="BV403" s="615">
        <f t="array" ref="BV403">100*((1+5/100)^(1/12)-1)</f>
        <v>0.40741237836483535</v>
      </c>
      <c r="BW403" s="615">
        <f t="array" ref="BW403">100*((1+9/100)^(1/12)-1)</f>
        <v>0.72073233161367156</v>
      </c>
      <c r="BX403" s="749">
        <f t="array" ref="BX403">((1+6.75/100)^(1/12)-1)*100</f>
        <v>0.54581304569467637</v>
      </c>
      <c r="BY403" s="615">
        <f t="array" ref="BY403">((1+8.3/100)^(1/12)-1)*100</f>
        <v>0.66667048692337083</v>
      </c>
      <c r="BZ403" s="341">
        <f t="shared" si="128"/>
        <v>0.68967566304480643</v>
      </c>
      <c r="CB403" s="243">
        <f t="shared" si="79"/>
        <v>0.64340301100034303</v>
      </c>
      <c r="CD403" s="243">
        <f t="shared" si="82"/>
        <v>0.64340301100034303</v>
      </c>
      <c r="CG403" s="734">
        <f t="shared" si="105"/>
        <v>-8.0816496078431364</v>
      </c>
      <c r="CJ403" s="1264">
        <f t="shared" si="125"/>
        <v>0.79741404289037643</v>
      </c>
    </row>
    <row r="404" spans="1:88" x14ac:dyDescent="0.2">
      <c r="A404" s="19">
        <v>39813</v>
      </c>
      <c r="B404" s="262">
        <v>1.0640099999999999</v>
      </c>
      <c r="C404" s="262">
        <v>1.1555</v>
      </c>
      <c r="D404" s="262">
        <v>0.95330000000000004</v>
      </c>
      <c r="E404" s="262">
        <v>4.8474000000000004</v>
      </c>
      <c r="F404" s="262">
        <v>4.6548999999999996</v>
      </c>
      <c r="G404" s="262">
        <v>5.0039999999999996</v>
      </c>
      <c r="H404" s="262">
        <v>5.8041</v>
      </c>
      <c r="I404" s="262">
        <v>5.4240000000000004</v>
      </c>
      <c r="J404" s="262">
        <v>6.1516000000000002</v>
      </c>
      <c r="K404" s="262">
        <v>6.1009000000000002</v>
      </c>
      <c r="L404" s="262">
        <v>5.3338000000000001</v>
      </c>
      <c r="M404" s="262">
        <v>6.7751000000000001</v>
      </c>
      <c r="N404" s="262">
        <f t="shared" si="124"/>
        <v>6.1009000000000002</v>
      </c>
      <c r="O404" s="262">
        <f t="shared" si="129"/>
        <v>5.3338000000000001</v>
      </c>
      <c r="P404" s="262">
        <f t="shared" si="129"/>
        <v>6.7751000000000001</v>
      </c>
      <c r="Q404" s="262">
        <v>5.0691199999999998</v>
      </c>
      <c r="R404" s="262">
        <v>5.4294000000000002</v>
      </c>
      <c r="S404" s="262">
        <v>1.9131</v>
      </c>
      <c r="T404" s="128">
        <f t="shared" si="80"/>
        <v>1.9131</v>
      </c>
      <c r="U404" s="262">
        <v>5.7169999999999996</v>
      </c>
      <c r="V404" s="262">
        <v>6.8460999999999999</v>
      </c>
      <c r="W404" s="262">
        <v>3.7309000000000001</v>
      </c>
      <c r="X404" s="262">
        <v>2.8395999999999999</v>
      </c>
      <c r="Y404" s="262">
        <v>2.9350000000000001</v>
      </c>
      <c r="Z404" s="262" t="e">
        <v>#N/A</v>
      </c>
      <c r="AA404" s="262">
        <v>6.02318</v>
      </c>
      <c r="AB404" s="262">
        <v>6.3765000000000001</v>
      </c>
      <c r="AC404" s="262">
        <v>5.6489000000000003</v>
      </c>
      <c r="AD404" s="277">
        <v>2.6012</v>
      </c>
      <c r="AE404" s="277">
        <f t="shared" si="126"/>
        <v>2.6012</v>
      </c>
      <c r="AF404" s="277">
        <f t="shared" si="130"/>
        <v>5.7169999999999996</v>
      </c>
      <c r="AG404" s="277">
        <v>-5.7299999999999997E-2</v>
      </c>
      <c r="AH404" s="1329">
        <v>17.55</v>
      </c>
      <c r="AI404" s="277"/>
      <c r="AJ404" s="277"/>
      <c r="AK404" s="277"/>
      <c r="AL404" s="277"/>
      <c r="AM404" s="268"/>
      <c r="AN404" s="262">
        <v>5.72</v>
      </c>
      <c r="AO404" s="262">
        <v>5.7169999999999996</v>
      </c>
      <c r="AP404" s="262"/>
      <c r="AQ404" s="262"/>
      <c r="AR404" s="262"/>
      <c r="AS404" s="262"/>
      <c r="AT404" s="262"/>
      <c r="AU404" s="262"/>
      <c r="AV404" s="510">
        <v>0.37</v>
      </c>
      <c r="AW404" s="510">
        <v>7.0000000000000007E-2</v>
      </c>
      <c r="AX404" s="510">
        <v>7.0000000000000007E-2</v>
      </c>
      <c r="AY404" s="510">
        <v>0.27</v>
      </c>
      <c r="AZ404" s="510"/>
      <c r="BA404" s="510">
        <v>0.19</v>
      </c>
      <c r="BB404" s="510">
        <v>0.03</v>
      </c>
      <c r="BC404" s="510">
        <f t="shared" si="131"/>
        <v>1</v>
      </c>
      <c r="BD404" s="747">
        <f t="shared" si="132"/>
        <v>3.2519187000000001</v>
      </c>
      <c r="BE404" s="243">
        <f t="shared" ref="BE404:BE446" si="133">BB404*AG404+BA404*U404+AY404*W404+Y404*0.05+AX404*K404+AW404*E404+(AV404-0.05)*B404</f>
        <v>3.3454682</v>
      </c>
      <c r="BF404" s="329">
        <v>0.314</v>
      </c>
      <c r="BG404" s="329">
        <v>7.0000000000000007E-2</v>
      </c>
      <c r="BH404" s="329"/>
      <c r="BI404" s="329">
        <v>7.0000000000000007E-2</v>
      </c>
      <c r="BJ404" s="329"/>
      <c r="BK404" s="329">
        <v>0.156</v>
      </c>
      <c r="BL404" s="329">
        <v>1.7999999999999999E-2</v>
      </c>
      <c r="BM404" s="329">
        <v>0.24199999999999999</v>
      </c>
      <c r="BN404" s="329">
        <v>0.03</v>
      </c>
      <c r="BO404" s="329">
        <v>0.1</v>
      </c>
      <c r="BP404" s="329">
        <f t="shared" si="127"/>
        <v>1</v>
      </c>
      <c r="BQ404" s="748">
        <f t="shared" si="103"/>
        <v>3.2768407399999999</v>
      </c>
      <c r="BS404" s="615">
        <f t="array" ref="BS404">100*((1+8.5/100)^(1/12)-1)</f>
        <v>0.68214933659622723</v>
      </c>
      <c r="BT404" s="615">
        <f t="array" ref="BT404">100*((1+8.75/100)^(1/12)-1)</f>
        <v>0.70146116041400752</v>
      </c>
      <c r="BU404" s="615">
        <f t="array" ref="BU404">100*((1+9/100)^(1/12)-1)</f>
        <v>0.72073233161367156</v>
      </c>
      <c r="BV404" s="615">
        <f t="array" ref="BV404">100*((1+5/100)^(1/12)-1)</f>
        <v>0.40741237836483535</v>
      </c>
      <c r="BW404" s="615">
        <f t="array" ref="BW404">100*((1+9/100)^(1/12)-1)</f>
        <v>0.72073233161367156</v>
      </c>
      <c r="BX404" s="749">
        <f t="array" ref="BX404">((1+6.75/100)^(1/12)-1)*100</f>
        <v>0.54581304569467637</v>
      </c>
      <c r="BY404" s="615">
        <f t="array" ref="BY404">((1+8.3/100)^(1/12)-1)*100</f>
        <v>0.66667048692337083</v>
      </c>
      <c r="BZ404" s="341">
        <f t="shared" si="128"/>
        <v>0.68967566304480643</v>
      </c>
      <c r="CB404" s="243">
        <f t="shared" si="79"/>
        <v>0.64340301100034303</v>
      </c>
      <c r="CD404" s="243">
        <f t="shared" si="82"/>
        <v>0.64340301100034303</v>
      </c>
      <c r="CG404" s="734">
        <f t="shared" si="105"/>
        <v>2.2746366666666664</v>
      </c>
      <c r="CJ404" s="1264">
        <f t="shared" si="125"/>
        <v>0.79741404289037643</v>
      </c>
    </row>
    <row r="405" spans="1:88" x14ac:dyDescent="0.2">
      <c r="A405" s="19">
        <v>39844</v>
      </c>
      <c r="B405" s="262">
        <v>-8.4286100000000008</v>
      </c>
      <c r="C405" s="262">
        <v>-4.8917000000000002</v>
      </c>
      <c r="D405" s="262">
        <v>-12.1584</v>
      </c>
      <c r="E405" s="262">
        <v>-7.2537000000000003</v>
      </c>
      <c r="F405" s="262">
        <v>-5.9</v>
      </c>
      <c r="G405" s="262">
        <v>-8.5521999999999991</v>
      </c>
      <c r="H405" s="262">
        <v>-11.1221</v>
      </c>
      <c r="I405" s="262">
        <v>-7.6078999999999999</v>
      </c>
      <c r="J405" s="262">
        <v>-14.2849</v>
      </c>
      <c r="K405" s="262">
        <v>-12.7004</v>
      </c>
      <c r="L405" s="262">
        <v>-11.279400000000001</v>
      </c>
      <c r="M405" s="262">
        <v>-14.081300000000001</v>
      </c>
      <c r="N405" s="262">
        <f t="shared" ref="N405:P406" si="134">K405</f>
        <v>-12.7004</v>
      </c>
      <c r="O405" s="262">
        <f t="shared" si="134"/>
        <v>-11.279400000000001</v>
      </c>
      <c r="P405" s="262">
        <f t="shared" si="134"/>
        <v>-14.081300000000001</v>
      </c>
      <c r="Q405" s="262">
        <v>-6.0160900000000002</v>
      </c>
      <c r="R405" s="262">
        <v>-9.0009999999999994</v>
      </c>
      <c r="S405" s="262">
        <v>-8.3919999999999995</v>
      </c>
      <c r="T405" s="128">
        <f t="shared" si="80"/>
        <v>-8.3919999999999995</v>
      </c>
      <c r="U405" s="262">
        <v>-8.8140000000000001</v>
      </c>
      <c r="V405" s="262">
        <v>-6.3952</v>
      </c>
      <c r="W405" s="262">
        <v>-0.88229999999999997</v>
      </c>
      <c r="X405" s="262">
        <v>-0.21879999999999999</v>
      </c>
      <c r="Y405" s="262">
        <v>-0.39300000000000002</v>
      </c>
      <c r="Z405" s="262" t="e">
        <v>#N/A</v>
      </c>
      <c r="AA405" s="262">
        <v>-9.7976700000000001</v>
      </c>
      <c r="AB405" s="262">
        <v>-8.5370000000000008</v>
      </c>
      <c r="AC405" s="262">
        <v>-11.116199999999999</v>
      </c>
      <c r="AD405" s="277">
        <v>-6.5351999999999997</v>
      </c>
      <c r="AE405" s="277">
        <f t="shared" ref="AE405:AE410" si="135">AD405</f>
        <v>-6.5351999999999997</v>
      </c>
      <c r="AF405" s="277">
        <f t="shared" si="130"/>
        <v>-8.8140000000000001</v>
      </c>
      <c r="AG405" s="277">
        <v>-2.8420999999999998</v>
      </c>
      <c r="AH405" s="1329">
        <v>-18.149999999999999</v>
      </c>
      <c r="AI405" s="277"/>
      <c r="AJ405" s="277"/>
      <c r="AK405" s="277"/>
      <c r="AL405" s="277"/>
      <c r="AM405" s="268"/>
      <c r="AN405" s="262">
        <v>-8.81</v>
      </c>
      <c r="AO405" s="262">
        <v>-8.8140000000000001</v>
      </c>
      <c r="AP405" s="262"/>
      <c r="AQ405" s="262"/>
      <c r="AR405" s="262"/>
      <c r="AS405" s="262"/>
      <c r="AT405" s="262"/>
      <c r="AU405" s="262"/>
      <c r="AV405" s="510">
        <v>0.36</v>
      </c>
      <c r="AW405" s="510">
        <v>7.0000000000000007E-2</v>
      </c>
      <c r="AX405" s="510">
        <v>7.0000000000000007E-2</v>
      </c>
      <c r="AY405" s="510">
        <v>0.27</v>
      </c>
      <c r="AZ405" s="510"/>
      <c r="BA405" s="510">
        <v>0.19</v>
      </c>
      <c r="BB405" s="510">
        <v>0.04</v>
      </c>
      <c r="BC405" s="510">
        <f t="shared" si="131"/>
        <v>1</v>
      </c>
      <c r="BD405" s="747">
        <f t="shared" si="132"/>
        <v>-6.457651600000001</v>
      </c>
      <c r="BE405" s="243">
        <f t="shared" si="133"/>
        <v>-6.0558711000000001</v>
      </c>
      <c r="BF405" s="329">
        <v>0.30399999999999999</v>
      </c>
      <c r="BG405" s="329">
        <v>7.0000000000000007E-2</v>
      </c>
      <c r="BH405" s="329"/>
      <c r="BI405" s="329">
        <v>7.0000000000000007E-2</v>
      </c>
      <c r="BJ405" s="329"/>
      <c r="BK405" s="329">
        <v>0.156</v>
      </c>
      <c r="BL405" s="329">
        <v>1.7999999999999999E-2</v>
      </c>
      <c r="BM405" s="329">
        <v>0.24199999999999999</v>
      </c>
      <c r="BN405" s="329">
        <v>0.04</v>
      </c>
      <c r="BO405" s="329">
        <v>0.1</v>
      </c>
      <c r="BP405" s="329">
        <f t="shared" ref="BP405:BP410" si="136">SUM(BF405:BO405)</f>
        <v>1</v>
      </c>
      <c r="BQ405" s="748">
        <f t="shared" si="103"/>
        <v>-6.4299026400000008</v>
      </c>
      <c r="BS405" s="615">
        <f t="array" ref="BS405">100*((1+8.5/100)^(1/12)-1)</f>
        <v>0.68214933659622723</v>
      </c>
      <c r="BT405" s="615">
        <f t="array" ref="BT405">100*((1+8.75/100)^(1/12)-1)</f>
        <v>0.70146116041400752</v>
      </c>
      <c r="BU405" s="615">
        <f t="array" ref="BU405">100*((1+9/100)^(1/12)-1)</f>
        <v>0.72073233161367156</v>
      </c>
      <c r="BV405" s="615">
        <f t="array" ref="BV405">100*((1+5/100)^(1/12)-1)</f>
        <v>0.40741237836483535</v>
      </c>
      <c r="BW405" s="615">
        <f t="array" ref="BW405">100*((1+9/100)^(1/12)-1)</f>
        <v>0.72073233161367156</v>
      </c>
      <c r="BX405" s="749">
        <f t="array" ref="BX405">((1+6.75/100)^(1/12)-1)*100</f>
        <v>0.54581304569467637</v>
      </c>
      <c r="BY405" s="615">
        <f t="array" ref="BY405">((1+8.3/100)^(1/12)-1)*100</f>
        <v>0.66667048692337083</v>
      </c>
      <c r="BZ405" s="341">
        <f t="shared" ref="BZ405:BZ410" si="137">0.74*BS405+0.13*BT405+0.13*BU405</f>
        <v>0.68967566304480643</v>
      </c>
      <c r="CB405" s="243">
        <f t="shared" si="79"/>
        <v>0.64340301100034303</v>
      </c>
      <c r="CD405" s="243">
        <f t="shared" si="82"/>
        <v>0.64340301100034303</v>
      </c>
      <c r="CG405" s="734">
        <f t="shared" si="105"/>
        <v>-8.8621732000000009</v>
      </c>
      <c r="CJ405" s="1264">
        <f t="shared" si="125"/>
        <v>0.79741404289037643</v>
      </c>
    </row>
    <row r="406" spans="1:88" x14ac:dyDescent="0.2">
      <c r="A406" s="19">
        <v>39872</v>
      </c>
      <c r="B406" s="262">
        <v>-10.647779999999999</v>
      </c>
      <c r="C406" s="262">
        <v>-8.5221999999999998</v>
      </c>
      <c r="D406" s="262">
        <v>-13.0749</v>
      </c>
      <c r="E406" s="262">
        <v>-9.6829000000000001</v>
      </c>
      <c r="F406" s="262">
        <v>-8.07</v>
      </c>
      <c r="G406" s="262">
        <v>-11.308199999999999</v>
      </c>
      <c r="H406" s="262">
        <v>-12.1523</v>
      </c>
      <c r="I406" s="262">
        <v>-10.3543</v>
      </c>
      <c r="J406" s="262">
        <v>-13.8901</v>
      </c>
      <c r="K406" s="262">
        <v>-11.974299999999999</v>
      </c>
      <c r="L406" s="262">
        <v>-11.227</v>
      </c>
      <c r="M406" s="262">
        <v>-12.7272</v>
      </c>
      <c r="N406" s="262">
        <f t="shared" si="134"/>
        <v>-11.974299999999999</v>
      </c>
      <c r="O406" s="262">
        <f t="shared" si="134"/>
        <v>-11.227</v>
      </c>
      <c r="P406" s="262">
        <f t="shared" si="134"/>
        <v>-12.7272</v>
      </c>
      <c r="Q406" s="262">
        <v>-8.6555800000000005</v>
      </c>
      <c r="R406" s="262">
        <v>-10.811999999999999</v>
      </c>
      <c r="S406" s="262">
        <v>-10.4755</v>
      </c>
      <c r="T406" s="128">
        <f t="shared" si="80"/>
        <v>-10.4755</v>
      </c>
      <c r="U406" s="262">
        <v>-9.3019999999999996</v>
      </c>
      <c r="V406" s="262">
        <v>-9.2462</v>
      </c>
      <c r="W406" s="262">
        <v>-0.37759999999999999</v>
      </c>
      <c r="X406" s="262">
        <v>-0.20810000000000001</v>
      </c>
      <c r="Y406" s="262">
        <v>-0.6</v>
      </c>
      <c r="Z406" s="262" t="e">
        <v>#N/A</v>
      </c>
      <c r="AA406" s="262">
        <v>-10.227180000000001</v>
      </c>
      <c r="AB406" s="262">
        <v>-9.3010000000000002</v>
      </c>
      <c r="AC406" s="262">
        <v>-11.2295</v>
      </c>
      <c r="AD406" s="277">
        <v>-7.7072000000000003</v>
      </c>
      <c r="AE406" s="277">
        <f t="shared" si="135"/>
        <v>-7.7072000000000003</v>
      </c>
      <c r="AF406" s="277">
        <f t="shared" si="130"/>
        <v>-9.3019999999999996</v>
      </c>
      <c r="AG406" s="277">
        <v>-2.8420999999999998</v>
      </c>
      <c r="AH406" s="1329">
        <v>-21.72</v>
      </c>
      <c r="AI406" s="277"/>
      <c r="AJ406" s="277"/>
      <c r="AK406" s="277"/>
      <c r="AL406" s="277"/>
      <c r="AM406" s="268"/>
      <c r="AN406" s="262">
        <v>-9.3000000000000007</v>
      </c>
      <c r="AO406" s="262">
        <v>-9.3019999999999996</v>
      </c>
      <c r="AP406" s="262"/>
      <c r="AQ406" s="262"/>
      <c r="AR406" s="262"/>
      <c r="AS406" s="262"/>
      <c r="AT406" s="262"/>
      <c r="AU406" s="262"/>
      <c r="AV406" s="510">
        <v>0.36</v>
      </c>
      <c r="AW406" s="510">
        <v>7.0000000000000007E-2</v>
      </c>
      <c r="AX406" s="510">
        <v>7.0000000000000007E-2</v>
      </c>
      <c r="AY406" s="510">
        <v>0.27</v>
      </c>
      <c r="AZ406" s="510"/>
      <c r="BA406" s="510">
        <v>0.19</v>
      </c>
      <c r="BB406" s="510">
        <v>0.04</v>
      </c>
      <c r="BC406" s="510">
        <f t="shared" si="131"/>
        <v>1</v>
      </c>
      <c r="BD406" s="747">
        <f t="shared" si="132"/>
        <v>-7.3322208</v>
      </c>
      <c r="BE406" s="243">
        <f t="shared" si="133"/>
        <v>-6.8298317999999991</v>
      </c>
      <c r="BF406" s="329">
        <v>0.30399999999999999</v>
      </c>
      <c r="BG406" s="329">
        <v>7.0000000000000007E-2</v>
      </c>
      <c r="BH406" s="329"/>
      <c r="BI406" s="329">
        <v>7.0000000000000007E-2</v>
      </c>
      <c r="BJ406" s="329"/>
      <c r="BK406" s="329">
        <v>0.156</v>
      </c>
      <c r="BL406" s="329">
        <v>1.7999999999999999E-2</v>
      </c>
      <c r="BM406" s="329">
        <v>0.24199999999999999</v>
      </c>
      <c r="BN406" s="329">
        <v>0.04</v>
      </c>
      <c r="BO406" s="329">
        <v>0.1</v>
      </c>
      <c r="BP406" s="329">
        <f t="shared" si="136"/>
        <v>1</v>
      </c>
      <c r="BQ406" s="748">
        <f t="shared" si="103"/>
        <v>-7.3462559199999991</v>
      </c>
      <c r="BS406" s="615">
        <f t="array" ref="BS406">100*((1+8.5/100)^(1/12)-1)</f>
        <v>0.68214933659622723</v>
      </c>
      <c r="BT406" s="615">
        <f t="array" ref="BT406">100*((1+8.75/100)^(1/12)-1)</f>
        <v>0.70146116041400752</v>
      </c>
      <c r="BU406" s="615">
        <f t="array" ref="BU406">100*((1+9/100)^(1/12)-1)</f>
        <v>0.72073233161367156</v>
      </c>
      <c r="BV406" s="615">
        <f t="array" ref="BV406">100*((1+5/100)^(1/12)-1)</f>
        <v>0.40741237836483535</v>
      </c>
      <c r="BW406" s="615">
        <f t="array" ref="BW406">100*((1+9/100)^(1/12)-1)</f>
        <v>0.72073233161367156</v>
      </c>
      <c r="BX406" s="749">
        <f t="array" ref="BX406">((1+6.75/100)^(1/12)-1)*100</f>
        <v>0.54581304569467637</v>
      </c>
      <c r="BY406" s="615">
        <f t="array" ref="BY406">((1+8.3/100)^(1/12)-1)*100</f>
        <v>0.66667048692337083</v>
      </c>
      <c r="BZ406" s="341">
        <f t="shared" si="137"/>
        <v>0.68967566304480643</v>
      </c>
      <c r="CB406" s="243">
        <f t="shared" si="79"/>
        <v>0.64340301100034303</v>
      </c>
      <c r="CD406" s="243">
        <f t="shared" si="82"/>
        <v>0.64340301100034303</v>
      </c>
      <c r="CG406" s="734">
        <f t="shared" si="105"/>
        <v>-10.6984096</v>
      </c>
      <c r="CJ406" s="1264">
        <f t="shared" si="125"/>
        <v>0.79741404289037643</v>
      </c>
    </row>
    <row r="407" spans="1:88" x14ac:dyDescent="0.2">
      <c r="A407" s="19">
        <v>39903</v>
      </c>
      <c r="B407" s="262">
        <v>8.7595100000000006</v>
      </c>
      <c r="C407" s="262">
        <v>7.8357999999999999</v>
      </c>
      <c r="D407" s="262">
        <v>9.8712999999999997</v>
      </c>
      <c r="E407" s="262">
        <v>9.0478000000000005</v>
      </c>
      <c r="F407" s="262">
        <v>9.6999999999999993</v>
      </c>
      <c r="G407" s="262">
        <v>8.3660999999999994</v>
      </c>
      <c r="H407" s="262">
        <v>8.9267000000000003</v>
      </c>
      <c r="I407" s="262">
        <v>8.9754000000000005</v>
      </c>
      <c r="J407" s="262">
        <v>8.8785000000000007</v>
      </c>
      <c r="K407" s="262">
        <v>8.2143999999999995</v>
      </c>
      <c r="L407" s="262">
        <v>8.1141000000000005</v>
      </c>
      <c r="M407" s="262">
        <v>8.3190000000000008</v>
      </c>
      <c r="N407" s="262">
        <f t="shared" ref="N407:P408" si="138">K407</f>
        <v>8.2143999999999995</v>
      </c>
      <c r="O407" s="262">
        <f t="shared" si="138"/>
        <v>8.1141000000000005</v>
      </c>
      <c r="P407" s="262">
        <f t="shared" si="138"/>
        <v>8.3190000000000008</v>
      </c>
      <c r="Q407" s="262">
        <v>9.5276200000000006</v>
      </c>
      <c r="R407" s="262">
        <v>9.1280999999999999</v>
      </c>
      <c r="S407" s="262">
        <v>8.7593999999999994</v>
      </c>
      <c r="T407" s="128">
        <f t="shared" si="80"/>
        <v>8.7593999999999994</v>
      </c>
      <c r="U407" s="262">
        <v>8.0730000000000004</v>
      </c>
      <c r="V407" s="262">
        <v>6.5646000000000004</v>
      </c>
      <c r="W407" s="262">
        <v>1.3902000000000001</v>
      </c>
      <c r="X407" s="262">
        <v>1.3453999999999999</v>
      </c>
      <c r="Y407" s="262">
        <v>0.94899999999999995</v>
      </c>
      <c r="Z407" s="262" t="e">
        <v>#N/A</v>
      </c>
      <c r="AA407" s="262">
        <v>6.3874500000000003</v>
      </c>
      <c r="AB407" s="262">
        <v>5.7121000000000004</v>
      </c>
      <c r="AC407" s="262">
        <v>7.1233000000000004</v>
      </c>
      <c r="AD407" s="277">
        <v>6.3171999999999997</v>
      </c>
      <c r="AE407" s="277">
        <f t="shared" si="135"/>
        <v>6.3171999999999997</v>
      </c>
      <c r="AF407" s="277">
        <f t="shared" ref="AF407:AF412" si="139">U407</f>
        <v>8.0730000000000004</v>
      </c>
      <c r="AG407" s="277">
        <v>-2.8420999999999998</v>
      </c>
      <c r="AH407" s="1329">
        <v>3.24</v>
      </c>
      <c r="AI407" s="277"/>
      <c r="AJ407" s="277"/>
      <c r="AK407" s="277"/>
      <c r="AL407" s="277"/>
      <c r="AM407" s="268"/>
      <c r="AN407" s="262">
        <v>8.07</v>
      </c>
      <c r="AO407" s="262">
        <v>8.0730000000000004</v>
      </c>
      <c r="AP407" s="262"/>
      <c r="AQ407" s="262"/>
      <c r="AR407" s="262"/>
      <c r="AS407" s="262"/>
      <c r="AT407" s="262"/>
      <c r="AU407" s="262"/>
      <c r="AV407" s="510">
        <v>0.36</v>
      </c>
      <c r="AW407" s="510">
        <v>7.0000000000000007E-2</v>
      </c>
      <c r="AX407" s="510">
        <v>7.0000000000000007E-2</v>
      </c>
      <c r="AY407" s="510">
        <v>0.27</v>
      </c>
      <c r="AZ407" s="510"/>
      <c r="BA407" s="510">
        <v>0.19</v>
      </c>
      <c r="BB407" s="510">
        <v>0.04</v>
      </c>
      <c r="BC407" s="510">
        <f t="shared" si="131"/>
        <v>1</v>
      </c>
      <c r="BD407" s="747">
        <f t="shared" si="132"/>
        <v>6.1573175999999998</v>
      </c>
      <c r="BE407" s="243">
        <f t="shared" si="133"/>
        <v>5.7667921</v>
      </c>
      <c r="BF407" s="329">
        <v>0.30399999999999999</v>
      </c>
      <c r="BG407" s="329">
        <v>7.0000000000000007E-2</v>
      </c>
      <c r="BH407" s="329"/>
      <c r="BI407" s="329">
        <v>7.0000000000000007E-2</v>
      </c>
      <c r="BJ407" s="329"/>
      <c r="BK407" s="329">
        <v>0.156</v>
      </c>
      <c r="BL407" s="329">
        <v>1.7999999999999999E-2</v>
      </c>
      <c r="BM407" s="329">
        <v>0.24199999999999999</v>
      </c>
      <c r="BN407" s="329">
        <v>0.04</v>
      </c>
      <c r="BO407" s="329">
        <v>0.1</v>
      </c>
      <c r="BP407" s="329">
        <f t="shared" si="136"/>
        <v>1</v>
      </c>
      <c r="BQ407" s="748">
        <f t="shared" si="103"/>
        <v>6.1032602400000009</v>
      </c>
      <c r="BS407" s="615">
        <f t="array" ref="BS407">100*((1+8.5/100)^(1/12)-1)</f>
        <v>0.68214933659622723</v>
      </c>
      <c r="BT407" s="615">
        <f t="array" ref="BT407">100*((1+8.75/100)^(1/12)-1)</f>
        <v>0.70146116041400752</v>
      </c>
      <c r="BU407" s="615">
        <f t="array" ref="BU407">100*((1+9/100)^(1/12)-1)</f>
        <v>0.72073233161367156</v>
      </c>
      <c r="BV407" s="615">
        <f t="array" ref="BV407">100*((1+5/100)^(1/12)-1)</f>
        <v>0.40741237836483535</v>
      </c>
      <c r="BW407" s="615">
        <f t="array" ref="BW407">100*((1+9/100)^(1/12)-1)</f>
        <v>0.72073233161367156</v>
      </c>
      <c r="BX407" s="749">
        <f t="array" ref="BX407">((1+6.75/100)^(1/12)-1)*100</f>
        <v>0.54581304569467637</v>
      </c>
      <c r="BY407" s="615">
        <f t="array" ref="BY407">((1+8.3/100)^(1/12)-1)*100</f>
        <v>0.66667048692337083</v>
      </c>
      <c r="BZ407" s="341">
        <f t="shared" si="137"/>
        <v>0.68967566304480643</v>
      </c>
      <c r="CB407" s="243">
        <f t="shared" si="79"/>
        <v>0.64340301100034303</v>
      </c>
      <c r="CD407" s="243">
        <f t="shared" si="82"/>
        <v>0.64340301100034303</v>
      </c>
      <c r="CG407" s="734">
        <f t="shared" si="105"/>
        <v>8.7235551999999998</v>
      </c>
      <c r="CJ407" s="1264">
        <f t="shared" si="125"/>
        <v>0.79741404289037643</v>
      </c>
    </row>
    <row r="408" spans="1:88" x14ac:dyDescent="0.2">
      <c r="A408" s="19">
        <v>39933</v>
      </c>
      <c r="B408" s="262">
        <v>9.5709400000000002</v>
      </c>
      <c r="C408" s="262">
        <v>8.3272999999999993</v>
      </c>
      <c r="D408" s="262">
        <v>11.0397</v>
      </c>
      <c r="E408" s="262">
        <v>14.8696</v>
      </c>
      <c r="F408" s="262">
        <v>14.06</v>
      </c>
      <c r="G408" s="262">
        <v>15.7272</v>
      </c>
      <c r="H408" s="262">
        <v>15.4582</v>
      </c>
      <c r="I408" s="262">
        <v>15.050599999999999</v>
      </c>
      <c r="J408" s="262">
        <v>15.8674</v>
      </c>
      <c r="K408" s="262">
        <v>17.456700000000001</v>
      </c>
      <c r="L408" s="262">
        <v>16.547799999999999</v>
      </c>
      <c r="M408" s="262">
        <v>18.400200000000002</v>
      </c>
      <c r="N408" s="262">
        <f t="shared" si="138"/>
        <v>17.456700000000001</v>
      </c>
      <c r="O408" s="262">
        <f t="shared" si="138"/>
        <v>16.547799999999999</v>
      </c>
      <c r="P408" s="262">
        <f t="shared" si="138"/>
        <v>18.400200000000002</v>
      </c>
      <c r="Q408" s="262">
        <v>14.8751</v>
      </c>
      <c r="R408" s="262">
        <v>15.4101</v>
      </c>
      <c r="S408" s="262">
        <v>10.523400000000001</v>
      </c>
      <c r="T408" s="128">
        <f t="shared" si="80"/>
        <v>10.523400000000001</v>
      </c>
      <c r="U408" s="262">
        <v>13.753</v>
      </c>
      <c r="V408" s="262">
        <v>15.438700000000001</v>
      </c>
      <c r="W408" s="262">
        <v>0.47860000000000003</v>
      </c>
      <c r="X408" s="262">
        <v>0.65100000000000002</v>
      </c>
      <c r="Y408" s="262">
        <v>0.45200000000000001</v>
      </c>
      <c r="Z408" s="262" t="e">
        <v>#N/A</v>
      </c>
      <c r="AA408" s="262">
        <v>12.96162</v>
      </c>
      <c r="AB408" s="262">
        <v>8.7752999999999997</v>
      </c>
      <c r="AC408" s="262">
        <v>17.4847</v>
      </c>
      <c r="AD408" s="277">
        <v>7.5671999999999997</v>
      </c>
      <c r="AE408" s="277">
        <f t="shared" si="135"/>
        <v>7.5671999999999997</v>
      </c>
      <c r="AF408" s="277">
        <f t="shared" si="139"/>
        <v>13.753</v>
      </c>
      <c r="AG408" s="277">
        <v>-2.5042</v>
      </c>
      <c r="AH408" s="1329">
        <v>33.08</v>
      </c>
      <c r="AI408" s="277"/>
      <c r="AJ408" s="277"/>
      <c r="AK408" s="277"/>
      <c r="AL408" s="277"/>
      <c r="AM408" s="268"/>
      <c r="AN408" s="262">
        <v>13.75</v>
      </c>
      <c r="AO408" s="262">
        <v>13.753</v>
      </c>
      <c r="AP408" s="262"/>
      <c r="AQ408" s="262"/>
      <c r="AR408" s="262"/>
      <c r="AS408" s="262"/>
      <c r="AT408" s="262"/>
      <c r="AU408" s="262"/>
      <c r="AV408" s="510">
        <v>0.36</v>
      </c>
      <c r="AW408" s="510">
        <v>7.0000000000000007E-2</v>
      </c>
      <c r="AX408" s="510">
        <v>7.0000000000000007E-2</v>
      </c>
      <c r="AY408" s="510">
        <v>0.27</v>
      </c>
      <c r="AZ408" s="510"/>
      <c r="BA408" s="510">
        <v>0.19</v>
      </c>
      <c r="BB408" s="510">
        <v>0.04</v>
      </c>
      <c r="BC408" s="510">
        <f t="shared" si="131"/>
        <v>1</v>
      </c>
      <c r="BD408" s="747">
        <f t="shared" si="132"/>
        <v>8.3505034000000009</v>
      </c>
      <c r="BE408" s="243">
        <f t="shared" si="133"/>
        <v>7.8945564000000008</v>
      </c>
      <c r="BF408" s="329">
        <v>0.30399999999999999</v>
      </c>
      <c r="BG408" s="329">
        <v>7.0000000000000007E-2</v>
      </c>
      <c r="BH408" s="329"/>
      <c r="BI408" s="329">
        <v>7.0000000000000007E-2</v>
      </c>
      <c r="BJ408" s="329"/>
      <c r="BK408" s="329">
        <v>0.156</v>
      </c>
      <c r="BL408" s="329">
        <v>1.7999999999999999E-2</v>
      </c>
      <c r="BM408" s="329">
        <v>0.24199999999999999</v>
      </c>
      <c r="BN408" s="329">
        <v>0.04</v>
      </c>
      <c r="BO408" s="329">
        <v>0.1</v>
      </c>
      <c r="BP408" s="329">
        <f t="shared" si="136"/>
        <v>1</v>
      </c>
      <c r="BQ408" s="748">
        <f t="shared" si="103"/>
        <v>8.3681445600000011</v>
      </c>
      <c r="BS408" s="615">
        <f t="array" ref="BS408">100*((1+8.5/100)^(1/12)-1)</f>
        <v>0.68214933659622723</v>
      </c>
      <c r="BT408" s="615">
        <f t="array" ref="BT408">100*((1+8.75/100)^(1/12)-1)</f>
        <v>0.70146116041400752</v>
      </c>
      <c r="BU408" s="615">
        <f t="array" ref="BU408">100*((1+9/100)^(1/12)-1)</f>
        <v>0.72073233161367156</v>
      </c>
      <c r="BV408" s="615">
        <f t="array" ref="BV408">100*((1+5/100)^(1/12)-1)</f>
        <v>0.40741237836483535</v>
      </c>
      <c r="BW408" s="615">
        <f t="array" ref="BW408">100*((1+9/100)^(1/12)-1)</f>
        <v>0.72073233161367156</v>
      </c>
      <c r="BX408" s="749">
        <f t="array" ref="BX408">((1+6.75/100)^(1/12)-1)*100</f>
        <v>0.54581304569467637</v>
      </c>
      <c r="BY408" s="615">
        <f t="array" ref="BY408">((1+8.3/100)^(1/12)-1)*100</f>
        <v>0.66667048692337083</v>
      </c>
      <c r="BZ408" s="341">
        <f t="shared" si="137"/>
        <v>0.68967566304480643</v>
      </c>
      <c r="CB408" s="243">
        <f t="shared" si="79"/>
        <v>0.64340301100034303</v>
      </c>
      <c r="CD408" s="243">
        <f t="shared" si="82"/>
        <v>0.64340301100034303</v>
      </c>
      <c r="CG408" s="734">
        <f t="shared" si="105"/>
        <v>11.4167588</v>
      </c>
      <c r="CJ408" s="1264">
        <f t="shared" si="125"/>
        <v>0.79741404289037643</v>
      </c>
    </row>
    <row r="409" spans="1:88" x14ac:dyDescent="0.2">
      <c r="A409" s="19">
        <v>39964</v>
      </c>
      <c r="B409" s="262">
        <v>5.5933099999999998</v>
      </c>
      <c r="C409" s="262">
        <v>4.9352999999999998</v>
      </c>
      <c r="D409" s="262">
        <v>6.3605999999999998</v>
      </c>
      <c r="E409" s="262">
        <v>2.7363</v>
      </c>
      <c r="F409" s="262">
        <v>3.53</v>
      </c>
      <c r="G409" s="262">
        <v>1.9188000000000001</v>
      </c>
      <c r="H409" s="262">
        <v>3.0148999999999999</v>
      </c>
      <c r="I409" s="262">
        <v>3.8719999999999999</v>
      </c>
      <c r="J409" s="262">
        <v>2.1623000000000001</v>
      </c>
      <c r="K409" s="262">
        <v>1.6115999999999999</v>
      </c>
      <c r="L409" s="262">
        <v>2.5308000000000002</v>
      </c>
      <c r="M409" s="262">
        <v>0.66820000000000002</v>
      </c>
      <c r="N409" s="262">
        <f t="shared" ref="N409:P410" si="140">K409</f>
        <v>1.6115999999999999</v>
      </c>
      <c r="O409" s="262">
        <f t="shared" si="140"/>
        <v>2.5308000000000002</v>
      </c>
      <c r="P409" s="262">
        <f t="shared" si="140"/>
        <v>0.66820000000000002</v>
      </c>
      <c r="Q409" s="262">
        <v>3.5949200000000001</v>
      </c>
      <c r="R409" s="262">
        <v>3.0461</v>
      </c>
      <c r="S409" s="262">
        <v>5.3364000000000003</v>
      </c>
      <c r="T409" s="128">
        <f t="shared" si="80"/>
        <v>5.3364000000000003</v>
      </c>
      <c r="U409" s="262">
        <v>13.688000000000001</v>
      </c>
      <c r="V409" s="262">
        <v>14.2898</v>
      </c>
      <c r="W409" s="262">
        <v>0.72509999999999997</v>
      </c>
      <c r="X409" s="262">
        <v>0.68840000000000001</v>
      </c>
      <c r="Y409" s="262">
        <v>0.74099999999999999</v>
      </c>
      <c r="Z409" s="262" t="e">
        <v>#N/A</v>
      </c>
      <c r="AA409" s="262">
        <v>12.012890000000001</v>
      </c>
      <c r="AB409" s="262">
        <v>12.020200000000001</v>
      </c>
      <c r="AC409" s="262">
        <v>12.0154</v>
      </c>
      <c r="AD409" s="277">
        <v>5.2564000000000002</v>
      </c>
      <c r="AE409" s="277">
        <f t="shared" si="135"/>
        <v>5.2564000000000002</v>
      </c>
      <c r="AF409" s="277">
        <f t="shared" si="139"/>
        <v>13.688000000000001</v>
      </c>
      <c r="AG409" s="277">
        <v>-2.5042</v>
      </c>
      <c r="AH409" s="1329">
        <v>2.56</v>
      </c>
      <c r="AI409" s="277"/>
      <c r="AJ409" s="277"/>
      <c r="AK409" s="277"/>
      <c r="AL409" s="277"/>
      <c r="AM409" s="268"/>
      <c r="AN409" s="262">
        <v>13.69</v>
      </c>
      <c r="AO409" s="262">
        <v>13.688000000000001</v>
      </c>
      <c r="AP409" s="262"/>
      <c r="AQ409" s="262"/>
      <c r="AR409" s="262"/>
      <c r="AS409" s="262"/>
      <c r="AT409" s="262"/>
      <c r="AU409" s="262"/>
      <c r="AV409" s="510">
        <v>0.36</v>
      </c>
      <c r="AW409" s="510">
        <v>7.0000000000000007E-2</v>
      </c>
      <c r="AX409" s="510">
        <v>7.0000000000000007E-2</v>
      </c>
      <c r="AY409" s="510">
        <v>0.27</v>
      </c>
      <c r="AZ409" s="510"/>
      <c r="BA409" s="510">
        <v>0.19</v>
      </c>
      <c r="BB409" s="510">
        <v>0.04</v>
      </c>
      <c r="BC409" s="510">
        <f t="shared" ref="BC409:BC414" si="141">SUM(AV409:BB409)</f>
        <v>1</v>
      </c>
      <c r="BD409" s="747">
        <f t="shared" si="132"/>
        <v>5.0142736000000001</v>
      </c>
      <c r="BE409" s="243">
        <f t="shared" si="133"/>
        <v>4.7716580999999998</v>
      </c>
      <c r="BF409" s="329">
        <v>0.30399999999999999</v>
      </c>
      <c r="BG409" s="329">
        <v>7.0000000000000007E-2</v>
      </c>
      <c r="BH409" s="329"/>
      <c r="BI409" s="329">
        <v>7.0000000000000007E-2</v>
      </c>
      <c r="BJ409" s="329"/>
      <c r="BK409" s="329">
        <v>0.156</v>
      </c>
      <c r="BL409" s="329">
        <v>1.7999999999999999E-2</v>
      </c>
      <c r="BM409" s="329">
        <v>0.24199999999999999</v>
      </c>
      <c r="BN409" s="329">
        <v>0.04</v>
      </c>
      <c r="BO409" s="329">
        <v>0.1</v>
      </c>
      <c r="BP409" s="329">
        <f t="shared" si="136"/>
        <v>1</v>
      </c>
      <c r="BQ409" s="748">
        <f t="shared" si="103"/>
        <v>4.9982098399999995</v>
      </c>
      <c r="BS409" s="615">
        <f t="array" ref="BS409">100*((1+8.5/100)^(1/12)-1)</f>
        <v>0.68214933659622723</v>
      </c>
      <c r="BT409" s="615">
        <f t="array" ref="BT409">100*((1+8.75/100)^(1/12)-1)</f>
        <v>0.70146116041400752</v>
      </c>
      <c r="BU409" s="615">
        <f t="array" ref="BU409">100*((1+9/100)^(1/12)-1)</f>
        <v>0.72073233161367156</v>
      </c>
      <c r="BV409" s="615">
        <f t="array" ref="BV409">100*((1+5/100)^(1/12)-1)</f>
        <v>0.40741237836483535</v>
      </c>
      <c r="BW409" s="615">
        <f t="array" ref="BW409">100*((1+9/100)^(1/12)-1)</f>
        <v>0.72073233161367156</v>
      </c>
      <c r="BX409" s="749">
        <f t="array" ref="BX409">((1+6.75/100)^(1/12)-1)*100</f>
        <v>0.54581304569467637</v>
      </c>
      <c r="BY409" s="615">
        <f t="array" ref="BY409">((1+8.3/100)^(1/12)-1)*100</f>
        <v>0.66667048692337083</v>
      </c>
      <c r="BZ409" s="341">
        <f t="shared" si="137"/>
        <v>0.68967566304480643</v>
      </c>
      <c r="CB409" s="243">
        <f t="shared" si="79"/>
        <v>0.64340301100034303</v>
      </c>
      <c r="CD409" s="243">
        <f t="shared" si="82"/>
        <v>0.64340301100034303</v>
      </c>
      <c r="CG409" s="734">
        <f t="shared" si="105"/>
        <v>4.6358891999999994</v>
      </c>
      <c r="CJ409" s="1264">
        <f t="shared" si="125"/>
        <v>0.79741404289037643</v>
      </c>
    </row>
    <row r="410" spans="1:88" x14ac:dyDescent="0.2">
      <c r="A410" s="19">
        <v>39994</v>
      </c>
      <c r="B410" s="262">
        <v>0.19839999999999999</v>
      </c>
      <c r="C410" s="262">
        <v>0.81710000000000005</v>
      </c>
      <c r="D410" s="262">
        <v>-0.49930000000000002</v>
      </c>
      <c r="E410" s="262">
        <v>0.62180000000000002</v>
      </c>
      <c r="F410" s="262">
        <v>0.54</v>
      </c>
      <c r="G410" s="262">
        <v>0.70850000000000002</v>
      </c>
      <c r="H410" s="262">
        <v>1.4688000000000001</v>
      </c>
      <c r="I410" s="262">
        <v>3.24</v>
      </c>
      <c r="J410" s="262">
        <v>-0.31530000000000002</v>
      </c>
      <c r="K410" s="262">
        <v>1.4349000000000001</v>
      </c>
      <c r="L410" s="262">
        <v>1.6830000000000001</v>
      </c>
      <c r="M410" s="262">
        <v>1.1850000000000001</v>
      </c>
      <c r="N410" s="262">
        <f t="shared" si="140"/>
        <v>1.4349000000000001</v>
      </c>
      <c r="O410" s="262">
        <f t="shared" si="140"/>
        <v>1.6830000000000001</v>
      </c>
      <c r="P410" s="262">
        <f t="shared" si="140"/>
        <v>1.1850000000000001</v>
      </c>
      <c r="Q410" s="262">
        <v>2.3424100000000001</v>
      </c>
      <c r="R410" s="262">
        <v>1.1332</v>
      </c>
      <c r="S410" s="262">
        <v>0.34</v>
      </c>
      <c r="T410" s="128">
        <f t="shared" si="80"/>
        <v>0.34</v>
      </c>
      <c r="U410" s="262">
        <v>-1.0720000000000001</v>
      </c>
      <c r="V410" s="262">
        <v>1.9750000000000001</v>
      </c>
      <c r="W410" s="262">
        <v>0.56840000000000002</v>
      </c>
      <c r="X410" s="262">
        <v>0.32690000000000002</v>
      </c>
      <c r="Y410" s="262">
        <v>0.46600000000000003</v>
      </c>
      <c r="Z410" s="262" t="e">
        <v>#N/A</v>
      </c>
      <c r="AA410" s="262">
        <v>-0.53951000000000005</v>
      </c>
      <c r="AB410" s="262">
        <v>-0.16739999999999999</v>
      </c>
      <c r="AC410" s="262">
        <v>-0.94310000000000005</v>
      </c>
      <c r="AD410" s="277">
        <v>0.1852</v>
      </c>
      <c r="AE410" s="277">
        <f t="shared" si="135"/>
        <v>0.1852</v>
      </c>
      <c r="AF410" s="277">
        <f t="shared" si="139"/>
        <v>-1.0720000000000001</v>
      </c>
      <c r="AG410" s="277">
        <v>-2.5042</v>
      </c>
      <c r="AH410" s="1329">
        <v>-3.36</v>
      </c>
      <c r="AI410" s="277"/>
      <c r="AJ410" s="277"/>
      <c r="AK410" s="277"/>
      <c r="AL410" s="277"/>
      <c r="AM410" s="268"/>
      <c r="AN410" s="262">
        <v>-1.07</v>
      </c>
      <c r="AO410" s="262">
        <v>-1.0720000000000001</v>
      </c>
      <c r="AP410" s="262"/>
      <c r="AQ410" s="262"/>
      <c r="AR410" s="262"/>
      <c r="AS410" s="262"/>
      <c r="AT410" s="262"/>
      <c r="AU410" s="262"/>
      <c r="AV410" s="510">
        <v>0.36</v>
      </c>
      <c r="AW410" s="510">
        <v>7.0000000000000007E-2</v>
      </c>
      <c r="AX410" s="510">
        <v>7.0000000000000007E-2</v>
      </c>
      <c r="AY410" s="510">
        <v>0.27</v>
      </c>
      <c r="AZ410" s="510"/>
      <c r="BA410" s="510">
        <v>0.19</v>
      </c>
      <c r="BB410" s="510">
        <v>0.04</v>
      </c>
      <c r="BC410" s="510">
        <f t="shared" si="141"/>
        <v>1</v>
      </c>
      <c r="BD410" s="747">
        <f t="shared" si="132"/>
        <v>6.501299999999996E-2</v>
      </c>
      <c r="BE410" s="243">
        <f t="shared" si="133"/>
        <v>7.8393000000000046E-2</v>
      </c>
      <c r="BF410" s="329">
        <v>0.30399999999999999</v>
      </c>
      <c r="BG410" s="329">
        <v>7.0000000000000007E-2</v>
      </c>
      <c r="BH410" s="329"/>
      <c r="BI410" s="329">
        <v>7.0000000000000007E-2</v>
      </c>
      <c r="BJ410" s="329"/>
      <c r="BK410" s="329">
        <v>0.156</v>
      </c>
      <c r="BL410" s="329">
        <v>1.7999999999999999E-2</v>
      </c>
      <c r="BM410" s="329">
        <v>0.24199999999999999</v>
      </c>
      <c r="BN410" s="329">
        <v>0.04</v>
      </c>
      <c r="BO410" s="329">
        <v>0.1</v>
      </c>
      <c r="BP410" s="329">
        <f t="shared" si="136"/>
        <v>1</v>
      </c>
      <c r="BQ410" s="748">
        <f t="shared" si="103"/>
        <v>0.12850540000000002</v>
      </c>
      <c r="BS410" s="615">
        <f t="array" ref="BS410">100*((1+8.5/100)^(1/12)-1)</f>
        <v>0.68214933659622723</v>
      </c>
      <c r="BT410" s="615">
        <f t="array" ref="BT410">100*((1+8.75/100)^(1/12)-1)</f>
        <v>0.70146116041400752</v>
      </c>
      <c r="BU410" s="615">
        <f t="array" ref="BU410">100*((1+9/100)^(1/12)-1)</f>
        <v>0.72073233161367156</v>
      </c>
      <c r="BV410" s="615">
        <f t="array" ref="BV410">100*((1+5/100)^(1/12)-1)</f>
        <v>0.40741237836483535</v>
      </c>
      <c r="BW410" s="615">
        <f t="array" ref="BW410">100*((1+9/100)^(1/12)-1)</f>
        <v>0.72073233161367156</v>
      </c>
      <c r="BX410" s="749">
        <f t="array" ref="BX410">((1+6.75/100)^(1/12)-1)*100</f>
        <v>0.54581304569467637</v>
      </c>
      <c r="BY410" s="615">
        <f t="array" ref="BY410">((1+8.3/100)^(1/12)-1)*100</f>
        <v>0.66667048692337083</v>
      </c>
      <c r="BZ410" s="341">
        <f t="shared" si="137"/>
        <v>0.68967566304480643</v>
      </c>
      <c r="CB410" s="243">
        <f t="shared" si="79"/>
        <v>0.64340301100034303</v>
      </c>
      <c r="CD410" s="243">
        <f t="shared" si="82"/>
        <v>0.64340301100034303</v>
      </c>
      <c r="CG410" s="734">
        <f t="shared" si="105"/>
        <v>0.430786</v>
      </c>
      <c r="CJ410" s="1264">
        <f t="shared" si="125"/>
        <v>0.79741404289037643</v>
      </c>
    </row>
    <row r="411" spans="1:88" x14ac:dyDescent="0.2">
      <c r="A411" s="19">
        <v>40025</v>
      </c>
      <c r="B411" s="262">
        <v>7.5636900000000002</v>
      </c>
      <c r="C411" s="262">
        <v>6.8117000000000001</v>
      </c>
      <c r="D411" s="262">
        <v>8.4213000000000005</v>
      </c>
      <c r="E411" s="262">
        <v>8.7392000000000003</v>
      </c>
      <c r="F411" s="262">
        <v>8.1035000000000004</v>
      </c>
      <c r="G411" s="262">
        <v>9.3943999999999992</v>
      </c>
      <c r="H411" s="262">
        <v>9.6310000000000002</v>
      </c>
      <c r="I411" s="262">
        <v>7.7542999999999997</v>
      </c>
      <c r="J411" s="262">
        <v>11.5642</v>
      </c>
      <c r="K411" s="262">
        <v>10.3254</v>
      </c>
      <c r="L411" s="262">
        <v>9.3184000000000005</v>
      </c>
      <c r="M411" s="262">
        <v>11.3529</v>
      </c>
      <c r="N411" s="262">
        <f t="shared" ref="N411:P412" si="142">K411</f>
        <v>10.3254</v>
      </c>
      <c r="O411" s="262">
        <f t="shared" si="142"/>
        <v>9.3184000000000005</v>
      </c>
      <c r="P411" s="262">
        <f t="shared" si="142"/>
        <v>11.3529</v>
      </c>
      <c r="Q411" s="262">
        <v>7.7691299999999996</v>
      </c>
      <c r="R411" s="262">
        <v>9.0223999999999993</v>
      </c>
      <c r="S411" s="262">
        <v>7.7835999999999999</v>
      </c>
      <c r="T411" s="128">
        <f t="shared" si="80"/>
        <v>7.7835999999999999</v>
      </c>
      <c r="U411" s="262">
        <v>9.8070000000000004</v>
      </c>
      <c r="V411" s="262">
        <v>7.6417999999999999</v>
      </c>
      <c r="W411" s="262">
        <v>1.6133</v>
      </c>
      <c r="X411" s="262">
        <v>1.3744000000000001</v>
      </c>
      <c r="Y411" s="262">
        <v>1.375</v>
      </c>
      <c r="Z411" s="262" t="e">
        <v>#N/A</v>
      </c>
      <c r="AA411" s="262">
        <v>9.1425999999999998</v>
      </c>
      <c r="AB411" s="262">
        <v>8.6014999999999997</v>
      </c>
      <c r="AC411" s="262">
        <v>9.6798999999999999</v>
      </c>
      <c r="AD411" s="277">
        <v>6.15022</v>
      </c>
      <c r="AE411" s="277">
        <f t="shared" ref="AE411:AE416" si="143">AD411</f>
        <v>6.15022</v>
      </c>
      <c r="AF411" s="277">
        <f t="shared" si="139"/>
        <v>9.8070000000000004</v>
      </c>
      <c r="AG411" s="277">
        <v>-1.7628999999999999</v>
      </c>
      <c r="AH411" s="1329">
        <v>10.5</v>
      </c>
      <c r="AI411" s="277"/>
      <c r="AJ411" s="277"/>
      <c r="AK411" s="277"/>
      <c r="AL411" s="277"/>
      <c r="AM411" s="268"/>
      <c r="AN411" s="262">
        <v>9.8065700000000007</v>
      </c>
      <c r="AO411" s="262">
        <v>9.8070000000000004</v>
      </c>
      <c r="AP411" s="262"/>
      <c r="AQ411" s="262"/>
      <c r="AR411" s="262"/>
      <c r="AS411" s="262"/>
      <c r="AT411" s="262"/>
      <c r="AU411" s="262"/>
      <c r="AV411" s="510">
        <v>0.36</v>
      </c>
      <c r="AW411" s="510">
        <v>7.0000000000000007E-2</v>
      </c>
      <c r="AX411" s="510">
        <v>7.0000000000000007E-2</v>
      </c>
      <c r="AY411" s="510">
        <v>0.27</v>
      </c>
      <c r="AZ411" s="510"/>
      <c r="BA411" s="510">
        <v>0.19</v>
      </c>
      <c r="BB411" s="510">
        <v>0.04</v>
      </c>
      <c r="BC411" s="510">
        <f t="shared" si="141"/>
        <v>1</v>
      </c>
      <c r="BD411" s="747">
        <f t="shared" si="132"/>
        <v>6.2858554</v>
      </c>
      <c r="BE411" s="243">
        <f t="shared" si="133"/>
        <v>5.9764208999999999</v>
      </c>
      <c r="BF411" s="329">
        <v>0.30399999999999999</v>
      </c>
      <c r="BG411" s="329">
        <v>7.0000000000000007E-2</v>
      </c>
      <c r="BH411" s="329"/>
      <c r="BI411" s="329">
        <v>7.0000000000000007E-2</v>
      </c>
      <c r="BJ411" s="329"/>
      <c r="BK411" s="329">
        <v>0.156</v>
      </c>
      <c r="BL411" s="329">
        <v>1.7999999999999999E-2</v>
      </c>
      <c r="BM411" s="329">
        <v>0.24199999999999999</v>
      </c>
      <c r="BN411" s="329">
        <v>0.04</v>
      </c>
      <c r="BO411" s="329">
        <v>0.1</v>
      </c>
      <c r="BP411" s="329">
        <f t="shared" ref="BP411:BP416" si="144">SUM(BF411:BO411)</f>
        <v>1</v>
      </c>
      <c r="BQ411" s="748">
        <f t="shared" si="103"/>
        <v>6.2362527600000002</v>
      </c>
      <c r="BS411" s="615">
        <f t="array" ref="BS411">100*((1+8.5/100)^(1/12)-1)</f>
        <v>0.68214933659622723</v>
      </c>
      <c r="BT411" s="615">
        <f t="array" ref="BT411">100*((1+8.75/100)^(1/12)-1)</f>
        <v>0.70146116041400752</v>
      </c>
      <c r="BU411" s="615">
        <f t="array" ref="BU411">100*((1+9/100)^(1/12)-1)</f>
        <v>0.72073233161367156</v>
      </c>
      <c r="BV411" s="615">
        <f t="array" ref="BV411">100*((1+5/100)^(1/12)-1)</f>
        <v>0.40741237836483535</v>
      </c>
      <c r="BW411" s="615">
        <f t="array" ref="BW411">100*((1+9/100)^(1/12)-1)</f>
        <v>0.72073233161367156</v>
      </c>
      <c r="BX411" s="749">
        <f t="array" ref="BX411">((1+6.75/100)^(1/12)-1)*100</f>
        <v>0.54581304569467637</v>
      </c>
      <c r="BY411" s="615">
        <f t="array" ref="BY411">((1+8.3/100)^(1/12)-1)*100</f>
        <v>0.66667048692337083</v>
      </c>
      <c r="BZ411" s="341">
        <f t="shared" ref="BZ411:BZ416" si="145">0.74*BS411+0.13*BT411+0.13*BU411</f>
        <v>0.68967566304480643</v>
      </c>
      <c r="CB411" s="243">
        <f t="shared" si="79"/>
        <v>0.64340301100034303</v>
      </c>
      <c r="CD411" s="243">
        <f t="shared" si="82"/>
        <v>0.64340301100034303</v>
      </c>
      <c r="CG411" s="734">
        <f t="shared" si="105"/>
        <v>8.1149007999999991</v>
      </c>
      <c r="CJ411" s="1264">
        <f t="shared" si="125"/>
        <v>0.79741404289037643</v>
      </c>
    </row>
    <row r="412" spans="1:88" x14ac:dyDescent="0.2">
      <c r="A412" s="19">
        <v>40056</v>
      </c>
      <c r="B412" s="262">
        <v>3.6104099999999999</v>
      </c>
      <c r="C412" s="262">
        <v>1.9716</v>
      </c>
      <c r="D412" s="262">
        <v>5.4484000000000004</v>
      </c>
      <c r="E412" s="262">
        <v>4.3673999999999999</v>
      </c>
      <c r="F412" s="262">
        <v>3.3221500000000002</v>
      </c>
      <c r="G412" s="262">
        <v>5.4279999999999999</v>
      </c>
      <c r="H412" s="262">
        <v>2.8675000000000002</v>
      </c>
      <c r="I412" s="262">
        <v>0.97629999999999995</v>
      </c>
      <c r="J412" s="262">
        <v>4.7329999999999997</v>
      </c>
      <c r="K412" s="262">
        <v>2.2881999999999998</v>
      </c>
      <c r="L412" s="262">
        <v>1.2607999999999999</v>
      </c>
      <c r="M412" s="262">
        <v>3.3153000000000001</v>
      </c>
      <c r="N412" s="262">
        <f t="shared" si="142"/>
        <v>2.2881999999999998</v>
      </c>
      <c r="O412" s="262">
        <f t="shared" si="142"/>
        <v>1.2607999999999999</v>
      </c>
      <c r="P412" s="262">
        <f t="shared" si="142"/>
        <v>3.3153000000000001</v>
      </c>
      <c r="Q412" s="262">
        <v>2.0377999999999998</v>
      </c>
      <c r="R412" s="262">
        <v>4.0853999999999999</v>
      </c>
      <c r="S412" s="262">
        <v>3.5731999999999999</v>
      </c>
      <c r="T412" s="128">
        <f t="shared" si="80"/>
        <v>3.5731999999999999</v>
      </c>
      <c r="U412" s="262">
        <v>3.7210000000000001</v>
      </c>
      <c r="V412" s="262">
        <v>8.0949000000000009</v>
      </c>
      <c r="W412" s="262">
        <v>1.0354000000000001</v>
      </c>
      <c r="X412" s="262">
        <v>0.91979999999999995</v>
      </c>
      <c r="Y412" s="262">
        <v>0.99099999999999999</v>
      </c>
      <c r="Z412" s="262" t="e">
        <v>#N/A</v>
      </c>
      <c r="AA412" s="262">
        <v>5.45146</v>
      </c>
      <c r="AB412" s="262">
        <v>3.2456</v>
      </c>
      <c r="AC412" s="262">
        <v>7.6124999999999998</v>
      </c>
      <c r="AD412" s="277">
        <v>3.18397</v>
      </c>
      <c r="AE412" s="277">
        <f t="shared" si="143"/>
        <v>3.18397</v>
      </c>
      <c r="AF412" s="277">
        <f t="shared" si="139"/>
        <v>3.7210000000000001</v>
      </c>
      <c r="AG412" s="277">
        <v>-1.7628999999999999</v>
      </c>
      <c r="AH412" s="1329">
        <v>14.68</v>
      </c>
      <c r="AI412" s="277"/>
      <c r="AJ412" s="277"/>
      <c r="AK412" s="277"/>
      <c r="AL412" s="277"/>
      <c r="AM412" s="268"/>
      <c r="AN412" s="262">
        <v>3.7208899999999998</v>
      </c>
      <c r="AO412" s="262">
        <v>3.7210000000000001</v>
      </c>
      <c r="AP412" s="262"/>
      <c r="AQ412" s="262"/>
      <c r="AR412" s="262"/>
      <c r="AS412" s="262"/>
      <c r="AT412" s="262"/>
      <c r="AU412" s="262"/>
      <c r="AV412" s="510">
        <v>0.36</v>
      </c>
      <c r="AW412" s="510">
        <v>7.0000000000000007E-2</v>
      </c>
      <c r="AX412" s="510">
        <v>7.0000000000000007E-2</v>
      </c>
      <c r="AY412" s="510">
        <v>0.27</v>
      </c>
      <c r="AZ412" s="510"/>
      <c r="BA412" s="510">
        <v>0.19</v>
      </c>
      <c r="BB412" s="510">
        <v>0.04</v>
      </c>
      <c r="BC412" s="510">
        <f t="shared" si="141"/>
        <v>1</v>
      </c>
      <c r="BD412" s="747">
        <f t="shared" si="132"/>
        <v>2.6816716</v>
      </c>
      <c r="BE412" s="243">
        <f t="shared" si="133"/>
        <v>2.5507011000000004</v>
      </c>
      <c r="BF412" s="329">
        <v>0.30399999999999999</v>
      </c>
      <c r="BG412" s="329">
        <v>7.0000000000000007E-2</v>
      </c>
      <c r="BH412" s="329"/>
      <c r="BI412" s="329">
        <v>7.0000000000000007E-2</v>
      </c>
      <c r="BJ412" s="329"/>
      <c r="BK412" s="329">
        <v>0.156</v>
      </c>
      <c r="BL412" s="329">
        <v>1.7999999999999999E-2</v>
      </c>
      <c r="BM412" s="329">
        <v>0.24199999999999999</v>
      </c>
      <c r="BN412" s="329">
        <v>0.04</v>
      </c>
      <c r="BO412" s="329">
        <v>0.1</v>
      </c>
      <c r="BP412" s="329">
        <f t="shared" si="144"/>
        <v>1</v>
      </c>
      <c r="BQ412" s="748">
        <f t="shared" si="103"/>
        <v>2.7880886400000002</v>
      </c>
      <c r="BS412" s="615">
        <f t="array" ref="BS412">100*((1+8.5/100)^(1/12)-1)</f>
        <v>0.68214933659622723</v>
      </c>
      <c r="BT412" s="615">
        <f t="array" ref="BT412">100*((1+8.75/100)^(1/12)-1)</f>
        <v>0.70146116041400752</v>
      </c>
      <c r="BU412" s="615">
        <f t="array" ref="BU412">100*((1+9/100)^(1/12)-1)</f>
        <v>0.72073233161367156</v>
      </c>
      <c r="BV412" s="615">
        <f t="array" ref="BV412">100*((1+5/100)^(1/12)-1)</f>
        <v>0.40741237836483535</v>
      </c>
      <c r="BW412" s="615">
        <f t="array" ref="BW412">100*((1+9/100)^(1/12)-1)</f>
        <v>0.72073233161367156</v>
      </c>
      <c r="BX412" s="749">
        <f t="array" ref="BX412">((1+6.75/100)^(1/12)-1)*100</f>
        <v>0.54581304569467637</v>
      </c>
      <c r="BY412" s="615">
        <f t="array" ref="BY412">((1+8.3/100)^(1/12)-1)*100</f>
        <v>0.66667048692337083</v>
      </c>
      <c r="BZ412" s="341">
        <f t="shared" si="145"/>
        <v>0.68967566304480643</v>
      </c>
      <c r="CB412" s="243">
        <f t="shared" si="79"/>
        <v>0.64340301100034303</v>
      </c>
      <c r="CD412" s="243">
        <f t="shared" si="82"/>
        <v>0.64340301100034303</v>
      </c>
      <c r="CG412" s="734">
        <f t="shared" si="105"/>
        <v>3.5312792000000002</v>
      </c>
      <c r="CJ412" s="1264">
        <f t="shared" si="125"/>
        <v>0.79741404289037643</v>
      </c>
    </row>
    <row r="413" spans="1:88" x14ac:dyDescent="0.2">
      <c r="A413" s="19">
        <v>40086</v>
      </c>
      <c r="B413" s="262">
        <v>3.7315299999999998</v>
      </c>
      <c r="C413" s="262">
        <v>4.2603</v>
      </c>
      <c r="D413" s="262">
        <v>3.1595</v>
      </c>
      <c r="E413" s="262">
        <v>5.7218</v>
      </c>
      <c r="F413" s="262">
        <v>6.13354</v>
      </c>
      <c r="G413" s="262">
        <v>5.3151999999999999</v>
      </c>
      <c r="H413" s="262">
        <v>5.7676999999999996</v>
      </c>
      <c r="I413" s="262">
        <v>6.5662000000000003</v>
      </c>
      <c r="J413" s="262">
        <v>5.0153999999999996</v>
      </c>
      <c r="K413" s="262">
        <v>5.1474000000000002</v>
      </c>
      <c r="L413" s="262">
        <v>5.9104000000000001</v>
      </c>
      <c r="M413" s="262">
        <v>4.3956999999999997</v>
      </c>
      <c r="N413" s="262">
        <f t="shared" ref="N413:P414" si="146">K413</f>
        <v>5.1474000000000002</v>
      </c>
      <c r="O413" s="262">
        <f t="shared" si="146"/>
        <v>5.9104000000000001</v>
      </c>
      <c r="P413" s="262">
        <f t="shared" si="146"/>
        <v>4.3956999999999997</v>
      </c>
      <c r="Q413" s="262">
        <v>6.5520399999999999</v>
      </c>
      <c r="R413" s="262">
        <v>5.8019999999999996</v>
      </c>
      <c r="S413" s="262">
        <v>4.1896000000000004</v>
      </c>
      <c r="T413" s="128">
        <f t="shared" si="80"/>
        <v>4.1896000000000004</v>
      </c>
      <c r="U413" s="262">
        <v>5.1580000000000004</v>
      </c>
      <c r="V413" s="262">
        <v>5.0058999999999996</v>
      </c>
      <c r="W413" s="262">
        <v>1.0507</v>
      </c>
      <c r="X413" s="262">
        <v>0.88700000000000001</v>
      </c>
      <c r="Y413" s="262">
        <v>0.85399999999999998</v>
      </c>
      <c r="Z413" s="262" t="e">
        <v>#N/A</v>
      </c>
      <c r="AA413" s="262">
        <v>3.8477600000000001</v>
      </c>
      <c r="AB413" s="262">
        <v>4.1612</v>
      </c>
      <c r="AC413" s="262">
        <v>3.5325000000000002</v>
      </c>
      <c r="AD413" s="277">
        <v>2.9994900000000002</v>
      </c>
      <c r="AE413" s="277">
        <f t="shared" si="143"/>
        <v>2.9994900000000002</v>
      </c>
      <c r="AF413" s="277">
        <f t="shared" ref="AF413:AF419" si="147">U413</f>
        <v>5.1580000000000004</v>
      </c>
      <c r="AG413" s="277">
        <v>-1.7628999999999999</v>
      </c>
      <c r="AH413" s="1329">
        <v>7.26</v>
      </c>
      <c r="AI413" s="277"/>
      <c r="AJ413" s="277"/>
      <c r="AK413" s="277"/>
      <c r="AL413" s="277"/>
      <c r="AM413" s="268"/>
      <c r="AN413" s="262">
        <v>5.1576899999999997</v>
      </c>
      <c r="AO413" s="262">
        <v>5.1580000000000004</v>
      </c>
      <c r="AP413" s="262"/>
      <c r="AQ413" s="262"/>
      <c r="AR413" s="262"/>
      <c r="AS413" s="262"/>
      <c r="AT413" s="262"/>
      <c r="AU413" s="262"/>
      <c r="AV413" s="510">
        <v>0.36</v>
      </c>
      <c r="AW413" s="510">
        <v>7.0000000000000007E-2</v>
      </c>
      <c r="AX413" s="510">
        <v>7.0000000000000007E-2</v>
      </c>
      <c r="AY413" s="510">
        <v>0.27</v>
      </c>
      <c r="AZ413" s="510"/>
      <c r="BA413" s="510">
        <v>0.19</v>
      </c>
      <c r="BB413" s="510">
        <v>0.04</v>
      </c>
      <c r="BC413" s="510">
        <f t="shared" si="141"/>
        <v>1</v>
      </c>
      <c r="BD413" s="747">
        <f t="shared" si="132"/>
        <v>3.2973877999999996</v>
      </c>
      <c r="BE413" s="243">
        <f t="shared" si="133"/>
        <v>3.1535113000000004</v>
      </c>
      <c r="BF413" s="329">
        <v>0.30399999999999999</v>
      </c>
      <c r="BG413" s="329">
        <v>7.0000000000000007E-2</v>
      </c>
      <c r="BH413" s="329"/>
      <c r="BI413" s="329">
        <v>7.0000000000000007E-2</v>
      </c>
      <c r="BJ413" s="329"/>
      <c r="BK413" s="329">
        <v>0.156</v>
      </c>
      <c r="BL413" s="329">
        <v>1.7999999999999999E-2</v>
      </c>
      <c r="BM413" s="329">
        <v>0.24199999999999999</v>
      </c>
      <c r="BN413" s="329">
        <v>0.04</v>
      </c>
      <c r="BO413" s="329">
        <v>0.1</v>
      </c>
      <c r="BP413" s="329">
        <f t="shared" si="144"/>
        <v>1</v>
      </c>
      <c r="BQ413" s="748">
        <f t="shared" ref="BQ413:BQ446" si="148">(BF413*B413)+(BG413*E413)+(BI413*K413)+(BK413*U413)+(BL413*V413)+(BM413*W413)+(BN413*AG413)+(BO413*AE413)</f>
        <v>3.2736857200000005</v>
      </c>
      <c r="BS413" s="615">
        <f t="array" ref="BS413">100*((1+8.5/100)^(1/12)-1)</f>
        <v>0.68214933659622723</v>
      </c>
      <c r="BT413" s="615">
        <f t="array" ref="BT413">100*((1+8.75/100)^(1/12)-1)</f>
        <v>0.70146116041400752</v>
      </c>
      <c r="BU413" s="615">
        <f t="array" ref="BU413">100*((1+9/100)^(1/12)-1)</f>
        <v>0.72073233161367156</v>
      </c>
      <c r="BV413" s="615">
        <f t="array" ref="BV413">100*((1+5/100)^(1/12)-1)</f>
        <v>0.40741237836483535</v>
      </c>
      <c r="BW413" s="615">
        <f t="array" ref="BW413">100*((1+9/100)^(1/12)-1)</f>
        <v>0.72073233161367156</v>
      </c>
      <c r="BX413" s="749">
        <f t="array" ref="BX413">((1+6.75/100)^(1/12)-1)*100</f>
        <v>0.54581304569467637</v>
      </c>
      <c r="BY413" s="615">
        <f t="array" ref="BY413">((1+8.3/100)^(1/12)-1)*100</f>
        <v>0.66667048692337083</v>
      </c>
      <c r="BZ413" s="341">
        <f t="shared" si="145"/>
        <v>0.68967566304480643</v>
      </c>
      <c r="CB413" s="243">
        <f t="shared" si="79"/>
        <v>0.64340301100034303</v>
      </c>
      <c r="CD413" s="243">
        <f t="shared" si="82"/>
        <v>0.64340301100034303</v>
      </c>
      <c r="CG413" s="734">
        <f t="shared" ref="CG413:CG446" si="149">B413*(AV413/SUM(AV413:AX413))+E413*(AW413/SUM(AV413:AX413))+K413*(AX413/SUM(AV413:AX413))</f>
        <v>4.2083895999999994</v>
      </c>
      <c r="CJ413" s="1264">
        <f t="shared" si="125"/>
        <v>0.79741404289037643</v>
      </c>
    </row>
    <row r="414" spans="1:88" x14ac:dyDescent="0.2">
      <c r="A414" s="19">
        <v>40117</v>
      </c>
      <c r="B414" s="262">
        <v>-1.85768</v>
      </c>
      <c r="C414" s="262">
        <v>-0.24</v>
      </c>
      <c r="D414" s="262">
        <v>-3.62</v>
      </c>
      <c r="E414" s="262">
        <v>-4.54</v>
      </c>
      <c r="F414" s="262">
        <v>-3.4141400000000002</v>
      </c>
      <c r="G414" s="262">
        <v>-5.65</v>
      </c>
      <c r="H414" s="1283">
        <v>-6.79</v>
      </c>
      <c r="I414" s="1283">
        <v>-6.95</v>
      </c>
      <c r="J414" s="1283">
        <v>-6.64</v>
      </c>
      <c r="K414" s="262">
        <v>-5.69</v>
      </c>
      <c r="L414" s="1283">
        <v>-5.07</v>
      </c>
      <c r="M414" s="1283">
        <v>-6.32</v>
      </c>
      <c r="N414" s="262">
        <f t="shared" si="146"/>
        <v>-5.69</v>
      </c>
      <c r="O414" s="262">
        <f t="shared" si="146"/>
        <v>-5.07</v>
      </c>
      <c r="P414" s="262">
        <f t="shared" si="146"/>
        <v>-6.32</v>
      </c>
      <c r="Q414" s="262">
        <v>-5.4961599999999997</v>
      </c>
      <c r="R414" s="262">
        <v>-5.79</v>
      </c>
      <c r="S414" s="1283">
        <v>-2.57</v>
      </c>
      <c r="T414" s="128">
        <f t="shared" si="80"/>
        <v>-2.57</v>
      </c>
      <c r="U414" s="262">
        <v>-1.23</v>
      </c>
      <c r="V414" s="262">
        <v>-1.77</v>
      </c>
      <c r="W414" s="262">
        <v>0.49</v>
      </c>
      <c r="X414" s="1283">
        <v>0.44</v>
      </c>
      <c r="Y414" s="262">
        <v>0.443</v>
      </c>
      <c r="Z414" s="262" t="e">
        <v>#N/A</v>
      </c>
      <c r="AA414" s="262">
        <v>-1.2449699999999999</v>
      </c>
      <c r="AB414" s="262"/>
      <c r="AC414" s="1283">
        <v>-2.3199999999999998</v>
      </c>
      <c r="AD414" s="277">
        <v>-1.10121</v>
      </c>
      <c r="AE414" s="277">
        <f t="shared" si="143"/>
        <v>-1.10121</v>
      </c>
      <c r="AF414" s="277">
        <f t="shared" si="147"/>
        <v>-1.23</v>
      </c>
      <c r="AG414" s="277">
        <v>-5.2</v>
      </c>
      <c r="AH414" s="1329">
        <v>-4.8600000000000003</v>
      </c>
      <c r="AI414" s="277">
        <v>1.8</v>
      </c>
      <c r="AJ414" s="277"/>
      <c r="AK414" s="277"/>
      <c r="AL414" s="277"/>
      <c r="AM414" s="268"/>
      <c r="AN414" s="262">
        <v>-1.22994</v>
      </c>
      <c r="AO414" s="262">
        <v>-1.23</v>
      </c>
      <c r="AP414" s="262"/>
      <c r="AQ414" s="262"/>
      <c r="AR414" s="262"/>
      <c r="AS414" s="262"/>
      <c r="AT414" s="262"/>
      <c r="AU414" s="262"/>
      <c r="AV414" s="510">
        <v>0.36</v>
      </c>
      <c r="AW414" s="510">
        <v>7.0000000000000007E-2</v>
      </c>
      <c r="AX414" s="510">
        <v>7.0000000000000007E-2</v>
      </c>
      <c r="AY414" s="510">
        <v>0.27</v>
      </c>
      <c r="AZ414" s="510"/>
      <c r="BA414" s="510">
        <v>0.19</v>
      </c>
      <c r="BB414" s="510">
        <v>0.04</v>
      </c>
      <c r="BC414" s="510">
        <f t="shared" si="141"/>
        <v>1</v>
      </c>
      <c r="BD414" s="747">
        <f t="shared" si="132"/>
        <v>-1.6942648</v>
      </c>
      <c r="BE414" s="243">
        <f t="shared" si="133"/>
        <v>-1.5792308000000002</v>
      </c>
      <c r="BF414" s="329">
        <v>0.30399999999999999</v>
      </c>
      <c r="BG414" s="329">
        <v>7.0000000000000007E-2</v>
      </c>
      <c r="BH414" s="329"/>
      <c r="BI414" s="329">
        <v>7.0000000000000007E-2</v>
      </c>
      <c r="BJ414" s="329"/>
      <c r="BK414" s="329">
        <v>0.156</v>
      </c>
      <c r="BL414" s="329">
        <v>1.7999999999999999E-2</v>
      </c>
      <c r="BM414" s="329">
        <v>0.24199999999999999</v>
      </c>
      <c r="BN414" s="329">
        <v>0.04</v>
      </c>
      <c r="BO414" s="329">
        <v>0.1</v>
      </c>
      <c r="BP414" s="329">
        <f t="shared" si="144"/>
        <v>1</v>
      </c>
      <c r="BQ414" s="748">
        <f t="shared" si="148"/>
        <v>-1.7041157200000001</v>
      </c>
      <c r="BS414" s="1322">
        <f t="array" ref="BS414">100*((1+8.5/100)^(1/12)-1)</f>
        <v>0.68214933659622723</v>
      </c>
      <c r="BT414" s="1322">
        <f t="array" ref="BT414">100*((1+8.75/100)^(1/12)-1)</f>
        <v>0.70146116041400752</v>
      </c>
      <c r="BU414" s="1322">
        <f t="array" ref="BU414">100*((1+9/100)^(1/12)-1)</f>
        <v>0.72073233161367156</v>
      </c>
      <c r="BV414" s="1322">
        <f t="array" ref="BV414">100*((1+5/100)^(1/12)-1)</f>
        <v>0.40741237836483535</v>
      </c>
      <c r="BW414" s="1322">
        <f t="array" ref="BW414">100*((1+9/100)^(1/12)-1)</f>
        <v>0.72073233161367156</v>
      </c>
      <c r="BX414" s="343">
        <f t="array" ref="BX414">((1+6.75/100)^(1/12)-1)*100</f>
        <v>0.54581304569467637</v>
      </c>
      <c r="BY414" s="1322">
        <f t="array" ref="BY414">((1+8.3/100)^(1/12)-1)*100</f>
        <v>0.66667048692337083</v>
      </c>
      <c r="BZ414" s="341">
        <f t="shared" si="145"/>
        <v>0.68967566304480643</v>
      </c>
      <c r="CB414" s="243">
        <f t="shared" si="79"/>
        <v>0.64340301100034303</v>
      </c>
      <c r="CD414" s="243">
        <f t="shared" si="82"/>
        <v>0.64340301100034303</v>
      </c>
      <c r="CG414" s="734">
        <f t="shared" si="149"/>
        <v>-2.7697296000000002</v>
      </c>
      <c r="CJ414" s="1264">
        <f t="shared" si="125"/>
        <v>0.79741404289037643</v>
      </c>
    </row>
    <row r="415" spans="1:88" x14ac:dyDescent="0.2">
      <c r="A415" s="19">
        <v>40147</v>
      </c>
      <c r="B415" s="1266">
        <v>5.9983500000000003</v>
      </c>
      <c r="C415" s="1266">
        <v>5.7679999999999998</v>
      </c>
      <c r="D415" s="1266">
        <v>6.26</v>
      </c>
      <c r="E415" s="1266">
        <v>4.0519999999999996</v>
      </c>
      <c r="F415" s="262">
        <v>3.6262599999999998</v>
      </c>
      <c r="G415" s="1266">
        <v>4.47</v>
      </c>
      <c r="H415" s="1266">
        <v>3.1389999999999998</v>
      </c>
      <c r="I415" s="1266">
        <v>3.0939999999999999</v>
      </c>
      <c r="J415" s="1266">
        <v>3.1819999999999999</v>
      </c>
      <c r="K415" s="1266">
        <v>2.6070000000000002</v>
      </c>
      <c r="L415" s="1266">
        <v>2.6070000000000002</v>
      </c>
      <c r="M415" s="1266">
        <v>3.1040000000000001</v>
      </c>
      <c r="N415" s="262">
        <f t="shared" ref="N415:N422" si="150">K415</f>
        <v>2.6070000000000002</v>
      </c>
      <c r="O415" s="262">
        <f t="shared" ref="O415:P417" si="151">L415</f>
        <v>2.6070000000000002</v>
      </c>
      <c r="P415" s="262">
        <f t="shared" si="151"/>
        <v>3.1040000000000001</v>
      </c>
      <c r="Q415" s="1301">
        <v>3.7098200000000001</v>
      </c>
      <c r="R415" s="1266">
        <v>4.0330000000000004</v>
      </c>
      <c r="S415" s="1266">
        <v>5.6820000000000004</v>
      </c>
      <c r="T415" s="128">
        <f t="shared" si="80"/>
        <v>5.6820000000000004</v>
      </c>
      <c r="U415" s="1266">
        <v>2.8889999999999998</v>
      </c>
      <c r="V415" s="262">
        <v>1.2999999999999999E-2</v>
      </c>
      <c r="W415" s="262">
        <v>1.294</v>
      </c>
      <c r="X415" s="1266">
        <v>1.222</v>
      </c>
      <c r="Y415" s="1301">
        <v>1.3420000000000001</v>
      </c>
      <c r="Z415" s="262" t="e">
        <v>#N/A</v>
      </c>
      <c r="AA415" s="1266">
        <v>2.02684</v>
      </c>
      <c r="AB415" s="262"/>
      <c r="AC415" s="1266">
        <v>1.764</v>
      </c>
      <c r="AD415" s="277">
        <v>4.0458299999999996</v>
      </c>
      <c r="AE415" s="277">
        <f t="shared" si="143"/>
        <v>4.0458299999999996</v>
      </c>
      <c r="AF415" s="277">
        <f t="shared" si="147"/>
        <v>2.8889999999999998</v>
      </c>
      <c r="AG415" s="277">
        <v>-5.2</v>
      </c>
      <c r="AH415" s="1305">
        <v>7.08</v>
      </c>
      <c r="AI415" s="1266">
        <v>1.01</v>
      </c>
      <c r="AJ415" s="1266"/>
      <c r="AK415" s="1266"/>
      <c r="AL415" s="1266"/>
      <c r="AM415" s="268"/>
      <c r="AN415" s="1266">
        <v>2.88869</v>
      </c>
      <c r="AO415" s="1266">
        <v>2.8889999999999998</v>
      </c>
      <c r="AP415" s="1266"/>
      <c r="AQ415" s="1266"/>
      <c r="AR415" s="1266"/>
      <c r="AS415" s="1266"/>
      <c r="AT415" s="1266"/>
      <c r="AU415" s="1266"/>
      <c r="AV415" s="510">
        <v>0.36</v>
      </c>
      <c r="AW415" s="510">
        <v>7.0000000000000007E-2</v>
      </c>
      <c r="AX415" s="510">
        <v>7.0000000000000007E-2</v>
      </c>
      <c r="AY415" s="510">
        <v>0.27</v>
      </c>
      <c r="AZ415" s="510"/>
      <c r="BA415" s="510">
        <v>0.19</v>
      </c>
      <c r="BB415" s="510">
        <v>0.04</v>
      </c>
      <c r="BC415" s="510">
        <f t="shared" ref="BC415:BC420" si="152">SUM(AV415:BB415)</f>
        <v>1</v>
      </c>
      <c r="BD415" s="747">
        <f t="shared" si="132"/>
        <v>3.3158260000000004</v>
      </c>
      <c r="BE415" s="243">
        <f t="shared" si="133"/>
        <v>3.0830085</v>
      </c>
      <c r="BF415" s="329">
        <v>0.30399999999999999</v>
      </c>
      <c r="BG415" s="329">
        <v>7.0000000000000007E-2</v>
      </c>
      <c r="BH415" s="329"/>
      <c r="BI415" s="329">
        <v>7.0000000000000007E-2</v>
      </c>
      <c r="BJ415" s="329"/>
      <c r="BK415" s="329">
        <v>0.156</v>
      </c>
      <c r="BL415" s="329">
        <v>1.7999999999999999E-2</v>
      </c>
      <c r="BM415" s="329">
        <v>0.24199999999999999</v>
      </c>
      <c r="BN415" s="329">
        <v>0.04</v>
      </c>
      <c r="BO415" s="329">
        <v>0.1</v>
      </c>
      <c r="BP415" s="329">
        <f t="shared" si="144"/>
        <v>1</v>
      </c>
      <c r="BQ415" s="748">
        <f t="shared" si="148"/>
        <v>3.2502773999999999</v>
      </c>
      <c r="BS415" s="615">
        <f t="array" ref="BS415">100*((1+8.5/100)^(1/12)-1)</f>
        <v>0.68214933659622723</v>
      </c>
      <c r="BT415" s="615">
        <f t="array" ref="BT415">100*((1+8.75/100)^(1/12)-1)</f>
        <v>0.70146116041400752</v>
      </c>
      <c r="BU415" s="615">
        <f t="array" ref="BU415">100*((1+9/100)^(1/12)-1)</f>
        <v>0.72073233161367156</v>
      </c>
      <c r="BV415" s="615">
        <f t="array" ref="BV415">100*((1+5/100)^(1/12)-1)</f>
        <v>0.40741237836483535</v>
      </c>
      <c r="BW415" s="615">
        <f t="array" ref="BW415">100*((1+9/100)^(1/12)-1)</f>
        <v>0.72073233161367156</v>
      </c>
      <c r="BX415" s="749">
        <f t="array" ref="BX415">((1+6.75/100)^(1/12)-1)*100</f>
        <v>0.54581304569467637</v>
      </c>
      <c r="BY415" s="615">
        <f t="shared" ref="BY415:BY446" si="153">((1+9.33/100)^(1/12)-1)*100</f>
        <v>0.74610833265813525</v>
      </c>
      <c r="BZ415" s="341">
        <f t="shared" si="145"/>
        <v>0.68967566304480643</v>
      </c>
      <c r="CB415" s="243">
        <f t="shared" si="79"/>
        <v>0.64340301100034303</v>
      </c>
      <c r="CD415" s="243">
        <f t="shared" si="82"/>
        <v>0.64340301100034303</v>
      </c>
      <c r="CG415" s="734">
        <f t="shared" si="149"/>
        <v>5.2510720000000006</v>
      </c>
      <c r="CJ415" s="1264">
        <f t="shared" si="125"/>
        <v>0.79741404289037643</v>
      </c>
    </row>
    <row r="416" spans="1:88" x14ac:dyDescent="0.2">
      <c r="A416" s="19">
        <v>40178</v>
      </c>
      <c r="B416" s="262">
        <v>1.9315100000000001</v>
      </c>
      <c r="C416" s="262">
        <v>2.1268199999999999</v>
      </c>
      <c r="D416" s="262">
        <v>1.7642</v>
      </c>
      <c r="E416" s="262">
        <v>6.2750700000000004</v>
      </c>
      <c r="F416" s="262">
        <v>5.5357200000000004</v>
      </c>
      <c r="G416" s="262">
        <v>6.9892200000000004</v>
      </c>
      <c r="H416" s="262">
        <v>8.04941</v>
      </c>
      <c r="I416" s="262">
        <v>8.5572199999999992</v>
      </c>
      <c r="J416" s="262">
        <v>7.5740600000000002</v>
      </c>
      <c r="K416" s="262">
        <v>8.6332100000000001</v>
      </c>
      <c r="L416" s="262">
        <v>9.1441599999999994</v>
      </c>
      <c r="M416" s="262">
        <v>8.1142800000000008</v>
      </c>
      <c r="N416" s="262">
        <f t="shared" si="150"/>
        <v>8.6332100000000001</v>
      </c>
      <c r="O416" s="262">
        <f t="shared" si="151"/>
        <v>9.1441599999999994</v>
      </c>
      <c r="P416" s="262">
        <f t="shared" si="151"/>
        <v>8.1142800000000008</v>
      </c>
      <c r="Q416" s="262">
        <v>7.71251</v>
      </c>
      <c r="R416" s="262">
        <v>7.21028</v>
      </c>
      <c r="S416" s="262">
        <v>2.8497300000000001</v>
      </c>
      <c r="T416" s="128">
        <f t="shared" si="80"/>
        <v>2.8497300000000001</v>
      </c>
      <c r="U416" s="262">
        <v>2.129</v>
      </c>
      <c r="V416" s="262">
        <v>0.76</v>
      </c>
      <c r="W416" s="262">
        <v>-1.56351</v>
      </c>
      <c r="X416" s="262">
        <v>-1.52</v>
      </c>
      <c r="Y416" s="262">
        <v>-1.4590000000000001</v>
      </c>
      <c r="Z416" s="262" t="e">
        <v>#N/A</v>
      </c>
      <c r="AA416" s="262">
        <v>1.4532499999999999</v>
      </c>
      <c r="AB416" s="262"/>
      <c r="AC416" s="262">
        <v>0.91237000000000001</v>
      </c>
      <c r="AD416" s="277">
        <v>0.87638000000000005</v>
      </c>
      <c r="AE416" s="277">
        <f t="shared" si="143"/>
        <v>0.87638000000000005</v>
      </c>
      <c r="AF416" s="277">
        <f t="shared" si="147"/>
        <v>2.129</v>
      </c>
      <c r="AG416" s="277">
        <v>-5.2</v>
      </c>
      <c r="AH416" s="1329">
        <v>6.93</v>
      </c>
      <c r="AI416" s="277">
        <v>3.28</v>
      </c>
      <c r="AJ416" s="277"/>
      <c r="AK416" s="277"/>
      <c r="AL416" s="277"/>
      <c r="AM416" s="268"/>
      <c r="AN416" s="262">
        <v>2.1277400000000002</v>
      </c>
      <c r="AO416" s="262">
        <v>2.129</v>
      </c>
      <c r="AP416" s="262"/>
      <c r="AQ416" s="262"/>
      <c r="AR416" s="262"/>
      <c r="AS416" s="262"/>
      <c r="AT416" s="262"/>
      <c r="AU416" s="262"/>
      <c r="AV416" s="510">
        <v>0.36</v>
      </c>
      <c r="AW416" s="510">
        <v>7.0000000000000007E-2</v>
      </c>
      <c r="AX416" s="510">
        <v>7.0000000000000007E-2</v>
      </c>
      <c r="AY416" s="510">
        <v>0.27</v>
      </c>
      <c r="AZ416" s="245"/>
      <c r="BA416" s="510">
        <v>0.19</v>
      </c>
      <c r="BB416" s="510">
        <v>0.04</v>
      </c>
      <c r="BC416" s="510">
        <f t="shared" si="152"/>
        <v>1</v>
      </c>
      <c r="BD416" s="747">
        <f t="shared" si="132"/>
        <v>1.5132855000000001</v>
      </c>
      <c r="BE416" s="243">
        <f t="shared" si="133"/>
        <v>1.3437600000000001</v>
      </c>
      <c r="BF416" s="329">
        <v>0.30399999999999999</v>
      </c>
      <c r="BG416" s="329">
        <v>7.0000000000000007E-2</v>
      </c>
      <c r="BH416" s="329"/>
      <c r="BI416" s="329">
        <v>7.0000000000000007E-2</v>
      </c>
      <c r="BJ416" s="329"/>
      <c r="BK416" s="329">
        <v>0.156</v>
      </c>
      <c r="BL416" s="329">
        <v>1.7999999999999999E-2</v>
      </c>
      <c r="BM416" s="329">
        <v>0.24199999999999999</v>
      </c>
      <c r="BN416" s="329">
        <v>0.04</v>
      </c>
      <c r="BO416" s="329">
        <v>0.1</v>
      </c>
      <c r="BP416" s="329">
        <f t="shared" si="144"/>
        <v>1</v>
      </c>
      <c r="BQ416" s="748">
        <f t="shared" si="148"/>
        <v>1.4778312200000003</v>
      </c>
      <c r="BS416" s="615">
        <f t="array" ref="BS416">100*((1+8.5/100)^(1/12)-1)</f>
        <v>0.68214933659622723</v>
      </c>
      <c r="BT416" s="615">
        <f t="array" ref="BT416">100*((1+8.75/100)^(1/12)-1)</f>
        <v>0.70146116041400752</v>
      </c>
      <c r="BU416" s="615">
        <f t="array" ref="BU416">100*((1+9/100)^(1/12)-1)</f>
        <v>0.72073233161367156</v>
      </c>
      <c r="BV416" s="615">
        <f t="array" ref="BV416">100*((1+5/100)^(1/12)-1)</f>
        <v>0.40741237836483535</v>
      </c>
      <c r="BW416" s="615">
        <f t="array" ref="BW416">100*((1+9/100)^(1/12)-1)</f>
        <v>0.72073233161367156</v>
      </c>
      <c r="BX416" s="749">
        <f t="array" ref="BX416">((1+6.75/100)^(1/12)-1)*100</f>
        <v>0.54581304569467637</v>
      </c>
      <c r="BY416" s="615">
        <f t="shared" si="153"/>
        <v>0.74610833265813525</v>
      </c>
      <c r="BZ416" s="341">
        <f t="shared" si="145"/>
        <v>0.68967566304480643</v>
      </c>
      <c r="CB416" s="243">
        <f t="shared" si="79"/>
        <v>0.64340301100034303</v>
      </c>
      <c r="CD416" s="243">
        <f t="shared" si="82"/>
        <v>0.64340301100034303</v>
      </c>
      <c r="CG416" s="734">
        <f t="shared" si="149"/>
        <v>3.4778464000000002</v>
      </c>
      <c r="CJ416" s="1264">
        <f t="shared" si="125"/>
        <v>0.79741404289037643</v>
      </c>
    </row>
    <row r="417" spans="1:88" x14ac:dyDescent="0.2">
      <c r="A417" s="19">
        <v>40209</v>
      </c>
      <c r="B417" s="262">
        <v>-3.59734</v>
      </c>
      <c r="C417" s="262">
        <v>-5.1482900000000003</v>
      </c>
      <c r="D417" s="262">
        <v>-2.0173800000000002</v>
      </c>
      <c r="E417" s="262">
        <v>-3.2151999999999998</v>
      </c>
      <c r="F417" s="262">
        <v>-3.8971900000000002</v>
      </c>
      <c r="G417" s="262">
        <v>-2.5333199999999998</v>
      </c>
      <c r="H417" s="262">
        <v>-3.6811500000000001</v>
      </c>
      <c r="I417" s="262">
        <v>-4.4727800000000002</v>
      </c>
      <c r="J417" s="262">
        <v>-2.9310100000000001</v>
      </c>
      <c r="K417" s="262">
        <v>-3.38489</v>
      </c>
      <c r="L417" s="262">
        <v>-4.0863300000000002</v>
      </c>
      <c r="M417" s="262">
        <v>-2.6684199999999998</v>
      </c>
      <c r="N417" s="262">
        <f t="shared" si="150"/>
        <v>-3.38489</v>
      </c>
      <c r="O417" s="262">
        <f t="shared" si="151"/>
        <v>-4.0863300000000002</v>
      </c>
      <c r="P417" s="262">
        <f t="shared" si="151"/>
        <v>-2.6684199999999998</v>
      </c>
      <c r="Q417" s="262">
        <v>-4.1211799999999998</v>
      </c>
      <c r="R417" s="262">
        <v>-3.3475999999999999</v>
      </c>
      <c r="S417" s="262">
        <v>-3.6047600000000002</v>
      </c>
      <c r="T417" s="128">
        <f t="shared" si="80"/>
        <v>-3.6047600000000002</v>
      </c>
      <c r="U417" s="262">
        <v>-4.875</v>
      </c>
      <c r="V417" s="262">
        <v>-0.98</v>
      </c>
      <c r="W417" s="262">
        <v>1.5277799999999999</v>
      </c>
      <c r="X417" s="262">
        <v>1.47776</v>
      </c>
      <c r="Y417" s="262">
        <v>1.393</v>
      </c>
      <c r="Z417" s="262" t="e">
        <v>#N/A</v>
      </c>
      <c r="AA417" s="262">
        <v>-4.3994499999999999</v>
      </c>
      <c r="AB417" s="262"/>
      <c r="AC417" s="262">
        <v>-4.5863300000000002</v>
      </c>
      <c r="AD417" s="277">
        <v>-2.2906399999999998</v>
      </c>
      <c r="AE417" s="277">
        <f t="shared" ref="AE417:AE422" si="154">AD417</f>
        <v>-2.2906399999999998</v>
      </c>
      <c r="AF417" s="277">
        <f t="shared" si="147"/>
        <v>-4.875</v>
      </c>
      <c r="AG417" s="277">
        <f>0.08295-1</f>
        <v>-0.91705000000000003</v>
      </c>
      <c r="AH417" s="1329">
        <v>-5.51999</v>
      </c>
      <c r="AI417" s="277">
        <v>1.27</v>
      </c>
      <c r="AJ417" s="277">
        <v>1.66</v>
      </c>
      <c r="AK417" s="277"/>
      <c r="AL417" s="277"/>
      <c r="AM417" s="268"/>
      <c r="AN417" s="262">
        <v>-4.8744100000000001</v>
      </c>
      <c r="AO417" s="262">
        <v>-4.875</v>
      </c>
      <c r="AP417" s="262"/>
      <c r="AQ417" s="262"/>
      <c r="AR417" s="262"/>
      <c r="AS417" s="262"/>
      <c r="AT417" s="262"/>
      <c r="AU417" s="262"/>
      <c r="AV417" s="510">
        <v>0.36</v>
      </c>
      <c r="AW417" s="510">
        <v>7.0000000000000007E-2</v>
      </c>
      <c r="AX417" s="510">
        <v>7.0000000000000007E-2</v>
      </c>
      <c r="AY417" s="510">
        <v>0.27</v>
      </c>
      <c r="AZ417" s="245"/>
      <c r="BA417" s="510">
        <v>0.19</v>
      </c>
      <c r="BB417" s="510">
        <v>0.04</v>
      </c>
      <c r="BC417" s="510">
        <f t="shared" si="152"/>
        <v>1</v>
      </c>
      <c r="BD417" s="747">
        <f t="shared" si="132"/>
        <v>-2.3074800999999998</v>
      </c>
      <c r="BE417" s="243">
        <f t="shared" si="133"/>
        <v>-2.0579631000000003</v>
      </c>
      <c r="BF417" s="329">
        <v>0.30399999999999999</v>
      </c>
      <c r="BG417" s="329">
        <v>7.0000000000000007E-2</v>
      </c>
      <c r="BH417" s="329"/>
      <c r="BI417" s="329">
        <v>7.0000000000000007E-2</v>
      </c>
      <c r="BJ417" s="329"/>
      <c r="BK417" s="329">
        <v>0.156</v>
      </c>
      <c r="BL417" s="329">
        <v>1.7999999999999999E-2</v>
      </c>
      <c r="BM417" s="329">
        <v>0.24199999999999999</v>
      </c>
      <c r="BN417" s="329">
        <v>0.04</v>
      </c>
      <c r="BO417" s="329">
        <v>0.1</v>
      </c>
      <c r="BP417" s="329">
        <f t="shared" ref="BP417:BP422" si="155">SUM(BF417:BO417)</f>
        <v>1</v>
      </c>
      <c r="BQ417" s="748">
        <f t="shared" si="148"/>
        <v>-2.2297609</v>
      </c>
      <c r="BS417" s="615">
        <f t="array" ref="BS417">100*((1+8.5/100)^(1/12)-1)</f>
        <v>0.68214933659622723</v>
      </c>
      <c r="BT417" s="615">
        <f t="array" ref="BT417">100*((1+8.75/100)^(1/12)-1)</f>
        <v>0.70146116041400752</v>
      </c>
      <c r="BU417" s="615">
        <f t="array" ref="BU417">100*((1+9/100)^(1/12)-1)</f>
        <v>0.72073233161367156</v>
      </c>
      <c r="BV417" s="615">
        <f t="array" ref="BV417">100*((1+5/100)^(1/12)-1)</f>
        <v>0.40741237836483535</v>
      </c>
      <c r="BW417" s="615">
        <f t="array" ref="BW417">100*((1+9/100)^(1/12)-1)</f>
        <v>0.72073233161367156</v>
      </c>
      <c r="BX417" s="749">
        <f t="array" ref="BX417">((1+6.75/100)^(1/12)-1)*100</f>
        <v>0.54581304569467637</v>
      </c>
      <c r="BY417" s="615">
        <f t="shared" si="153"/>
        <v>0.74610833265813525</v>
      </c>
      <c r="BZ417" s="341">
        <f t="shared" ref="BZ417:BZ422" si="156">0.74*BS417+0.13*BT417+0.13*BU417</f>
        <v>0.68967566304480643</v>
      </c>
      <c r="CB417" s="243">
        <f t="shared" si="79"/>
        <v>0.64340301100034303</v>
      </c>
      <c r="CD417" s="243">
        <f t="shared" si="82"/>
        <v>0.64340301100034303</v>
      </c>
      <c r="CG417" s="734">
        <f t="shared" si="149"/>
        <v>-3.5140973999999998</v>
      </c>
      <c r="CJ417" s="1264">
        <f t="shared" si="125"/>
        <v>0.79741404289037643</v>
      </c>
    </row>
    <row r="418" spans="1:88" x14ac:dyDescent="0.2">
      <c r="A418" s="19">
        <v>40237</v>
      </c>
      <c r="B418" s="262">
        <v>3.0977199999999998</v>
      </c>
      <c r="C418" s="262">
        <v>3.44326</v>
      </c>
      <c r="D418" s="262">
        <v>2.7550599999999998</v>
      </c>
      <c r="E418" s="262">
        <v>5.2106300000000001</v>
      </c>
      <c r="F418" s="262">
        <v>5.5740100000000004</v>
      </c>
      <c r="G418" s="262">
        <v>4.85642</v>
      </c>
      <c r="H418" s="262">
        <v>4.5045799999999998</v>
      </c>
      <c r="I418" s="262">
        <v>4.3611800000000001</v>
      </c>
      <c r="J418" s="262">
        <v>4.6368799999999997</v>
      </c>
      <c r="K418" s="262">
        <v>4.2971700000000004</v>
      </c>
      <c r="L418" s="262">
        <v>3.7877900000000002</v>
      </c>
      <c r="M418" s="262">
        <v>4.8026799999999996</v>
      </c>
      <c r="N418" s="262">
        <f t="shared" si="150"/>
        <v>4.2971700000000004</v>
      </c>
      <c r="O418" s="262">
        <f t="shared" ref="O418:P420" si="157">L418</f>
        <v>3.7877900000000002</v>
      </c>
      <c r="P418" s="262">
        <f t="shared" si="157"/>
        <v>4.8026799999999996</v>
      </c>
      <c r="Q418" s="262">
        <v>5.0922799999999997</v>
      </c>
      <c r="R418" s="262">
        <v>4.9718400000000003</v>
      </c>
      <c r="S418" s="262">
        <v>3.39018</v>
      </c>
      <c r="T418" s="128">
        <f t="shared" si="80"/>
        <v>3.39018</v>
      </c>
      <c r="U418" s="262">
        <v>1.4E-2</v>
      </c>
      <c r="V418" s="262">
        <v>-1.39</v>
      </c>
      <c r="W418" s="262">
        <v>0.37331999999999999</v>
      </c>
      <c r="X418" s="262">
        <v>0.38164999999999999</v>
      </c>
      <c r="Y418" s="262">
        <v>0.432</v>
      </c>
      <c r="Z418" s="262" t="e">
        <v>#N/A</v>
      </c>
      <c r="AA418" s="262">
        <v>-0.67569000000000001</v>
      </c>
      <c r="AB418" s="262"/>
      <c r="AC418" s="262">
        <v>-1.3369599999999999</v>
      </c>
      <c r="AD418" s="277">
        <v>1.7311399999999999</v>
      </c>
      <c r="AE418" s="277">
        <f t="shared" si="154"/>
        <v>1.7311399999999999</v>
      </c>
      <c r="AF418" s="277">
        <f t="shared" si="147"/>
        <v>1.4E-2</v>
      </c>
      <c r="AG418" s="277">
        <f>0.08295-1</f>
        <v>-0.91705000000000003</v>
      </c>
      <c r="AH418" s="1329">
        <v>5.85</v>
      </c>
      <c r="AI418" s="277">
        <v>0.17</v>
      </c>
      <c r="AJ418" s="1286">
        <v>-1.1570499999999999</v>
      </c>
      <c r="AK418" s="1286"/>
      <c r="AL418" s="1286"/>
      <c r="AM418" s="268"/>
      <c r="AN418" s="262">
        <v>1.4149999999999999E-2</v>
      </c>
      <c r="AO418" s="262">
        <v>1.4E-2</v>
      </c>
      <c r="AP418" s="262"/>
      <c r="AQ418" s="262"/>
      <c r="AR418" s="262"/>
      <c r="AS418" s="262"/>
      <c r="AT418" s="262"/>
      <c r="AU418" s="262"/>
      <c r="AV418" s="510">
        <v>0.36</v>
      </c>
      <c r="AW418" s="510">
        <v>7.0000000000000007E-2</v>
      </c>
      <c r="AX418" s="510">
        <v>7.0000000000000007E-2</v>
      </c>
      <c r="AY418" s="510">
        <v>0.27</v>
      </c>
      <c r="AZ418" s="245"/>
      <c r="BA418" s="510">
        <v>0.19</v>
      </c>
      <c r="BB418" s="510">
        <v>0.04</v>
      </c>
      <c r="BC418" s="510">
        <f t="shared" si="152"/>
        <v>1</v>
      </c>
      <c r="BD418" s="747">
        <f t="shared" si="132"/>
        <v>1.8474996000000001</v>
      </c>
      <c r="BE418" s="243">
        <f t="shared" si="133"/>
        <v>1.7142136000000001</v>
      </c>
      <c r="BF418" s="329">
        <v>0.30399999999999999</v>
      </c>
      <c r="BG418" s="329">
        <v>7.0000000000000007E-2</v>
      </c>
      <c r="BH418" s="329"/>
      <c r="BI418" s="329">
        <v>7.0000000000000007E-2</v>
      </c>
      <c r="BJ418" s="329"/>
      <c r="BK418" s="329">
        <v>0.156</v>
      </c>
      <c r="BL418" s="329">
        <v>1.7999999999999999E-2</v>
      </c>
      <c r="BM418" s="329">
        <v>0.24199999999999999</v>
      </c>
      <c r="BN418" s="329">
        <v>0.04</v>
      </c>
      <c r="BO418" s="329">
        <v>0.1</v>
      </c>
      <c r="BP418" s="329">
        <f t="shared" si="155"/>
        <v>1</v>
      </c>
      <c r="BQ418" s="748">
        <f t="shared" si="148"/>
        <v>1.8111923199999997</v>
      </c>
      <c r="BS418" s="615">
        <f t="array" ref="BS418">100*((1+8.5/100)^(1/12)-1)</f>
        <v>0.68214933659622723</v>
      </c>
      <c r="BT418" s="615">
        <f t="array" ref="BT418">100*((1+8.75/100)^(1/12)-1)</f>
        <v>0.70146116041400752</v>
      </c>
      <c r="BU418" s="615">
        <f t="array" ref="BU418">100*((1+9/100)^(1/12)-1)</f>
        <v>0.72073233161367156</v>
      </c>
      <c r="BV418" s="615">
        <f t="array" ref="BV418">100*((1+5/100)^(1/12)-1)</f>
        <v>0.40741237836483535</v>
      </c>
      <c r="BW418" s="615">
        <f t="array" ref="BW418">100*((1+9/100)^(1/12)-1)</f>
        <v>0.72073233161367156</v>
      </c>
      <c r="BX418" s="749">
        <f t="array" ref="BX418">((1+6.75/100)^(1/12)-1)*100</f>
        <v>0.54581304569467637</v>
      </c>
      <c r="BY418" s="615">
        <f t="shared" si="153"/>
        <v>0.74610833265813525</v>
      </c>
      <c r="BZ418" s="341">
        <f t="shared" si="156"/>
        <v>0.68967566304480643</v>
      </c>
      <c r="CB418" s="243">
        <f t="shared" si="79"/>
        <v>0.64340301100034303</v>
      </c>
      <c r="CD418" s="243">
        <f t="shared" si="82"/>
        <v>0.64340301100034303</v>
      </c>
      <c r="CG418" s="734">
        <f t="shared" si="149"/>
        <v>3.5614504</v>
      </c>
      <c r="CJ418" s="1264">
        <f t="shared" si="125"/>
        <v>0.79741404289037643</v>
      </c>
    </row>
    <row r="419" spans="1:88" x14ac:dyDescent="0.2">
      <c r="A419" s="19">
        <v>40268</v>
      </c>
      <c r="B419" s="1286">
        <v>6.0344600000000002</v>
      </c>
      <c r="C419" s="1286">
        <v>5.6977599999999997</v>
      </c>
      <c r="D419" s="1286">
        <v>6.3673299999999999</v>
      </c>
      <c r="E419" s="1286">
        <v>7.1350100000000003</v>
      </c>
      <c r="F419" s="1286">
        <v>7.8636400000000002</v>
      </c>
      <c r="G419" s="1286">
        <v>6.4265699999999999</v>
      </c>
      <c r="H419" s="1286">
        <v>8.1388700000000007</v>
      </c>
      <c r="I419" s="1286">
        <v>7.9449699999999996</v>
      </c>
      <c r="J419" s="1286">
        <v>8.3176600000000001</v>
      </c>
      <c r="K419" s="1286">
        <v>7.7815899999999996</v>
      </c>
      <c r="L419" s="1286">
        <v>7.7884900000000004</v>
      </c>
      <c r="M419" s="1286">
        <v>7.7732700000000001</v>
      </c>
      <c r="N419" s="262">
        <f t="shared" si="150"/>
        <v>7.7815899999999996</v>
      </c>
      <c r="O419" s="262">
        <f t="shared" si="157"/>
        <v>7.7884900000000004</v>
      </c>
      <c r="P419" s="262">
        <f t="shared" si="157"/>
        <v>7.7732700000000001</v>
      </c>
      <c r="Q419" s="1311">
        <v>7.9861500000000003</v>
      </c>
      <c r="R419" s="1286">
        <v>7.6428399999999996</v>
      </c>
      <c r="S419" s="1286">
        <v>6.3026600000000004</v>
      </c>
      <c r="T419" s="128">
        <f t="shared" si="80"/>
        <v>6.3026600000000004</v>
      </c>
      <c r="U419" s="1286">
        <v>6.8540000000000001</v>
      </c>
      <c r="V419" s="1286">
        <v>7.35</v>
      </c>
      <c r="W419" s="1286">
        <v>-0.12262000000000001</v>
      </c>
      <c r="X419" s="1286">
        <v>-5.7630000000000001E-2</v>
      </c>
      <c r="Y419" s="1311">
        <v>-0.28199999999999997</v>
      </c>
      <c r="Z419" s="262" t="e">
        <v>#N/A</v>
      </c>
      <c r="AA419" s="1286">
        <v>6.3056200000000002</v>
      </c>
      <c r="AB419" s="262"/>
      <c r="AC419" s="1286">
        <v>6.0429199999999996</v>
      </c>
      <c r="AD419" s="277">
        <v>4.3538600000000001</v>
      </c>
      <c r="AE419" s="277">
        <f t="shared" si="154"/>
        <v>4.3538600000000001</v>
      </c>
      <c r="AF419" s="277">
        <f t="shared" si="147"/>
        <v>6.8540000000000001</v>
      </c>
      <c r="AG419" s="277">
        <f>0.08295-1</f>
        <v>-0.91705000000000003</v>
      </c>
      <c r="AH419" s="1288">
        <v>10.27</v>
      </c>
      <c r="AI419" s="1286">
        <v>3.13</v>
      </c>
      <c r="AJ419" s="1286">
        <v>0.13059999999999999</v>
      </c>
      <c r="AK419" s="1286"/>
      <c r="AL419" s="1286"/>
      <c r="AM419" s="268"/>
      <c r="AN419" s="1286">
        <v>6.8544099999999997</v>
      </c>
      <c r="AO419" s="1286">
        <v>6.8540000000000001</v>
      </c>
      <c r="AP419" s="1286"/>
      <c r="AQ419" s="1286"/>
      <c r="AR419" s="1286"/>
      <c r="AS419" s="1286"/>
      <c r="AT419" s="1286"/>
      <c r="AU419" s="1286"/>
      <c r="AV419" s="510">
        <v>0.36</v>
      </c>
      <c r="AW419" s="510">
        <v>7.0000000000000007E-2</v>
      </c>
      <c r="AX419" s="510">
        <v>7.0000000000000007E-2</v>
      </c>
      <c r="AY419" s="510">
        <v>0.27</v>
      </c>
      <c r="AZ419" s="510"/>
      <c r="BA419" s="510">
        <v>0.19</v>
      </c>
      <c r="BB419" s="510">
        <v>0.04</v>
      </c>
      <c r="BC419" s="510">
        <f t="shared" si="152"/>
        <v>1</v>
      </c>
      <c r="BD419" s="747">
        <f t="shared" si="132"/>
        <v>4.4490381999999995</v>
      </c>
      <c r="BE419" s="243">
        <f t="shared" si="133"/>
        <v>4.1332152000000004</v>
      </c>
      <c r="BF419" s="329">
        <v>0.30399999999999999</v>
      </c>
      <c r="BG419" s="329">
        <v>7.0000000000000007E-2</v>
      </c>
      <c r="BH419" s="329"/>
      <c r="BI419" s="329">
        <v>7.0000000000000007E-2</v>
      </c>
      <c r="BJ419" s="329"/>
      <c r="BK419" s="329">
        <v>0.156</v>
      </c>
      <c r="BL419" s="329">
        <v>1.7999999999999999E-2</v>
      </c>
      <c r="BM419" s="329">
        <v>0.24199999999999999</v>
      </c>
      <c r="BN419" s="329">
        <v>0.04</v>
      </c>
      <c r="BO419" s="329">
        <v>0.1</v>
      </c>
      <c r="BP419" s="329">
        <f t="shared" si="155"/>
        <v>1</v>
      </c>
      <c r="BQ419" s="748">
        <f t="shared" si="148"/>
        <v>4.4491918000000004</v>
      </c>
      <c r="BS419" s="615">
        <f t="array" ref="BS419">100*((1+8.5/100)^(1/12)-1)</f>
        <v>0.68214933659622723</v>
      </c>
      <c r="BT419" s="615">
        <f t="array" ref="BT419">100*((1+8.75/100)^(1/12)-1)</f>
        <v>0.70146116041400752</v>
      </c>
      <c r="BU419" s="615">
        <f t="array" ref="BU419">100*((1+9/100)^(1/12)-1)</f>
        <v>0.72073233161367156</v>
      </c>
      <c r="BV419" s="615">
        <f t="array" ref="BV419">100*((1+5/100)^(1/12)-1)</f>
        <v>0.40741237836483535</v>
      </c>
      <c r="BW419" s="615">
        <f t="array" ref="BW419">100*((1+9/100)^(1/12)-1)</f>
        <v>0.72073233161367156</v>
      </c>
      <c r="BX419" s="749">
        <f t="array" ref="BX419">((1+6.75/100)^(1/12)-1)*100</f>
        <v>0.54581304569467637</v>
      </c>
      <c r="BY419" s="615">
        <f t="shared" si="153"/>
        <v>0.74610833265813525</v>
      </c>
      <c r="BZ419" s="341">
        <f t="shared" si="156"/>
        <v>0.68967566304480643</v>
      </c>
      <c r="CB419" s="243">
        <f t="shared" si="79"/>
        <v>0.64340301100034303</v>
      </c>
      <c r="CD419" s="243">
        <f t="shared" si="82"/>
        <v>0.64340301100034303</v>
      </c>
      <c r="CG419" s="734">
        <f t="shared" si="149"/>
        <v>6.4331351999999997</v>
      </c>
      <c r="CJ419" s="1264">
        <f t="shared" si="125"/>
        <v>0.79741404289037643</v>
      </c>
    </row>
    <row r="420" spans="1:88" x14ac:dyDescent="0.2">
      <c r="A420" s="19">
        <v>40298</v>
      </c>
      <c r="B420" s="1286">
        <v>1.5787599999999999</v>
      </c>
      <c r="C420" s="1286">
        <v>1.2704800000000001</v>
      </c>
      <c r="D420" s="1286">
        <v>1.88167</v>
      </c>
      <c r="E420" s="1286">
        <v>4.2622999999999998</v>
      </c>
      <c r="F420" s="1286">
        <v>3.7803300000000002</v>
      </c>
      <c r="G420" s="1286">
        <v>4.7355</v>
      </c>
      <c r="H420" s="1286">
        <v>5.6594199999999999</v>
      </c>
      <c r="I420" s="1286">
        <v>4.1974499999999999</v>
      </c>
      <c r="J420" s="1286">
        <v>6.9969099999999997</v>
      </c>
      <c r="K420" s="1286">
        <v>5.84809</v>
      </c>
      <c r="L420" s="1286">
        <v>5.0351600000000003</v>
      </c>
      <c r="M420" s="1286">
        <v>6.6516500000000001</v>
      </c>
      <c r="N420" s="262">
        <f t="shared" si="150"/>
        <v>5.84809</v>
      </c>
      <c r="O420" s="262">
        <f t="shared" si="157"/>
        <v>5.0351600000000003</v>
      </c>
      <c r="P420" s="262">
        <f t="shared" si="157"/>
        <v>6.6516500000000001</v>
      </c>
      <c r="Q420" s="1311">
        <v>3.50244</v>
      </c>
      <c r="R420" s="1286">
        <v>4.7367699999999999</v>
      </c>
      <c r="S420" s="1286">
        <v>2.1580699999999999</v>
      </c>
      <c r="T420" s="128">
        <f t="shared" si="80"/>
        <v>2.1580699999999999</v>
      </c>
      <c r="U420" s="1286">
        <v>-0.81299999999999994</v>
      </c>
      <c r="V420" s="1286">
        <v>1.75</v>
      </c>
      <c r="W420" s="1286">
        <v>1.04098</v>
      </c>
      <c r="X420" s="1286">
        <v>0.82186999999999999</v>
      </c>
      <c r="Y420" s="1311">
        <v>0.86899999999999999</v>
      </c>
      <c r="Z420" s="262" t="e">
        <v>#N/A</v>
      </c>
      <c r="AA420" s="1286">
        <v>-1.72678</v>
      </c>
      <c r="AB420" s="262"/>
      <c r="AC420" s="1286">
        <v>-1.9030400000000001</v>
      </c>
      <c r="AD420" s="277">
        <v>0.89929999999999999</v>
      </c>
      <c r="AE420" s="277">
        <f t="shared" si="154"/>
        <v>0.89929999999999999</v>
      </c>
      <c r="AF420" s="277">
        <f t="shared" ref="AF420:AF425" si="158">U420</f>
        <v>-0.81299999999999994</v>
      </c>
      <c r="AG420" s="277">
        <v>0.76070000000000004</v>
      </c>
      <c r="AH420" s="1288">
        <v>6.89</v>
      </c>
      <c r="AI420" s="1286">
        <v>2.34</v>
      </c>
      <c r="AJ420" s="1286">
        <v>2.3692000000000002</v>
      </c>
      <c r="AK420" s="1286"/>
      <c r="AL420" s="1286"/>
      <c r="AM420" s="268"/>
      <c r="AN420" s="1286">
        <v>-0.81271000000000004</v>
      </c>
      <c r="AO420" s="1286">
        <v>-0.81299999999999994</v>
      </c>
      <c r="AP420" s="1286"/>
      <c r="AQ420" s="1286"/>
      <c r="AR420" s="1286"/>
      <c r="AS420" s="1286"/>
      <c r="AT420" s="1286"/>
      <c r="AU420" s="1286"/>
      <c r="AV420" s="510">
        <v>0.36</v>
      </c>
      <c r="AW420" s="510">
        <v>7.0000000000000007E-2</v>
      </c>
      <c r="AX420" s="510">
        <v>7.0000000000000007E-2</v>
      </c>
      <c r="AY420" s="510">
        <v>0.27</v>
      </c>
      <c r="AZ420" s="510"/>
      <c r="BA420" s="510">
        <v>0.19</v>
      </c>
      <c r="BB420" s="510">
        <v>0.04</v>
      </c>
      <c r="BC420" s="510">
        <f t="shared" si="152"/>
        <v>1</v>
      </c>
      <c r="BD420" s="747">
        <f t="shared" si="132"/>
        <v>1.4331034999999999</v>
      </c>
      <c r="BE420" s="243">
        <f t="shared" si="133"/>
        <v>1.3976154999999999</v>
      </c>
      <c r="BF420" s="329">
        <v>0.30399999999999999</v>
      </c>
      <c r="BG420" s="329">
        <v>7.0000000000000007E-2</v>
      </c>
      <c r="BH420" s="329"/>
      <c r="BI420" s="329">
        <v>7.0000000000000007E-2</v>
      </c>
      <c r="BJ420" s="329"/>
      <c r="BK420" s="329">
        <v>0.156</v>
      </c>
      <c r="BL420" s="329">
        <v>1.7999999999999999E-2</v>
      </c>
      <c r="BM420" s="329">
        <v>0.24199999999999999</v>
      </c>
      <c r="BN420" s="329">
        <v>0.04</v>
      </c>
      <c r="BO420" s="329">
        <v>0.1</v>
      </c>
      <c r="BP420" s="329">
        <f t="shared" si="155"/>
        <v>1</v>
      </c>
      <c r="BQ420" s="748">
        <f t="shared" si="148"/>
        <v>1.4646175000000001</v>
      </c>
      <c r="BS420" s="615">
        <f t="array" ref="BS420">100*((1+8.5/100)^(1/12)-1)</f>
        <v>0.68214933659622723</v>
      </c>
      <c r="BT420" s="615">
        <f t="array" ref="BT420">100*((1+8.75/100)^(1/12)-1)</f>
        <v>0.70146116041400752</v>
      </c>
      <c r="BU420" s="615">
        <f t="array" ref="BU420">100*((1+9/100)^(1/12)-1)</f>
        <v>0.72073233161367156</v>
      </c>
      <c r="BV420" s="615">
        <f t="array" ref="BV420">100*((1+5/100)^(1/12)-1)</f>
        <v>0.40741237836483535</v>
      </c>
      <c r="BW420" s="615">
        <f t="array" ref="BW420">100*((1+9/100)^(1/12)-1)</f>
        <v>0.72073233161367156</v>
      </c>
      <c r="BX420" s="749">
        <f t="array" ref="BX420">((1+6.75/100)^(1/12)-1)*100</f>
        <v>0.54581304569467637</v>
      </c>
      <c r="BY420" s="615">
        <f t="shared" si="153"/>
        <v>0.74610833265813525</v>
      </c>
      <c r="BZ420" s="341">
        <f t="shared" si="156"/>
        <v>0.68967566304480643</v>
      </c>
      <c r="CB420" s="243">
        <f t="shared" si="79"/>
        <v>0.64340301100034303</v>
      </c>
      <c r="CD420" s="243">
        <f t="shared" si="82"/>
        <v>0.64340301100034303</v>
      </c>
      <c r="CG420" s="734">
        <f t="shared" si="149"/>
        <v>2.5521617999999999</v>
      </c>
      <c r="CJ420" s="1264">
        <f t="shared" si="125"/>
        <v>0.79741404289037643</v>
      </c>
    </row>
    <row r="421" spans="1:88" x14ac:dyDescent="0.2">
      <c r="A421" s="19">
        <v>40329</v>
      </c>
      <c r="B421" s="262">
        <v>-7.9850099999999999</v>
      </c>
      <c r="C421" s="262">
        <v>-8.0488</v>
      </c>
      <c r="D421" s="262">
        <v>-7.9227400000000001</v>
      </c>
      <c r="E421" s="262">
        <v>-7.1994300000000004</v>
      </c>
      <c r="F421" s="262">
        <v>-6.7138600000000004</v>
      </c>
      <c r="G421" s="262">
        <v>-7.6673499999999999</v>
      </c>
      <c r="H421" s="262">
        <v>-7.5852399999999998</v>
      </c>
      <c r="I421" s="262">
        <v>-6.6120900000000002</v>
      </c>
      <c r="J421" s="262">
        <v>-8.4498599999999993</v>
      </c>
      <c r="K421" s="262">
        <v>-7.2206599999999996</v>
      </c>
      <c r="L421" s="262">
        <v>-5.9797900000000004</v>
      </c>
      <c r="M421" s="262">
        <v>-8.3945799999999995</v>
      </c>
      <c r="N421" s="262">
        <f t="shared" si="150"/>
        <v>-7.2206599999999996</v>
      </c>
      <c r="O421" s="262">
        <f t="shared" ref="O421:P423" si="159">L421</f>
        <v>-5.9797900000000004</v>
      </c>
      <c r="P421" s="262">
        <f t="shared" si="159"/>
        <v>-8.3945799999999995</v>
      </c>
      <c r="Q421" s="262">
        <v>-6.7926700000000002</v>
      </c>
      <c r="R421" s="262">
        <v>-7.4479199999999999</v>
      </c>
      <c r="S421" s="262">
        <v>-7.8998699999999999</v>
      </c>
      <c r="T421" s="128">
        <f t="shared" si="80"/>
        <v>-7.8998699999999999</v>
      </c>
      <c r="U421" s="262">
        <v>-10.414</v>
      </c>
      <c r="V421" s="262">
        <v>-12.37</v>
      </c>
      <c r="W421" s="262">
        <v>0.84108000000000005</v>
      </c>
      <c r="X421" s="262">
        <v>0.78430999999999995</v>
      </c>
      <c r="Y421" s="262">
        <v>0.71</v>
      </c>
      <c r="Z421" s="262" t="e">
        <v>#N/A</v>
      </c>
      <c r="AA421" s="262">
        <v>-11.3672</v>
      </c>
      <c r="AB421" s="262"/>
      <c r="AC421" s="262">
        <v>-11.855499999999999</v>
      </c>
      <c r="AD421" s="277">
        <v>-6.0548500000000001</v>
      </c>
      <c r="AE421" s="277">
        <f t="shared" si="154"/>
        <v>-6.0548500000000001</v>
      </c>
      <c r="AF421" s="277">
        <f t="shared" si="158"/>
        <v>-10.414</v>
      </c>
      <c r="AG421" s="277">
        <v>0.76070000000000004</v>
      </c>
      <c r="AH421" s="1329">
        <v>-5.42</v>
      </c>
      <c r="AI421" s="277">
        <v>-3.5931299999999999</v>
      </c>
      <c r="AJ421" s="277">
        <v>-6.4400000000000004E-3</v>
      </c>
      <c r="AK421" s="277"/>
      <c r="AL421" s="277"/>
      <c r="AM421" s="268"/>
      <c r="AN421" s="262">
        <v>-10.414239999999999</v>
      </c>
      <c r="AO421" s="262">
        <v>-10.414</v>
      </c>
      <c r="AP421" s="262"/>
      <c r="AQ421" s="262"/>
      <c r="AR421" s="262"/>
      <c r="AS421" s="262"/>
      <c r="AT421" s="262"/>
      <c r="AU421" s="262"/>
      <c r="AV421" s="510">
        <v>0.36</v>
      </c>
      <c r="AW421" s="510">
        <v>7.0000000000000007E-2</v>
      </c>
      <c r="AX421" s="510">
        <v>7.0000000000000007E-2</v>
      </c>
      <c r="AY421" s="510">
        <v>0.27</v>
      </c>
      <c r="AZ421" s="510"/>
      <c r="BA421" s="510">
        <v>0.19</v>
      </c>
      <c r="BB421" s="510">
        <v>0.04</v>
      </c>
      <c r="BC421" s="510">
        <f t="shared" ref="BC421:BC426" si="160">SUM(AV421:BB421)</f>
        <v>1</v>
      </c>
      <c r="BD421" s="747">
        <f t="shared" si="132"/>
        <v>-5.6051503</v>
      </c>
      <c r="BE421" s="243">
        <f t="shared" si="133"/>
        <v>-5.1703998000000002</v>
      </c>
      <c r="BF421" s="329">
        <v>0.30399999999999999</v>
      </c>
      <c r="BG421" s="329">
        <v>7.0000000000000007E-2</v>
      </c>
      <c r="BH421" s="329"/>
      <c r="BI421" s="329">
        <v>7.0000000000000007E-2</v>
      </c>
      <c r="BJ421" s="329"/>
      <c r="BK421" s="329">
        <v>0.156</v>
      </c>
      <c r="BL421" s="329">
        <v>1.7999999999999999E-2</v>
      </c>
      <c r="BM421" s="329">
        <v>0.24199999999999999</v>
      </c>
      <c r="BN421" s="329">
        <v>0.04</v>
      </c>
      <c r="BO421" s="329">
        <v>0.1</v>
      </c>
      <c r="BP421" s="329">
        <f t="shared" si="155"/>
        <v>1</v>
      </c>
      <c r="BQ421" s="748">
        <f t="shared" si="148"/>
        <v>-5.6556089800000011</v>
      </c>
      <c r="BS421" s="615">
        <f t="array" ref="BS421">100*((1+8.5/100)^(1/12)-1)</f>
        <v>0.68214933659622723</v>
      </c>
      <c r="BT421" s="615">
        <f t="array" ref="BT421">100*((1+8.75/100)^(1/12)-1)</f>
        <v>0.70146116041400752</v>
      </c>
      <c r="BU421" s="615">
        <f t="array" ref="BU421">100*((1+9/100)^(1/12)-1)</f>
        <v>0.72073233161367156</v>
      </c>
      <c r="BV421" s="615">
        <f t="array" ref="BV421">100*((1+5/100)^(1/12)-1)</f>
        <v>0.40741237836483535</v>
      </c>
      <c r="BW421" s="615">
        <f t="array" ref="BW421">100*((1+9/100)^(1/12)-1)</f>
        <v>0.72073233161367156</v>
      </c>
      <c r="BX421" s="749">
        <f t="array" ref="BX421">((1+6.75/100)^(1/12)-1)*100</f>
        <v>0.54581304569467637</v>
      </c>
      <c r="BY421" s="615">
        <f t="shared" si="153"/>
        <v>0.74610833265813525</v>
      </c>
      <c r="BZ421" s="341">
        <f t="shared" si="156"/>
        <v>0.68967566304480643</v>
      </c>
      <c r="CB421" s="243">
        <f t="shared" si="79"/>
        <v>0.64340301100034303</v>
      </c>
      <c r="CD421" s="243">
        <f t="shared" si="82"/>
        <v>0.64340301100034303</v>
      </c>
      <c r="CG421" s="734">
        <f t="shared" si="149"/>
        <v>-7.7680198000000003</v>
      </c>
      <c r="CJ421" s="1264">
        <f t="shared" si="125"/>
        <v>0.79741404289037643</v>
      </c>
    </row>
    <row r="422" spans="1:88" x14ac:dyDescent="0.2">
      <c r="A422" s="19">
        <v>40359</v>
      </c>
      <c r="B422" s="262">
        <v>-5.2349199999999998</v>
      </c>
      <c r="C422" s="262">
        <v>-4.7248799999999997</v>
      </c>
      <c r="D422" s="262">
        <v>-5.7345199999999998</v>
      </c>
      <c r="E422" s="262">
        <v>-6.5536500000000002</v>
      </c>
      <c r="F422" s="262">
        <v>-6.2769700000000004</v>
      </c>
      <c r="G422" s="262">
        <v>-6.8252499999999996</v>
      </c>
      <c r="H422" s="262">
        <v>-7.7494899999999998</v>
      </c>
      <c r="I422" s="262">
        <v>-6.7097300000000004</v>
      </c>
      <c r="J422" s="262">
        <v>-8.7294599999999996</v>
      </c>
      <c r="K422" s="262">
        <v>-7.06609</v>
      </c>
      <c r="L422" s="262">
        <v>-5.7998599999999998</v>
      </c>
      <c r="M422" s="262">
        <v>-8.30471</v>
      </c>
      <c r="N422" s="262">
        <f t="shared" si="150"/>
        <v>-7.06609</v>
      </c>
      <c r="O422" s="262">
        <f t="shared" si="159"/>
        <v>-5.7998599999999998</v>
      </c>
      <c r="P422" s="262">
        <f t="shared" si="159"/>
        <v>-8.30471</v>
      </c>
      <c r="Q422" s="262">
        <v>-6.4691599999999996</v>
      </c>
      <c r="R422" s="262">
        <v>-7.1366699999999996</v>
      </c>
      <c r="S422" s="262">
        <v>-5.74864</v>
      </c>
      <c r="T422" s="128">
        <f t="shared" si="80"/>
        <v>-5.74864</v>
      </c>
      <c r="U422" s="262">
        <v>-1.2569999999999999</v>
      </c>
      <c r="V422" s="262">
        <v>-0.39402999999999999</v>
      </c>
      <c r="W422" s="262">
        <v>1.56816</v>
      </c>
      <c r="X422" s="262">
        <v>1.29026</v>
      </c>
      <c r="Y422" s="262">
        <v>1.363</v>
      </c>
      <c r="Z422" s="262" t="e">
        <v>#N/A</v>
      </c>
      <c r="AA422" s="262">
        <v>-0.97284000000000004</v>
      </c>
      <c r="AB422" s="262"/>
      <c r="AC422" s="262">
        <v>-1.9689300000000001</v>
      </c>
      <c r="AD422" s="277">
        <v>-2.64812</v>
      </c>
      <c r="AE422" s="277">
        <f t="shared" si="154"/>
        <v>-2.64812</v>
      </c>
      <c r="AF422" s="277">
        <f t="shared" si="158"/>
        <v>-1.2569999999999999</v>
      </c>
      <c r="AG422" s="277">
        <v>0.76070000000000004</v>
      </c>
      <c r="AH422" s="1329">
        <v>-5.46</v>
      </c>
      <c r="AI422" s="277">
        <v>1.24447</v>
      </c>
      <c r="AJ422" s="277">
        <v>1.42639</v>
      </c>
      <c r="AK422" s="277"/>
      <c r="AL422" s="277"/>
      <c r="AM422" s="268"/>
      <c r="AN422" s="262">
        <v>-1.2567900000000001</v>
      </c>
      <c r="AO422" s="262">
        <v>-1.2569999999999999</v>
      </c>
      <c r="AP422" s="262"/>
      <c r="AQ422" s="262"/>
      <c r="AR422" s="262"/>
      <c r="AS422" s="262"/>
      <c r="AT422" s="262"/>
      <c r="AU422" s="262"/>
      <c r="AV422" s="510">
        <v>0.36</v>
      </c>
      <c r="AW422" s="510">
        <v>7.0000000000000007E-2</v>
      </c>
      <c r="AX422" s="510">
        <v>7.0000000000000007E-2</v>
      </c>
      <c r="AY422" s="510">
        <v>0.27</v>
      </c>
      <c r="AZ422" s="510"/>
      <c r="BA422" s="510">
        <v>0.19</v>
      </c>
      <c r="BB422" s="510">
        <v>0.04</v>
      </c>
      <c r="BC422" s="510">
        <f t="shared" si="160"/>
        <v>1</v>
      </c>
      <c r="BD422" s="747">
        <f t="shared" si="132"/>
        <v>-2.6229518000000001</v>
      </c>
      <c r="BE422" s="243">
        <f t="shared" si="133"/>
        <v>-2.2930557999999999</v>
      </c>
      <c r="BF422" s="329">
        <v>0.30399999999999999</v>
      </c>
      <c r="BG422" s="329">
        <v>7.0000000000000007E-2</v>
      </c>
      <c r="BH422" s="329"/>
      <c r="BI422" s="329">
        <v>7.0000000000000007E-2</v>
      </c>
      <c r="BJ422" s="329"/>
      <c r="BK422" s="329">
        <v>0.156</v>
      </c>
      <c r="BL422" s="329">
        <v>1.7999999999999999E-2</v>
      </c>
      <c r="BM422" s="329">
        <v>0.24199999999999999</v>
      </c>
      <c r="BN422" s="329">
        <v>0.04</v>
      </c>
      <c r="BO422" s="329">
        <v>0.1</v>
      </c>
      <c r="BP422" s="329">
        <f t="shared" si="155"/>
        <v>1</v>
      </c>
      <c r="BQ422" s="748">
        <f t="shared" si="148"/>
        <v>-2.6028713000000003</v>
      </c>
      <c r="BS422" s="615">
        <f t="array" ref="BS422">100*((1+8.5/100)^(1/12)-1)</f>
        <v>0.68214933659622723</v>
      </c>
      <c r="BT422" s="615">
        <f t="array" ref="BT422">100*((1+8.75/100)^(1/12)-1)</f>
        <v>0.70146116041400752</v>
      </c>
      <c r="BU422" s="615">
        <f t="array" ref="BU422">100*((1+9/100)^(1/12)-1)</f>
        <v>0.72073233161367156</v>
      </c>
      <c r="BV422" s="615">
        <f t="array" ref="BV422">100*((1+5/100)^(1/12)-1)</f>
        <v>0.40741237836483535</v>
      </c>
      <c r="BW422" s="615">
        <f t="array" ref="BW422">100*((1+9/100)^(1/12)-1)</f>
        <v>0.72073233161367156</v>
      </c>
      <c r="BX422" s="749">
        <f t="array" ref="BX422">((1+6.75/100)^(1/12)-1)*100</f>
        <v>0.54581304569467637</v>
      </c>
      <c r="BY422" s="615">
        <f t="shared" si="153"/>
        <v>0.74610833265813525</v>
      </c>
      <c r="BZ422" s="341">
        <f t="shared" si="156"/>
        <v>0.68967566304480643</v>
      </c>
      <c r="CB422" s="243">
        <f t="shared" si="79"/>
        <v>0.64340301100034303</v>
      </c>
      <c r="CD422" s="243">
        <f t="shared" si="82"/>
        <v>0.64340301100034303</v>
      </c>
      <c r="CG422" s="734">
        <f t="shared" si="149"/>
        <v>-5.6759060000000003</v>
      </c>
      <c r="CJ422" s="1264">
        <f t="shared" si="125"/>
        <v>0.79741404289037643</v>
      </c>
    </row>
    <row r="423" spans="1:88" x14ac:dyDescent="0.2">
      <c r="A423" s="19">
        <v>40390</v>
      </c>
      <c r="B423" s="262">
        <v>7.0063500000000003</v>
      </c>
      <c r="C423" s="262">
        <v>6.92774</v>
      </c>
      <c r="D423" s="262">
        <v>7.08338</v>
      </c>
      <c r="E423" s="262">
        <v>6.9082600000000003</v>
      </c>
      <c r="F423" s="262">
        <v>6.9136899999999999</v>
      </c>
      <c r="G423" s="262">
        <v>6.9019599999999999</v>
      </c>
      <c r="H423" s="262">
        <v>6.8719400000000004</v>
      </c>
      <c r="I423" s="262">
        <v>6.6140400000000001</v>
      </c>
      <c r="J423" s="262">
        <v>7.1382000000000003</v>
      </c>
      <c r="K423" s="262">
        <v>6.3426299999999998</v>
      </c>
      <c r="L423" s="262">
        <v>6.0059699999999996</v>
      </c>
      <c r="M423" s="262">
        <v>6.6676000000000002</v>
      </c>
      <c r="N423" s="262">
        <f t="shared" ref="N423:N428" si="161">K423</f>
        <v>6.3426299999999998</v>
      </c>
      <c r="O423" s="262">
        <f t="shared" si="159"/>
        <v>6.0059699999999996</v>
      </c>
      <c r="P423" s="262">
        <f t="shared" si="159"/>
        <v>6.6676000000000002</v>
      </c>
      <c r="Q423" s="262">
        <v>6.6735699999999998</v>
      </c>
      <c r="R423" s="262">
        <v>7.0361599999999997</v>
      </c>
      <c r="S423" s="262">
        <v>6.9422300000000003</v>
      </c>
      <c r="T423" s="128">
        <f t="shared" si="80"/>
        <v>6.9422300000000003</v>
      </c>
      <c r="U423" s="262">
        <v>9.0579999999999998</v>
      </c>
      <c r="V423" s="262">
        <v>8.6400699999999997</v>
      </c>
      <c r="W423" s="262">
        <v>1.06738</v>
      </c>
      <c r="X423" s="262">
        <v>1.03721</v>
      </c>
      <c r="Y423" s="262">
        <v>1.091</v>
      </c>
      <c r="Z423" s="262" t="e">
        <v>#N/A</v>
      </c>
      <c r="AA423" s="262">
        <v>9.4924300000000006</v>
      </c>
      <c r="AB423" s="262"/>
      <c r="AC423" s="262">
        <v>10.699400000000001</v>
      </c>
      <c r="AD423" s="277">
        <v>5.7412099999999997</v>
      </c>
      <c r="AE423" s="277">
        <f t="shared" ref="AE423:AE428" si="162">AD423</f>
        <v>5.7412099999999997</v>
      </c>
      <c r="AF423" s="277">
        <f t="shared" si="158"/>
        <v>9.0579999999999998</v>
      </c>
      <c r="AG423" s="1301">
        <v>3.3115100000000002</v>
      </c>
      <c r="AH423" s="1329">
        <v>9.82</v>
      </c>
      <c r="AI423" s="277">
        <v>3.5560100000000001</v>
      </c>
      <c r="AJ423" s="277">
        <v>0.14496000000000001</v>
      </c>
      <c r="AK423" s="277"/>
      <c r="AL423" s="277"/>
      <c r="AM423" s="268"/>
      <c r="AN423" s="262">
        <v>9.0578500000000002</v>
      </c>
      <c r="AO423" s="262">
        <v>9.0579999999999998</v>
      </c>
      <c r="AP423" s="262"/>
      <c r="AQ423" s="262"/>
      <c r="AR423" s="262"/>
      <c r="AS423" s="262"/>
      <c r="AT423" s="262"/>
      <c r="AU423" s="262"/>
      <c r="AV423" s="510">
        <v>0.36</v>
      </c>
      <c r="AW423" s="510">
        <v>7.0000000000000007E-2</v>
      </c>
      <c r="AX423" s="510">
        <v>7.0000000000000007E-2</v>
      </c>
      <c r="AY423" s="510">
        <v>0.27</v>
      </c>
      <c r="AZ423" s="510"/>
      <c r="BA423" s="510">
        <v>0.19</v>
      </c>
      <c r="BB423" s="510">
        <v>0.04</v>
      </c>
      <c r="BC423" s="510">
        <f t="shared" si="160"/>
        <v>1</v>
      </c>
      <c r="BD423" s="747">
        <f t="shared" si="132"/>
        <v>5.5915213000000001</v>
      </c>
      <c r="BE423" s="243">
        <f t="shared" si="133"/>
        <v>5.2957538</v>
      </c>
      <c r="BF423" s="329">
        <v>0.30399999999999999</v>
      </c>
      <c r="BG423" s="329">
        <v>7.0000000000000007E-2</v>
      </c>
      <c r="BH423" s="329"/>
      <c r="BI423" s="329">
        <v>7.0000000000000007E-2</v>
      </c>
      <c r="BJ423" s="329"/>
      <c r="BK423" s="329">
        <v>0.156</v>
      </c>
      <c r="BL423" s="329">
        <v>1.7999999999999999E-2</v>
      </c>
      <c r="BM423" s="329">
        <v>0.24199999999999999</v>
      </c>
      <c r="BN423" s="329">
        <v>0.04</v>
      </c>
      <c r="BO423" s="329">
        <v>0.1</v>
      </c>
      <c r="BP423" s="329">
        <f t="shared" ref="BP423:BP428" si="163">SUM(BF423:BO423)</f>
        <v>1</v>
      </c>
      <c r="BQ423" s="748">
        <f t="shared" si="148"/>
        <v>5.5909493200000018</v>
      </c>
      <c r="BS423" s="615">
        <f t="array" ref="BS423">100*((1+8.5/100)^(1/12)-1)</f>
        <v>0.68214933659622723</v>
      </c>
      <c r="BT423" s="615">
        <f t="array" ref="BT423">100*((1+8.75/100)^(1/12)-1)</f>
        <v>0.70146116041400752</v>
      </c>
      <c r="BU423" s="615">
        <f t="array" ref="BU423">100*((1+9/100)^(1/12)-1)</f>
        <v>0.72073233161367156</v>
      </c>
      <c r="BV423" s="615">
        <f t="array" ref="BV423">100*((1+5/100)^(1/12)-1)</f>
        <v>0.40741237836483535</v>
      </c>
      <c r="BW423" s="615">
        <f t="array" ref="BW423">100*((1+9/100)^(1/12)-1)</f>
        <v>0.72073233161367156</v>
      </c>
      <c r="BX423" s="749">
        <f t="array" ref="BX423">((1+6.75/100)^(1/12)-1)*100</f>
        <v>0.54581304569467637</v>
      </c>
      <c r="BY423" s="615">
        <f t="shared" si="153"/>
        <v>0.74610833265813525</v>
      </c>
      <c r="BZ423" s="341">
        <f t="shared" ref="BZ423:BZ428" si="164">0.74*BS423+0.13*BT423+0.13*BU423</f>
        <v>0.68967566304480643</v>
      </c>
      <c r="CB423" s="243">
        <f t="shared" si="79"/>
        <v>0.64340301100034303</v>
      </c>
      <c r="CD423" s="243">
        <f t="shared" si="82"/>
        <v>0.64340301100034303</v>
      </c>
      <c r="CG423" s="734">
        <f t="shared" si="149"/>
        <v>6.8996966000000004</v>
      </c>
      <c r="CJ423" s="1264">
        <f t="shared" si="125"/>
        <v>0.79741404289037643</v>
      </c>
    </row>
    <row r="424" spans="1:88" x14ac:dyDescent="0.2">
      <c r="A424" s="19">
        <v>40421</v>
      </c>
      <c r="B424" s="262">
        <v>-4.5144299999999999</v>
      </c>
      <c r="C424" s="262">
        <v>-4.3496300000000003</v>
      </c>
      <c r="D424" s="262">
        <v>-4.6753200000000001</v>
      </c>
      <c r="E424" s="262">
        <v>-4.9399800000000003</v>
      </c>
      <c r="F424" s="262">
        <v>-4.4714700000000001</v>
      </c>
      <c r="G424" s="262">
        <v>-5.3963099999999997</v>
      </c>
      <c r="H424" s="262">
        <v>-7.4037899999999999</v>
      </c>
      <c r="I424" s="262">
        <v>-7.2906000000000004</v>
      </c>
      <c r="J424" s="262">
        <v>-7.51938</v>
      </c>
      <c r="K424" s="262">
        <v>-7.4658300000000004</v>
      </c>
      <c r="L424" s="262">
        <v>-7.1297800000000002</v>
      </c>
      <c r="M424" s="262">
        <v>-7.7938299999999998</v>
      </c>
      <c r="N424" s="262">
        <f t="shared" si="161"/>
        <v>-7.4658300000000004</v>
      </c>
      <c r="O424" s="262">
        <f t="shared" ref="O424:P426" si="165">L424</f>
        <v>-7.1297800000000002</v>
      </c>
      <c r="P424" s="262">
        <f t="shared" si="165"/>
        <v>-7.7938299999999998</v>
      </c>
      <c r="Q424" s="262">
        <v>-6.3366600000000002</v>
      </c>
      <c r="R424" s="262">
        <v>-5.9205100000000002</v>
      </c>
      <c r="S424" s="262">
        <v>-4.7072799999999999</v>
      </c>
      <c r="T424" s="128">
        <f t="shared" si="80"/>
        <v>-4.7072799999999999</v>
      </c>
      <c r="U424" s="262">
        <v>-2.7269999999999999</v>
      </c>
      <c r="V424" s="262">
        <v>-2.8831500000000001</v>
      </c>
      <c r="W424" s="262">
        <v>1.2865500000000001</v>
      </c>
      <c r="X424" s="262">
        <v>0.81442000000000003</v>
      </c>
      <c r="Y424" s="262">
        <v>1.171</v>
      </c>
      <c r="Z424" s="262" t="e">
        <v>#N/A</v>
      </c>
      <c r="AA424" s="262">
        <v>-3.0911</v>
      </c>
      <c r="AB424" s="262"/>
      <c r="AC424" s="262">
        <v>-3.48692</v>
      </c>
      <c r="AD424" s="277">
        <v>-2.66242</v>
      </c>
      <c r="AE424" s="277">
        <f t="shared" si="162"/>
        <v>-2.66242</v>
      </c>
      <c r="AF424" s="277">
        <f t="shared" si="158"/>
        <v>-2.7269999999999999</v>
      </c>
      <c r="AG424" s="1301">
        <v>3.3115100000000002</v>
      </c>
      <c r="AH424" s="1329">
        <v>-1.42</v>
      </c>
      <c r="AI424" s="277">
        <v>3.653E-2</v>
      </c>
      <c r="AJ424" s="277">
        <v>1.7226900000000001</v>
      </c>
      <c r="AK424" s="277"/>
      <c r="AL424" s="277"/>
      <c r="AM424" s="268"/>
      <c r="AN424" s="262">
        <v>-2.72709</v>
      </c>
      <c r="AO424" s="262">
        <v>-2.7269999999999999</v>
      </c>
      <c r="AP424" s="262"/>
      <c r="AQ424" s="262"/>
      <c r="AR424" s="262"/>
      <c r="AS424" s="262"/>
      <c r="AT424" s="262"/>
      <c r="AU424" s="262"/>
      <c r="AV424" s="510">
        <v>0.36</v>
      </c>
      <c r="AW424" s="510">
        <v>7.0000000000000007E-2</v>
      </c>
      <c r="AX424" s="510">
        <v>7.0000000000000007E-2</v>
      </c>
      <c r="AY424" s="510">
        <v>0.27</v>
      </c>
      <c r="AZ424" s="510"/>
      <c r="BA424" s="510">
        <v>0.19</v>
      </c>
      <c r="BB424" s="510">
        <v>0.04</v>
      </c>
      <c r="BC424" s="510">
        <f t="shared" si="160"/>
        <v>1</v>
      </c>
      <c r="BD424" s="747">
        <f t="shared" si="132"/>
        <v>-2.5319026</v>
      </c>
      <c r="BE424" s="243">
        <f t="shared" si="133"/>
        <v>-2.2476311</v>
      </c>
      <c r="BF424" s="329">
        <v>0.30399999999999999</v>
      </c>
      <c r="BG424" s="329">
        <v>7.0000000000000007E-2</v>
      </c>
      <c r="BH424" s="329"/>
      <c r="BI424" s="329">
        <v>7.0000000000000007E-2</v>
      </c>
      <c r="BJ424" s="329"/>
      <c r="BK424" s="329">
        <v>0.156</v>
      </c>
      <c r="BL424" s="329">
        <v>1.7999999999999999E-2</v>
      </c>
      <c r="BM424" s="329">
        <v>0.24199999999999999</v>
      </c>
      <c r="BN424" s="329">
        <v>0.04</v>
      </c>
      <c r="BO424" s="329">
        <v>0.1</v>
      </c>
      <c r="BP424" s="329">
        <f t="shared" si="163"/>
        <v>1</v>
      </c>
      <c r="BQ424" s="748">
        <f t="shared" si="148"/>
        <v>-2.5405386200000004</v>
      </c>
      <c r="BS424" s="615">
        <f t="array" ref="BS424">100*((1+8.5/100)^(1/12)-1)</f>
        <v>0.68214933659622723</v>
      </c>
      <c r="BT424" s="615">
        <f t="array" ref="BT424">100*((1+8.75/100)^(1/12)-1)</f>
        <v>0.70146116041400752</v>
      </c>
      <c r="BU424" s="615">
        <f t="array" ref="BU424">100*((1+9/100)^(1/12)-1)</f>
        <v>0.72073233161367156</v>
      </c>
      <c r="BV424" s="615">
        <f t="array" ref="BV424">100*((1+5/100)^(1/12)-1)</f>
        <v>0.40741237836483535</v>
      </c>
      <c r="BW424" s="615">
        <f t="array" ref="BW424">100*((1+9/100)^(1/12)-1)</f>
        <v>0.72073233161367156</v>
      </c>
      <c r="BX424" s="749">
        <f t="array" ref="BX424">((1+6.75/100)^(1/12)-1)*100</f>
        <v>0.54581304569467637</v>
      </c>
      <c r="BY424" s="615">
        <f t="shared" si="153"/>
        <v>0.74610833265813525</v>
      </c>
      <c r="BZ424" s="341">
        <f t="shared" si="164"/>
        <v>0.68967566304480643</v>
      </c>
      <c r="CB424" s="243">
        <f t="shared" si="79"/>
        <v>0.64340301100034303</v>
      </c>
      <c r="CD424" s="243">
        <f t="shared" si="82"/>
        <v>0.64340301100034303</v>
      </c>
      <c r="CG424" s="734">
        <f t="shared" si="149"/>
        <v>-4.9872030000000001</v>
      </c>
      <c r="CJ424" s="1264">
        <f t="shared" si="125"/>
        <v>0.79741404289037643</v>
      </c>
    </row>
    <row r="425" spans="1:88" x14ac:dyDescent="0.2">
      <c r="A425" s="19">
        <v>40451</v>
      </c>
      <c r="B425" s="262">
        <v>8.9244400000000006</v>
      </c>
      <c r="C425" s="262">
        <v>10.12304</v>
      </c>
      <c r="D425" s="262">
        <v>7.7410300000000003</v>
      </c>
      <c r="E425" s="262">
        <v>11.30566</v>
      </c>
      <c r="F425" s="262">
        <v>12.39156</v>
      </c>
      <c r="G425" s="262">
        <v>10.22866</v>
      </c>
      <c r="H425" s="262">
        <v>12.45964</v>
      </c>
      <c r="I425" s="262">
        <v>14.15428</v>
      </c>
      <c r="J425" s="262">
        <v>10.736890000000001</v>
      </c>
      <c r="K425" s="262">
        <v>11.40082</v>
      </c>
      <c r="L425" s="262">
        <v>11.78471</v>
      </c>
      <c r="M425" s="262">
        <v>11.02177</v>
      </c>
      <c r="N425" s="262">
        <f t="shared" si="161"/>
        <v>11.40082</v>
      </c>
      <c r="O425" s="262">
        <f t="shared" si="165"/>
        <v>11.78471</v>
      </c>
      <c r="P425" s="262">
        <f t="shared" si="165"/>
        <v>11.02177</v>
      </c>
      <c r="Q425" s="262">
        <v>13.245139999999999</v>
      </c>
      <c r="R425" s="262">
        <v>11.435689999999999</v>
      </c>
      <c r="S425" s="262">
        <v>9.4416700000000002</v>
      </c>
      <c r="T425" s="128">
        <f t="shared" si="80"/>
        <v>9.4416700000000002</v>
      </c>
      <c r="U425" s="262">
        <v>9.9719999999999995</v>
      </c>
      <c r="V425" s="262">
        <v>11.423959999999999</v>
      </c>
      <c r="W425" s="262">
        <v>0.10672</v>
      </c>
      <c r="X425" s="262">
        <v>0.20931</v>
      </c>
      <c r="Y425" s="262">
        <v>0.47299999999999998</v>
      </c>
      <c r="Z425" s="262" t="e">
        <v>#N/A</v>
      </c>
      <c r="AA425" s="262">
        <v>9.8215900000000005</v>
      </c>
      <c r="AB425" s="262"/>
      <c r="AC425" s="262">
        <v>8.9794400000000003</v>
      </c>
      <c r="AD425" s="277">
        <v>6.5990200000000003</v>
      </c>
      <c r="AE425" s="277">
        <f t="shared" si="162"/>
        <v>6.5990200000000003</v>
      </c>
      <c r="AF425" s="277">
        <f t="shared" si="158"/>
        <v>9.9719999999999995</v>
      </c>
      <c r="AG425" s="1301">
        <v>3.3115100000000002</v>
      </c>
      <c r="AH425" s="1329">
        <v>4.5999999999999996</v>
      </c>
      <c r="AI425" s="277">
        <v>3.0126499999999998</v>
      </c>
      <c r="AJ425" s="277">
        <v>0.60207999999999995</v>
      </c>
      <c r="AK425" s="277">
        <v>7.2603</v>
      </c>
      <c r="AL425" s="277"/>
      <c r="AM425" s="268"/>
      <c r="AN425" s="262">
        <v>9.9717099999999999</v>
      </c>
      <c r="AO425" s="262">
        <v>9.9719999999999995</v>
      </c>
      <c r="AP425" s="262"/>
      <c r="AQ425" s="262"/>
      <c r="AR425" s="262"/>
      <c r="AS425" s="262"/>
      <c r="AT425" s="262"/>
      <c r="AU425" s="262"/>
      <c r="AV425" s="510">
        <v>0.36</v>
      </c>
      <c r="AW425" s="510">
        <v>7.0000000000000007E-2</v>
      </c>
      <c r="AX425" s="510">
        <v>7.0000000000000007E-2</v>
      </c>
      <c r="AY425" s="510">
        <v>0.27</v>
      </c>
      <c r="AZ425" s="510"/>
      <c r="BA425" s="510">
        <v>0.19</v>
      </c>
      <c r="BB425" s="510">
        <v>0.04</v>
      </c>
      <c r="BC425" s="510">
        <f t="shared" si="160"/>
        <v>1</v>
      </c>
      <c r="BD425" s="747">
        <f t="shared" si="132"/>
        <v>6.8582068000000005</v>
      </c>
      <c r="BE425" s="243">
        <f t="shared" si="133"/>
        <v>6.4356347999999999</v>
      </c>
      <c r="BF425" s="329">
        <v>0.30399999999999999</v>
      </c>
      <c r="BG425" s="329">
        <v>7.0000000000000007E-2</v>
      </c>
      <c r="BH425" s="329"/>
      <c r="BI425" s="329">
        <v>7.0000000000000007E-2</v>
      </c>
      <c r="BJ425" s="329"/>
      <c r="BK425" s="329">
        <v>0.156</v>
      </c>
      <c r="BL425" s="329">
        <v>1.7999999999999999E-2</v>
      </c>
      <c r="BM425" s="329">
        <v>0.24199999999999999</v>
      </c>
      <c r="BN425" s="329">
        <v>0.04</v>
      </c>
      <c r="BO425" s="329">
        <v>0.1</v>
      </c>
      <c r="BP425" s="329">
        <f t="shared" si="163"/>
        <v>1</v>
      </c>
      <c r="BQ425" s="748">
        <f t="shared" si="148"/>
        <v>6.8819352799999995</v>
      </c>
      <c r="BS425" s="615">
        <f t="array" ref="BS425">100*((1+8.5/100)^(1/12)-1)</f>
        <v>0.68214933659622723</v>
      </c>
      <c r="BT425" s="615">
        <f t="array" ref="BT425">100*((1+8.75/100)^(1/12)-1)</f>
        <v>0.70146116041400752</v>
      </c>
      <c r="BU425" s="615">
        <f t="array" ref="BU425">100*((1+9/100)^(1/12)-1)</f>
        <v>0.72073233161367156</v>
      </c>
      <c r="BV425" s="615">
        <f t="array" ref="BV425">100*((1+5/100)^(1/12)-1)</f>
        <v>0.40741237836483535</v>
      </c>
      <c r="BW425" s="615">
        <f t="array" ref="BW425">100*((1+9/100)^(1/12)-1)</f>
        <v>0.72073233161367156</v>
      </c>
      <c r="BX425" s="749">
        <f t="array" ref="BX425">((1+6.75/100)^(1/12)-1)*100</f>
        <v>0.54581304569467637</v>
      </c>
      <c r="BY425" s="615">
        <f t="shared" si="153"/>
        <v>0.74610833265813525</v>
      </c>
      <c r="BZ425" s="341">
        <f t="shared" si="164"/>
        <v>0.68967566304480643</v>
      </c>
      <c r="CB425" s="243">
        <f t="shared" si="79"/>
        <v>0.64340301100034303</v>
      </c>
      <c r="CD425" s="243">
        <f t="shared" si="82"/>
        <v>0.64340301100034303</v>
      </c>
      <c r="CG425" s="734">
        <f t="shared" si="149"/>
        <v>9.6045040000000004</v>
      </c>
      <c r="CJ425" s="1264">
        <f t="shared" si="125"/>
        <v>0.79741404289037643</v>
      </c>
    </row>
    <row r="426" spans="1:88" x14ac:dyDescent="0.2">
      <c r="A426" s="19">
        <v>40482</v>
      </c>
      <c r="B426" s="262">
        <v>3.8049200000000001</v>
      </c>
      <c r="C426" s="262">
        <v>5.0099</v>
      </c>
      <c r="D426" s="262">
        <v>2.5894599999999999</v>
      </c>
      <c r="E426" s="262">
        <v>3.4494400000000001</v>
      </c>
      <c r="F426" s="262">
        <v>3.8970400000000001</v>
      </c>
      <c r="G426" s="262">
        <v>2.99315</v>
      </c>
      <c r="H426" s="262">
        <v>4.0921200000000004</v>
      </c>
      <c r="I426" s="262">
        <v>4.3026200000000001</v>
      </c>
      <c r="J426" s="262">
        <v>3.8743500000000002</v>
      </c>
      <c r="K426" s="262">
        <v>4.2533000000000003</v>
      </c>
      <c r="L426" s="262">
        <v>4.6064600000000002</v>
      </c>
      <c r="M426" s="262">
        <v>3.9102000000000001</v>
      </c>
      <c r="N426" s="262">
        <f t="shared" si="161"/>
        <v>4.2533000000000003</v>
      </c>
      <c r="O426" s="262">
        <f t="shared" si="165"/>
        <v>4.6064600000000002</v>
      </c>
      <c r="P426" s="262">
        <f t="shared" si="165"/>
        <v>3.9102000000000001</v>
      </c>
      <c r="Q426" s="262">
        <v>3.7604700000000002</v>
      </c>
      <c r="R426" s="262">
        <v>3.8348900000000001</v>
      </c>
      <c r="S426" s="262">
        <v>3.9077199999999999</v>
      </c>
      <c r="T426" s="128">
        <f t="shared" si="80"/>
        <v>3.9077199999999999</v>
      </c>
      <c r="U426" s="262">
        <v>3.41628</v>
      </c>
      <c r="V426" s="262">
        <v>3.8665799999999999</v>
      </c>
      <c r="W426" s="262">
        <v>0.35583999999999999</v>
      </c>
      <c r="X426" s="262">
        <v>0.68054000000000003</v>
      </c>
      <c r="Y426" s="262">
        <v>0.47815000000000002</v>
      </c>
      <c r="Z426" s="262" t="e">
        <v>#N/A</v>
      </c>
      <c r="AA426" s="262">
        <v>3.6179199999999998</v>
      </c>
      <c r="AB426" s="262"/>
      <c r="AC426" s="262">
        <v>3.9395099999999998</v>
      </c>
      <c r="AD426" s="277">
        <v>2.8092600000000001</v>
      </c>
      <c r="AE426" s="277">
        <f t="shared" si="162"/>
        <v>2.8092600000000001</v>
      </c>
      <c r="AF426" s="277">
        <f t="shared" ref="AF426:AF431" si="166">U426</f>
        <v>3.41628</v>
      </c>
      <c r="AG426" s="1301">
        <v>3.86</v>
      </c>
      <c r="AH426" s="1329">
        <v>4.88</v>
      </c>
      <c r="AI426" s="277">
        <v>2.5827</v>
      </c>
      <c r="AJ426" s="277">
        <v>2.6515200000000001</v>
      </c>
      <c r="AK426" s="277">
        <v>4.9828000000000001</v>
      </c>
      <c r="AL426" s="277">
        <v>2.91235</v>
      </c>
      <c r="AM426" s="268"/>
      <c r="AN426" s="262">
        <v>3.41628</v>
      </c>
      <c r="AO426" s="262">
        <v>3.41628</v>
      </c>
      <c r="AP426" s="262"/>
      <c r="AQ426" s="262"/>
      <c r="AR426" s="262"/>
      <c r="AS426" s="262"/>
      <c r="AT426" s="262"/>
      <c r="AU426" s="262"/>
      <c r="AV426" s="510">
        <v>0.36</v>
      </c>
      <c r="AW426" s="510">
        <v>7.0000000000000007E-2</v>
      </c>
      <c r="AX426" s="510">
        <v>7.0000000000000007E-2</v>
      </c>
      <c r="AY426" s="510">
        <v>0.27</v>
      </c>
      <c r="AZ426" s="510"/>
      <c r="BA426" s="510">
        <v>0.19</v>
      </c>
      <c r="BB426" s="510">
        <v>0.04</v>
      </c>
      <c r="BC426" s="510">
        <f t="shared" si="160"/>
        <v>1</v>
      </c>
      <c r="BD426" s="747">
        <f t="shared" si="132"/>
        <v>2.8085329999999997</v>
      </c>
      <c r="BE426" s="243">
        <f t="shared" si="133"/>
        <v>2.6421945</v>
      </c>
      <c r="BF426" s="329">
        <v>0.30399999999999999</v>
      </c>
      <c r="BG426" s="329">
        <v>7.0000000000000007E-2</v>
      </c>
      <c r="BH426" s="329"/>
      <c r="BI426" s="329">
        <v>7.0000000000000007E-2</v>
      </c>
      <c r="BJ426" s="329"/>
      <c r="BK426" s="329">
        <v>0.156</v>
      </c>
      <c r="BL426" s="329">
        <v>1.7999999999999999E-2</v>
      </c>
      <c r="BM426" s="329">
        <v>0.24199999999999999</v>
      </c>
      <c r="BN426" s="329">
        <v>0.04</v>
      </c>
      <c r="BO426" s="329">
        <v>0.1</v>
      </c>
      <c r="BP426" s="329">
        <f t="shared" si="163"/>
        <v>1</v>
      </c>
      <c r="BQ426" s="748">
        <f t="shared" si="148"/>
        <v>2.8198648799999999</v>
      </c>
      <c r="BS426" s="615">
        <f t="array" ref="BS426">100*((1+8.5/100)^(1/12)-1)</f>
        <v>0.68214933659622723</v>
      </c>
      <c r="BT426" s="615">
        <f t="array" ref="BT426">100*((1+8.75/100)^(1/12)-1)</f>
        <v>0.70146116041400752</v>
      </c>
      <c r="BU426" s="615">
        <f t="array" ref="BU426">100*((1+9/100)^(1/12)-1)</f>
        <v>0.72073233161367156</v>
      </c>
      <c r="BV426" s="615">
        <f t="array" ref="BV426">100*((1+5/100)^(1/12)-1)</f>
        <v>0.40741237836483535</v>
      </c>
      <c r="BW426" s="615">
        <f t="array" ref="BW426">100*((1+9/100)^(1/12)-1)</f>
        <v>0.72073233161367156</v>
      </c>
      <c r="BX426" s="749">
        <f t="array" ref="BX426">((1+6.75/100)^(1/12)-1)*100</f>
        <v>0.54581304569467637</v>
      </c>
      <c r="BY426" s="615">
        <f t="shared" si="153"/>
        <v>0.74610833265813525</v>
      </c>
      <c r="BZ426" s="341">
        <f t="shared" si="164"/>
        <v>0.68967566304480643</v>
      </c>
      <c r="CB426" s="243">
        <f t="shared" si="79"/>
        <v>0.64340301100034303</v>
      </c>
      <c r="CD426" s="243">
        <f t="shared" si="82"/>
        <v>0.64340301100034303</v>
      </c>
      <c r="CG426" s="734">
        <f t="shared" si="149"/>
        <v>3.8179259999999999</v>
      </c>
      <c r="CJ426" s="1264">
        <f t="shared" si="125"/>
        <v>0.79741404289037643</v>
      </c>
    </row>
    <row r="427" spans="1:88" x14ac:dyDescent="0.2">
      <c r="A427" s="19">
        <v>40512</v>
      </c>
      <c r="B427" s="262">
        <v>1.282E-2</v>
      </c>
      <c r="C427" s="262">
        <v>0.47443000000000002</v>
      </c>
      <c r="D427" s="262">
        <v>-0.46323999999999999</v>
      </c>
      <c r="E427" s="262">
        <v>2.9697499999999999</v>
      </c>
      <c r="F427" s="262">
        <v>4.5127199999999998</v>
      </c>
      <c r="G427" s="262">
        <v>1.3675200000000001</v>
      </c>
      <c r="H427" s="262">
        <v>3.4673699999999998</v>
      </c>
      <c r="I427" s="262">
        <v>4.3583400000000001</v>
      </c>
      <c r="J427" s="262">
        <v>2.5415199999999998</v>
      </c>
      <c r="K427" s="262">
        <v>3.56467</v>
      </c>
      <c r="L427" s="262">
        <v>4.6677499999999998</v>
      </c>
      <c r="M427" s="262">
        <v>2.4909500000000002</v>
      </c>
      <c r="N427" s="262">
        <f t="shared" si="161"/>
        <v>3.56467</v>
      </c>
      <c r="O427" s="262">
        <f t="shared" ref="O427:P429" si="167">L427</f>
        <v>4.6677499999999998</v>
      </c>
      <c r="P427" s="262">
        <f t="shared" si="167"/>
        <v>2.4909500000000002</v>
      </c>
      <c r="Q427" s="262">
        <v>4.02949</v>
      </c>
      <c r="R427" s="262">
        <v>2.8133900000000001</v>
      </c>
      <c r="S427" s="262">
        <v>0.57728999999999997</v>
      </c>
      <c r="T427" s="128">
        <f t="shared" si="80"/>
        <v>0.57728999999999997</v>
      </c>
      <c r="U427" s="262">
        <v>-3.8372799999999998</v>
      </c>
      <c r="V427" s="262">
        <v>-3.5663299999999998</v>
      </c>
      <c r="W427" s="262">
        <v>-0.57477999999999996</v>
      </c>
      <c r="X427" s="262">
        <v>-0.48004999999999998</v>
      </c>
      <c r="Y427" s="262">
        <v>-0.67261000000000004</v>
      </c>
      <c r="Z427" s="262" t="e">
        <v>#N/A</v>
      </c>
      <c r="AA427" s="262">
        <v>-4.7890300000000003</v>
      </c>
      <c r="AB427" s="262"/>
      <c r="AC427" s="262">
        <v>-6.4515700000000002</v>
      </c>
      <c r="AD427" s="277">
        <v>-0.92</v>
      </c>
      <c r="AE427" s="277">
        <f t="shared" si="162"/>
        <v>-0.92</v>
      </c>
      <c r="AF427" s="277">
        <f t="shared" si="166"/>
        <v>-3.8372799999999998</v>
      </c>
      <c r="AG427" s="277">
        <v>3.86</v>
      </c>
      <c r="AH427" s="277">
        <v>-1.62</v>
      </c>
      <c r="AI427" s="277">
        <v>-1.1687099999999999</v>
      </c>
      <c r="AJ427" s="277">
        <v>-1.6935</v>
      </c>
      <c r="AK427" s="277">
        <v>-0.35399999999999998</v>
      </c>
      <c r="AL427" s="277">
        <v>-2.6357599999999999</v>
      </c>
      <c r="AM427" s="268"/>
      <c r="AN427" s="262">
        <v>-3.8372799999999998</v>
      </c>
      <c r="AO427" s="262">
        <v>-3.8372799999999998</v>
      </c>
      <c r="AP427" s="262"/>
      <c r="AQ427" s="262"/>
      <c r="AR427" s="262"/>
      <c r="AS427" s="262"/>
      <c r="AT427" s="262"/>
      <c r="AU427" s="262"/>
      <c r="AV427" s="510">
        <v>0.36</v>
      </c>
      <c r="AW427" s="510">
        <v>7.0000000000000007E-2</v>
      </c>
      <c r="AX427" s="510">
        <v>7.0000000000000007E-2</v>
      </c>
      <c r="AY427" s="510">
        <v>0.27</v>
      </c>
      <c r="AZ427" s="510"/>
      <c r="BA427" s="510">
        <v>0.19</v>
      </c>
      <c r="BB427" s="510">
        <v>0.04</v>
      </c>
      <c r="BC427" s="510">
        <f t="shared" ref="BC427:BC432" si="168">SUM(AV427:BB427)</f>
        <v>1</v>
      </c>
      <c r="BD427" s="747">
        <f t="shared" si="132"/>
        <v>-0.2678491999999999</v>
      </c>
      <c r="BE427" s="243">
        <f t="shared" si="133"/>
        <v>-0.30212070000000002</v>
      </c>
      <c r="BF427" s="329">
        <v>0.30399999999999999</v>
      </c>
      <c r="BG427" s="329">
        <v>7.0000000000000007E-2</v>
      </c>
      <c r="BH427" s="329"/>
      <c r="BI427" s="329">
        <v>7.0000000000000007E-2</v>
      </c>
      <c r="BJ427" s="329"/>
      <c r="BK427" s="329">
        <v>0.156</v>
      </c>
      <c r="BL427" s="329">
        <v>1.7999999999999999E-2</v>
      </c>
      <c r="BM427" s="329">
        <v>0.24199999999999999</v>
      </c>
      <c r="BN427" s="329">
        <v>0.04</v>
      </c>
      <c r="BO427" s="329">
        <v>0.1</v>
      </c>
      <c r="BP427" s="329">
        <f t="shared" si="163"/>
        <v>1</v>
      </c>
      <c r="BQ427" s="748">
        <f t="shared" si="148"/>
        <v>-0.27819969999999988</v>
      </c>
      <c r="BS427" s="615">
        <f t="array" ref="BS427">100*((1+8.5/100)^(1/12)-1)</f>
        <v>0.68214933659622723</v>
      </c>
      <c r="BT427" s="615">
        <f t="array" ref="BT427">100*((1+8.75/100)^(1/12)-1)</f>
        <v>0.70146116041400752</v>
      </c>
      <c r="BU427" s="615">
        <f t="array" ref="BU427">100*((1+9/100)^(1/12)-1)</f>
        <v>0.72073233161367156</v>
      </c>
      <c r="BV427" s="615">
        <f t="array" ref="BV427">100*((1+5/100)^(1/12)-1)</f>
        <v>0.40741237836483535</v>
      </c>
      <c r="BW427" s="615">
        <f t="array" ref="BW427">100*((1+9/100)^(1/12)-1)</f>
        <v>0.72073233161367156</v>
      </c>
      <c r="BX427" s="749">
        <f t="array" ref="BX427">((1+6.75/100)^(1/12)-1)*100</f>
        <v>0.54581304569467637</v>
      </c>
      <c r="BY427" s="615">
        <f t="shared" si="153"/>
        <v>0.74610833265813525</v>
      </c>
      <c r="BZ427" s="341">
        <f t="shared" si="164"/>
        <v>0.68967566304480643</v>
      </c>
      <c r="CB427" s="243">
        <f t="shared" si="79"/>
        <v>0.64340301100034303</v>
      </c>
      <c r="CD427" s="243">
        <f t="shared" si="82"/>
        <v>0.64340301100034303</v>
      </c>
      <c r="CG427" s="734">
        <f t="shared" si="149"/>
        <v>0.92404920000000002</v>
      </c>
      <c r="CJ427" s="1264">
        <f t="shared" si="125"/>
        <v>0.79741404289037643</v>
      </c>
    </row>
    <row r="428" spans="1:88" x14ac:dyDescent="0.2">
      <c r="A428" s="19">
        <v>40543</v>
      </c>
      <c r="B428" s="262">
        <v>6.6831899999999997</v>
      </c>
      <c r="C428" s="262">
        <v>5.2236700000000003</v>
      </c>
      <c r="D428" s="262">
        <v>8.2232599999999998</v>
      </c>
      <c r="E428" s="262">
        <v>6.5536300000000001</v>
      </c>
      <c r="F428" s="262">
        <v>5.4897299999999998</v>
      </c>
      <c r="G428" s="262">
        <v>7.64093</v>
      </c>
      <c r="H428" s="262">
        <v>7.9407899999999998</v>
      </c>
      <c r="I428" s="262">
        <v>7.5917500000000002</v>
      </c>
      <c r="J428" s="262">
        <v>8.3084399999999992</v>
      </c>
      <c r="K428" s="262">
        <v>7.6608200000000002</v>
      </c>
      <c r="L428" s="262">
        <v>6.4178600000000001</v>
      </c>
      <c r="M428" s="262">
        <v>8.89499</v>
      </c>
      <c r="N428" s="262">
        <f t="shared" si="161"/>
        <v>7.6608200000000002</v>
      </c>
      <c r="O428" s="262">
        <f t="shared" si="167"/>
        <v>6.4178600000000001</v>
      </c>
      <c r="P428" s="262">
        <f t="shared" si="167"/>
        <v>8.89499</v>
      </c>
      <c r="Q428" s="262">
        <v>7.4661900000000001</v>
      </c>
      <c r="R428" s="262">
        <v>7.5880299999999998</v>
      </c>
      <c r="S428" s="262">
        <v>6.7789099999999998</v>
      </c>
      <c r="T428" s="128">
        <f t="shared" si="80"/>
        <v>6.7789099999999998</v>
      </c>
      <c r="U428" s="262">
        <v>7.8455700000000004</v>
      </c>
      <c r="V428" s="262">
        <v>11.653829999999999</v>
      </c>
      <c r="W428" s="262">
        <v>-1.0783199999999999</v>
      </c>
      <c r="X428" s="262">
        <v>-0.94860999999999995</v>
      </c>
      <c r="Y428" s="262">
        <v>-1.2487299999999999</v>
      </c>
      <c r="Z428" s="262" t="e">
        <v>#N/A</v>
      </c>
      <c r="AA428" s="262">
        <v>8.1063799999999997</v>
      </c>
      <c r="AB428" s="262"/>
      <c r="AC428" s="262">
        <v>8.3656799999999993</v>
      </c>
      <c r="AD428" s="277">
        <v>4.7376800000000001</v>
      </c>
      <c r="AE428" s="277">
        <f t="shared" si="162"/>
        <v>4.7376800000000001</v>
      </c>
      <c r="AF428" s="277">
        <f t="shared" si="166"/>
        <v>7.8455700000000004</v>
      </c>
      <c r="AG428" s="277">
        <v>3.86</v>
      </c>
      <c r="AH428" s="277">
        <v>4.8499999999999996</v>
      </c>
      <c r="AI428" s="277">
        <v>1.8131900000000001</v>
      </c>
      <c r="AJ428" s="277">
        <v>-1.5459799999999999</v>
      </c>
      <c r="AK428" s="277">
        <v>10.689</v>
      </c>
      <c r="AL428" s="277">
        <v>7.1477300000000001</v>
      </c>
      <c r="AM428" s="268"/>
      <c r="AN428" s="262">
        <v>7.8455700000000004</v>
      </c>
      <c r="AO428" s="262">
        <v>7.8455700000000004</v>
      </c>
      <c r="AP428" s="262"/>
      <c r="AQ428" s="262"/>
      <c r="AR428" s="262"/>
      <c r="AS428" s="262"/>
      <c r="AT428" s="262"/>
      <c r="AU428" s="262"/>
      <c r="AV428" s="510">
        <v>0.36</v>
      </c>
      <c r="AW428" s="510">
        <v>7.0000000000000007E-2</v>
      </c>
      <c r="AX428" s="510">
        <v>7.0000000000000007E-2</v>
      </c>
      <c r="AY428" s="510">
        <v>0.27</v>
      </c>
      <c r="AZ428" s="510"/>
      <c r="BA428" s="510">
        <v>0.19</v>
      </c>
      <c r="BB428" s="510">
        <v>0.04</v>
      </c>
      <c r="BC428" s="510">
        <f t="shared" si="168"/>
        <v>1</v>
      </c>
      <c r="BD428" s="747">
        <f t="shared" si="132"/>
        <v>4.7548718000000001</v>
      </c>
      <c r="BE428" s="243">
        <f t="shared" si="133"/>
        <v>4.3582758000000004</v>
      </c>
      <c r="BF428" s="329">
        <v>0.30399999999999999</v>
      </c>
      <c r="BG428" s="329">
        <v>7.0000000000000007E-2</v>
      </c>
      <c r="BH428" s="329"/>
      <c r="BI428" s="329">
        <v>7.0000000000000007E-2</v>
      </c>
      <c r="BJ428" s="329"/>
      <c r="BK428" s="329">
        <v>0.156</v>
      </c>
      <c r="BL428" s="329">
        <v>1.7999999999999999E-2</v>
      </c>
      <c r="BM428" s="329">
        <v>0.24199999999999999</v>
      </c>
      <c r="BN428" s="329">
        <v>0.04</v>
      </c>
      <c r="BO428" s="329">
        <v>0.1</v>
      </c>
      <c r="BP428" s="329">
        <f t="shared" si="163"/>
        <v>1</v>
      </c>
      <c r="BQ428" s="748">
        <f t="shared" si="148"/>
        <v>4.8275936800000006</v>
      </c>
      <c r="BS428" s="615">
        <f t="array" ref="BS428">100*((1+8.5/100)^(1/12)-1)</f>
        <v>0.68214933659622723</v>
      </c>
      <c r="BT428" s="615">
        <f t="array" ref="BT428">100*((1+8.75/100)^(1/12)-1)</f>
        <v>0.70146116041400752</v>
      </c>
      <c r="BU428" s="615">
        <f t="array" ref="BU428">100*((1+9/100)^(1/12)-1)</f>
        <v>0.72073233161367156</v>
      </c>
      <c r="BV428" s="615">
        <f t="array" ref="BV428">100*((1+5/100)^(1/12)-1)</f>
        <v>0.40741237836483535</v>
      </c>
      <c r="BW428" s="615">
        <f t="array" ref="BW428">100*((1+9/100)^(1/12)-1)</f>
        <v>0.72073233161367156</v>
      </c>
      <c r="BX428" s="749">
        <f t="array" ref="BX428">((1+6.75/100)^(1/12)-1)*100</f>
        <v>0.54581304569467637</v>
      </c>
      <c r="BY428" s="615">
        <f t="shared" si="153"/>
        <v>0.74610833265813525</v>
      </c>
      <c r="BZ428" s="341">
        <f t="shared" si="164"/>
        <v>0.68967566304480643</v>
      </c>
      <c r="CB428" s="243">
        <f t="shared" si="79"/>
        <v>0.64340301100034303</v>
      </c>
      <c r="CD428" s="243">
        <f t="shared" si="82"/>
        <v>0.64340301100034303</v>
      </c>
      <c r="CG428" s="734">
        <f t="shared" si="149"/>
        <v>6.8019198000000003</v>
      </c>
      <c r="CJ428" s="1264">
        <f t="shared" si="125"/>
        <v>0.79741404289037643</v>
      </c>
    </row>
    <row r="429" spans="1:88" x14ac:dyDescent="0.2">
      <c r="A429" s="19">
        <v>40574</v>
      </c>
      <c r="B429" s="262">
        <v>2.3701599999999998</v>
      </c>
      <c r="C429" s="262">
        <v>1.54318</v>
      </c>
      <c r="D429" s="262">
        <v>3.2335500000000001</v>
      </c>
      <c r="E429" s="262">
        <v>1.9984299999999999</v>
      </c>
      <c r="F429" s="262">
        <v>1.35582</v>
      </c>
      <c r="G429" s="262">
        <v>2.63151</v>
      </c>
      <c r="H429" s="262">
        <v>-0.25768000000000002</v>
      </c>
      <c r="I429" s="262">
        <v>-0.55737999999999999</v>
      </c>
      <c r="J429" s="262">
        <v>5.4550000000000001E-2</v>
      </c>
      <c r="K429" s="262">
        <v>0.15126999999999999</v>
      </c>
      <c r="L429" s="262">
        <v>0.36586999999999997</v>
      </c>
      <c r="M429" s="262">
        <v>-5.6059999999999999E-2</v>
      </c>
      <c r="N429" s="262">
        <f t="shared" ref="N429:N434" si="169">K429</f>
        <v>0.15126999999999999</v>
      </c>
      <c r="O429" s="262">
        <f t="shared" si="167"/>
        <v>0.36586999999999997</v>
      </c>
      <c r="P429" s="262">
        <f t="shared" si="167"/>
        <v>-5.6059999999999999E-2</v>
      </c>
      <c r="Q429" s="262">
        <v>1.1322000000000001</v>
      </c>
      <c r="R429" s="262">
        <v>1.3406899999999999</v>
      </c>
      <c r="S429" s="262">
        <v>2.1841599999999999</v>
      </c>
      <c r="T429" s="1342">
        <f t="shared" si="80"/>
        <v>2.1841599999999999</v>
      </c>
      <c r="U429" s="262">
        <v>1.00132</v>
      </c>
      <c r="V429" s="262">
        <v>0.79510000000000003</v>
      </c>
      <c r="W429" s="262">
        <v>0.11615</v>
      </c>
      <c r="X429" s="262">
        <v>0.30674000000000001</v>
      </c>
      <c r="Y429" s="262">
        <v>0.38780999999999999</v>
      </c>
      <c r="Z429" s="262" t="e">
        <v>#N/A</v>
      </c>
      <c r="AA429" s="262">
        <v>2.3729399999999998</v>
      </c>
      <c r="AB429" s="262"/>
      <c r="AC429" s="262">
        <v>4.5312999999999999</v>
      </c>
      <c r="AD429" s="277">
        <v>1.7394799999999999</v>
      </c>
      <c r="AE429" s="277">
        <f t="shared" ref="AE429:AE434" si="170">AD429</f>
        <v>1.7394799999999999</v>
      </c>
      <c r="AF429" s="277">
        <f t="shared" si="166"/>
        <v>1.00132</v>
      </c>
      <c r="AG429" s="277">
        <v>4.62</v>
      </c>
      <c r="AH429" s="277">
        <v>3.48</v>
      </c>
      <c r="AI429" s="277">
        <v>2.2062400000000002</v>
      </c>
      <c r="AJ429" s="277">
        <v>0.19608999999999999</v>
      </c>
      <c r="AK429" s="277">
        <v>1.0029999999999999</v>
      </c>
      <c r="AL429" s="277">
        <v>-2.69408</v>
      </c>
      <c r="AM429" s="268">
        <v>2.4047800000000001</v>
      </c>
      <c r="AN429" s="262">
        <v>1.00132</v>
      </c>
      <c r="AO429" s="262">
        <v>1.00132</v>
      </c>
      <c r="AP429" s="262"/>
      <c r="AQ429" s="262"/>
      <c r="AR429" s="262"/>
      <c r="AS429" s="262"/>
      <c r="AT429" s="262"/>
      <c r="AU429" s="262"/>
      <c r="AV429" s="510">
        <v>0.36</v>
      </c>
      <c r="AW429" s="510">
        <v>7.0000000000000007E-2</v>
      </c>
      <c r="AX429" s="510">
        <v>7.0000000000000007E-2</v>
      </c>
      <c r="AY429" s="510">
        <v>0.27</v>
      </c>
      <c r="AZ429" s="510"/>
      <c r="BA429" s="510">
        <v>0.19</v>
      </c>
      <c r="BB429" s="510">
        <v>0.04</v>
      </c>
      <c r="BC429" s="510">
        <f t="shared" si="168"/>
        <v>1</v>
      </c>
      <c r="BD429" s="747">
        <f t="shared" si="132"/>
        <v>1.4101478999999999</v>
      </c>
      <c r="BE429" s="243">
        <f t="shared" si="133"/>
        <v>1.3110303999999999</v>
      </c>
      <c r="BF429" s="329">
        <v>0.30399999999999999</v>
      </c>
      <c r="BG429" s="329">
        <v>7.0000000000000007E-2</v>
      </c>
      <c r="BH429" s="329"/>
      <c r="BI429" s="329">
        <v>7.0000000000000007E-2</v>
      </c>
      <c r="BJ429" s="329"/>
      <c r="BK429" s="329">
        <v>0.156</v>
      </c>
      <c r="BL429" s="329">
        <v>1.7999999999999999E-2</v>
      </c>
      <c r="BM429" s="329">
        <v>0.24199999999999999</v>
      </c>
      <c r="BN429" s="329">
        <v>0.04</v>
      </c>
      <c r="BO429" s="329">
        <v>0.1</v>
      </c>
      <c r="BP429" s="329">
        <f t="shared" ref="BP429:BP434" si="171">SUM(BF429:BO429)</f>
        <v>1</v>
      </c>
      <c r="BQ429" s="748">
        <f t="shared" si="148"/>
        <v>1.4283816599999999</v>
      </c>
      <c r="BS429" s="615">
        <f t="array" ref="BS429">100*((1+8.5/100)^(1/12)-1)</f>
        <v>0.68214933659622723</v>
      </c>
      <c r="BT429" s="615">
        <f t="array" ref="BT429">100*((1+8.75/100)^(1/12)-1)</f>
        <v>0.70146116041400752</v>
      </c>
      <c r="BU429" s="615">
        <f t="array" ref="BU429">100*((1+9/100)^(1/12)-1)</f>
        <v>0.72073233161367156</v>
      </c>
      <c r="BV429" s="615">
        <f t="array" ref="BV429">100*((1+5/100)^(1/12)-1)</f>
        <v>0.40741237836483535</v>
      </c>
      <c r="BW429" s="615">
        <f t="array" ref="BW429">100*((1+9/100)^(1/12)-1)</f>
        <v>0.72073233161367156</v>
      </c>
      <c r="BX429" s="749">
        <f t="array" ref="BX429">((1+6.75/100)^(1/12)-1)*100</f>
        <v>0.54581304569467637</v>
      </c>
      <c r="BY429" s="615">
        <f t="shared" si="153"/>
        <v>0.74610833265813525</v>
      </c>
      <c r="BZ429" s="341">
        <f t="shared" ref="BZ429:BZ434" si="172">0.74*BS429+0.13*BT429+0.13*BU429</f>
        <v>0.68967566304480643</v>
      </c>
      <c r="CB429" s="243">
        <f t="shared" si="79"/>
        <v>0.64340301100034303</v>
      </c>
      <c r="CD429" s="243">
        <f t="shared" si="82"/>
        <v>0.64340301100034303</v>
      </c>
      <c r="CG429" s="734">
        <f t="shared" si="149"/>
        <v>2.0074731999999997</v>
      </c>
      <c r="CJ429" s="1264">
        <f t="shared" si="125"/>
        <v>0.79741404289037643</v>
      </c>
    </row>
    <row r="430" spans="1:88" x14ac:dyDescent="0.2">
      <c r="A430" s="19">
        <v>40602</v>
      </c>
      <c r="B430" s="262">
        <v>3.4258899999999999</v>
      </c>
      <c r="C430" s="262">
        <v>3.1710500000000001</v>
      </c>
      <c r="D430" s="262">
        <v>3.6881200000000001</v>
      </c>
      <c r="E430" s="262">
        <v>4.6542000000000003</v>
      </c>
      <c r="F430" s="262">
        <v>5.1481399999999997</v>
      </c>
      <c r="G430" s="262">
        <v>4.1781899999999998</v>
      </c>
      <c r="H430" s="262">
        <v>5.4841499999999996</v>
      </c>
      <c r="I430" s="262">
        <v>5.87948</v>
      </c>
      <c r="J430" s="262">
        <v>5.0776500000000002</v>
      </c>
      <c r="K430" s="262">
        <v>4.4066599999999996</v>
      </c>
      <c r="L430" s="262">
        <v>4.5860399999999997</v>
      </c>
      <c r="M430" s="262">
        <v>4.23095</v>
      </c>
      <c r="N430" s="262">
        <f t="shared" si="169"/>
        <v>4.4066599999999996</v>
      </c>
      <c r="O430" s="262">
        <f t="shared" ref="O430:P432" si="173">L430</f>
        <v>4.5860399999999997</v>
      </c>
      <c r="P430" s="262">
        <f t="shared" si="173"/>
        <v>4.23095</v>
      </c>
      <c r="Q430" s="262">
        <v>5.4793000000000003</v>
      </c>
      <c r="R430" s="262">
        <v>4.8795599999999997</v>
      </c>
      <c r="S430" s="262">
        <v>3.6408100000000001</v>
      </c>
      <c r="T430" s="1342">
        <f t="shared" si="80"/>
        <v>3.6408100000000001</v>
      </c>
      <c r="U430" s="262">
        <v>2.6555800000000001</v>
      </c>
      <c r="V430" s="262">
        <v>2.2721399999999998</v>
      </c>
      <c r="W430" s="262">
        <v>0.25023000000000001</v>
      </c>
      <c r="X430" s="262">
        <v>9.7900000000000001E-2</v>
      </c>
      <c r="Y430" s="262">
        <v>-2.666E-2</v>
      </c>
      <c r="Z430" s="262" t="e">
        <v>#N/A</v>
      </c>
      <c r="AA430" s="262">
        <v>3.3202799999999999</v>
      </c>
      <c r="AB430" s="262"/>
      <c r="AC430" s="262">
        <v>3.4310999999999998</v>
      </c>
      <c r="AD430" s="277">
        <v>2.5198100000000001</v>
      </c>
      <c r="AE430" s="277">
        <f t="shared" si="170"/>
        <v>2.5198100000000001</v>
      </c>
      <c r="AF430" s="277">
        <f t="shared" si="166"/>
        <v>2.6555800000000001</v>
      </c>
      <c r="AG430" s="277">
        <v>4.62</v>
      </c>
      <c r="AH430" s="277">
        <v>4.5199999999999996</v>
      </c>
      <c r="AI430" s="277">
        <v>1.3107200000000001</v>
      </c>
      <c r="AJ430" s="277">
        <v>0.85719000000000001</v>
      </c>
      <c r="AK430" s="277">
        <v>1.3179000000000001</v>
      </c>
      <c r="AL430" s="277">
        <v>-0.91776999999999997</v>
      </c>
      <c r="AM430" s="268">
        <v>3.4782999999999999</v>
      </c>
      <c r="AN430" s="262">
        <v>2.6555800000000001</v>
      </c>
      <c r="AO430" s="262">
        <v>2.6555800000000001</v>
      </c>
      <c r="AP430" s="262"/>
      <c r="AQ430" s="262"/>
      <c r="AR430" s="262"/>
      <c r="AS430" s="262"/>
      <c r="AT430" s="262"/>
      <c r="AU430" s="262"/>
      <c r="AV430" s="510">
        <v>0.36</v>
      </c>
      <c r="AW430" s="510">
        <v>7.0000000000000007E-2</v>
      </c>
      <c r="AX430" s="510">
        <v>7.0000000000000007E-2</v>
      </c>
      <c r="AY430" s="510">
        <v>0.27</v>
      </c>
      <c r="AZ430" s="510"/>
      <c r="BA430" s="510">
        <v>0.19</v>
      </c>
      <c r="BB430" s="510">
        <v>0.04</v>
      </c>
      <c r="BC430" s="510">
        <f t="shared" si="168"/>
        <v>1</v>
      </c>
      <c r="BD430" s="747">
        <f t="shared" si="132"/>
        <v>2.6245029</v>
      </c>
      <c r="BE430" s="243">
        <f t="shared" si="133"/>
        <v>2.4518753999999996</v>
      </c>
      <c r="BF430" s="329">
        <v>0.30399999999999999</v>
      </c>
      <c r="BG430" s="329">
        <v>7.0000000000000007E-2</v>
      </c>
      <c r="BH430" s="329"/>
      <c r="BI430" s="329">
        <v>7.0000000000000007E-2</v>
      </c>
      <c r="BJ430" s="329"/>
      <c r="BK430" s="329">
        <v>0.156</v>
      </c>
      <c r="BL430" s="329">
        <v>1.7999999999999999E-2</v>
      </c>
      <c r="BM430" s="329">
        <v>0.24199999999999999</v>
      </c>
      <c r="BN430" s="329">
        <v>0.04</v>
      </c>
      <c r="BO430" s="329">
        <v>0.1</v>
      </c>
      <c r="BP430" s="329">
        <f t="shared" si="171"/>
        <v>1</v>
      </c>
      <c r="BQ430" s="748">
        <f t="shared" si="148"/>
        <v>2.6282364200000004</v>
      </c>
      <c r="BS430" s="615">
        <f t="array" ref="BS430">100*((1+8.5/100)^(1/12)-1)</f>
        <v>0.68214933659622723</v>
      </c>
      <c r="BT430" s="615">
        <f t="array" ref="BT430">100*((1+8.75/100)^(1/12)-1)</f>
        <v>0.70146116041400752</v>
      </c>
      <c r="BU430" s="615">
        <f t="array" ref="BU430">100*((1+9/100)^(1/12)-1)</f>
        <v>0.72073233161367156</v>
      </c>
      <c r="BV430" s="615">
        <f t="array" ref="BV430">100*((1+5/100)^(1/12)-1)</f>
        <v>0.40741237836483535</v>
      </c>
      <c r="BW430" s="615">
        <f t="array" ref="BW430">100*((1+9/100)^(1/12)-1)</f>
        <v>0.72073233161367156</v>
      </c>
      <c r="BX430" s="749">
        <f t="array" ref="BX430">((1+6.75/100)^(1/12)-1)*100</f>
        <v>0.54581304569467637</v>
      </c>
      <c r="BY430" s="615">
        <f t="shared" si="153"/>
        <v>0.74610833265813525</v>
      </c>
      <c r="BZ430" s="341">
        <f t="shared" si="172"/>
        <v>0.68967566304480643</v>
      </c>
      <c r="CB430" s="243">
        <f t="shared" si="79"/>
        <v>0.64340301100034303</v>
      </c>
      <c r="CD430" s="243">
        <f t="shared" si="82"/>
        <v>0.64340301100034303</v>
      </c>
      <c r="CG430" s="734">
        <f t="shared" si="149"/>
        <v>3.7351611999999998</v>
      </c>
      <c r="CJ430" s="1264">
        <f t="shared" si="125"/>
        <v>0.79741404289037643</v>
      </c>
    </row>
    <row r="431" spans="1:88" x14ac:dyDescent="0.2">
      <c r="A431" s="19">
        <v>40633</v>
      </c>
      <c r="B431" s="262">
        <v>3.9759999999999997E-2</v>
      </c>
      <c r="C431" s="262">
        <v>0.29591000000000001</v>
      </c>
      <c r="D431" s="262">
        <v>-0.22069</v>
      </c>
      <c r="E431" s="262">
        <v>2.4514399999999998</v>
      </c>
      <c r="F431" s="262">
        <v>3.06603</v>
      </c>
      <c r="G431" s="262">
        <v>1.8583099999999999</v>
      </c>
      <c r="H431" s="262">
        <v>2.5916000000000001</v>
      </c>
      <c r="I431" s="262">
        <v>3.75129</v>
      </c>
      <c r="J431" s="262">
        <v>1.3896200000000001</v>
      </c>
      <c r="K431" s="262">
        <v>3.0086200000000001</v>
      </c>
      <c r="L431" s="262">
        <v>3.9779300000000002</v>
      </c>
      <c r="M431" s="262">
        <v>2.0775100000000002</v>
      </c>
      <c r="N431" s="262">
        <f t="shared" si="169"/>
        <v>3.0086200000000001</v>
      </c>
      <c r="O431" s="262">
        <f t="shared" si="173"/>
        <v>3.9779300000000002</v>
      </c>
      <c r="P431" s="262">
        <f t="shared" si="173"/>
        <v>2.0775100000000002</v>
      </c>
      <c r="Q431" s="262">
        <v>2.9631599999999998</v>
      </c>
      <c r="R431" s="262">
        <v>2.2720699999999998</v>
      </c>
      <c r="S431" s="262">
        <v>0.45107000000000003</v>
      </c>
      <c r="T431" s="1342">
        <f t="shared" si="80"/>
        <v>0.45107000000000003</v>
      </c>
      <c r="U431" s="262">
        <v>-0.18964</v>
      </c>
      <c r="V431" s="262">
        <v>-6.2609999999999999E-2</v>
      </c>
      <c r="W431" s="262">
        <v>5.5259999999999997E-2</v>
      </c>
      <c r="X431" s="262">
        <v>7.1690000000000004E-2</v>
      </c>
      <c r="Y431" s="262">
        <v>-2.3050000000000001E-2</v>
      </c>
      <c r="Z431" s="262" t="e">
        <v>#N/A</v>
      </c>
      <c r="AA431" s="262">
        <v>-2.19591</v>
      </c>
      <c r="AB431" s="262"/>
      <c r="AC431" s="262">
        <v>-3.21347</v>
      </c>
      <c r="AD431" s="277">
        <v>-0.31361</v>
      </c>
      <c r="AE431" s="277">
        <f t="shared" si="170"/>
        <v>-0.31361</v>
      </c>
      <c r="AF431" s="277">
        <f t="shared" si="166"/>
        <v>-0.18964</v>
      </c>
      <c r="AG431" s="277">
        <v>4.62</v>
      </c>
      <c r="AH431" s="277">
        <v>-1.41</v>
      </c>
      <c r="AI431" s="277">
        <v>0.32347999999999999</v>
      </c>
      <c r="AJ431" s="277">
        <v>1.0149600000000001</v>
      </c>
      <c r="AK431" s="277">
        <v>2.0644999999999998</v>
      </c>
      <c r="AL431" s="277">
        <v>5.8952</v>
      </c>
      <c r="AM431" s="268">
        <v>0.25853999999999999</v>
      </c>
      <c r="AN431" s="262">
        <v>-2.19591</v>
      </c>
      <c r="AO431" s="262">
        <v>-2.19591</v>
      </c>
      <c r="AP431" s="262"/>
      <c r="AQ431" s="262"/>
      <c r="AR431" s="262"/>
      <c r="AS431" s="262"/>
      <c r="AT431" s="262"/>
      <c r="AU431" s="262"/>
      <c r="AV431" s="510">
        <v>0.36</v>
      </c>
      <c r="AW431" s="510">
        <v>7.0000000000000007E-2</v>
      </c>
      <c r="AX431" s="510">
        <v>7.0000000000000007E-2</v>
      </c>
      <c r="AY431" s="510">
        <v>0.27</v>
      </c>
      <c r="AZ431" s="510"/>
      <c r="BA431" s="510">
        <v>0.19</v>
      </c>
      <c r="BB431" s="510">
        <v>0.04</v>
      </c>
      <c r="BC431" s="510">
        <f t="shared" si="168"/>
        <v>1</v>
      </c>
      <c r="BD431" s="747">
        <f t="shared" si="132"/>
        <v>0.56020639999999999</v>
      </c>
      <c r="BE431" s="243">
        <f t="shared" si="133"/>
        <v>0.55706590000000011</v>
      </c>
      <c r="BF431" s="329">
        <v>0.30399999999999999</v>
      </c>
      <c r="BG431" s="329">
        <v>7.0000000000000007E-2</v>
      </c>
      <c r="BH431" s="329"/>
      <c r="BI431" s="329">
        <v>7.0000000000000007E-2</v>
      </c>
      <c r="BJ431" s="329"/>
      <c r="BK431" s="329">
        <v>0.156</v>
      </c>
      <c r="BL431" s="329">
        <v>1.7999999999999999E-2</v>
      </c>
      <c r="BM431" s="329">
        <v>0.24199999999999999</v>
      </c>
      <c r="BN431" s="329">
        <v>0.04</v>
      </c>
      <c r="BO431" s="329">
        <v>0.1</v>
      </c>
      <c r="BP431" s="329">
        <f t="shared" si="171"/>
        <v>1</v>
      </c>
      <c r="BQ431" s="748">
        <f t="shared" si="148"/>
        <v>0.53039234000000013</v>
      </c>
      <c r="BS431" s="615">
        <f t="array" ref="BS431">100*((1+8.5/100)^(1/12)-1)</f>
        <v>0.68214933659622723</v>
      </c>
      <c r="BT431" s="615">
        <f t="array" ref="BT431">100*((1+8.75/100)^(1/12)-1)</f>
        <v>0.70146116041400752</v>
      </c>
      <c r="BU431" s="615">
        <f t="array" ref="BU431">100*((1+9/100)^(1/12)-1)</f>
        <v>0.72073233161367156</v>
      </c>
      <c r="BV431" s="615">
        <f t="array" ref="BV431">100*((1+5/100)^(1/12)-1)</f>
        <v>0.40741237836483535</v>
      </c>
      <c r="BW431" s="615">
        <f t="array" ref="BW431">100*((1+9/100)^(1/12)-1)</f>
        <v>0.72073233161367156</v>
      </c>
      <c r="BX431" s="749">
        <f t="array" ref="BX431">((1+6.75/100)^(1/12)-1)*100</f>
        <v>0.54581304569467637</v>
      </c>
      <c r="BY431" s="615">
        <f t="shared" si="153"/>
        <v>0.74610833265813525</v>
      </c>
      <c r="BZ431" s="341">
        <f t="shared" si="172"/>
        <v>0.68967566304480643</v>
      </c>
      <c r="CB431" s="243">
        <f t="shared" si="79"/>
        <v>0.64340301100034303</v>
      </c>
      <c r="CD431" s="243">
        <f t="shared" si="82"/>
        <v>0.64340301100034303</v>
      </c>
      <c r="CG431" s="734">
        <f t="shared" si="149"/>
        <v>0.79303560000000006</v>
      </c>
      <c r="CJ431" s="1264">
        <f t="shared" si="125"/>
        <v>0.79741404289037643</v>
      </c>
    </row>
    <row r="432" spans="1:88" x14ac:dyDescent="0.2">
      <c r="A432" s="19">
        <v>40663</v>
      </c>
      <c r="B432" s="262">
        <v>2.9615399999999998</v>
      </c>
      <c r="C432" s="262">
        <v>3.38192</v>
      </c>
      <c r="D432" s="262">
        <v>2.5328499999999998</v>
      </c>
      <c r="E432" s="262">
        <v>2.7150300000000001</v>
      </c>
      <c r="F432" s="262">
        <v>3.4866299999999999</v>
      </c>
      <c r="G432" s="262">
        <v>1.96749</v>
      </c>
      <c r="H432" s="262">
        <v>2.64059</v>
      </c>
      <c r="I432" s="262">
        <v>3.6030600000000002</v>
      </c>
      <c r="J432" s="262">
        <v>1.6248199999999999</v>
      </c>
      <c r="K432" s="262">
        <v>2.6000200000000002</v>
      </c>
      <c r="L432" s="262">
        <v>4.1151600000000004</v>
      </c>
      <c r="M432" s="262">
        <v>1.14279</v>
      </c>
      <c r="N432" s="262">
        <f t="shared" si="169"/>
        <v>2.6000200000000002</v>
      </c>
      <c r="O432" s="262">
        <f t="shared" si="173"/>
        <v>4.1151600000000004</v>
      </c>
      <c r="P432" s="262">
        <f t="shared" si="173"/>
        <v>1.14279</v>
      </c>
      <c r="Q432" s="262">
        <v>3.4936199999999999</v>
      </c>
      <c r="R432" s="262">
        <v>2.8872399999999998</v>
      </c>
      <c r="S432" s="262">
        <v>2.9764499999999998</v>
      </c>
      <c r="T432" s="1342">
        <f t="shared" si="80"/>
        <v>2.9764499999999998</v>
      </c>
      <c r="U432" s="262">
        <v>4.9614900000000004</v>
      </c>
      <c r="V432" s="262">
        <v>5.3152299999999997</v>
      </c>
      <c r="W432" s="262">
        <v>1.2695799999999999</v>
      </c>
      <c r="X432" s="262">
        <v>1.15273</v>
      </c>
      <c r="Y432" s="262">
        <v>1.13334</v>
      </c>
      <c r="Z432" s="262" t="e">
        <v>#N/A</v>
      </c>
      <c r="AA432" s="262">
        <v>6.0763299999999996</v>
      </c>
      <c r="AB432" s="262"/>
      <c r="AC432" s="262">
        <v>5.9337</v>
      </c>
      <c r="AD432" s="277">
        <v>2.9861599999999999</v>
      </c>
      <c r="AE432" s="277">
        <f t="shared" si="170"/>
        <v>2.9861599999999999</v>
      </c>
      <c r="AF432" s="277">
        <f t="shared" ref="AF432:AF438" si="174">U432</f>
        <v>4.9614900000000004</v>
      </c>
      <c r="AG432" s="277">
        <v>3.36</v>
      </c>
      <c r="AH432" s="277">
        <v>5.86</v>
      </c>
      <c r="AI432" s="277">
        <v>1.5498000000000001</v>
      </c>
      <c r="AJ432" s="277">
        <v>2.5138400000000001</v>
      </c>
      <c r="AK432" s="277">
        <v>3.4630999999999998</v>
      </c>
      <c r="AL432" s="277">
        <v>3.1237200000000001</v>
      </c>
      <c r="AM432" s="268">
        <v>3.00773</v>
      </c>
      <c r="AN432" s="262">
        <v>6.0763299999999996</v>
      </c>
      <c r="AO432" s="262">
        <v>6.0763299999999996</v>
      </c>
      <c r="AP432" s="262"/>
      <c r="AQ432" s="262"/>
      <c r="AR432" s="262"/>
      <c r="AS432" s="262"/>
      <c r="AT432" s="262"/>
      <c r="AU432" s="262"/>
      <c r="AV432" s="510">
        <v>0.36</v>
      </c>
      <c r="AW432" s="510">
        <v>7.0000000000000007E-2</v>
      </c>
      <c r="AX432" s="510">
        <v>7.0000000000000007E-2</v>
      </c>
      <c r="AY432" s="510">
        <v>0.27</v>
      </c>
      <c r="AZ432" s="510"/>
      <c r="BA432" s="510">
        <v>0.19</v>
      </c>
      <c r="BB432" s="510">
        <v>0.04</v>
      </c>
      <c r="BC432" s="510">
        <f t="shared" si="168"/>
        <v>1</v>
      </c>
      <c r="BD432" s="747">
        <f t="shared" si="132"/>
        <v>2.8580775999999997</v>
      </c>
      <c r="BE432" s="243">
        <f t="shared" si="133"/>
        <v>2.7666675999999999</v>
      </c>
      <c r="BF432" s="329">
        <v>0.30399999999999999</v>
      </c>
      <c r="BG432" s="329">
        <v>7.0000000000000007E-2</v>
      </c>
      <c r="BH432" s="329"/>
      <c r="BI432" s="329">
        <v>7.0000000000000007E-2</v>
      </c>
      <c r="BJ432" s="329"/>
      <c r="BK432" s="329">
        <v>0.156</v>
      </c>
      <c r="BL432" s="329">
        <v>1.7999999999999999E-2</v>
      </c>
      <c r="BM432" s="329">
        <v>0.24199999999999999</v>
      </c>
      <c r="BN432" s="329">
        <v>0.04</v>
      </c>
      <c r="BO432" s="329">
        <v>0.1</v>
      </c>
      <c r="BP432" s="329">
        <f t="shared" si="171"/>
        <v>1</v>
      </c>
      <c r="BQ432" s="748">
        <f t="shared" si="148"/>
        <v>2.8822825999999999</v>
      </c>
      <c r="BS432" s="615">
        <f t="array" ref="BS432">100*((1+8.5/100)^(1/12)-1)</f>
        <v>0.68214933659622723</v>
      </c>
      <c r="BT432" s="615">
        <f t="array" ref="BT432">100*((1+8.75/100)^(1/12)-1)</f>
        <v>0.70146116041400752</v>
      </c>
      <c r="BU432" s="615">
        <f t="array" ref="BU432">100*((1+9/100)^(1/12)-1)</f>
        <v>0.72073233161367156</v>
      </c>
      <c r="BV432" s="615">
        <f t="array" ref="BV432">100*((1+5/100)^(1/12)-1)</f>
        <v>0.40741237836483535</v>
      </c>
      <c r="BW432" s="615">
        <f t="array" ref="BW432">100*((1+9/100)^(1/12)-1)</f>
        <v>0.72073233161367156</v>
      </c>
      <c r="BX432" s="749">
        <f t="array" ref="BX432">((1+6.75/100)^(1/12)-1)*100</f>
        <v>0.54581304569467637</v>
      </c>
      <c r="BY432" s="615">
        <f t="shared" si="153"/>
        <v>0.74610833265813525</v>
      </c>
      <c r="BZ432" s="341">
        <f t="shared" si="172"/>
        <v>0.68967566304480643</v>
      </c>
      <c r="CB432" s="243">
        <f t="shared" ref="CB432:CB446" si="175">((1+0.08)^(1/12)-1)*100</f>
        <v>0.64340301100034303</v>
      </c>
      <c r="CD432" s="243">
        <f t="shared" ref="CD432:CD446" si="176">((1+0.08)^(1/12)-1)*100</f>
        <v>0.64340301100034303</v>
      </c>
      <c r="CG432" s="734">
        <f t="shared" si="149"/>
        <v>2.8764157999999997</v>
      </c>
      <c r="CJ432" s="1264">
        <f t="shared" si="125"/>
        <v>0.79741404289037643</v>
      </c>
    </row>
    <row r="433" spans="1:88" x14ac:dyDescent="0.2">
      <c r="A433" s="19">
        <v>40694</v>
      </c>
      <c r="B433" s="262">
        <v>-1.13195</v>
      </c>
      <c r="C433" s="262">
        <v>-0.45532</v>
      </c>
      <c r="D433" s="262">
        <v>-1.8293999999999999</v>
      </c>
      <c r="E433" s="262">
        <v>-1.3469800000000001</v>
      </c>
      <c r="F433" s="262">
        <v>-1.0172699999999999</v>
      </c>
      <c r="G433" s="262">
        <v>-1.6732800000000001</v>
      </c>
      <c r="H433" s="262">
        <v>-1.8748800000000001</v>
      </c>
      <c r="I433" s="262">
        <v>-1.95181</v>
      </c>
      <c r="J433" s="262">
        <v>-1.7913600000000001</v>
      </c>
      <c r="K433" s="262">
        <v>-0.90081999999999995</v>
      </c>
      <c r="L433" s="262">
        <v>7.2739999999999999E-2</v>
      </c>
      <c r="M433" s="262">
        <v>-1.8406499999999999</v>
      </c>
      <c r="N433" s="262">
        <f t="shared" si="169"/>
        <v>-0.90081999999999995</v>
      </c>
      <c r="O433" s="262">
        <f t="shared" ref="O433:P435" si="177">L433</f>
        <v>7.2739999999999999E-2</v>
      </c>
      <c r="P433" s="262">
        <f t="shared" si="177"/>
        <v>-1.8406499999999999</v>
      </c>
      <c r="Q433" s="262">
        <v>-1.23159</v>
      </c>
      <c r="R433" s="262">
        <v>-1.1987300000000001</v>
      </c>
      <c r="S433" s="262">
        <v>-1.141</v>
      </c>
      <c r="T433" s="1342">
        <f t="shared" si="80"/>
        <v>-1.141</v>
      </c>
      <c r="U433" s="262">
        <v>-2.76993</v>
      </c>
      <c r="V433" s="262">
        <v>-2.4700700000000002</v>
      </c>
      <c r="W433" s="262">
        <v>1.3051900000000001</v>
      </c>
      <c r="X433" s="262">
        <v>1.0943499999999999</v>
      </c>
      <c r="Y433" s="262">
        <v>1.1444700000000001</v>
      </c>
      <c r="Z433" s="262" t="e">
        <v>#N/A</v>
      </c>
      <c r="AA433" s="262">
        <v>-2.8062999999999998</v>
      </c>
      <c r="AB433" s="262"/>
      <c r="AC433" s="262">
        <v>-3.46434</v>
      </c>
      <c r="AD433" s="277">
        <v>-0.71745000000000003</v>
      </c>
      <c r="AE433" s="277">
        <f t="shared" si="170"/>
        <v>-0.71745000000000003</v>
      </c>
      <c r="AF433" s="277">
        <f t="shared" si="174"/>
        <v>-2.76993</v>
      </c>
      <c r="AG433" s="277">
        <v>3.36</v>
      </c>
      <c r="AH433" s="277">
        <v>1.54</v>
      </c>
      <c r="AI433" s="277">
        <v>0.48779</v>
      </c>
      <c r="AJ433" s="277">
        <v>0.30499999999999999</v>
      </c>
      <c r="AK433" s="277">
        <v>-5.0582000000000003</v>
      </c>
      <c r="AL433" s="277">
        <v>-2.5831900000000001</v>
      </c>
      <c r="AM433" s="268">
        <v>-1.0727599999999999</v>
      </c>
      <c r="AN433" s="262">
        <v>-2.8062999999999998</v>
      </c>
      <c r="AO433" s="262">
        <v>-2.8062999999999998</v>
      </c>
      <c r="AP433" s="262"/>
      <c r="AQ433" s="262"/>
      <c r="AR433" s="262"/>
      <c r="AS433" s="262"/>
      <c r="AT433" s="262"/>
      <c r="AU433" s="262"/>
      <c r="AV433" s="510">
        <v>0.36</v>
      </c>
      <c r="AW433" s="510">
        <v>7.0000000000000007E-2</v>
      </c>
      <c r="AX433" s="510">
        <v>7.0000000000000007E-2</v>
      </c>
      <c r="AY433" s="510">
        <v>0.27</v>
      </c>
      <c r="AZ433" s="510"/>
      <c r="BA433" s="510">
        <v>0.19</v>
      </c>
      <c r="BB433" s="510">
        <v>0.04</v>
      </c>
      <c r="BC433" s="510">
        <f t="shared" ref="BC433:BC438" si="178">SUM(AV433:BB433)</f>
        <v>1</v>
      </c>
      <c r="BD433" s="747">
        <f t="shared" si="132"/>
        <v>-0.60433340000000002</v>
      </c>
      <c r="BE433" s="243">
        <f t="shared" si="133"/>
        <v>-0.49051240000000002</v>
      </c>
      <c r="BF433" s="329">
        <v>0.30399999999999999</v>
      </c>
      <c r="BG433" s="329">
        <v>7.0000000000000007E-2</v>
      </c>
      <c r="BH433" s="329"/>
      <c r="BI433" s="329">
        <v>7.0000000000000007E-2</v>
      </c>
      <c r="BJ433" s="329"/>
      <c r="BK433" s="329">
        <v>0.156</v>
      </c>
      <c r="BL433" s="329">
        <v>1.7999999999999999E-2</v>
      </c>
      <c r="BM433" s="329">
        <v>0.24199999999999999</v>
      </c>
      <c r="BN433" s="329">
        <v>0.04</v>
      </c>
      <c r="BO433" s="329">
        <v>0.1</v>
      </c>
      <c r="BP433" s="329">
        <f t="shared" si="171"/>
        <v>1</v>
      </c>
      <c r="BQ433" s="748">
        <f t="shared" si="148"/>
        <v>-0.59951816000000013</v>
      </c>
      <c r="BS433" s="615">
        <f t="array" ref="BS433">100*((1+8.5/100)^(1/12)-1)</f>
        <v>0.68214933659622723</v>
      </c>
      <c r="BT433" s="615">
        <f t="array" ref="BT433">100*((1+8.75/100)^(1/12)-1)</f>
        <v>0.70146116041400752</v>
      </c>
      <c r="BU433" s="615">
        <f t="array" ref="BU433">100*((1+9/100)^(1/12)-1)</f>
        <v>0.72073233161367156</v>
      </c>
      <c r="BV433" s="615">
        <f t="array" ref="BV433">100*((1+5/100)^(1/12)-1)</f>
        <v>0.40741237836483535</v>
      </c>
      <c r="BW433" s="615">
        <f t="array" ref="BW433">100*((1+9/100)^(1/12)-1)</f>
        <v>0.72073233161367156</v>
      </c>
      <c r="BX433" s="749">
        <f t="array" ref="BX433">((1+6.75/100)^(1/12)-1)*100</f>
        <v>0.54581304569467637</v>
      </c>
      <c r="BY433" s="615">
        <f t="shared" si="153"/>
        <v>0.74610833265813525</v>
      </c>
      <c r="BZ433" s="341">
        <f t="shared" si="172"/>
        <v>0.68967566304480643</v>
      </c>
      <c r="CB433" s="243">
        <f t="shared" si="175"/>
        <v>0.64340301100034303</v>
      </c>
      <c r="CD433" s="243">
        <f t="shared" si="176"/>
        <v>0.64340301100034303</v>
      </c>
      <c r="CG433" s="734">
        <f t="shared" si="149"/>
        <v>-1.129696</v>
      </c>
      <c r="CJ433" s="1264">
        <f t="shared" si="125"/>
        <v>0.79741404289037643</v>
      </c>
    </row>
    <row r="434" spans="1:88" x14ac:dyDescent="0.2">
      <c r="A434" s="19">
        <v>40724</v>
      </c>
      <c r="B434" s="262">
        <v>-1.6669099999999999</v>
      </c>
      <c r="C434" s="262">
        <v>-1.2395400000000001</v>
      </c>
      <c r="D434" s="262">
        <v>-2.1141899999999998</v>
      </c>
      <c r="E434" s="262">
        <v>-2.0356900000000002</v>
      </c>
      <c r="F434" s="262">
        <v>-1.6231100000000001</v>
      </c>
      <c r="G434" s="262">
        <v>-2.4534099999999999</v>
      </c>
      <c r="H434" s="262">
        <v>-2.30558</v>
      </c>
      <c r="I434" s="262">
        <v>-2.1368</v>
      </c>
      <c r="J434" s="262">
        <v>-2.45892</v>
      </c>
      <c r="K434" s="262">
        <v>-1.8086800000000001</v>
      </c>
      <c r="L434" s="262">
        <v>-2.1426699999999999</v>
      </c>
      <c r="M434" s="262">
        <v>-1.4802299999999999</v>
      </c>
      <c r="N434" s="262">
        <f t="shared" si="169"/>
        <v>-1.8086800000000001</v>
      </c>
      <c r="O434" s="262">
        <f t="shared" si="177"/>
        <v>-2.1426699999999999</v>
      </c>
      <c r="P434" s="262">
        <f t="shared" si="177"/>
        <v>-1.4802299999999999</v>
      </c>
      <c r="Q434" s="262">
        <v>-1.79945</v>
      </c>
      <c r="R434" s="262">
        <v>-2.2031000000000001</v>
      </c>
      <c r="S434" s="262">
        <v>-1.7959000000000001</v>
      </c>
      <c r="T434" s="1342">
        <f t="shared" si="80"/>
        <v>-1.7959000000000001</v>
      </c>
      <c r="U434" s="262">
        <v>-1.4185000000000001</v>
      </c>
      <c r="V434" s="262">
        <v>-1.6359999999999999</v>
      </c>
      <c r="W434" s="262">
        <v>-0.29292000000000001</v>
      </c>
      <c r="X434" s="262">
        <v>-9.0279999999999999E-2</v>
      </c>
      <c r="Y434" s="262">
        <v>-0.16439999999999999</v>
      </c>
      <c r="Z434" s="262" t="e">
        <v>#N/A</v>
      </c>
      <c r="AA434" s="262">
        <v>-1.22756</v>
      </c>
      <c r="AB434" s="262"/>
      <c r="AC434" s="262">
        <v>-0.90729000000000004</v>
      </c>
      <c r="AD434" s="277">
        <v>-1.2119</v>
      </c>
      <c r="AE434" s="277">
        <f t="shared" si="170"/>
        <v>-1.2119</v>
      </c>
      <c r="AF434" s="277">
        <f t="shared" si="174"/>
        <v>-1.4185000000000001</v>
      </c>
      <c r="AG434" s="277">
        <v>3.36</v>
      </c>
      <c r="AH434" s="277">
        <v>-3.36</v>
      </c>
      <c r="AI434" s="277">
        <v>-0.97363</v>
      </c>
      <c r="AJ434" s="277">
        <v>0.80628999999999995</v>
      </c>
      <c r="AK434" s="277">
        <v>-5.0442</v>
      </c>
      <c r="AL434" s="277">
        <v>-1.4963</v>
      </c>
      <c r="AM434" s="268">
        <v>-1.748</v>
      </c>
      <c r="AN434" s="262">
        <v>-1.22756</v>
      </c>
      <c r="AO434" s="262">
        <v>-1.22756</v>
      </c>
      <c r="AP434" s="262"/>
      <c r="AQ434" s="262"/>
      <c r="AR434" s="262"/>
      <c r="AS434" s="262"/>
      <c r="AT434" s="262"/>
      <c r="AU434" s="262"/>
      <c r="AV434" s="510">
        <v>0.36</v>
      </c>
      <c r="AW434" s="510">
        <v>7.0000000000000007E-2</v>
      </c>
      <c r="AX434" s="510">
        <v>7.0000000000000007E-2</v>
      </c>
      <c r="AY434" s="510">
        <v>0.27</v>
      </c>
      <c r="AZ434" s="510"/>
      <c r="BA434" s="510">
        <v>0.19</v>
      </c>
      <c r="BB434" s="510">
        <v>0.04</v>
      </c>
      <c r="BC434" s="510">
        <f t="shared" si="178"/>
        <v>1</v>
      </c>
      <c r="BD434" s="747">
        <f t="shared" si="132"/>
        <v>-1.0833968999999999</v>
      </c>
      <c r="BE434" s="243">
        <f t="shared" si="133"/>
        <v>-1.0082713999999999</v>
      </c>
      <c r="BF434" s="329">
        <v>0.30399999999999999</v>
      </c>
      <c r="BG434" s="329">
        <v>7.0000000000000007E-2</v>
      </c>
      <c r="BH434" s="329"/>
      <c r="BI434" s="329">
        <v>7.0000000000000007E-2</v>
      </c>
      <c r="BJ434" s="329"/>
      <c r="BK434" s="329">
        <v>0.156</v>
      </c>
      <c r="BL434" s="329">
        <v>1.7999999999999999E-2</v>
      </c>
      <c r="BM434" s="329">
        <v>0.24199999999999999</v>
      </c>
      <c r="BN434" s="329">
        <v>0.04</v>
      </c>
      <c r="BO434" s="329">
        <v>0.1</v>
      </c>
      <c r="BP434" s="329">
        <f t="shared" si="171"/>
        <v>1</v>
      </c>
      <c r="BQ434" s="748">
        <f t="shared" si="148"/>
        <v>-1.0842571800000003</v>
      </c>
      <c r="BS434" s="615">
        <f t="array" ref="BS434">100*((1+8.5/100)^(1/12)-1)</f>
        <v>0.68214933659622723</v>
      </c>
      <c r="BT434" s="615">
        <f t="array" ref="BT434">100*((1+8.75/100)^(1/12)-1)</f>
        <v>0.70146116041400752</v>
      </c>
      <c r="BU434" s="615">
        <f t="array" ref="BU434">100*((1+9/100)^(1/12)-1)</f>
        <v>0.72073233161367156</v>
      </c>
      <c r="BV434" s="615">
        <f t="array" ref="BV434">100*((1+5/100)^(1/12)-1)</f>
        <v>0.40741237836483535</v>
      </c>
      <c r="BW434" s="615">
        <f t="array" ref="BW434">100*((1+9/100)^(1/12)-1)</f>
        <v>0.72073233161367156</v>
      </c>
      <c r="BX434" s="749">
        <f t="array" ref="BX434">((1+6.75/100)^(1/12)-1)*100</f>
        <v>0.54581304569467637</v>
      </c>
      <c r="BY434" s="615">
        <f t="shared" si="153"/>
        <v>0.74610833265813525</v>
      </c>
      <c r="BZ434" s="341">
        <f t="shared" si="172"/>
        <v>0.68967566304480643</v>
      </c>
      <c r="CB434" s="243">
        <f t="shared" si="175"/>
        <v>0.64340301100034303</v>
      </c>
      <c r="CD434" s="243">
        <f t="shared" si="176"/>
        <v>0.64340301100034303</v>
      </c>
      <c r="CG434" s="734">
        <f t="shared" si="149"/>
        <v>-1.7383869999999999</v>
      </c>
      <c r="CJ434" s="1264">
        <f t="shared" si="125"/>
        <v>0.79741404289037643</v>
      </c>
    </row>
    <row r="435" spans="1:88" x14ac:dyDescent="0.2">
      <c r="A435" s="19">
        <v>40755</v>
      </c>
      <c r="B435" s="262">
        <v>-2.03349</v>
      </c>
      <c r="C435" s="262">
        <v>-0.58496000000000004</v>
      </c>
      <c r="D435" s="262">
        <v>-3.5648300000000002</v>
      </c>
      <c r="E435" s="262">
        <v>-3.53328</v>
      </c>
      <c r="F435" s="262">
        <v>-3.0892900000000001</v>
      </c>
      <c r="G435" s="262">
        <v>-3.9851100000000002</v>
      </c>
      <c r="H435" s="262">
        <v>-3.6145200000000002</v>
      </c>
      <c r="I435" s="262">
        <v>-3.9198900000000001</v>
      </c>
      <c r="J435" s="262">
        <v>-3.3067600000000001</v>
      </c>
      <c r="K435" s="262">
        <v>-3.2085400000000002</v>
      </c>
      <c r="L435" s="262">
        <v>-3.5605199999999999</v>
      </c>
      <c r="M435" s="262">
        <v>-2.8616700000000002</v>
      </c>
      <c r="N435" s="262">
        <f t="shared" ref="N435:N440" si="179">K435</f>
        <v>-3.2085400000000002</v>
      </c>
      <c r="O435" s="262">
        <f t="shared" si="177"/>
        <v>-3.5605199999999999</v>
      </c>
      <c r="P435" s="262">
        <f t="shared" si="177"/>
        <v>-2.8616700000000002</v>
      </c>
      <c r="Q435" s="262">
        <v>-3.8809900000000002</v>
      </c>
      <c r="R435" s="262">
        <v>-3.80653</v>
      </c>
      <c r="S435" s="262">
        <v>-2.28999</v>
      </c>
      <c r="T435" s="1342">
        <f t="shared" si="80"/>
        <v>-2.28999</v>
      </c>
      <c r="U435" s="262">
        <v>-1.3329</v>
      </c>
      <c r="V435" s="262">
        <v>-1.03728</v>
      </c>
      <c r="W435" s="262">
        <v>1.5868800000000001</v>
      </c>
      <c r="X435" s="262">
        <v>1.2271099999999999</v>
      </c>
      <c r="Y435" s="262">
        <v>1.4297299999999999</v>
      </c>
      <c r="Z435" s="262" t="e">
        <v>#N/A</v>
      </c>
      <c r="AA435" s="262">
        <v>-1.57284</v>
      </c>
      <c r="AB435" s="262"/>
      <c r="AC435" s="262">
        <v>-2.4891200000000002</v>
      </c>
      <c r="AD435" s="277">
        <v>-0.94608000000000003</v>
      </c>
      <c r="AE435" s="277">
        <f t="shared" ref="AE435:AE440" si="180">AD435</f>
        <v>-0.94608000000000003</v>
      </c>
      <c r="AF435" s="277">
        <f t="shared" si="174"/>
        <v>-1.3329</v>
      </c>
      <c r="AG435" s="277">
        <v>5.34</v>
      </c>
      <c r="AH435" s="277">
        <v>1.63</v>
      </c>
      <c r="AI435" s="277">
        <v>1.1589700000000001</v>
      </c>
      <c r="AJ435" s="277">
        <v>3.91459</v>
      </c>
      <c r="AK435" s="277">
        <v>2.9618000000000002</v>
      </c>
      <c r="AL435" s="277">
        <v>-0.37608000000000003</v>
      </c>
      <c r="AM435" s="268">
        <v>-2.17015</v>
      </c>
      <c r="AN435" s="262">
        <v>-1.57284</v>
      </c>
      <c r="AO435" s="262">
        <v>-1.57284</v>
      </c>
      <c r="AP435" s="262"/>
      <c r="AQ435" s="262"/>
      <c r="AR435" s="262"/>
      <c r="AS435" s="262"/>
      <c r="AT435" s="262"/>
      <c r="AU435" s="262"/>
      <c r="AV435" s="510">
        <v>0.36</v>
      </c>
      <c r="AW435" s="510">
        <v>7.0000000000000007E-2</v>
      </c>
      <c r="AX435" s="510">
        <v>7.0000000000000007E-2</v>
      </c>
      <c r="AY435" s="510">
        <v>0.27</v>
      </c>
      <c r="AZ435" s="510"/>
      <c r="BA435" s="510">
        <v>0.19</v>
      </c>
      <c r="BB435" s="510">
        <v>0.04</v>
      </c>
      <c r="BC435" s="510">
        <f t="shared" si="178"/>
        <v>1</v>
      </c>
      <c r="BD435" s="747">
        <f t="shared" si="132"/>
        <v>-0.81517719999999994</v>
      </c>
      <c r="BE435" s="243">
        <f t="shared" si="133"/>
        <v>-0.64201620000000004</v>
      </c>
      <c r="BF435" s="329">
        <v>0.30399999999999999</v>
      </c>
      <c r="BG435" s="329">
        <v>7.0000000000000007E-2</v>
      </c>
      <c r="BH435" s="329"/>
      <c r="BI435" s="329">
        <v>7.0000000000000007E-2</v>
      </c>
      <c r="BJ435" s="329"/>
      <c r="BK435" s="329">
        <v>0.156</v>
      </c>
      <c r="BL435" s="329">
        <v>1.7999999999999999E-2</v>
      </c>
      <c r="BM435" s="329">
        <v>0.24199999999999999</v>
      </c>
      <c r="BN435" s="329">
        <v>0.04</v>
      </c>
      <c r="BO435" s="329">
        <v>0.1</v>
      </c>
      <c r="BP435" s="329">
        <f t="shared" ref="BP435:BP440" si="181">SUM(BF435:BO435)</f>
        <v>1</v>
      </c>
      <c r="BQ435" s="748">
        <f t="shared" si="148"/>
        <v>-0.81369484000000014</v>
      </c>
      <c r="BS435" s="615">
        <f t="array" ref="BS435">100*((1+8.5/100)^(1/12)-1)</f>
        <v>0.68214933659622723</v>
      </c>
      <c r="BT435" s="615">
        <f t="array" ref="BT435">100*((1+8.75/100)^(1/12)-1)</f>
        <v>0.70146116041400752</v>
      </c>
      <c r="BU435" s="615">
        <f t="array" ref="BU435">100*((1+9/100)^(1/12)-1)</f>
        <v>0.72073233161367156</v>
      </c>
      <c r="BV435" s="615">
        <f t="array" ref="BV435">100*((1+5/100)^(1/12)-1)</f>
        <v>0.40741237836483535</v>
      </c>
      <c r="BW435" s="615">
        <f t="array" ref="BW435">100*((1+9/100)^(1/12)-1)</f>
        <v>0.72073233161367156</v>
      </c>
      <c r="BX435" s="749">
        <f t="array" ref="BX435">((1+6.75/100)^(1/12)-1)*100</f>
        <v>0.54581304569467637</v>
      </c>
      <c r="BY435" s="615">
        <f t="shared" si="153"/>
        <v>0.74610833265813525</v>
      </c>
      <c r="BZ435" s="341">
        <f t="shared" ref="BZ435:BZ440" si="182">0.74*BS435+0.13*BT435+0.13*BU435</f>
        <v>0.68967566304480643</v>
      </c>
      <c r="CB435" s="243">
        <f t="shared" si="175"/>
        <v>0.64340301100034303</v>
      </c>
      <c r="CD435" s="243">
        <f t="shared" si="176"/>
        <v>0.64340301100034303</v>
      </c>
      <c r="CG435" s="734">
        <f t="shared" si="149"/>
        <v>-2.4079676000000001</v>
      </c>
      <c r="CJ435" s="1264">
        <f t="shared" si="125"/>
        <v>0.79741404289037643</v>
      </c>
    </row>
    <row r="436" spans="1:88" x14ac:dyDescent="0.2">
      <c r="A436" s="19">
        <v>40786</v>
      </c>
      <c r="B436" s="262">
        <v>-5.4321799999999998</v>
      </c>
      <c r="C436" s="262">
        <v>-4.74803</v>
      </c>
      <c r="D436" s="262">
        <v>-6.1779700000000002</v>
      </c>
      <c r="E436" s="262">
        <v>-7.1147999999999998</v>
      </c>
      <c r="F436" s="262">
        <v>-6.7926500000000001</v>
      </c>
      <c r="G436" s="262">
        <v>-7.4429699999999999</v>
      </c>
      <c r="H436" s="262">
        <v>-8.7002299999999995</v>
      </c>
      <c r="I436" s="262">
        <v>-8.5650600000000008</v>
      </c>
      <c r="J436" s="262">
        <v>-8.8327899999999993</v>
      </c>
      <c r="K436" s="262">
        <v>-7.6731199999999999</v>
      </c>
      <c r="L436" s="262">
        <v>-7.5628000000000002</v>
      </c>
      <c r="M436" s="262">
        <v>-7.7796900000000004</v>
      </c>
      <c r="N436" s="262">
        <f t="shared" si="179"/>
        <v>-7.6731199999999999</v>
      </c>
      <c r="O436" s="262">
        <f t="shared" ref="O436:P438" si="183">L436</f>
        <v>-7.5628000000000002</v>
      </c>
      <c r="P436" s="262">
        <f t="shared" si="183"/>
        <v>-7.7796900000000004</v>
      </c>
      <c r="Q436" s="262">
        <v>-8.1859400000000004</v>
      </c>
      <c r="R436" s="262">
        <v>-8.1860499999999998</v>
      </c>
      <c r="S436" s="262">
        <v>-5.9995099999999999</v>
      </c>
      <c r="T436" s="1342">
        <f t="shared" si="80"/>
        <v>-5.9995099999999999</v>
      </c>
      <c r="U436" s="262">
        <v>-8.5500299999999996</v>
      </c>
      <c r="V436" s="262">
        <v>-8.2093799999999995</v>
      </c>
      <c r="W436" s="262">
        <v>1.4610700000000001</v>
      </c>
      <c r="X436" s="262">
        <v>1.0618300000000001</v>
      </c>
      <c r="Y436" s="262">
        <v>1.0659099999999999</v>
      </c>
      <c r="Z436" s="262" t="e">
        <v>#N/A</v>
      </c>
      <c r="AA436" s="262">
        <v>-9.0176800000000004</v>
      </c>
      <c r="AB436" s="262"/>
      <c r="AC436" s="262">
        <v>-9.5518000000000001</v>
      </c>
      <c r="AD436" s="277">
        <v>-4.0757500000000002</v>
      </c>
      <c r="AE436" s="277">
        <f t="shared" si="180"/>
        <v>-4.0757500000000002</v>
      </c>
      <c r="AF436" s="277">
        <f t="shared" si="174"/>
        <v>-8.5500299999999996</v>
      </c>
      <c r="AG436" s="277">
        <v>5.34</v>
      </c>
      <c r="AH436" s="277">
        <v>-5.87</v>
      </c>
      <c r="AI436" s="277">
        <v>-4.0025000000000004</v>
      </c>
      <c r="AJ436" s="277">
        <v>0.81527000000000005</v>
      </c>
      <c r="AK436" s="277">
        <v>0.99860000000000004</v>
      </c>
      <c r="AL436" s="250">
        <v>-8.8997499999999992</v>
      </c>
      <c r="AM436" s="277">
        <v>-5.7580200000000001</v>
      </c>
      <c r="AN436" s="262">
        <v>-9.0176800000000004</v>
      </c>
      <c r="AO436" s="262">
        <v>-9.0176800000000004</v>
      </c>
      <c r="AP436" s="262"/>
      <c r="AQ436" s="262"/>
      <c r="AR436" s="262"/>
      <c r="AS436" s="262"/>
      <c r="AT436" s="262"/>
      <c r="AU436" s="262"/>
      <c r="AV436" s="510">
        <v>0.36</v>
      </c>
      <c r="AW436" s="510">
        <v>7.0000000000000007E-2</v>
      </c>
      <c r="AX436" s="510">
        <v>7.0000000000000007E-2</v>
      </c>
      <c r="AY436" s="510">
        <v>0.27</v>
      </c>
      <c r="AZ436" s="510"/>
      <c r="BA436" s="510">
        <v>0.19</v>
      </c>
      <c r="BB436" s="510">
        <v>0.04</v>
      </c>
      <c r="BC436" s="510">
        <f t="shared" si="178"/>
        <v>1</v>
      </c>
      <c r="BD436" s="747">
        <f t="shared" si="132"/>
        <v>-4.0071560000000002</v>
      </c>
      <c r="BE436" s="243">
        <f t="shared" si="133"/>
        <v>-3.6822514999999996</v>
      </c>
      <c r="BF436" s="329">
        <v>0.30399999999999999</v>
      </c>
      <c r="BG436" s="329">
        <v>7.0000000000000007E-2</v>
      </c>
      <c r="BH436" s="329"/>
      <c r="BI436" s="329">
        <v>7.0000000000000007E-2</v>
      </c>
      <c r="BJ436" s="329"/>
      <c r="BK436" s="329">
        <v>0.156</v>
      </c>
      <c r="BL436" s="329">
        <v>1.7999999999999999E-2</v>
      </c>
      <c r="BM436" s="329">
        <v>0.24199999999999999</v>
      </c>
      <c r="BN436" s="329">
        <v>0.04</v>
      </c>
      <c r="BO436" s="329">
        <v>0.1</v>
      </c>
      <c r="BP436" s="329">
        <f t="shared" si="181"/>
        <v>1</v>
      </c>
      <c r="BQ436" s="748">
        <f t="shared" si="148"/>
        <v>-4.0085066999999999</v>
      </c>
      <c r="BS436" s="615">
        <f t="array" ref="BS436">100*((1+8.5/100)^(1/12)-1)</f>
        <v>0.68214933659622723</v>
      </c>
      <c r="BT436" s="615">
        <f t="array" ref="BT436">100*((1+8.75/100)^(1/12)-1)</f>
        <v>0.70146116041400752</v>
      </c>
      <c r="BU436" s="615">
        <f t="array" ref="BU436">100*((1+9/100)^(1/12)-1)</f>
        <v>0.72073233161367156</v>
      </c>
      <c r="BV436" s="615">
        <f t="array" ref="BV436">100*((1+5/100)^(1/12)-1)</f>
        <v>0.40741237836483535</v>
      </c>
      <c r="BW436" s="615">
        <f t="array" ref="BW436">100*((1+9/100)^(1/12)-1)</f>
        <v>0.72073233161367156</v>
      </c>
      <c r="BX436" s="749">
        <f t="array" ref="BX436">((1+6.75/100)^(1/12)-1)*100</f>
        <v>0.54581304569467637</v>
      </c>
      <c r="BY436" s="615">
        <f t="shared" si="153"/>
        <v>0.74610833265813525</v>
      </c>
      <c r="BZ436" s="341">
        <f t="shared" si="182"/>
        <v>0.68967566304480643</v>
      </c>
      <c r="CB436" s="243">
        <f t="shared" si="175"/>
        <v>0.64340301100034303</v>
      </c>
      <c r="CD436" s="243">
        <f t="shared" si="176"/>
        <v>0.64340301100034303</v>
      </c>
      <c r="CG436" s="734">
        <f t="shared" si="149"/>
        <v>-5.9814784000000003</v>
      </c>
      <c r="CJ436" s="1264">
        <f t="shared" si="125"/>
        <v>0.79741404289037643</v>
      </c>
    </row>
    <row r="437" spans="1:88" x14ac:dyDescent="0.2">
      <c r="A437" s="19">
        <v>40816</v>
      </c>
      <c r="B437" s="262">
        <v>-7.0298600000000002</v>
      </c>
      <c r="C437" s="262">
        <v>-6.6073899999999997</v>
      </c>
      <c r="D437" s="262">
        <v>-7.4923799999999998</v>
      </c>
      <c r="E437" s="262">
        <v>-10.58517</v>
      </c>
      <c r="F437" s="262">
        <v>-10.14002</v>
      </c>
      <c r="G437" s="262">
        <v>-11.04533</v>
      </c>
      <c r="H437" s="262">
        <v>-11.210190000000001</v>
      </c>
      <c r="I437" s="262">
        <v>-11.495559999999999</v>
      </c>
      <c r="J437" s="262">
        <v>-10.92099</v>
      </c>
      <c r="K437" s="262">
        <v>-10.28908</v>
      </c>
      <c r="L437" s="262">
        <v>-9.8410200000000003</v>
      </c>
      <c r="M437" s="262">
        <v>-10.73654</v>
      </c>
      <c r="N437" s="262">
        <f t="shared" si="179"/>
        <v>-10.28908</v>
      </c>
      <c r="O437" s="262">
        <f t="shared" si="183"/>
        <v>-9.8410200000000003</v>
      </c>
      <c r="P437" s="262">
        <f t="shared" si="183"/>
        <v>-10.73654</v>
      </c>
      <c r="Q437" s="262">
        <v>-10.87928</v>
      </c>
      <c r="R437" s="262">
        <v>-10.801959999999999</v>
      </c>
      <c r="S437" s="262">
        <v>-7.7595700000000001</v>
      </c>
      <c r="T437" s="1342">
        <f t="shared" si="80"/>
        <v>-7.7595700000000001</v>
      </c>
      <c r="U437" s="262">
        <v>-11.0938</v>
      </c>
      <c r="V437" s="262">
        <v>-10.331899999999999</v>
      </c>
      <c r="W437" s="262">
        <v>0.72724999999999995</v>
      </c>
      <c r="X437" s="262">
        <v>-4.7699999999999999E-3</v>
      </c>
      <c r="Y437" s="262">
        <v>-0.11620999999999999</v>
      </c>
      <c r="Z437" s="262" t="e">
        <v>#N/A</v>
      </c>
      <c r="AA437" s="262">
        <v>-9.4966799999999996</v>
      </c>
      <c r="AB437" s="262"/>
      <c r="AC437" s="262">
        <v>-8.1188500000000001</v>
      </c>
      <c r="AD437" s="277">
        <v>-5.2525599999999999</v>
      </c>
      <c r="AE437" s="277">
        <f t="shared" si="180"/>
        <v>-5.2525599999999999</v>
      </c>
      <c r="AF437" s="277">
        <f t="shared" si="174"/>
        <v>-11.0938</v>
      </c>
      <c r="AG437" s="277">
        <v>5.34</v>
      </c>
      <c r="AH437" s="277">
        <v>-11.22</v>
      </c>
      <c r="AI437" s="277">
        <v>-3.26885</v>
      </c>
      <c r="AJ437" s="277">
        <v>-0.23633000000000001</v>
      </c>
      <c r="AK437" s="277">
        <v>-14.734999999999999</v>
      </c>
      <c r="AL437" s="277">
        <v>-14.56259</v>
      </c>
      <c r="AM437" s="268">
        <v>-7.4617300000000002</v>
      </c>
      <c r="AN437" s="262">
        <v>-9.4966799999999996</v>
      </c>
      <c r="AO437" s="262">
        <v>-9.4966799999999996</v>
      </c>
      <c r="AP437" s="262"/>
      <c r="AQ437" s="262"/>
      <c r="AR437" s="262"/>
      <c r="AS437" s="262"/>
      <c r="AT437" s="262"/>
      <c r="AU437" s="262"/>
      <c r="AV437" s="510">
        <v>0.36</v>
      </c>
      <c r="AW437" s="510">
        <v>7.0000000000000007E-2</v>
      </c>
      <c r="AX437" s="510">
        <v>7.0000000000000007E-2</v>
      </c>
      <c r="AY437" s="510">
        <v>0.27</v>
      </c>
      <c r="AZ437" s="510"/>
      <c r="BA437" s="510">
        <v>0.19</v>
      </c>
      <c r="BB437" s="510">
        <v>0.04</v>
      </c>
      <c r="BC437" s="510">
        <f t="shared" si="178"/>
        <v>1</v>
      </c>
      <c r="BD437" s="747">
        <f t="shared" si="132"/>
        <v>-5.6898116000000005</v>
      </c>
      <c r="BE437" s="243">
        <f t="shared" si="133"/>
        <v>-5.3441291</v>
      </c>
      <c r="BF437" s="329">
        <v>0.30399999999999999</v>
      </c>
      <c r="BG437" s="329">
        <v>7.0000000000000007E-2</v>
      </c>
      <c r="BH437" s="329"/>
      <c r="BI437" s="329">
        <v>7.0000000000000007E-2</v>
      </c>
      <c r="BJ437" s="329"/>
      <c r="BK437" s="329">
        <v>0.156</v>
      </c>
      <c r="BL437" s="329">
        <v>1.7999999999999999E-2</v>
      </c>
      <c r="BM437" s="329">
        <v>0.24199999999999999</v>
      </c>
      <c r="BN437" s="329">
        <v>0.04</v>
      </c>
      <c r="BO437" s="329">
        <v>0.1</v>
      </c>
      <c r="BP437" s="329">
        <f t="shared" si="181"/>
        <v>1</v>
      </c>
      <c r="BQ437" s="748">
        <f t="shared" si="148"/>
        <v>-5.6505434400000007</v>
      </c>
      <c r="BS437" s="615">
        <f t="array" ref="BS437">100*((1+8.5/100)^(1/12)-1)</f>
        <v>0.68214933659622723</v>
      </c>
      <c r="BT437" s="615">
        <f t="array" ref="BT437">100*((1+8.75/100)^(1/12)-1)</f>
        <v>0.70146116041400752</v>
      </c>
      <c r="BU437" s="615">
        <f t="array" ref="BU437">100*((1+9/100)^(1/12)-1)</f>
        <v>0.72073233161367156</v>
      </c>
      <c r="BV437" s="615">
        <f t="array" ref="BV437">100*((1+5/100)^(1/12)-1)</f>
        <v>0.40741237836483535</v>
      </c>
      <c r="BW437" s="615">
        <f t="array" ref="BW437">100*((1+9/100)^(1/12)-1)</f>
        <v>0.72073233161367156</v>
      </c>
      <c r="BX437" s="749">
        <f t="array" ref="BX437">((1+6.75/100)^(1/12)-1)*100</f>
        <v>0.54581304569467637</v>
      </c>
      <c r="BY437" s="615">
        <f t="shared" si="153"/>
        <v>0.74610833265813525</v>
      </c>
      <c r="BZ437" s="341">
        <f t="shared" si="182"/>
        <v>0.68967566304480643</v>
      </c>
      <c r="CB437" s="243">
        <f t="shared" si="175"/>
        <v>0.64340301100034303</v>
      </c>
      <c r="CD437" s="243">
        <f t="shared" si="176"/>
        <v>0.64340301100034303</v>
      </c>
      <c r="CG437" s="734">
        <f t="shared" si="149"/>
        <v>-7.9838942000000008</v>
      </c>
      <c r="CJ437" s="1264">
        <f t="shared" si="125"/>
        <v>0.79741404289037643</v>
      </c>
    </row>
    <row r="438" spans="1:88" x14ac:dyDescent="0.2">
      <c r="A438" s="19">
        <v>40847</v>
      </c>
      <c r="B438" s="262">
        <v>10.929309999999999</v>
      </c>
      <c r="C438" s="262">
        <v>10.59221</v>
      </c>
      <c r="D438" s="262">
        <v>11.31297</v>
      </c>
      <c r="E438" s="262">
        <v>13.74639</v>
      </c>
      <c r="F438" s="262">
        <v>13.31819</v>
      </c>
      <c r="G438" s="262">
        <v>14.19331</v>
      </c>
      <c r="H438" s="262">
        <v>15.135809999999999</v>
      </c>
      <c r="I438" s="262">
        <v>15.859909999999999</v>
      </c>
      <c r="J438" s="262">
        <v>14.41029</v>
      </c>
      <c r="K438" s="262">
        <v>14.995850000000001</v>
      </c>
      <c r="L438" s="262">
        <v>14.57207</v>
      </c>
      <c r="M438" s="262">
        <v>15.424189999999999</v>
      </c>
      <c r="N438" s="262">
        <f t="shared" si="179"/>
        <v>14.995850000000001</v>
      </c>
      <c r="O438" s="262">
        <f t="shared" si="183"/>
        <v>14.57207</v>
      </c>
      <c r="P438" s="262">
        <f t="shared" si="183"/>
        <v>15.424189999999999</v>
      </c>
      <c r="Q438" s="262">
        <v>15.444739999999999</v>
      </c>
      <c r="R438" s="262">
        <v>14.6579</v>
      </c>
      <c r="S438" s="262">
        <v>11.509259999999999</v>
      </c>
      <c r="T438" s="1342">
        <f t="shared" si="80"/>
        <v>11.509259999999999</v>
      </c>
      <c r="U438" s="262">
        <v>10.544919999999999</v>
      </c>
      <c r="V438" s="262">
        <v>7.2014899999999997</v>
      </c>
      <c r="W438" s="262">
        <v>0.10765</v>
      </c>
      <c r="X438" s="262">
        <v>0.21518000000000001</v>
      </c>
      <c r="Y438" s="262">
        <v>0.30318000000000001</v>
      </c>
      <c r="Z438" s="262" t="e">
        <v>#N/A</v>
      </c>
      <c r="AA438" s="262">
        <v>9.6472999999999995</v>
      </c>
      <c r="AB438" s="262"/>
      <c r="AC438" s="262">
        <v>9.1776599999999995</v>
      </c>
      <c r="AD438" s="277">
        <v>7.5263400000000003</v>
      </c>
      <c r="AE438" s="277">
        <f t="shared" si="180"/>
        <v>7.5263400000000003</v>
      </c>
      <c r="AF438" s="277">
        <f t="shared" si="174"/>
        <v>10.544919999999999</v>
      </c>
      <c r="AG438" s="277">
        <v>3.52</v>
      </c>
      <c r="AH438" s="277">
        <v>14.85</v>
      </c>
      <c r="AI438" s="277">
        <v>5.9930199999999996</v>
      </c>
      <c r="AJ438" s="277">
        <v>1.8634599999999999</v>
      </c>
      <c r="AK438" s="277">
        <v>6.6184000000000003</v>
      </c>
      <c r="AL438" s="277">
        <v>13.25563</v>
      </c>
      <c r="AM438" s="268">
        <v>11.208819999999999</v>
      </c>
      <c r="AN438" s="262">
        <v>9.6472999999999995</v>
      </c>
      <c r="AO438" s="262">
        <v>9.6472999999999995</v>
      </c>
      <c r="AP438" s="1311">
        <v>7.9574999999999996</v>
      </c>
      <c r="AQ438" s="262"/>
      <c r="AR438" s="262"/>
      <c r="AS438" s="262"/>
      <c r="AT438" s="262"/>
      <c r="AU438" s="262"/>
      <c r="AV438" s="510">
        <v>0.36</v>
      </c>
      <c r="AW438" s="510">
        <v>7.0000000000000007E-2</v>
      </c>
      <c r="AX438" s="510">
        <v>7.0000000000000007E-2</v>
      </c>
      <c r="AY438" s="510">
        <v>0.27</v>
      </c>
      <c r="AZ438" s="510"/>
      <c r="BA438" s="510">
        <v>0.19</v>
      </c>
      <c r="BB438" s="510">
        <v>0.04</v>
      </c>
      <c r="BC438" s="510">
        <f t="shared" si="178"/>
        <v>1</v>
      </c>
      <c r="BD438" s="747">
        <f t="shared" si="132"/>
        <v>8.1199086999999981</v>
      </c>
      <c r="BE438" s="243">
        <f t="shared" si="133"/>
        <v>7.5886022000000004</v>
      </c>
      <c r="BF438" s="329">
        <v>0.30399999999999999</v>
      </c>
      <c r="BG438" s="329">
        <v>7.0000000000000007E-2</v>
      </c>
      <c r="BH438" s="329"/>
      <c r="BI438" s="329">
        <v>7.0000000000000007E-2</v>
      </c>
      <c r="BJ438" s="329"/>
      <c r="BK438" s="329">
        <v>0.156</v>
      </c>
      <c r="BL438" s="329">
        <v>1.7999999999999999E-2</v>
      </c>
      <c r="BM438" s="329">
        <v>0.24199999999999999</v>
      </c>
      <c r="BN438" s="329">
        <v>0.04</v>
      </c>
      <c r="BO438" s="329">
        <v>0.1</v>
      </c>
      <c r="BP438" s="329">
        <f t="shared" si="181"/>
        <v>1</v>
      </c>
      <c r="BQ438" s="748">
        <f t="shared" si="148"/>
        <v>8.0285866800000001</v>
      </c>
      <c r="BS438" s="615">
        <f t="array" ref="BS438">100*((1+8.5/100)^(1/12)-1)</f>
        <v>0.68214933659622723</v>
      </c>
      <c r="BT438" s="615">
        <f t="array" ref="BT438">100*((1+8.75/100)^(1/12)-1)</f>
        <v>0.70146116041400752</v>
      </c>
      <c r="BU438" s="615">
        <f t="array" ref="BU438">100*((1+9/100)^(1/12)-1)</f>
        <v>0.72073233161367156</v>
      </c>
      <c r="BV438" s="615">
        <f t="array" ref="BV438">100*((1+5/100)^(1/12)-1)</f>
        <v>0.40741237836483535</v>
      </c>
      <c r="BW438" s="615">
        <f t="array" ref="BW438">100*((1+9/100)^(1/12)-1)</f>
        <v>0.72073233161367156</v>
      </c>
      <c r="BX438" s="749">
        <f t="array" ref="BX438">((1+6.75/100)^(1/12)-1)*100</f>
        <v>0.54581304569467637</v>
      </c>
      <c r="BY438" s="615">
        <f t="shared" si="153"/>
        <v>0.74610833265813525</v>
      </c>
      <c r="BZ438" s="341">
        <f t="shared" si="182"/>
        <v>0.68967566304480643</v>
      </c>
      <c r="CB438" s="243">
        <f t="shared" si="175"/>
        <v>0.64340301100034303</v>
      </c>
      <c r="CD438" s="243">
        <f t="shared" si="176"/>
        <v>0.64340301100034303</v>
      </c>
      <c r="CG438" s="734">
        <f t="shared" si="149"/>
        <v>11.893016799999998</v>
      </c>
      <c r="CJ438" s="1264">
        <f t="shared" si="125"/>
        <v>0.79741404289037643</v>
      </c>
    </row>
    <row r="439" spans="1:88" x14ac:dyDescent="0.2">
      <c r="A439" s="19">
        <v>40877</v>
      </c>
      <c r="B439" s="262">
        <v>-0.22103</v>
      </c>
      <c r="C439" s="262">
        <v>-0.13675000000000001</v>
      </c>
      <c r="D439" s="262">
        <v>-0.31498999999999999</v>
      </c>
      <c r="E439" s="262">
        <v>-0.30154999999999998</v>
      </c>
      <c r="F439" s="262">
        <v>-1.0817300000000001</v>
      </c>
      <c r="G439" s="262">
        <v>0.50434999999999997</v>
      </c>
      <c r="H439" s="262">
        <v>-0.36452000000000001</v>
      </c>
      <c r="I439" s="262">
        <v>-0.52647999999999995</v>
      </c>
      <c r="J439" s="262">
        <v>-0.19983000000000001</v>
      </c>
      <c r="K439" s="262">
        <v>0.63093999999999995</v>
      </c>
      <c r="L439" s="262">
        <v>0.57728999999999997</v>
      </c>
      <c r="M439" s="262">
        <v>0.68430000000000002</v>
      </c>
      <c r="N439" s="262">
        <f t="shared" si="179"/>
        <v>0.63093999999999995</v>
      </c>
      <c r="O439" s="262">
        <f t="shared" ref="O439:P441" si="184">L439</f>
        <v>0.57728999999999997</v>
      </c>
      <c r="P439" s="262">
        <f t="shared" si="184"/>
        <v>0.68430000000000002</v>
      </c>
      <c r="Q439" s="262">
        <v>-0.47767999999999999</v>
      </c>
      <c r="R439" s="262">
        <v>-0.34747</v>
      </c>
      <c r="S439" s="262">
        <v>-0.27028000000000002</v>
      </c>
      <c r="T439" s="1342">
        <f t="shared" si="80"/>
        <v>-0.27028000000000002</v>
      </c>
      <c r="U439" s="262">
        <v>-5.0807000000000002</v>
      </c>
      <c r="V439" s="262">
        <v>-5.4001400000000004</v>
      </c>
      <c r="W439" s="262">
        <v>-8.6910000000000001E-2</v>
      </c>
      <c r="X439" s="262">
        <v>-7.1590000000000001E-2</v>
      </c>
      <c r="Y439" s="262">
        <v>-0.24357000000000001</v>
      </c>
      <c r="Z439" s="262" t="e">
        <v>#N/A</v>
      </c>
      <c r="AA439" s="262">
        <v>-4.8250500000000001</v>
      </c>
      <c r="AB439" s="262"/>
      <c r="AC439" s="262">
        <v>-5.2846700000000002</v>
      </c>
      <c r="AD439" s="277">
        <v>-1.11818</v>
      </c>
      <c r="AE439" s="277">
        <f t="shared" si="180"/>
        <v>-1.11818</v>
      </c>
      <c r="AF439" s="277">
        <f t="shared" ref="AF439:AF445" si="185">U439</f>
        <v>-5.0807000000000002</v>
      </c>
      <c r="AG439" s="277">
        <v>3.52</v>
      </c>
      <c r="AH439" s="277">
        <v>-4.04</v>
      </c>
      <c r="AI439" s="277">
        <v>-2.15625</v>
      </c>
      <c r="AJ439" s="277">
        <v>0.77163999999999999</v>
      </c>
      <c r="AK439" s="277">
        <v>-2.2189999999999999</v>
      </c>
      <c r="AL439" s="277">
        <v>-6.6592200000000004</v>
      </c>
      <c r="AM439" s="268">
        <v>-0.26229999999999998</v>
      </c>
      <c r="AN439" s="262">
        <v>-4.8250500000000001</v>
      </c>
      <c r="AO439" s="262">
        <v>-4.8250500000000001</v>
      </c>
      <c r="AP439" s="1311">
        <v>-1.2850600000000001</v>
      </c>
      <c r="AQ439" s="262"/>
      <c r="AR439" s="262"/>
      <c r="AS439" s="262"/>
      <c r="AT439" s="262"/>
      <c r="AU439" s="262"/>
      <c r="AV439" s="510">
        <v>0.36</v>
      </c>
      <c r="AW439" s="510">
        <v>7.0000000000000007E-2</v>
      </c>
      <c r="AX439" s="510">
        <v>7.0000000000000007E-2</v>
      </c>
      <c r="AY439" s="510">
        <v>0.27</v>
      </c>
      <c r="AZ439" s="510"/>
      <c r="BA439" s="510">
        <v>0.19</v>
      </c>
      <c r="BB439" s="510">
        <v>0.04</v>
      </c>
      <c r="BC439" s="510">
        <f t="shared" ref="BC439:BC444" si="186">SUM(AV439:BB439)</f>
        <v>1</v>
      </c>
      <c r="BD439" s="747">
        <f t="shared" si="132"/>
        <v>-0.9045122000000001</v>
      </c>
      <c r="BE439" s="243">
        <f t="shared" si="133"/>
        <v>-0.90563919999999998</v>
      </c>
      <c r="BF439" s="329">
        <v>0.30399999999999999</v>
      </c>
      <c r="BG439" s="329">
        <v>7.0000000000000007E-2</v>
      </c>
      <c r="BH439" s="329"/>
      <c r="BI439" s="329">
        <v>7.0000000000000007E-2</v>
      </c>
      <c r="BJ439" s="329"/>
      <c r="BK439" s="329">
        <v>0.156</v>
      </c>
      <c r="BL439" s="329">
        <v>1.7999999999999999E-2</v>
      </c>
      <c r="BM439" s="329">
        <v>0.24199999999999999</v>
      </c>
      <c r="BN439" s="329">
        <v>0.04</v>
      </c>
      <c r="BO439" s="329">
        <v>0.1</v>
      </c>
      <c r="BP439" s="329">
        <f t="shared" si="181"/>
        <v>1</v>
      </c>
      <c r="BQ439" s="748">
        <f t="shared" si="148"/>
        <v>-0.92597775999999998</v>
      </c>
      <c r="BS439" s="615">
        <f t="array" ref="BS439">100*((1+8.5/100)^(1/12)-1)</f>
        <v>0.68214933659622723</v>
      </c>
      <c r="BT439" s="615">
        <f t="array" ref="BT439">100*((1+8.75/100)^(1/12)-1)</f>
        <v>0.70146116041400752</v>
      </c>
      <c r="BU439" s="615">
        <f t="array" ref="BU439">100*((1+9/100)^(1/12)-1)</f>
        <v>0.72073233161367156</v>
      </c>
      <c r="BV439" s="615">
        <f t="array" ref="BV439">100*((1+5/100)^(1/12)-1)</f>
        <v>0.40741237836483535</v>
      </c>
      <c r="BW439" s="615">
        <f t="array" ref="BW439">100*((1+9/100)^(1/12)-1)</f>
        <v>0.72073233161367156</v>
      </c>
      <c r="BX439" s="749">
        <f t="array" ref="BX439">((1+6.75/100)^(1/12)-1)*100</f>
        <v>0.54581304569467637</v>
      </c>
      <c r="BY439" s="615">
        <f t="shared" si="153"/>
        <v>0.74610833265813525</v>
      </c>
      <c r="BZ439" s="341">
        <f t="shared" si="182"/>
        <v>0.68967566304480643</v>
      </c>
      <c r="CB439" s="243">
        <f t="shared" si="175"/>
        <v>0.64340301100034303</v>
      </c>
      <c r="CD439" s="243">
        <f t="shared" si="176"/>
        <v>0.64340301100034303</v>
      </c>
      <c r="CG439" s="734">
        <f t="shared" si="149"/>
        <v>-0.113027</v>
      </c>
      <c r="CJ439" s="1264">
        <f t="shared" si="125"/>
        <v>0.79741404289037643</v>
      </c>
    </row>
    <row r="440" spans="1:88" x14ac:dyDescent="0.2">
      <c r="A440" s="19">
        <v>40908</v>
      </c>
      <c r="B440" s="262">
        <v>1.02294</v>
      </c>
      <c r="C440" s="262">
        <v>0.33499000000000001</v>
      </c>
      <c r="D440" s="262">
        <v>1.8220700000000001</v>
      </c>
      <c r="E440" s="262">
        <v>-0.37412000000000001</v>
      </c>
      <c r="F440" s="262">
        <v>-1.6383000000000001</v>
      </c>
      <c r="G440" s="262">
        <v>0.96453</v>
      </c>
      <c r="H440" s="262">
        <v>0.66056000000000004</v>
      </c>
      <c r="I440" s="262">
        <v>-0.22455</v>
      </c>
      <c r="J440" s="262">
        <v>1.5650900000000001</v>
      </c>
      <c r="K440" s="262">
        <v>1.25397</v>
      </c>
      <c r="L440" s="262">
        <v>0.53537999999999997</v>
      </c>
      <c r="M440" s="262">
        <v>2.0364900000000001</v>
      </c>
      <c r="N440" s="262">
        <f t="shared" si="179"/>
        <v>1.25397</v>
      </c>
      <c r="O440" s="262">
        <f t="shared" si="184"/>
        <v>0.53537999999999997</v>
      </c>
      <c r="P440" s="262">
        <f t="shared" si="184"/>
        <v>2.0364900000000001</v>
      </c>
      <c r="Q440" s="262">
        <v>-1.20302</v>
      </c>
      <c r="R440" s="262">
        <v>0.22636000000000001</v>
      </c>
      <c r="S440" s="262">
        <v>0.82196999999999998</v>
      </c>
      <c r="T440" s="1342">
        <f t="shared" si="80"/>
        <v>0.82196999999999998</v>
      </c>
      <c r="U440" s="262">
        <v>-1.1002400000000001</v>
      </c>
      <c r="V440" s="262">
        <v>-1.9021699999999999</v>
      </c>
      <c r="W440" s="262">
        <v>1.0991200000000001</v>
      </c>
      <c r="X440" s="262">
        <v>0.76361999999999997</v>
      </c>
      <c r="Y440" s="262">
        <v>0.78295000000000003</v>
      </c>
      <c r="Z440" s="262" t="e">
        <v>#N/A</v>
      </c>
      <c r="AA440" s="262">
        <v>-0.93528</v>
      </c>
      <c r="AB440" s="262"/>
      <c r="AC440" s="262">
        <v>-0.56999999999999995</v>
      </c>
      <c r="AD440" s="277">
        <v>0.52907999999999999</v>
      </c>
      <c r="AE440" s="277">
        <f t="shared" si="180"/>
        <v>0.52907999999999999</v>
      </c>
      <c r="AF440" s="277">
        <f t="shared" si="185"/>
        <v>-1.1002400000000001</v>
      </c>
      <c r="AG440" s="277">
        <v>3.52</v>
      </c>
      <c r="AH440" s="277">
        <v>4.71</v>
      </c>
      <c r="AI440" s="277">
        <v>2.6566399999999999</v>
      </c>
      <c r="AJ440" s="277">
        <v>3.6540000000000003E-2</v>
      </c>
      <c r="AK440" s="277">
        <v>-3.7479</v>
      </c>
      <c r="AL440" s="277">
        <v>-1.1956899999999999</v>
      </c>
      <c r="AM440" s="268">
        <v>0.83589000000000002</v>
      </c>
      <c r="AN440" s="262">
        <v>-0.93528</v>
      </c>
      <c r="AO440" s="262">
        <v>-0.93528</v>
      </c>
      <c r="AP440" s="1311">
        <v>0.76266</v>
      </c>
      <c r="AQ440" s="262"/>
      <c r="AR440" s="262"/>
      <c r="AS440" s="262"/>
      <c r="AT440" s="262"/>
      <c r="AU440" s="262"/>
      <c r="AV440" s="510">
        <v>0.36</v>
      </c>
      <c r="AW440" s="510">
        <v>7.0000000000000007E-2</v>
      </c>
      <c r="AX440" s="510">
        <v>7.0000000000000007E-2</v>
      </c>
      <c r="AY440" s="510">
        <v>0.27</v>
      </c>
      <c r="AZ440" s="510"/>
      <c r="BA440" s="510">
        <v>0.19</v>
      </c>
      <c r="BB440" s="510">
        <v>0.04</v>
      </c>
      <c r="BC440" s="510">
        <f t="shared" si="186"/>
        <v>1</v>
      </c>
      <c r="BD440" s="747">
        <f t="shared" si="132"/>
        <v>0.65836470000000002</v>
      </c>
      <c r="BE440" s="243">
        <f t="shared" si="133"/>
        <v>0.64636519999999997</v>
      </c>
      <c r="BF440" s="329">
        <v>0.30399999999999999</v>
      </c>
      <c r="BG440" s="329">
        <v>7.0000000000000007E-2</v>
      </c>
      <c r="BH440" s="329"/>
      <c r="BI440" s="329">
        <v>7.0000000000000007E-2</v>
      </c>
      <c r="BJ440" s="329"/>
      <c r="BK440" s="329">
        <v>0.156</v>
      </c>
      <c r="BL440" s="329">
        <v>1.7999999999999999E-2</v>
      </c>
      <c r="BM440" s="329">
        <v>0.24199999999999999</v>
      </c>
      <c r="BN440" s="329">
        <v>0.04</v>
      </c>
      <c r="BO440" s="329">
        <v>0.1</v>
      </c>
      <c r="BP440" s="329">
        <f t="shared" si="181"/>
        <v>1</v>
      </c>
      <c r="BQ440" s="748">
        <f t="shared" si="148"/>
        <v>0.62638179999999999</v>
      </c>
      <c r="BS440" s="615">
        <f t="array" ref="BS440">100*((1+8.5/100)^(1/12)-1)</f>
        <v>0.68214933659622723</v>
      </c>
      <c r="BT440" s="615">
        <f t="array" ref="BT440">100*((1+8.75/100)^(1/12)-1)</f>
        <v>0.70146116041400752</v>
      </c>
      <c r="BU440" s="615">
        <f t="array" ref="BU440">100*((1+9/100)^(1/12)-1)</f>
        <v>0.72073233161367156</v>
      </c>
      <c r="BV440" s="615">
        <f t="array" ref="BV440">100*((1+5/100)^(1/12)-1)</f>
        <v>0.40741237836483535</v>
      </c>
      <c r="BW440" s="615">
        <f t="array" ref="BW440">100*((1+9/100)^(1/12)-1)</f>
        <v>0.72073233161367156</v>
      </c>
      <c r="BX440" s="749">
        <f t="array" ref="BX440">((1+6.75/100)^(1/12)-1)*100</f>
        <v>0.54581304569467637</v>
      </c>
      <c r="BY440" s="615">
        <f t="shared" si="153"/>
        <v>0.74610833265813525</v>
      </c>
      <c r="BZ440" s="341">
        <f t="shared" si="182"/>
        <v>0.68967566304480643</v>
      </c>
      <c r="CB440" s="243">
        <f t="shared" si="175"/>
        <v>0.64340301100034303</v>
      </c>
      <c r="CD440" s="243">
        <f t="shared" si="176"/>
        <v>0.64340301100034303</v>
      </c>
      <c r="CG440" s="734">
        <f t="shared" si="149"/>
        <v>0.85969580000000001</v>
      </c>
      <c r="CJ440" s="1264">
        <f t="shared" si="125"/>
        <v>0.79741404289037643</v>
      </c>
    </row>
    <row r="441" spans="1:88" x14ac:dyDescent="0.2">
      <c r="A441" s="19">
        <v>40939</v>
      </c>
      <c r="B441" s="262">
        <v>4.4815100000000001</v>
      </c>
      <c r="C441" s="262">
        <v>4.1208600000000004</v>
      </c>
      <c r="D441" s="262">
        <v>4.9105499999999997</v>
      </c>
      <c r="E441" s="262">
        <v>6.6062399999999997</v>
      </c>
      <c r="F441" s="262">
        <v>6.8584100000000001</v>
      </c>
      <c r="G441" s="262">
        <v>6.3377499999999998</v>
      </c>
      <c r="H441" s="262">
        <v>7.0651000000000002</v>
      </c>
      <c r="I441" s="262">
        <v>7.4800500000000003</v>
      </c>
      <c r="J441" s="262">
        <v>6.6471499999999999</v>
      </c>
      <c r="K441" s="262">
        <v>6.5766799999999996</v>
      </c>
      <c r="L441" s="262">
        <v>5.3691800000000001</v>
      </c>
      <c r="M441" s="262">
        <v>7.8566799999999999</v>
      </c>
      <c r="N441" s="262">
        <f t="shared" ref="N441:N446" si="187">K441</f>
        <v>6.5766799999999996</v>
      </c>
      <c r="O441" s="262">
        <f t="shared" si="184"/>
        <v>5.3691800000000001</v>
      </c>
      <c r="P441" s="262">
        <f t="shared" si="184"/>
        <v>7.8566799999999999</v>
      </c>
      <c r="Q441" s="262">
        <v>7.7064300000000001</v>
      </c>
      <c r="R441" s="262">
        <v>6.6467999999999998</v>
      </c>
      <c r="S441" s="262">
        <v>5.0462499999999997</v>
      </c>
      <c r="T441" s="1342">
        <f t="shared" si="80"/>
        <v>5.0462499999999997</v>
      </c>
      <c r="U441" s="262">
        <v>6.8064</v>
      </c>
      <c r="V441" s="262">
        <v>8.27773</v>
      </c>
      <c r="W441" s="262">
        <v>0.87763999999999998</v>
      </c>
      <c r="X441" s="262">
        <v>0.82188000000000005</v>
      </c>
      <c r="Y441" s="262">
        <v>1.0217099999999999</v>
      </c>
      <c r="Z441" s="262" t="e">
        <v>#N/A</v>
      </c>
      <c r="AA441" s="262">
        <v>5.3530699999999998</v>
      </c>
      <c r="AB441" s="262"/>
      <c r="AC441" s="262">
        <v>5.2281199999999997</v>
      </c>
      <c r="AD441" s="277">
        <v>3.5777600000000001</v>
      </c>
      <c r="AE441" s="277">
        <f t="shared" ref="AE441:AE446" si="188">AD441</f>
        <v>3.5777600000000001</v>
      </c>
      <c r="AF441" s="277">
        <f t="shared" si="185"/>
        <v>6.8064</v>
      </c>
      <c r="AG441" s="277">
        <v>6.57</v>
      </c>
      <c r="AH441" s="277">
        <v>6.57</v>
      </c>
      <c r="AI441" s="277">
        <v>3.0358499999999999</v>
      </c>
      <c r="AJ441" s="277">
        <v>2.2932299999999999</v>
      </c>
      <c r="AK441" s="277">
        <v>2.4729000000000001</v>
      </c>
      <c r="AL441" s="277">
        <v>11.362</v>
      </c>
      <c r="AM441" s="268">
        <v>4.8733399999999998</v>
      </c>
      <c r="AN441" s="262">
        <v>5.3530699999999998</v>
      </c>
      <c r="AO441" s="262">
        <v>5.3530699999999998</v>
      </c>
      <c r="AP441" s="1311">
        <v>3.7543899999999999</v>
      </c>
      <c r="AQ441" s="262"/>
      <c r="AR441" s="262"/>
      <c r="AS441" s="262"/>
      <c r="AT441" s="262"/>
      <c r="AU441" s="262"/>
      <c r="AV441" s="510">
        <v>0.36</v>
      </c>
      <c r="AW441" s="510">
        <v>7.0000000000000007E-2</v>
      </c>
      <c r="AX441" s="510">
        <v>7.0000000000000007E-2</v>
      </c>
      <c r="AY441" s="510">
        <v>0.27</v>
      </c>
      <c r="AZ441" s="510"/>
      <c r="BA441" s="510">
        <v>0.19</v>
      </c>
      <c r="BB441" s="510">
        <v>0.04</v>
      </c>
      <c r="BC441" s="510">
        <f t="shared" si="186"/>
        <v>1</v>
      </c>
      <c r="BD441" s="747">
        <f t="shared" si="132"/>
        <v>4.3291268000000001</v>
      </c>
      <c r="BE441" s="243">
        <f t="shared" si="133"/>
        <v>4.1561367999999996</v>
      </c>
      <c r="BF441" s="329">
        <v>0.30399999999999999</v>
      </c>
      <c r="BG441" s="329">
        <v>7.0000000000000007E-2</v>
      </c>
      <c r="BH441" s="329"/>
      <c r="BI441" s="329">
        <v>7.0000000000000007E-2</v>
      </c>
      <c r="BJ441" s="329"/>
      <c r="BK441" s="329">
        <v>0.156</v>
      </c>
      <c r="BL441" s="329">
        <v>1.7999999999999999E-2</v>
      </c>
      <c r="BM441" s="329">
        <v>0.24199999999999999</v>
      </c>
      <c r="BN441" s="329">
        <v>0.04</v>
      </c>
      <c r="BO441" s="329">
        <v>0.1</v>
      </c>
      <c r="BP441" s="329">
        <f t="shared" ref="BP441:BP446" si="189">SUM(BF441:BO441)</f>
        <v>1</v>
      </c>
      <c r="BQ441" s="748">
        <f t="shared" si="148"/>
        <v>4.3289458599999993</v>
      </c>
      <c r="BS441" s="615">
        <f t="array" ref="BS441">100*((1+8.5/100)^(1/12)-1)</f>
        <v>0.68214933659622723</v>
      </c>
      <c r="BT441" s="615">
        <f t="array" ref="BT441">100*((1+8.75/100)^(1/12)-1)</f>
        <v>0.70146116041400752</v>
      </c>
      <c r="BU441" s="615">
        <f t="array" ref="BU441">100*((1+9/100)^(1/12)-1)</f>
        <v>0.72073233161367156</v>
      </c>
      <c r="BV441" s="615">
        <f t="array" ref="BV441">100*((1+5/100)^(1/12)-1)</f>
        <v>0.40741237836483535</v>
      </c>
      <c r="BW441" s="615">
        <f t="array" ref="BW441">100*((1+9/100)^(1/12)-1)</f>
        <v>0.72073233161367156</v>
      </c>
      <c r="BX441" s="749">
        <f t="array" ref="BX441">((1+6.75/100)^(1/12)-1)*100</f>
        <v>0.54581304569467637</v>
      </c>
      <c r="BY441" s="615">
        <f t="shared" si="153"/>
        <v>0.74610833265813525</v>
      </c>
      <c r="BZ441" s="341">
        <f t="shared" ref="BZ441:BZ446" si="190">0.74*BS441+0.13*BT441+0.13*BU441</f>
        <v>0.68967566304480643</v>
      </c>
      <c r="CB441" s="243">
        <f t="shared" si="175"/>
        <v>0.64340301100034303</v>
      </c>
      <c r="CD441" s="243">
        <f t="shared" si="176"/>
        <v>0.64340301100034303</v>
      </c>
      <c r="CG441" s="734">
        <f t="shared" si="149"/>
        <v>5.0722959999999997</v>
      </c>
      <c r="CJ441" s="1264">
        <f t="shared" si="125"/>
        <v>0.79741404289037643</v>
      </c>
    </row>
    <row r="442" spans="1:88" x14ac:dyDescent="0.2">
      <c r="A442" s="19">
        <v>40968</v>
      </c>
      <c r="B442" s="262">
        <v>4.3242200000000004</v>
      </c>
      <c r="C442" s="262">
        <v>4.4560899999999997</v>
      </c>
      <c r="D442" s="262">
        <v>4.1681100000000004</v>
      </c>
      <c r="E442" s="262">
        <v>4.4987300000000001</v>
      </c>
      <c r="F442" s="262">
        <v>5.0016100000000003</v>
      </c>
      <c r="G442" s="262">
        <v>3.9588700000000001</v>
      </c>
      <c r="H442" s="262">
        <v>2.39324</v>
      </c>
      <c r="I442" s="262">
        <v>3.2939099999999999</v>
      </c>
      <c r="J442" s="262">
        <v>1.48766</v>
      </c>
      <c r="K442" s="262">
        <v>2.1151800000000001</v>
      </c>
      <c r="L442" s="262">
        <v>2.44848</v>
      </c>
      <c r="M442" s="262">
        <v>1.7803100000000001</v>
      </c>
      <c r="N442" s="262">
        <f t="shared" si="187"/>
        <v>2.1151800000000001</v>
      </c>
      <c r="O442" s="262">
        <f t="shared" ref="O442:P444" si="191">L442</f>
        <v>2.44848</v>
      </c>
      <c r="P442" s="262">
        <f t="shared" si="191"/>
        <v>1.7803100000000001</v>
      </c>
      <c r="Q442" s="262">
        <v>4.5962500000000004</v>
      </c>
      <c r="R442" s="262">
        <v>3.7104300000000001</v>
      </c>
      <c r="S442" s="262">
        <v>4.2303199999999999</v>
      </c>
      <c r="T442" s="1342">
        <f t="shared" si="80"/>
        <v>4.2303199999999999</v>
      </c>
      <c r="U442" s="262">
        <v>5.6459799999999998</v>
      </c>
      <c r="V442" s="262">
        <v>6.0158500000000004</v>
      </c>
      <c r="W442" s="262">
        <v>-2.281E-2</v>
      </c>
      <c r="X442" s="262">
        <v>2.998E-2</v>
      </c>
      <c r="Y442" s="262">
        <v>-4.836E-2</v>
      </c>
      <c r="Z442" s="262" t="e">
        <v>#N/A</v>
      </c>
      <c r="AA442" s="262">
        <v>5.7686799999999998</v>
      </c>
      <c r="AB442" s="262"/>
      <c r="AC442" s="262">
        <v>5.4834699999999996</v>
      </c>
      <c r="AD442" s="277">
        <v>3.3327300000000002</v>
      </c>
      <c r="AE442" s="277">
        <f t="shared" si="188"/>
        <v>3.3327300000000002</v>
      </c>
      <c r="AF442" s="277">
        <f t="shared" si="185"/>
        <v>5.6459799999999998</v>
      </c>
      <c r="AG442" s="277">
        <v>6.57</v>
      </c>
      <c r="AH442" s="277">
        <v>-1.03</v>
      </c>
      <c r="AI442" s="277">
        <v>2.3748499999999999</v>
      </c>
      <c r="AJ442" s="277">
        <v>-0.32856000000000002</v>
      </c>
      <c r="AK442" s="277">
        <v>2.6987000000000001</v>
      </c>
      <c r="AL442" s="277">
        <v>6.0084799999999996</v>
      </c>
      <c r="AM442" s="268">
        <v>4.3882300000000001</v>
      </c>
      <c r="AN442" s="262">
        <v>5.7686799999999998</v>
      </c>
      <c r="AO442" s="262">
        <v>5.7686799999999998</v>
      </c>
      <c r="AP442" s="1311">
        <v>3.0901200000000002</v>
      </c>
      <c r="AQ442" s="262"/>
      <c r="AR442" s="262"/>
      <c r="AS442" s="262"/>
      <c r="AT442" s="262"/>
      <c r="AU442" s="262"/>
      <c r="AV442" s="510">
        <v>0.36</v>
      </c>
      <c r="AW442" s="510">
        <v>7.0000000000000007E-2</v>
      </c>
      <c r="AX442" s="510">
        <v>7.0000000000000007E-2</v>
      </c>
      <c r="AY442" s="510">
        <v>0.27</v>
      </c>
      <c r="AZ442" s="510"/>
      <c r="BA442" s="510">
        <v>0.19</v>
      </c>
      <c r="BB442" s="510">
        <v>0.04</v>
      </c>
      <c r="BC442" s="510">
        <f t="shared" si="186"/>
        <v>1</v>
      </c>
      <c r="BD442" s="747">
        <f t="shared" si="132"/>
        <v>3.3490704</v>
      </c>
      <c r="BE442" s="243">
        <f t="shared" si="133"/>
        <v>3.1304414</v>
      </c>
      <c r="BF442" s="329">
        <v>0.30399999999999999</v>
      </c>
      <c r="BG442" s="329">
        <v>7.0000000000000007E-2</v>
      </c>
      <c r="BH442" s="329"/>
      <c r="BI442" s="329">
        <v>7.0000000000000007E-2</v>
      </c>
      <c r="BJ442" s="329"/>
      <c r="BK442" s="329">
        <v>0.156</v>
      </c>
      <c r="BL442" s="329">
        <v>1.7999999999999999E-2</v>
      </c>
      <c r="BM442" s="329">
        <v>0.24199999999999999</v>
      </c>
      <c r="BN442" s="329">
        <v>0.04</v>
      </c>
      <c r="BO442" s="329">
        <v>0.1</v>
      </c>
      <c r="BP442" s="329">
        <f t="shared" si="189"/>
        <v>1</v>
      </c>
      <c r="BQ442" s="748">
        <f t="shared" si="148"/>
        <v>3.3571477399999998</v>
      </c>
      <c r="BS442" s="615">
        <f t="array" ref="BS442">100*((1+8.5/100)^(1/12)-1)</f>
        <v>0.68214933659622723</v>
      </c>
      <c r="BT442" s="615">
        <f t="array" ref="BT442">100*((1+8.75/100)^(1/12)-1)</f>
        <v>0.70146116041400752</v>
      </c>
      <c r="BU442" s="615">
        <f t="array" ref="BU442">100*((1+9/100)^(1/12)-1)</f>
        <v>0.72073233161367156</v>
      </c>
      <c r="BV442" s="615">
        <f t="array" ref="BV442">100*((1+5/100)^(1/12)-1)</f>
        <v>0.40741237836483535</v>
      </c>
      <c r="BW442" s="615">
        <f t="array" ref="BW442">100*((1+9/100)^(1/12)-1)</f>
        <v>0.72073233161367156</v>
      </c>
      <c r="BX442" s="749">
        <f t="array" ref="BX442">((1+6.75/100)^(1/12)-1)*100</f>
        <v>0.54581304569467637</v>
      </c>
      <c r="BY442" s="615">
        <f t="shared" si="153"/>
        <v>0.74610833265813525</v>
      </c>
      <c r="BZ442" s="341">
        <f t="shared" si="190"/>
        <v>0.68967566304480643</v>
      </c>
      <c r="CB442" s="243">
        <f t="shared" si="175"/>
        <v>0.64340301100034303</v>
      </c>
      <c r="CD442" s="243">
        <f t="shared" si="176"/>
        <v>0.64340301100034303</v>
      </c>
      <c r="CG442" s="734">
        <f t="shared" si="149"/>
        <v>4.0393857999999998</v>
      </c>
      <c r="CJ442" s="1264">
        <f t="shared" si="125"/>
        <v>0.79741404289037643</v>
      </c>
    </row>
    <row r="443" spans="1:88" x14ac:dyDescent="0.2">
      <c r="A443" s="19">
        <v>40999</v>
      </c>
      <c r="B443" s="262">
        <v>3.2909199999999998</v>
      </c>
      <c r="C443" s="262">
        <v>3.2223299999999999</v>
      </c>
      <c r="D443" s="262">
        <v>3.3710800000000001</v>
      </c>
      <c r="E443" s="262">
        <v>1.8800399999999999</v>
      </c>
      <c r="F443" s="262">
        <v>1.6722699999999999</v>
      </c>
      <c r="G443" s="262">
        <v>2.1076999999999999</v>
      </c>
      <c r="H443" s="262">
        <v>2.56223</v>
      </c>
      <c r="I443" s="262">
        <v>2.03146</v>
      </c>
      <c r="J443" s="262">
        <v>3.1014599999999999</v>
      </c>
      <c r="K443" s="262">
        <v>2.89899</v>
      </c>
      <c r="L443" s="262">
        <v>2.9843999999999999</v>
      </c>
      <c r="M443" s="262">
        <v>2.8116500000000002</v>
      </c>
      <c r="N443" s="262">
        <f t="shared" si="187"/>
        <v>2.89899</v>
      </c>
      <c r="O443" s="262">
        <f t="shared" si="191"/>
        <v>2.9843999999999999</v>
      </c>
      <c r="P443" s="262">
        <f t="shared" si="191"/>
        <v>2.8116500000000002</v>
      </c>
      <c r="Q443" s="262">
        <v>1.7278</v>
      </c>
      <c r="R443" s="262">
        <v>2.1533899999999999</v>
      </c>
      <c r="S443" s="262">
        <v>3.08466</v>
      </c>
      <c r="T443" s="1342">
        <f t="shared" si="80"/>
        <v>3.08466</v>
      </c>
      <c r="U443" s="262">
        <v>-1.3226199999999999</v>
      </c>
      <c r="V443" s="262">
        <v>0.12837000000000001</v>
      </c>
      <c r="W443" s="262">
        <v>-0.54793000000000003</v>
      </c>
      <c r="X443" s="250">
        <v>-0.19353000000000001</v>
      </c>
      <c r="Y443" s="262">
        <v>-0.35952000000000001</v>
      </c>
      <c r="Z443" s="262" t="e">
        <v>#N/A</v>
      </c>
      <c r="AA443" s="262">
        <v>-0.40425</v>
      </c>
      <c r="AB443" s="262"/>
      <c r="AC443" s="262">
        <v>-1.0344500000000001</v>
      </c>
      <c r="AD443" s="277">
        <v>1.29114</v>
      </c>
      <c r="AE443" s="277">
        <f t="shared" si="188"/>
        <v>1.29114</v>
      </c>
      <c r="AF443" s="277">
        <f t="shared" si="185"/>
        <v>-1.3226199999999999</v>
      </c>
      <c r="AG443" s="277">
        <v>6.57</v>
      </c>
      <c r="AH443" s="277">
        <v>5.18</v>
      </c>
      <c r="AI443" s="277">
        <v>-0.13916000000000001</v>
      </c>
      <c r="AJ443" s="277">
        <v>-1.0743100000000001</v>
      </c>
      <c r="AK443" s="277">
        <v>-4.1364999999999998</v>
      </c>
      <c r="AL443" s="277">
        <v>-3.3164799999999999</v>
      </c>
      <c r="AM443" s="268">
        <v>3.12907</v>
      </c>
      <c r="AN443" s="262">
        <v>-0.40425</v>
      </c>
      <c r="AO443" s="262">
        <v>-0.40425</v>
      </c>
      <c r="AP443" s="1311">
        <v>1.4976499999999999</v>
      </c>
      <c r="AQ443" s="262"/>
      <c r="AR443" s="262"/>
      <c r="AS443" s="262"/>
      <c r="AT443" s="262"/>
      <c r="AU443" s="262"/>
      <c r="AV443" s="510">
        <v>0.36</v>
      </c>
      <c r="AW443" s="510">
        <v>7.0000000000000007E-2</v>
      </c>
      <c r="AX443" s="510">
        <v>7.0000000000000007E-2</v>
      </c>
      <c r="AY443" s="510">
        <v>0.27</v>
      </c>
      <c r="AZ443" s="510"/>
      <c r="BA443" s="510">
        <v>0.19</v>
      </c>
      <c r="BB443" s="510">
        <v>0.04</v>
      </c>
      <c r="BC443" s="510">
        <f t="shared" si="186"/>
        <v>1</v>
      </c>
      <c r="BD443" s="747">
        <f t="shared" si="132"/>
        <v>1.3828244000000001</v>
      </c>
      <c r="BE443" s="243">
        <f t="shared" si="133"/>
        <v>1.2003024</v>
      </c>
      <c r="BF443" s="329">
        <v>0.30399999999999999</v>
      </c>
      <c r="BG443" s="329">
        <v>7.0000000000000007E-2</v>
      </c>
      <c r="BH443" s="329"/>
      <c r="BI443" s="329">
        <v>7.0000000000000007E-2</v>
      </c>
      <c r="BJ443" s="329"/>
      <c r="BK443" s="329">
        <v>0.156</v>
      </c>
      <c r="BL443" s="329">
        <v>1.7999999999999999E-2</v>
      </c>
      <c r="BM443" s="329">
        <v>0.24199999999999999</v>
      </c>
      <c r="BN443" s="329">
        <v>0.04</v>
      </c>
      <c r="BO443" s="329">
        <v>0.1</v>
      </c>
      <c r="BP443" s="329">
        <f t="shared" si="189"/>
        <v>1</v>
      </c>
      <c r="BQ443" s="748">
        <f t="shared" si="148"/>
        <v>1.3902686600000003</v>
      </c>
      <c r="BS443" s="615">
        <f t="array" ref="BS443">100*((1+8.5/100)^(1/12)-1)</f>
        <v>0.68214933659622723</v>
      </c>
      <c r="BT443" s="615">
        <f t="array" ref="BT443">100*((1+8.75/100)^(1/12)-1)</f>
        <v>0.70146116041400752</v>
      </c>
      <c r="BU443" s="615">
        <f t="array" ref="BU443">100*((1+9/100)^(1/12)-1)</f>
        <v>0.72073233161367156</v>
      </c>
      <c r="BV443" s="615">
        <f t="array" ref="BV443">100*((1+5/100)^(1/12)-1)</f>
        <v>0.40741237836483535</v>
      </c>
      <c r="BW443" s="615">
        <f t="array" ref="BW443">100*((1+9/100)^(1/12)-1)</f>
        <v>0.72073233161367156</v>
      </c>
      <c r="BX443" s="749">
        <f t="array" ref="BX443">((1+6.75/100)^(1/12)-1)*100</f>
        <v>0.54581304569467637</v>
      </c>
      <c r="BY443" s="615">
        <f t="shared" si="153"/>
        <v>0.74610833265813525</v>
      </c>
      <c r="BZ443" s="341">
        <f t="shared" si="190"/>
        <v>0.68967566304480643</v>
      </c>
      <c r="CB443" s="243">
        <f t="shared" si="175"/>
        <v>0.64340301100034303</v>
      </c>
      <c r="CD443" s="243">
        <f t="shared" si="176"/>
        <v>0.64340301100034303</v>
      </c>
      <c r="CG443" s="734">
        <f t="shared" si="149"/>
        <v>3.0385266</v>
      </c>
      <c r="CJ443" s="1264">
        <f t="shared" si="125"/>
        <v>0.79741404289037643</v>
      </c>
    </row>
    <row r="444" spans="1:88" x14ac:dyDescent="0.2">
      <c r="A444" s="19">
        <v>41029</v>
      </c>
      <c r="B444" s="262">
        <v>-0.62768999999999997</v>
      </c>
      <c r="C444" s="262">
        <v>-3.6220000000000002E-2</v>
      </c>
      <c r="D444" s="262">
        <v>-1.32883</v>
      </c>
      <c r="E444" s="262">
        <v>-0.22505</v>
      </c>
      <c r="F444" s="262">
        <v>-8.2640000000000005E-2</v>
      </c>
      <c r="G444" s="262">
        <v>-0.38206000000000001</v>
      </c>
      <c r="H444" s="262">
        <v>-1.5446899999999999</v>
      </c>
      <c r="I444" s="262">
        <v>-1.64174</v>
      </c>
      <c r="J444" s="262">
        <v>-1.4469399999999999</v>
      </c>
      <c r="K444" s="262">
        <v>-1.2618799999999999</v>
      </c>
      <c r="L444" s="262">
        <v>-0.69987999999999995</v>
      </c>
      <c r="M444" s="262">
        <v>-1.83449</v>
      </c>
      <c r="N444" s="262">
        <f t="shared" si="187"/>
        <v>-1.2618799999999999</v>
      </c>
      <c r="O444" s="262">
        <f t="shared" si="191"/>
        <v>-0.69987999999999995</v>
      </c>
      <c r="P444" s="262">
        <f t="shared" si="191"/>
        <v>-1.83449</v>
      </c>
      <c r="Q444" s="262">
        <v>-0.85577000000000003</v>
      </c>
      <c r="R444" s="262">
        <v>-0.72719</v>
      </c>
      <c r="S444" s="262">
        <v>-0.65585000000000004</v>
      </c>
      <c r="T444" s="1342">
        <f t="shared" si="80"/>
        <v>-0.65585000000000004</v>
      </c>
      <c r="U444" s="262">
        <v>-1.48986</v>
      </c>
      <c r="V444" s="262">
        <v>-0.43292999999999998</v>
      </c>
      <c r="W444" s="262">
        <v>1.1089</v>
      </c>
      <c r="X444" s="262">
        <v>0.81218000000000001</v>
      </c>
      <c r="Y444" s="262">
        <v>0.91896999999999995</v>
      </c>
      <c r="Z444" s="262" t="e">
        <v>#N/A</v>
      </c>
      <c r="AA444" s="262">
        <v>-1.8419700000000001</v>
      </c>
      <c r="AB444" s="262"/>
      <c r="AC444" s="262">
        <v>-2.9393699999999998</v>
      </c>
      <c r="AD444" s="277">
        <v>-0.36602000000000001</v>
      </c>
      <c r="AE444" s="277">
        <f t="shared" si="188"/>
        <v>-0.36602000000000001</v>
      </c>
      <c r="AF444" s="277">
        <f t="shared" si="185"/>
        <v>-1.48986</v>
      </c>
      <c r="AG444" s="277">
        <v>2.82</v>
      </c>
      <c r="AH444" s="277">
        <v>2.93</v>
      </c>
      <c r="AI444" s="277">
        <v>1.04681</v>
      </c>
      <c r="AJ444" s="277">
        <v>2.0240300000000002</v>
      </c>
      <c r="AK444" s="277">
        <v>-0.42320000000000002</v>
      </c>
      <c r="AL444" s="277">
        <v>-1.17797</v>
      </c>
      <c r="AM444" s="268">
        <v>-0.58025000000000004</v>
      </c>
      <c r="AN444" s="262">
        <v>-1.8419700000000001</v>
      </c>
      <c r="AO444" s="262">
        <v>-1.8419700000000001</v>
      </c>
      <c r="AP444" s="1311">
        <v>-0.1905</v>
      </c>
      <c r="AQ444" s="262"/>
      <c r="AR444" s="262"/>
      <c r="AS444" s="262"/>
      <c r="AT444" s="262"/>
      <c r="AU444" s="262"/>
      <c r="AV444" s="510">
        <v>0.36</v>
      </c>
      <c r="AW444" s="510">
        <v>7.0000000000000007E-2</v>
      </c>
      <c r="AX444" s="510">
        <v>7.0000000000000007E-2</v>
      </c>
      <c r="AY444" s="510">
        <v>0.27</v>
      </c>
      <c r="AZ444" s="510"/>
      <c r="BA444" s="510">
        <v>0.19</v>
      </c>
      <c r="BB444" s="510">
        <v>0.04</v>
      </c>
      <c r="BC444" s="510">
        <f t="shared" si="186"/>
        <v>1</v>
      </c>
      <c r="BD444" s="747">
        <f t="shared" si="132"/>
        <v>-0.20092389999999993</v>
      </c>
      <c r="BE444" s="243">
        <f t="shared" si="133"/>
        <v>-0.12359089999999991</v>
      </c>
      <c r="BF444" s="329">
        <v>0.30399999999999999</v>
      </c>
      <c r="BG444" s="329">
        <v>7.0000000000000007E-2</v>
      </c>
      <c r="BH444" s="329"/>
      <c r="BI444" s="329">
        <v>7.0000000000000007E-2</v>
      </c>
      <c r="BJ444" s="329"/>
      <c r="BK444" s="329">
        <v>0.156</v>
      </c>
      <c r="BL444" s="329">
        <v>1.7999999999999999E-2</v>
      </c>
      <c r="BM444" s="329">
        <v>0.24199999999999999</v>
      </c>
      <c r="BN444" s="329">
        <v>0.04</v>
      </c>
      <c r="BO444" s="329">
        <v>0.1</v>
      </c>
      <c r="BP444" s="329">
        <f t="shared" si="189"/>
        <v>1</v>
      </c>
      <c r="BQ444" s="748">
        <f t="shared" si="148"/>
        <v>-0.19056196</v>
      </c>
      <c r="BS444" s="615">
        <f t="array" ref="BS444">100*((1+8.5/100)^(1/12)-1)</f>
        <v>0.68214933659622723</v>
      </c>
      <c r="BT444" s="615">
        <f t="array" ref="BT444">100*((1+8.75/100)^(1/12)-1)</f>
        <v>0.70146116041400752</v>
      </c>
      <c r="BU444" s="615">
        <f t="array" ref="BU444">100*((1+9/100)^(1/12)-1)</f>
        <v>0.72073233161367156</v>
      </c>
      <c r="BV444" s="615">
        <f t="array" ref="BV444">100*((1+5/100)^(1/12)-1)</f>
        <v>0.40741237836483535</v>
      </c>
      <c r="BW444" s="615">
        <f t="array" ref="BW444">100*((1+9/100)^(1/12)-1)</f>
        <v>0.72073233161367156</v>
      </c>
      <c r="BX444" s="749">
        <f t="array" ref="BX444">((1+6.75/100)^(1/12)-1)*100</f>
        <v>0.54581304569467637</v>
      </c>
      <c r="BY444" s="615">
        <f t="shared" si="153"/>
        <v>0.74610833265813525</v>
      </c>
      <c r="BZ444" s="341">
        <f t="shared" si="190"/>
        <v>0.68967566304480643</v>
      </c>
      <c r="CB444" s="243">
        <f t="shared" si="175"/>
        <v>0.64340301100034303</v>
      </c>
      <c r="CD444" s="243">
        <f t="shared" si="176"/>
        <v>0.64340301100034303</v>
      </c>
      <c r="CG444" s="734">
        <f t="shared" si="149"/>
        <v>-0.660107</v>
      </c>
      <c r="CJ444" s="1264">
        <f t="shared" si="125"/>
        <v>0.79741404289037643</v>
      </c>
    </row>
    <row r="445" spans="1:88" x14ac:dyDescent="0.2">
      <c r="A445" s="19">
        <v>41060</v>
      </c>
      <c r="B445" s="262">
        <v>-6.0100600000000002</v>
      </c>
      <c r="C445" s="262">
        <v>-5.4561200000000003</v>
      </c>
      <c r="D445" s="262">
        <v>-6.6739199999999999</v>
      </c>
      <c r="E445" s="262">
        <v>-6.4832299999999998</v>
      </c>
      <c r="F445" s="262">
        <v>-6.2970199999999998</v>
      </c>
      <c r="G445" s="262">
        <v>-6.6841499999999998</v>
      </c>
      <c r="H445" s="262">
        <v>-6.6189600000000004</v>
      </c>
      <c r="I445" s="262">
        <v>-7.1261799999999997</v>
      </c>
      <c r="J445" s="262">
        <v>-6.1107500000000003</v>
      </c>
      <c r="K445" s="262">
        <v>-6.2704399999999998</v>
      </c>
      <c r="L445" s="262">
        <v>-5.4207999999999998</v>
      </c>
      <c r="M445" s="262">
        <v>-7.1448400000000003</v>
      </c>
      <c r="N445" s="262">
        <f t="shared" si="187"/>
        <v>-6.2704399999999998</v>
      </c>
      <c r="O445" s="262">
        <f t="shared" ref="O445:P447" si="192">L445</f>
        <v>-5.4207999999999998</v>
      </c>
      <c r="P445" s="262">
        <f t="shared" si="192"/>
        <v>-7.1448400000000003</v>
      </c>
      <c r="Q445" s="262">
        <v>-7.5333399999999999</v>
      </c>
      <c r="R445" s="262">
        <v>-6.8344899999999997</v>
      </c>
      <c r="S445" s="262">
        <v>-6.1818999999999997</v>
      </c>
      <c r="T445" s="1342">
        <f t="shared" si="80"/>
        <v>-6.1818999999999997</v>
      </c>
      <c r="U445" s="262">
        <v>-11.252420000000001</v>
      </c>
      <c r="V445" s="262">
        <v>-11.68248</v>
      </c>
      <c r="W445" s="262">
        <v>0.90466000000000002</v>
      </c>
      <c r="X445" s="262">
        <v>0.40184999999999998</v>
      </c>
      <c r="Y445" s="262">
        <v>0.47770000000000001</v>
      </c>
      <c r="Z445" s="262" t="e">
        <v>#N/A</v>
      </c>
      <c r="AA445" s="262">
        <v>-11.35318</v>
      </c>
      <c r="AB445" s="262"/>
      <c r="AC445" s="262">
        <v>-11.535349999999999</v>
      </c>
      <c r="AD445" s="277">
        <v>-5.1827899999999998</v>
      </c>
      <c r="AE445" s="277">
        <f t="shared" si="188"/>
        <v>-5.1827899999999998</v>
      </c>
      <c r="AF445" s="277">
        <f t="shared" si="185"/>
        <v>-11.252420000000001</v>
      </c>
      <c r="AG445" s="277">
        <v>2.82</v>
      </c>
      <c r="AH445" s="277">
        <v>-4.7</v>
      </c>
      <c r="AI445" s="277">
        <v>-1.3059400000000001</v>
      </c>
      <c r="AJ445" s="277">
        <v>1.67248</v>
      </c>
      <c r="AK445" s="277">
        <v>-9.1319999999999997</v>
      </c>
      <c r="AL445" s="277">
        <v>-11.162570000000001</v>
      </c>
      <c r="AM445" s="268">
        <v>-6.1451599999999997</v>
      </c>
      <c r="AN445" s="262">
        <v>-11.35318</v>
      </c>
      <c r="AO445" s="262">
        <v>-11.35318</v>
      </c>
      <c r="AP445" s="1311">
        <v>-5.17225</v>
      </c>
      <c r="AQ445" s="262"/>
      <c r="AR445" s="262"/>
      <c r="AS445" s="262"/>
      <c r="AT445" s="262"/>
      <c r="AU445" s="262"/>
      <c r="AV445" s="510">
        <v>0.36</v>
      </c>
      <c r="AW445" s="510">
        <v>7.0000000000000007E-2</v>
      </c>
      <c r="AX445" s="510">
        <v>7.0000000000000007E-2</v>
      </c>
      <c r="AY445" s="510">
        <v>0.27</v>
      </c>
      <c r="AZ445" s="510"/>
      <c r="BA445" s="510">
        <v>0.19</v>
      </c>
      <c r="BB445" s="510">
        <v>0.04</v>
      </c>
      <c r="BC445" s="510">
        <f>SUM(AV445:BB445)</f>
        <v>1</v>
      </c>
      <c r="BD445" s="747">
        <f t="shared" si="132"/>
        <v>-4.8372801000000001</v>
      </c>
      <c r="BE445" s="243">
        <f t="shared" si="133"/>
        <v>-4.5128921000000002</v>
      </c>
      <c r="BF445" s="329">
        <v>0.30399999999999999</v>
      </c>
      <c r="BG445" s="329">
        <v>7.0000000000000007E-2</v>
      </c>
      <c r="BH445" s="329"/>
      <c r="BI445" s="329">
        <v>7.0000000000000007E-2</v>
      </c>
      <c r="BJ445" s="329"/>
      <c r="BK445" s="329">
        <v>0.156</v>
      </c>
      <c r="BL445" s="329">
        <v>1.7999999999999999E-2</v>
      </c>
      <c r="BM445" s="329">
        <v>0.24199999999999999</v>
      </c>
      <c r="BN445" s="329">
        <v>0.04</v>
      </c>
      <c r="BO445" s="329">
        <v>0.1</v>
      </c>
      <c r="BP445" s="329">
        <f t="shared" si="189"/>
        <v>1</v>
      </c>
      <c r="BQ445" s="748">
        <f t="shared" si="148"/>
        <v>-4.8720285800000003</v>
      </c>
      <c r="BS445" s="615">
        <f t="array" ref="BS445">100*((1+8.5/100)^(1/12)-1)</f>
        <v>0.68214933659622723</v>
      </c>
      <c r="BT445" s="615">
        <f t="array" ref="BT445">100*((1+8.75/100)^(1/12)-1)</f>
        <v>0.70146116041400752</v>
      </c>
      <c r="BU445" s="615">
        <f t="array" ref="BU445">100*((1+9/100)^(1/12)-1)</f>
        <v>0.72073233161367156</v>
      </c>
      <c r="BV445" s="615">
        <f t="array" ref="BV445">100*((1+5/100)^(1/12)-1)</f>
        <v>0.40741237836483535</v>
      </c>
      <c r="BW445" s="615">
        <f t="array" ref="BW445">100*((1+9/100)^(1/12)-1)</f>
        <v>0.72073233161367156</v>
      </c>
      <c r="BX445" s="749">
        <f t="array" ref="BX445">((1+6.75/100)^(1/12)-1)*100</f>
        <v>0.54581304569467637</v>
      </c>
      <c r="BY445" s="615">
        <f t="shared" si="153"/>
        <v>0.74610833265813525</v>
      </c>
      <c r="BZ445" s="341">
        <f t="shared" si="190"/>
        <v>0.68967566304480643</v>
      </c>
      <c r="CB445" s="243">
        <f t="shared" si="175"/>
        <v>0.64340301100034303</v>
      </c>
      <c r="CD445" s="243">
        <f t="shared" si="176"/>
        <v>0.64340301100034303</v>
      </c>
      <c r="CG445" s="734">
        <f t="shared" si="149"/>
        <v>-6.1127570000000002</v>
      </c>
      <c r="CJ445" s="1264">
        <f t="shared" si="125"/>
        <v>0.79741404289037643</v>
      </c>
    </row>
    <row r="446" spans="1:88" x14ac:dyDescent="0.2">
      <c r="A446" s="19">
        <v>41090</v>
      </c>
      <c r="B446" s="262">
        <v>4.1202100000000002</v>
      </c>
      <c r="C446" s="262">
        <v>3.6418400000000002</v>
      </c>
      <c r="D446" s="262">
        <v>4.7053399999999996</v>
      </c>
      <c r="E446" s="262">
        <v>1.89046</v>
      </c>
      <c r="F446" s="262">
        <v>0.75053999999999998</v>
      </c>
      <c r="G446" s="262">
        <v>3.1381899999999998</v>
      </c>
      <c r="H446" s="262">
        <v>4.9899899999999997</v>
      </c>
      <c r="I446" s="262">
        <v>5.1593200000000001</v>
      </c>
      <c r="J446" s="262">
        <v>4.8213299999999997</v>
      </c>
      <c r="K446" s="262">
        <v>4.1836000000000002</v>
      </c>
      <c r="L446" s="262">
        <v>4.0769099999999998</v>
      </c>
      <c r="M446" s="262">
        <v>4.2984900000000001</v>
      </c>
      <c r="N446" s="262">
        <f t="shared" si="187"/>
        <v>4.1836000000000002</v>
      </c>
      <c r="O446" s="262">
        <f t="shared" si="192"/>
        <v>4.0769099999999998</v>
      </c>
      <c r="P446" s="262">
        <f t="shared" si="192"/>
        <v>4.2984900000000001</v>
      </c>
      <c r="Q446" s="262">
        <v>3.2156500000000001</v>
      </c>
      <c r="R446" s="262">
        <v>3.6430699999999998</v>
      </c>
      <c r="S446" s="262">
        <v>3.9165399999999999</v>
      </c>
      <c r="T446" s="1342">
        <f t="shared" si="80"/>
        <v>3.9165399999999999</v>
      </c>
      <c r="U446" s="262">
        <v>5.9426600000000001</v>
      </c>
      <c r="V446" s="262">
        <v>4.0833700000000004</v>
      </c>
      <c r="W446" s="262">
        <v>3.9230000000000001E-2</v>
      </c>
      <c r="X446" s="262">
        <v>0.10458000000000001</v>
      </c>
      <c r="Y446" s="262">
        <v>7.6700000000000004E-2</v>
      </c>
      <c r="Z446" s="262" t="e">
        <v>#N/A</v>
      </c>
      <c r="AA446" s="262">
        <v>7.0495999999999999</v>
      </c>
      <c r="AB446" s="262"/>
      <c r="AC446" s="262">
        <v>8.6629900000000006</v>
      </c>
      <c r="AD446" s="277">
        <v>3.5752999999999999</v>
      </c>
      <c r="AE446" s="277">
        <f t="shared" si="188"/>
        <v>3.5752999999999999</v>
      </c>
      <c r="AF446" s="277">
        <f t="shared" ref="AF446:AF451" si="193">U446</f>
        <v>5.9426600000000001</v>
      </c>
      <c r="AG446" s="277">
        <v>2.82</v>
      </c>
      <c r="AH446" s="277">
        <v>5.55</v>
      </c>
      <c r="AI446" s="277">
        <v>2.11172</v>
      </c>
      <c r="AJ446" s="277">
        <v>-0.55694999999999995</v>
      </c>
      <c r="AK446" s="277">
        <v>5.4930000000000003</v>
      </c>
      <c r="AL446" s="277">
        <v>3.9064999999999999</v>
      </c>
      <c r="AM446" s="268">
        <v>3.82843</v>
      </c>
      <c r="AN446" s="262">
        <v>7.0495999999999999</v>
      </c>
      <c r="AO446" s="262">
        <v>7.0495999999999999</v>
      </c>
      <c r="AP446" s="1311">
        <v>3.7396500000000001</v>
      </c>
      <c r="AQ446" s="262"/>
      <c r="AR446" s="262"/>
      <c r="AS446" s="262"/>
      <c r="AT446" s="262"/>
      <c r="AU446" s="262"/>
      <c r="AV446" s="510">
        <v>0.36</v>
      </c>
      <c r="AW446" s="510">
        <v>7.0000000000000007E-2</v>
      </c>
      <c r="AX446" s="510">
        <v>7.0000000000000007E-2</v>
      </c>
      <c r="AY446" s="510">
        <v>0.27</v>
      </c>
      <c r="AZ446" s="510"/>
      <c r="BA446" s="510">
        <v>0.19</v>
      </c>
      <c r="BB446" s="510">
        <v>0.04</v>
      </c>
      <c r="BC446" s="510">
        <f>SUM(AV446:BB446)</f>
        <v>1</v>
      </c>
      <c r="BD446" s="747">
        <f t="shared" si="132"/>
        <v>3.1609573000000002</v>
      </c>
      <c r="BE446" s="243">
        <f t="shared" si="133"/>
        <v>2.9587818000000001</v>
      </c>
      <c r="BF446" s="329">
        <v>0.30399999999999999</v>
      </c>
      <c r="BG446" s="329">
        <v>7.0000000000000007E-2</v>
      </c>
      <c r="BH446" s="329"/>
      <c r="BI446" s="329">
        <v>7.0000000000000007E-2</v>
      </c>
      <c r="BJ446" s="329"/>
      <c r="BK446" s="329">
        <v>0.156</v>
      </c>
      <c r="BL446" s="329">
        <v>1.7999999999999999E-2</v>
      </c>
      <c r="BM446" s="329">
        <v>0.24199999999999999</v>
      </c>
      <c r="BN446" s="329">
        <v>0.04</v>
      </c>
      <c r="BO446" s="329">
        <v>0.1</v>
      </c>
      <c r="BP446" s="329">
        <f t="shared" si="189"/>
        <v>1</v>
      </c>
      <c r="BQ446" s="748">
        <f t="shared" si="148"/>
        <v>3.1581073200000005</v>
      </c>
      <c r="BS446" s="615">
        <f t="array" ref="BS446">100*((1+8.5/100)^(1/12)-1)</f>
        <v>0.68214933659622723</v>
      </c>
      <c r="BT446" s="615">
        <f t="array" ref="BT446">100*((1+8.75/100)^(1/12)-1)</f>
        <v>0.70146116041400752</v>
      </c>
      <c r="BU446" s="615">
        <f t="array" ref="BU446">100*((1+9/100)^(1/12)-1)</f>
        <v>0.72073233161367156</v>
      </c>
      <c r="BV446" s="615">
        <f t="array" ref="BV446">100*((1+5/100)^(1/12)-1)</f>
        <v>0.40741237836483535</v>
      </c>
      <c r="BW446" s="615">
        <f t="array" ref="BW446">100*((1+9/100)^(1/12)-1)</f>
        <v>0.72073233161367156</v>
      </c>
      <c r="BX446" s="749">
        <f t="array" ref="BX446">((1+6.75/100)^(1/12)-1)*100</f>
        <v>0.54581304569467637</v>
      </c>
      <c r="BY446" s="1322">
        <f t="shared" si="153"/>
        <v>0.74610833265813525</v>
      </c>
      <c r="BZ446" s="341">
        <f t="shared" si="190"/>
        <v>0.68967566304480643</v>
      </c>
      <c r="CB446" s="243">
        <f t="shared" si="175"/>
        <v>0.64340301100034303</v>
      </c>
      <c r="CD446" s="243">
        <f t="shared" si="176"/>
        <v>0.64340301100034303</v>
      </c>
      <c r="CG446" s="734">
        <f t="shared" si="149"/>
        <v>3.8169196000000003</v>
      </c>
      <c r="CJ446" s="1264">
        <f t="shared" si="125"/>
        <v>0.79741404289037643</v>
      </c>
    </row>
    <row r="447" spans="1:88" x14ac:dyDescent="0.2">
      <c r="A447" s="19">
        <v>41121</v>
      </c>
      <c r="B447" s="262">
        <v>1.3889</v>
      </c>
      <c r="C447" s="262">
        <v>1.8251200000000001</v>
      </c>
      <c r="D447" s="262">
        <v>0.86155000000000004</v>
      </c>
      <c r="E447" s="262">
        <v>-4.4569999999999999E-2</v>
      </c>
      <c r="F447" s="262">
        <v>0.13771</v>
      </c>
      <c r="G447" s="262">
        <v>-0.23477000000000001</v>
      </c>
      <c r="H447" s="262">
        <v>-1.38191</v>
      </c>
      <c r="I447" s="262">
        <v>-1.7444900000000001</v>
      </c>
      <c r="J447" s="262">
        <v>-1.0219100000000001</v>
      </c>
      <c r="K447" s="262">
        <v>-0.76624000000000003</v>
      </c>
      <c r="L447" s="262">
        <v>-1.0551699999999999</v>
      </c>
      <c r="M447" s="262">
        <v>-0.46000999999999997</v>
      </c>
      <c r="N447" s="262">
        <f t="shared" ref="N447:N452" si="194">K447</f>
        <v>-0.76624000000000003</v>
      </c>
      <c r="O447" s="262">
        <f t="shared" si="192"/>
        <v>-1.0551699999999999</v>
      </c>
      <c r="P447" s="262">
        <f t="shared" si="192"/>
        <v>-0.46000999999999997</v>
      </c>
      <c r="Q447" s="262">
        <v>-0.99307999999999996</v>
      </c>
      <c r="R447" s="262">
        <v>-0.68196999999999997</v>
      </c>
      <c r="S447" s="262">
        <v>0.99048000000000003</v>
      </c>
      <c r="T447" s="1342">
        <f t="shared" si="80"/>
        <v>0.99048000000000003</v>
      </c>
      <c r="U447" s="262">
        <v>1.4433199999999999</v>
      </c>
      <c r="V447" s="262">
        <v>0.38668999999999998</v>
      </c>
      <c r="W447" s="262">
        <v>1.37941</v>
      </c>
      <c r="X447" s="262">
        <v>0.92493000000000003</v>
      </c>
      <c r="Y447" s="262">
        <v>0.96836999999999995</v>
      </c>
      <c r="Z447" s="262" t="e">
        <v>#N/A</v>
      </c>
      <c r="AA447" s="262">
        <v>1.14628</v>
      </c>
      <c r="AB447" s="262"/>
      <c r="AC447" s="262">
        <v>0.58804000000000001</v>
      </c>
      <c r="AD447" s="277">
        <v>1.52878</v>
      </c>
      <c r="AE447" s="277">
        <f t="shared" ref="AE447:AE452" si="195">AD447</f>
        <v>1.52878</v>
      </c>
      <c r="AF447" s="277">
        <f t="shared" si="193"/>
        <v>1.4433199999999999</v>
      </c>
      <c r="AG447" s="277">
        <v>2.68</v>
      </c>
      <c r="AH447" s="277">
        <v>1.81</v>
      </c>
      <c r="AI447" s="277">
        <v>1.90228</v>
      </c>
      <c r="AJ447" s="277">
        <v>1.8951800000000001</v>
      </c>
      <c r="AK447" s="277">
        <v>6.4686000000000003</v>
      </c>
      <c r="AL447" s="277">
        <v>2.0226899999999999</v>
      </c>
      <c r="AM447" s="268">
        <v>1.1861299999999999</v>
      </c>
      <c r="AN447" s="262">
        <v>1.14628</v>
      </c>
      <c r="AO447" s="262">
        <v>1.14628</v>
      </c>
      <c r="AP447" s="1311">
        <v>1.59544</v>
      </c>
      <c r="AQ447" s="262"/>
      <c r="AR447" s="262"/>
      <c r="AS447" s="262"/>
      <c r="AT447" s="262"/>
      <c r="AU447" s="262"/>
      <c r="AV447" s="1398"/>
      <c r="AW447" s="1399"/>
      <c r="AX447" s="1399"/>
      <c r="AY447" s="1399"/>
      <c r="AZ447" s="1399"/>
      <c r="BA447" s="1399"/>
      <c r="BB447" s="1399"/>
      <c r="BC447" s="1399"/>
      <c r="BD447" s="1400"/>
      <c r="BE447" s="332"/>
      <c r="BF447" s="1401"/>
      <c r="BG447" s="1401"/>
      <c r="BH447" s="1401"/>
      <c r="BI447" s="1401"/>
      <c r="BJ447" s="1401"/>
      <c r="BK447" s="1401"/>
      <c r="BL447" s="1401"/>
      <c r="BM447" s="1401"/>
      <c r="BN447" s="1401"/>
      <c r="BO447" s="1401"/>
      <c r="BP447" s="1401"/>
      <c r="BQ447" s="1402"/>
      <c r="BR447" s="330"/>
      <c r="BS447" s="1403"/>
      <c r="BT447" s="1403"/>
      <c r="BU447" s="1403"/>
      <c r="BV447" s="1403"/>
      <c r="BW447" s="1403"/>
      <c r="BX447" s="1404"/>
      <c r="BY447" s="615">
        <f t="shared" ref="BY447:BY471" si="196">((1+8.03/100)^(1/12)-1)*100</f>
        <v>0.64573242284962085</v>
      </c>
      <c r="BZ447" s="341"/>
      <c r="CB447" s="243"/>
      <c r="CD447" s="243"/>
      <c r="CG447" s="734"/>
      <c r="CJ447" s="1264"/>
    </row>
    <row r="448" spans="1:88" x14ac:dyDescent="0.2">
      <c r="A448" s="19">
        <v>41152</v>
      </c>
      <c r="B448" s="262">
        <v>2.2522600000000002</v>
      </c>
      <c r="C448" s="262">
        <v>2.3054199999999998</v>
      </c>
      <c r="D448" s="262">
        <v>2.18784</v>
      </c>
      <c r="E448" s="262">
        <v>3.4810699999999999</v>
      </c>
      <c r="F448" s="262">
        <v>4.1263699999999996</v>
      </c>
      <c r="G448" s="262">
        <v>2.8061600000000002</v>
      </c>
      <c r="H448" s="262">
        <v>3.3347199999999999</v>
      </c>
      <c r="I448" s="262">
        <v>3.58995</v>
      </c>
      <c r="J448" s="262">
        <v>3.0849799999999998</v>
      </c>
      <c r="K448" s="262">
        <v>3.7887900000000001</v>
      </c>
      <c r="L448" s="262">
        <v>3.6222400000000001</v>
      </c>
      <c r="M448" s="262">
        <v>3.9634999999999998</v>
      </c>
      <c r="N448" s="262">
        <f t="shared" si="194"/>
        <v>3.7887900000000001</v>
      </c>
      <c r="O448" s="262">
        <f t="shared" ref="O448:P450" si="197">L448</f>
        <v>3.6222400000000001</v>
      </c>
      <c r="P448" s="262">
        <f t="shared" si="197"/>
        <v>3.9634999999999998</v>
      </c>
      <c r="Q448" s="262">
        <v>3.86205</v>
      </c>
      <c r="R448" s="262">
        <v>3.59178</v>
      </c>
      <c r="S448" s="262">
        <v>2.4958200000000001</v>
      </c>
      <c r="T448" s="1342">
        <f t="shared" si="80"/>
        <v>2.4958200000000001</v>
      </c>
      <c r="U448" s="262">
        <v>2.1132200000000001</v>
      </c>
      <c r="V448" s="262">
        <v>2.6830500000000002</v>
      </c>
      <c r="W448" s="262">
        <v>6.5460000000000004E-2</v>
      </c>
      <c r="X448" s="262">
        <v>0.17995</v>
      </c>
      <c r="Y448" s="262">
        <v>0.19419</v>
      </c>
      <c r="Z448" s="262" t="e">
        <v>#N/A</v>
      </c>
      <c r="AA448" s="262">
        <v>2.6962700000000002</v>
      </c>
      <c r="AB448" s="262"/>
      <c r="AC448" s="262">
        <v>3.4353199999999999</v>
      </c>
      <c r="AD448" s="277">
        <v>1.7128000000000001</v>
      </c>
      <c r="AE448" s="277">
        <f t="shared" si="195"/>
        <v>1.7128000000000001</v>
      </c>
      <c r="AF448" s="277">
        <f t="shared" si="193"/>
        <v>2.1132200000000001</v>
      </c>
      <c r="AG448" s="277">
        <v>2.68</v>
      </c>
      <c r="AH448" s="277">
        <v>-0.13</v>
      </c>
      <c r="AI448" s="277">
        <v>1.1706000000000001</v>
      </c>
      <c r="AJ448" s="277">
        <v>-0.28726000000000002</v>
      </c>
      <c r="AK448" s="277">
        <v>1.2984</v>
      </c>
      <c r="AL448" s="277">
        <v>-0.28900999999999999</v>
      </c>
      <c r="AM448" s="268">
        <v>2.42815</v>
      </c>
      <c r="AN448" s="262">
        <v>2.6962700000000002</v>
      </c>
      <c r="AO448" s="262">
        <v>2.6962700000000002</v>
      </c>
      <c r="AP448" s="1311">
        <v>1.59541</v>
      </c>
      <c r="AQ448" s="262">
        <v>0.45197999999999999</v>
      </c>
      <c r="AR448" s="262">
        <v>-5.176E-2</v>
      </c>
      <c r="AS448" s="262"/>
      <c r="AT448" s="262"/>
      <c r="AU448" s="262"/>
      <c r="AV448" s="1399"/>
      <c r="AW448" s="1399"/>
      <c r="AX448" s="1399"/>
      <c r="AY448" s="1399"/>
      <c r="AZ448" s="1399"/>
      <c r="BA448" s="1399"/>
      <c r="BB448" s="1399"/>
      <c r="BC448" s="1399"/>
      <c r="BD448" s="1400"/>
      <c r="BE448" s="332"/>
      <c r="BF448" s="1401"/>
      <c r="BG448" s="1401"/>
      <c r="BH448" s="1401"/>
      <c r="BI448" s="1401"/>
      <c r="BJ448" s="1401"/>
      <c r="BK448" s="1401"/>
      <c r="BL448" s="1401"/>
      <c r="BM448" s="1401"/>
      <c r="BN448" s="1401"/>
      <c r="BO448" s="1401"/>
      <c r="BP448" s="1401"/>
      <c r="BQ448" s="1402"/>
      <c r="BR448" s="330"/>
      <c r="BS448" s="1403"/>
      <c r="BT448" s="1403"/>
      <c r="BU448" s="1403"/>
      <c r="BV448" s="1403"/>
      <c r="BW448" s="1403"/>
      <c r="BX448" s="330"/>
      <c r="BY448" s="615">
        <f t="shared" si="196"/>
        <v>0.64573242284962085</v>
      </c>
      <c r="BZ448" s="341"/>
      <c r="CB448" s="243"/>
      <c r="CD448" s="243"/>
      <c r="CG448" s="734"/>
      <c r="CJ448" s="1264"/>
    </row>
    <row r="449" spans="1:88" x14ac:dyDescent="0.2">
      <c r="A449" s="19">
        <v>41182</v>
      </c>
      <c r="B449" s="262">
        <v>2.58419</v>
      </c>
      <c r="C449" s="262">
        <v>2.13503</v>
      </c>
      <c r="D449" s="262">
        <v>3.1315300000000001</v>
      </c>
      <c r="E449" s="262">
        <v>1.9394499999999999</v>
      </c>
      <c r="F449" s="262">
        <v>1.7134199999999999</v>
      </c>
      <c r="G449" s="262">
        <v>2.1769400000000001</v>
      </c>
      <c r="H449" s="262">
        <v>3.2838099999999999</v>
      </c>
      <c r="I449" s="262">
        <v>2.9999500000000001</v>
      </c>
      <c r="J449" s="262">
        <v>3.5625900000000001</v>
      </c>
      <c r="K449" s="262">
        <v>2.33236</v>
      </c>
      <c r="L449" s="262">
        <v>1.52928</v>
      </c>
      <c r="M449" s="262">
        <v>3.1703600000000001</v>
      </c>
      <c r="N449" s="262">
        <f t="shared" si="194"/>
        <v>2.33236</v>
      </c>
      <c r="O449" s="262">
        <f t="shared" si="197"/>
        <v>1.52928</v>
      </c>
      <c r="P449" s="262">
        <f t="shared" si="197"/>
        <v>3.1703600000000001</v>
      </c>
      <c r="Q449" s="262">
        <v>2.3234699999999999</v>
      </c>
      <c r="R449" s="262">
        <v>2.6049699999999998</v>
      </c>
      <c r="S449" s="262">
        <v>2.6259800000000002</v>
      </c>
      <c r="T449" s="1342">
        <f t="shared" si="80"/>
        <v>2.6259800000000002</v>
      </c>
      <c r="U449" s="262">
        <v>3.7710400000000002</v>
      </c>
      <c r="V449" s="262">
        <v>4.7149599999999996</v>
      </c>
      <c r="W449" s="262">
        <v>0.13722000000000001</v>
      </c>
      <c r="X449" s="262">
        <v>0.24909999999999999</v>
      </c>
      <c r="Y449" s="262">
        <v>0.23680999999999999</v>
      </c>
      <c r="Z449" s="262" t="e">
        <v>#N/A</v>
      </c>
      <c r="AA449" s="262">
        <v>2.9933999999999998</v>
      </c>
      <c r="AB449" s="262"/>
      <c r="AC449" s="262">
        <v>3.37269</v>
      </c>
      <c r="AD449" s="277">
        <v>1.9661900000000001</v>
      </c>
      <c r="AE449" s="277">
        <f t="shared" si="195"/>
        <v>1.9661900000000001</v>
      </c>
      <c r="AF449" s="277">
        <f t="shared" si="193"/>
        <v>3.7710400000000002</v>
      </c>
      <c r="AG449" s="277">
        <v>2.68</v>
      </c>
      <c r="AH449" s="277">
        <v>-1.76</v>
      </c>
      <c r="AI449" s="277">
        <v>1.39167</v>
      </c>
      <c r="AJ449" s="277">
        <v>0.50990000000000002</v>
      </c>
      <c r="AK449" s="277">
        <v>1.7056</v>
      </c>
      <c r="AL449" s="277">
        <v>6.0539699999999996</v>
      </c>
      <c r="AM449" s="268">
        <v>2.5722399999999999</v>
      </c>
      <c r="AN449" s="262">
        <v>2.9933999999999998</v>
      </c>
      <c r="AO449" s="262">
        <v>2.9933999999999998</v>
      </c>
      <c r="AP449" s="1311">
        <v>1.72438</v>
      </c>
      <c r="AQ449" s="262">
        <v>2.0249100000000002</v>
      </c>
      <c r="AR449" s="250">
        <v>1.5448900000000001</v>
      </c>
      <c r="AV449" s="1399"/>
      <c r="AW449" s="1399"/>
      <c r="AX449" s="1399"/>
      <c r="AY449" s="1399"/>
      <c r="AZ449" s="1399"/>
      <c r="BA449" s="1399"/>
      <c r="BB449" s="1399"/>
      <c r="BC449" s="1399"/>
      <c r="BD449" s="1400"/>
      <c r="BE449" s="332"/>
      <c r="BF449" s="1401"/>
      <c r="BG449" s="1401"/>
      <c r="BH449" s="1401"/>
      <c r="BI449" s="1401"/>
      <c r="BJ449" s="1401"/>
      <c r="BK449" s="1401"/>
      <c r="BL449" s="1401"/>
      <c r="BM449" s="1401"/>
      <c r="BN449" s="1401"/>
      <c r="BO449" s="1401"/>
      <c r="BP449" s="1401"/>
      <c r="BQ449" s="1402"/>
      <c r="BR449" s="330"/>
      <c r="BS449" s="1403"/>
      <c r="BT449" s="1403"/>
      <c r="BU449" s="1403"/>
      <c r="BV449" s="1403"/>
      <c r="BW449" s="1403"/>
      <c r="BX449" s="1404"/>
      <c r="BY449" s="615">
        <f t="shared" si="196"/>
        <v>0.64573242284962085</v>
      </c>
      <c r="BZ449" s="341"/>
      <c r="CB449" s="243"/>
      <c r="CD449" s="243"/>
      <c r="CG449" s="734"/>
      <c r="CJ449" s="1264"/>
    </row>
    <row r="450" spans="1:88" x14ac:dyDescent="0.2">
      <c r="A450" s="19">
        <v>41213</v>
      </c>
      <c r="B450" s="262">
        <v>-1.8464400000000001</v>
      </c>
      <c r="C450" s="262">
        <v>-2.8170299999999999</v>
      </c>
      <c r="D450" s="262">
        <v>-0.67464000000000002</v>
      </c>
      <c r="E450" s="262">
        <v>-0.79383000000000004</v>
      </c>
      <c r="F450" s="262">
        <v>-1.1214200000000001</v>
      </c>
      <c r="G450" s="262">
        <v>-0.44419999999999998</v>
      </c>
      <c r="H450" s="262">
        <v>-2.1694599999999999</v>
      </c>
      <c r="I450" s="262">
        <v>-3.1097199999999998</v>
      </c>
      <c r="J450" s="262">
        <v>-1.2540800000000001</v>
      </c>
      <c r="K450" s="262">
        <v>-2.0301999999999998</v>
      </c>
      <c r="L450" s="262">
        <v>-2.19421</v>
      </c>
      <c r="M450" s="262">
        <v>-1.8656699999999999</v>
      </c>
      <c r="N450" s="262">
        <f t="shared" si="194"/>
        <v>-2.0301999999999998</v>
      </c>
      <c r="O450" s="262">
        <f t="shared" si="197"/>
        <v>-2.19421</v>
      </c>
      <c r="P450" s="262">
        <f t="shared" si="197"/>
        <v>-1.8656699999999999</v>
      </c>
      <c r="Q450" s="262">
        <v>-1.8816299999999999</v>
      </c>
      <c r="R450" s="262">
        <v>-1.0469900000000001</v>
      </c>
      <c r="S450" s="262">
        <v>-1.7248600000000001</v>
      </c>
      <c r="T450" s="1342">
        <f t="shared" si="80"/>
        <v>-1.7248600000000001</v>
      </c>
      <c r="U450" s="262">
        <v>0.40106999999999998</v>
      </c>
      <c r="V450" s="262">
        <v>0.85699999999999998</v>
      </c>
      <c r="W450" s="262">
        <v>0.19669</v>
      </c>
      <c r="X450" s="262">
        <v>4.4949999999999997E-2</v>
      </c>
      <c r="Y450" s="262">
        <v>0.1447</v>
      </c>
      <c r="Z450" s="262" t="e">
        <v>#N/A</v>
      </c>
      <c r="AA450" s="262">
        <v>0.84014999999999995</v>
      </c>
      <c r="AB450" s="262"/>
      <c r="AC450" s="262">
        <v>1.2798499999999999</v>
      </c>
      <c r="AD450" s="277">
        <v>-0.68376999999999999</v>
      </c>
      <c r="AE450" s="277">
        <f t="shared" si="195"/>
        <v>-0.68376999999999999</v>
      </c>
      <c r="AF450" s="277">
        <f t="shared" si="193"/>
        <v>0.40106999999999998</v>
      </c>
      <c r="AG450" s="277">
        <v>2.34</v>
      </c>
      <c r="AH450" s="277">
        <v>0.98</v>
      </c>
      <c r="AI450" s="277">
        <v>0.87861</v>
      </c>
      <c r="AJ450" s="277">
        <v>0.86587999999999998</v>
      </c>
      <c r="AK450" s="277">
        <v>-3.8729</v>
      </c>
      <c r="AL450" s="277">
        <v>-0.59633999999999998</v>
      </c>
      <c r="AM450" s="268">
        <v>-1.68825</v>
      </c>
      <c r="AN450" s="262">
        <v>0.84014999999999995</v>
      </c>
      <c r="AO450" s="262">
        <v>0.84014999999999995</v>
      </c>
      <c r="AP450" s="1311">
        <v>-0.67183999999999999</v>
      </c>
      <c r="AQ450" s="262">
        <v>-0.92122999999999999</v>
      </c>
      <c r="AR450" s="262">
        <v>-0.98357000000000006</v>
      </c>
      <c r="AS450" s="262"/>
      <c r="AT450" s="262"/>
      <c r="AU450" s="262"/>
      <c r="AX450" s="510"/>
      <c r="AY450" s="510"/>
      <c r="AZ450" s="510"/>
      <c r="BA450" s="510"/>
      <c r="BB450" s="510"/>
      <c r="BC450" s="510"/>
      <c r="BD450" s="747"/>
      <c r="BE450" s="243"/>
      <c r="BF450" s="329"/>
      <c r="BG450" s="329"/>
      <c r="BH450" s="329"/>
      <c r="BI450" s="329"/>
      <c r="BJ450" s="329"/>
      <c r="BK450" s="329"/>
      <c r="BL450" s="329"/>
      <c r="BM450" s="329"/>
      <c r="BN450" s="329"/>
      <c r="BO450" s="329"/>
      <c r="BP450" s="329"/>
      <c r="BQ450" s="748"/>
      <c r="BS450" s="615"/>
      <c r="BT450" s="615"/>
      <c r="BU450" s="615"/>
      <c r="BV450" s="615"/>
      <c r="BW450" s="615"/>
      <c r="BY450" s="615">
        <f t="shared" si="196"/>
        <v>0.64573242284962085</v>
      </c>
      <c r="BZ450" s="341"/>
      <c r="CB450" s="243"/>
      <c r="CD450" s="243"/>
      <c r="CG450" s="734"/>
      <c r="CJ450" s="1264"/>
    </row>
    <row r="451" spans="1:88" x14ac:dyDescent="0.2">
      <c r="A451" s="19">
        <v>41243</v>
      </c>
      <c r="B451" s="262">
        <v>0.58011000000000001</v>
      </c>
      <c r="C451" s="262">
        <v>0.93413000000000002</v>
      </c>
      <c r="D451" s="262">
        <v>0.16156999999999999</v>
      </c>
      <c r="E451" s="262">
        <v>2.2039399999999998</v>
      </c>
      <c r="F451" s="262">
        <v>2.5749300000000002</v>
      </c>
      <c r="G451" s="262">
        <v>1.8157399999999999</v>
      </c>
      <c r="H451" s="262">
        <v>0.53130999999999995</v>
      </c>
      <c r="I451" s="262">
        <v>0.76898</v>
      </c>
      <c r="J451" s="262">
        <v>0.30608000000000002</v>
      </c>
      <c r="K451" s="262">
        <v>0.99819000000000002</v>
      </c>
      <c r="L451" s="262">
        <v>0.41648000000000002</v>
      </c>
      <c r="M451" s="262">
        <v>1.60206</v>
      </c>
      <c r="N451" s="262">
        <f t="shared" si="194"/>
        <v>0.99819000000000002</v>
      </c>
      <c r="O451" s="262">
        <f t="shared" ref="O451:P453" si="198">L451</f>
        <v>0.41648000000000002</v>
      </c>
      <c r="P451" s="262">
        <f t="shared" si="198"/>
        <v>1.60206</v>
      </c>
      <c r="Q451" s="262">
        <v>1.7539499999999999</v>
      </c>
      <c r="R451" s="262">
        <v>1.5366599999999999</v>
      </c>
      <c r="S451" s="262">
        <v>0.77437999999999996</v>
      </c>
      <c r="T451" s="1342">
        <f t="shared" si="80"/>
        <v>0.77437999999999996</v>
      </c>
      <c r="U451" s="262">
        <v>1.9184099999999999</v>
      </c>
      <c r="V451" s="262">
        <v>0.95799000000000001</v>
      </c>
      <c r="W451" s="262">
        <v>0.15783</v>
      </c>
      <c r="X451" s="262">
        <v>0.14000000000000001</v>
      </c>
      <c r="Y451" s="262">
        <v>0.30203000000000002</v>
      </c>
      <c r="Z451" s="262" t="e">
        <v>#N/A</v>
      </c>
      <c r="AA451" s="262">
        <v>2.4261200000000001</v>
      </c>
      <c r="AB451" s="262"/>
      <c r="AC451" s="262">
        <v>1.94272</v>
      </c>
      <c r="AD451" s="277">
        <v>0.90222999999999998</v>
      </c>
      <c r="AE451" s="277">
        <f t="shared" si="195"/>
        <v>0.90222999999999998</v>
      </c>
      <c r="AF451" s="277">
        <f t="shared" si="193"/>
        <v>1.9184099999999999</v>
      </c>
      <c r="AG451" s="277">
        <v>2.34</v>
      </c>
      <c r="AH451" s="277">
        <v>-0.36</v>
      </c>
      <c r="AI451" s="277">
        <v>0.80008999999999997</v>
      </c>
      <c r="AJ451" s="277">
        <v>0.47660999999999998</v>
      </c>
      <c r="AK451" s="277">
        <v>5.16E-2</v>
      </c>
      <c r="AL451" s="277">
        <v>1.27695</v>
      </c>
      <c r="AM451" s="268">
        <v>0.79444999999999999</v>
      </c>
      <c r="AN451" s="262">
        <v>2.4261200000000001</v>
      </c>
      <c r="AO451" s="262">
        <v>2.4261200000000001</v>
      </c>
      <c r="AP451" s="1311">
        <v>0.80935000000000001</v>
      </c>
      <c r="AQ451" s="262">
        <v>-0.62028000000000005</v>
      </c>
      <c r="AR451" s="262">
        <v>0.19450999999999999</v>
      </c>
      <c r="AS451" s="262"/>
      <c r="AT451" s="262"/>
      <c r="AU451" s="262"/>
      <c r="AV451" s="510"/>
      <c r="AW451" s="510"/>
      <c r="AX451" s="510"/>
      <c r="AY451" s="510"/>
      <c r="AZ451" s="510"/>
      <c r="BA451" s="510"/>
      <c r="BB451" s="510"/>
      <c r="BC451" s="510"/>
      <c r="BD451" s="747"/>
      <c r="BE451" s="243"/>
      <c r="BF451" s="329"/>
      <c r="BG451" s="329"/>
      <c r="BH451" s="329"/>
      <c r="BI451" s="329"/>
      <c r="BJ451" s="329"/>
      <c r="BK451" s="329"/>
      <c r="BL451" s="329"/>
      <c r="BM451" s="329"/>
      <c r="BN451" s="329"/>
      <c r="BO451" s="329"/>
      <c r="BP451" s="329"/>
      <c r="BQ451" s="748"/>
      <c r="BS451" s="615"/>
      <c r="BT451" s="615"/>
      <c r="BU451" s="615"/>
      <c r="BV451" s="615"/>
      <c r="BW451" s="615"/>
      <c r="BX451" s="749"/>
      <c r="BY451" s="615">
        <f t="shared" si="196"/>
        <v>0.64573242284962085</v>
      </c>
      <c r="BZ451" s="341"/>
      <c r="CB451" s="243"/>
      <c r="CD451" s="243"/>
      <c r="CG451" s="734"/>
      <c r="CJ451" s="1264"/>
    </row>
    <row r="452" spans="1:88" x14ac:dyDescent="0.2">
      <c r="A452" s="19">
        <v>41274</v>
      </c>
      <c r="B452" s="262">
        <v>0.91147</v>
      </c>
      <c r="C452" s="262">
        <v>-0.13508000000000001</v>
      </c>
      <c r="D452" s="262">
        <v>2.1698300000000001</v>
      </c>
      <c r="E452" s="262">
        <v>2.1855500000000001</v>
      </c>
      <c r="F452" s="262">
        <v>1.3110299999999999</v>
      </c>
      <c r="G452" s="262">
        <v>3.1068099999999998</v>
      </c>
      <c r="H452" s="262">
        <v>3.5625100000000001</v>
      </c>
      <c r="I452" s="262">
        <v>2.8798900000000001</v>
      </c>
      <c r="J452" s="262">
        <v>4.2132800000000001</v>
      </c>
      <c r="K452" s="262">
        <v>3.3035100000000002</v>
      </c>
      <c r="L452" s="262">
        <v>3.1218499999999998</v>
      </c>
      <c r="M452" s="262">
        <v>3.4905200000000001</v>
      </c>
      <c r="N452" s="262">
        <f t="shared" si="194"/>
        <v>3.3035100000000002</v>
      </c>
      <c r="O452" s="262">
        <f t="shared" si="198"/>
        <v>3.1218499999999998</v>
      </c>
      <c r="P452" s="262">
        <f t="shared" si="198"/>
        <v>3.4905200000000001</v>
      </c>
      <c r="Q452" s="262">
        <v>1.9414100000000001</v>
      </c>
      <c r="R452" s="262">
        <v>2.61334</v>
      </c>
      <c r="S452" s="262">
        <v>1.2255100000000001</v>
      </c>
      <c r="T452" s="1342">
        <f t="shared" si="80"/>
        <v>1.2255100000000001</v>
      </c>
      <c r="U452" s="262">
        <v>3.4851299999999998</v>
      </c>
      <c r="V452" s="262">
        <v>4.1478599999999997</v>
      </c>
      <c r="W452" s="262">
        <v>-0.14238999999999999</v>
      </c>
      <c r="X452" s="262">
        <v>-9.3500000000000007E-3</v>
      </c>
      <c r="Y452" s="262">
        <v>-9.8400000000000001E-2</v>
      </c>
      <c r="Z452" s="262" t="e">
        <v>#N/A</v>
      </c>
      <c r="AA452" s="262">
        <v>3.2118099999999998</v>
      </c>
      <c r="AB452" s="262"/>
      <c r="AC452" s="262">
        <v>4.0595699999999999</v>
      </c>
      <c r="AD452" s="277">
        <v>1.0507299999999999</v>
      </c>
      <c r="AE452" s="277">
        <f t="shared" si="195"/>
        <v>1.0507299999999999</v>
      </c>
      <c r="AF452" s="277">
        <f t="shared" ref="AF452:AF457" si="199">U452</f>
        <v>3.4851299999999998</v>
      </c>
      <c r="AG452" s="277">
        <v>2.34</v>
      </c>
      <c r="AH452" s="277">
        <v>3.86</v>
      </c>
      <c r="AI452" s="277">
        <v>1.5755699999999999</v>
      </c>
      <c r="AJ452" s="277">
        <v>-0.64959</v>
      </c>
      <c r="AK452" s="277">
        <v>-2.6071</v>
      </c>
      <c r="AL452" s="277">
        <v>4.90158</v>
      </c>
      <c r="AM452" s="268">
        <v>1.0370600000000001</v>
      </c>
      <c r="AN452" s="262">
        <v>3.2118099999999998</v>
      </c>
      <c r="AO452" s="262">
        <v>3.2118099999999998</v>
      </c>
      <c r="AP452" s="1311">
        <v>1.2535099999999999</v>
      </c>
      <c r="AQ452" s="262">
        <v>-0.17566000000000001</v>
      </c>
      <c r="AR452" s="262">
        <v>-0.81291999999999998</v>
      </c>
      <c r="AS452" s="262"/>
      <c r="AT452" s="262"/>
      <c r="AU452" s="262"/>
      <c r="AV452" s="510"/>
      <c r="AW452" s="510"/>
      <c r="AX452" s="510"/>
      <c r="AY452" s="510"/>
      <c r="AZ452" s="510"/>
      <c r="BA452" s="510"/>
      <c r="BB452" s="510"/>
      <c r="BC452" s="510"/>
      <c r="BD452" s="747"/>
      <c r="BE452" s="243"/>
      <c r="BF452" s="329"/>
      <c r="BG452" s="329"/>
      <c r="BH452" s="329"/>
      <c r="BI452" s="329"/>
      <c r="BJ452" s="329"/>
      <c r="BK452" s="329"/>
      <c r="BL452" s="329"/>
      <c r="BM452" s="329"/>
      <c r="BN452" s="329"/>
      <c r="BO452" s="329"/>
      <c r="BP452" s="329"/>
      <c r="BQ452" s="748"/>
      <c r="BS452" s="615"/>
      <c r="BT452" s="615"/>
      <c r="BU452" s="615"/>
      <c r="BV452" s="615"/>
      <c r="BW452" s="615"/>
      <c r="BX452" s="749"/>
      <c r="BY452" s="615">
        <f t="shared" si="196"/>
        <v>0.64573242284962085</v>
      </c>
      <c r="BZ452" s="341"/>
      <c r="CB452" s="243"/>
      <c r="CD452" s="243"/>
      <c r="CG452" s="734"/>
      <c r="CJ452" s="1264"/>
    </row>
    <row r="453" spans="1:88" x14ac:dyDescent="0.2">
      <c r="A453" s="19">
        <v>41305</v>
      </c>
      <c r="B453" s="262">
        <v>5.1795</v>
      </c>
      <c r="C453" s="262">
        <v>3.9450699999999999</v>
      </c>
      <c r="D453" s="262">
        <v>6.4993100000000004</v>
      </c>
      <c r="E453" s="262">
        <v>7.2200600000000001</v>
      </c>
      <c r="F453" s="262">
        <v>7.0155000000000003</v>
      </c>
      <c r="G453" s="262">
        <v>7.4368100000000004</v>
      </c>
      <c r="H453" s="262">
        <v>6.25929</v>
      </c>
      <c r="I453" s="262">
        <v>6.5801699999999999</v>
      </c>
      <c r="J453" s="262">
        <v>5.9598800000000001</v>
      </c>
      <c r="K453" s="262">
        <v>5.7785599999999997</v>
      </c>
      <c r="L453" s="262">
        <v>6.0622499999999997</v>
      </c>
      <c r="M453" s="262">
        <v>5.4899699999999996</v>
      </c>
      <c r="N453" s="262">
        <f>K453</f>
        <v>5.7785599999999997</v>
      </c>
      <c r="O453" s="262">
        <f t="shared" si="198"/>
        <v>6.0622499999999997</v>
      </c>
      <c r="P453" s="262">
        <f t="shared" si="198"/>
        <v>5.4899699999999996</v>
      </c>
      <c r="Q453" s="262">
        <v>6.8678299999999997</v>
      </c>
      <c r="R453" s="262">
        <v>6.8359300000000003</v>
      </c>
      <c r="S453" s="262">
        <v>5.4870700000000001</v>
      </c>
      <c r="T453" s="1342">
        <f t="shared" si="80"/>
        <v>5.4870700000000001</v>
      </c>
      <c r="U453" s="262">
        <v>4.0857099999999997</v>
      </c>
      <c r="V453" s="262">
        <v>5.23658</v>
      </c>
      <c r="W453" s="262">
        <v>-0.69940000000000002</v>
      </c>
      <c r="X453" s="262">
        <v>-0.4052</v>
      </c>
      <c r="Y453" s="262">
        <v>-0.36366999999999999</v>
      </c>
      <c r="Z453" s="262" t="e">
        <v>#N/A</v>
      </c>
      <c r="AA453" s="262">
        <v>5.2924600000000002</v>
      </c>
      <c r="AB453" s="262"/>
      <c r="AC453" s="262">
        <v>5.9216300000000004</v>
      </c>
      <c r="AD453" s="277">
        <v>3.4503599999999999</v>
      </c>
      <c r="AE453" s="277">
        <f>AD453</f>
        <v>3.4503599999999999</v>
      </c>
      <c r="AF453" s="277">
        <f t="shared" si="199"/>
        <v>4.0857099999999997</v>
      </c>
      <c r="AG453" s="277">
        <v>2.54</v>
      </c>
      <c r="AH453" s="277">
        <v>3.48</v>
      </c>
      <c r="AI453" s="277">
        <v>1.34053</v>
      </c>
      <c r="AJ453" s="277">
        <v>-0.67503999999999997</v>
      </c>
      <c r="AK453" s="277">
        <v>2.3974799999999998</v>
      </c>
      <c r="AL453" s="277">
        <v>1.3942699999999999</v>
      </c>
      <c r="AM453" s="268">
        <v>5.4233700000000002</v>
      </c>
      <c r="AN453" s="262">
        <v>5.2924600000000002</v>
      </c>
      <c r="AO453" s="262">
        <v>5.2924600000000002</v>
      </c>
      <c r="AP453" s="1311">
        <v>3.4970699999999999</v>
      </c>
      <c r="AQ453" s="262">
        <v>5.4718</v>
      </c>
      <c r="AR453" s="262">
        <v>5.09314</v>
      </c>
      <c r="AS453" s="262">
        <v>0.71884999999999999</v>
      </c>
      <c r="AT453" s="262">
        <v>4.0509999999999997E-2</v>
      </c>
      <c r="AV453" s="510"/>
      <c r="AW453" s="510"/>
      <c r="AX453" s="510"/>
      <c r="AY453" s="510"/>
      <c r="AZ453" s="510"/>
      <c r="BA453" s="510"/>
      <c r="BB453" s="510"/>
      <c r="BC453" s="510"/>
      <c r="BD453" s="747"/>
      <c r="BE453" s="243"/>
      <c r="BF453" s="329"/>
      <c r="BG453" s="329"/>
      <c r="BH453" s="329"/>
      <c r="BI453" s="329"/>
      <c r="BJ453" s="329"/>
      <c r="BK453" s="329"/>
      <c r="BL453" s="329"/>
      <c r="BM453" s="329"/>
      <c r="BN453" s="329"/>
      <c r="BO453" s="329"/>
      <c r="BP453" s="329"/>
      <c r="BQ453" s="748"/>
      <c r="BS453" s="615"/>
      <c r="BT453" s="615"/>
      <c r="BU453" s="615"/>
      <c r="BV453" s="615"/>
      <c r="BW453" s="615"/>
      <c r="BX453" s="749"/>
      <c r="BY453" s="615">
        <f t="shared" si="196"/>
        <v>0.64573242284962085</v>
      </c>
      <c r="BZ453" s="341"/>
      <c r="CB453" s="243"/>
      <c r="CD453" s="243"/>
      <c r="CG453" s="734"/>
      <c r="CJ453" s="1264"/>
    </row>
    <row r="454" spans="1:88" x14ac:dyDescent="0.2">
      <c r="A454" s="19">
        <v>41333</v>
      </c>
      <c r="B454" s="262">
        <v>1.3574900000000001</v>
      </c>
      <c r="C454" s="262">
        <v>1.35503</v>
      </c>
      <c r="D454" s="262">
        <v>1.3597300000000001</v>
      </c>
      <c r="E454" s="262">
        <v>0.98173999999999995</v>
      </c>
      <c r="F454" s="262">
        <v>0.33948</v>
      </c>
      <c r="G454" s="262">
        <v>1.6585300000000001</v>
      </c>
      <c r="H454" s="262">
        <v>1.1031</v>
      </c>
      <c r="I454" s="262">
        <v>1.0628899999999999</v>
      </c>
      <c r="J454" s="262">
        <v>1.14137</v>
      </c>
      <c r="K454" s="262">
        <v>1.40761</v>
      </c>
      <c r="L454" s="262">
        <v>1.1516500000000001</v>
      </c>
      <c r="M454" s="262">
        <v>1.6636599999999999</v>
      </c>
      <c r="N454" s="262">
        <f>K454</f>
        <v>1.40761</v>
      </c>
      <c r="O454" s="262">
        <f t="shared" ref="O454:P456" si="200">L454</f>
        <v>1.1516500000000001</v>
      </c>
      <c r="P454" s="262">
        <f t="shared" si="200"/>
        <v>1.6636599999999999</v>
      </c>
      <c r="Q454" s="262">
        <v>0.61838000000000004</v>
      </c>
      <c r="R454" s="262">
        <v>1.14984</v>
      </c>
      <c r="S454" s="262">
        <v>1.32524</v>
      </c>
      <c r="T454" s="1342">
        <f t="shared" si="80"/>
        <v>1.32524</v>
      </c>
      <c r="U454" s="262">
        <v>-1.03382</v>
      </c>
      <c r="V454" s="262">
        <v>1.1187</v>
      </c>
      <c r="W454" s="262">
        <v>0.50146999999999997</v>
      </c>
      <c r="X454" s="262">
        <v>0.42432999999999998</v>
      </c>
      <c r="Y454" s="262">
        <v>0.48352000000000001</v>
      </c>
      <c r="Z454" s="262" t="e">
        <v>#N/A</v>
      </c>
      <c r="AA454" s="262">
        <v>-0.92347999999999997</v>
      </c>
      <c r="AB454" s="262"/>
      <c r="AC454" s="262">
        <v>-2.3269600000000001</v>
      </c>
      <c r="AD454" s="277">
        <v>0.32979000000000003</v>
      </c>
      <c r="AE454" s="277">
        <f>AD454</f>
        <v>0.32979000000000003</v>
      </c>
      <c r="AF454" s="277">
        <f t="shared" si="199"/>
        <v>-1.03382</v>
      </c>
      <c r="AG454" s="277">
        <v>2.54</v>
      </c>
      <c r="AH454" s="277">
        <v>0.93</v>
      </c>
      <c r="AI454" s="277">
        <v>0.50780999999999998</v>
      </c>
      <c r="AJ454" s="277">
        <v>3.2469999999999999E-2</v>
      </c>
      <c r="AK454" s="277">
        <v>-4.08697</v>
      </c>
      <c r="AL454" s="277">
        <v>-1.2419800000000001</v>
      </c>
      <c r="AM454" s="268">
        <v>1.3435299999999999</v>
      </c>
      <c r="AN454" s="262">
        <v>-0.92347999999999997</v>
      </c>
      <c r="AO454" s="262">
        <v>-0.92347999999999997</v>
      </c>
      <c r="AP454" s="1311">
        <v>0.38928000000000001</v>
      </c>
      <c r="AQ454" s="262">
        <v>2.2450999999999999</v>
      </c>
      <c r="AR454" s="262">
        <v>2.7071800000000001</v>
      </c>
      <c r="AS454" s="262">
        <v>-0.32188</v>
      </c>
      <c r="AT454" s="262">
        <v>-0.10105</v>
      </c>
      <c r="AV454" s="510"/>
      <c r="AW454" s="510"/>
      <c r="AX454" s="510"/>
      <c r="AY454" s="510"/>
      <c r="AZ454" s="510"/>
      <c r="BA454" s="510"/>
      <c r="BB454" s="510"/>
      <c r="BC454" s="510"/>
      <c r="BD454" s="747"/>
      <c r="BE454" s="243"/>
      <c r="BF454" s="329"/>
      <c r="BG454" s="329"/>
      <c r="BH454" s="329"/>
      <c r="BI454" s="329"/>
      <c r="BJ454" s="329"/>
      <c r="BK454" s="329"/>
      <c r="BL454" s="329"/>
      <c r="BM454" s="329"/>
      <c r="BN454" s="329"/>
      <c r="BO454" s="329"/>
      <c r="BP454" s="329"/>
      <c r="BQ454" s="748"/>
      <c r="BS454" s="615"/>
      <c r="BT454" s="615"/>
      <c r="BU454" s="615"/>
      <c r="BV454" s="615"/>
      <c r="BW454" s="615"/>
      <c r="BX454" s="749"/>
      <c r="BY454" s="615">
        <f t="shared" si="196"/>
        <v>0.64573242284962085</v>
      </c>
      <c r="BZ454" s="341"/>
      <c r="CB454" s="243"/>
      <c r="CD454" s="243"/>
      <c r="CG454" s="734"/>
      <c r="CJ454" s="1264"/>
    </row>
    <row r="455" spans="1:88" x14ac:dyDescent="0.2">
      <c r="A455" s="19">
        <v>41364</v>
      </c>
      <c r="B455" s="262">
        <v>3.7503299999999999</v>
      </c>
      <c r="C455" s="262">
        <v>3.7749100000000002</v>
      </c>
      <c r="D455" s="262">
        <v>3.7251699999999999</v>
      </c>
      <c r="E455" s="262">
        <v>4.7832400000000002</v>
      </c>
      <c r="F455" s="262">
        <v>4.4347899999999996</v>
      </c>
      <c r="G455" s="262">
        <v>5.1383599999999996</v>
      </c>
      <c r="H455" s="262">
        <v>4.6173799999999998</v>
      </c>
      <c r="I455" s="262">
        <v>5.1037100000000004</v>
      </c>
      <c r="J455" s="262">
        <v>4.1631200000000002</v>
      </c>
      <c r="K455" s="262">
        <v>4.23576</v>
      </c>
      <c r="L455" s="262">
        <v>4.32559</v>
      </c>
      <c r="M455" s="262">
        <v>4.1463200000000002</v>
      </c>
      <c r="N455" s="262">
        <f>K455</f>
        <v>4.23576</v>
      </c>
      <c r="O455" s="262">
        <f t="shared" si="200"/>
        <v>4.32559</v>
      </c>
      <c r="P455" s="262">
        <f t="shared" si="200"/>
        <v>4.1463200000000002</v>
      </c>
      <c r="Q455" s="262">
        <v>4.34274</v>
      </c>
      <c r="R455" s="262">
        <v>4.4280999999999997</v>
      </c>
      <c r="S455" s="262">
        <v>3.91866</v>
      </c>
      <c r="T455" s="1342">
        <f t="shared" si="80"/>
        <v>3.91866</v>
      </c>
      <c r="U455" s="262">
        <v>0.24868000000000001</v>
      </c>
      <c r="V455" s="262">
        <v>1.94506</v>
      </c>
      <c r="W455" s="262">
        <v>7.9780000000000004E-2</v>
      </c>
      <c r="X455" s="262">
        <v>0.13436999999999999</v>
      </c>
      <c r="Y455" s="262">
        <v>0.1396</v>
      </c>
      <c r="Z455" s="262" t="e">
        <v>#N/A</v>
      </c>
      <c r="AA455" s="262">
        <v>0.87558999999999998</v>
      </c>
      <c r="AB455" s="262"/>
      <c r="AC455" s="262">
        <v>0.17013</v>
      </c>
      <c r="AD455" s="277">
        <v>1.88083</v>
      </c>
      <c r="AE455" s="277">
        <f>AD455</f>
        <v>1.88083</v>
      </c>
      <c r="AF455" s="277">
        <f t="shared" si="199"/>
        <v>0.24868000000000001</v>
      </c>
      <c r="AG455" s="277">
        <v>2.54</v>
      </c>
      <c r="AH455" s="277">
        <v>2.83</v>
      </c>
      <c r="AI455" s="277">
        <v>1.0183</v>
      </c>
      <c r="AJ455" s="277">
        <v>0.28237000000000001</v>
      </c>
      <c r="AK455" s="277">
        <v>0.67384999999999995</v>
      </c>
      <c r="AL455" s="277">
        <v>-1.70069</v>
      </c>
      <c r="AM455" s="268">
        <v>3.8605499999999999</v>
      </c>
      <c r="AN455" s="262">
        <v>0.87558999999999998</v>
      </c>
      <c r="AO455" s="262">
        <v>0.87558999999999998</v>
      </c>
      <c r="AP455" s="1311">
        <v>1.98248</v>
      </c>
      <c r="AQ455" s="262">
        <v>4.4497799999999996</v>
      </c>
      <c r="AR455" s="262">
        <v>5.1235499999999998</v>
      </c>
      <c r="AS455" s="262">
        <v>-0.51551000000000002</v>
      </c>
      <c r="AT455" s="262">
        <v>-0.43078</v>
      </c>
      <c r="AV455" s="510"/>
      <c r="AW455" s="510"/>
      <c r="AX455" s="510"/>
      <c r="AY455" s="510"/>
      <c r="AZ455" s="510"/>
      <c r="BA455" s="510"/>
      <c r="BB455" s="510"/>
      <c r="BC455" s="510"/>
      <c r="BD455" s="747"/>
      <c r="BE455" s="243"/>
      <c r="BF455" s="329"/>
      <c r="BG455" s="329"/>
      <c r="BH455" s="329"/>
      <c r="BI455" s="329"/>
      <c r="BJ455" s="329"/>
      <c r="BK455" s="329"/>
      <c r="BL455" s="329"/>
      <c r="BM455" s="329"/>
      <c r="BN455" s="329"/>
      <c r="BO455" s="329"/>
      <c r="BP455" s="329"/>
      <c r="BQ455" s="748"/>
      <c r="BS455" s="615"/>
      <c r="BT455" s="615"/>
      <c r="BU455" s="615"/>
      <c r="BV455" s="615"/>
      <c r="BW455" s="615"/>
      <c r="BX455" s="749"/>
      <c r="BY455" s="615">
        <f t="shared" si="196"/>
        <v>0.64573242284962085</v>
      </c>
      <c r="BZ455" s="341"/>
      <c r="CB455" s="243"/>
      <c r="CD455" s="243"/>
      <c r="CG455" s="734"/>
      <c r="CJ455" s="1264"/>
    </row>
    <row r="456" spans="1:88" x14ac:dyDescent="0.2">
      <c r="A456" s="19">
        <v>41394</v>
      </c>
      <c r="B456" s="262">
        <v>1.92666</v>
      </c>
      <c r="C456" s="262">
        <v>2.0579000000000001</v>
      </c>
      <c r="D456" s="262">
        <v>1.7894099999999999</v>
      </c>
      <c r="E456" s="262">
        <v>0.62773999999999996</v>
      </c>
      <c r="F456" s="262">
        <v>1.2182900000000001</v>
      </c>
      <c r="G456" s="262">
        <v>2.9399999999999999E-2</v>
      </c>
      <c r="H456" s="262">
        <v>-0.36743999999999999</v>
      </c>
      <c r="I456" s="262">
        <v>-0.65517999999999998</v>
      </c>
      <c r="J456" s="262">
        <v>-9.6680000000000002E-2</v>
      </c>
      <c r="K456" s="262">
        <v>-0.26584000000000002</v>
      </c>
      <c r="L456" s="262">
        <v>-0.58381000000000005</v>
      </c>
      <c r="M456" s="262">
        <v>5.0840000000000003E-2</v>
      </c>
      <c r="N456" s="262">
        <f>K456</f>
        <v>-0.26584000000000002</v>
      </c>
      <c r="O456" s="262">
        <f t="shared" si="200"/>
        <v>-0.58381000000000005</v>
      </c>
      <c r="P456" s="262">
        <f t="shared" si="200"/>
        <v>5.0840000000000003E-2</v>
      </c>
      <c r="Q456" s="262">
        <v>0.35199000000000003</v>
      </c>
      <c r="R456" s="262">
        <v>0.30760999999999999</v>
      </c>
      <c r="S456" s="262">
        <v>1.80585</v>
      </c>
      <c r="T456" s="1342">
        <f t="shared" si="80"/>
        <v>1.80585</v>
      </c>
      <c r="U456" s="262">
        <v>3.7738800000000001</v>
      </c>
      <c r="V456" s="262">
        <v>3.6579700000000002</v>
      </c>
      <c r="W456" s="262">
        <v>1.0121199999999999</v>
      </c>
      <c r="X456" s="262">
        <v>0.59941999999999995</v>
      </c>
      <c r="Y456" s="262">
        <v>0.62695999999999996</v>
      </c>
      <c r="Z456" s="262" t="e">
        <v>#N/A</v>
      </c>
      <c r="AA456" s="262">
        <v>5.3304299999999998</v>
      </c>
      <c r="AB456" s="262"/>
      <c r="AC456" s="262">
        <v>6.3680899999999996</v>
      </c>
      <c r="AD456" s="277">
        <v>2.33283</v>
      </c>
      <c r="AE456" s="277">
        <f>AD456</f>
        <v>2.33283</v>
      </c>
      <c r="AF456" s="277">
        <f t="shared" si="199"/>
        <v>3.7738800000000001</v>
      </c>
      <c r="AG456" s="277">
        <v>2.57</v>
      </c>
      <c r="AH456" s="277">
        <v>6.53</v>
      </c>
      <c r="AI456" s="277">
        <v>1.8090900000000001</v>
      </c>
      <c r="AJ456" s="277">
        <v>0.79530999999999996</v>
      </c>
      <c r="AK456" s="277">
        <v>-2.7908900000000001</v>
      </c>
      <c r="AL456" s="277">
        <v>0.79291</v>
      </c>
      <c r="AM456" s="268">
        <v>1.80585</v>
      </c>
      <c r="AN456" s="262">
        <v>5.3304299999999998</v>
      </c>
      <c r="AO456" s="262">
        <v>5.3304299999999998</v>
      </c>
      <c r="AP456" s="1311">
        <v>2.6482700000000001</v>
      </c>
      <c r="AQ456" s="262">
        <v>2.8098200000000002</v>
      </c>
      <c r="AR456" s="262">
        <v>2.73516</v>
      </c>
      <c r="AS456" s="262">
        <v>3.43</v>
      </c>
      <c r="AT456" s="262">
        <v>2.76736</v>
      </c>
      <c r="AV456" s="510"/>
      <c r="AW456" s="510"/>
      <c r="AX456" s="510"/>
      <c r="AY456" s="510"/>
      <c r="AZ456" s="510"/>
      <c r="BA456" s="510"/>
      <c r="BB456" s="510"/>
      <c r="BC456" s="510"/>
      <c r="BD456" s="747"/>
      <c r="BE456" s="243"/>
      <c r="BF456" s="329"/>
      <c r="BG456" s="329"/>
      <c r="BH456" s="329"/>
      <c r="BI456" s="329"/>
      <c r="BJ456" s="329"/>
      <c r="BK456" s="329"/>
      <c r="BL456" s="329"/>
      <c r="BM456" s="329"/>
      <c r="BN456" s="329"/>
      <c r="BO456" s="329"/>
      <c r="BP456" s="329"/>
      <c r="BQ456" s="748"/>
      <c r="BS456" s="615"/>
      <c r="BT456" s="615"/>
      <c r="BU456" s="615"/>
      <c r="BV456" s="615"/>
      <c r="BW456" s="615"/>
      <c r="BX456" s="749"/>
      <c r="BY456" s="615">
        <f t="shared" si="196"/>
        <v>0.64573242284962085</v>
      </c>
      <c r="BZ456" s="341"/>
      <c r="CB456" s="243"/>
      <c r="CD456" s="243"/>
      <c r="CG456" s="734"/>
      <c r="CJ456" s="1264"/>
    </row>
    <row r="457" spans="1:88" x14ac:dyDescent="0.2">
      <c r="A457" s="19">
        <v>41425</v>
      </c>
      <c r="B457" s="262">
        <v>2.3391899999999999</v>
      </c>
      <c r="C457" s="262">
        <v>2.1988400000000001</v>
      </c>
      <c r="D457" s="262">
        <v>2.4872100000000001</v>
      </c>
      <c r="E457" s="262">
        <v>2.2593800000000002</v>
      </c>
      <c r="F457" s="262">
        <v>2.2874599999999998</v>
      </c>
      <c r="G457" s="262">
        <v>2.2315</v>
      </c>
      <c r="H457" s="262">
        <v>3.99681</v>
      </c>
      <c r="I457" s="262">
        <v>5.0734899999999996</v>
      </c>
      <c r="J457" s="262">
        <v>2.9875600000000002</v>
      </c>
      <c r="K457" s="262">
        <v>4.3477100000000002</v>
      </c>
      <c r="L457" s="262">
        <v>4.37453</v>
      </c>
      <c r="M457" s="262">
        <v>4.3212200000000003</v>
      </c>
      <c r="N457" s="262">
        <f>K457</f>
        <v>4.3477100000000002</v>
      </c>
      <c r="O457" s="262">
        <f>L457</f>
        <v>4.37453</v>
      </c>
      <c r="P457" s="262">
        <f>M457</f>
        <v>4.3212200000000003</v>
      </c>
      <c r="Q457" s="262">
        <v>4.1081799999999999</v>
      </c>
      <c r="R457" s="262">
        <v>3.0884</v>
      </c>
      <c r="S457" s="262">
        <v>2.3590599999999999</v>
      </c>
      <c r="T457" s="1342">
        <f t="shared" si="80"/>
        <v>2.3590599999999999</v>
      </c>
      <c r="U457" s="262"/>
      <c r="V457" s="262">
        <v>-2.2612199999999998</v>
      </c>
      <c r="W457" s="262">
        <v>-1.7845899999999999</v>
      </c>
      <c r="X457" s="262">
        <v>-1.2589999999999999</v>
      </c>
      <c r="Y457" s="262">
        <v>-1.13246</v>
      </c>
      <c r="Z457" s="262"/>
      <c r="AA457" s="262">
        <v>-2.3056000000000001</v>
      </c>
      <c r="AB457" s="262"/>
      <c r="AC457" s="262">
        <v>-2.5958100000000002</v>
      </c>
      <c r="AD457" s="277">
        <v>-0.15995000000000001</v>
      </c>
      <c r="AE457" s="277">
        <f>AD457</f>
        <v>-0.15995000000000001</v>
      </c>
      <c r="AF457" s="277">
        <f t="shared" si="199"/>
        <v>0</v>
      </c>
      <c r="AG457" s="277">
        <v>2.57</v>
      </c>
      <c r="AH457" s="277">
        <v>-5.85</v>
      </c>
      <c r="AI457" s="277">
        <v>-0.58001999999999998</v>
      </c>
      <c r="AJ457" s="277">
        <v>-4.3595699999999997</v>
      </c>
      <c r="AK457" s="277">
        <v>-2.2430500000000002</v>
      </c>
      <c r="AL457" s="277">
        <v>-2.5184899999999999</v>
      </c>
      <c r="AM457" s="268">
        <v>2.2244100000000002</v>
      </c>
      <c r="AN457" s="262">
        <v>-2.3056000000000001</v>
      </c>
      <c r="AO457" s="262">
        <v>-2.3056000000000001</v>
      </c>
      <c r="AP457" s="1311">
        <v>-0.60367000000000004</v>
      </c>
      <c r="AQ457" s="262">
        <v>4.0189999999999997E-2</v>
      </c>
      <c r="AR457" s="262">
        <v>-2.4409900000000002</v>
      </c>
      <c r="AS457" s="262">
        <v>-6.25284</v>
      </c>
      <c r="AT457" s="262">
        <v>-4.5274099999999997</v>
      </c>
      <c r="AV457" s="510"/>
      <c r="AW457" s="510"/>
      <c r="AX457" s="510"/>
      <c r="AY457" s="510"/>
      <c r="AZ457" s="510"/>
      <c r="BA457" s="510"/>
      <c r="BB457" s="510"/>
      <c r="BC457" s="510"/>
      <c r="BD457" s="747"/>
      <c r="BE457" s="243"/>
      <c r="BF457" s="329"/>
      <c r="BG457" s="329"/>
      <c r="BH457" s="329"/>
      <c r="BI457" s="329"/>
      <c r="BJ457" s="329"/>
      <c r="BK457" s="329"/>
      <c r="BL457" s="329"/>
      <c r="BM457" s="329"/>
      <c r="BN457" s="329"/>
      <c r="BO457" s="329"/>
      <c r="BP457" s="329"/>
      <c r="BQ457" s="748"/>
      <c r="BS457" s="615"/>
      <c r="BT457" s="615"/>
      <c r="BU457" s="615"/>
      <c r="BV457" s="615"/>
      <c r="BW457" s="615"/>
      <c r="BX457" s="749"/>
      <c r="BY457" s="615">
        <f t="shared" si="196"/>
        <v>0.64573242284962085</v>
      </c>
      <c r="BZ457" s="341"/>
      <c r="CB457" s="243"/>
      <c r="CD457" s="243"/>
      <c r="CG457" s="734"/>
      <c r="CJ457" s="1264"/>
    </row>
    <row r="458" spans="1:88" x14ac:dyDescent="0.2">
      <c r="A458" s="19">
        <v>41455</v>
      </c>
      <c r="B458" s="262">
        <v>-1.3429</v>
      </c>
      <c r="C458" s="262">
        <v>-1.7464999999999999</v>
      </c>
      <c r="D458" s="262">
        <v>-0.91959999999999997</v>
      </c>
      <c r="E458" s="262">
        <v>-1.8459000000000001</v>
      </c>
      <c r="F458" s="262">
        <v>-2.4538000000000002</v>
      </c>
      <c r="G458" s="262">
        <v>-1.2350000000000001</v>
      </c>
      <c r="H458" s="262">
        <v>-0.51160000000000005</v>
      </c>
      <c r="I458" s="262">
        <v>-0.62250000000000005</v>
      </c>
      <c r="J458" s="262">
        <v>-0.4052</v>
      </c>
      <c r="K458" s="262">
        <v>-0.1459</v>
      </c>
      <c r="L458" s="262">
        <v>-0.31530000000000002</v>
      </c>
      <c r="M458" s="262">
        <v>1.8499999999999999E-2</v>
      </c>
      <c r="N458" s="262">
        <f t="shared" ref="N458:N460" si="201">K458</f>
        <v>-0.1459</v>
      </c>
      <c r="O458" s="262">
        <f t="shared" ref="O458:O460" si="202">L458</f>
        <v>-0.31530000000000002</v>
      </c>
      <c r="P458" s="262">
        <f t="shared" ref="P458:P460" si="203">M458</f>
        <v>1.8499999999999999E-2</v>
      </c>
      <c r="Q458" s="262">
        <v>-1.1956</v>
      </c>
      <c r="R458" s="262">
        <v>-1.0947</v>
      </c>
      <c r="S458" s="262">
        <v>-1.2969999999999999</v>
      </c>
      <c r="T458" s="1342"/>
      <c r="U458" s="262">
        <v>-4.3037999999999998</v>
      </c>
      <c r="V458" s="262">
        <v>-3.6211000000000002</v>
      </c>
      <c r="W458" s="262">
        <v>-1.5466</v>
      </c>
      <c r="X458" s="262">
        <v>-1.1196999999999999</v>
      </c>
      <c r="Y458" s="262">
        <v>-1.1954</v>
      </c>
      <c r="Z458" s="262"/>
      <c r="AA458" s="262">
        <v>-3.5293999999999999</v>
      </c>
      <c r="AB458" s="262"/>
      <c r="AC458" s="262">
        <v>-3.9161999999999999</v>
      </c>
      <c r="AD458" s="277">
        <v>-2.0813999999999999</v>
      </c>
      <c r="AE458" s="277">
        <f t="shared" ref="AE458:AE459" si="204">AD458</f>
        <v>-2.0813999999999999</v>
      </c>
      <c r="AF458" s="277">
        <f t="shared" ref="AF458:AF459" si="205">U458</f>
        <v>-4.3037999999999998</v>
      </c>
      <c r="AG458" s="277">
        <v>2.4428999999999998</v>
      </c>
      <c r="AH458" s="277">
        <v>-1.7</v>
      </c>
      <c r="AI458" s="277">
        <v>-2.6221999999999999</v>
      </c>
      <c r="AJ458" s="277">
        <v>-3.5844</v>
      </c>
      <c r="AK458" s="277">
        <v>-4.7145000000000001</v>
      </c>
      <c r="AL458" s="277">
        <v>-6.3186</v>
      </c>
      <c r="AM458" s="268">
        <v>-1.3628</v>
      </c>
      <c r="AN458" s="262">
        <v>-3.5293999999999999</v>
      </c>
      <c r="AO458" s="262">
        <v>-3.5293999999999999</v>
      </c>
      <c r="AP458" s="1311">
        <v>-2.1007899999999999</v>
      </c>
      <c r="AQ458" s="262">
        <v>-0.8105</v>
      </c>
      <c r="AR458" s="262">
        <v>-0.32579999999999998</v>
      </c>
      <c r="AS458" s="262">
        <v>-4.1302000000000003</v>
      </c>
      <c r="AT458" s="262">
        <v>-4.2938999999999998</v>
      </c>
      <c r="AU458" s="262">
        <f>(0.41*(B458/100)+0.09*(E458/100)+0.09*(K458/100)+0.25*(AA458/100)+0.05*(V458/100)+0.11*(AL458/100))*100</f>
        <v>-2.488302</v>
      </c>
      <c r="AV458" s="510"/>
      <c r="AW458" s="510"/>
      <c r="AX458" s="510"/>
      <c r="AY458" s="510"/>
      <c r="AZ458" s="510"/>
      <c r="BA458" s="510"/>
      <c r="BB458" s="510"/>
      <c r="BC458" s="510"/>
      <c r="BD458" s="747"/>
      <c r="BE458" s="243"/>
      <c r="BF458" s="329"/>
      <c r="BG458" s="329"/>
      <c r="BH458" s="329"/>
      <c r="BI458" s="329"/>
      <c r="BJ458" s="329"/>
      <c r="BK458" s="329"/>
      <c r="BL458" s="329"/>
      <c r="BM458" s="329"/>
      <c r="BN458" s="329"/>
      <c r="BO458" s="329"/>
      <c r="BP458" s="329"/>
      <c r="BQ458" s="748"/>
      <c r="BS458" s="615"/>
      <c r="BT458" s="615"/>
      <c r="BU458" s="615"/>
      <c r="BV458" s="615"/>
      <c r="BW458" s="615"/>
      <c r="BX458" s="749"/>
      <c r="BY458" s="615">
        <f t="shared" si="196"/>
        <v>0.64573242284962085</v>
      </c>
      <c r="BZ458" s="341"/>
      <c r="CB458" s="243"/>
      <c r="CD458" s="243"/>
      <c r="CG458" s="734"/>
      <c r="CJ458" s="1264"/>
    </row>
    <row r="459" spans="1:88" x14ac:dyDescent="0.2">
      <c r="A459" s="19">
        <v>41486</v>
      </c>
      <c r="B459" s="262">
        <v>5.0884200000000002</v>
      </c>
      <c r="C459" s="262">
        <v>5.0702499999999997</v>
      </c>
      <c r="D459" s="262">
        <v>5.1070599999999997</v>
      </c>
      <c r="E459" s="262">
        <v>6.1955099999999996</v>
      </c>
      <c r="F459" s="262">
        <v>6.0828499999999996</v>
      </c>
      <c r="G459" s="262">
        <v>6.3075200000000002</v>
      </c>
      <c r="H459" s="262">
        <v>6.9983500000000003</v>
      </c>
      <c r="I459" s="262">
        <v>7.5646699999999996</v>
      </c>
      <c r="J459" s="262">
        <v>6.4256000000000002</v>
      </c>
      <c r="K459" s="262">
        <v>6.8446300000000004</v>
      </c>
      <c r="L459" s="262">
        <v>7.2581499999999997</v>
      </c>
      <c r="M459" s="262">
        <v>6.4479499999999996</v>
      </c>
      <c r="N459" s="262">
        <f t="shared" si="201"/>
        <v>6.8446300000000004</v>
      </c>
      <c r="O459" s="262">
        <f t="shared" si="202"/>
        <v>7.2581499999999997</v>
      </c>
      <c r="P459" s="262">
        <f t="shared" si="203"/>
        <v>6.4479499999999996</v>
      </c>
      <c r="Q459" s="262">
        <v>7.4088399999999996</v>
      </c>
      <c r="R459" s="262">
        <v>6.5339400000000003</v>
      </c>
      <c r="S459" s="262">
        <v>5.48081</v>
      </c>
      <c r="T459" s="1342"/>
      <c r="U459" s="262"/>
      <c r="V459" s="262">
        <v>6.0822799999999999</v>
      </c>
      <c r="W459" s="262">
        <v>0.13666</v>
      </c>
      <c r="X459" s="262">
        <v>0.17599999999999999</v>
      </c>
      <c r="Y459" s="262">
        <v>0.30647999999999997</v>
      </c>
      <c r="Z459" s="262"/>
      <c r="AA459" s="262">
        <v>5.2844699999999998</v>
      </c>
      <c r="AB459" s="262"/>
      <c r="AC459" s="262">
        <v>5.8595600000000001</v>
      </c>
      <c r="AD459" s="262">
        <v>3.6019000000000001</v>
      </c>
      <c r="AE459" s="277">
        <f t="shared" si="204"/>
        <v>3.6019000000000001</v>
      </c>
      <c r="AF459" s="277">
        <f t="shared" si="205"/>
        <v>0</v>
      </c>
      <c r="AG459" s="262">
        <v>0</v>
      </c>
      <c r="AH459" s="262">
        <v>0.84</v>
      </c>
      <c r="AI459" s="262">
        <v>1.8953</v>
      </c>
      <c r="AJ459" s="262">
        <v>0.72960000000000003</v>
      </c>
      <c r="AK459" s="262">
        <v>1.3626799999999999</v>
      </c>
      <c r="AL459" s="262">
        <v>1.0989100000000001</v>
      </c>
      <c r="AM459" s="262">
        <v>5.3507899999999999</v>
      </c>
      <c r="AN459" s="262">
        <v>5.2844699999999998</v>
      </c>
      <c r="AO459" s="262">
        <v>5.2844699999999998</v>
      </c>
      <c r="AP459" s="1311">
        <v>3.4019599999999999</v>
      </c>
      <c r="AQ459" s="262">
        <v>4.2851100000000004</v>
      </c>
      <c r="AR459" s="262">
        <v>3.6480800000000002</v>
      </c>
      <c r="AS459" s="262">
        <v>-0.55757000000000001</v>
      </c>
      <c r="AT459" s="262">
        <v>0.23654</v>
      </c>
      <c r="AU459" s="262">
        <v>5.0059800000000001</v>
      </c>
      <c r="AV459" s="510"/>
      <c r="AW459" s="510"/>
      <c r="AX459" s="510"/>
      <c r="AY459" s="510"/>
      <c r="AZ459" s="510"/>
      <c r="BA459" s="510"/>
      <c r="BB459" s="510"/>
      <c r="BC459" s="510"/>
      <c r="BD459" s="747"/>
      <c r="BE459" s="243"/>
      <c r="BF459" s="329"/>
      <c r="BG459" s="329"/>
      <c r="BH459" s="329"/>
      <c r="BI459" s="329"/>
      <c r="BJ459" s="329"/>
      <c r="BK459" s="329"/>
      <c r="BL459" s="329"/>
      <c r="BM459" s="329"/>
      <c r="BN459" s="329"/>
      <c r="BO459" s="329"/>
      <c r="BP459" s="329"/>
      <c r="BQ459" s="748"/>
      <c r="BS459" s="615"/>
      <c r="BT459" s="615"/>
      <c r="BU459" s="615"/>
      <c r="BV459" s="615"/>
      <c r="BW459" s="615"/>
      <c r="BX459" s="749"/>
      <c r="BY459" s="615">
        <f t="shared" si="196"/>
        <v>0.64573242284962085</v>
      </c>
      <c r="BZ459" s="341"/>
      <c r="CB459" s="243"/>
      <c r="CD459" s="243"/>
      <c r="CG459" s="734"/>
      <c r="CJ459" s="1264"/>
    </row>
    <row r="460" spans="1:88" x14ac:dyDescent="0.2">
      <c r="A460" s="19">
        <v>41517</v>
      </c>
      <c r="B460" s="262">
        <v>-2.8961600000000001</v>
      </c>
      <c r="C460" s="262">
        <v>-2.22695</v>
      </c>
      <c r="D460" s="262">
        <v>-3.5902400000000001</v>
      </c>
      <c r="E460" s="262">
        <v>-3.7472699999999999</v>
      </c>
      <c r="F460" s="262">
        <v>-3.61266</v>
      </c>
      <c r="G460" s="262">
        <v>-3.8833099999999998</v>
      </c>
      <c r="H460" s="262">
        <v>-3.1762299999999999</v>
      </c>
      <c r="I460" s="262">
        <v>-1.95435</v>
      </c>
      <c r="J460" s="262">
        <v>-4.4222299999999999</v>
      </c>
      <c r="K460" s="262">
        <v>-2.4362300000000001</v>
      </c>
      <c r="L460" s="262">
        <v>-1.50484</v>
      </c>
      <c r="M460" s="262">
        <v>-3.3401200000000002</v>
      </c>
      <c r="N460" s="262">
        <f t="shared" si="201"/>
        <v>-2.4362300000000001</v>
      </c>
      <c r="O460" s="262">
        <f t="shared" si="202"/>
        <v>-1.50484</v>
      </c>
      <c r="P460" s="262">
        <f t="shared" si="203"/>
        <v>-3.3401200000000002</v>
      </c>
      <c r="Q460" s="262">
        <v>-2.0573899999999998</v>
      </c>
      <c r="R460" s="262">
        <v>-3.16147</v>
      </c>
      <c r="S460" s="262">
        <v>-2.7915800000000002</v>
      </c>
      <c r="T460" s="1342"/>
      <c r="U460" s="262"/>
      <c r="V460" s="262">
        <v>-4.972E-2</v>
      </c>
      <c r="W460" s="262">
        <v>-0.51144000000000001</v>
      </c>
      <c r="X460" s="262">
        <v>-0.42335</v>
      </c>
      <c r="Y460" s="262">
        <v>-0.49647999999999998</v>
      </c>
      <c r="Z460" s="262"/>
      <c r="AA460" s="262">
        <v>-1.31199</v>
      </c>
      <c r="AB460" s="262"/>
      <c r="AC460" s="262">
        <v>-1.31087</v>
      </c>
      <c r="AD460" s="262">
        <v>-1.58046</v>
      </c>
      <c r="AE460" s="277">
        <f>AD460</f>
        <v>-1.58046</v>
      </c>
      <c r="AF460" s="277">
        <f>U460</f>
        <v>0</v>
      </c>
      <c r="AG460" s="262">
        <v>0</v>
      </c>
      <c r="AH460" s="262">
        <v>-6.77</v>
      </c>
      <c r="AI460" s="262">
        <v>-0.60734999999999995</v>
      </c>
      <c r="AJ460" s="262">
        <v>-1.45381</v>
      </c>
      <c r="AK460" s="262">
        <v>3.4022600000000001</v>
      </c>
      <c r="AL460" s="262">
        <v>-1.6781900000000001</v>
      </c>
      <c r="AM460" s="262">
        <v>-2.7582399999999998</v>
      </c>
      <c r="AN460" s="262">
        <v>-1.31199</v>
      </c>
      <c r="AO460" s="262">
        <v>-1.31199</v>
      </c>
      <c r="AP460" s="262">
        <v>-1.98089</v>
      </c>
      <c r="AQ460" s="262">
        <v>-3.1062500000000002</v>
      </c>
      <c r="AR460" s="262">
        <v>-3.2242600000000001</v>
      </c>
      <c r="AS460" s="262">
        <v>-4.0931499999999996</v>
      </c>
      <c r="AT460" s="262">
        <v>-2.9921099999999998</v>
      </c>
      <c r="AU460" s="262">
        <f>(0.41*(B460/100)+0.09*(E460/100)+0.09*(K460/100)+0.25*(AA460/100)+0.05*(V460/100)+0.11*(AL460/100))*100</f>
        <v>-2.2590249999999998</v>
      </c>
      <c r="AV460" s="510"/>
      <c r="AW460" s="510"/>
      <c r="AX460" s="510"/>
      <c r="AY460" s="510"/>
      <c r="AZ460" s="510"/>
      <c r="BA460" s="510"/>
      <c r="BB460" s="510"/>
      <c r="BC460" s="510"/>
      <c r="BD460" s="747"/>
      <c r="BE460" s="243"/>
      <c r="BF460" s="329"/>
      <c r="BG460" s="329"/>
      <c r="BH460" s="329"/>
      <c r="BI460" s="329"/>
      <c r="BJ460" s="329"/>
      <c r="BK460" s="329"/>
      <c r="BL460" s="329"/>
      <c r="BM460" s="329"/>
      <c r="BN460" s="329"/>
      <c r="BO460" s="329"/>
      <c r="BP460" s="329"/>
      <c r="BQ460" s="748"/>
      <c r="BS460" s="615"/>
      <c r="BT460" s="615"/>
      <c r="BU460" s="615"/>
      <c r="BV460" s="615"/>
      <c r="BW460" s="615"/>
      <c r="BX460" s="749"/>
      <c r="BY460" s="615">
        <f t="shared" si="196"/>
        <v>0.64573242284962085</v>
      </c>
      <c r="BZ460" s="341"/>
      <c r="CB460" s="243"/>
      <c r="CD460" s="243"/>
      <c r="CG460" s="734"/>
      <c r="CJ460" s="1264"/>
    </row>
    <row r="461" spans="1:88" x14ac:dyDescent="0.2">
      <c r="A461" s="19">
        <v>41547</v>
      </c>
      <c r="B461" s="262">
        <v>3.1359499999999998</v>
      </c>
      <c r="C461" s="262">
        <v>3.7670499999999998</v>
      </c>
      <c r="D461" s="262">
        <v>2.4715400000000001</v>
      </c>
      <c r="E461" s="262">
        <v>5.2111599999999996</v>
      </c>
      <c r="F461" s="262">
        <v>5.7215299999999996</v>
      </c>
      <c r="G461" s="262">
        <v>4.6866599999999998</v>
      </c>
      <c r="H461" s="262">
        <v>6.38035</v>
      </c>
      <c r="I461" s="262">
        <v>6.9600799999999996</v>
      </c>
      <c r="J461" s="262">
        <v>5.7733999999999996</v>
      </c>
      <c r="K461" s="262">
        <v>6.22661</v>
      </c>
      <c r="L461" s="262">
        <v>6.0030799999999997</v>
      </c>
      <c r="M461" s="262">
        <v>6.4481700000000002</v>
      </c>
      <c r="N461" s="262">
        <f t="shared" ref="N461" si="206">K461</f>
        <v>6.22661</v>
      </c>
      <c r="O461" s="262">
        <f t="shared" ref="O461" si="207">L461</f>
        <v>6.0030799999999997</v>
      </c>
      <c r="P461" s="262">
        <f t="shared" ref="P461" si="208">M461</f>
        <v>6.4481700000000002</v>
      </c>
      <c r="Q461" s="262">
        <v>6.4094300000000004</v>
      </c>
      <c r="R461" s="262">
        <v>5.7279299999999997</v>
      </c>
      <c r="S461" s="262">
        <v>3.7176200000000001</v>
      </c>
      <c r="T461" s="1342"/>
      <c r="U461" s="262"/>
      <c r="V461" s="262">
        <v>8.9913500000000006</v>
      </c>
      <c r="W461" s="262">
        <v>0.94672999999999996</v>
      </c>
      <c r="X461" s="262">
        <v>1.0099100000000001</v>
      </c>
      <c r="Y461" s="262">
        <v>0.80954999999999999</v>
      </c>
      <c r="Z461" s="262"/>
      <c r="AA461" s="262">
        <v>7.4158499999999998</v>
      </c>
      <c r="AB461" s="262"/>
      <c r="AC461" s="262">
        <v>7.8678900000000001</v>
      </c>
      <c r="AD461" s="262">
        <v>3.3653400000000002</v>
      </c>
      <c r="AE461" s="277">
        <f>AD461</f>
        <v>3.3653400000000002</v>
      </c>
      <c r="AF461" s="277">
        <f>U461</f>
        <v>0</v>
      </c>
      <c r="AG461" s="262">
        <v>3.5974599999999999</v>
      </c>
      <c r="AH461" s="262">
        <v>3.39</v>
      </c>
      <c r="AI461" s="262">
        <v>0.99311000000000005</v>
      </c>
      <c r="AJ461" s="262">
        <v>1.44709</v>
      </c>
      <c r="AK461" s="262">
        <v>-2.5541800000000001</v>
      </c>
      <c r="AL461" s="262">
        <v>6.5348100000000002</v>
      </c>
      <c r="AM461" s="262">
        <v>3.4869500000000002</v>
      </c>
      <c r="AN461" s="262">
        <v>7.4158499999999998</v>
      </c>
      <c r="AO461" s="262">
        <v>7.4158499999999998</v>
      </c>
      <c r="AP461" s="262">
        <v>3.3683700000000001</v>
      </c>
      <c r="AQ461" s="262">
        <v>1.65242</v>
      </c>
      <c r="AR461" s="262">
        <v>2.5671400000000002</v>
      </c>
      <c r="AS461" s="262">
        <v>4.3981399999999997</v>
      </c>
      <c r="AT461" s="262">
        <v>3.2960600000000002</v>
      </c>
      <c r="AU461" s="262">
        <f>IF(B461="","",(0.41*(B461/100)+0.09*(E461/100)+0.09*(K461/100)+0.25*(AA461/100)+0.05*(V461/100)+0.11*(AL461/100))*100)</f>
        <v>5.3374978999999998</v>
      </c>
      <c r="AV461" s="510"/>
      <c r="AW461" s="510"/>
      <c r="AX461" s="510"/>
      <c r="AY461" s="510"/>
      <c r="AZ461" s="510"/>
      <c r="BA461" s="510"/>
      <c r="BB461" s="510"/>
      <c r="BC461" s="510"/>
      <c r="BD461" s="747"/>
      <c r="BE461" s="243"/>
      <c r="BF461" s="329"/>
      <c r="BG461" s="329"/>
      <c r="BH461" s="329"/>
      <c r="BI461" s="329"/>
      <c r="BJ461" s="329"/>
      <c r="BK461" s="329"/>
      <c r="BL461" s="329"/>
      <c r="BM461" s="329"/>
      <c r="BN461" s="329"/>
      <c r="BO461" s="329"/>
      <c r="BP461" s="329"/>
      <c r="BQ461" s="748"/>
      <c r="BS461" s="615"/>
      <c r="BT461" s="615"/>
      <c r="BU461" s="615"/>
      <c r="BV461" s="615"/>
      <c r="BW461" s="615"/>
      <c r="BX461" s="749"/>
      <c r="BY461" s="615">
        <f t="shared" si="196"/>
        <v>0.64573242284962085</v>
      </c>
      <c r="BZ461" s="341"/>
      <c r="CB461" s="243"/>
      <c r="CD461" s="243"/>
      <c r="CG461" s="734"/>
      <c r="CJ461" s="1264"/>
    </row>
    <row r="462" spans="1:88" x14ac:dyDescent="0.2">
      <c r="A462" s="19">
        <v>41578</v>
      </c>
      <c r="B462" s="262">
        <v>4.5967799999999999</v>
      </c>
      <c r="C462" s="262">
        <v>4.8060600000000004</v>
      </c>
      <c r="D462" s="262">
        <v>4.3724699999999999</v>
      </c>
      <c r="E462" s="262">
        <v>3.7153399999999999</v>
      </c>
      <c r="F462" s="262">
        <v>3.2435700000000001</v>
      </c>
      <c r="G462" s="262">
        <v>4.1832099999999999</v>
      </c>
      <c r="H462" s="262">
        <v>2.5146099999999998</v>
      </c>
      <c r="I462" s="262">
        <v>1.82273</v>
      </c>
      <c r="J462" s="262">
        <v>3.2502800000000001</v>
      </c>
      <c r="K462" s="262">
        <v>3.6075499999999998</v>
      </c>
      <c r="L462" s="262">
        <v>3.6997499999999999</v>
      </c>
      <c r="M462" s="262">
        <v>3.5196999999999998</v>
      </c>
      <c r="N462" s="262">
        <f t="shared" ref="N462:N463" si="209">IF(K462="","",K462)</f>
        <v>3.6075499999999998</v>
      </c>
      <c r="O462" s="262">
        <f t="shared" ref="O462:O463" si="210">IF(L462="","",L462)</f>
        <v>3.6997499999999999</v>
      </c>
      <c r="P462" s="262">
        <f t="shared" ref="P462:P463" si="211">IF(M462="","",M462)</f>
        <v>3.5196999999999998</v>
      </c>
      <c r="Q462" s="262">
        <v>2.3212100000000002</v>
      </c>
      <c r="R462" s="262">
        <v>3.2336</v>
      </c>
      <c r="S462" s="262">
        <v>4.2477900000000002</v>
      </c>
      <c r="T462" s="262" t="e">
        <v>#N/A</v>
      </c>
      <c r="U462" s="262" t="e">
        <v>#N/A</v>
      </c>
      <c r="V462" s="262">
        <v>3.0435400000000001</v>
      </c>
      <c r="W462" s="262">
        <v>0.80842000000000003</v>
      </c>
      <c r="X462" s="262">
        <v>0.63917999999999997</v>
      </c>
      <c r="Y462" s="262">
        <v>0.61726999999999999</v>
      </c>
      <c r="Z462" s="262" t="e">
        <v>#N/A</v>
      </c>
      <c r="AA462" s="262">
        <v>3.3641399999999999</v>
      </c>
      <c r="AB462" s="262" t="e">
        <v>#N/A</v>
      </c>
      <c r="AC462" s="262">
        <v>4.1384699999999999</v>
      </c>
      <c r="AD462" s="262">
        <v>2.9849399999999999</v>
      </c>
      <c r="AE462" s="277">
        <f t="shared" ref="AE462:AF462" si="212">IF(AD462="","",AD462)</f>
        <v>2.9849399999999999</v>
      </c>
      <c r="AF462" s="277">
        <f t="shared" si="212"/>
        <v>2.9849399999999999</v>
      </c>
      <c r="AG462" s="262">
        <v>0</v>
      </c>
      <c r="AH462" s="262">
        <v>4.03</v>
      </c>
      <c r="AI462" s="262">
        <v>2.5053299999999998</v>
      </c>
      <c r="AJ462" s="262">
        <v>0.55088999999999999</v>
      </c>
      <c r="AK462" s="262">
        <v>-1.47685</v>
      </c>
      <c r="AL462" s="262">
        <v>4.8731200000000001</v>
      </c>
      <c r="AM462" s="262">
        <v>4.40198</v>
      </c>
      <c r="AN462" s="262">
        <v>3.3641399999999999</v>
      </c>
      <c r="AO462" s="262">
        <v>3.3641399999999999</v>
      </c>
      <c r="AP462" s="262">
        <v>3.1032299999999999</v>
      </c>
      <c r="AQ462" s="262">
        <v>5.1191899999999997</v>
      </c>
      <c r="AR462" s="262">
        <v>4.7255900000000004</v>
      </c>
      <c r="AS462" s="262">
        <v>2.7480099999999998</v>
      </c>
      <c r="AT462" s="262">
        <v>2.5956399999999999</v>
      </c>
      <c r="AU462" s="262">
        <f t="shared" ref="AU462:AU463" si="213">IF(B462="","",(0.41*(B462/100)+0.09*(E462/100)+0.09*(K462/100)+0.25*(AA462/100)+0.05*(V462/100)+0.11*(AL462/100))*100)</f>
        <v>4.0729950999999991</v>
      </c>
      <c r="AV462" s="510"/>
      <c r="AW462" s="510"/>
      <c r="AX462" s="510"/>
      <c r="AY462" s="510"/>
      <c r="AZ462" s="510"/>
      <c r="BA462" s="510"/>
      <c r="BB462" s="510"/>
      <c r="BC462" s="510"/>
      <c r="BD462" s="747"/>
      <c r="BE462" s="243"/>
      <c r="BF462" s="329"/>
      <c r="BG462" s="329"/>
      <c r="BH462" s="329"/>
      <c r="BI462" s="329"/>
      <c r="BJ462" s="329"/>
      <c r="BK462" s="329"/>
      <c r="BL462" s="329"/>
      <c r="BM462" s="329"/>
      <c r="BN462" s="329"/>
      <c r="BO462" s="329"/>
      <c r="BP462" s="329"/>
      <c r="BQ462" s="748"/>
      <c r="BS462" s="615"/>
      <c r="BT462" s="615"/>
      <c r="BU462" s="615"/>
      <c r="BV462" s="615"/>
      <c r="BW462" s="615"/>
      <c r="BX462" s="749"/>
      <c r="BY462" s="615">
        <f t="shared" si="196"/>
        <v>0.64573242284962085</v>
      </c>
      <c r="BZ462" s="341"/>
      <c r="CB462" s="243"/>
      <c r="CD462" s="243"/>
      <c r="CG462" s="734"/>
      <c r="CJ462" s="1264"/>
    </row>
    <row r="463" spans="1:88" x14ac:dyDescent="0.2">
      <c r="A463" s="19">
        <v>41608</v>
      </c>
      <c r="B463" s="262">
        <v>3.0474000000000001</v>
      </c>
      <c r="C463" s="262">
        <v>3.2587899999999999</v>
      </c>
      <c r="D463" s="262">
        <v>2.8188300000000002</v>
      </c>
      <c r="E463" s="262">
        <v>1.3227899999999999</v>
      </c>
      <c r="F463" s="262">
        <v>1.6861200000000001</v>
      </c>
      <c r="G463" s="262">
        <v>0.96177000000000001</v>
      </c>
      <c r="H463" s="262">
        <v>4.0064099999999998</v>
      </c>
      <c r="I463" s="262">
        <v>4.1059099999999997</v>
      </c>
      <c r="J463" s="262">
        <v>3.9020700000000001</v>
      </c>
      <c r="K463" s="262">
        <v>4.4956500000000004</v>
      </c>
      <c r="L463" s="262">
        <v>4.76884</v>
      </c>
      <c r="M463" s="262">
        <v>4.22879</v>
      </c>
      <c r="N463" s="262">
        <f t="shared" si="209"/>
        <v>4.4956500000000004</v>
      </c>
      <c r="O463" s="262">
        <f t="shared" si="210"/>
        <v>4.76884</v>
      </c>
      <c r="P463" s="262">
        <f t="shared" si="211"/>
        <v>4.22879</v>
      </c>
      <c r="Q463" s="262">
        <v>3.25908</v>
      </c>
      <c r="R463" s="262">
        <v>2.6579100000000002</v>
      </c>
      <c r="S463" s="262">
        <v>2.9020600000000001</v>
      </c>
      <c r="T463" s="262" t="e">
        <v>#N/A</v>
      </c>
      <c r="U463" s="262" t="e">
        <v>#N/A</v>
      </c>
      <c r="V463" s="262">
        <v>0.44497999999999999</v>
      </c>
      <c r="W463" s="262">
        <v>-0.37402999999999997</v>
      </c>
      <c r="X463" s="262">
        <v>-0.21026</v>
      </c>
      <c r="Y463" s="262">
        <v>-5.8599999999999998E-3</v>
      </c>
      <c r="Z463" s="262" t="e">
        <v>#N/A</v>
      </c>
      <c r="AA463" s="262">
        <v>0.78278000000000003</v>
      </c>
      <c r="AB463" s="262" t="e">
        <v>#N/A</v>
      </c>
      <c r="AC463" s="262">
        <v>0.69218999999999997</v>
      </c>
      <c r="AD463" s="262">
        <v>1.3693299999999999</v>
      </c>
      <c r="AE463" s="277">
        <f t="shared" ref="AE463:AF463" si="214">IF(AD463="","",AD463)</f>
        <v>1.3693299999999999</v>
      </c>
      <c r="AF463" s="277">
        <f t="shared" si="214"/>
        <v>1.3693299999999999</v>
      </c>
      <c r="AG463" s="262">
        <v>0</v>
      </c>
      <c r="AH463" s="262">
        <v>-5.16</v>
      </c>
      <c r="AI463" s="262">
        <v>0.50753000000000004</v>
      </c>
      <c r="AJ463" s="262">
        <v>-1.08586</v>
      </c>
      <c r="AK463" s="262">
        <v>-0.80006999999999995</v>
      </c>
      <c r="AL463" s="262">
        <v>-1.45442</v>
      </c>
      <c r="AM463" s="262">
        <v>2.8057099999999999</v>
      </c>
      <c r="AN463" s="262">
        <v>0.78278000000000003</v>
      </c>
      <c r="AO463" s="262">
        <v>0.78278000000000003</v>
      </c>
      <c r="AP463" s="262">
        <v>0.88504000000000005</v>
      </c>
      <c r="AQ463" s="262">
        <v>2.3299099999999999</v>
      </c>
      <c r="AR463" s="262">
        <v>1.3397399999999999</v>
      </c>
      <c r="AS463" s="262">
        <v>-3.6411600000000002</v>
      </c>
      <c r="AT463" s="262">
        <v>-2.3816799999999998</v>
      </c>
      <c r="AU463" s="262">
        <f t="shared" si="213"/>
        <v>1.8310513999999996</v>
      </c>
      <c r="AV463" s="510"/>
      <c r="AW463" s="510"/>
      <c r="AX463" s="510"/>
      <c r="AY463" s="510"/>
      <c r="AZ463" s="510"/>
      <c r="BA463" s="510"/>
      <c r="BB463" s="510"/>
      <c r="BC463" s="510"/>
      <c r="BD463" s="747"/>
      <c r="BE463" s="243"/>
      <c r="BF463" s="329"/>
      <c r="BG463" s="329"/>
      <c r="BH463" s="329"/>
      <c r="BI463" s="329"/>
      <c r="BJ463" s="329"/>
      <c r="BK463" s="329"/>
      <c r="BL463" s="329"/>
      <c r="BM463" s="329"/>
      <c r="BN463" s="329"/>
      <c r="BO463" s="329"/>
      <c r="BP463" s="329"/>
      <c r="BQ463" s="748"/>
      <c r="BS463" s="615"/>
      <c r="BT463" s="615"/>
      <c r="BU463" s="615"/>
      <c r="BV463" s="615"/>
      <c r="BW463" s="615"/>
      <c r="BX463" s="749"/>
      <c r="BY463" s="615">
        <f t="shared" si="196"/>
        <v>0.64573242284962085</v>
      </c>
      <c r="BZ463" s="341"/>
      <c r="CB463" s="243"/>
      <c r="CD463" s="243"/>
      <c r="CG463" s="734"/>
      <c r="CJ463" s="1264"/>
    </row>
    <row r="464" spans="1:88" x14ac:dyDescent="0.2">
      <c r="A464" s="19">
        <v>41639</v>
      </c>
      <c r="B464" s="262">
        <v>2.5316100000000001</v>
      </c>
      <c r="C464" s="262">
        <v>2.7050999999999998</v>
      </c>
      <c r="D464" s="262">
        <v>2.3423400000000001</v>
      </c>
      <c r="E464" s="262">
        <v>3.08874</v>
      </c>
      <c r="F464" s="262">
        <v>3.29467</v>
      </c>
      <c r="G464" s="262">
        <v>2.88219</v>
      </c>
      <c r="H464" s="262">
        <v>1.9680200000000001</v>
      </c>
      <c r="I464" s="262">
        <v>2.0461299999999998</v>
      </c>
      <c r="J464" s="262">
        <v>1.88493</v>
      </c>
      <c r="K464" s="262">
        <v>1.4473199999999999</v>
      </c>
      <c r="L464" s="262">
        <v>1.30206</v>
      </c>
      <c r="M464" s="262">
        <v>1.58893</v>
      </c>
      <c r="N464" s="262">
        <f t="shared" ref="N464:N476" si="215">IF(K464="","",K464)</f>
        <v>1.4473199999999999</v>
      </c>
      <c r="O464" s="262">
        <f t="shared" ref="O464:O476" si="216">IF(L464="","",L464)</f>
        <v>1.30206</v>
      </c>
      <c r="P464" s="262">
        <f t="shared" ref="P464:P476" si="217">IF(M464="","",M464)</f>
        <v>1.58893</v>
      </c>
      <c r="Q464" s="262">
        <v>2.6787100000000001</v>
      </c>
      <c r="R464" s="262">
        <v>2.5353599999999998</v>
      </c>
      <c r="S464" s="262">
        <v>2.63829</v>
      </c>
      <c r="T464" s="262" t="e">
        <v>#N/A</v>
      </c>
      <c r="U464" s="262" t="e">
        <v>#N/A</v>
      </c>
      <c r="V464" s="262">
        <v>2.3560400000000001</v>
      </c>
      <c r="W464" s="262">
        <v>-0.56515000000000004</v>
      </c>
      <c r="X464" s="262">
        <v>-0.56745000000000001</v>
      </c>
      <c r="Y464" s="262">
        <v>-0.62927</v>
      </c>
      <c r="Z464" s="262" t="e">
        <v>#N/A</v>
      </c>
      <c r="AA464" s="262">
        <v>1.51197</v>
      </c>
      <c r="AB464" s="262" t="e">
        <v>#N/A</v>
      </c>
      <c r="AC464" s="262">
        <v>1.3798600000000001</v>
      </c>
      <c r="AD464" s="262">
        <v>1.3579399999999999</v>
      </c>
      <c r="AE464" s="277">
        <f t="shared" ref="AE464:AE476" si="218">IF(AD464="","",AD464)</f>
        <v>1.3579399999999999</v>
      </c>
      <c r="AF464" s="277">
        <f t="shared" ref="AF464:AF476" si="219">IF(AE464="","",AE464)</f>
        <v>1.3579399999999999</v>
      </c>
      <c r="AG464" s="262">
        <v>3.3497599999999998</v>
      </c>
      <c r="AH464" s="262">
        <v>0.59</v>
      </c>
      <c r="AI464" s="262">
        <v>0.53968000000000005</v>
      </c>
      <c r="AJ464" s="262">
        <v>-1.4676199999999999</v>
      </c>
      <c r="AK464" s="262">
        <v>1.2399100000000001</v>
      </c>
      <c r="AL464" s="262">
        <v>-1.43764</v>
      </c>
      <c r="AM464" s="262">
        <v>2.6977600000000002</v>
      </c>
      <c r="AN464" s="262">
        <v>1.51197</v>
      </c>
      <c r="AO464" s="262">
        <v>1.51197</v>
      </c>
      <c r="AP464" s="262">
        <v>1.3180799999999999</v>
      </c>
      <c r="AQ464" s="262">
        <v>1.5107299999999999</v>
      </c>
      <c r="AR464" s="262">
        <v>1.2575400000000001</v>
      </c>
      <c r="AS464" s="262">
        <v>-0.54832999999999998</v>
      </c>
      <c r="AT464" s="262">
        <v>-0.12064999999999999</v>
      </c>
      <c r="AU464" s="262">
        <f>IF(B464="","",(0.41*(B464/100)+0.09*(E464/100)+0.09*(K464/100)+0.25*(AA464/100)+0.05*(V464/100)+0.11*(AL464/100))*100)</f>
        <v>1.7838595999999998</v>
      </c>
      <c r="AV464" s="510"/>
      <c r="AW464" s="510"/>
      <c r="AX464" s="510"/>
      <c r="AY464" s="510"/>
      <c r="AZ464" s="510"/>
      <c r="BA464" s="510"/>
      <c r="BB464" s="510"/>
      <c r="BC464" s="510"/>
      <c r="BD464" s="747"/>
      <c r="BE464" s="243"/>
      <c r="BF464" s="329"/>
      <c r="BG464" s="329"/>
      <c r="BH464" s="329"/>
      <c r="BI464" s="329"/>
      <c r="BJ464" s="329"/>
      <c r="BK464" s="329"/>
      <c r="BL464" s="329"/>
      <c r="BM464" s="329"/>
      <c r="BN464" s="329"/>
      <c r="BO464" s="329"/>
      <c r="BP464" s="329"/>
      <c r="BQ464" s="748"/>
      <c r="BS464" s="615"/>
      <c r="BT464" s="615"/>
      <c r="BU464" s="615"/>
      <c r="BV464" s="615"/>
      <c r="BW464" s="615"/>
      <c r="BX464" s="749"/>
      <c r="BY464" s="615">
        <f t="shared" si="196"/>
        <v>0.64573242284962085</v>
      </c>
      <c r="BZ464" s="341"/>
      <c r="CB464" s="243"/>
      <c r="CD464" s="243"/>
      <c r="CG464" s="734"/>
      <c r="CJ464" s="1264"/>
    </row>
    <row r="465" spans="1:77" x14ac:dyDescent="0.2">
      <c r="A465" s="19">
        <v>41670</v>
      </c>
      <c r="B465" s="262">
        <v>-3.4574099999999999</v>
      </c>
      <c r="C465" s="262">
        <v>-2.9512399999999999</v>
      </c>
      <c r="D465" s="262">
        <v>-4.0029599999999999</v>
      </c>
      <c r="E465" s="262">
        <v>-2.12337</v>
      </c>
      <c r="F465" s="262">
        <v>-2.56447</v>
      </c>
      <c r="G465" s="262">
        <v>-1.6530899999999999</v>
      </c>
      <c r="H465" s="262">
        <v>-2.7680099999999999</v>
      </c>
      <c r="I465" s="262">
        <v>-1.7271799999999999</v>
      </c>
      <c r="J465" s="262">
        <v>-3.8682699999999999</v>
      </c>
      <c r="K465" s="262">
        <v>-3.8568600000000002</v>
      </c>
      <c r="L465" s="262">
        <v>-4.1132299999999997</v>
      </c>
      <c r="M465" s="262">
        <v>-3.6123099999999999</v>
      </c>
      <c r="N465" s="262">
        <f t="shared" si="215"/>
        <v>-3.8568600000000002</v>
      </c>
      <c r="O465" s="262">
        <f t="shared" si="216"/>
        <v>-4.1132299999999997</v>
      </c>
      <c r="P465" s="262">
        <f t="shared" si="217"/>
        <v>-3.6123099999999999</v>
      </c>
      <c r="Q465" s="262">
        <v>-1.88862</v>
      </c>
      <c r="R465" s="262">
        <v>-2.28261</v>
      </c>
      <c r="S465" s="262">
        <v>-3.15937</v>
      </c>
      <c r="T465" s="262" t="e">
        <v>#N/A</v>
      </c>
      <c r="U465" s="262">
        <v>-3.7038500000000001</v>
      </c>
      <c r="V465" s="262">
        <v>-1.53596</v>
      </c>
      <c r="W465" s="262">
        <v>1.4775499999999999</v>
      </c>
      <c r="X465" s="262">
        <v>1.1327100000000001</v>
      </c>
      <c r="Y465" s="262">
        <v>0.91974999999999996</v>
      </c>
      <c r="Z465" s="262" t="e">
        <v>#N/A</v>
      </c>
      <c r="AA465" s="262">
        <v>-4.0265899999999997</v>
      </c>
      <c r="AB465" s="262" t="e">
        <v>#N/A</v>
      </c>
      <c r="AC465" s="262">
        <v>-3.55497</v>
      </c>
      <c r="AD465" s="262">
        <v>-2.0677099999999999</v>
      </c>
      <c r="AE465" s="277">
        <f t="shared" si="218"/>
        <v>-2.0677099999999999</v>
      </c>
      <c r="AF465" s="277">
        <f t="shared" si="219"/>
        <v>-2.0677099999999999</v>
      </c>
      <c r="AG465" s="262">
        <v>0</v>
      </c>
      <c r="AH465" s="262">
        <v>3.74</v>
      </c>
      <c r="AI465" s="262">
        <v>0.70115000000000005</v>
      </c>
      <c r="AJ465" s="262">
        <v>1.9760200000000001</v>
      </c>
      <c r="AK465" s="262">
        <v>0.29765999999999998</v>
      </c>
      <c r="AL465" s="262">
        <v>-6.4935299999999998</v>
      </c>
      <c r="AM465" s="262">
        <v>-3.1938399999999998</v>
      </c>
      <c r="AN465" s="262">
        <v>-4.0265899999999997</v>
      </c>
      <c r="AO465" s="262">
        <v>-4.0265899999999997</v>
      </c>
      <c r="AP465" s="262">
        <v>-1.6584700000000001</v>
      </c>
      <c r="AQ465" s="262">
        <v>-4.1561899999999996</v>
      </c>
      <c r="AR465" s="262">
        <v>-3.0002499999999999</v>
      </c>
      <c r="AS465" s="262">
        <v>-4.6309100000000001</v>
      </c>
      <c r="AT465" s="262">
        <v>-2.4068200000000002</v>
      </c>
      <c r="AU465" s="262">
        <f t="shared" ref="AU465:AU477" si="220">IF(B465="","",(0.41*(B465/100)+0.09*(E465/100)+0.09*(K465/100)+0.25*(AA465/100)+0.05*(V465/100)+0.11*(AL465/100))*100)</f>
        <v>-3.7534925999999995</v>
      </c>
      <c r="BY465" s="615">
        <f t="shared" si="196"/>
        <v>0.64573242284962085</v>
      </c>
    </row>
    <row r="466" spans="1:77" x14ac:dyDescent="0.2">
      <c r="A466" s="19">
        <v>41698</v>
      </c>
      <c r="B466" s="262">
        <v>4.5743900000000002</v>
      </c>
      <c r="C466" s="262">
        <v>5.2443799999999996</v>
      </c>
      <c r="D466" s="262">
        <v>3.8430300000000002</v>
      </c>
      <c r="E466" s="262">
        <v>4.8845599999999996</v>
      </c>
      <c r="F466" s="262">
        <v>5.3106</v>
      </c>
      <c r="G466" s="262">
        <v>4.4349299999999996</v>
      </c>
      <c r="H466" s="262">
        <v>4.7111200000000002</v>
      </c>
      <c r="I466" s="262">
        <v>4.83406</v>
      </c>
      <c r="J466" s="262">
        <v>4.5774900000000001</v>
      </c>
      <c r="K466" s="262">
        <v>4.45669</v>
      </c>
      <c r="L466" s="262">
        <v>4.2797400000000003</v>
      </c>
      <c r="M466" s="262">
        <v>4.6245500000000002</v>
      </c>
      <c r="N466" s="262">
        <f t="shared" si="215"/>
        <v>4.45669</v>
      </c>
      <c r="O466" s="262">
        <f t="shared" si="216"/>
        <v>4.2797400000000003</v>
      </c>
      <c r="P466" s="262">
        <f t="shared" si="217"/>
        <v>4.6245500000000002</v>
      </c>
      <c r="Q466" s="262">
        <v>5.2188800000000004</v>
      </c>
      <c r="R466" s="262">
        <v>5.0698299999999996</v>
      </c>
      <c r="S466" s="262">
        <v>4.7436100000000003</v>
      </c>
      <c r="T466" s="262" t="e">
        <v>#N/A</v>
      </c>
      <c r="U466" s="262">
        <v>5.0061</v>
      </c>
      <c r="V466" s="262">
        <v>5.5225900000000001</v>
      </c>
      <c r="W466" s="262">
        <v>0.53146000000000004</v>
      </c>
      <c r="X466" s="262">
        <v>0.37246000000000001</v>
      </c>
      <c r="Y466" s="262">
        <v>0.38257999999999998</v>
      </c>
      <c r="Z466" s="262">
        <v>3.3126000000000002</v>
      </c>
      <c r="AA466" s="262">
        <v>5.5592199999999998</v>
      </c>
      <c r="AB466" s="262">
        <v>3.3126000000000002</v>
      </c>
      <c r="AC466" s="262">
        <v>5.65557</v>
      </c>
      <c r="AD466" s="262">
        <v>3.75501</v>
      </c>
      <c r="AE466" s="262">
        <f t="shared" si="218"/>
        <v>3.75501</v>
      </c>
      <c r="AF466" s="262">
        <f t="shared" si="219"/>
        <v>3.75501</v>
      </c>
      <c r="AG466" s="262">
        <v>0</v>
      </c>
      <c r="AH466" s="262">
        <v>5.04</v>
      </c>
      <c r="AI466" s="262">
        <v>2.02311</v>
      </c>
      <c r="AJ466" s="262">
        <v>0.44786999999999999</v>
      </c>
      <c r="AK466" s="262">
        <v>6.2352499999999997</v>
      </c>
      <c r="AL466" s="262">
        <v>3.3126000000000002</v>
      </c>
      <c r="AM466" s="262">
        <v>4.7465799999999998</v>
      </c>
      <c r="AN466" s="262">
        <v>5.5592199999999998</v>
      </c>
      <c r="AO466" s="262">
        <v>5.5592199999999998</v>
      </c>
      <c r="AP466" s="262">
        <v>3.8591700000000002</v>
      </c>
      <c r="AQ466" s="262">
        <v>3.9714100000000001</v>
      </c>
      <c r="AR466" s="262">
        <v>4.3633199999999999</v>
      </c>
      <c r="AS466" s="262">
        <v>3.9247899999999998</v>
      </c>
      <c r="AT466" s="262">
        <v>3.1419700000000002</v>
      </c>
      <c r="AU466" s="262">
        <f t="shared" si="220"/>
        <v>4.7465329000000001</v>
      </c>
      <c r="BY466" s="615">
        <f t="shared" si="196"/>
        <v>0.64573242284962085</v>
      </c>
    </row>
    <row r="467" spans="1:77" x14ac:dyDescent="0.2">
      <c r="A467" s="19">
        <v>41729</v>
      </c>
      <c r="B467" s="262">
        <v>0.84057000000000004</v>
      </c>
      <c r="C467" s="262">
        <v>-0.72796000000000005</v>
      </c>
      <c r="D467" s="262">
        <v>2.58006</v>
      </c>
      <c r="E467" s="262">
        <v>0.36878</v>
      </c>
      <c r="F467" s="262">
        <v>-0.45921000000000001</v>
      </c>
      <c r="G467" s="262">
        <v>1.2476499999999999</v>
      </c>
      <c r="H467" s="262">
        <v>-0.68162</v>
      </c>
      <c r="I467" s="262">
        <v>-2.4641199999999999</v>
      </c>
      <c r="J467" s="262">
        <v>1.2382899999999999</v>
      </c>
      <c r="K467" s="262">
        <v>0.69799999999999995</v>
      </c>
      <c r="L467" s="262">
        <v>8.8260000000000005E-2</v>
      </c>
      <c r="M467" s="262">
        <v>1.2756000000000001</v>
      </c>
      <c r="N467" s="262">
        <f t="shared" si="215"/>
        <v>0.69799999999999995</v>
      </c>
      <c r="O467" s="262">
        <f t="shared" si="216"/>
        <v>8.8260000000000005E-2</v>
      </c>
      <c r="P467" s="262">
        <f t="shared" si="217"/>
        <v>1.2756000000000001</v>
      </c>
      <c r="Q467" s="262">
        <v>-2.1223399999999999</v>
      </c>
      <c r="R467" s="262">
        <v>-0.36132999999999998</v>
      </c>
      <c r="S467" s="262">
        <v>0.53076999999999996</v>
      </c>
      <c r="T467" s="262" t="e">
        <v>#N/A</v>
      </c>
      <c r="U467" s="262">
        <v>0.14473</v>
      </c>
      <c r="V467" s="262">
        <v>-0.52510999999999997</v>
      </c>
      <c r="W467" s="262">
        <v>-0.17033000000000001</v>
      </c>
      <c r="X467" s="262">
        <v>-0.30181999999999998</v>
      </c>
      <c r="Y467" s="262">
        <v>-0.29848000000000002</v>
      </c>
      <c r="Z467" s="262" t="e">
        <v>#N/A</v>
      </c>
      <c r="AA467" s="262">
        <v>-0.63736000000000004</v>
      </c>
      <c r="AB467" s="262" t="e">
        <v>#N/A</v>
      </c>
      <c r="AC467" s="262">
        <v>-0.55147000000000002</v>
      </c>
      <c r="AD467" s="262">
        <v>0.17086000000000001</v>
      </c>
      <c r="AE467" s="262">
        <f t="shared" si="218"/>
        <v>0.17086000000000001</v>
      </c>
      <c r="AF467" s="262">
        <f t="shared" si="219"/>
        <v>0.17086000000000001</v>
      </c>
      <c r="AG467" s="262">
        <v>2.93668</v>
      </c>
      <c r="AH467" s="262">
        <v>0.93</v>
      </c>
      <c r="AI467" s="262">
        <v>0.23637</v>
      </c>
      <c r="AJ467" s="262">
        <v>-0.47481000000000001</v>
      </c>
      <c r="AK467" s="262">
        <v>0.41117999999999999</v>
      </c>
      <c r="AL467" s="262">
        <v>3.0695100000000002</v>
      </c>
      <c r="AM467" s="262">
        <v>0.63695000000000002</v>
      </c>
      <c r="AN467" s="262">
        <v>-0.63736000000000004</v>
      </c>
      <c r="AO467" s="262">
        <v>-0.63736000000000004</v>
      </c>
      <c r="AP467" s="262">
        <v>0.19767000000000001</v>
      </c>
      <c r="AQ467" s="262">
        <v>2.7147000000000001</v>
      </c>
      <c r="AR467" s="262">
        <v>0.83030000000000004</v>
      </c>
      <c r="AS467" s="262">
        <v>2.8094800000000002</v>
      </c>
      <c r="AT467" s="262">
        <v>1.8325199999999999</v>
      </c>
      <c r="AU467" s="262">
        <f t="shared" si="220"/>
        <v>0.59269450000000001</v>
      </c>
      <c r="BY467" s="615">
        <f t="shared" si="196"/>
        <v>0.64573242284962085</v>
      </c>
    </row>
    <row r="468" spans="1:77" x14ac:dyDescent="0.2">
      <c r="A468" s="19">
        <v>41759</v>
      </c>
      <c r="B468" s="250">
        <v>0.73919999999999997</v>
      </c>
      <c r="C468" s="250">
        <v>0.30153999999999997</v>
      </c>
      <c r="D468" s="250">
        <v>1.2108000000000001</v>
      </c>
      <c r="E468" s="250">
        <v>-1.5624199999999999</v>
      </c>
      <c r="F468" s="250">
        <v>-2.8313000000000001</v>
      </c>
      <c r="G468" s="250">
        <v>-0.24590999999999999</v>
      </c>
      <c r="H468" s="250">
        <v>-3.8780800000000002</v>
      </c>
      <c r="I468" s="250">
        <v>-5.1345799999999997</v>
      </c>
      <c r="J468" s="250">
        <v>-2.5731799999999998</v>
      </c>
      <c r="K468" s="250">
        <v>-2.7910499999999998</v>
      </c>
      <c r="L468" s="250">
        <v>-3.3929399999999998</v>
      </c>
      <c r="M468" s="250">
        <v>-2.23902</v>
      </c>
      <c r="N468" s="262">
        <f t="shared" si="215"/>
        <v>-2.7910499999999998</v>
      </c>
      <c r="O468" s="262">
        <f t="shared" si="216"/>
        <v>-3.3929399999999998</v>
      </c>
      <c r="P468" s="262">
        <f t="shared" si="217"/>
        <v>-2.23902</v>
      </c>
      <c r="Q468" s="250">
        <v>-3.5281899999999999</v>
      </c>
      <c r="R468" s="250">
        <v>-2.3078099999999999</v>
      </c>
      <c r="S468" s="250">
        <v>0.12136</v>
      </c>
      <c r="T468" s="250" t="e">
        <v>#N/A</v>
      </c>
      <c r="U468" s="250">
        <v>1.02468</v>
      </c>
      <c r="V468" s="250">
        <v>-0.80620999999999998</v>
      </c>
      <c r="W468" s="250">
        <v>0.84413000000000005</v>
      </c>
      <c r="X468" s="250">
        <v>0.64844999999999997</v>
      </c>
      <c r="Y468" s="250">
        <v>0.51236999999999999</v>
      </c>
      <c r="Z468" s="250" t="e">
        <v>#N/A</v>
      </c>
      <c r="AA468" s="250">
        <v>1.4456</v>
      </c>
      <c r="AB468" s="250" t="e">
        <v>#N/A</v>
      </c>
      <c r="AC468" s="250">
        <v>2.2583299999999999</v>
      </c>
      <c r="AD468" s="250">
        <v>1.01305</v>
      </c>
      <c r="AE468" s="277">
        <f t="shared" si="218"/>
        <v>1.01305</v>
      </c>
      <c r="AF468" s="277">
        <f t="shared" si="219"/>
        <v>1.01305</v>
      </c>
      <c r="AG468" s="250">
        <v>0</v>
      </c>
      <c r="AH468" s="250">
        <v>3.53</v>
      </c>
      <c r="AI468" s="250">
        <v>0.63334999999999997</v>
      </c>
      <c r="AJ468" s="250">
        <v>1.3512599999999999</v>
      </c>
      <c r="AK468" s="250">
        <v>2.4358599999999999</v>
      </c>
      <c r="AL468" s="250">
        <v>0.33415</v>
      </c>
      <c r="AM468" s="250">
        <v>0.47065000000000001</v>
      </c>
      <c r="AN468" s="250">
        <v>1.4456</v>
      </c>
      <c r="AO468" s="250">
        <v>1.4456</v>
      </c>
      <c r="AP468" s="250">
        <v>1.1782699999999999</v>
      </c>
      <c r="AQ468" s="250">
        <v>2.5927899999999999</v>
      </c>
      <c r="AR468" s="250">
        <v>1.39499</v>
      </c>
      <c r="AS468" s="250">
        <v>0.89195000000000002</v>
      </c>
      <c r="AT468" s="250">
        <v>0.91893999999999998</v>
      </c>
      <c r="AU468" s="262">
        <f t="shared" si="220"/>
        <v>0.26910569999999995</v>
      </c>
      <c r="BY468" s="615">
        <f t="shared" si="196"/>
        <v>0.64573242284962085</v>
      </c>
    </row>
    <row r="469" spans="1:77" x14ac:dyDescent="0.2">
      <c r="A469" s="19">
        <v>41790</v>
      </c>
      <c r="B469" s="250">
        <v>2.34741</v>
      </c>
      <c r="C469" s="250">
        <v>3.3527200000000001</v>
      </c>
      <c r="D469" s="250">
        <v>1.2717499999999999</v>
      </c>
      <c r="E469" s="250">
        <v>1.7754099999999999</v>
      </c>
      <c r="F469" s="250">
        <v>1.8730500000000001</v>
      </c>
      <c r="G469" s="250">
        <v>1.67614</v>
      </c>
      <c r="H469" s="250">
        <v>0.80128999999999995</v>
      </c>
      <c r="I469" s="250">
        <v>0.96538999999999997</v>
      </c>
      <c r="J469" s="250">
        <v>0.63456000000000001</v>
      </c>
      <c r="K469" s="250">
        <v>0.26993</v>
      </c>
      <c r="L469" s="250">
        <v>-0.18792</v>
      </c>
      <c r="M469" s="250">
        <v>0.68401999999999996</v>
      </c>
      <c r="N469" s="262">
        <f t="shared" si="215"/>
        <v>0.26993</v>
      </c>
      <c r="O469" s="262">
        <f t="shared" si="216"/>
        <v>-0.18792</v>
      </c>
      <c r="P469" s="262">
        <f t="shared" si="217"/>
        <v>0.68401999999999996</v>
      </c>
      <c r="Q469" s="250">
        <v>1.3233999999999999</v>
      </c>
      <c r="R469" s="250">
        <v>1.17319</v>
      </c>
      <c r="S469" s="250">
        <v>2.18208</v>
      </c>
      <c r="T469" s="250" t="e">
        <v>#N/A</v>
      </c>
      <c r="U469" s="250">
        <v>1.9674799999999999</v>
      </c>
      <c r="V469" s="250">
        <v>1.39974</v>
      </c>
      <c r="W469" s="250">
        <v>1.1382399999999999</v>
      </c>
      <c r="X469" s="250">
        <v>0.92290000000000005</v>
      </c>
      <c r="Y469" s="250">
        <v>0.78991999999999996</v>
      </c>
      <c r="Z469" s="250">
        <v>3.49057</v>
      </c>
      <c r="AA469" s="250">
        <v>1.6240600000000001</v>
      </c>
      <c r="AB469" s="250">
        <v>3.49057</v>
      </c>
      <c r="AC469" s="250">
        <v>1.4469799999999999</v>
      </c>
      <c r="AD469" s="250">
        <v>1.6191199999999999</v>
      </c>
      <c r="AE469" s="277">
        <f t="shared" si="218"/>
        <v>1.6191199999999999</v>
      </c>
      <c r="AF469" s="277">
        <f t="shared" si="219"/>
        <v>1.6191199999999999</v>
      </c>
      <c r="AG469" s="250">
        <v>0</v>
      </c>
      <c r="AH469" s="250">
        <v>2.5299999999999998</v>
      </c>
      <c r="AI469" s="250">
        <v>0.91986999999999997</v>
      </c>
      <c r="AJ469" s="250">
        <v>2.1185100000000001</v>
      </c>
      <c r="AK469" s="250">
        <v>-2.87466</v>
      </c>
      <c r="AL469" s="250">
        <v>3.49057</v>
      </c>
      <c r="AM469" s="250">
        <v>2.29792</v>
      </c>
      <c r="AN469" s="250">
        <v>1.6240600000000001</v>
      </c>
      <c r="AO469" s="250">
        <v>1.6240600000000001</v>
      </c>
      <c r="AP469" s="250">
        <v>1.7094800000000001</v>
      </c>
      <c r="AQ469" s="250">
        <v>1.35921</v>
      </c>
      <c r="AR469" s="250">
        <v>1.15802</v>
      </c>
      <c r="AS469" s="250">
        <v>2.0792999999999999</v>
      </c>
      <c r="AT469" s="250">
        <v>2.4180899999999999</v>
      </c>
      <c r="AU469" s="262">
        <f t="shared" si="220"/>
        <v>2.0064833999999996</v>
      </c>
      <c r="BY469" s="615">
        <f t="shared" si="196"/>
        <v>0.64573242284962085</v>
      </c>
    </row>
    <row r="470" spans="1:77" x14ac:dyDescent="0.2">
      <c r="A470" s="19">
        <v>41820</v>
      </c>
      <c r="B470" s="250">
        <v>2.06575</v>
      </c>
      <c r="C470" s="250">
        <v>2.0783700000000001</v>
      </c>
      <c r="D470" s="250">
        <v>2.0524399999999998</v>
      </c>
      <c r="E470" s="250">
        <v>4.1367000000000003</v>
      </c>
      <c r="F470" s="250">
        <v>3.9479700000000002</v>
      </c>
      <c r="G470" s="250">
        <v>4.3283500000000004</v>
      </c>
      <c r="H470" s="250">
        <v>5.3207000000000004</v>
      </c>
      <c r="I470" s="250">
        <v>6.2049399999999997</v>
      </c>
      <c r="J470" s="250">
        <v>4.4242699999999999</v>
      </c>
      <c r="K470" s="250">
        <v>4.7147199999999998</v>
      </c>
      <c r="L470" s="250">
        <v>5.59964</v>
      </c>
      <c r="M470" s="250">
        <v>3.9150499999999999</v>
      </c>
      <c r="N470" s="262">
        <f t="shared" si="215"/>
        <v>4.7147199999999998</v>
      </c>
      <c r="O470" s="262">
        <f t="shared" si="216"/>
        <v>5.59964</v>
      </c>
      <c r="P470" s="262">
        <f t="shared" si="217"/>
        <v>3.9150499999999999</v>
      </c>
      <c r="Q470" s="250">
        <v>5.2664200000000001</v>
      </c>
      <c r="R470" s="250">
        <v>4.7823500000000001</v>
      </c>
      <c r="S470" s="250">
        <v>2.5082100000000001</v>
      </c>
      <c r="T470" s="250" t="e">
        <v>#N/A</v>
      </c>
      <c r="U470" s="250">
        <v>1.7889200000000001</v>
      </c>
      <c r="V470" s="250">
        <v>1.4851799999999999</v>
      </c>
      <c r="W470" s="250">
        <v>5.1659999999999998E-2</v>
      </c>
      <c r="X470" s="250">
        <v>4.616E-2</v>
      </c>
      <c r="Y470" s="250">
        <v>-7.0680000000000007E-2</v>
      </c>
      <c r="Z470" s="250" t="e">
        <v>#N/A</v>
      </c>
      <c r="AA470" s="250">
        <v>0.96418999999999999</v>
      </c>
      <c r="AB470" s="250" t="e">
        <v>#N/A</v>
      </c>
      <c r="AC470" s="250">
        <v>1.2330399999999999</v>
      </c>
      <c r="AD470" s="250">
        <v>1.16764</v>
      </c>
      <c r="AE470" s="277">
        <f t="shared" si="218"/>
        <v>1.16764</v>
      </c>
      <c r="AF470" s="277">
        <f t="shared" si="219"/>
        <v>1.16764</v>
      </c>
      <c r="AG470" s="250">
        <v>2.2895099999999999</v>
      </c>
      <c r="AH470" s="250">
        <v>1.01</v>
      </c>
      <c r="AI470" s="250">
        <v>0.83523000000000003</v>
      </c>
      <c r="AJ470" s="250">
        <v>0.29924000000000001</v>
      </c>
      <c r="AK470" s="250">
        <v>0.59633999999999998</v>
      </c>
      <c r="AL470" s="250">
        <v>2.6568800000000001</v>
      </c>
      <c r="AM470" s="250">
        <v>2.2745500000000001</v>
      </c>
      <c r="AN470" s="250">
        <v>0.96418999999999999</v>
      </c>
      <c r="AO470" s="250">
        <v>0.96418999999999999</v>
      </c>
      <c r="AP470" s="250">
        <v>1.17</v>
      </c>
      <c r="AQ470" s="250">
        <v>1.7653700000000001</v>
      </c>
      <c r="AR470" s="250">
        <v>1.3125800000000001</v>
      </c>
      <c r="AS470" s="250">
        <v>1.0019800000000001</v>
      </c>
      <c r="AT470" s="250">
        <v>0.76583999999999997</v>
      </c>
      <c r="AU470" s="262">
        <f t="shared" si="220"/>
        <v>2.2511486000000001</v>
      </c>
      <c r="BY470" s="615">
        <f t="shared" si="196"/>
        <v>0.64573242284962085</v>
      </c>
    </row>
    <row r="471" spans="1:77" x14ac:dyDescent="0.2">
      <c r="A471" s="19">
        <v>41851</v>
      </c>
      <c r="B471" s="250">
        <v>-1.3790899999999999</v>
      </c>
      <c r="C471" s="250">
        <v>-1.2446999999999999</v>
      </c>
      <c r="D471" s="250">
        <v>-1.5263</v>
      </c>
      <c r="E471" s="250">
        <v>-4.2742599999999999</v>
      </c>
      <c r="F471" s="250">
        <v>-4.2055800000000003</v>
      </c>
      <c r="G471" s="250">
        <v>-4.3445400000000003</v>
      </c>
      <c r="H471" s="250">
        <v>-6.0529000000000002</v>
      </c>
      <c r="I471" s="250">
        <v>-6.0574599999999998</v>
      </c>
      <c r="J471" s="250">
        <v>-6.0474800000000002</v>
      </c>
      <c r="K471" s="250">
        <v>-5.4946599999999997</v>
      </c>
      <c r="L471" s="250">
        <v>-5.9889599999999996</v>
      </c>
      <c r="M471" s="250">
        <v>-5.0464599999999997</v>
      </c>
      <c r="N471" s="262">
        <f t="shared" si="215"/>
        <v>-5.4946599999999997</v>
      </c>
      <c r="O471" s="262">
        <f t="shared" si="216"/>
        <v>-5.9889599999999996</v>
      </c>
      <c r="P471" s="262">
        <f t="shared" si="217"/>
        <v>-5.0464599999999997</v>
      </c>
      <c r="Q471" s="250">
        <v>-5.0296900000000004</v>
      </c>
      <c r="R471" s="250">
        <v>-4.9185999999999996</v>
      </c>
      <c r="S471" s="250">
        <v>-1.9727300000000001</v>
      </c>
      <c r="T471" s="250" t="e">
        <v>#N/A</v>
      </c>
      <c r="U471" s="250">
        <v>-1.5972200000000001</v>
      </c>
      <c r="V471" s="250">
        <v>-2.3511199999999999</v>
      </c>
      <c r="W471" s="250">
        <v>-0.25086000000000003</v>
      </c>
      <c r="X471" s="250">
        <v>-0.34143000000000001</v>
      </c>
      <c r="Y471" s="250">
        <v>-0.21879000000000001</v>
      </c>
      <c r="Z471" s="250" t="e">
        <v>#N/A</v>
      </c>
      <c r="AA471" s="250">
        <v>-1.96529</v>
      </c>
      <c r="AB471" s="250" t="e">
        <v>#N/A</v>
      </c>
      <c r="AC471" s="250">
        <v>-1.6343799999999999</v>
      </c>
      <c r="AD471" s="250">
        <v>-1.35392</v>
      </c>
      <c r="AE471" s="277">
        <f t="shared" si="218"/>
        <v>-1.35392</v>
      </c>
      <c r="AF471" s="277">
        <f t="shared" si="219"/>
        <v>-1.35392</v>
      </c>
      <c r="AG471" s="250">
        <v>0</v>
      </c>
      <c r="AH471" s="250">
        <v>0.06</v>
      </c>
      <c r="AI471" s="250">
        <v>-1.33341</v>
      </c>
      <c r="AJ471" s="250">
        <v>2.887E-2</v>
      </c>
      <c r="AK471" s="250">
        <v>-4.9835500000000001</v>
      </c>
      <c r="AL471" s="250">
        <v>1.93357</v>
      </c>
      <c r="AM471" s="250">
        <v>-1.6170100000000001</v>
      </c>
      <c r="AN471" s="250">
        <v>-1.96529</v>
      </c>
      <c r="AO471" s="250">
        <v>-1.96529</v>
      </c>
      <c r="AP471" s="250">
        <v>-1.2640800000000001</v>
      </c>
      <c r="AQ471" s="250">
        <v>-1.61819</v>
      </c>
      <c r="AR471" s="250">
        <v>-1.5151699999999999</v>
      </c>
      <c r="AS471" s="250">
        <v>-1.0591900000000001</v>
      </c>
      <c r="AT471" s="250">
        <v>-0.51722000000000001</v>
      </c>
      <c r="AU471" s="262">
        <f t="shared" si="220"/>
        <v>-1.8408154999999999</v>
      </c>
      <c r="BY471" s="615">
        <f t="shared" si="196"/>
        <v>0.64573242284962085</v>
      </c>
    </row>
    <row r="472" spans="1:77" x14ac:dyDescent="0.2">
      <c r="A472" s="19">
        <v>41882</v>
      </c>
      <c r="B472" s="250">
        <f>VLOOKUP(B1,'SS data PRELIM'!$A$4:$G$125,7,FALSE)</f>
        <v>4.0004999999999997</v>
      </c>
      <c r="C472" s="250">
        <f>VLOOKUP(C1,'SS data PRELIM'!$A$4:$G$125,7,FALSE)</f>
        <v>4.3497000000000003</v>
      </c>
      <c r="D472" s="250">
        <f>VLOOKUP(D1,'SS data PRELIM'!$A$4:$G$125,7,FALSE)</f>
        <v>3.61626</v>
      </c>
      <c r="E472" s="250">
        <f>VLOOKUP(E1,'SS data PRELIM'!$A$4:$G$125,7,FALSE)</f>
        <v>5.0829000000000004</v>
      </c>
      <c r="F472" s="250">
        <f>VLOOKUP(F1,'SS data PRELIM'!$A$4:$G$125,7,FALSE)</f>
        <v>4.89236</v>
      </c>
      <c r="G472" s="250">
        <f>VLOOKUP(G1,'SS data PRELIM'!$A$4:$G$125,7,FALSE)</f>
        <v>5.27529</v>
      </c>
      <c r="H472" s="250">
        <f>VLOOKUP(H1,'SS data PRELIM'!$A$4:$G$125,7,FALSE)</f>
        <v>4.9585600000000003</v>
      </c>
      <c r="I472" s="250">
        <f>VLOOKUP(I1,'SS data PRELIM'!$A$4:$G$125,7,FALSE)</f>
        <v>5.5769599999999997</v>
      </c>
      <c r="J472" s="250">
        <f>VLOOKUP(J1,'SS data PRELIM'!$A$4:$G$125,7,FALSE)</f>
        <v>4.3466800000000001</v>
      </c>
      <c r="K472" s="250">
        <f>VLOOKUP(K1,'SS data PRELIM'!$A$4:$G$125,7,FALSE)</f>
        <v>4.2949799999999998</v>
      </c>
      <c r="L472" s="250">
        <f>VLOOKUP(L1,'SS data PRELIM'!$A$4:$G$125,7,FALSE)</f>
        <v>4.0848599999999999</v>
      </c>
      <c r="M472" s="250">
        <f>VLOOKUP(M1,'SS data PRELIM'!$A$4:$G$125,7,FALSE)</f>
        <v>4.4784600000000001</v>
      </c>
      <c r="N472" s="262">
        <f t="shared" si="215"/>
        <v>4.2949799999999998</v>
      </c>
      <c r="O472" s="262">
        <f t="shared" si="216"/>
        <v>4.0848599999999999</v>
      </c>
      <c r="P472" s="262">
        <f t="shared" si="217"/>
        <v>4.4784600000000001</v>
      </c>
      <c r="Q472" s="250">
        <f>VLOOKUP(Q1,'SS data PRELIM'!$A$4:$G$125,7,FALSE)</f>
        <v>5.4948499999999996</v>
      </c>
      <c r="R472" s="250">
        <f>VLOOKUP(R1,'SS data PRELIM'!$A$4:$G$125,7,FALSE)</f>
        <v>4.9397099999999998</v>
      </c>
      <c r="S472" s="250">
        <f>VLOOKUP(S1,'SS data PRELIM'!$A$4:$G$125,7,FALSE)</f>
        <v>4.1954599999999997</v>
      </c>
      <c r="T472" s="250" t="e">
        <f>VLOOKUP(T1,'SS data PRELIM'!$A$4:$G$125,7,FALSE)</f>
        <v>#N/A</v>
      </c>
      <c r="U472" s="250">
        <f>VLOOKUP(U1,'SS data PRELIM'!$A$4:$G$125,7,FALSE)</f>
        <v>2.2035200000000001</v>
      </c>
      <c r="V472" s="250">
        <f>VLOOKUP(V1,'SS data PRELIM'!$A$4:$G$125,7,FALSE)</f>
        <v>-0.17679</v>
      </c>
      <c r="W472" s="250">
        <f>VLOOKUP(W1,'SS data PRELIM'!$A$4:$G$125,7,FALSE)</f>
        <v>1.1040300000000001</v>
      </c>
      <c r="X472" s="250">
        <f>VLOOKUP(X1,'SS data PRELIM'!$A$4:$G$125,7,FALSE)</f>
        <v>0.77103999999999995</v>
      </c>
      <c r="Y472" s="250">
        <f>VLOOKUP(Y1,'SS data PRELIM'!$A$4:$G$125,7,FALSE)</f>
        <v>0.69833999999999996</v>
      </c>
      <c r="Z472" s="250" t="e">
        <f>VLOOKUP(Z1,'SS data PRELIM'!$A$4:$G$125,7,FALSE)</f>
        <v>#N/A</v>
      </c>
      <c r="AA472" s="250">
        <f>VLOOKUP(AA1,'SS data PRELIM'!$A$4:$G$125,7,FALSE)</f>
        <v>-0.15382000000000001</v>
      </c>
      <c r="AB472" s="250" t="e">
        <f>VLOOKUP(AB1,'SS data PRELIM'!$A$4:$G$125,7,FALSE)</f>
        <v>#N/A</v>
      </c>
      <c r="AC472" s="250">
        <f>VLOOKUP(AC1,'SS data PRELIM'!$A$4:$G$125,7,FALSE)</f>
        <v>-0.52720999999999996</v>
      </c>
      <c r="AD472" s="250">
        <f>VLOOKUP(AD1,'SS data PRELIM'!$A$4:$G$125,7,FALSE)</f>
        <v>1.9490799999999999</v>
      </c>
      <c r="AE472" s="277">
        <f t="shared" si="218"/>
        <v>1.9490799999999999</v>
      </c>
      <c r="AF472" s="277">
        <f t="shared" si="219"/>
        <v>1.9490799999999999</v>
      </c>
      <c r="AG472" s="250">
        <f>VLOOKUP(AG1,'SS data PRELIM'!$A$4:$G$125,7,FALSE)</f>
        <v>0</v>
      </c>
      <c r="AH472" s="250">
        <f>VLOOKUP(AH1,'SS data PRELIM'!$A$4:$G$125,7,FALSE)</f>
        <v>2.87</v>
      </c>
      <c r="AI472" s="250">
        <f>VLOOKUP(AI1,'SS data PRELIM'!$A$4:$G$125,7,FALSE)</f>
        <v>1.5851900000000001</v>
      </c>
      <c r="AJ472" s="250">
        <f>VLOOKUP(AJ1,'SS data PRELIM'!$A$4:$G$125,7,FALSE)</f>
        <v>0.43744</v>
      </c>
      <c r="AK472" s="250">
        <f>VLOOKUP(AK1,'SS data PRELIM'!$A$4:$G$125,7,FALSE)</f>
        <v>-1.04514</v>
      </c>
      <c r="AL472" s="250">
        <f>VLOOKUP(AL1,'SS data PRELIM'!$A$4:$G$125,7,FALSE)</f>
        <v>2.25352</v>
      </c>
      <c r="AM472" s="250">
        <f>VLOOKUP(AM1,'SS data PRELIM'!$A$4:$G$125,7,FALSE)</f>
        <v>4.1319999999999997</v>
      </c>
      <c r="AN472" s="250">
        <f>VLOOKUP(AN1,'SS data PRELIM'!$A$4:$G$125,7,FALSE)</f>
        <v>-0.15382000000000001</v>
      </c>
      <c r="AO472" s="250">
        <f>VLOOKUP(AO1,'SS data PRELIM'!$A$4:$G$125,7,FALSE)</f>
        <v>-0.15382000000000001</v>
      </c>
      <c r="AP472" s="250">
        <f>VLOOKUP(AP1,'SS data PRELIM'!$A$4:$G$125,7,FALSE)</f>
        <v>2.0604399999999998</v>
      </c>
      <c r="AQ472" s="250">
        <f>VLOOKUP(AQ1,'SS data PRELIM'!$A$4:$G$125,7,FALSE)</f>
        <v>3.7995100000000002</v>
      </c>
      <c r="AR472" s="250">
        <f>VLOOKUP(AR1,'SS data PRELIM'!$A$4:$G$125,7,FALSE)</f>
        <v>4.06792</v>
      </c>
      <c r="AS472" s="250">
        <f>VLOOKUP(AS1,'SS data PRELIM'!$A$4:$G$125,7,FALSE)</f>
        <v>0.48004999999999998</v>
      </c>
      <c r="AT472" s="250">
        <f>VLOOKUP(AT1,'SS data PRELIM'!$A$4:$G$125,7,FALSE)</f>
        <v>0.70918999999999999</v>
      </c>
      <c r="AU472" s="262">
        <f t="shared" si="220"/>
        <v>2.6848068999999994</v>
      </c>
    </row>
    <row r="473" spans="1:77" x14ac:dyDescent="0.2">
      <c r="A473" s="19">
        <v>41912</v>
      </c>
      <c r="C473" s="262"/>
      <c r="G473" s="262"/>
      <c r="N473" s="262" t="str">
        <f t="shared" si="215"/>
        <v/>
      </c>
      <c r="O473" s="262" t="str">
        <f t="shared" si="216"/>
        <v/>
      </c>
      <c r="P473" s="262" t="str">
        <f t="shared" si="217"/>
        <v/>
      </c>
      <c r="AE473" s="277" t="str">
        <f t="shared" si="218"/>
        <v/>
      </c>
      <c r="AF473" s="277" t="str">
        <f t="shared" si="219"/>
        <v/>
      </c>
      <c r="AL473" s="262"/>
      <c r="AU473" s="262" t="str">
        <f t="shared" si="220"/>
        <v/>
      </c>
    </row>
    <row r="474" spans="1:77" x14ac:dyDescent="0.2">
      <c r="A474" s="19">
        <v>41943</v>
      </c>
      <c r="C474" s="262"/>
      <c r="G474" s="262"/>
      <c r="N474" s="262" t="str">
        <f t="shared" si="215"/>
        <v/>
      </c>
      <c r="O474" s="262" t="str">
        <f t="shared" si="216"/>
        <v/>
      </c>
      <c r="P474" s="262" t="str">
        <f t="shared" si="217"/>
        <v/>
      </c>
      <c r="AE474" s="277" t="str">
        <f t="shared" si="218"/>
        <v/>
      </c>
      <c r="AF474" s="277" t="str">
        <f t="shared" si="219"/>
        <v/>
      </c>
      <c r="AL474" s="262"/>
      <c r="AU474" s="262" t="str">
        <f t="shared" si="220"/>
        <v/>
      </c>
    </row>
    <row r="475" spans="1:77" x14ac:dyDescent="0.2">
      <c r="A475" s="19">
        <v>41973</v>
      </c>
      <c r="C475" s="262"/>
      <c r="G475" s="262"/>
      <c r="N475" s="262" t="str">
        <f t="shared" si="215"/>
        <v/>
      </c>
      <c r="O475" s="262" t="str">
        <f t="shared" si="216"/>
        <v/>
      </c>
      <c r="P475" s="262" t="str">
        <f t="shared" si="217"/>
        <v/>
      </c>
      <c r="AE475" s="277" t="str">
        <f t="shared" si="218"/>
        <v/>
      </c>
      <c r="AF475" s="277" t="str">
        <f t="shared" si="219"/>
        <v/>
      </c>
      <c r="AL475" s="262"/>
      <c r="AU475" s="262" t="str">
        <f t="shared" si="220"/>
        <v/>
      </c>
    </row>
    <row r="476" spans="1:77" x14ac:dyDescent="0.2">
      <c r="A476" s="19">
        <v>42004</v>
      </c>
      <c r="C476" s="262"/>
      <c r="G476" s="262"/>
      <c r="N476" s="262" t="str">
        <f t="shared" si="215"/>
        <v/>
      </c>
      <c r="O476" s="262" t="str">
        <f t="shared" si="216"/>
        <v/>
      </c>
      <c r="P476" s="262" t="str">
        <f t="shared" si="217"/>
        <v/>
      </c>
      <c r="AE476" s="277" t="str">
        <f t="shared" si="218"/>
        <v/>
      </c>
      <c r="AF476" s="277" t="str">
        <f t="shared" si="219"/>
        <v/>
      </c>
      <c r="AL476" s="262"/>
      <c r="AU476" s="262" t="str">
        <f t="shared" si="220"/>
        <v/>
      </c>
    </row>
    <row r="477" spans="1:77" x14ac:dyDescent="0.2">
      <c r="C477" s="262"/>
      <c r="G477" s="262"/>
      <c r="AE477" s="262"/>
      <c r="AL477" s="262"/>
      <c r="AU477" s="262" t="str">
        <f t="shared" si="220"/>
        <v/>
      </c>
      <c r="BY477" s="615">
        <f t="array" ref="BY477">(GEOMEAN(BY412:BY471/100+1)^12-1)*100</f>
        <v>8.7349682154424393</v>
      </c>
    </row>
    <row r="478" spans="1:77" x14ac:dyDescent="0.2">
      <c r="C478" s="262"/>
      <c r="G478" s="262"/>
      <c r="AE478" s="262"/>
      <c r="AL478" s="262"/>
      <c r="BY478" s="1465" t="s">
        <v>713</v>
      </c>
    </row>
    <row r="479" spans="1:77" x14ac:dyDescent="0.2">
      <c r="C479" s="262"/>
      <c r="G479" s="262"/>
      <c r="AE479" s="262"/>
      <c r="AL479" s="262"/>
    </row>
    <row r="480" spans="1:77" x14ac:dyDescent="0.2">
      <c r="C480" s="262"/>
      <c r="G480" s="262"/>
      <c r="AE480" s="262"/>
      <c r="AL480" s="262"/>
    </row>
    <row r="481" spans="3:38" x14ac:dyDescent="0.2">
      <c r="C481" s="262"/>
      <c r="G481" s="262"/>
      <c r="AE481" s="262"/>
      <c r="AL481" s="262"/>
    </row>
    <row r="482" spans="3:38" x14ac:dyDescent="0.2">
      <c r="C482" s="262"/>
      <c r="G482" s="262"/>
      <c r="AE482" s="262"/>
      <c r="AL482" s="262"/>
    </row>
    <row r="483" spans="3:38" x14ac:dyDescent="0.2">
      <c r="C483" s="262"/>
      <c r="G483" s="262"/>
      <c r="AE483" s="262"/>
      <c r="AL483" s="262"/>
    </row>
    <row r="484" spans="3:38" x14ac:dyDescent="0.2">
      <c r="C484" s="262"/>
      <c r="G484" s="262"/>
      <c r="AE484" s="262"/>
      <c r="AL484" s="262"/>
    </row>
    <row r="485" spans="3:38" x14ac:dyDescent="0.2">
      <c r="C485" s="262"/>
      <c r="G485" s="262"/>
      <c r="AE485" s="262"/>
    </row>
    <row r="486" spans="3:38" x14ac:dyDescent="0.2">
      <c r="C486" s="262"/>
      <c r="G486" s="262"/>
      <c r="AE486" s="262"/>
    </row>
    <row r="487" spans="3:38" x14ac:dyDescent="0.2">
      <c r="C487" s="262"/>
      <c r="G487" s="262"/>
      <c r="AE487" s="262"/>
    </row>
    <row r="488" spans="3:38" x14ac:dyDescent="0.2">
      <c r="C488" s="262"/>
      <c r="G488" s="262"/>
      <c r="AE488" s="262"/>
    </row>
    <row r="489" spans="3:38" x14ac:dyDescent="0.2">
      <c r="C489" s="262"/>
      <c r="G489" s="262"/>
      <c r="AE489" s="262"/>
    </row>
    <row r="490" spans="3:38" x14ac:dyDescent="0.2">
      <c r="C490" s="262"/>
      <c r="G490" s="262"/>
      <c r="AE490" s="262"/>
    </row>
    <row r="491" spans="3:38" x14ac:dyDescent="0.2">
      <c r="C491" s="262"/>
      <c r="G491" s="262"/>
      <c r="AE491" s="262"/>
    </row>
    <row r="492" spans="3:38" x14ac:dyDescent="0.2">
      <c r="C492" s="262"/>
      <c r="G492" s="262"/>
      <c r="AE492" s="262"/>
    </row>
    <row r="493" spans="3:38" x14ac:dyDescent="0.2">
      <c r="C493" s="262"/>
      <c r="G493" s="262"/>
      <c r="AE493" s="262"/>
    </row>
    <row r="494" spans="3:38" x14ac:dyDescent="0.2">
      <c r="C494" s="262"/>
      <c r="G494" s="262"/>
      <c r="AE494" s="262"/>
    </row>
    <row r="495" spans="3:38" x14ac:dyDescent="0.2">
      <c r="C495" s="262"/>
      <c r="G495" s="262"/>
      <c r="AE495" s="262"/>
    </row>
    <row r="496" spans="3:38" x14ac:dyDescent="0.2">
      <c r="C496" s="262"/>
      <c r="G496" s="262"/>
      <c r="AE496" s="262"/>
    </row>
    <row r="497" spans="3:31" x14ac:dyDescent="0.2">
      <c r="C497" s="262"/>
      <c r="G497" s="262"/>
      <c r="AE497" s="262"/>
    </row>
    <row r="498" spans="3:31" x14ac:dyDescent="0.2">
      <c r="C498" s="262"/>
      <c r="G498" s="262"/>
      <c r="AE498" s="262"/>
    </row>
    <row r="499" spans="3:31" x14ac:dyDescent="0.2">
      <c r="C499" s="262"/>
      <c r="G499" s="262"/>
      <c r="AE499" s="262"/>
    </row>
    <row r="500" spans="3:31" x14ac:dyDescent="0.2">
      <c r="C500" s="262"/>
      <c r="G500" s="262"/>
      <c r="AE500" s="262"/>
    </row>
    <row r="501" spans="3:31" x14ac:dyDescent="0.2">
      <c r="C501" s="262"/>
      <c r="G501" s="262"/>
      <c r="AE501" s="262"/>
    </row>
    <row r="502" spans="3:31" x14ac:dyDescent="0.2">
      <c r="C502" s="262"/>
      <c r="G502" s="262"/>
      <c r="AE502" s="262"/>
    </row>
    <row r="503" spans="3:31" x14ac:dyDescent="0.2">
      <c r="C503" s="262"/>
      <c r="G503" s="262"/>
      <c r="AE503" s="262"/>
    </row>
    <row r="504" spans="3:31" x14ac:dyDescent="0.2">
      <c r="C504" s="262"/>
      <c r="G504" s="262"/>
      <c r="AE504" s="262"/>
    </row>
    <row r="505" spans="3:31" x14ac:dyDescent="0.2">
      <c r="C505" s="262"/>
      <c r="G505" s="262"/>
      <c r="AE505" s="262"/>
    </row>
    <row r="506" spans="3:31" x14ac:dyDescent="0.2">
      <c r="C506" s="262"/>
      <c r="G506" s="262"/>
      <c r="AE506" s="262"/>
    </row>
    <row r="507" spans="3:31" x14ac:dyDescent="0.2">
      <c r="C507" s="262"/>
      <c r="G507" s="262"/>
      <c r="AE507" s="262"/>
    </row>
    <row r="508" spans="3:31" x14ac:dyDescent="0.2">
      <c r="C508" s="262"/>
      <c r="G508" s="262"/>
      <c r="AE508" s="262"/>
    </row>
    <row r="509" spans="3:31" x14ac:dyDescent="0.2">
      <c r="C509" s="262"/>
      <c r="G509" s="262"/>
      <c r="AE509" s="262"/>
    </row>
    <row r="510" spans="3:31" x14ac:dyDescent="0.2">
      <c r="C510" s="262"/>
      <c r="G510" s="262"/>
      <c r="AE510" s="262"/>
    </row>
    <row r="511" spans="3:31" x14ac:dyDescent="0.2">
      <c r="C511" s="262"/>
      <c r="G511" s="262"/>
      <c r="AE511" s="262"/>
    </row>
    <row r="512" spans="3:31" x14ac:dyDescent="0.2">
      <c r="C512" s="262"/>
      <c r="G512" s="262"/>
      <c r="AE512" s="262"/>
    </row>
    <row r="513" spans="3:31" x14ac:dyDescent="0.2">
      <c r="C513" s="262"/>
      <c r="G513" s="262"/>
      <c r="AE513" s="262"/>
    </row>
    <row r="514" spans="3:31" x14ac:dyDescent="0.2">
      <c r="C514" s="262"/>
      <c r="G514" s="262"/>
      <c r="AE514" s="262"/>
    </row>
    <row r="515" spans="3:31" x14ac:dyDescent="0.2">
      <c r="C515" s="262"/>
      <c r="G515" s="262"/>
      <c r="AE515" s="262"/>
    </row>
    <row r="516" spans="3:31" x14ac:dyDescent="0.2">
      <c r="C516" s="262"/>
      <c r="G516" s="262"/>
      <c r="AE516" s="262"/>
    </row>
    <row r="517" spans="3:31" x14ac:dyDescent="0.2">
      <c r="C517" s="262"/>
      <c r="G517" s="262"/>
      <c r="AE517" s="262"/>
    </row>
    <row r="518" spans="3:31" x14ac:dyDescent="0.2">
      <c r="C518" s="262"/>
      <c r="G518" s="262"/>
      <c r="AE518" s="262"/>
    </row>
    <row r="519" spans="3:31" x14ac:dyDescent="0.2">
      <c r="C519" s="262"/>
      <c r="G519" s="262"/>
      <c r="AE519" s="262"/>
    </row>
    <row r="520" spans="3:31" x14ac:dyDescent="0.2">
      <c r="C520" s="262"/>
      <c r="G520" s="262"/>
      <c r="AE520" s="262"/>
    </row>
    <row r="521" spans="3:31" x14ac:dyDescent="0.2">
      <c r="C521" s="262"/>
      <c r="G521" s="262"/>
      <c r="AE521" s="262"/>
    </row>
    <row r="522" spans="3:31" x14ac:dyDescent="0.2">
      <c r="C522" s="262"/>
      <c r="G522" s="262"/>
      <c r="AE522" s="262"/>
    </row>
    <row r="523" spans="3:31" x14ac:dyDescent="0.2">
      <c r="C523" s="262"/>
      <c r="G523" s="262"/>
      <c r="AE523" s="262"/>
    </row>
    <row r="524" spans="3:31" x14ac:dyDescent="0.2">
      <c r="C524" s="262"/>
      <c r="G524" s="262"/>
      <c r="AE524" s="262"/>
    </row>
    <row r="525" spans="3:31" x14ac:dyDescent="0.2">
      <c r="C525" s="262"/>
      <c r="G525" s="262"/>
      <c r="AE525" s="262"/>
    </row>
    <row r="526" spans="3:31" x14ac:dyDescent="0.2">
      <c r="C526" s="262"/>
      <c r="G526" s="262"/>
      <c r="AE526" s="262"/>
    </row>
    <row r="527" spans="3:31" x14ac:dyDescent="0.2">
      <c r="C527" s="262"/>
      <c r="G527" s="262"/>
      <c r="AE527" s="262"/>
    </row>
    <row r="528" spans="3:31" x14ac:dyDescent="0.2">
      <c r="C528" s="262"/>
      <c r="G528" s="262"/>
      <c r="AE528" s="262"/>
    </row>
    <row r="529" spans="3:31" x14ac:dyDescent="0.2">
      <c r="C529" s="262"/>
      <c r="G529" s="262"/>
      <c r="AE529" s="262"/>
    </row>
    <row r="530" spans="3:31" x14ac:dyDescent="0.2">
      <c r="C530" s="262"/>
      <c r="G530" s="262"/>
      <c r="AE530" s="262"/>
    </row>
    <row r="531" spans="3:31" x14ac:dyDescent="0.2">
      <c r="C531" s="262"/>
      <c r="G531" s="262"/>
      <c r="AE531" s="262"/>
    </row>
    <row r="532" spans="3:31" x14ac:dyDescent="0.2">
      <c r="C532" s="262"/>
      <c r="G532" s="262"/>
      <c r="AE532" s="262"/>
    </row>
    <row r="533" spans="3:31" x14ac:dyDescent="0.2">
      <c r="C533" s="262"/>
      <c r="G533" s="262"/>
      <c r="AE533" s="262"/>
    </row>
    <row r="534" spans="3:31" x14ac:dyDescent="0.2">
      <c r="C534" s="262"/>
      <c r="G534" s="262"/>
      <c r="AE534" s="262"/>
    </row>
    <row r="535" spans="3:31" x14ac:dyDescent="0.2">
      <c r="C535" s="262"/>
      <c r="G535" s="262"/>
      <c r="AE535" s="262"/>
    </row>
    <row r="536" spans="3:31" x14ac:dyDescent="0.2">
      <c r="C536" s="262"/>
      <c r="G536" s="262"/>
      <c r="AE536" s="262"/>
    </row>
    <row r="537" spans="3:31" x14ac:dyDescent="0.2">
      <c r="C537" s="262"/>
      <c r="G537" s="262"/>
    </row>
    <row r="538" spans="3:31" x14ac:dyDescent="0.2">
      <c r="C538" s="262"/>
      <c r="G538" s="262"/>
    </row>
    <row r="539" spans="3:31" x14ac:dyDescent="0.2">
      <c r="C539" s="262"/>
      <c r="G539" s="262"/>
    </row>
    <row r="540" spans="3:31" x14ac:dyDescent="0.2">
      <c r="C540" s="262"/>
      <c r="G540" s="262"/>
    </row>
    <row r="541" spans="3:31" x14ac:dyDescent="0.2">
      <c r="C541" s="262"/>
      <c r="G541" s="262"/>
    </row>
    <row r="542" spans="3:31" x14ac:dyDescent="0.2">
      <c r="C542" s="262"/>
      <c r="G542" s="262"/>
    </row>
    <row r="543" spans="3:31" x14ac:dyDescent="0.2">
      <c r="C543" s="262"/>
      <c r="G543" s="262"/>
    </row>
    <row r="544" spans="3:31" x14ac:dyDescent="0.2">
      <c r="C544" s="262"/>
      <c r="G544" s="262"/>
    </row>
    <row r="545" spans="3:7" x14ac:dyDescent="0.2">
      <c r="C545" s="262"/>
      <c r="G545" s="262"/>
    </row>
    <row r="546" spans="3:7" x14ac:dyDescent="0.2">
      <c r="C546" s="262"/>
      <c r="G546" s="262"/>
    </row>
    <row r="547" spans="3:7" x14ac:dyDescent="0.2">
      <c r="C547" s="262"/>
      <c r="G547" s="262"/>
    </row>
    <row r="548" spans="3:7" x14ac:dyDescent="0.2">
      <c r="C548" s="262"/>
      <c r="G548" s="262"/>
    </row>
    <row r="549" spans="3:7" x14ac:dyDescent="0.2">
      <c r="C549" s="262"/>
      <c r="G549" s="262"/>
    </row>
    <row r="550" spans="3:7" x14ac:dyDescent="0.2">
      <c r="C550" s="262"/>
      <c r="G550" s="262"/>
    </row>
    <row r="551" spans="3:7" x14ac:dyDescent="0.2">
      <c r="C551" s="262"/>
      <c r="G551" s="262"/>
    </row>
    <row r="552" spans="3:7" x14ac:dyDescent="0.2">
      <c r="C552" s="262"/>
      <c r="G552" s="262"/>
    </row>
    <row r="553" spans="3:7" x14ac:dyDescent="0.2">
      <c r="C553" s="262"/>
      <c r="G553" s="262"/>
    </row>
    <row r="554" spans="3:7" x14ac:dyDescent="0.2">
      <c r="C554" s="262"/>
      <c r="G554" s="262"/>
    </row>
    <row r="555" spans="3:7" x14ac:dyDescent="0.2">
      <c r="C555" s="262"/>
      <c r="G555" s="262"/>
    </row>
    <row r="556" spans="3:7" x14ac:dyDescent="0.2">
      <c r="C556" s="262"/>
      <c r="G556" s="262"/>
    </row>
    <row r="557" spans="3:7" x14ac:dyDescent="0.2">
      <c r="C557" s="262"/>
      <c r="G557" s="262"/>
    </row>
    <row r="558" spans="3:7" x14ac:dyDescent="0.2">
      <c r="C558" s="262"/>
      <c r="G558" s="262"/>
    </row>
    <row r="559" spans="3:7" x14ac:dyDescent="0.2">
      <c r="C559" s="262"/>
      <c r="G559" s="262"/>
    </row>
    <row r="560" spans="3:7" x14ac:dyDescent="0.2">
      <c r="C560" s="262"/>
      <c r="G560" s="262"/>
    </row>
    <row r="561" spans="3:7" x14ac:dyDescent="0.2">
      <c r="C561" s="262"/>
      <c r="G561" s="262"/>
    </row>
    <row r="562" spans="3:7" x14ac:dyDescent="0.2">
      <c r="C562" s="262"/>
      <c r="G562" s="262"/>
    </row>
    <row r="563" spans="3:7" x14ac:dyDescent="0.2">
      <c r="C563" s="262"/>
      <c r="G563" s="262"/>
    </row>
    <row r="564" spans="3:7" x14ac:dyDescent="0.2">
      <c r="C564" s="262"/>
    </row>
    <row r="565" spans="3:7" x14ac:dyDescent="0.2">
      <c r="C565" s="262"/>
    </row>
    <row r="566" spans="3:7" x14ac:dyDescent="0.2">
      <c r="C566" s="262"/>
    </row>
    <row r="567" spans="3:7" x14ac:dyDescent="0.2">
      <c r="C567" s="262"/>
    </row>
    <row r="568" spans="3:7" x14ac:dyDescent="0.2">
      <c r="C568" s="262"/>
    </row>
    <row r="569" spans="3:7" x14ac:dyDescent="0.2">
      <c r="C569" s="262"/>
    </row>
    <row r="570" spans="3:7" x14ac:dyDescent="0.2">
      <c r="C570" s="262"/>
    </row>
    <row r="571" spans="3:7" x14ac:dyDescent="0.2">
      <c r="C571" s="262"/>
    </row>
    <row r="572" spans="3:7" x14ac:dyDescent="0.2">
      <c r="C572" s="262"/>
    </row>
    <row r="573" spans="3:7" x14ac:dyDescent="0.2">
      <c r="C573" s="262"/>
    </row>
    <row r="574" spans="3:7" x14ac:dyDescent="0.2">
      <c r="C574" s="262"/>
    </row>
    <row r="575" spans="3:7" x14ac:dyDescent="0.2">
      <c r="C575" s="262"/>
    </row>
    <row r="576" spans="3:7" x14ac:dyDescent="0.2">
      <c r="C576" s="262"/>
    </row>
    <row r="577" spans="3:3" x14ac:dyDescent="0.2">
      <c r="C577" s="262"/>
    </row>
    <row r="578" spans="3:3" x14ac:dyDescent="0.2">
      <c r="C578" s="262"/>
    </row>
    <row r="579" spans="3:3" x14ac:dyDescent="0.2">
      <c r="C579" s="262"/>
    </row>
    <row r="580" spans="3:3" x14ac:dyDescent="0.2">
      <c r="C580" s="262"/>
    </row>
    <row r="581" spans="3:3" x14ac:dyDescent="0.2">
      <c r="C581" s="262"/>
    </row>
    <row r="582" spans="3:3" x14ac:dyDescent="0.2">
      <c r="C582" s="262"/>
    </row>
    <row r="583" spans="3:3" x14ac:dyDescent="0.2">
      <c r="C583" s="262"/>
    </row>
    <row r="584" spans="3:3" x14ac:dyDescent="0.2">
      <c r="C584" s="262"/>
    </row>
    <row r="585" spans="3:3" x14ac:dyDescent="0.2">
      <c r="C585" s="262"/>
    </row>
    <row r="586" spans="3:3" x14ac:dyDescent="0.2">
      <c r="C586" s="262"/>
    </row>
    <row r="587" spans="3:3" x14ac:dyDescent="0.2">
      <c r="C587" s="262"/>
    </row>
    <row r="588" spans="3:3" x14ac:dyDescent="0.2">
      <c r="C588" s="262"/>
    </row>
    <row r="589" spans="3:3" x14ac:dyDescent="0.2">
      <c r="C589" s="262"/>
    </row>
    <row r="590" spans="3:3" x14ac:dyDescent="0.2">
      <c r="C590" s="262"/>
    </row>
    <row r="591" spans="3:3" x14ac:dyDescent="0.2">
      <c r="C591" s="262"/>
    </row>
    <row r="592" spans="3:3" x14ac:dyDescent="0.2">
      <c r="C592" s="262"/>
    </row>
    <row r="593" spans="3:3" x14ac:dyDescent="0.2">
      <c r="C593" s="262"/>
    </row>
    <row r="594" spans="3:3" x14ac:dyDescent="0.2">
      <c r="C594" s="262"/>
    </row>
    <row r="595" spans="3:3" x14ac:dyDescent="0.2">
      <c r="C595" s="262"/>
    </row>
    <row r="596" spans="3:3" x14ac:dyDescent="0.2">
      <c r="C596" s="262"/>
    </row>
    <row r="597" spans="3:3" x14ac:dyDescent="0.2">
      <c r="C597" s="262"/>
    </row>
    <row r="598" spans="3:3" x14ac:dyDescent="0.2">
      <c r="C598" s="262"/>
    </row>
    <row r="599" spans="3:3" x14ac:dyDescent="0.2">
      <c r="C599" s="262"/>
    </row>
    <row r="600" spans="3:3" x14ac:dyDescent="0.2">
      <c r="C600" s="262"/>
    </row>
    <row r="601" spans="3:3" x14ac:dyDescent="0.2">
      <c r="C601" s="262"/>
    </row>
    <row r="602" spans="3:3" x14ac:dyDescent="0.2">
      <c r="C602" s="262"/>
    </row>
    <row r="603" spans="3:3" x14ac:dyDescent="0.2">
      <c r="C603" s="262"/>
    </row>
    <row r="604" spans="3:3" x14ac:dyDescent="0.2">
      <c r="C604" s="262"/>
    </row>
    <row r="605" spans="3:3" x14ac:dyDescent="0.2">
      <c r="C605" s="262"/>
    </row>
    <row r="606" spans="3:3" x14ac:dyDescent="0.2">
      <c r="C606" s="262"/>
    </row>
    <row r="607" spans="3:3" x14ac:dyDescent="0.2">
      <c r="C607" s="262"/>
    </row>
    <row r="608" spans="3:3" x14ac:dyDescent="0.2">
      <c r="C608" s="262"/>
    </row>
    <row r="609" spans="3:3" x14ac:dyDescent="0.2">
      <c r="C609" s="262"/>
    </row>
    <row r="610" spans="3:3" x14ac:dyDescent="0.2">
      <c r="C610" s="262"/>
    </row>
    <row r="611" spans="3:3" x14ac:dyDescent="0.2">
      <c r="C611" s="262"/>
    </row>
    <row r="612" spans="3:3" x14ac:dyDescent="0.2">
      <c r="C612" s="262"/>
    </row>
    <row r="613" spans="3:3" x14ac:dyDescent="0.2">
      <c r="C613" s="262"/>
    </row>
    <row r="614" spans="3:3" x14ac:dyDescent="0.2">
      <c r="C614" s="262"/>
    </row>
    <row r="615" spans="3:3" x14ac:dyDescent="0.2">
      <c r="C615" s="262"/>
    </row>
    <row r="616" spans="3:3" x14ac:dyDescent="0.2">
      <c r="C616" s="262"/>
    </row>
    <row r="617" spans="3:3" x14ac:dyDescent="0.2">
      <c r="C617" s="262"/>
    </row>
    <row r="618" spans="3:3" x14ac:dyDescent="0.2">
      <c r="C618" s="262"/>
    </row>
    <row r="619" spans="3:3" x14ac:dyDescent="0.2">
      <c r="C619" s="262"/>
    </row>
    <row r="620" spans="3:3" x14ac:dyDescent="0.2">
      <c r="C620" s="262"/>
    </row>
    <row r="621" spans="3:3" x14ac:dyDescent="0.2">
      <c r="C621" s="262"/>
    </row>
    <row r="622" spans="3:3" x14ac:dyDescent="0.2">
      <c r="C622" s="262"/>
    </row>
    <row r="623" spans="3:3" x14ac:dyDescent="0.2">
      <c r="C623" s="262"/>
    </row>
    <row r="624" spans="3:3" x14ac:dyDescent="0.2">
      <c r="C624" s="262"/>
    </row>
    <row r="625" spans="3:3" x14ac:dyDescent="0.2">
      <c r="C625" s="262"/>
    </row>
    <row r="626" spans="3:3" x14ac:dyDescent="0.2">
      <c r="C626" s="262"/>
    </row>
    <row r="627" spans="3:3" x14ac:dyDescent="0.2">
      <c r="C627" s="262"/>
    </row>
    <row r="628" spans="3:3" x14ac:dyDescent="0.2">
      <c r="C628" s="262"/>
    </row>
    <row r="629" spans="3:3" x14ac:dyDescent="0.2">
      <c r="C629" s="262"/>
    </row>
    <row r="630" spans="3:3" x14ac:dyDescent="0.2">
      <c r="C630" s="262"/>
    </row>
    <row r="631" spans="3:3" x14ac:dyDescent="0.2">
      <c r="C631" s="262"/>
    </row>
    <row r="632" spans="3:3" x14ac:dyDescent="0.2">
      <c r="C632" s="262"/>
    </row>
    <row r="633" spans="3:3" x14ac:dyDescent="0.2">
      <c r="C633" s="262"/>
    </row>
    <row r="634" spans="3:3" x14ac:dyDescent="0.2">
      <c r="C634" s="262"/>
    </row>
    <row r="635" spans="3:3" x14ac:dyDescent="0.2">
      <c r="C635" s="262"/>
    </row>
    <row r="636" spans="3:3" x14ac:dyDescent="0.2">
      <c r="C636" s="262"/>
    </row>
    <row r="637" spans="3:3" x14ac:dyDescent="0.2">
      <c r="C637" s="262"/>
    </row>
    <row r="638" spans="3:3" x14ac:dyDescent="0.2">
      <c r="C638" s="262"/>
    </row>
    <row r="639" spans="3:3" x14ac:dyDescent="0.2">
      <c r="C639" s="262"/>
    </row>
    <row r="640" spans="3:3" x14ac:dyDescent="0.2">
      <c r="C640" s="262"/>
    </row>
    <row r="641" spans="3:3" x14ac:dyDescent="0.2">
      <c r="C641" s="262"/>
    </row>
    <row r="642" spans="3:3" x14ac:dyDescent="0.2">
      <c r="C642" s="262"/>
    </row>
    <row r="643" spans="3:3" x14ac:dyDescent="0.2">
      <c r="C643" s="262"/>
    </row>
    <row r="644" spans="3:3" x14ac:dyDescent="0.2">
      <c r="C644" s="262"/>
    </row>
    <row r="645" spans="3:3" x14ac:dyDescent="0.2">
      <c r="C645" s="262"/>
    </row>
    <row r="646" spans="3:3" x14ac:dyDescent="0.2">
      <c r="C646" s="262"/>
    </row>
    <row r="647" spans="3:3" x14ac:dyDescent="0.2">
      <c r="C647" s="262"/>
    </row>
    <row r="648" spans="3:3" x14ac:dyDescent="0.2">
      <c r="C648" s="262"/>
    </row>
    <row r="649" spans="3:3" x14ac:dyDescent="0.2">
      <c r="C649" s="262"/>
    </row>
    <row r="650" spans="3:3" x14ac:dyDescent="0.2">
      <c r="C650" s="262"/>
    </row>
    <row r="651" spans="3:3" x14ac:dyDescent="0.2">
      <c r="C651" s="262"/>
    </row>
    <row r="652" spans="3:3" x14ac:dyDescent="0.2">
      <c r="C652" s="262"/>
    </row>
    <row r="653" spans="3:3" x14ac:dyDescent="0.2">
      <c r="C653" s="262"/>
    </row>
    <row r="654" spans="3:3" x14ac:dyDescent="0.2">
      <c r="C654" s="262"/>
    </row>
    <row r="655" spans="3:3" x14ac:dyDescent="0.2">
      <c r="C655" s="262"/>
    </row>
    <row r="656" spans="3:3" x14ac:dyDescent="0.2">
      <c r="C656" s="262"/>
    </row>
    <row r="657" spans="3:3" x14ac:dyDescent="0.2">
      <c r="C657" s="262"/>
    </row>
    <row r="658" spans="3:3" x14ac:dyDescent="0.2">
      <c r="C658" s="262"/>
    </row>
    <row r="659" spans="3:3" x14ac:dyDescent="0.2">
      <c r="C659" s="262"/>
    </row>
    <row r="660" spans="3:3" x14ac:dyDescent="0.2">
      <c r="C660" s="262"/>
    </row>
    <row r="661" spans="3:3" x14ac:dyDescent="0.2">
      <c r="C661" s="262"/>
    </row>
    <row r="662" spans="3:3" x14ac:dyDescent="0.2">
      <c r="C662" s="262"/>
    </row>
    <row r="663" spans="3:3" x14ac:dyDescent="0.2">
      <c r="C663" s="262"/>
    </row>
    <row r="664" spans="3:3" x14ac:dyDescent="0.2">
      <c r="C664" s="262"/>
    </row>
    <row r="665" spans="3:3" x14ac:dyDescent="0.2">
      <c r="C665" s="262"/>
    </row>
    <row r="666" spans="3:3" x14ac:dyDescent="0.2">
      <c r="C666" s="262"/>
    </row>
    <row r="667" spans="3:3" x14ac:dyDescent="0.2">
      <c r="C667" s="262"/>
    </row>
    <row r="668" spans="3:3" x14ac:dyDescent="0.2">
      <c r="C668" s="262"/>
    </row>
    <row r="669" spans="3:3" x14ac:dyDescent="0.2">
      <c r="C669" s="262"/>
    </row>
    <row r="670" spans="3:3" x14ac:dyDescent="0.2">
      <c r="C670" s="262"/>
    </row>
    <row r="671" spans="3:3" x14ac:dyDescent="0.2">
      <c r="C671" s="262"/>
    </row>
    <row r="672" spans="3:3" x14ac:dyDescent="0.2">
      <c r="C672" s="262"/>
    </row>
    <row r="673" spans="3:3" x14ac:dyDescent="0.2">
      <c r="C673" s="262"/>
    </row>
    <row r="674" spans="3:3" x14ac:dyDescent="0.2">
      <c r="C674" s="262"/>
    </row>
    <row r="675" spans="3:3" x14ac:dyDescent="0.2">
      <c r="C675" s="262"/>
    </row>
    <row r="676" spans="3:3" x14ac:dyDescent="0.2">
      <c r="C676" s="262"/>
    </row>
    <row r="677" spans="3:3" x14ac:dyDescent="0.2">
      <c r="C677" s="262"/>
    </row>
    <row r="678" spans="3:3" x14ac:dyDescent="0.2">
      <c r="C678" s="262"/>
    </row>
    <row r="679" spans="3:3" x14ac:dyDescent="0.2">
      <c r="C679" s="262"/>
    </row>
    <row r="680" spans="3:3" x14ac:dyDescent="0.2">
      <c r="C680" s="262"/>
    </row>
    <row r="681" spans="3:3" x14ac:dyDescent="0.2">
      <c r="C681" s="262"/>
    </row>
    <row r="682" spans="3:3" x14ac:dyDescent="0.2">
      <c r="C682" s="262"/>
    </row>
    <row r="683" spans="3:3" x14ac:dyDescent="0.2">
      <c r="C683" s="262"/>
    </row>
    <row r="684" spans="3:3" x14ac:dyDescent="0.2">
      <c r="C684" s="262"/>
    </row>
    <row r="685" spans="3:3" x14ac:dyDescent="0.2">
      <c r="C685" s="262"/>
    </row>
    <row r="686" spans="3:3" x14ac:dyDescent="0.2">
      <c r="C686" s="262"/>
    </row>
    <row r="687" spans="3:3" x14ac:dyDescent="0.2">
      <c r="C687" s="262"/>
    </row>
    <row r="688" spans="3:3" x14ac:dyDescent="0.2">
      <c r="C688" s="262"/>
    </row>
    <row r="689" spans="3:3" x14ac:dyDescent="0.2">
      <c r="C689" s="262"/>
    </row>
    <row r="690" spans="3:3" x14ac:dyDescent="0.2">
      <c r="C690" s="262"/>
    </row>
    <row r="691" spans="3:3" x14ac:dyDescent="0.2">
      <c r="C691" s="262"/>
    </row>
    <row r="692" spans="3:3" x14ac:dyDescent="0.2">
      <c r="C692" s="262"/>
    </row>
    <row r="693" spans="3:3" x14ac:dyDescent="0.2">
      <c r="C693" s="262"/>
    </row>
    <row r="694" spans="3:3" x14ac:dyDescent="0.2">
      <c r="C694" s="262"/>
    </row>
    <row r="695" spans="3:3" x14ac:dyDescent="0.2">
      <c r="C695" s="262"/>
    </row>
    <row r="696" spans="3:3" x14ac:dyDescent="0.2">
      <c r="C696" s="262"/>
    </row>
    <row r="697" spans="3:3" x14ac:dyDescent="0.2">
      <c r="C697" s="262"/>
    </row>
    <row r="698" spans="3:3" x14ac:dyDescent="0.2">
      <c r="C698" s="262"/>
    </row>
    <row r="699" spans="3:3" x14ac:dyDescent="0.2">
      <c r="C699" s="262"/>
    </row>
    <row r="700" spans="3:3" x14ac:dyDescent="0.2">
      <c r="C700" s="262"/>
    </row>
  </sheetData>
  <mergeCells count="3">
    <mergeCell ref="AV1:BC1"/>
    <mergeCell ref="BF1:BP1"/>
    <mergeCell ref="BS1:BY1"/>
  </mergeCells>
  <phoneticPr fontId="0" type="noConversion"/>
  <printOptions headings="1" gridLines="1"/>
  <pageMargins left="0.39370078740157483" right="0.39370078740157483" top="0.99212598425196852" bottom="0.78740157480314965" header="0.39370078740157483" footer="0.39370078740157483"/>
  <pageSetup orientation="portrait" r:id="rId1"/>
  <headerFooter alignWithMargins="0">
    <oddHeader>&amp;L&amp;A</oddHeader>
    <oddFooter>&amp;LEffective 1/1/14, all international equity use net of dividend tax bm vs gross of dividend tax</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FM263"/>
  <sheetViews>
    <sheetView showGridLines="0" zoomScale="80" zoomScaleNormal="80" workbookViewId="0">
      <pane xSplit="1" ySplit="8" topLeftCell="B54" activePane="bottomRight" state="frozen"/>
      <selection activeCell="B13" sqref="B13"/>
      <selection pane="topRight" activeCell="B13" sqref="B13"/>
      <selection pane="bottomLeft" activeCell="B13" sqref="B13"/>
      <selection pane="bottomRight" activeCell="B72" sqref="B72"/>
    </sheetView>
  </sheetViews>
  <sheetFormatPr defaultRowHeight="12.75" outlineLevelRow="1" outlineLevelCol="1" x14ac:dyDescent="0.2"/>
  <cols>
    <col min="1" max="1" width="38.5703125" style="378" customWidth="1"/>
    <col min="2" max="2" width="19.140625" style="378" customWidth="1"/>
    <col min="3" max="3" width="10.7109375" style="378" customWidth="1"/>
    <col min="4" max="4" width="10.7109375" style="378" hidden="1" customWidth="1" outlineLevel="1"/>
    <col min="5" max="5" width="11.85546875" style="378" bestFit="1" customWidth="1" collapsed="1"/>
    <col min="6" max="6" width="10.7109375" style="378" customWidth="1"/>
    <col min="7" max="7" width="9.7109375" style="378" bestFit="1" customWidth="1"/>
    <col min="8" max="9" width="10.7109375" style="378" customWidth="1"/>
    <col min="10" max="10" width="10.7109375" style="378" hidden="1" customWidth="1" outlineLevel="1"/>
    <col min="11" max="11" width="10.7109375" style="378" customWidth="1" collapsed="1"/>
    <col min="12" max="12" width="10.7109375" style="378" hidden="1" customWidth="1" outlineLevel="1"/>
    <col min="13" max="13" width="10.7109375" style="378" customWidth="1" collapsed="1"/>
    <col min="14" max="14" width="12" style="378" hidden="1" customWidth="1" outlineLevel="1"/>
    <col min="15" max="15" width="10.7109375" style="378" hidden="1" customWidth="1" outlineLevel="1"/>
    <col min="16" max="16" width="10.7109375" style="378" customWidth="1" collapsed="1"/>
    <col min="17" max="18" width="10.7109375" style="378" customWidth="1"/>
    <col min="19" max="19" width="9.7109375" style="378" bestFit="1" customWidth="1"/>
    <col min="20" max="21" width="10.7109375" style="378" customWidth="1"/>
    <col min="22" max="22" width="10.7109375" style="378" hidden="1" customWidth="1" outlineLevel="1"/>
    <col min="23" max="23" width="10.7109375" style="378" customWidth="1" collapsed="1"/>
    <col min="24" max="24" width="10.7109375" style="378" hidden="1" customWidth="1" outlineLevel="1"/>
    <col min="25" max="25" width="10.7109375" style="378" customWidth="1" collapsed="1"/>
    <col min="26" max="27" width="10.7109375" style="378" hidden="1" customWidth="1" outlineLevel="1"/>
    <col min="28" max="28" width="10.7109375" style="378" customWidth="1" collapsed="1"/>
    <col min="29" max="30" width="10.7109375" style="378" customWidth="1"/>
    <col min="31" max="31" width="30.85546875" style="378" bestFit="1" customWidth="1"/>
    <col min="32" max="32" width="12.7109375" style="381" customWidth="1"/>
    <col min="33" max="33" width="9.140625" style="381"/>
    <col min="34" max="36" width="10.7109375" style="381" customWidth="1"/>
    <col min="37" max="37" width="10.7109375" style="382" customWidth="1"/>
    <col min="38" max="153" width="10.7109375" style="381" customWidth="1"/>
    <col min="154" max="154" width="31" style="381" customWidth="1"/>
    <col min="155" max="155" width="10.28515625" style="383" customWidth="1"/>
    <col min="156" max="166" width="10.7109375" style="381" customWidth="1"/>
    <col min="167" max="169" width="9.140625" style="381"/>
    <col min="170" max="16384" width="9.140625" style="378"/>
  </cols>
  <sheetData>
    <row r="1" spans="1:169" ht="18" x14ac:dyDescent="0.25">
      <c r="A1" s="377" t="s">
        <v>61</v>
      </c>
      <c r="B1" s="377"/>
      <c r="K1" s="379" t="s">
        <v>312</v>
      </c>
      <c r="L1" s="379"/>
      <c r="AC1" s="380" t="str">
        <f>"Period Ending "&amp;TEXT(AH8,"mmmm dd, yyy")</f>
        <v>Period Ending August 31, 2014</v>
      </c>
    </row>
    <row r="2" spans="1:169" ht="18" x14ac:dyDescent="0.25">
      <c r="A2" s="384" t="s">
        <v>62</v>
      </c>
      <c r="B2" s="377"/>
      <c r="K2" s="379" t="s">
        <v>346</v>
      </c>
      <c r="L2" s="379"/>
      <c r="AC2" s="380"/>
    </row>
    <row r="3" spans="1:169" ht="18" x14ac:dyDescent="0.25">
      <c r="B3" s="384"/>
      <c r="E3" s="1003"/>
      <c r="K3" s="379" t="s">
        <v>313</v>
      </c>
      <c r="L3" s="379"/>
      <c r="AC3" s="380"/>
    </row>
    <row r="4" spans="1:169" ht="18" x14ac:dyDescent="0.25">
      <c r="A4" s="730"/>
      <c r="E4" s="1003"/>
      <c r="K4" s="379"/>
      <c r="L4" s="379"/>
      <c r="AC4" s="492" t="str">
        <f>Home!A1</f>
        <v>(Preliminary)</v>
      </c>
      <c r="AG4" s="385"/>
    </row>
    <row r="5" spans="1:169" ht="13.5" thickBot="1" x14ac:dyDescent="0.25">
      <c r="E5" s="1003"/>
    </row>
    <row r="6" spans="1:169" s="395" customFormat="1" ht="12.75" customHeight="1" x14ac:dyDescent="0.2">
      <c r="A6" s="386"/>
      <c r="B6" s="618"/>
      <c r="C6" s="387"/>
      <c r="D6" s="387"/>
      <c r="E6" s="388"/>
      <c r="F6" s="1478" t="s">
        <v>113</v>
      </c>
      <c r="G6" s="1479"/>
      <c r="H6" s="1479"/>
      <c r="I6" s="1479"/>
      <c r="J6" s="1479"/>
      <c r="K6" s="1479"/>
      <c r="L6" s="1479"/>
      <c r="M6" s="1479"/>
      <c r="N6" s="1479"/>
      <c r="O6" s="1479"/>
      <c r="P6" s="1479"/>
      <c r="Q6" s="1480"/>
      <c r="R6" s="1481" t="s">
        <v>114</v>
      </c>
      <c r="S6" s="1481"/>
      <c r="T6" s="1481"/>
      <c r="U6" s="1481"/>
      <c r="V6" s="1481"/>
      <c r="W6" s="1481"/>
      <c r="X6" s="1481"/>
      <c r="Y6" s="1481"/>
      <c r="Z6" s="1481"/>
      <c r="AA6" s="1481"/>
      <c r="AB6" s="1481"/>
      <c r="AC6" s="1482"/>
      <c r="AD6" s="389"/>
      <c r="AE6" s="390"/>
      <c r="AF6" s="382"/>
      <c r="AG6" s="382"/>
      <c r="AH6" s="391"/>
      <c r="AI6" s="392"/>
      <c r="AJ6" s="382"/>
      <c r="AK6" s="382"/>
      <c r="AL6" s="382"/>
      <c r="AM6" s="382"/>
      <c r="AN6" s="382"/>
      <c r="AO6" s="382"/>
      <c r="AP6" s="382"/>
      <c r="AQ6" s="382"/>
      <c r="AR6" s="382"/>
      <c r="AS6" s="382">
        <v>1</v>
      </c>
      <c r="AT6" s="382"/>
      <c r="AU6" s="382"/>
      <c r="AV6" s="382"/>
      <c r="AW6" s="382"/>
      <c r="AX6" s="382"/>
      <c r="AY6" s="382"/>
      <c r="AZ6" s="382"/>
      <c r="BA6" s="382"/>
      <c r="BB6" s="382"/>
      <c r="BC6" s="382"/>
      <c r="BD6" s="382"/>
      <c r="BE6" s="382">
        <v>2</v>
      </c>
      <c r="BF6" s="382"/>
      <c r="BG6" s="382"/>
      <c r="BH6" s="382"/>
      <c r="BI6" s="382"/>
      <c r="BJ6" s="382"/>
      <c r="BK6" s="382"/>
      <c r="BL6" s="382"/>
      <c r="BM6" s="382"/>
      <c r="BN6" s="382"/>
      <c r="BO6" s="382"/>
      <c r="BP6" s="382"/>
      <c r="BQ6" s="382">
        <v>3</v>
      </c>
      <c r="BR6" s="382"/>
      <c r="BS6" s="382"/>
      <c r="BT6" s="382"/>
      <c r="BU6" s="382"/>
      <c r="BV6" s="382"/>
      <c r="BW6" s="382"/>
      <c r="BX6" s="382"/>
      <c r="BY6" s="382"/>
      <c r="BZ6" s="382"/>
      <c r="CA6" s="382"/>
      <c r="CB6" s="382"/>
      <c r="CC6" s="382">
        <v>4</v>
      </c>
      <c r="CD6" s="382"/>
      <c r="CE6" s="382"/>
      <c r="CF6" s="382"/>
      <c r="CG6" s="382"/>
      <c r="CH6" s="382"/>
      <c r="CI6" s="382"/>
      <c r="CJ6" s="382"/>
      <c r="CK6" s="382"/>
      <c r="CL6" s="382"/>
      <c r="CM6" s="382"/>
      <c r="CN6" s="382"/>
      <c r="CO6" s="382">
        <v>5</v>
      </c>
      <c r="CP6" s="382"/>
      <c r="CQ6" s="382"/>
      <c r="CR6" s="382"/>
      <c r="CS6" s="382"/>
      <c r="CT6" s="382"/>
      <c r="CU6" s="382"/>
      <c r="CV6" s="382"/>
      <c r="CW6" s="382"/>
      <c r="CX6" s="382"/>
      <c r="CY6" s="382"/>
      <c r="CZ6" s="382"/>
      <c r="DA6" s="382">
        <v>6</v>
      </c>
      <c r="DB6" s="382"/>
      <c r="DC6" s="382"/>
      <c r="DD6" s="382"/>
      <c r="DE6" s="382"/>
      <c r="DF6" s="382"/>
      <c r="DG6" s="382"/>
      <c r="DH6" s="382"/>
      <c r="DI6" s="382"/>
      <c r="DJ6" s="382"/>
      <c r="DK6" s="382"/>
      <c r="DL6" s="382"/>
      <c r="DM6" s="382">
        <v>7</v>
      </c>
      <c r="DN6" s="382"/>
      <c r="DO6" s="382"/>
      <c r="DP6" s="382"/>
      <c r="DQ6" s="382"/>
      <c r="DR6" s="382"/>
      <c r="DS6" s="382"/>
      <c r="DT6" s="382"/>
      <c r="DU6" s="382"/>
      <c r="DV6" s="382"/>
      <c r="DW6" s="382"/>
      <c r="DX6" s="382"/>
      <c r="DY6" s="382">
        <v>8</v>
      </c>
      <c r="DZ6" s="382"/>
      <c r="EA6" s="382"/>
      <c r="EB6" s="382"/>
      <c r="EC6" s="382"/>
      <c r="ED6" s="382"/>
      <c r="EE6" s="382"/>
      <c r="EF6" s="382"/>
      <c r="EG6" s="382"/>
      <c r="EH6" s="382"/>
      <c r="EI6" s="382"/>
      <c r="EJ6" s="382"/>
      <c r="EK6" s="382">
        <v>9</v>
      </c>
      <c r="EL6" s="382"/>
      <c r="EM6" s="382"/>
      <c r="EN6" s="382"/>
      <c r="EO6" s="382"/>
      <c r="EP6" s="382"/>
      <c r="EQ6" s="382"/>
      <c r="ER6" s="382"/>
      <c r="ES6" s="382"/>
      <c r="ET6" s="382"/>
      <c r="EU6" s="382"/>
      <c r="EV6" s="382"/>
      <c r="EW6" s="382">
        <v>10</v>
      </c>
      <c r="EX6" s="382"/>
      <c r="EY6" s="393"/>
      <c r="EZ6" s="1487">
        <v>39903</v>
      </c>
      <c r="FA6" s="1487"/>
      <c r="FB6" s="1487"/>
      <c r="FC6" s="1487"/>
      <c r="FD6" s="1487"/>
      <c r="FE6" s="394"/>
      <c r="FF6" s="1476">
        <f>EZ6</f>
        <v>39903</v>
      </c>
      <c r="FG6" s="1476"/>
      <c r="FH6" s="1476"/>
      <c r="FI6" s="1476"/>
      <c r="FJ6" s="1476"/>
      <c r="FK6" s="394"/>
      <c r="FL6" s="1476">
        <f>FF6</f>
        <v>39903</v>
      </c>
      <c r="FM6" s="1476"/>
    </row>
    <row r="7" spans="1:169" s="395" customFormat="1" ht="12.75" customHeight="1" x14ac:dyDescent="0.2">
      <c r="A7" s="396"/>
      <c r="B7" s="619"/>
      <c r="C7" s="397"/>
      <c r="D7" s="397" t="s">
        <v>216</v>
      </c>
      <c r="E7" s="398" t="s">
        <v>215</v>
      </c>
      <c r="F7" s="399"/>
      <c r="G7" s="400"/>
      <c r="H7" s="400"/>
      <c r="I7" s="400"/>
      <c r="J7" s="1483" t="s">
        <v>47</v>
      </c>
      <c r="K7" s="1483"/>
      <c r="L7" s="1483"/>
      <c r="M7" s="1483"/>
      <c r="N7" s="1483"/>
      <c r="O7" s="1483"/>
      <c r="P7" s="1483"/>
      <c r="Q7" s="1484"/>
      <c r="R7" s="400"/>
      <c r="S7" s="400"/>
      <c r="T7" s="400"/>
      <c r="U7" s="400"/>
      <c r="V7" s="1485" t="s">
        <v>47</v>
      </c>
      <c r="W7" s="1485"/>
      <c r="X7" s="1485"/>
      <c r="Y7" s="1485"/>
      <c r="Z7" s="1485"/>
      <c r="AA7" s="1485"/>
      <c r="AB7" s="1485"/>
      <c r="AC7" s="1486"/>
      <c r="AD7" s="401" t="s">
        <v>214</v>
      </c>
      <c r="AE7" s="390"/>
      <c r="AF7" s="402"/>
      <c r="AG7" s="382"/>
      <c r="AH7" s="382">
        <v>1</v>
      </c>
      <c r="AI7" s="382">
        <v>2</v>
      </c>
      <c r="AJ7" s="382">
        <v>3</v>
      </c>
      <c r="AK7" s="382">
        <v>4</v>
      </c>
      <c r="AL7" s="382">
        <v>5</v>
      </c>
      <c r="AM7" s="382">
        <v>6</v>
      </c>
      <c r="AN7" s="382">
        <v>7</v>
      </c>
      <c r="AO7" s="382">
        <v>8</v>
      </c>
      <c r="AP7" s="382">
        <v>9</v>
      </c>
      <c r="AQ7" s="382">
        <v>10</v>
      </c>
      <c r="AR7" s="382">
        <v>11</v>
      </c>
      <c r="AS7" s="382">
        <v>12</v>
      </c>
      <c r="AT7" s="382">
        <v>13</v>
      </c>
      <c r="AU7" s="382">
        <v>14</v>
      </c>
      <c r="AV7" s="382">
        <v>15</v>
      </c>
      <c r="AW7" s="382">
        <v>16</v>
      </c>
      <c r="AX7" s="382">
        <v>17</v>
      </c>
      <c r="AY7" s="382">
        <v>18</v>
      </c>
      <c r="AZ7" s="382">
        <v>19</v>
      </c>
      <c r="BA7" s="382">
        <v>20</v>
      </c>
      <c r="BB7" s="382">
        <v>21</v>
      </c>
      <c r="BC7" s="382">
        <v>22</v>
      </c>
      <c r="BD7" s="382">
        <v>23</v>
      </c>
      <c r="BE7" s="382">
        <v>24</v>
      </c>
      <c r="BF7" s="382">
        <v>25</v>
      </c>
      <c r="BG7" s="382">
        <v>26</v>
      </c>
      <c r="BH7" s="382">
        <v>27</v>
      </c>
      <c r="BI7" s="382">
        <v>28</v>
      </c>
      <c r="BJ7" s="382">
        <v>29</v>
      </c>
      <c r="BK7" s="382">
        <v>30</v>
      </c>
      <c r="BL7" s="382">
        <v>31</v>
      </c>
      <c r="BM7" s="382">
        <v>32</v>
      </c>
      <c r="BN7" s="382">
        <v>33</v>
      </c>
      <c r="BO7" s="382">
        <v>34</v>
      </c>
      <c r="BP7" s="382">
        <v>35</v>
      </c>
      <c r="BQ7" s="382">
        <v>36</v>
      </c>
      <c r="BR7" s="382">
        <v>37</v>
      </c>
      <c r="BS7" s="382">
        <v>38</v>
      </c>
      <c r="BT7" s="382">
        <v>39</v>
      </c>
      <c r="BU7" s="382">
        <v>40</v>
      </c>
      <c r="BV7" s="382">
        <v>41</v>
      </c>
      <c r="BW7" s="382">
        <v>42</v>
      </c>
      <c r="BX7" s="382">
        <v>43</v>
      </c>
      <c r="BY7" s="382">
        <v>44</v>
      </c>
      <c r="BZ7" s="382">
        <v>45</v>
      </c>
      <c r="CA7" s="382">
        <v>46</v>
      </c>
      <c r="CB7" s="382">
        <v>47</v>
      </c>
      <c r="CC7" s="382">
        <v>48</v>
      </c>
      <c r="CD7" s="382">
        <v>49</v>
      </c>
      <c r="CE7" s="382">
        <v>50</v>
      </c>
      <c r="CF7" s="382">
        <v>51</v>
      </c>
      <c r="CG7" s="382">
        <v>52</v>
      </c>
      <c r="CH7" s="382">
        <v>53</v>
      </c>
      <c r="CI7" s="382">
        <v>54</v>
      </c>
      <c r="CJ7" s="382">
        <v>55</v>
      </c>
      <c r="CK7" s="382">
        <v>56</v>
      </c>
      <c r="CL7" s="382">
        <v>57</v>
      </c>
      <c r="CM7" s="382">
        <v>58</v>
      </c>
      <c r="CN7" s="382">
        <v>59</v>
      </c>
      <c r="CO7" s="382">
        <v>60</v>
      </c>
      <c r="CP7" s="382">
        <v>61</v>
      </c>
      <c r="CQ7" s="382">
        <v>62</v>
      </c>
      <c r="CR7" s="382">
        <v>63</v>
      </c>
      <c r="CS7" s="382">
        <v>64</v>
      </c>
      <c r="CT7" s="382">
        <v>65</v>
      </c>
      <c r="CU7" s="382">
        <v>66</v>
      </c>
      <c r="CV7" s="382">
        <v>67</v>
      </c>
      <c r="CW7" s="382">
        <v>68</v>
      </c>
      <c r="CX7" s="382">
        <v>69</v>
      </c>
      <c r="CY7" s="382">
        <v>70</v>
      </c>
      <c r="CZ7" s="382">
        <v>71</v>
      </c>
      <c r="DA7" s="382">
        <v>72</v>
      </c>
      <c r="DB7" s="382">
        <v>73</v>
      </c>
      <c r="DC7" s="382">
        <v>74</v>
      </c>
      <c r="DD7" s="382">
        <v>75</v>
      </c>
      <c r="DE7" s="382">
        <v>76</v>
      </c>
      <c r="DF7" s="382">
        <v>77</v>
      </c>
      <c r="DG7" s="382">
        <v>78</v>
      </c>
      <c r="DH7" s="382">
        <v>79</v>
      </c>
      <c r="DI7" s="382">
        <v>80</v>
      </c>
      <c r="DJ7" s="382">
        <v>81</v>
      </c>
      <c r="DK7" s="382">
        <v>82</v>
      </c>
      <c r="DL7" s="382">
        <v>187</v>
      </c>
      <c r="DM7" s="382">
        <v>84</v>
      </c>
      <c r="DN7" s="382">
        <v>85</v>
      </c>
      <c r="DO7" s="382">
        <v>86</v>
      </c>
      <c r="DP7" s="382">
        <v>87</v>
      </c>
      <c r="DQ7" s="382">
        <v>88</v>
      </c>
      <c r="DR7" s="382">
        <v>89</v>
      </c>
      <c r="DS7" s="382">
        <v>90</v>
      </c>
      <c r="DT7" s="382">
        <v>91</v>
      </c>
      <c r="DU7" s="382">
        <v>92</v>
      </c>
      <c r="DV7" s="382">
        <v>93</v>
      </c>
      <c r="DW7" s="382">
        <v>94</v>
      </c>
      <c r="DX7" s="382">
        <v>95</v>
      </c>
      <c r="DY7" s="382">
        <v>96</v>
      </c>
      <c r="DZ7" s="382">
        <v>97</v>
      </c>
      <c r="EA7" s="382">
        <v>98</v>
      </c>
      <c r="EB7" s="382">
        <v>99</v>
      </c>
      <c r="EC7" s="382">
        <v>100</v>
      </c>
      <c r="ED7" s="382">
        <v>101</v>
      </c>
      <c r="EE7" s="382">
        <v>102</v>
      </c>
      <c r="EF7" s="382">
        <v>103</v>
      </c>
      <c r="EG7" s="382">
        <v>104</v>
      </c>
      <c r="EH7" s="382">
        <v>105</v>
      </c>
      <c r="EI7" s="382">
        <v>106</v>
      </c>
      <c r="EJ7" s="382">
        <v>107</v>
      </c>
      <c r="EK7" s="382">
        <v>108</v>
      </c>
      <c r="EL7" s="382">
        <v>109</v>
      </c>
      <c r="EM7" s="382">
        <v>110</v>
      </c>
      <c r="EN7" s="382">
        <v>111</v>
      </c>
      <c r="EO7" s="382">
        <v>112</v>
      </c>
      <c r="EP7" s="382">
        <v>113</v>
      </c>
      <c r="EQ7" s="382">
        <v>114</v>
      </c>
      <c r="ER7" s="382">
        <v>115</v>
      </c>
      <c r="ES7" s="382">
        <v>116</v>
      </c>
      <c r="ET7" s="382">
        <v>117</v>
      </c>
      <c r="EU7" s="382">
        <v>118</v>
      </c>
      <c r="EV7" s="382">
        <v>119</v>
      </c>
      <c r="EW7" s="382">
        <v>120</v>
      </c>
      <c r="EX7" s="382"/>
      <c r="EY7" s="393"/>
      <c r="EZ7" s="1477" t="s">
        <v>411</v>
      </c>
      <c r="FA7" s="1477"/>
      <c r="FB7" s="1477"/>
      <c r="FC7" s="1477"/>
      <c r="FD7" s="1477"/>
      <c r="FE7" s="382"/>
      <c r="FF7" s="1477" t="s">
        <v>412</v>
      </c>
      <c r="FG7" s="1477"/>
      <c r="FH7" s="1477"/>
      <c r="FI7" s="1477"/>
      <c r="FJ7" s="1477"/>
      <c r="FK7" s="382"/>
      <c r="FL7" s="1477" t="s">
        <v>202</v>
      </c>
      <c r="FM7" s="1477"/>
    </row>
    <row r="8" spans="1:169" s="395" customFormat="1" ht="12.75" customHeight="1" x14ac:dyDescent="0.2">
      <c r="A8" s="403"/>
      <c r="B8" s="704" t="s">
        <v>317</v>
      </c>
      <c r="C8" s="404" t="s">
        <v>32</v>
      </c>
      <c r="D8" s="404" t="s">
        <v>217</v>
      </c>
      <c r="E8" s="405" t="s">
        <v>218</v>
      </c>
      <c r="F8" s="406" t="s">
        <v>46</v>
      </c>
      <c r="G8" s="407" t="s">
        <v>898</v>
      </c>
      <c r="H8" s="408" t="s">
        <v>31</v>
      </c>
      <c r="I8" s="408" t="s">
        <v>35</v>
      </c>
      <c r="J8" s="408" t="s">
        <v>190</v>
      </c>
      <c r="K8" s="408" t="s">
        <v>36</v>
      </c>
      <c r="L8" s="408" t="s">
        <v>191</v>
      </c>
      <c r="M8" s="408" t="s">
        <v>45</v>
      </c>
      <c r="N8" s="408" t="s">
        <v>192</v>
      </c>
      <c r="O8" s="408" t="s">
        <v>219</v>
      </c>
      <c r="P8" s="408" t="s">
        <v>249</v>
      </c>
      <c r="Q8" s="409" t="s">
        <v>32</v>
      </c>
      <c r="R8" s="408" t="s">
        <v>46</v>
      </c>
      <c r="S8" s="407" t="s">
        <v>898</v>
      </c>
      <c r="T8" s="408" t="str">
        <f>H8</f>
        <v>YTD</v>
      </c>
      <c r="U8" s="408" t="str">
        <f>I8</f>
        <v>1 Year</v>
      </c>
      <c r="V8" s="408" t="str">
        <f>J8</f>
        <v>2 Years</v>
      </c>
      <c r="W8" s="408" t="str">
        <f>K8</f>
        <v>3 Years</v>
      </c>
      <c r="X8" s="408" t="str">
        <f>L8</f>
        <v>4 Years</v>
      </c>
      <c r="Y8" s="408" t="s">
        <v>45</v>
      </c>
      <c r="Z8" s="408" t="str">
        <f>N8</f>
        <v>7 Years</v>
      </c>
      <c r="AA8" s="408" t="str">
        <f>O8</f>
        <v>9 Years</v>
      </c>
      <c r="AB8" s="408" t="str">
        <f>P8</f>
        <v>10 Years</v>
      </c>
      <c r="AC8" s="410" t="str">
        <f>Q8</f>
        <v>Inception</v>
      </c>
      <c r="AD8" s="411" t="s">
        <v>80</v>
      </c>
      <c r="AE8" s="412"/>
      <c r="AF8" s="413" t="s">
        <v>72</v>
      </c>
      <c r="AG8" s="382"/>
      <c r="AH8" s="414">
        <f>Home!C10</f>
        <v>41882</v>
      </c>
      <c r="AI8" s="392">
        <f t="shared" ref="AI8:CU8" si="0">EOMONTH(AH8,-1)</f>
        <v>41851</v>
      </c>
      <c r="AJ8" s="392">
        <f t="shared" si="0"/>
        <v>41820</v>
      </c>
      <c r="AK8" s="392">
        <f t="shared" si="0"/>
        <v>41790</v>
      </c>
      <c r="AL8" s="392">
        <f t="shared" si="0"/>
        <v>41759</v>
      </c>
      <c r="AM8" s="392">
        <f t="shared" si="0"/>
        <v>41729</v>
      </c>
      <c r="AN8" s="392">
        <f t="shared" si="0"/>
        <v>41698</v>
      </c>
      <c r="AO8" s="392">
        <f t="shared" si="0"/>
        <v>41670</v>
      </c>
      <c r="AP8" s="392">
        <f t="shared" si="0"/>
        <v>41639</v>
      </c>
      <c r="AQ8" s="392">
        <f t="shared" si="0"/>
        <v>41608</v>
      </c>
      <c r="AR8" s="392">
        <f t="shared" si="0"/>
        <v>41578</v>
      </c>
      <c r="AS8" s="392">
        <f t="shared" si="0"/>
        <v>41547</v>
      </c>
      <c r="AT8" s="392">
        <f t="shared" si="0"/>
        <v>41517</v>
      </c>
      <c r="AU8" s="392">
        <f t="shared" si="0"/>
        <v>41486</v>
      </c>
      <c r="AV8" s="392">
        <f t="shared" si="0"/>
        <v>41455</v>
      </c>
      <c r="AW8" s="392">
        <f t="shared" si="0"/>
        <v>41425</v>
      </c>
      <c r="AX8" s="392">
        <f t="shared" si="0"/>
        <v>41394</v>
      </c>
      <c r="AY8" s="392">
        <f t="shared" si="0"/>
        <v>41364</v>
      </c>
      <c r="AZ8" s="392">
        <f t="shared" si="0"/>
        <v>41333</v>
      </c>
      <c r="BA8" s="392">
        <f t="shared" si="0"/>
        <v>41305</v>
      </c>
      <c r="BB8" s="392">
        <f t="shared" si="0"/>
        <v>41274</v>
      </c>
      <c r="BC8" s="392">
        <f t="shared" si="0"/>
        <v>41243</v>
      </c>
      <c r="BD8" s="392">
        <f t="shared" si="0"/>
        <v>41213</v>
      </c>
      <c r="BE8" s="392">
        <f t="shared" si="0"/>
        <v>41182</v>
      </c>
      <c r="BF8" s="392">
        <f t="shared" si="0"/>
        <v>41152</v>
      </c>
      <c r="BG8" s="392">
        <f t="shared" si="0"/>
        <v>41121</v>
      </c>
      <c r="BH8" s="392">
        <f t="shared" si="0"/>
        <v>41090</v>
      </c>
      <c r="BI8" s="392">
        <f t="shared" si="0"/>
        <v>41060</v>
      </c>
      <c r="BJ8" s="392">
        <f t="shared" si="0"/>
        <v>41029</v>
      </c>
      <c r="BK8" s="392">
        <f t="shared" si="0"/>
        <v>40999</v>
      </c>
      <c r="BL8" s="392">
        <f t="shared" si="0"/>
        <v>40968</v>
      </c>
      <c r="BM8" s="392">
        <f t="shared" si="0"/>
        <v>40939</v>
      </c>
      <c r="BN8" s="392">
        <f t="shared" si="0"/>
        <v>40908</v>
      </c>
      <c r="BO8" s="392">
        <f t="shared" si="0"/>
        <v>40877</v>
      </c>
      <c r="BP8" s="392">
        <f t="shared" si="0"/>
        <v>40847</v>
      </c>
      <c r="BQ8" s="392">
        <f t="shared" si="0"/>
        <v>40816</v>
      </c>
      <c r="BR8" s="392">
        <f t="shared" si="0"/>
        <v>40786</v>
      </c>
      <c r="BS8" s="392">
        <f t="shared" si="0"/>
        <v>40755</v>
      </c>
      <c r="BT8" s="392">
        <f t="shared" si="0"/>
        <v>40724</v>
      </c>
      <c r="BU8" s="392">
        <f t="shared" si="0"/>
        <v>40694</v>
      </c>
      <c r="BV8" s="392">
        <f t="shared" si="0"/>
        <v>40663</v>
      </c>
      <c r="BW8" s="392">
        <f t="shared" si="0"/>
        <v>40633</v>
      </c>
      <c r="BX8" s="392">
        <f t="shared" si="0"/>
        <v>40602</v>
      </c>
      <c r="BY8" s="392">
        <f t="shared" si="0"/>
        <v>40574</v>
      </c>
      <c r="BZ8" s="392">
        <f t="shared" si="0"/>
        <v>40543</v>
      </c>
      <c r="CA8" s="392">
        <f t="shared" si="0"/>
        <v>40512</v>
      </c>
      <c r="CB8" s="392">
        <f t="shared" si="0"/>
        <v>40482</v>
      </c>
      <c r="CC8" s="392">
        <f t="shared" si="0"/>
        <v>40451</v>
      </c>
      <c r="CD8" s="392">
        <f t="shared" si="0"/>
        <v>40421</v>
      </c>
      <c r="CE8" s="392">
        <f t="shared" si="0"/>
        <v>40390</v>
      </c>
      <c r="CF8" s="392">
        <f t="shared" si="0"/>
        <v>40359</v>
      </c>
      <c r="CG8" s="392">
        <f t="shared" si="0"/>
        <v>40329</v>
      </c>
      <c r="CH8" s="392">
        <f t="shared" si="0"/>
        <v>40298</v>
      </c>
      <c r="CI8" s="392">
        <f t="shared" si="0"/>
        <v>40268</v>
      </c>
      <c r="CJ8" s="392">
        <f t="shared" si="0"/>
        <v>40237</v>
      </c>
      <c r="CK8" s="392">
        <f t="shared" si="0"/>
        <v>40209</v>
      </c>
      <c r="CL8" s="392">
        <f t="shared" si="0"/>
        <v>40178</v>
      </c>
      <c r="CM8" s="392">
        <f t="shared" si="0"/>
        <v>40147</v>
      </c>
      <c r="CN8" s="392">
        <f t="shared" si="0"/>
        <v>40117</v>
      </c>
      <c r="CO8" s="392">
        <f t="shared" si="0"/>
        <v>40086</v>
      </c>
      <c r="CP8" s="392">
        <f t="shared" si="0"/>
        <v>40056</v>
      </c>
      <c r="CQ8" s="392">
        <f t="shared" si="0"/>
        <v>40025</v>
      </c>
      <c r="CR8" s="392">
        <f t="shared" si="0"/>
        <v>39994</v>
      </c>
      <c r="CS8" s="392">
        <f t="shared" si="0"/>
        <v>39964</v>
      </c>
      <c r="CT8" s="392">
        <f t="shared" si="0"/>
        <v>39933</v>
      </c>
      <c r="CU8" s="392">
        <f t="shared" si="0"/>
        <v>39903</v>
      </c>
      <c r="CV8" s="392">
        <f t="shared" ref="CV8:EW8" si="1">EOMONTH(CU8,-1)</f>
        <v>39872</v>
      </c>
      <c r="CW8" s="392">
        <f t="shared" si="1"/>
        <v>39844</v>
      </c>
      <c r="CX8" s="392">
        <f t="shared" si="1"/>
        <v>39813</v>
      </c>
      <c r="CY8" s="392">
        <f t="shared" si="1"/>
        <v>39782</v>
      </c>
      <c r="CZ8" s="392">
        <f t="shared" si="1"/>
        <v>39752</v>
      </c>
      <c r="DA8" s="392">
        <f t="shared" si="1"/>
        <v>39721</v>
      </c>
      <c r="DB8" s="392">
        <f t="shared" si="1"/>
        <v>39691</v>
      </c>
      <c r="DC8" s="392">
        <f t="shared" si="1"/>
        <v>39660</v>
      </c>
      <c r="DD8" s="392">
        <f t="shared" si="1"/>
        <v>39629</v>
      </c>
      <c r="DE8" s="392">
        <f t="shared" si="1"/>
        <v>39599</v>
      </c>
      <c r="DF8" s="392">
        <f t="shared" si="1"/>
        <v>39568</v>
      </c>
      <c r="DG8" s="392">
        <f t="shared" si="1"/>
        <v>39538</v>
      </c>
      <c r="DH8" s="392">
        <f t="shared" si="1"/>
        <v>39507</v>
      </c>
      <c r="DI8" s="392">
        <f t="shared" si="1"/>
        <v>39478</v>
      </c>
      <c r="DJ8" s="392">
        <f t="shared" si="1"/>
        <v>39447</v>
      </c>
      <c r="DK8" s="392">
        <f t="shared" si="1"/>
        <v>39416</v>
      </c>
      <c r="DL8" s="392">
        <f t="shared" si="1"/>
        <v>39386</v>
      </c>
      <c r="DM8" s="392">
        <f t="shared" si="1"/>
        <v>39355</v>
      </c>
      <c r="DN8" s="392">
        <f t="shared" si="1"/>
        <v>39325</v>
      </c>
      <c r="DO8" s="392">
        <f t="shared" si="1"/>
        <v>39294</v>
      </c>
      <c r="DP8" s="392">
        <f t="shared" si="1"/>
        <v>39263</v>
      </c>
      <c r="DQ8" s="392">
        <f t="shared" si="1"/>
        <v>39233</v>
      </c>
      <c r="DR8" s="392">
        <f t="shared" si="1"/>
        <v>39202</v>
      </c>
      <c r="DS8" s="392">
        <f t="shared" si="1"/>
        <v>39172</v>
      </c>
      <c r="DT8" s="392">
        <f t="shared" si="1"/>
        <v>39141</v>
      </c>
      <c r="DU8" s="392">
        <f t="shared" si="1"/>
        <v>39113</v>
      </c>
      <c r="DV8" s="392">
        <f t="shared" si="1"/>
        <v>39082</v>
      </c>
      <c r="DW8" s="392">
        <f t="shared" si="1"/>
        <v>39051</v>
      </c>
      <c r="DX8" s="392">
        <f t="shared" si="1"/>
        <v>39021</v>
      </c>
      <c r="DY8" s="392">
        <f t="shared" si="1"/>
        <v>38990</v>
      </c>
      <c r="DZ8" s="392">
        <f t="shared" si="1"/>
        <v>38960</v>
      </c>
      <c r="EA8" s="392">
        <f t="shared" si="1"/>
        <v>38929</v>
      </c>
      <c r="EB8" s="392">
        <f t="shared" si="1"/>
        <v>38898</v>
      </c>
      <c r="EC8" s="392">
        <f t="shared" si="1"/>
        <v>38868</v>
      </c>
      <c r="ED8" s="392">
        <f t="shared" si="1"/>
        <v>38837</v>
      </c>
      <c r="EE8" s="392">
        <f t="shared" si="1"/>
        <v>38807</v>
      </c>
      <c r="EF8" s="392">
        <f t="shared" si="1"/>
        <v>38776</v>
      </c>
      <c r="EG8" s="392">
        <f t="shared" si="1"/>
        <v>38748</v>
      </c>
      <c r="EH8" s="392">
        <f t="shared" si="1"/>
        <v>38717</v>
      </c>
      <c r="EI8" s="392">
        <f t="shared" si="1"/>
        <v>38686</v>
      </c>
      <c r="EJ8" s="392">
        <f t="shared" si="1"/>
        <v>38656</v>
      </c>
      <c r="EK8" s="392">
        <f t="shared" si="1"/>
        <v>38625</v>
      </c>
      <c r="EL8" s="392">
        <f t="shared" si="1"/>
        <v>38595</v>
      </c>
      <c r="EM8" s="392">
        <f t="shared" si="1"/>
        <v>38564</v>
      </c>
      <c r="EN8" s="392">
        <f t="shared" si="1"/>
        <v>38533</v>
      </c>
      <c r="EO8" s="392">
        <f t="shared" si="1"/>
        <v>38503</v>
      </c>
      <c r="EP8" s="392">
        <f t="shared" si="1"/>
        <v>38472</v>
      </c>
      <c r="EQ8" s="392">
        <f t="shared" si="1"/>
        <v>38442</v>
      </c>
      <c r="ER8" s="392">
        <f t="shared" si="1"/>
        <v>38411</v>
      </c>
      <c r="ES8" s="392">
        <f t="shared" si="1"/>
        <v>38383</v>
      </c>
      <c r="ET8" s="392">
        <f t="shared" si="1"/>
        <v>38352</v>
      </c>
      <c r="EU8" s="392">
        <f t="shared" si="1"/>
        <v>38321</v>
      </c>
      <c r="EV8" s="392">
        <f t="shared" si="1"/>
        <v>38291</v>
      </c>
      <c r="EW8" s="392">
        <f t="shared" si="1"/>
        <v>38260</v>
      </c>
      <c r="EX8" s="382"/>
      <c r="EY8" s="393"/>
      <c r="EZ8" s="382" t="s">
        <v>73</v>
      </c>
      <c r="FA8" s="382" t="s">
        <v>74</v>
      </c>
      <c r="FB8" s="382" t="s">
        <v>75</v>
      </c>
      <c r="FC8" s="382" t="s">
        <v>76</v>
      </c>
      <c r="FD8" s="382" t="s">
        <v>77</v>
      </c>
      <c r="FE8" s="382"/>
      <c r="FF8" s="382" t="s">
        <v>73</v>
      </c>
      <c r="FG8" s="382" t="s">
        <v>74</v>
      </c>
      <c r="FH8" s="382" t="s">
        <v>75</v>
      </c>
      <c r="FI8" s="382" t="s">
        <v>76</v>
      </c>
      <c r="FJ8" s="382" t="s">
        <v>77</v>
      </c>
      <c r="FK8" s="382"/>
      <c r="FL8" s="382" t="s">
        <v>72</v>
      </c>
      <c r="FM8" s="415"/>
    </row>
    <row r="9" spans="1:169" s="395" customFormat="1" ht="12.75" customHeight="1" x14ac:dyDescent="0.2">
      <c r="A9" s="416"/>
      <c r="B9" s="417"/>
      <c r="C9" s="417"/>
      <c r="D9" s="418"/>
      <c r="E9" s="419"/>
      <c r="F9" s="420"/>
      <c r="G9" s="418"/>
      <c r="H9" s="418"/>
      <c r="I9" s="418"/>
      <c r="J9" s="418"/>
      <c r="K9" s="418"/>
      <c r="L9" s="418"/>
      <c r="M9" s="418"/>
      <c r="N9" s="418"/>
      <c r="O9" s="418"/>
      <c r="P9" s="418"/>
      <c r="Q9" s="421"/>
      <c r="R9" s="418"/>
      <c r="S9" s="418"/>
      <c r="T9" s="418"/>
      <c r="U9" s="418"/>
      <c r="V9" s="418"/>
      <c r="W9" s="418"/>
      <c r="X9" s="418"/>
      <c r="Y9" s="418"/>
      <c r="Z9" s="418"/>
      <c r="AA9" s="418"/>
      <c r="AB9" s="418"/>
      <c r="AC9" s="422"/>
      <c r="AD9" s="423"/>
      <c r="AE9" s="15"/>
      <c r="AF9" s="418"/>
      <c r="AG9" s="382"/>
      <c r="AH9" s="382"/>
      <c r="AI9" s="382"/>
      <c r="AJ9" s="382"/>
      <c r="AK9" s="382"/>
      <c r="AL9" s="382"/>
      <c r="AM9" s="382"/>
      <c r="AN9" s="382"/>
      <c r="AO9" s="382"/>
      <c r="AP9" s="382"/>
      <c r="AQ9" s="382"/>
      <c r="AR9" s="382"/>
      <c r="AS9" s="382"/>
      <c r="AT9" s="424"/>
      <c r="AU9" s="424"/>
      <c r="AV9" s="424"/>
      <c r="AW9" s="424"/>
      <c r="AX9" s="424"/>
      <c r="AY9" s="424"/>
      <c r="AZ9" s="424"/>
      <c r="BA9" s="424"/>
      <c r="BB9" s="424"/>
      <c r="BC9" s="424"/>
      <c r="BD9" s="424"/>
      <c r="BE9" s="424"/>
      <c r="BF9" s="424"/>
      <c r="BG9" s="424"/>
      <c r="BH9" s="424"/>
      <c r="BI9" s="424"/>
      <c r="BJ9" s="424"/>
      <c r="BK9" s="424"/>
      <c r="BL9" s="424"/>
      <c r="BM9" s="424"/>
      <c r="BN9" s="424"/>
      <c r="BO9" s="424"/>
      <c r="BP9" s="424"/>
      <c r="BQ9" s="424"/>
      <c r="BR9" s="382"/>
      <c r="BS9" s="382"/>
      <c r="BT9" s="382"/>
      <c r="BU9" s="382"/>
      <c r="BV9" s="382"/>
      <c r="BW9" s="382"/>
      <c r="BX9" s="382"/>
      <c r="BY9" s="382"/>
      <c r="BZ9" s="382"/>
      <c r="CA9" s="382"/>
      <c r="CB9" s="382"/>
      <c r="CC9" s="382"/>
      <c r="CD9" s="382"/>
      <c r="CE9" s="382"/>
      <c r="CF9" s="382"/>
      <c r="CG9" s="382"/>
      <c r="CH9" s="382"/>
      <c r="CI9" s="382"/>
      <c r="CJ9" s="382"/>
      <c r="CK9" s="382"/>
      <c r="CL9" s="382"/>
      <c r="CM9" s="382"/>
      <c r="CN9" s="382"/>
      <c r="CO9" s="382"/>
      <c r="CP9" s="382"/>
      <c r="CQ9" s="382"/>
      <c r="CR9" s="382"/>
      <c r="CS9" s="382"/>
      <c r="CT9" s="382"/>
      <c r="CU9" s="382"/>
      <c r="CV9" s="382"/>
      <c r="CW9" s="382"/>
      <c r="CX9" s="382"/>
      <c r="CY9" s="382"/>
      <c r="CZ9" s="382"/>
      <c r="DA9" s="382"/>
      <c r="DB9" s="382"/>
      <c r="DC9" s="382"/>
      <c r="DD9" s="382"/>
      <c r="DE9" s="382"/>
      <c r="DF9" s="382"/>
      <c r="DG9" s="382"/>
      <c r="DH9" s="382"/>
      <c r="DI9" s="382"/>
      <c r="DJ9" s="382"/>
      <c r="DK9" s="382"/>
      <c r="DL9" s="382"/>
      <c r="DM9" s="382"/>
      <c r="DN9" s="382"/>
      <c r="DO9" s="382"/>
      <c r="DP9" s="382"/>
      <c r="DQ9" s="382"/>
      <c r="DR9" s="382"/>
      <c r="DS9" s="382"/>
      <c r="DT9" s="382"/>
      <c r="DU9" s="382"/>
      <c r="DV9" s="382"/>
      <c r="DW9" s="382"/>
      <c r="DX9" s="382"/>
      <c r="DY9" s="382"/>
      <c r="DZ9" s="382"/>
      <c r="EA9" s="382"/>
      <c r="EB9" s="382"/>
      <c r="EC9" s="382"/>
      <c r="ED9" s="382"/>
      <c r="EE9" s="382"/>
      <c r="EF9" s="382"/>
      <c r="EG9" s="382"/>
      <c r="EH9" s="382"/>
      <c r="EI9" s="382"/>
      <c r="EJ9" s="382"/>
      <c r="EK9" s="382"/>
      <c r="EL9" s="382"/>
      <c r="EM9" s="382"/>
      <c r="EN9" s="382"/>
      <c r="EO9" s="382"/>
      <c r="EP9" s="382"/>
      <c r="EQ9" s="382"/>
      <c r="ER9" s="382"/>
      <c r="ES9" s="382"/>
      <c r="ET9" s="382"/>
      <c r="EU9" s="382"/>
      <c r="EV9" s="382"/>
      <c r="EW9" s="382"/>
      <c r="EX9" s="382"/>
      <c r="EY9" s="393"/>
      <c r="EZ9" s="382"/>
      <c r="FA9" s="382"/>
      <c r="FB9" s="382"/>
      <c r="FC9" s="382"/>
      <c r="FD9" s="382"/>
      <c r="FE9" s="382"/>
      <c r="FF9" s="382"/>
      <c r="FG9" s="382"/>
      <c r="FH9" s="382"/>
      <c r="FI9" s="382"/>
      <c r="FJ9" s="382"/>
      <c r="FK9" s="382"/>
      <c r="FL9" s="382"/>
      <c r="FM9" s="382"/>
    </row>
    <row r="10" spans="1:169" s="395" customFormat="1" ht="12.75" customHeight="1" x14ac:dyDescent="0.2">
      <c r="A10" s="425" t="s">
        <v>59</v>
      </c>
      <c r="B10" s="620"/>
      <c r="C10" s="426"/>
      <c r="D10" s="412"/>
      <c r="E10" s="427"/>
      <c r="F10" s="428"/>
      <c r="G10" s="412"/>
      <c r="H10" s="418"/>
      <c r="I10" s="418"/>
      <c r="J10" s="418"/>
      <c r="K10" s="418"/>
      <c r="L10" s="418"/>
      <c r="M10" s="418"/>
      <c r="N10" s="418"/>
      <c r="O10" s="418"/>
      <c r="P10" s="418"/>
      <c r="Q10" s="421"/>
      <c r="R10" s="418"/>
      <c r="S10" s="418"/>
      <c r="T10" s="418"/>
      <c r="U10" s="418"/>
      <c r="V10" s="418"/>
      <c r="W10" s="418"/>
      <c r="X10" s="418"/>
      <c r="Y10" s="418"/>
      <c r="Z10" s="418"/>
      <c r="AA10" s="418"/>
      <c r="AB10" s="418"/>
      <c r="AC10" s="429"/>
      <c r="AD10" s="423"/>
      <c r="AE10" s="15"/>
      <c r="AF10" s="382"/>
      <c r="AG10" s="382"/>
      <c r="AH10" s="382"/>
      <c r="AI10" s="382"/>
      <c r="AJ10" s="382"/>
      <c r="AK10" s="382"/>
      <c r="AL10" s="382"/>
      <c r="AM10" s="382"/>
      <c r="AN10" s="382"/>
      <c r="AO10" s="382"/>
      <c r="AP10" s="382"/>
      <c r="AQ10" s="382"/>
      <c r="AR10" s="382"/>
      <c r="AS10" s="382"/>
      <c r="AT10" s="382"/>
      <c r="AU10" s="382"/>
      <c r="AV10" s="382"/>
      <c r="AW10" s="382"/>
      <c r="AX10" s="382"/>
      <c r="AY10" s="382"/>
      <c r="AZ10" s="382"/>
      <c r="BA10" s="382"/>
      <c r="BB10" s="382"/>
      <c r="BC10" s="382"/>
      <c r="BD10" s="382"/>
      <c r="BE10" s="382"/>
      <c r="BF10" s="382"/>
      <c r="BG10" s="382"/>
      <c r="BH10" s="382"/>
      <c r="BI10" s="382"/>
      <c r="BJ10" s="382"/>
      <c r="BK10" s="382"/>
      <c r="BL10" s="382"/>
      <c r="BM10" s="382"/>
      <c r="BN10" s="382"/>
      <c r="BO10" s="382"/>
      <c r="BP10" s="382"/>
      <c r="BQ10" s="382"/>
      <c r="BR10" s="382"/>
      <c r="BS10" s="382"/>
      <c r="BT10" s="382"/>
      <c r="BU10" s="382"/>
      <c r="BV10" s="382"/>
      <c r="BW10" s="382"/>
      <c r="BX10" s="382"/>
      <c r="BY10" s="382"/>
      <c r="BZ10" s="382"/>
      <c r="CA10" s="382"/>
      <c r="CB10" s="382"/>
      <c r="CC10" s="382"/>
      <c r="CD10" s="382"/>
      <c r="CE10" s="382"/>
      <c r="CF10" s="382"/>
      <c r="CG10" s="382"/>
      <c r="CH10" s="382"/>
      <c r="CI10" s="382"/>
      <c r="CJ10" s="382"/>
      <c r="CK10" s="382"/>
      <c r="CL10" s="382"/>
      <c r="CM10" s="382"/>
      <c r="CN10" s="382"/>
      <c r="CO10" s="382"/>
      <c r="CP10" s="382"/>
      <c r="CQ10" s="382"/>
      <c r="CR10" s="382"/>
      <c r="CS10" s="382"/>
      <c r="CT10" s="382"/>
      <c r="CU10" s="382"/>
      <c r="CV10" s="382"/>
      <c r="CW10" s="382"/>
      <c r="CX10" s="382"/>
      <c r="CY10" s="382"/>
      <c r="CZ10" s="382"/>
      <c r="DA10" s="382"/>
      <c r="DB10" s="382"/>
      <c r="DC10" s="382"/>
      <c r="DD10" s="382"/>
      <c r="DE10" s="382"/>
      <c r="DF10" s="382"/>
      <c r="DG10" s="382"/>
      <c r="DH10" s="382"/>
      <c r="DI10" s="382"/>
      <c r="DJ10" s="382"/>
      <c r="DK10" s="382"/>
      <c r="DL10" s="382"/>
      <c r="DM10" s="382"/>
      <c r="DN10" s="382"/>
      <c r="DO10" s="382"/>
      <c r="DP10" s="382"/>
      <c r="DQ10" s="382"/>
      <c r="DR10" s="382"/>
      <c r="DS10" s="382"/>
      <c r="DT10" s="382"/>
      <c r="DU10" s="382"/>
      <c r="DV10" s="382"/>
      <c r="DW10" s="382"/>
      <c r="DX10" s="382"/>
      <c r="DY10" s="382"/>
      <c r="DZ10" s="382"/>
      <c r="EA10" s="382"/>
      <c r="EB10" s="382"/>
      <c r="EC10" s="382"/>
      <c r="ED10" s="382"/>
      <c r="EE10" s="382"/>
      <c r="EF10" s="382"/>
      <c r="EG10" s="382"/>
      <c r="EH10" s="382"/>
      <c r="EI10" s="382"/>
      <c r="EJ10" s="382"/>
      <c r="EK10" s="382"/>
      <c r="EL10" s="382"/>
      <c r="EM10" s="382"/>
      <c r="EN10" s="382"/>
      <c r="EO10" s="382"/>
      <c r="EP10" s="382"/>
      <c r="EQ10" s="382"/>
      <c r="ER10" s="382"/>
      <c r="ES10" s="382"/>
      <c r="ET10" s="382"/>
      <c r="EU10" s="382"/>
      <c r="EV10" s="382"/>
      <c r="EW10" s="382"/>
      <c r="EX10" s="382"/>
      <c r="EY10" s="393"/>
      <c r="EZ10" s="382"/>
      <c r="FA10" s="382"/>
      <c r="FB10" s="382"/>
      <c r="FC10" s="382"/>
      <c r="FD10" s="382"/>
      <c r="FE10" s="382"/>
      <c r="FF10" s="382"/>
      <c r="FG10" s="382"/>
      <c r="FH10" s="382"/>
      <c r="FI10" s="382"/>
      <c r="FJ10" s="382"/>
      <c r="FK10" s="382"/>
      <c r="FL10" s="382"/>
      <c r="FM10" s="382"/>
    </row>
    <row r="11" spans="1:169" s="395" customFormat="1" ht="12.75" customHeight="1" x14ac:dyDescent="0.2">
      <c r="A11" s="425"/>
      <c r="B11" s="620"/>
      <c r="C11" s="426"/>
      <c r="D11" s="412"/>
      <c r="E11" s="427"/>
      <c r="F11" s="428"/>
      <c r="G11" s="412"/>
      <c r="H11" s="418"/>
      <c r="I11" s="418"/>
      <c r="J11" s="418"/>
      <c r="K11" s="418"/>
      <c r="L11" s="418"/>
      <c r="M11" s="418"/>
      <c r="N11" s="418"/>
      <c r="O11" s="418"/>
      <c r="P11" s="418"/>
      <c r="Q11" s="421"/>
      <c r="R11" s="418"/>
      <c r="S11" s="418"/>
      <c r="T11" s="418"/>
      <c r="U11" s="418"/>
      <c r="V11" s="418"/>
      <c r="W11" s="418"/>
      <c r="X11" s="418"/>
      <c r="Y11" s="418"/>
      <c r="Z11" s="418"/>
      <c r="AA11" s="418"/>
      <c r="AB11" s="418"/>
      <c r="AC11" s="429"/>
      <c r="AD11" s="423"/>
      <c r="AE11" s="15"/>
      <c r="AF11" s="382"/>
      <c r="AG11" s="382"/>
      <c r="AH11" s="382"/>
      <c r="AI11" s="382"/>
      <c r="AJ11" s="382"/>
      <c r="AK11" s="382"/>
      <c r="AL11" s="382"/>
      <c r="AM11" s="382"/>
      <c r="AN11" s="382"/>
      <c r="AO11" s="382"/>
      <c r="AP11" s="382"/>
      <c r="AQ11" s="382"/>
      <c r="AR11" s="382"/>
      <c r="AS11" s="382"/>
      <c r="AT11" s="382"/>
      <c r="AU11" s="382"/>
      <c r="AV11" s="382"/>
      <c r="AW11" s="382"/>
      <c r="AX11" s="382"/>
      <c r="AY11" s="382"/>
      <c r="AZ11" s="382"/>
      <c r="BA11" s="382"/>
      <c r="BB11" s="382"/>
      <c r="BC11" s="382"/>
      <c r="BD11" s="382"/>
      <c r="BE11" s="382"/>
      <c r="BF11" s="382"/>
      <c r="BG11" s="382"/>
      <c r="BH11" s="382"/>
      <c r="BI11" s="382"/>
      <c r="BJ11" s="382"/>
      <c r="BK11" s="382"/>
      <c r="BL11" s="382"/>
      <c r="BM11" s="382"/>
      <c r="BN11" s="382"/>
      <c r="BO11" s="382"/>
      <c r="BP11" s="382"/>
      <c r="BQ11" s="382"/>
      <c r="BR11" s="382"/>
      <c r="BS11" s="382"/>
      <c r="BT11" s="382"/>
      <c r="BU11" s="382"/>
      <c r="BV11" s="382"/>
      <c r="BW11" s="382"/>
      <c r="BX11" s="382"/>
      <c r="BY11" s="382"/>
      <c r="BZ11" s="382"/>
      <c r="CA11" s="382"/>
      <c r="CB11" s="382"/>
      <c r="CC11" s="382"/>
      <c r="CD11" s="382"/>
      <c r="CE11" s="382"/>
      <c r="CF11" s="382"/>
      <c r="CG11" s="382"/>
      <c r="CH11" s="382"/>
      <c r="CI11" s="382"/>
      <c r="CJ11" s="382"/>
      <c r="CK11" s="382"/>
      <c r="CL11" s="382"/>
      <c r="CM11" s="382"/>
      <c r="CN11" s="382"/>
      <c r="CO11" s="382"/>
      <c r="CP11" s="382"/>
      <c r="CQ11" s="382"/>
      <c r="CR11" s="382"/>
      <c r="CS11" s="382"/>
      <c r="CT11" s="382"/>
      <c r="CU11" s="382"/>
      <c r="CV11" s="382"/>
      <c r="CW11" s="382"/>
      <c r="CX11" s="382"/>
      <c r="CY11" s="382"/>
      <c r="CZ11" s="382"/>
      <c r="DA11" s="382"/>
      <c r="DB11" s="382"/>
      <c r="DC11" s="382"/>
      <c r="DD11" s="382"/>
      <c r="DE11" s="382"/>
      <c r="DF11" s="382"/>
      <c r="DG11" s="382"/>
      <c r="DH11" s="382"/>
      <c r="DI11" s="382"/>
      <c r="DJ11" s="382"/>
      <c r="DK11" s="382"/>
      <c r="DL11" s="382"/>
      <c r="DM11" s="382"/>
      <c r="DN11" s="382"/>
      <c r="DO11" s="382"/>
      <c r="DP11" s="382"/>
      <c r="DQ11" s="382"/>
      <c r="DR11" s="382"/>
      <c r="DS11" s="382"/>
      <c r="DT11" s="382"/>
      <c r="DU11" s="382"/>
      <c r="DV11" s="382"/>
      <c r="DW11" s="382"/>
      <c r="DX11" s="382"/>
      <c r="DY11" s="382"/>
      <c r="DZ11" s="382"/>
      <c r="EA11" s="382"/>
      <c r="EB11" s="382"/>
      <c r="EC11" s="382"/>
      <c r="ED11" s="382"/>
      <c r="EE11" s="382"/>
      <c r="EF11" s="382"/>
      <c r="EG11" s="382"/>
      <c r="EH11" s="382"/>
      <c r="EI11" s="382"/>
      <c r="EJ11" s="382"/>
      <c r="EK11" s="382"/>
      <c r="EL11" s="382"/>
      <c r="EM11" s="382"/>
      <c r="EN11" s="382"/>
      <c r="EO11" s="382"/>
      <c r="EP11" s="382"/>
      <c r="EQ11" s="382"/>
      <c r="ER11" s="382"/>
      <c r="ES11" s="382"/>
      <c r="ET11" s="382"/>
      <c r="EU11" s="382"/>
      <c r="EV11" s="382"/>
      <c r="EW11" s="382"/>
      <c r="EX11" s="382"/>
      <c r="EY11" s="393"/>
      <c r="EZ11" s="382"/>
      <c r="FA11" s="382"/>
      <c r="FB11" s="382"/>
      <c r="FC11" s="382"/>
      <c r="FD11" s="382"/>
      <c r="FE11" s="382"/>
      <c r="FF11" s="382"/>
      <c r="FG11" s="382"/>
      <c r="FH11" s="382"/>
      <c r="FI11" s="382"/>
      <c r="FJ11" s="382"/>
      <c r="FK11" s="382"/>
      <c r="FL11" s="382"/>
      <c r="FM11" s="382"/>
    </row>
    <row r="12" spans="1:169" s="1258" customFormat="1" ht="12.75" customHeight="1" x14ac:dyDescent="0.2">
      <c r="A12" s="445" t="s">
        <v>49</v>
      </c>
      <c r="B12" s="621" t="s">
        <v>320</v>
      </c>
      <c r="C12" s="446">
        <v>35520</v>
      </c>
      <c r="D12" s="447">
        <v>1</v>
      </c>
      <c r="E12" s="705">
        <f>VLOOKUP(AH$8,ASRS_E2!A1:E488,3,FALSE)/1000000</f>
        <v>5023.4902185699993</v>
      </c>
      <c r="F12" s="449">
        <f>AH12</f>
        <v>3.9583599999999999</v>
      </c>
      <c r="G12" s="450">
        <f t="array" ref="G12">IF($AJ12=0,"---",(PRODUCT($AH12:AJ12/100+1)-1)*100)</f>
        <v>4.6507633271474225</v>
      </c>
      <c r="H12" s="450">
        <f t="array" ref="H12">IF($AS12=0,"---",(PRODUCT(AH12:AN12/100+1)-1)*100)</f>
        <v>13.783872390942031</v>
      </c>
      <c r="I12" s="450">
        <f t="array" ref="I12">IF(AS12=0,"---",(GEOMEAN($AH12:AS12/100+1)^12-1)*100)</f>
        <v>25.205235359108215</v>
      </c>
      <c r="J12" s="450">
        <f t="array" ref="J12">IF(BE12=0,"---",(GEOMEAN($AH12:BE12/100+1)^12-1)*100)</f>
        <v>21.88047034638414</v>
      </c>
      <c r="K12" s="450">
        <f t="array" ref="K12">IF(BQ12=0,"---",(GEOMEAN($AH12:BQ12/100+1)^12-1)*100)</f>
        <v>20.564168914596024</v>
      </c>
      <c r="L12" s="450">
        <f t="array" ref="L12">IF(CC12=0,"---",(GEOMEAN($AH12:CC12/100+1)^12-1)*100)</f>
        <v>20.045403913150416</v>
      </c>
      <c r="M12" s="450">
        <f t="array" ref="M12">IF(CO12=0,"---",(GEOMEAN($AH12:CO12/100+1)^12-1)*100)</f>
        <v>16.851324439387881</v>
      </c>
      <c r="N12" s="450">
        <f t="array" ref="N12">IF(DM12=0,"---",(GEOMEAN($AH12:DM12/100+1)^12-1)*100)</f>
        <v>6.8050590354037155</v>
      </c>
      <c r="O12" s="450">
        <f t="array" ref="O12">IF(EK12=0,"---",(GEOMEAN($AH12:EK12/100+1)^12-1)*100)</f>
        <v>7.9759468905155284</v>
      </c>
      <c r="P12" s="450">
        <f t="array" ref="P12">IF(EW12=0,"---",(GEOMEAN($AH12:EW12/100+1)^12-1)*100)</f>
        <v>8.417927109830714</v>
      </c>
      <c r="Q12" s="451">
        <f t="array" ref="Q12">(GEOMEAN(ASRS_E2!B$264:B471/100+1)^12-1)*100</f>
        <v>7.5753263209556998</v>
      </c>
      <c r="R12" s="452">
        <f t="shared" ref="R12:AB12" si="2">IF(F12="---","---",(F12-F$14)*100)</f>
        <v>-4.2139999999999844</v>
      </c>
      <c r="S12" s="452">
        <f t="shared" si="2"/>
        <v>-3.423826996782342</v>
      </c>
      <c r="T12" s="452">
        <f t="shared" si="2"/>
        <v>-3.6617466277787614</v>
      </c>
      <c r="U12" s="452">
        <f t="shared" si="2"/>
        <v>-4.0399887310613281</v>
      </c>
      <c r="V12" s="452">
        <f t="shared" si="2"/>
        <v>-5.0427721017708649</v>
      </c>
      <c r="W12" s="452">
        <f t="shared" si="2"/>
        <v>-4.1967372221154875</v>
      </c>
      <c r="X12" s="452">
        <f t="shared" si="2"/>
        <v>-3.0962090478794835</v>
      </c>
      <c r="Y12" s="452">
        <f t="shared" si="2"/>
        <v>-2.5770230383351134</v>
      </c>
      <c r="Z12" s="452">
        <f t="shared" si="2"/>
        <v>1.1137702817554107</v>
      </c>
      <c r="AA12" s="452">
        <f t="shared" si="2"/>
        <v>5.4039506653369429</v>
      </c>
      <c r="AB12" s="452">
        <f t="shared" si="2"/>
        <v>4.1290345184584964</v>
      </c>
      <c r="AC12" s="453">
        <f>(Q12-AF12)*100</f>
        <v>7.4845395753087018</v>
      </c>
      <c r="AD12" s="454">
        <v>5</v>
      </c>
      <c r="AE12" s="1413"/>
      <c r="AF12" s="1414">
        <f t="array" ref="AF12">(GEOMEAN(Index_Returns!B264:B471/100+1)^12-1)*100</f>
        <v>7.5004809252026128</v>
      </c>
      <c r="AG12" s="1257" t="str">
        <f>IF(I12="---","&lt; 1 Year","---")</f>
        <v>---</v>
      </c>
      <c r="AH12" s="1256">
        <f>VLOOKUP(AH$8,ASRS_E2!$A$1:$E$488,2,FALSE)</f>
        <v>3.9583599999999999</v>
      </c>
      <c r="AI12" s="1256">
        <f>VLOOKUP(AI$8,ASRS_E2!$A$1:$E$488,2,FALSE)</f>
        <v>-1.37687</v>
      </c>
      <c r="AJ12" s="1256">
        <f>VLOOKUP(AJ$8,ASRS_E2!$A$1:$E$488,2,FALSE)</f>
        <v>2.0714299999999999</v>
      </c>
      <c r="AK12" s="1256">
        <f>VLOOKUP(AK$8,ASRS_E2!$A$1:$E$488,2,FALSE)</f>
        <v>2.3490000000000002</v>
      </c>
      <c r="AL12" s="1256">
        <f>VLOOKUP(AL$8,ASRS_E2!$A$1:$E$488,2,FALSE)</f>
        <v>0.75473999999999997</v>
      </c>
      <c r="AM12" s="1256">
        <f>VLOOKUP(AM$8,ASRS_E2!$A$1:$E$488,2,FALSE)</f>
        <v>0.82828999999999997</v>
      </c>
      <c r="AN12" s="1256">
        <f>VLOOKUP(AN$8,ASRS_E2!$A$1:$E$488,2,FALSE)</f>
        <v>4.5699300000000003</v>
      </c>
      <c r="AO12" s="1256">
        <f>VLOOKUP(AO$8,ASRS_E2!$A$1:$E$488,2,FALSE)</f>
        <v>-3.46278</v>
      </c>
      <c r="AP12" s="1256">
        <f>VLOOKUP(AP$8,ASRS_E2!$A$1:$E$488,2,FALSE)</f>
        <v>2.5305900000000001</v>
      </c>
      <c r="AQ12" s="1256">
        <f>VLOOKUP(AQ$8,ASRS_E2!$A$1:$E$488,2,FALSE)</f>
        <v>3.05308</v>
      </c>
      <c r="AR12" s="1256">
        <f>VLOOKUP(AR$8,ASRS_E2!$A$1:$E$488,2,FALSE)</f>
        <v>4.5953299999999997</v>
      </c>
      <c r="AS12" s="1256">
        <f>VLOOKUP(AS$8,ASRS_E2!$A$1:$E$488,2,FALSE)</f>
        <v>3.1383700000000001</v>
      </c>
      <c r="AT12" s="1256">
        <f>VLOOKUP(AT$8,ASRS_E2!$A$1:$E$488,2,FALSE)</f>
        <v>-2.91073</v>
      </c>
      <c r="AU12" s="1256">
        <f>VLOOKUP(AU$8,ASRS_E2!$A$1:$E$488,2,FALSE)</f>
        <v>5.0981699999999996</v>
      </c>
      <c r="AV12" s="1256">
        <f>VLOOKUP(AV$8,ASRS_E2!$A$1:$E$488,2,FALSE)</f>
        <v>-1.37754</v>
      </c>
      <c r="AW12" s="1256">
        <f>VLOOKUP(AW$8,ASRS_E2!$A$1:$E$488,2,FALSE)</f>
        <v>2.2665600000000001</v>
      </c>
      <c r="AX12" s="1256">
        <f>VLOOKUP(AX$8,ASRS_E2!$A$1:$E$488,2,FALSE)</f>
        <v>1.9178200000000001</v>
      </c>
      <c r="AY12" s="1256">
        <f>VLOOKUP(AY$8,ASRS_E2!$A$1:$E$488,2,FALSE)</f>
        <v>3.7465899999999999</v>
      </c>
      <c r="AZ12" s="1256">
        <f>VLOOKUP(AZ$8,ASRS_E2!$A$1:$E$488,2,FALSE)</f>
        <v>1.36378</v>
      </c>
      <c r="BA12" s="1256">
        <f>VLOOKUP(BA$8,ASRS_E2!$A$1:$E$488,2,FALSE)</f>
        <v>5.2032299999999996</v>
      </c>
      <c r="BB12" s="1256">
        <f>VLOOKUP(BB$8,ASRS_E2!$A$1:$E$488,2,FALSE)</f>
        <v>0.91585000000000005</v>
      </c>
      <c r="BC12" s="1256">
        <f>VLOOKUP(BC$8,ASRS_E2!$A$1:$E$488,2,FALSE)</f>
        <v>0.58677999999999997</v>
      </c>
      <c r="BD12" s="1256">
        <f>VLOOKUP(BD$8,ASRS_E2!$A$1:$E$488,2,FALSE)</f>
        <v>-1.8133300000000001</v>
      </c>
      <c r="BE12" s="1256">
        <f>VLOOKUP(BE$8,ASRS_E2!$A$1:$E$488,2,FALSE)</f>
        <v>2.5843799999999999</v>
      </c>
      <c r="BF12" s="1256">
        <f>VLOOKUP(BF$8,ASRS_E2!$A$1:$E$488,2,FALSE)</f>
        <v>2.2377799999999999</v>
      </c>
      <c r="BG12" s="1256">
        <f>VLOOKUP(BG$8,ASRS_E2!$A$1:$E$488,2,FALSE)</f>
        <v>1.38585</v>
      </c>
      <c r="BH12" s="1256">
        <f>VLOOKUP(BH$8,ASRS_E2!$A$1:$E$488,2,FALSE)</f>
        <v>4.1136499999999998</v>
      </c>
      <c r="BI12" s="1256">
        <f>VLOOKUP(BI$8,ASRS_E2!$A$1:$E$488,2,FALSE)</f>
        <v>-6.0202</v>
      </c>
      <c r="BJ12" s="1256">
        <f>VLOOKUP(BJ$8,ASRS_E2!$A$1:$E$488,2,FALSE)</f>
        <v>-0.63346999999999998</v>
      </c>
      <c r="BK12" s="1256">
        <f>VLOOKUP(BK$8,ASRS_E2!$A$1:$E$488,2,FALSE)</f>
        <v>3.2910499999999998</v>
      </c>
      <c r="BL12" s="1256">
        <f>VLOOKUP(BL$8,ASRS_E2!$A$1:$E$488,2,FALSE)</f>
        <v>4.3292099999999998</v>
      </c>
      <c r="BM12" s="1256">
        <f>VLOOKUP(BM$8,ASRS_E2!$A$1:$E$488,2,FALSE)</f>
        <v>4.4782299999999999</v>
      </c>
      <c r="BN12" s="1256">
        <f>VLOOKUP(BN$8,ASRS_E2!$A$1:$E$488,2,FALSE)</f>
        <v>1.0308200000000001</v>
      </c>
      <c r="BO12" s="1256">
        <f>VLOOKUP(BO$8,ASRS_E2!$A$1:$E$488,2,FALSE)</f>
        <v>-0.21274999999999999</v>
      </c>
      <c r="BP12" s="1256">
        <f>VLOOKUP(BP$8,ASRS_E2!$A$1:$E$488,2,FALSE)</f>
        <v>10.92304</v>
      </c>
      <c r="BQ12" s="1256">
        <f>VLOOKUP(BQ$8,ASRS_E2!$A$1:$E$488,2,FALSE)</f>
        <v>-7.0241100000000003</v>
      </c>
      <c r="BR12" s="1256">
        <f>VLOOKUP(BR$8,ASRS_E2!$A$1:$E$488,2,FALSE)</f>
        <v>-5.4327100000000002</v>
      </c>
      <c r="BS12" s="1256">
        <f>VLOOKUP(BS$8,ASRS_E2!$A$1:$E$488,2,FALSE)</f>
        <v>-2.0261300000000002</v>
      </c>
      <c r="BT12" s="1256">
        <f>VLOOKUP(BT$8,ASRS_E2!$A$1:$E$488,2,FALSE)</f>
        <v>-1.68076</v>
      </c>
      <c r="BU12" s="1256">
        <f>VLOOKUP(BU$8,ASRS_E2!$A$1:$E$488,2,FALSE)</f>
        <v>-1.1308199999999999</v>
      </c>
      <c r="BV12" s="1256">
        <f>VLOOKUP(BV$8,ASRS_E2!$A$1:$E$488,2,FALSE)</f>
        <v>2.9378099999999998</v>
      </c>
      <c r="BW12" s="1256">
        <f>VLOOKUP(BW$8,ASRS_E2!$A$1:$E$488,2,FALSE)</f>
        <v>5.6779999999999997E-2</v>
      </c>
      <c r="BX12" s="1256">
        <f>VLOOKUP(BX$8,ASRS_E2!$A$1:$E$488,2,FALSE)</f>
        <v>3.4164300000000001</v>
      </c>
      <c r="BY12" s="1256">
        <f>VLOOKUP(BY$8,ASRS_E2!$A$1:$E$488,2,FALSE)</f>
        <v>2.3774199999999999</v>
      </c>
      <c r="BZ12" s="1256">
        <f>VLOOKUP(BZ$8,ASRS_E2!$A$1:$E$488,2,FALSE)</f>
        <v>6.69062</v>
      </c>
      <c r="CA12" s="1256">
        <f>VLOOKUP(CA$8,ASRS_E2!$A$1:$E$488,2,FALSE)</f>
        <v>1.451E-2</v>
      </c>
      <c r="CB12" s="1256">
        <f>VLOOKUP(CB$8,ASRS_E2!$A$1:$E$488,2,FALSE)</f>
        <v>3.8041499999999999</v>
      </c>
      <c r="CC12" s="1256">
        <f>VLOOKUP(CC$8,ASRS_E2!$A$1:$E$488,2,FALSE)</f>
        <v>8.9325299999999999</v>
      </c>
      <c r="CD12" s="1256">
        <f>VLOOKUP(CD$8,ASRS_E2!$A$1:$E$488,2,FALSE)</f>
        <v>-4.5105199999999996</v>
      </c>
      <c r="CE12" s="1256">
        <f>VLOOKUP(CE$8,ASRS_E2!$A$1:$E$488,2,FALSE)</f>
        <v>7.0002700000000004</v>
      </c>
      <c r="CF12" s="1256">
        <f>VLOOKUP(CF$8,ASRS_E2!$A$1:$E$488,2,FALSE)</f>
        <v>-5.23</v>
      </c>
      <c r="CG12" s="1256">
        <f>VLOOKUP(CG$8,ASRS_E2!$A$1:$E$488,2,FALSE)</f>
        <v>-7.98</v>
      </c>
      <c r="CH12" s="1256">
        <f>VLOOKUP(CH$8,ASRS_E2!$A$1:$E$488,2,FALSE)</f>
        <v>1.57</v>
      </c>
      <c r="CI12" s="1256">
        <f>VLOOKUP(CI$8,ASRS_E2!$A$1:$E$488,2,FALSE)</f>
        <v>6.03</v>
      </c>
      <c r="CJ12" s="1256">
        <f>VLOOKUP(CJ$8,ASRS_E2!$A$1:$E$488,2,FALSE)</f>
        <v>3.11</v>
      </c>
      <c r="CK12" s="1256">
        <f>VLOOKUP(CK$8,ASRS_E2!$A$1:$E$488,2,FALSE)</f>
        <v>-3.59</v>
      </c>
      <c r="CL12" s="1256">
        <f>VLOOKUP(CL$8,ASRS_E2!$A$1:$E$488,2,FALSE)</f>
        <v>1.95</v>
      </c>
      <c r="CM12" s="1256">
        <f>VLOOKUP(CM$8,ASRS_E2!$A$1:$E$488,2,FALSE)</f>
        <v>5.98</v>
      </c>
      <c r="CN12" s="1256">
        <f>VLOOKUP(CN$8,ASRS_E2!$A$1:$E$488,2,FALSE)</f>
        <v>-1.87</v>
      </c>
      <c r="CO12" s="1256">
        <f>VLOOKUP(CO$8,ASRS_E2!$A$1:$E$488,2,FALSE)</f>
        <v>3.72</v>
      </c>
      <c r="CP12" s="1256">
        <f>VLOOKUP(CP$8,ASRS_E2!$A$1:$E$488,2,FALSE)</f>
        <v>3.65</v>
      </c>
      <c r="CQ12" s="1256">
        <f>VLOOKUP(CQ$8,ASRS_E2!$A$1:$E$488,2,FALSE)</f>
        <v>7.61</v>
      </c>
      <c r="CR12" s="1256">
        <f>VLOOKUP(CR$8,ASRS_E2!$A$1:$E$488,2,FALSE)</f>
        <v>0.23</v>
      </c>
      <c r="CS12" s="1256">
        <f>VLOOKUP(CS$8,ASRS_E2!$A$1:$E$488,2,FALSE)</f>
        <v>5.55</v>
      </c>
      <c r="CT12" s="1256">
        <f>VLOOKUP(CT$8,ASRS_E2!$A$1:$E$488,2,FALSE)</f>
        <v>9.44</v>
      </c>
      <c r="CU12" s="1256">
        <f>VLOOKUP(CU$8,ASRS_E2!$A$1:$E$488,2,FALSE)</f>
        <v>8.68</v>
      </c>
      <c r="CV12" s="1256">
        <f>VLOOKUP(CV$8,ASRS_E2!$A$1:$E$488,2,FALSE)</f>
        <v>-10.56</v>
      </c>
      <c r="CW12" s="1256">
        <f>VLOOKUP(CW$8,ASRS_E2!$A$1:$E$488,2,FALSE)</f>
        <v>-8.25</v>
      </c>
      <c r="CX12" s="1256">
        <f>VLOOKUP(CX$8,ASRS_E2!$A$1:$E$488,2,FALSE)</f>
        <v>1.08</v>
      </c>
      <c r="CY12" s="1256">
        <f>VLOOKUP(CY$8,ASRS_E2!$A$1:$E$488,2,FALSE)</f>
        <v>-7.12</v>
      </c>
      <c r="CZ12" s="1256">
        <f>VLOOKUP(CZ$8,ASRS_E2!$A$1:$E$488,2,FALSE)</f>
        <v>-16.93</v>
      </c>
      <c r="DA12" s="1256">
        <f>VLOOKUP(DA$8,ASRS_E2!$A$1:$E$488,2,FALSE)</f>
        <v>-8.9</v>
      </c>
      <c r="DB12" s="1256">
        <f>VLOOKUP(DB$8,ASRS_E2!$A$1:$E$488,2,FALSE)</f>
        <v>1.42</v>
      </c>
      <c r="DC12" s="1256">
        <f>VLOOKUP(DC$8,ASRS_E2!$A$1:$E$488,2,FALSE)</f>
        <v>-0.79</v>
      </c>
      <c r="DD12" s="1256">
        <f>VLOOKUP(DD$8,ASRS_E2!$A$1:$E$488,2,FALSE)</f>
        <v>-8.4</v>
      </c>
      <c r="DE12" s="1256">
        <f>VLOOKUP(DE$8,ASRS_E2!$A$1:$E$488,2,FALSE)</f>
        <v>1.3</v>
      </c>
      <c r="DF12" s="1256">
        <f>VLOOKUP(DF$8,ASRS_E2!$A$1:$E$488,2,FALSE)</f>
        <v>4.8600000000000003</v>
      </c>
      <c r="DG12" s="1256">
        <f>VLOOKUP(DG$8,ASRS_E2!$A$1:$E$488,2,FALSE)</f>
        <v>-0.37</v>
      </c>
      <c r="DH12" s="1256">
        <f>VLOOKUP(DH$8,ASRS_E2!$A$1:$E$488,2,FALSE)</f>
        <v>-3.06</v>
      </c>
      <c r="DI12" s="1256">
        <f>VLOOKUP(DI$8,ASRS_E2!$A$1:$E$488,2,FALSE)</f>
        <v>-6.11</v>
      </c>
      <c r="DJ12" s="1256">
        <f>VLOOKUP(DJ$8,ASRS_E2!$A$1:$E$488,2,FALSE)</f>
        <v>-0.7</v>
      </c>
      <c r="DK12" s="1256">
        <f>VLOOKUP(DK$8,ASRS_E2!$A$1:$E$488,2,FALSE)</f>
        <v>-4.18</v>
      </c>
      <c r="DL12" s="1256">
        <f>VLOOKUP(DL$8,ASRS_E2!$A$1:$E$488,2,FALSE)</f>
        <v>1.51</v>
      </c>
      <c r="DM12" s="1256">
        <f>VLOOKUP(DM$8,ASRS_E2!$A$1:$E$488,2,FALSE)</f>
        <v>3.72</v>
      </c>
      <c r="DN12" s="1256">
        <f>VLOOKUP(DN$8,ASRS_E2!$A$1:$E$488,2,FALSE)</f>
        <v>1.51</v>
      </c>
      <c r="DO12" s="1256">
        <f>VLOOKUP(DO$8,ASRS_E2!$A$1:$E$488,2,FALSE)</f>
        <v>-3.07</v>
      </c>
      <c r="DP12" s="1256">
        <f>VLOOKUP(DP$8,ASRS_E2!$A$1:$E$488,2,FALSE)</f>
        <v>-1.66</v>
      </c>
      <c r="DQ12" s="1256">
        <f>VLOOKUP(DQ$8,ASRS_E2!$A$1:$E$488,2,FALSE)</f>
        <v>3.5</v>
      </c>
      <c r="DR12" s="1256">
        <f>VLOOKUP(DR$8,ASRS_E2!$A$1:$E$488,2,FALSE)</f>
        <v>4.4400000000000004</v>
      </c>
      <c r="DS12" s="1256">
        <f>VLOOKUP(DS$8,ASRS_E2!$A$1:$E$488,2,FALSE)</f>
        <v>1.1000000000000001</v>
      </c>
      <c r="DT12" s="1256">
        <f>VLOOKUP(DT$8,ASRS_E2!$A$1:$E$488,2,FALSE)</f>
        <v>-1.94</v>
      </c>
      <c r="DU12" s="1256">
        <f>VLOOKUP(DU$8,ASRS_E2!$A$1:$E$488,2,FALSE)</f>
        <v>1.52</v>
      </c>
      <c r="DV12" s="1256">
        <f>VLOOKUP(DV$8,ASRS_E2!$A$1:$E$488,2,FALSE)</f>
        <v>1.37</v>
      </c>
      <c r="DW12" s="1256">
        <f>VLOOKUP(DW$8,ASRS_E2!$A$1:$E$488,2,FALSE)</f>
        <v>1.92</v>
      </c>
      <c r="DX12" s="1256">
        <f>VLOOKUP(DX$8,ASRS_E2!$A$1:$E$488,2,FALSE)</f>
        <v>3.27</v>
      </c>
      <c r="DY12" s="1256">
        <f>VLOOKUP(DY$8,ASRS_E2!$A$1:$E$488,2,FALSE)</f>
        <v>2.6</v>
      </c>
      <c r="DZ12" s="1256">
        <f>VLOOKUP(DZ$8,ASRS_E2!$A$1:$E$488,2,FALSE)</f>
        <v>2.42</v>
      </c>
      <c r="EA12" s="1256">
        <f>VLOOKUP(EA$8,ASRS_E2!$A$1:$E$488,2,FALSE)</f>
        <v>0.63</v>
      </c>
      <c r="EB12" s="1256">
        <f>VLOOKUP(EB$8,ASRS_E2!$A$1:$E$488,2,FALSE)</f>
        <v>0.19</v>
      </c>
      <c r="EC12" s="1256">
        <f>VLOOKUP(EC$8,ASRS_E2!$A$1:$E$488,2,FALSE)</f>
        <v>-2.82</v>
      </c>
      <c r="ED12" s="1256">
        <f>VLOOKUP(ED$8,ASRS_E2!$A$1:$E$488,2,FALSE)</f>
        <v>1.31</v>
      </c>
      <c r="EE12" s="1256">
        <f>VLOOKUP(EE$8,ASRS_E2!$A$1:$E$488,2,FALSE)</f>
        <v>1.31</v>
      </c>
      <c r="EF12" s="1256">
        <f>VLOOKUP(EF$8,ASRS_E2!$A$1:$E$488,2,FALSE)</f>
        <v>0.26</v>
      </c>
      <c r="EG12" s="1256">
        <f>VLOOKUP(EG$8,ASRS_E2!$A$1:$E$488,2,FALSE)</f>
        <v>2.68</v>
      </c>
      <c r="EH12" s="1256">
        <f>VLOOKUP(EH$8,ASRS_E2!$A$1:$E$488,2,FALSE)</f>
        <v>0.01</v>
      </c>
      <c r="EI12" s="1256">
        <f>VLOOKUP(EI$8,ASRS_E2!$A$1:$E$488,2,FALSE)</f>
        <v>3.81</v>
      </c>
      <c r="EJ12" s="1256">
        <f>VLOOKUP(EJ$8,ASRS_E2!$A$1:$E$488,2,FALSE)</f>
        <v>-1.62</v>
      </c>
      <c r="EK12" s="1256">
        <f>VLOOKUP(EK$8,ASRS_E2!$A$1:$E$488,2,FALSE)</f>
        <v>0.83</v>
      </c>
      <c r="EL12" s="1256">
        <f>VLOOKUP(EL$8,ASRS_E2!$A$1:$E$488,2,FALSE)</f>
        <v>-0.96</v>
      </c>
      <c r="EM12" s="1256">
        <f>VLOOKUP(EM$8,ASRS_E2!$A$1:$E$488,2,FALSE)</f>
        <v>3.71</v>
      </c>
      <c r="EN12" s="1256">
        <f>VLOOKUP(EN$8,ASRS_E2!$A$1:$E$488,2,FALSE)</f>
        <v>0.13</v>
      </c>
      <c r="EO12" s="1256">
        <f>VLOOKUP(EO$8,ASRS_E2!$A$1:$E$488,2,FALSE)</f>
        <v>3.19</v>
      </c>
      <c r="EP12" s="1256">
        <f>VLOOKUP(EP$8,ASRS_E2!$A$1:$E$488,2,FALSE)</f>
        <v>-1.91</v>
      </c>
      <c r="EQ12" s="1256">
        <f>VLOOKUP(EQ$8,ASRS_E2!$A$1:$E$488,2,FALSE)</f>
        <v>-1.77</v>
      </c>
      <c r="ER12" s="1256">
        <f>VLOOKUP(ER$8,ASRS_E2!$A$1:$E$488,2,FALSE)</f>
        <v>2.1</v>
      </c>
      <c r="ES12" s="1256">
        <f>VLOOKUP(ES$8,ASRS_E2!$A$1:$E$488,2,FALSE)</f>
        <v>-2.42</v>
      </c>
      <c r="ET12" s="1256">
        <f>VLOOKUP(ET$8,ASRS_E2!$A$1:$E$488,2,FALSE)</f>
        <v>3.4</v>
      </c>
      <c r="EU12" s="1256">
        <f>VLOOKUP(EU$8,ASRS_E2!$A$1:$E$488,2,FALSE)</f>
        <v>4.05</v>
      </c>
      <c r="EV12" s="1256">
        <f>VLOOKUP(EV$8,ASRS_E2!$A$1:$E$488,2,FALSE)</f>
        <v>1.53</v>
      </c>
      <c r="EW12" s="1256">
        <f>VLOOKUP(EW$8,ASRS_E2!$A$1:$E$488,2,FALSE)</f>
        <v>1.07</v>
      </c>
      <c r="EX12" s="1323" t="s">
        <v>49</v>
      </c>
      <c r="EY12" s="1324" t="s">
        <v>465</v>
      </c>
      <c r="EZ12" s="1325">
        <f>VLOOKUP($EY12,'NEPC data'!$B4:$M191,5,TRUE)*100</f>
        <v>-10.815887840000006</v>
      </c>
      <c r="FA12" s="1325">
        <f>VLOOKUP($EY12,'NEPC data'!$B4:$M191,7,TRUE)*100</f>
        <v>-37.965776718617349</v>
      </c>
      <c r="FB12" s="1325">
        <f>VLOOKUP($EY12,'NEPC data'!$B4:$M191,9,TRUE)*100</f>
        <v>-12.925302329766385</v>
      </c>
      <c r="FC12" s="1325">
        <f>VLOOKUP($EY12,'NEPC data'!$B4:$M191,10,TRUE)*100</f>
        <v>-4.656025602981595</v>
      </c>
      <c r="FD12" s="1325">
        <f>VLOOKUP($EY12,'NEPC data'!$B4:$M191,11,TRUE)*100</f>
        <v>-2.8970758355661874</v>
      </c>
      <c r="FE12" s="1257"/>
      <c r="FF12" s="1326">
        <f>IF(G12="---","-",ABS(EZ12-G12))</f>
        <v>15.466651167147429</v>
      </c>
      <c r="FG12" s="1326">
        <f>IF(I12="---","-",ABS(FA12-I12))</f>
        <v>63.171012077725564</v>
      </c>
      <c r="FH12" s="1326">
        <f>IF(K12="---","-",ABS(FB12-K12))</f>
        <v>33.489471244362406</v>
      </c>
      <c r="FI12" s="1326">
        <f>IF(M12="---","-",ABS(FC12-M12))</f>
        <v>21.507350042369474</v>
      </c>
      <c r="FJ12" s="1326">
        <f>IF(Q12="---","-",ABS(FD12-Q12))</f>
        <v>10.472402156521888</v>
      </c>
      <c r="FK12" s="1257"/>
      <c r="FL12" s="1255">
        <f>AF12</f>
        <v>7.5004809252026128</v>
      </c>
      <c r="FM12" s="1255">
        <f>ABS(FL12-AF12)</f>
        <v>0</v>
      </c>
    </row>
    <row r="13" spans="1:169" s="395" customFormat="1" ht="12.75" hidden="1" customHeight="1" outlineLevel="1" x14ac:dyDescent="0.2">
      <c r="A13" s="445" t="s">
        <v>676</v>
      </c>
      <c r="B13" s="621" t="s">
        <v>320</v>
      </c>
      <c r="C13" s="446">
        <v>32720</v>
      </c>
      <c r="D13" s="447">
        <v>1</v>
      </c>
      <c r="E13" s="705" t="str">
        <f>IFERROR(VLOOKUP(AH$8,BR_LC_Equity!A1:E488,3,FALSE)/1000000,"")</f>
        <v/>
      </c>
      <c r="F13" s="449" t="e">
        <f>AH13</f>
        <v>#N/A</v>
      </c>
      <c r="G13" s="450" t="e">
        <f t="array" ref="G13">IF($AH13=0,"---",(PRODUCT($AH13:AJ13/100+1)-1)*100)</f>
        <v>#N/A</v>
      </c>
      <c r="H13" s="432" t="str">
        <f t="array" ref="H13">IF($AS13=0,"---",(PRODUCT(AH13:AN13/100+1)-1)*100)</f>
        <v>---</v>
      </c>
      <c r="I13" s="450" t="str">
        <f t="array" ref="I13">IF(AS13=0,"---",(GEOMEAN($AH13:AS13/100+1)^12-1)*100)</f>
        <v>---</v>
      </c>
      <c r="J13" s="450" t="e">
        <f t="array" ref="J13">IF(BE13=0,"---",(GEOMEAN($AH13:BE13/100+1)^12-1)*100)</f>
        <v>#N/A</v>
      </c>
      <c r="K13" s="450" t="e">
        <f t="array" ref="K13">IF(BQ13=0,"---",(GEOMEAN($AH13:BQ13/100+1)^12-1)*100)</f>
        <v>#N/A</v>
      </c>
      <c r="L13" s="450" t="e">
        <f t="array" ref="L13">IF(CC13=0,"---",(GEOMEAN($AH13:CC13/100+1)^12-1)*100)</f>
        <v>#N/A</v>
      </c>
      <c r="M13" s="450" t="e">
        <f t="array" ref="M13">IF(CO13=0,"---",(GEOMEAN($AH13:CO13/100+1)^12-1)*100)</f>
        <v>#N/A</v>
      </c>
      <c r="N13" s="450" t="e">
        <f t="array" ref="N13">IF(DM13=0,"---",(GEOMEAN($AH13:DM13/100+1)^12-1)*100)</f>
        <v>#N/A</v>
      </c>
      <c r="O13" s="450" t="e">
        <f t="array" ref="O13">IF(EK13=0,"---",(GEOMEAN($AH13:EK13/100+1)^12-1)*100)</f>
        <v>#N/A</v>
      </c>
      <c r="P13" s="450" t="e">
        <f t="array" ref="P13">IF(EW13=0,"---",(GEOMEAN($AH13:EW13/100+1)^12-1)*100)</f>
        <v>#N/A</v>
      </c>
      <c r="Q13" s="451" t="e">
        <f t="array" ref="Q13">(GEOMEAN(BR_LC_Equity!B$172:B457/100+1)^12-1)*100</f>
        <v>#VALUE!</v>
      </c>
      <c r="R13" s="452" t="e">
        <f t="shared" ref="R13:Y13" si="3">IF(F13="---","---",(F13-F$14)*100)</f>
        <v>#N/A</v>
      </c>
      <c r="S13" s="452" t="e">
        <f t="shared" si="3"/>
        <v>#N/A</v>
      </c>
      <c r="T13" s="452" t="str">
        <f t="shared" si="3"/>
        <v>---</v>
      </c>
      <c r="U13" s="452" t="str">
        <f t="shared" si="3"/>
        <v>---</v>
      </c>
      <c r="V13" s="452" t="e">
        <f t="shared" si="3"/>
        <v>#N/A</v>
      </c>
      <c r="W13" s="452" t="e">
        <f t="shared" si="3"/>
        <v>#N/A</v>
      </c>
      <c r="X13" s="452" t="e">
        <f t="shared" si="3"/>
        <v>#N/A</v>
      </c>
      <c r="Y13" s="452" t="e">
        <f t="shared" si="3"/>
        <v>#N/A</v>
      </c>
      <c r="Z13" s="452">
        <v>2</v>
      </c>
      <c r="AA13" s="452">
        <v>2</v>
      </c>
      <c r="AB13" s="452" t="e">
        <f>IF(P13="---","---",(P13-P$14)*100)</f>
        <v>#N/A</v>
      </c>
      <c r="AC13" s="453" t="e">
        <f>(Q13-AF13)*100</f>
        <v>#VALUE!</v>
      </c>
      <c r="AD13" s="454">
        <v>0</v>
      </c>
      <c r="AE13" s="437"/>
      <c r="AF13" s="476">
        <f t="array" ref="AF13">(GEOMEAN(Index_Returns!B172:B457/100+1)^12-1)*100</f>
        <v>9.0553611956519333</v>
      </c>
      <c r="AG13" s="455"/>
      <c r="AH13" s="439" t="e">
        <f>VLOOKUP(AH$8,BR_LC_Equity!$A$1:$E$488,2,FALSE)</f>
        <v>#N/A</v>
      </c>
      <c r="AI13" s="439" t="e">
        <f>VLOOKUP(AI$8,BR_LC_Equity!$A$1:$E$464,2,FALSE)</f>
        <v>#N/A</v>
      </c>
      <c r="AJ13" s="439" t="e">
        <f>VLOOKUP(AJ$8,BR_LC_Equity!$A$1:$E$464,2,FALSE)</f>
        <v>#N/A</v>
      </c>
      <c r="AK13" s="439" t="e">
        <f>VLOOKUP(AK$8,BR_LC_Equity!$A$1:$E$464,2,FALSE)</f>
        <v>#N/A</v>
      </c>
      <c r="AL13" s="439" t="e">
        <f>VLOOKUP(AL$8,BR_LC_Equity!$A$1:$E$464,2,FALSE)</f>
        <v>#N/A</v>
      </c>
      <c r="AM13" s="439" t="e">
        <f>VLOOKUP(AM$8,BR_LC_Equity!$A$1:$E$464,2,FALSE)</f>
        <v>#N/A</v>
      </c>
      <c r="AN13" s="439" t="e">
        <f>VLOOKUP(AN$8,BR_LC_Equity!$A$1:$E$464,2,FALSE)</f>
        <v>#N/A</v>
      </c>
      <c r="AO13" s="439" t="e">
        <f>VLOOKUP(AO$8,BR_LC_Equity!$A$1:$E$464,2,FALSE)</f>
        <v>#N/A</v>
      </c>
      <c r="AP13" s="439">
        <f>VLOOKUP(AP$8,BR_LC_Equity!$A$1:$E$464,2,FALSE)</f>
        <v>0</v>
      </c>
      <c r="AQ13" s="439">
        <f>VLOOKUP(AQ$8,BR_LC_Equity!$A$1:$E$464,2,FALSE)</f>
        <v>0</v>
      </c>
      <c r="AR13" s="439">
        <f>VLOOKUP(AR$8,BR_LC_Equity!$A$1:$E$464,2,FALSE)</f>
        <v>0</v>
      </c>
      <c r="AS13" s="439">
        <f>VLOOKUP(AS$8,BR_LC_Equity!$A$1:$E$464,2,FALSE)</f>
        <v>0</v>
      </c>
      <c r="AT13" s="439">
        <f>VLOOKUP(AT$8,BR_LC_Equity!$A$1:$E$464,2,FALSE)</f>
        <v>0</v>
      </c>
      <c r="AU13" s="439">
        <f>VLOOKUP(AU$8,BR_LC_Equity!$A$1:$E$464,2,FALSE)</f>
        <v>0</v>
      </c>
      <c r="AV13" s="439">
        <f>VLOOKUP(AV$8,BR_LC_Equity!$A$1:$E$464,2,FALSE)</f>
        <v>0</v>
      </c>
      <c r="AW13" s="439">
        <f>VLOOKUP(AW$8,BR_LC_Equity!$A$1:$E$464,2,FALSE)</f>
        <v>0</v>
      </c>
      <c r="AX13" s="439">
        <f>VLOOKUP(AX$8,BR_LC_Equity!$A$1:$E$464,2,FALSE)</f>
        <v>0</v>
      </c>
      <c r="AY13" s="439" t="str">
        <f>VLOOKUP(AY$8,BR_LC_Equity!$A$1:$E$464,2,FALSE)</f>
        <v xml:space="preserve"> </v>
      </c>
      <c r="AZ13" s="439">
        <f>VLOOKUP(AZ$8,BR_LC_Equity!$A$1:$E$464,2,FALSE)</f>
        <v>1.3571299999999999</v>
      </c>
      <c r="BA13" s="439">
        <f>VLOOKUP(BA$8,BR_LC_Equity!$A$1:$E$464,2,FALSE)</f>
        <v>5.1790599999999998</v>
      </c>
      <c r="BB13" s="439">
        <f>VLOOKUP(BB$8,BR_LC_Equity!$A$1:$E$464,2,FALSE)</f>
        <v>0.91596</v>
      </c>
      <c r="BC13" s="439">
        <f>VLOOKUP(BC$8,BR_LC_Equity!$A$1:$E$464,2,FALSE)</f>
        <v>0.57882999999999996</v>
      </c>
      <c r="BD13" s="439">
        <f>VLOOKUP(BD$8,BR_LC_Equity!$A$1:$E$464,2,FALSE)</f>
        <v>-1.84745</v>
      </c>
      <c r="BE13" s="439">
        <f>VLOOKUP(BE$8,BR_LC_Equity!$A$1:$E$464,2,FALSE)</f>
        <v>2.5841699999999999</v>
      </c>
      <c r="BF13" s="439">
        <f>VLOOKUP(BF$8,BR_LC_Equity!$A$1:$E$464,2,FALSE)</f>
        <v>2.2837900000000002</v>
      </c>
      <c r="BG13" s="439">
        <f>VLOOKUP(BG$8,BR_LC_Equity!$A$1:$E$464,2,FALSE)</f>
        <v>1.38828</v>
      </c>
      <c r="BH13" s="439">
        <f>VLOOKUP(BH$8,BR_LC_Equity!$A$1:$E$464,2,FALSE)</f>
        <v>4.1158299999999999</v>
      </c>
      <c r="BI13" s="439">
        <f>VLOOKUP(BI$8,BR_LC_Equity!$A$1:$E$464,2,FALSE)</f>
        <v>-6.0075099999999999</v>
      </c>
      <c r="BJ13" s="439">
        <f>VLOOKUP(BJ$8,BR_LC_Equity!$A$1:$E$464,2,FALSE)</f>
        <v>-0.62829999999999997</v>
      </c>
      <c r="BK13" s="439">
        <f>VLOOKUP(BK$8,BR_LC_Equity!$A$1:$E$464,2,FALSE)</f>
        <v>3.2916699999999999</v>
      </c>
      <c r="BL13" s="439">
        <f>VLOOKUP(BL$8,BR_LC_Equity!$A$1:$E$464,2,FALSE)</f>
        <v>4.3222800000000001</v>
      </c>
      <c r="BM13" s="439">
        <f>VLOOKUP(BM$8,BR_LC_Equity!$A$1:$E$464,2,FALSE)</f>
        <v>4.47865</v>
      </c>
      <c r="BN13" s="439">
        <f>VLOOKUP(BN$8,BR_LC_Equity!$A$1:$E$464,2,FALSE)</f>
        <v>1.0229299999999999</v>
      </c>
      <c r="BO13" s="439">
        <f>VLOOKUP(BO$8,BR_LC_Equity!$A$1:$E$464,2,FALSE)</f>
        <v>-0.21720999999999999</v>
      </c>
      <c r="BP13" s="439">
        <f>VLOOKUP(BP$8,BR_LC_Equity!$A$1:$E$464,2,FALSE)</f>
        <v>10.934369999999999</v>
      </c>
      <c r="BQ13" s="439">
        <f>VLOOKUP(BQ$8,BR_LC_Equity!$A$1:$E$464,2,FALSE)</f>
        <v>-7.0243900000000004</v>
      </c>
      <c r="BR13" s="439">
        <f>VLOOKUP(BR$8,BR_LC_Equity!$A$1:$E$464,2,FALSE)</f>
        <v>-5.4307100000000004</v>
      </c>
      <c r="BS13" s="439">
        <f>VLOOKUP(BS$8,BR_LC_Equity!$A$1:$E$464,2,FALSE)</f>
        <v>-2.0314399999999999</v>
      </c>
      <c r="BT13" s="439">
        <f>VLOOKUP(BT$8,BR_LC_Equity!$A$1:$E$464,2,FALSE)</f>
        <v>-1.65831</v>
      </c>
      <c r="BU13" s="439">
        <f>VLOOKUP(BU$8,BR_LC_Equity!$A$1:$E$464,2,FALSE)</f>
        <v>-1.1257200000000001</v>
      </c>
      <c r="BV13" s="439">
        <f>VLOOKUP(BV$8,BR_LC_Equity!$A$1:$E$464,2,FALSE)</f>
        <v>2.9641899999999999</v>
      </c>
      <c r="BW13" s="439">
        <f>VLOOKUP(BW$8,BR_LC_Equity!$A$1:$E$464,2,FALSE)</f>
        <v>4.1860000000000001E-2</v>
      </c>
      <c r="BX13" s="439">
        <f>VLOOKUP(BX$8,BR_LC_Equity!$A$1:$E$464,2,FALSE)</f>
        <v>3.4298799999999998</v>
      </c>
      <c r="BY13" s="439">
        <f>VLOOKUP(BY$8,BR_LC_Equity!$A$1:$E$464,2,FALSE)</f>
        <v>2.40049</v>
      </c>
      <c r="BZ13" s="439">
        <f>VLOOKUP(BZ$8,BR_LC_Equity!$A$1:$E$464,2,FALSE)</f>
        <v>6.6938899999999997</v>
      </c>
      <c r="CA13" s="439">
        <f>VLOOKUP(CA$8,BR_LC_Equity!$A$1:$E$464,2,FALSE)</f>
        <v>2.034E-2</v>
      </c>
      <c r="CB13" s="439">
        <f>VLOOKUP(CB$8,BR_LC_Equity!$A$1:$E$464,2,FALSE)</f>
        <v>3.80708</v>
      </c>
      <c r="CC13" s="439">
        <f>VLOOKUP(CC$8,BR_LC_Equity!$A$1:$E$464,2,FALSE)</f>
        <v>8.9488500000000002</v>
      </c>
      <c r="CD13" s="439">
        <f>VLOOKUP(CD$8,BR_LC_Equity!$A$1:$E$464,2,FALSE)</f>
        <v>-4.5121099999999998</v>
      </c>
      <c r="CE13" s="439">
        <f>VLOOKUP(CE$8,BR_LC_Equity!$A$1:$E$464,2,FALSE)</f>
        <v>7.02189</v>
      </c>
      <c r="CF13" s="439">
        <f>VLOOKUP(CF$8,BR_LC_Equity!$A$1:$E$464,2,FALSE)</f>
        <v>-5.2331799999999999</v>
      </c>
      <c r="CG13" s="439">
        <f>VLOOKUP(CG$8,BR_LC_Equity!$A$1:$E$464,2,FALSE)</f>
        <v>-7.9787800000000004</v>
      </c>
      <c r="CH13" s="439">
        <f>VLOOKUP(CH$8,BR_LC_Equity!$A$1:$E$464,2,FALSE)</f>
        <v>1.5972999999999999</v>
      </c>
      <c r="CI13" s="439">
        <f>VLOOKUP(CI$8,BR_LC_Equity!$A$1:$E$464,2,FALSE)</f>
        <v>6.0422500000000001</v>
      </c>
      <c r="CJ13" s="439">
        <f>VLOOKUP(CJ$8,BR_LC_Equity!$A$1:$E$464,2,FALSE)</f>
        <v>3.11633</v>
      </c>
      <c r="CK13" s="439">
        <f>VLOOKUP(CK$8,BR_LC_Equity!$A$1:$E$464,2,FALSE)</f>
        <v>-3.5922999999999998</v>
      </c>
      <c r="CL13" s="439">
        <f>VLOOKUP(CL$8,BR_LC_Equity!$A$1:$E$464,2,FALSE)</f>
        <v>1.9807699999999999</v>
      </c>
      <c r="CM13" s="439">
        <f>VLOOKUP(CM$8,BR_LC_Equity!$A$1:$E$464,2,FALSE)</f>
        <v>6.0007299999999999</v>
      </c>
      <c r="CN13" s="439">
        <f>VLOOKUP(CN$8,BR_LC_Equity!$A$1:$E$464,2,FALSE)</f>
        <v>-1.84805</v>
      </c>
      <c r="CO13" s="439">
        <f>VLOOKUP(CO$8,BR_LC_Equity!$A$1:$E$464,2,FALSE)</f>
        <v>3.73</v>
      </c>
      <c r="CP13" s="439">
        <f>VLOOKUP(CP$8,BR_LC_Equity!$A$1:$E$464,2,FALSE)</f>
        <v>3.62</v>
      </c>
      <c r="CQ13" s="439">
        <f>VLOOKUP(CQ$8,BR_LC_Equity!$A$1:$E$464,2,FALSE)</f>
        <v>7.58</v>
      </c>
      <c r="CR13" s="439">
        <f>VLOOKUP(CR$8,BR_LC_Equity!$A$1:$E$464,2,FALSE)</f>
        <v>0.25</v>
      </c>
      <c r="CS13" s="439">
        <f>VLOOKUP(CS$8,BR_LC_Equity!$A$1:$E$464,2,FALSE)</f>
        <v>5.61</v>
      </c>
      <c r="CT13" s="439">
        <f>VLOOKUP(CT$8,BR_LC_Equity!$A$1:$E$464,2,FALSE)</f>
        <v>9.59</v>
      </c>
      <c r="CU13" s="439">
        <f>VLOOKUP(CU$8,BR_LC_Equity!$A$1:$E$464,2,FALSE)</f>
        <v>8.82</v>
      </c>
      <c r="CV13" s="439">
        <f>VLOOKUP(CV$8,BR_LC_Equity!$A$1:$E$464,2,FALSE)</f>
        <v>-10.64</v>
      </c>
      <c r="CW13" s="439">
        <f>VLOOKUP(CW$8,BR_LC_Equity!$A$1:$E$464,2,FALSE)</f>
        <v>-8.41</v>
      </c>
      <c r="CX13" s="439">
        <f>VLOOKUP(CX$8,BR_LC_Equity!$A$1:$E$464,2,FALSE)</f>
        <v>1.1299999999999999</v>
      </c>
      <c r="CY13" s="439">
        <f>VLOOKUP(CY$8,BR_LC_Equity!$A$1:$E$464,2,FALSE)</f>
        <v>-7.16</v>
      </c>
      <c r="CZ13" s="439">
        <f>VLOOKUP(CZ$8,BR_LC_Equity!$A$1:$E$464,2,FALSE)</f>
        <v>-16.79</v>
      </c>
      <c r="DA13" s="439">
        <f>VLOOKUP(DA$8,BR_LC_Equity!$A$1:$E$464,2,FALSE)</f>
        <v>-8.9</v>
      </c>
      <c r="DB13" s="439">
        <f>VLOOKUP(DB$8,BR_LC_Equity!$A$1:$E$464,2,FALSE)</f>
        <v>1.46</v>
      </c>
      <c r="DC13" s="439">
        <f>VLOOKUP(DC$8,BR_LC_Equity!$A$1:$E$464,2,FALSE)</f>
        <v>-0.83</v>
      </c>
      <c r="DD13" s="439">
        <f>VLOOKUP(DD$8,BR_LC_Equity!$A$1:$E$464,2,FALSE)</f>
        <v>-8.43</v>
      </c>
      <c r="DE13" s="439">
        <f>VLOOKUP(DE$8,BR_LC_Equity!$A$1:$E$464,2,FALSE)</f>
        <v>1.31</v>
      </c>
      <c r="DF13" s="439">
        <f>VLOOKUP(DF$8,BR_LC_Equity!$A$1:$E$464,2,FALSE)</f>
        <v>4.87</v>
      </c>
      <c r="DG13" s="439">
        <f>VLOOKUP(DG$8,BR_LC_Equity!$A$1:$E$464,2,FALSE)</f>
        <v>-0.43</v>
      </c>
      <c r="DH13" s="439">
        <f>VLOOKUP(DH$8,BR_LC_Equity!$A$1:$E$464,2,FALSE)</f>
        <v>-3.24</v>
      </c>
      <c r="DI13" s="439">
        <f>VLOOKUP(DI$8,BR_LC_Equity!$A$1:$E$464,2,FALSE)</f>
        <v>-6</v>
      </c>
      <c r="DJ13" s="439">
        <f>VLOOKUP(DJ$8,BR_LC_Equity!$A$1:$E$464,2,FALSE)</f>
        <v>-0.69</v>
      </c>
      <c r="DK13" s="439">
        <f>VLOOKUP(DK$8,BR_LC_Equity!$A$1:$E$464,2,FALSE)</f>
        <v>-4.17</v>
      </c>
      <c r="DL13" s="439">
        <f>VLOOKUP(DL$8,BR_LC_Equity!$A$1:$E$464,2,FALSE)</f>
        <v>1.59</v>
      </c>
      <c r="DM13" s="439">
        <f>VLOOKUP(DM$8,BR_LC_Equity!$A$1:$E$464,2,FALSE)</f>
        <v>3.75</v>
      </c>
      <c r="DN13" s="439">
        <f>VLOOKUP(DN$8,BR_LC_Equity!$A$1:$E$464,2,FALSE)</f>
        <v>1.51</v>
      </c>
      <c r="DO13" s="439">
        <f>VLOOKUP(DO$8,BR_LC_Equity!$A$1:$E$464,2,FALSE)</f>
        <v>-3.1</v>
      </c>
      <c r="DP13" s="439">
        <f>VLOOKUP(DP$8,BR_LC_Equity!$A$1:$E$464,2,FALSE)</f>
        <v>-1.66</v>
      </c>
      <c r="DQ13" s="439">
        <f>VLOOKUP(DQ$8,BR_LC_Equity!$A$1:$E$464,2,FALSE)</f>
        <v>3.49</v>
      </c>
      <c r="DR13" s="439">
        <f>VLOOKUP(DR$8,BR_LC_Equity!$A$1:$E$464,2,FALSE)</f>
        <v>4.43</v>
      </c>
      <c r="DS13" s="439">
        <f>VLOOKUP(DS$8,BR_LC_Equity!$A$1:$E$464,2,FALSE)</f>
        <v>1.1200000000000001</v>
      </c>
      <c r="DT13" s="439">
        <f>VLOOKUP(DT$8,BR_LC_Equity!$A$1:$E$464,2,FALSE)</f>
        <v>-1.96</v>
      </c>
      <c r="DU13" s="439">
        <f>VLOOKUP(DU$8,BR_LC_Equity!$A$1:$E$464,2,FALSE)</f>
        <v>1.51</v>
      </c>
      <c r="DV13" s="439">
        <f>VLOOKUP(DV$8,BR_LC_Equity!$A$1:$E$464,2,FALSE)</f>
        <v>1.41</v>
      </c>
      <c r="DW13" s="439">
        <f>VLOOKUP(DW$8,BR_LC_Equity!$A$1:$E$464,2,FALSE)</f>
        <v>1.9</v>
      </c>
      <c r="DX13" s="439">
        <f>VLOOKUP(DX$8,BR_LC_Equity!$A$1:$E$464,2,FALSE)</f>
        <v>3.26</v>
      </c>
      <c r="DY13" s="439">
        <f>VLOOKUP(DY$8,BR_LC_Equity!$A$1:$E$464,2,FALSE)</f>
        <v>2.58</v>
      </c>
      <c r="DZ13" s="439">
        <f>VLOOKUP(DZ$8,BR_LC_Equity!$A$1:$E$464,2,FALSE)</f>
        <v>2.38</v>
      </c>
      <c r="EA13" s="439">
        <f>VLOOKUP(EA$8,BR_LC_Equity!$A$1:$E$464,2,FALSE)</f>
        <v>0.63</v>
      </c>
      <c r="EB13" s="439">
        <f>VLOOKUP(EB$8,BR_LC_Equity!$A$1:$E$464,2,FALSE)</f>
        <v>0.14000000000000001</v>
      </c>
      <c r="EC13" s="439">
        <f>VLOOKUP(EC$8,BR_LC_Equity!$A$1:$E$464,2,FALSE)</f>
        <v>-2.88</v>
      </c>
      <c r="ED13" s="439">
        <f>VLOOKUP(ED$8,BR_LC_Equity!$A$1:$E$464,2,FALSE)</f>
        <v>1.34</v>
      </c>
      <c r="EE13" s="439">
        <f>VLOOKUP(EE$8,BR_LC_Equity!$A$1:$E$464,2,FALSE)</f>
        <v>1.25</v>
      </c>
      <c r="EF13" s="439">
        <f>VLOOKUP(EF$8,BR_LC_Equity!$A$1:$E$464,2,FALSE)</f>
        <v>0.27</v>
      </c>
      <c r="EG13" s="439">
        <f>VLOOKUP(EG$8,BR_LC_Equity!$A$1:$E$464,2,FALSE)</f>
        <v>2.66</v>
      </c>
      <c r="EH13" s="439">
        <f>VLOOKUP(EH$8,BR_LC_Equity!$A$1:$E$464,2,FALSE)</f>
        <v>0.04</v>
      </c>
      <c r="EI13" s="439">
        <f>VLOOKUP(EI$8,BR_LC_Equity!$A$1:$E$464,2,FALSE)</f>
        <v>3.78</v>
      </c>
      <c r="EJ13" s="439">
        <f>VLOOKUP(EJ$8,BR_LC_Equity!$A$1:$E$464,2,FALSE)</f>
        <v>-1.67</v>
      </c>
      <c r="EK13" s="439">
        <f>VLOOKUP(EK$8,BR_LC_Equity!$A$1:$E$464,2,FALSE)</f>
        <v>0.81</v>
      </c>
      <c r="EL13" s="439">
        <f>VLOOKUP(EL$8,BR_LC_Equity!$A$1:$E$464,2,FALSE)</f>
        <v>-0.9</v>
      </c>
      <c r="EM13" s="439">
        <f>VLOOKUP(EM$8,BR_LC_Equity!$A$1:$E$464,2,FALSE)</f>
        <v>3.72</v>
      </c>
      <c r="EN13" s="439">
        <f>VLOOKUP(EN$8,BR_LC_Equity!$A$1:$E$464,2,FALSE)</f>
        <v>0.14000000000000001</v>
      </c>
      <c r="EO13" s="439">
        <f>VLOOKUP(EO$8,BR_LC_Equity!$A$1:$E$464,2,FALSE)</f>
        <v>3.19</v>
      </c>
      <c r="EP13" s="439">
        <f>VLOOKUP(EP$8,BR_LC_Equity!$A$1:$E$464,2,FALSE)</f>
        <v>-1.9</v>
      </c>
      <c r="EQ13" s="439">
        <f>VLOOKUP(EQ$8,BR_LC_Equity!$A$1:$E$464,2,FALSE)</f>
        <v>-1.75</v>
      </c>
      <c r="ER13" s="439">
        <f>VLOOKUP(ER$8,BR_LC_Equity!$A$1:$E$464,2,FALSE)</f>
        <v>2.1</v>
      </c>
      <c r="ES13" s="439">
        <f>VLOOKUP(ES$8,BR_LC_Equity!$A$1:$E$464,2,FALSE)</f>
        <v>-2.4300000000000002</v>
      </c>
      <c r="ET13" s="439">
        <f>VLOOKUP(ET$8,BR_LC_Equity!$A$1:$E$464,2,FALSE)</f>
        <v>3.41</v>
      </c>
      <c r="EU13" s="439">
        <f>VLOOKUP(EU$8,BR_LC_Equity!$A$1:$E$464,2,FALSE)</f>
        <v>4.05</v>
      </c>
      <c r="EV13" s="439">
        <f>VLOOKUP(EV$8,BR_LC_Equity!$A$1:$E$464,2,FALSE)</f>
        <v>1.53</v>
      </c>
      <c r="EW13" s="439">
        <f>VLOOKUP(EW$8,BR_LC_Equity!$A$1:$E$464,2,FALSE)</f>
        <v>1.08</v>
      </c>
      <c r="EX13" s="393" t="s">
        <v>33</v>
      </c>
      <c r="EY13" s="1066" t="s">
        <v>467</v>
      </c>
      <c r="EZ13" s="789">
        <f>VLOOKUP($EY13,'NEPC data'!$B5:$M192,5,TRUE)*100</f>
        <v>-10.936462523199985</v>
      </c>
      <c r="FA13" s="789">
        <f>VLOOKUP($EY13,'NEPC data'!$B5:$M192,7,TRUE)*100</f>
        <v>-37.950119782402922</v>
      </c>
      <c r="FB13" s="789">
        <f>VLOOKUP($EY13,'NEPC data'!$B5:$M192,9,TRUE)*100</f>
        <v>-12.97670439088896</v>
      </c>
      <c r="FC13" s="789">
        <f>VLOOKUP($EY13,'NEPC data'!$B5:$M192,10,TRUE)*100</f>
        <v>-4.7145898390783092</v>
      </c>
      <c r="FD13" s="789">
        <f>VLOOKUP($EY13,'NEPC data'!$B5:$M192,11,TRUE)*100</f>
        <v>-2.9668273301096115</v>
      </c>
      <c r="FE13" s="382"/>
      <c r="FF13" s="570" t="e">
        <f>IF(G13="---","-",ABS(EZ13-G13))</f>
        <v>#N/A</v>
      </c>
      <c r="FG13" s="570" t="str">
        <f>IF(I13="---","-",ABS(FA13-I13))</f>
        <v>-</v>
      </c>
      <c r="FH13" s="570" t="e">
        <f>IF(K13="---","-",ABS(FB13-K13))</f>
        <v>#N/A</v>
      </c>
      <c r="FI13" s="570" t="e">
        <f>IF(M13="---","-",ABS(FC13-M13))</f>
        <v>#N/A</v>
      </c>
      <c r="FJ13" s="570" t="e">
        <f>IF(Q13="---","-",ABS(FD13-Q13))</f>
        <v>#VALUE!</v>
      </c>
      <c r="FK13" s="382"/>
      <c r="FL13" s="442"/>
      <c r="FM13" s="442"/>
    </row>
    <row r="14" spans="1:169" s="1028" customFormat="1" ht="12.75" customHeight="1" collapsed="1" x14ac:dyDescent="0.2">
      <c r="A14" s="1234" t="s">
        <v>4</v>
      </c>
      <c r="B14" s="1024"/>
      <c r="C14" s="1235"/>
      <c r="D14" s="1218"/>
      <c r="E14" s="1237"/>
      <c r="F14" s="1220">
        <f>AH14</f>
        <v>4.0004999999999997</v>
      </c>
      <c r="G14" s="432">
        <f t="array" ref="G14">IF($AJ14=0,"---",(PRODUCT($AH14:AJ14/100+1)-1)*100)</f>
        <v>4.6850015971152459</v>
      </c>
      <c r="H14" s="432">
        <f t="array" ref="H14">IF($AS14=0,"---",(PRODUCT(AH14:AN14/100+1)-1)*100)</f>
        <v>13.820489857219819</v>
      </c>
      <c r="I14" s="1023">
        <f t="array" ref="I14">IF(AS14=0,"---",(GEOMEAN($AH14:AS14/100+1)^12-1)*100)</f>
        <v>25.245635246418829</v>
      </c>
      <c r="J14" s="1023">
        <f t="array" ref="J14">IF(BE14=0,"---",(GEOMEAN($AH14:BE14/100+1)^12-1)*100)</f>
        <v>21.930898067401849</v>
      </c>
      <c r="K14" s="1023">
        <f t="array" ref="K14">IF(BQ14=0,"---",(GEOMEAN($AH14:BQ14/100+1)^12-1)*100)</f>
        <v>20.606136286817179</v>
      </c>
      <c r="L14" s="1023">
        <f t="array" ref="L14">IF(CC14=0,"---",(GEOMEAN($AH14:CC14/100+1)^12-1)*100)</f>
        <v>20.076366003629211</v>
      </c>
      <c r="M14" s="1023">
        <f t="array" ref="M14">IF(CO14=0,"---",(GEOMEAN($AH14:CO14/100+1)^12-1)*100)</f>
        <v>16.877094669771232</v>
      </c>
      <c r="N14" s="1023">
        <f t="array" ref="N14">IF(DM14=0,"---",(GEOMEAN($AH14:DM14/100+1)^12-1)*100)</f>
        <v>6.7939213325861614</v>
      </c>
      <c r="O14" s="1023">
        <f t="array" ref="O14">IF(EK14=0,"---",(GEOMEAN($AH14:EK14/100+1)^12-1)*100)</f>
        <v>7.921907383862159</v>
      </c>
      <c r="P14" s="1023">
        <f t="array" ref="P14">IF(EW14=0,"---",(GEOMEAN($AH14:EW14/100+1)^12-1)*100)</f>
        <v>8.3766367646461291</v>
      </c>
      <c r="Q14" s="1238" t="s">
        <v>34</v>
      </c>
      <c r="R14" s="1218"/>
      <c r="S14" s="1218"/>
      <c r="T14" s="1218"/>
      <c r="U14" s="1218"/>
      <c r="V14" s="1218"/>
      <c r="W14" s="1218"/>
      <c r="X14" s="1218"/>
      <c r="Y14" s="1218"/>
      <c r="Z14" s="1218"/>
      <c r="AA14" s="1218"/>
      <c r="AB14" s="1218"/>
      <c r="AC14" s="1222"/>
      <c r="AD14" s="1242"/>
      <c r="AF14" s="1027"/>
      <c r="AG14" s="1024"/>
      <c r="AH14" s="1025">
        <f t="shared" ref="AH14:CS14" si="4">VLOOKUP(AH$8,Index,2,FALSE)</f>
        <v>4.0004999999999997</v>
      </c>
      <c r="AI14" s="1025">
        <f t="shared" si="4"/>
        <v>-1.3790899999999999</v>
      </c>
      <c r="AJ14" s="1025">
        <f t="shared" si="4"/>
        <v>2.06575</v>
      </c>
      <c r="AK14" s="1025">
        <f t="shared" si="4"/>
        <v>2.34741</v>
      </c>
      <c r="AL14" s="1025">
        <f t="shared" si="4"/>
        <v>0.73919999999999997</v>
      </c>
      <c r="AM14" s="1025">
        <f t="shared" si="4"/>
        <v>0.84057000000000004</v>
      </c>
      <c r="AN14" s="1025">
        <f t="shared" si="4"/>
        <v>4.5743900000000002</v>
      </c>
      <c r="AO14" s="1025">
        <f t="shared" si="4"/>
        <v>-3.4574099999999999</v>
      </c>
      <c r="AP14" s="1025">
        <f t="shared" si="4"/>
        <v>2.5316100000000001</v>
      </c>
      <c r="AQ14" s="1025">
        <f t="shared" si="4"/>
        <v>3.0474000000000001</v>
      </c>
      <c r="AR14" s="1025">
        <f t="shared" si="4"/>
        <v>4.5967799999999999</v>
      </c>
      <c r="AS14" s="1025">
        <f t="shared" si="4"/>
        <v>3.1359499999999998</v>
      </c>
      <c r="AT14" s="1025">
        <f t="shared" si="4"/>
        <v>-2.8961600000000001</v>
      </c>
      <c r="AU14" s="1025">
        <f t="shared" si="4"/>
        <v>5.0884200000000002</v>
      </c>
      <c r="AV14" s="1025">
        <f t="shared" si="4"/>
        <v>-1.3429</v>
      </c>
      <c r="AW14" s="1025">
        <f t="shared" si="4"/>
        <v>2.3391899999999999</v>
      </c>
      <c r="AX14" s="1025">
        <f t="shared" si="4"/>
        <v>1.92666</v>
      </c>
      <c r="AY14" s="1025">
        <f t="shared" si="4"/>
        <v>3.7503299999999999</v>
      </c>
      <c r="AZ14" s="1025">
        <f t="shared" si="4"/>
        <v>1.3574900000000001</v>
      </c>
      <c r="BA14" s="1025">
        <f t="shared" si="4"/>
        <v>5.1795</v>
      </c>
      <c r="BB14" s="1025">
        <f t="shared" si="4"/>
        <v>0.91147</v>
      </c>
      <c r="BC14" s="1025">
        <f t="shared" si="4"/>
        <v>0.58011000000000001</v>
      </c>
      <c r="BD14" s="1025">
        <f t="shared" si="4"/>
        <v>-1.8464400000000001</v>
      </c>
      <c r="BE14" s="1025">
        <f t="shared" si="4"/>
        <v>2.58419</v>
      </c>
      <c r="BF14" s="1025">
        <f t="shared" si="4"/>
        <v>2.2522600000000002</v>
      </c>
      <c r="BG14" s="1025">
        <f t="shared" si="4"/>
        <v>1.3889</v>
      </c>
      <c r="BH14" s="1025">
        <f t="shared" si="4"/>
        <v>4.1202100000000002</v>
      </c>
      <c r="BI14" s="1025">
        <f t="shared" si="4"/>
        <v>-6.0100600000000002</v>
      </c>
      <c r="BJ14" s="1025">
        <f t="shared" si="4"/>
        <v>-0.62768999999999997</v>
      </c>
      <c r="BK14" s="1025">
        <f t="shared" si="4"/>
        <v>3.2909199999999998</v>
      </c>
      <c r="BL14" s="1025">
        <f t="shared" si="4"/>
        <v>4.3242200000000004</v>
      </c>
      <c r="BM14" s="1025">
        <f t="shared" si="4"/>
        <v>4.4815100000000001</v>
      </c>
      <c r="BN14" s="1025">
        <f t="shared" si="4"/>
        <v>1.02294</v>
      </c>
      <c r="BO14" s="1025">
        <f t="shared" si="4"/>
        <v>-0.22103</v>
      </c>
      <c r="BP14" s="1025">
        <f t="shared" si="4"/>
        <v>10.929309999999999</v>
      </c>
      <c r="BQ14" s="1025">
        <f t="shared" si="4"/>
        <v>-7.0298600000000002</v>
      </c>
      <c r="BR14" s="1025">
        <f t="shared" si="4"/>
        <v>-5.4321799999999998</v>
      </c>
      <c r="BS14" s="1025">
        <f t="shared" si="4"/>
        <v>-2.03349</v>
      </c>
      <c r="BT14" s="1025">
        <f t="shared" si="4"/>
        <v>-1.6669099999999999</v>
      </c>
      <c r="BU14" s="1025">
        <f t="shared" si="4"/>
        <v>-1.13195</v>
      </c>
      <c r="BV14" s="1025">
        <f t="shared" si="4"/>
        <v>2.9615399999999998</v>
      </c>
      <c r="BW14" s="1025">
        <f t="shared" si="4"/>
        <v>3.9759999999999997E-2</v>
      </c>
      <c r="BX14" s="1025">
        <f t="shared" si="4"/>
        <v>3.4258899999999999</v>
      </c>
      <c r="BY14" s="1025">
        <f t="shared" si="4"/>
        <v>2.3701599999999998</v>
      </c>
      <c r="BZ14" s="1025">
        <f t="shared" si="4"/>
        <v>6.6831899999999997</v>
      </c>
      <c r="CA14" s="1025">
        <f t="shared" si="4"/>
        <v>1.282E-2</v>
      </c>
      <c r="CB14" s="1025">
        <f t="shared" si="4"/>
        <v>3.8049200000000001</v>
      </c>
      <c r="CC14" s="1025">
        <f t="shared" si="4"/>
        <v>8.9244400000000006</v>
      </c>
      <c r="CD14" s="1025">
        <f t="shared" si="4"/>
        <v>-4.5144299999999999</v>
      </c>
      <c r="CE14" s="1025">
        <f t="shared" si="4"/>
        <v>7.0063500000000003</v>
      </c>
      <c r="CF14" s="1025">
        <f t="shared" si="4"/>
        <v>-5.2349199999999998</v>
      </c>
      <c r="CG14" s="1025">
        <f t="shared" si="4"/>
        <v>-7.9850099999999999</v>
      </c>
      <c r="CH14" s="1025">
        <f t="shared" si="4"/>
        <v>1.5787599999999999</v>
      </c>
      <c r="CI14" s="1025">
        <f t="shared" si="4"/>
        <v>6.0344600000000002</v>
      </c>
      <c r="CJ14" s="1025">
        <f t="shared" si="4"/>
        <v>3.0977199999999998</v>
      </c>
      <c r="CK14" s="1025">
        <f t="shared" si="4"/>
        <v>-3.59734</v>
      </c>
      <c r="CL14" s="1025">
        <f t="shared" si="4"/>
        <v>1.9315100000000001</v>
      </c>
      <c r="CM14" s="1025">
        <f t="shared" si="4"/>
        <v>5.9983500000000003</v>
      </c>
      <c r="CN14" s="1025">
        <f t="shared" si="4"/>
        <v>-1.85768</v>
      </c>
      <c r="CO14" s="1025">
        <f t="shared" si="4"/>
        <v>3.7315299999999998</v>
      </c>
      <c r="CP14" s="1025">
        <f t="shared" si="4"/>
        <v>3.6104099999999999</v>
      </c>
      <c r="CQ14" s="1025">
        <f t="shared" si="4"/>
        <v>7.5636900000000002</v>
      </c>
      <c r="CR14" s="1025">
        <f t="shared" si="4"/>
        <v>0.19839999999999999</v>
      </c>
      <c r="CS14" s="1025">
        <f t="shared" si="4"/>
        <v>5.5933099999999998</v>
      </c>
      <c r="CT14" s="1025">
        <f t="shared" ref="CT14:EW14" si="5">VLOOKUP(CT$8,Index,2,FALSE)</f>
        <v>9.5709400000000002</v>
      </c>
      <c r="CU14" s="1025">
        <f t="shared" si="5"/>
        <v>8.7595100000000006</v>
      </c>
      <c r="CV14" s="1025">
        <f t="shared" si="5"/>
        <v>-10.647779999999999</v>
      </c>
      <c r="CW14" s="1025">
        <f t="shared" si="5"/>
        <v>-8.4286100000000008</v>
      </c>
      <c r="CX14" s="1025">
        <f t="shared" si="5"/>
        <v>1.0640099999999999</v>
      </c>
      <c r="CY14" s="1025">
        <f t="shared" si="5"/>
        <v>-7.1754899999999999</v>
      </c>
      <c r="CZ14" s="1025">
        <f t="shared" si="5"/>
        <v>-16.79476</v>
      </c>
      <c r="DA14" s="1025">
        <f t="shared" si="5"/>
        <v>-8.9107500000000002</v>
      </c>
      <c r="DB14" s="1025">
        <f t="shared" si="5"/>
        <v>1.4464900000000001</v>
      </c>
      <c r="DC14" s="1025">
        <f t="shared" si="5"/>
        <v>-0.84062000000000003</v>
      </c>
      <c r="DD14" s="1025">
        <f t="shared" si="5"/>
        <v>-8.4303799999999995</v>
      </c>
      <c r="DE14" s="1025">
        <f t="shared" si="5"/>
        <v>1.2952600000000001</v>
      </c>
      <c r="DF14" s="1025">
        <f t="shared" si="5"/>
        <v>4.8703399999999997</v>
      </c>
      <c r="DG14" s="1025">
        <f t="shared" si="5"/>
        <v>-0.43180000000000002</v>
      </c>
      <c r="DH14" s="1025">
        <f t="shared" si="5"/>
        <v>-3.24858</v>
      </c>
      <c r="DI14" s="1025">
        <f t="shared" si="5"/>
        <v>-5.9981400000000002</v>
      </c>
      <c r="DJ14" s="1025">
        <f t="shared" si="5"/>
        <v>-0.69377999999999995</v>
      </c>
      <c r="DK14" s="1025">
        <f t="shared" si="5"/>
        <v>-4.18065</v>
      </c>
      <c r="DL14" s="1025">
        <f t="shared" si="5"/>
        <v>1.59067</v>
      </c>
      <c r="DM14" s="1025">
        <f t="shared" si="5"/>
        <v>3.7398600000000002</v>
      </c>
      <c r="DN14" s="1025">
        <f t="shared" si="5"/>
        <v>1.49902</v>
      </c>
      <c r="DO14" s="1025">
        <f t="shared" si="5"/>
        <v>-3.1004900000000002</v>
      </c>
      <c r="DP14" s="1025">
        <f t="shared" si="5"/>
        <v>-1.6613199999999999</v>
      </c>
      <c r="DQ14" s="1025">
        <f t="shared" si="5"/>
        <v>3.4895100000000001</v>
      </c>
      <c r="DR14" s="1025">
        <f t="shared" si="5"/>
        <v>4.4295299999999997</v>
      </c>
      <c r="DS14" s="1025">
        <f t="shared" si="5"/>
        <v>1.1185</v>
      </c>
      <c r="DT14" s="1025">
        <f t="shared" si="5"/>
        <v>-1.9558800000000001</v>
      </c>
      <c r="DU14" s="1025">
        <f t="shared" si="5"/>
        <v>1.512</v>
      </c>
      <c r="DV14" s="1025">
        <f t="shared" si="5"/>
        <v>1.4027700000000001</v>
      </c>
      <c r="DW14" s="1025">
        <f t="shared" si="5"/>
        <v>1.90161</v>
      </c>
      <c r="DX14" s="1025">
        <f t="shared" si="5"/>
        <v>3.2585999999999999</v>
      </c>
      <c r="DY14" s="1025">
        <f t="shared" si="5"/>
        <v>2.5770300000000002</v>
      </c>
      <c r="DZ14" s="1025">
        <f t="shared" si="5"/>
        <v>2.3793000000000002</v>
      </c>
      <c r="EA14" s="1025">
        <f t="shared" si="5"/>
        <v>0.61685000000000001</v>
      </c>
      <c r="EB14" s="1025">
        <f t="shared" si="5"/>
        <v>0.13556000000000001</v>
      </c>
      <c r="EC14" s="1025">
        <f t="shared" si="5"/>
        <v>-2.8781300000000001</v>
      </c>
      <c r="ED14" s="1025">
        <f t="shared" si="5"/>
        <v>1.3427500000000001</v>
      </c>
      <c r="EE14" s="1025">
        <f t="shared" si="5"/>
        <v>1.2447600000000001</v>
      </c>
      <c r="EF14" s="1025">
        <f t="shared" si="5"/>
        <v>0.27137</v>
      </c>
      <c r="EG14" s="1025">
        <f t="shared" si="5"/>
        <v>2.6482999999999999</v>
      </c>
      <c r="EH14" s="1025">
        <f t="shared" si="5"/>
        <v>3.4279999999999998E-2</v>
      </c>
      <c r="EI14" s="1025">
        <f t="shared" si="5"/>
        <v>3.7822300000000002</v>
      </c>
      <c r="EJ14" s="1025">
        <f t="shared" si="5"/>
        <v>-1.66709</v>
      </c>
      <c r="EK14" s="1025">
        <f t="shared" si="5"/>
        <v>0.81</v>
      </c>
      <c r="EL14" s="1025">
        <f t="shared" si="5"/>
        <v>-0.91241000000000005</v>
      </c>
      <c r="EM14" s="1025">
        <f t="shared" si="5"/>
        <v>3.7189999999999999</v>
      </c>
      <c r="EN14" s="1025">
        <f t="shared" si="5"/>
        <v>0.14199999999999999</v>
      </c>
      <c r="EO14" s="1025">
        <f t="shared" si="5"/>
        <v>3.1819999999999999</v>
      </c>
      <c r="EP14" s="1025">
        <f t="shared" si="5"/>
        <v>-1.897</v>
      </c>
      <c r="EQ14" s="1025">
        <f t="shared" si="5"/>
        <v>-1.7709999999999999</v>
      </c>
      <c r="ER14" s="1025">
        <f t="shared" si="5"/>
        <v>2.1040000000000001</v>
      </c>
      <c r="ES14" s="1025">
        <f t="shared" si="5"/>
        <v>-2.4369999999999998</v>
      </c>
      <c r="ET14" s="1025">
        <f t="shared" si="5"/>
        <v>3.403</v>
      </c>
      <c r="EU14" s="1025">
        <f t="shared" si="5"/>
        <v>4.0460000000000003</v>
      </c>
      <c r="EV14" s="1025">
        <f t="shared" si="5"/>
        <v>1.528</v>
      </c>
      <c r="EW14" s="1025">
        <f t="shared" si="5"/>
        <v>1.083</v>
      </c>
      <c r="EX14" s="1230"/>
      <c r="EY14" s="1230"/>
      <c r="EZ14" s="789"/>
      <c r="FA14" s="789"/>
      <c r="FB14" s="789"/>
      <c r="FC14" s="789"/>
      <c r="FD14" s="789"/>
      <c r="FE14" s="1024"/>
      <c r="FF14" s="1027"/>
      <c r="FG14" s="1027"/>
      <c r="FH14" s="1027"/>
      <c r="FI14" s="1027"/>
      <c r="FJ14" s="1027"/>
      <c r="FK14" s="1024"/>
      <c r="FL14" s="1027"/>
      <c r="FM14" s="1027"/>
    </row>
    <row r="15" spans="1:169" s="395" customFormat="1" ht="12.75" customHeight="1" x14ac:dyDescent="0.2">
      <c r="A15" s="456"/>
      <c r="B15" s="418"/>
      <c r="C15" s="414"/>
      <c r="D15" s="249"/>
      <c r="E15" s="457"/>
      <c r="F15" s="461"/>
      <c r="G15" s="432"/>
      <c r="H15" s="432"/>
      <c r="I15" s="432"/>
      <c r="J15" s="432"/>
      <c r="K15" s="432"/>
      <c r="L15" s="432"/>
      <c r="M15" s="432"/>
      <c r="N15" s="432"/>
      <c r="O15" s="432"/>
      <c r="P15" s="432"/>
      <c r="Q15" s="458"/>
      <c r="R15" s="249"/>
      <c r="S15" s="249"/>
      <c r="T15" s="249"/>
      <c r="U15" s="249"/>
      <c r="V15" s="249"/>
      <c r="W15" s="249"/>
      <c r="X15" s="249"/>
      <c r="Y15" s="249"/>
      <c r="Z15" s="249"/>
      <c r="AA15" s="249"/>
      <c r="AB15" s="249"/>
      <c r="AC15" s="459"/>
      <c r="AD15" s="460"/>
      <c r="AE15" s="15"/>
      <c r="AF15" s="442"/>
      <c r="AG15" s="382"/>
      <c r="AH15" s="439"/>
      <c r="AI15" s="439"/>
      <c r="AJ15" s="439"/>
      <c r="AK15" s="439"/>
      <c r="AL15" s="439"/>
      <c r="AM15" s="439"/>
      <c r="AN15" s="439"/>
      <c r="AO15" s="439"/>
      <c r="AP15" s="439"/>
      <c r="AQ15" s="439"/>
      <c r="AR15" s="439"/>
      <c r="AS15" s="439"/>
      <c r="AT15" s="439"/>
      <c r="AU15" s="439"/>
      <c r="AV15" s="439"/>
      <c r="AW15" s="439"/>
      <c r="AX15" s="439"/>
      <c r="AY15" s="439"/>
      <c r="AZ15" s="439"/>
      <c r="BA15" s="439"/>
      <c r="BB15" s="439"/>
      <c r="BC15" s="439"/>
      <c r="BD15" s="439"/>
      <c r="BE15" s="439"/>
      <c r="BF15" s="439"/>
      <c r="BG15" s="439"/>
      <c r="BH15" s="439"/>
      <c r="BI15" s="439"/>
      <c r="BJ15" s="439"/>
      <c r="BK15" s="439"/>
      <c r="BL15" s="439"/>
      <c r="BM15" s="439"/>
      <c r="BN15" s="439"/>
      <c r="BO15" s="439"/>
      <c r="BP15" s="439"/>
      <c r="BQ15" s="439"/>
      <c r="BR15" s="439"/>
      <c r="BS15" s="439"/>
      <c r="BT15" s="439"/>
      <c r="BU15" s="439"/>
      <c r="BV15" s="439"/>
      <c r="BW15" s="439"/>
      <c r="BX15" s="439"/>
      <c r="BY15" s="439"/>
      <c r="BZ15" s="439"/>
      <c r="CA15" s="439"/>
      <c r="CB15" s="439"/>
      <c r="CC15" s="439"/>
      <c r="CD15" s="439"/>
      <c r="CE15" s="439"/>
      <c r="CF15" s="439"/>
      <c r="CG15" s="439"/>
      <c r="CH15" s="439"/>
      <c r="CI15" s="439"/>
      <c r="CJ15" s="439"/>
      <c r="CK15" s="439"/>
      <c r="CL15" s="439"/>
      <c r="CM15" s="439"/>
      <c r="CN15" s="439"/>
      <c r="CO15" s="439"/>
      <c r="CP15" s="439"/>
      <c r="CQ15" s="439"/>
      <c r="CR15" s="439"/>
      <c r="CS15" s="439"/>
      <c r="CT15" s="439"/>
      <c r="CU15" s="439"/>
      <c r="CV15" s="439"/>
      <c r="CW15" s="439"/>
      <c r="CX15" s="439"/>
      <c r="CY15" s="439"/>
      <c r="CZ15" s="439"/>
      <c r="DA15" s="439"/>
      <c r="DB15" s="439"/>
      <c r="DC15" s="439"/>
      <c r="DD15" s="439"/>
      <c r="DE15" s="439"/>
      <c r="DF15" s="439"/>
      <c r="DG15" s="439"/>
      <c r="DH15" s="439"/>
      <c r="DI15" s="439"/>
      <c r="DJ15" s="439"/>
      <c r="DK15" s="439"/>
      <c r="DL15" s="439"/>
      <c r="DM15" s="439"/>
      <c r="DN15" s="439"/>
      <c r="DO15" s="439"/>
      <c r="DP15" s="439"/>
      <c r="DQ15" s="439"/>
      <c r="DR15" s="439"/>
      <c r="DS15" s="439"/>
      <c r="DT15" s="439"/>
      <c r="DU15" s="439"/>
      <c r="DV15" s="439"/>
      <c r="DW15" s="439"/>
      <c r="DX15" s="439"/>
      <c r="DY15" s="439"/>
      <c r="DZ15" s="439"/>
      <c r="EA15" s="439"/>
      <c r="EB15" s="439"/>
      <c r="EC15" s="439"/>
      <c r="ED15" s="439"/>
      <c r="EE15" s="439"/>
      <c r="EF15" s="439"/>
      <c r="EG15" s="439"/>
      <c r="EH15" s="439"/>
      <c r="EI15" s="439"/>
      <c r="EJ15" s="439"/>
      <c r="EK15" s="439"/>
      <c r="EL15" s="439"/>
      <c r="EM15" s="439"/>
      <c r="EN15" s="439"/>
      <c r="EO15" s="439"/>
      <c r="EP15" s="439"/>
      <c r="EQ15" s="439"/>
      <c r="ER15" s="439"/>
      <c r="ES15" s="439"/>
      <c r="ET15" s="439"/>
      <c r="EU15" s="439"/>
      <c r="EV15" s="439"/>
      <c r="EW15" s="439"/>
      <c r="EX15" s="393"/>
      <c r="EY15" s="393"/>
      <c r="EZ15" s="789"/>
      <c r="FA15" s="789"/>
      <c r="FB15" s="789"/>
      <c r="FC15" s="789"/>
      <c r="FD15" s="789"/>
      <c r="FE15" s="382"/>
      <c r="FF15" s="442"/>
      <c r="FG15" s="442"/>
      <c r="FH15" s="442"/>
      <c r="FI15" s="442"/>
      <c r="FJ15" s="442"/>
      <c r="FK15" s="382"/>
      <c r="FL15" s="442"/>
      <c r="FM15" s="442"/>
    </row>
    <row r="16" spans="1:169" s="395" customFormat="1" ht="12.75" customHeight="1" x14ac:dyDescent="0.2">
      <c r="A16" s="445" t="s">
        <v>159</v>
      </c>
      <c r="B16" s="621" t="s">
        <v>318</v>
      </c>
      <c r="C16" s="446">
        <v>37621</v>
      </c>
      <c r="D16" s="462">
        <f>Intech!D1</f>
        <v>38.338868334226035</v>
      </c>
      <c r="E16" s="448">
        <f>VLOOKUP(AH$8,Intech!A1:E488,3,FALSE)/1000000</f>
        <v>473.80529847000003</v>
      </c>
      <c r="F16" s="449">
        <f>AH16</f>
        <v>3.4765100000000002</v>
      </c>
      <c r="G16" s="450">
        <f t="array" ref="G16">IF($AJ16=0,"---",(PRODUCT($AH16:AJ16/100+1)-1)*100)</f>
        <v>3.6264799198077569</v>
      </c>
      <c r="H16" s="450">
        <f t="array" ref="H16">IF($AS16=0,"---",(PRODUCT(AH16:AN16/100+1)-1)*100)</f>
        <v>10.819213652417803</v>
      </c>
      <c r="I16" s="450">
        <f t="array" ref="I16">IF(AS16=0,"---",(GEOMEAN($AH16:AS16/100+1)^12-1)*100)</f>
        <v>25.960284386521781</v>
      </c>
      <c r="J16" s="450">
        <f t="array" ref="J16">IF(BE16=0,"---",(GEOMEAN($AH16:BE16/100+1)^12-1)*100)</f>
        <v>19.744269214215905</v>
      </c>
      <c r="K16" s="450">
        <f t="array" ref="K16">IF(BQ16=0,"---",(GEOMEAN($AH16:BQ16/100+1)^12-1)*100)</f>
        <v>18.686222539361296</v>
      </c>
      <c r="L16" s="450">
        <f t="array" ref="L16">IF(CC16=0,"---",(GEOMEAN($AH16:CC16/100+1)^12-1)*100)</f>
        <v>19.443546920747899</v>
      </c>
      <c r="M16" s="450">
        <f t="array" ref="M16">IF(CO16=0,"---",(GEOMEAN($AH16:CO16/100+1)^12-1)*100)</f>
        <v>17.16781387669306</v>
      </c>
      <c r="N16" s="450">
        <f t="array" ref="N16">IF(DM16=0,"---",(GEOMEAN($AH16:DM16/100+1)^12-1)*100)</f>
        <v>8.3995204769521603</v>
      </c>
      <c r="O16" s="450">
        <f t="array" ref="O16">IF(EK16=0,"---",(GEOMEAN($AH16:EK16/100+1)^12-1)*100)</f>
        <v>8.1285248289857606</v>
      </c>
      <c r="P16" s="450">
        <f t="array" ref="P16">IF(EW16=0,"---",(GEOMEAN($AH16:EW16/100+1)^12-1)*100)</f>
        <v>8.6318431096382042</v>
      </c>
      <c r="Q16" s="451">
        <f t="array" ref="Q16">(GEOMEAN(Intech!B$333:B471/100+1)^12-1)*100</f>
        <v>9.8290729263425405</v>
      </c>
      <c r="R16" s="452">
        <f t="shared" ref="R16:AB16" si="6">IF(F16="---","---",(F16-F$17)*100)</f>
        <v>-87.319000000000017</v>
      </c>
      <c r="S16" s="452">
        <f t="shared" si="6"/>
        <v>-156.61575083951718</v>
      </c>
      <c r="T16" s="452">
        <f t="shared" si="6"/>
        <v>-311.14734092341456</v>
      </c>
      <c r="U16" s="452">
        <f t="shared" si="6"/>
        <v>-156.47982509455323</v>
      </c>
      <c r="V16" s="452">
        <f t="shared" si="6"/>
        <v>-144.00179166983662</v>
      </c>
      <c r="W16" s="452">
        <f t="shared" si="6"/>
        <v>-161.38558510753427</v>
      </c>
      <c r="X16" s="452">
        <f t="shared" si="6"/>
        <v>-168.17074275364627</v>
      </c>
      <c r="Y16" s="452">
        <f t="shared" si="6"/>
        <v>-70.771566155687538</v>
      </c>
      <c r="Z16" s="452">
        <f t="shared" si="6"/>
        <v>-25.223045085282969</v>
      </c>
      <c r="AA16" s="452">
        <f t="shared" si="6"/>
        <v>-77.6553291386751</v>
      </c>
      <c r="AB16" s="452">
        <f t="shared" si="6"/>
        <v>-41.07535831271214</v>
      </c>
      <c r="AC16" s="453">
        <f>(Q16-AF16)*100</f>
        <v>55.787173461538941</v>
      </c>
      <c r="AD16" s="454">
        <v>350</v>
      </c>
      <c r="AE16" s="437"/>
      <c r="AF16" s="438">
        <f t="array" ref="AF16">(GEOMEAN(Index_Returns!C333:C471/100+1)^12-1)*100</f>
        <v>9.2712011917271511</v>
      </c>
      <c r="AG16" s="382" t="str">
        <f>IF(I16="---","&lt; 1 Year","---")</f>
        <v>---</v>
      </c>
      <c r="AH16" s="439">
        <f>VLOOKUP(AH$8,Intech!$A$1:$E$488,2,FALSE)</f>
        <v>3.4765100000000002</v>
      </c>
      <c r="AI16" s="439">
        <f>VLOOKUP(AI$8,Intech!$A$1:$E$488,2,FALSE)</f>
        <v>-1.11591</v>
      </c>
      <c r="AJ16" s="439">
        <f>VLOOKUP(AJ$8,Intech!$A$1:$E$488,2,FALSE)</f>
        <v>1.2750699999999999</v>
      </c>
      <c r="AK16" s="439">
        <f>VLOOKUP(AK$8,Intech!$A$1:$E$488,2,FALSE)</f>
        <v>3.5741299999999998</v>
      </c>
      <c r="AL16" s="439">
        <f>VLOOKUP(AL$8,Intech!$A$1:$E$488,2,FALSE)</f>
        <v>0.22817000000000001</v>
      </c>
      <c r="AM16" s="439">
        <f>VLOOKUP(AM$8,Intech!$A$1:$E$488,2,FALSE)</f>
        <v>-2.2123200000000001</v>
      </c>
      <c r="AN16" s="439">
        <f>VLOOKUP(AN$8,Intech!$A$1:$E$488,2,FALSE)</f>
        <v>5.3462500000000004</v>
      </c>
      <c r="AO16" s="439">
        <f>VLOOKUP(AO$8,Intech!$A$1:$E$488,2,FALSE)</f>
        <v>-2.8177400000000001</v>
      </c>
      <c r="AP16" s="439">
        <f>VLOOKUP(AP$8,Intech!$A$1:$E$488,2,FALSE)</f>
        <v>3.3075700000000001</v>
      </c>
      <c r="AQ16" s="439">
        <f>VLOOKUP(AQ$8,Intech!$A$1:$E$488,2,FALSE)</f>
        <v>3.23705</v>
      </c>
      <c r="AR16" s="439">
        <f>VLOOKUP(AR$8,Intech!$A$1:$E$488,2,FALSE)</f>
        <v>5.19468</v>
      </c>
      <c r="AS16" s="439">
        <f>VLOOKUP(AS$8,Intech!$A$1:$E$488,2,FALSE)</f>
        <v>4.2485600000000003</v>
      </c>
      <c r="AT16" s="439">
        <f>VLOOKUP(AT$8,Intech!$A$1:$E$488,2,FALSE)</f>
        <v>-2.57782</v>
      </c>
      <c r="AU16" s="439">
        <f>VLOOKUP(AU$8,Intech!$A$1:$E$488,2,FALSE)</f>
        <v>5.2611499999999998</v>
      </c>
      <c r="AV16" s="439">
        <f>VLOOKUP(AV$8,Intech!$A$1:$E$488,2,FALSE)</f>
        <v>-2.0319199999999999</v>
      </c>
      <c r="AW16" s="439">
        <f>VLOOKUP(AW$8,Intech!$A$1:$E$488,2,FALSE)</f>
        <v>1.6482000000000001</v>
      </c>
      <c r="AX16" s="439">
        <f>VLOOKUP(AX$8,Intech!$A$1:$E$488,2,FALSE)</f>
        <v>2.19035</v>
      </c>
      <c r="AY16" s="439">
        <f>VLOOKUP(AY$8,Intech!$A$1:$E$488,2,FALSE)</f>
        <v>4.9272499999999999</v>
      </c>
      <c r="AZ16" s="439">
        <f>VLOOKUP(AZ$8,Intech!$A$1:$E$488,2,FALSE)</f>
        <v>1.63842</v>
      </c>
      <c r="BA16" s="439">
        <f>VLOOKUP(BA$8,Intech!$A$1:$E$488,2,FALSE)</f>
        <v>2.7525200000000001</v>
      </c>
      <c r="BB16" s="439">
        <f>VLOOKUP(BB$8,Intech!$A$1:$E$488,2,FALSE)</f>
        <v>-1.17906</v>
      </c>
      <c r="BC16" s="439">
        <f>VLOOKUP(BC$8,Intech!$A$1:$E$488,2,FALSE)</f>
        <v>2.1040000000000001</v>
      </c>
      <c r="BD16" s="439">
        <f>VLOOKUP(BD$8,Intech!$A$1:$E$488,2,FALSE)</f>
        <v>-3.12358</v>
      </c>
      <c r="BE16" s="439">
        <f>VLOOKUP(BE$8,Intech!$A$1:$E$488,2,FALSE)</f>
        <v>1.83738</v>
      </c>
      <c r="BF16" s="439">
        <f>VLOOKUP(BF$8,Intech!$A$1:$E$488,2,FALSE)</f>
        <v>1.8897299999999999</v>
      </c>
      <c r="BG16" s="439">
        <f>VLOOKUP(BG$8,Intech!$A$1:$E$488,2,FALSE)</f>
        <v>1.5645500000000001</v>
      </c>
      <c r="BH16" s="439">
        <f>VLOOKUP(BH$8,Intech!$A$1:$E$488,2,FALSE)</f>
        <v>2.3450700000000002</v>
      </c>
      <c r="BI16" s="439">
        <f>VLOOKUP(BI$8,Intech!$A$1:$E$488,2,FALSE)</f>
        <v>-4.9618700000000002</v>
      </c>
      <c r="BJ16" s="439">
        <f>VLOOKUP(BJ$8,Intech!$A$1:$E$488,2,FALSE)</f>
        <v>1.71888</v>
      </c>
      <c r="BK16" s="439">
        <f>VLOOKUP(BK$8,Intech!$A$1:$E$488,2,FALSE)</f>
        <v>3.79515</v>
      </c>
      <c r="BL16" s="439">
        <f>VLOOKUP(BL$8,Intech!$A$1:$E$488,2,FALSE)</f>
        <v>5.0876599999999996</v>
      </c>
      <c r="BM16" s="439">
        <f>VLOOKUP(BM$8,Intech!$A$1:$E$488,2,FALSE)</f>
        <v>3.4572400000000001</v>
      </c>
      <c r="BN16" s="439">
        <f>VLOOKUP(BN$8,Intech!$A$1:$E$488,2,FALSE)</f>
        <v>-6.2330000000000003E-2</v>
      </c>
      <c r="BO16" s="439">
        <f>VLOOKUP(BO$8,Intech!$A$1:$E$488,2,FALSE)</f>
        <v>-0.53286</v>
      </c>
      <c r="BP16" s="439">
        <f>VLOOKUP(BP$8,Intech!$A$1:$E$488,2,FALSE)</f>
        <v>10.70659</v>
      </c>
      <c r="BQ16" s="439">
        <f>VLOOKUP(BQ$8,Intech!$A$1:$E$488,2,FALSE)</f>
        <v>-8.2976399999999995</v>
      </c>
      <c r="BR16" s="439">
        <f>VLOOKUP(BR$8,Intech!$A$1:$E$488,2,FALSE)</f>
        <v>-5.5271999999999997</v>
      </c>
      <c r="BS16" s="439">
        <f>VLOOKUP(BS$8,Intech!$A$1:$E$488,2,FALSE)</f>
        <v>-1.6024799999999999</v>
      </c>
      <c r="BT16" s="439">
        <f>VLOOKUP(BT$8,Intech!$A$1:$E$488,2,FALSE)</f>
        <v>-1.07613</v>
      </c>
      <c r="BU16" s="439">
        <f>VLOOKUP(BU$8,Intech!$A$1:$E$488,2,FALSE)</f>
        <v>-0.24875</v>
      </c>
      <c r="BV16" s="439">
        <f>VLOOKUP(BV$8,Intech!$A$1:$E$488,2,FALSE)</f>
        <v>3.8069700000000002</v>
      </c>
      <c r="BW16" s="439">
        <f>VLOOKUP(BW$8,Intech!$A$1:$E$488,2,FALSE)</f>
        <v>1.6600699999999999</v>
      </c>
      <c r="BX16" s="439">
        <f>VLOOKUP(BX$8,Intech!$A$1:$E$488,2,FALSE)</f>
        <v>3.1141700000000001</v>
      </c>
      <c r="BY16" s="439">
        <f>VLOOKUP(BY$8,Intech!$A$1:$E$488,2,FALSE)</f>
        <v>1.0938300000000001</v>
      </c>
      <c r="BZ16" s="439">
        <f>VLOOKUP(BZ$8,Intech!$A$1:$E$488,2,FALSE)</f>
        <v>4.3408699999999998</v>
      </c>
      <c r="CA16" s="439">
        <f>VLOOKUP(CA$8,Intech!$A$1:$E$488,2,FALSE)</f>
        <v>1.46692</v>
      </c>
      <c r="CB16" s="439">
        <f>VLOOKUP(CB$8,Intech!$A$1:$E$488,2,FALSE)</f>
        <v>4.1102800000000004</v>
      </c>
      <c r="CC16" s="439">
        <f>VLOOKUP(CC$8,Intech!$A$1:$E$488,2,FALSE)</f>
        <v>9.4578699999999998</v>
      </c>
      <c r="CD16" s="439">
        <f>VLOOKUP(CD$8,Intech!$A$1:$E$488,2,FALSE)</f>
        <v>-2.58392</v>
      </c>
      <c r="CE16" s="439">
        <f>VLOOKUP(CE$8,Intech!$A$1:$E$488,2,FALSE)</f>
        <v>5.9599700000000002</v>
      </c>
      <c r="CF16" s="439">
        <f>VLOOKUP(CF$8,Intech!$A$1:$E$488,2,FALSE)</f>
        <v>-4.66</v>
      </c>
      <c r="CG16" s="439">
        <f>VLOOKUP(CG$8,Intech!$A$1:$E$488,2,FALSE)</f>
        <v>-6.86</v>
      </c>
      <c r="CH16" s="439">
        <f>VLOOKUP(CH$8,Intech!$A$1:$E$488,2,FALSE)</f>
        <v>1.71</v>
      </c>
      <c r="CI16" s="439">
        <f>VLOOKUP(CI$8,Intech!$A$1:$E$488,2,FALSE)</f>
        <v>6.13</v>
      </c>
      <c r="CJ16" s="439">
        <f>VLOOKUP(CJ$8,Intech!$A$1:$E$488,2,FALSE)</f>
        <v>3.99</v>
      </c>
      <c r="CK16" s="439">
        <f>VLOOKUP(CK$8,Intech!$A$1:$E$488,2,FALSE)</f>
        <v>-5.75</v>
      </c>
      <c r="CL16" s="439">
        <f>VLOOKUP(CL$8,Intech!$A$1:$E$488,2,FALSE)</f>
        <v>2.69</v>
      </c>
      <c r="CM16" s="439">
        <f>VLOOKUP(CM$8,Intech!$A$1:$E$488,2,FALSE)</f>
        <v>5.58</v>
      </c>
      <c r="CN16" s="439">
        <f>VLOOKUP(CN$8,Intech!$A$1:$E$488,2,FALSE)</f>
        <v>-0.38</v>
      </c>
      <c r="CO16" s="439">
        <f>VLOOKUP(CO$8,Intech!$A$1:$E$488,2,FALSE)</f>
        <v>3.58</v>
      </c>
      <c r="CP16" s="439">
        <f>VLOOKUP(CP$8,Intech!$A$1:$E$488,2,FALSE)</f>
        <v>1.3</v>
      </c>
      <c r="CQ16" s="439">
        <f>VLOOKUP(CQ$8,Intech!$A$1:$E$488,2,FALSE)</f>
        <v>6.16</v>
      </c>
      <c r="CR16" s="439">
        <f>VLOOKUP(CR$8,Intech!$A$1:$E$488,2,FALSE)</f>
        <v>0.81</v>
      </c>
      <c r="CS16" s="439">
        <f>VLOOKUP(CS$8,Intech!$A$1:$E$488,2,FALSE)</f>
        <v>4.25</v>
      </c>
      <c r="CT16" s="439">
        <f>VLOOKUP(CT$8,Intech!$A$1:$E$488,2,FALSE)</f>
        <v>6.93</v>
      </c>
      <c r="CU16" s="439">
        <f>VLOOKUP(CU$8,Intech!$A$1:$E$488,2,FALSE)</f>
        <v>6.29</v>
      </c>
      <c r="CV16" s="439">
        <f>VLOOKUP(CV$8,Intech!$A$1:$E$488,2,FALSE)</f>
        <v>-8.11</v>
      </c>
      <c r="CW16" s="439">
        <f>VLOOKUP(CW$8,Intech!$A$1:$E$488,2,FALSE)</f>
        <v>-3.33</v>
      </c>
      <c r="CX16" s="439">
        <f>VLOOKUP(CX$8,Intech!$A$1:$E$488,2,FALSE)</f>
        <v>-0.18</v>
      </c>
      <c r="CY16" s="439">
        <f>VLOOKUP(CY$8,Intech!$A$1:$E$488,2,FALSE)</f>
        <v>-5.57</v>
      </c>
      <c r="CZ16" s="439">
        <f>VLOOKUP(CZ$8,Intech!$A$1:$E$488,2,FALSE)</f>
        <v>-15.28</v>
      </c>
      <c r="DA16" s="439">
        <f>VLOOKUP(DA$8,Intech!$A$1:$E$488,2,FALSE)</f>
        <v>-9.58</v>
      </c>
      <c r="DB16" s="439">
        <f>VLOOKUP(DB$8,Intech!$A$1:$E$488,2,FALSE)</f>
        <v>1.23</v>
      </c>
      <c r="DC16" s="439">
        <f>VLOOKUP(DC$8,Intech!$A$1:$E$488,2,FALSE)</f>
        <v>-1.91</v>
      </c>
      <c r="DD16" s="439">
        <f>VLOOKUP(DD$8,Intech!$A$1:$E$488,2,FALSE)</f>
        <v>-5.44</v>
      </c>
      <c r="DE16" s="439">
        <f>VLOOKUP(DE$8,Intech!$A$1:$E$488,2,FALSE)</f>
        <v>2.44</v>
      </c>
      <c r="DF16" s="439">
        <f>VLOOKUP(DF$8,Intech!$A$1:$E$488,2,FALSE)</f>
        <v>6.52</v>
      </c>
      <c r="DG16" s="439">
        <f>VLOOKUP(DG$8,Intech!$A$1:$E$488,2,FALSE)</f>
        <v>-0.56999999999999995</v>
      </c>
      <c r="DH16" s="439">
        <f>VLOOKUP(DH$8,Intech!$A$1:$E$488,2,FALSE)</f>
        <v>-0.51</v>
      </c>
      <c r="DI16" s="439">
        <f>VLOOKUP(DI$8,Intech!$A$1:$E$488,2,FALSE)</f>
        <v>-10.06</v>
      </c>
      <c r="DJ16" s="439">
        <f>VLOOKUP(DJ$8,Intech!$A$1:$E$488,2,FALSE)</f>
        <v>0.72</v>
      </c>
      <c r="DK16" s="439">
        <f>VLOOKUP(DK$8,Intech!$A$1:$E$488,2,FALSE)</f>
        <v>-1.89</v>
      </c>
      <c r="DL16" s="439">
        <f>VLOOKUP(DL$8,Intech!$A$1:$E$488,2,FALSE)</f>
        <v>2.2799999999999998</v>
      </c>
      <c r="DM16" s="439">
        <f>VLOOKUP(DM$8,Intech!$A$1:$E$488,2,FALSE)</f>
        <v>4.92</v>
      </c>
      <c r="DN16" s="439">
        <f>VLOOKUP(DN$8,Intech!$A$1:$E$488,2,FALSE)</f>
        <v>1.3</v>
      </c>
      <c r="DO16" s="439">
        <f>VLOOKUP(DO$8,Intech!$A$1:$E$488,2,FALSE)</f>
        <v>-2.54</v>
      </c>
      <c r="DP16" s="439">
        <f>VLOOKUP(DP$8,Intech!$A$1:$E$488,2,FALSE)</f>
        <v>-2.6</v>
      </c>
      <c r="DQ16" s="439">
        <f>VLOOKUP(DQ$8,Intech!$A$1:$E$488,2,FALSE)</f>
        <v>2.4</v>
      </c>
      <c r="DR16" s="439">
        <f>VLOOKUP(DR$8,Intech!$A$1:$E$488,2,FALSE)</f>
        <v>3.52</v>
      </c>
      <c r="DS16" s="439">
        <f>VLOOKUP(DS$8,Intech!$A$1:$E$488,2,FALSE)</f>
        <v>0.98</v>
      </c>
      <c r="DT16" s="439">
        <f>VLOOKUP(DT$8,Intech!$A$1:$E$488,2,FALSE)</f>
        <v>-2</v>
      </c>
      <c r="DU16" s="439">
        <f>VLOOKUP(DU$8,Intech!$A$1:$E$488,2,FALSE)</f>
        <v>0.89</v>
      </c>
      <c r="DV16" s="439">
        <f>VLOOKUP(DV$8,Intech!$A$1:$E$488,2,FALSE)</f>
        <v>0.73</v>
      </c>
      <c r="DW16" s="439">
        <f>VLOOKUP(DW$8,Intech!$A$1:$E$488,2,FALSE)</f>
        <v>1.17</v>
      </c>
      <c r="DX16" s="439">
        <f>VLOOKUP(DX$8,Intech!$A$1:$E$488,2,FALSE)</f>
        <v>1.85</v>
      </c>
      <c r="DY16" s="439">
        <f>VLOOKUP(DY$8,Intech!$A$1:$E$488,2,FALSE)</f>
        <v>1.98</v>
      </c>
      <c r="DZ16" s="439">
        <f>VLOOKUP(DZ$8,Intech!$A$1:$E$488,2,FALSE)</f>
        <v>2.42</v>
      </c>
      <c r="EA16" s="439">
        <f>VLOOKUP(EA$8,Intech!$A$1:$E$488,2,FALSE)</f>
        <v>0.46</v>
      </c>
      <c r="EB16" s="439">
        <f>VLOOKUP(EB$8,Intech!$A$1:$E$488,2,FALSE)</f>
        <v>-0.28999999999999998</v>
      </c>
      <c r="EC16" s="439">
        <f>VLOOKUP(EC$8,Intech!$A$1:$E$488,2,FALSE)</f>
        <v>-3.32</v>
      </c>
      <c r="ED16" s="439">
        <f>VLOOKUP(ED$8,Intech!$A$1:$E$488,2,FALSE)</f>
        <v>-0.91</v>
      </c>
      <c r="EE16" s="439">
        <f>VLOOKUP(EE$8,Intech!$A$1:$E$488,2,FALSE)</f>
        <v>1.3</v>
      </c>
      <c r="EF16" s="439">
        <f>VLOOKUP(EF$8,Intech!$A$1:$E$488,2,FALSE)</f>
        <v>-1.47</v>
      </c>
      <c r="EG16" s="439">
        <f>VLOOKUP(EG$8,Intech!$A$1:$E$488,2,FALSE)</f>
        <v>3.56</v>
      </c>
      <c r="EH16" s="439">
        <f>VLOOKUP(EH$8,Intech!$A$1:$E$488,2,FALSE)</f>
        <v>0.81</v>
      </c>
      <c r="EI16" s="439">
        <f>VLOOKUP(EI$8,Intech!$A$1:$E$488,2,FALSE)</f>
        <v>3.87</v>
      </c>
      <c r="EJ16" s="439">
        <f>VLOOKUP(EJ$8,Intech!$A$1:$E$488,2,FALSE)</f>
        <v>-1.07</v>
      </c>
      <c r="EK16" s="439">
        <f>VLOOKUP(EK$8,Intech!$A$1:$E$488,2,FALSE)</f>
        <v>1.34</v>
      </c>
      <c r="EL16" s="439">
        <f>VLOOKUP(EL$8,Intech!$A$1:$E$488,2,FALSE)</f>
        <v>-0.54</v>
      </c>
      <c r="EM16" s="439">
        <f>VLOOKUP(EM$8,Intech!$A$1:$E$488,2,FALSE)</f>
        <v>3.68</v>
      </c>
      <c r="EN16" s="439">
        <f>VLOOKUP(EN$8,Intech!$A$1:$E$488,2,FALSE)</f>
        <v>-0.92</v>
      </c>
      <c r="EO16" s="439">
        <f>VLOOKUP(EO$8,Intech!$A$1:$E$488,2,FALSE)</f>
        <v>3.11</v>
      </c>
      <c r="EP16" s="439">
        <f>VLOOKUP(EP$8,Intech!$A$1:$E$488,2,FALSE)</f>
        <v>-1.79</v>
      </c>
      <c r="EQ16" s="439">
        <f>VLOOKUP(EQ$8,Intech!$A$1:$E$488,2,FALSE)</f>
        <v>-1.48</v>
      </c>
      <c r="ER16" s="439">
        <f>VLOOKUP(ER$8,Intech!$A$1:$E$488,2,FALSE)</f>
        <v>2.4</v>
      </c>
      <c r="ES16" s="439">
        <f>VLOOKUP(ES$8,Intech!$A$1:$E$488,2,FALSE)</f>
        <v>-1.8</v>
      </c>
      <c r="ET16" s="439">
        <f>VLOOKUP(ET$8,Intech!$A$1:$E$488,2,FALSE)</f>
        <v>2.92</v>
      </c>
      <c r="EU16" s="439">
        <f>VLOOKUP(EU$8,Intech!$A$1:$E$488,2,FALSE)</f>
        <v>3.5</v>
      </c>
      <c r="EV16" s="439">
        <f>VLOOKUP(EV$8,Intech!$A$1:$E$488,2,FALSE)</f>
        <v>0.66</v>
      </c>
      <c r="EW16" s="439">
        <f>VLOOKUP(EW$8,Intech!$A$1:$E$488,2,FALSE)</f>
        <v>3.06</v>
      </c>
      <c r="EX16" s="393" t="s">
        <v>159</v>
      </c>
      <c r="EY16" s="1066" t="s">
        <v>461</v>
      </c>
      <c r="EZ16" s="789">
        <f>VLOOKUP($EY16,'NEPC data'!$B8:$M195,5,TRUE)*100</f>
        <v>-5.5825260372999956</v>
      </c>
      <c r="FA16" s="789">
        <f>VLOOKUP($EY16,'NEPC data'!$B8:$M195,7,TRUE)*100</f>
        <v>-30.149013392474288</v>
      </c>
      <c r="FB16" s="789">
        <f>VLOOKUP($EY16,'NEPC data'!$B8:$M195,9,TRUE)*100</f>
        <v>-11.304916397675612</v>
      </c>
      <c r="FC16" s="789">
        <f>VLOOKUP($EY16,'NEPC data'!$B8:$M195,10,TRUE)*100</f>
        <v>-3.1251115580953615</v>
      </c>
      <c r="FD16" s="789">
        <f>VLOOKUP($EY16,'NEPC data'!$B8:$M195,11,TRUE)*100</f>
        <v>0</v>
      </c>
      <c r="FE16" s="382"/>
      <c r="FF16" s="441">
        <f>IF(G16="---","-",ABS(EZ16-G16))</f>
        <v>9.2090059571077525</v>
      </c>
      <c r="FG16" s="441">
        <f>IF(I16="---","-",ABS(FA16-I16))</f>
        <v>56.109297778996066</v>
      </c>
      <c r="FH16" s="441">
        <f>IF(K16="---","-",ABS(FB16-K16))</f>
        <v>29.991138937036908</v>
      </c>
      <c r="FI16" s="441">
        <f>IF(M16="---","-",ABS(FC16-M16))</f>
        <v>20.292925434788422</v>
      </c>
      <c r="FJ16" s="441">
        <f>IF(Q16="---","-",ABS(FD16-Q16))</f>
        <v>9.8290729263425405</v>
      </c>
      <c r="FK16" s="382"/>
      <c r="FL16" s="442">
        <f>AF16</f>
        <v>9.2712011917271511</v>
      </c>
      <c r="FM16" s="442">
        <f>ABS(FL16-AF16)</f>
        <v>0</v>
      </c>
    </row>
    <row r="17" spans="1:169" s="1028" customFormat="1" ht="12.75" customHeight="1" x14ac:dyDescent="0.2">
      <c r="A17" s="1234" t="s">
        <v>200</v>
      </c>
      <c r="B17" s="1024"/>
      <c r="C17" s="1235"/>
      <c r="D17" s="1218"/>
      <c r="E17" s="1237"/>
      <c r="F17" s="1220">
        <f>AH17</f>
        <v>4.3497000000000003</v>
      </c>
      <c r="G17" s="432">
        <f t="array" ref="G17">IF($AJ17=0,"---",(PRODUCT($AH17:AJ17/100+1)-1)*100)</f>
        <v>5.1926374282029286</v>
      </c>
      <c r="H17" s="432">
        <f t="array" ref="H17">IF($AS17=0,"---",(PRODUCT(AH17:AN17/100+1)-1)*100)</f>
        <v>13.930687061651948</v>
      </c>
      <c r="I17" s="1023">
        <f t="array" ref="I17">IF(AS17=0,"---",(GEOMEAN($AH17:AS17/100+1)^12-1)*100)</f>
        <v>27.525082637467314</v>
      </c>
      <c r="J17" s="1023">
        <f t="array" ref="J17">IF(BE17=0,"---",(GEOMEAN($AH17:BE17/100+1)^12-1)*100)</f>
        <v>21.184287130914271</v>
      </c>
      <c r="K17" s="1023">
        <f t="array" ref="K17">IF(BQ17=0,"---",(GEOMEAN($AH17:BQ17/100+1)^12-1)*100)</f>
        <v>20.300078390436639</v>
      </c>
      <c r="L17" s="1023">
        <f t="array" ref="L17">IF(CC17=0,"---",(GEOMEAN($AH17:CC17/100+1)^12-1)*100)</f>
        <v>21.125254348284361</v>
      </c>
      <c r="M17" s="1023">
        <f t="array" ref="M17">IF(CO17=0,"---",(GEOMEAN($AH17:CO17/100+1)^12-1)*100)</f>
        <v>17.875529538249936</v>
      </c>
      <c r="N17" s="1023">
        <f t="array" ref="N17">IF(DM17=0,"---",(GEOMEAN($AH17:DM17/100+1)^12-1)*100)</f>
        <v>8.65175092780499</v>
      </c>
      <c r="O17" s="1023">
        <f t="array" ref="O17">IF(EK17=0,"---",(GEOMEAN($AH17:EK17/100+1)^12-1)*100)</f>
        <v>8.9050781203725116</v>
      </c>
      <c r="P17" s="1023">
        <f t="array" ref="P17">IF(EW17=0,"---",(GEOMEAN($AH17:EW17/100+1)^12-1)*100)</f>
        <v>9.0425966927653256</v>
      </c>
      <c r="Q17" s="1238" t="s">
        <v>34</v>
      </c>
      <c r="R17" s="1218"/>
      <c r="S17" s="1218"/>
      <c r="T17" s="1218"/>
      <c r="U17" s="1218"/>
      <c r="V17" s="1218"/>
      <c r="W17" s="1218"/>
      <c r="X17" s="1218"/>
      <c r="Y17" s="1218"/>
      <c r="Z17" s="1218"/>
      <c r="AA17" s="1218"/>
      <c r="AB17" s="1218"/>
      <c r="AC17" s="1222"/>
      <c r="AD17" s="1242"/>
      <c r="AF17" s="1027"/>
      <c r="AG17" s="1024"/>
      <c r="AH17" s="1025">
        <f t="shared" ref="AH17:CS17" si="7">VLOOKUP(AH$8,Index,3,FALSE)</f>
        <v>4.3497000000000003</v>
      </c>
      <c r="AI17" s="1025">
        <f t="shared" si="7"/>
        <v>-1.2446999999999999</v>
      </c>
      <c r="AJ17" s="1025">
        <f t="shared" si="7"/>
        <v>2.0783700000000001</v>
      </c>
      <c r="AK17" s="1025">
        <f t="shared" si="7"/>
        <v>3.3527200000000001</v>
      </c>
      <c r="AL17" s="1025">
        <f t="shared" si="7"/>
        <v>0.30153999999999997</v>
      </c>
      <c r="AM17" s="1025">
        <f t="shared" si="7"/>
        <v>-0.72796000000000005</v>
      </c>
      <c r="AN17" s="1025">
        <f t="shared" si="7"/>
        <v>5.2443799999999996</v>
      </c>
      <c r="AO17" s="1025">
        <f t="shared" si="7"/>
        <v>-2.9512399999999999</v>
      </c>
      <c r="AP17" s="1025">
        <f t="shared" si="7"/>
        <v>2.7050999999999998</v>
      </c>
      <c r="AQ17" s="1025">
        <f t="shared" si="7"/>
        <v>3.2587899999999999</v>
      </c>
      <c r="AR17" s="1025">
        <f t="shared" si="7"/>
        <v>4.8060600000000004</v>
      </c>
      <c r="AS17" s="1025">
        <f t="shared" si="7"/>
        <v>3.7670499999999998</v>
      </c>
      <c r="AT17" s="1025">
        <f t="shared" si="7"/>
        <v>-2.22695</v>
      </c>
      <c r="AU17" s="1025">
        <f t="shared" si="7"/>
        <v>5.0702499999999997</v>
      </c>
      <c r="AV17" s="1025">
        <f t="shared" si="7"/>
        <v>-1.7464999999999999</v>
      </c>
      <c r="AW17" s="1025">
        <f t="shared" si="7"/>
        <v>2.1988400000000001</v>
      </c>
      <c r="AX17" s="1025">
        <f t="shared" si="7"/>
        <v>2.0579000000000001</v>
      </c>
      <c r="AY17" s="1025">
        <f t="shared" si="7"/>
        <v>3.7749100000000002</v>
      </c>
      <c r="AZ17" s="1025">
        <f t="shared" si="7"/>
        <v>1.35503</v>
      </c>
      <c r="BA17" s="1025">
        <f t="shared" si="7"/>
        <v>3.9450699999999999</v>
      </c>
      <c r="BB17" s="1025">
        <f t="shared" si="7"/>
        <v>-0.13508000000000001</v>
      </c>
      <c r="BC17" s="1025">
        <f t="shared" si="7"/>
        <v>0.93413000000000002</v>
      </c>
      <c r="BD17" s="1025">
        <f t="shared" si="7"/>
        <v>-2.8170299999999999</v>
      </c>
      <c r="BE17" s="1025">
        <f t="shared" si="7"/>
        <v>2.13503</v>
      </c>
      <c r="BF17" s="1025">
        <f t="shared" si="7"/>
        <v>2.3054199999999998</v>
      </c>
      <c r="BG17" s="1025">
        <f t="shared" si="7"/>
        <v>1.8251200000000001</v>
      </c>
      <c r="BH17" s="1025">
        <f t="shared" si="7"/>
        <v>3.6418400000000002</v>
      </c>
      <c r="BI17" s="1025">
        <f t="shared" si="7"/>
        <v>-5.4561200000000003</v>
      </c>
      <c r="BJ17" s="1025">
        <f t="shared" si="7"/>
        <v>-3.6220000000000002E-2</v>
      </c>
      <c r="BK17" s="1025">
        <f t="shared" si="7"/>
        <v>3.2223299999999999</v>
      </c>
      <c r="BL17" s="1025">
        <f t="shared" si="7"/>
        <v>4.4560899999999997</v>
      </c>
      <c r="BM17" s="1025">
        <f t="shared" si="7"/>
        <v>4.1208600000000004</v>
      </c>
      <c r="BN17" s="1025">
        <f t="shared" si="7"/>
        <v>0.33499000000000001</v>
      </c>
      <c r="BO17" s="1025">
        <f t="shared" si="7"/>
        <v>-0.13675000000000001</v>
      </c>
      <c r="BP17" s="1025">
        <f t="shared" si="7"/>
        <v>10.59221</v>
      </c>
      <c r="BQ17" s="1025">
        <f t="shared" si="7"/>
        <v>-6.6073899999999997</v>
      </c>
      <c r="BR17" s="1025">
        <f t="shared" si="7"/>
        <v>-4.74803</v>
      </c>
      <c r="BS17" s="1025">
        <f t="shared" si="7"/>
        <v>-0.58496000000000004</v>
      </c>
      <c r="BT17" s="1025">
        <f t="shared" si="7"/>
        <v>-1.2395400000000001</v>
      </c>
      <c r="BU17" s="1025">
        <f t="shared" si="7"/>
        <v>-0.45532</v>
      </c>
      <c r="BV17" s="1025">
        <f t="shared" si="7"/>
        <v>3.38192</v>
      </c>
      <c r="BW17" s="1025">
        <f t="shared" si="7"/>
        <v>0.29591000000000001</v>
      </c>
      <c r="BX17" s="1025">
        <f t="shared" si="7"/>
        <v>3.1710500000000001</v>
      </c>
      <c r="BY17" s="1025">
        <f t="shared" si="7"/>
        <v>1.54318</v>
      </c>
      <c r="BZ17" s="1025">
        <f t="shared" si="7"/>
        <v>5.2236700000000003</v>
      </c>
      <c r="CA17" s="1025">
        <f t="shared" si="7"/>
        <v>0.47443000000000002</v>
      </c>
      <c r="CB17" s="1025">
        <f t="shared" si="7"/>
        <v>5.0099</v>
      </c>
      <c r="CC17" s="1025">
        <f t="shared" si="7"/>
        <v>10.12304</v>
      </c>
      <c r="CD17" s="1025">
        <f t="shared" si="7"/>
        <v>-4.3496300000000003</v>
      </c>
      <c r="CE17" s="1025">
        <f t="shared" si="7"/>
        <v>6.92774</v>
      </c>
      <c r="CF17" s="1025">
        <f t="shared" si="7"/>
        <v>-4.7248799999999997</v>
      </c>
      <c r="CG17" s="1025">
        <f t="shared" si="7"/>
        <v>-8.0488</v>
      </c>
      <c r="CH17" s="1025">
        <f t="shared" si="7"/>
        <v>1.2704800000000001</v>
      </c>
      <c r="CI17" s="1025">
        <f t="shared" si="7"/>
        <v>5.6977599999999997</v>
      </c>
      <c r="CJ17" s="1025">
        <f t="shared" si="7"/>
        <v>3.44326</v>
      </c>
      <c r="CK17" s="1025">
        <f t="shared" si="7"/>
        <v>-5.1482900000000003</v>
      </c>
      <c r="CL17" s="1025">
        <f t="shared" si="7"/>
        <v>2.1268199999999999</v>
      </c>
      <c r="CM17" s="1025">
        <f t="shared" si="7"/>
        <v>5.7679999999999998</v>
      </c>
      <c r="CN17" s="1025">
        <f t="shared" si="7"/>
        <v>-0.24</v>
      </c>
      <c r="CO17" s="1025">
        <f t="shared" si="7"/>
        <v>4.2603</v>
      </c>
      <c r="CP17" s="1025">
        <f t="shared" si="7"/>
        <v>1.9716</v>
      </c>
      <c r="CQ17" s="1025">
        <f t="shared" si="7"/>
        <v>6.8117000000000001</v>
      </c>
      <c r="CR17" s="1025">
        <f t="shared" si="7"/>
        <v>0.81710000000000005</v>
      </c>
      <c r="CS17" s="1025">
        <f t="shared" si="7"/>
        <v>4.9352999999999998</v>
      </c>
      <c r="CT17" s="1025">
        <f t="shared" ref="CT17:EW17" si="8">VLOOKUP(CT$8,Index,3,FALSE)</f>
        <v>8.3272999999999993</v>
      </c>
      <c r="CU17" s="1025">
        <f t="shared" si="8"/>
        <v>7.8357999999999999</v>
      </c>
      <c r="CV17" s="1025">
        <f t="shared" si="8"/>
        <v>-8.5221999999999998</v>
      </c>
      <c r="CW17" s="1025">
        <f t="shared" si="8"/>
        <v>-4.8917000000000002</v>
      </c>
      <c r="CX17" s="1025">
        <f t="shared" si="8"/>
        <v>1.1555</v>
      </c>
      <c r="CY17" s="1025">
        <f t="shared" si="8"/>
        <v>-5.5608000000000004</v>
      </c>
      <c r="CZ17" s="1025">
        <f t="shared" si="8"/>
        <v>-16.512799999999999</v>
      </c>
      <c r="DA17" s="1025">
        <f t="shared" si="8"/>
        <v>-10.1549</v>
      </c>
      <c r="DB17" s="1025">
        <f t="shared" si="8"/>
        <v>1.5444</v>
      </c>
      <c r="DC17" s="1025">
        <f t="shared" si="8"/>
        <v>-2.7090000000000001</v>
      </c>
      <c r="DD17" s="1025">
        <f t="shared" si="8"/>
        <v>-5.9192999999999998</v>
      </c>
      <c r="DE17" s="1025">
        <f t="shared" si="8"/>
        <v>2.3858999999999999</v>
      </c>
      <c r="DF17" s="1025">
        <f t="shared" si="8"/>
        <v>5.9447999999999999</v>
      </c>
      <c r="DG17" s="1025">
        <f t="shared" si="8"/>
        <v>-0.39379999999999998</v>
      </c>
      <c r="DH17" s="1025">
        <f t="shared" si="8"/>
        <v>-1.2965</v>
      </c>
      <c r="DI17" s="1025">
        <f t="shared" si="8"/>
        <v>-8.3744999999999994</v>
      </c>
      <c r="DJ17" s="1025">
        <f t="shared" si="8"/>
        <v>0.17050000000000001</v>
      </c>
      <c r="DK17" s="1025">
        <f t="shared" si="8"/>
        <v>-3.5042</v>
      </c>
      <c r="DL17" s="1025">
        <f t="shared" si="8"/>
        <v>2.1345999999999998</v>
      </c>
      <c r="DM17" s="1025">
        <f t="shared" si="8"/>
        <v>4.3971</v>
      </c>
      <c r="DN17" s="1025">
        <f t="shared" si="8"/>
        <v>1.655</v>
      </c>
      <c r="DO17" s="1025">
        <f t="shared" si="8"/>
        <v>-2.2238000000000002</v>
      </c>
      <c r="DP17" s="1025">
        <f t="shared" si="8"/>
        <v>-1.2387999999999999</v>
      </c>
      <c r="DQ17" s="1025">
        <f t="shared" si="8"/>
        <v>3.1371000000000002</v>
      </c>
      <c r="DR17" s="1025">
        <f t="shared" si="8"/>
        <v>4.6803999999999997</v>
      </c>
      <c r="DS17" s="1025">
        <f t="shared" si="8"/>
        <v>0.92589999999999995</v>
      </c>
      <c r="DT17" s="1025">
        <f t="shared" si="8"/>
        <v>-2.2321</v>
      </c>
      <c r="DU17" s="1025">
        <f t="shared" si="8"/>
        <v>1.2499</v>
      </c>
      <c r="DV17" s="1025">
        <f t="shared" si="8"/>
        <v>0.37240000000000001</v>
      </c>
      <c r="DW17" s="1025">
        <f t="shared" si="8"/>
        <v>2.0114000000000001</v>
      </c>
      <c r="DX17" s="1025">
        <f t="shared" si="8"/>
        <v>3.1804000000000001</v>
      </c>
      <c r="DY17" s="1025">
        <f t="shared" si="8"/>
        <v>2.4897999999999998</v>
      </c>
      <c r="DZ17" s="1025">
        <f t="shared" si="8"/>
        <v>3.2587000000000002</v>
      </c>
      <c r="EA17" s="1025">
        <f t="shared" si="8"/>
        <v>0.22220000000000001</v>
      </c>
      <c r="EB17" s="1025">
        <f t="shared" si="8"/>
        <v>-6.9199999999999998E-2</v>
      </c>
      <c r="EC17" s="1025">
        <f t="shared" si="8"/>
        <v>-3.3155000000000001</v>
      </c>
      <c r="ED17" s="1025">
        <f t="shared" si="8"/>
        <v>-8.0299999999999996E-2</v>
      </c>
      <c r="EE17" s="1025">
        <f t="shared" si="8"/>
        <v>0.79500000000000004</v>
      </c>
      <c r="EF17" s="1025">
        <f t="shared" si="8"/>
        <v>-0.50849999999999995</v>
      </c>
      <c r="EG17" s="1025">
        <f t="shared" si="8"/>
        <v>2.3249</v>
      </c>
      <c r="EH17" s="1025">
        <f t="shared" si="8"/>
        <v>-0.2</v>
      </c>
      <c r="EI17" s="1025">
        <f t="shared" si="8"/>
        <v>3.8252000000000002</v>
      </c>
      <c r="EJ17" s="1025">
        <f t="shared" si="8"/>
        <v>-1.5842000000000001</v>
      </c>
      <c r="EK17" s="1025">
        <f t="shared" si="8"/>
        <v>0.57979999999999998</v>
      </c>
      <c r="EL17" s="1025">
        <f t="shared" si="8"/>
        <v>-1.0789</v>
      </c>
      <c r="EM17" s="1025">
        <f t="shared" si="8"/>
        <v>4.3068999999999997</v>
      </c>
      <c r="EN17" s="1025">
        <f t="shared" si="8"/>
        <v>-1.2413000000000001</v>
      </c>
      <c r="EO17" s="1025">
        <f t="shared" si="8"/>
        <v>3.1985000000000001</v>
      </c>
      <c r="EP17" s="1025">
        <f t="shared" si="8"/>
        <v>-1.7481</v>
      </c>
      <c r="EQ17" s="1025">
        <f t="shared" si="8"/>
        <v>-1.7596000000000001</v>
      </c>
      <c r="ER17" s="1025">
        <f t="shared" si="8"/>
        <v>2.4</v>
      </c>
      <c r="ES17" s="1025">
        <f t="shared" si="8"/>
        <v>-2.4453</v>
      </c>
      <c r="ET17" s="1025">
        <f t="shared" si="8"/>
        <v>3.5777999999999999</v>
      </c>
      <c r="EU17" s="1025">
        <f t="shared" si="8"/>
        <v>3.1642999999999999</v>
      </c>
      <c r="EV17" s="1025">
        <f t="shared" si="8"/>
        <v>1.5457000000000001</v>
      </c>
      <c r="EW17" s="1025">
        <f t="shared" si="8"/>
        <v>0.24</v>
      </c>
      <c r="EX17" s="1230"/>
      <c r="EY17" s="1230"/>
      <c r="EZ17" s="789"/>
      <c r="FA17" s="789"/>
      <c r="FB17" s="789"/>
      <c r="FC17" s="789"/>
      <c r="FD17" s="789"/>
      <c r="FE17" s="1024"/>
      <c r="FF17" s="1027"/>
      <c r="FG17" s="1027"/>
      <c r="FH17" s="1027"/>
      <c r="FI17" s="1027"/>
      <c r="FJ17" s="1027"/>
      <c r="FK17" s="1024"/>
      <c r="FL17" s="1027"/>
      <c r="FM17" s="1027"/>
    </row>
    <row r="18" spans="1:169" s="395" customFormat="1" ht="12.75" customHeight="1" x14ac:dyDescent="0.2">
      <c r="A18" s="456"/>
      <c r="B18" s="418"/>
      <c r="C18" s="414"/>
      <c r="D18" s="249"/>
      <c r="E18" s="457"/>
      <c r="F18" s="461"/>
      <c r="G18" s="432"/>
      <c r="H18" s="432"/>
      <c r="I18" s="432"/>
      <c r="J18" s="432"/>
      <c r="K18" s="432"/>
      <c r="L18" s="432"/>
      <c r="M18" s="432"/>
      <c r="N18" s="432"/>
      <c r="O18" s="432"/>
      <c r="P18" s="432"/>
      <c r="Q18" s="458"/>
      <c r="R18" s="249"/>
      <c r="S18" s="249"/>
      <c r="T18" s="249"/>
      <c r="U18" s="249"/>
      <c r="V18" s="249"/>
      <c r="W18" s="249"/>
      <c r="X18" s="249"/>
      <c r="Y18" s="249"/>
      <c r="Z18" s="249"/>
      <c r="AA18" s="249"/>
      <c r="AB18" s="249"/>
      <c r="AC18" s="459"/>
      <c r="AD18" s="460"/>
      <c r="AE18" s="15"/>
      <c r="AF18" s="442"/>
      <c r="AG18" s="382"/>
      <c r="AH18" s="439"/>
      <c r="AI18" s="439"/>
      <c r="AJ18" s="439"/>
      <c r="AK18" s="439"/>
      <c r="AL18" s="439"/>
      <c r="AM18" s="439"/>
      <c r="AN18" s="439"/>
      <c r="AO18" s="439"/>
      <c r="AP18" s="439"/>
      <c r="AQ18" s="439"/>
      <c r="AR18" s="439"/>
      <c r="AS18" s="439"/>
      <c r="AT18" s="439"/>
      <c r="AU18" s="439"/>
      <c r="AV18" s="439"/>
      <c r="AW18" s="439"/>
      <c r="AX18" s="439"/>
      <c r="AY18" s="439"/>
      <c r="AZ18" s="439"/>
      <c r="BA18" s="439"/>
      <c r="BB18" s="439"/>
      <c r="BC18" s="439"/>
      <c r="BD18" s="439"/>
      <c r="BE18" s="439"/>
      <c r="BF18" s="439"/>
      <c r="BG18" s="439"/>
      <c r="BH18" s="439"/>
      <c r="BI18" s="439"/>
      <c r="BJ18" s="439"/>
      <c r="BK18" s="439"/>
      <c r="BL18" s="439"/>
      <c r="BM18" s="439"/>
      <c r="BN18" s="439"/>
      <c r="BO18" s="439"/>
      <c r="BP18" s="439"/>
      <c r="BQ18" s="439"/>
      <c r="BR18" s="439"/>
      <c r="BS18" s="439"/>
      <c r="BT18" s="439"/>
      <c r="BU18" s="439"/>
      <c r="BV18" s="439"/>
      <c r="BW18" s="439"/>
      <c r="BX18" s="439"/>
      <c r="BY18" s="439"/>
      <c r="BZ18" s="439"/>
      <c r="CA18" s="439"/>
      <c r="CB18" s="439"/>
      <c r="CC18" s="439"/>
      <c r="CD18" s="439"/>
      <c r="CE18" s="439"/>
      <c r="CF18" s="439"/>
      <c r="CG18" s="439"/>
      <c r="CH18" s="439"/>
      <c r="CI18" s="439"/>
      <c r="CJ18" s="439"/>
      <c r="CK18" s="439"/>
      <c r="CL18" s="439"/>
      <c r="CM18" s="439"/>
      <c r="CN18" s="439"/>
      <c r="CO18" s="439"/>
      <c r="CP18" s="439"/>
      <c r="CQ18" s="439"/>
      <c r="CR18" s="439"/>
      <c r="CS18" s="439"/>
      <c r="CT18" s="439"/>
      <c r="CU18" s="439"/>
      <c r="CV18" s="439"/>
      <c r="CW18" s="439"/>
      <c r="CX18" s="439"/>
      <c r="CY18" s="439"/>
      <c r="CZ18" s="439"/>
      <c r="DA18" s="439"/>
      <c r="DB18" s="439"/>
      <c r="DC18" s="439"/>
      <c r="DD18" s="439"/>
      <c r="DE18" s="439"/>
      <c r="DF18" s="439"/>
      <c r="DG18" s="439"/>
      <c r="DH18" s="439"/>
      <c r="DI18" s="439"/>
      <c r="DJ18" s="439"/>
      <c r="DK18" s="439"/>
      <c r="DL18" s="439"/>
      <c r="DM18" s="439"/>
      <c r="DN18" s="439"/>
      <c r="DO18" s="439"/>
      <c r="DP18" s="439"/>
      <c r="DQ18" s="439"/>
      <c r="DR18" s="439"/>
      <c r="DS18" s="439"/>
      <c r="DT18" s="439"/>
      <c r="DU18" s="439"/>
      <c r="DV18" s="439"/>
      <c r="DW18" s="439"/>
      <c r="DX18" s="439"/>
      <c r="DY18" s="439"/>
      <c r="DZ18" s="439"/>
      <c r="EA18" s="439"/>
      <c r="EB18" s="439"/>
      <c r="EC18" s="439"/>
      <c r="ED18" s="439"/>
      <c r="EE18" s="439"/>
      <c r="EF18" s="439"/>
      <c r="EG18" s="439"/>
      <c r="EH18" s="439"/>
      <c r="EI18" s="439"/>
      <c r="EJ18" s="439"/>
      <c r="EK18" s="439"/>
      <c r="EL18" s="439"/>
      <c r="EM18" s="439"/>
      <c r="EN18" s="439"/>
      <c r="EO18" s="439"/>
      <c r="EP18" s="439"/>
      <c r="EQ18" s="439"/>
      <c r="ER18" s="439"/>
      <c r="ES18" s="439"/>
      <c r="ET18" s="439"/>
      <c r="EU18" s="439"/>
      <c r="EV18" s="439"/>
      <c r="EW18" s="439"/>
      <c r="EX18" s="393"/>
      <c r="EY18" s="393"/>
      <c r="EZ18" s="789"/>
      <c r="FA18" s="789"/>
      <c r="FB18" s="789"/>
      <c r="FC18" s="789"/>
      <c r="FD18" s="789"/>
      <c r="FE18" s="382"/>
      <c r="FF18" s="442"/>
      <c r="FG18" s="442"/>
      <c r="FH18" s="442"/>
      <c r="FI18" s="442"/>
      <c r="FJ18" s="442"/>
      <c r="FK18" s="382"/>
      <c r="FL18" s="442"/>
      <c r="FM18" s="442"/>
    </row>
    <row r="19" spans="1:169" s="395" customFormat="1" ht="12.75" customHeight="1" x14ac:dyDescent="0.2">
      <c r="A19" s="445" t="s">
        <v>50</v>
      </c>
      <c r="B19" s="621" t="s">
        <v>318</v>
      </c>
      <c r="C19" s="446">
        <v>37621</v>
      </c>
      <c r="D19" s="462">
        <f>LSV!D1</f>
        <v>26.385498686047324</v>
      </c>
      <c r="E19" s="448">
        <f>VLOOKUP(AH$8,LSV!A1:E488,3,FALSE)/1000000</f>
        <v>822.17540996000002</v>
      </c>
      <c r="F19" s="449">
        <f>AH19</f>
        <v>3.7647499999999998</v>
      </c>
      <c r="G19" s="450">
        <f t="array" ref="G19">IF($AJ19=0,"---",(PRODUCT($AH19:AJ19/100+1)-1)*100)</f>
        <v>4.4976897554374728</v>
      </c>
      <c r="H19" s="450">
        <f t="array" ref="H19">IF($AS19=0,"---",(PRODUCT(AH19:AN19/100+1)-1)*100)</f>
        <v>14.739628290798068</v>
      </c>
      <c r="I19" s="450">
        <f t="array" ref="I19">IF(AS19=0,"---",(GEOMEAN($AH19:AS19/100+1)^12-1)*100)</f>
        <v>26.860535873915016</v>
      </c>
      <c r="J19" s="450">
        <f t="array" ref="J19">IF(BE19=0,"---",(GEOMEAN($AH19:BE19/100+1)^12-1)*100)</f>
        <v>28.827866458293229</v>
      </c>
      <c r="K19" s="450">
        <f t="array" ref="K19">IF(BQ19=0,"---",(GEOMEAN($AH19:BQ19/100+1)^12-1)*100)</f>
        <v>24.593017552837782</v>
      </c>
      <c r="L19" s="450">
        <f t="array" ref="L19">IF(CC19=0,"---",(GEOMEAN($AH19:CC19/100+1)^12-1)*100)</f>
        <v>21.734514577746978</v>
      </c>
      <c r="M19" s="450">
        <f t="array" ref="M19">IF(CO19=0,"---",(GEOMEAN($AH19:CO19/100+1)^12-1)*100)</f>
        <v>18.30505571521379</v>
      </c>
      <c r="N19" s="450">
        <f t="array" ref="N19">IF(DM19=0,"---",(GEOMEAN($AH19:DM19/100+1)^12-1)*100)</f>
        <v>7.1873862966687518</v>
      </c>
      <c r="O19" s="450">
        <f t="array" ref="O19">IF(EK19=0,"---",(GEOMEAN($AH19:EK19/100+1)^12-1)*100)</f>
        <v>8.9382626966360021</v>
      </c>
      <c r="P19" s="450">
        <f t="array" ref="P19">IF(EW19=0,"---",(GEOMEAN($AH19:EW19/100+1)^12-1)*100)</f>
        <v>10.028298328491147</v>
      </c>
      <c r="Q19" s="451">
        <f t="array" ref="Q19">(GEOMEAN(LSV!B$333:B471/100+1)^12-1)*100</f>
        <v>11.625587823138517</v>
      </c>
      <c r="R19" s="452">
        <f t="shared" ref="R19:AB19" si="9">IF(F19="---","---",(F19-F$20)*100)</f>
        <v>14.848999999999979</v>
      </c>
      <c r="S19" s="452">
        <f t="shared" si="9"/>
        <v>36.872240056669</v>
      </c>
      <c r="T19" s="452">
        <f t="shared" si="9"/>
        <v>104.8380117650094</v>
      </c>
      <c r="U19" s="452">
        <f t="shared" si="9"/>
        <v>403.12007063137332</v>
      </c>
      <c r="V19" s="452">
        <f t="shared" si="9"/>
        <v>594.44142746579519</v>
      </c>
      <c r="W19" s="452">
        <f t="shared" si="9"/>
        <v>358.69114977964642</v>
      </c>
      <c r="X19" s="452">
        <f t="shared" si="9"/>
        <v>268.5399649547328</v>
      </c>
      <c r="Y19" s="452">
        <f t="shared" si="9"/>
        <v>244.57427358444565</v>
      </c>
      <c r="Z19" s="452">
        <f t="shared" si="9"/>
        <v>231.42072026921312</v>
      </c>
      <c r="AA19" s="452">
        <f t="shared" si="9"/>
        <v>206.10746341779071</v>
      </c>
      <c r="AB19" s="452">
        <f t="shared" si="9"/>
        <v>238.51107618664483</v>
      </c>
      <c r="AC19" s="453">
        <f>(Q19-AF19)*100</f>
        <v>251.93990354442485</v>
      </c>
      <c r="AD19" s="454">
        <v>200</v>
      </c>
      <c r="AE19" s="437"/>
      <c r="AF19" s="438">
        <f t="array" ref="AF19">(GEOMEAN(Index_Returns!D333:D471/100+1)^12-1)*100</f>
        <v>9.1061887876942684</v>
      </c>
      <c r="AG19" s="382" t="str">
        <f>IF(I27="---","&lt; 1 Year","---")</f>
        <v>---</v>
      </c>
      <c r="AH19" s="439">
        <f>VLOOKUP(AH$8,LSV!$A$1:$E$488,2,FALSE)</f>
        <v>3.7647499999999998</v>
      </c>
      <c r="AI19" s="439">
        <f>VLOOKUP(AI$8,LSV!$A$1:$E$488,2,FALSE)</f>
        <v>-1.5645100000000001</v>
      </c>
      <c r="AJ19" s="439">
        <f>VLOOKUP(AJ$8,LSV!$A$1:$E$488,2,FALSE)</f>
        <v>2.3069500000000001</v>
      </c>
      <c r="AK19" s="439">
        <f>VLOOKUP(AK$8,LSV!$A$1:$E$488,2,FALSE)</f>
        <v>1.61442</v>
      </c>
      <c r="AL19" s="439">
        <f>VLOOKUP(AL$8,LSV!$A$1:$E$488,2,FALSE)</f>
        <v>0.42377999999999999</v>
      </c>
      <c r="AM19" s="439">
        <f>VLOOKUP(AM$8,LSV!$A$1:$E$488,2,FALSE)</f>
        <v>3.3388300000000002</v>
      </c>
      <c r="AN19" s="439">
        <f>VLOOKUP(AN$8,LSV!$A$1:$E$488,2,FALSE)</f>
        <v>4.1241099999999999</v>
      </c>
      <c r="AO19" s="439">
        <f>VLOOKUP(AO$8,LSV!$A$1:$E$488,2,FALSE)</f>
        <v>-4.0878199999999998</v>
      </c>
      <c r="AP19" s="439">
        <f>VLOOKUP(AP$8,LSV!$A$1:$E$488,2,FALSE)</f>
        <v>2.6526999999999998</v>
      </c>
      <c r="AQ19" s="439">
        <f>VLOOKUP(AQ$8,LSV!$A$1:$E$488,2,FALSE)</f>
        <v>4.3231099999999998</v>
      </c>
      <c r="AR19" s="439">
        <f>VLOOKUP(AR$8,LSV!$A$1:$E$488,2,FALSE)</f>
        <v>4.3163400000000003</v>
      </c>
      <c r="AS19" s="439">
        <f>VLOOKUP(AS$8,LSV!$A$1:$E$488,2,FALSE)</f>
        <v>3.1896399999999998</v>
      </c>
      <c r="AT19" s="439">
        <f>VLOOKUP(AT$8,LSV!$A$1:$E$488,2,FALSE)</f>
        <v>-3.5034100000000001</v>
      </c>
      <c r="AU19" s="439">
        <f>VLOOKUP(AU$8,LSV!$A$1:$E$488,2,FALSE)</f>
        <v>6.4534200000000004</v>
      </c>
      <c r="AV19" s="439">
        <f>VLOOKUP(AV$8,LSV!$A$1:$E$488,2,FALSE)</f>
        <v>-0.82054000000000005</v>
      </c>
      <c r="AW19" s="439">
        <f>VLOOKUP(AW$8,LSV!$A$1:$E$488,2,FALSE)</f>
        <v>4.4049100000000001</v>
      </c>
      <c r="AX19" s="439">
        <f>VLOOKUP(AX$8,LSV!$A$1:$E$488,2,FALSE)</f>
        <v>1.99898</v>
      </c>
      <c r="AY19" s="439">
        <f>VLOOKUP(AY$8,LSV!$A$1:$E$488,2,FALSE)</f>
        <v>4.8102999999999998</v>
      </c>
      <c r="AZ19" s="439">
        <f>VLOOKUP(AZ$8,LSV!$A$1:$E$488,2,FALSE)</f>
        <v>1.2876799999999999</v>
      </c>
      <c r="BA19" s="439">
        <f>VLOOKUP(BA$8,LSV!$A$1:$E$488,2,FALSE)</f>
        <v>6.26518</v>
      </c>
      <c r="BB19" s="439">
        <f>VLOOKUP(BB$8,LSV!$A$1:$E$488,2,FALSE)</f>
        <v>3.3146900000000001</v>
      </c>
      <c r="BC19" s="439">
        <f>VLOOKUP(BC$8,LSV!$A$1:$E$488,2,FALSE)</f>
        <v>0.61460999999999999</v>
      </c>
      <c r="BD19" s="439">
        <f>VLOOKUP(BD$8,LSV!$A$1:$E$488,2,FALSE)</f>
        <v>0.12573000000000001</v>
      </c>
      <c r="BE19" s="439">
        <f>VLOOKUP(BE$8,LSV!$A$1:$E$488,2,FALSE)</f>
        <v>2.69815</v>
      </c>
      <c r="BF19" s="439">
        <f>VLOOKUP(BF$8,LSV!$A$1:$E$488,2,FALSE)</f>
        <v>3.5881500000000002</v>
      </c>
      <c r="BG19" s="439">
        <f>VLOOKUP(BG$8,LSV!$A$1:$E$488,2,FALSE)</f>
        <v>0.78915000000000002</v>
      </c>
      <c r="BH19" s="439">
        <f>VLOOKUP(BH$8,LSV!$A$1:$E$488,2,FALSE)</f>
        <v>4.5089399999999999</v>
      </c>
      <c r="BI19" s="439">
        <f>VLOOKUP(BI$8,LSV!$A$1:$E$488,2,FALSE)</f>
        <v>-7.6675399999999998</v>
      </c>
      <c r="BJ19" s="439">
        <f>VLOOKUP(BJ$8,LSV!$A$1:$E$488,2,FALSE)</f>
        <v>-1.32172</v>
      </c>
      <c r="BK19" s="439">
        <f>VLOOKUP(BK$8,LSV!$A$1:$E$488,2,FALSE)</f>
        <v>2.7187700000000001</v>
      </c>
      <c r="BL19" s="439">
        <f>VLOOKUP(BL$8,LSV!$A$1:$E$488,2,FALSE)</f>
        <v>4.7180999999999997</v>
      </c>
      <c r="BM19" s="439">
        <f>VLOOKUP(BM$8,LSV!$A$1:$E$488,2,FALSE)</f>
        <v>4.1868600000000002</v>
      </c>
      <c r="BN19" s="439">
        <f>VLOOKUP(BN$8,LSV!$A$1:$E$488,2,FALSE)</f>
        <v>1.9951099999999999</v>
      </c>
      <c r="BO19" s="439">
        <f>VLOOKUP(BO$8,LSV!$A$1:$E$488,2,FALSE)</f>
        <v>-0.50043000000000004</v>
      </c>
      <c r="BP19" s="439">
        <f>VLOOKUP(BP$8,LSV!$A$1:$E$488,2,FALSE)</f>
        <v>13.36828</v>
      </c>
      <c r="BQ19" s="439">
        <f>VLOOKUP(BQ$8,LSV!$A$1:$E$488,2,FALSE)</f>
        <v>-9.0858299999999996</v>
      </c>
      <c r="BR19" s="439">
        <f>VLOOKUP(BR$8,LSV!$A$1:$E$488,2,FALSE)</f>
        <v>-7.8893000000000004</v>
      </c>
      <c r="BS19" s="439">
        <f>VLOOKUP(BS$8,LSV!$A$1:$E$488,2,FALSE)</f>
        <v>-4.0210800000000004</v>
      </c>
      <c r="BT19" s="439">
        <f>VLOOKUP(BT$8,LSV!$A$1:$E$488,2,FALSE)</f>
        <v>-2.2538299999999998</v>
      </c>
      <c r="BU19" s="439">
        <f>VLOOKUP(BU$8,LSV!$A$1:$E$488,2,FALSE)</f>
        <v>-1.4627399999999999</v>
      </c>
      <c r="BV19" s="439">
        <f>VLOOKUP(BV$8,LSV!$A$1:$E$488,2,FALSE)</f>
        <v>2.6457199999999998</v>
      </c>
      <c r="BW19" s="439">
        <f>VLOOKUP(BW$8,LSV!$A$1:$E$488,2,FALSE)</f>
        <v>1.68435</v>
      </c>
      <c r="BX19" s="439">
        <f>VLOOKUP(BX$8,LSV!$A$1:$E$488,2,FALSE)</f>
        <v>3.9054799999999998</v>
      </c>
      <c r="BY19" s="439">
        <f>VLOOKUP(BY$8,LSV!$A$1:$E$488,2,FALSE)</f>
        <v>2.5973700000000002</v>
      </c>
      <c r="BZ19" s="439">
        <f>VLOOKUP(BZ$8,LSV!$A$1:$E$488,2,FALSE)</f>
        <v>7.5962199999999998</v>
      </c>
      <c r="CA19" s="439">
        <f>VLOOKUP(CA$8,LSV!$A$1:$E$488,2,FALSE)</f>
        <v>-1.0192699999999999</v>
      </c>
      <c r="CB19" s="439">
        <f>VLOOKUP(CB$8,LSV!$A$1:$E$488,2,FALSE)</f>
        <v>2.90341</v>
      </c>
      <c r="CC19" s="439">
        <f>VLOOKUP(CC$8,LSV!$A$1:$E$488,2,FALSE)</f>
        <v>9.35548</v>
      </c>
      <c r="CD19" s="439">
        <f>VLOOKUP(CD$8,LSV!$A$1:$E$488,2,FALSE)</f>
        <v>-4.5793900000000001</v>
      </c>
      <c r="CE19" s="439">
        <f>VLOOKUP(CE$8,LSV!$A$1:$E$488,2,FALSE)</f>
        <v>6.5744999999999996</v>
      </c>
      <c r="CF19" s="439">
        <f>VLOOKUP(CF$8,LSV!$A$1:$E$488,2,FALSE)</f>
        <v>-5.9281100000000002</v>
      </c>
      <c r="CG19" s="439">
        <f>VLOOKUP(CG$8,LSV!$A$1:$E$488,2,FALSE)</f>
        <v>-7.6120099999999997</v>
      </c>
      <c r="CH19" s="439">
        <f>VLOOKUP(CH$8,LSV!$A$1:$E$488,2,FALSE)</f>
        <v>2.1296499999999998</v>
      </c>
      <c r="CI19" s="439">
        <f>VLOOKUP(CI$8,LSV!$A$1:$E$488,2,FALSE)</f>
        <v>6.2309299999999999</v>
      </c>
      <c r="CJ19" s="439">
        <f>VLOOKUP(CJ$8,LSV!$A$1:$E$488,2,FALSE)</f>
        <v>3.8394900000000001</v>
      </c>
      <c r="CK19" s="439">
        <f>VLOOKUP(CK$8,LSV!$A$1:$E$488,2,FALSE)</f>
        <v>-2.0699399999999999</v>
      </c>
      <c r="CL19" s="439">
        <f>VLOOKUP(CL$8,LSV!$A$1:$E$488,2,FALSE)</f>
        <v>2.1074000000000002</v>
      </c>
      <c r="CM19" s="439">
        <f>VLOOKUP(CM$8,LSV!$A$1:$E$488,2,FALSE)</f>
        <v>5.6815800000000003</v>
      </c>
      <c r="CN19" s="439">
        <f>VLOOKUP(CN$8,LSV!$A$1:$E$488,2,FALSE)</f>
        <v>-2.83026</v>
      </c>
      <c r="CO19" s="439">
        <f>VLOOKUP(CO$8,LSV!$A$1:$E$488,2,FALSE)</f>
        <v>3.21</v>
      </c>
      <c r="CP19" s="439">
        <f>VLOOKUP(CP$8,LSV!$A$1:$E$488,2,FALSE)</f>
        <v>6.26</v>
      </c>
      <c r="CQ19" s="439">
        <f>VLOOKUP(CQ$8,LSV!$A$1:$E$488,2,FALSE)</f>
        <v>9.93</v>
      </c>
      <c r="CR19" s="439">
        <f>VLOOKUP(CR$8,LSV!$A$1:$E$488,2,FALSE)</f>
        <v>-0.77</v>
      </c>
      <c r="CS19" s="439">
        <f>VLOOKUP(CS$8,LSV!$A$1:$E$488,2,FALSE)</f>
        <v>6.93</v>
      </c>
      <c r="CT19" s="439">
        <f>VLOOKUP(CT$8,LSV!$A$1:$E$488,2,FALSE)</f>
        <v>14.39</v>
      </c>
      <c r="CU19" s="439">
        <f>VLOOKUP(CU$8,LSV!$A$1:$E$488,2,FALSE)</f>
        <v>11.41</v>
      </c>
      <c r="CV19" s="439">
        <f>VLOOKUP(CV$8,LSV!$A$1:$E$488,2,FALSE)</f>
        <v>-13.64</v>
      </c>
      <c r="CW19" s="439">
        <f>VLOOKUP(CW$8,LSV!$A$1:$E$488,2,FALSE)</f>
        <v>-10.83</v>
      </c>
      <c r="CX19" s="439">
        <f>VLOOKUP(CX$8,LSV!$A$1:$E$488,2,FALSE)</f>
        <v>3.89</v>
      </c>
      <c r="CY19" s="439">
        <f>VLOOKUP(CY$8,LSV!$A$1:$E$488,2,FALSE)</f>
        <v>-8.42</v>
      </c>
      <c r="CZ19" s="439">
        <f>VLOOKUP(CZ$8,LSV!$A$1:$E$488,2,FALSE)</f>
        <v>-19.72</v>
      </c>
      <c r="DA19" s="439">
        <f>VLOOKUP(DA$8,LSV!$A$1:$E$488,2,FALSE)</f>
        <v>-8.61</v>
      </c>
      <c r="DB19" s="439">
        <f>VLOOKUP(DB$8,LSV!$A$1:$E$488,2,FALSE)</f>
        <v>2.41</v>
      </c>
      <c r="DC19" s="439">
        <f>VLOOKUP(DC$8,LSV!$A$1:$E$488,2,FALSE)</f>
        <v>0.74</v>
      </c>
      <c r="DD19" s="439">
        <f>VLOOKUP(DD$8,LSV!$A$1:$E$488,2,FALSE)</f>
        <v>-12.06</v>
      </c>
      <c r="DE19" s="439">
        <f>VLOOKUP(DE$8,LSV!$A$1:$E$488,2,FALSE)</f>
        <v>-0.02</v>
      </c>
      <c r="DF19" s="439">
        <f>VLOOKUP(DF$8,LSV!$A$1:$E$488,2,FALSE)</f>
        <v>5.49</v>
      </c>
      <c r="DG19" s="439">
        <f>VLOOKUP(DG$8,LSV!$A$1:$E$488,2,FALSE)</f>
        <v>-2.48</v>
      </c>
      <c r="DH19" s="439">
        <f>VLOOKUP(DH$8,LSV!$A$1:$E$488,2,FALSE)</f>
        <v>-4.59</v>
      </c>
      <c r="DI19" s="439">
        <f>VLOOKUP(DI$8,LSV!$A$1:$E$488,2,FALSE)</f>
        <v>-4.22</v>
      </c>
      <c r="DJ19" s="439">
        <f>VLOOKUP(DJ$8,LSV!$A$1:$E$488,2,FALSE)</f>
        <v>-1</v>
      </c>
      <c r="DK19" s="439">
        <f>VLOOKUP(DK$8,LSV!$A$1:$E$488,2,FALSE)</f>
        <v>-5.23</v>
      </c>
      <c r="DL19" s="439">
        <f>VLOOKUP(DL$8,LSV!$A$1:$E$488,2,FALSE)</f>
        <v>0.57999999999999996</v>
      </c>
      <c r="DM19" s="439">
        <f>VLOOKUP(DM$8,LSV!$A$1:$E$488,2,FALSE)</f>
        <v>2.66</v>
      </c>
      <c r="DN19" s="439">
        <f>VLOOKUP(DN$8,LSV!$A$1:$E$488,2,FALSE)</f>
        <v>0.93</v>
      </c>
      <c r="DO19" s="439">
        <f>VLOOKUP(DO$8,LSV!$A$1:$E$488,2,FALSE)</f>
        <v>-4.4800000000000004</v>
      </c>
      <c r="DP19" s="439">
        <f>VLOOKUP(DP$8,LSV!$A$1:$E$488,2,FALSE)</f>
        <v>-2.39</v>
      </c>
      <c r="DQ19" s="439">
        <f>VLOOKUP(DQ$8,LSV!$A$1:$E$488,2,FALSE)</f>
        <v>4.26</v>
      </c>
      <c r="DR19" s="439">
        <f>VLOOKUP(DR$8,LSV!$A$1:$E$488,2,FALSE)</f>
        <v>4.46</v>
      </c>
      <c r="DS19" s="439">
        <f>VLOOKUP(DS$8,LSV!$A$1:$E$488,2,FALSE)</f>
        <v>1.5</v>
      </c>
      <c r="DT19" s="439">
        <f>VLOOKUP(DT$8,LSV!$A$1:$E$488,2,FALSE)</f>
        <v>-1.44</v>
      </c>
      <c r="DU19" s="439">
        <f>VLOOKUP(DU$8,LSV!$A$1:$E$488,2,FALSE)</f>
        <v>2.41</v>
      </c>
      <c r="DV19" s="439">
        <f>VLOOKUP(DV$8,LSV!$A$1:$E$488,2,FALSE)</f>
        <v>2.25</v>
      </c>
      <c r="DW19" s="439">
        <f>VLOOKUP(DW$8,LSV!$A$1:$E$488,2,FALSE)</f>
        <v>3.25</v>
      </c>
      <c r="DX19" s="439">
        <f>VLOOKUP(DX$8,LSV!$A$1:$E$488,2,FALSE)</f>
        <v>3.69</v>
      </c>
      <c r="DY19" s="439">
        <f>VLOOKUP(DY$8,LSV!$A$1:$E$488,2,FALSE)</f>
        <v>1.97</v>
      </c>
      <c r="DZ19" s="439">
        <f>VLOOKUP(DZ$8,LSV!$A$1:$E$488,2,FALSE)</f>
        <v>1.54</v>
      </c>
      <c r="EA19" s="439">
        <f>VLOOKUP(EA$8,LSV!$A$1:$E$488,2,FALSE)</f>
        <v>1.19</v>
      </c>
      <c r="EB19" s="439">
        <f>VLOOKUP(EB$8,LSV!$A$1:$E$488,2,FALSE)</f>
        <v>0.64</v>
      </c>
      <c r="EC19" s="439">
        <f>VLOOKUP(EC$8,LSV!$A$1:$E$488,2,FALSE)</f>
        <v>-2.94</v>
      </c>
      <c r="ED19" s="439">
        <f>VLOOKUP(ED$8,LSV!$A$1:$E$488,2,FALSE)</f>
        <v>2.56</v>
      </c>
      <c r="EE19" s="439">
        <f>VLOOKUP(EE$8,LSV!$A$1:$E$488,2,FALSE)</f>
        <v>1.24</v>
      </c>
      <c r="EF19" s="439">
        <f>VLOOKUP(EF$8,LSV!$A$1:$E$488,2,FALSE)</f>
        <v>0.15</v>
      </c>
      <c r="EG19" s="439">
        <f>VLOOKUP(EG$8,LSV!$A$1:$E$488,2,FALSE)</f>
        <v>4.6900000000000004</v>
      </c>
      <c r="EH19" s="439">
        <f>VLOOKUP(EH$8,LSV!$A$1:$E$488,2,FALSE)</f>
        <v>1.34</v>
      </c>
      <c r="EI19" s="439">
        <f>VLOOKUP(EI$8,LSV!$A$1:$E$488,2,FALSE)</f>
        <v>3.98</v>
      </c>
      <c r="EJ19" s="439">
        <f>VLOOKUP(EJ$8,LSV!$A$1:$E$488,2,FALSE)</f>
        <v>-2.42</v>
      </c>
      <c r="EK19" s="439">
        <f>VLOOKUP(EK$8,LSV!$A$1:$E$488,2,FALSE)</f>
        <v>0.95</v>
      </c>
      <c r="EL19" s="439">
        <f>VLOOKUP(EL$8,LSV!$A$1:$E$488,2,FALSE)</f>
        <v>-0.39</v>
      </c>
      <c r="EM19" s="439">
        <f>VLOOKUP(EM$8,LSV!$A$1:$E$488,2,FALSE)</f>
        <v>3.39</v>
      </c>
      <c r="EN19" s="439">
        <f>VLOOKUP(EN$8,LSV!$A$1:$E$488,2,FALSE)</f>
        <v>2.21</v>
      </c>
      <c r="EO19" s="439">
        <f>VLOOKUP(EO$8,LSV!$A$1:$E$488,2,FALSE)</f>
        <v>3.84</v>
      </c>
      <c r="EP19" s="439">
        <f>VLOOKUP(EP$8,LSV!$A$1:$E$488,2,FALSE)</f>
        <v>-2.27</v>
      </c>
      <c r="EQ19" s="439">
        <f>VLOOKUP(EQ$8,LSV!$A$1:$E$488,2,FALSE)</f>
        <v>-1.47</v>
      </c>
      <c r="ER19" s="439">
        <f>VLOOKUP(ER$8,LSV!$A$1:$E$488,2,FALSE)</f>
        <v>3.74</v>
      </c>
      <c r="ES19" s="439">
        <f>VLOOKUP(ES$8,LSV!$A$1:$E$488,2,FALSE)</f>
        <v>-1.84</v>
      </c>
      <c r="ET19" s="439">
        <f>VLOOKUP(ET$8,LSV!$A$1:$E$488,2,FALSE)</f>
        <v>2.8</v>
      </c>
      <c r="EU19" s="439">
        <f>VLOOKUP(EU$8,LSV!$A$1:$E$488,2,FALSE)</f>
        <v>5.51</v>
      </c>
      <c r="EV19" s="439">
        <f>VLOOKUP(EV$8,LSV!$A$1:$E$488,2,FALSE)</f>
        <v>0.25</v>
      </c>
      <c r="EW19" s="439">
        <f>VLOOKUP(EW$8,LSV!$A$1:$E$488,2,FALSE)</f>
        <v>3.26</v>
      </c>
      <c r="EX19" s="393" t="s">
        <v>50</v>
      </c>
      <c r="EY19" s="1066" t="s">
        <v>462</v>
      </c>
      <c r="EZ19" s="789">
        <f>VLOOKUP($EY19,'NEPC data'!$B11:$M198,5,TRUE)*100</f>
        <v>-14.206265110799986</v>
      </c>
      <c r="FA19" s="789">
        <f>VLOOKUP($EY19,'NEPC data'!$B11:$M198,7,TRUE)*100</f>
        <v>-42.695173782464259</v>
      </c>
      <c r="FB19" s="789">
        <f>VLOOKUP($EY19,'NEPC data'!$B11:$M198,9,TRUE)*100</f>
        <v>-15.803333915110684</v>
      </c>
      <c r="FC19" s="789">
        <f>VLOOKUP($EY19,'NEPC data'!$B11:$M198,10,TRUE)*100</f>
        <v>-4.3896399416996523</v>
      </c>
      <c r="FD19" s="789">
        <f>VLOOKUP($EY19,'NEPC data'!$B11:$M198,11,TRUE)*100</f>
        <v>0</v>
      </c>
      <c r="FE19" s="382"/>
      <c r="FF19" s="441">
        <f>IF(G27="---","-",ABS(EZ27-G27))</f>
        <v>0</v>
      </c>
      <c r="FG19" s="441">
        <f>IF(I27="---","-",ABS(FA27-I27))</f>
        <v>0</v>
      </c>
      <c r="FH19" s="441">
        <f>IF(K27="---","-",ABS(FB27-K27))</f>
        <v>0</v>
      </c>
      <c r="FI19" s="441">
        <f>IF(M27="---","-",ABS(FC27-M27))</f>
        <v>0</v>
      </c>
      <c r="FJ19" s="441">
        <f>IF(Q27="---","-",ABS(FD27-Q27))</f>
        <v>0</v>
      </c>
      <c r="FK19" s="382"/>
      <c r="FL19" s="442">
        <f>AF19</f>
        <v>9.1061887876942684</v>
      </c>
      <c r="FM19" s="442">
        <f>ABS(FL27-AF27)</f>
        <v>0</v>
      </c>
    </row>
    <row r="20" spans="1:169" s="1028" customFormat="1" ht="12.75" customHeight="1" x14ac:dyDescent="0.2">
      <c r="A20" s="1234" t="s">
        <v>201</v>
      </c>
      <c r="B20" s="1024"/>
      <c r="C20" s="1235"/>
      <c r="D20" s="1218"/>
      <c r="E20" s="1237"/>
      <c r="F20" s="1220">
        <f>AH20</f>
        <v>3.61626</v>
      </c>
      <c r="G20" s="432">
        <f t="array" ref="G20">IF($AJ20=0,"---",(PRODUCT($AH20:AJ20/100+1)-1)*100)</f>
        <v>4.1289673548707828</v>
      </c>
      <c r="H20" s="432">
        <f t="array" ref="H20">IF($AS20=0,"---",(PRODUCT(AH20:AN20/100+1)-1)*100)</f>
        <v>13.691248173147974</v>
      </c>
      <c r="I20" s="1023">
        <f t="array" ref="I20">IF(AS20=0,"---",(GEOMEAN($AH20:AS20/100+1)^12-1)*100)</f>
        <v>22.829335167601283</v>
      </c>
      <c r="J20" s="1023">
        <f t="array" ref="J20">IF(BE20=0,"---",(GEOMEAN($AH20:BE20/100+1)^12-1)*100)</f>
        <v>22.883452183635278</v>
      </c>
      <c r="K20" s="1023">
        <f t="array" ref="K20">IF(BQ20=0,"---",(GEOMEAN($AH20:BQ20/100+1)^12-1)*100)</f>
        <v>21.006106055041318</v>
      </c>
      <c r="L20" s="1023">
        <f t="array" ref="L20">IF(CC20=0,"---",(GEOMEAN($AH20:CC20/100+1)^12-1)*100)</f>
        <v>19.04911492819965</v>
      </c>
      <c r="M20" s="1023">
        <f t="array" ref="M20">IF(CO20=0,"---",(GEOMEAN($AH20:CO20/100+1)^12-1)*100)</f>
        <v>15.859312979369333</v>
      </c>
      <c r="N20" s="1023">
        <f t="array" ref="N20">IF(DM20=0,"---",(GEOMEAN($AH20:DM20/100+1)^12-1)*100)</f>
        <v>4.8731790939766206</v>
      </c>
      <c r="O20" s="1023">
        <f t="array" ref="O20">IF(EK20=0,"---",(GEOMEAN($AH20:EK20/100+1)^12-1)*100)</f>
        <v>6.877188062458095</v>
      </c>
      <c r="P20" s="1023">
        <f t="array" ref="P20">IF(EW20=0,"---",(GEOMEAN($AH20:EW20/100+1)^12-1)*100)</f>
        <v>7.6431875666246984</v>
      </c>
      <c r="Q20" s="1238" t="s">
        <v>34</v>
      </c>
      <c r="R20" s="1218"/>
      <c r="S20" s="1218"/>
      <c r="T20" s="1218"/>
      <c r="U20" s="1218"/>
      <c r="V20" s="1218"/>
      <c r="W20" s="1218"/>
      <c r="X20" s="1218"/>
      <c r="Y20" s="1218"/>
      <c r="Z20" s="1218"/>
      <c r="AA20" s="1218"/>
      <c r="AB20" s="1218"/>
      <c r="AC20" s="1222"/>
      <c r="AD20" s="1233"/>
      <c r="AF20" s="1027"/>
      <c r="AG20" s="1024"/>
      <c r="AH20" s="1025">
        <f t="shared" ref="AH20:CS20" si="10">VLOOKUP(AH$8,Index,4,FALSE)</f>
        <v>3.61626</v>
      </c>
      <c r="AI20" s="1025">
        <f t="shared" si="10"/>
        <v>-1.5263</v>
      </c>
      <c r="AJ20" s="1025">
        <f t="shared" si="10"/>
        <v>2.0524399999999998</v>
      </c>
      <c r="AK20" s="1025">
        <f t="shared" si="10"/>
        <v>1.2717499999999999</v>
      </c>
      <c r="AL20" s="1025">
        <f t="shared" si="10"/>
        <v>1.2108000000000001</v>
      </c>
      <c r="AM20" s="1025">
        <f t="shared" si="10"/>
        <v>2.58006</v>
      </c>
      <c r="AN20" s="1025">
        <f t="shared" si="10"/>
        <v>3.8430300000000002</v>
      </c>
      <c r="AO20" s="1025">
        <f t="shared" si="10"/>
        <v>-4.0029599999999999</v>
      </c>
      <c r="AP20" s="1025">
        <f t="shared" si="10"/>
        <v>2.3423400000000001</v>
      </c>
      <c r="AQ20" s="1025">
        <f t="shared" si="10"/>
        <v>2.8188300000000002</v>
      </c>
      <c r="AR20" s="1025">
        <f t="shared" si="10"/>
        <v>4.3724699999999999</v>
      </c>
      <c r="AS20" s="1025">
        <f t="shared" si="10"/>
        <v>2.4715400000000001</v>
      </c>
      <c r="AT20" s="1025">
        <f t="shared" si="10"/>
        <v>-3.5902400000000001</v>
      </c>
      <c r="AU20" s="1025">
        <f t="shared" si="10"/>
        <v>5.1070599999999997</v>
      </c>
      <c r="AV20" s="1025">
        <f t="shared" si="10"/>
        <v>-0.91959999999999997</v>
      </c>
      <c r="AW20" s="1025">
        <f t="shared" si="10"/>
        <v>2.4872100000000001</v>
      </c>
      <c r="AX20" s="1025">
        <f t="shared" si="10"/>
        <v>1.7894099999999999</v>
      </c>
      <c r="AY20" s="1025">
        <f t="shared" si="10"/>
        <v>3.7251699999999999</v>
      </c>
      <c r="AZ20" s="1025">
        <f t="shared" si="10"/>
        <v>1.3597300000000001</v>
      </c>
      <c r="BA20" s="1025">
        <f t="shared" si="10"/>
        <v>6.4993100000000004</v>
      </c>
      <c r="BB20" s="1025">
        <f t="shared" si="10"/>
        <v>2.1698300000000001</v>
      </c>
      <c r="BC20" s="1025">
        <f t="shared" si="10"/>
        <v>0.16156999999999999</v>
      </c>
      <c r="BD20" s="1025">
        <f t="shared" si="10"/>
        <v>-0.67464000000000002</v>
      </c>
      <c r="BE20" s="1025">
        <f t="shared" si="10"/>
        <v>3.1315300000000001</v>
      </c>
      <c r="BF20" s="1025">
        <f t="shared" si="10"/>
        <v>2.18784</v>
      </c>
      <c r="BG20" s="1025">
        <f t="shared" si="10"/>
        <v>0.86155000000000004</v>
      </c>
      <c r="BH20" s="1025">
        <f t="shared" si="10"/>
        <v>4.7053399999999996</v>
      </c>
      <c r="BI20" s="1025">
        <f t="shared" si="10"/>
        <v>-6.6739199999999999</v>
      </c>
      <c r="BJ20" s="1025">
        <f t="shared" si="10"/>
        <v>-1.32883</v>
      </c>
      <c r="BK20" s="1025">
        <f t="shared" si="10"/>
        <v>3.3710800000000001</v>
      </c>
      <c r="BL20" s="1025">
        <f t="shared" si="10"/>
        <v>4.1681100000000004</v>
      </c>
      <c r="BM20" s="1025">
        <f t="shared" si="10"/>
        <v>4.9105499999999997</v>
      </c>
      <c r="BN20" s="1025">
        <f t="shared" si="10"/>
        <v>1.8220700000000001</v>
      </c>
      <c r="BO20" s="1025">
        <f t="shared" si="10"/>
        <v>-0.31498999999999999</v>
      </c>
      <c r="BP20" s="1025">
        <f t="shared" si="10"/>
        <v>11.31297</v>
      </c>
      <c r="BQ20" s="1025">
        <f t="shared" si="10"/>
        <v>-7.4923799999999998</v>
      </c>
      <c r="BR20" s="1025">
        <f t="shared" si="10"/>
        <v>-6.1779700000000002</v>
      </c>
      <c r="BS20" s="1025">
        <f t="shared" si="10"/>
        <v>-3.5648300000000002</v>
      </c>
      <c r="BT20" s="1025">
        <f t="shared" si="10"/>
        <v>-2.1141899999999998</v>
      </c>
      <c r="BU20" s="1025">
        <f t="shared" si="10"/>
        <v>-1.8293999999999999</v>
      </c>
      <c r="BV20" s="1025">
        <f t="shared" si="10"/>
        <v>2.5328499999999998</v>
      </c>
      <c r="BW20" s="1025">
        <f t="shared" si="10"/>
        <v>-0.22069</v>
      </c>
      <c r="BX20" s="1025">
        <f t="shared" si="10"/>
        <v>3.6881200000000001</v>
      </c>
      <c r="BY20" s="1025">
        <f t="shared" si="10"/>
        <v>3.2335500000000001</v>
      </c>
      <c r="BZ20" s="1025">
        <f t="shared" si="10"/>
        <v>8.2232599999999998</v>
      </c>
      <c r="CA20" s="1025">
        <f t="shared" si="10"/>
        <v>-0.46323999999999999</v>
      </c>
      <c r="CB20" s="1025">
        <f t="shared" si="10"/>
        <v>2.5894599999999999</v>
      </c>
      <c r="CC20" s="1025">
        <f t="shared" si="10"/>
        <v>7.7410300000000003</v>
      </c>
      <c r="CD20" s="1025">
        <f t="shared" si="10"/>
        <v>-4.6753200000000001</v>
      </c>
      <c r="CE20" s="1025">
        <f t="shared" si="10"/>
        <v>7.08338</v>
      </c>
      <c r="CF20" s="1025">
        <f t="shared" si="10"/>
        <v>-5.7345199999999998</v>
      </c>
      <c r="CG20" s="1025">
        <f t="shared" si="10"/>
        <v>-7.9227400000000001</v>
      </c>
      <c r="CH20" s="1025">
        <f t="shared" si="10"/>
        <v>1.88167</v>
      </c>
      <c r="CI20" s="1025">
        <f t="shared" si="10"/>
        <v>6.3673299999999999</v>
      </c>
      <c r="CJ20" s="1025">
        <f t="shared" si="10"/>
        <v>2.7550599999999998</v>
      </c>
      <c r="CK20" s="1025">
        <f t="shared" si="10"/>
        <v>-2.0173800000000002</v>
      </c>
      <c r="CL20" s="1025">
        <f t="shared" si="10"/>
        <v>1.7642</v>
      </c>
      <c r="CM20" s="1025">
        <f t="shared" si="10"/>
        <v>6.26</v>
      </c>
      <c r="CN20" s="1025">
        <f t="shared" si="10"/>
        <v>-3.62</v>
      </c>
      <c r="CO20" s="1025">
        <f t="shared" si="10"/>
        <v>3.1595</v>
      </c>
      <c r="CP20" s="1025">
        <f t="shared" si="10"/>
        <v>5.4484000000000004</v>
      </c>
      <c r="CQ20" s="1025">
        <f t="shared" si="10"/>
        <v>8.4213000000000005</v>
      </c>
      <c r="CR20" s="1025">
        <f t="shared" si="10"/>
        <v>-0.49930000000000002</v>
      </c>
      <c r="CS20" s="1025">
        <f t="shared" si="10"/>
        <v>6.3605999999999998</v>
      </c>
      <c r="CT20" s="1025">
        <f t="shared" ref="CT20:EW20" si="11">VLOOKUP(CT$8,Index,4,FALSE)</f>
        <v>11.0397</v>
      </c>
      <c r="CU20" s="1025">
        <f t="shared" si="11"/>
        <v>9.8712999999999997</v>
      </c>
      <c r="CV20" s="1025">
        <f t="shared" si="11"/>
        <v>-13.0749</v>
      </c>
      <c r="CW20" s="1025">
        <f t="shared" si="11"/>
        <v>-12.1584</v>
      </c>
      <c r="CX20" s="1025">
        <f t="shared" si="11"/>
        <v>0.95330000000000004</v>
      </c>
      <c r="CY20" s="1025">
        <f t="shared" si="11"/>
        <v>-8.9718</v>
      </c>
      <c r="CZ20" s="1025">
        <f t="shared" si="11"/>
        <v>-17.107099999999999</v>
      </c>
      <c r="DA20" s="1025">
        <f t="shared" si="11"/>
        <v>-7.4828999999999999</v>
      </c>
      <c r="DB20" s="1025">
        <f t="shared" si="11"/>
        <v>1.339</v>
      </c>
      <c r="DC20" s="1025">
        <f t="shared" si="11"/>
        <v>1.3581000000000001</v>
      </c>
      <c r="DD20" s="1025">
        <f t="shared" si="11"/>
        <v>-11.214</v>
      </c>
      <c r="DE20" s="1025">
        <f t="shared" si="11"/>
        <v>0.11650000000000001</v>
      </c>
      <c r="DF20" s="1025">
        <f t="shared" si="11"/>
        <v>3.7319</v>
      </c>
      <c r="DG20" s="1025">
        <f t="shared" si="11"/>
        <v>-0.46679999999999999</v>
      </c>
      <c r="DH20" s="1025">
        <f t="shared" si="11"/>
        <v>-5.2122999999999999</v>
      </c>
      <c r="DI20" s="1025">
        <f t="shared" si="11"/>
        <v>-3.4870000000000001</v>
      </c>
      <c r="DJ20" s="1025">
        <f t="shared" si="11"/>
        <v>-1.5768</v>
      </c>
      <c r="DK20" s="1025">
        <f t="shared" si="11"/>
        <v>-4.8575999999999997</v>
      </c>
      <c r="DL20" s="1025">
        <f t="shared" si="11"/>
        <v>1.0502</v>
      </c>
      <c r="DM20" s="1025">
        <f t="shared" si="11"/>
        <v>3.1048</v>
      </c>
      <c r="DN20" s="1025">
        <f t="shared" si="11"/>
        <v>1.3471</v>
      </c>
      <c r="DO20" s="1025">
        <f t="shared" si="11"/>
        <v>-3.9300999999999999</v>
      </c>
      <c r="DP20" s="1025">
        <f t="shared" si="11"/>
        <v>-2.0550000000000002</v>
      </c>
      <c r="DQ20" s="1025">
        <f t="shared" si="11"/>
        <v>3.8187000000000002</v>
      </c>
      <c r="DR20" s="1025">
        <f t="shared" si="11"/>
        <v>4.1965000000000003</v>
      </c>
      <c r="DS20" s="1025">
        <f t="shared" si="11"/>
        <v>1.2999000000000001</v>
      </c>
      <c r="DT20" s="1025">
        <f t="shared" si="11"/>
        <v>-1.6937</v>
      </c>
      <c r="DU20" s="1025">
        <f t="shared" si="11"/>
        <v>1.7617</v>
      </c>
      <c r="DV20" s="1025">
        <f t="shared" si="11"/>
        <v>2.4100999999999999</v>
      </c>
      <c r="DW20" s="1025">
        <f t="shared" si="11"/>
        <v>1.7946</v>
      </c>
      <c r="DX20" s="1025">
        <f t="shared" si="11"/>
        <v>3.3349000000000002</v>
      </c>
      <c r="DY20" s="1025">
        <f t="shared" si="11"/>
        <v>2.6623000000000001</v>
      </c>
      <c r="DZ20" s="1025">
        <f t="shared" si="11"/>
        <v>1.5262</v>
      </c>
      <c r="EA20" s="1025">
        <f t="shared" si="11"/>
        <v>1.0031000000000001</v>
      </c>
      <c r="EB20" s="1025">
        <f t="shared" si="11"/>
        <v>0.33610000000000001</v>
      </c>
      <c r="EC20" s="1025">
        <f t="shared" si="11"/>
        <v>-2.4453999999999998</v>
      </c>
      <c r="ED20" s="1025">
        <f t="shared" si="11"/>
        <v>2.7885</v>
      </c>
      <c r="EE20" s="1025">
        <f t="shared" si="11"/>
        <v>1.7049000000000001</v>
      </c>
      <c r="EF20" s="1025">
        <f t="shared" si="11"/>
        <v>1.0801000000000001</v>
      </c>
      <c r="EG20" s="1025">
        <f t="shared" si="11"/>
        <v>2.9847999999999999</v>
      </c>
      <c r="EH20" s="1025">
        <f t="shared" si="11"/>
        <v>0.27</v>
      </c>
      <c r="EI20" s="1025">
        <f t="shared" si="11"/>
        <v>3.7414000000000001</v>
      </c>
      <c r="EJ20" s="1025">
        <f t="shared" si="11"/>
        <v>-1.7451000000000001</v>
      </c>
      <c r="EK20" s="1025">
        <f t="shared" si="11"/>
        <v>1.0378000000000001</v>
      </c>
      <c r="EL20" s="1025">
        <f t="shared" si="11"/>
        <v>-0.75049999999999994</v>
      </c>
      <c r="EM20" s="1025">
        <f t="shared" si="11"/>
        <v>3.1516000000000002</v>
      </c>
      <c r="EN20" s="1025">
        <f t="shared" si="11"/>
        <v>1.5094000000000001</v>
      </c>
      <c r="EO20" s="1025">
        <f t="shared" si="11"/>
        <v>3.1654</v>
      </c>
      <c r="EP20" s="1025">
        <f t="shared" si="11"/>
        <v>-2.0424000000000002</v>
      </c>
      <c r="EQ20" s="1025">
        <f t="shared" si="11"/>
        <v>-1.778</v>
      </c>
      <c r="ER20" s="1025">
        <f t="shared" si="11"/>
        <v>1.8104</v>
      </c>
      <c r="ES20" s="1025">
        <f t="shared" si="11"/>
        <v>-2.4296000000000002</v>
      </c>
      <c r="ET20" s="1025">
        <f t="shared" si="11"/>
        <v>3.2578999999999998</v>
      </c>
      <c r="EU20" s="1025">
        <f t="shared" si="11"/>
        <v>4.8799000000000001</v>
      </c>
      <c r="EV20" s="1025">
        <f t="shared" si="11"/>
        <v>1.51</v>
      </c>
      <c r="EW20" s="1025">
        <f t="shared" si="11"/>
        <v>1.9</v>
      </c>
      <c r="EX20" s="1230"/>
      <c r="EY20" s="1230"/>
      <c r="EZ20" s="789"/>
      <c r="FA20" s="789"/>
      <c r="FB20" s="789"/>
      <c r="FC20" s="789"/>
      <c r="FD20" s="789"/>
      <c r="FE20" s="1024"/>
      <c r="FF20" s="1027"/>
      <c r="FG20" s="1027"/>
      <c r="FH20" s="1027"/>
      <c r="FI20" s="1027"/>
      <c r="FJ20" s="1027"/>
      <c r="FK20" s="1024"/>
      <c r="FL20" s="1027"/>
      <c r="FM20" s="1027"/>
    </row>
    <row r="21" spans="1:169" s="395" customFormat="1" ht="12.75" customHeight="1" x14ac:dyDescent="0.2">
      <c r="A21" s="456"/>
      <c r="B21" s="418"/>
      <c r="C21" s="414"/>
      <c r="D21" s="249"/>
      <c r="E21" s="457"/>
      <c r="F21" s="461"/>
      <c r="G21" s="432"/>
      <c r="H21" s="432"/>
      <c r="I21" s="432"/>
      <c r="J21" s="432"/>
      <c r="K21" s="432"/>
      <c r="L21" s="432"/>
      <c r="M21" s="432"/>
      <c r="N21" s="432"/>
      <c r="O21" s="432"/>
      <c r="P21" s="432"/>
      <c r="Q21" s="458"/>
      <c r="R21" s="249"/>
      <c r="S21" s="249"/>
      <c r="T21" s="249"/>
      <c r="U21" s="249"/>
      <c r="V21" s="249"/>
      <c r="W21" s="249"/>
      <c r="X21" s="249"/>
      <c r="Y21" s="249"/>
      <c r="Z21" s="249"/>
      <c r="AA21" s="249"/>
      <c r="AB21" s="249"/>
      <c r="AC21" s="459"/>
      <c r="AD21" s="460"/>
      <c r="AE21" s="15"/>
      <c r="AF21" s="442"/>
      <c r="AG21" s="382"/>
      <c r="AH21" s="439"/>
      <c r="AI21" s="439"/>
      <c r="AJ21" s="439"/>
      <c r="AK21" s="439"/>
      <c r="AL21" s="439"/>
      <c r="AM21" s="439"/>
      <c r="AN21" s="439"/>
      <c r="AO21" s="439"/>
      <c r="AP21" s="439"/>
      <c r="AQ21" s="439"/>
      <c r="AR21" s="439"/>
      <c r="AS21" s="439"/>
      <c r="AT21" s="439"/>
      <c r="AU21" s="439"/>
      <c r="AV21" s="439"/>
      <c r="AW21" s="439"/>
      <c r="AX21" s="439"/>
      <c r="AY21" s="439"/>
      <c r="AZ21" s="439"/>
      <c r="BA21" s="439"/>
      <c r="BB21" s="439"/>
      <c r="BC21" s="439"/>
      <c r="BD21" s="439"/>
      <c r="BE21" s="439"/>
      <c r="BF21" s="439"/>
      <c r="BG21" s="439"/>
      <c r="BH21" s="439"/>
      <c r="BI21" s="439"/>
      <c r="BJ21" s="439"/>
      <c r="BK21" s="439"/>
      <c r="BL21" s="439"/>
      <c r="BM21" s="439"/>
      <c r="BN21" s="439"/>
      <c r="BO21" s="439"/>
      <c r="BP21" s="439"/>
      <c r="BQ21" s="439"/>
      <c r="BR21" s="439"/>
      <c r="BS21" s="439"/>
      <c r="BT21" s="439"/>
      <c r="BU21" s="439"/>
      <c r="BV21" s="439"/>
      <c r="BW21" s="439"/>
      <c r="BX21" s="439"/>
      <c r="BY21" s="439"/>
      <c r="BZ21" s="439"/>
      <c r="CA21" s="439"/>
      <c r="CB21" s="439"/>
      <c r="CC21" s="439"/>
      <c r="CD21" s="439"/>
      <c r="CE21" s="439"/>
      <c r="CF21" s="439"/>
      <c r="CG21" s="439"/>
      <c r="CH21" s="439"/>
      <c r="CI21" s="439"/>
      <c r="CJ21" s="439"/>
      <c r="CK21" s="439"/>
      <c r="CL21" s="439"/>
      <c r="CM21" s="439"/>
      <c r="CN21" s="439"/>
      <c r="CO21" s="439"/>
      <c r="CP21" s="439"/>
      <c r="CQ21" s="439"/>
      <c r="CR21" s="439"/>
      <c r="CS21" s="439"/>
      <c r="CT21" s="439"/>
      <c r="CU21" s="439"/>
      <c r="CV21" s="439"/>
      <c r="CW21" s="439"/>
      <c r="CX21" s="439"/>
      <c r="CY21" s="439"/>
      <c r="CZ21" s="439"/>
      <c r="DA21" s="439"/>
      <c r="DB21" s="439"/>
      <c r="DC21" s="439"/>
      <c r="DD21" s="439"/>
      <c r="DE21" s="439"/>
      <c r="DF21" s="439"/>
      <c r="DG21" s="439"/>
      <c r="DH21" s="439"/>
      <c r="DI21" s="439"/>
      <c r="DJ21" s="439"/>
      <c r="DK21" s="439"/>
      <c r="DL21" s="439"/>
      <c r="DM21" s="439"/>
      <c r="DN21" s="439"/>
      <c r="DO21" s="439"/>
      <c r="DP21" s="439"/>
      <c r="DQ21" s="439"/>
      <c r="DR21" s="439"/>
      <c r="DS21" s="439"/>
      <c r="DT21" s="439"/>
      <c r="DU21" s="439"/>
      <c r="DV21" s="439"/>
      <c r="DW21" s="439"/>
      <c r="DX21" s="439"/>
      <c r="DY21" s="439"/>
      <c r="DZ21" s="439"/>
      <c r="EA21" s="439"/>
      <c r="EB21" s="439"/>
      <c r="EC21" s="439"/>
      <c r="ED21" s="439"/>
      <c r="EE21" s="439"/>
      <c r="EF21" s="439"/>
      <c r="EG21" s="439"/>
      <c r="EH21" s="439"/>
      <c r="EI21" s="439"/>
      <c r="EJ21" s="439"/>
      <c r="EK21" s="439"/>
      <c r="EL21" s="439"/>
      <c r="EM21" s="439"/>
      <c r="EN21" s="439"/>
      <c r="EO21" s="439"/>
      <c r="EP21" s="439"/>
      <c r="EQ21" s="439"/>
      <c r="ER21" s="439"/>
      <c r="ES21" s="439"/>
      <c r="ET21" s="439"/>
      <c r="EU21" s="439"/>
      <c r="EV21" s="439"/>
      <c r="EW21" s="439"/>
      <c r="EX21" s="393"/>
      <c r="EY21" s="393"/>
      <c r="EZ21" s="789"/>
      <c r="FA21" s="789"/>
      <c r="FB21" s="789"/>
      <c r="FC21" s="789"/>
      <c r="FD21" s="789"/>
      <c r="FE21" s="382"/>
      <c r="FF21" s="442"/>
      <c r="FG21" s="442"/>
      <c r="FH21" s="442"/>
      <c r="FI21" s="442"/>
      <c r="FJ21" s="442"/>
      <c r="FK21" s="382"/>
      <c r="FL21" s="442"/>
      <c r="FM21" s="442"/>
    </row>
    <row r="22" spans="1:169" s="395" customFormat="1" ht="12.75" customHeight="1" x14ac:dyDescent="0.2">
      <c r="A22" s="1062" t="s">
        <v>824</v>
      </c>
      <c r="B22" s="1214" t="s">
        <v>320</v>
      </c>
      <c r="C22" s="446">
        <v>41121</v>
      </c>
      <c r="D22" s="462">
        <f>Intech!D7</f>
        <v>0</v>
      </c>
      <c r="E22" s="448">
        <f>VLOOKUP(AH$8,ASRS_E7!$A$3:E488,3,FALSE)/1000000</f>
        <v>784.65633917999992</v>
      </c>
      <c r="F22" s="449">
        <f>AH22</f>
        <v>3.80457</v>
      </c>
      <c r="G22" s="450">
        <f t="array" ref="G22">IF($AJ22=0,"---",(PRODUCT($AH22:AJ22/100+1)-1)*100)</f>
        <v>3.9273468894775565</v>
      </c>
      <c r="H22" s="450">
        <f t="array" ref="H22">IF($AS22=0,"---",(PRODUCT(AH22:AN22/100+1)-1)*100)</f>
        <v>15.350188639651364</v>
      </c>
      <c r="I22" s="450">
        <f t="array" ref="I22">IF(AS22=0,"---",(GEOMEAN($AH22:AS22/100+1)^12-1)*100)</f>
        <v>22.73015419745834</v>
      </c>
      <c r="J22" s="450">
        <f t="array" ref="J22">IF(BE22=0,"---",(GEOMEAN($AH22:BE22/100+1)^12-1)*100)</f>
        <v>19.679330931471274</v>
      </c>
      <c r="K22" s="450" t="str">
        <f t="array" ref="K22">IF(BQ22=0,"---",(GEOMEAN($AH22:BQ22/100+1)^12-1)*100)</f>
        <v>---</v>
      </c>
      <c r="L22" s="450" t="str">
        <f t="array" ref="L22">IF(CC22=0,"---",(GEOMEAN($AH22:CC22/100+1)^12-1)*100)</f>
        <v>---</v>
      </c>
      <c r="M22" s="450" t="str">
        <f t="array" ref="M22">IF(CO22=0,"---",(GEOMEAN($AH22:CO22/100+1)^12-1)*100)</f>
        <v>---</v>
      </c>
      <c r="N22" s="450" t="str">
        <f t="array" ref="N22">IF(DM22=0,"---",(GEOMEAN($AH22:DM22/100+1)^12-1)*100)</f>
        <v>---</v>
      </c>
      <c r="O22" s="450" t="str">
        <f t="array" ref="O22">IF(EK22=0,"---",(GEOMEAN($AH22:EK22/100+1)^12-1)*100)</f>
        <v>---</v>
      </c>
      <c r="P22" s="450" t="str">
        <f t="array" ref="P22">IF(EW22=0,"---",(GEOMEAN($AH22:EW22/100+1)^12-1)*100)</f>
        <v>---</v>
      </c>
      <c r="Q22" s="451">
        <f t="array" ref="Q22">(GEOMEAN(ASRS_E7!B$448:B471/100+1)^12-1)*100</f>
        <v>17.749183318724349</v>
      </c>
      <c r="R22" s="452">
        <f>IF(F22="---","---",(F22-F$23)*100)</f>
        <v>0.50599999999998424</v>
      </c>
      <c r="S22" s="452">
        <f t="shared" ref="S22:AB22" si="12">IF(G22="---","---",(G22-G$23)*100)</f>
        <v>0.47172190345445841</v>
      </c>
      <c r="T22" s="452">
        <f t="shared" si="12"/>
        <v>-5.8025554310781047</v>
      </c>
      <c r="U22" s="452">
        <f t="shared" si="12"/>
        <v>-4.6292857996398595</v>
      </c>
      <c r="V22" s="452">
        <f t="shared" si="12"/>
        <v>11.333496145291733</v>
      </c>
      <c r="W22" s="452" t="str">
        <f t="shared" si="12"/>
        <v>---</v>
      </c>
      <c r="X22" s="452" t="str">
        <f t="shared" si="12"/>
        <v>---</v>
      </c>
      <c r="Y22" s="452" t="str">
        <f t="shared" si="12"/>
        <v>---</v>
      </c>
      <c r="Z22" s="452" t="str">
        <f t="shared" si="12"/>
        <v>---</v>
      </c>
      <c r="AA22" s="452" t="str">
        <f t="shared" si="12"/>
        <v>---</v>
      </c>
      <c r="AB22" s="452" t="str">
        <f t="shared" si="12"/>
        <v>---</v>
      </c>
      <c r="AC22" s="453">
        <f>(Q22-AF22)*100</f>
        <v>12.698691425720909</v>
      </c>
      <c r="AD22" s="454"/>
      <c r="AE22" s="437"/>
      <c r="AF22" s="476">
        <f t="array" ref="AF22">(GEOMEAN(Index_Returns!$AQ$448:AQ471/100+1)^12-1)*100</f>
        <v>17.62219640446714</v>
      </c>
      <c r="AG22" s="418" t="str">
        <f>IF(I22="---","&lt; 1 Year","---")</f>
        <v>---</v>
      </c>
      <c r="AH22" s="439">
        <f>VLOOKUP(AH$8,ASRS_E7!$A$1:$E$488,2,FALSE)</f>
        <v>3.80457</v>
      </c>
      <c r="AI22" s="439">
        <f>VLOOKUP(AI$8,ASRS_E7!$A$1:$E$488,2,FALSE)</f>
        <v>-1.62375</v>
      </c>
      <c r="AJ22" s="439">
        <f>VLOOKUP(AJ$8,ASRS_E7!$A$1:$E$488,2,FALSE)</f>
        <v>1.77078</v>
      </c>
      <c r="AK22" s="439">
        <f>VLOOKUP(AK$8,ASRS_E7!$A$1:$E$488,2,FALSE)</f>
        <v>1.39995</v>
      </c>
      <c r="AL22" s="439">
        <f>VLOOKUP(AL$8,ASRS_E7!$A$1:$E$488,2,FALSE)</f>
        <v>2.5479400000000001</v>
      </c>
      <c r="AM22" s="439">
        <f>VLOOKUP(AM$8,ASRS_E7!$A$1:$E$488,2,FALSE)</f>
        <v>2.66371</v>
      </c>
      <c r="AN22" s="439">
        <f>VLOOKUP(AN$8,ASRS_E7!$A$1:$E$488,2,FALSE)</f>
        <v>3.9697100000000001</v>
      </c>
      <c r="AO22" s="439">
        <f>VLOOKUP(AO$8,ASRS_E7!$A$1:$E$488,2,FALSE)</f>
        <v>-4.1412199999999997</v>
      </c>
      <c r="AP22" s="439">
        <f>VLOOKUP(AP$8,ASRS_E7!$A$1:$E$488,2,FALSE)</f>
        <v>1.53145</v>
      </c>
      <c r="AQ22" s="439">
        <f>VLOOKUP(AQ$8,ASRS_E7!$A$1:$E$488,2,FALSE)</f>
        <v>2.3117200000000002</v>
      </c>
      <c r="AR22" s="439">
        <f>VLOOKUP(AR$8,ASRS_E7!$A$1:$E$488,2,FALSE)</f>
        <v>5.0850999999999997</v>
      </c>
      <c r="AS22" s="439">
        <f>VLOOKUP(AS$8,ASRS_E7!$A$1:$E$488,2,FALSE)</f>
        <v>1.67963</v>
      </c>
      <c r="AT22" s="439">
        <f>VLOOKUP(AT$8,ASRS_E7!$A$1:$E$488,2,FALSE)</f>
        <v>-3.1156999999999999</v>
      </c>
      <c r="AU22" s="439">
        <f>VLOOKUP(AU$8,ASRS_E7!$A$1:$E$488,2,FALSE)</f>
        <v>4.3283500000000004</v>
      </c>
      <c r="AV22" s="439">
        <f>VLOOKUP(AV$8,ASRS_E7!$A$1:$E$488,2,FALSE)</f>
        <v>-0.84289000000000003</v>
      </c>
      <c r="AW22" s="439">
        <f>VLOOKUP(AW$8,ASRS_E7!$A$1:$E$488,2,FALSE)</f>
        <v>0.30798999999999999</v>
      </c>
      <c r="AX22" s="439">
        <f>VLOOKUP(AX$8,ASRS_E7!$A$1:$E$488,2,FALSE)</f>
        <v>2.7940100000000001</v>
      </c>
      <c r="AY22" s="439">
        <f>VLOOKUP(AY$8,ASRS_E7!$A$1:$E$488,2,FALSE)</f>
        <v>4.4279599999999997</v>
      </c>
      <c r="AZ22" s="439">
        <f>VLOOKUP(AZ$8,ASRS_E7!$A$1:$E$488,2,FALSE)</f>
        <v>2.2297500000000001</v>
      </c>
      <c r="BA22" s="439">
        <f>VLOOKUP(BA$8,ASRS_E7!$A$1:$E$488,2,FALSE)</f>
        <v>5.5022900000000003</v>
      </c>
      <c r="BB22" s="439">
        <f>VLOOKUP(BB$8,ASRS_E7!$A$1:$E$488,2,FALSE)</f>
        <v>-0.25161</v>
      </c>
      <c r="BC22" s="439">
        <f>VLOOKUP(BC$8,ASRS_E7!$A$1:$E$488,2,FALSE)</f>
        <v>-0.57577999999999996</v>
      </c>
      <c r="BD22" s="439">
        <f>VLOOKUP(BD$8,ASRS_E7!$A$1:$E$488,2,FALSE)</f>
        <v>-0.92571000000000003</v>
      </c>
      <c r="BE22" s="439">
        <f>VLOOKUP(BE$8,ASRS_E7!$A$1:$E$488,2,FALSE)</f>
        <v>2.0443699999999998</v>
      </c>
      <c r="BF22" s="439">
        <f>VLOOKUP(BF$8,ASRS_E7!$A$1:$E$488,2,FALSE)</f>
        <v>0.48332000000000003</v>
      </c>
      <c r="BG22" s="439">
        <f>VLOOKUP(BG$8,ASRS_E7!$A$1:$E$488,2,FALSE)</f>
        <v>0</v>
      </c>
      <c r="BH22" s="439">
        <f>VLOOKUP(BH$8,ASRS_E7!$A$1:$E$488,2,FALSE)</f>
        <v>0</v>
      </c>
      <c r="BI22" s="439">
        <f>VLOOKUP(BI$8,ASRS_E7!$A$1:$E$488,2,FALSE)</f>
        <v>0</v>
      </c>
      <c r="BJ22" s="439">
        <f>VLOOKUP(BJ$8,ASRS_E7!$A$1:$E$488,2,FALSE)</f>
        <v>0</v>
      </c>
      <c r="BK22" s="439">
        <f>VLOOKUP(BK$8,ASRS_E7!$A$1:$E$488,2,FALSE)</f>
        <v>0</v>
      </c>
      <c r="BL22" s="439">
        <f>VLOOKUP(BL$8,ASRS_E7!$A$1:$E$488,2,FALSE)</f>
        <v>0</v>
      </c>
      <c r="BM22" s="439">
        <f>VLOOKUP(BM$8,ASRS_E7!$A$1:$E$488,2,FALSE)</f>
        <v>0</v>
      </c>
      <c r="BN22" s="439">
        <f>VLOOKUP(BN$8,ASRS_E7!$A$1:$E$488,2,FALSE)</f>
        <v>0</v>
      </c>
      <c r="BO22" s="439">
        <f>VLOOKUP(BO$8,ASRS_E7!$A$1:$E$488,2,FALSE)</f>
        <v>0</v>
      </c>
      <c r="BP22" s="439">
        <f>VLOOKUP(BP$8,ASRS_E7!$A$1:$E$488,2,FALSE)</f>
        <v>0</v>
      </c>
      <c r="BQ22" s="439">
        <f>VLOOKUP(BQ$8,ASRS_E7!$A$1:$E$488,2,FALSE)</f>
        <v>0</v>
      </c>
      <c r="BR22" s="439">
        <f>VLOOKUP(BR$8,ASRS_E7!$A$1:$E$488,2,FALSE)</f>
        <v>0</v>
      </c>
      <c r="BS22" s="439">
        <f>VLOOKUP(BS$8,ASRS_E7!$A$1:$E$488,2,FALSE)</f>
        <v>0</v>
      </c>
      <c r="BT22" s="439">
        <f>VLOOKUP(BT$8,ASRS_E7!$A$1:$E$488,2,FALSE)</f>
        <v>0</v>
      </c>
      <c r="BU22" s="439">
        <f>VLOOKUP(BU$8,ASRS_E7!$A$1:$E$488,2,FALSE)</f>
        <v>0</v>
      </c>
      <c r="BV22" s="439">
        <f>VLOOKUP(BV$8,ASRS_E7!$A$1:$E$488,2,FALSE)</f>
        <v>0</v>
      </c>
      <c r="BW22" s="439">
        <f>VLOOKUP(BW$8,ASRS_E7!$A$1:$E$488,2,FALSE)</f>
        <v>0</v>
      </c>
      <c r="BX22" s="439">
        <f>VLOOKUP(BX$8,ASRS_E7!$A$1:$E$488,2,FALSE)</f>
        <v>0</v>
      </c>
      <c r="BY22" s="439">
        <f>VLOOKUP(BY$8,ASRS_E7!$A$1:$E$488,2,FALSE)</f>
        <v>0</v>
      </c>
      <c r="BZ22" s="439">
        <f>VLOOKUP(BZ$8,ASRS_E7!$A$1:$E$488,2,FALSE)</f>
        <v>0</v>
      </c>
      <c r="CA22" s="439">
        <f>VLOOKUP(CA$8,ASRS_E7!$A$1:$E$488,2,FALSE)</f>
        <v>0</v>
      </c>
      <c r="CB22" s="439">
        <f>VLOOKUP(CB$8,ASRS_E7!$A$1:$E$488,2,FALSE)</f>
        <v>0</v>
      </c>
      <c r="CC22" s="439">
        <f>VLOOKUP(CC$8,ASRS_E7!$A$1:$E$488,2,FALSE)</f>
        <v>0</v>
      </c>
      <c r="CD22" s="439">
        <f>VLOOKUP(CD$8,ASRS_E7!$A$1:$E$488,2,FALSE)</f>
        <v>0</v>
      </c>
      <c r="CE22" s="439">
        <f>VLOOKUP(CE$8,ASRS_E7!$A$1:$E$488,2,FALSE)</f>
        <v>0</v>
      </c>
      <c r="CF22" s="439">
        <f>VLOOKUP(CF$8,ASRS_E7!$A$1:$E$488,2,FALSE)</f>
        <v>0</v>
      </c>
      <c r="CG22" s="439">
        <f>VLOOKUP(CG$8,ASRS_E7!$A$1:$E$488,2,FALSE)</f>
        <v>0</v>
      </c>
      <c r="CH22" s="439">
        <f>VLOOKUP(CH$8,ASRS_E7!$A$1:$E$488,2,FALSE)</f>
        <v>0</v>
      </c>
      <c r="CI22" s="439">
        <f>VLOOKUP(CI$8,ASRS_E7!$A$1:$E$488,2,FALSE)</f>
        <v>0</v>
      </c>
      <c r="CJ22" s="439">
        <f>VLOOKUP(CJ$8,ASRS_E7!$A$1:$E$488,2,FALSE)</f>
        <v>0</v>
      </c>
      <c r="CK22" s="439">
        <f>VLOOKUP(CK$8,ASRS_E7!$A$1:$E$488,2,FALSE)</f>
        <v>0</v>
      </c>
      <c r="CL22" s="439">
        <f>VLOOKUP(CL$8,ASRS_E7!$A$1:$E$488,2,FALSE)</f>
        <v>0</v>
      </c>
      <c r="CM22" s="439">
        <f>VLOOKUP(CM$8,ASRS_E7!$A$1:$E$488,2,FALSE)</f>
        <v>0</v>
      </c>
      <c r="CN22" s="439">
        <f>VLOOKUP(CN$8,ASRS_E7!$A$1:$E$488,2,FALSE)</f>
        <v>0</v>
      </c>
      <c r="CO22" s="439">
        <f>VLOOKUP(CO$8,ASRS_E7!$A$1:$E$488,2,FALSE)</f>
        <v>0</v>
      </c>
      <c r="CP22" s="439">
        <f>VLOOKUP(CP$8,ASRS_E7!$A$1:$E$488,2,FALSE)</f>
        <v>0</v>
      </c>
      <c r="CQ22" s="439">
        <f>VLOOKUP(CQ$8,ASRS_E7!$A$1:$E$488,2,FALSE)</f>
        <v>0</v>
      </c>
      <c r="CR22" s="439">
        <f>VLOOKUP(CR$8,ASRS_E7!$A$1:$E$488,2,FALSE)</f>
        <v>0</v>
      </c>
      <c r="CS22" s="439">
        <f>VLOOKUP(CS$8,ASRS_E7!$A$1:$E$488,2,FALSE)</f>
        <v>0</v>
      </c>
      <c r="CT22" s="439">
        <f>VLOOKUP(CT$8,ASRS_E7!$A$1:$E$488,2,FALSE)</f>
        <v>0</v>
      </c>
      <c r="CU22" s="439">
        <f>VLOOKUP(CU$8,ASRS_E7!$A$1:$E$488,2,FALSE)</f>
        <v>0</v>
      </c>
      <c r="CV22" s="439">
        <f>VLOOKUP(CV$8,ASRS_E7!$A$1:$E$488,2,FALSE)</f>
        <v>0</v>
      </c>
      <c r="CW22" s="439">
        <f>VLOOKUP(CW$8,ASRS_E7!$A$1:$E$488,2,FALSE)</f>
        <v>0</v>
      </c>
      <c r="CX22" s="439">
        <f>VLOOKUP(CX$8,ASRS_E7!$A$1:$E$488,2,FALSE)</f>
        <v>0</v>
      </c>
      <c r="CY22" s="439">
        <f>VLOOKUP(CY$8,ASRS_E7!$A$1:$E$488,2,FALSE)</f>
        <v>0</v>
      </c>
      <c r="CZ22" s="439">
        <f>VLOOKUP(CZ$8,ASRS_E7!$A$1:$E$488,2,FALSE)</f>
        <v>0</v>
      </c>
      <c r="DA22" s="439">
        <f>VLOOKUP(DA$8,ASRS_E7!$A$1:$E$488,2,FALSE)</f>
        <v>0</v>
      </c>
      <c r="DB22" s="439">
        <f>VLOOKUP(DB$8,ASRS_E7!$A$1:$E$488,2,FALSE)</f>
        <v>0</v>
      </c>
      <c r="DC22" s="439">
        <f>VLOOKUP(DC$8,ASRS_E7!$A$1:$E$488,2,FALSE)</f>
        <v>0</v>
      </c>
      <c r="DD22" s="439">
        <f>VLOOKUP(DD$8,ASRS_E7!$A$1:$E$488,2,FALSE)</f>
        <v>0</v>
      </c>
      <c r="DE22" s="439">
        <f>VLOOKUP(DE$8,ASRS_E7!$A$1:$E$488,2,FALSE)</f>
        <v>0</v>
      </c>
      <c r="DF22" s="439">
        <f>VLOOKUP(DF$8,ASRS_E7!$A$1:$E$488,2,FALSE)</f>
        <v>0</v>
      </c>
      <c r="DG22" s="439">
        <f>VLOOKUP(DG$8,ASRS_E7!$A$1:$E$488,2,FALSE)</f>
        <v>0</v>
      </c>
      <c r="DH22" s="439">
        <f>VLOOKUP(DH$8,ASRS_E7!$A$1:$E$488,2,FALSE)</f>
        <v>0</v>
      </c>
      <c r="DI22" s="439">
        <f>VLOOKUP(DI$8,ASRS_E7!$A$1:$E$488,2,FALSE)</f>
        <v>0</v>
      </c>
      <c r="DJ22" s="439">
        <f>VLOOKUP(DJ$8,ASRS_E7!$A$1:$E$488,2,FALSE)</f>
        <v>0</v>
      </c>
      <c r="DK22" s="439">
        <f>VLOOKUP(DK$8,ASRS_E7!$A$1:$E$488,2,FALSE)</f>
        <v>0</v>
      </c>
      <c r="DL22" s="439">
        <f>VLOOKUP(DL$8,ASRS_E7!$A$1:$E$488,2,FALSE)</f>
        <v>0</v>
      </c>
      <c r="DM22" s="439">
        <f>VLOOKUP(DM$8,ASRS_E7!$A$1:$E$488,2,FALSE)</f>
        <v>0</v>
      </c>
      <c r="DN22" s="439">
        <f>VLOOKUP(DN$8,ASRS_E7!$A$1:$E$488,2,FALSE)</f>
        <v>0</v>
      </c>
      <c r="DO22" s="439">
        <f>VLOOKUP(DO$8,ASRS_E7!$A$1:$E$488,2,FALSE)</f>
        <v>0</v>
      </c>
      <c r="DP22" s="439">
        <f>VLOOKUP(DP$8,ASRS_E7!$A$1:$E$488,2,FALSE)</f>
        <v>0</v>
      </c>
      <c r="DQ22" s="439">
        <f>VLOOKUP(DQ$8,ASRS_E7!$A$1:$E$488,2,FALSE)</f>
        <v>0</v>
      </c>
      <c r="DR22" s="439">
        <f>VLOOKUP(DR$8,ASRS_E7!$A$1:$E$488,2,FALSE)</f>
        <v>0</v>
      </c>
      <c r="DS22" s="439">
        <f>VLOOKUP(DS$8,ASRS_E7!$A$1:$E$488,2,FALSE)</f>
        <v>0</v>
      </c>
      <c r="DT22" s="439">
        <f>VLOOKUP(DT$8,ASRS_E7!$A$1:$E$488,2,FALSE)</f>
        <v>0</v>
      </c>
      <c r="DU22" s="439">
        <f>VLOOKUP(DU$8,ASRS_E7!$A$1:$E$488,2,FALSE)</f>
        <v>0</v>
      </c>
      <c r="DV22" s="439">
        <f>VLOOKUP(DV$8,ASRS_E7!$A$1:$E$488,2,FALSE)</f>
        <v>0</v>
      </c>
      <c r="DW22" s="439">
        <f>VLOOKUP(DW$8,ASRS_E7!$A$1:$E$488,2,FALSE)</f>
        <v>0</v>
      </c>
      <c r="DX22" s="439">
        <f>VLOOKUP(DX$8,ASRS_E7!$A$1:$E$488,2,FALSE)</f>
        <v>0</v>
      </c>
      <c r="DY22" s="439">
        <f>VLOOKUP(DY$8,ASRS_E7!$A$1:$E$488,2,FALSE)</f>
        <v>0</v>
      </c>
      <c r="DZ22" s="439">
        <f>VLOOKUP(DZ$8,ASRS_E7!$A$1:$E$488,2,FALSE)</f>
        <v>0</v>
      </c>
      <c r="EA22" s="439">
        <f>VLOOKUP(EA$8,ASRS_E7!$A$1:$E$488,2,FALSE)</f>
        <v>0</v>
      </c>
      <c r="EB22" s="439">
        <f>VLOOKUP(EB$8,ASRS_E7!$A$1:$E$488,2,FALSE)</f>
        <v>0</v>
      </c>
      <c r="EC22" s="439">
        <f>VLOOKUP(EC$8,ASRS_E7!$A$1:$E$488,2,FALSE)</f>
        <v>0</v>
      </c>
      <c r="ED22" s="439">
        <f>VLOOKUP(ED$8,ASRS_E7!$A$1:$E$488,2,FALSE)</f>
        <v>0</v>
      </c>
      <c r="EE22" s="439">
        <f>VLOOKUP(EE$8,ASRS_E7!$A$1:$E$488,2,FALSE)</f>
        <v>0</v>
      </c>
      <c r="EF22" s="439">
        <f>VLOOKUP(EF$8,ASRS_E7!$A$1:$E$488,2,FALSE)</f>
        <v>0</v>
      </c>
      <c r="EG22" s="439">
        <f>VLOOKUP(EG$8,ASRS_E7!$A$1:$E$488,2,FALSE)</f>
        <v>0</v>
      </c>
      <c r="EH22" s="439">
        <f>VLOOKUP(EH$8,ASRS_E7!$A$1:$E$488,2,FALSE)</f>
        <v>0</v>
      </c>
      <c r="EI22" s="439">
        <f>VLOOKUP(EI$8,ASRS_E7!$A$1:$E$488,2,FALSE)</f>
        <v>0</v>
      </c>
      <c r="EJ22" s="439">
        <f>VLOOKUP(EJ$8,ASRS_E7!$A$1:$E$488,2,FALSE)</f>
        <v>0</v>
      </c>
      <c r="EK22" s="439">
        <f>VLOOKUP(EK$8,ASRS_E7!$A$1:$E$488,2,FALSE)</f>
        <v>0</v>
      </c>
      <c r="EL22" s="439">
        <f>VLOOKUP(EL$8,ASRS_E7!$A$1:$E$488,2,FALSE)</f>
        <v>0</v>
      </c>
      <c r="EM22" s="439">
        <f>VLOOKUP(EM$8,ASRS_E7!$A$1:$E$488,2,FALSE)</f>
        <v>0</v>
      </c>
      <c r="EN22" s="439">
        <f>VLOOKUP(EN$8,ASRS_E7!$A$1:$E$488,2,FALSE)</f>
        <v>0</v>
      </c>
      <c r="EO22" s="439">
        <f>VLOOKUP(EO$8,ASRS_E7!$A$1:$E$488,2,FALSE)</f>
        <v>0</v>
      </c>
      <c r="EP22" s="439">
        <f>VLOOKUP(EP$8,ASRS_E7!$A$1:$E$488,2,FALSE)</f>
        <v>0</v>
      </c>
      <c r="EQ22" s="439">
        <f>VLOOKUP(EQ$8,ASRS_E7!$A$1:$E$488,2,FALSE)</f>
        <v>0</v>
      </c>
      <c r="ER22" s="439">
        <f>VLOOKUP(ER$8,ASRS_E7!$A$1:$E$488,2,FALSE)</f>
        <v>0</v>
      </c>
      <c r="ES22" s="439">
        <f>VLOOKUP(ES$8,ASRS_E7!$A$1:$E$488,2,FALSE)</f>
        <v>0</v>
      </c>
      <c r="ET22" s="439">
        <f>VLOOKUP(ET$8,ASRS_E7!$A$1:$E$488,2,FALSE)</f>
        <v>0</v>
      </c>
      <c r="EU22" s="439">
        <f>VLOOKUP(EU$8,ASRS_E7!$A$1:$E$488,2,FALSE)</f>
        <v>0</v>
      </c>
      <c r="EV22" s="439">
        <f>VLOOKUP(EV$8,ASRS_E7!$A$1:$E$488,2,FALSE)</f>
        <v>0</v>
      </c>
      <c r="EW22" s="439">
        <f>VLOOKUP(EW$8,ASRS_E7!$A$1:$E$488,2,FALSE)</f>
        <v>0</v>
      </c>
      <c r="EX22" s="393" t="s">
        <v>826</v>
      </c>
      <c r="EY22" s="1066" t="s">
        <v>461</v>
      </c>
      <c r="EZ22" s="789">
        <f>VLOOKUP($EY22,'NEPC data'!$B14:$M201,5,TRUE)*100</f>
        <v>-5.5825260372999956</v>
      </c>
      <c r="FA22" s="789">
        <f>VLOOKUP($EY22,'NEPC data'!$B14:$M201,7,TRUE)*100</f>
        <v>-30.149013392474288</v>
      </c>
      <c r="FB22" s="789">
        <f>VLOOKUP($EY22,'NEPC data'!$B14:$M201,9,TRUE)*100</f>
        <v>-11.304916397675612</v>
      </c>
      <c r="FC22" s="789">
        <f>VLOOKUP($EY22,'NEPC data'!$B14:$M201,10,TRUE)*100</f>
        <v>-3.1251115580953615</v>
      </c>
      <c r="FD22" s="789">
        <f>VLOOKUP($EY22,'NEPC data'!$B14:$M201,11,TRUE)*100</f>
        <v>0</v>
      </c>
      <c r="FE22" s="382"/>
      <c r="FF22" s="441">
        <f>IF(G22="---","-",ABS(EZ22-G22))</f>
        <v>9.5098729267775521</v>
      </c>
      <c r="FG22" s="441">
        <f>IF(I22="---","-",ABS(FA22-I22))</f>
        <v>52.879167589932628</v>
      </c>
      <c r="FH22" s="441" t="str">
        <f>IF(K22="---","-",ABS(FB22-K22))</f>
        <v>-</v>
      </c>
      <c r="FI22" s="441" t="str">
        <f>IF(M22="---","-",ABS(FC22-M22))</f>
        <v>-</v>
      </c>
      <c r="FJ22" s="441">
        <f>IF(Q22="---","-",ABS(FD22-Q22))</f>
        <v>17.749183318724349</v>
      </c>
      <c r="FK22" s="382"/>
      <c r="FL22" s="442">
        <f>AF22</f>
        <v>17.62219640446714</v>
      </c>
      <c r="FM22" s="442">
        <f>ABS(FL22-AF22)</f>
        <v>0</v>
      </c>
    </row>
    <row r="23" spans="1:169" s="1028" customFormat="1" ht="12.75" customHeight="1" x14ac:dyDescent="0.2">
      <c r="A23" s="1232" t="s">
        <v>828</v>
      </c>
      <c r="B23" s="1024"/>
      <c r="C23" s="1235"/>
      <c r="D23" s="1218"/>
      <c r="E23" s="1237"/>
      <c r="F23" s="1220">
        <f>AH23</f>
        <v>3.7995100000000002</v>
      </c>
      <c r="G23" s="432">
        <f t="array" ref="G23">IF($AJ23=0,"---",(PRODUCT($AH23:AJ23/100+1)-1)*100)</f>
        <v>3.9226296704430119</v>
      </c>
      <c r="H23" s="432">
        <f t="array" ref="H23">IF($AS23=0,"---",(PRODUCT(AH23:AN23/100+1)-1)*100)</f>
        <v>15.408214193962145</v>
      </c>
      <c r="I23" s="1023">
        <f t="array" ref="I23">IF(AS23=0,"---",(GEOMEAN($AH23:AS23/100+1)^12-1)*100)</f>
        <v>22.776447055454739</v>
      </c>
      <c r="J23" s="1023">
        <f t="array" ref="J23">IF(BE23=0,"---",(GEOMEAN($AH23:BE23/100+1)^12-1)*100)</f>
        <v>19.565995970018356</v>
      </c>
      <c r="K23" s="1023" t="str">
        <f t="array" ref="K23">IF(BQ23=0,"---",(GEOMEAN($AH23:BQ23/100+1)^12-1)*100)</f>
        <v>---</v>
      </c>
      <c r="L23" s="1023" t="str">
        <f t="array" ref="L23">IF(CC23=0,"---",(GEOMEAN($AH23:CC23/100+1)^12-1)*100)</f>
        <v>---</v>
      </c>
      <c r="M23" s="1023" t="str">
        <f t="array" ref="M23">IF(CO23=0,"---",(GEOMEAN($AH23:CO23/100+1)^12-1)*100)</f>
        <v>---</v>
      </c>
      <c r="N23" s="1023" t="str">
        <f t="array" ref="N23">IF(DM23=0,"---",(GEOMEAN($AH23:DM23/100+1)^12-1)*100)</f>
        <v>---</v>
      </c>
      <c r="O23" s="1023" t="str">
        <f t="array" ref="O23">IF(EK23=0,"---",(GEOMEAN($AH23:EK23/100+1)^12-1)*100)</f>
        <v>---</v>
      </c>
      <c r="P23" s="1023" t="str">
        <f t="array" ref="P23">IF(EW23=0,"---",(GEOMEAN($AH23:EW23/100+1)^12-1)*100)</f>
        <v>---</v>
      </c>
      <c r="Q23" s="1238" t="s">
        <v>34</v>
      </c>
      <c r="R23" s="1218"/>
      <c r="S23" s="1218"/>
      <c r="T23" s="1218"/>
      <c r="U23" s="1218"/>
      <c r="V23" s="1218"/>
      <c r="W23" s="1218"/>
      <c r="X23" s="1218"/>
      <c r="Y23" s="1218"/>
      <c r="Z23" s="1218"/>
      <c r="AA23" s="1218"/>
      <c r="AB23" s="1218"/>
      <c r="AC23" s="1222"/>
      <c r="AD23" s="1242"/>
      <c r="AE23" s="363"/>
      <c r="AF23" s="467"/>
      <c r="AG23" s="418"/>
      <c r="AH23" s="1025">
        <f t="shared" ref="AH23:BM23" si="13">VLOOKUP(AH$8,Index,43,FALSE)</f>
        <v>3.7995100000000002</v>
      </c>
      <c r="AI23" s="1025">
        <f t="shared" si="13"/>
        <v>-1.61819</v>
      </c>
      <c r="AJ23" s="1025">
        <f t="shared" si="13"/>
        <v>1.7653700000000001</v>
      </c>
      <c r="AK23" s="1025">
        <f t="shared" si="13"/>
        <v>1.35921</v>
      </c>
      <c r="AL23" s="1025">
        <f t="shared" si="13"/>
        <v>2.5927899999999999</v>
      </c>
      <c r="AM23" s="1025">
        <f t="shared" si="13"/>
        <v>2.7147000000000001</v>
      </c>
      <c r="AN23" s="1025">
        <f t="shared" si="13"/>
        <v>3.9714100000000001</v>
      </c>
      <c r="AO23" s="1025">
        <f t="shared" si="13"/>
        <v>-4.1561899999999996</v>
      </c>
      <c r="AP23" s="1025">
        <f t="shared" si="13"/>
        <v>1.5107299999999999</v>
      </c>
      <c r="AQ23" s="1025">
        <f t="shared" si="13"/>
        <v>2.3299099999999999</v>
      </c>
      <c r="AR23" s="1025">
        <f t="shared" si="13"/>
        <v>5.1191899999999997</v>
      </c>
      <c r="AS23" s="1025">
        <f t="shared" si="13"/>
        <v>1.65242</v>
      </c>
      <c r="AT23" s="1025">
        <f t="shared" si="13"/>
        <v>-3.1062500000000002</v>
      </c>
      <c r="AU23" s="1025">
        <f t="shared" si="13"/>
        <v>4.2851100000000004</v>
      </c>
      <c r="AV23" s="1025">
        <f t="shared" si="13"/>
        <v>-0.8105</v>
      </c>
      <c r="AW23" s="1025">
        <f t="shared" si="13"/>
        <v>4.0189999999999997E-2</v>
      </c>
      <c r="AX23" s="1025">
        <f t="shared" si="13"/>
        <v>2.8098200000000002</v>
      </c>
      <c r="AY23" s="1025">
        <f t="shared" si="13"/>
        <v>4.4497799999999996</v>
      </c>
      <c r="AZ23" s="1025">
        <f t="shared" si="13"/>
        <v>2.2450999999999999</v>
      </c>
      <c r="BA23" s="1025">
        <f t="shared" si="13"/>
        <v>5.4718</v>
      </c>
      <c r="BB23" s="1025">
        <f t="shared" si="13"/>
        <v>-0.17566000000000001</v>
      </c>
      <c r="BC23" s="1025">
        <f t="shared" si="13"/>
        <v>-0.62028000000000005</v>
      </c>
      <c r="BD23" s="1025">
        <f t="shared" si="13"/>
        <v>-0.92122999999999999</v>
      </c>
      <c r="BE23" s="1025">
        <f t="shared" si="13"/>
        <v>2.0249100000000002</v>
      </c>
      <c r="BF23" s="1025">
        <f t="shared" si="13"/>
        <v>0.45197999999999999</v>
      </c>
      <c r="BG23" s="1025">
        <f t="shared" si="13"/>
        <v>0</v>
      </c>
      <c r="BH23" s="1025">
        <f t="shared" si="13"/>
        <v>0</v>
      </c>
      <c r="BI23" s="1025">
        <f t="shared" si="13"/>
        <v>0</v>
      </c>
      <c r="BJ23" s="1025">
        <f t="shared" si="13"/>
        <v>0</v>
      </c>
      <c r="BK23" s="1025">
        <f t="shared" si="13"/>
        <v>0</v>
      </c>
      <c r="BL23" s="1025">
        <f t="shared" si="13"/>
        <v>0</v>
      </c>
      <c r="BM23" s="1025">
        <f t="shared" si="13"/>
        <v>0</v>
      </c>
      <c r="BN23" s="1025">
        <f t="shared" ref="BN23:CS23" si="14">VLOOKUP(BN$8,Index,43,FALSE)</f>
        <v>0</v>
      </c>
      <c r="BO23" s="1025">
        <f t="shared" si="14"/>
        <v>0</v>
      </c>
      <c r="BP23" s="1025">
        <f t="shared" si="14"/>
        <v>0</v>
      </c>
      <c r="BQ23" s="1025">
        <f t="shared" si="14"/>
        <v>0</v>
      </c>
      <c r="BR23" s="1025">
        <f t="shared" si="14"/>
        <v>0</v>
      </c>
      <c r="BS23" s="1025">
        <f t="shared" si="14"/>
        <v>0</v>
      </c>
      <c r="BT23" s="1025">
        <f t="shared" si="14"/>
        <v>0</v>
      </c>
      <c r="BU23" s="1025">
        <f t="shared" si="14"/>
        <v>0</v>
      </c>
      <c r="BV23" s="1025">
        <f t="shared" si="14"/>
        <v>0</v>
      </c>
      <c r="BW23" s="1025">
        <f t="shared" si="14"/>
        <v>0</v>
      </c>
      <c r="BX23" s="1025">
        <f t="shared" si="14"/>
        <v>0</v>
      </c>
      <c r="BY23" s="1025">
        <f t="shared" si="14"/>
        <v>0</v>
      </c>
      <c r="BZ23" s="1025">
        <f t="shared" si="14"/>
        <v>0</v>
      </c>
      <c r="CA23" s="1025">
        <f t="shared" si="14"/>
        <v>0</v>
      </c>
      <c r="CB23" s="1025">
        <f t="shared" si="14"/>
        <v>0</v>
      </c>
      <c r="CC23" s="1025">
        <f t="shared" si="14"/>
        <v>0</v>
      </c>
      <c r="CD23" s="1025">
        <f t="shared" si="14"/>
        <v>0</v>
      </c>
      <c r="CE23" s="1025">
        <f t="shared" si="14"/>
        <v>0</v>
      </c>
      <c r="CF23" s="1025">
        <f t="shared" si="14"/>
        <v>0</v>
      </c>
      <c r="CG23" s="1025">
        <f t="shared" si="14"/>
        <v>0</v>
      </c>
      <c r="CH23" s="1025">
        <f t="shared" si="14"/>
        <v>0</v>
      </c>
      <c r="CI23" s="1025">
        <f t="shared" si="14"/>
        <v>0</v>
      </c>
      <c r="CJ23" s="1025">
        <f t="shared" si="14"/>
        <v>0</v>
      </c>
      <c r="CK23" s="1025">
        <f t="shared" si="14"/>
        <v>0</v>
      </c>
      <c r="CL23" s="1025">
        <f t="shared" si="14"/>
        <v>0</v>
      </c>
      <c r="CM23" s="1025">
        <f t="shared" si="14"/>
        <v>0</v>
      </c>
      <c r="CN23" s="1025">
        <f t="shared" si="14"/>
        <v>0</v>
      </c>
      <c r="CO23" s="1025">
        <f t="shared" si="14"/>
        <v>0</v>
      </c>
      <c r="CP23" s="1025">
        <f t="shared" si="14"/>
        <v>0</v>
      </c>
      <c r="CQ23" s="1025">
        <f t="shared" si="14"/>
        <v>0</v>
      </c>
      <c r="CR23" s="1025">
        <f t="shared" si="14"/>
        <v>0</v>
      </c>
      <c r="CS23" s="1025">
        <f t="shared" si="14"/>
        <v>0</v>
      </c>
      <c r="CT23" s="1025">
        <f t="shared" ref="CT23:DY23" si="15">VLOOKUP(CT$8,Index,43,FALSE)</f>
        <v>0</v>
      </c>
      <c r="CU23" s="1025">
        <f t="shared" si="15"/>
        <v>0</v>
      </c>
      <c r="CV23" s="1025">
        <f t="shared" si="15"/>
        <v>0</v>
      </c>
      <c r="CW23" s="1025">
        <f t="shared" si="15"/>
        <v>0</v>
      </c>
      <c r="CX23" s="1025">
        <f t="shared" si="15"/>
        <v>0</v>
      </c>
      <c r="CY23" s="1025">
        <f t="shared" si="15"/>
        <v>0</v>
      </c>
      <c r="CZ23" s="1025">
        <f t="shared" si="15"/>
        <v>0</v>
      </c>
      <c r="DA23" s="1025">
        <f t="shared" si="15"/>
        <v>0</v>
      </c>
      <c r="DB23" s="1025">
        <f t="shared" si="15"/>
        <v>0</v>
      </c>
      <c r="DC23" s="1025">
        <f t="shared" si="15"/>
        <v>0</v>
      </c>
      <c r="DD23" s="1025">
        <f t="shared" si="15"/>
        <v>0</v>
      </c>
      <c r="DE23" s="1025">
        <f t="shared" si="15"/>
        <v>0</v>
      </c>
      <c r="DF23" s="1025">
        <f t="shared" si="15"/>
        <v>0</v>
      </c>
      <c r="DG23" s="1025">
        <f t="shared" si="15"/>
        <v>0</v>
      </c>
      <c r="DH23" s="1025">
        <f t="shared" si="15"/>
        <v>0</v>
      </c>
      <c r="DI23" s="1025">
        <f t="shared" si="15"/>
        <v>0</v>
      </c>
      <c r="DJ23" s="1025">
        <f t="shared" si="15"/>
        <v>0</v>
      </c>
      <c r="DK23" s="1025">
        <f t="shared" si="15"/>
        <v>0</v>
      </c>
      <c r="DL23" s="1025">
        <f t="shared" si="15"/>
        <v>0</v>
      </c>
      <c r="DM23" s="1025">
        <f t="shared" si="15"/>
        <v>0</v>
      </c>
      <c r="DN23" s="1025">
        <f t="shared" si="15"/>
        <v>0</v>
      </c>
      <c r="DO23" s="1025">
        <f t="shared" si="15"/>
        <v>0</v>
      </c>
      <c r="DP23" s="1025">
        <f t="shared" si="15"/>
        <v>0</v>
      </c>
      <c r="DQ23" s="1025">
        <f t="shared" si="15"/>
        <v>0</v>
      </c>
      <c r="DR23" s="1025">
        <f t="shared" si="15"/>
        <v>0</v>
      </c>
      <c r="DS23" s="1025">
        <f t="shared" si="15"/>
        <v>0</v>
      </c>
      <c r="DT23" s="1025">
        <f t="shared" si="15"/>
        <v>0</v>
      </c>
      <c r="DU23" s="1025">
        <f t="shared" si="15"/>
        <v>0</v>
      </c>
      <c r="DV23" s="1025">
        <f t="shared" si="15"/>
        <v>0</v>
      </c>
      <c r="DW23" s="1025">
        <f t="shared" si="15"/>
        <v>0</v>
      </c>
      <c r="DX23" s="1025">
        <f t="shared" si="15"/>
        <v>0</v>
      </c>
      <c r="DY23" s="1025">
        <f t="shared" si="15"/>
        <v>0</v>
      </c>
      <c r="DZ23" s="1025">
        <f t="shared" ref="DZ23:EW23" si="16">VLOOKUP(DZ$8,Index,43,FALSE)</f>
        <v>0</v>
      </c>
      <c r="EA23" s="1025">
        <f t="shared" si="16"/>
        <v>0</v>
      </c>
      <c r="EB23" s="1025">
        <f t="shared" si="16"/>
        <v>0</v>
      </c>
      <c r="EC23" s="1025">
        <f t="shared" si="16"/>
        <v>0</v>
      </c>
      <c r="ED23" s="1025">
        <f t="shared" si="16"/>
        <v>0</v>
      </c>
      <c r="EE23" s="1025">
        <f t="shared" si="16"/>
        <v>0</v>
      </c>
      <c r="EF23" s="1025">
        <f t="shared" si="16"/>
        <v>0</v>
      </c>
      <c r="EG23" s="1025">
        <f t="shared" si="16"/>
        <v>0</v>
      </c>
      <c r="EH23" s="1025">
        <f t="shared" si="16"/>
        <v>0</v>
      </c>
      <c r="EI23" s="1025">
        <f t="shared" si="16"/>
        <v>0</v>
      </c>
      <c r="EJ23" s="1025">
        <f t="shared" si="16"/>
        <v>0</v>
      </c>
      <c r="EK23" s="1025">
        <f t="shared" si="16"/>
        <v>0</v>
      </c>
      <c r="EL23" s="1025">
        <f t="shared" si="16"/>
        <v>0</v>
      </c>
      <c r="EM23" s="1025">
        <f t="shared" si="16"/>
        <v>0</v>
      </c>
      <c r="EN23" s="1025">
        <f t="shared" si="16"/>
        <v>0</v>
      </c>
      <c r="EO23" s="1025">
        <f t="shared" si="16"/>
        <v>0</v>
      </c>
      <c r="EP23" s="1025">
        <f t="shared" si="16"/>
        <v>0</v>
      </c>
      <c r="EQ23" s="1025">
        <f t="shared" si="16"/>
        <v>0</v>
      </c>
      <c r="ER23" s="1025">
        <f t="shared" si="16"/>
        <v>0</v>
      </c>
      <c r="ES23" s="1025">
        <f t="shared" si="16"/>
        <v>0</v>
      </c>
      <c r="ET23" s="1025">
        <f t="shared" si="16"/>
        <v>0</v>
      </c>
      <c r="EU23" s="1025">
        <f t="shared" si="16"/>
        <v>0</v>
      </c>
      <c r="EV23" s="1025">
        <f t="shared" si="16"/>
        <v>0</v>
      </c>
      <c r="EW23" s="1025">
        <f t="shared" si="16"/>
        <v>0</v>
      </c>
      <c r="EX23" s="1230"/>
      <c r="EY23" s="1230"/>
      <c r="EZ23" s="789"/>
      <c r="FA23" s="789"/>
      <c r="FB23" s="789"/>
      <c r="FC23" s="789"/>
      <c r="FD23" s="789"/>
      <c r="FE23" s="1024"/>
      <c r="FF23" s="1027"/>
      <c r="FG23" s="1027"/>
      <c r="FH23" s="1027"/>
      <c r="FI23" s="1027"/>
      <c r="FJ23" s="1027"/>
      <c r="FK23" s="1024"/>
      <c r="FL23" s="1027"/>
      <c r="FM23" s="1027"/>
    </row>
    <row r="24" spans="1:169" s="395" customFormat="1" ht="12.75" customHeight="1" x14ac:dyDescent="0.2">
      <c r="A24" s="456"/>
      <c r="B24" s="418"/>
      <c r="C24" s="414"/>
      <c r="D24" s="249"/>
      <c r="E24" s="457"/>
      <c r="F24" s="461"/>
      <c r="G24" s="432"/>
      <c r="H24" s="432"/>
      <c r="I24" s="432"/>
      <c r="J24" s="432"/>
      <c r="K24" s="432"/>
      <c r="L24" s="432"/>
      <c r="M24" s="432"/>
      <c r="N24" s="432"/>
      <c r="O24" s="432"/>
      <c r="P24" s="432"/>
      <c r="Q24" s="458"/>
      <c r="R24" s="249"/>
      <c r="S24" s="249"/>
      <c r="T24" s="249"/>
      <c r="U24" s="249"/>
      <c r="V24" s="249"/>
      <c r="W24" s="249"/>
      <c r="X24" s="249"/>
      <c r="Y24" s="249"/>
      <c r="Z24" s="249"/>
      <c r="AA24" s="249"/>
      <c r="AB24" s="249"/>
      <c r="AC24" s="459"/>
      <c r="AD24" s="460"/>
      <c r="AE24" s="15"/>
      <c r="AF24" s="442"/>
      <c r="AG24" s="382"/>
      <c r="AH24" s="439"/>
      <c r="AI24" s="439"/>
      <c r="AJ24" s="439"/>
      <c r="AK24" s="439"/>
      <c r="AL24" s="439"/>
      <c r="AM24" s="439"/>
      <c r="AN24" s="439"/>
      <c r="AO24" s="439"/>
      <c r="AP24" s="439"/>
      <c r="AQ24" s="439"/>
      <c r="AR24" s="439"/>
      <c r="AS24" s="439"/>
      <c r="AT24" s="439"/>
      <c r="AU24" s="439"/>
      <c r="AV24" s="439"/>
      <c r="AW24" s="439"/>
      <c r="AX24" s="439"/>
      <c r="AY24" s="439"/>
      <c r="AZ24" s="439"/>
      <c r="BA24" s="439"/>
      <c r="BB24" s="439"/>
      <c r="BC24" s="439"/>
      <c r="BD24" s="439"/>
      <c r="BE24" s="439"/>
      <c r="BF24" s="439"/>
      <c r="BG24" s="439"/>
      <c r="BH24" s="439"/>
      <c r="BI24" s="439"/>
      <c r="BJ24" s="439"/>
      <c r="BK24" s="439"/>
      <c r="BL24" s="439"/>
      <c r="BM24" s="439"/>
      <c r="BN24" s="439"/>
      <c r="BO24" s="439"/>
      <c r="BP24" s="439"/>
      <c r="BQ24" s="439"/>
      <c r="BR24" s="439"/>
      <c r="BS24" s="439"/>
      <c r="BT24" s="439"/>
      <c r="BU24" s="439"/>
      <c r="BV24" s="439"/>
      <c r="BW24" s="439"/>
      <c r="BX24" s="439"/>
      <c r="BY24" s="439"/>
      <c r="BZ24" s="439"/>
      <c r="CA24" s="439"/>
      <c r="CB24" s="439"/>
      <c r="CC24" s="439"/>
      <c r="CD24" s="439"/>
      <c r="CE24" s="439"/>
      <c r="CF24" s="439"/>
      <c r="CG24" s="439"/>
      <c r="CH24" s="439"/>
      <c r="CI24" s="439"/>
      <c r="CJ24" s="439"/>
      <c r="CK24" s="439"/>
      <c r="CL24" s="439"/>
      <c r="CM24" s="439"/>
      <c r="CN24" s="439"/>
      <c r="CO24" s="439"/>
      <c r="CP24" s="439"/>
      <c r="CQ24" s="439"/>
      <c r="CR24" s="439"/>
      <c r="CS24" s="439"/>
      <c r="CT24" s="439"/>
      <c r="CU24" s="439"/>
      <c r="CV24" s="439"/>
      <c r="CW24" s="439"/>
      <c r="CX24" s="439"/>
      <c r="CY24" s="439"/>
      <c r="CZ24" s="439"/>
      <c r="DA24" s="439"/>
      <c r="DB24" s="439"/>
      <c r="DC24" s="439"/>
      <c r="DD24" s="439"/>
      <c r="DE24" s="439"/>
      <c r="DF24" s="439"/>
      <c r="DG24" s="439"/>
      <c r="DH24" s="439"/>
      <c r="DI24" s="439"/>
      <c r="DJ24" s="439"/>
      <c r="DK24" s="439"/>
      <c r="DL24" s="439"/>
      <c r="DM24" s="439"/>
      <c r="DN24" s="439"/>
      <c r="DO24" s="439"/>
      <c r="DP24" s="439"/>
      <c r="DQ24" s="439"/>
      <c r="DR24" s="439"/>
      <c r="DS24" s="439"/>
      <c r="DT24" s="439"/>
      <c r="DU24" s="439"/>
      <c r="DV24" s="439"/>
      <c r="DW24" s="439"/>
      <c r="DX24" s="439"/>
      <c r="DY24" s="439"/>
      <c r="DZ24" s="439"/>
      <c r="EA24" s="439"/>
      <c r="EB24" s="439"/>
      <c r="EC24" s="439"/>
      <c r="ED24" s="439"/>
      <c r="EE24" s="439"/>
      <c r="EF24" s="439"/>
      <c r="EG24" s="439"/>
      <c r="EH24" s="439"/>
      <c r="EI24" s="439"/>
      <c r="EJ24" s="439"/>
      <c r="EK24" s="439"/>
      <c r="EL24" s="439"/>
      <c r="EM24" s="439"/>
      <c r="EN24" s="439"/>
      <c r="EO24" s="439"/>
      <c r="EP24" s="439"/>
      <c r="EQ24" s="439"/>
      <c r="ER24" s="439"/>
      <c r="ES24" s="439"/>
      <c r="ET24" s="439"/>
      <c r="EU24" s="439"/>
      <c r="EV24" s="439"/>
      <c r="EW24" s="439"/>
      <c r="EX24" s="393"/>
      <c r="EY24" s="393"/>
      <c r="EZ24" s="789"/>
      <c r="FA24" s="789"/>
      <c r="FB24" s="789"/>
      <c r="FC24" s="789"/>
      <c r="FD24" s="789"/>
      <c r="FE24" s="382"/>
      <c r="FF24" s="442"/>
      <c r="FG24" s="442"/>
      <c r="FH24" s="442"/>
      <c r="FI24" s="442"/>
      <c r="FJ24" s="442"/>
      <c r="FK24" s="382"/>
      <c r="FL24" s="442"/>
      <c r="FM24" s="442"/>
    </row>
    <row r="25" spans="1:169" s="395" customFormat="1" ht="12.75" customHeight="1" x14ac:dyDescent="0.2">
      <c r="A25" s="1062" t="s">
        <v>825</v>
      </c>
      <c r="B25" s="1214" t="s">
        <v>320</v>
      </c>
      <c r="C25" s="446">
        <v>41121</v>
      </c>
      <c r="D25" s="462">
        <f>LSV!D7</f>
        <v>0</v>
      </c>
      <c r="E25" s="448">
        <f>VLOOKUP(AH$8,ASRS_E8!$A$3:E488,3,FALSE)/1000000</f>
        <v>507.97559615</v>
      </c>
      <c r="F25" s="449">
        <f>AH25</f>
        <v>4.0690299999999997</v>
      </c>
      <c r="G25" s="450">
        <f t="array" ref="G25">IF($AJ25=0,"---",(PRODUCT($AH25:AJ25/100+1)-1)*100)</f>
        <v>3.8587386139236068</v>
      </c>
      <c r="H25" s="450">
        <f t="array" ref="H25">IF($AS25=0,"---",(PRODUCT(AH25:AN25/100+1)-1)*100)</f>
        <v>12.246464229302756</v>
      </c>
      <c r="I25" s="450">
        <f t="array" ref="I25">IF(AS25=0,"---",(GEOMEAN($AH25:AS25/100+1)^12-1)*100)</f>
        <v>20.231613806033131</v>
      </c>
      <c r="J25" s="450">
        <f t="array" ref="J25">IF(BE25=0,"---",(GEOMEAN($AH25:BE25/100+1)^12-1)*100)</f>
        <v>17.361655103960128</v>
      </c>
      <c r="K25" s="450" t="str">
        <f t="array" ref="K25">IF(BQ25=0,"---",(GEOMEAN($AH25:BQ25/100+1)^12-1)*100)</f>
        <v>---</v>
      </c>
      <c r="L25" s="450" t="str">
        <f t="array" ref="L25">IF(CC25=0,"---",(GEOMEAN($AH25:CC25/100+1)^12-1)*100)</f>
        <v>---</v>
      </c>
      <c r="M25" s="450" t="str">
        <f t="array" ref="M25">IF(CO25=0,"---",(GEOMEAN($AH25:CO25/100+1)^12-1)*100)</f>
        <v>---</v>
      </c>
      <c r="N25" s="450" t="str">
        <f t="array" ref="N25">IF(DM25=0,"---",(GEOMEAN($AH25:DM25/100+1)^12-1)*100)</f>
        <v>---</v>
      </c>
      <c r="O25" s="450" t="str">
        <f t="array" ref="O25">IF(EK25=0,"---",(GEOMEAN($AH25:EK25/100+1)^12-1)*100)</f>
        <v>---</v>
      </c>
      <c r="P25" s="450" t="str">
        <f t="array" ref="P25">IF(EW25=0,"---",(GEOMEAN($AH25:EW25/100+1)^12-1)*100)</f>
        <v>---</v>
      </c>
      <c r="Q25" s="451">
        <f t="array" ref="Q25">(GEOMEAN(ASRS_E8!B$448:B471/100+1)^12-1)*100</f>
        <v>15.052760459896541</v>
      </c>
      <c r="R25" s="452">
        <f>IF(F25="---","---",(F25-F$26)*100)</f>
        <v>0.11099999999997223</v>
      </c>
      <c r="S25" s="452">
        <f t="shared" ref="S25:AB25" si="17">IF(G25="---","---",(G25-G$26)*100)</f>
        <v>2.234665197928809</v>
      </c>
      <c r="T25" s="452">
        <f t="shared" si="17"/>
        <v>17.234054464048043</v>
      </c>
      <c r="U25" s="452">
        <f t="shared" si="17"/>
        <v>40.751091752242274</v>
      </c>
      <c r="V25" s="452">
        <f t="shared" si="17"/>
        <v>68.327883735914696</v>
      </c>
      <c r="W25" s="452" t="str">
        <f t="shared" si="17"/>
        <v>---</v>
      </c>
      <c r="X25" s="452" t="str">
        <f t="shared" si="17"/>
        <v>---</v>
      </c>
      <c r="Y25" s="452" t="str">
        <f t="shared" si="17"/>
        <v>---</v>
      </c>
      <c r="Z25" s="452" t="str">
        <f t="shared" si="17"/>
        <v>---</v>
      </c>
      <c r="AA25" s="452" t="str">
        <f t="shared" si="17"/>
        <v>---</v>
      </c>
      <c r="AB25" s="452" t="str">
        <f t="shared" si="17"/>
        <v>---</v>
      </c>
      <c r="AC25" s="453">
        <f>(Q25-AF25)*100</f>
        <v>70.714537223062194</v>
      </c>
      <c r="AD25" s="454"/>
      <c r="AE25" s="437"/>
      <c r="AF25" s="476">
        <f t="array" ref="AF25">(GEOMEAN(Index_Returns!$AR$448:AR471/100+1)^12-1)*100</f>
        <v>14.345615087665919</v>
      </c>
      <c r="AG25" s="418" t="str">
        <f>IF(I25="---","&lt; 1 Year","---")</f>
        <v>---</v>
      </c>
      <c r="AH25" s="439">
        <f>VLOOKUP(AH$8,ASRS_E8!$A$1:$E$488,2,FALSE)</f>
        <v>4.0690299999999997</v>
      </c>
      <c r="AI25" s="439">
        <f>VLOOKUP(AI$8,ASRS_E8!$A$1:$E$488,2,FALSE)</f>
        <v>-1.5140400000000001</v>
      </c>
      <c r="AJ25" s="439">
        <f>VLOOKUP(AJ$8,ASRS_E8!$A$1:$E$488,2,FALSE)</f>
        <v>1.3321400000000001</v>
      </c>
      <c r="AK25" s="439">
        <f>VLOOKUP(AK$8,ASRS_E8!$A$1:$E$488,2,FALSE)</f>
        <v>1.3181700000000001</v>
      </c>
      <c r="AL25" s="439">
        <f>VLOOKUP(AL$8,ASRS_E8!$A$1:$E$488,2,FALSE)</f>
        <v>1.3799300000000001</v>
      </c>
      <c r="AM25" s="439">
        <f>VLOOKUP(AM$8,ASRS_E8!$A$1:$E$488,2,FALSE)</f>
        <v>0.83004999999999995</v>
      </c>
      <c r="AN25" s="439">
        <f>VLOOKUP(AN$8,ASRS_E8!$A$1:$E$488,2,FALSE)</f>
        <v>4.35189</v>
      </c>
      <c r="AO25" s="439">
        <f>VLOOKUP(AO$8,ASRS_E8!$A$1:$E$488,2,FALSE)</f>
        <v>-3.0115799999999999</v>
      </c>
      <c r="AP25" s="439">
        <f>VLOOKUP(AP$8,ASRS_E8!$A$1:$E$488,2,FALSE)</f>
        <v>1.2762500000000001</v>
      </c>
      <c r="AQ25" s="439">
        <f>VLOOKUP(AQ$8,ASRS_E8!$A$1:$E$488,2,FALSE)</f>
        <v>1.53949</v>
      </c>
      <c r="AR25" s="439">
        <f>VLOOKUP(AR$8,ASRS_E8!$A$1:$E$488,2,FALSE)</f>
        <v>4.7090300000000003</v>
      </c>
      <c r="AS25" s="439">
        <f>VLOOKUP(AS$8,ASRS_E8!$A$1:$E$488,2,FALSE)</f>
        <v>2.5650499999999998</v>
      </c>
      <c r="AT25" s="439">
        <f>VLOOKUP(AT$8,ASRS_E8!$A$1:$E$488,2,FALSE)</f>
        <v>-3.2182599999999999</v>
      </c>
      <c r="AU25" s="439">
        <f>VLOOKUP(AU$8,ASRS_E8!$A$1:$E$488,2,FALSE)</f>
        <v>3.6972499999999999</v>
      </c>
      <c r="AV25" s="439">
        <f>VLOOKUP(AV$8,ASRS_E8!$A$1:$E$488,2,FALSE)</f>
        <v>-0.35494999999999999</v>
      </c>
      <c r="AW25" s="439">
        <f>VLOOKUP(AW$8,ASRS_E8!$A$1:$E$488,2,FALSE)</f>
        <v>-2.1468099999999999</v>
      </c>
      <c r="AX25" s="439">
        <f>VLOOKUP(AX$8,ASRS_E8!$A$1:$E$488,2,FALSE)</f>
        <v>2.71814</v>
      </c>
      <c r="AY25" s="439">
        <f>VLOOKUP(AY$8,ASRS_E8!$A$1:$E$488,2,FALSE)</f>
        <v>5.0972099999999996</v>
      </c>
      <c r="AZ25" s="439">
        <f>VLOOKUP(AZ$8,ASRS_E8!$A$1:$E$488,2,FALSE)</f>
        <v>2.6892200000000002</v>
      </c>
      <c r="BA25" s="439">
        <f>VLOOKUP(BA$8,ASRS_E8!$A$1:$E$488,2,FALSE)</f>
        <v>5.1645300000000001</v>
      </c>
      <c r="BB25" s="439">
        <f>VLOOKUP(BB$8,ASRS_E8!$A$1:$E$488,2,FALSE)</f>
        <v>-0.45833000000000002</v>
      </c>
      <c r="BC25" s="439">
        <f>VLOOKUP(BC$8,ASRS_E8!$A$1:$E$488,2,FALSE)</f>
        <v>0.28488000000000002</v>
      </c>
      <c r="BD25" s="439">
        <f>VLOOKUP(BD$8,ASRS_E8!$A$1:$E$488,2,FALSE)</f>
        <v>-0.98678999999999994</v>
      </c>
      <c r="BE25" s="439">
        <f>VLOOKUP(BE$8,ASRS_E8!$A$1:$E$488,2,FALSE)</f>
        <v>1.59595</v>
      </c>
      <c r="BF25" s="439">
        <f>VLOOKUP(BF$8,ASRS_E8!$A$1:$E$488,2,FALSE)</f>
        <v>1.4540000000000001E-2</v>
      </c>
      <c r="BG25" s="439">
        <f>VLOOKUP(BG$8,ASRS_E8!$A$1:$E$488,2,FALSE)</f>
        <v>0</v>
      </c>
      <c r="BH25" s="439">
        <f>VLOOKUP(BH$8,ASRS_E8!$A$1:$E$488,2,FALSE)</f>
        <v>0</v>
      </c>
      <c r="BI25" s="439">
        <f>VLOOKUP(BI$8,ASRS_E8!$A$1:$E$488,2,FALSE)</f>
        <v>0</v>
      </c>
      <c r="BJ25" s="439">
        <f>VLOOKUP(BJ$8,ASRS_E8!$A$1:$E$488,2,FALSE)</f>
        <v>0</v>
      </c>
      <c r="BK25" s="439">
        <f>VLOOKUP(BK$8,ASRS_E8!$A$1:$E$488,2,FALSE)</f>
        <v>0</v>
      </c>
      <c r="BL25" s="439">
        <f>VLOOKUP(BL$8,ASRS_E8!$A$1:$E$488,2,FALSE)</f>
        <v>0</v>
      </c>
      <c r="BM25" s="439">
        <f>VLOOKUP(BM$8,ASRS_E8!$A$1:$E$488,2,FALSE)</f>
        <v>0</v>
      </c>
      <c r="BN25" s="439">
        <f>VLOOKUP(BN$8,ASRS_E8!$A$1:$E$488,2,FALSE)</f>
        <v>0</v>
      </c>
      <c r="BO25" s="439">
        <f>VLOOKUP(BO$8,ASRS_E8!$A$1:$E$488,2,FALSE)</f>
        <v>0</v>
      </c>
      <c r="BP25" s="439">
        <f>VLOOKUP(BP$8,ASRS_E8!$A$1:$E$488,2,FALSE)</f>
        <v>0</v>
      </c>
      <c r="BQ25" s="439">
        <f>VLOOKUP(BQ$8,ASRS_E8!$A$1:$E$488,2,FALSE)</f>
        <v>0</v>
      </c>
      <c r="BR25" s="439">
        <f>VLOOKUP(BR$8,ASRS_E8!$A$1:$E$488,2,FALSE)</f>
        <v>0</v>
      </c>
      <c r="BS25" s="439">
        <f>VLOOKUP(BS$8,ASRS_E8!$A$1:$E$488,2,FALSE)</f>
        <v>0</v>
      </c>
      <c r="BT25" s="439">
        <f>VLOOKUP(BT$8,ASRS_E8!$A$1:$E$488,2,FALSE)</f>
        <v>0</v>
      </c>
      <c r="BU25" s="439">
        <f>VLOOKUP(BU$8,ASRS_E8!$A$1:$E$488,2,FALSE)</f>
        <v>0</v>
      </c>
      <c r="BV25" s="439">
        <f>VLOOKUP(BV$8,ASRS_E8!$A$1:$E$488,2,FALSE)</f>
        <v>0</v>
      </c>
      <c r="BW25" s="439">
        <f>VLOOKUP(BW$8,ASRS_E8!$A$1:$E$488,2,FALSE)</f>
        <v>0</v>
      </c>
      <c r="BX25" s="439">
        <f>VLOOKUP(BX$8,ASRS_E8!$A$1:$E$488,2,FALSE)</f>
        <v>0</v>
      </c>
      <c r="BY25" s="439">
        <f>VLOOKUP(BY$8,ASRS_E8!$A$1:$E$488,2,FALSE)</f>
        <v>0</v>
      </c>
      <c r="BZ25" s="439">
        <f>VLOOKUP(BZ$8,ASRS_E8!$A$1:$E$488,2,FALSE)</f>
        <v>0</v>
      </c>
      <c r="CA25" s="439">
        <f>VLOOKUP(CA$8,ASRS_E8!$A$1:$E$488,2,FALSE)</f>
        <v>0</v>
      </c>
      <c r="CB25" s="439">
        <f>VLOOKUP(CB$8,ASRS_E8!$A$1:$E$488,2,FALSE)</f>
        <v>0</v>
      </c>
      <c r="CC25" s="439">
        <f>VLOOKUP(CC$8,ASRS_E8!$A$1:$E$488,2,FALSE)</f>
        <v>0</v>
      </c>
      <c r="CD25" s="439">
        <f>VLOOKUP(CD$8,ASRS_E8!$A$1:$E$488,2,FALSE)</f>
        <v>0</v>
      </c>
      <c r="CE25" s="439">
        <f>VLOOKUP(CE$8,ASRS_E8!$A$1:$E$488,2,FALSE)</f>
        <v>0</v>
      </c>
      <c r="CF25" s="439">
        <f>VLOOKUP(CF$8,ASRS_E8!$A$1:$E$488,2,FALSE)</f>
        <v>0</v>
      </c>
      <c r="CG25" s="439">
        <f>VLOOKUP(CG$8,ASRS_E8!$A$1:$E$488,2,FALSE)</f>
        <v>0</v>
      </c>
      <c r="CH25" s="439">
        <f>VLOOKUP(CH$8,ASRS_E8!$A$1:$E$488,2,FALSE)</f>
        <v>0</v>
      </c>
      <c r="CI25" s="439">
        <f>VLOOKUP(CI$8,ASRS_E8!$A$1:$E$488,2,FALSE)</f>
        <v>0</v>
      </c>
      <c r="CJ25" s="439">
        <f>VLOOKUP(CJ$8,ASRS_E8!$A$1:$E$488,2,FALSE)</f>
        <v>0</v>
      </c>
      <c r="CK25" s="439">
        <f>VLOOKUP(CK$8,ASRS_E8!$A$1:$E$488,2,FALSE)</f>
        <v>0</v>
      </c>
      <c r="CL25" s="439">
        <f>VLOOKUP(CL$8,ASRS_E8!$A$1:$E$488,2,FALSE)</f>
        <v>0</v>
      </c>
      <c r="CM25" s="439">
        <f>VLOOKUP(CM$8,ASRS_E8!$A$1:$E$488,2,FALSE)</f>
        <v>0</v>
      </c>
      <c r="CN25" s="439">
        <f>VLOOKUP(CN$8,ASRS_E8!$A$1:$E$488,2,FALSE)</f>
        <v>0</v>
      </c>
      <c r="CO25" s="439">
        <f>VLOOKUP(CO$8,ASRS_E8!$A$1:$E$488,2,FALSE)</f>
        <v>0</v>
      </c>
      <c r="CP25" s="439">
        <f>VLOOKUP(CP$8,ASRS_E8!$A$1:$E$488,2,FALSE)</f>
        <v>0</v>
      </c>
      <c r="CQ25" s="439">
        <f>VLOOKUP(CQ$8,ASRS_E8!$A$1:$E$488,2,FALSE)</f>
        <v>0</v>
      </c>
      <c r="CR25" s="439">
        <f>VLOOKUP(CR$8,ASRS_E8!$A$1:$E$488,2,FALSE)</f>
        <v>0</v>
      </c>
      <c r="CS25" s="439">
        <f>VLOOKUP(CS$8,ASRS_E8!$A$1:$E$488,2,FALSE)</f>
        <v>0</v>
      </c>
      <c r="CT25" s="439">
        <f>VLOOKUP(CT$8,ASRS_E8!$A$1:$E$488,2,FALSE)</f>
        <v>0</v>
      </c>
      <c r="CU25" s="439">
        <f>VLOOKUP(CU$8,ASRS_E8!$A$1:$E$488,2,FALSE)</f>
        <v>0</v>
      </c>
      <c r="CV25" s="439">
        <f>VLOOKUP(CV$8,ASRS_E8!$A$1:$E$488,2,FALSE)</f>
        <v>0</v>
      </c>
      <c r="CW25" s="439">
        <f>VLOOKUP(CW$8,ASRS_E8!$A$1:$E$488,2,FALSE)</f>
        <v>0</v>
      </c>
      <c r="CX25" s="439">
        <f>VLOOKUP(CX$8,ASRS_E8!$A$1:$E$488,2,FALSE)</f>
        <v>0</v>
      </c>
      <c r="CY25" s="439">
        <f>VLOOKUP(CY$8,ASRS_E8!$A$1:$E$488,2,FALSE)</f>
        <v>0</v>
      </c>
      <c r="CZ25" s="439">
        <f>VLOOKUP(CZ$8,ASRS_E8!$A$1:$E$488,2,FALSE)</f>
        <v>0</v>
      </c>
      <c r="DA25" s="439">
        <f>VLOOKUP(DA$8,ASRS_E8!$A$1:$E$488,2,FALSE)</f>
        <v>0</v>
      </c>
      <c r="DB25" s="439">
        <f>VLOOKUP(DB$8,ASRS_E8!$A$1:$E$488,2,FALSE)</f>
        <v>0</v>
      </c>
      <c r="DC25" s="439">
        <f>VLOOKUP(DC$8,ASRS_E8!$A$1:$E$488,2,FALSE)</f>
        <v>0</v>
      </c>
      <c r="DD25" s="439">
        <f>VLOOKUP(DD$8,ASRS_E8!$A$1:$E$488,2,FALSE)</f>
        <v>0</v>
      </c>
      <c r="DE25" s="439">
        <f>VLOOKUP(DE$8,ASRS_E8!$A$1:$E$488,2,FALSE)</f>
        <v>0</v>
      </c>
      <c r="DF25" s="439">
        <f>VLOOKUP(DF$8,ASRS_E8!$A$1:$E$488,2,FALSE)</f>
        <v>0</v>
      </c>
      <c r="DG25" s="439">
        <f>VLOOKUP(DG$8,ASRS_E8!$A$1:$E$488,2,FALSE)</f>
        <v>0</v>
      </c>
      <c r="DH25" s="439">
        <f>VLOOKUP(DH$8,ASRS_E8!$A$1:$E$488,2,FALSE)</f>
        <v>0</v>
      </c>
      <c r="DI25" s="439">
        <f>VLOOKUP(DI$8,ASRS_E8!$A$1:$E$488,2,FALSE)</f>
        <v>0</v>
      </c>
      <c r="DJ25" s="439">
        <f>VLOOKUP(DJ$8,ASRS_E8!$A$1:$E$488,2,FALSE)</f>
        <v>0</v>
      </c>
      <c r="DK25" s="439">
        <f>VLOOKUP(DK$8,ASRS_E8!$A$1:$E$488,2,FALSE)</f>
        <v>0</v>
      </c>
      <c r="DL25" s="439">
        <f>VLOOKUP(DL$8,ASRS_E8!$A$1:$E$488,2,FALSE)</f>
        <v>0</v>
      </c>
      <c r="DM25" s="439">
        <f>VLOOKUP(DM$8,ASRS_E8!$A$1:$E$488,2,FALSE)</f>
        <v>0</v>
      </c>
      <c r="DN25" s="439">
        <f>VLOOKUP(DN$8,ASRS_E8!$A$1:$E$488,2,FALSE)</f>
        <v>0</v>
      </c>
      <c r="DO25" s="439">
        <f>VLOOKUP(DO$8,ASRS_E8!$A$1:$E$488,2,FALSE)</f>
        <v>0</v>
      </c>
      <c r="DP25" s="439">
        <f>VLOOKUP(DP$8,ASRS_E8!$A$1:$E$488,2,FALSE)</f>
        <v>0</v>
      </c>
      <c r="DQ25" s="439">
        <f>VLOOKUP(DQ$8,ASRS_E8!$A$1:$E$488,2,FALSE)</f>
        <v>0</v>
      </c>
      <c r="DR25" s="439">
        <f>VLOOKUP(DR$8,ASRS_E8!$A$1:$E$488,2,FALSE)</f>
        <v>0</v>
      </c>
      <c r="DS25" s="439">
        <f>VLOOKUP(DS$8,ASRS_E8!$A$1:$E$488,2,FALSE)</f>
        <v>0</v>
      </c>
      <c r="DT25" s="439">
        <f>VLOOKUP(DT$8,ASRS_E8!$A$1:$E$488,2,FALSE)</f>
        <v>0</v>
      </c>
      <c r="DU25" s="439">
        <f>VLOOKUP(DU$8,ASRS_E8!$A$1:$E$488,2,FALSE)</f>
        <v>0</v>
      </c>
      <c r="DV25" s="439">
        <f>VLOOKUP(DV$8,ASRS_E8!$A$1:$E$488,2,FALSE)</f>
        <v>0</v>
      </c>
      <c r="DW25" s="439">
        <f>VLOOKUP(DW$8,ASRS_E8!$A$1:$E$488,2,FALSE)</f>
        <v>0</v>
      </c>
      <c r="DX25" s="439">
        <f>VLOOKUP(DX$8,ASRS_E8!$A$1:$E$488,2,FALSE)</f>
        <v>0</v>
      </c>
      <c r="DY25" s="439">
        <f>VLOOKUP(DY$8,ASRS_E8!$A$1:$E$488,2,FALSE)</f>
        <v>0</v>
      </c>
      <c r="DZ25" s="439">
        <f>VLOOKUP(DZ$8,ASRS_E8!$A$1:$E$488,2,FALSE)</f>
        <v>0</v>
      </c>
      <c r="EA25" s="439">
        <f>VLOOKUP(EA$8,ASRS_E8!$A$1:$E$488,2,FALSE)</f>
        <v>0</v>
      </c>
      <c r="EB25" s="439">
        <f>VLOOKUP(EB$8,ASRS_E8!$A$1:$E$488,2,FALSE)</f>
        <v>0</v>
      </c>
      <c r="EC25" s="439">
        <f>VLOOKUP(EC$8,ASRS_E8!$A$1:$E$488,2,FALSE)</f>
        <v>0</v>
      </c>
      <c r="ED25" s="439">
        <f>VLOOKUP(ED$8,ASRS_E8!$A$1:$E$488,2,FALSE)</f>
        <v>0</v>
      </c>
      <c r="EE25" s="439">
        <f>VLOOKUP(EE$8,ASRS_E8!$A$1:$E$488,2,FALSE)</f>
        <v>0</v>
      </c>
      <c r="EF25" s="439">
        <f>VLOOKUP(EF$8,ASRS_E8!$A$1:$E$488,2,FALSE)</f>
        <v>0</v>
      </c>
      <c r="EG25" s="439">
        <f>VLOOKUP(EG$8,ASRS_E8!$A$1:$E$488,2,FALSE)</f>
        <v>0</v>
      </c>
      <c r="EH25" s="439">
        <f>VLOOKUP(EH$8,ASRS_E8!$A$1:$E$488,2,FALSE)</f>
        <v>0</v>
      </c>
      <c r="EI25" s="439">
        <f>VLOOKUP(EI$8,ASRS_E8!$A$1:$E$488,2,FALSE)</f>
        <v>0</v>
      </c>
      <c r="EJ25" s="439">
        <f>VLOOKUP(EJ$8,ASRS_E8!$A$1:$E$488,2,FALSE)</f>
        <v>0</v>
      </c>
      <c r="EK25" s="439">
        <f>VLOOKUP(EK$8,ASRS_E8!$A$1:$E$488,2,FALSE)</f>
        <v>0</v>
      </c>
      <c r="EL25" s="439">
        <f>VLOOKUP(EL$8,ASRS_E8!$A$1:$E$488,2,FALSE)</f>
        <v>0</v>
      </c>
      <c r="EM25" s="439">
        <f>VLOOKUP(EM$8,ASRS_E8!$A$1:$E$488,2,FALSE)</f>
        <v>0</v>
      </c>
      <c r="EN25" s="439">
        <f>VLOOKUP(EN$8,ASRS_E8!$A$1:$E$488,2,FALSE)</f>
        <v>0</v>
      </c>
      <c r="EO25" s="439">
        <f>VLOOKUP(EO$8,ASRS_E8!$A$1:$E$488,2,FALSE)</f>
        <v>0</v>
      </c>
      <c r="EP25" s="439">
        <f>VLOOKUP(EP$8,ASRS_E8!$A$1:$E$488,2,FALSE)</f>
        <v>0</v>
      </c>
      <c r="EQ25" s="439">
        <f>VLOOKUP(EQ$8,ASRS_E8!$A$1:$E$488,2,FALSE)</f>
        <v>0</v>
      </c>
      <c r="ER25" s="439">
        <f>VLOOKUP(ER$8,ASRS_E8!$A$1:$E$488,2,FALSE)</f>
        <v>0</v>
      </c>
      <c r="ES25" s="439">
        <f>VLOOKUP(ES$8,ASRS_E8!$A$1:$E$488,2,FALSE)</f>
        <v>0</v>
      </c>
      <c r="ET25" s="439">
        <f>VLOOKUP(ET$8,ASRS_E8!$A$1:$E$488,2,FALSE)</f>
        <v>0</v>
      </c>
      <c r="EU25" s="439">
        <f>VLOOKUP(EU$8,ASRS_E8!$A$1:$E$488,2,FALSE)</f>
        <v>0</v>
      </c>
      <c r="EV25" s="439">
        <f>VLOOKUP(EV$8,ASRS_E8!$A$1:$E$488,2,FALSE)</f>
        <v>0</v>
      </c>
      <c r="EW25" s="439">
        <f>VLOOKUP(EW$8,ASRS_E8!$A$1:$E$488,2,FALSE)</f>
        <v>0</v>
      </c>
      <c r="EX25" s="393" t="s">
        <v>827</v>
      </c>
      <c r="EY25" s="1066" t="s">
        <v>462</v>
      </c>
      <c r="EZ25" s="789">
        <f>VLOOKUP($EY25,'NEPC data'!$B17:$M204,5,TRUE)*100</f>
        <v>-14.206265110799986</v>
      </c>
      <c r="FA25" s="789">
        <f>VLOOKUP($EY25,'NEPC data'!$B17:$M204,7,TRUE)*100</f>
        <v>-42.695173782464259</v>
      </c>
      <c r="FB25" s="789">
        <f>VLOOKUP($EY25,'NEPC data'!$B17:$M204,9,TRUE)*100</f>
        <v>-15.803333915110684</v>
      </c>
      <c r="FC25" s="789">
        <f>VLOOKUP($EY25,'NEPC data'!$B17:$M204,10,TRUE)*100</f>
        <v>-4.3896399416996523</v>
      </c>
      <c r="FD25" s="789">
        <f>VLOOKUP($EY25,'NEPC data'!$B17:$M204,11,TRUE)*100</f>
        <v>0</v>
      </c>
      <c r="FE25" s="382"/>
      <c r="FF25" s="441" t="e">
        <f>IF(G33="---","-",ABS(EZ33-G33))</f>
        <v>#N/A</v>
      </c>
      <c r="FG25" s="441" t="e">
        <f>IF(I33="---","-",ABS(FA33-I33))</f>
        <v>#N/A</v>
      </c>
      <c r="FH25" s="441" t="e">
        <f>IF(K33="---","-",ABS(FB33-K33))</f>
        <v>#N/A</v>
      </c>
      <c r="FI25" s="441" t="e">
        <f>IF(M33="---","-",ABS(FC33-M33))</f>
        <v>#N/A</v>
      </c>
      <c r="FJ25" s="441" t="str">
        <f>IF(Q33="---","-",ABS(FD33-Q33))</f>
        <v>-</v>
      </c>
      <c r="FK25" s="382"/>
      <c r="FL25" s="442">
        <f>AF25</f>
        <v>14.345615087665919</v>
      </c>
      <c r="FM25" s="442">
        <f>ABS(FL33-AF33)</f>
        <v>0</v>
      </c>
    </row>
    <row r="26" spans="1:169" s="1028" customFormat="1" ht="12.75" customHeight="1" x14ac:dyDescent="0.2">
      <c r="A26" s="1232" t="s">
        <v>829</v>
      </c>
      <c r="B26" s="1024"/>
      <c r="C26" s="1235"/>
      <c r="D26" s="1218"/>
      <c r="E26" s="1237"/>
      <c r="F26" s="1220">
        <f>AH26</f>
        <v>4.06792</v>
      </c>
      <c r="G26" s="432">
        <f t="array" ref="G26">IF($AJ26=0,"---",(PRODUCT($AH26:AJ26/100+1)-1)*100)</f>
        <v>3.8363919619443188</v>
      </c>
      <c r="H26" s="432">
        <f t="array" ref="H26">IF($AS26=0,"---",(PRODUCT(AH26:AN26/100+1)-1)*100)</f>
        <v>12.074123684662275</v>
      </c>
      <c r="I26" s="1023">
        <f t="array" ref="I26">IF(AS26=0,"---",(GEOMEAN($AH26:AS26/100+1)^12-1)*100)</f>
        <v>19.824102888510708</v>
      </c>
      <c r="J26" s="1023">
        <f t="array" ref="J26">IF(BE26=0,"---",(GEOMEAN($AH26:BE26/100+1)^12-1)*100)</f>
        <v>16.678376266600981</v>
      </c>
      <c r="K26" s="1023" t="str">
        <f t="array" ref="K26">IF(BQ26=0,"---",(GEOMEAN($AH26:BQ26/100+1)^12-1)*100)</f>
        <v>---</v>
      </c>
      <c r="L26" s="1023" t="str">
        <f t="array" ref="L26">IF(CC26=0,"---",(GEOMEAN($AH26:CC26/100+1)^12-1)*100)</f>
        <v>---</v>
      </c>
      <c r="M26" s="1023" t="str">
        <f t="array" ref="M26">IF(CO26=0,"---",(GEOMEAN($AH26:CO26/100+1)^12-1)*100)</f>
        <v>---</v>
      </c>
      <c r="N26" s="1023" t="str">
        <f t="array" ref="N26">IF(DM26=0,"---",(GEOMEAN($AH26:DM26/100+1)^12-1)*100)</f>
        <v>---</v>
      </c>
      <c r="O26" s="1023" t="str">
        <f t="array" ref="O26">IF(EK26=0,"---",(GEOMEAN($AH26:EK26/100+1)^12-1)*100)</f>
        <v>---</v>
      </c>
      <c r="P26" s="1023" t="str">
        <f t="array" ref="P26">IF(EW26=0,"---",(GEOMEAN($AH26:EW26/100+1)^12-1)*100)</f>
        <v>---</v>
      </c>
      <c r="Q26" s="1238" t="s">
        <v>34</v>
      </c>
      <c r="R26" s="1218"/>
      <c r="S26" s="1218"/>
      <c r="T26" s="1218"/>
      <c r="U26" s="1218"/>
      <c r="V26" s="1218"/>
      <c r="W26" s="1218"/>
      <c r="X26" s="1218"/>
      <c r="Y26" s="1218"/>
      <c r="Z26" s="1218"/>
      <c r="AA26" s="1218"/>
      <c r="AB26" s="1218"/>
      <c r="AC26" s="1222"/>
      <c r="AD26" s="1233"/>
      <c r="AE26" s="363"/>
      <c r="AF26" s="467"/>
      <c r="AG26" s="418"/>
      <c r="AH26" s="1025">
        <f t="shared" ref="AH26:BM26" si="18">VLOOKUP(AH$8,Index,44,FALSE)</f>
        <v>4.06792</v>
      </c>
      <c r="AI26" s="1025">
        <f t="shared" si="18"/>
        <v>-1.5151699999999999</v>
      </c>
      <c r="AJ26" s="1025">
        <f t="shared" si="18"/>
        <v>1.3125800000000001</v>
      </c>
      <c r="AK26" s="1025">
        <f t="shared" si="18"/>
        <v>1.15802</v>
      </c>
      <c r="AL26" s="1025">
        <f t="shared" si="18"/>
        <v>1.39499</v>
      </c>
      <c r="AM26" s="1025">
        <f t="shared" si="18"/>
        <v>0.83030000000000004</v>
      </c>
      <c r="AN26" s="1025">
        <f t="shared" si="18"/>
        <v>4.3633199999999999</v>
      </c>
      <c r="AO26" s="1025">
        <f t="shared" si="18"/>
        <v>-3.0002499999999999</v>
      </c>
      <c r="AP26" s="1025">
        <f t="shared" si="18"/>
        <v>1.2575400000000001</v>
      </c>
      <c r="AQ26" s="1025">
        <f t="shared" si="18"/>
        <v>1.3397399999999999</v>
      </c>
      <c r="AR26" s="1025">
        <f t="shared" si="18"/>
        <v>4.7255900000000004</v>
      </c>
      <c r="AS26" s="1025">
        <f t="shared" si="18"/>
        <v>2.5671400000000002</v>
      </c>
      <c r="AT26" s="1025">
        <f t="shared" si="18"/>
        <v>-3.2242600000000001</v>
      </c>
      <c r="AU26" s="1025">
        <f t="shared" si="18"/>
        <v>3.6480800000000002</v>
      </c>
      <c r="AV26" s="1025">
        <f t="shared" si="18"/>
        <v>-0.32579999999999998</v>
      </c>
      <c r="AW26" s="1025">
        <f t="shared" si="18"/>
        <v>-2.4409900000000002</v>
      </c>
      <c r="AX26" s="1025">
        <f t="shared" si="18"/>
        <v>2.73516</v>
      </c>
      <c r="AY26" s="1025">
        <f t="shared" si="18"/>
        <v>5.1235499999999998</v>
      </c>
      <c r="AZ26" s="1025">
        <f t="shared" si="18"/>
        <v>2.7071800000000001</v>
      </c>
      <c r="BA26" s="1025">
        <f t="shared" si="18"/>
        <v>5.09314</v>
      </c>
      <c r="BB26" s="1025">
        <f t="shared" si="18"/>
        <v>-0.81291999999999998</v>
      </c>
      <c r="BC26" s="1025">
        <f t="shared" si="18"/>
        <v>0.19450999999999999</v>
      </c>
      <c r="BD26" s="1025">
        <f t="shared" si="18"/>
        <v>-0.98357000000000006</v>
      </c>
      <c r="BE26" s="1025">
        <f t="shared" si="18"/>
        <v>1.5448900000000001</v>
      </c>
      <c r="BF26" s="1025">
        <f t="shared" si="18"/>
        <v>-5.176E-2</v>
      </c>
      <c r="BG26" s="1025">
        <f t="shared" si="18"/>
        <v>0</v>
      </c>
      <c r="BH26" s="1025">
        <f t="shared" si="18"/>
        <v>0</v>
      </c>
      <c r="BI26" s="1025">
        <f t="shared" si="18"/>
        <v>0</v>
      </c>
      <c r="BJ26" s="1025">
        <f t="shared" si="18"/>
        <v>0</v>
      </c>
      <c r="BK26" s="1025">
        <f t="shared" si="18"/>
        <v>0</v>
      </c>
      <c r="BL26" s="1025">
        <f t="shared" si="18"/>
        <v>0</v>
      </c>
      <c r="BM26" s="1025">
        <f t="shared" si="18"/>
        <v>0</v>
      </c>
      <c r="BN26" s="1025">
        <f t="shared" ref="BN26:CS26" si="19">VLOOKUP(BN$8,Index,44,FALSE)</f>
        <v>0</v>
      </c>
      <c r="BO26" s="1025">
        <f t="shared" si="19"/>
        <v>0</v>
      </c>
      <c r="BP26" s="1025">
        <f t="shared" si="19"/>
        <v>0</v>
      </c>
      <c r="BQ26" s="1025">
        <f t="shared" si="19"/>
        <v>0</v>
      </c>
      <c r="BR26" s="1025">
        <f t="shared" si="19"/>
        <v>0</v>
      </c>
      <c r="BS26" s="1025">
        <f t="shared" si="19"/>
        <v>0</v>
      </c>
      <c r="BT26" s="1025">
        <f t="shared" si="19"/>
        <v>0</v>
      </c>
      <c r="BU26" s="1025">
        <f t="shared" si="19"/>
        <v>0</v>
      </c>
      <c r="BV26" s="1025">
        <f t="shared" si="19"/>
        <v>0</v>
      </c>
      <c r="BW26" s="1025">
        <f t="shared" si="19"/>
        <v>0</v>
      </c>
      <c r="BX26" s="1025">
        <f t="shared" si="19"/>
        <v>0</v>
      </c>
      <c r="BY26" s="1025">
        <f t="shared" si="19"/>
        <v>0</v>
      </c>
      <c r="BZ26" s="1025">
        <f t="shared" si="19"/>
        <v>0</v>
      </c>
      <c r="CA26" s="1025">
        <f t="shared" si="19"/>
        <v>0</v>
      </c>
      <c r="CB26" s="1025">
        <f t="shared" si="19"/>
        <v>0</v>
      </c>
      <c r="CC26" s="1025">
        <f t="shared" si="19"/>
        <v>0</v>
      </c>
      <c r="CD26" s="1025">
        <f t="shared" si="19"/>
        <v>0</v>
      </c>
      <c r="CE26" s="1025">
        <f t="shared" si="19"/>
        <v>0</v>
      </c>
      <c r="CF26" s="1025">
        <f t="shared" si="19"/>
        <v>0</v>
      </c>
      <c r="CG26" s="1025">
        <f t="shared" si="19"/>
        <v>0</v>
      </c>
      <c r="CH26" s="1025">
        <f t="shared" si="19"/>
        <v>0</v>
      </c>
      <c r="CI26" s="1025">
        <f t="shared" si="19"/>
        <v>0</v>
      </c>
      <c r="CJ26" s="1025">
        <f t="shared" si="19"/>
        <v>0</v>
      </c>
      <c r="CK26" s="1025">
        <f t="shared" si="19"/>
        <v>0</v>
      </c>
      <c r="CL26" s="1025">
        <f t="shared" si="19"/>
        <v>0</v>
      </c>
      <c r="CM26" s="1025">
        <f t="shared" si="19"/>
        <v>0</v>
      </c>
      <c r="CN26" s="1025">
        <f t="shared" si="19"/>
        <v>0</v>
      </c>
      <c r="CO26" s="1025">
        <f t="shared" si="19"/>
        <v>0</v>
      </c>
      <c r="CP26" s="1025">
        <f t="shared" si="19"/>
        <v>0</v>
      </c>
      <c r="CQ26" s="1025">
        <f t="shared" si="19"/>
        <v>0</v>
      </c>
      <c r="CR26" s="1025">
        <f t="shared" si="19"/>
        <v>0</v>
      </c>
      <c r="CS26" s="1025">
        <f t="shared" si="19"/>
        <v>0</v>
      </c>
      <c r="CT26" s="1025">
        <f t="shared" ref="CT26:DY26" si="20">VLOOKUP(CT$8,Index,44,FALSE)</f>
        <v>0</v>
      </c>
      <c r="CU26" s="1025">
        <f t="shared" si="20"/>
        <v>0</v>
      </c>
      <c r="CV26" s="1025">
        <f t="shared" si="20"/>
        <v>0</v>
      </c>
      <c r="CW26" s="1025">
        <f t="shared" si="20"/>
        <v>0</v>
      </c>
      <c r="CX26" s="1025">
        <f t="shared" si="20"/>
        <v>0</v>
      </c>
      <c r="CY26" s="1025">
        <f t="shared" si="20"/>
        <v>0</v>
      </c>
      <c r="CZ26" s="1025">
        <f t="shared" si="20"/>
        <v>0</v>
      </c>
      <c r="DA26" s="1025">
        <f t="shared" si="20"/>
        <v>0</v>
      </c>
      <c r="DB26" s="1025">
        <f t="shared" si="20"/>
        <v>0</v>
      </c>
      <c r="DC26" s="1025">
        <f t="shared" si="20"/>
        <v>0</v>
      </c>
      <c r="DD26" s="1025">
        <f t="shared" si="20"/>
        <v>0</v>
      </c>
      <c r="DE26" s="1025">
        <f t="shared" si="20"/>
        <v>0</v>
      </c>
      <c r="DF26" s="1025">
        <f t="shared" si="20"/>
        <v>0</v>
      </c>
      <c r="DG26" s="1025">
        <f t="shared" si="20"/>
        <v>0</v>
      </c>
      <c r="DH26" s="1025">
        <f t="shared" si="20"/>
        <v>0</v>
      </c>
      <c r="DI26" s="1025">
        <f t="shared" si="20"/>
        <v>0</v>
      </c>
      <c r="DJ26" s="1025">
        <f t="shared" si="20"/>
        <v>0</v>
      </c>
      <c r="DK26" s="1025">
        <f t="shared" si="20"/>
        <v>0</v>
      </c>
      <c r="DL26" s="1025">
        <f t="shared" si="20"/>
        <v>0</v>
      </c>
      <c r="DM26" s="1025">
        <f t="shared" si="20"/>
        <v>0</v>
      </c>
      <c r="DN26" s="1025">
        <f t="shared" si="20"/>
        <v>0</v>
      </c>
      <c r="DO26" s="1025">
        <f t="shared" si="20"/>
        <v>0</v>
      </c>
      <c r="DP26" s="1025">
        <f t="shared" si="20"/>
        <v>0</v>
      </c>
      <c r="DQ26" s="1025">
        <f t="shared" si="20"/>
        <v>0</v>
      </c>
      <c r="DR26" s="1025">
        <f t="shared" si="20"/>
        <v>0</v>
      </c>
      <c r="DS26" s="1025">
        <f t="shared" si="20"/>
        <v>0</v>
      </c>
      <c r="DT26" s="1025">
        <f t="shared" si="20"/>
        <v>0</v>
      </c>
      <c r="DU26" s="1025">
        <f t="shared" si="20"/>
        <v>0</v>
      </c>
      <c r="DV26" s="1025">
        <f t="shared" si="20"/>
        <v>0</v>
      </c>
      <c r="DW26" s="1025">
        <f t="shared" si="20"/>
        <v>0</v>
      </c>
      <c r="DX26" s="1025">
        <f t="shared" si="20"/>
        <v>0</v>
      </c>
      <c r="DY26" s="1025">
        <f t="shared" si="20"/>
        <v>0</v>
      </c>
      <c r="DZ26" s="1025">
        <f t="shared" ref="DZ26:EW26" si="21">VLOOKUP(DZ$8,Index,44,FALSE)</f>
        <v>0</v>
      </c>
      <c r="EA26" s="1025">
        <f t="shared" si="21"/>
        <v>0</v>
      </c>
      <c r="EB26" s="1025">
        <f t="shared" si="21"/>
        <v>0</v>
      </c>
      <c r="EC26" s="1025">
        <f t="shared" si="21"/>
        <v>0</v>
      </c>
      <c r="ED26" s="1025">
        <f t="shared" si="21"/>
        <v>0</v>
      </c>
      <c r="EE26" s="1025">
        <f t="shared" si="21"/>
        <v>0</v>
      </c>
      <c r="EF26" s="1025">
        <f t="shared" si="21"/>
        <v>0</v>
      </c>
      <c r="EG26" s="1025">
        <f t="shared" si="21"/>
        <v>0</v>
      </c>
      <c r="EH26" s="1025">
        <f t="shared" si="21"/>
        <v>0</v>
      </c>
      <c r="EI26" s="1025">
        <f t="shared" si="21"/>
        <v>0</v>
      </c>
      <c r="EJ26" s="1025">
        <f t="shared" si="21"/>
        <v>0</v>
      </c>
      <c r="EK26" s="1025">
        <f t="shared" si="21"/>
        <v>0</v>
      </c>
      <c r="EL26" s="1025">
        <f t="shared" si="21"/>
        <v>0</v>
      </c>
      <c r="EM26" s="1025">
        <f t="shared" si="21"/>
        <v>0</v>
      </c>
      <c r="EN26" s="1025">
        <f t="shared" si="21"/>
        <v>0</v>
      </c>
      <c r="EO26" s="1025">
        <f t="shared" si="21"/>
        <v>0</v>
      </c>
      <c r="EP26" s="1025">
        <f t="shared" si="21"/>
        <v>0</v>
      </c>
      <c r="EQ26" s="1025">
        <f t="shared" si="21"/>
        <v>0</v>
      </c>
      <c r="ER26" s="1025">
        <f t="shared" si="21"/>
        <v>0</v>
      </c>
      <c r="ES26" s="1025">
        <f t="shared" si="21"/>
        <v>0</v>
      </c>
      <c r="ET26" s="1025">
        <f t="shared" si="21"/>
        <v>0</v>
      </c>
      <c r="EU26" s="1025">
        <f t="shared" si="21"/>
        <v>0</v>
      </c>
      <c r="EV26" s="1025">
        <f t="shared" si="21"/>
        <v>0</v>
      </c>
      <c r="EW26" s="1025">
        <f t="shared" si="21"/>
        <v>0</v>
      </c>
      <c r="EX26" s="1230"/>
      <c r="EY26" s="1230"/>
      <c r="EZ26" s="789"/>
      <c r="FA26" s="789"/>
      <c r="FB26" s="789"/>
      <c r="FC26" s="789"/>
      <c r="FD26" s="789"/>
      <c r="FE26" s="1024"/>
      <c r="FF26" s="1027"/>
      <c r="FG26" s="1027"/>
      <c r="FH26" s="1027"/>
      <c r="FI26" s="1027"/>
      <c r="FJ26" s="1027"/>
      <c r="FK26" s="1024"/>
      <c r="FL26" s="1027"/>
      <c r="FM26" s="1027"/>
    </row>
    <row r="27" spans="1:169" s="395" customFormat="1" ht="12.75" customHeight="1" x14ac:dyDescent="0.2">
      <c r="A27" s="456"/>
      <c r="B27" s="418"/>
      <c r="C27" s="414"/>
      <c r="D27" s="249"/>
      <c r="E27" s="457"/>
      <c r="F27" s="431"/>
      <c r="G27" s="432"/>
      <c r="H27" s="432"/>
      <c r="I27" s="432"/>
      <c r="J27" s="432"/>
      <c r="K27" s="432"/>
      <c r="L27" s="432"/>
      <c r="M27" s="432"/>
      <c r="N27" s="432"/>
      <c r="O27" s="432"/>
      <c r="P27" s="432"/>
      <c r="Q27" s="458"/>
      <c r="R27" s="249"/>
      <c r="S27" s="249"/>
      <c r="T27" s="249"/>
      <c r="U27" s="249"/>
      <c r="V27" s="249"/>
      <c r="W27" s="249"/>
      <c r="X27" s="249"/>
      <c r="Y27" s="249"/>
      <c r="Z27" s="249"/>
      <c r="AA27" s="249"/>
      <c r="AB27" s="249"/>
      <c r="AC27" s="459"/>
      <c r="AD27" s="463"/>
      <c r="AE27" s="15"/>
      <c r="AF27" s="442"/>
      <c r="AG27" s="382"/>
      <c r="AH27" s="439"/>
      <c r="AI27" s="439"/>
      <c r="AJ27" s="439"/>
      <c r="AK27" s="439"/>
      <c r="AL27" s="439"/>
      <c r="AM27" s="439"/>
      <c r="AN27" s="439"/>
      <c r="AO27" s="439"/>
      <c r="AP27" s="439"/>
      <c r="AQ27" s="439"/>
      <c r="AR27" s="439"/>
      <c r="AS27" s="439"/>
      <c r="AT27" s="439"/>
      <c r="AU27" s="439"/>
      <c r="AV27" s="439"/>
      <c r="AW27" s="439"/>
      <c r="AX27" s="439"/>
      <c r="AY27" s="439"/>
      <c r="AZ27" s="439"/>
      <c r="BA27" s="439"/>
      <c r="BB27" s="439"/>
      <c r="BC27" s="439"/>
      <c r="BD27" s="439"/>
      <c r="BE27" s="439"/>
      <c r="BF27" s="439"/>
      <c r="BG27" s="439"/>
      <c r="BH27" s="439"/>
      <c r="BI27" s="439"/>
      <c r="BJ27" s="439"/>
      <c r="BK27" s="439"/>
      <c r="BL27" s="439"/>
      <c r="BM27" s="439"/>
      <c r="BN27" s="439"/>
      <c r="BO27" s="439"/>
      <c r="BP27" s="439"/>
      <c r="BQ27" s="439"/>
      <c r="BR27" s="439"/>
      <c r="BS27" s="439"/>
      <c r="BT27" s="439"/>
      <c r="BU27" s="439"/>
      <c r="BV27" s="439"/>
      <c r="BW27" s="439"/>
      <c r="BX27" s="439"/>
      <c r="BY27" s="439"/>
      <c r="BZ27" s="439"/>
      <c r="CA27" s="439"/>
      <c r="CB27" s="439"/>
      <c r="CC27" s="439"/>
      <c r="CD27" s="439"/>
      <c r="CE27" s="439"/>
      <c r="CF27" s="439"/>
      <c r="CG27" s="439"/>
      <c r="CH27" s="439"/>
      <c r="CI27" s="439"/>
      <c r="CJ27" s="439"/>
      <c r="CK27" s="439"/>
      <c r="CL27" s="439"/>
      <c r="CM27" s="439"/>
      <c r="CN27" s="439"/>
      <c r="CO27" s="439"/>
      <c r="CP27" s="439"/>
      <c r="CQ27" s="439"/>
      <c r="CR27" s="439"/>
      <c r="CS27" s="439"/>
      <c r="CT27" s="439"/>
      <c r="CU27" s="439"/>
      <c r="CV27" s="439"/>
      <c r="CW27" s="439"/>
      <c r="CX27" s="439"/>
      <c r="CY27" s="439"/>
      <c r="CZ27" s="439"/>
      <c r="DA27" s="439"/>
      <c r="DB27" s="439"/>
      <c r="DC27" s="439"/>
      <c r="DD27" s="439"/>
      <c r="DE27" s="439"/>
      <c r="DF27" s="439"/>
      <c r="DG27" s="439"/>
      <c r="DH27" s="439"/>
      <c r="DI27" s="439"/>
      <c r="DJ27" s="439"/>
      <c r="DK27" s="439"/>
      <c r="DL27" s="439"/>
      <c r="DM27" s="439"/>
      <c r="DN27" s="439"/>
      <c r="DO27" s="439"/>
      <c r="DP27" s="439"/>
      <c r="DQ27" s="439"/>
      <c r="DR27" s="439"/>
      <c r="DS27" s="439"/>
      <c r="DT27" s="439"/>
      <c r="DU27" s="439"/>
      <c r="DV27" s="439"/>
      <c r="DW27" s="439"/>
      <c r="DX27" s="439"/>
      <c r="DY27" s="439"/>
      <c r="DZ27" s="439"/>
      <c r="EA27" s="439"/>
      <c r="EB27" s="439"/>
      <c r="EC27" s="439"/>
      <c r="ED27" s="439"/>
      <c r="EE27" s="439"/>
      <c r="EF27" s="439"/>
      <c r="EG27" s="439"/>
      <c r="EH27" s="439"/>
      <c r="EI27" s="439"/>
      <c r="EJ27" s="439"/>
      <c r="EK27" s="439"/>
      <c r="EL27" s="439"/>
      <c r="EM27" s="439"/>
      <c r="EN27" s="439"/>
      <c r="EO27" s="439"/>
      <c r="EP27" s="439"/>
      <c r="EQ27" s="439"/>
      <c r="ER27" s="439"/>
      <c r="ES27" s="439"/>
      <c r="ET27" s="439"/>
      <c r="EU27" s="439"/>
      <c r="EV27" s="439"/>
      <c r="EW27" s="439"/>
      <c r="EX27" s="393"/>
      <c r="EY27" s="393"/>
      <c r="EZ27" s="789"/>
      <c r="FA27" s="789"/>
      <c r="FB27" s="789"/>
      <c r="FC27" s="789"/>
      <c r="FD27" s="789"/>
      <c r="FE27" s="382"/>
      <c r="FF27" s="442"/>
      <c r="FG27" s="442"/>
      <c r="FH27" s="442"/>
      <c r="FI27" s="442"/>
      <c r="FJ27" s="442"/>
      <c r="FK27" s="382"/>
      <c r="FL27" s="442"/>
      <c r="FM27" s="442"/>
    </row>
    <row r="28" spans="1:169" s="207" customFormat="1" ht="12.75" customHeight="1" thickBot="1" x14ac:dyDescent="0.25">
      <c r="A28" s="497" t="s">
        <v>205</v>
      </c>
      <c r="B28" s="622"/>
      <c r="C28" s="498"/>
      <c r="D28" s="499"/>
      <c r="E28" s="500">
        <f>SUM(E12:E25)</f>
        <v>7612.102862329999</v>
      </c>
      <c r="F28" s="599"/>
      <c r="G28" s="600"/>
      <c r="H28" s="600"/>
      <c r="I28" s="600"/>
      <c r="J28" s="600"/>
      <c r="K28" s="600"/>
      <c r="L28" s="600"/>
      <c r="M28" s="600"/>
      <c r="N28" s="600"/>
      <c r="O28" s="600"/>
      <c r="P28" s="600"/>
      <c r="Q28" s="601"/>
      <c r="R28" s="499"/>
      <c r="S28" s="499"/>
      <c r="T28" s="499"/>
      <c r="U28" s="499"/>
      <c r="V28" s="499"/>
      <c r="W28" s="499"/>
      <c r="X28" s="499"/>
      <c r="Y28" s="499"/>
      <c r="Z28" s="499"/>
      <c r="AA28" s="499"/>
      <c r="AB28" s="499"/>
      <c r="AC28" s="602"/>
      <c r="AD28" s="603"/>
      <c r="AE28" s="501"/>
      <c r="AF28" s="502"/>
      <c r="AG28" s="248"/>
      <c r="AH28" s="503"/>
      <c r="AI28" s="503"/>
      <c r="AJ28" s="503"/>
      <c r="AK28" s="503"/>
      <c r="AL28" s="503"/>
      <c r="AM28" s="503"/>
      <c r="AN28" s="503"/>
      <c r="AO28" s="503"/>
      <c r="AP28" s="503"/>
      <c r="AQ28" s="503"/>
      <c r="AR28" s="503"/>
      <c r="AS28" s="503"/>
      <c r="AT28" s="503"/>
      <c r="AU28" s="503"/>
      <c r="AV28" s="503"/>
      <c r="AW28" s="503"/>
      <c r="AX28" s="503"/>
      <c r="AY28" s="503"/>
      <c r="AZ28" s="503"/>
      <c r="BA28" s="503"/>
      <c r="BB28" s="503"/>
      <c r="BC28" s="503"/>
      <c r="BD28" s="503"/>
      <c r="BE28" s="503"/>
      <c r="BF28" s="503"/>
      <c r="BG28" s="503"/>
      <c r="BH28" s="503"/>
      <c r="BI28" s="503"/>
      <c r="BJ28" s="503"/>
      <c r="BK28" s="503"/>
      <c r="BL28" s="503"/>
      <c r="BM28" s="503"/>
      <c r="BN28" s="503"/>
      <c r="BO28" s="503"/>
      <c r="BP28" s="503"/>
      <c r="BQ28" s="503"/>
      <c r="BR28" s="503"/>
      <c r="BS28" s="503"/>
      <c r="BT28" s="503"/>
      <c r="BU28" s="503"/>
      <c r="BV28" s="503"/>
      <c r="BW28" s="503"/>
      <c r="BX28" s="503"/>
      <c r="BY28" s="503"/>
      <c r="BZ28" s="503"/>
      <c r="CA28" s="503"/>
      <c r="CB28" s="503"/>
      <c r="CC28" s="503"/>
      <c r="CD28" s="503"/>
      <c r="CE28" s="503"/>
      <c r="CF28" s="503"/>
      <c r="CG28" s="503"/>
      <c r="CH28" s="503"/>
      <c r="CI28" s="503"/>
      <c r="CJ28" s="503"/>
      <c r="CK28" s="503"/>
      <c r="CL28" s="503"/>
      <c r="CM28" s="503"/>
      <c r="CN28" s="503"/>
      <c r="CO28" s="503"/>
      <c r="CP28" s="503"/>
      <c r="CQ28" s="503"/>
      <c r="CR28" s="503"/>
      <c r="CS28" s="503"/>
      <c r="CT28" s="503"/>
      <c r="CU28" s="503"/>
      <c r="CV28" s="503"/>
      <c r="CW28" s="503"/>
      <c r="CX28" s="503"/>
      <c r="CY28" s="503"/>
      <c r="CZ28" s="503"/>
      <c r="DA28" s="503"/>
      <c r="DB28" s="503"/>
      <c r="DC28" s="503"/>
      <c r="DD28" s="503"/>
      <c r="DE28" s="503"/>
      <c r="DF28" s="503"/>
      <c r="DG28" s="503"/>
      <c r="DH28" s="503"/>
      <c r="DI28" s="503"/>
      <c r="DJ28" s="503"/>
      <c r="DK28" s="503"/>
      <c r="DL28" s="503"/>
      <c r="DM28" s="503"/>
      <c r="DN28" s="503"/>
      <c r="DO28" s="503"/>
      <c r="DP28" s="503"/>
      <c r="DQ28" s="503"/>
      <c r="DR28" s="503"/>
      <c r="DS28" s="503"/>
      <c r="DT28" s="503"/>
      <c r="DU28" s="503"/>
      <c r="DV28" s="503"/>
      <c r="DW28" s="503"/>
      <c r="DX28" s="503"/>
      <c r="DY28" s="503"/>
      <c r="DZ28" s="503"/>
      <c r="EA28" s="503"/>
      <c r="EB28" s="503"/>
      <c r="EC28" s="503"/>
      <c r="ED28" s="503"/>
      <c r="EE28" s="503"/>
      <c r="EF28" s="503"/>
      <c r="EG28" s="503"/>
      <c r="EH28" s="503"/>
      <c r="EI28" s="503"/>
      <c r="EJ28" s="503"/>
      <c r="EK28" s="503"/>
      <c r="EL28" s="503"/>
      <c r="EM28" s="503"/>
      <c r="EN28" s="503"/>
      <c r="EO28" s="503"/>
      <c r="EP28" s="503"/>
      <c r="EQ28" s="503"/>
      <c r="ER28" s="503"/>
      <c r="ES28" s="503"/>
      <c r="ET28" s="503"/>
      <c r="EU28" s="503"/>
      <c r="EV28" s="503"/>
      <c r="EW28" s="503"/>
      <c r="EX28" s="504"/>
      <c r="EY28" s="1066"/>
      <c r="EZ28" s="789"/>
      <c r="FA28" s="789"/>
      <c r="FB28" s="789"/>
      <c r="FC28" s="789"/>
      <c r="FD28" s="789"/>
      <c r="FE28" s="248"/>
      <c r="FF28" s="505"/>
      <c r="FG28" s="505"/>
      <c r="FH28" s="505"/>
      <c r="FI28" s="505"/>
      <c r="FJ28" s="505"/>
      <c r="FK28" s="248"/>
      <c r="FL28" s="506"/>
      <c r="FM28" s="506"/>
    </row>
    <row r="29" spans="1:169" s="395" customFormat="1" ht="12.75" customHeight="1" x14ac:dyDescent="0.2">
      <c r="A29" s="464"/>
      <c r="B29" s="515"/>
      <c r="C29" s="465"/>
      <c r="D29" s="249"/>
      <c r="E29" s="457"/>
      <c r="F29" s="466"/>
      <c r="G29" s="467"/>
      <c r="H29" s="467"/>
      <c r="I29" s="467"/>
      <c r="J29" s="467"/>
      <c r="K29" s="467"/>
      <c r="L29" s="467"/>
      <c r="M29" s="467"/>
      <c r="N29" s="467"/>
      <c r="O29" s="467"/>
      <c r="P29" s="467"/>
      <c r="Q29" s="468"/>
      <c r="R29" s="249"/>
      <c r="S29" s="249"/>
      <c r="T29" s="249"/>
      <c r="U29" s="249"/>
      <c r="V29" s="249"/>
      <c r="W29" s="249"/>
      <c r="X29" s="249"/>
      <c r="Y29" s="249"/>
      <c r="Z29" s="249"/>
      <c r="AA29" s="249"/>
      <c r="AB29" s="249"/>
      <c r="AC29" s="459"/>
      <c r="AD29" s="463"/>
      <c r="AE29" s="15"/>
      <c r="AF29" s="442"/>
      <c r="AG29" s="382"/>
      <c r="AH29" s="440"/>
      <c r="AI29" s="440"/>
      <c r="AJ29" s="440"/>
      <c r="AK29" s="440"/>
      <c r="AL29" s="440"/>
      <c r="AM29" s="440"/>
      <c r="AN29" s="440"/>
      <c r="AO29" s="440"/>
      <c r="AP29" s="440"/>
      <c r="AQ29" s="440"/>
      <c r="AR29" s="440"/>
      <c r="AS29" s="440"/>
      <c r="AT29" s="440"/>
      <c r="AU29" s="440"/>
      <c r="AV29" s="440"/>
      <c r="AW29" s="440"/>
      <c r="AX29" s="440"/>
      <c r="AY29" s="440"/>
      <c r="AZ29" s="440"/>
      <c r="BA29" s="440"/>
      <c r="BB29" s="440"/>
      <c r="BC29" s="440"/>
      <c r="BD29" s="440"/>
      <c r="BE29" s="440"/>
      <c r="BF29" s="440"/>
      <c r="BG29" s="440"/>
      <c r="BH29" s="440"/>
      <c r="BI29" s="440"/>
      <c r="BJ29" s="440"/>
      <c r="BK29" s="440"/>
      <c r="BL29" s="440"/>
      <c r="BM29" s="440"/>
      <c r="BN29" s="440"/>
      <c r="BO29" s="440"/>
      <c r="BP29" s="440"/>
      <c r="BQ29" s="440"/>
      <c r="BR29" s="440"/>
      <c r="BS29" s="440"/>
      <c r="BT29" s="440"/>
      <c r="BU29" s="440"/>
      <c r="BV29" s="440"/>
      <c r="BW29" s="440"/>
      <c r="BX29" s="440"/>
      <c r="BY29" s="440"/>
      <c r="BZ29" s="440"/>
      <c r="CA29" s="440"/>
      <c r="CB29" s="440"/>
      <c r="CC29" s="440"/>
      <c r="CD29" s="440"/>
      <c r="CE29" s="440"/>
      <c r="CF29" s="440"/>
      <c r="CG29" s="440"/>
      <c r="CH29" s="440"/>
      <c r="CI29" s="440"/>
      <c r="CJ29" s="440"/>
      <c r="CK29" s="440"/>
      <c r="CL29" s="440"/>
      <c r="CM29" s="440"/>
      <c r="CN29" s="440"/>
      <c r="CO29" s="440"/>
      <c r="CP29" s="440"/>
      <c r="CQ29" s="440"/>
      <c r="CR29" s="440"/>
      <c r="CS29" s="440"/>
      <c r="CT29" s="440"/>
      <c r="CU29" s="440"/>
      <c r="CV29" s="440"/>
      <c r="CW29" s="440"/>
      <c r="CX29" s="440"/>
      <c r="CY29" s="440"/>
      <c r="CZ29" s="440"/>
      <c r="DA29" s="440"/>
      <c r="DB29" s="440"/>
      <c r="DC29" s="440"/>
      <c r="DD29" s="440"/>
      <c r="DE29" s="440"/>
      <c r="DF29" s="440"/>
      <c r="DG29" s="440"/>
      <c r="DH29" s="440"/>
      <c r="DI29" s="440"/>
      <c r="DJ29" s="440"/>
      <c r="DK29" s="440"/>
      <c r="DL29" s="440"/>
      <c r="DM29" s="440"/>
      <c r="DN29" s="440"/>
      <c r="DO29" s="440"/>
      <c r="DP29" s="440"/>
      <c r="DQ29" s="440"/>
      <c r="DR29" s="440"/>
      <c r="DS29" s="440"/>
      <c r="DT29" s="440"/>
      <c r="DU29" s="440"/>
      <c r="DV29" s="440"/>
      <c r="DW29" s="440"/>
      <c r="DX29" s="440"/>
      <c r="DY29" s="440"/>
      <c r="DZ29" s="440"/>
      <c r="EA29" s="440"/>
      <c r="EB29" s="440"/>
      <c r="EC29" s="440"/>
      <c r="ED29" s="440"/>
      <c r="EE29" s="440"/>
      <c r="EF29" s="440"/>
      <c r="EG29" s="440"/>
      <c r="EH29" s="440"/>
      <c r="EI29" s="440"/>
      <c r="EJ29" s="440"/>
      <c r="EK29" s="440"/>
      <c r="EL29" s="440"/>
      <c r="EM29" s="440"/>
      <c r="EN29" s="440"/>
      <c r="EO29" s="440"/>
      <c r="EP29" s="440"/>
      <c r="EQ29" s="440"/>
      <c r="ER29" s="440"/>
      <c r="ES29" s="440"/>
      <c r="ET29" s="440"/>
      <c r="EU29" s="440"/>
      <c r="EV29" s="440"/>
      <c r="EW29" s="440"/>
      <c r="EX29" s="393"/>
      <c r="EY29" s="393"/>
      <c r="EZ29" s="789" t="e">
        <f>VLOOKUP($EY29,'NEPC data'!$B15:$M202,5,TRUE)*100</f>
        <v>#N/A</v>
      </c>
      <c r="FA29" s="789" t="e">
        <f>VLOOKUP($EY29,'NEPC data'!$B15:$M202,7,TRUE)*100</f>
        <v>#N/A</v>
      </c>
      <c r="FB29" s="789" t="e">
        <f>VLOOKUP($EY29,'NEPC data'!$B15:$M202,9,TRUE)*100</f>
        <v>#N/A</v>
      </c>
      <c r="FC29" s="789" t="e">
        <f>VLOOKUP($EY29,'NEPC data'!$B15:$M202,10,TRUE)*100</f>
        <v>#N/A</v>
      </c>
      <c r="FD29" s="789" t="e">
        <f>VLOOKUP($EY29,'NEPC data'!$B15:$M202,11,TRUE)*100</f>
        <v>#N/A</v>
      </c>
      <c r="FE29" s="382"/>
      <c r="FF29" s="442"/>
      <c r="FG29" s="442"/>
      <c r="FH29" s="442"/>
      <c r="FI29" s="442"/>
      <c r="FJ29" s="442"/>
      <c r="FK29" s="382"/>
      <c r="FL29" s="442"/>
      <c r="FM29" s="442"/>
    </row>
    <row r="30" spans="1:169" s="395" customFormat="1" ht="12.75" customHeight="1" x14ac:dyDescent="0.2">
      <c r="A30" s="425" t="s">
        <v>58</v>
      </c>
      <c r="B30" s="620"/>
      <c r="C30" s="469"/>
      <c r="D30" s="249"/>
      <c r="E30" s="470"/>
      <c r="F30" s="471"/>
      <c r="G30" s="472"/>
      <c r="H30" s="467"/>
      <c r="I30" s="467"/>
      <c r="J30" s="467"/>
      <c r="K30" s="467"/>
      <c r="L30" s="467"/>
      <c r="M30" s="467"/>
      <c r="N30" s="467"/>
      <c r="O30" s="467"/>
      <c r="P30" s="467"/>
      <c r="Q30" s="468"/>
      <c r="R30" s="249"/>
      <c r="S30" s="249"/>
      <c r="T30" s="249"/>
      <c r="U30" s="249"/>
      <c r="V30" s="249"/>
      <c r="W30" s="249"/>
      <c r="X30" s="249"/>
      <c r="Y30" s="249"/>
      <c r="Z30" s="249"/>
      <c r="AA30" s="249"/>
      <c r="AB30" s="249"/>
      <c r="AC30" s="459"/>
      <c r="AD30" s="463"/>
      <c r="AE30" s="15"/>
      <c r="AF30" s="442"/>
      <c r="AG30" s="382"/>
      <c r="AH30" s="440"/>
      <c r="AI30" s="440"/>
      <c r="AJ30" s="440"/>
      <c r="AK30" s="440"/>
      <c r="AL30" s="440"/>
      <c r="AM30" s="440"/>
      <c r="AN30" s="440"/>
      <c r="AO30" s="440"/>
      <c r="AP30" s="440"/>
      <c r="AQ30" s="440"/>
      <c r="AR30" s="440"/>
      <c r="AS30" s="440"/>
      <c r="AT30" s="440"/>
      <c r="AU30" s="440"/>
      <c r="AV30" s="440"/>
      <c r="AW30" s="440"/>
      <c r="AX30" s="440"/>
      <c r="AY30" s="440"/>
      <c r="AZ30" s="440"/>
      <c r="BA30" s="440"/>
      <c r="BB30" s="440"/>
      <c r="BC30" s="440"/>
      <c r="BD30" s="440"/>
      <c r="BE30" s="440"/>
      <c r="BF30" s="440"/>
      <c r="BG30" s="440"/>
      <c r="BH30" s="440"/>
      <c r="BI30" s="440"/>
      <c r="BJ30" s="440"/>
      <c r="BK30" s="440"/>
      <c r="BL30" s="440"/>
      <c r="BM30" s="440"/>
      <c r="BN30" s="440"/>
      <c r="BO30" s="440"/>
      <c r="BP30" s="440"/>
      <c r="BQ30" s="440"/>
      <c r="BR30" s="440"/>
      <c r="BS30" s="440"/>
      <c r="BT30" s="440"/>
      <c r="BU30" s="440"/>
      <c r="BV30" s="440"/>
      <c r="BW30" s="440"/>
      <c r="BX30" s="440"/>
      <c r="BY30" s="440"/>
      <c r="BZ30" s="440"/>
      <c r="CA30" s="440"/>
      <c r="CB30" s="440"/>
      <c r="CC30" s="440"/>
      <c r="CD30" s="440"/>
      <c r="CE30" s="440"/>
      <c r="CF30" s="440"/>
      <c r="CG30" s="440"/>
      <c r="CH30" s="440"/>
      <c r="CI30" s="440"/>
      <c r="CJ30" s="440"/>
      <c r="CK30" s="440"/>
      <c r="CL30" s="440"/>
      <c r="CM30" s="440"/>
      <c r="CN30" s="440"/>
      <c r="CO30" s="440"/>
      <c r="CP30" s="440"/>
      <c r="CQ30" s="440"/>
      <c r="CR30" s="440"/>
      <c r="CS30" s="440"/>
      <c r="CT30" s="440"/>
      <c r="CU30" s="440"/>
      <c r="CV30" s="440"/>
      <c r="CW30" s="440"/>
      <c r="CX30" s="440"/>
      <c r="CY30" s="440"/>
      <c r="CZ30" s="440"/>
      <c r="DA30" s="440"/>
      <c r="DB30" s="440"/>
      <c r="DC30" s="440"/>
      <c r="DD30" s="440"/>
      <c r="DE30" s="440"/>
      <c r="DF30" s="440"/>
      <c r="DG30" s="440"/>
      <c r="DH30" s="440"/>
      <c r="DI30" s="440"/>
      <c r="DJ30" s="440"/>
      <c r="DK30" s="440"/>
      <c r="DL30" s="440"/>
      <c r="DM30" s="440"/>
      <c r="DN30" s="440"/>
      <c r="DO30" s="440"/>
      <c r="DP30" s="440"/>
      <c r="DQ30" s="440"/>
      <c r="DR30" s="440"/>
      <c r="DS30" s="440"/>
      <c r="DT30" s="440"/>
      <c r="DU30" s="440"/>
      <c r="DV30" s="440"/>
      <c r="DW30" s="440"/>
      <c r="DX30" s="440"/>
      <c r="DY30" s="440"/>
      <c r="DZ30" s="440"/>
      <c r="EA30" s="440"/>
      <c r="EB30" s="440"/>
      <c r="EC30" s="440"/>
      <c r="ED30" s="440"/>
      <c r="EE30" s="440"/>
      <c r="EF30" s="440"/>
      <c r="EG30" s="440"/>
      <c r="EH30" s="440"/>
      <c r="EI30" s="440"/>
      <c r="EJ30" s="440"/>
      <c r="EK30" s="440"/>
      <c r="EL30" s="440"/>
      <c r="EM30" s="440"/>
      <c r="EN30" s="440"/>
      <c r="EO30" s="440"/>
      <c r="EP30" s="440"/>
      <c r="EQ30" s="440"/>
      <c r="ER30" s="440"/>
      <c r="ES30" s="440"/>
      <c r="ET30" s="440"/>
      <c r="EU30" s="440"/>
      <c r="EV30" s="440"/>
      <c r="EW30" s="440"/>
      <c r="EX30" s="393"/>
      <c r="EY30" s="393"/>
      <c r="EZ30" s="789" t="e">
        <f>VLOOKUP($EY30,'NEPC data'!$B16:$M203,5,TRUE)*100</f>
        <v>#N/A</v>
      </c>
      <c r="FA30" s="789" t="e">
        <f>VLOOKUP($EY30,'NEPC data'!$B16:$M203,7,TRUE)*100</f>
        <v>#N/A</v>
      </c>
      <c r="FB30" s="789" t="e">
        <f>VLOOKUP($EY30,'NEPC data'!$B16:$M203,9,TRUE)*100</f>
        <v>#N/A</v>
      </c>
      <c r="FC30" s="789" t="e">
        <f>VLOOKUP($EY30,'NEPC data'!$B16:$M203,10,TRUE)*100</f>
        <v>#N/A</v>
      </c>
      <c r="FD30" s="789" t="e">
        <f>VLOOKUP($EY30,'NEPC data'!$B16:$M203,11,TRUE)*100</f>
        <v>#N/A</v>
      </c>
      <c r="FE30" s="382"/>
      <c r="FF30" s="442"/>
      <c r="FG30" s="442"/>
      <c r="FH30" s="442"/>
      <c r="FI30" s="442"/>
      <c r="FJ30" s="442"/>
      <c r="FK30" s="382"/>
      <c r="FL30" s="442"/>
      <c r="FM30" s="442"/>
    </row>
    <row r="31" spans="1:169" s="395" customFormat="1" ht="12.75" customHeight="1" x14ac:dyDescent="0.2">
      <c r="A31" s="425"/>
      <c r="B31" s="620"/>
      <c r="C31" s="469"/>
      <c r="D31" s="249"/>
      <c r="E31" s="470"/>
      <c r="F31" s="471"/>
      <c r="G31" s="472"/>
      <c r="H31" s="467"/>
      <c r="I31" s="467"/>
      <c r="J31" s="467"/>
      <c r="K31" s="467"/>
      <c r="L31" s="467"/>
      <c r="M31" s="467"/>
      <c r="N31" s="467"/>
      <c r="O31" s="467"/>
      <c r="P31" s="467"/>
      <c r="Q31" s="468"/>
      <c r="R31" s="249"/>
      <c r="S31" s="249"/>
      <c r="T31" s="249"/>
      <c r="U31" s="249"/>
      <c r="V31" s="249"/>
      <c r="W31" s="249"/>
      <c r="X31" s="249"/>
      <c r="Y31" s="249"/>
      <c r="Z31" s="249"/>
      <c r="AA31" s="249"/>
      <c r="AB31" s="249"/>
      <c r="AC31" s="459"/>
      <c r="AD31" s="463"/>
      <c r="AE31" s="15"/>
      <c r="AF31" s="442"/>
      <c r="AG31" s="382"/>
      <c r="AH31" s="440"/>
      <c r="AI31" s="440"/>
      <c r="AJ31" s="440"/>
      <c r="AK31" s="440"/>
      <c r="AL31" s="440"/>
      <c r="AM31" s="440"/>
      <c r="AN31" s="440"/>
      <c r="AO31" s="440"/>
      <c r="AP31" s="440"/>
      <c r="AQ31" s="440"/>
      <c r="AR31" s="440"/>
      <c r="AS31" s="440"/>
      <c r="AT31" s="440"/>
      <c r="AU31" s="440"/>
      <c r="AV31" s="440"/>
      <c r="AW31" s="440"/>
      <c r="AX31" s="440"/>
      <c r="AY31" s="440"/>
      <c r="AZ31" s="440"/>
      <c r="BA31" s="440"/>
      <c r="BB31" s="440"/>
      <c r="BC31" s="440"/>
      <c r="BD31" s="440"/>
      <c r="BE31" s="440"/>
      <c r="BF31" s="440"/>
      <c r="BG31" s="440"/>
      <c r="BH31" s="440"/>
      <c r="BI31" s="440"/>
      <c r="BJ31" s="440"/>
      <c r="BK31" s="440"/>
      <c r="BL31" s="440"/>
      <c r="BM31" s="440"/>
      <c r="BN31" s="440"/>
      <c r="BO31" s="440"/>
      <c r="BP31" s="440"/>
      <c r="BQ31" s="440"/>
      <c r="BR31" s="440"/>
      <c r="BS31" s="440"/>
      <c r="BT31" s="440"/>
      <c r="BU31" s="440"/>
      <c r="BV31" s="440"/>
      <c r="BW31" s="440"/>
      <c r="BX31" s="440"/>
      <c r="BY31" s="440"/>
      <c r="BZ31" s="440"/>
      <c r="CA31" s="440"/>
      <c r="CB31" s="440"/>
      <c r="CC31" s="440"/>
      <c r="CD31" s="440"/>
      <c r="CE31" s="440"/>
      <c r="CF31" s="440"/>
      <c r="CG31" s="440"/>
      <c r="CH31" s="440"/>
      <c r="CI31" s="440"/>
      <c r="CJ31" s="440"/>
      <c r="CK31" s="440"/>
      <c r="CL31" s="440"/>
      <c r="CM31" s="440"/>
      <c r="CN31" s="440"/>
      <c r="CO31" s="440"/>
      <c r="CP31" s="440"/>
      <c r="CQ31" s="440"/>
      <c r="CR31" s="440"/>
      <c r="CS31" s="440"/>
      <c r="CT31" s="440"/>
      <c r="CU31" s="440"/>
      <c r="CV31" s="440"/>
      <c r="CW31" s="440"/>
      <c r="CX31" s="440"/>
      <c r="CY31" s="440"/>
      <c r="CZ31" s="440"/>
      <c r="DA31" s="440"/>
      <c r="DB31" s="440"/>
      <c r="DC31" s="440"/>
      <c r="DD31" s="440"/>
      <c r="DE31" s="440"/>
      <c r="DF31" s="440"/>
      <c r="DG31" s="440"/>
      <c r="DH31" s="440"/>
      <c r="DI31" s="440"/>
      <c r="DJ31" s="440"/>
      <c r="DK31" s="440"/>
      <c r="DL31" s="440"/>
      <c r="DM31" s="440"/>
      <c r="DN31" s="440"/>
      <c r="DO31" s="440"/>
      <c r="DP31" s="440"/>
      <c r="DQ31" s="440"/>
      <c r="DR31" s="440"/>
      <c r="DS31" s="440"/>
      <c r="DT31" s="440"/>
      <c r="DU31" s="440"/>
      <c r="DV31" s="440"/>
      <c r="DW31" s="440"/>
      <c r="DX31" s="440"/>
      <c r="DY31" s="440"/>
      <c r="DZ31" s="440"/>
      <c r="EA31" s="440"/>
      <c r="EB31" s="440"/>
      <c r="EC31" s="440"/>
      <c r="ED31" s="440"/>
      <c r="EE31" s="440"/>
      <c r="EF31" s="440"/>
      <c r="EG31" s="440"/>
      <c r="EH31" s="440"/>
      <c r="EI31" s="440"/>
      <c r="EJ31" s="440"/>
      <c r="EK31" s="440"/>
      <c r="EL31" s="440"/>
      <c r="EM31" s="440"/>
      <c r="EN31" s="440"/>
      <c r="EO31" s="440"/>
      <c r="EP31" s="440"/>
      <c r="EQ31" s="440"/>
      <c r="ER31" s="440"/>
      <c r="ES31" s="440"/>
      <c r="ET31" s="440"/>
      <c r="EU31" s="440"/>
      <c r="EV31" s="440"/>
      <c r="EW31" s="440"/>
      <c r="EX31" s="393"/>
      <c r="EY31" s="393"/>
      <c r="EZ31" s="789" t="e">
        <f>VLOOKUP($EY31,'NEPC data'!$B17:$M204,5,TRUE)*100</f>
        <v>#N/A</v>
      </c>
      <c r="FA31" s="789" t="e">
        <f>VLOOKUP($EY31,'NEPC data'!$B17:$M204,7,TRUE)*100</f>
        <v>#N/A</v>
      </c>
      <c r="FB31" s="789" t="e">
        <f>VLOOKUP($EY31,'NEPC data'!$B17:$M204,9,TRUE)*100</f>
        <v>#N/A</v>
      </c>
      <c r="FC31" s="789" t="e">
        <f>VLOOKUP($EY31,'NEPC data'!$B17:$M204,10,TRUE)*100</f>
        <v>#N/A</v>
      </c>
      <c r="FD31" s="789" t="e">
        <f>VLOOKUP($EY31,'NEPC data'!$B17:$M204,11,TRUE)*100</f>
        <v>#N/A</v>
      </c>
      <c r="FE31" s="382"/>
      <c r="FF31" s="442"/>
      <c r="FG31" s="442"/>
      <c r="FH31" s="442"/>
      <c r="FI31" s="442"/>
      <c r="FJ31" s="442"/>
      <c r="FK31" s="382"/>
      <c r="FL31" s="442"/>
      <c r="FM31" s="442"/>
    </row>
    <row r="32" spans="1:169" s="395" customFormat="1" ht="12.75" customHeight="1" x14ac:dyDescent="0.2">
      <c r="A32" s="445" t="s">
        <v>51</v>
      </c>
      <c r="B32" s="621" t="s">
        <v>319</v>
      </c>
      <c r="C32" s="446">
        <v>37437</v>
      </c>
      <c r="D32" s="462">
        <f>Well!D1</f>
        <v>52.393492547130137</v>
      </c>
      <c r="E32" s="448">
        <f>VLOOKUP(AH$8,Well!A1:E488,3,FALSE)/1000000</f>
        <v>417.79950441000005</v>
      </c>
      <c r="F32" s="449">
        <f>AH32</f>
        <v>4.5641699999999998</v>
      </c>
      <c r="G32" s="450">
        <f t="array" ref="G32">IF($AJ32=0,"---",(PRODUCT($AH32:AJ32/100+1)-1)*100)</f>
        <v>4.7412069069483476</v>
      </c>
      <c r="H32" s="450">
        <f t="array" ref="H32">IF($AS32=0,"---",(PRODUCT(AH32:AN32/100+1)-1)*100)</f>
        <v>10.158030379375838</v>
      </c>
      <c r="I32" s="450">
        <f t="array" ref="I32">IF(AS32=0,"---",(GEOMEAN($AH32:AS32/100+1)^12-1)*100)</f>
        <v>25.914597490998737</v>
      </c>
      <c r="J32" s="450">
        <f t="array" ref="J32">IF(BE32=0,"---",(GEOMEAN($AH32:BE32/100+1)^12-1)*100)</f>
        <v>26.640597146781573</v>
      </c>
      <c r="K32" s="450">
        <f t="array" ref="K32">IF(BQ32=0,"---",(GEOMEAN($AH32:BQ32/100+1)^12-1)*100)</f>
        <v>22.129348702497431</v>
      </c>
      <c r="L32" s="450">
        <f t="array" ref="L32">IF(CC32=0,"---",(GEOMEAN($AH32:CC32/100+1)^12-1)*100)</f>
        <v>20.28875574851434</v>
      </c>
      <c r="M32" s="450">
        <f t="array" ref="M32">IF(CO32=0,"---",(GEOMEAN($AH32:CO32/100+1)^12-1)*100)</f>
        <v>18.146494120149903</v>
      </c>
      <c r="N32" s="450">
        <f t="array" ref="N32">IF(DM32=0,"---",(GEOMEAN($AH32:DM32/100+1)^12-1)*100)</f>
        <v>9.2567888620794783</v>
      </c>
      <c r="O32" s="450">
        <f t="array" ref="O32">IF(EK32=0,"---",(GEOMEAN($AH32:EK32/100+1)^12-1)*100)</f>
        <v>11.083959480834938</v>
      </c>
      <c r="P32" s="450">
        <f t="array" ref="P32">IF(EW32=0,"---",(GEOMEAN($AH32:EW32/100+1)^12-1)*100)</f>
        <v>12.806710578907165</v>
      </c>
      <c r="Q32" s="451">
        <f t="array" ref="Q32">(GEOMEAN(Well!B$327:B471/100+1)^12-1)*100</f>
        <v>11.577565763883936</v>
      </c>
      <c r="R32" s="452">
        <f t="shared" ref="R32:AB32" si="22">IF(F32="---","---",(F32-F$33)*100)</f>
        <v>-51.873000000000062</v>
      </c>
      <c r="S32" s="452">
        <f t="shared" si="22"/>
        <v>-1.1340498483836114</v>
      </c>
      <c r="T32" s="452">
        <f t="shared" si="22"/>
        <v>-32.067794564314411</v>
      </c>
      <c r="U32" s="452">
        <f t="shared" si="22"/>
        <v>266.63446626205666</v>
      </c>
      <c r="V32" s="452">
        <f t="shared" si="22"/>
        <v>316.274750076364</v>
      </c>
      <c r="W32" s="452">
        <f t="shared" si="22"/>
        <v>233.76236019063228</v>
      </c>
      <c r="X32" s="452">
        <f t="shared" si="22"/>
        <v>-27.091918947512994</v>
      </c>
      <c r="Y32" s="452">
        <f t="shared" si="22"/>
        <v>-62.295587634182326</v>
      </c>
      <c r="Z32" s="452">
        <f t="shared" si="22"/>
        <v>5.0725457081711056</v>
      </c>
      <c r="AA32" s="452">
        <f t="shared" si="22"/>
        <v>138.05316002076148</v>
      </c>
      <c r="AB32" s="452">
        <f t="shared" si="22"/>
        <v>167.82918310449304</v>
      </c>
      <c r="AC32" s="453">
        <f>(Q32-AF32)*100</f>
        <v>118.45992236336099</v>
      </c>
      <c r="AD32" s="454">
        <v>300</v>
      </c>
      <c r="AE32" s="437"/>
      <c r="AF32" s="438">
        <f t="array" ref="AF32">(GEOMEAN(Index_Returns!E327:E471/100+1)^12-1)*100</f>
        <v>10.392966540250326</v>
      </c>
      <c r="AG32" s="382" t="str">
        <f>IF(I32="---","&lt; 1 Year","---")</f>
        <v>---</v>
      </c>
      <c r="AH32" s="439">
        <f>VLOOKUP(AH$8,Well!$A$1:$E$488,2,FALSE)</f>
        <v>4.5641699999999998</v>
      </c>
      <c r="AI32" s="439">
        <f>VLOOKUP(AI$8,Well!$A$1:$E$488,2,FALSE)</f>
        <v>-4.78932</v>
      </c>
      <c r="AJ32" s="439">
        <f>VLOOKUP(AJ$8,Well!$A$1:$E$488,2,FALSE)</f>
        <v>5.2080599999999997</v>
      </c>
      <c r="AK32" s="439">
        <f>VLOOKUP(AK$8,Well!$A$1:$E$488,2,FALSE)</f>
        <v>2.2742800000000001</v>
      </c>
      <c r="AL32" s="439">
        <f>VLOOKUP(AL$8,Well!$A$1:$E$488,2,FALSE)</f>
        <v>-0.82289999999999996</v>
      </c>
      <c r="AM32" s="439">
        <f>VLOOKUP(AM$8,Well!$A$1:$E$488,2,FALSE)</f>
        <v>-1.82897</v>
      </c>
      <c r="AN32" s="439">
        <f>VLOOKUP(AN$8,Well!$A$1:$E$488,2,FALSE)</f>
        <v>5.6178699999999999</v>
      </c>
      <c r="AO32" s="439">
        <f>VLOOKUP(AO$8,Well!$A$1:$E$488,2,FALSE)</f>
        <v>-0.15093999999999999</v>
      </c>
      <c r="AP32" s="439">
        <f>VLOOKUP(AP$8,Well!$A$1:$E$488,2,FALSE)</f>
        <v>3.3531599999999999</v>
      </c>
      <c r="AQ32" s="439">
        <f>VLOOKUP(AQ$8,Well!$A$1:$E$488,2,FALSE)</f>
        <v>2.8125300000000002</v>
      </c>
      <c r="AR32" s="439">
        <f>VLOOKUP(AR$8,Well!$A$1:$E$488,2,FALSE)</f>
        <v>2.7018</v>
      </c>
      <c r="AS32" s="439">
        <f>VLOOKUP(AS$8,Well!$A$1:$E$488,2,FALSE)</f>
        <v>4.8982099999999997</v>
      </c>
      <c r="AT32" s="439">
        <f>VLOOKUP(AT$8,Well!$A$1:$E$488,2,FALSE)</f>
        <v>-2.6706400000000001</v>
      </c>
      <c r="AU32" s="439">
        <f>VLOOKUP(AU$8,Well!$A$1:$E$488,2,FALSE)</f>
        <v>6.8842299999999996</v>
      </c>
      <c r="AV32" s="439">
        <f>VLOOKUP(AV$8,Well!$A$1:$E$488,2,FALSE)</f>
        <v>-1.7201900000000001</v>
      </c>
      <c r="AW32" s="439">
        <f>VLOOKUP(AW$8,Well!$A$1:$E$488,2,FALSE)</f>
        <v>3.7864300000000002</v>
      </c>
      <c r="AX32" s="439">
        <f>VLOOKUP(AX$8,Well!$A$1:$E$488,2,FALSE)</f>
        <v>1.0348599999999999</v>
      </c>
      <c r="AY32" s="439">
        <f>VLOOKUP(AY$8,Well!$A$1:$E$488,2,FALSE)</f>
        <v>5.0406700000000004</v>
      </c>
      <c r="AZ32" s="439">
        <f>VLOOKUP(AZ$8,Well!$A$1:$E$488,2,FALSE)</f>
        <v>0.54022999999999999</v>
      </c>
      <c r="BA32" s="439">
        <f>VLOOKUP(BA$8,Well!$A$1:$E$488,2,FALSE)</f>
        <v>7.9120200000000001</v>
      </c>
      <c r="BB32" s="439">
        <f>VLOOKUP(BB$8,Well!$A$1:$E$488,2,FALSE)</f>
        <v>1.4372100000000001</v>
      </c>
      <c r="BC32" s="439">
        <f>VLOOKUP(BC$8,Well!$A$1:$E$488,2,FALSE)</f>
        <v>0.93464999999999998</v>
      </c>
      <c r="BD32" s="439">
        <f>VLOOKUP(BD$8,Well!$A$1:$E$488,2,FALSE)</f>
        <v>-0.14149</v>
      </c>
      <c r="BE32" s="439">
        <f>VLOOKUP(BE$8,Well!$A$1:$E$488,2,FALSE)</f>
        <v>1.9638800000000001</v>
      </c>
      <c r="BF32" s="439">
        <f>VLOOKUP(BF$8,Well!$A$1:$E$488,2,FALSE)</f>
        <v>1.9294100000000001</v>
      </c>
      <c r="BG32" s="439">
        <f>VLOOKUP(BG$8,Well!$A$1:$E$488,2,FALSE)</f>
        <v>1.08891</v>
      </c>
      <c r="BH32" s="439">
        <f>VLOOKUP(BH$8,Well!$A$1:$E$488,2,FALSE)</f>
        <v>3.2222200000000001</v>
      </c>
      <c r="BI32" s="439">
        <f>VLOOKUP(BI$8,Well!$A$1:$E$488,2,FALSE)</f>
        <v>-6.9525899999999998</v>
      </c>
      <c r="BJ32" s="439">
        <f>VLOOKUP(BJ$8,Well!$A$1:$E$488,2,FALSE)</f>
        <v>-0.70691999999999999</v>
      </c>
      <c r="BK32" s="439">
        <f>VLOOKUP(BK$8,Well!$A$1:$E$488,2,FALSE)</f>
        <v>3.0988500000000001</v>
      </c>
      <c r="BL32" s="439">
        <f>VLOOKUP(BL$8,Well!$A$1:$E$488,2,FALSE)</f>
        <v>4.4300800000000002</v>
      </c>
      <c r="BM32" s="439">
        <f>VLOOKUP(BM$8,Well!$A$1:$E$488,2,FALSE)</f>
        <v>7.8581399999999997</v>
      </c>
      <c r="BN32" s="439">
        <f>VLOOKUP(BN$8,Well!$A$1:$E$488,2,FALSE)</f>
        <v>-1.0662100000000001</v>
      </c>
      <c r="BO32" s="439">
        <f>VLOOKUP(BO$8,Well!$A$1:$E$488,2,FALSE)</f>
        <v>-1.4781899999999999</v>
      </c>
      <c r="BP32" s="439">
        <f>VLOOKUP(BP$8,Well!$A$1:$E$488,2,FALSE)</f>
        <v>14.20515</v>
      </c>
      <c r="BQ32" s="439">
        <f>VLOOKUP(BQ$8,Well!$A$1:$E$488,2,FALSE)</f>
        <v>-10.58309</v>
      </c>
      <c r="BR32" s="439">
        <f>VLOOKUP(BR$8,Well!$A$1:$E$488,2,FALSE)</f>
        <v>-8.2278900000000004</v>
      </c>
      <c r="BS32" s="439">
        <f>VLOOKUP(BS$8,Well!$A$1:$E$488,2,FALSE)</f>
        <v>-5.3682600000000003</v>
      </c>
      <c r="BT32" s="439">
        <f>VLOOKUP(BT$8,Well!$A$1:$E$488,2,FALSE)</f>
        <v>-2.1175999999999999</v>
      </c>
      <c r="BU32" s="439">
        <f>VLOOKUP(BU$8,Well!$A$1:$E$488,2,FALSE)</f>
        <v>-1.4336800000000001</v>
      </c>
      <c r="BV32" s="439">
        <f>VLOOKUP(BV$8,Well!$A$1:$E$488,2,FALSE)</f>
        <v>2.3858999999999999</v>
      </c>
      <c r="BW32" s="439">
        <f>VLOOKUP(BW$8,Well!$A$1:$E$488,2,FALSE)</f>
        <v>1.59439</v>
      </c>
      <c r="BX32" s="439">
        <f>VLOOKUP(BX$8,Well!$A$1:$E$488,2,FALSE)</f>
        <v>4.1952100000000003</v>
      </c>
      <c r="BY32" s="439">
        <f>VLOOKUP(BY$8,Well!$A$1:$E$488,2,FALSE)</f>
        <v>1.78331</v>
      </c>
      <c r="BZ32" s="439">
        <f>VLOOKUP(BZ$8,Well!$A$1:$E$488,2,FALSE)</f>
        <v>6.859</v>
      </c>
      <c r="CA32" s="439">
        <f>VLOOKUP(CA$8,Well!$A$1:$E$488,2,FALSE)</f>
        <v>1.7635700000000001</v>
      </c>
      <c r="CB32" s="439">
        <f>VLOOKUP(CB$8,Well!$A$1:$E$488,2,FALSE)</f>
        <v>3.3763399999999999</v>
      </c>
      <c r="CC32" s="439">
        <f>VLOOKUP(CC$8,Well!$A$1:$E$488,2,FALSE)</f>
        <v>10.611560000000001</v>
      </c>
      <c r="CD32" s="439">
        <f>VLOOKUP(CD$8,Well!$A$1:$E$488,2,FALSE)</f>
        <v>-5.0621099999999997</v>
      </c>
      <c r="CE32" s="439">
        <f>VLOOKUP(CE$8,Well!$A$1:$E$488,2,FALSE)</f>
        <v>5.2249800000000004</v>
      </c>
      <c r="CF32" s="439">
        <f>VLOOKUP(CF$8,Well!$A$1:$E$488,2,FALSE)</f>
        <v>-5.52</v>
      </c>
      <c r="CG32" s="439">
        <f>VLOOKUP(CG$8,Well!$A$1:$E$488,2,FALSE)</f>
        <v>-6.57</v>
      </c>
      <c r="CH32" s="439">
        <f>VLOOKUP(CH$8,Well!$A$1:$E$488,2,FALSE)</f>
        <v>3.46</v>
      </c>
      <c r="CI32" s="439">
        <f>VLOOKUP(CI$8,Well!$A$1:$E$488,2,FALSE)</f>
        <v>6.51</v>
      </c>
      <c r="CJ32" s="439">
        <f>VLOOKUP(CJ$8,Well!$A$1:$E$488,2,FALSE)</f>
        <v>4.92</v>
      </c>
      <c r="CK32" s="439">
        <f>VLOOKUP(CK$8,Well!$A$1:$E$488,2,FALSE)</f>
        <v>-2.64</v>
      </c>
      <c r="CL32" s="439">
        <f>VLOOKUP(CL$8,Well!$A$1:$E$488,2,FALSE)</f>
        <v>5.3</v>
      </c>
      <c r="CM32" s="439">
        <f>VLOOKUP(CM$8,Well!$A$1:$E$488,2,FALSE)</f>
        <v>4.8899999999999997</v>
      </c>
      <c r="CN32" s="439">
        <f>VLOOKUP(CN$8,Well!$A$1:$E$488,2,FALSE)</f>
        <v>-4.24</v>
      </c>
      <c r="CO32" s="439">
        <f>VLOOKUP(CO$8,Well!$A$1:$E$488,2,FALSE)</f>
        <v>4.7300000000000004</v>
      </c>
      <c r="CP32" s="439">
        <f>VLOOKUP(CP$8,Well!$A$1:$E$488,2,FALSE)</f>
        <v>2.85</v>
      </c>
      <c r="CQ32" s="439">
        <f>VLOOKUP(CQ$8,Well!$A$1:$E$488,2,FALSE)</f>
        <v>6.93</v>
      </c>
      <c r="CR32" s="439">
        <f>VLOOKUP(CR$8,Well!$A$1:$E$488,2,FALSE)</f>
        <v>0.32</v>
      </c>
      <c r="CS32" s="439">
        <f>VLOOKUP(CS$8,Well!$A$1:$E$488,2,FALSE)</f>
        <v>2.31</v>
      </c>
      <c r="CT32" s="439">
        <f>VLOOKUP(CT$8,Well!$A$1:$E$488,2,FALSE)</f>
        <v>10.41</v>
      </c>
      <c r="CU32" s="439">
        <f>VLOOKUP(CU$8,Well!$A$1:$E$488,2,FALSE)</f>
        <v>7.34</v>
      </c>
      <c r="CV32" s="439">
        <f>VLOOKUP(CV$8,Well!$A$1:$E$488,2,FALSE)</f>
        <v>-7.44</v>
      </c>
      <c r="CW32" s="439">
        <f>VLOOKUP(CW$8,Well!$A$1:$E$488,2,FALSE)</f>
        <v>-4.8600000000000003</v>
      </c>
      <c r="CX32" s="439">
        <f>VLOOKUP(CX$8,Well!$A$1:$E$488,2,FALSE)</f>
        <v>4.4800000000000004</v>
      </c>
      <c r="CY32" s="439">
        <f>VLOOKUP(CY$8,Well!$A$1:$E$488,2,FALSE)</f>
        <v>-9.17</v>
      </c>
      <c r="CZ32" s="439">
        <f>VLOOKUP(CZ$8,Well!$A$1:$E$488,2,FALSE)</f>
        <v>-18.16</v>
      </c>
      <c r="DA32" s="439">
        <f>VLOOKUP(DA$8,Well!$A$1:$E$488,2,FALSE)</f>
        <v>-10.74</v>
      </c>
      <c r="DB32" s="439">
        <f>VLOOKUP(DB$8,Well!$A$1:$E$488,2,FALSE)</f>
        <v>1.02</v>
      </c>
      <c r="DC32" s="439">
        <f>VLOOKUP(DC$8,Well!$A$1:$E$488,2,FALSE)</f>
        <v>-2.3199999999999998</v>
      </c>
      <c r="DD32" s="439">
        <f>VLOOKUP(DD$8,Well!$A$1:$E$488,2,FALSE)</f>
        <v>-5.44</v>
      </c>
      <c r="DE32" s="439">
        <f>VLOOKUP(DE$8,Well!$A$1:$E$488,2,FALSE)</f>
        <v>4.16</v>
      </c>
      <c r="DF32" s="439">
        <f>VLOOKUP(DF$8,Well!$A$1:$E$488,2,FALSE)</f>
        <v>8.15</v>
      </c>
      <c r="DG32" s="439">
        <f>VLOOKUP(DG$8,Well!$A$1:$E$488,2,FALSE)</f>
        <v>0.32</v>
      </c>
      <c r="DH32" s="439">
        <f>VLOOKUP(DH$8,Well!$A$1:$E$488,2,FALSE)</f>
        <v>-1.96</v>
      </c>
      <c r="DI32" s="439">
        <f>VLOOKUP(DI$8,Well!$A$1:$E$488,2,FALSE)</f>
        <v>-7.37</v>
      </c>
      <c r="DJ32" s="439">
        <f>VLOOKUP(DJ$8,Well!$A$1:$E$488,2,FALSE)</f>
        <v>0.43</v>
      </c>
      <c r="DK32" s="439">
        <f>VLOOKUP(DK$8,Well!$A$1:$E$488,2,FALSE)</f>
        <v>-3.74</v>
      </c>
      <c r="DL32" s="439">
        <f>VLOOKUP(DL$8,Well!$A$1:$E$488,2,FALSE)</f>
        <v>2.82</v>
      </c>
      <c r="DM32" s="439">
        <f>VLOOKUP(DM$8,Well!$A$1:$E$488,2,FALSE)</f>
        <v>3.85</v>
      </c>
      <c r="DN32" s="439">
        <f>VLOOKUP(DN$8,Well!$A$1:$E$488,2,FALSE)</f>
        <v>0.3</v>
      </c>
      <c r="DO32" s="439">
        <f>VLOOKUP(DO$8,Well!$A$1:$E$488,2,FALSE)</f>
        <v>-1.99</v>
      </c>
      <c r="DP32" s="439">
        <f>VLOOKUP(DP$8,Well!$A$1:$E$488,2,FALSE)</f>
        <v>-1.27</v>
      </c>
      <c r="DQ32" s="439">
        <f>VLOOKUP(DQ$8,Well!$A$1:$E$488,2,FALSE)</f>
        <v>6.93</v>
      </c>
      <c r="DR32" s="439">
        <f>VLOOKUP(DR$8,Well!$A$1:$E$488,2,FALSE)</f>
        <v>4.96</v>
      </c>
      <c r="DS32" s="439">
        <f>VLOOKUP(DS$8,Well!$A$1:$E$488,2,FALSE)</f>
        <v>1.27</v>
      </c>
      <c r="DT32" s="439">
        <f>VLOOKUP(DT$8,Well!$A$1:$E$488,2,FALSE)</f>
        <v>0.26</v>
      </c>
      <c r="DU32" s="439">
        <f>VLOOKUP(DU$8,Well!$A$1:$E$488,2,FALSE)</f>
        <v>4.84</v>
      </c>
      <c r="DV32" s="439">
        <f>VLOOKUP(DV$8,Well!$A$1:$E$488,2,FALSE)</f>
        <v>-0.33</v>
      </c>
      <c r="DW32" s="439">
        <f>VLOOKUP(DW$8,Well!$A$1:$E$488,2,FALSE)</f>
        <v>3.72</v>
      </c>
      <c r="DX32" s="439">
        <f>VLOOKUP(DX$8,Well!$A$1:$E$488,2,FALSE)</f>
        <v>3.66</v>
      </c>
      <c r="DY32" s="439">
        <f>VLOOKUP(DY$8,Well!$A$1:$E$488,2,FALSE)</f>
        <v>0.68</v>
      </c>
      <c r="DZ32" s="439">
        <f>VLOOKUP(DZ$8,Well!$A$1:$E$488,2,FALSE)</f>
        <v>1.96</v>
      </c>
      <c r="EA32" s="439">
        <f>VLOOKUP(EA$8,Well!$A$1:$E$488,2,FALSE)</f>
        <v>-2.72</v>
      </c>
      <c r="EB32" s="439">
        <f>VLOOKUP(EB$8,Well!$A$1:$E$488,2,FALSE)</f>
        <v>-1.68</v>
      </c>
      <c r="EC32" s="439">
        <f>VLOOKUP(EC$8,Well!$A$1:$E$488,2,FALSE)</f>
        <v>-4.68</v>
      </c>
      <c r="ED32" s="439">
        <f>VLOOKUP(ED$8,Well!$A$1:$E$488,2,FALSE)</f>
        <v>1.02</v>
      </c>
      <c r="EE32" s="439">
        <f>VLOOKUP(EE$8,Well!$A$1:$E$488,2,FALSE)</f>
        <v>2.25</v>
      </c>
      <c r="EF32" s="439">
        <f>VLOOKUP(EF$8,Well!$A$1:$E$488,2,FALSE)</f>
        <v>0.39</v>
      </c>
      <c r="EG32" s="439">
        <f>VLOOKUP(EG$8,Well!$A$1:$E$488,2,FALSE)</f>
        <v>5.72</v>
      </c>
      <c r="EH32" s="439">
        <f>VLOOKUP(EH$8,Well!$A$1:$E$488,2,FALSE)</f>
        <v>1.37</v>
      </c>
      <c r="EI32" s="439">
        <f>VLOOKUP(EI$8,Well!$A$1:$E$488,2,FALSE)</f>
        <v>6.68</v>
      </c>
      <c r="EJ32" s="439">
        <f>VLOOKUP(EJ$8,Well!$A$1:$E$488,2,FALSE)</f>
        <v>-1</v>
      </c>
      <c r="EK32" s="439">
        <f>VLOOKUP(EK$8,Well!$A$1:$E$488,2,FALSE)</f>
        <v>1.54</v>
      </c>
      <c r="EL32" s="439">
        <f>VLOOKUP(EL$8,Well!$A$1:$E$488,2,FALSE)</f>
        <v>-1.28</v>
      </c>
      <c r="EM32" s="439">
        <f>VLOOKUP(EM$8,Well!$A$1:$E$488,2,FALSE)</f>
        <v>4.55</v>
      </c>
      <c r="EN32" s="439">
        <f>VLOOKUP(EN$8,Well!$A$1:$E$488,2,FALSE)</f>
        <v>3.42</v>
      </c>
      <c r="EO32" s="439">
        <f>VLOOKUP(EO$8,Well!$A$1:$E$488,2,FALSE)</f>
        <v>5.2</v>
      </c>
      <c r="EP32" s="439">
        <f>VLOOKUP(EP$8,Well!$A$1:$E$488,2,FALSE)</f>
        <v>-3.59</v>
      </c>
      <c r="EQ32" s="439">
        <f>VLOOKUP(EQ$8,Well!$A$1:$E$488,2,FALSE)</f>
        <v>-1.28</v>
      </c>
      <c r="ER32" s="439">
        <f>VLOOKUP(ER$8,Well!$A$1:$E$488,2,FALSE)</f>
        <v>2.96</v>
      </c>
      <c r="ES32" s="439">
        <f>VLOOKUP(ES$8,Well!$A$1:$E$488,2,FALSE)</f>
        <v>-1.59</v>
      </c>
      <c r="ET32" s="439">
        <f>VLOOKUP(ET$8,Well!$A$1:$E$488,2,FALSE)</f>
        <v>4.8099999999999996</v>
      </c>
      <c r="EU32" s="439">
        <f>VLOOKUP(EU$8,Well!$A$1:$E$488,2,FALSE)</f>
        <v>7</v>
      </c>
      <c r="EV32" s="439">
        <f>VLOOKUP(EV$8,Well!$A$1:$E$488,2,FALSE)</f>
        <v>1.86</v>
      </c>
      <c r="EW32" s="439">
        <f>VLOOKUP(EW$8,Well!$A$1:$E$488,2,FALSE)</f>
        <v>4.74</v>
      </c>
      <c r="EX32" s="393" t="s">
        <v>51</v>
      </c>
      <c r="EY32" s="1066" t="s">
        <v>471</v>
      </c>
      <c r="EZ32" s="789">
        <f>VLOOKUP($EY32,'NEPC data'!$B18:$M205,5,TRUE)*100</f>
        <v>-5.4746957344000036</v>
      </c>
      <c r="FA32" s="789">
        <f>VLOOKUP($EY32,'NEPC data'!$B18:$M205,7,TRUE)*100</f>
        <v>-31.121918977234174</v>
      </c>
      <c r="FB32" s="789">
        <f>VLOOKUP($EY32,'NEPC data'!$B18:$M205,9,TRUE)*100</f>
        <v>-8.7033620326359635</v>
      </c>
      <c r="FC32" s="789">
        <f>VLOOKUP($EY32,'NEPC data'!$B18:$M205,10,TRUE)*100</f>
        <v>2.4139210449090065</v>
      </c>
      <c r="FD32" s="789">
        <f>VLOOKUP($EY32,'NEPC data'!$B18:$M205,11,TRUE)*100</f>
        <v>0</v>
      </c>
      <c r="FE32" s="382"/>
      <c r="FF32" s="441">
        <f>IF(G32="---","-",ABS(EZ32-G32))</f>
        <v>10.21590264134835</v>
      </c>
      <c r="FG32" s="441">
        <f>IF(I32="---","-",ABS(FA32-I32))</f>
        <v>57.036516468232911</v>
      </c>
      <c r="FH32" s="441">
        <f>IF(K32="---","-",ABS(FB32-K32))</f>
        <v>30.832710735133396</v>
      </c>
      <c r="FI32" s="441">
        <f>IF(M32="---","-",ABS(FC32-M32))</f>
        <v>15.732573075240897</v>
      </c>
      <c r="FJ32" s="441">
        <f>IF(Q32="---","-",ABS(FD32-Q32))</f>
        <v>11.577565763883936</v>
      </c>
      <c r="FK32" s="382"/>
      <c r="FL32" s="442">
        <f>AF32</f>
        <v>10.392966540250326</v>
      </c>
      <c r="FM32" s="442">
        <f>ABS(FL32-AF32)</f>
        <v>0</v>
      </c>
    </row>
    <row r="33" spans="1:169" s="1028" customFormat="1" ht="12.75" customHeight="1" x14ac:dyDescent="0.2">
      <c r="A33" s="1234" t="s">
        <v>197</v>
      </c>
      <c r="B33" s="1024"/>
      <c r="C33" s="1235"/>
      <c r="D33" s="1218"/>
      <c r="E33" s="1237"/>
      <c r="F33" s="1220">
        <f>AH33</f>
        <v>5.0829000000000004</v>
      </c>
      <c r="G33" s="1023">
        <f t="array" ref="G33">IF($AJ33=0,"---",(PRODUCT($AH33:AJ33/100+1)-1)*100)</f>
        <v>4.7525474054321837</v>
      </c>
      <c r="H33" s="432">
        <f t="array" ref="H33">IF($AS33=0,"---",(PRODUCT(AH33:AN33/100+1)-1)*100)</f>
        <v>10.478708325018982</v>
      </c>
      <c r="I33" s="1023">
        <f t="array" ref="I33">IF(AS33=0,"---",(GEOMEAN($AH33:AS33/100+1)^12-1)*100)</f>
        <v>23.24825282837817</v>
      </c>
      <c r="J33" s="1023">
        <f t="array" ref="J33">IF(BE33=0,"---",(GEOMEAN($AH33:BE33/100+1)^12-1)*100)</f>
        <v>23.477849646017933</v>
      </c>
      <c r="K33" s="1023">
        <f t="array" ref="K33">IF(BQ33=0,"---",(GEOMEAN($AH33:BQ33/100+1)^12-1)*100)</f>
        <v>19.791725100591108</v>
      </c>
      <c r="L33" s="1023">
        <f t="array" ref="L33">IF(CC33=0,"---",(GEOMEAN($AH33:CC33/100+1)^12-1)*100)</f>
        <v>20.55967493798947</v>
      </c>
      <c r="M33" s="1023">
        <f t="array" ref="M33">IF(CO33=0,"---",(GEOMEAN($AH33:CO33/100+1)^12-1)*100)</f>
        <v>18.769449996491726</v>
      </c>
      <c r="N33" s="1023">
        <f t="array" ref="N33">IF(DM33=0,"---",(GEOMEAN($AH33:DM33/100+1)^12-1)*100)</f>
        <v>9.2060634049977672</v>
      </c>
      <c r="O33" s="1023">
        <f t="array" ref="O33">IF(EK33=0,"---",(GEOMEAN($AH33:EK33/100+1)^12-1)*100)</f>
        <v>9.7034278806273235</v>
      </c>
      <c r="P33" s="1023">
        <f t="array" ref="P33">IF(EW33=0,"---",(GEOMEAN($AH33:EW33/100+1)^12-1)*100)</f>
        <v>11.128418747862234</v>
      </c>
      <c r="Q33" s="1238" t="s">
        <v>34</v>
      </c>
      <c r="R33" s="1218"/>
      <c r="S33" s="1218"/>
      <c r="T33" s="1218"/>
      <c r="U33" s="1218"/>
      <c r="V33" s="1218"/>
      <c r="W33" s="1218"/>
      <c r="X33" s="1218"/>
      <c r="Y33" s="1218"/>
      <c r="Z33" s="1218"/>
      <c r="AA33" s="1218"/>
      <c r="AB33" s="1218"/>
      <c r="AC33" s="1222"/>
      <c r="AD33" s="1241"/>
      <c r="AF33" s="1027"/>
      <c r="AG33" s="1024"/>
      <c r="AH33" s="1025">
        <f t="shared" ref="AH33:CS33" si="23">VLOOKUP(AH$8,Index,5,FALSE)</f>
        <v>5.0829000000000004</v>
      </c>
      <c r="AI33" s="1025">
        <f t="shared" si="23"/>
        <v>-4.2742599999999999</v>
      </c>
      <c r="AJ33" s="1025">
        <f t="shared" si="23"/>
        <v>4.1367000000000003</v>
      </c>
      <c r="AK33" s="1025">
        <f t="shared" si="23"/>
        <v>1.7754099999999999</v>
      </c>
      <c r="AL33" s="1025">
        <f t="shared" si="23"/>
        <v>-1.5624199999999999</v>
      </c>
      <c r="AM33" s="1025">
        <f t="shared" si="23"/>
        <v>0.36878</v>
      </c>
      <c r="AN33" s="1025">
        <f t="shared" si="23"/>
        <v>4.8845599999999996</v>
      </c>
      <c r="AO33" s="1025">
        <f t="shared" si="23"/>
        <v>-2.12337</v>
      </c>
      <c r="AP33" s="1025">
        <f t="shared" si="23"/>
        <v>3.08874</v>
      </c>
      <c r="AQ33" s="1025">
        <f t="shared" si="23"/>
        <v>1.3227899999999999</v>
      </c>
      <c r="AR33" s="1025">
        <f t="shared" si="23"/>
        <v>3.7153399999999999</v>
      </c>
      <c r="AS33" s="1025">
        <f t="shared" si="23"/>
        <v>5.2111599999999996</v>
      </c>
      <c r="AT33" s="1025">
        <f t="shared" si="23"/>
        <v>-3.7472699999999999</v>
      </c>
      <c r="AU33" s="1025">
        <f t="shared" si="23"/>
        <v>6.1955099999999996</v>
      </c>
      <c r="AV33" s="1025">
        <f t="shared" si="23"/>
        <v>-1.8459000000000001</v>
      </c>
      <c r="AW33" s="1025">
        <f t="shared" si="23"/>
        <v>2.2593800000000002</v>
      </c>
      <c r="AX33" s="1025">
        <f t="shared" si="23"/>
        <v>0.62773999999999996</v>
      </c>
      <c r="AY33" s="1025">
        <f t="shared" si="23"/>
        <v>4.7832400000000002</v>
      </c>
      <c r="AZ33" s="1025">
        <f t="shared" si="23"/>
        <v>0.98173999999999995</v>
      </c>
      <c r="BA33" s="1025">
        <f t="shared" si="23"/>
        <v>7.2200600000000001</v>
      </c>
      <c r="BB33" s="1025">
        <f t="shared" si="23"/>
        <v>2.1855500000000001</v>
      </c>
      <c r="BC33" s="1025">
        <f t="shared" si="23"/>
        <v>2.2039399999999998</v>
      </c>
      <c r="BD33" s="1025">
        <f t="shared" si="23"/>
        <v>-0.79383000000000004</v>
      </c>
      <c r="BE33" s="1025">
        <f t="shared" si="23"/>
        <v>1.9394499999999999</v>
      </c>
      <c r="BF33" s="1025">
        <f t="shared" si="23"/>
        <v>3.4810699999999999</v>
      </c>
      <c r="BG33" s="1025">
        <f t="shared" si="23"/>
        <v>-4.4569999999999999E-2</v>
      </c>
      <c r="BH33" s="1025">
        <f t="shared" si="23"/>
        <v>1.89046</v>
      </c>
      <c r="BI33" s="1025">
        <f t="shared" si="23"/>
        <v>-6.4832299999999998</v>
      </c>
      <c r="BJ33" s="1025">
        <f t="shared" si="23"/>
        <v>-0.22505</v>
      </c>
      <c r="BK33" s="1025">
        <f t="shared" si="23"/>
        <v>1.8800399999999999</v>
      </c>
      <c r="BL33" s="1025">
        <f t="shared" si="23"/>
        <v>4.4987300000000001</v>
      </c>
      <c r="BM33" s="1025">
        <f t="shared" si="23"/>
        <v>6.6062399999999997</v>
      </c>
      <c r="BN33" s="1025">
        <f t="shared" si="23"/>
        <v>-0.37412000000000001</v>
      </c>
      <c r="BO33" s="1025">
        <f t="shared" si="23"/>
        <v>-0.30154999999999998</v>
      </c>
      <c r="BP33" s="1025">
        <f t="shared" si="23"/>
        <v>13.74639</v>
      </c>
      <c r="BQ33" s="1025">
        <f t="shared" si="23"/>
        <v>-10.58517</v>
      </c>
      <c r="BR33" s="1025">
        <f t="shared" si="23"/>
        <v>-7.1147999999999998</v>
      </c>
      <c r="BS33" s="1025">
        <f t="shared" si="23"/>
        <v>-3.53328</v>
      </c>
      <c r="BT33" s="1025">
        <f t="shared" si="23"/>
        <v>-2.0356900000000002</v>
      </c>
      <c r="BU33" s="1025">
        <f t="shared" si="23"/>
        <v>-1.3469800000000001</v>
      </c>
      <c r="BV33" s="1025">
        <f t="shared" si="23"/>
        <v>2.7150300000000001</v>
      </c>
      <c r="BW33" s="1025">
        <f t="shared" si="23"/>
        <v>2.4514399999999998</v>
      </c>
      <c r="BX33" s="1025">
        <f t="shared" si="23"/>
        <v>4.6542000000000003</v>
      </c>
      <c r="BY33" s="1025">
        <f t="shared" si="23"/>
        <v>1.9984299999999999</v>
      </c>
      <c r="BZ33" s="1025">
        <f t="shared" si="23"/>
        <v>6.5536300000000001</v>
      </c>
      <c r="CA33" s="1025">
        <f t="shared" si="23"/>
        <v>2.9697499999999999</v>
      </c>
      <c r="CB33" s="1025">
        <f t="shared" si="23"/>
        <v>3.4494400000000001</v>
      </c>
      <c r="CC33" s="1025">
        <f t="shared" si="23"/>
        <v>11.30566</v>
      </c>
      <c r="CD33" s="1025">
        <f t="shared" si="23"/>
        <v>-4.9399800000000003</v>
      </c>
      <c r="CE33" s="1025">
        <f t="shared" si="23"/>
        <v>6.9082600000000003</v>
      </c>
      <c r="CF33" s="1025">
        <f t="shared" si="23"/>
        <v>-6.5536500000000002</v>
      </c>
      <c r="CG33" s="1025">
        <f t="shared" si="23"/>
        <v>-7.1994300000000004</v>
      </c>
      <c r="CH33" s="1025">
        <f t="shared" si="23"/>
        <v>4.2622999999999998</v>
      </c>
      <c r="CI33" s="1025">
        <f t="shared" si="23"/>
        <v>7.1350100000000003</v>
      </c>
      <c r="CJ33" s="1025">
        <f t="shared" si="23"/>
        <v>5.2106300000000001</v>
      </c>
      <c r="CK33" s="1025">
        <f t="shared" si="23"/>
        <v>-3.2151999999999998</v>
      </c>
      <c r="CL33" s="1025">
        <f t="shared" si="23"/>
        <v>6.2750700000000004</v>
      </c>
      <c r="CM33" s="1025">
        <f t="shared" si="23"/>
        <v>4.0519999999999996</v>
      </c>
      <c r="CN33" s="1025">
        <f t="shared" si="23"/>
        <v>-4.54</v>
      </c>
      <c r="CO33" s="1025">
        <f t="shared" si="23"/>
        <v>5.7218</v>
      </c>
      <c r="CP33" s="1025">
        <f t="shared" si="23"/>
        <v>4.3673999999999999</v>
      </c>
      <c r="CQ33" s="1025">
        <f t="shared" si="23"/>
        <v>8.7392000000000003</v>
      </c>
      <c r="CR33" s="1025">
        <f t="shared" si="23"/>
        <v>0.62180000000000002</v>
      </c>
      <c r="CS33" s="1025">
        <f t="shared" si="23"/>
        <v>2.7363</v>
      </c>
      <c r="CT33" s="1025">
        <f t="shared" ref="CT33:EW33" si="24">VLOOKUP(CT$8,Index,5,FALSE)</f>
        <v>14.8696</v>
      </c>
      <c r="CU33" s="1025">
        <f t="shared" si="24"/>
        <v>9.0478000000000005</v>
      </c>
      <c r="CV33" s="1025">
        <f t="shared" si="24"/>
        <v>-9.6829000000000001</v>
      </c>
      <c r="CW33" s="1025">
        <f t="shared" si="24"/>
        <v>-7.2537000000000003</v>
      </c>
      <c r="CX33" s="1025">
        <f t="shared" si="24"/>
        <v>4.8474000000000004</v>
      </c>
      <c r="CY33" s="1025">
        <f t="shared" si="24"/>
        <v>-9.2696000000000005</v>
      </c>
      <c r="CZ33" s="1025">
        <f t="shared" si="24"/>
        <v>-21.738900000000001</v>
      </c>
      <c r="DA33" s="1025">
        <f t="shared" si="24"/>
        <v>-10.710900000000001</v>
      </c>
      <c r="DB33" s="1025">
        <f t="shared" si="24"/>
        <v>1.7122999999999999</v>
      </c>
      <c r="DC33" s="1025">
        <f t="shared" si="24"/>
        <v>-1.8543000000000001</v>
      </c>
      <c r="DD33" s="1025">
        <f t="shared" si="24"/>
        <v>-7.0342000000000002</v>
      </c>
      <c r="DE33" s="1025">
        <f t="shared" si="24"/>
        <v>5.2907999999999999</v>
      </c>
      <c r="DF33" s="1025">
        <f t="shared" si="24"/>
        <v>7.7061000000000002</v>
      </c>
      <c r="DG33" s="1025">
        <f t="shared" si="24"/>
        <v>-1.0244</v>
      </c>
      <c r="DH33" s="1025">
        <f t="shared" si="24"/>
        <v>-1.86</v>
      </c>
      <c r="DI33" s="1025">
        <f t="shared" si="24"/>
        <v>-6.1608000000000001</v>
      </c>
      <c r="DJ33" s="1025">
        <f t="shared" si="24"/>
        <v>-0.19189999999999999</v>
      </c>
      <c r="DK33" s="1025">
        <f t="shared" si="24"/>
        <v>-5.0377999999999998</v>
      </c>
      <c r="DL33" s="1025">
        <f t="shared" si="24"/>
        <v>2.6314000000000002</v>
      </c>
      <c r="DM33" s="1025">
        <f t="shared" si="24"/>
        <v>2.6453000000000002</v>
      </c>
      <c r="DN33" s="1025">
        <f t="shared" si="24"/>
        <v>0.92120000000000002</v>
      </c>
      <c r="DO33" s="1025">
        <f t="shared" si="24"/>
        <v>-4.3059000000000003</v>
      </c>
      <c r="DP33" s="1025">
        <f t="shared" si="24"/>
        <v>-2.1842999999999999</v>
      </c>
      <c r="DQ33" s="1025">
        <f t="shared" si="24"/>
        <v>5.0110999999999999</v>
      </c>
      <c r="DR33" s="1025">
        <f t="shared" si="24"/>
        <v>3.0417999999999998</v>
      </c>
      <c r="DS33" s="1025">
        <f t="shared" si="24"/>
        <v>1.3460000000000001</v>
      </c>
      <c r="DT33" s="1025">
        <f t="shared" si="24"/>
        <v>0.73309999999999997</v>
      </c>
      <c r="DU33" s="1025">
        <f t="shared" si="24"/>
        <v>3.6335999999999999</v>
      </c>
      <c r="DV33" s="1025">
        <f t="shared" si="24"/>
        <v>-0.48649999999999999</v>
      </c>
      <c r="DW33" s="1025">
        <f t="shared" si="24"/>
        <v>3.2174999999999998</v>
      </c>
      <c r="DX33" s="1025">
        <f t="shared" si="24"/>
        <v>4.157</v>
      </c>
      <c r="DY33" s="1025">
        <f t="shared" si="24"/>
        <v>0.67290000000000005</v>
      </c>
      <c r="DZ33" s="1025">
        <f t="shared" si="24"/>
        <v>1.1429</v>
      </c>
      <c r="EA33" s="1025">
        <f t="shared" si="24"/>
        <v>-2.8519000000000001</v>
      </c>
      <c r="EB33" s="1025">
        <f t="shared" si="24"/>
        <v>2.2599999999999999E-2</v>
      </c>
      <c r="EC33" s="1025">
        <f t="shared" si="24"/>
        <v>-4.5103</v>
      </c>
      <c r="ED33" s="1025">
        <f t="shared" si="24"/>
        <v>1.4072</v>
      </c>
      <c r="EE33" s="1025">
        <f t="shared" si="24"/>
        <v>2.4971000000000001</v>
      </c>
      <c r="EF33" s="1025">
        <f t="shared" si="24"/>
        <v>-0.83830000000000005</v>
      </c>
      <c r="EG33" s="1025">
        <f t="shared" si="24"/>
        <v>5.8918999999999997</v>
      </c>
      <c r="EH33" s="1025">
        <f t="shared" si="24"/>
        <v>0.69110000000000005</v>
      </c>
      <c r="EI33" s="1025">
        <f t="shared" si="24"/>
        <v>4.8864000000000001</v>
      </c>
      <c r="EJ33" s="1025">
        <f t="shared" si="24"/>
        <v>-2.1488</v>
      </c>
      <c r="EK33" s="1025">
        <f t="shared" si="24"/>
        <v>0.76880000000000004</v>
      </c>
      <c r="EL33" s="1025">
        <f t="shared" si="24"/>
        <v>-1.1146</v>
      </c>
      <c r="EM33" s="1025">
        <f t="shared" si="24"/>
        <v>5.2523999999999997</v>
      </c>
      <c r="EN33" s="1025">
        <f t="shared" si="24"/>
        <v>2.3184</v>
      </c>
      <c r="EO33" s="1025">
        <f t="shared" si="24"/>
        <v>6.0223000000000004</v>
      </c>
      <c r="EP33" s="1025">
        <f t="shared" si="24"/>
        <v>-3.8864999999999998</v>
      </c>
      <c r="EQ33" s="1025">
        <f t="shared" si="24"/>
        <v>-1.107</v>
      </c>
      <c r="ER33" s="1025">
        <f t="shared" si="24"/>
        <v>3.3546</v>
      </c>
      <c r="ES33" s="1025">
        <f t="shared" si="24"/>
        <v>-2.5524</v>
      </c>
      <c r="ET33" s="1025">
        <f t="shared" si="24"/>
        <v>4.1871999999999998</v>
      </c>
      <c r="EU33" s="1025">
        <f t="shared" si="24"/>
        <v>5.9550999999999998</v>
      </c>
      <c r="EV33" s="1025">
        <f t="shared" si="24"/>
        <v>1.5996999999999999</v>
      </c>
      <c r="EW33" s="1025">
        <f t="shared" si="24"/>
        <v>2.9615</v>
      </c>
      <c r="EX33" s="1230"/>
      <c r="EY33" s="1230"/>
      <c r="EZ33" s="789" t="e">
        <f>VLOOKUP($EY33,'NEPC data'!$B20:$M207,5,TRUE)*100</f>
        <v>#N/A</v>
      </c>
      <c r="FA33" s="789" t="e">
        <f>VLOOKUP($EY33,'NEPC data'!$B20:$M207,7,TRUE)*100</f>
        <v>#N/A</v>
      </c>
      <c r="FB33" s="789" t="e">
        <f>VLOOKUP($EY33,'NEPC data'!$B20:$M207,9,TRUE)*100</f>
        <v>#N/A</v>
      </c>
      <c r="FC33" s="789" t="e">
        <f>VLOOKUP($EY33,'NEPC data'!$B20:$M207,10,TRUE)*100</f>
        <v>#N/A</v>
      </c>
      <c r="FD33" s="789" t="e">
        <f>VLOOKUP($EY33,'NEPC data'!$B20:$M207,11,TRUE)*100</f>
        <v>#N/A</v>
      </c>
      <c r="FE33" s="1024"/>
      <c r="FF33" s="1027"/>
      <c r="FG33" s="1027"/>
      <c r="FH33" s="1027"/>
      <c r="FI33" s="1027"/>
      <c r="FJ33" s="1027"/>
      <c r="FK33" s="1024"/>
      <c r="FL33" s="1027"/>
      <c r="FM33" s="1027"/>
    </row>
    <row r="34" spans="1:169" s="395" customFormat="1" ht="12.75" customHeight="1" x14ac:dyDescent="0.2">
      <c r="A34" s="456"/>
      <c r="B34" s="418"/>
      <c r="C34" s="414"/>
      <c r="D34" s="249"/>
      <c r="E34" s="457"/>
      <c r="F34" s="431"/>
      <c r="G34" s="432"/>
      <c r="H34" s="432"/>
      <c r="I34" s="432"/>
      <c r="J34" s="432"/>
      <c r="K34" s="432"/>
      <c r="L34" s="432"/>
      <c r="M34" s="432"/>
      <c r="N34" s="432"/>
      <c r="O34" s="432"/>
      <c r="P34" s="432"/>
      <c r="Q34" s="458"/>
      <c r="R34" s="249"/>
      <c r="S34" s="249"/>
      <c r="T34" s="249"/>
      <c r="U34" s="249"/>
      <c r="V34" s="249"/>
      <c r="W34" s="249"/>
      <c r="X34" s="249"/>
      <c r="Y34" s="249"/>
      <c r="Z34" s="249"/>
      <c r="AA34" s="249"/>
      <c r="AB34" s="249"/>
      <c r="AC34" s="459"/>
      <c r="AD34" s="474"/>
      <c r="AE34" s="15"/>
      <c r="AF34" s="442"/>
      <c r="AG34" s="382"/>
      <c r="AH34" s="439"/>
      <c r="AI34" s="439"/>
      <c r="AJ34" s="439"/>
      <c r="AK34" s="439"/>
      <c r="AL34" s="439"/>
      <c r="AM34" s="439"/>
      <c r="AN34" s="439"/>
      <c r="AO34" s="439"/>
      <c r="AP34" s="439"/>
      <c r="AQ34" s="439"/>
      <c r="AR34" s="439"/>
      <c r="AS34" s="439"/>
      <c r="AT34" s="439"/>
      <c r="AU34" s="439"/>
      <c r="AV34" s="439"/>
      <c r="AW34" s="439"/>
      <c r="AX34" s="439"/>
      <c r="AY34" s="439"/>
      <c r="AZ34" s="439"/>
      <c r="BA34" s="439"/>
      <c r="BB34" s="439"/>
      <c r="BC34" s="439"/>
      <c r="BD34" s="439"/>
      <c r="BE34" s="439"/>
      <c r="BF34" s="439"/>
      <c r="BG34" s="439"/>
      <c r="BH34" s="439"/>
      <c r="BI34" s="439"/>
      <c r="BJ34" s="439"/>
      <c r="BK34" s="439"/>
      <c r="BL34" s="439"/>
      <c r="BM34" s="439"/>
      <c r="BN34" s="439"/>
      <c r="BO34" s="439"/>
      <c r="BP34" s="439"/>
      <c r="BQ34" s="439"/>
      <c r="BR34" s="439"/>
      <c r="BS34" s="439"/>
      <c r="BT34" s="439"/>
      <c r="BU34" s="439"/>
      <c r="BV34" s="439"/>
      <c r="BW34" s="439"/>
      <c r="BX34" s="439"/>
      <c r="BY34" s="439"/>
      <c r="BZ34" s="439"/>
      <c r="CA34" s="439"/>
      <c r="CB34" s="439"/>
      <c r="CC34" s="439"/>
      <c r="CD34" s="439"/>
      <c r="CE34" s="439"/>
      <c r="CF34" s="439"/>
      <c r="CG34" s="439"/>
      <c r="CH34" s="439"/>
      <c r="CI34" s="439"/>
      <c r="CJ34" s="439"/>
      <c r="CK34" s="439"/>
      <c r="CL34" s="439"/>
      <c r="CM34" s="439"/>
      <c r="CN34" s="439"/>
      <c r="CO34" s="439"/>
      <c r="CP34" s="439"/>
      <c r="CQ34" s="439"/>
      <c r="CR34" s="439"/>
      <c r="CS34" s="439"/>
      <c r="CT34" s="439"/>
      <c r="CU34" s="439"/>
      <c r="CV34" s="439"/>
      <c r="CW34" s="439"/>
      <c r="CX34" s="439"/>
      <c r="CY34" s="439"/>
      <c r="CZ34" s="439"/>
      <c r="DA34" s="439"/>
      <c r="DB34" s="439"/>
      <c r="DC34" s="439"/>
      <c r="DD34" s="439"/>
      <c r="DE34" s="439"/>
      <c r="DF34" s="439"/>
      <c r="DG34" s="439"/>
      <c r="DH34" s="439"/>
      <c r="DI34" s="439"/>
      <c r="DJ34" s="439"/>
      <c r="DK34" s="439"/>
      <c r="DL34" s="439"/>
      <c r="DM34" s="439"/>
      <c r="DN34" s="439"/>
      <c r="DO34" s="439"/>
      <c r="DP34" s="439"/>
      <c r="DQ34" s="439"/>
      <c r="DR34" s="439"/>
      <c r="DS34" s="439"/>
      <c r="DT34" s="439"/>
      <c r="DU34" s="439"/>
      <c r="DV34" s="439"/>
      <c r="DW34" s="439"/>
      <c r="DX34" s="439"/>
      <c r="DY34" s="439"/>
      <c r="DZ34" s="439"/>
      <c r="EA34" s="439"/>
      <c r="EB34" s="439"/>
      <c r="EC34" s="439"/>
      <c r="ED34" s="439"/>
      <c r="EE34" s="439"/>
      <c r="EF34" s="439"/>
      <c r="EG34" s="439"/>
      <c r="EH34" s="439"/>
      <c r="EI34" s="439"/>
      <c r="EJ34" s="439"/>
      <c r="EK34" s="439"/>
      <c r="EL34" s="439"/>
      <c r="EM34" s="439"/>
      <c r="EN34" s="439"/>
      <c r="EO34" s="439"/>
      <c r="EP34" s="439"/>
      <c r="EQ34" s="439"/>
      <c r="ER34" s="439"/>
      <c r="ES34" s="439"/>
      <c r="ET34" s="439"/>
      <c r="EU34" s="439"/>
      <c r="EV34" s="439"/>
      <c r="EW34" s="439"/>
      <c r="EX34" s="393"/>
      <c r="EY34" s="393"/>
      <c r="EZ34" s="789" t="e">
        <f>VLOOKUP($EY34,'NEPC data'!$B21:$M208,5,TRUE)*100</f>
        <v>#N/A</v>
      </c>
      <c r="FA34" s="789" t="e">
        <f>VLOOKUP($EY34,'NEPC data'!$B21:$M208,7,TRUE)*100</f>
        <v>#N/A</v>
      </c>
      <c r="FB34" s="789" t="e">
        <f>VLOOKUP($EY34,'NEPC data'!$B21:$M208,9,TRUE)*100</f>
        <v>#N/A</v>
      </c>
      <c r="FC34" s="789" t="e">
        <f>VLOOKUP($EY34,'NEPC data'!$B21:$M208,10,TRUE)*100</f>
        <v>#N/A</v>
      </c>
      <c r="FD34" s="789" t="e">
        <f>VLOOKUP($EY34,'NEPC data'!$B21:$M208,11,TRUE)*100</f>
        <v>#N/A</v>
      </c>
      <c r="FE34" s="382"/>
      <c r="FF34" s="442"/>
      <c r="FG34" s="442"/>
      <c r="FH34" s="442"/>
      <c r="FI34" s="442"/>
      <c r="FJ34" s="442"/>
      <c r="FK34" s="382"/>
      <c r="FL34" s="442"/>
      <c r="FM34" s="442"/>
    </row>
    <row r="35" spans="1:169" s="395" customFormat="1" ht="12.75" customHeight="1" x14ac:dyDescent="0.2">
      <c r="A35" s="445" t="s">
        <v>52</v>
      </c>
      <c r="B35" s="621" t="s">
        <v>320</v>
      </c>
      <c r="C35" s="446">
        <v>36860</v>
      </c>
      <c r="D35" s="447">
        <f>ASRS_E3!D1</f>
        <v>1</v>
      </c>
      <c r="E35" s="448">
        <f>VLOOKUP(AH$8,ASRS_E3!A1:E488,3,FALSE)/1000000</f>
        <v>510.20871192000004</v>
      </c>
      <c r="F35" s="449">
        <f>AH35</f>
        <v>4.8990099999999996</v>
      </c>
      <c r="G35" s="450">
        <f t="array" ref="G35">IF($AJ35=0,"---",(PRODUCT($AH35:AJ35/100+1)-1)*100)</f>
        <v>4.4418159986965522</v>
      </c>
      <c r="H35" s="450">
        <f t="array" ref="H35">IF($AS35=0,"---",(PRODUCT(AH35:AN35/100+1)-1)*100)</f>
        <v>8.3499946973348393</v>
      </c>
      <c r="I35" s="450">
        <f t="array" ref="I35">IF(AS35=0,"---",(GEOMEAN($AH35:AS35/100+1)^12-1)*100)</f>
        <v>21.171458674495259</v>
      </c>
      <c r="J35" s="450">
        <f t="array" ref="J35">IF(BE35=0,"---",(GEOMEAN($AH35:BE35/100+1)^12-1)*100)</f>
        <v>21.175332651065482</v>
      </c>
      <c r="K35" s="450">
        <f t="array" ref="K35">IF(BQ35=0,"---",(GEOMEAN($AH35:BQ35/100+1)^12-1)*100)</f>
        <v>17.921834601579057</v>
      </c>
      <c r="L35" s="450">
        <f t="array" ref="L35">IF(CC35=0,"---",(GEOMEAN($AH35:CC35/100+1)^12-1)*100)</f>
        <v>20.68002946248091</v>
      </c>
      <c r="M35" s="450">
        <f t="array" ref="M35">IF(CO35=0,"---",(GEOMEAN($AH35:CO35/100+1)^12-1)*100)</f>
        <v>19.468792336064823</v>
      </c>
      <c r="N35" s="450">
        <f t="array" ref="N35">IF(DM35=0,"---",(GEOMEAN($AH35:DM35/100+1)^12-1)*100)</f>
        <v>10.557122321107904</v>
      </c>
      <c r="O35" s="450">
        <f t="array" ref="O35">IF(EK35=0,"---",(GEOMEAN($AH35:EK35/100+1)^12-1)*100)</f>
        <v>10.693003945814628</v>
      </c>
      <c r="P35" s="450">
        <f t="array" ref="P35">IF(EW35=0,"---",(GEOMEAN($AH35:EW35/100+1)^12-1)*100)</f>
        <v>11.953687545089808</v>
      </c>
      <c r="Q35" s="451">
        <f t="array" ref="Q35">(GEOMEAN(ASRS_E3!B$308:B471/100+1)^12-1)*100</f>
        <v>8.5077422781942182</v>
      </c>
      <c r="R35" s="452">
        <f t="shared" ref="R35:AB35" si="25">IF(F35="---","---",(F35-F$36)*100)</f>
        <v>0.66499999999996007</v>
      </c>
      <c r="S35" s="452">
        <f t="shared" si="25"/>
        <v>-0.61727242586684383</v>
      </c>
      <c r="T35" s="452">
        <f t="shared" si="25"/>
        <v>-3.2452551947992347</v>
      </c>
      <c r="U35" s="452">
        <f t="shared" si="25"/>
        <v>9.9840549571371895</v>
      </c>
      <c r="V35" s="452">
        <f t="shared" si="25"/>
        <v>12.368170155014724</v>
      </c>
      <c r="W35" s="452">
        <f t="shared" si="25"/>
        <v>25.906279034817459</v>
      </c>
      <c r="X35" s="452">
        <f t="shared" si="25"/>
        <v>34.571437158039942</v>
      </c>
      <c r="Y35" s="452">
        <f t="shared" si="25"/>
        <v>49.225940769395038</v>
      </c>
      <c r="Z35" s="452">
        <f t="shared" si="25"/>
        <v>77.671072406278086</v>
      </c>
      <c r="AA35" s="452">
        <f t="shared" si="25"/>
        <v>60.018109171105039</v>
      </c>
      <c r="AB35" s="452">
        <f t="shared" si="25"/>
        <v>55.212881980393114</v>
      </c>
      <c r="AC35" s="453">
        <f>(Q35-AF35)*100</f>
        <v>57.118861977669596</v>
      </c>
      <c r="AD35" s="454">
        <v>10</v>
      </c>
      <c r="AE35" s="437"/>
      <c r="AF35" s="473">
        <f t="array" ref="AF35">(GEOMEAN(Index_Returns!F308:F471/100+1)^12-1)*100</f>
        <v>7.9365536584175223</v>
      </c>
      <c r="AG35" s="382" t="str">
        <f>IF(I35="---","&lt; 1 Year","---")</f>
        <v>---</v>
      </c>
      <c r="AH35" s="439">
        <f>VLOOKUP(AH$8,ASRS_E3!$A$1:$E$488,2,FALSE)</f>
        <v>4.8990099999999996</v>
      </c>
      <c r="AI35" s="439">
        <f>VLOOKUP(AI$8,ASRS_E3!$A$1:$E$488,2,FALSE)</f>
        <v>-4.20608</v>
      </c>
      <c r="AJ35" s="439">
        <f>VLOOKUP(AJ$8,ASRS_E3!$A$1:$E$488,2,FALSE)</f>
        <v>3.9357799999999998</v>
      </c>
      <c r="AK35" s="439">
        <f>VLOOKUP(AK$8,ASRS_E3!$A$1:$E$488,2,FALSE)</f>
        <v>1.88296</v>
      </c>
      <c r="AL35" s="439">
        <f>VLOOKUP(AL$8,ASRS_E3!$A$1:$E$488,2,FALSE)</f>
        <v>-2.8412099999999998</v>
      </c>
      <c r="AM35" s="439">
        <f>VLOOKUP(AM$8,ASRS_E3!$A$1:$E$488,2,FALSE)</f>
        <v>-0.50275999999999998</v>
      </c>
      <c r="AN35" s="439">
        <f>VLOOKUP(AN$8,ASRS_E3!$A$1:$E$488,2,FALSE)</f>
        <v>5.3318700000000003</v>
      </c>
      <c r="AO35" s="439">
        <f>VLOOKUP(AO$8,ASRS_E3!$A$1:$E$488,2,FALSE)</f>
        <v>-2.5193699999999999</v>
      </c>
      <c r="AP35" s="439">
        <f>VLOOKUP(AP$8,ASRS_E3!$A$1:$E$488,2,FALSE)</f>
        <v>3.3922400000000001</v>
      </c>
      <c r="AQ35" s="439">
        <f>VLOOKUP(AQ$8,ASRS_E3!$A$1:$E$488,2,FALSE)</f>
        <v>1.67659</v>
      </c>
      <c r="AR35" s="439">
        <f>VLOOKUP(AR$8,ASRS_E3!$A$1:$E$488,2,FALSE)</f>
        <v>3.1792699999999998</v>
      </c>
      <c r="AS35" s="439">
        <f>VLOOKUP(AS$8,ASRS_E3!$A$1:$E$488,2,FALSE)</f>
        <v>5.7673800000000002</v>
      </c>
      <c r="AT35" s="439">
        <f>VLOOKUP(AT$8,ASRS_E3!$A$1:$E$488,2,FALSE)</f>
        <v>-3.61517</v>
      </c>
      <c r="AU35" s="439">
        <f>VLOOKUP(AU$8,ASRS_E3!$A$1:$E$488,2,FALSE)</f>
        <v>6.1217600000000001</v>
      </c>
      <c r="AV35" s="439">
        <f>VLOOKUP(AV$8,ASRS_E3!$A$1:$E$488,2,FALSE)</f>
        <v>-2.4426100000000002</v>
      </c>
      <c r="AW35" s="439">
        <f>VLOOKUP(AW$8,ASRS_E3!$A$1:$E$488,2,FALSE)</f>
        <v>2.2974399999999999</v>
      </c>
      <c r="AX35" s="439">
        <f>VLOOKUP(AX$8,ASRS_E3!$A$1:$E$488,2,FALSE)</f>
        <v>1.24698</v>
      </c>
      <c r="AY35" s="439">
        <f>VLOOKUP(AY$8,ASRS_E3!$A$1:$E$488,2,FALSE)</f>
        <v>4.4068199999999997</v>
      </c>
      <c r="AZ35" s="439">
        <f>VLOOKUP(AZ$8,ASRS_E3!$A$1:$E$488,2,FALSE)</f>
        <v>0.36586999999999997</v>
      </c>
      <c r="BA35" s="439">
        <f>VLOOKUP(BA$8,ASRS_E3!$A$1:$E$488,2,FALSE)</f>
        <v>7.0355499999999997</v>
      </c>
      <c r="BB35" s="439">
        <f>VLOOKUP(BB$8,ASRS_E3!$A$1:$E$488,2,FALSE)</f>
        <v>1.3033699999999999</v>
      </c>
      <c r="BC35" s="439">
        <f>VLOOKUP(BC$8,ASRS_E3!$A$1:$E$488,2,FALSE)</f>
        <v>2.59029</v>
      </c>
      <c r="BD35" s="439">
        <f>VLOOKUP(BD$8,ASRS_E3!$A$1:$E$488,2,FALSE)</f>
        <v>-1.10314</v>
      </c>
      <c r="BE35" s="439">
        <f>VLOOKUP(BE$8,ASRS_E3!$A$1:$E$488,2,FALSE)</f>
        <v>1.7073499999999999</v>
      </c>
      <c r="BF35" s="439">
        <f>VLOOKUP(BF$8,ASRS_E3!$A$1:$E$488,2,FALSE)</f>
        <v>4.1377499999999996</v>
      </c>
      <c r="BG35" s="439">
        <f>VLOOKUP(BG$8,ASRS_E3!$A$1:$E$488,2,FALSE)</f>
        <v>0.13095000000000001</v>
      </c>
      <c r="BH35" s="439">
        <f>VLOOKUP(BH$8,ASRS_E3!$A$1:$E$488,2,FALSE)</f>
        <v>0.93791000000000002</v>
      </c>
      <c r="BI35" s="439">
        <f>VLOOKUP(BI$8,ASRS_E3!$A$1:$E$488,2,FALSE)</f>
        <v>-6.3199699999999996</v>
      </c>
      <c r="BJ35" s="439">
        <f>VLOOKUP(BJ$8,ASRS_E3!$A$1:$E$488,2,FALSE)</f>
        <v>-9.6750000000000003E-2</v>
      </c>
      <c r="BK35" s="439">
        <f>VLOOKUP(BK$8,ASRS_E3!$A$1:$E$488,2,FALSE)</f>
        <v>1.6627099999999999</v>
      </c>
      <c r="BL35" s="439">
        <f>VLOOKUP(BL$8,ASRS_E3!$A$1:$E$488,2,FALSE)</f>
        <v>5.0316200000000002</v>
      </c>
      <c r="BM35" s="439">
        <f>VLOOKUP(BM$8,ASRS_E3!$A$1:$E$488,2,FALSE)</f>
        <v>6.8771100000000001</v>
      </c>
      <c r="BN35" s="439">
        <f>VLOOKUP(BN$8,ASRS_E3!$A$1:$E$488,2,FALSE)</f>
        <v>-1.4458599999999999</v>
      </c>
      <c r="BO35" s="439">
        <f>VLOOKUP(BO$8,ASRS_E3!$A$1:$E$488,2,FALSE)</f>
        <v>-1.0104200000000001</v>
      </c>
      <c r="BP35" s="439">
        <f>VLOOKUP(BP$8,ASRS_E3!$A$1:$E$488,2,FALSE)</f>
        <v>13.33724</v>
      </c>
      <c r="BQ35" s="439">
        <f>VLOOKUP(BQ$8,ASRS_E3!$A$1:$E$488,2,FALSE)</f>
        <v>-10.15512</v>
      </c>
      <c r="BR35" s="439">
        <f>VLOOKUP(BR$8,ASRS_E3!$A$1:$E$488,2,FALSE)</f>
        <v>-6.8687500000000004</v>
      </c>
      <c r="BS35" s="439">
        <f>VLOOKUP(BS$8,ASRS_E3!$A$1:$E$488,2,FALSE)</f>
        <v>-3.1206399999999999</v>
      </c>
      <c r="BT35" s="439">
        <f>VLOOKUP(BT$8,ASRS_E3!$A$1:$E$488,2,FALSE)</f>
        <v>-1.5104900000000001</v>
      </c>
      <c r="BU35" s="439">
        <f>VLOOKUP(BU$8,ASRS_E3!$A$1:$E$488,2,FALSE)</f>
        <v>-0.97792999999999997</v>
      </c>
      <c r="BV35" s="439">
        <f>VLOOKUP(BV$8,ASRS_E3!$A$1:$E$488,2,FALSE)</f>
        <v>3.5291800000000002</v>
      </c>
      <c r="BW35" s="439">
        <f>VLOOKUP(BW$8,ASRS_E3!$A$1:$E$488,2,FALSE)</f>
        <v>3.2042899999999999</v>
      </c>
      <c r="BX35" s="439">
        <f>VLOOKUP(BX$8,ASRS_E3!$A$1:$E$488,2,FALSE)</f>
        <v>5.2081</v>
      </c>
      <c r="BY35" s="439">
        <f>VLOOKUP(BY$8,ASRS_E3!$A$1:$E$488,2,FALSE)</f>
        <v>1.3908799999999999</v>
      </c>
      <c r="BZ35" s="439">
        <f>VLOOKUP(BZ$8,ASRS_E3!$A$1:$E$488,2,FALSE)</f>
        <v>5.6222700000000003</v>
      </c>
      <c r="CA35" s="439">
        <f>VLOOKUP(CA$8,ASRS_E3!$A$1:$E$488,2,FALSE)</f>
        <v>4.4900799999999998</v>
      </c>
      <c r="CB35" s="439">
        <f>VLOOKUP(CB$8,ASRS_E3!$A$1:$E$488,2,FALSE)</f>
        <v>3.9597000000000002</v>
      </c>
      <c r="CC35" s="439">
        <f>VLOOKUP(CC$8,ASRS_E3!$A$1:$E$488,2,FALSE)</f>
        <v>12.410299999999999</v>
      </c>
      <c r="CD35" s="439">
        <f>VLOOKUP(CD$8,ASRS_E3!$A$1:$E$488,2,FALSE)</f>
        <v>-4.4455600000000004</v>
      </c>
      <c r="CE35" s="439">
        <f>VLOOKUP(CE$8,ASRS_E3!$A$1:$E$488,2,FALSE)</f>
        <v>7.0282200000000001</v>
      </c>
      <c r="CF35" s="439">
        <f>VLOOKUP(CF$8,ASRS_E3!$A$1:$E$488,2,FALSE)</f>
        <v>-6.2150499999999997</v>
      </c>
      <c r="CG35" s="439">
        <f>VLOOKUP(CG$8,ASRS_E3!$A$1:$E$488,2,FALSE)</f>
        <v>-6.6767500000000002</v>
      </c>
      <c r="CH35" s="439">
        <f>VLOOKUP(CH$8,ASRS_E3!$A$1:$E$488,2,FALSE)</f>
        <v>3.8119800000000001</v>
      </c>
      <c r="CI35" s="439">
        <f>VLOOKUP(CI$8,ASRS_E3!$A$1:$E$488,2,FALSE)</f>
        <v>7.8924799999999999</v>
      </c>
      <c r="CJ35" s="439">
        <f>VLOOKUP(CJ$8,ASRS_E3!$A$1:$E$488,2,FALSE)</f>
        <v>5.60825</v>
      </c>
      <c r="CK35" s="439">
        <f>VLOOKUP(CK$8,ASRS_E3!$A$1:$E$488,2,FALSE)</f>
        <v>-3.8944000000000001</v>
      </c>
      <c r="CL35" s="439">
        <f>VLOOKUP(CL$8,ASRS_E3!$A$1:$E$488,2,FALSE)</f>
        <v>5.6691399999999996</v>
      </c>
      <c r="CM35" s="439">
        <f>VLOOKUP(CM$8,ASRS_E3!$A$1:$E$488,2,FALSE)</f>
        <v>3.9839600000000002</v>
      </c>
      <c r="CN35" s="439">
        <f>VLOOKUP(CN$8,ASRS_E3!$A$1:$E$488,2,FALSE)</f>
        <v>-3.3195100000000002</v>
      </c>
      <c r="CO35" s="439">
        <f>VLOOKUP(CO$8,ASRS_E3!$A$1:$E$488,2,FALSE)</f>
        <v>6.15</v>
      </c>
      <c r="CP35" s="439">
        <f>VLOOKUP(CP$8,ASRS_E3!$A$1:$E$488,2,FALSE)</f>
        <v>3.35</v>
      </c>
      <c r="CQ35" s="439">
        <f>VLOOKUP(CQ$8,ASRS_E3!$A$1:$E$488,2,FALSE)</f>
        <v>8.1300000000000008</v>
      </c>
      <c r="CR35" s="439">
        <f>VLOOKUP(CR$8,ASRS_E3!$A$1:$E$488,2,FALSE)</f>
        <v>0.48</v>
      </c>
      <c r="CS35" s="439">
        <f>VLOOKUP(CS$8,ASRS_E3!$A$1:$E$488,2,FALSE)</f>
        <v>3.47</v>
      </c>
      <c r="CT35" s="439">
        <f>VLOOKUP(CT$8,ASRS_E3!$A$1:$E$488,2,FALSE)</f>
        <v>13.3</v>
      </c>
      <c r="CU35" s="439">
        <f>VLOOKUP(CU$8,ASRS_E3!$A$1:$E$488,2,FALSE)</f>
        <v>9.33</v>
      </c>
      <c r="CV35" s="439">
        <f>VLOOKUP(CV$8,ASRS_E3!$A$1:$E$488,2,FALSE)</f>
        <v>-7.45</v>
      </c>
      <c r="CW35" s="439">
        <f>VLOOKUP(CW$8,ASRS_E3!$A$1:$E$488,2,FALSE)</f>
        <v>-4.7699999999999996</v>
      </c>
      <c r="CX35" s="439">
        <f>VLOOKUP(CX$8,ASRS_E3!$A$1:$E$488,2,FALSE)</f>
        <v>4.49</v>
      </c>
      <c r="CY35" s="439">
        <f>VLOOKUP(CY$8,ASRS_E3!$A$1:$E$488,2,FALSE)</f>
        <v>-9.9</v>
      </c>
      <c r="CZ35" s="439">
        <f>VLOOKUP(CZ$8,ASRS_E3!$A$1:$E$488,2,FALSE)</f>
        <v>-20.34</v>
      </c>
      <c r="DA35" s="439">
        <f>VLOOKUP(DA$8,ASRS_E3!$A$1:$E$488,2,FALSE)</f>
        <v>-12.54</v>
      </c>
      <c r="DB35" s="439">
        <f>VLOOKUP(DB$8,ASRS_E3!$A$1:$E$488,2,FALSE)</f>
        <v>1.33</v>
      </c>
      <c r="DC35" s="439">
        <f>VLOOKUP(DC$8,ASRS_E3!$A$1:$E$488,2,FALSE)</f>
        <v>-3.4</v>
      </c>
      <c r="DD35" s="439">
        <f>VLOOKUP(DD$8,ASRS_E3!$A$1:$E$488,2,FALSE)</f>
        <v>-5.28</v>
      </c>
      <c r="DE35" s="439">
        <f>VLOOKUP(DE$8,ASRS_E3!$A$1:$E$488,2,FALSE)</f>
        <v>6.06</v>
      </c>
      <c r="DF35" s="439">
        <f>VLOOKUP(DF$8,ASRS_E3!$A$1:$E$488,2,FALSE)</f>
        <v>8</v>
      </c>
      <c r="DG35" s="439">
        <f>VLOOKUP(DG$8,ASRS_E3!$A$1:$E$488,2,FALSE)</f>
        <v>-1.47</v>
      </c>
      <c r="DH35" s="439">
        <f>VLOOKUP(DH$8,ASRS_E3!$A$1:$E$488,2,FALSE)</f>
        <v>-0.36</v>
      </c>
      <c r="DI35" s="439">
        <f>VLOOKUP(DI$8,ASRS_E3!$A$1:$E$488,2,FALSE)</f>
        <v>-7.24</v>
      </c>
      <c r="DJ35" s="439">
        <f>VLOOKUP(DJ$8,ASRS_E3!$A$1:$E$488,2,FALSE)</f>
        <v>0.09</v>
      </c>
      <c r="DK35" s="439">
        <f>VLOOKUP(DK$8,ASRS_E3!$A$1:$E$488,2,FALSE)</f>
        <v>-3.98</v>
      </c>
      <c r="DL35" s="439">
        <f>VLOOKUP(DL$8,ASRS_E3!$A$1:$E$488,2,FALSE)</f>
        <v>3.66</v>
      </c>
      <c r="DM35" s="439">
        <f>VLOOKUP(DM$8,ASRS_E3!$A$1:$E$488,2,FALSE)</f>
        <v>3.48</v>
      </c>
      <c r="DN35" s="439">
        <f>VLOOKUP(DN$8,ASRS_E3!$A$1:$E$488,2,FALSE)</f>
        <v>1.02</v>
      </c>
      <c r="DO35" s="439">
        <f>VLOOKUP(DO$8,ASRS_E3!$A$1:$E$488,2,FALSE)</f>
        <v>-3.67</v>
      </c>
      <c r="DP35" s="439">
        <f>VLOOKUP(DP$8,ASRS_E3!$A$1:$E$488,2,FALSE)</f>
        <v>-1.65</v>
      </c>
      <c r="DQ35" s="439">
        <f>VLOOKUP(DQ$8,ASRS_E3!$A$1:$E$488,2,FALSE)</f>
        <v>5.68</v>
      </c>
      <c r="DR35" s="439">
        <f>VLOOKUP(DR$8,ASRS_E3!$A$1:$E$488,2,FALSE)</f>
        <v>3.32</v>
      </c>
      <c r="DS35" s="439">
        <f>VLOOKUP(DS$8,ASRS_E3!$A$1:$E$488,2,FALSE)</f>
        <v>1.54</v>
      </c>
      <c r="DT35" s="439">
        <f>VLOOKUP(DT$8,ASRS_E3!$A$1:$E$488,2,FALSE)</f>
        <v>0.28000000000000003</v>
      </c>
      <c r="DU35" s="439">
        <f>VLOOKUP(DU$8,ASRS_E3!$A$1:$E$488,2,FALSE)</f>
        <v>3.96</v>
      </c>
      <c r="DV35" s="439">
        <f>VLOOKUP(DV$8,ASRS_E3!$A$1:$E$488,2,FALSE)</f>
        <v>-1.1399999999999999</v>
      </c>
      <c r="DW35" s="439">
        <f>VLOOKUP(DW$8,ASRS_E3!$A$1:$E$488,2,FALSE)</f>
        <v>3.43</v>
      </c>
      <c r="DX35" s="439">
        <f>VLOOKUP(DX$8,ASRS_E3!$A$1:$E$488,2,FALSE)</f>
        <v>3.76</v>
      </c>
      <c r="DY35" s="439">
        <f>VLOOKUP(DY$8,ASRS_E3!$A$1:$E$488,2,FALSE)</f>
        <v>1.25</v>
      </c>
      <c r="DZ35" s="439">
        <f>VLOOKUP(DZ$8,ASRS_E3!$A$1:$E$488,2,FALSE)</f>
        <v>0.79</v>
      </c>
      <c r="EA35" s="439">
        <f>VLOOKUP(EA$8,ASRS_E3!$A$1:$E$488,2,FALSE)</f>
        <v>-3.58</v>
      </c>
      <c r="EB35" s="439">
        <f>VLOOKUP(EB$8,ASRS_E3!$A$1:$E$488,2,FALSE)</f>
        <v>-0.12</v>
      </c>
      <c r="EC35" s="439">
        <f>VLOOKUP(EC$8,ASRS_E3!$A$1:$E$488,2,FALSE)</f>
        <v>-5.18</v>
      </c>
      <c r="ED35" s="439">
        <f>VLOOKUP(ED$8,ASRS_E3!$A$1:$E$488,2,FALSE)</f>
        <v>0.59</v>
      </c>
      <c r="EE35" s="439">
        <f>VLOOKUP(EE$8,ASRS_E3!$A$1:$E$488,2,FALSE)</f>
        <v>2.2000000000000002</v>
      </c>
      <c r="EF35" s="439">
        <f>VLOOKUP(EF$8,ASRS_E3!$A$1:$E$488,2,FALSE)</f>
        <v>-1.6</v>
      </c>
      <c r="EG35" s="439">
        <f>VLOOKUP(EG$8,ASRS_E3!$A$1:$E$488,2,FALSE)</f>
        <v>5.54</v>
      </c>
      <c r="EH35" s="439">
        <f>VLOOKUP(EH$8,ASRS_E3!$A$1:$E$488,2,FALSE)</f>
        <v>0.96</v>
      </c>
      <c r="EI35" s="439">
        <f>VLOOKUP(EI$8,ASRS_E3!$A$1:$E$488,2,FALSE)</f>
        <v>5.67</v>
      </c>
      <c r="EJ35" s="439">
        <f>VLOOKUP(EJ$8,ASRS_E3!$A$1:$E$488,2,FALSE)</f>
        <v>-1.39</v>
      </c>
      <c r="EK35" s="439">
        <f>VLOOKUP(EK$8,ASRS_E3!$A$1:$E$488,2,FALSE)</f>
        <v>0.61</v>
      </c>
      <c r="EL35" s="439">
        <f>VLOOKUP(EL$8,ASRS_E3!$A$1:$E$488,2,FALSE)</f>
        <v>-1.07</v>
      </c>
      <c r="EM35" s="439">
        <f>VLOOKUP(EM$8,ASRS_E3!$A$1:$E$488,2,FALSE)</f>
        <v>4.91</v>
      </c>
      <c r="EN35" s="439">
        <f>VLOOKUP(EN$8,ASRS_E3!$A$1:$E$488,2,FALSE)</f>
        <v>1.91</v>
      </c>
      <c r="EO35" s="439">
        <f>VLOOKUP(EO$8,ASRS_E3!$A$1:$E$488,2,FALSE)</f>
        <v>6.06</v>
      </c>
      <c r="EP35" s="439">
        <f>VLOOKUP(EP$8,ASRS_E3!$A$1:$E$488,2,FALSE)</f>
        <v>-4.07</v>
      </c>
      <c r="EQ35" s="439">
        <f>VLOOKUP(EQ$8,ASRS_E3!$A$1:$E$488,2,FALSE)</f>
        <v>-1.22</v>
      </c>
      <c r="ER35" s="439">
        <f>VLOOKUP(ER$8,ASRS_E3!$A$1:$E$488,2,FALSE)</f>
        <v>3.78</v>
      </c>
      <c r="ES35" s="439">
        <f>VLOOKUP(ES$8,ASRS_E3!$A$1:$E$488,2,FALSE)</f>
        <v>-2.5099999999999998</v>
      </c>
      <c r="ET35" s="439">
        <f>VLOOKUP(ET$8,ASRS_E3!$A$1:$E$488,2,FALSE)</f>
        <v>4.3499999999999996</v>
      </c>
      <c r="EU35" s="439">
        <f>VLOOKUP(EU$8,ASRS_E3!$A$1:$E$488,2,FALSE)</f>
        <v>4.84</v>
      </c>
      <c r="EV35" s="439">
        <f>VLOOKUP(EV$8,ASRS_E3!$A$1:$E$488,2,FALSE)</f>
        <v>2.37</v>
      </c>
      <c r="EW35" s="439">
        <f>VLOOKUP(EW$8,ASRS_E3!$A$1:$E$488,2,FALSE)</f>
        <v>2.92</v>
      </c>
      <c r="EX35" s="393" t="s">
        <v>52</v>
      </c>
      <c r="EY35" s="1066" t="s">
        <v>476</v>
      </c>
      <c r="EZ35" s="789">
        <f>VLOOKUP($EY35,'NEPC data'!$B22:$M209,5,TRUE)*100</f>
        <v>-3.6416054455000069</v>
      </c>
      <c r="FA35" s="789">
        <f>VLOOKUP($EY35,'NEPC data'!$B22:$M209,7,TRUE)*100</f>
        <v>-32.877041910099706</v>
      </c>
      <c r="FB35" s="789">
        <f>VLOOKUP($EY35,'NEPC data'!$B22:$M209,9,TRUE)*100</f>
        <v>-11.495077289355105</v>
      </c>
      <c r="FC35" s="789">
        <f>VLOOKUP($EY35,'NEPC data'!$B22:$M209,10,TRUE)*100</f>
        <v>-1.7958827421016399</v>
      </c>
      <c r="FD35" s="789">
        <f>VLOOKUP($EY35,'NEPC data'!$B22:$M209,11,TRUE)*100</f>
        <v>0</v>
      </c>
      <c r="FE35" s="382"/>
      <c r="FF35" s="441">
        <f>IF(G35="---","-",ABS(EZ35-G35))</f>
        <v>8.0834214441965599</v>
      </c>
      <c r="FG35" s="441">
        <f>IF(I35="---","-",ABS(FA35-I35))</f>
        <v>54.048500584594962</v>
      </c>
      <c r="FH35" s="441">
        <f>IF(K35="---","-",ABS(FB35-K35))</f>
        <v>29.416911890934163</v>
      </c>
      <c r="FI35" s="441">
        <f>IF(M35="---","-",ABS(FC35-M35))</f>
        <v>21.264675078166462</v>
      </c>
      <c r="FJ35" s="441">
        <f>IF(Q35="---","-",ABS(FD35-Q35))</f>
        <v>8.5077422781942182</v>
      </c>
      <c r="FK35" s="382"/>
      <c r="FL35" s="442">
        <f>AF35</f>
        <v>7.9365536584175223</v>
      </c>
      <c r="FM35" s="442">
        <f>ABS(FL35-AF35)</f>
        <v>0</v>
      </c>
    </row>
    <row r="36" spans="1:169" s="1028" customFormat="1" ht="12.75" customHeight="1" x14ac:dyDescent="0.2">
      <c r="A36" s="1234" t="s">
        <v>198</v>
      </c>
      <c r="B36" s="1024"/>
      <c r="C36" s="1235"/>
      <c r="D36" s="1240"/>
      <c r="E36" s="1237"/>
      <c r="F36" s="1220">
        <f>AH36</f>
        <v>4.89236</v>
      </c>
      <c r="G36" s="1023">
        <f t="array" ref="G36">IF($AJ36=0,"---",(PRODUCT($AH36:AJ36/100+1)-1)*100)</f>
        <v>4.4479887229552206</v>
      </c>
      <c r="H36" s="432">
        <f t="array" ref="H36">IF($AS36=0,"---",(PRODUCT(AH36:AN36/100+1)-1)*100)</f>
        <v>8.3824472492828317</v>
      </c>
      <c r="I36" s="1023">
        <f t="array" ref="I36">IF(AS36=0,"---",(GEOMEAN($AH36:AS36/100+1)^12-1)*100)</f>
        <v>21.071618124923887</v>
      </c>
      <c r="J36" s="1023">
        <f t="array" ref="J36">IF(BE36=0,"---",(GEOMEAN($AH36:BE36/100+1)^12-1)*100)</f>
        <v>21.051650949515334</v>
      </c>
      <c r="K36" s="1023">
        <f t="array" ref="K36">IF(BQ36=0,"---",(GEOMEAN($AH36:BQ36/100+1)^12-1)*100)</f>
        <v>17.662771811230883</v>
      </c>
      <c r="L36" s="1023">
        <f t="array" ref="L36">IF(CC36=0,"---",(GEOMEAN($AH36:CC36/100+1)^12-1)*100)</f>
        <v>20.33431509090051</v>
      </c>
      <c r="M36" s="1023">
        <f t="array" ref="M36">IF(CO36=0,"---",(GEOMEAN($AH36:CO36/100+1)^12-1)*100)</f>
        <v>18.976532928370872</v>
      </c>
      <c r="N36" s="1023">
        <f t="array" ref="N36">IF(DM36=0,"---",(GEOMEAN($AH36:DM36/100+1)^12-1)*100)</f>
        <v>9.7804115970451235</v>
      </c>
      <c r="O36" s="1023">
        <f t="array" ref="O36">IF(EK36=0,"---",(GEOMEAN($AH36:EK36/100+1)^12-1)*100)</f>
        <v>10.092822854103577</v>
      </c>
      <c r="P36" s="1023">
        <f t="array" ref="P36">IF(EW36=0,"---",(GEOMEAN($AH36:EW36/100+1)^12-1)*100)</f>
        <v>11.401558725285877</v>
      </c>
      <c r="Q36" s="1238" t="s">
        <v>34</v>
      </c>
      <c r="R36" s="1218"/>
      <c r="S36" s="1218"/>
      <c r="T36" s="1218"/>
      <c r="U36" s="1218"/>
      <c r="V36" s="1218"/>
      <c r="W36" s="1218"/>
      <c r="X36" s="1218"/>
      <c r="Y36" s="1218"/>
      <c r="Z36" s="1218"/>
      <c r="AA36" s="1218"/>
      <c r="AB36" s="1218"/>
      <c r="AC36" s="1222"/>
      <c r="AD36" s="1241"/>
      <c r="AF36" s="1027"/>
      <c r="AG36" s="1024"/>
      <c r="AH36" s="1025">
        <f t="shared" ref="AH36:CS36" si="26">VLOOKUP(AH$8,Index,6,FALSE)</f>
        <v>4.89236</v>
      </c>
      <c r="AI36" s="1025">
        <f t="shared" si="26"/>
        <v>-4.2055800000000003</v>
      </c>
      <c r="AJ36" s="1025">
        <f t="shared" si="26"/>
        <v>3.9479700000000002</v>
      </c>
      <c r="AK36" s="1025">
        <f t="shared" si="26"/>
        <v>1.8730500000000001</v>
      </c>
      <c r="AL36" s="1025">
        <f t="shared" si="26"/>
        <v>-2.8313000000000001</v>
      </c>
      <c r="AM36" s="1025">
        <f t="shared" si="26"/>
        <v>-0.45921000000000001</v>
      </c>
      <c r="AN36" s="1025">
        <f t="shared" si="26"/>
        <v>5.3106</v>
      </c>
      <c r="AO36" s="1025">
        <f t="shared" si="26"/>
        <v>-2.56447</v>
      </c>
      <c r="AP36" s="1025">
        <f t="shared" si="26"/>
        <v>3.29467</v>
      </c>
      <c r="AQ36" s="1025">
        <f t="shared" si="26"/>
        <v>1.6861200000000001</v>
      </c>
      <c r="AR36" s="1025">
        <f t="shared" si="26"/>
        <v>3.2435700000000001</v>
      </c>
      <c r="AS36" s="1025">
        <f t="shared" si="26"/>
        <v>5.7215299999999996</v>
      </c>
      <c r="AT36" s="1025">
        <f t="shared" si="26"/>
        <v>-3.61266</v>
      </c>
      <c r="AU36" s="1025">
        <f t="shared" si="26"/>
        <v>6.0828499999999996</v>
      </c>
      <c r="AV36" s="1025">
        <f t="shared" si="26"/>
        <v>-2.4538000000000002</v>
      </c>
      <c r="AW36" s="1025">
        <f t="shared" si="26"/>
        <v>2.2874599999999998</v>
      </c>
      <c r="AX36" s="1025">
        <f t="shared" si="26"/>
        <v>1.2182900000000001</v>
      </c>
      <c r="AY36" s="1025">
        <f t="shared" si="26"/>
        <v>4.4347899999999996</v>
      </c>
      <c r="AZ36" s="1025">
        <f t="shared" si="26"/>
        <v>0.33948</v>
      </c>
      <c r="BA36" s="1025">
        <f t="shared" si="26"/>
        <v>7.0155000000000003</v>
      </c>
      <c r="BB36" s="1025">
        <f t="shared" si="26"/>
        <v>1.3110299999999999</v>
      </c>
      <c r="BC36" s="1025">
        <f t="shared" si="26"/>
        <v>2.5749300000000002</v>
      </c>
      <c r="BD36" s="1025">
        <f t="shared" si="26"/>
        <v>-1.1214200000000001</v>
      </c>
      <c r="BE36" s="1025">
        <f t="shared" si="26"/>
        <v>1.7134199999999999</v>
      </c>
      <c r="BF36" s="1025">
        <f t="shared" si="26"/>
        <v>4.1263699999999996</v>
      </c>
      <c r="BG36" s="1025">
        <f t="shared" si="26"/>
        <v>0.13771</v>
      </c>
      <c r="BH36" s="1025">
        <f t="shared" si="26"/>
        <v>0.75053999999999998</v>
      </c>
      <c r="BI36" s="1025">
        <f t="shared" si="26"/>
        <v>-6.2970199999999998</v>
      </c>
      <c r="BJ36" s="1025">
        <f t="shared" si="26"/>
        <v>-8.2640000000000005E-2</v>
      </c>
      <c r="BK36" s="1025">
        <f t="shared" si="26"/>
        <v>1.6722699999999999</v>
      </c>
      <c r="BL36" s="1025">
        <f t="shared" si="26"/>
        <v>5.0016100000000003</v>
      </c>
      <c r="BM36" s="1025">
        <f t="shared" si="26"/>
        <v>6.8584100000000001</v>
      </c>
      <c r="BN36" s="1025">
        <f t="shared" si="26"/>
        <v>-1.6383000000000001</v>
      </c>
      <c r="BO36" s="1025">
        <f t="shared" si="26"/>
        <v>-1.0817300000000001</v>
      </c>
      <c r="BP36" s="1025">
        <f t="shared" si="26"/>
        <v>13.31819</v>
      </c>
      <c r="BQ36" s="1025">
        <f t="shared" si="26"/>
        <v>-10.14002</v>
      </c>
      <c r="BR36" s="1025">
        <f t="shared" si="26"/>
        <v>-6.7926500000000001</v>
      </c>
      <c r="BS36" s="1025">
        <f t="shared" si="26"/>
        <v>-3.0892900000000001</v>
      </c>
      <c r="BT36" s="1025">
        <f t="shared" si="26"/>
        <v>-1.6231100000000001</v>
      </c>
      <c r="BU36" s="1025">
        <f t="shared" si="26"/>
        <v>-1.0172699999999999</v>
      </c>
      <c r="BV36" s="1025">
        <f t="shared" si="26"/>
        <v>3.4866299999999999</v>
      </c>
      <c r="BW36" s="1025">
        <f t="shared" si="26"/>
        <v>3.06603</v>
      </c>
      <c r="BX36" s="1025">
        <f t="shared" si="26"/>
        <v>5.1481399999999997</v>
      </c>
      <c r="BY36" s="1025">
        <f t="shared" si="26"/>
        <v>1.35582</v>
      </c>
      <c r="BZ36" s="1025">
        <f t="shared" si="26"/>
        <v>5.4897299999999998</v>
      </c>
      <c r="CA36" s="1025">
        <f t="shared" si="26"/>
        <v>4.5127199999999998</v>
      </c>
      <c r="CB36" s="1025">
        <f t="shared" si="26"/>
        <v>3.8970400000000001</v>
      </c>
      <c r="CC36" s="1025">
        <f t="shared" si="26"/>
        <v>12.39156</v>
      </c>
      <c r="CD36" s="1025">
        <f t="shared" si="26"/>
        <v>-4.4714700000000001</v>
      </c>
      <c r="CE36" s="1025">
        <f t="shared" si="26"/>
        <v>6.9136899999999999</v>
      </c>
      <c r="CF36" s="1025">
        <f t="shared" si="26"/>
        <v>-6.2769700000000004</v>
      </c>
      <c r="CG36" s="1025">
        <f t="shared" si="26"/>
        <v>-6.7138600000000004</v>
      </c>
      <c r="CH36" s="1025">
        <f t="shared" si="26"/>
        <v>3.7803300000000002</v>
      </c>
      <c r="CI36" s="1025">
        <f t="shared" si="26"/>
        <v>7.8636400000000002</v>
      </c>
      <c r="CJ36" s="1025">
        <f t="shared" si="26"/>
        <v>5.5740100000000004</v>
      </c>
      <c r="CK36" s="1025">
        <f t="shared" si="26"/>
        <v>-3.8971900000000002</v>
      </c>
      <c r="CL36" s="1025">
        <f t="shared" si="26"/>
        <v>5.5357200000000004</v>
      </c>
      <c r="CM36" s="1025">
        <f t="shared" si="26"/>
        <v>3.6262599999999998</v>
      </c>
      <c r="CN36" s="1025">
        <f t="shared" si="26"/>
        <v>-3.4141400000000002</v>
      </c>
      <c r="CO36" s="1025">
        <f t="shared" si="26"/>
        <v>6.13354</v>
      </c>
      <c r="CP36" s="1025">
        <f t="shared" si="26"/>
        <v>3.3221500000000002</v>
      </c>
      <c r="CQ36" s="1025">
        <f t="shared" si="26"/>
        <v>8.1035000000000004</v>
      </c>
      <c r="CR36" s="1025">
        <f t="shared" si="26"/>
        <v>0.54</v>
      </c>
      <c r="CS36" s="1025">
        <f t="shared" si="26"/>
        <v>3.53</v>
      </c>
      <c r="CT36" s="1025">
        <f t="shared" ref="CT36:EW36" si="27">VLOOKUP(CT$8,Index,6,FALSE)</f>
        <v>14.06</v>
      </c>
      <c r="CU36" s="1025">
        <f t="shared" si="27"/>
        <v>9.6999999999999993</v>
      </c>
      <c r="CV36" s="1025">
        <f t="shared" si="27"/>
        <v>-8.07</v>
      </c>
      <c r="CW36" s="1025">
        <f t="shared" si="27"/>
        <v>-5.9</v>
      </c>
      <c r="CX36" s="1025">
        <f t="shared" si="27"/>
        <v>4.6548999999999996</v>
      </c>
      <c r="CY36" s="1025">
        <f t="shared" si="27"/>
        <v>-9.718</v>
      </c>
      <c r="CZ36" s="1025">
        <f t="shared" si="27"/>
        <v>-21.694700000000001</v>
      </c>
      <c r="DA36" s="1025">
        <f t="shared" si="27"/>
        <v>-12.928900000000001</v>
      </c>
      <c r="DB36" s="1025">
        <f t="shared" si="27"/>
        <v>1.3271999999999999</v>
      </c>
      <c r="DC36" s="1025">
        <f t="shared" si="27"/>
        <v>-3.3361999999999998</v>
      </c>
      <c r="DD36" s="1025">
        <f t="shared" si="27"/>
        <v>-5.1040999999999999</v>
      </c>
      <c r="DE36" s="1025">
        <f t="shared" si="27"/>
        <v>5.9714</v>
      </c>
      <c r="DF36" s="1025">
        <f t="shared" si="27"/>
        <v>8.1062999999999992</v>
      </c>
      <c r="DG36" s="1025">
        <f t="shared" si="27"/>
        <v>-1.5282</v>
      </c>
      <c r="DH36" s="1025">
        <f t="shared" si="27"/>
        <v>-0.43780000000000002</v>
      </c>
      <c r="DI36" s="1025">
        <f t="shared" si="27"/>
        <v>-7.2321999999999997</v>
      </c>
      <c r="DJ36" s="1025">
        <f t="shared" si="27"/>
        <v>0.1305</v>
      </c>
      <c r="DK36" s="1025">
        <f t="shared" si="27"/>
        <v>-4.3272000000000004</v>
      </c>
      <c r="DL36" s="1025">
        <f t="shared" si="27"/>
        <v>3.5215999999999998</v>
      </c>
      <c r="DM36" s="1025">
        <f t="shared" si="27"/>
        <v>3.5261</v>
      </c>
      <c r="DN36" s="1025">
        <f t="shared" si="27"/>
        <v>1.1114999999999999</v>
      </c>
      <c r="DO36" s="1025">
        <f t="shared" si="27"/>
        <v>-3.7441</v>
      </c>
      <c r="DP36" s="1025">
        <f t="shared" si="27"/>
        <v>-1.7181</v>
      </c>
      <c r="DQ36" s="1025">
        <f t="shared" si="27"/>
        <v>5.6542000000000003</v>
      </c>
      <c r="DR36" s="1025">
        <f t="shared" si="27"/>
        <v>3.2665000000000002</v>
      </c>
      <c r="DS36" s="1025">
        <f t="shared" si="27"/>
        <v>1.6476</v>
      </c>
      <c r="DT36" s="1025">
        <f t="shared" si="27"/>
        <v>0.25690000000000002</v>
      </c>
      <c r="DU36" s="1025">
        <f t="shared" si="27"/>
        <v>3.9426999999999999</v>
      </c>
      <c r="DV36" s="1025">
        <f t="shared" si="27"/>
        <v>-1.1914</v>
      </c>
      <c r="DW36" s="1025">
        <f t="shared" si="27"/>
        <v>3.4066000000000001</v>
      </c>
      <c r="DX36" s="1025">
        <f t="shared" si="27"/>
        <v>3.7263000000000002</v>
      </c>
      <c r="DY36" s="1025">
        <f t="shared" si="27"/>
        <v>1.2302</v>
      </c>
      <c r="DZ36" s="1025">
        <f t="shared" si="27"/>
        <v>0.73599999999999999</v>
      </c>
      <c r="EA36" s="1025">
        <f t="shared" si="27"/>
        <v>-3.5720999999999998</v>
      </c>
      <c r="EB36" s="1025">
        <f t="shared" si="27"/>
        <v>9.2299999999999993E-2</v>
      </c>
      <c r="EC36" s="1025">
        <f t="shared" si="27"/>
        <v>-5.0781999999999998</v>
      </c>
      <c r="ED36" s="1025">
        <f t="shared" si="27"/>
        <v>0.65190000000000003</v>
      </c>
      <c r="EE36" s="1025">
        <f t="shared" si="27"/>
        <v>2.3252000000000002</v>
      </c>
      <c r="EF36" s="1025">
        <f t="shared" si="27"/>
        <v>-1.6931</v>
      </c>
      <c r="EG36" s="1025">
        <f t="shared" si="27"/>
        <v>5.5434999999999999</v>
      </c>
      <c r="EH36" s="1025">
        <f t="shared" si="27"/>
        <v>0.92</v>
      </c>
      <c r="EI36" s="1025">
        <f t="shared" si="27"/>
        <v>5.5937999999999999</v>
      </c>
      <c r="EJ36" s="1025">
        <f t="shared" si="27"/>
        <v>-1.4105000000000001</v>
      </c>
      <c r="EK36" s="1025">
        <f t="shared" si="27"/>
        <v>0.61009999999999998</v>
      </c>
      <c r="EL36" s="1025">
        <f t="shared" si="27"/>
        <v>-1.0983000000000001</v>
      </c>
      <c r="EM36" s="1025">
        <f t="shared" si="27"/>
        <v>4.8963000000000001</v>
      </c>
      <c r="EN36" s="1025">
        <f t="shared" si="27"/>
        <v>1.8078000000000001</v>
      </c>
      <c r="EO36" s="1025">
        <f t="shared" si="27"/>
        <v>6.0938999999999997</v>
      </c>
      <c r="EP36" s="1025">
        <f t="shared" si="27"/>
        <v>-4.0286</v>
      </c>
      <c r="EQ36" s="1025">
        <f t="shared" si="27"/>
        <v>-1.2430000000000001</v>
      </c>
      <c r="ER36" s="1025">
        <f t="shared" si="27"/>
        <v>3.5853999999999999</v>
      </c>
      <c r="ES36" s="1025">
        <f t="shared" si="27"/>
        <v>-2.3336999999999999</v>
      </c>
      <c r="ET36" s="1025">
        <f t="shared" si="27"/>
        <v>4.4340000000000002</v>
      </c>
      <c r="EU36" s="1025">
        <f t="shared" si="27"/>
        <v>4.7504</v>
      </c>
      <c r="EV36" s="1025">
        <f t="shared" si="27"/>
        <v>2.4243999999999999</v>
      </c>
      <c r="EW36" s="1025">
        <f t="shared" si="27"/>
        <v>2.9182000000000001</v>
      </c>
      <c r="EX36" s="1230"/>
      <c r="EY36" s="1230"/>
      <c r="EZ36" s="789" t="e">
        <f>VLOOKUP($EY36,'NEPC data'!$B23:$M210,5,TRUE)*100</f>
        <v>#N/A</v>
      </c>
      <c r="FA36" s="789" t="e">
        <f>VLOOKUP($EY36,'NEPC data'!$B23:$M210,7,TRUE)*100</f>
        <v>#N/A</v>
      </c>
      <c r="FB36" s="789" t="e">
        <f>VLOOKUP($EY36,'NEPC data'!$B23:$M210,9,TRUE)*100</f>
        <v>#N/A</v>
      </c>
      <c r="FC36" s="789" t="e">
        <f>VLOOKUP($EY36,'NEPC data'!$B23:$M210,10,TRUE)*100</f>
        <v>#N/A</v>
      </c>
      <c r="FD36" s="789" t="e">
        <f>VLOOKUP($EY36,'NEPC data'!$B23:$M210,11,TRUE)*100</f>
        <v>#N/A</v>
      </c>
      <c r="FE36" s="1024"/>
      <c r="FF36" s="1027"/>
      <c r="FG36" s="1027"/>
      <c r="FH36" s="1027"/>
      <c r="FI36" s="1027"/>
      <c r="FJ36" s="1027"/>
      <c r="FK36" s="1024"/>
      <c r="FL36" s="1027"/>
      <c r="FM36" s="1027"/>
    </row>
    <row r="37" spans="1:169" s="395" customFormat="1" ht="12.75" customHeight="1" x14ac:dyDescent="0.2">
      <c r="A37" s="456"/>
      <c r="B37" s="418"/>
      <c r="C37" s="414"/>
      <c r="D37" s="475"/>
      <c r="E37" s="457"/>
      <c r="F37" s="431"/>
      <c r="G37" s="432"/>
      <c r="H37" s="432"/>
      <c r="I37" s="432"/>
      <c r="J37" s="432"/>
      <c r="K37" s="432"/>
      <c r="L37" s="432"/>
      <c r="M37" s="432"/>
      <c r="N37" s="432"/>
      <c r="O37" s="432"/>
      <c r="P37" s="432"/>
      <c r="Q37" s="458"/>
      <c r="R37" s="249"/>
      <c r="S37" s="249"/>
      <c r="T37" s="249"/>
      <c r="U37" s="249"/>
      <c r="V37" s="249"/>
      <c r="W37" s="249"/>
      <c r="X37" s="249"/>
      <c r="Y37" s="249"/>
      <c r="Z37" s="249"/>
      <c r="AA37" s="249"/>
      <c r="AB37" s="249"/>
      <c r="AC37" s="459"/>
      <c r="AD37" s="474"/>
      <c r="AE37" s="15"/>
      <c r="AF37" s="442"/>
      <c r="AG37" s="382"/>
      <c r="AH37" s="439"/>
      <c r="AI37" s="439"/>
      <c r="AJ37" s="439"/>
      <c r="AK37" s="439"/>
      <c r="AL37" s="439"/>
      <c r="AM37" s="439"/>
      <c r="AN37" s="439"/>
      <c r="AO37" s="439"/>
      <c r="AP37" s="439"/>
      <c r="AQ37" s="439"/>
      <c r="AR37" s="439"/>
      <c r="AS37" s="439"/>
      <c r="AT37" s="439"/>
      <c r="AU37" s="439"/>
      <c r="AV37" s="439"/>
      <c r="AW37" s="439"/>
      <c r="AX37" s="439"/>
      <c r="AY37" s="439"/>
      <c r="AZ37" s="439"/>
      <c r="BA37" s="439"/>
      <c r="BB37" s="439"/>
      <c r="BC37" s="439"/>
      <c r="BD37" s="439"/>
      <c r="BE37" s="439"/>
      <c r="BF37" s="439"/>
      <c r="BG37" s="439"/>
      <c r="BH37" s="439"/>
      <c r="BI37" s="439"/>
      <c r="BJ37" s="439"/>
      <c r="BK37" s="439"/>
      <c r="BL37" s="439"/>
      <c r="BM37" s="439"/>
      <c r="BN37" s="439"/>
      <c r="BO37" s="439"/>
      <c r="BP37" s="439"/>
      <c r="BQ37" s="439"/>
      <c r="BR37" s="439"/>
      <c r="BS37" s="439"/>
      <c r="BT37" s="439"/>
      <c r="BU37" s="439"/>
      <c r="BV37" s="439"/>
      <c r="BW37" s="439"/>
      <c r="BX37" s="439"/>
      <c r="BY37" s="439"/>
      <c r="BZ37" s="439"/>
      <c r="CA37" s="439"/>
      <c r="CB37" s="439"/>
      <c r="CC37" s="439"/>
      <c r="CD37" s="439"/>
      <c r="CE37" s="439"/>
      <c r="CF37" s="439"/>
      <c r="CG37" s="439"/>
      <c r="CH37" s="439"/>
      <c r="CI37" s="439"/>
      <c r="CJ37" s="439"/>
      <c r="CK37" s="439"/>
      <c r="CL37" s="439"/>
      <c r="CM37" s="439"/>
      <c r="CN37" s="439"/>
      <c r="CO37" s="439"/>
      <c r="CP37" s="439"/>
      <c r="CQ37" s="439"/>
      <c r="CR37" s="439"/>
      <c r="CS37" s="439"/>
      <c r="CT37" s="439"/>
      <c r="CU37" s="439"/>
      <c r="CV37" s="439"/>
      <c r="CW37" s="439"/>
      <c r="CX37" s="439"/>
      <c r="CY37" s="439"/>
      <c r="CZ37" s="439"/>
      <c r="DA37" s="439"/>
      <c r="DB37" s="439"/>
      <c r="DC37" s="439"/>
      <c r="DD37" s="439"/>
      <c r="DE37" s="439"/>
      <c r="DF37" s="439"/>
      <c r="DG37" s="439"/>
      <c r="DH37" s="439"/>
      <c r="DI37" s="439"/>
      <c r="DJ37" s="439"/>
      <c r="DK37" s="439"/>
      <c r="DL37" s="439"/>
      <c r="DM37" s="439"/>
      <c r="DN37" s="439"/>
      <c r="DO37" s="439"/>
      <c r="DP37" s="439"/>
      <c r="DQ37" s="439"/>
      <c r="DR37" s="439"/>
      <c r="DS37" s="439"/>
      <c r="DT37" s="439"/>
      <c r="DU37" s="439"/>
      <c r="DV37" s="439"/>
      <c r="DW37" s="439"/>
      <c r="DX37" s="439"/>
      <c r="DY37" s="439"/>
      <c r="DZ37" s="439"/>
      <c r="EA37" s="439"/>
      <c r="EB37" s="439"/>
      <c r="EC37" s="439"/>
      <c r="ED37" s="439"/>
      <c r="EE37" s="439"/>
      <c r="EF37" s="439"/>
      <c r="EG37" s="439"/>
      <c r="EH37" s="439"/>
      <c r="EI37" s="439"/>
      <c r="EJ37" s="439"/>
      <c r="EK37" s="439"/>
      <c r="EL37" s="439"/>
      <c r="EM37" s="439"/>
      <c r="EN37" s="439"/>
      <c r="EO37" s="439"/>
      <c r="EP37" s="439"/>
      <c r="EQ37" s="439"/>
      <c r="ER37" s="439"/>
      <c r="ES37" s="439"/>
      <c r="ET37" s="439"/>
      <c r="EU37" s="439"/>
      <c r="EV37" s="439"/>
      <c r="EW37" s="439"/>
      <c r="EX37" s="393"/>
      <c r="EY37" s="393"/>
      <c r="EZ37" s="789" t="e">
        <f>VLOOKUP($EY37,'NEPC data'!$B24:$M211,5,TRUE)*100</f>
        <v>#N/A</v>
      </c>
      <c r="FA37" s="789" t="e">
        <f>VLOOKUP($EY37,'NEPC data'!$B24:$M211,7,TRUE)*100</f>
        <v>#N/A</v>
      </c>
      <c r="FB37" s="789" t="e">
        <f>VLOOKUP($EY37,'NEPC data'!$B24:$M211,9,TRUE)*100</f>
        <v>#N/A</v>
      </c>
      <c r="FC37" s="789" t="e">
        <f>VLOOKUP($EY37,'NEPC data'!$B24:$M211,10,TRUE)*100</f>
        <v>#N/A</v>
      </c>
      <c r="FD37" s="789" t="e">
        <f>VLOOKUP($EY37,'NEPC data'!$B24:$M211,11,TRUE)*100</f>
        <v>#N/A</v>
      </c>
      <c r="FE37" s="382"/>
      <c r="FF37" s="442"/>
      <c r="FG37" s="442"/>
      <c r="FH37" s="442"/>
      <c r="FI37" s="442"/>
      <c r="FJ37" s="442"/>
      <c r="FK37" s="382"/>
      <c r="FL37" s="442"/>
      <c r="FM37" s="442"/>
    </row>
    <row r="38" spans="1:169" s="395" customFormat="1" ht="12.75" customHeight="1" x14ac:dyDescent="0.2">
      <c r="A38" s="416" t="s">
        <v>69</v>
      </c>
      <c r="B38" s="417" t="s">
        <v>319</v>
      </c>
      <c r="C38" s="430">
        <v>37986</v>
      </c>
      <c r="D38" s="249">
        <f>CRM!D1</f>
        <v>53.962228675291286</v>
      </c>
      <c r="E38" s="444">
        <f>VLOOKUP(AH$8,CRM!A1:E488,3,FALSE)/1000000</f>
        <v>102.06107012999999</v>
      </c>
      <c r="F38" s="431">
        <f>AH38</f>
        <v>4.1372999999999998</v>
      </c>
      <c r="G38" s="432">
        <f t="array" ref="G38">IF($AJ38=0,"---",(PRODUCT($AH38:AJ38/100+1)-1)*100)</f>
        <v>2.8436054029999491</v>
      </c>
      <c r="H38" s="432">
        <f t="array" ref="H38">IF($AS38=0,"---",(PRODUCT(AH38:AN38/100+1)-1)*100)</f>
        <v>8.6426962938816132</v>
      </c>
      <c r="I38" s="432">
        <f t="array" ref="I38">IF(AS38=0,"---",(GEOMEAN($AH38:AS38/100+1)^12-1)*100)</f>
        <v>20.192978724906663</v>
      </c>
      <c r="J38" s="432">
        <f t="array" ref="J38">IF(BE38=0,"---",(GEOMEAN($AH38:BE38/100+1)^12-1)*100)</f>
        <v>22.039596983925346</v>
      </c>
      <c r="K38" s="432">
        <f t="array" ref="K38">IF(BQ38=0,"---",(GEOMEAN($AH38:BQ38/100+1)^12-1)*100)</f>
        <v>17.799623693459978</v>
      </c>
      <c r="L38" s="432">
        <f t="array" ref="L38">IF(CC38=0,"---",(GEOMEAN($AH38:CC38/100+1)^12-1)*100)</f>
        <v>17.899766836671958</v>
      </c>
      <c r="M38" s="432">
        <f t="array" ref="M38">IF(CO38=0,"---",(GEOMEAN($AH38:CO38/100+1)^12-1)*100)</f>
        <v>14.891502777866394</v>
      </c>
      <c r="N38" s="432">
        <f t="array" ref="N38">IF(DM38=0,"---",(GEOMEAN($AH38:DM38/100+1)^12-1)*100)</f>
        <v>6.6404941375794779</v>
      </c>
      <c r="O38" s="432">
        <f t="array" ref="O38">IF(EK38=0,"---",(GEOMEAN($AH38:EK38/100+1)^12-1)*100)</f>
        <v>8.6220806438415352</v>
      </c>
      <c r="P38" s="432">
        <f t="array" ref="P38">IF(EW38=0,"---",(GEOMEAN($AH38:EW38/100+1)^12-1)*100)</f>
        <v>10.14619989428558</v>
      </c>
      <c r="Q38" s="433">
        <f t="array" ref="Q38">(GEOMEAN(CRM!B$345:B471/100+1)^12-1)*100</f>
        <v>9.7748813539720878</v>
      </c>
      <c r="R38" s="434">
        <f t="shared" ref="R38:AB39" si="28">IF(F38="---","---",(F38-F$40)*100)</f>
        <v>-113.79900000000004</v>
      </c>
      <c r="S38" s="434">
        <f t="shared" si="28"/>
        <v>-221.66736113015563</v>
      </c>
      <c r="T38" s="434">
        <f t="shared" si="28"/>
        <v>-403.00923672474732</v>
      </c>
      <c r="U38" s="434">
        <f t="shared" si="28"/>
        <v>-534.23594606917493</v>
      </c>
      <c r="V38" s="434">
        <f t="shared" si="28"/>
        <v>-400.14661162109525</v>
      </c>
      <c r="W38" s="434">
        <f t="shared" si="28"/>
        <v>-424.02784339701435</v>
      </c>
      <c r="X38" s="434">
        <f t="shared" si="28"/>
        <v>-292.55693374290706</v>
      </c>
      <c r="Y38" s="434">
        <f t="shared" si="28"/>
        <v>-370.38895946340114</v>
      </c>
      <c r="Z38" s="434">
        <f t="shared" si="28"/>
        <v>-199.36248184363015</v>
      </c>
      <c r="AA38" s="434">
        <f t="shared" si="28"/>
        <v>-63.882315585104266</v>
      </c>
      <c r="AB38" s="434">
        <f t="shared" si="28"/>
        <v>-65.792558939414647</v>
      </c>
      <c r="AC38" s="435">
        <f>(Q38-AF38)*100</f>
        <v>-16.37502880877939</v>
      </c>
      <c r="AD38" s="436">
        <v>300</v>
      </c>
      <c r="AE38" s="15"/>
      <c r="AF38" s="476">
        <f t="array" ref="AF38">(GEOMEAN(Index_Returns!G345:G471/100+1)^12-1)*100</f>
        <v>9.9386316420598817</v>
      </c>
      <c r="AG38" s="382" t="str">
        <f>IF(I38="---","&lt; 1 Year","---")</f>
        <v>---</v>
      </c>
      <c r="AH38" s="439">
        <f>VLOOKUP(AH$8,CRM!$A$1:$E$488,2,FALSE)</f>
        <v>4.1372999999999998</v>
      </c>
      <c r="AI38" s="439">
        <f>VLOOKUP(AI$8,CRM!$A$1:$E$488,2,FALSE)</f>
        <v>-3.63266</v>
      </c>
      <c r="AJ38" s="439">
        <f>VLOOKUP(AJ$8,CRM!$A$1:$E$488,2,FALSE)</f>
        <v>2.48047</v>
      </c>
      <c r="AK38" s="439">
        <f>VLOOKUP(AK$8,CRM!$A$1:$E$488,2,FALSE)</f>
        <v>1.3543799999999999</v>
      </c>
      <c r="AL38" s="439">
        <f>VLOOKUP(AL$8,CRM!$A$1:$E$488,2,FALSE)</f>
        <v>-0.45696999999999999</v>
      </c>
      <c r="AM38" s="439">
        <f>VLOOKUP(AM$8,CRM!$A$1:$E$488,2,FALSE)</f>
        <v>-4.0039999999999999E-2</v>
      </c>
      <c r="AN38" s="439">
        <f>VLOOKUP(AN$8,CRM!$A$1:$E$488,2,FALSE)</f>
        <v>4.7475300000000002</v>
      </c>
      <c r="AO38" s="439">
        <f>VLOOKUP(AO$8,CRM!$A$1:$E$488,2,FALSE)</f>
        <v>-3.2903699999999998</v>
      </c>
      <c r="AP38" s="439">
        <f>VLOOKUP(AP$8,CRM!$A$1:$E$488,2,FALSE)</f>
        <v>4.8649500000000003</v>
      </c>
      <c r="AQ38" s="439">
        <f>VLOOKUP(AQ$8,CRM!$A$1:$E$488,2,FALSE)</f>
        <v>3.0666099999999998</v>
      </c>
      <c r="AR38" s="439">
        <f>VLOOKUP(AR$8,CRM!$A$1:$E$488,2,FALSE)</f>
        <v>1.75675</v>
      </c>
      <c r="AS38" s="439">
        <f>VLOOKUP(AS$8,CRM!$A$1:$E$488,2,FALSE)</f>
        <v>4.0153100000000004</v>
      </c>
      <c r="AT38" s="439">
        <f>VLOOKUP(AT$8,CRM!$A$1:$E$488,2,FALSE)</f>
        <v>-2.8559700000000001</v>
      </c>
      <c r="AU38" s="439">
        <f>VLOOKUP(AU$8,CRM!$A$1:$E$488,2,FALSE)</f>
        <v>5.9283799999999998</v>
      </c>
      <c r="AV38" s="439">
        <f>VLOOKUP(AV$8,CRM!$A$1:$E$488,2,FALSE)</f>
        <v>-1.3721699999999999</v>
      </c>
      <c r="AW38" s="439">
        <f>VLOOKUP(AW$8,CRM!$A$1:$E$488,2,FALSE)</f>
        <v>4.2208199999999998</v>
      </c>
      <c r="AX38" s="439">
        <f>VLOOKUP(AX$8,CRM!$A$1:$E$488,2,FALSE)</f>
        <v>0.19408</v>
      </c>
      <c r="AY38" s="439">
        <f>VLOOKUP(AY$8,CRM!$A$1:$E$488,2,FALSE)</f>
        <v>3.06772</v>
      </c>
      <c r="AZ38" s="439">
        <f>VLOOKUP(AZ$8,CRM!$A$1:$E$488,2,FALSE)</f>
        <v>1.2204900000000001</v>
      </c>
      <c r="BA38" s="439">
        <f>VLOOKUP(BA$8,CRM!$A$1:$E$488,2,FALSE)</f>
        <v>5.53024</v>
      </c>
      <c r="BB38" s="439">
        <f>VLOOKUP(BB$8,CRM!$A$1:$E$488,2,FALSE)</f>
        <v>2.7079499999999999</v>
      </c>
      <c r="BC38" s="439">
        <f>VLOOKUP(BC$8,CRM!$A$1:$E$488,2,FALSE)</f>
        <v>1.7906599999999999</v>
      </c>
      <c r="BD38" s="439">
        <f>VLOOKUP(BD$8,CRM!$A$1:$E$488,2,FALSE)</f>
        <v>-0.73067000000000004</v>
      </c>
      <c r="BE38" s="439">
        <f>VLOOKUP(BE$8,CRM!$A$1:$E$488,2,FALSE)</f>
        <v>2.3299699999999999</v>
      </c>
      <c r="BF38" s="439">
        <f>VLOOKUP(BF$8,CRM!$A$1:$E$488,2,FALSE)</f>
        <v>1.9420900000000001</v>
      </c>
      <c r="BG38" s="439">
        <f>VLOOKUP(BG$8,CRM!$A$1:$E$488,2,FALSE)</f>
        <v>0.85414000000000001</v>
      </c>
      <c r="BH38" s="439">
        <f>VLOOKUP(BH$8,CRM!$A$1:$E$488,2,FALSE)</f>
        <v>1.8099099999999999</v>
      </c>
      <c r="BI38" s="439">
        <f>VLOOKUP(BI$8,CRM!$A$1:$E$488,2,FALSE)</f>
        <v>-5.3522100000000004</v>
      </c>
      <c r="BJ38" s="439">
        <f>VLOOKUP(BJ$8,CRM!$A$1:$E$488,2,FALSE)</f>
        <v>-1.04087</v>
      </c>
      <c r="BK38" s="439">
        <f>VLOOKUP(BK$8,CRM!$A$1:$E$488,2,FALSE)</f>
        <v>3.0186799999999998</v>
      </c>
      <c r="BL38" s="439">
        <f>VLOOKUP(BL$8,CRM!$A$1:$E$488,2,FALSE)</f>
        <v>3.5558999999999998</v>
      </c>
      <c r="BM38" s="439">
        <f>VLOOKUP(BM$8,CRM!$A$1:$E$488,2,FALSE)</f>
        <v>6.2599900000000002</v>
      </c>
      <c r="BN38" s="439">
        <f>VLOOKUP(BN$8,CRM!$A$1:$E$488,2,FALSE)</f>
        <v>0.13278999999999999</v>
      </c>
      <c r="BO38" s="439">
        <f>VLOOKUP(BO$8,CRM!$A$1:$E$488,2,FALSE)</f>
        <v>-1.76999</v>
      </c>
      <c r="BP38" s="439">
        <f>VLOOKUP(BP$8,CRM!$A$1:$E$488,2,FALSE)</f>
        <v>11.26005</v>
      </c>
      <c r="BQ38" s="439">
        <f>VLOOKUP(BQ$8,CRM!$A$1:$E$488,2,FALSE)</f>
        <v>-9.7585300000000004</v>
      </c>
      <c r="BR38" s="439">
        <f>VLOOKUP(BR$8,CRM!$A$1:$E$488,2,FALSE)</f>
        <v>-8.26891</v>
      </c>
      <c r="BS38" s="439">
        <f>VLOOKUP(BS$8,CRM!$A$1:$E$488,2,FALSE)</f>
        <v>-4.6485200000000004</v>
      </c>
      <c r="BT38" s="439">
        <f>VLOOKUP(BT$8,CRM!$A$1:$E$488,2,FALSE)</f>
        <v>-2.3559899999999998</v>
      </c>
      <c r="BU38" s="439">
        <f>VLOOKUP(BU$8,CRM!$A$1:$E$488,2,FALSE)</f>
        <v>1.9740000000000001E-2</v>
      </c>
      <c r="BV38" s="439">
        <f>VLOOKUP(BV$8,CRM!$A$1:$E$488,2,FALSE)</f>
        <v>3.22512</v>
      </c>
      <c r="BW38" s="439">
        <f>VLOOKUP(BW$8,CRM!$A$1:$E$488,2,FALSE)</f>
        <v>0.82123999999999997</v>
      </c>
      <c r="BX38" s="439">
        <f>VLOOKUP(BX$8,CRM!$A$1:$E$488,2,FALSE)</f>
        <v>3.6406800000000001</v>
      </c>
      <c r="BY38" s="439">
        <f>VLOOKUP(BY$8,CRM!$A$1:$E$488,2,FALSE)</f>
        <v>2.7494800000000001</v>
      </c>
      <c r="BZ38" s="439">
        <f>VLOOKUP(BZ$8,CRM!$A$1:$E$488,2,FALSE)</f>
        <v>8.6037099999999995</v>
      </c>
      <c r="CA38" s="439">
        <f>VLOOKUP(CA$8,CRM!$A$1:$E$488,2,FALSE)</f>
        <v>0.61378999999999995</v>
      </c>
      <c r="CB38" s="439">
        <f>VLOOKUP(CB$8,CRM!$A$1:$E$488,2,FALSE)</f>
        <v>2.97756</v>
      </c>
      <c r="CC38" s="439">
        <f>VLOOKUP(CC$8,CRM!$A$1:$E$488,2,FALSE)</f>
        <v>10.956480000000001</v>
      </c>
      <c r="CD38" s="439">
        <f>VLOOKUP(CD$8,CRM!$A$1:$E$488,2,FALSE)</f>
        <v>-4.3373299999999997</v>
      </c>
      <c r="CE38" s="439">
        <f>VLOOKUP(CE$8,CRM!$A$1:$E$488,2,FALSE)</f>
        <v>7.2390800000000004</v>
      </c>
      <c r="CF38" s="439">
        <f>VLOOKUP(CF$8,CRM!$A$1:$E$488,2,FALSE)</f>
        <v>-5.6101299999999998</v>
      </c>
      <c r="CG38" s="439">
        <f>VLOOKUP(CG$8,CRM!$A$1:$E$488,2,FALSE)</f>
        <v>-9.0903799999999997</v>
      </c>
      <c r="CH38" s="439">
        <f>VLOOKUP(CH$8,CRM!$A$1:$E$488,2,FALSE)</f>
        <v>3.0775800000000002</v>
      </c>
      <c r="CI38" s="439">
        <f>VLOOKUP(CI$8,CRM!$A$1:$E$488,2,FALSE)</f>
        <v>5.7005999999999997</v>
      </c>
      <c r="CJ38" s="439">
        <f>VLOOKUP(CJ$8,CRM!$A$1:$E$488,2,FALSE)</f>
        <v>2.4718300000000002</v>
      </c>
      <c r="CK38" s="439">
        <f>VLOOKUP(CK$8,CRM!$A$1:$E$488,2,FALSE)</f>
        <v>-3.0068999999999999</v>
      </c>
      <c r="CL38" s="439">
        <f>VLOOKUP(CL$8,CRM!$A$1:$E$488,2,FALSE)</f>
        <v>3.8155700000000001</v>
      </c>
      <c r="CM38" s="439">
        <f>VLOOKUP(CM$8,CRM!$A$1:$E$488,2,FALSE)</f>
        <v>5.1005599999999998</v>
      </c>
      <c r="CN38" s="439">
        <f>VLOOKUP(CN$8,CRM!$A$1:$E$488,2,FALSE)</f>
        <v>-3.4132799999999999</v>
      </c>
      <c r="CO38" s="439">
        <f>VLOOKUP(CO$8,CRM!$A$1:$E$488,2,FALSE)</f>
        <v>3.13</v>
      </c>
      <c r="CP38" s="439">
        <f>VLOOKUP(CP$8,CRM!$A$1:$E$488,2,FALSE)</f>
        <v>3.21</v>
      </c>
      <c r="CQ38" s="439">
        <f>VLOOKUP(CQ$8,CRM!$A$1:$E$488,2,FALSE)</f>
        <v>6.16</v>
      </c>
      <c r="CR38" s="439">
        <f>VLOOKUP(CR$8,CRM!$A$1:$E$488,2,FALSE)</f>
        <v>1.02</v>
      </c>
      <c r="CS38" s="439">
        <f>VLOOKUP(CS$8,CRM!$A$1:$E$488,2,FALSE)</f>
        <v>4.2300000000000004</v>
      </c>
      <c r="CT38" s="439">
        <f>VLOOKUP(CT$8,CRM!$A$1:$E$488,2,FALSE)</f>
        <v>9.1</v>
      </c>
      <c r="CU38" s="439">
        <f>VLOOKUP(CU$8,CRM!$A$1:$E$488,2,FALSE)</f>
        <v>6.31</v>
      </c>
      <c r="CV38" s="439">
        <f>VLOOKUP(CV$8,CRM!$A$1:$E$488,2,FALSE)</f>
        <v>-6.98</v>
      </c>
      <c r="CW38" s="439">
        <f>VLOOKUP(CW$8,CRM!$A$1:$E$488,2,FALSE)</f>
        <v>-4.74</v>
      </c>
      <c r="CX38" s="439">
        <f>VLOOKUP(CX$8,CRM!$A$1:$E$488,2,FALSE)</f>
        <v>1.84</v>
      </c>
      <c r="CY38" s="439">
        <f>VLOOKUP(CY$8,CRM!$A$1:$E$488,2,FALSE)</f>
        <v>-6.73</v>
      </c>
      <c r="CZ38" s="439">
        <f>VLOOKUP(CZ$8,CRM!$A$1:$E$488,2,FALSE)</f>
        <v>-18.010000000000002</v>
      </c>
      <c r="DA38" s="439">
        <f>VLOOKUP(DA$8,CRM!$A$1:$E$488,2,FALSE)</f>
        <v>-10.56</v>
      </c>
      <c r="DB38" s="439">
        <f>VLOOKUP(DB$8,CRM!$A$1:$E$488,2,FALSE)</f>
        <v>2.54</v>
      </c>
      <c r="DC38" s="439">
        <f>VLOOKUP(DC$8,CRM!$A$1:$E$488,2,FALSE)</f>
        <v>-0.11</v>
      </c>
      <c r="DD38" s="439">
        <f>VLOOKUP(DD$8,CRM!$A$1:$E$488,2,FALSE)</f>
        <v>-9.09</v>
      </c>
      <c r="DE38" s="439">
        <f>VLOOKUP(DE$8,CRM!$A$1:$E$488,2,FALSE)</f>
        <v>3.97</v>
      </c>
      <c r="DF38" s="439">
        <f>VLOOKUP(DF$8,CRM!$A$1:$E$488,2,FALSE)</f>
        <v>6</v>
      </c>
      <c r="DG38" s="439">
        <f>VLOOKUP(DG$8,CRM!$A$1:$E$488,2,FALSE)</f>
        <v>-1.19</v>
      </c>
      <c r="DH38" s="439">
        <f>VLOOKUP(DH$8,CRM!$A$1:$E$488,2,FALSE)</f>
        <v>-1.91</v>
      </c>
      <c r="DI38" s="439">
        <f>VLOOKUP(DI$8,CRM!$A$1:$E$488,2,FALSE)</f>
        <v>-5.4</v>
      </c>
      <c r="DJ38" s="439">
        <f>VLOOKUP(DJ$8,CRM!$A$1:$E$488,2,FALSE)</f>
        <v>1.1100000000000001</v>
      </c>
      <c r="DK38" s="439">
        <f>VLOOKUP(DK$8,CRM!$A$1:$E$488,2,FALSE)</f>
        <v>-4.28</v>
      </c>
      <c r="DL38" s="439">
        <f>VLOOKUP(DL$8,CRM!$A$1:$E$488,2,FALSE)</f>
        <v>1.48</v>
      </c>
      <c r="DM38" s="439">
        <f>VLOOKUP(DM$8,CRM!$A$1:$E$488,2,FALSE)</f>
        <v>2.65</v>
      </c>
      <c r="DN38" s="439">
        <f>VLOOKUP(DN$8,CRM!$A$1:$E$488,2,FALSE)</f>
        <v>1.02</v>
      </c>
      <c r="DO38" s="439">
        <f>VLOOKUP(DO$8,CRM!$A$1:$E$488,2,FALSE)</f>
        <v>-3.8</v>
      </c>
      <c r="DP38" s="439">
        <f>VLOOKUP(DP$8,CRM!$A$1:$E$488,2,FALSE)</f>
        <v>-1.2</v>
      </c>
      <c r="DQ38" s="439">
        <f>VLOOKUP(DQ$8,CRM!$A$1:$E$488,2,FALSE)</f>
        <v>4.66</v>
      </c>
      <c r="DR38" s="439">
        <f>VLOOKUP(DR$8,CRM!$A$1:$E$488,2,FALSE)</f>
        <v>3.66</v>
      </c>
      <c r="DS38" s="439">
        <f>VLOOKUP(DS$8,CRM!$A$1:$E$488,2,FALSE)</f>
        <v>1.51</v>
      </c>
      <c r="DT38" s="439">
        <f>VLOOKUP(DT$8,CRM!$A$1:$E$488,2,FALSE)</f>
        <v>1.3</v>
      </c>
      <c r="DU38" s="439">
        <f>VLOOKUP(DU$8,CRM!$A$1:$E$488,2,FALSE)</f>
        <v>2.5</v>
      </c>
      <c r="DV38" s="439">
        <f>VLOOKUP(DV$8,CRM!$A$1:$E$488,2,FALSE)</f>
        <v>0.3</v>
      </c>
      <c r="DW38" s="439">
        <f>VLOOKUP(DW$8,CRM!$A$1:$E$488,2,FALSE)</f>
        <v>3.54</v>
      </c>
      <c r="DX38" s="439">
        <f>VLOOKUP(DX$8,CRM!$A$1:$E$488,2,FALSE)</f>
        <v>3.99</v>
      </c>
      <c r="DY38" s="439">
        <f>VLOOKUP(DY$8,CRM!$A$1:$E$488,2,FALSE)</f>
        <v>1.37</v>
      </c>
      <c r="DZ38" s="439">
        <f>VLOOKUP(DZ$8,CRM!$A$1:$E$488,2,FALSE)</f>
        <v>2.84</v>
      </c>
      <c r="EA38" s="439">
        <f>VLOOKUP(EA$8,CRM!$A$1:$E$488,2,FALSE)</f>
        <v>-1.01</v>
      </c>
      <c r="EB38" s="439">
        <f>VLOOKUP(EB$8,CRM!$A$1:$E$488,2,FALSE)</f>
        <v>-1.08</v>
      </c>
      <c r="EC38" s="439">
        <f>VLOOKUP(EC$8,CRM!$A$1:$E$488,2,FALSE)</f>
        <v>-2.95</v>
      </c>
      <c r="ED38" s="439">
        <f>VLOOKUP(ED$8,CRM!$A$1:$E$488,2,FALSE)</f>
        <v>1.91</v>
      </c>
      <c r="EE38" s="439">
        <f>VLOOKUP(EE$8,CRM!$A$1:$E$488,2,FALSE)</f>
        <v>2.39</v>
      </c>
      <c r="EF38" s="439">
        <f>VLOOKUP(EF$8,CRM!$A$1:$E$488,2,FALSE)</f>
        <v>2.84</v>
      </c>
      <c r="EG38" s="439">
        <f>VLOOKUP(EG$8,CRM!$A$1:$E$488,2,FALSE)</f>
        <v>2.59</v>
      </c>
      <c r="EH38" s="439">
        <f>VLOOKUP(EH$8,CRM!$A$1:$E$488,2,FALSE)</f>
        <v>1.33</v>
      </c>
      <c r="EI38" s="439">
        <f>VLOOKUP(EI$8,CRM!$A$1:$E$488,2,FALSE)</f>
        <v>4.2699999999999996</v>
      </c>
      <c r="EJ38" s="439">
        <f>VLOOKUP(EJ$8,CRM!$A$1:$E$488,2,FALSE)</f>
        <v>-3</v>
      </c>
      <c r="EK38" s="439">
        <f>VLOOKUP(EK$8,CRM!$A$1:$E$488,2,FALSE)</f>
        <v>1.27</v>
      </c>
      <c r="EL38" s="439">
        <f>VLOOKUP(EL$8,CRM!$A$1:$E$488,2,FALSE)</f>
        <v>-0.89</v>
      </c>
      <c r="EM38" s="439">
        <f>VLOOKUP(EM$8,CRM!$A$1:$E$488,2,FALSE)</f>
        <v>4.28</v>
      </c>
      <c r="EN38" s="439">
        <f>VLOOKUP(EN$8,CRM!$A$1:$E$488,2,FALSE)</f>
        <v>2.08</v>
      </c>
      <c r="EO38" s="439">
        <f>VLOOKUP(EO$8,CRM!$A$1:$E$488,2,FALSE)</f>
        <v>3.58</v>
      </c>
      <c r="EP38" s="439">
        <f>VLOOKUP(EP$8,CRM!$A$1:$E$488,2,FALSE)</f>
        <v>-3.29</v>
      </c>
      <c r="EQ38" s="439">
        <f>VLOOKUP(EQ$8,CRM!$A$1:$E$488,2,FALSE)</f>
        <v>-0.37</v>
      </c>
      <c r="ER38" s="439">
        <f>VLOOKUP(ER$8,CRM!$A$1:$E$488,2,FALSE)</f>
        <v>2.04</v>
      </c>
      <c r="ES38" s="439">
        <f>VLOOKUP(ES$8,CRM!$A$1:$E$488,2,FALSE)</f>
        <v>-1.69</v>
      </c>
      <c r="ET38" s="439">
        <f>VLOOKUP(ET$8,CRM!$A$1:$E$488,2,FALSE)</f>
        <v>3.2</v>
      </c>
      <c r="EU38" s="439">
        <f>VLOOKUP(EU$8,CRM!$A$1:$E$488,2,FALSE)</f>
        <v>6.72</v>
      </c>
      <c r="EV38" s="439">
        <f>VLOOKUP(EV$8,CRM!$A$1:$E$488,2,FALSE)</f>
        <v>4.3</v>
      </c>
      <c r="EW38" s="439">
        <f>VLOOKUP(EW$8,CRM!$A$1:$E$488,2,FALSE)</f>
        <v>2.91</v>
      </c>
      <c r="EX38" s="393" t="s">
        <v>69</v>
      </c>
      <c r="EY38" s="1066" t="s">
        <v>473</v>
      </c>
      <c r="EZ38" s="789">
        <f>VLOOKUP($EY38,'NEPC data'!$B25:$M212,5,TRUE)*100</f>
        <v>-5.7978032388000038</v>
      </c>
      <c r="FA38" s="789">
        <f>VLOOKUP($EY38,'NEPC data'!$B25:$M212,7,TRUE)*100</f>
        <v>-32.662813271391563</v>
      </c>
      <c r="FB38" s="789">
        <f>VLOOKUP($EY38,'NEPC data'!$B25:$M212,9,TRUE)*100</f>
        <v>-9.3404021551004028</v>
      </c>
      <c r="FC38" s="789">
        <f>VLOOKUP($EY38,'NEPC data'!$B25:$M212,10,TRUE)*100</f>
        <v>0.77229310005186846</v>
      </c>
      <c r="FD38" s="789">
        <f>VLOOKUP($EY38,'NEPC data'!$B25:$M212,11,TRUE)*100</f>
        <v>0</v>
      </c>
      <c r="FE38" s="382"/>
      <c r="FF38" s="441">
        <f>IF(G38="---","-",ABS(EZ38-G38))</f>
        <v>8.6414086417999521</v>
      </c>
      <c r="FG38" s="441">
        <f>IF(I38="---","-",ABS(FA38-I38))</f>
        <v>52.855791996298223</v>
      </c>
      <c r="FH38" s="441">
        <f>IF(K38="---","-",ABS(FB38-K38))</f>
        <v>27.140025848560381</v>
      </c>
      <c r="FI38" s="441">
        <f>IF(M38="---","-",ABS(FC38-M38))</f>
        <v>14.119209677814526</v>
      </c>
      <c r="FJ38" s="441">
        <f>IF(Q38="---","-",ABS(FD38-Q38))</f>
        <v>9.7748813539720878</v>
      </c>
      <c r="FK38" s="382"/>
      <c r="FL38" s="442">
        <f>AF38</f>
        <v>9.9386316420598817</v>
      </c>
      <c r="FM38" s="442">
        <f>ABS(FL38-AF38)</f>
        <v>0</v>
      </c>
    </row>
    <row r="39" spans="1:169" s="395" customFormat="1" ht="12.75" customHeight="1" x14ac:dyDescent="0.2">
      <c r="A39" s="445" t="s">
        <v>53</v>
      </c>
      <c r="B39" s="621" t="s">
        <v>320</v>
      </c>
      <c r="C39" s="446">
        <v>37437</v>
      </c>
      <c r="D39" s="447">
        <f>ASRS_E4!D1</f>
        <v>1</v>
      </c>
      <c r="E39" s="448">
        <f>VLOOKUP(AH$8,ASRS_E4!A1:E488,3,FALSE)/1000000</f>
        <v>529.24296027000003</v>
      </c>
      <c r="F39" s="449">
        <f>AH39</f>
        <v>5.2541700000000002</v>
      </c>
      <c r="G39" s="450">
        <f t="array" ref="G39">IF($AJ39=0,"---",(PRODUCT($AH39:AJ39/100+1)-1)*100)</f>
        <v>5.0400447972142715</v>
      </c>
      <c r="H39" s="450">
        <f t="array" ref="H39">IF($AS39=0,"---",(PRODUCT(AH39:AN39/100+1)-1)*100)</f>
        <v>12.57725145234232</v>
      </c>
      <c r="I39" s="450">
        <f t="array" ref="I39">IF(AS39=0,"---",(GEOMEAN($AH39:AS39/100+1)^12-1)*100)</f>
        <v>25.355808392672952</v>
      </c>
      <c r="J39" s="450">
        <f t="array" ref="J39">IF(BE39=0,"---",(GEOMEAN($AH39:BE39/100+1)^12-1)*100)</f>
        <v>25.935949005633987</v>
      </c>
      <c r="K39" s="450">
        <f t="array" ref="K39">IF(BQ39=0,"---",(GEOMEAN($AH39:BQ39/100+1)^12-1)*100)</f>
        <v>21.854916957822933</v>
      </c>
      <c r="L39" s="450">
        <f t="array" ref="L39">IF(CC39=0,"---",(GEOMEAN($AH39:CC39/100+1)^12-1)*100)</f>
        <v>20.704928494239017</v>
      </c>
      <c r="M39" s="450">
        <f t="array" ref="M39">IF(CO39=0,"---",(GEOMEAN($AH39:CO39/100+1)^12-1)*100)</f>
        <v>18.553200346957443</v>
      </c>
      <c r="N39" s="450">
        <f t="array" ref="N39">IF(DM39=0,"---",(GEOMEAN($AH39:DM39/100+1)^12-1)*100)</f>
        <v>8.9742986523295709</v>
      </c>
      <c r="O39" s="450">
        <f t="array" ref="O39">IF(EK39=0,"---",(GEOMEAN($AH39:EK39/100+1)^12-1)*100)</f>
        <v>9.5340873129428516</v>
      </c>
      <c r="P39" s="450">
        <f t="array" ref="P39">IF(EW39=0,"---",(GEOMEAN($AH39:EW39/100+1)^12-1)*100)</f>
        <v>11.073258111654848</v>
      </c>
      <c r="Q39" s="451">
        <f t="array" ref="Q39">(GEOMEAN(ASRS_E4!B$327:B471/100+1)^12-1)*100</f>
        <v>10.653326349735615</v>
      </c>
      <c r="R39" s="452">
        <f t="shared" si="28"/>
        <v>-2.1119999999999806</v>
      </c>
      <c r="S39" s="452">
        <f t="shared" si="28"/>
        <v>-2.023421708723383</v>
      </c>
      <c r="T39" s="452">
        <f t="shared" si="28"/>
        <v>-9.5537208786765859</v>
      </c>
      <c r="U39" s="452">
        <f t="shared" si="28"/>
        <v>-17.95297929254609</v>
      </c>
      <c r="V39" s="452">
        <f t="shared" si="28"/>
        <v>-10.511409450231213</v>
      </c>
      <c r="W39" s="452">
        <f t="shared" si="28"/>
        <v>-18.498516960718803</v>
      </c>
      <c r="X39" s="452">
        <f t="shared" si="28"/>
        <v>-12.040767986201217</v>
      </c>
      <c r="Y39" s="452">
        <f t="shared" si="28"/>
        <v>-4.2192025542963307</v>
      </c>
      <c r="Z39" s="452">
        <f t="shared" si="28"/>
        <v>34.017969631379152</v>
      </c>
      <c r="AA39" s="452">
        <f t="shared" si="28"/>
        <v>27.318351325027379</v>
      </c>
      <c r="AB39" s="452">
        <f t="shared" si="28"/>
        <v>26.913262797512161</v>
      </c>
      <c r="AC39" s="453">
        <f>(Q39-AF39)*100</f>
        <v>21.157545765344565</v>
      </c>
      <c r="AD39" s="454">
        <v>10</v>
      </c>
      <c r="AE39" s="13"/>
      <c r="AF39" s="476">
        <f t="array" ref="AF39">(GEOMEAN(Index_Returns!G327:G471/100+1)^12-1)*100</f>
        <v>10.441750892082169</v>
      </c>
      <c r="AG39" s="382" t="str">
        <f>IF(I39="---","&lt; 1 Year","---")</f>
        <v>---</v>
      </c>
      <c r="AH39" s="439">
        <f>VLOOKUP(AH$8,ASRS_E4!$A$1:$E$488,2,FALSE)</f>
        <v>5.2541700000000002</v>
      </c>
      <c r="AI39" s="439">
        <f>VLOOKUP(AI$8,ASRS_E4!$A$1:$E$488,2,FALSE)</f>
        <v>-4.34016</v>
      </c>
      <c r="AJ39" s="439">
        <f>VLOOKUP(AJ$8,ASRS_E4!$A$1:$E$488,2,FALSE)</f>
        <v>4.3244100000000003</v>
      </c>
      <c r="AK39" s="439">
        <f>VLOOKUP(AK$8,ASRS_E4!$A$1:$E$488,2,FALSE)</f>
        <v>1.7112499999999999</v>
      </c>
      <c r="AL39" s="439">
        <f>VLOOKUP(AL$8,ASRS_E4!$A$1:$E$488,2,FALSE)</f>
        <v>-0.31768999999999997</v>
      </c>
      <c r="AM39" s="439">
        <f>VLOOKUP(AM$8,ASRS_E4!$A$1:$E$488,2,FALSE)</f>
        <v>1.20119</v>
      </c>
      <c r="AN39" s="439">
        <f>VLOOKUP(AN$8,ASRS_E4!$A$1:$E$488,2,FALSE)</f>
        <v>4.4535099999999996</v>
      </c>
      <c r="AO39" s="439">
        <f>VLOOKUP(AO$8,ASRS_E4!$A$1:$E$488,2,FALSE)</f>
        <v>-1.64975</v>
      </c>
      <c r="AP39" s="439">
        <f>VLOOKUP(AP$8,ASRS_E4!$A$1:$E$488,2,FALSE)</f>
        <v>2.7997100000000001</v>
      </c>
      <c r="AQ39" s="439">
        <f>VLOOKUP(AQ$8,ASRS_E4!$A$1:$E$488,2,FALSE)</f>
        <v>1.0195099999999999</v>
      </c>
      <c r="AR39" s="439">
        <f>VLOOKUP(AR$8,ASRS_E4!$A$1:$E$488,2,FALSE)</f>
        <v>4.1480899999999998</v>
      </c>
      <c r="AS39" s="439">
        <f>VLOOKUP(AS$8,ASRS_E4!$A$1:$E$488,2,FALSE)</f>
        <v>4.6814900000000002</v>
      </c>
      <c r="AT39" s="439">
        <f>VLOOKUP(AT$8,ASRS_E4!$A$1:$E$488,2,FALSE)</f>
        <v>-3.89479</v>
      </c>
      <c r="AU39" s="439">
        <f>VLOOKUP(AU$8,ASRS_E4!$A$1:$E$488,2,FALSE)</f>
        <v>6.3065800000000003</v>
      </c>
      <c r="AV39" s="439">
        <f>VLOOKUP(AV$8,ASRS_E4!$A$1:$E$488,2,FALSE)</f>
        <v>-1.2712399999999999</v>
      </c>
      <c r="AW39" s="439">
        <f>VLOOKUP(AW$8,ASRS_E4!$A$1:$E$488,2,FALSE)</f>
        <v>2.3554499999999998</v>
      </c>
      <c r="AX39" s="439">
        <f>VLOOKUP(AX$8,ASRS_E4!$A$1:$E$488,2,FALSE)</f>
        <v>4.4999999999999998E-2</v>
      </c>
      <c r="AY39" s="439">
        <f>VLOOKUP(AY$8,ASRS_E4!$A$1:$E$488,2,FALSE)</f>
        <v>5.1137899999999998</v>
      </c>
      <c r="AZ39" s="439">
        <f>VLOOKUP(AZ$8,ASRS_E4!$A$1:$E$488,2,FALSE)</f>
        <v>1.6449400000000001</v>
      </c>
      <c r="BA39" s="439">
        <f>VLOOKUP(BA$8,ASRS_E4!$A$1:$E$488,2,FALSE)</f>
        <v>7.4225099999999999</v>
      </c>
      <c r="BB39" s="439">
        <f>VLOOKUP(BB$8,ASRS_E4!$A$1:$E$488,2,FALSE)</f>
        <v>3.0383300000000002</v>
      </c>
      <c r="BC39" s="439">
        <f>VLOOKUP(BC$8,ASRS_E4!$A$1:$E$488,2,FALSE)</f>
        <v>1.83813</v>
      </c>
      <c r="BD39" s="439">
        <f>VLOOKUP(BD$8,ASRS_E4!$A$1:$E$488,2,FALSE)</f>
        <v>-0.42225000000000001</v>
      </c>
      <c r="BE39" s="439">
        <f>VLOOKUP(BE$8,ASRS_E4!$A$1:$E$488,2,FALSE)</f>
        <v>2.1375799999999998</v>
      </c>
      <c r="BF39" s="439">
        <f>VLOOKUP(BF$8,ASRS_E4!$A$1:$E$488,2,FALSE)</f>
        <v>2.80749</v>
      </c>
      <c r="BG39" s="439">
        <f>VLOOKUP(BG$8,ASRS_E4!$A$1:$E$488,2,FALSE)</f>
        <v>-0.19511999999999999</v>
      </c>
      <c r="BH39" s="439">
        <f>VLOOKUP(BH$8,ASRS_E4!$A$1:$E$488,2,FALSE)</f>
        <v>3.09735</v>
      </c>
      <c r="BI39" s="439">
        <f>VLOOKUP(BI$8,ASRS_E4!$A$1:$E$488,2,FALSE)</f>
        <v>-6.7017100000000003</v>
      </c>
      <c r="BJ39" s="439">
        <f>VLOOKUP(BJ$8,ASRS_E4!$A$1:$E$488,2,FALSE)</f>
        <v>-0.41858000000000001</v>
      </c>
      <c r="BK39" s="439">
        <f>VLOOKUP(BK$8,ASRS_E4!$A$1:$E$488,2,FALSE)</f>
        <v>2.1014300000000001</v>
      </c>
      <c r="BL39" s="439">
        <f>VLOOKUP(BL$8,ASRS_E4!$A$1:$E$488,2,FALSE)</f>
        <v>4.0347200000000001</v>
      </c>
      <c r="BM39" s="439">
        <f>VLOOKUP(BM$8,ASRS_E4!$A$1:$E$488,2,FALSE)</f>
        <v>6.4126799999999999</v>
      </c>
      <c r="BN39" s="439">
        <f>VLOOKUP(BN$8,ASRS_E4!$A$1:$E$488,2,FALSE)</f>
        <v>0.72728999999999999</v>
      </c>
      <c r="BO39" s="439">
        <f>VLOOKUP(BO$8,ASRS_E4!$A$1:$E$488,2,FALSE)</f>
        <v>0.42379</v>
      </c>
      <c r="BP39" s="439">
        <f>VLOOKUP(BP$8,ASRS_E4!$A$1:$E$488,2,FALSE)</f>
        <v>14.19956</v>
      </c>
      <c r="BQ39" s="439">
        <f>VLOOKUP(BQ$8,ASRS_E4!$A$1:$E$488,2,FALSE)</f>
        <v>-11.09995</v>
      </c>
      <c r="BR39" s="439">
        <f>VLOOKUP(BR$8,ASRS_E4!$A$1:$E$488,2,FALSE)</f>
        <v>-7.5209099999999998</v>
      </c>
      <c r="BS39" s="439">
        <f>VLOOKUP(BS$8,ASRS_E4!$A$1:$E$488,2,FALSE)</f>
        <v>-3.98807</v>
      </c>
      <c r="BT39" s="439">
        <f>VLOOKUP(BT$8,ASRS_E4!$A$1:$E$488,2,FALSE)</f>
        <v>-2.2939400000000001</v>
      </c>
      <c r="BU39" s="439">
        <f>VLOOKUP(BU$8,ASRS_E4!$A$1:$E$488,2,FALSE)</f>
        <v>-1.59206</v>
      </c>
      <c r="BV39" s="439">
        <f>VLOOKUP(BV$8,ASRS_E4!$A$1:$E$488,2,FALSE)</f>
        <v>1.9795199999999999</v>
      </c>
      <c r="BW39" s="439">
        <f>VLOOKUP(BW$8,ASRS_E4!$A$1:$E$488,2,FALSE)</f>
        <v>1.8442700000000001</v>
      </c>
      <c r="BX39" s="439">
        <f>VLOOKUP(BX$8,ASRS_E4!$A$1:$E$488,2,FALSE)</f>
        <v>4.1390099999999999</v>
      </c>
      <c r="BY39" s="439">
        <f>VLOOKUP(BY$8,ASRS_E4!$A$1:$E$488,2,FALSE)</f>
        <v>2.6237300000000001</v>
      </c>
      <c r="BZ39" s="439">
        <f>VLOOKUP(BZ$8,ASRS_E4!$A$1:$E$488,2,FALSE)</f>
        <v>7.50976</v>
      </c>
      <c r="CA39" s="439">
        <f>VLOOKUP(CA$8,ASRS_E4!$A$1:$E$488,2,FALSE)</f>
        <v>1.3888</v>
      </c>
      <c r="CB39" s="439">
        <f>VLOOKUP(CB$8,ASRS_E4!$A$1:$E$488,2,FALSE)</f>
        <v>2.9952000000000001</v>
      </c>
      <c r="CC39" s="439">
        <f>VLOOKUP(CC$8,ASRS_E4!$A$1:$E$488,2,FALSE)</f>
        <v>10.276960000000001</v>
      </c>
      <c r="CD39" s="439">
        <f>VLOOKUP(CD$8,ASRS_E4!$A$1:$E$488,2,FALSE)</f>
        <v>-5.3231200000000003</v>
      </c>
      <c r="CE39" s="439">
        <f>VLOOKUP(CE$8,ASRS_E4!$A$1:$E$488,2,FALSE)</f>
        <v>6.9035399999999996</v>
      </c>
      <c r="CF39" s="439">
        <f>VLOOKUP(CF$8,ASRS_E4!$A$1:$E$488,2,FALSE)</f>
        <v>-6.82</v>
      </c>
      <c r="CG39" s="439">
        <f>VLOOKUP(CG$8,ASRS_E4!$A$1:$E$488,2,FALSE)</f>
        <v>-7.65</v>
      </c>
      <c r="CH39" s="439">
        <f>VLOOKUP(CH$8,ASRS_E4!$A$1:$E$488,2,FALSE)</f>
        <v>4.7300000000000004</v>
      </c>
      <c r="CI39" s="439">
        <f>VLOOKUP(CI$8,ASRS_E4!$A$1:$E$488,2,FALSE)</f>
        <v>6.46</v>
      </c>
      <c r="CJ39" s="439">
        <f>VLOOKUP(CJ$8,ASRS_E4!$A$1:$E$488,2,FALSE)</f>
        <v>4.87</v>
      </c>
      <c r="CK39" s="439">
        <f>VLOOKUP(CK$8,ASRS_E4!$A$1:$E$488,2,FALSE)</f>
        <v>-2.54</v>
      </c>
      <c r="CL39" s="439">
        <f>VLOOKUP(CL$8,ASRS_E4!$A$1:$E$488,2,FALSE)</f>
        <v>6.82</v>
      </c>
      <c r="CM39" s="439">
        <f>VLOOKUP(CM$8,ASRS_E4!$A$1:$E$488,2,FALSE)</f>
        <v>4.47</v>
      </c>
      <c r="CN39" s="439">
        <f>VLOOKUP(CN$8,ASRS_E4!$A$1:$E$488,2,FALSE)</f>
        <v>-5.46</v>
      </c>
      <c r="CO39" s="439">
        <f>VLOOKUP(CO$8,ASRS_E4!$A$1:$E$488,2,FALSE)</f>
        <v>5.36</v>
      </c>
      <c r="CP39" s="439">
        <f>VLOOKUP(CP$8,ASRS_E4!$A$1:$E$488,2,FALSE)</f>
        <v>5.4</v>
      </c>
      <c r="CQ39" s="439">
        <f>VLOOKUP(CQ$8,ASRS_E4!$A$1:$E$488,2,FALSE)</f>
        <v>9.41</v>
      </c>
      <c r="CR39" s="439">
        <f>VLOOKUP(CR$8,ASRS_E4!$A$1:$E$488,2,FALSE)</f>
        <v>0.67</v>
      </c>
      <c r="CS39" s="439">
        <f>VLOOKUP(CS$8,ASRS_E4!$A$1:$E$488,2,FALSE)</f>
        <v>2.06</v>
      </c>
      <c r="CT39" s="439">
        <f>VLOOKUP(CT$8,ASRS_E4!$A$1:$E$488,2,FALSE)</f>
        <v>15.23</v>
      </c>
      <c r="CU39" s="439">
        <f>VLOOKUP(CU$8,ASRS_E4!$A$1:$E$488,2,FALSE)</f>
        <v>8.1300000000000008</v>
      </c>
      <c r="CV39" s="439">
        <f>VLOOKUP(CV$8,ASRS_E4!$A$1:$E$488,2,FALSE)</f>
        <v>-11</v>
      </c>
      <c r="CW39" s="439">
        <f>VLOOKUP(CW$8,ASRS_E4!$A$1:$E$488,2,FALSE)</f>
        <v>-8.2200000000000006</v>
      </c>
      <c r="CX39" s="439">
        <f>VLOOKUP(CX$8,ASRS_E4!$A$1:$E$488,2,FALSE)</f>
        <v>4.87</v>
      </c>
      <c r="CY39" s="439">
        <f>VLOOKUP(CY$8,ASRS_E4!$A$1:$E$488,2,FALSE)</f>
        <v>-8.73</v>
      </c>
      <c r="CZ39" s="439">
        <f>VLOOKUP(CZ$8,ASRS_E4!$A$1:$E$488,2,FALSE)</f>
        <v>-20.23</v>
      </c>
      <c r="DA39" s="439">
        <f>VLOOKUP(DA$8,ASRS_E4!$A$1:$E$488,2,FALSE)</f>
        <v>-8.5</v>
      </c>
      <c r="DB39" s="439">
        <f>VLOOKUP(DB$8,ASRS_E4!$A$1:$E$488,2,FALSE)</f>
        <v>2.08</v>
      </c>
      <c r="DC39" s="439">
        <f>VLOOKUP(DC$8,ASRS_E4!$A$1:$E$488,2,FALSE)</f>
        <v>-0.31</v>
      </c>
      <c r="DD39" s="439">
        <f>VLOOKUP(DD$8,ASRS_E4!$A$1:$E$488,2,FALSE)</f>
        <v>-8.8800000000000008</v>
      </c>
      <c r="DE39" s="439">
        <f>VLOOKUP(DE$8,ASRS_E4!$A$1:$E$488,2,FALSE)</f>
        <v>4.66</v>
      </c>
      <c r="DF39" s="439">
        <f>VLOOKUP(DF$8,ASRS_E4!$A$1:$E$488,2,FALSE)</f>
        <v>7.27</v>
      </c>
      <c r="DG39" s="439">
        <f>VLOOKUP(DG$8,ASRS_E4!$A$1:$E$488,2,FALSE)</f>
        <v>-0.51</v>
      </c>
      <c r="DH39" s="439">
        <f>VLOOKUP(DH$8,ASRS_E4!$A$1:$E$488,2,FALSE)</f>
        <v>-3.12</v>
      </c>
      <c r="DI39" s="439">
        <f>VLOOKUP(DI$8,ASRS_E4!$A$1:$E$488,2,FALSE)</f>
        <v>-5.2</v>
      </c>
      <c r="DJ39" s="439">
        <f>VLOOKUP(DJ$8,ASRS_E4!$A$1:$E$488,2,FALSE)</f>
        <v>-0.55000000000000004</v>
      </c>
      <c r="DK39" s="439">
        <f>VLOOKUP(DK$8,ASRS_E4!$A$1:$E$488,2,FALSE)</f>
        <v>-5.56</v>
      </c>
      <c r="DL39" s="439">
        <f>VLOOKUP(DL$8,ASRS_E4!$A$1:$E$488,2,FALSE)</f>
        <v>1.71</v>
      </c>
      <c r="DM39" s="439">
        <f>VLOOKUP(DM$8,ASRS_E4!$A$1:$E$488,2,FALSE)</f>
        <v>1.8</v>
      </c>
      <c r="DN39" s="439">
        <f>VLOOKUP(DN$8,ASRS_E4!$A$1:$E$488,2,FALSE)</f>
        <v>0.81</v>
      </c>
      <c r="DO39" s="439">
        <f>VLOOKUP(DO$8,ASRS_E4!$A$1:$E$488,2,FALSE)</f>
        <v>-4.82</v>
      </c>
      <c r="DP39" s="439">
        <f>VLOOKUP(DP$8,ASRS_E4!$A$1:$E$488,2,FALSE)</f>
        <v>-2.64</v>
      </c>
      <c r="DQ39" s="439">
        <f>VLOOKUP(DQ$8,ASRS_E4!$A$1:$E$488,2,FALSE)</f>
        <v>4.3099999999999996</v>
      </c>
      <c r="DR39" s="439">
        <f>VLOOKUP(DR$8,ASRS_E4!$A$1:$E$488,2,FALSE)</f>
        <v>2.84</v>
      </c>
      <c r="DS39" s="439">
        <f>VLOOKUP(DS$8,ASRS_E4!$A$1:$E$488,2,FALSE)</f>
        <v>1.08</v>
      </c>
      <c r="DT39" s="439">
        <f>VLOOKUP(DT$8,ASRS_E4!$A$1:$E$488,2,FALSE)</f>
        <v>1.22</v>
      </c>
      <c r="DU39" s="439">
        <f>VLOOKUP(DU$8,ASRS_E4!$A$1:$E$488,2,FALSE)</f>
        <v>3.36</v>
      </c>
      <c r="DV39" s="439">
        <f>VLOOKUP(DV$8,ASRS_E4!$A$1:$E$488,2,FALSE)</f>
        <v>0.06</v>
      </c>
      <c r="DW39" s="439">
        <f>VLOOKUP(DW$8,ASRS_E4!$A$1:$E$488,2,FALSE)</f>
        <v>3.29</v>
      </c>
      <c r="DX39" s="439">
        <f>VLOOKUP(DX$8,ASRS_E4!$A$1:$E$488,2,FALSE)</f>
        <v>4.5199999999999996</v>
      </c>
      <c r="DY39" s="439">
        <f>VLOOKUP(DY$8,ASRS_E4!$A$1:$E$488,2,FALSE)</f>
        <v>0.22</v>
      </c>
      <c r="DZ39" s="439">
        <f>VLOOKUP(DZ$8,ASRS_E4!$A$1:$E$488,2,FALSE)</f>
        <v>1.49</v>
      </c>
      <c r="EA39" s="439">
        <f>VLOOKUP(EA$8,ASRS_E4!$A$1:$E$488,2,FALSE)</f>
        <v>-2.27</v>
      </c>
      <c r="EB39" s="439">
        <f>VLOOKUP(EB$8,ASRS_E4!$A$1:$E$488,2,FALSE)</f>
        <v>-0.04</v>
      </c>
      <c r="EC39" s="439">
        <f>VLOOKUP(EC$8,ASRS_E4!$A$1:$E$488,2,FALSE)</f>
        <v>-3.99</v>
      </c>
      <c r="ED39" s="439">
        <f>VLOOKUP(ED$8,ASRS_E4!$A$1:$E$488,2,FALSE)</f>
        <v>2.02</v>
      </c>
      <c r="EE39" s="439">
        <f>VLOOKUP(EE$8,ASRS_E4!$A$1:$E$488,2,FALSE)</f>
        <v>2.65</v>
      </c>
      <c r="EF39" s="439">
        <f>VLOOKUP(EF$8,ASRS_E4!$A$1:$E$488,2,FALSE)</f>
        <v>-0.01</v>
      </c>
      <c r="EG39" s="439">
        <f>VLOOKUP(EG$8,ASRS_E4!$A$1:$E$488,2,FALSE)</f>
        <v>6.19</v>
      </c>
      <c r="EH39" s="439">
        <f>VLOOKUP(EH$8,ASRS_E4!$A$1:$E$488,2,FALSE)</f>
        <v>0.46</v>
      </c>
      <c r="EI39" s="439">
        <f>VLOOKUP(EI$8,ASRS_E4!$A$1:$E$488,2,FALSE)</f>
        <v>4.1500000000000004</v>
      </c>
      <c r="EJ39" s="439">
        <f>VLOOKUP(EJ$8,ASRS_E4!$A$1:$E$488,2,FALSE)</f>
        <v>-2.96</v>
      </c>
      <c r="EK39" s="439">
        <f>VLOOKUP(EK$8,ASRS_E4!$A$1:$E$488,2,FALSE)</f>
        <v>0.86</v>
      </c>
      <c r="EL39" s="439">
        <f>VLOOKUP(EL$8,ASRS_E4!$A$1:$E$488,2,FALSE)</f>
        <v>-1.1599999999999999</v>
      </c>
      <c r="EM39" s="439">
        <f>VLOOKUP(EM$8,ASRS_E4!$A$1:$E$488,2,FALSE)</f>
        <v>5.62</v>
      </c>
      <c r="EN39" s="439">
        <f>VLOOKUP(EN$8,ASRS_E4!$A$1:$E$488,2,FALSE)</f>
        <v>3.01</v>
      </c>
      <c r="EO39" s="439">
        <f>VLOOKUP(EO$8,ASRS_E4!$A$1:$E$488,2,FALSE)</f>
        <v>5.96</v>
      </c>
      <c r="EP39" s="439">
        <f>VLOOKUP(EP$8,ASRS_E4!$A$1:$E$488,2,FALSE)</f>
        <v>-3.72</v>
      </c>
      <c r="EQ39" s="439">
        <f>VLOOKUP(EQ$8,ASRS_E4!$A$1:$E$488,2,FALSE)</f>
        <v>-0.99</v>
      </c>
      <c r="ER39" s="439">
        <f>VLOOKUP(ER$8,ASRS_E4!$A$1:$E$488,2,FALSE)</f>
        <v>3.14</v>
      </c>
      <c r="ES39" s="439">
        <f>VLOOKUP(ES$8,ASRS_E4!$A$1:$E$488,2,FALSE)</f>
        <v>-2.75</v>
      </c>
      <c r="ET39" s="439">
        <f>VLOOKUP(ET$8,ASRS_E4!$A$1:$E$488,2,FALSE)</f>
        <v>3.93</v>
      </c>
      <c r="EU39" s="439">
        <f>VLOOKUP(EU$8,ASRS_E4!$A$1:$E$488,2,FALSE)</f>
        <v>7.08</v>
      </c>
      <c r="EV39" s="439">
        <f>VLOOKUP(EV$8,ASRS_E4!$A$1:$E$488,2,FALSE)</f>
        <v>0.84</v>
      </c>
      <c r="EW39" s="439">
        <f>VLOOKUP(EW$8,ASRS_E4!$A$1:$E$488,2,FALSE)</f>
        <v>3</v>
      </c>
      <c r="EX39" s="393" t="s">
        <v>53</v>
      </c>
      <c r="EY39" s="1066" t="s">
        <v>478</v>
      </c>
      <c r="EZ39" s="789">
        <f>VLOOKUP($EY39,'NEPC data'!$B26:$M213,5,TRUE)*100</f>
        <v>-11.703745249999997</v>
      </c>
      <c r="FA39" s="789">
        <f>VLOOKUP($EY39,'NEPC data'!$B26:$M213,7,TRUE)*100</f>
        <v>-35.783406074449331</v>
      </c>
      <c r="FB39" s="789">
        <f>VLOOKUP($EY39,'NEPC data'!$B26:$M213,9,TRUE)*100</f>
        <v>-14.013218082879542</v>
      </c>
      <c r="FC39" s="789">
        <f>VLOOKUP($EY39,'NEPC data'!$B26:$M213,10,TRUE)*100</f>
        <v>-2.7339888970472459</v>
      </c>
      <c r="FD39" s="789">
        <f>VLOOKUP($EY39,'NEPC data'!$B26:$M213,11,TRUE)*100</f>
        <v>0</v>
      </c>
      <c r="FE39" s="382"/>
      <c r="FF39" s="441">
        <f>IF(G39="---","-",ABS(EZ39-G39))</f>
        <v>16.743790047214269</v>
      </c>
      <c r="FG39" s="441">
        <f>IF(I39="---","-",ABS(FA39-I39))</f>
        <v>61.139214467122287</v>
      </c>
      <c r="FH39" s="441">
        <f>IF(K39="---","-",ABS(FB39-K39))</f>
        <v>35.868135040702477</v>
      </c>
      <c r="FI39" s="441">
        <f>IF(M39="---","-",ABS(FC39-M39))</f>
        <v>21.28718924400469</v>
      </c>
      <c r="FJ39" s="441">
        <f>IF(Q39="---","-",ABS(FD39-Q39))</f>
        <v>10.653326349735615</v>
      </c>
      <c r="FK39" s="382"/>
      <c r="FL39" s="442">
        <f>AF39</f>
        <v>10.441750892082169</v>
      </c>
      <c r="FM39" s="442">
        <f>ABS(FL39-AF39)</f>
        <v>0</v>
      </c>
    </row>
    <row r="40" spans="1:169" s="1028" customFormat="1" ht="12.75" customHeight="1" x14ac:dyDescent="0.2">
      <c r="A40" s="1234" t="s">
        <v>199</v>
      </c>
      <c r="B40" s="1024"/>
      <c r="C40" s="1235"/>
      <c r="D40" s="1218"/>
      <c r="E40" s="1237"/>
      <c r="F40" s="1220">
        <f>AH40</f>
        <v>5.27529</v>
      </c>
      <c r="G40" s="1023">
        <f t="array" ref="G40">IF($AJ40=0,"---",(PRODUCT($AH40:AJ40/100+1)-1)*100)</f>
        <v>5.0602790143015053</v>
      </c>
      <c r="H40" s="432">
        <f t="array" ref="H40">IF($AS40=0,"---",(PRODUCT(AH40:AN40/100+1)-1)*100)</f>
        <v>12.672788661129086</v>
      </c>
      <c r="I40" s="1023">
        <f t="array" ref="I40">IF(AS40=0,"---",(GEOMEAN($AH40:AS40/100+1)^12-1)*100)</f>
        <v>25.535338185598413</v>
      </c>
      <c r="J40" s="1023">
        <f t="array" ref="J40">IF(BE40=0,"---",(GEOMEAN($AH40:BE40/100+1)^12-1)*100)</f>
        <v>26.041063100136299</v>
      </c>
      <c r="K40" s="1023">
        <f t="array" ref="K40">IF(BQ40=0,"---",(GEOMEAN($AH40:BQ40/100+1)^12-1)*100)</f>
        <v>22.039902127430121</v>
      </c>
      <c r="L40" s="1023">
        <f t="array" ref="L40">IF(CC40=0,"---",(GEOMEAN($AH40:CC40/100+1)^12-1)*100)</f>
        <v>20.825336174101029</v>
      </c>
      <c r="M40" s="1023">
        <f t="array" ref="M40">IF(CO40=0,"---",(GEOMEAN($AH40:CO40/100+1)^12-1)*100)</f>
        <v>18.595392372500406</v>
      </c>
      <c r="N40" s="1023">
        <f t="array" ref="N40">IF(DM40=0,"---",(GEOMEAN($AH40:DM40/100+1)^12-1)*100)</f>
        <v>8.6341189560157794</v>
      </c>
      <c r="O40" s="1023">
        <f t="array" ref="O40">IF(EK40=0,"---",(GEOMEAN($AH40:EK40/100+1)^12-1)*100)</f>
        <v>9.2609037996925778</v>
      </c>
      <c r="P40" s="1023">
        <f t="array" ref="P40">IF(EW40=0,"---",(GEOMEAN($AH40:EW40/100+1)^12-1)*100)</f>
        <v>10.804125483679726</v>
      </c>
      <c r="Q40" s="1238" t="s">
        <v>34</v>
      </c>
      <c r="R40" s="1218"/>
      <c r="S40" s="1218"/>
      <c r="T40" s="1218"/>
      <c r="U40" s="1218"/>
      <c r="V40" s="1218"/>
      <c r="W40" s="1218"/>
      <c r="X40" s="1218"/>
      <c r="Y40" s="1218"/>
      <c r="Z40" s="1218"/>
      <c r="AA40" s="1218"/>
      <c r="AB40" s="1218"/>
      <c r="AC40" s="1222"/>
      <c r="AD40" s="1233"/>
      <c r="AF40" s="1027"/>
      <c r="AG40" s="1024"/>
      <c r="AH40" s="1025">
        <f t="shared" ref="AH40:CS40" si="29">VLOOKUP(AH$8,Index,7,FALSE)</f>
        <v>5.27529</v>
      </c>
      <c r="AI40" s="1025">
        <f t="shared" si="29"/>
        <v>-4.3445400000000003</v>
      </c>
      <c r="AJ40" s="1025">
        <f t="shared" si="29"/>
        <v>4.3283500000000004</v>
      </c>
      <c r="AK40" s="1025">
        <f t="shared" si="29"/>
        <v>1.67614</v>
      </c>
      <c r="AL40" s="1025">
        <f t="shared" si="29"/>
        <v>-0.24590999999999999</v>
      </c>
      <c r="AM40" s="1025">
        <f t="shared" si="29"/>
        <v>1.2476499999999999</v>
      </c>
      <c r="AN40" s="1025">
        <f t="shared" si="29"/>
        <v>4.4349299999999996</v>
      </c>
      <c r="AO40" s="1025">
        <f t="shared" si="29"/>
        <v>-1.6530899999999999</v>
      </c>
      <c r="AP40" s="1025">
        <f t="shared" si="29"/>
        <v>2.88219</v>
      </c>
      <c r="AQ40" s="1025">
        <f t="shared" si="29"/>
        <v>0.96177000000000001</v>
      </c>
      <c r="AR40" s="1025">
        <f t="shared" si="29"/>
        <v>4.1832099999999999</v>
      </c>
      <c r="AS40" s="1025">
        <f t="shared" si="29"/>
        <v>4.6866599999999998</v>
      </c>
      <c r="AT40" s="1025">
        <f t="shared" si="29"/>
        <v>-3.8833099999999998</v>
      </c>
      <c r="AU40" s="1025">
        <f t="shared" si="29"/>
        <v>6.3075200000000002</v>
      </c>
      <c r="AV40" s="1025">
        <f t="shared" si="29"/>
        <v>-1.2350000000000001</v>
      </c>
      <c r="AW40" s="1025">
        <f t="shared" si="29"/>
        <v>2.2315</v>
      </c>
      <c r="AX40" s="1025">
        <f t="shared" si="29"/>
        <v>2.9399999999999999E-2</v>
      </c>
      <c r="AY40" s="1025">
        <f t="shared" si="29"/>
        <v>5.1383599999999996</v>
      </c>
      <c r="AZ40" s="1025">
        <f t="shared" si="29"/>
        <v>1.6585300000000001</v>
      </c>
      <c r="BA40" s="1025">
        <f t="shared" si="29"/>
        <v>7.4368100000000004</v>
      </c>
      <c r="BB40" s="1025">
        <f t="shared" si="29"/>
        <v>3.1068099999999998</v>
      </c>
      <c r="BC40" s="1025">
        <f t="shared" si="29"/>
        <v>1.8157399999999999</v>
      </c>
      <c r="BD40" s="1025">
        <f t="shared" si="29"/>
        <v>-0.44419999999999998</v>
      </c>
      <c r="BE40" s="1025">
        <f t="shared" si="29"/>
        <v>2.1769400000000001</v>
      </c>
      <c r="BF40" s="1025">
        <f t="shared" si="29"/>
        <v>2.8061600000000002</v>
      </c>
      <c r="BG40" s="1025">
        <f t="shared" si="29"/>
        <v>-0.23477000000000001</v>
      </c>
      <c r="BH40" s="1025">
        <f t="shared" si="29"/>
        <v>3.1381899999999998</v>
      </c>
      <c r="BI40" s="1025">
        <f t="shared" si="29"/>
        <v>-6.6841499999999998</v>
      </c>
      <c r="BJ40" s="1025">
        <f t="shared" si="29"/>
        <v>-0.38206000000000001</v>
      </c>
      <c r="BK40" s="1025">
        <f t="shared" si="29"/>
        <v>2.1076999999999999</v>
      </c>
      <c r="BL40" s="1025">
        <f t="shared" si="29"/>
        <v>3.9588700000000001</v>
      </c>
      <c r="BM40" s="1025">
        <f t="shared" si="29"/>
        <v>6.3377499999999998</v>
      </c>
      <c r="BN40" s="1025">
        <f t="shared" si="29"/>
        <v>0.96453</v>
      </c>
      <c r="BO40" s="1025">
        <f t="shared" si="29"/>
        <v>0.50434999999999997</v>
      </c>
      <c r="BP40" s="1025">
        <f t="shared" si="29"/>
        <v>14.19331</v>
      </c>
      <c r="BQ40" s="1025">
        <f t="shared" si="29"/>
        <v>-11.04533</v>
      </c>
      <c r="BR40" s="1025">
        <f t="shared" si="29"/>
        <v>-7.4429699999999999</v>
      </c>
      <c r="BS40" s="1025">
        <f t="shared" si="29"/>
        <v>-3.9851100000000002</v>
      </c>
      <c r="BT40" s="1025">
        <f t="shared" si="29"/>
        <v>-2.4534099999999999</v>
      </c>
      <c r="BU40" s="1025">
        <f t="shared" si="29"/>
        <v>-1.6732800000000001</v>
      </c>
      <c r="BV40" s="1025">
        <f t="shared" si="29"/>
        <v>1.96749</v>
      </c>
      <c r="BW40" s="1025">
        <f t="shared" si="29"/>
        <v>1.8583099999999999</v>
      </c>
      <c r="BX40" s="1025">
        <f t="shared" si="29"/>
        <v>4.1781899999999998</v>
      </c>
      <c r="BY40" s="1025">
        <f t="shared" si="29"/>
        <v>2.63151</v>
      </c>
      <c r="BZ40" s="1025">
        <f t="shared" si="29"/>
        <v>7.64093</v>
      </c>
      <c r="CA40" s="1025">
        <f t="shared" si="29"/>
        <v>1.3675200000000001</v>
      </c>
      <c r="CB40" s="1025">
        <f t="shared" si="29"/>
        <v>2.99315</v>
      </c>
      <c r="CC40" s="1025">
        <f t="shared" si="29"/>
        <v>10.22866</v>
      </c>
      <c r="CD40" s="1025">
        <f t="shared" si="29"/>
        <v>-5.3963099999999997</v>
      </c>
      <c r="CE40" s="1025">
        <f t="shared" si="29"/>
        <v>6.9019599999999999</v>
      </c>
      <c r="CF40" s="1025">
        <f t="shared" si="29"/>
        <v>-6.8252499999999996</v>
      </c>
      <c r="CG40" s="1025">
        <f t="shared" si="29"/>
        <v>-7.6673499999999999</v>
      </c>
      <c r="CH40" s="1025">
        <f t="shared" si="29"/>
        <v>4.7355</v>
      </c>
      <c r="CI40" s="1025">
        <f t="shared" si="29"/>
        <v>6.4265699999999999</v>
      </c>
      <c r="CJ40" s="1025">
        <f t="shared" si="29"/>
        <v>4.85642</v>
      </c>
      <c r="CK40" s="1025">
        <f t="shared" si="29"/>
        <v>-2.5333199999999998</v>
      </c>
      <c r="CL40" s="1025">
        <f t="shared" si="29"/>
        <v>6.9892200000000004</v>
      </c>
      <c r="CM40" s="1025">
        <f t="shared" si="29"/>
        <v>4.47</v>
      </c>
      <c r="CN40" s="1025">
        <f t="shared" si="29"/>
        <v>-5.65</v>
      </c>
      <c r="CO40" s="1025">
        <f t="shared" si="29"/>
        <v>5.3151999999999999</v>
      </c>
      <c r="CP40" s="1025">
        <f t="shared" si="29"/>
        <v>5.4279999999999999</v>
      </c>
      <c r="CQ40" s="1025">
        <f t="shared" si="29"/>
        <v>9.3943999999999992</v>
      </c>
      <c r="CR40" s="1025">
        <f t="shared" si="29"/>
        <v>0.70850000000000002</v>
      </c>
      <c r="CS40" s="1025">
        <f t="shared" si="29"/>
        <v>1.9188000000000001</v>
      </c>
      <c r="CT40" s="1025">
        <f t="shared" ref="CT40:EW40" si="30">VLOOKUP(CT$8,Index,7,FALSE)</f>
        <v>15.7272</v>
      </c>
      <c r="CU40" s="1025">
        <f t="shared" si="30"/>
        <v>8.3660999999999994</v>
      </c>
      <c r="CV40" s="1025">
        <f t="shared" si="30"/>
        <v>-11.308199999999999</v>
      </c>
      <c r="CW40" s="1025">
        <f t="shared" si="30"/>
        <v>-8.5521999999999991</v>
      </c>
      <c r="CX40" s="1025">
        <f t="shared" si="30"/>
        <v>5.0039999999999996</v>
      </c>
      <c r="CY40" s="1025">
        <f t="shared" si="30"/>
        <v>-8.8521999999999998</v>
      </c>
      <c r="CZ40" s="1025">
        <f t="shared" si="30"/>
        <v>-21.775099999999998</v>
      </c>
      <c r="DA40" s="1025">
        <f t="shared" si="30"/>
        <v>-8.5399999999999991</v>
      </c>
      <c r="DB40" s="1025">
        <f t="shared" si="30"/>
        <v>2.0971000000000002</v>
      </c>
      <c r="DC40" s="1025">
        <f t="shared" si="30"/>
        <v>-0.33360000000000001</v>
      </c>
      <c r="DD40" s="1025">
        <f t="shared" si="30"/>
        <v>-8.8839000000000006</v>
      </c>
      <c r="DE40" s="1025">
        <f t="shared" si="30"/>
        <v>4.6252000000000004</v>
      </c>
      <c r="DF40" s="1025">
        <f t="shared" si="30"/>
        <v>7.3150000000000004</v>
      </c>
      <c r="DG40" s="1025">
        <f t="shared" si="30"/>
        <v>-0.5282</v>
      </c>
      <c r="DH40" s="1025">
        <f t="shared" si="30"/>
        <v>-3.2130000000000001</v>
      </c>
      <c r="DI40" s="1025">
        <f t="shared" si="30"/>
        <v>-5.1033999999999997</v>
      </c>
      <c r="DJ40" s="1025">
        <f t="shared" si="30"/>
        <v>-0.51380000000000003</v>
      </c>
      <c r="DK40" s="1025">
        <f t="shared" si="30"/>
        <v>-5.7393999999999998</v>
      </c>
      <c r="DL40" s="1025">
        <f t="shared" si="30"/>
        <v>1.7283999999999999</v>
      </c>
      <c r="DM40" s="1025">
        <f t="shared" si="30"/>
        <v>1.7378</v>
      </c>
      <c r="DN40" s="1025">
        <f t="shared" si="30"/>
        <v>0.72550000000000003</v>
      </c>
      <c r="DO40" s="1025">
        <f t="shared" si="30"/>
        <v>-4.8768000000000002</v>
      </c>
      <c r="DP40" s="1025">
        <f t="shared" si="30"/>
        <v>-2.6583999999999999</v>
      </c>
      <c r="DQ40" s="1025">
        <f t="shared" si="30"/>
        <v>4.3655999999999997</v>
      </c>
      <c r="DR40" s="1025">
        <f t="shared" si="30"/>
        <v>2.8184</v>
      </c>
      <c r="DS40" s="1025">
        <f t="shared" si="30"/>
        <v>1.0481</v>
      </c>
      <c r="DT40" s="1025">
        <f t="shared" si="30"/>
        <v>1.2072000000000001</v>
      </c>
      <c r="DU40" s="1025">
        <f t="shared" si="30"/>
        <v>3.3307000000000002</v>
      </c>
      <c r="DV40" s="1025">
        <f t="shared" si="30"/>
        <v>0.1394</v>
      </c>
      <c r="DW40" s="1025">
        <f t="shared" si="30"/>
        <v>3.0630000000000002</v>
      </c>
      <c r="DX40" s="1025">
        <f t="shared" si="30"/>
        <v>4.5171000000000001</v>
      </c>
      <c r="DY40" s="1025">
        <f t="shared" si="30"/>
        <v>0.21260000000000001</v>
      </c>
      <c r="DZ40" s="1025">
        <f t="shared" si="30"/>
        <v>1.4844999999999999</v>
      </c>
      <c r="EA40" s="1025">
        <f t="shared" si="30"/>
        <v>-2.2336999999999998</v>
      </c>
      <c r="EB40" s="1025">
        <f t="shared" si="30"/>
        <v>-3.4299999999999997E-2</v>
      </c>
      <c r="EC40" s="1025">
        <f t="shared" si="30"/>
        <v>-4.0016999999999996</v>
      </c>
      <c r="ED40" s="1025">
        <f t="shared" si="30"/>
        <v>2.0985999999999998</v>
      </c>
      <c r="EE40" s="1025">
        <f t="shared" si="30"/>
        <v>2.6633</v>
      </c>
      <c r="EF40" s="1025">
        <f t="shared" si="30"/>
        <v>2.2000000000000001E-3</v>
      </c>
      <c r="EG40" s="1025">
        <f t="shared" si="30"/>
        <v>6.2408999999999999</v>
      </c>
      <c r="EH40" s="1025">
        <f t="shared" si="30"/>
        <v>0.48</v>
      </c>
      <c r="EI40" s="1025">
        <f t="shared" si="30"/>
        <v>4.1361999999999997</v>
      </c>
      <c r="EJ40" s="1025">
        <f t="shared" si="30"/>
        <v>-2.9287000000000001</v>
      </c>
      <c r="EK40" s="1025">
        <f t="shared" si="30"/>
        <v>0.94120000000000004</v>
      </c>
      <c r="EL40" s="1025">
        <f t="shared" si="30"/>
        <v>-1.1315</v>
      </c>
      <c r="EM40" s="1025">
        <f t="shared" si="30"/>
        <v>5.6226000000000003</v>
      </c>
      <c r="EN40" s="1025">
        <f t="shared" si="30"/>
        <v>2.8315999999999999</v>
      </c>
      <c r="EO40" s="1025">
        <f t="shared" si="30"/>
        <v>5.9512</v>
      </c>
      <c r="EP40" s="1025">
        <f t="shared" si="30"/>
        <v>-3.7526000000000002</v>
      </c>
      <c r="EQ40" s="1025">
        <f t="shared" si="30"/>
        <v>-0.97199999999999998</v>
      </c>
      <c r="ER40" s="1025">
        <f t="shared" si="30"/>
        <v>3.1244999999999998</v>
      </c>
      <c r="ES40" s="1025">
        <f t="shared" si="30"/>
        <v>-2.7688000000000001</v>
      </c>
      <c r="ET40" s="1025">
        <f t="shared" si="30"/>
        <v>3.9426999999999999</v>
      </c>
      <c r="EU40" s="1025">
        <f t="shared" si="30"/>
        <v>7.1116000000000001</v>
      </c>
      <c r="EV40" s="1025">
        <f t="shared" si="30"/>
        <v>0.82</v>
      </c>
      <c r="EW40" s="1025">
        <f t="shared" si="30"/>
        <v>3</v>
      </c>
      <c r="EX40" s="1230"/>
      <c r="EY40" s="1230"/>
      <c r="EZ40" s="789" t="e">
        <f>VLOOKUP($EY40,'NEPC data'!$B27:$M214,5,TRUE)*100</f>
        <v>#N/A</v>
      </c>
      <c r="FA40" s="789" t="e">
        <f>VLOOKUP($EY40,'NEPC data'!$B27:$M214,7,TRUE)*100</f>
        <v>#N/A</v>
      </c>
      <c r="FB40" s="789" t="e">
        <f>VLOOKUP($EY40,'NEPC data'!$B27:$M214,9,TRUE)*100</f>
        <v>#N/A</v>
      </c>
      <c r="FC40" s="789" t="e">
        <f>VLOOKUP($EY40,'NEPC data'!$B27:$M214,10,TRUE)*100</f>
        <v>#N/A</v>
      </c>
      <c r="FD40" s="789" t="e">
        <f>VLOOKUP($EY40,'NEPC data'!$B27:$M214,11,TRUE)*100</f>
        <v>#N/A</v>
      </c>
      <c r="FE40" s="1024"/>
      <c r="FF40" s="1027"/>
      <c r="FG40" s="1027"/>
      <c r="FH40" s="1027"/>
      <c r="FI40" s="1027"/>
      <c r="FJ40" s="1027"/>
      <c r="FK40" s="1024"/>
      <c r="FL40" s="1027"/>
      <c r="FM40" s="1027"/>
    </row>
    <row r="41" spans="1:169" s="395" customFormat="1" ht="12.75" customHeight="1" x14ac:dyDescent="0.2">
      <c r="A41" s="456"/>
      <c r="B41" s="418"/>
      <c r="C41" s="414"/>
      <c r="D41" s="249"/>
      <c r="E41" s="457"/>
      <c r="F41" s="431"/>
      <c r="G41" s="432"/>
      <c r="H41" s="432"/>
      <c r="I41" s="432"/>
      <c r="J41" s="432"/>
      <c r="K41" s="432"/>
      <c r="L41" s="432"/>
      <c r="M41" s="432"/>
      <c r="N41" s="432"/>
      <c r="O41" s="432"/>
      <c r="P41" s="432"/>
      <c r="Q41" s="458"/>
      <c r="R41" s="249"/>
      <c r="S41" s="249"/>
      <c r="T41" s="249"/>
      <c r="U41" s="249"/>
      <c r="V41" s="249"/>
      <c r="W41" s="249"/>
      <c r="X41" s="249"/>
      <c r="Y41" s="249"/>
      <c r="Z41" s="249"/>
      <c r="AA41" s="249"/>
      <c r="AB41" s="249"/>
      <c r="AC41" s="459"/>
      <c r="AD41" s="463"/>
      <c r="AE41" s="15"/>
      <c r="AF41" s="442"/>
      <c r="AG41" s="382"/>
      <c r="AH41" s="439"/>
      <c r="AI41" s="439"/>
      <c r="AJ41" s="439"/>
      <c r="AK41" s="439"/>
      <c r="AL41" s="439"/>
      <c r="AM41" s="439"/>
      <c r="AN41" s="439"/>
      <c r="AO41" s="439"/>
      <c r="AP41" s="439"/>
      <c r="AQ41" s="439"/>
      <c r="AR41" s="439"/>
      <c r="AS41" s="439"/>
      <c r="AT41" s="439"/>
      <c r="AU41" s="439"/>
      <c r="AV41" s="439"/>
      <c r="AW41" s="439"/>
      <c r="AX41" s="439"/>
      <c r="AY41" s="439"/>
      <c r="AZ41" s="439"/>
      <c r="BA41" s="439"/>
      <c r="BB41" s="439"/>
      <c r="BC41" s="439"/>
      <c r="BD41" s="439"/>
      <c r="BE41" s="439"/>
      <c r="BF41" s="439"/>
      <c r="BG41" s="439"/>
      <c r="BH41" s="439"/>
      <c r="BI41" s="439"/>
      <c r="BJ41" s="439"/>
      <c r="BK41" s="439"/>
      <c r="BL41" s="439"/>
      <c r="BM41" s="439"/>
      <c r="BN41" s="439"/>
      <c r="BO41" s="439"/>
      <c r="BP41" s="439"/>
      <c r="BQ41" s="439"/>
      <c r="BR41" s="439"/>
      <c r="BS41" s="439"/>
      <c r="BT41" s="439"/>
      <c r="BU41" s="439"/>
      <c r="BV41" s="439"/>
      <c r="BW41" s="439"/>
      <c r="BX41" s="439"/>
      <c r="BY41" s="439"/>
      <c r="BZ41" s="439"/>
      <c r="CA41" s="439"/>
      <c r="CB41" s="439"/>
      <c r="CC41" s="439"/>
      <c r="CD41" s="439"/>
      <c r="CE41" s="439"/>
      <c r="CF41" s="439"/>
      <c r="CG41" s="439"/>
      <c r="CH41" s="439"/>
      <c r="CI41" s="439"/>
      <c r="CJ41" s="439"/>
      <c r="CK41" s="439"/>
      <c r="CL41" s="439"/>
      <c r="CM41" s="439"/>
      <c r="CN41" s="439"/>
      <c r="CO41" s="439"/>
      <c r="CP41" s="439"/>
      <c r="CQ41" s="439"/>
      <c r="CR41" s="439"/>
      <c r="CS41" s="439"/>
      <c r="CT41" s="439"/>
      <c r="CU41" s="439"/>
      <c r="CV41" s="439"/>
      <c r="CW41" s="439"/>
      <c r="CX41" s="439"/>
      <c r="CY41" s="439"/>
      <c r="CZ41" s="439"/>
      <c r="DA41" s="439"/>
      <c r="DB41" s="439"/>
      <c r="DC41" s="439"/>
      <c r="DD41" s="439"/>
      <c r="DE41" s="439"/>
      <c r="DF41" s="439"/>
      <c r="DG41" s="439"/>
      <c r="DH41" s="439"/>
      <c r="DI41" s="439"/>
      <c r="DJ41" s="439"/>
      <c r="DK41" s="439"/>
      <c r="DL41" s="439"/>
      <c r="DM41" s="439"/>
      <c r="DN41" s="439"/>
      <c r="DO41" s="439"/>
      <c r="DP41" s="439"/>
      <c r="DQ41" s="439"/>
      <c r="DR41" s="439"/>
      <c r="DS41" s="439"/>
      <c r="DT41" s="439"/>
      <c r="DU41" s="439"/>
      <c r="DV41" s="439"/>
      <c r="DW41" s="439"/>
      <c r="DX41" s="439"/>
      <c r="DY41" s="439"/>
      <c r="DZ41" s="439"/>
      <c r="EA41" s="439"/>
      <c r="EB41" s="439"/>
      <c r="EC41" s="439"/>
      <c r="ED41" s="439"/>
      <c r="EE41" s="439"/>
      <c r="EF41" s="439"/>
      <c r="EG41" s="439"/>
      <c r="EH41" s="439"/>
      <c r="EI41" s="439"/>
      <c r="EJ41" s="439"/>
      <c r="EK41" s="439"/>
      <c r="EL41" s="439"/>
      <c r="EM41" s="439"/>
      <c r="EN41" s="439"/>
      <c r="EO41" s="439"/>
      <c r="EP41" s="439"/>
      <c r="EQ41" s="439"/>
      <c r="ER41" s="439"/>
      <c r="ES41" s="439"/>
      <c r="ET41" s="439"/>
      <c r="EU41" s="439"/>
      <c r="EV41" s="439"/>
      <c r="EW41" s="439"/>
      <c r="EX41" s="393"/>
      <c r="EY41" s="393"/>
      <c r="EZ41" s="789" t="e">
        <f>VLOOKUP($EY41,'NEPC data'!$B28:$M215,5,TRUE)*100</f>
        <v>#N/A</v>
      </c>
      <c r="FA41" s="789" t="e">
        <f>VLOOKUP($EY41,'NEPC data'!$B28:$M215,7,TRUE)*100</f>
        <v>#N/A</v>
      </c>
      <c r="FB41" s="789" t="e">
        <f>VLOOKUP($EY41,'NEPC data'!$B28:$M215,9,TRUE)*100</f>
        <v>#N/A</v>
      </c>
      <c r="FC41" s="789" t="e">
        <f>VLOOKUP($EY41,'NEPC data'!$B28:$M215,10,TRUE)*100</f>
        <v>#N/A</v>
      </c>
      <c r="FD41" s="789" t="e">
        <f>VLOOKUP($EY41,'NEPC data'!$B28:$M215,11,TRUE)*100</f>
        <v>#N/A</v>
      </c>
      <c r="FE41" s="382"/>
      <c r="FF41" s="442"/>
      <c r="FG41" s="442"/>
      <c r="FH41" s="442"/>
      <c r="FI41" s="442"/>
      <c r="FJ41" s="442"/>
      <c r="FK41" s="382"/>
      <c r="FL41" s="442"/>
      <c r="FM41" s="442"/>
    </row>
    <row r="42" spans="1:169" s="207" customFormat="1" ht="12.75" customHeight="1" thickBot="1" x14ac:dyDescent="0.25">
      <c r="A42" s="497" t="s">
        <v>204</v>
      </c>
      <c r="B42" s="622"/>
      <c r="C42" s="498"/>
      <c r="D42" s="499"/>
      <c r="E42" s="500">
        <f>SUM(E32:E40)</f>
        <v>1559.31224673</v>
      </c>
      <c r="F42" s="599"/>
      <c r="G42" s="600"/>
      <c r="H42" s="600"/>
      <c r="I42" s="600"/>
      <c r="J42" s="600"/>
      <c r="K42" s="600"/>
      <c r="L42" s="600"/>
      <c r="M42" s="600"/>
      <c r="N42" s="600"/>
      <c r="O42" s="600"/>
      <c r="P42" s="600"/>
      <c r="Q42" s="601"/>
      <c r="R42" s="499"/>
      <c r="S42" s="499"/>
      <c r="T42" s="499"/>
      <c r="U42" s="499"/>
      <c r="V42" s="499"/>
      <c r="W42" s="499"/>
      <c r="X42" s="499"/>
      <c r="Y42" s="604"/>
      <c r="Z42" s="604"/>
      <c r="AA42" s="604"/>
      <c r="AB42" s="604"/>
      <c r="AC42" s="605"/>
      <c r="AD42" s="603"/>
      <c r="AE42" s="501"/>
      <c r="AF42" s="502"/>
      <c r="AG42" s="248"/>
      <c r="AH42" s="503"/>
      <c r="AI42" s="503"/>
      <c r="AJ42" s="503"/>
      <c r="AK42" s="503"/>
      <c r="AL42" s="503"/>
      <c r="AM42" s="503"/>
      <c r="AN42" s="503"/>
      <c r="AO42" s="503"/>
      <c r="AP42" s="503"/>
      <c r="AQ42" s="503"/>
      <c r="AR42" s="503"/>
      <c r="AS42" s="503"/>
      <c r="AT42" s="503"/>
      <c r="AU42" s="503"/>
      <c r="AV42" s="503"/>
      <c r="AW42" s="503"/>
      <c r="AX42" s="503"/>
      <c r="AY42" s="503"/>
      <c r="AZ42" s="503"/>
      <c r="BA42" s="503"/>
      <c r="BB42" s="503"/>
      <c r="BC42" s="503"/>
      <c r="BD42" s="503"/>
      <c r="BE42" s="503"/>
      <c r="BF42" s="503"/>
      <c r="BG42" s="503"/>
      <c r="BH42" s="503"/>
      <c r="BI42" s="503"/>
      <c r="BJ42" s="503"/>
      <c r="BK42" s="503"/>
      <c r="BL42" s="503"/>
      <c r="BM42" s="503"/>
      <c r="BN42" s="503"/>
      <c r="BO42" s="503"/>
      <c r="BP42" s="503"/>
      <c r="BQ42" s="503"/>
      <c r="BR42" s="503"/>
      <c r="BS42" s="503"/>
      <c r="BT42" s="503"/>
      <c r="BU42" s="503"/>
      <c r="BV42" s="503"/>
      <c r="BW42" s="503"/>
      <c r="BX42" s="503"/>
      <c r="BY42" s="503"/>
      <c r="BZ42" s="503"/>
      <c r="CA42" s="503"/>
      <c r="CB42" s="503"/>
      <c r="CC42" s="503"/>
      <c r="CD42" s="503"/>
      <c r="CE42" s="503"/>
      <c r="CF42" s="503"/>
      <c r="CG42" s="503"/>
      <c r="CH42" s="503"/>
      <c r="CI42" s="503"/>
      <c r="CJ42" s="503"/>
      <c r="CK42" s="503"/>
      <c r="CL42" s="503"/>
      <c r="CM42" s="503"/>
      <c r="CN42" s="503"/>
      <c r="CO42" s="503"/>
      <c r="CP42" s="503"/>
      <c r="CQ42" s="503"/>
      <c r="CR42" s="503"/>
      <c r="CS42" s="503"/>
      <c r="CT42" s="503"/>
      <c r="CU42" s="503"/>
      <c r="CV42" s="503"/>
      <c r="CW42" s="503"/>
      <c r="CX42" s="503"/>
      <c r="CY42" s="503"/>
      <c r="CZ42" s="503"/>
      <c r="DA42" s="503"/>
      <c r="DB42" s="503"/>
      <c r="DC42" s="503"/>
      <c r="DD42" s="503"/>
      <c r="DE42" s="503"/>
      <c r="DF42" s="503"/>
      <c r="DG42" s="503"/>
      <c r="DH42" s="503"/>
      <c r="DI42" s="503"/>
      <c r="DJ42" s="503"/>
      <c r="DK42" s="503"/>
      <c r="DL42" s="503"/>
      <c r="DM42" s="503"/>
      <c r="DN42" s="503"/>
      <c r="DO42" s="503"/>
      <c r="DP42" s="503"/>
      <c r="DQ42" s="503"/>
      <c r="DR42" s="503"/>
      <c r="DS42" s="503"/>
      <c r="DT42" s="503"/>
      <c r="DU42" s="503"/>
      <c r="DV42" s="503"/>
      <c r="DW42" s="503"/>
      <c r="DX42" s="503"/>
      <c r="DY42" s="503"/>
      <c r="DZ42" s="503"/>
      <c r="EA42" s="503"/>
      <c r="EB42" s="503"/>
      <c r="EC42" s="503"/>
      <c r="ED42" s="503"/>
      <c r="EE42" s="503"/>
      <c r="EF42" s="503"/>
      <c r="EG42" s="503"/>
      <c r="EH42" s="503"/>
      <c r="EI42" s="503"/>
      <c r="EJ42" s="503"/>
      <c r="EK42" s="503"/>
      <c r="EL42" s="503"/>
      <c r="EM42" s="503"/>
      <c r="EN42" s="503"/>
      <c r="EO42" s="503"/>
      <c r="EP42" s="503"/>
      <c r="EQ42" s="503"/>
      <c r="ER42" s="503"/>
      <c r="ES42" s="503"/>
      <c r="ET42" s="503"/>
      <c r="EU42" s="503"/>
      <c r="EV42" s="503"/>
      <c r="EW42" s="503"/>
      <c r="EX42" s="504"/>
      <c r="EY42" s="1066"/>
      <c r="EZ42" s="789"/>
      <c r="FA42" s="789"/>
      <c r="FB42" s="789"/>
      <c r="FC42" s="789"/>
      <c r="FD42" s="789"/>
      <c r="FE42" s="248"/>
      <c r="FF42" s="505"/>
      <c r="FG42" s="505"/>
      <c r="FH42" s="505"/>
      <c r="FI42" s="505"/>
      <c r="FJ42" s="505"/>
      <c r="FK42" s="248"/>
      <c r="FL42" s="506"/>
      <c r="FM42" s="506"/>
    </row>
    <row r="43" spans="1:169" s="395" customFormat="1" ht="12.75" customHeight="1" x14ac:dyDescent="0.2">
      <c r="A43" s="416"/>
      <c r="B43" s="417"/>
      <c r="C43" s="430"/>
      <c r="D43" s="249"/>
      <c r="E43" s="457"/>
      <c r="F43" s="466"/>
      <c r="G43" s="467"/>
      <c r="H43" s="467"/>
      <c r="I43" s="467"/>
      <c r="J43" s="467"/>
      <c r="K43" s="467"/>
      <c r="L43" s="467"/>
      <c r="M43" s="467"/>
      <c r="N43" s="467"/>
      <c r="O43" s="467"/>
      <c r="P43" s="467"/>
      <c r="Q43" s="468"/>
      <c r="R43" s="249"/>
      <c r="S43" s="249"/>
      <c r="T43" s="249"/>
      <c r="U43" s="249"/>
      <c r="V43" s="249"/>
      <c r="W43" s="249"/>
      <c r="X43" s="249"/>
      <c r="Y43" s="249"/>
      <c r="Z43" s="249"/>
      <c r="AA43" s="249"/>
      <c r="AB43" s="249"/>
      <c r="AC43" s="1011"/>
      <c r="AD43" s="463"/>
      <c r="AE43" s="15"/>
      <c r="AF43" s="442"/>
      <c r="AG43" s="382"/>
      <c r="AH43" s="440"/>
      <c r="AI43" s="440"/>
      <c r="AJ43" s="440"/>
      <c r="AK43" s="440"/>
      <c r="AL43" s="440"/>
      <c r="AM43" s="440"/>
      <c r="AN43" s="440"/>
      <c r="AO43" s="440"/>
      <c r="AP43" s="440"/>
      <c r="AQ43" s="440"/>
      <c r="AR43" s="440"/>
      <c r="AS43" s="440"/>
      <c r="AT43" s="440"/>
      <c r="AU43" s="440"/>
      <c r="AV43" s="440"/>
      <c r="AW43" s="440"/>
      <c r="AX43" s="440"/>
      <c r="AY43" s="440"/>
      <c r="AZ43" s="440"/>
      <c r="BA43" s="440"/>
      <c r="BB43" s="440"/>
      <c r="BC43" s="440"/>
      <c r="BD43" s="440"/>
      <c r="BE43" s="440"/>
      <c r="BF43" s="440"/>
      <c r="BG43" s="440"/>
      <c r="BH43" s="440"/>
      <c r="BI43" s="440"/>
      <c r="BJ43" s="440"/>
      <c r="BK43" s="440"/>
      <c r="BL43" s="440"/>
      <c r="BM43" s="440"/>
      <c r="BN43" s="440"/>
      <c r="BO43" s="440"/>
      <c r="BP43" s="440"/>
      <c r="BQ43" s="440"/>
      <c r="BR43" s="440"/>
      <c r="BS43" s="440"/>
      <c r="BT43" s="440"/>
      <c r="BU43" s="440"/>
      <c r="BV43" s="440"/>
      <c r="BW43" s="440"/>
      <c r="BX43" s="440"/>
      <c r="BY43" s="440"/>
      <c r="BZ43" s="440"/>
      <c r="CA43" s="440"/>
      <c r="CB43" s="440"/>
      <c r="CC43" s="440"/>
      <c r="CD43" s="440"/>
      <c r="CE43" s="440"/>
      <c r="CF43" s="440"/>
      <c r="CG43" s="440"/>
      <c r="CH43" s="440"/>
      <c r="CI43" s="440"/>
      <c r="CJ43" s="440"/>
      <c r="CK43" s="440"/>
      <c r="CL43" s="440"/>
      <c r="CM43" s="440"/>
      <c r="CN43" s="440"/>
      <c r="CO43" s="440"/>
      <c r="CP43" s="440"/>
      <c r="CQ43" s="440"/>
      <c r="CR43" s="440"/>
      <c r="CS43" s="440"/>
      <c r="CT43" s="440"/>
      <c r="CU43" s="440"/>
      <c r="CV43" s="440"/>
      <c r="CW43" s="440"/>
      <c r="CX43" s="440"/>
      <c r="CY43" s="440"/>
      <c r="CZ43" s="440"/>
      <c r="DA43" s="440"/>
      <c r="DB43" s="440"/>
      <c r="DC43" s="440"/>
      <c r="DD43" s="440"/>
      <c r="DE43" s="440"/>
      <c r="DF43" s="440"/>
      <c r="DG43" s="440"/>
      <c r="DH43" s="440"/>
      <c r="DI43" s="440"/>
      <c r="DJ43" s="440"/>
      <c r="DK43" s="440"/>
      <c r="DL43" s="440"/>
      <c r="DM43" s="440"/>
      <c r="DN43" s="440"/>
      <c r="DO43" s="440"/>
      <c r="DP43" s="440"/>
      <c r="DQ43" s="440"/>
      <c r="DR43" s="440"/>
      <c r="DS43" s="440"/>
      <c r="DT43" s="440"/>
      <c r="DU43" s="440"/>
      <c r="DV43" s="440"/>
      <c r="DW43" s="440"/>
      <c r="DX43" s="440"/>
      <c r="DY43" s="440"/>
      <c r="DZ43" s="440"/>
      <c r="EA43" s="440"/>
      <c r="EB43" s="440"/>
      <c r="EC43" s="440"/>
      <c r="ED43" s="440"/>
      <c r="EE43" s="440"/>
      <c r="EF43" s="440"/>
      <c r="EG43" s="440"/>
      <c r="EH43" s="440"/>
      <c r="EI43" s="440"/>
      <c r="EJ43" s="440"/>
      <c r="EK43" s="440"/>
      <c r="EL43" s="440"/>
      <c r="EM43" s="440"/>
      <c r="EN43" s="440"/>
      <c r="EO43" s="440"/>
      <c r="EP43" s="440"/>
      <c r="EQ43" s="440"/>
      <c r="ER43" s="440"/>
      <c r="ES43" s="440"/>
      <c r="ET43" s="440"/>
      <c r="EU43" s="440"/>
      <c r="EV43" s="440"/>
      <c r="EW43" s="440"/>
      <c r="EX43" s="393"/>
      <c r="EY43" s="393"/>
      <c r="EZ43" s="789" t="e">
        <f>VLOOKUP($EY43,'NEPC data'!$B30:$M217,5,TRUE)*100</f>
        <v>#N/A</v>
      </c>
      <c r="FA43" s="789" t="e">
        <f>VLOOKUP($EY43,'NEPC data'!$B30:$M217,7,TRUE)*100</f>
        <v>#N/A</v>
      </c>
      <c r="FB43" s="789" t="e">
        <f>VLOOKUP($EY43,'NEPC data'!$B30:$M217,9,TRUE)*100</f>
        <v>#N/A</v>
      </c>
      <c r="FC43" s="789" t="e">
        <f>VLOOKUP($EY43,'NEPC data'!$B30:$M217,10,TRUE)*100</f>
        <v>#N/A</v>
      </c>
      <c r="FD43" s="789" t="e">
        <f>VLOOKUP($EY43,'NEPC data'!$B30:$M217,11,TRUE)*100</f>
        <v>#N/A</v>
      </c>
      <c r="FE43" s="382"/>
      <c r="FF43" s="442"/>
      <c r="FG43" s="442"/>
      <c r="FH43" s="442"/>
      <c r="FI43" s="442"/>
      <c r="FJ43" s="442"/>
      <c r="FK43" s="382"/>
      <c r="FL43" s="442"/>
      <c r="FM43" s="442"/>
    </row>
    <row r="44" spans="1:169" s="395" customFormat="1" ht="12.75" customHeight="1" x14ac:dyDescent="0.2">
      <c r="A44" s="425" t="s">
        <v>57</v>
      </c>
      <c r="B44" s="620"/>
      <c r="C44" s="469"/>
      <c r="D44" s="249"/>
      <c r="E44" s="470"/>
      <c r="F44" s="471"/>
      <c r="G44" s="472"/>
      <c r="H44" s="467"/>
      <c r="I44" s="467"/>
      <c r="J44" s="467"/>
      <c r="K44" s="467"/>
      <c r="L44" s="467"/>
      <c r="M44" s="467"/>
      <c r="N44" s="467"/>
      <c r="O44" s="467"/>
      <c r="P44" s="467"/>
      <c r="Q44" s="468"/>
      <c r="R44" s="249"/>
      <c r="S44" s="249"/>
      <c r="T44" s="249"/>
      <c r="U44" s="249"/>
      <c r="V44" s="249"/>
      <c r="W44" s="249"/>
      <c r="X44" s="249"/>
      <c r="Y44" s="249"/>
      <c r="Z44" s="249"/>
      <c r="AA44" s="249"/>
      <c r="AB44" s="249"/>
      <c r="AC44" s="459"/>
      <c r="AD44" s="463"/>
      <c r="AE44" s="15"/>
      <c r="AF44" s="442"/>
      <c r="AG44" s="382"/>
      <c r="AH44" s="440"/>
      <c r="AI44" s="440"/>
      <c r="AJ44" s="440"/>
      <c r="AK44" s="440"/>
      <c r="AL44" s="440"/>
      <c r="AM44" s="440"/>
      <c r="AN44" s="440"/>
      <c r="AO44" s="440"/>
      <c r="AP44" s="440"/>
      <c r="AQ44" s="440"/>
      <c r="AR44" s="440"/>
      <c r="AS44" s="440"/>
      <c r="AT44" s="440"/>
      <c r="AU44" s="440"/>
      <c r="AV44" s="440"/>
      <c r="AW44" s="440"/>
      <c r="AX44" s="440"/>
      <c r="AY44" s="440"/>
      <c r="AZ44" s="440"/>
      <c r="BA44" s="440"/>
      <c r="BB44" s="440"/>
      <c r="BC44" s="440"/>
      <c r="BD44" s="440"/>
      <c r="BE44" s="440"/>
      <c r="BF44" s="440"/>
      <c r="BG44" s="440"/>
      <c r="BH44" s="440"/>
      <c r="BI44" s="440"/>
      <c r="BJ44" s="440"/>
      <c r="BK44" s="440"/>
      <c r="BL44" s="440"/>
      <c r="BM44" s="440"/>
      <c r="BN44" s="440"/>
      <c r="BO44" s="440"/>
      <c r="BP44" s="440"/>
      <c r="BQ44" s="440"/>
      <c r="BR44" s="440"/>
      <c r="BS44" s="440"/>
      <c r="BT44" s="440"/>
      <c r="BU44" s="440"/>
      <c r="BV44" s="440"/>
      <c r="BW44" s="440"/>
      <c r="BX44" s="440"/>
      <c r="BY44" s="440"/>
      <c r="BZ44" s="440"/>
      <c r="CA44" s="440"/>
      <c r="CB44" s="440"/>
      <c r="CC44" s="440"/>
      <c r="CD44" s="440"/>
      <c r="CE44" s="440"/>
      <c r="CF44" s="440"/>
      <c r="CG44" s="440"/>
      <c r="CH44" s="440"/>
      <c r="CI44" s="440"/>
      <c r="CJ44" s="440"/>
      <c r="CK44" s="440"/>
      <c r="CL44" s="440"/>
      <c r="CM44" s="440"/>
      <c r="CN44" s="440"/>
      <c r="CO44" s="440"/>
      <c r="CP44" s="440"/>
      <c r="CQ44" s="440"/>
      <c r="CR44" s="440"/>
      <c r="CS44" s="440"/>
      <c r="CT44" s="440"/>
      <c r="CU44" s="440"/>
      <c r="CV44" s="440"/>
      <c r="CW44" s="440"/>
      <c r="CX44" s="440"/>
      <c r="CY44" s="440"/>
      <c r="CZ44" s="440"/>
      <c r="DA44" s="440"/>
      <c r="DB44" s="440"/>
      <c r="DC44" s="440"/>
      <c r="DD44" s="440"/>
      <c r="DE44" s="440"/>
      <c r="DF44" s="440"/>
      <c r="DG44" s="440"/>
      <c r="DH44" s="440"/>
      <c r="DI44" s="440"/>
      <c r="DJ44" s="440"/>
      <c r="DK44" s="440"/>
      <c r="DL44" s="440"/>
      <c r="DM44" s="440"/>
      <c r="DN44" s="440"/>
      <c r="DO44" s="440"/>
      <c r="DP44" s="440"/>
      <c r="DQ44" s="440"/>
      <c r="DR44" s="440"/>
      <c r="DS44" s="440"/>
      <c r="DT44" s="440"/>
      <c r="DU44" s="440"/>
      <c r="DV44" s="440"/>
      <c r="DW44" s="440"/>
      <c r="DX44" s="440"/>
      <c r="DY44" s="440"/>
      <c r="DZ44" s="440"/>
      <c r="EA44" s="440"/>
      <c r="EB44" s="440"/>
      <c r="EC44" s="440"/>
      <c r="ED44" s="440"/>
      <c r="EE44" s="440"/>
      <c r="EF44" s="440"/>
      <c r="EG44" s="440"/>
      <c r="EH44" s="440"/>
      <c r="EI44" s="440"/>
      <c r="EJ44" s="440"/>
      <c r="EK44" s="440"/>
      <c r="EL44" s="440"/>
      <c r="EM44" s="440"/>
      <c r="EN44" s="440"/>
      <c r="EO44" s="440"/>
      <c r="EP44" s="440"/>
      <c r="EQ44" s="440"/>
      <c r="ER44" s="440"/>
      <c r="ES44" s="440"/>
      <c r="ET44" s="440"/>
      <c r="EU44" s="440"/>
      <c r="EV44" s="440"/>
      <c r="EW44" s="440"/>
      <c r="EX44" s="393"/>
      <c r="EY44" s="393"/>
      <c r="EZ44" s="789" t="e">
        <f>VLOOKUP($EY44,'NEPC data'!$B31:$M218,5,TRUE)*100</f>
        <v>#N/A</v>
      </c>
      <c r="FA44" s="789" t="e">
        <f>VLOOKUP($EY44,'NEPC data'!$B31:$M218,7,TRUE)*100</f>
        <v>#N/A</v>
      </c>
      <c r="FB44" s="789" t="e">
        <f>VLOOKUP($EY44,'NEPC data'!$B31:$M218,9,TRUE)*100</f>
        <v>#N/A</v>
      </c>
      <c r="FC44" s="789" t="e">
        <f>VLOOKUP($EY44,'NEPC data'!$B31:$M218,10,TRUE)*100</f>
        <v>#N/A</v>
      </c>
      <c r="FD44" s="789" t="e">
        <f>VLOOKUP($EY44,'NEPC data'!$B31:$M218,11,TRUE)*100</f>
        <v>#N/A</v>
      </c>
      <c r="FE44" s="382"/>
      <c r="FF44" s="442"/>
      <c r="FG44" s="442"/>
      <c r="FH44" s="442"/>
      <c r="FI44" s="442"/>
      <c r="FJ44" s="442"/>
      <c r="FK44" s="382"/>
      <c r="FL44" s="442"/>
      <c r="FM44" s="442"/>
    </row>
    <row r="45" spans="1:169" s="395" customFormat="1" ht="12.75" customHeight="1" x14ac:dyDescent="0.2">
      <c r="A45" s="425"/>
      <c r="B45" s="620"/>
      <c r="C45" s="469"/>
      <c r="D45" s="249"/>
      <c r="E45" s="470"/>
      <c r="F45" s="471"/>
      <c r="G45" s="472"/>
      <c r="H45" s="467"/>
      <c r="I45" s="467"/>
      <c r="J45" s="467"/>
      <c r="K45" s="467"/>
      <c r="L45" s="467"/>
      <c r="M45" s="467"/>
      <c r="N45" s="467"/>
      <c r="O45" s="467"/>
      <c r="P45" s="467"/>
      <c r="Q45" s="468"/>
      <c r="R45" s="249"/>
      <c r="S45" s="249"/>
      <c r="T45" s="249"/>
      <c r="U45" s="249"/>
      <c r="V45" s="249"/>
      <c r="W45" s="249"/>
      <c r="X45" s="249"/>
      <c r="Y45" s="249"/>
      <c r="Z45" s="249"/>
      <c r="AA45" s="249"/>
      <c r="AB45" s="249"/>
      <c r="AC45" s="459"/>
      <c r="AD45" s="463"/>
      <c r="AE45" s="15"/>
      <c r="AF45" s="442"/>
      <c r="AG45" s="382"/>
      <c r="AH45" s="440"/>
      <c r="AI45" s="440"/>
      <c r="AJ45" s="440"/>
      <c r="AK45" s="440"/>
      <c r="AL45" s="440"/>
      <c r="AM45" s="440"/>
      <c r="AN45" s="440"/>
      <c r="AO45" s="440"/>
      <c r="AP45" s="440"/>
      <c r="AQ45" s="440"/>
      <c r="AR45" s="440"/>
      <c r="AS45" s="440"/>
      <c r="AT45" s="440"/>
      <c r="AU45" s="440"/>
      <c r="AV45" s="440"/>
      <c r="AW45" s="440"/>
      <c r="AX45" s="440"/>
      <c r="AY45" s="440"/>
      <c r="AZ45" s="440"/>
      <c r="BA45" s="440"/>
      <c r="BB45" s="440"/>
      <c r="BC45" s="440"/>
      <c r="BD45" s="440"/>
      <c r="BE45" s="440"/>
      <c r="BF45" s="440"/>
      <c r="BG45" s="440"/>
      <c r="BH45" s="440"/>
      <c r="BI45" s="440"/>
      <c r="BJ45" s="440"/>
      <c r="BK45" s="440"/>
      <c r="BL45" s="440"/>
      <c r="BM45" s="440"/>
      <c r="BN45" s="440"/>
      <c r="BO45" s="440"/>
      <c r="BP45" s="440"/>
      <c r="BQ45" s="440"/>
      <c r="BR45" s="440"/>
      <c r="BS45" s="440"/>
      <c r="BT45" s="440"/>
      <c r="BU45" s="440"/>
      <c r="BV45" s="440"/>
      <c r="BW45" s="440"/>
      <c r="BX45" s="440"/>
      <c r="BY45" s="440"/>
      <c r="BZ45" s="440"/>
      <c r="CA45" s="440"/>
      <c r="CB45" s="440"/>
      <c r="CC45" s="440"/>
      <c r="CD45" s="440"/>
      <c r="CE45" s="440"/>
      <c r="CF45" s="440"/>
      <c r="CG45" s="440"/>
      <c r="CH45" s="440"/>
      <c r="CI45" s="440"/>
      <c r="CJ45" s="440"/>
      <c r="CK45" s="440"/>
      <c r="CL45" s="440"/>
      <c r="CM45" s="440"/>
      <c r="CN45" s="440"/>
      <c r="CO45" s="440"/>
      <c r="CP45" s="440"/>
      <c r="CQ45" s="440"/>
      <c r="CR45" s="440"/>
      <c r="CS45" s="440"/>
      <c r="CT45" s="440"/>
      <c r="CU45" s="440"/>
      <c r="CV45" s="440"/>
      <c r="CW45" s="440"/>
      <c r="CX45" s="440"/>
      <c r="CY45" s="440"/>
      <c r="CZ45" s="440"/>
      <c r="DA45" s="440"/>
      <c r="DB45" s="440"/>
      <c r="DC45" s="440"/>
      <c r="DD45" s="440"/>
      <c r="DE45" s="440"/>
      <c r="DF45" s="440"/>
      <c r="DG45" s="440"/>
      <c r="DH45" s="440"/>
      <c r="DI45" s="440"/>
      <c r="DJ45" s="440"/>
      <c r="DK45" s="440"/>
      <c r="DL45" s="440"/>
      <c r="DM45" s="440"/>
      <c r="DN45" s="440"/>
      <c r="DO45" s="440"/>
      <c r="DP45" s="440"/>
      <c r="DQ45" s="440"/>
      <c r="DR45" s="440"/>
      <c r="DS45" s="440"/>
      <c r="DT45" s="440"/>
      <c r="DU45" s="440"/>
      <c r="DV45" s="440"/>
      <c r="DW45" s="440"/>
      <c r="DX45" s="440"/>
      <c r="DY45" s="440"/>
      <c r="DZ45" s="440"/>
      <c r="EA45" s="440"/>
      <c r="EB45" s="440"/>
      <c r="EC45" s="440"/>
      <c r="ED45" s="440"/>
      <c r="EE45" s="440"/>
      <c r="EF45" s="440"/>
      <c r="EG45" s="440"/>
      <c r="EH45" s="440"/>
      <c r="EI45" s="440"/>
      <c r="EJ45" s="440"/>
      <c r="EK45" s="440"/>
      <c r="EL45" s="440"/>
      <c r="EM45" s="440"/>
      <c r="EN45" s="440"/>
      <c r="EO45" s="440"/>
      <c r="EP45" s="440"/>
      <c r="EQ45" s="440"/>
      <c r="ER45" s="440"/>
      <c r="ES45" s="440"/>
      <c r="ET45" s="440"/>
      <c r="EU45" s="440"/>
      <c r="EV45" s="440"/>
      <c r="EW45" s="440"/>
      <c r="EX45" s="393"/>
      <c r="EY45" s="393"/>
      <c r="EZ45" s="789" t="e">
        <f>VLOOKUP($EY45,'NEPC data'!$B32:$M219,5,TRUE)*100</f>
        <v>#N/A</v>
      </c>
      <c r="FA45" s="789" t="e">
        <f>VLOOKUP($EY45,'NEPC data'!$B32:$M219,7,TRUE)*100</f>
        <v>#N/A</v>
      </c>
      <c r="FB45" s="789" t="e">
        <f>VLOOKUP($EY45,'NEPC data'!$B32:$M219,9,TRUE)*100</f>
        <v>#N/A</v>
      </c>
      <c r="FC45" s="789" t="e">
        <f>VLOOKUP($EY45,'NEPC data'!$B32:$M219,10,TRUE)*100</f>
        <v>#N/A</v>
      </c>
      <c r="FD45" s="789" t="e">
        <f>VLOOKUP($EY45,'NEPC data'!$B32:$M219,11,TRUE)*100</f>
        <v>#N/A</v>
      </c>
      <c r="FE45" s="382"/>
      <c r="FF45" s="442"/>
      <c r="FG45" s="442"/>
      <c r="FH45" s="442"/>
      <c r="FI45" s="442"/>
      <c r="FJ45" s="442"/>
      <c r="FK45" s="382"/>
      <c r="FL45" s="442"/>
      <c r="FM45" s="442"/>
    </row>
    <row r="46" spans="1:169" s="395" customFormat="1" ht="12.75" customHeight="1" x14ac:dyDescent="0.2">
      <c r="A46" s="1175" t="s">
        <v>397</v>
      </c>
      <c r="B46" s="417" t="s">
        <v>320</v>
      </c>
      <c r="C46" s="430">
        <v>39114</v>
      </c>
      <c r="D46" s="249">
        <f>'E6'!D1</f>
        <v>1</v>
      </c>
      <c r="E46" s="444">
        <f>VLOOKUP(AH$8,'E6'!A1:E488,3,FALSE)/1000000</f>
        <v>477.55896730000001</v>
      </c>
      <c r="F46" s="431">
        <f>AH46</f>
        <v>4.3059500000000002</v>
      </c>
      <c r="G46" s="432">
        <f t="array" ref="G46">IF($AJ46=0,"---",(PRODUCT($AH46:AJ46/100+1)-1)*100)</f>
        <v>3.2529470869362642</v>
      </c>
      <c r="H46" s="432">
        <f t="array" ref="H46">IF($AS46=0,"---",(PRODUCT(AH46:AN46/100+1)-1)*100)</f>
        <v>5.7550654359660447</v>
      </c>
      <c r="I46" s="432">
        <f t="array" ref="I46">IF(AS46=0,"---",(GEOMEAN($AH46:AS46/100+1)^12-1)*100)</f>
        <v>18.662909363638967</v>
      </c>
      <c r="J46" s="432">
        <f t="array" ref="J46">IF(BE46=0,"---",(GEOMEAN($AH46:BE46/100+1)^12-1)*100)</f>
        <v>22.547225553014293</v>
      </c>
      <c r="K46" s="432">
        <f t="array" ref="K46">IF(BQ46=0,"---",(GEOMEAN($AH46:BQ46/100+1)^12-1)*100)</f>
        <v>20.622292464648019</v>
      </c>
      <c r="L46" s="432">
        <f t="array" ref="L46">IF(CC46=0,"---",(GEOMEAN($AH46:CC46/100+1)^12-1)*100)</f>
        <v>21.43903282245676</v>
      </c>
      <c r="M46" s="432">
        <f t="array" ref="M46">IF(CO46=0,"---",(GEOMEAN($AH46:CO46/100+1)^12-1)*100)</f>
        <v>18.549422695290787</v>
      </c>
      <c r="N46" s="432">
        <f t="array" ref="N46">IF(DM46=0,"---",(GEOMEAN($AH46:DM46/100+1)^12-1)*100)</f>
        <v>8.7194668645751428</v>
      </c>
      <c r="O46" s="432" t="str">
        <f t="array" ref="O46">IF(EK46=0,"---",(GEOMEAN($AH46:EK46/100+1)^12-1)*100)</f>
        <v>---</v>
      </c>
      <c r="P46" s="432" t="str">
        <f t="array" ref="P46">IF(EW46=0,"---",(GEOMEAN($AH46:EW46/100+1)^12-1)*100)</f>
        <v>---</v>
      </c>
      <c r="Q46" s="1009">
        <f t="array" ref="Q46">(GEOMEAN('E6'!B382:B471/100+1)^12-1)*100</f>
        <v>7.9474898335989197</v>
      </c>
      <c r="R46" s="434">
        <f t="shared" ref="R46:AB46" si="31">IF(F46="---","---",(F46-F$48)*100)</f>
        <v>1.0970000000000368</v>
      </c>
      <c r="S46" s="434">
        <f t="shared" si="31"/>
        <v>4.1589670056940697</v>
      </c>
      <c r="T46" s="434">
        <f t="shared" si="31"/>
        <v>-6.34242250357131</v>
      </c>
      <c r="U46" s="434">
        <f t="shared" si="31"/>
        <v>-3.5083965736038891</v>
      </c>
      <c r="V46" s="434">
        <f t="shared" si="31"/>
        <v>-8.3165156061284051</v>
      </c>
      <c r="W46" s="434">
        <f t="shared" si="31"/>
        <v>-6.6570448211763278</v>
      </c>
      <c r="X46" s="434">
        <f t="shared" si="31"/>
        <v>-17.698616212333818</v>
      </c>
      <c r="Y46" s="434">
        <f t="shared" si="31"/>
        <v>-17.16590563403777</v>
      </c>
      <c r="Z46" s="434">
        <f t="shared" si="31"/>
        <v>36.535825023866764</v>
      </c>
      <c r="AA46" s="434" t="str">
        <f t="shared" si="31"/>
        <v>---</v>
      </c>
      <c r="AB46" s="434" t="str">
        <f t="shared" si="31"/>
        <v>---</v>
      </c>
      <c r="AC46" s="435">
        <f>(Q46-AF46)*100</f>
        <v>36.582180453215152</v>
      </c>
      <c r="AD46" s="436">
        <v>10</v>
      </c>
      <c r="AE46" s="477"/>
      <c r="AF46" s="476">
        <f t="array" ref="AF46">(GEOMEAN(Index_Returns!K382:K471/100+1)^12-1)*100</f>
        <v>7.5816680290667682</v>
      </c>
      <c r="AG46" s="382" t="str">
        <f>IF(I46="---","&lt; 1 Year","---")</f>
        <v>---</v>
      </c>
      <c r="AH46" s="439">
        <f>VLOOKUP(AH$8,'E6'!$A$1:$E$488,2,FALSE)</f>
        <v>4.3059500000000002</v>
      </c>
      <c r="AI46" s="439">
        <f>VLOOKUP(AI$8,'E6'!$A$1:$E$488,2,FALSE)</f>
        <v>-5.5026999999999999</v>
      </c>
      <c r="AJ46" s="439">
        <f>VLOOKUP(AJ$8,'E6'!$A$1:$E$488,2,FALSE)</f>
        <v>4.75481</v>
      </c>
      <c r="AK46" s="439">
        <f>VLOOKUP(AK$8,'E6'!$A$1:$E$488,2,FALSE)</f>
        <v>0.30043999999999998</v>
      </c>
      <c r="AL46" s="439">
        <f>VLOOKUP(AL$8,'E6'!$A$1:$E$488,2,FALSE)</f>
        <v>-2.8028300000000002</v>
      </c>
      <c r="AM46" s="439">
        <f>VLOOKUP(AM$8,'E6'!$A$1:$E$488,2,FALSE)</f>
        <v>0.60209999999999997</v>
      </c>
      <c r="AN46" s="439">
        <f>VLOOKUP(AN$8,'E6'!$A$1:$E$488,2,FALSE)</f>
        <v>4.4323899999999998</v>
      </c>
      <c r="AO46" s="439">
        <f>VLOOKUP(AO$8,'E6'!$A$1:$E$488,2,FALSE)</f>
        <v>-3.8548900000000001</v>
      </c>
      <c r="AP46" s="439">
        <f>VLOOKUP(AP$8,'E6'!$A$1:$E$488,2,FALSE)</f>
        <v>1.5291399999999999</v>
      </c>
      <c r="AQ46" s="439">
        <f>VLOOKUP(AQ$8,'E6'!$A$1:$E$488,2,FALSE)</f>
        <v>4.47492</v>
      </c>
      <c r="AR46" s="439">
        <f>VLOOKUP(AR$8,'E6'!$A$1:$E$488,2,FALSE)</f>
        <v>3.55416</v>
      </c>
      <c r="AS46" s="439">
        <f>VLOOKUP(AS$8,'E6'!$A$1:$E$488,2,FALSE)</f>
        <v>6.2469099999999997</v>
      </c>
      <c r="AT46" s="439">
        <f>VLOOKUP(AT$8,'E6'!$A$1:$E$488,2,FALSE)</f>
        <v>-2.4474100000000001</v>
      </c>
      <c r="AU46" s="439">
        <f>VLOOKUP(AU$8,'E6'!$A$1:$E$488,2,FALSE)</f>
        <v>6.8277900000000002</v>
      </c>
      <c r="AV46" s="439">
        <f>VLOOKUP(AV$8,'E6'!$A$1:$E$488,2,FALSE)</f>
        <v>-0.15656</v>
      </c>
      <c r="AW46" s="439">
        <f>VLOOKUP(AW$8,'E6'!$A$1:$E$488,2,FALSE)</f>
        <v>4.3252499999999996</v>
      </c>
      <c r="AX46" s="439">
        <f>VLOOKUP(AX$8,'E6'!$A$1:$E$488,2,FALSE)</f>
        <v>-0.26905000000000001</v>
      </c>
      <c r="AY46" s="439">
        <f>VLOOKUP(AY$8,'E6'!$A$1:$E$488,2,FALSE)</f>
        <v>4.2275700000000001</v>
      </c>
      <c r="AZ46" s="439">
        <f>VLOOKUP(AZ$8,'E6'!$A$1:$E$488,2,FALSE)</f>
        <v>1.3844700000000001</v>
      </c>
      <c r="BA46" s="439">
        <f>VLOOKUP(BA$8,'E6'!$A$1:$E$488,2,FALSE)</f>
        <v>5.7783699999999998</v>
      </c>
      <c r="BB46" s="439">
        <f>VLOOKUP(BB$8,'E6'!$A$1:$E$488,2,FALSE)</f>
        <v>3.3098200000000002</v>
      </c>
      <c r="BC46" s="439">
        <f>VLOOKUP(BC$8,'E6'!$A$1:$E$488,2,FALSE)</f>
        <v>1.04396</v>
      </c>
      <c r="BD46" s="439">
        <f>VLOOKUP(BD$8,'E6'!$A$1:$E$488,2,FALSE)</f>
        <v>-2.0062500000000001</v>
      </c>
      <c r="BE46" s="439">
        <f>VLOOKUP(BE$8,'E6'!$A$1:$E$488,2,FALSE)</f>
        <v>2.24186</v>
      </c>
      <c r="BF46" s="439">
        <f>VLOOKUP(BF$8,'E6'!$A$1:$E$488,2,FALSE)</f>
        <v>3.7744399999999998</v>
      </c>
      <c r="BG46" s="439">
        <f>VLOOKUP(BG$8,'E6'!$A$1:$E$488,2,FALSE)</f>
        <v>-0.75982000000000005</v>
      </c>
      <c r="BH46" s="439">
        <f>VLOOKUP(BH$8,'E6'!$A$1:$E$488,2,FALSE)</f>
        <v>4.1970299999999998</v>
      </c>
      <c r="BI46" s="439">
        <f>VLOOKUP(BI$8,'E6'!$A$1:$E$488,2,FALSE)</f>
        <v>-6.2821800000000003</v>
      </c>
      <c r="BJ46" s="439">
        <f>VLOOKUP(BJ$8,'E6'!$A$1:$E$488,2,FALSE)</f>
        <v>-1.2587699999999999</v>
      </c>
      <c r="BK46" s="439">
        <f>VLOOKUP(BK$8,'E6'!$A$1:$E$488,2,FALSE)</f>
        <v>2.8898100000000002</v>
      </c>
      <c r="BL46" s="439">
        <f>VLOOKUP(BL$8,'E6'!$A$1:$E$488,2,FALSE)</f>
        <v>2.1133000000000002</v>
      </c>
      <c r="BM46" s="439">
        <f>VLOOKUP(BM$8,'E6'!$A$1:$E$488,2,FALSE)</f>
        <v>6.6441499999999998</v>
      </c>
      <c r="BN46" s="439">
        <f>VLOOKUP(BN$8,'E6'!$A$1:$E$488,2,FALSE)</f>
        <v>1.2598499999999999</v>
      </c>
      <c r="BO46" s="439">
        <f>VLOOKUP(BO$8,'E6'!$A$1:$E$488,2,FALSE)</f>
        <v>0.61367000000000005</v>
      </c>
      <c r="BP46" s="439">
        <f>VLOOKUP(BP$8,'E6'!$A$1:$E$488,2,FALSE)</f>
        <v>15.00634</v>
      </c>
      <c r="BQ46" s="439">
        <f>VLOOKUP(BQ$8,'E6'!$A$1:$E$488,2,FALSE)</f>
        <v>-10.35749</v>
      </c>
      <c r="BR46" s="439">
        <f>VLOOKUP(BR$8,'E6'!$A$1:$E$488,2,FALSE)</f>
        <v>-7.6680099999999998</v>
      </c>
      <c r="BS46" s="439">
        <f>VLOOKUP(BS$8,'E6'!$A$1:$E$488,2,FALSE)</f>
        <v>-3.23475</v>
      </c>
      <c r="BT46" s="439">
        <f>VLOOKUP(BT$8,'E6'!$A$1:$E$488,2,FALSE)</f>
        <v>-1.9052</v>
      </c>
      <c r="BU46" s="439">
        <f>VLOOKUP(BU$8,'E6'!$A$1:$E$488,2,FALSE)</f>
        <v>-0.95467999999999997</v>
      </c>
      <c r="BV46" s="439">
        <f>VLOOKUP(BV$8,'E6'!$A$1:$E$488,2,FALSE)</f>
        <v>2.5468000000000002</v>
      </c>
      <c r="BW46" s="439">
        <f>VLOOKUP(BW$8,'E6'!$A$1:$E$488,2,FALSE)</f>
        <v>2.8583599999999998</v>
      </c>
      <c r="BX46" s="439">
        <f>VLOOKUP(BX$8,'E6'!$A$1:$E$488,2,FALSE)</f>
        <v>4.5103299999999997</v>
      </c>
      <c r="BY46" s="439">
        <f>VLOOKUP(BY$8,'E6'!$A$1:$E$488,2,FALSE)</f>
        <v>0.15869</v>
      </c>
      <c r="BZ46" s="439">
        <f>VLOOKUP(BZ$8,'E6'!$A$1:$E$488,2,FALSE)</f>
        <v>7.4896599999999998</v>
      </c>
      <c r="CA46" s="439">
        <f>VLOOKUP(CA$8,'E6'!$A$1:$E$488,2,FALSE)</f>
        <v>3.5782500000000002</v>
      </c>
      <c r="CB46" s="439">
        <f>VLOOKUP(CB$8,'E6'!$A$1:$E$488,2,FALSE)</f>
        <v>4.2177699999999998</v>
      </c>
      <c r="CC46" s="439">
        <f>VLOOKUP(CC$8,'E6'!$A$1:$E$488,2,FALSE)</f>
        <v>11.43261</v>
      </c>
      <c r="CD46" s="439">
        <f>VLOOKUP(CD$8,'E6'!$A$1:$E$488,2,FALSE)</f>
        <v>-7.4576399999999996</v>
      </c>
      <c r="CE46" s="439">
        <f>VLOOKUP(CE$8,'E6'!$A$1:$E$488,2,FALSE)</f>
        <v>6.3589700000000002</v>
      </c>
      <c r="CF46" s="439">
        <f>VLOOKUP(CF$8,'E6'!$A$1:$E$488,2,FALSE)</f>
        <v>-7.09</v>
      </c>
      <c r="CG46" s="439">
        <f>VLOOKUP(CG$8,'E6'!$A$1:$E$488,2,FALSE)</f>
        <v>-7.21</v>
      </c>
      <c r="CH46" s="439">
        <f>VLOOKUP(CH$8,'E6'!$A$1:$E$488,2,FALSE)</f>
        <v>5.84</v>
      </c>
      <c r="CI46" s="439">
        <f>VLOOKUP(CI$8,'E6'!$A$1:$E$488,2,FALSE)</f>
        <v>7.8</v>
      </c>
      <c r="CJ46" s="439">
        <f>VLOOKUP(CJ$8,'E6'!$A$1:$E$488,2,FALSE)</f>
        <v>4.3</v>
      </c>
      <c r="CK46" s="439">
        <f>VLOOKUP(CK$8,'E6'!$A$1:$E$488,2,FALSE)</f>
        <v>-3.39</v>
      </c>
      <c r="CL46" s="439">
        <f>VLOOKUP(CL$8,'E6'!$A$1:$E$488,2,FALSE)</f>
        <v>8.5</v>
      </c>
      <c r="CM46" s="439">
        <f>VLOOKUP(CM$8,'E6'!$A$1:$E$488,2,FALSE)</f>
        <v>2.6</v>
      </c>
      <c r="CN46" s="439">
        <f>VLOOKUP(CN$8,'E6'!$A$1:$E$488,2,FALSE)</f>
        <v>-5.71</v>
      </c>
      <c r="CO46" s="439">
        <f>VLOOKUP(CO$8,'E6'!$A$1:$E$488,2,FALSE)</f>
        <v>5.14</v>
      </c>
      <c r="CP46" s="439">
        <f>VLOOKUP(CP$8,'E6'!$A$1:$E$488,2,FALSE)</f>
        <v>2.3199999999999998</v>
      </c>
      <c r="CQ46" s="439">
        <f>VLOOKUP(CQ$8,'E6'!$A$1:$E$488,2,FALSE)</f>
        <v>10.34</v>
      </c>
      <c r="CR46" s="439">
        <f>VLOOKUP(CR$8,'E6'!$A$1:$E$488,2,FALSE)</f>
        <v>1.44</v>
      </c>
      <c r="CS46" s="439">
        <f>VLOOKUP(CS$8,'E6'!$A$1:$E$488,2,FALSE)</f>
        <v>1.64</v>
      </c>
      <c r="CT46" s="439">
        <f>VLOOKUP(CT$8,'E6'!$A$1:$E$488,2,FALSE)</f>
        <v>17.079999999999998</v>
      </c>
      <c r="CU46" s="439">
        <f>VLOOKUP(CU$8,'E6'!$A$1:$E$488,2,FALSE)</f>
        <v>8.34</v>
      </c>
      <c r="CV46" s="439">
        <f>VLOOKUP(CV$8,'E6'!$A$1:$E$488,2,FALSE)</f>
        <v>-11.82</v>
      </c>
      <c r="CW46" s="439">
        <f>VLOOKUP(CW$8,'E6'!$A$1:$E$488,2,FALSE)</f>
        <v>-12.31</v>
      </c>
      <c r="CX46" s="439">
        <f>VLOOKUP(CX$8,'E6'!$A$1:$E$488,2,FALSE)</f>
        <v>6.22</v>
      </c>
      <c r="CY46" s="439">
        <f>VLOOKUP(CY$8,'E6'!$A$1:$E$488,2,FALSE)</f>
        <v>-9.92</v>
      </c>
      <c r="CZ46" s="439">
        <f>VLOOKUP(CZ$8,'E6'!$A$1:$E$488,2,FALSE)</f>
        <v>-19.850000000000001</v>
      </c>
      <c r="DA46" s="439">
        <f>VLOOKUP(DA$8,'E6'!$A$1:$E$488,2,FALSE)</f>
        <v>-6.79</v>
      </c>
      <c r="DB46" s="439">
        <f>VLOOKUP(DB$8,'E6'!$A$1:$E$488,2,FALSE)</f>
        <v>4.1399999999999997</v>
      </c>
      <c r="DC46" s="439">
        <f>VLOOKUP(DC$8,'E6'!$A$1:$E$488,2,FALSE)</f>
        <v>1.78</v>
      </c>
      <c r="DD46" s="439">
        <f>VLOOKUP(DD$8,'E6'!$A$1:$E$488,2,FALSE)</f>
        <v>-7.27</v>
      </c>
      <c r="DE46" s="439">
        <f>VLOOKUP(DE$8,'E6'!$A$1:$E$488,2,FALSE)</f>
        <v>4.43</v>
      </c>
      <c r="DF46" s="439">
        <f>VLOOKUP(DF$8,'E6'!$A$1:$E$488,2,FALSE)</f>
        <v>4.17</v>
      </c>
      <c r="DG46" s="439">
        <f>VLOOKUP(DG$8,'E6'!$A$1:$E$488,2,FALSE)</f>
        <v>0.36</v>
      </c>
      <c r="DH46" s="439">
        <f>VLOOKUP(DH$8,'E6'!$A$1:$E$488,2,FALSE)</f>
        <v>-3.12</v>
      </c>
      <c r="DI46" s="439">
        <f>VLOOKUP(DI$8,'E6'!$A$1:$E$488,2,FALSE)</f>
        <v>-4.84</v>
      </c>
      <c r="DJ46" s="439">
        <f>VLOOKUP(DJ$8,'E6'!$A$1:$E$488,2,FALSE)</f>
        <v>-0.77</v>
      </c>
      <c r="DK46" s="439">
        <f>VLOOKUP(DK$8,'E6'!$A$1:$E$488,2,FALSE)</f>
        <v>-7.34</v>
      </c>
      <c r="DL46" s="439">
        <f>VLOOKUP(DL$8,'E6'!$A$1:$E$488,2,FALSE)</f>
        <v>1.87</v>
      </c>
      <c r="DM46" s="439">
        <f>VLOOKUP(DM$8,'E6'!$A$1:$E$488,2,FALSE)</f>
        <v>1.39</v>
      </c>
      <c r="DN46" s="439">
        <f>VLOOKUP(DN$8,'E6'!$A$1:$E$488,2,FALSE)</f>
        <v>1.97</v>
      </c>
      <c r="DO46" s="439">
        <f>VLOOKUP(DO$8,'E6'!$A$1:$E$488,2,FALSE)</f>
        <v>-5.0199999999999996</v>
      </c>
      <c r="DP46" s="439">
        <f>VLOOKUP(DP$8,'E6'!$A$1:$E$488,2,FALSE)</f>
        <v>-1.74</v>
      </c>
      <c r="DQ46" s="439">
        <f>VLOOKUP(DQ$8,'E6'!$A$1:$E$488,2,FALSE)</f>
        <v>4.5599999999999996</v>
      </c>
      <c r="DR46" s="439">
        <f>VLOOKUP(DR$8,'E6'!$A$1:$E$488,2,FALSE)</f>
        <v>2.33</v>
      </c>
      <c r="DS46" s="439">
        <f>VLOOKUP(DS$8,'E6'!$A$1:$E$488,2,FALSE)</f>
        <v>1.74</v>
      </c>
      <c r="DT46" s="439">
        <f>VLOOKUP(DT$8,'E6'!$A$1:$E$488,2,FALSE)</f>
        <v>-0.48</v>
      </c>
      <c r="DU46" s="439">
        <f>VLOOKUP(DU$8,'E6'!$A$1:$E$488,2,FALSE)</f>
        <v>0</v>
      </c>
      <c r="DV46" s="439">
        <f>VLOOKUP(DV$8,'E6'!$A$1:$E$488,2,FALSE)</f>
        <v>0</v>
      </c>
      <c r="DW46" s="439">
        <f>VLOOKUP(DW$8,'E6'!$A$1:$E$488,2,FALSE)</f>
        <v>0</v>
      </c>
      <c r="DX46" s="439">
        <f>VLOOKUP(DX$8,'E6'!$A$1:$E$488,2,FALSE)</f>
        <v>0</v>
      </c>
      <c r="DY46" s="439">
        <f>VLOOKUP(DY$8,'E6'!$A$1:$E$488,2,FALSE)</f>
        <v>0</v>
      </c>
      <c r="DZ46" s="439">
        <f>VLOOKUP(DZ$8,'E6'!$A$1:$E$488,2,FALSE)</f>
        <v>0</v>
      </c>
      <c r="EA46" s="439">
        <f>VLOOKUP(EA$8,'E6'!$A$1:$E$488,2,FALSE)</f>
        <v>0</v>
      </c>
      <c r="EB46" s="439">
        <f>VLOOKUP(EB$8,'E6'!$A$1:$E$488,2,FALSE)</f>
        <v>0</v>
      </c>
      <c r="EC46" s="439">
        <f>VLOOKUP(EC$8,'E6'!$A$1:$E$488,2,FALSE)</f>
        <v>0</v>
      </c>
      <c r="ED46" s="439">
        <f>VLOOKUP(ED$8,'E6'!$A$1:$E$488,2,FALSE)</f>
        <v>0</v>
      </c>
      <c r="EE46" s="439">
        <f>VLOOKUP(EE$8,'E6'!$A$1:$E$488,2,FALSE)</f>
        <v>0</v>
      </c>
      <c r="EF46" s="439">
        <f>VLOOKUP(EF$8,'E6'!$A$1:$E$488,2,FALSE)</f>
        <v>0</v>
      </c>
      <c r="EG46" s="439">
        <f>VLOOKUP(EG$8,'E6'!$A$1:$E$488,2,FALSE)</f>
        <v>0</v>
      </c>
      <c r="EH46" s="439">
        <f>VLOOKUP(EH$8,'E6'!$A$1:$E$488,2,FALSE)</f>
        <v>0</v>
      </c>
      <c r="EI46" s="439">
        <f>VLOOKUP(EI$8,'E6'!$A$1:$E$488,2,FALSE)</f>
        <v>0</v>
      </c>
      <c r="EJ46" s="439">
        <f>VLOOKUP(EJ$8,'E6'!$A$1:$E$488,2,FALSE)</f>
        <v>0</v>
      </c>
      <c r="EK46" s="439">
        <f>VLOOKUP(EK$8,'E6'!$A$1:$E$488,2,FALSE)</f>
        <v>0</v>
      </c>
      <c r="EL46" s="439">
        <f>VLOOKUP(EL$8,'E6'!$A$1:$E$488,2,FALSE)</f>
        <v>0</v>
      </c>
      <c r="EM46" s="439">
        <f>VLOOKUP(EM$8,'E6'!$A$1:$E$488,2,FALSE)</f>
        <v>0</v>
      </c>
      <c r="EN46" s="439">
        <f>VLOOKUP(EN$8,'E6'!$A$1:$E$488,2,FALSE)</f>
        <v>0</v>
      </c>
      <c r="EO46" s="439">
        <f>VLOOKUP(EO$8,'E6'!$A$1:$E$488,2,FALSE)</f>
        <v>0</v>
      </c>
      <c r="EP46" s="439">
        <f>VLOOKUP(EP$8,'E6'!$A$1:$E$488,2,FALSE)</f>
        <v>0</v>
      </c>
      <c r="EQ46" s="439">
        <f>VLOOKUP(EQ$8,'E6'!$A$1:$E$488,2,FALSE)</f>
        <v>0</v>
      </c>
      <c r="ER46" s="439">
        <f>VLOOKUP(ER$8,'E6'!$A$1:$E$488,2,FALSE)</f>
        <v>0</v>
      </c>
      <c r="ES46" s="439">
        <f>VLOOKUP(ES$8,'E6'!$A$1:$E$488,2,FALSE)</f>
        <v>0</v>
      </c>
      <c r="ET46" s="439">
        <f>VLOOKUP(ET$8,'E6'!$A$1:$E$488,2,FALSE)</f>
        <v>0</v>
      </c>
      <c r="EU46" s="439">
        <f>VLOOKUP(EU$8,'E6'!$A$1:$E$488,2,FALSE)</f>
        <v>0</v>
      </c>
      <c r="EV46" s="439">
        <f>VLOOKUP(EV$8,'E6'!$A$1:$E$488,2,FALSE)</f>
        <v>0</v>
      </c>
      <c r="EW46" s="439">
        <f>VLOOKUP(EW$8,'E6'!$A$1:$E$488,2,FALSE)</f>
        <v>0</v>
      </c>
      <c r="EX46" s="393" t="s">
        <v>397</v>
      </c>
      <c r="EY46" s="1066" t="s">
        <v>489</v>
      </c>
      <c r="EZ46" s="789">
        <f>VLOOKUP($EY46,'NEPC data'!$B33:$M220,5,TRUE)*100</f>
        <v>-16.226049497200012</v>
      </c>
      <c r="FA46" s="789">
        <f>VLOOKUP($EY46,'NEPC data'!$B33:$M220,7,TRUE)*100</f>
        <v>-35.970821931139163</v>
      </c>
      <c r="FB46" s="789">
        <f>VLOOKUP($EY46,'NEPC data'!$B33:$M220,9,TRUE)*100</f>
        <v>0</v>
      </c>
      <c r="FC46" s="789">
        <f>VLOOKUP($EY46,'NEPC data'!$B33:$M220,10,TRUE)*100</f>
        <v>0</v>
      </c>
      <c r="FD46" s="789">
        <f>VLOOKUP($EY46,'NEPC data'!$B33:$M220,11,TRUE)*100</f>
        <v>0</v>
      </c>
      <c r="FE46" s="382"/>
      <c r="FF46" s="441">
        <f>IF(G46="---","-",ABS(EZ46-G46))</f>
        <v>19.478996584136276</v>
      </c>
      <c r="FG46" s="441">
        <f>IF(I46="---","-",ABS(FA46-I46))</f>
        <v>54.63373129477813</v>
      </c>
      <c r="FH46" s="441">
        <f>IF(K46="---","-",ABS(FB46-K46))</f>
        <v>20.622292464648019</v>
      </c>
      <c r="FI46" s="441">
        <f>IF(M46="---","-",ABS(FC46-M46))</f>
        <v>18.549422695290787</v>
      </c>
      <c r="FJ46" s="441">
        <f>IF(Q46="---","-",ABS(FD46-Q46))</f>
        <v>7.9474898335989197</v>
      </c>
      <c r="FK46" s="382"/>
      <c r="FL46" s="442">
        <f>AF46</f>
        <v>7.5816680290667682</v>
      </c>
      <c r="FM46" s="442">
        <f>ABS(FL46-AF46)</f>
        <v>0</v>
      </c>
    </row>
    <row r="47" spans="1:169" s="395" customFormat="1" ht="12.75" customHeight="1" x14ac:dyDescent="0.2">
      <c r="A47" s="445" t="s">
        <v>356</v>
      </c>
      <c r="B47" s="621" t="s">
        <v>319</v>
      </c>
      <c r="C47" s="446">
        <v>39447</v>
      </c>
      <c r="D47" s="462">
        <f>Champlain!D1</f>
        <v>85</v>
      </c>
      <c r="E47" s="448">
        <f>VLOOKUP(AH$8,Champlain!A1:E488,3,FALSE)/1000000</f>
        <v>90.392461980000007</v>
      </c>
      <c r="F47" s="449">
        <f>AH47</f>
        <v>3.11761</v>
      </c>
      <c r="G47" s="450">
        <f t="array" ref="G47">IF($AJ47=0,"---",(PRODUCT($AH47:AJ47/100+1)-1)*100)</f>
        <v>2.8228912603820433</v>
      </c>
      <c r="H47" s="450">
        <f t="array" ref="H47">IF($AS47=0,"---",(PRODUCT(AH47:AN47/100+1)-1)*100)</f>
        <v>2.1965179167610982</v>
      </c>
      <c r="I47" s="450">
        <f t="array" ref="I47">IF(AS47=0,"---",(GEOMEAN($AH47:AS47/100+1)^12-1)*100)</f>
        <v>11.218001169520676</v>
      </c>
      <c r="J47" s="450">
        <f t="array" ref="J47">IF(BE47=0,"---",(GEOMEAN($AH47:BE47/100+1)^12-1)*100)</f>
        <v>18.317990681546405</v>
      </c>
      <c r="K47" s="450">
        <f t="array" ref="K47">IF(BQ47=0,"---",(GEOMEAN($AH47:BQ47/100+1)^12-1)*100)</f>
        <v>16.013372655235123</v>
      </c>
      <c r="L47" s="450">
        <f t="array" ref="L47">IF(CC47=0,"---",(GEOMEAN($AH47:CC47/100+1)^12-1)*100)</f>
        <v>18.877449624919706</v>
      </c>
      <c r="M47" s="450">
        <f t="array" ref="M47">IF(CO47=0,"---",(GEOMEAN($AH47:CO47/100+1)^12-1)*100)</f>
        <v>16.186814816272598</v>
      </c>
      <c r="N47" s="450" t="str">
        <f t="array" ref="N47">IF(DM47=0,"---",(GEOMEAN($AH47:DM47/100+1)^12-1)*100)</f>
        <v>---</v>
      </c>
      <c r="O47" s="450" t="str">
        <f t="array" ref="O47">IF(EK47=0,"---",(GEOMEAN($AH47:EK47/100+1)^12-1)*100)</f>
        <v>---</v>
      </c>
      <c r="P47" s="450" t="str">
        <f t="array" ref="P47">IF(EW47=0,"---",(GEOMEAN($AH47:EW47/100+1)^12-1)*100)</f>
        <v>---</v>
      </c>
      <c r="Q47" s="1008">
        <f t="array" ref="Q47">(GEOMEAN(Champlain!B$393:B471/100+1)^12-1)*100</f>
        <v>9.1725578198359479</v>
      </c>
      <c r="R47" s="452">
        <f>IF(F47="---","---",(F47-F$48)*100)</f>
        <v>-117.73699999999998</v>
      </c>
      <c r="S47" s="452">
        <f t="shared" ref="S47:AB47" si="32">IF(G47="---","---",(G47-G$48)*100)</f>
        <v>-38.846615649728022</v>
      </c>
      <c r="T47" s="1010">
        <f>IF(H47="---","---",(H47-H$48)*100)</f>
        <v>-362.19717442406596</v>
      </c>
      <c r="U47" s="452">
        <f t="shared" si="32"/>
        <v>-747.99921598543301</v>
      </c>
      <c r="V47" s="452">
        <f t="shared" si="32"/>
        <v>-431.24000275291723</v>
      </c>
      <c r="W47" s="452">
        <f t="shared" si="32"/>
        <v>-467.54902576246593</v>
      </c>
      <c r="X47" s="452">
        <f t="shared" si="32"/>
        <v>-273.8569359660392</v>
      </c>
      <c r="Y47" s="452">
        <f t="shared" si="32"/>
        <v>-253.42669353585663</v>
      </c>
      <c r="Z47" s="452" t="str">
        <f t="shared" si="32"/>
        <v>---</v>
      </c>
      <c r="AA47" s="452" t="str">
        <f t="shared" si="32"/>
        <v>---</v>
      </c>
      <c r="AB47" s="452" t="str">
        <f t="shared" si="32"/>
        <v>---</v>
      </c>
      <c r="AC47" s="1012">
        <f>100*(Q47-AF47)</f>
        <v>10.44430868089492</v>
      </c>
      <c r="AD47" s="454">
        <v>200</v>
      </c>
      <c r="AE47" s="477"/>
      <c r="AF47" s="476">
        <f t="array" ref="AF47">(GEOMEAN(Index_Returns!K393:K471/100+1)^12-1)*100</f>
        <v>9.0681147330269987</v>
      </c>
      <c r="AG47" s="382" t="str">
        <f>IF(I47="---","&lt; 1 Year","---")</f>
        <v>---</v>
      </c>
      <c r="AH47" s="439">
        <f>VLOOKUP(AH$8,Champlain!$A$1:$E$488,2,FALSE)</f>
        <v>3.11761</v>
      </c>
      <c r="AI47" s="439">
        <f>VLOOKUP(AI$8,Champlain!$A$1:$E$488,2,FALSE)</f>
        <v>-5.1719200000000001</v>
      </c>
      <c r="AJ47" s="439">
        <f>VLOOKUP(AJ$8,Champlain!$A$1:$E$488,2,FALSE)</f>
        <v>5.1525999999999996</v>
      </c>
      <c r="AK47" s="439">
        <f>VLOOKUP(AK$8,Champlain!$A$1:$E$488,2,FALSE)</f>
        <v>0.17074</v>
      </c>
      <c r="AL47" s="439">
        <f>VLOOKUP(AL$8,Champlain!$A$1:$E$488,2,FALSE)</f>
        <v>-2.75373</v>
      </c>
      <c r="AM47" s="439">
        <f>VLOOKUP(AM$8,Champlain!$A$1:$E$488,2,FALSE)</f>
        <v>0.72355999999999998</v>
      </c>
      <c r="AN47" s="439">
        <f>VLOOKUP(AN$8,Champlain!$A$1:$E$488,2,FALSE)</f>
        <v>1.2981199999999999</v>
      </c>
      <c r="AO47" s="439">
        <f>VLOOKUP(AO$8,Champlain!$A$1:$E$488,2,FALSE)</f>
        <v>-3.8150400000000002</v>
      </c>
      <c r="AP47" s="439">
        <f>VLOOKUP(AP$8,Champlain!$A$1:$E$488,2,FALSE)</f>
        <v>1.2443900000000001</v>
      </c>
      <c r="AQ47" s="439">
        <f>VLOOKUP(AQ$8,Champlain!$A$1:$E$488,2,FALSE)</f>
        <v>3.4380000000000002</v>
      </c>
      <c r="AR47" s="439">
        <f>VLOOKUP(AR$8,Champlain!$A$1:$E$488,2,FALSE)</f>
        <v>2.8070499999999998</v>
      </c>
      <c r="AS47" s="439">
        <f>VLOOKUP(AS$8,Champlain!$A$1:$E$488,2,FALSE)</f>
        <v>5.0891400000000004</v>
      </c>
      <c r="AT47" s="439">
        <f>VLOOKUP(AT$8,Champlain!$A$1:$E$488,2,FALSE)</f>
        <v>-2.1095299999999999</v>
      </c>
      <c r="AU47" s="439">
        <f>VLOOKUP(AU$8,Champlain!$A$1:$E$488,2,FALSE)</f>
        <v>5.6742600000000003</v>
      </c>
      <c r="AV47" s="439">
        <f>VLOOKUP(AV$8,Champlain!$A$1:$E$488,2,FALSE)</f>
        <v>0.40659000000000001</v>
      </c>
      <c r="AW47" s="439">
        <f>VLOOKUP(AW$8,Champlain!$A$1:$E$488,2,FALSE)</f>
        <v>4.0148299999999999</v>
      </c>
      <c r="AX47" s="439">
        <f>VLOOKUP(AX$8,Champlain!$A$1:$E$488,2,FALSE)</f>
        <v>-1.2362</v>
      </c>
      <c r="AY47" s="439">
        <f>VLOOKUP(AY$8,Champlain!$A$1:$E$488,2,FALSE)</f>
        <v>4.7892999999999999</v>
      </c>
      <c r="AZ47" s="439">
        <f>VLOOKUP(AZ$8,Champlain!$A$1:$E$488,2,FALSE)</f>
        <v>2.1968299999999998</v>
      </c>
      <c r="BA47" s="439">
        <f>VLOOKUP(BA$8,Champlain!$A$1:$E$488,2,FALSE)</f>
        <v>5.6401300000000001</v>
      </c>
      <c r="BB47" s="439">
        <f>VLOOKUP(BB$8,Champlain!$A$1:$E$488,2,FALSE)</f>
        <v>1.78596</v>
      </c>
      <c r="BC47" s="439">
        <f>VLOOKUP(BC$8,Champlain!$A$1:$E$488,2,FALSE)</f>
        <v>1.42431</v>
      </c>
      <c r="BD47" s="439">
        <f>VLOOKUP(BD$8,Champlain!$A$1:$E$488,2,FALSE)</f>
        <v>-1.84728</v>
      </c>
      <c r="BE47" s="439">
        <f>VLOOKUP(BE$8,Champlain!$A$1:$E$488,2,FALSE)</f>
        <v>2.90726</v>
      </c>
      <c r="BF47" s="439">
        <f>VLOOKUP(BF$8,Champlain!$A$1:$E$488,2,FALSE)</f>
        <v>3.5022700000000002</v>
      </c>
      <c r="BG47" s="439">
        <f>VLOOKUP(BG$8,Champlain!$A$1:$E$488,2,FALSE)</f>
        <v>-3.6399400000000002</v>
      </c>
      <c r="BH47" s="439">
        <f>VLOOKUP(BH$8,Champlain!$A$1:$E$488,2,FALSE)</f>
        <v>2.7024900000000001</v>
      </c>
      <c r="BI47" s="439">
        <f>VLOOKUP(BI$8,Champlain!$A$1:$E$488,2,FALSE)</f>
        <v>-4.4149399999999996</v>
      </c>
      <c r="BJ47" s="439">
        <f>VLOOKUP(BJ$8,Champlain!$A$1:$E$488,2,FALSE)</f>
        <v>-0.43269999999999997</v>
      </c>
      <c r="BK47" s="439">
        <f>VLOOKUP(BK$8,Champlain!$A$1:$E$488,2,FALSE)</f>
        <v>2.73428</v>
      </c>
      <c r="BL47" s="439">
        <f>VLOOKUP(BL$8,Champlain!$A$1:$E$488,2,FALSE)</f>
        <v>1.98705</v>
      </c>
      <c r="BM47" s="439">
        <f>VLOOKUP(BM$8,Champlain!$A$1:$E$488,2,FALSE)</f>
        <v>4.4901</v>
      </c>
      <c r="BN47" s="439">
        <f>VLOOKUP(BN$8,Champlain!$A$1:$E$488,2,FALSE)</f>
        <v>-0.36127999999999999</v>
      </c>
      <c r="BO47" s="439">
        <f>VLOOKUP(BO$8,Champlain!$A$1:$E$488,2,FALSE)</f>
        <v>1.4968600000000001</v>
      </c>
      <c r="BP47" s="439">
        <f>VLOOKUP(BP$8,Champlain!$A$1:$E$488,2,FALSE)</f>
        <v>12.33858</v>
      </c>
      <c r="BQ47" s="439">
        <f>VLOOKUP(BQ$8,Champlain!$A$1:$E$488,2,FALSE)</f>
        <v>-8.0095600000000005</v>
      </c>
      <c r="BR47" s="439">
        <f>VLOOKUP(BR$8,Champlain!$A$1:$E$488,2,FALSE)</f>
        <v>-5.37216</v>
      </c>
      <c r="BS47" s="439">
        <f>VLOOKUP(BS$8,Champlain!$A$1:$E$488,2,FALSE)</f>
        <v>-3.4160900000000001</v>
      </c>
      <c r="BT47" s="439">
        <f>VLOOKUP(BT$8,Champlain!$A$1:$E$488,2,FALSE)</f>
        <v>-1.80362</v>
      </c>
      <c r="BU47" s="439">
        <f>VLOOKUP(BU$8,Champlain!$A$1:$E$488,2,FALSE)</f>
        <v>-1.4556</v>
      </c>
      <c r="BV47" s="439">
        <f>VLOOKUP(BV$8,Champlain!$A$1:$E$488,2,FALSE)</f>
        <v>3.6825899999999998</v>
      </c>
      <c r="BW47" s="439">
        <f>VLOOKUP(BW$8,Champlain!$A$1:$E$488,2,FALSE)</f>
        <v>3.3910800000000001</v>
      </c>
      <c r="BX47" s="439">
        <f>VLOOKUP(BX$8,Champlain!$A$1:$E$488,2,FALSE)</f>
        <v>4.8198499999999997</v>
      </c>
      <c r="BY47" s="439">
        <f>VLOOKUP(BY$8,Champlain!$A$1:$E$488,2,FALSE)</f>
        <v>0.38955000000000001</v>
      </c>
      <c r="BZ47" s="439">
        <f>VLOOKUP(BZ$8,Champlain!$A$1:$E$488,2,FALSE)</f>
        <v>7.6777600000000001</v>
      </c>
      <c r="CA47" s="439">
        <f>VLOOKUP(CA$8,Champlain!$A$1:$E$488,2,FALSE)</f>
        <v>3.1895600000000002</v>
      </c>
      <c r="CB47" s="439">
        <f>VLOOKUP(CB$8,Champlain!$A$1:$E$488,2,FALSE)</f>
        <v>3.5182600000000002</v>
      </c>
      <c r="CC47" s="439">
        <f>VLOOKUP(CC$8,Champlain!$A$1:$E$488,2,FALSE)</f>
        <v>11.461</v>
      </c>
      <c r="CD47" s="439">
        <f>VLOOKUP(CD$8,Champlain!$A$1:$E$488,2,FALSE)</f>
        <v>-5.0830000000000002</v>
      </c>
      <c r="CE47" s="439">
        <f>VLOOKUP(CE$8,Champlain!$A$1:$E$488,2,FALSE)</f>
        <v>5.2460000000000004</v>
      </c>
      <c r="CF47" s="439">
        <f>VLOOKUP(CF$8,Champlain!$A$1:$E$488,2,FALSE)</f>
        <v>-3.9580000000000002</v>
      </c>
      <c r="CG47" s="439">
        <f>VLOOKUP(CG$8,Champlain!$A$1:$E$488,2,FALSE)</f>
        <v>-5.7610000000000001</v>
      </c>
      <c r="CH47" s="439">
        <f>VLOOKUP(CH$8,Champlain!$A$1:$E$488,2,FALSE)</f>
        <v>3.3319999999999999</v>
      </c>
      <c r="CI47" s="439">
        <f>VLOOKUP(CI$8,Champlain!$A$1:$E$488,2,FALSE)</f>
        <v>5.6719999999999997</v>
      </c>
      <c r="CJ47" s="439">
        <f>VLOOKUP(CJ$8,Champlain!$A$1:$E$488,2,FALSE)</f>
        <v>1.6180000000000001</v>
      </c>
      <c r="CK47" s="439">
        <f>VLOOKUP(CK$8,Champlain!$A$1:$E$488,2,FALSE)</f>
        <v>-2.7930000000000001</v>
      </c>
      <c r="CL47" s="439">
        <f>VLOOKUP(CL$8,Champlain!$A$1:$E$488,2,FALSE)</f>
        <v>5.0549999999999997</v>
      </c>
      <c r="CM47" s="439">
        <f>VLOOKUP(CM$8,Champlain!$A$1:$E$488,2,FALSE)</f>
        <v>1.99</v>
      </c>
      <c r="CN47" s="439">
        <f>VLOOKUP(CN$8,Champlain!$A$1:$E$488,2,FALSE)</f>
        <v>-3.387</v>
      </c>
      <c r="CO47" s="439">
        <f>VLOOKUP(CO$8,Champlain!$A$1:$E$488,2,FALSE)</f>
        <v>5.0199999999999996</v>
      </c>
      <c r="CP47" s="439">
        <f>VLOOKUP(CP$8,Champlain!$A$1:$E$488,2,FALSE)</f>
        <v>2.27</v>
      </c>
      <c r="CQ47" s="439">
        <f>VLOOKUP(CQ$8,Champlain!$A$1:$E$488,2,FALSE)</f>
        <v>6.35</v>
      </c>
      <c r="CR47" s="439">
        <f>VLOOKUP(CR$8,Champlain!$A$1:$E$488,2,FALSE)</f>
        <v>3.39</v>
      </c>
      <c r="CS47" s="439">
        <f>VLOOKUP(CS$8,Champlain!$A$1:$E$488,2,FALSE)</f>
        <v>2.67</v>
      </c>
      <c r="CT47" s="439">
        <f>VLOOKUP(CT$8,Champlain!$A$1:$E$488,2,FALSE)</f>
        <v>11.43</v>
      </c>
      <c r="CU47" s="439">
        <f>VLOOKUP(CU$8,Champlain!$A$1:$E$488,2,FALSE)</f>
        <v>6.57</v>
      </c>
      <c r="CV47" s="439">
        <f>VLOOKUP(CV$8,Champlain!$A$1:$E$488,2,FALSE)</f>
        <v>-8.32</v>
      </c>
      <c r="CW47" s="439">
        <f>VLOOKUP(CW$8,Champlain!$A$1:$E$488,2,FALSE)</f>
        <v>-8.58</v>
      </c>
      <c r="CX47" s="439">
        <f>VLOOKUP(CX$8,Champlain!$A$1:$E$488,2,FALSE)</f>
        <v>6.17</v>
      </c>
      <c r="CY47" s="439">
        <f>VLOOKUP(CY$8,Champlain!$A$1:$E$488,2,FALSE)</f>
        <v>-9.1199999999999992</v>
      </c>
      <c r="CZ47" s="439">
        <f>VLOOKUP(CZ$8,Champlain!$A$1:$E$488,2,FALSE)</f>
        <v>-21.29</v>
      </c>
      <c r="DA47" s="439">
        <f>VLOOKUP(DA$8,Champlain!$A$1:$E$488,2,FALSE)</f>
        <v>-5.69</v>
      </c>
      <c r="DB47" s="439">
        <f>VLOOKUP(DB$8,Champlain!$A$1:$E$488,2,FALSE)</f>
        <v>4.8899999999999997</v>
      </c>
      <c r="DC47" s="439">
        <f>VLOOKUP(DC$8,Champlain!$A$1:$E$488,2,FALSE)</f>
        <v>3.89</v>
      </c>
      <c r="DD47" s="439">
        <f>VLOOKUP(DD$8,Champlain!$A$1:$E$488,2,FALSE)</f>
        <v>-6.68</v>
      </c>
      <c r="DE47" s="439">
        <f>VLOOKUP(DE$8,Champlain!$A$1:$E$488,2,FALSE)</f>
        <v>4.38</v>
      </c>
      <c r="DF47" s="439">
        <f>VLOOKUP(DF$8,Champlain!$A$1:$E$488,2,FALSE)</f>
        <v>5.84</v>
      </c>
      <c r="DG47" s="439">
        <f>VLOOKUP(DG$8,Champlain!$A$1:$E$488,2,FALSE)</f>
        <v>2.72</v>
      </c>
      <c r="DH47" s="439">
        <f>VLOOKUP(DH$8,Champlain!$A$1:$E$488,2,FALSE)</f>
        <v>-3.13</v>
      </c>
      <c r="DI47" s="439">
        <f>VLOOKUP(DI$8,Champlain!$A$1:$E$488,2,FALSE)</f>
        <v>-5.67</v>
      </c>
      <c r="DJ47" s="439">
        <f>VLOOKUP(DJ$8,Champlain!$A$1:$E$488,2,FALSE)</f>
        <v>0</v>
      </c>
      <c r="DK47" s="439">
        <f>VLOOKUP(DK$8,Champlain!$A$1:$E$488,2,FALSE)</f>
        <v>0</v>
      </c>
      <c r="DL47" s="439">
        <f>VLOOKUP(DL$8,Champlain!$A$1:$E$488,2,FALSE)</f>
        <v>0</v>
      </c>
      <c r="DM47" s="439">
        <f>VLOOKUP(DM$8,Champlain!$A$1:$E$488,2,FALSE)</f>
        <v>0</v>
      </c>
      <c r="DN47" s="439">
        <f>VLOOKUP(DN$8,Champlain!$A$1:$E$488,2,FALSE)</f>
        <v>0</v>
      </c>
      <c r="DO47" s="439">
        <f>VLOOKUP(DO$8,Champlain!$A$1:$E$488,2,FALSE)</f>
        <v>0</v>
      </c>
      <c r="DP47" s="439">
        <f>VLOOKUP(DP$8,Champlain!$A$1:$E$488,2,FALSE)</f>
        <v>0</v>
      </c>
      <c r="DQ47" s="439">
        <f>VLOOKUP(DQ$8,Champlain!$A$1:$E$488,2,FALSE)</f>
        <v>0</v>
      </c>
      <c r="DR47" s="439">
        <f>VLOOKUP(DR$8,Champlain!$A$1:$E$488,2,FALSE)</f>
        <v>0</v>
      </c>
      <c r="DS47" s="439">
        <f>VLOOKUP(DS$8,Champlain!$A$1:$E$488,2,FALSE)</f>
        <v>0</v>
      </c>
      <c r="DT47" s="439">
        <f>VLOOKUP(DT$8,Champlain!$A$1:$E$488,2,FALSE)</f>
        <v>0</v>
      </c>
      <c r="DU47" s="439">
        <f>VLOOKUP(DU$8,Champlain!$A$1:$E$488,2,FALSE)</f>
        <v>0</v>
      </c>
      <c r="DV47" s="439">
        <f>VLOOKUP(DV$8,Champlain!$A$1:$E$488,2,FALSE)</f>
        <v>0</v>
      </c>
      <c r="DW47" s="439">
        <f>VLOOKUP(DW$8,Champlain!$A$1:$E$488,2,FALSE)</f>
        <v>0</v>
      </c>
      <c r="DX47" s="439">
        <f>VLOOKUP(DX$8,Champlain!$A$1:$E$488,2,FALSE)</f>
        <v>0</v>
      </c>
      <c r="DY47" s="439">
        <f>VLOOKUP(DY$8,Champlain!$A$1:$E$488,2,FALSE)</f>
        <v>0</v>
      </c>
      <c r="DZ47" s="439">
        <f>VLOOKUP(DZ$8,Champlain!$A$1:$E$488,2,FALSE)</f>
        <v>0</v>
      </c>
      <c r="EA47" s="439">
        <f>VLOOKUP(EA$8,Champlain!$A$1:$E$488,2,FALSE)</f>
        <v>0</v>
      </c>
      <c r="EB47" s="439">
        <f>VLOOKUP(EB$8,Champlain!$A$1:$E$488,2,FALSE)</f>
        <v>0</v>
      </c>
      <c r="EC47" s="439">
        <f>VLOOKUP(EC$8,Champlain!$A$1:$E$488,2,FALSE)</f>
        <v>0</v>
      </c>
      <c r="ED47" s="439">
        <f>VLOOKUP(ED$8,Champlain!$A$1:$E$488,2,FALSE)</f>
        <v>0</v>
      </c>
      <c r="EE47" s="439">
        <f>VLOOKUP(EE$8,Champlain!$A$1:$E$488,2,FALSE)</f>
        <v>0</v>
      </c>
      <c r="EF47" s="439">
        <f>VLOOKUP(EF$8,Champlain!$A$1:$E$488,2,FALSE)</f>
        <v>0</v>
      </c>
      <c r="EG47" s="439">
        <f>VLOOKUP(EG$8,Champlain!$A$1:$E$488,2,FALSE)</f>
        <v>0</v>
      </c>
      <c r="EH47" s="439">
        <f>VLOOKUP(EH$8,Champlain!$A$1:$E$488,2,FALSE)</f>
        <v>0</v>
      </c>
      <c r="EI47" s="439">
        <f>VLOOKUP(EI$8,Champlain!$A$1:$E$488,2,FALSE)</f>
        <v>0</v>
      </c>
      <c r="EJ47" s="439">
        <f>VLOOKUP(EJ$8,Champlain!$A$1:$E$488,2,FALSE)</f>
        <v>0</v>
      </c>
      <c r="EK47" s="439">
        <f>VLOOKUP(EK$8,Champlain!$A$1:$E$488,2,FALSE)</f>
        <v>0</v>
      </c>
      <c r="EL47" s="439">
        <f>VLOOKUP(EL$8,Champlain!$A$1:$E$488,2,FALSE)</f>
        <v>0</v>
      </c>
      <c r="EM47" s="439">
        <f>VLOOKUP(EM$8,Champlain!$A$1:$E$488,2,FALSE)</f>
        <v>0</v>
      </c>
      <c r="EN47" s="439">
        <f>VLOOKUP(EN$8,Champlain!$A$1:$E$488,2,FALSE)</f>
        <v>0</v>
      </c>
      <c r="EO47" s="439">
        <f>VLOOKUP(EO$8,Champlain!$A$1:$E$488,2,FALSE)</f>
        <v>0</v>
      </c>
      <c r="EP47" s="439">
        <f>VLOOKUP(EP$8,Champlain!$A$1:$E$488,2,FALSE)</f>
        <v>0</v>
      </c>
      <c r="EQ47" s="439">
        <f>VLOOKUP(EQ$8,Champlain!$A$1:$E$488,2,FALSE)</f>
        <v>0</v>
      </c>
      <c r="ER47" s="439">
        <f>VLOOKUP(ER$8,Champlain!$A$1:$E$488,2,FALSE)</f>
        <v>0</v>
      </c>
      <c r="ES47" s="439">
        <f>VLOOKUP(ES$8,Champlain!$A$1:$E$488,2,FALSE)</f>
        <v>0</v>
      </c>
      <c r="ET47" s="439">
        <f>VLOOKUP(ET$8,Champlain!$A$1:$E$488,2,FALSE)</f>
        <v>0</v>
      </c>
      <c r="EU47" s="439">
        <f>VLOOKUP(EU$8,Champlain!$A$1:$E$488,2,FALSE)</f>
        <v>0</v>
      </c>
      <c r="EV47" s="439">
        <f>VLOOKUP(EV$8,Champlain!$A$1:$E$488,2,FALSE)</f>
        <v>0</v>
      </c>
      <c r="EW47" s="439">
        <f>VLOOKUP(EW$8,Champlain!$A$1:$E$488,2,FALSE)</f>
        <v>0</v>
      </c>
      <c r="EX47" s="393" t="s">
        <v>356</v>
      </c>
      <c r="EY47" s="1066" t="s">
        <v>480</v>
      </c>
      <c r="EZ47" s="789">
        <f>VLOOKUP($EY47,'NEPC data'!$B34:$M221,5,TRUE)*100</f>
        <v>-10.67957366079999</v>
      </c>
      <c r="FA47" s="789">
        <f>VLOOKUP($EY47,'NEPC data'!$B34:$M221,7,TRUE)*100</f>
        <v>-28.128242347840271</v>
      </c>
      <c r="FB47" s="789">
        <f>VLOOKUP($EY47,'NEPC data'!$B34:$M221,9,TRUE)*100</f>
        <v>0</v>
      </c>
      <c r="FC47" s="789">
        <f>VLOOKUP($EY47,'NEPC data'!$B34:$M221,10,TRUE)*100</f>
        <v>0</v>
      </c>
      <c r="FD47" s="789">
        <f>VLOOKUP($EY47,'NEPC data'!$B34:$M221,11,TRUE)*100</f>
        <v>0</v>
      </c>
      <c r="FE47" s="382"/>
      <c r="FF47" s="441">
        <f>IF(G47="---","-",ABS(EZ47-G47))</f>
        <v>13.502464921182034</v>
      </c>
      <c r="FG47" s="441">
        <f>IF(I47="---","-",ABS(FA47-I47))</f>
        <v>39.346243517360946</v>
      </c>
      <c r="FH47" s="441">
        <f>IF(K47="---","-",ABS(FB47-K47))</f>
        <v>16.013372655235123</v>
      </c>
      <c r="FI47" s="441">
        <f>IF(M47="---","-",ABS(FC47-M47))</f>
        <v>16.186814816272598</v>
      </c>
      <c r="FJ47" s="441">
        <f>IF(Q47="---","-",ABS(FD47-Q47))</f>
        <v>9.1725578198359479</v>
      </c>
      <c r="FK47" s="382"/>
      <c r="FL47" s="442"/>
      <c r="FM47" s="442"/>
    </row>
    <row r="48" spans="1:169" s="1028" customFormat="1" ht="12.75" customHeight="1" x14ac:dyDescent="0.2">
      <c r="A48" s="1234" t="s">
        <v>326</v>
      </c>
      <c r="B48" s="1024"/>
      <c r="C48" s="1235"/>
      <c r="D48" s="1218"/>
      <c r="E48" s="1237"/>
      <c r="F48" s="1220">
        <f>AH48</f>
        <v>4.2949799999999998</v>
      </c>
      <c r="G48" s="1023">
        <f t="array" ref="G48">IF($AJ48=0,"---",(PRODUCT($AH48:AJ48/100+1)-1)*100)</f>
        <v>3.2113574168793235</v>
      </c>
      <c r="H48" s="432">
        <f t="array" ref="H48">IF($AS48=0,"---",(PRODUCT(AH48:AN48/100+1)-1)*100)</f>
        <v>5.8184896610017578</v>
      </c>
      <c r="I48" s="1023">
        <f t="array" ref="I48">IF(AS48=0,"---",(GEOMEAN($AH48:AS48/100+1)^12-1)*100)</f>
        <v>18.697993329375006</v>
      </c>
      <c r="J48" s="1023">
        <f t="array" ref="J48">IF(BE48=0,"---",(GEOMEAN($AH48:BE48/100+1)^12-1)*100)</f>
        <v>22.630390709075577</v>
      </c>
      <c r="K48" s="1023">
        <f t="array" ref="K48">IF(BQ48=0,"---",(GEOMEAN($AH48:BQ48/100+1)^12-1)*100)</f>
        <v>20.688862912859783</v>
      </c>
      <c r="L48" s="1023">
        <f t="array" ref="L48">IF(CC48=0,"---",(GEOMEAN($AH48:CC48/100+1)^12-1)*100)</f>
        <v>21.616018984580098</v>
      </c>
      <c r="M48" s="1023">
        <f t="array" ref="M48">IF(CO48=0,"---",(GEOMEAN($AH48:CO48/100+1)^12-1)*100)</f>
        <v>18.721081751631164</v>
      </c>
      <c r="N48" s="1023">
        <f t="array" ref="N48">IF(DM48=0,"---",(GEOMEAN($AH48:DM48/100+1)^12-1)*100)</f>
        <v>8.3541086143364751</v>
      </c>
      <c r="O48" s="1023">
        <f t="array" ref="O48">IF(EK48=0,"---",(GEOMEAN($AH48:EK48/100+1)^12-1)*100)</f>
        <v>8.8588607435937874</v>
      </c>
      <c r="P48" s="1023">
        <f t="array" ref="P48">IF(EW48=0,"---",(GEOMEAN($AH48:EW48/100+1)^12-1)*100)</f>
        <v>10.505589791928349</v>
      </c>
      <c r="Q48" s="1238" t="s">
        <v>34</v>
      </c>
      <c r="R48" s="1218"/>
      <c r="S48" s="1218"/>
      <c r="T48" s="1218"/>
      <c r="U48" s="1218"/>
      <c r="V48" s="1218"/>
      <c r="W48" s="1218"/>
      <c r="X48" s="1218"/>
      <c r="Y48" s="1218"/>
      <c r="Z48" s="1218"/>
      <c r="AA48" s="1218"/>
      <c r="AB48" s="1218"/>
      <c r="AC48" s="1222"/>
      <c r="AD48" s="1233"/>
      <c r="AF48" s="1027"/>
      <c r="AG48" s="1024"/>
      <c r="AH48" s="1025">
        <f t="shared" ref="AH48:BM48" si="33">VLOOKUP(AH$8,Index,11,FALSE)</f>
        <v>4.2949799999999998</v>
      </c>
      <c r="AI48" s="1025">
        <f t="shared" si="33"/>
        <v>-5.4946599999999997</v>
      </c>
      <c r="AJ48" s="1025">
        <f t="shared" si="33"/>
        <v>4.7147199999999998</v>
      </c>
      <c r="AK48" s="1025">
        <f t="shared" si="33"/>
        <v>0.26993</v>
      </c>
      <c r="AL48" s="1025">
        <f t="shared" si="33"/>
        <v>-2.7910499999999998</v>
      </c>
      <c r="AM48" s="1025">
        <f t="shared" si="33"/>
        <v>0.69799999999999995</v>
      </c>
      <c r="AN48" s="1025">
        <f t="shared" si="33"/>
        <v>4.45669</v>
      </c>
      <c r="AO48" s="1025">
        <f t="shared" si="33"/>
        <v>-3.8568600000000002</v>
      </c>
      <c r="AP48" s="1025">
        <f t="shared" si="33"/>
        <v>1.4473199999999999</v>
      </c>
      <c r="AQ48" s="1025">
        <f t="shared" si="33"/>
        <v>4.4956500000000004</v>
      </c>
      <c r="AR48" s="1025">
        <f t="shared" si="33"/>
        <v>3.6075499999999998</v>
      </c>
      <c r="AS48" s="1025">
        <f t="shared" si="33"/>
        <v>6.22661</v>
      </c>
      <c r="AT48" s="1025">
        <f t="shared" si="33"/>
        <v>-2.4362300000000001</v>
      </c>
      <c r="AU48" s="1025">
        <f t="shared" si="33"/>
        <v>6.8446300000000004</v>
      </c>
      <c r="AV48" s="1025">
        <f t="shared" si="33"/>
        <v>-0.1459</v>
      </c>
      <c r="AW48" s="1025">
        <f t="shared" si="33"/>
        <v>4.3477100000000002</v>
      </c>
      <c r="AX48" s="1025">
        <f t="shared" si="33"/>
        <v>-0.26584000000000002</v>
      </c>
      <c r="AY48" s="1025">
        <f t="shared" si="33"/>
        <v>4.23576</v>
      </c>
      <c r="AZ48" s="1025">
        <f t="shared" si="33"/>
        <v>1.40761</v>
      </c>
      <c r="BA48" s="1025">
        <f t="shared" si="33"/>
        <v>5.7785599999999997</v>
      </c>
      <c r="BB48" s="1025">
        <f t="shared" si="33"/>
        <v>3.3035100000000002</v>
      </c>
      <c r="BC48" s="1025">
        <f t="shared" si="33"/>
        <v>0.99819000000000002</v>
      </c>
      <c r="BD48" s="1025">
        <f t="shared" si="33"/>
        <v>-2.0301999999999998</v>
      </c>
      <c r="BE48" s="1025">
        <f t="shared" si="33"/>
        <v>2.33236</v>
      </c>
      <c r="BF48" s="1025">
        <f t="shared" si="33"/>
        <v>3.7887900000000001</v>
      </c>
      <c r="BG48" s="1025">
        <f t="shared" si="33"/>
        <v>-0.76624000000000003</v>
      </c>
      <c r="BH48" s="1025">
        <f t="shared" si="33"/>
        <v>4.1836000000000002</v>
      </c>
      <c r="BI48" s="1025">
        <f t="shared" si="33"/>
        <v>-6.2704399999999998</v>
      </c>
      <c r="BJ48" s="1025">
        <f t="shared" si="33"/>
        <v>-1.2618799999999999</v>
      </c>
      <c r="BK48" s="1025">
        <f t="shared" si="33"/>
        <v>2.89899</v>
      </c>
      <c r="BL48" s="1025">
        <f t="shared" si="33"/>
        <v>2.1151800000000001</v>
      </c>
      <c r="BM48" s="1025">
        <f t="shared" si="33"/>
        <v>6.5766799999999996</v>
      </c>
      <c r="BN48" s="1025">
        <f t="shared" ref="BN48:CS48" si="34">VLOOKUP(BN$8,Index,11,FALSE)</f>
        <v>1.25397</v>
      </c>
      <c r="BO48" s="1025">
        <f t="shared" si="34"/>
        <v>0.63093999999999995</v>
      </c>
      <c r="BP48" s="1025">
        <f t="shared" si="34"/>
        <v>14.995850000000001</v>
      </c>
      <c r="BQ48" s="1025">
        <f t="shared" si="34"/>
        <v>-10.28908</v>
      </c>
      <c r="BR48" s="1025">
        <f t="shared" si="34"/>
        <v>-7.6731199999999999</v>
      </c>
      <c r="BS48" s="1025">
        <f t="shared" si="34"/>
        <v>-3.2085400000000002</v>
      </c>
      <c r="BT48" s="1025">
        <f t="shared" si="34"/>
        <v>-1.8086800000000001</v>
      </c>
      <c r="BU48" s="1025">
        <f t="shared" si="34"/>
        <v>-0.90081999999999995</v>
      </c>
      <c r="BV48" s="1025">
        <f t="shared" si="34"/>
        <v>2.6000200000000002</v>
      </c>
      <c r="BW48" s="1025">
        <f t="shared" si="34"/>
        <v>3.0086200000000001</v>
      </c>
      <c r="BX48" s="1025">
        <f t="shared" si="34"/>
        <v>4.4066599999999996</v>
      </c>
      <c r="BY48" s="1025">
        <f t="shared" si="34"/>
        <v>0.15126999999999999</v>
      </c>
      <c r="BZ48" s="1025">
        <f t="shared" si="34"/>
        <v>7.6608200000000002</v>
      </c>
      <c r="CA48" s="1025">
        <f t="shared" si="34"/>
        <v>3.56467</v>
      </c>
      <c r="CB48" s="1025">
        <f t="shared" si="34"/>
        <v>4.2533000000000003</v>
      </c>
      <c r="CC48" s="1025">
        <f t="shared" si="34"/>
        <v>11.40082</v>
      </c>
      <c r="CD48" s="1025">
        <f t="shared" si="34"/>
        <v>-7.4658300000000004</v>
      </c>
      <c r="CE48" s="1025">
        <f t="shared" si="34"/>
        <v>6.3426299999999998</v>
      </c>
      <c r="CF48" s="1025">
        <f t="shared" si="34"/>
        <v>-7.06609</v>
      </c>
      <c r="CG48" s="1025">
        <f t="shared" si="34"/>
        <v>-7.2206599999999996</v>
      </c>
      <c r="CH48" s="1025">
        <f t="shared" si="34"/>
        <v>5.84809</v>
      </c>
      <c r="CI48" s="1025">
        <f t="shared" si="34"/>
        <v>7.7815899999999996</v>
      </c>
      <c r="CJ48" s="1025">
        <f t="shared" si="34"/>
        <v>4.2971700000000004</v>
      </c>
      <c r="CK48" s="1025">
        <f t="shared" si="34"/>
        <v>-3.38489</v>
      </c>
      <c r="CL48" s="1025">
        <f t="shared" si="34"/>
        <v>8.6332100000000001</v>
      </c>
      <c r="CM48" s="1025">
        <f t="shared" si="34"/>
        <v>2.6070000000000002</v>
      </c>
      <c r="CN48" s="1025">
        <f t="shared" si="34"/>
        <v>-5.69</v>
      </c>
      <c r="CO48" s="1025">
        <f t="shared" si="34"/>
        <v>5.1474000000000002</v>
      </c>
      <c r="CP48" s="1025">
        <f t="shared" si="34"/>
        <v>2.2881999999999998</v>
      </c>
      <c r="CQ48" s="1025">
        <f t="shared" si="34"/>
        <v>10.3254</v>
      </c>
      <c r="CR48" s="1025">
        <f t="shared" si="34"/>
        <v>1.4349000000000001</v>
      </c>
      <c r="CS48" s="1025">
        <f t="shared" si="34"/>
        <v>1.6115999999999999</v>
      </c>
      <c r="CT48" s="1025">
        <f t="shared" ref="CT48:DY48" si="35">VLOOKUP(CT$8,Index,11,FALSE)</f>
        <v>17.456700000000001</v>
      </c>
      <c r="CU48" s="1025">
        <f t="shared" si="35"/>
        <v>8.2143999999999995</v>
      </c>
      <c r="CV48" s="1025">
        <f t="shared" si="35"/>
        <v>-11.974299999999999</v>
      </c>
      <c r="CW48" s="1025">
        <f t="shared" si="35"/>
        <v>-12.7004</v>
      </c>
      <c r="CX48" s="1025">
        <f t="shared" si="35"/>
        <v>6.1009000000000002</v>
      </c>
      <c r="CY48" s="1025">
        <f t="shared" si="35"/>
        <v>-11.683400000000001</v>
      </c>
      <c r="CZ48" s="1025">
        <f t="shared" si="35"/>
        <v>-20.147200000000002</v>
      </c>
      <c r="DA48" s="1025">
        <f t="shared" si="35"/>
        <v>-6.7549999999999999</v>
      </c>
      <c r="DB48" s="1025">
        <f t="shared" si="35"/>
        <v>4.1769999999999996</v>
      </c>
      <c r="DC48" s="1025">
        <f t="shared" si="35"/>
        <v>2.0642999999999998</v>
      </c>
      <c r="DD48" s="1025">
        <f t="shared" si="35"/>
        <v>-7.5548000000000002</v>
      </c>
      <c r="DE48" s="1025">
        <f t="shared" si="35"/>
        <v>4.4172000000000002</v>
      </c>
      <c r="DF48" s="1025">
        <f t="shared" si="35"/>
        <v>4.0133999999999999</v>
      </c>
      <c r="DG48" s="1025">
        <f t="shared" si="35"/>
        <v>0.3871</v>
      </c>
      <c r="DH48" s="1025">
        <f t="shared" si="35"/>
        <v>-3.0796000000000001</v>
      </c>
      <c r="DI48" s="1025">
        <f t="shared" si="35"/>
        <v>-4.8906000000000001</v>
      </c>
      <c r="DJ48" s="1025">
        <f t="shared" si="35"/>
        <v>-0.79400000000000004</v>
      </c>
      <c r="DK48" s="1025">
        <f t="shared" si="35"/>
        <v>-7.4217000000000004</v>
      </c>
      <c r="DL48" s="1025">
        <f t="shared" si="35"/>
        <v>1.8603000000000001</v>
      </c>
      <c r="DM48" s="1025">
        <f t="shared" si="35"/>
        <v>1.4903999999999999</v>
      </c>
      <c r="DN48" s="1025">
        <f t="shared" si="35"/>
        <v>1.8743000000000001</v>
      </c>
      <c r="DO48" s="1025">
        <f t="shared" si="35"/>
        <v>-5.0464000000000002</v>
      </c>
      <c r="DP48" s="1025">
        <f t="shared" si="35"/>
        <v>-1.6375999999999999</v>
      </c>
      <c r="DQ48" s="1025">
        <f t="shared" si="35"/>
        <v>4.6033999999999997</v>
      </c>
      <c r="DR48" s="1025">
        <f t="shared" si="35"/>
        <v>2.2290999999999999</v>
      </c>
      <c r="DS48" s="1025">
        <f t="shared" si="35"/>
        <v>1.6766000000000001</v>
      </c>
      <c r="DT48" s="1025">
        <f t="shared" si="35"/>
        <v>-0.54279999999999995</v>
      </c>
      <c r="DU48" s="1025">
        <f t="shared" si="35"/>
        <v>2.0588000000000002</v>
      </c>
      <c r="DV48" s="1025">
        <f t="shared" si="35"/>
        <v>-1.49E-2</v>
      </c>
      <c r="DW48" s="1025">
        <f t="shared" si="35"/>
        <v>2.7698999999999998</v>
      </c>
      <c r="DX48" s="1025">
        <f t="shared" si="35"/>
        <v>4.9513999999999996</v>
      </c>
      <c r="DY48" s="1025">
        <f t="shared" si="35"/>
        <v>0.90910000000000002</v>
      </c>
      <c r="DZ48" s="1025">
        <f t="shared" ref="DZ48:EW48" si="36">VLOOKUP(DZ$8,Index,11,FALSE)</f>
        <v>1.7221</v>
      </c>
      <c r="EA48" s="1025">
        <f t="shared" si="36"/>
        <v>-3.4357000000000002</v>
      </c>
      <c r="EB48" s="1025">
        <f t="shared" si="36"/>
        <v>1.8800000000000001E-2</v>
      </c>
      <c r="EC48" s="1025">
        <f t="shared" si="36"/>
        <v>-4.5666000000000002</v>
      </c>
      <c r="ED48" s="1025">
        <f t="shared" si="36"/>
        <v>-9.1999999999999998E-3</v>
      </c>
      <c r="EE48" s="1025">
        <f t="shared" si="36"/>
        <v>4.9065000000000003</v>
      </c>
      <c r="EF48" s="1025">
        <f t="shared" si="36"/>
        <v>-0.749</v>
      </c>
      <c r="EG48" s="1025">
        <f t="shared" si="36"/>
        <v>8.3716000000000008</v>
      </c>
      <c r="EH48" s="1025">
        <f t="shared" si="36"/>
        <v>-0.92079999999999995</v>
      </c>
      <c r="EI48" s="1025">
        <f t="shared" si="36"/>
        <v>4.5922000000000001</v>
      </c>
      <c r="EJ48" s="1025">
        <f t="shared" si="36"/>
        <v>-3.13</v>
      </c>
      <c r="EK48" s="1025">
        <f t="shared" si="36"/>
        <v>0.88009999999999999</v>
      </c>
      <c r="EL48" s="1025">
        <f t="shared" si="36"/>
        <v>-1.4742999999999999</v>
      </c>
      <c r="EM48" s="1025">
        <f t="shared" si="36"/>
        <v>6.0201000000000002</v>
      </c>
      <c r="EN48" s="1025">
        <f t="shared" si="36"/>
        <v>3.2513999999999998</v>
      </c>
      <c r="EO48" s="1025">
        <f t="shared" si="36"/>
        <v>6.6231</v>
      </c>
      <c r="EP48" s="1025">
        <f t="shared" si="36"/>
        <v>-5.5853000000000002</v>
      </c>
      <c r="EQ48" s="1025">
        <f t="shared" si="36"/>
        <v>-2.5889000000000002</v>
      </c>
      <c r="ER48" s="1025">
        <f t="shared" si="36"/>
        <v>2.8666</v>
      </c>
      <c r="ES48" s="1025">
        <f t="shared" si="36"/>
        <v>-2.2639999999999998</v>
      </c>
      <c r="ET48" s="1025">
        <f t="shared" si="36"/>
        <v>2.2000000000000002</v>
      </c>
      <c r="EU48" s="1025">
        <f t="shared" si="36"/>
        <v>8.5455000000000005</v>
      </c>
      <c r="EV48" s="1025">
        <f t="shared" si="36"/>
        <v>1.8653</v>
      </c>
      <c r="EW48" s="1025">
        <f t="shared" si="36"/>
        <v>5.2731000000000003</v>
      </c>
      <c r="EX48" s="1230"/>
      <c r="EY48" s="1230"/>
      <c r="EZ48" s="789" t="e">
        <f>VLOOKUP($EY48,'NEPC data'!$B35:$M222,5,TRUE)*100</f>
        <v>#N/A</v>
      </c>
      <c r="FA48" s="789" t="e">
        <f>VLOOKUP($EY48,'NEPC data'!$B35:$M222,7,TRUE)*100</f>
        <v>#N/A</v>
      </c>
      <c r="FB48" s="789" t="e">
        <f>VLOOKUP($EY48,'NEPC data'!$B35:$M222,9,TRUE)*100</f>
        <v>#N/A</v>
      </c>
      <c r="FC48" s="789" t="e">
        <f>VLOOKUP($EY48,'NEPC data'!$B35:$M222,10,TRUE)*100</f>
        <v>#N/A</v>
      </c>
      <c r="FD48" s="789" t="e">
        <f>VLOOKUP($EY48,'NEPC data'!$B35:$M222,11,TRUE)*100</f>
        <v>#N/A</v>
      </c>
      <c r="FE48" s="1024"/>
      <c r="FF48" s="1026"/>
      <c r="FG48" s="1026"/>
      <c r="FH48" s="1026"/>
      <c r="FI48" s="1026"/>
      <c r="FJ48" s="1026"/>
      <c r="FK48" s="1024"/>
      <c r="FL48" s="1027"/>
      <c r="FM48" s="1027"/>
    </row>
    <row r="49" spans="1:169" s="395" customFormat="1" ht="12.75" customHeight="1" x14ac:dyDescent="0.2">
      <c r="A49" s="456"/>
      <c r="B49" s="418"/>
      <c r="C49" s="414"/>
      <c r="D49" s="249"/>
      <c r="E49" s="457"/>
      <c r="F49" s="431"/>
      <c r="G49" s="432"/>
      <c r="H49" s="432"/>
      <c r="I49" s="432"/>
      <c r="J49" s="432"/>
      <c r="K49" s="432"/>
      <c r="L49" s="432"/>
      <c r="M49" s="432"/>
      <c r="N49" s="432"/>
      <c r="O49" s="432"/>
      <c r="P49" s="432"/>
      <c r="Q49" s="458"/>
      <c r="R49" s="249"/>
      <c r="S49" s="249"/>
      <c r="T49" s="249"/>
      <c r="U49" s="249"/>
      <c r="V49" s="249"/>
      <c r="W49" s="249"/>
      <c r="X49" s="249"/>
      <c r="Y49" s="249"/>
      <c r="Z49" s="249"/>
      <c r="AA49" s="249"/>
      <c r="AB49" s="249"/>
      <c r="AC49" s="459"/>
      <c r="AD49" s="463"/>
      <c r="AE49" s="15"/>
      <c r="AF49" s="442"/>
      <c r="AG49" s="382"/>
      <c r="AH49" s="439"/>
      <c r="AI49" s="439"/>
      <c r="AJ49" s="439"/>
      <c r="AK49" s="439"/>
      <c r="AL49" s="439"/>
      <c r="AM49" s="439"/>
      <c r="AN49" s="439"/>
      <c r="AO49" s="439"/>
      <c r="AP49" s="439"/>
      <c r="AQ49" s="439"/>
      <c r="AR49" s="439"/>
      <c r="AS49" s="439"/>
      <c r="AT49" s="439"/>
      <c r="AU49" s="439"/>
      <c r="AV49" s="439"/>
      <c r="AW49" s="439"/>
      <c r="AX49" s="439"/>
      <c r="AY49" s="439"/>
      <c r="AZ49" s="439"/>
      <c r="BA49" s="439"/>
      <c r="BB49" s="439"/>
      <c r="BC49" s="439"/>
      <c r="BD49" s="439"/>
      <c r="BE49" s="439"/>
      <c r="BF49" s="439"/>
      <c r="BG49" s="439"/>
      <c r="BH49" s="439"/>
      <c r="BI49" s="439"/>
      <c r="BJ49" s="439"/>
      <c r="BK49" s="439"/>
      <c r="BL49" s="439"/>
      <c r="BM49" s="439"/>
      <c r="BN49" s="439"/>
      <c r="BO49" s="439"/>
      <c r="BP49" s="439"/>
      <c r="BQ49" s="439"/>
      <c r="BR49" s="439"/>
      <c r="BS49" s="439"/>
      <c r="BT49" s="439"/>
      <c r="BU49" s="439"/>
      <c r="BV49" s="439"/>
      <c r="BW49" s="439"/>
      <c r="BX49" s="439"/>
      <c r="BY49" s="439"/>
      <c r="BZ49" s="439"/>
      <c r="CA49" s="439"/>
      <c r="CB49" s="439"/>
      <c r="CC49" s="439"/>
      <c r="CD49" s="439"/>
      <c r="CE49" s="439"/>
      <c r="CF49" s="439"/>
      <c r="CG49" s="439"/>
      <c r="CH49" s="439"/>
      <c r="CI49" s="439"/>
      <c r="CJ49" s="439"/>
      <c r="CK49" s="439"/>
      <c r="CL49" s="439"/>
      <c r="CM49" s="439"/>
      <c r="CN49" s="439"/>
      <c r="CO49" s="439"/>
      <c r="CP49" s="439"/>
      <c r="CQ49" s="439"/>
      <c r="CR49" s="439"/>
      <c r="CS49" s="439"/>
      <c r="CT49" s="439"/>
      <c r="CU49" s="439"/>
      <c r="CV49" s="439"/>
      <c r="CW49" s="439"/>
      <c r="CX49" s="439"/>
      <c r="CY49" s="439"/>
      <c r="CZ49" s="439"/>
      <c r="DA49" s="439"/>
      <c r="DB49" s="439"/>
      <c r="DC49" s="439"/>
      <c r="DD49" s="439"/>
      <c r="DE49" s="439"/>
      <c r="DF49" s="439"/>
      <c r="DG49" s="439"/>
      <c r="DH49" s="439"/>
      <c r="DI49" s="439"/>
      <c r="DJ49" s="439"/>
      <c r="DK49" s="439"/>
      <c r="DL49" s="439"/>
      <c r="DM49" s="439"/>
      <c r="DN49" s="439"/>
      <c r="DO49" s="439"/>
      <c r="DP49" s="439"/>
      <c r="DQ49" s="439"/>
      <c r="DR49" s="439"/>
      <c r="DS49" s="439"/>
      <c r="DT49" s="439"/>
      <c r="DU49" s="439"/>
      <c r="DV49" s="439"/>
      <c r="DW49" s="439"/>
      <c r="DX49" s="439"/>
      <c r="DY49" s="439"/>
      <c r="DZ49" s="439"/>
      <c r="EA49" s="439"/>
      <c r="EB49" s="439"/>
      <c r="EC49" s="439"/>
      <c r="ED49" s="439"/>
      <c r="EE49" s="439"/>
      <c r="EF49" s="439"/>
      <c r="EG49" s="439"/>
      <c r="EH49" s="439"/>
      <c r="EI49" s="439"/>
      <c r="EJ49" s="439"/>
      <c r="EK49" s="439"/>
      <c r="EL49" s="439"/>
      <c r="EM49" s="439"/>
      <c r="EN49" s="439"/>
      <c r="EO49" s="439"/>
      <c r="EP49" s="439"/>
      <c r="EQ49" s="439"/>
      <c r="ER49" s="439"/>
      <c r="ES49" s="439"/>
      <c r="ET49" s="439"/>
      <c r="EU49" s="439"/>
      <c r="EV49" s="439"/>
      <c r="EW49" s="439"/>
      <c r="EX49" s="393"/>
      <c r="EY49" s="393"/>
      <c r="EZ49" s="789" t="e">
        <f>VLOOKUP($EY49,'NEPC data'!$B36:$M223,5,TRUE)*100</f>
        <v>#N/A</v>
      </c>
      <c r="FA49" s="789" t="e">
        <f>VLOOKUP($EY49,'NEPC data'!$B36:$M223,7,TRUE)*100</f>
        <v>#N/A</v>
      </c>
      <c r="FB49" s="789" t="e">
        <f>VLOOKUP($EY49,'NEPC data'!$B36:$M223,9,TRUE)*100</f>
        <v>#N/A</v>
      </c>
      <c r="FC49" s="789" t="e">
        <f>VLOOKUP($EY49,'NEPC data'!$B36:$M223,10,TRUE)*100</f>
        <v>#N/A</v>
      </c>
      <c r="FD49" s="789" t="e">
        <f>VLOOKUP($EY49,'NEPC data'!$B36:$M223,11,TRUE)*100</f>
        <v>#N/A</v>
      </c>
      <c r="FE49" s="382"/>
      <c r="FF49" s="441"/>
      <c r="FG49" s="441"/>
      <c r="FH49" s="441"/>
      <c r="FI49" s="441"/>
      <c r="FJ49" s="441"/>
      <c r="FK49" s="382"/>
      <c r="FL49" s="442"/>
      <c r="FM49" s="442"/>
    </row>
    <row r="50" spans="1:169" s="1258" customFormat="1" ht="12.75" customHeight="1" x14ac:dyDescent="0.2">
      <c r="A50" s="445" t="s">
        <v>153</v>
      </c>
      <c r="B50" s="621" t="s">
        <v>319</v>
      </c>
      <c r="C50" s="446">
        <v>38442</v>
      </c>
      <c r="D50" s="462">
        <f>TS!D1</f>
        <v>81.585147729279058</v>
      </c>
      <c r="E50" s="448">
        <f>VLOOKUP(AH$8,TS!A1:E488,3,FALSE)/1000000</f>
        <v>454.21634002999997</v>
      </c>
      <c r="F50" s="449">
        <f>AH50</f>
        <v>4.5629999999999997</v>
      </c>
      <c r="G50" s="450">
        <f t="array" ref="G50">IF($AJ50=0,"---",(PRODUCT($AH50:AJ50/100+1)-1)*100)</f>
        <v>4.6789718746339082</v>
      </c>
      <c r="H50" s="450">
        <f t="array" ref="H50">IF($AS50=0,"---",(PRODUCT(AH50:AN50/100+1)-1)*100)</f>
        <v>5.0040809194612734</v>
      </c>
      <c r="I50" s="450">
        <f t="array" ref="I50">IF(AS50=0,"---",(GEOMEAN($AH50:AS50/100+1)^12-1)*100)</f>
        <v>18.316464106511219</v>
      </c>
      <c r="J50" s="450">
        <f t="array" ref="J50">IF(BE50=0,"---",(GEOMEAN($AH50:BE50/100+1)^12-1)*100)</f>
        <v>23.155629977561908</v>
      </c>
      <c r="K50" s="450">
        <f t="array" ref="K50">IF(BQ50=0,"---",(GEOMEAN($AH50:BQ50/100+1)^12-1)*100)</f>
        <v>22.695101806562114</v>
      </c>
      <c r="L50" s="450">
        <f t="array" ref="L50">IF(CC50=0,"---",(GEOMEAN($AH50:CC50/100+1)^12-1)*100)</f>
        <v>22.576614618458347</v>
      </c>
      <c r="M50" s="450">
        <f t="array" ref="M50">IF(CO50=0,"---",(GEOMEAN($AH50:CO50/100+1)^12-1)*100)</f>
        <v>20.133042951281176</v>
      </c>
      <c r="N50" s="450">
        <f t="array" ref="N50">IF(DM50=0,"---",(GEOMEAN($AH50:DM50/100+1)^12-1)*100)</f>
        <v>11.61319303644126</v>
      </c>
      <c r="O50" s="450">
        <f t="array" ref="O50">IF(EK50=0,"---",(GEOMEAN($AH50:EK50/100+1)^12-1)*100)</f>
        <v>12.066103547246509</v>
      </c>
      <c r="P50" s="450" t="str">
        <f t="array" ref="P50">IF(EW50=0,"---",(GEOMEAN($AH50:EW50/100+1)^12-1)*100)</f>
        <v>---</v>
      </c>
      <c r="Q50" s="451">
        <f t="array" ref="Q50">(GEOMEAN(TS!B360:B471/100+1)^12-1)*100</f>
        <v>12.281054530218306</v>
      </c>
      <c r="R50" s="452">
        <f t="shared" ref="R50:AB50" si="37">IF(F50="---","---",(F50-F$51)*100)</f>
        <v>-93.184999999999988</v>
      </c>
      <c r="S50" s="452">
        <f t="shared" si="37"/>
        <v>-78.617647222460903</v>
      </c>
      <c r="T50" s="452">
        <f t="shared" si="37"/>
        <v>-116.45951720005377</v>
      </c>
      <c r="U50" s="452">
        <f t="shared" si="37"/>
        <v>-192.94215339929153</v>
      </c>
      <c r="V50" s="452">
        <f t="shared" si="37"/>
        <v>-36.558357550453735</v>
      </c>
      <c r="W50" s="452">
        <f t="shared" si="37"/>
        <v>285.39335365151538</v>
      </c>
      <c r="X50" s="452">
        <f t="shared" si="37"/>
        <v>78.983928037743567</v>
      </c>
      <c r="Y50" s="452">
        <f t="shared" si="37"/>
        <v>72.646340270803123</v>
      </c>
      <c r="Z50" s="452">
        <f t="shared" si="37"/>
        <v>275.36317575758568</v>
      </c>
      <c r="AA50" s="452">
        <f t="shared" si="37"/>
        <v>245.48755173380277</v>
      </c>
      <c r="AB50" s="452" t="str">
        <f t="shared" si="37"/>
        <v>---</v>
      </c>
      <c r="AC50" s="453">
        <f>(Q50-AF50)*100</f>
        <v>264.38911806870635</v>
      </c>
      <c r="AD50" s="478">
        <v>215</v>
      </c>
      <c r="AE50" s="1254"/>
      <c r="AF50" s="1391">
        <f t="array" ref="AF50">(GEOMEAN(Index_Returns!Q360:Q471/100+1)^12-1)*100</f>
        <v>9.6371633495312423</v>
      </c>
      <c r="AG50" s="1257" t="str">
        <f>IF(I50="---","&lt; 1 Year","---")</f>
        <v>---</v>
      </c>
      <c r="AH50" s="1256">
        <f>VLOOKUP(AH$8,TS!$A$1:$E$488,2,FALSE)</f>
        <v>4.5629999999999997</v>
      </c>
      <c r="AI50" s="1256">
        <f>VLOOKUP(AI$8,TS!$A$1:$E$488,2,FALSE)</f>
        <v>-3.9669500000000002</v>
      </c>
      <c r="AJ50" s="1256">
        <f>VLOOKUP(AJ$8,TS!$A$1:$E$488,2,FALSE)</f>
        <v>4.2463100000000003</v>
      </c>
      <c r="AK50" s="1256">
        <f>VLOOKUP(AK$8,TS!$A$1:$E$488,2,FALSE)</f>
        <v>0.59928000000000003</v>
      </c>
      <c r="AL50" s="1256">
        <f>VLOOKUP(AL$8,TS!$A$1:$E$488,2,FALSE)</f>
        <v>-2.9431699999999998</v>
      </c>
      <c r="AM50" s="1256">
        <f>VLOOKUP(AM$8,TS!$A$1:$E$488,2,FALSE)</f>
        <v>-1.7993600000000001</v>
      </c>
      <c r="AN50" s="1256">
        <f>VLOOKUP(AN$8,TS!$A$1:$E$488,2,FALSE)</f>
        <v>4.6192099999999998</v>
      </c>
      <c r="AO50" s="1256">
        <f>VLOOKUP(AO$8,TS!$A$1:$E$488,2,FALSE)</f>
        <v>-3.9904700000000002</v>
      </c>
      <c r="AP50" s="1256">
        <f>VLOOKUP(AP$8,TS!$A$1:$E$488,2,FALSE)</f>
        <v>3.8674599999999999</v>
      </c>
      <c r="AQ50" s="1256">
        <f>VLOOKUP(AQ$8,TS!$A$1:$E$488,2,FALSE)</f>
        <v>2.9574099999999999</v>
      </c>
      <c r="AR50" s="1256">
        <f>VLOOKUP(AR$8,TS!$A$1:$E$488,2,FALSE)</f>
        <v>3.63151</v>
      </c>
      <c r="AS50" s="1256">
        <f>VLOOKUP(AS$8,TS!$A$1:$E$488,2,FALSE)</f>
        <v>5.89994</v>
      </c>
      <c r="AT50" s="1256">
        <f>VLOOKUP(AT$8,TS!$A$1:$E$488,2,FALSE)</f>
        <v>-1.9483200000000001</v>
      </c>
      <c r="AU50" s="1256">
        <f>VLOOKUP(AU$8,TS!$A$1:$E$488,2,FALSE)</f>
        <v>6.6298000000000004</v>
      </c>
      <c r="AV50" s="1256">
        <f>VLOOKUP(AV$8,TS!$A$1:$E$488,2,FALSE)</f>
        <v>-0.73834</v>
      </c>
      <c r="AW50" s="1256">
        <f>VLOOKUP(AW$8,TS!$A$1:$E$488,2,FALSE)</f>
        <v>3.75556</v>
      </c>
      <c r="AX50" s="1256">
        <f>VLOOKUP(AX$8,TS!$A$1:$E$488,2,FALSE)</f>
        <v>-1.23688</v>
      </c>
      <c r="AY50" s="1256">
        <f>VLOOKUP(AY$8,TS!$A$1:$E$488,2,FALSE)</f>
        <v>3.8278500000000002</v>
      </c>
      <c r="AZ50" s="1256">
        <f>VLOOKUP(AZ$8,TS!$A$1:$E$488,2,FALSE)</f>
        <v>2.6080700000000001</v>
      </c>
      <c r="BA50" s="1256">
        <f>VLOOKUP(BA$8,TS!$A$1:$E$488,2,FALSE)</f>
        <v>6.3373499999999998</v>
      </c>
      <c r="BB50" s="1256">
        <f>VLOOKUP(BB$8,TS!$A$1:$E$488,2,FALSE)</f>
        <v>1.6166100000000001</v>
      </c>
      <c r="BC50" s="1256">
        <f>VLOOKUP(BC$8,TS!$A$1:$E$488,2,FALSE)</f>
        <v>2.2126800000000002</v>
      </c>
      <c r="BD50" s="1256">
        <f>VLOOKUP(BD$8,TS!$A$1:$E$488,2,FALSE)</f>
        <v>-0.34311000000000003</v>
      </c>
      <c r="BE50" s="1256">
        <f>VLOOKUP(BE$8,TS!$A$1:$E$488,2,FALSE)</f>
        <v>2.7978399999999999</v>
      </c>
      <c r="BF50" s="1256">
        <f>VLOOKUP(BF$8,TS!$A$1:$E$488,2,FALSE)</f>
        <v>3.84368</v>
      </c>
      <c r="BG50" s="1256">
        <f>VLOOKUP(BG$8,TS!$A$1:$E$488,2,FALSE)</f>
        <v>-0.53208</v>
      </c>
      <c r="BH50" s="1256">
        <f>VLOOKUP(BH$8,TS!$A$1:$E$488,2,FALSE)</f>
        <v>3.3852099999999998</v>
      </c>
      <c r="BI50" s="1256">
        <f>VLOOKUP(BI$8,TS!$A$1:$E$488,2,FALSE)</f>
        <v>-6.8471399999999996</v>
      </c>
      <c r="BJ50" s="1256">
        <f>VLOOKUP(BJ$8,TS!$A$1:$E$488,2,FALSE)</f>
        <v>1.2144999999999999</v>
      </c>
      <c r="BK50" s="1256">
        <f>VLOOKUP(BK$8,TS!$A$1:$E$488,2,FALSE)</f>
        <v>1.65381</v>
      </c>
      <c r="BL50" s="1256">
        <f>VLOOKUP(BL$8,TS!$A$1:$E$488,2,FALSE)</f>
        <v>5.3246900000000004</v>
      </c>
      <c r="BM50" s="1256">
        <f>VLOOKUP(BM$8,TS!$A$1:$E$488,2,FALSE)</f>
        <v>5.9729900000000002</v>
      </c>
      <c r="BN50" s="1256">
        <f>VLOOKUP(BN$8,TS!$A$1:$E$488,2,FALSE)</f>
        <v>-0.16445000000000001</v>
      </c>
      <c r="BO50" s="1256">
        <f>VLOOKUP(BO$8,TS!$A$1:$E$488,2,FALSE)</f>
        <v>1.16919</v>
      </c>
      <c r="BP50" s="1256">
        <f>VLOOKUP(BP$8,TS!$A$1:$E$488,2,FALSE)</f>
        <v>16.302700000000002</v>
      </c>
      <c r="BQ50" s="1256">
        <f>VLOOKUP(BQ$8,TS!$A$1:$E$488,2,FALSE)</f>
        <v>-9.2513100000000001</v>
      </c>
      <c r="BR50" s="1256">
        <f>VLOOKUP(BR$8,TS!$A$1:$E$488,2,FALSE)</f>
        <v>-7.6717000000000004</v>
      </c>
      <c r="BS50" s="1256">
        <f>VLOOKUP(BS$8,TS!$A$1:$E$488,2,FALSE)</f>
        <v>-4.0922999999999998</v>
      </c>
      <c r="BT50" s="1256">
        <f>VLOOKUP(BT$8,TS!$A$1:$E$488,2,FALSE)</f>
        <v>-2.0780500000000002</v>
      </c>
      <c r="BU50" s="1256">
        <f>VLOOKUP(BU$8,TS!$A$1:$E$488,2,FALSE)</f>
        <v>-1.15632</v>
      </c>
      <c r="BV50" s="1256">
        <f>VLOOKUP(BV$8,TS!$A$1:$E$488,2,FALSE)</f>
        <v>2.4433099999999999</v>
      </c>
      <c r="BW50" s="1256">
        <f>VLOOKUP(BW$8,TS!$A$1:$E$488,2,FALSE)</f>
        <v>2.7392599999999998</v>
      </c>
      <c r="BX50" s="1256">
        <f>VLOOKUP(BX$8,TS!$A$1:$E$488,2,FALSE)</f>
        <v>3.8527900000000002</v>
      </c>
      <c r="BY50" s="1256">
        <f>VLOOKUP(BY$8,TS!$A$1:$E$488,2,FALSE)</f>
        <v>2.3119700000000001</v>
      </c>
      <c r="BZ50" s="1256">
        <f>VLOOKUP(BZ$8,TS!$A$1:$E$488,2,FALSE)</f>
        <v>6.9784100000000002</v>
      </c>
      <c r="CA50" s="1256">
        <f>VLOOKUP(CA$8,TS!$A$1:$E$488,2,FALSE)</f>
        <v>2.47722</v>
      </c>
      <c r="CB50" s="1256">
        <f>VLOOKUP(CB$8,TS!$A$1:$E$488,2,FALSE)</f>
        <v>4.5573199999999998</v>
      </c>
      <c r="CC50" s="1256">
        <f>VLOOKUP(CC$8,TS!$A$1:$E$488,2,FALSE)</f>
        <v>11.247170000000001</v>
      </c>
      <c r="CD50" s="1256">
        <f>VLOOKUP(CD$8,TS!$A$1:$E$488,2,FALSE)</f>
        <v>-4.2742800000000001</v>
      </c>
      <c r="CE50" s="1256">
        <f>VLOOKUP(CE$8,TS!$A$1:$E$488,2,FALSE)</f>
        <v>5.0952500000000001</v>
      </c>
      <c r="CF50" s="1256">
        <f>VLOOKUP(CF$8,TS!$A$1:$E$488,2,FALSE)</f>
        <v>-5.28</v>
      </c>
      <c r="CG50" s="1256">
        <f>VLOOKUP(CG$8,TS!$A$1:$E$488,2,FALSE)</f>
        <v>-6.95</v>
      </c>
      <c r="CH50" s="1256">
        <f>VLOOKUP(CH$8,TS!$A$1:$E$488,2,FALSE)</f>
        <v>3.68</v>
      </c>
      <c r="CI50" s="1256">
        <f>VLOOKUP(CI$8,TS!$A$1:$E$488,2,FALSE)</f>
        <v>6.1</v>
      </c>
      <c r="CJ50" s="1256">
        <f>VLOOKUP(CJ$8,TS!$A$1:$E$488,2,FALSE)</f>
        <v>3.2</v>
      </c>
      <c r="CK50" s="1256">
        <f>VLOOKUP(CK$8,TS!$A$1:$E$488,2,FALSE)</f>
        <v>-3.71</v>
      </c>
      <c r="CL50" s="1256">
        <f>VLOOKUP(CL$8,TS!$A$1:$E$488,2,FALSE)</f>
        <v>6.89</v>
      </c>
      <c r="CM50" s="1256">
        <f>VLOOKUP(CM$8,TS!$A$1:$E$488,2,FALSE)</f>
        <v>4.87</v>
      </c>
      <c r="CN50" s="1256">
        <f>VLOOKUP(CN$8,TS!$A$1:$E$488,2,FALSE)</f>
        <v>-3.37</v>
      </c>
      <c r="CO50" s="1256">
        <f>VLOOKUP(CO$8,TS!$A$1:$E$488,2,FALSE)</f>
        <v>5.57</v>
      </c>
      <c r="CP50" s="1256">
        <f>VLOOKUP(CP$8,TS!$A$1:$E$488,2,FALSE)</f>
        <v>3.13</v>
      </c>
      <c r="CQ50" s="1256">
        <f>VLOOKUP(CQ$8,TS!$A$1:$E$488,2,FALSE)</f>
        <v>8.65</v>
      </c>
      <c r="CR50" s="1256">
        <f>VLOOKUP(CR$8,TS!$A$1:$E$488,2,FALSE)</f>
        <v>1.57</v>
      </c>
      <c r="CS50" s="1256">
        <f>VLOOKUP(CS$8,TS!$A$1:$E$488,2,FALSE)</f>
        <v>4.12</v>
      </c>
      <c r="CT50" s="1256">
        <f>VLOOKUP(CT$8,TS!$A$1:$E$488,2,FALSE)</f>
        <v>10.7</v>
      </c>
      <c r="CU50" s="1256">
        <f>VLOOKUP(CU$8,TS!$A$1:$E$488,2,FALSE)</f>
        <v>6.54</v>
      </c>
      <c r="CV50" s="1256">
        <f>VLOOKUP(CV$8,TS!$A$1:$E$488,2,FALSE)</f>
        <v>-6.97</v>
      </c>
      <c r="CW50" s="1256">
        <f>VLOOKUP(CW$8,TS!$A$1:$E$488,2,FALSE)</f>
        <v>-3.63</v>
      </c>
      <c r="CX50" s="1256">
        <f>VLOOKUP(CX$8,TS!$A$1:$E$488,2,FALSE)</f>
        <v>3.98</v>
      </c>
      <c r="CY50" s="1256">
        <f>VLOOKUP(CY$8,TS!$A$1:$E$488,2,FALSE)</f>
        <v>-8.77</v>
      </c>
      <c r="CZ50" s="1256">
        <f>VLOOKUP(CZ$8,TS!$A$1:$E$488,2,FALSE)</f>
        <v>-19.05</v>
      </c>
      <c r="DA50" s="1256">
        <f>VLOOKUP(DA$8,TS!$A$1:$E$488,2,FALSE)</f>
        <v>-10.7</v>
      </c>
      <c r="DB50" s="1256">
        <f>VLOOKUP(DB$8,TS!$A$1:$E$488,2,FALSE)</f>
        <v>2.58</v>
      </c>
      <c r="DC50" s="1256">
        <f>VLOOKUP(DC$8,TS!$A$1:$E$488,2,FALSE)</f>
        <v>-1.1299999999999999</v>
      </c>
      <c r="DD50" s="1256">
        <f>VLOOKUP(DD$8,TS!$A$1:$E$488,2,FALSE)</f>
        <v>-6.33</v>
      </c>
      <c r="DE50" s="1256">
        <f>VLOOKUP(DE$8,TS!$A$1:$E$488,2,FALSE)</f>
        <v>3.34</v>
      </c>
      <c r="DF50" s="1256">
        <f>VLOOKUP(DF$8,TS!$A$1:$E$488,2,FALSE)</f>
        <v>6.75</v>
      </c>
      <c r="DG50" s="1256">
        <f>VLOOKUP(DG$8,TS!$A$1:$E$488,2,FALSE)</f>
        <v>-1.85</v>
      </c>
      <c r="DH50" s="1256">
        <f>VLOOKUP(DH$8,TS!$A$1:$E$488,2,FALSE)</f>
        <v>-0.54</v>
      </c>
      <c r="DI50" s="1256">
        <f>VLOOKUP(DI$8,TS!$A$1:$E$488,2,FALSE)</f>
        <v>-7.22</v>
      </c>
      <c r="DJ50" s="1256">
        <f>VLOOKUP(DJ$8,TS!$A$1:$E$488,2,FALSE)</f>
        <v>0.83</v>
      </c>
      <c r="DK50" s="1256">
        <f>VLOOKUP(DK$8,TS!$A$1:$E$488,2,FALSE)</f>
        <v>-3.97</v>
      </c>
      <c r="DL50" s="1256">
        <f>VLOOKUP(DL$8,TS!$A$1:$E$488,2,FALSE)</f>
        <v>5.33</v>
      </c>
      <c r="DM50" s="1256">
        <f>VLOOKUP(DM$8,TS!$A$1:$E$488,2,FALSE)</f>
        <v>3.68</v>
      </c>
      <c r="DN50" s="1256">
        <f>VLOOKUP(DN$8,TS!$A$1:$E$488,2,FALSE)</f>
        <v>3.31</v>
      </c>
      <c r="DO50" s="1256">
        <f>VLOOKUP(DO$8,TS!$A$1:$E$488,2,FALSE)</f>
        <v>-4.07</v>
      </c>
      <c r="DP50" s="1256">
        <f>VLOOKUP(DP$8,TS!$A$1:$E$488,2,FALSE)</f>
        <v>0.04</v>
      </c>
      <c r="DQ50" s="1256">
        <f>VLOOKUP(DQ$8,TS!$A$1:$E$488,2,FALSE)</f>
        <v>5.31</v>
      </c>
      <c r="DR50" s="1256">
        <f>VLOOKUP(DR$8,TS!$A$1:$E$488,2,FALSE)</f>
        <v>2.56</v>
      </c>
      <c r="DS50" s="1256">
        <f>VLOOKUP(DS$8,TS!$A$1:$E$488,2,FALSE)</f>
        <v>1</v>
      </c>
      <c r="DT50" s="1256">
        <f>VLOOKUP(DT$8,TS!$A$1:$E$488,2,FALSE)</f>
        <v>-0.63</v>
      </c>
      <c r="DU50" s="1256">
        <f>VLOOKUP(DU$8,TS!$A$1:$E$488,2,FALSE)</f>
        <v>1.94</v>
      </c>
      <c r="DV50" s="1256">
        <f>VLOOKUP(DV$8,TS!$A$1:$E$488,2,FALSE)</f>
        <v>0.08</v>
      </c>
      <c r="DW50" s="1256">
        <f>VLOOKUP(DW$8,TS!$A$1:$E$488,2,FALSE)</f>
        <v>3.99</v>
      </c>
      <c r="DX50" s="1256">
        <f>VLOOKUP(DX$8,TS!$A$1:$E$488,2,FALSE)</f>
        <v>2.75</v>
      </c>
      <c r="DY50" s="1256">
        <f>VLOOKUP(DY$8,TS!$A$1:$E$488,2,FALSE)</f>
        <v>1.1399999999999999</v>
      </c>
      <c r="DZ50" s="1256">
        <f>VLOOKUP(DZ$8,TS!$A$1:$E$488,2,FALSE)</f>
        <v>2.2400000000000002</v>
      </c>
      <c r="EA50" s="1256">
        <f>VLOOKUP(EA$8,TS!$A$1:$E$488,2,FALSE)</f>
        <v>-4.03</v>
      </c>
      <c r="EB50" s="1256">
        <f>VLOOKUP(EB$8,TS!$A$1:$E$488,2,FALSE)</f>
        <v>-0.84</v>
      </c>
      <c r="EC50" s="1256">
        <f>VLOOKUP(EC$8,TS!$A$1:$E$488,2,FALSE)</f>
        <v>-4.5999999999999996</v>
      </c>
      <c r="ED50" s="1256">
        <f>VLOOKUP(ED$8,TS!$A$1:$E$488,2,FALSE)</f>
        <v>1.41</v>
      </c>
      <c r="EE50" s="1256">
        <f>VLOOKUP(EE$8,TS!$A$1:$E$488,2,FALSE)</f>
        <v>3.28</v>
      </c>
      <c r="EF50" s="1256">
        <f>VLOOKUP(EF$8,TS!$A$1:$E$488,2,FALSE)</f>
        <v>1.45</v>
      </c>
      <c r="EG50" s="1256">
        <f>VLOOKUP(EG$8,TS!$A$1:$E$488,2,FALSE)</f>
        <v>6.16</v>
      </c>
      <c r="EH50" s="1256">
        <f>VLOOKUP(EH$8,TS!$A$1:$E$488,2,FALSE)</f>
        <v>-0.09</v>
      </c>
      <c r="EI50" s="1256">
        <f>VLOOKUP(EI$8,TS!$A$1:$E$488,2,FALSE)</f>
        <v>5.59</v>
      </c>
      <c r="EJ50" s="1256">
        <f>VLOOKUP(EJ$8,TS!$A$1:$E$488,2,FALSE)</f>
        <v>-2.2599999999999998</v>
      </c>
      <c r="EK50" s="1256">
        <f>VLOOKUP(EK$8,TS!$A$1:$E$488,2,FALSE)</f>
        <v>1</v>
      </c>
      <c r="EL50" s="1256">
        <f>VLOOKUP(EL$8,TS!$A$1:$E$488,2,FALSE)</f>
        <v>-0.46</v>
      </c>
      <c r="EM50" s="1256">
        <f>VLOOKUP(EM$8,TS!$A$1:$E$488,2,FALSE)</f>
        <v>5.3</v>
      </c>
      <c r="EN50" s="1256">
        <f>VLOOKUP(EN$8,TS!$A$1:$E$488,2,FALSE)</f>
        <v>2.5</v>
      </c>
      <c r="EO50" s="1256">
        <f>VLOOKUP(EO$8,TS!$A$1:$E$488,2,FALSE)</f>
        <v>5.61</v>
      </c>
      <c r="EP50" s="1256">
        <f>VLOOKUP(EP$8,TS!$A$1:$E$488,2,FALSE)</f>
        <v>-2.5499999999999998</v>
      </c>
      <c r="EQ50" s="1256">
        <f>VLOOKUP(EQ$8,TS!$A$1:$E$488,2,FALSE)</f>
        <v>0</v>
      </c>
      <c r="ER50" s="1256">
        <f>VLOOKUP(ER$8,TS!$A$1:$E$488,2,FALSE)</f>
        <v>0</v>
      </c>
      <c r="ES50" s="1256">
        <f>VLOOKUP(ES$8,TS!$A$1:$E$488,2,FALSE)</f>
        <v>0</v>
      </c>
      <c r="ET50" s="1256">
        <f>VLOOKUP(ET$8,TS!$A$1:$E$488,2,FALSE)</f>
        <v>0</v>
      </c>
      <c r="EU50" s="1256">
        <f>VLOOKUP(EU$8,TS!$A$1:$E$488,2,FALSE)</f>
        <v>0</v>
      </c>
      <c r="EV50" s="1256">
        <f>VLOOKUP(EV$8,TS!$A$1:$E$488,2,FALSE)</f>
        <v>0</v>
      </c>
      <c r="EW50" s="1256">
        <f>VLOOKUP(EW$8,TS!$A$1:$E$488,2,FALSE)</f>
        <v>0</v>
      </c>
      <c r="EX50" s="1323" t="s">
        <v>153</v>
      </c>
      <c r="EY50" s="1324" t="s">
        <v>484</v>
      </c>
      <c r="EZ50" s="1325">
        <f>VLOOKUP($EY50,'NEPC data'!$B40:$M227,5,TRUE)*100</f>
        <v>-4.4836820806000048</v>
      </c>
      <c r="FA50" s="1325">
        <f>VLOOKUP($EY50,'NEPC data'!$B40:$M227,7,TRUE)*100</f>
        <v>-31.356809301023159</v>
      </c>
      <c r="FB50" s="1325">
        <f>VLOOKUP($EY50,'NEPC data'!$B40:$M227,9,TRUE)*100</f>
        <v>-9.8263165454013581</v>
      </c>
      <c r="FC50" s="1325">
        <f>VLOOKUP($EY50,'NEPC data'!$B40:$M227,10,TRUE)*100</f>
        <v>0</v>
      </c>
      <c r="FD50" s="1325">
        <f>VLOOKUP($EY50,'NEPC data'!$B40:$M227,11,TRUE)*100</f>
        <v>0</v>
      </c>
      <c r="FE50" s="1257"/>
      <c r="FF50" s="1392">
        <f>IF(G50="---","-",ABS(EZ50-G50))</f>
        <v>9.1626539552339139</v>
      </c>
      <c r="FG50" s="1392">
        <f>IF(I50="---","-",ABS(FA50-I50))</f>
        <v>49.673273407534381</v>
      </c>
      <c r="FH50" s="1392">
        <f>IF(K50="---","-",ABS(FB50-K50))</f>
        <v>32.521418351963476</v>
      </c>
      <c r="FI50" s="1392">
        <f>IF(M50="---","-",ABS(FC50-M50))</f>
        <v>20.133042951281176</v>
      </c>
      <c r="FJ50" s="1392">
        <f>IF(Q50="---","-",ABS(FD50-Q50))</f>
        <v>12.281054530218306</v>
      </c>
      <c r="FK50" s="1257"/>
      <c r="FL50" s="1255">
        <f>AF50</f>
        <v>9.6371633495312423</v>
      </c>
      <c r="FM50" s="1255">
        <f>ABS(FL50-AF50)</f>
        <v>0</v>
      </c>
    </row>
    <row r="51" spans="1:169" s="1028" customFormat="1" ht="12.75" customHeight="1" x14ac:dyDescent="0.2">
      <c r="A51" s="1234" t="s">
        <v>154</v>
      </c>
      <c r="B51" s="1024"/>
      <c r="C51" s="1239"/>
      <c r="D51" s="1218"/>
      <c r="E51" s="1237"/>
      <c r="F51" s="1220">
        <f>AH51</f>
        <v>5.4948499999999996</v>
      </c>
      <c r="G51" s="1023">
        <f t="array" ref="G51">IF($AJ51=0,"---",(PRODUCT($AH51:AJ51/100+1)-1)*100)</f>
        <v>5.4651483468585171</v>
      </c>
      <c r="H51" s="432">
        <f t="array" ref="H51">IF($AS51=0,"---",(PRODUCT(AH51:AN51/100+1)-1)*100)</f>
        <v>6.1686760914618111</v>
      </c>
      <c r="I51" s="1023">
        <f t="array" ref="I51">IF(AS51=0,"---",(GEOMEAN($AH51:AS51/100+1)^12-1)*100)</f>
        <v>20.245885640504135</v>
      </c>
      <c r="J51" s="1023">
        <f t="array" ref="J51">IF(BE51=0,"---",(GEOMEAN($AH51:BE51/100+1)^12-1)*100)</f>
        <v>23.521213553066445</v>
      </c>
      <c r="K51" s="1023">
        <f t="array" ref="K51">IF(BQ51=0,"---",(GEOMEAN($AH51:BQ51/100+1)^12-1)*100)</f>
        <v>19.84116827004696</v>
      </c>
      <c r="L51" s="1023">
        <f t="array" ref="L51">IF(CC51=0,"---",(GEOMEAN($AH51:CC51/100+1)^12-1)*100)</f>
        <v>21.786775338080911</v>
      </c>
      <c r="M51" s="1023">
        <f t="array" ref="M51">IF(CO51=0,"---",(GEOMEAN($AH51:CO51/100+1)^12-1)*100)</f>
        <v>19.406579548573145</v>
      </c>
      <c r="N51" s="1023">
        <f t="array" ref="N51">IF(DM51=0,"---",(GEOMEAN($AH51:DM51/100+1)^12-1)*100)</f>
        <v>8.859561278865403</v>
      </c>
      <c r="O51" s="1023">
        <f t="array" ref="O51">IF(EK51=0,"---",(GEOMEAN($AH51:EK51/100+1)^12-1)*100)</f>
        <v>9.6112280299084816</v>
      </c>
      <c r="P51" s="1023">
        <f t="array" ref="P51">IF(EW51=0,"---",(GEOMEAN($AH51:EW51/100+1)^12-1)*100)</f>
        <v>11.082841275156618</v>
      </c>
      <c r="Q51" s="1238" t="s">
        <v>34</v>
      </c>
      <c r="R51" s="1218"/>
      <c r="S51" s="1218"/>
      <c r="T51" s="1218"/>
      <c r="U51" s="1218"/>
      <c r="V51" s="1218"/>
      <c r="W51" s="1218"/>
      <c r="X51" s="1218"/>
      <c r="Y51" s="1218"/>
      <c r="Z51" s="1218"/>
      <c r="AA51" s="1218"/>
      <c r="AB51" s="1218"/>
      <c r="AC51" s="1222"/>
      <c r="AD51" s="1233"/>
      <c r="AF51" s="1027"/>
      <c r="AG51" s="1024"/>
      <c r="AH51" s="1025">
        <f t="shared" ref="AH51:BM51" si="38">VLOOKUP(AH$8,Index,17,FALSE)</f>
        <v>5.4948499999999996</v>
      </c>
      <c r="AI51" s="1025">
        <f t="shared" si="38"/>
        <v>-5.0296900000000004</v>
      </c>
      <c r="AJ51" s="1025">
        <f t="shared" si="38"/>
        <v>5.2664200000000001</v>
      </c>
      <c r="AK51" s="1025">
        <f t="shared" si="38"/>
        <v>1.3233999999999999</v>
      </c>
      <c r="AL51" s="1025">
        <f t="shared" si="38"/>
        <v>-3.5281899999999999</v>
      </c>
      <c r="AM51" s="1025">
        <f t="shared" si="38"/>
        <v>-2.1223399999999999</v>
      </c>
      <c r="AN51" s="1025">
        <f t="shared" si="38"/>
        <v>5.2188800000000004</v>
      </c>
      <c r="AO51" s="1025">
        <f t="shared" si="38"/>
        <v>-1.88862</v>
      </c>
      <c r="AP51" s="1025">
        <f t="shared" si="38"/>
        <v>2.6787100000000001</v>
      </c>
      <c r="AQ51" s="1025">
        <f t="shared" si="38"/>
        <v>3.25908</v>
      </c>
      <c r="AR51" s="1025">
        <f t="shared" si="38"/>
        <v>2.3212100000000002</v>
      </c>
      <c r="AS51" s="1025">
        <f t="shared" si="38"/>
        <v>6.4094300000000004</v>
      </c>
      <c r="AT51" s="1025">
        <f t="shared" si="38"/>
        <v>-2.0573899999999998</v>
      </c>
      <c r="AU51" s="1025">
        <f t="shared" si="38"/>
        <v>7.4088399999999996</v>
      </c>
      <c r="AV51" s="1025">
        <f t="shared" si="38"/>
        <v>-1.1956</v>
      </c>
      <c r="AW51" s="1025">
        <f t="shared" si="38"/>
        <v>4.1081799999999999</v>
      </c>
      <c r="AX51" s="1025">
        <f t="shared" si="38"/>
        <v>0.35199000000000003</v>
      </c>
      <c r="AY51" s="1025">
        <f t="shared" si="38"/>
        <v>4.34274</v>
      </c>
      <c r="AZ51" s="1025">
        <f t="shared" si="38"/>
        <v>0.61838000000000004</v>
      </c>
      <c r="BA51" s="1025">
        <f t="shared" si="38"/>
        <v>6.8678299999999997</v>
      </c>
      <c r="BB51" s="1025">
        <f t="shared" si="38"/>
        <v>1.9414100000000001</v>
      </c>
      <c r="BC51" s="1025">
        <f t="shared" si="38"/>
        <v>1.7539499999999999</v>
      </c>
      <c r="BD51" s="1025">
        <f t="shared" si="38"/>
        <v>-1.8816299999999999</v>
      </c>
      <c r="BE51" s="1025">
        <f t="shared" si="38"/>
        <v>2.3234699999999999</v>
      </c>
      <c r="BF51" s="1025">
        <f t="shared" si="38"/>
        <v>3.86205</v>
      </c>
      <c r="BG51" s="1025">
        <f t="shared" si="38"/>
        <v>-0.99307999999999996</v>
      </c>
      <c r="BH51" s="1025">
        <f t="shared" si="38"/>
        <v>3.2156500000000001</v>
      </c>
      <c r="BI51" s="1025">
        <f t="shared" si="38"/>
        <v>-7.5333399999999999</v>
      </c>
      <c r="BJ51" s="1025">
        <f t="shared" si="38"/>
        <v>-0.85577000000000003</v>
      </c>
      <c r="BK51" s="1025">
        <f t="shared" si="38"/>
        <v>1.7278</v>
      </c>
      <c r="BL51" s="1025">
        <f t="shared" si="38"/>
        <v>4.5962500000000004</v>
      </c>
      <c r="BM51" s="1025">
        <f t="shared" si="38"/>
        <v>7.7064300000000001</v>
      </c>
      <c r="BN51" s="1025">
        <f t="shared" ref="BN51:CS51" si="39">VLOOKUP(BN$8,Index,17,FALSE)</f>
        <v>-1.20302</v>
      </c>
      <c r="BO51" s="1025">
        <f t="shared" si="39"/>
        <v>-0.47767999999999999</v>
      </c>
      <c r="BP51" s="1025">
        <f t="shared" si="39"/>
        <v>15.444739999999999</v>
      </c>
      <c r="BQ51" s="1025">
        <f t="shared" si="39"/>
        <v>-10.87928</v>
      </c>
      <c r="BR51" s="1025">
        <f t="shared" si="39"/>
        <v>-8.1859400000000004</v>
      </c>
      <c r="BS51" s="1025">
        <f t="shared" si="39"/>
        <v>-3.8809900000000002</v>
      </c>
      <c r="BT51" s="1025">
        <f t="shared" si="39"/>
        <v>-1.79945</v>
      </c>
      <c r="BU51" s="1025">
        <f t="shared" si="39"/>
        <v>-1.23159</v>
      </c>
      <c r="BV51" s="1025">
        <f t="shared" si="39"/>
        <v>3.4936199999999999</v>
      </c>
      <c r="BW51" s="1025">
        <f t="shared" si="39"/>
        <v>2.9631599999999998</v>
      </c>
      <c r="BX51" s="1025">
        <f t="shared" si="39"/>
        <v>5.4793000000000003</v>
      </c>
      <c r="BY51" s="1025">
        <f t="shared" si="39"/>
        <v>1.1322000000000001</v>
      </c>
      <c r="BZ51" s="1025">
        <f t="shared" si="39"/>
        <v>7.4661900000000001</v>
      </c>
      <c r="CA51" s="1025">
        <f t="shared" si="39"/>
        <v>4.02949</v>
      </c>
      <c r="CB51" s="1025">
        <f t="shared" si="39"/>
        <v>3.7604700000000002</v>
      </c>
      <c r="CC51" s="1025">
        <f t="shared" si="39"/>
        <v>13.245139999999999</v>
      </c>
      <c r="CD51" s="1025">
        <f t="shared" si="39"/>
        <v>-6.3366600000000002</v>
      </c>
      <c r="CE51" s="1025">
        <f t="shared" si="39"/>
        <v>6.6735699999999998</v>
      </c>
      <c r="CF51" s="1025">
        <f t="shared" si="39"/>
        <v>-6.4691599999999996</v>
      </c>
      <c r="CG51" s="1025">
        <f t="shared" si="39"/>
        <v>-6.7926700000000002</v>
      </c>
      <c r="CH51" s="1025">
        <f t="shared" si="39"/>
        <v>3.50244</v>
      </c>
      <c r="CI51" s="1025">
        <f t="shared" si="39"/>
        <v>7.9861500000000003</v>
      </c>
      <c r="CJ51" s="1025">
        <f t="shared" si="39"/>
        <v>5.0922799999999997</v>
      </c>
      <c r="CK51" s="1025">
        <f t="shared" si="39"/>
        <v>-4.1211799999999998</v>
      </c>
      <c r="CL51" s="1025">
        <f t="shared" si="39"/>
        <v>7.71251</v>
      </c>
      <c r="CM51" s="1025">
        <f t="shared" si="39"/>
        <v>3.7098200000000001</v>
      </c>
      <c r="CN51" s="1025">
        <f t="shared" si="39"/>
        <v>-5.4961599999999997</v>
      </c>
      <c r="CO51" s="1025">
        <f t="shared" si="39"/>
        <v>6.5520399999999999</v>
      </c>
      <c r="CP51" s="1025">
        <f t="shared" si="39"/>
        <v>2.0377999999999998</v>
      </c>
      <c r="CQ51" s="1025">
        <f t="shared" si="39"/>
        <v>7.7691299999999996</v>
      </c>
      <c r="CR51" s="1025">
        <f t="shared" si="39"/>
        <v>2.3424100000000001</v>
      </c>
      <c r="CS51" s="1025">
        <f t="shared" si="39"/>
        <v>3.5949200000000001</v>
      </c>
      <c r="CT51" s="1025">
        <f t="shared" ref="CT51:DY51" si="40">VLOOKUP(CT$8,Index,17,FALSE)</f>
        <v>14.8751</v>
      </c>
      <c r="CU51" s="1025">
        <f t="shared" si="40"/>
        <v>9.5276200000000006</v>
      </c>
      <c r="CV51" s="1025">
        <f t="shared" si="40"/>
        <v>-8.6555800000000005</v>
      </c>
      <c r="CW51" s="1025">
        <f t="shared" si="40"/>
        <v>-6.0160900000000002</v>
      </c>
      <c r="CX51" s="1025">
        <f t="shared" si="40"/>
        <v>5.0691199999999998</v>
      </c>
      <c r="CY51" s="1025">
        <f t="shared" si="40"/>
        <v>-11.27594</v>
      </c>
      <c r="CZ51" s="1025">
        <f t="shared" si="40"/>
        <v>-22.520910000000001</v>
      </c>
      <c r="DA51" s="1025">
        <f t="shared" si="40"/>
        <v>-13.236079999999999</v>
      </c>
      <c r="DB51" s="1025">
        <f t="shared" si="40"/>
        <v>1.6764300000000001</v>
      </c>
      <c r="DC51" s="1025">
        <f t="shared" si="40"/>
        <v>-0.35492000000000001</v>
      </c>
      <c r="DD51" s="1025">
        <f t="shared" si="40"/>
        <v>-7.1585200000000002</v>
      </c>
      <c r="DE51" s="1025">
        <f t="shared" si="40"/>
        <v>5.2670599999999999</v>
      </c>
      <c r="DF51" s="1025">
        <f t="shared" si="40"/>
        <v>6.0272699999999997</v>
      </c>
      <c r="DG51" s="1025">
        <f t="shared" si="40"/>
        <v>-1.21207</v>
      </c>
      <c r="DH51" s="1025">
        <f t="shared" si="40"/>
        <v>-2.0098799999999999</v>
      </c>
      <c r="DI51" s="1025">
        <f t="shared" si="40"/>
        <v>-8.1477699999999995</v>
      </c>
      <c r="DJ51" s="1025">
        <f t="shared" si="40"/>
        <v>-8.5529999999999995E-2</v>
      </c>
      <c r="DK51" s="1025">
        <f t="shared" si="40"/>
        <v>-5.9035799999999998</v>
      </c>
      <c r="DL51" s="1025">
        <f t="shared" si="40"/>
        <v>4.1393199999999997</v>
      </c>
      <c r="DM51" s="1025">
        <f t="shared" si="40"/>
        <v>3.4735999999999998</v>
      </c>
      <c r="DN51" s="1025">
        <f t="shared" si="40"/>
        <v>1.5329999999999999</v>
      </c>
      <c r="DO51" s="1025">
        <f t="shared" si="40"/>
        <v>-4.1921900000000001</v>
      </c>
      <c r="DP51" s="1025">
        <f t="shared" si="40"/>
        <v>-0.95133999999999996</v>
      </c>
      <c r="DQ51" s="1025">
        <f t="shared" si="40"/>
        <v>4.8003999999999998</v>
      </c>
      <c r="DR51" s="1025">
        <f t="shared" si="40"/>
        <v>3.07</v>
      </c>
      <c r="DS51" s="1025">
        <f t="shared" si="40"/>
        <v>0.87580000000000002</v>
      </c>
      <c r="DT51" s="1025">
        <f t="shared" si="40"/>
        <v>-4.5920000000000002E-2</v>
      </c>
      <c r="DU51" s="1025">
        <f t="shared" si="40"/>
        <v>3.1782900000000001</v>
      </c>
      <c r="DV51" s="1025">
        <f t="shared" si="40"/>
        <v>-0.23297000000000001</v>
      </c>
      <c r="DW51" s="1025">
        <f t="shared" si="40"/>
        <v>3.4025500000000002</v>
      </c>
      <c r="DX51" s="1025">
        <f t="shared" si="40"/>
        <v>4.9273300000000004</v>
      </c>
      <c r="DY51" s="1025">
        <f t="shared" si="40"/>
        <v>1.42001</v>
      </c>
      <c r="DZ51" s="1025">
        <f t="shared" ref="DZ51:EW51" si="41">VLOOKUP(DZ$8,Index,17,FALSE)</f>
        <v>2.4044300000000001</v>
      </c>
      <c r="EA51" s="1025">
        <f t="shared" si="41"/>
        <v>-4.87331</v>
      </c>
      <c r="EB51" s="1025">
        <f t="shared" si="41"/>
        <v>-0.47372999999999998</v>
      </c>
      <c r="EC51" s="1025">
        <f t="shared" si="41"/>
        <v>-5.9661999999999997</v>
      </c>
      <c r="ED51" s="1025">
        <f t="shared" si="41"/>
        <v>0.30640000000000001</v>
      </c>
      <c r="EE51" s="1025">
        <f t="shared" si="41"/>
        <v>4.2678099999999999</v>
      </c>
      <c r="EF51" s="1025">
        <f t="shared" si="41"/>
        <v>-0.30031999999999998</v>
      </c>
      <c r="EG51" s="1025">
        <f t="shared" si="41"/>
        <v>7.5712000000000002</v>
      </c>
      <c r="EH51" s="1025">
        <f t="shared" si="41"/>
        <v>0.57110000000000005</v>
      </c>
      <c r="EI51" s="1025">
        <f t="shared" si="41"/>
        <v>5.5860000000000003</v>
      </c>
      <c r="EJ51" s="1025">
        <f t="shared" si="41"/>
        <v>-3.2669999999999999</v>
      </c>
      <c r="EK51" s="1025">
        <f t="shared" si="41"/>
        <v>0.97299999999999998</v>
      </c>
      <c r="EL51" s="1025">
        <f t="shared" si="41"/>
        <v>-1.1498999999999999</v>
      </c>
      <c r="EM51" s="1025">
        <f t="shared" si="41"/>
        <v>6.4916999999999998</v>
      </c>
      <c r="EN51" s="1025">
        <f t="shared" si="41"/>
        <v>2.637</v>
      </c>
      <c r="EO51" s="1025">
        <f t="shared" si="41"/>
        <v>6.6609999999999996</v>
      </c>
      <c r="EP51" s="1025">
        <f t="shared" si="41"/>
        <v>-5.4039999999999999</v>
      </c>
      <c r="EQ51" s="1025">
        <f t="shared" si="41"/>
        <v>-2.7639999999999998</v>
      </c>
      <c r="ER51" s="1025">
        <f t="shared" si="41"/>
        <v>1.9879</v>
      </c>
      <c r="ES51" s="1025">
        <f t="shared" si="41"/>
        <v>-3.5255999999999998</v>
      </c>
      <c r="ET51" s="1025">
        <f t="shared" si="41"/>
        <v>4.7854000000000001</v>
      </c>
      <c r="EU51" s="1025">
        <f t="shared" si="41"/>
        <v>6.6334999999999997</v>
      </c>
      <c r="EV51" s="1025">
        <f t="shared" si="41"/>
        <v>2.8384</v>
      </c>
      <c r="EW51" s="1025">
        <f t="shared" si="41"/>
        <v>4.5109000000000004</v>
      </c>
      <c r="EX51" s="1230"/>
      <c r="EY51" s="1230"/>
      <c r="EZ51" s="789" t="e">
        <f>VLOOKUP($EY51,'NEPC data'!$B42:$M229,5,TRUE)*100</f>
        <v>#N/A</v>
      </c>
      <c r="FA51" s="789" t="e">
        <f>VLOOKUP($EY51,'NEPC data'!$B42:$M229,7,TRUE)*100</f>
        <v>#N/A</v>
      </c>
      <c r="FB51" s="789" t="e">
        <f>VLOOKUP($EY51,'NEPC data'!$B42:$M229,9,TRUE)*100</f>
        <v>#N/A</v>
      </c>
      <c r="FC51" s="789" t="e">
        <f>VLOOKUP($EY51,'NEPC data'!$B42:$M229,10,TRUE)*100</f>
        <v>#N/A</v>
      </c>
      <c r="FD51" s="789" t="e">
        <f>VLOOKUP($EY51,'NEPC data'!$B42:$M229,11,TRUE)*100</f>
        <v>#N/A</v>
      </c>
      <c r="FE51" s="1024"/>
      <c r="FF51" s="1027"/>
      <c r="FG51" s="1027"/>
      <c r="FH51" s="1027"/>
      <c r="FI51" s="1027"/>
      <c r="FJ51" s="1027"/>
      <c r="FK51" s="1024"/>
      <c r="FL51" s="1027"/>
      <c r="FM51" s="1027"/>
    </row>
    <row r="52" spans="1:169" s="395" customFormat="1" ht="12.75" customHeight="1" x14ac:dyDescent="0.2">
      <c r="A52" s="456"/>
      <c r="B52" s="418"/>
      <c r="C52" s="430"/>
      <c r="D52" s="249"/>
      <c r="E52" s="457"/>
      <c r="F52" s="431"/>
      <c r="G52" s="432"/>
      <c r="H52" s="432"/>
      <c r="I52" s="432"/>
      <c r="J52" s="432"/>
      <c r="K52" s="432"/>
      <c r="L52" s="432"/>
      <c r="M52" s="432"/>
      <c r="N52" s="432"/>
      <c r="O52" s="432"/>
      <c r="P52" s="432"/>
      <c r="Q52" s="458"/>
      <c r="R52" s="249"/>
      <c r="S52" s="249"/>
      <c r="T52" s="249"/>
      <c r="U52" s="249"/>
      <c r="V52" s="249"/>
      <c r="W52" s="249"/>
      <c r="X52" s="249"/>
      <c r="Y52" s="249"/>
      <c r="Z52" s="249"/>
      <c r="AA52" s="249"/>
      <c r="AB52" s="249"/>
      <c r="AC52" s="459"/>
      <c r="AD52" s="463"/>
      <c r="AE52" s="15"/>
      <c r="AF52" s="442"/>
      <c r="AG52" s="382"/>
      <c r="AH52" s="439"/>
      <c r="AI52" s="439"/>
      <c r="AJ52" s="439"/>
      <c r="AK52" s="439"/>
      <c r="AL52" s="439"/>
      <c r="AM52" s="439"/>
      <c r="AN52" s="439"/>
      <c r="AO52" s="439"/>
      <c r="AP52" s="439"/>
      <c r="AQ52" s="439"/>
      <c r="AR52" s="439"/>
      <c r="AS52" s="439"/>
      <c r="AT52" s="439"/>
      <c r="AU52" s="439"/>
      <c r="AV52" s="439"/>
      <c r="AW52" s="439"/>
      <c r="AX52" s="439"/>
      <c r="AY52" s="439"/>
      <c r="AZ52" s="439"/>
      <c r="BA52" s="439"/>
      <c r="BB52" s="439"/>
      <c r="BC52" s="439"/>
      <c r="BD52" s="439"/>
      <c r="BE52" s="439"/>
      <c r="BF52" s="439"/>
      <c r="BG52" s="439"/>
      <c r="BH52" s="439"/>
      <c r="BI52" s="439"/>
      <c r="BJ52" s="439"/>
      <c r="BK52" s="439"/>
      <c r="BL52" s="439"/>
      <c r="BM52" s="439"/>
      <c r="BN52" s="439"/>
      <c r="BO52" s="439"/>
      <c r="BP52" s="439"/>
      <c r="BQ52" s="439"/>
      <c r="BR52" s="439"/>
      <c r="BS52" s="439"/>
      <c r="BT52" s="439"/>
      <c r="BU52" s="439"/>
      <c r="BV52" s="439"/>
      <c r="BW52" s="439"/>
      <c r="BX52" s="439"/>
      <c r="BY52" s="439"/>
      <c r="BZ52" s="439"/>
      <c r="CA52" s="439"/>
      <c r="CB52" s="439"/>
      <c r="CC52" s="439"/>
      <c r="CD52" s="439"/>
      <c r="CE52" s="439"/>
      <c r="CF52" s="439"/>
      <c r="CG52" s="439"/>
      <c r="CH52" s="439"/>
      <c r="CI52" s="439"/>
      <c r="CJ52" s="439"/>
      <c r="CK52" s="439"/>
      <c r="CL52" s="439"/>
      <c r="CM52" s="439"/>
      <c r="CN52" s="439"/>
      <c r="CO52" s="439"/>
      <c r="CP52" s="439"/>
      <c r="CQ52" s="439"/>
      <c r="CR52" s="439"/>
      <c r="CS52" s="439"/>
      <c r="CT52" s="439"/>
      <c r="CU52" s="439"/>
      <c r="CV52" s="439"/>
      <c r="CW52" s="439"/>
      <c r="CX52" s="439"/>
      <c r="CY52" s="439"/>
      <c r="CZ52" s="439"/>
      <c r="DA52" s="439"/>
      <c r="DB52" s="439"/>
      <c r="DC52" s="439"/>
      <c r="DD52" s="439"/>
      <c r="DE52" s="439"/>
      <c r="DF52" s="439"/>
      <c r="DG52" s="439"/>
      <c r="DH52" s="439"/>
      <c r="DI52" s="439"/>
      <c r="DJ52" s="439"/>
      <c r="DK52" s="439"/>
      <c r="DL52" s="439"/>
      <c r="DM52" s="439"/>
      <c r="DN52" s="439"/>
      <c r="DO52" s="439"/>
      <c r="DP52" s="439"/>
      <c r="DQ52" s="439"/>
      <c r="DR52" s="439"/>
      <c r="DS52" s="439"/>
      <c r="DT52" s="439"/>
      <c r="DU52" s="439"/>
      <c r="DV52" s="439"/>
      <c r="DW52" s="439"/>
      <c r="DX52" s="439"/>
      <c r="DY52" s="439"/>
      <c r="DZ52" s="439"/>
      <c r="EA52" s="439"/>
      <c r="EB52" s="439"/>
      <c r="EC52" s="439"/>
      <c r="ED52" s="439"/>
      <c r="EE52" s="439"/>
      <c r="EF52" s="439"/>
      <c r="EG52" s="439"/>
      <c r="EH52" s="439"/>
      <c r="EI52" s="439"/>
      <c r="EJ52" s="439"/>
      <c r="EK52" s="439"/>
      <c r="EL52" s="439"/>
      <c r="EM52" s="439"/>
      <c r="EN52" s="439"/>
      <c r="EO52" s="439"/>
      <c r="EP52" s="439"/>
      <c r="EQ52" s="439"/>
      <c r="ER52" s="439"/>
      <c r="ES52" s="439"/>
      <c r="ET52" s="439"/>
      <c r="EU52" s="439"/>
      <c r="EV52" s="439"/>
      <c r="EW52" s="439"/>
      <c r="EX52" s="393"/>
      <c r="EY52" s="393"/>
      <c r="EZ52" s="789" t="e">
        <f>VLOOKUP($EY52,'NEPC data'!$B43:$M230,5,TRUE)*100</f>
        <v>#N/A</v>
      </c>
      <c r="FA52" s="789" t="e">
        <f>VLOOKUP($EY52,'NEPC data'!$B43:$M230,7,TRUE)*100</f>
        <v>#N/A</v>
      </c>
      <c r="FB52" s="789" t="e">
        <f>VLOOKUP($EY52,'NEPC data'!$B43:$M230,9,TRUE)*100</f>
        <v>#N/A</v>
      </c>
      <c r="FC52" s="789" t="e">
        <f>VLOOKUP($EY52,'NEPC data'!$B43:$M230,10,TRUE)*100</f>
        <v>#N/A</v>
      </c>
      <c r="FD52" s="789" t="e">
        <f>VLOOKUP($EY52,'NEPC data'!$B43:$M230,11,TRUE)*100</f>
        <v>#N/A</v>
      </c>
      <c r="FE52" s="382"/>
      <c r="FF52" s="442"/>
      <c r="FG52" s="442"/>
      <c r="FH52" s="442"/>
      <c r="FI52" s="442"/>
      <c r="FJ52" s="442"/>
      <c r="FK52" s="382"/>
      <c r="FL52" s="442"/>
      <c r="FM52" s="442"/>
    </row>
    <row r="53" spans="1:169" s="395" customFormat="1" ht="12.75" customHeight="1" x14ac:dyDescent="0.2">
      <c r="A53" s="445" t="s">
        <v>54</v>
      </c>
      <c r="B53" s="621" t="s">
        <v>318</v>
      </c>
      <c r="C53" s="446">
        <v>36038</v>
      </c>
      <c r="D53" s="462">
        <f>DFA!D1</f>
        <v>21.849189172881996</v>
      </c>
      <c r="E53" s="448">
        <f>VLOOKUP(AH$8,DFA!A1:E488,3,FALSE)/1000000</f>
        <v>403.08263592000003</v>
      </c>
      <c r="F53" s="449">
        <f>AH53</f>
        <v>6.1657999999999999</v>
      </c>
      <c r="G53" s="450">
        <f t="array" ref="G53">IF($AJ53=0,"---",(PRODUCT($AH53:AJ53/100+1)-1)*100)</f>
        <v>5.8808849244566419</v>
      </c>
      <c r="H53" s="450">
        <f t="array" ref="H53">IF($AS53=0,"---",(PRODUCT(AH53:AN53/100+1)-1)*100)</f>
        <v>12.394471945455399</v>
      </c>
      <c r="I53" s="450">
        <f t="array" ref="I53">IF(AS53=0,"---",(GEOMEAN($AH53:AS53/100+1)^12-1)*100)</f>
        <v>26.225203496122763</v>
      </c>
      <c r="J53" s="450">
        <f t="array" ref="J53">IF(BE53=0,"---",(GEOMEAN($AH53:BE53/100+1)^12-1)*100)</f>
        <v>30.012024432513364</v>
      </c>
      <c r="K53" s="450">
        <f t="array" ref="K53">IF(BQ53=0,"---",(GEOMEAN($AH53:BQ53/100+1)^12-1)*100)</f>
        <v>24.025008639042621</v>
      </c>
      <c r="L53" s="450">
        <f t="array" ref="L53">IF(CC53=0,"---",(GEOMEAN($AH53:CC53/100+1)^12-1)*100)</f>
        <v>22.979713188796946</v>
      </c>
      <c r="M53" s="450">
        <f t="array" ref="M53">IF(CO53=0,"---",(GEOMEAN($AH53:CO53/100+1)^12-1)*100)</f>
        <v>20.21246542592867</v>
      </c>
      <c r="N53" s="450">
        <f t="array" ref="N53">IF(DM53=0,"---",(GEOMEAN($AH53:DM53/100+1)^12-1)*100)</f>
        <v>9.3289613773033473</v>
      </c>
      <c r="O53" s="450">
        <f t="array" ref="O53">IF(EK53=0,"---",(GEOMEAN($AH53:EK53/100+1)^12-1)*100)</f>
        <v>9.5291338113109969</v>
      </c>
      <c r="P53" s="450">
        <f t="array" ref="P53">IF(EW53=0,"---",(GEOMEAN($AH53:EW53/100+1)^12-1)*100)</f>
        <v>11.101994155699346</v>
      </c>
      <c r="Q53" s="451">
        <f t="array" ref="Q53">(GEOMEAN(DFA!B$281:B471/100+1)^12-1)*100</f>
        <v>12.454371560276133</v>
      </c>
      <c r="R53" s="452">
        <f t="shared" ref="R53:AB53" si="42">IF(F53="---","---",(F53-F$54)*100)</f>
        <v>168.73399999999998</v>
      </c>
      <c r="S53" s="452">
        <f t="shared" si="42"/>
        <v>279.09242585364649</v>
      </c>
      <c r="T53" s="452">
        <f t="shared" si="42"/>
        <v>487.6541688887981</v>
      </c>
      <c r="U53" s="452">
        <f t="shared" si="42"/>
        <v>530.53104744604798</v>
      </c>
      <c r="V53" s="452">
        <f t="shared" si="42"/>
        <v>573.8837693054279</v>
      </c>
      <c r="W53" s="452">
        <f t="shared" si="42"/>
        <v>204.01941704433426</v>
      </c>
      <c r="X53" s="452">
        <f t="shared" si="42"/>
        <v>150.33245866353582</v>
      </c>
      <c r="Y53" s="452">
        <f t="shared" si="42"/>
        <v>209.2254855249486</v>
      </c>
      <c r="Z53" s="452">
        <f t="shared" si="42"/>
        <v>141.26902681080642</v>
      </c>
      <c r="AA53" s="452">
        <f t="shared" si="42"/>
        <v>70.089397681731754</v>
      </c>
      <c r="AB53" s="452">
        <f t="shared" si="42"/>
        <v>96.820982660468331</v>
      </c>
      <c r="AC53" s="453">
        <f>(Q53-AF53)*100</f>
        <v>131.92053523187076</v>
      </c>
      <c r="AD53" s="454">
        <v>200</v>
      </c>
      <c r="AE53" s="13"/>
      <c r="AF53" s="476">
        <f t="array" ref="AF53">(GEOMEAN(Index_Returns!P281:P471/100+1)^12-1)*100</f>
        <v>11.135166207957425</v>
      </c>
      <c r="AG53" s="382" t="str">
        <f>IF(I53="---","&lt; 1 Year","---")</f>
        <v>---</v>
      </c>
      <c r="AH53" s="439">
        <f>VLOOKUP(AH$8,DFA!$A$1:$E$488,2,FALSE)</f>
        <v>6.1657999999999999</v>
      </c>
      <c r="AI53" s="439">
        <f>VLOOKUP(AI$8,DFA!$A$1:$E$488,2,FALSE)</f>
        <v>-4.7650300000000003</v>
      </c>
      <c r="AJ53" s="439">
        <f>VLOOKUP(AJ$8,DFA!$A$1:$E$488,2,FALSE)</f>
        <v>4.7216500000000003</v>
      </c>
      <c r="AK53" s="439">
        <f>VLOOKUP(AK$8,DFA!$A$1:$E$488,2,FALSE)</f>
        <v>0.99558999999999997</v>
      </c>
      <c r="AL53" s="439">
        <f>VLOOKUP(AL$8,DFA!$A$1:$E$488,2,FALSE)</f>
        <v>-1.6071500000000001</v>
      </c>
      <c r="AM53" s="439">
        <f>VLOOKUP(AM$8,DFA!$A$1:$E$488,2,FALSE)</f>
        <v>1.6006100000000001</v>
      </c>
      <c r="AN53" s="439">
        <f>VLOOKUP(AN$8,DFA!$A$1:$E$488,2,FALSE)</f>
        <v>5.13931</v>
      </c>
      <c r="AO53" s="439">
        <f>VLOOKUP(AO$8,DFA!$A$1:$E$488,2,FALSE)</f>
        <v>-4.69672</v>
      </c>
      <c r="AP53" s="439">
        <f>VLOOKUP(AP$8,DFA!$A$1:$E$488,2,FALSE)</f>
        <v>2.4875099999999999</v>
      </c>
      <c r="AQ53" s="439">
        <f>VLOOKUP(AQ$8,DFA!$A$1:$E$488,2,FALSE)</f>
        <v>4.2667000000000002</v>
      </c>
      <c r="AR53" s="439">
        <f>VLOOKUP(AR$8,DFA!$A$1:$E$488,2,FALSE)</f>
        <v>4.6622300000000001</v>
      </c>
      <c r="AS53" s="439">
        <f>VLOOKUP(AS$8,DFA!$A$1:$E$488,2,FALSE)</f>
        <v>5.36266</v>
      </c>
      <c r="AT53" s="439">
        <f>VLOOKUP(AT$8,DFA!$A$1:$E$488,2,FALSE)</f>
        <v>-4.2150999999999996</v>
      </c>
      <c r="AU53" s="439">
        <f>VLOOKUP(AU$8,DFA!$A$1:$E$488,2,FALSE)</f>
        <v>7.3664399999999999</v>
      </c>
      <c r="AV53" s="439">
        <f>VLOOKUP(AV$8,DFA!$A$1:$E$488,2,FALSE)</f>
        <v>-0.79256000000000004</v>
      </c>
      <c r="AW53" s="439">
        <f>VLOOKUP(AW$8,DFA!$A$1:$E$488,2,FALSE)</f>
        <v>5.40977</v>
      </c>
      <c r="AX53" s="439">
        <f>VLOOKUP(AX$8,DFA!$A$1:$E$488,2,FALSE)</f>
        <v>-1.0561400000000001</v>
      </c>
      <c r="AY53" s="439">
        <f>VLOOKUP(AY$8,DFA!$A$1:$E$488,2,FALSE)</f>
        <v>5.1299000000000001</v>
      </c>
      <c r="AZ53" s="439">
        <f>VLOOKUP(AZ$8,DFA!$A$1:$E$488,2,FALSE)</f>
        <v>1.8565499999999999</v>
      </c>
      <c r="BA53" s="439">
        <f>VLOOKUP(BA$8,DFA!$A$1:$E$488,2,FALSE)</f>
        <v>7.2525700000000004</v>
      </c>
      <c r="BB53" s="439">
        <f>VLOOKUP(BB$8,DFA!$A$1:$E$488,2,FALSE)</f>
        <v>3.6679300000000001</v>
      </c>
      <c r="BC53" s="439">
        <f>VLOOKUP(BC$8,DFA!$A$1:$E$488,2,FALSE)</f>
        <v>2.19869</v>
      </c>
      <c r="BD53" s="439">
        <f>VLOOKUP(BD$8,DFA!$A$1:$E$488,2,FALSE)</f>
        <v>0.30254999999999999</v>
      </c>
      <c r="BE53" s="439">
        <f>VLOOKUP(BE$8,DFA!$A$1:$E$488,2,FALSE)</f>
        <v>3.1137899999999998</v>
      </c>
      <c r="BF53" s="439">
        <f>VLOOKUP(BF$8,DFA!$A$1:$E$488,2,FALSE)</f>
        <v>4.2107400000000004</v>
      </c>
      <c r="BG53" s="439">
        <f>VLOOKUP(BG$8,DFA!$A$1:$E$488,2,FALSE)</f>
        <v>-0.72940000000000005</v>
      </c>
      <c r="BH53" s="439">
        <f>VLOOKUP(BH$8,DFA!$A$1:$E$488,2,FALSE)</f>
        <v>3.6663899999999998</v>
      </c>
      <c r="BI53" s="439">
        <f>VLOOKUP(BI$8,DFA!$A$1:$E$488,2,FALSE)</f>
        <v>-7.5759499999999997</v>
      </c>
      <c r="BJ53" s="439">
        <f>VLOOKUP(BJ$8,DFA!$A$1:$E$488,2,FALSE)</f>
        <v>-1.6418299999999999</v>
      </c>
      <c r="BK53" s="439">
        <f>VLOOKUP(BK$8,DFA!$A$1:$E$488,2,FALSE)</f>
        <v>1.72068</v>
      </c>
      <c r="BL53" s="439">
        <f>VLOOKUP(BL$8,DFA!$A$1:$E$488,2,FALSE)</f>
        <v>3.8679700000000001</v>
      </c>
      <c r="BM53" s="439">
        <f>VLOOKUP(BM$8,DFA!$A$1:$E$488,2,FALSE)</f>
        <v>6.5473400000000002</v>
      </c>
      <c r="BN53" s="439">
        <f>VLOOKUP(BN$8,DFA!$A$1:$E$488,2,FALSE)</f>
        <v>1.1787399999999999</v>
      </c>
      <c r="BO53" s="439">
        <f>VLOOKUP(BO$8,DFA!$A$1:$E$488,2,FALSE)</f>
        <v>3.4849999999999999E-2</v>
      </c>
      <c r="BP53" s="439">
        <f>VLOOKUP(BP$8,DFA!$A$1:$E$488,2,FALSE)</f>
        <v>14.77101</v>
      </c>
      <c r="BQ53" s="439">
        <f>VLOOKUP(BQ$8,DFA!$A$1:$E$488,2,FALSE)</f>
        <v>-11.47052</v>
      </c>
      <c r="BR53" s="439">
        <f>VLOOKUP(BR$8,DFA!$A$1:$E$488,2,FALSE)</f>
        <v>-10.060359999999999</v>
      </c>
      <c r="BS53" s="439">
        <f>VLOOKUP(BS$8,DFA!$A$1:$E$488,2,FALSE)</f>
        <v>-3.8748900000000002</v>
      </c>
      <c r="BT53" s="439">
        <f>VLOOKUP(BT$8,DFA!$A$1:$E$488,2,FALSE)</f>
        <v>-2.0164</v>
      </c>
      <c r="BU53" s="439">
        <f>VLOOKUP(BU$8,DFA!$A$1:$E$488,2,FALSE)</f>
        <v>-2.7135500000000001</v>
      </c>
      <c r="BV53" s="439">
        <f>VLOOKUP(BV$8,DFA!$A$1:$E$488,2,FALSE)</f>
        <v>1.43388</v>
      </c>
      <c r="BW53" s="439">
        <f>VLOOKUP(BW$8,DFA!$A$1:$E$488,2,FALSE)</f>
        <v>1.7488600000000001</v>
      </c>
      <c r="BX53" s="439">
        <f>VLOOKUP(BX$8,DFA!$A$1:$E$488,2,FALSE)</f>
        <v>5.4415199999999997</v>
      </c>
      <c r="BY53" s="439">
        <f>VLOOKUP(BY$8,DFA!$A$1:$E$488,2,FALSE)</f>
        <v>1.34517</v>
      </c>
      <c r="BZ53" s="439">
        <f>VLOOKUP(BZ$8,DFA!$A$1:$E$488,2,FALSE)</f>
        <v>8.5927699999999998</v>
      </c>
      <c r="CA53" s="439">
        <f>VLOOKUP(CA$8,DFA!$A$1:$E$488,2,FALSE)</f>
        <v>3.9856799999999999</v>
      </c>
      <c r="CB53" s="439">
        <f>VLOOKUP(CB$8,DFA!$A$1:$E$488,2,FALSE)</f>
        <v>4.0879300000000001</v>
      </c>
      <c r="CC53" s="439">
        <f>VLOOKUP(CC$8,DFA!$A$1:$E$488,2,FALSE)</f>
        <v>12.23033</v>
      </c>
      <c r="CD53" s="439">
        <f>VLOOKUP(CD$8,DFA!$A$1:$E$488,2,FALSE)</f>
        <v>-7.6940099999999996</v>
      </c>
      <c r="CE53" s="439">
        <f>VLOOKUP(CE$8,DFA!$A$1:$E$488,2,FALSE)</f>
        <v>8.7446300000000008</v>
      </c>
      <c r="CF53" s="439">
        <f>VLOOKUP(CF$8,DFA!$A$1:$E$488,2,FALSE)</f>
        <v>-9.5023300000000006</v>
      </c>
      <c r="CG53" s="439">
        <f>VLOOKUP(CG$8,DFA!$A$1:$E$488,2,FALSE)</f>
        <v>-9.1731800000000003</v>
      </c>
      <c r="CH53" s="439">
        <f>VLOOKUP(CH$8,DFA!$A$1:$E$488,2,FALSE)</f>
        <v>7.1456299999999997</v>
      </c>
      <c r="CI53" s="439">
        <f>VLOOKUP(CI$8,DFA!$A$1:$E$488,2,FALSE)</f>
        <v>7.7154600000000002</v>
      </c>
      <c r="CJ53" s="439">
        <f>VLOOKUP(CJ$8,DFA!$A$1:$E$488,2,FALSE)</f>
        <v>5.9889099999999997</v>
      </c>
      <c r="CK53" s="439">
        <f>VLOOKUP(CK$8,DFA!$A$1:$E$488,2,FALSE)</f>
        <v>-2.2340499999999999</v>
      </c>
      <c r="CL53" s="439">
        <f>VLOOKUP(CL$8,DFA!$A$1:$E$488,2,FALSE)</f>
        <v>7.2193899999999998</v>
      </c>
      <c r="CM53" s="439">
        <f>VLOOKUP(CM$8,DFA!$A$1:$E$488,2,FALSE)</f>
        <v>4.8087600000000004</v>
      </c>
      <c r="CN53" s="439">
        <f>VLOOKUP(CN$8,DFA!$A$1:$E$488,2,FALSE)</f>
        <v>-6.9200200000000001</v>
      </c>
      <c r="CO53" s="439">
        <f>VLOOKUP(CO$8,DFA!$A$1:$E$488,2,FALSE)</f>
        <v>6.34</v>
      </c>
      <c r="CP53" s="439">
        <f>VLOOKUP(CP$8,DFA!$A$1:$E$488,2,FALSE)</f>
        <v>6.67</v>
      </c>
      <c r="CQ53" s="439">
        <f>VLOOKUP(CQ$8,DFA!$A$1:$E$488,2,FALSE)</f>
        <v>12.7</v>
      </c>
      <c r="CR53" s="439">
        <f>VLOOKUP(CR$8,DFA!$A$1:$E$488,2,FALSE)</f>
        <v>-0.68</v>
      </c>
      <c r="CS53" s="439">
        <f>VLOOKUP(CS$8,DFA!$A$1:$E$488,2,FALSE)</f>
        <v>4.05</v>
      </c>
      <c r="CT53" s="439">
        <f>VLOOKUP(CT$8,DFA!$A$1:$E$488,2,FALSE)</f>
        <v>20.29</v>
      </c>
      <c r="CU53" s="439">
        <f>VLOOKUP(CU$8,DFA!$A$1:$E$488,2,FALSE)</f>
        <v>10.7</v>
      </c>
      <c r="CV53" s="439">
        <f>VLOOKUP(CV$8,DFA!$A$1:$E$488,2,FALSE)</f>
        <v>-13.52</v>
      </c>
      <c r="CW53" s="439">
        <f>VLOOKUP(CW$8,DFA!$A$1:$E$488,2,FALSE)</f>
        <v>-13.95</v>
      </c>
      <c r="CX53" s="439">
        <f>VLOOKUP(CX$8,DFA!$A$1:$E$488,2,FALSE)</f>
        <v>6.92</v>
      </c>
      <c r="CY53" s="439">
        <f>VLOOKUP(CY$8,DFA!$A$1:$E$488,2,FALSE)</f>
        <v>-11.45</v>
      </c>
      <c r="CZ53" s="439">
        <f>VLOOKUP(CZ$8,DFA!$A$1:$E$488,2,FALSE)</f>
        <v>-22.4</v>
      </c>
      <c r="DA53" s="439">
        <f>VLOOKUP(DA$8,DFA!$A$1:$E$488,2,FALSE)</f>
        <v>-7.23</v>
      </c>
      <c r="DB53" s="439">
        <f>VLOOKUP(DB$8,DFA!$A$1:$E$488,2,FALSE)</f>
        <v>4.0999999999999996</v>
      </c>
      <c r="DC53" s="439">
        <f>VLOOKUP(DC$8,DFA!$A$1:$E$488,2,FALSE)</f>
        <v>1.96</v>
      </c>
      <c r="DD53" s="439">
        <f>VLOOKUP(DD$8,DFA!$A$1:$E$488,2,FALSE)</f>
        <v>-11.51</v>
      </c>
      <c r="DE53" s="439">
        <f>VLOOKUP(DE$8,DFA!$A$1:$E$488,2,FALSE)</f>
        <v>4.24</v>
      </c>
      <c r="DF53" s="439">
        <f>VLOOKUP(DF$8,DFA!$A$1:$E$488,2,FALSE)</f>
        <v>4.2300000000000004</v>
      </c>
      <c r="DG53" s="439">
        <f>VLOOKUP(DG$8,DFA!$A$1:$E$488,2,FALSE)</f>
        <v>0.94</v>
      </c>
      <c r="DH53" s="439">
        <f>VLOOKUP(DH$8,DFA!$A$1:$E$488,2,FALSE)</f>
        <v>-2.96</v>
      </c>
      <c r="DI53" s="439">
        <f>VLOOKUP(DI$8,DFA!$A$1:$E$488,2,FALSE)</f>
        <v>-3.49</v>
      </c>
      <c r="DJ53" s="439">
        <f>VLOOKUP(DJ$8,DFA!$A$1:$E$488,2,FALSE)</f>
        <v>-1.33</v>
      </c>
      <c r="DK53" s="439">
        <f>VLOOKUP(DK$8,DFA!$A$1:$E$488,2,FALSE)</f>
        <v>-7.45</v>
      </c>
      <c r="DL53" s="439">
        <f>VLOOKUP(DL$8,DFA!$A$1:$E$488,2,FALSE)</f>
        <v>0.49</v>
      </c>
      <c r="DM53" s="439">
        <f>VLOOKUP(DM$8,DFA!$A$1:$E$488,2,FALSE)</f>
        <v>0.12</v>
      </c>
      <c r="DN53" s="439">
        <f>VLOOKUP(DN$8,DFA!$A$1:$E$488,2,FALSE)</f>
        <v>-0.55000000000000004</v>
      </c>
      <c r="DO53" s="439">
        <f>VLOOKUP(DO$8,DFA!$A$1:$E$488,2,FALSE)</f>
        <v>-7.93</v>
      </c>
      <c r="DP53" s="439">
        <f>VLOOKUP(DP$8,DFA!$A$1:$E$488,2,FALSE)</f>
        <v>-1.38</v>
      </c>
      <c r="DQ53" s="439">
        <f>VLOOKUP(DQ$8,DFA!$A$1:$E$488,2,FALSE)</f>
        <v>4.72</v>
      </c>
      <c r="DR53" s="439">
        <f>VLOOKUP(DR$8,DFA!$A$1:$E$488,2,FALSE)</f>
        <v>2.4300000000000002</v>
      </c>
      <c r="DS53" s="439">
        <f>VLOOKUP(DS$8,DFA!$A$1:$E$488,2,FALSE)</f>
        <v>0.67</v>
      </c>
      <c r="DT53" s="439">
        <f>VLOOKUP(DT$8,DFA!$A$1:$E$488,2,FALSE)</f>
        <v>-0.45</v>
      </c>
      <c r="DU53" s="439">
        <f>VLOOKUP(DU$8,DFA!$A$1:$E$488,2,FALSE)</f>
        <v>2.2000000000000002</v>
      </c>
      <c r="DV53" s="439">
        <f>VLOOKUP(DV$8,DFA!$A$1:$E$488,2,FALSE)</f>
        <v>0.55000000000000004</v>
      </c>
      <c r="DW53" s="439">
        <f>VLOOKUP(DW$8,DFA!$A$1:$E$488,2,FALSE)</f>
        <v>3.58</v>
      </c>
      <c r="DX53" s="439">
        <f>VLOOKUP(DX$8,DFA!$A$1:$E$488,2,FALSE)</f>
        <v>4.97</v>
      </c>
      <c r="DY53" s="439">
        <f>VLOOKUP(DY$8,DFA!$A$1:$E$488,2,FALSE)</f>
        <v>0.94</v>
      </c>
      <c r="DZ53" s="439">
        <f>VLOOKUP(DZ$8,DFA!$A$1:$E$488,2,FALSE)</f>
        <v>2.11</v>
      </c>
      <c r="EA53" s="439">
        <f>VLOOKUP(EA$8,DFA!$A$1:$E$488,2,FALSE)</f>
        <v>-3.34</v>
      </c>
      <c r="EB53" s="439">
        <f>VLOOKUP(EB$8,DFA!$A$1:$E$488,2,FALSE)</f>
        <v>0.57999999999999996</v>
      </c>
      <c r="EC53" s="439">
        <f>VLOOKUP(EC$8,DFA!$A$1:$E$488,2,FALSE)</f>
        <v>-3.73</v>
      </c>
      <c r="ED53" s="439">
        <f>VLOOKUP(ED$8,DFA!$A$1:$E$488,2,FALSE)</f>
        <v>1.43</v>
      </c>
      <c r="EE53" s="439">
        <f>VLOOKUP(EE$8,DFA!$A$1:$E$488,2,FALSE)</f>
        <v>4.12</v>
      </c>
      <c r="EF53" s="439">
        <f>VLOOKUP(EF$8,DFA!$A$1:$E$488,2,FALSE)</f>
        <v>-0.78</v>
      </c>
      <c r="EG53" s="439">
        <f>VLOOKUP(EG$8,DFA!$A$1:$E$488,2,FALSE)</f>
        <v>8.1</v>
      </c>
      <c r="EH53" s="439">
        <f>VLOOKUP(EH$8,DFA!$A$1:$E$488,2,FALSE)</f>
        <v>0.45</v>
      </c>
      <c r="EI53" s="439">
        <f>VLOOKUP(EI$8,DFA!$A$1:$E$488,2,FALSE)</f>
        <v>4.79</v>
      </c>
      <c r="EJ53" s="439">
        <f>VLOOKUP(EJ$8,DFA!$A$1:$E$488,2,FALSE)</f>
        <v>-2.75</v>
      </c>
      <c r="EK53" s="439">
        <f>VLOOKUP(EK$8,DFA!$A$1:$E$488,2,FALSE)</f>
        <v>0.16</v>
      </c>
      <c r="EL53" s="439">
        <f>VLOOKUP(EL$8,DFA!$A$1:$E$488,2,FALSE)</f>
        <v>-1.6</v>
      </c>
      <c r="EM53" s="439">
        <f>VLOOKUP(EM$8,DFA!$A$1:$E$488,2,FALSE)</f>
        <v>6.39</v>
      </c>
      <c r="EN53" s="439">
        <f>VLOOKUP(EN$8,DFA!$A$1:$E$488,2,FALSE)</f>
        <v>3.7</v>
      </c>
      <c r="EO53" s="439">
        <f>VLOOKUP(EO$8,DFA!$A$1:$E$488,2,FALSE)</f>
        <v>6.49</v>
      </c>
      <c r="EP53" s="439">
        <f>VLOOKUP(EP$8,DFA!$A$1:$E$488,2,FALSE)</f>
        <v>-6.47</v>
      </c>
      <c r="EQ53" s="439">
        <f>VLOOKUP(EQ$8,DFA!$A$1:$E$488,2,FALSE)</f>
        <v>-1.33</v>
      </c>
      <c r="ER53" s="439">
        <f>VLOOKUP(ER$8,DFA!$A$1:$E$488,2,FALSE)</f>
        <v>2.86</v>
      </c>
      <c r="ES53" s="439">
        <f>VLOOKUP(ES$8,DFA!$A$1:$E$488,2,FALSE)</f>
        <v>-3.12</v>
      </c>
      <c r="ET53" s="439">
        <f>VLOOKUP(ET$8,DFA!$A$1:$E$488,2,FALSE)</f>
        <v>2.93</v>
      </c>
      <c r="EU53" s="439">
        <f>VLOOKUP(EU$8,DFA!$A$1:$E$488,2,FALSE)</f>
        <v>9.17</v>
      </c>
      <c r="EV53" s="439">
        <f>VLOOKUP(EV$8,DFA!$A$1:$E$488,2,FALSE)</f>
        <v>0.87</v>
      </c>
      <c r="EW53" s="439">
        <f>VLOOKUP(EW$8,DFA!$A$1:$E$488,2,FALSE)</f>
        <v>4.82</v>
      </c>
      <c r="EX53" s="393" t="s">
        <v>54</v>
      </c>
      <c r="EY53" s="1066" t="s">
        <v>488</v>
      </c>
      <c r="EZ53" s="789">
        <f>VLOOKUP($EY53,'NEPC data'!$B44:$M231,5,TRUE)*100</f>
        <v>-17.621443719999995</v>
      </c>
      <c r="FA53" s="789">
        <f>VLOOKUP($EY53,'NEPC data'!$B44:$M231,7,TRUE)*100</f>
        <v>-42.702870919179546</v>
      </c>
      <c r="FB53" s="789">
        <f>VLOOKUP($EY53,'NEPC data'!$B44:$M231,9,TRUE)*100</f>
        <v>-19.169112435498082</v>
      </c>
      <c r="FC53" s="789">
        <f>VLOOKUP($EY53,'NEPC data'!$B44:$M231,10,TRUE)*100</f>
        <v>-5.7447616931324603</v>
      </c>
      <c r="FD53" s="789">
        <f>VLOOKUP($EY53,'NEPC data'!$B44:$M231,11,TRUE)*100</f>
        <v>5.4204966001882848</v>
      </c>
      <c r="FE53" s="382"/>
      <c r="FF53" s="441">
        <f>IF(G53="---","-",ABS(EZ53-G53))</f>
        <v>23.502328644456636</v>
      </c>
      <c r="FG53" s="441">
        <f>IF(I53="---","-",ABS(FA53-I53))</f>
        <v>68.928074415302305</v>
      </c>
      <c r="FH53" s="441">
        <f>IF(K53="---","-",ABS(FB53-K53))</f>
        <v>43.194121074540703</v>
      </c>
      <c r="FI53" s="441">
        <f>IF(M53="---","-",ABS(FC53-M53))</f>
        <v>25.95722711906113</v>
      </c>
      <c r="FJ53" s="441">
        <f>IF(Q53="---","-",ABS(FD53-Q53))</f>
        <v>7.0338749600878483</v>
      </c>
      <c r="FK53" s="382"/>
      <c r="FL53" s="442">
        <f>AF53</f>
        <v>11.135166207957425</v>
      </c>
      <c r="FM53" s="442">
        <f>ABS(FL53-AF53)</f>
        <v>0</v>
      </c>
    </row>
    <row r="54" spans="1:169" s="1028" customFormat="1" ht="12.75" customHeight="1" x14ac:dyDescent="0.2">
      <c r="A54" s="1234" t="s">
        <v>336</v>
      </c>
      <c r="B54" s="1024"/>
      <c r="C54" s="1235"/>
      <c r="D54" s="1218"/>
      <c r="E54" s="1237"/>
      <c r="F54" s="1220">
        <f>AH54</f>
        <v>4.4784600000000001</v>
      </c>
      <c r="G54" s="1023">
        <f t="array" ref="G54">IF($AJ54=0,"---",(PRODUCT($AH54:AJ54/100+1)-1)*100)</f>
        <v>3.0899606659201773</v>
      </c>
      <c r="H54" s="432">
        <f t="array" ref="H54">IF($AS54=0,"---",(PRODUCT(AH54:AN54/100+1)-1)*100)</f>
        <v>7.5179302565674178</v>
      </c>
      <c r="I54" s="1023">
        <f t="array" ref="I54">IF(AS54=0,"---",(GEOMEAN($AH54:AS54/100+1)^12-1)*100)</f>
        <v>20.919893021662283</v>
      </c>
      <c r="J54" s="1023">
        <f t="array" ref="J54">IF(BE54=0,"---",(GEOMEAN($AH54:BE54/100+1)^12-1)*100)</f>
        <v>24.273186739459085</v>
      </c>
      <c r="K54" s="1023">
        <f t="array" ref="K54">IF(BQ54=0,"---",(GEOMEAN($AH54:BQ54/100+1)^12-1)*100)</f>
        <v>21.984814468599279</v>
      </c>
      <c r="L54" s="1023">
        <f t="array" ref="L54">IF(CC54=0,"---",(GEOMEAN($AH54:CC54/100+1)^12-1)*100)</f>
        <v>21.476388602161588</v>
      </c>
      <c r="M54" s="1023">
        <f t="array" ref="M54">IF(CO54=0,"---",(GEOMEAN($AH54:CO54/100+1)^12-1)*100)</f>
        <v>18.120210570679184</v>
      </c>
      <c r="N54" s="1023">
        <f t="array" ref="N54">IF(DM54=0,"---",(GEOMEAN($AH54:DM54/100+1)^12-1)*100)</f>
        <v>7.9162711091952831</v>
      </c>
      <c r="O54" s="1023">
        <f t="array" ref="O54">IF(EK54=0,"---",(GEOMEAN($AH54:EK54/100+1)^12-1)*100)</f>
        <v>8.8282398344936794</v>
      </c>
      <c r="P54" s="1023">
        <f t="array" ref="P54">IF(EW54=0,"---",(GEOMEAN($AH54:EW54/100+1)^12-1)*100)</f>
        <v>10.133784329094663</v>
      </c>
      <c r="Q54" s="1238" t="s">
        <v>34</v>
      </c>
      <c r="R54" s="1218"/>
      <c r="S54" s="1218"/>
      <c r="T54" s="1218"/>
      <c r="U54" s="1218"/>
      <c r="V54" s="1218"/>
      <c r="W54" s="1218"/>
      <c r="X54" s="1218"/>
      <c r="Y54" s="1218"/>
      <c r="Z54" s="1218"/>
      <c r="AA54" s="1218"/>
      <c r="AB54" s="1218"/>
      <c r="AC54" s="1222"/>
      <c r="AD54" s="1233"/>
      <c r="AF54" s="1027"/>
      <c r="AG54" s="1024"/>
      <c r="AH54" s="1025">
        <f t="shared" ref="AH54:BM54" si="43">VLOOKUP(AH$8,Index,16,FALSE)</f>
        <v>4.4784600000000001</v>
      </c>
      <c r="AI54" s="1025">
        <f t="shared" si="43"/>
        <v>-5.0464599999999997</v>
      </c>
      <c r="AJ54" s="1025">
        <f t="shared" si="43"/>
        <v>3.9150499999999999</v>
      </c>
      <c r="AK54" s="1025">
        <f t="shared" si="43"/>
        <v>0.68401999999999996</v>
      </c>
      <c r="AL54" s="1025">
        <f t="shared" si="43"/>
        <v>-2.23902</v>
      </c>
      <c r="AM54" s="1025">
        <f t="shared" si="43"/>
        <v>1.2756000000000001</v>
      </c>
      <c r="AN54" s="1025">
        <f t="shared" si="43"/>
        <v>4.6245500000000002</v>
      </c>
      <c r="AO54" s="1025">
        <f t="shared" si="43"/>
        <v>-3.6123099999999999</v>
      </c>
      <c r="AP54" s="1025">
        <f t="shared" si="43"/>
        <v>1.58893</v>
      </c>
      <c r="AQ54" s="1025">
        <f t="shared" si="43"/>
        <v>4.22879</v>
      </c>
      <c r="AR54" s="1025">
        <f t="shared" si="43"/>
        <v>3.5196999999999998</v>
      </c>
      <c r="AS54" s="1025">
        <f t="shared" si="43"/>
        <v>6.4481700000000002</v>
      </c>
      <c r="AT54" s="1025">
        <f t="shared" si="43"/>
        <v>-3.3401200000000002</v>
      </c>
      <c r="AU54" s="1025">
        <f t="shared" si="43"/>
        <v>6.4479499999999996</v>
      </c>
      <c r="AV54" s="1025">
        <f t="shared" si="43"/>
        <v>1.8499999999999999E-2</v>
      </c>
      <c r="AW54" s="1025">
        <f t="shared" si="43"/>
        <v>4.3212200000000003</v>
      </c>
      <c r="AX54" s="1025">
        <f t="shared" si="43"/>
        <v>5.0840000000000003E-2</v>
      </c>
      <c r="AY54" s="1025">
        <f t="shared" si="43"/>
        <v>4.1463200000000002</v>
      </c>
      <c r="AZ54" s="1025">
        <f t="shared" si="43"/>
        <v>1.6636599999999999</v>
      </c>
      <c r="BA54" s="1025">
        <f t="shared" si="43"/>
        <v>5.4899699999999996</v>
      </c>
      <c r="BB54" s="1025">
        <f t="shared" si="43"/>
        <v>3.4905200000000001</v>
      </c>
      <c r="BC54" s="1025">
        <f t="shared" si="43"/>
        <v>1.60206</v>
      </c>
      <c r="BD54" s="1025">
        <f t="shared" si="43"/>
        <v>-1.8656699999999999</v>
      </c>
      <c r="BE54" s="1025">
        <f t="shared" si="43"/>
        <v>3.1703600000000001</v>
      </c>
      <c r="BF54" s="1025">
        <f t="shared" si="43"/>
        <v>3.9634999999999998</v>
      </c>
      <c r="BG54" s="1025">
        <f t="shared" si="43"/>
        <v>-0.46000999999999997</v>
      </c>
      <c r="BH54" s="1025">
        <f t="shared" si="43"/>
        <v>4.2984900000000001</v>
      </c>
      <c r="BI54" s="1025">
        <f t="shared" si="43"/>
        <v>-7.1448400000000003</v>
      </c>
      <c r="BJ54" s="1025">
        <f t="shared" si="43"/>
        <v>-1.83449</v>
      </c>
      <c r="BK54" s="1025">
        <f t="shared" si="43"/>
        <v>2.8116500000000002</v>
      </c>
      <c r="BL54" s="1025">
        <f t="shared" si="43"/>
        <v>1.7803100000000001</v>
      </c>
      <c r="BM54" s="1025">
        <f t="shared" si="43"/>
        <v>7.8566799999999999</v>
      </c>
      <c r="BN54" s="1025">
        <f t="shared" ref="BN54:CS54" si="44">VLOOKUP(BN$8,Index,16,FALSE)</f>
        <v>2.0364900000000001</v>
      </c>
      <c r="BO54" s="1025">
        <f t="shared" si="44"/>
        <v>0.68430000000000002</v>
      </c>
      <c r="BP54" s="1025">
        <f t="shared" si="44"/>
        <v>15.424189999999999</v>
      </c>
      <c r="BQ54" s="1025">
        <f t="shared" si="44"/>
        <v>-10.73654</v>
      </c>
      <c r="BR54" s="1025">
        <f t="shared" si="44"/>
        <v>-7.7796900000000004</v>
      </c>
      <c r="BS54" s="1025">
        <f t="shared" si="44"/>
        <v>-2.8616700000000002</v>
      </c>
      <c r="BT54" s="1025">
        <f t="shared" si="44"/>
        <v>-1.4802299999999999</v>
      </c>
      <c r="BU54" s="1025">
        <f t="shared" si="44"/>
        <v>-1.8406499999999999</v>
      </c>
      <c r="BV54" s="1025">
        <f t="shared" si="44"/>
        <v>1.14279</v>
      </c>
      <c r="BW54" s="1025">
        <f t="shared" si="44"/>
        <v>2.0775100000000002</v>
      </c>
      <c r="BX54" s="1025">
        <f t="shared" si="44"/>
        <v>4.23095</v>
      </c>
      <c r="BY54" s="1025">
        <f t="shared" si="44"/>
        <v>-5.6059999999999999E-2</v>
      </c>
      <c r="BZ54" s="1025">
        <f t="shared" si="44"/>
        <v>8.89499</v>
      </c>
      <c r="CA54" s="1025">
        <f t="shared" si="44"/>
        <v>2.4909500000000002</v>
      </c>
      <c r="CB54" s="1025">
        <f t="shared" si="44"/>
        <v>3.9102000000000001</v>
      </c>
      <c r="CC54" s="1025">
        <f t="shared" si="44"/>
        <v>11.02177</v>
      </c>
      <c r="CD54" s="1025">
        <f t="shared" si="44"/>
        <v>-7.7938299999999998</v>
      </c>
      <c r="CE54" s="1025">
        <f t="shared" si="44"/>
        <v>6.6676000000000002</v>
      </c>
      <c r="CF54" s="1025">
        <f t="shared" si="44"/>
        <v>-8.30471</v>
      </c>
      <c r="CG54" s="1025">
        <f t="shared" si="44"/>
        <v>-8.3945799999999995</v>
      </c>
      <c r="CH54" s="1025">
        <f t="shared" si="44"/>
        <v>6.6516500000000001</v>
      </c>
      <c r="CI54" s="1025">
        <f t="shared" si="44"/>
        <v>7.7732700000000001</v>
      </c>
      <c r="CJ54" s="1025">
        <f t="shared" si="44"/>
        <v>4.8026799999999996</v>
      </c>
      <c r="CK54" s="1025">
        <f t="shared" si="44"/>
        <v>-2.6684199999999998</v>
      </c>
      <c r="CL54" s="1025">
        <f t="shared" si="44"/>
        <v>8.1142800000000008</v>
      </c>
      <c r="CM54" s="1025">
        <f t="shared" si="44"/>
        <v>3.1040000000000001</v>
      </c>
      <c r="CN54" s="1025">
        <f t="shared" si="44"/>
        <v>-6.32</v>
      </c>
      <c r="CO54" s="1025">
        <f t="shared" si="44"/>
        <v>4.3956999999999997</v>
      </c>
      <c r="CP54" s="1025">
        <f t="shared" si="44"/>
        <v>3.3153000000000001</v>
      </c>
      <c r="CQ54" s="1025">
        <f t="shared" si="44"/>
        <v>11.3529</v>
      </c>
      <c r="CR54" s="1025">
        <f t="shared" si="44"/>
        <v>1.1850000000000001</v>
      </c>
      <c r="CS54" s="1025">
        <f t="shared" si="44"/>
        <v>0.66820000000000002</v>
      </c>
      <c r="CT54" s="1025">
        <f t="shared" ref="CT54:DY54" si="45">VLOOKUP(CT$8,Index,16,FALSE)</f>
        <v>18.400200000000002</v>
      </c>
      <c r="CU54" s="1025">
        <f t="shared" si="45"/>
        <v>8.3190000000000008</v>
      </c>
      <c r="CV54" s="1025">
        <f t="shared" si="45"/>
        <v>-12.7272</v>
      </c>
      <c r="CW54" s="1025">
        <f t="shared" si="45"/>
        <v>-14.081300000000001</v>
      </c>
      <c r="CX54" s="1025">
        <f t="shared" si="45"/>
        <v>6.7751000000000001</v>
      </c>
      <c r="CY54" s="1025">
        <f t="shared" si="45"/>
        <v>-12.0648</v>
      </c>
      <c r="CZ54" s="1025">
        <f t="shared" si="45"/>
        <v>-19.611499999999999</v>
      </c>
      <c r="DA54" s="1025">
        <f t="shared" si="45"/>
        <v>-5.2915999999999999</v>
      </c>
      <c r="DB54" s="1025">
        <f t="shared" si="45"/>
        <v>4.6087999999999996</v>
      </c>
      <c r="DC54" s="1025">
        <f t="shared" si="45"/>
        <v>3.3130000000000002</v>
      </c>
      <c r="DD54" s="1025">
        <f t="shared" si="45"/>
        <v>-8.8634000000000004</v>
      </c>
      <c r="DE54" s="1025">
        <f t="shared" si="45"/>
        <v>4.1811999999999996</v>
      </c>
      <c r="DF54" s="1025">
        <f t="shared" si="45"/>
        <v>2.7385999999999999</v>
      </c>
      <c r="DG54" s="1025">
        <f t="shared" si="45"/>
        <v>1.0417000000000001</v>
      </c>
      <c r="DH54" s="1025">
        <f t="shared" si="45"/>
        <v>-3.8269000000000002</v>
      </c>
      <c r="DI54" s="1025">
        <f t="shared" si="45"/>
        <v>-3.7391999999999999</v>
      </c>
      <c r="DJ54" s="1025">
        <f t="shared" si="45"/>
        <v>-1.087</v>
      </c>
      <c r="DK54" s="1025">
        <f t="shared" si="45"/>
        <v>-7.0376000000000003</v>
      </c>
      <c r="DL54" s="1025">
        <f t="shared" si="45"/>
        <v>1.2118</v>
      </c>
      <c r="DM54" s="1025">
        <f t="shared" si="45"/>
        <v>0.26269999999999999</v>
      </c>
      <c r="DN54" s="1025">
        <f t="shared" si="45"/>
        <v>1.0337000000000001</v>
      </c>
      <c r="DO54" s="1025">
        <f t="shared" si="45"/>
        <v>-5.9215999999999998</v>
      </c>
      <c r="DP54" s="1025">
        <f t="shared" si="45"/>
        <v>-2.2385000000000002</v>
      </c>
      <c r="DQ54" s="1025">
        <f t="shared" si="45"/>
        <v>4.5654000000000003</v>
      </c>
      <c r="DR54" s="1025">
        <f t="shared" si="45"/>
        <v>1.9710000000000001</v>
      </c>
      <c r="DS54" s="1025">
        <f t="shared" si="45"/>
        <v>1.0370999999999999</v>
      </c>
      <c r="DT54" s="1025">
        <f t="shared" si="45"/>
        <v>-0.95420000000000005</v>
      </c>
      <c r="DU54" s="1025">
        <f t="shared" si="45"/>
        <v>2.0958999999999999</v>
      </c>
      <c r="DV54" s="1025">
        <f t="shared" si="45"/>
        <v>0.87119999999999997</v>
      </c>
      <c r="DW54" s="1025">
        <f t="shared" si="45"/>
        <v>2.8515000000000001</v>
      </c>
      <c r="DX54" s="1025">
        <f t="shared" si="45"/>
        <v>5.0896999999999997</v>
      </c>
      <c r="DY54" s="1025">
        <f t="shared" si="45"/>
        <v>0.97609999999999997</v>
      </c>
      <c r="DZ54" s="1025">
        <f t="shared" ref="DZ54:EW54" si="46">VLOOKUP(DZ$8,Index,16,FALSE)</f>
        <v>2.9889999999999999</v>
      </c>
      <c r="EA54" s="1025">
        <f t="shared" si="46"/>
        <v>-1.3869</v>
      </c>
      <c r="EB54" s="1025">
        <f t="shared" si="46"/>
        <v>1.2283999999999999</v>
      </c>
      <c r="EC54" s="1025">
        <f t="shared" si="46"/>
        <v>-4.1407999999999996</v>
      </c>
      <c r="ED54" s="1025">
        <f t="shared" si="46"/>
        <v>0.26740000000000003</v>
      </c>
      <c r="EE54" s="1025">
        <f t="shared" si="46"/>
        <v>4.8434999999999997</v>
      </c>
      <c r="EF54" s="1025">
        <f t="shared" si="46"/>
        <v>-6.7999999999999996E-3</v>
      </c>
      <c r="EG54" s="1025">
        <f t="shared" si="46"/>
        <v>8.2691999999999997</v>
      </c>
      <c r="EH54" s="1025">
        <f t="shared" si="46"/>
        <v>-0.76770000000000005</v>
      </c>
      <c r="EI54" s="1025">
        <f t="shared" si="46"/>
        <v>4.0566000000000004</v>
      </c>
      <c r="EJ54" s="1025">
        <f t="shared" si="46"/>
        <v>-2.5118</v>
      </c>
      <c r="EK54" s="1025">
        <f t="shared" si="46"/>
        <v>-0.1651</v>
      </c>
      <c r="EL54" s="1025">
        <f t="shared" si="46"/>
        <v>-2.2959000000000001</v>
      </c>
      <c r="EM54" s="1025">
        <f t="shared" si="46"/>
        <v>5.69</v>
      </c>
      <c r="EN54" s="1025">
        <f t="shared" si="46"/>
        <v>4.4219999999999997</v>
      </c>
      <c r="EO54" s="1025">
        <f t="shared" si="46"/>
        <v>6.0991999999999997</v>
      </c>
      <c r="EP54" s="1025">
        <f t="shared" si="46"/>
        <v>-5.1584000000000003</v>
      </c>
      <c r="EQ54" s="1025">
        <f t="shared" si="46"/>
        <v>-2.0587</v>
      </c>
      <c r="ER54" s="1025">
        <f t="shared" si="46"/>
        <v>1.9856</v>
      </c>
      <c r="ES54" s="1025">
        <f t="shared" si="46"/>
        <v>-3.8683000000000001</v>
      </c>
      <c r="ET54" s="1025">
        <f t="shared" si="46"/>
        <v>2.3868999999999998</v>
      </c>
      <c r="EU54" s="1025">
        <f t="shared" si="46"/>
        <v>8.8736999999999995</v>
      </c>
      <c r="EV54" s="1025">
        <f t="shared" si="46"/>
        <v>1.5535000000000001</v>
      </c>
      <c r="EW54" s="1025">
        <f t="shared" si="46"/>
        <v>3.9556</v>
      </c>
      <c r="EX54" s="1230"/>
      <c r="EY54" s="1230"/>
      <c r="EZ54" s="789" t="e">
        <f>VLOOKUP($EY54,'NEPC data'!$B45:$M232,5,TRUE)*100</f>
        <v>#N/A</v>
      </c>
      <c r="FA54" s="789" t="e">
        <f>VLOOKUP($EY54,'NEPC data'!$B45:$M232,7,TRUE)*100</f>
        <v>#N/A</v>
      </c>
      <c r="FB54" s="789" t="e">
        <f>VLOOKUP($EY54,'NEPC data'!$B45:$M232,9,TRUE)*100</f>
        <v>#N/A</v>
      </c>
      <c r="FC54" s="789" t="e">
        <f>VLOOKUP($EY54,'NEPC data'!$B45:$M232,10,TRUE)*100</f>
        <v>#N/A</v>
      </c>
      <c r="FD54" s="789" t="e">
        <f>VLOOKUP($EY54,'NEPC data'!$B45:$M232,11,TRUE)*100</f>
        <v>#N/A</v>
      </c>
      <c r="FE54" s="1024"/>
      <c r="FF54" s="1027"/>
      <c r="FG54" s="1027"/>
      <c r="FH54" s="1027"/>
      <c r="FI54" s="1027"/>
      <c r="FJ54" s="1027"/>
      <c r="FK54" s="1024"/>
      <c r="FL54" s="1027"/>
      <c r="FM54" s="1027"/>
    </row>
    <row r="55" spans="1:169" s="395" customFormat="1" ht="12.75" customHeight="1" x14ac:dyDescent="0.2">
      <c r="A55" s="456"/>
      <c r="B55" s="418"/>
      <c r="C55" s="414"/>
      <c r="D55" s="249"/>
      <c r="E55" s="731"/>
      <c r="F55" s="431"/>
      <c r="G55" s="432"/>
      <c r="H55" s="432"/>
      <c r="I55" s="432"/>
      <c r="J55" s="432"/>
      <c r="K55" s="432"/>
      <c r="L55" s="432"/>
      <c r="M55" s="432"/>
      <c r="N55" s="432"/>
      <c r="O55" s="432"/>
      <c r="P55" s="432"/>
      <c r="Q55" s="458"/>
      <c r="R55" s="249"/>
      <c r="S55" s="249"/>
      <c r="T55" s="249"/>
      <c r="U55" s="249"/>
      <c r="V55" s="249"/>
      <c r="W55" s="249"/>
      <c r="X55" s="249"/>
      <c r="Y55" s="249"/>
      <c r="Z55" s="249"/>
      <c r="AA55" s="249"/>
      <c r="AB55" s="249"/>
      <c r="AC55" s="459"/>
      <c r="AD55" s="463"/>
      <c r="AE55" s="15"/>
      <c r="AF55" s="442"/>
      <c r="AG55" s="382"/>
      <c r="AH55" s="439"/>
      <c r="AI55" s="439"/>
      <c r="AJ55" s="439"/>
      <c r="AK55" s="439"/>
      <c r="AL55" s="439"/>
      <c r="AM55" s="439"/>
      <c r="AN55" s="439"/>
      <c r="AO55" s="439"/>
      <c r="AP55" s="439"/>
      <c r="AQ55" s="439"/>
      <c r="AR55" s="439"/>
      <c r="AS55" s="439"/>
      <c r="AT55" s="439"/>
      <c r="AU55" s="439"/>
      <c r="AV55" s="439"/>
      <c r="AW55" s="439"/>
      <c r="AX55" s="439"/>
      <c r="AY55" s="439"/>
      <c r="AZ55" s="439"/>
      <c r="BA55" s="439"/>
      <c r="BB55" s="439"/>
      <c r="BC55" s="439"/>
      <c r="BD55" s="439"/>
      <c r="BE55" s="439"/>
      <c r="BF55" s="439"/>
      <c r="BG55" s="439"/>
      <c r="BH55" s="439"/>
      <c r="BI55" s="439"/>
      <c r="BJ55" s="439"/>
      <c r="BK55" s="439"/>
      <c r="BL55" s="439"/>
      <c r="BM55" s="439"/>
      <c r="BN55" s="439"/>
      <c r="BO55" s="439"/>
      <c r="BP55" s="439"/>
      <c r="BQ55" s="439"/>
      <c r="BR55" s="439"/>
      <c r="BS55" s="439"/>
      <c r="BT55" s="439"/>
      <c r="BU55" s="439"/>
      <c r="BV55" s="439"/>
      <c r="BW55" s="439"/>
      <c r="BX55" s="439"/>
      <c r="BY55" s="439"/>
      <c r="BZ55" s="439"/>
      <c r="CA55" s="439"/>
      <c r="CB55" s="439"/>
      <c r="CC55" s="439"/>
      <c r="CD55" s="439"/>
      <c r="CE55" s="439"/>
      <c r="CF55" s="439"/>
      <c r="CG55" s="439"/>
      <c r="CH55" s="439"/>
      <c r="CI55" s="439"/>
      <c r="CJ55" s="439"/>
      <c r="CK55" s="439"/>
      <c r="CL55" s="439"/>
      <c r="CM55" s="439"/>
      <c r="CN55" s="439"/>
      <c r="CO55" s="439"/>
      <c r="CP55" s="439"/>
      <c r="CQ55" s="439"/>
      <c r="CR55" s="439"/>
      <c r="CS55" s="439"/>
      <c r="CT55" s="439"/>
      <c r="CU55" s="439"/>
      <c r="CV55" s="439"/>
      <c r="CW55" s="439"/>
      <c r="CX55" s="439"/>
      <c r="CY55" s="439"/>
      <c r="CZ55" s="439"/>
      <c r="DA55" s="439"/>
      <c r="DB55" s="439"/>
      <c r="DC55" s="439"/>
      <c r="DD55" s="439"/>
      <c r="DE55" s="439"/>
      <c r="DF55" s="439"/>
      <c r="DG55" s="439"/>
      <c r="DH55" s="439"/>
      <c r="DI55" s="439"/>
      <c r="DJ55" s="439"/>
      <c r="DK55" s="439"/>
      <c r="DL55" s="439"/>
      <c r="DM55" s="439"/>
      <c r="DN55" s="439"/>
      <c r="DO55" s="439"/>
      <c r="DP55" s="439"/>
      <c r="DQ55" s="439"/>
      <c r="DR55" s="439"/>
      <c r="DS55" s="439"/>
      <c r="DT55" s="439"/>
      <c r="DU55" s="439"/>
      <c r="DV55" s="439"/>
      <c r="DW55" s="439"/>
      <c r="DX55" s="439"/>
      <c r="DY55" s="439"/>
      <c r="DZ55" s="439"/>
      <c r="EA55" s="439"/>
      <c r="EB55" s="439"/>
      <c r="EC55" s="439"/>
      <c r="ED55" s="439"/>
      <c r="EE55" s="439"/>
      <c r="EF55" s="439"/>
      <c r="EG55" s="439"/>
      <c r="EH55" s="439"/>
      <c r="EI55" s="439"/>
      <c r="EJ55" s="439"/>
      <c r="EK55" s="439"/>
      <c r="EL55" s="439"/>
      <c r="EM55" s="439"/>
      <c r="EN55" s="439"/>
      <c r="EO55" s="439"/>
      <c r="EP55" s="439"/>
      <c r="EQ55" s="439"/>
      <c r="ER55" s="439"/>
      <c r="ES55" s="439"/>
      <c r="ET55" s="439"/>
      <c r="EU55" s="439"/>
      <c r="EV55" s="439"/>
      <c r="EW55" s="439"/>
      <c r="EX55" s="393"/>
      <c r="EY55" s="393"/>
      <c r="EZ55" s="789" t="e">
        <f>VLOOKUP($EY55,'NEPC data'!$B46:$M233,5,TRUE)*100</f>
        <v>#N/A</v>
      </c>
      <c r="FA55" s="789" t="e">
        <f>VLOOKUP($EY55,'NEPC data'!$B46:$M233,7,TRUE)*100</f>
        <v>#N/A</v>
      </c>
      <c r="FB55" s="789" t="e">
        <f>VLOOKUP($EY55,'NEPC data'!$B46:$M233,9,TRUE)*100</f>
        <v>#N/A</v>
      </c>
      <c r="FC55" s="789" t="e">
        <f>VLOOKUP($EY55,'NEPC data'!$B46:$M233,10,TRUE)*100</f>
        <v>#N/A</v>
      </c>
      <c r="FD55" s="789" t="e">
        <f>VLOOKUP($EY55,'NEPC data'!$B46:$M233,11,TRUE)*100</f>
        <v>#N/A</v>
      </c>
      <c r="FE55" s="382"/>
      <c r="FF55" s="442"/>
      <c r="FG55" s="442"/>
      <c r="FH55" s="442"/>
      <c r="FI55" s="442"/>
      <c r="FJ55" s="442"/>
      <c r="FK55" s="382"/>
      <c r="FL55" s="442"/>
      <c r="FM55" s="442"/>
    </row>
    <row r="56" spans="1:169" s="207" customFormat="1" ht="12.75" customHeight="1" thickBot="1" x14ac:dyDescent="0.25">
      <c r="A56" s="497" t="s">
        <v>203</v>
      </c>
      <c r="B56" s="622"/>
      <c r="C56" s="498"/>
      <c r="D56" s="499"/>
      <c r="E56" s="500">
        <f>SUM(E46:E54)</f>
        <v>1425.2504052300001</v>
      </c>
      <c r="F56" s="599"/>
      <c r="G56" s="600"/>
      <c r="H56" s="600"/>
      <c r="I56" s="600"/>
      <c r="J56" s="600"/>
      <c r="K56" s="600"/>
      <c r="L56" s="600"/>
      <c r="M56" s="600"/>
      <c r="N56" s="600"/>
      <c r="O56" s="600"/>
      <c r="P56" s="600"/>
      <c r="Q56" s="601"/>
      <c r="R56" s="499"/>
      <c r="S56" s="499"/>
      <c r="T56" s="499"/>
      <c r="U56" s="499"/>
      <c r="V56" s="499"/>
      <c r="W56" s="499"/>
      <c r="X56" s="499"/>
      <c r="Y56" s="604"/>
      <c r="Z56" s="604"/>
      <c r="AA56" s="604"/>
      <c r="AB56" s="604"/>
      <c r="AC56" s="605"/>
      <c r="AD56" s="603"/>
      <c r="AE56" s="501"/>
      <c r="AF56" s="507"/>
      <c r="AG56" s="248"/>
      <c r="AH56" s="503"/>
      <c r="AI56" s="503"/>
      <c r="AJ56" s="503"/>
      <c r="AK56" s="503"/>
      <c r="AL56" s="503"/>
      <c r="AM56" s="503"/>
      <c r="AN56" s="503"/>
      <c r="AO56" s="503"/>
      <c r="AP56" s="503"/>
      <c r="AQ56" s="503"/>
      <c r="AR56" s="503"/>
      <c r="AS56" s="503"/>
      <c r="AT56" s="503"/>
      <c r="AU56" s="503"/>
      <c r="AV56" s="503"/>
      <c r="AW56" s="503"/>
      <c r="AX56" s="503"/>
      <c r="AY56" s="503"/>
      <c r="AZ56" s="503"/>
      <c r="BA56" s="503"/>
      <c r="BB56" s="503"/>
      <c r="BC56" s="503"/>
      <c r="BD56" s="503"/>
      <c r="BE56" s="503"/>
      <c r="BF56" s="503"/>
      <c r="BG56" s="503"/>
      <c r="BH56" s="503"/>
      <c r="BI56" s="503"/>
      <c r="BJ56" s="503"/>
      <c r="BK56" s="503"/>
      <c r="BL56" s="503"/>
      <c r="BM56" s="503"/>
      <c r="BN56" s="503"/>
      <c r="BO56" s="503"/>
      <c r="BP56" s="503"/>
      <c r="BQ56" s="503"/>
      <c r="BR56" s="503"/>
      <c r="BS56" s="503"/>
      <c r="BT56" s="503"/>
      <c r="BU56" s="503"/>
      <c r="BV56" s="503"/>
      <c r="BW56" s="503"/>
      <c r="BX56" s="503"/>
      <c r="BY56" s="503"/>
      <c r="BZ56" s="503"/>
      <c r="CA56" s="503"/>
      <c r="CB56" s="503"/>
      <c r="CC56" s="503"/>
      <c r="CD56" s="503"/>
      <c r="CE56" s="503"/>
      <c r="CF56" s="503"/>
      <c r="CG56" s="503"/>
      <c r="CH56" s="503"/>
      <c r="CI56" s="503"/>
      <c r="CJ56" s="503"/>
      <c r="CK56" s="503"/>
      <c r="CL56" s="503"/>
      <c r="CM56" s="503"/>
      <c r="CN56" s="503"/>
      <c r="CO56" s="503"/>
      <c r="CP56" s="503"/>
      <c r="CQ56" s="503"/>
      <c r="CR56" s="503"/>
      <c r="CS56" s="503"/>
      <c r="CT56" s="503"/>
      <c r="CU56" s="503"/>
      <c r="CV56" s="503"/>
      <c r="CW56" s="503"/>
      <c r="CX56" s="503"/>
      <c r="CY56" s="503"/>
      <c r="CZ56" s="503"/>
      <c r="DA56" s="503"/>
      <c r="DB56" s="503"/>
      <c r="DC56" s="503"/>
      <c r="DD56" s="503"/>
      <c r="DE56" s="503"/>
      <c r="DF56" s="503"/>
      <c r="DG56" s="503"/>
      <c r="DH56" s="503"/>
      <c r="DI56" s="503"/>
      <c r="DJ56" s="503"/>
      <c r="DK56" s="503"/>
      <c r="DL56" s="503"/>
      <c r="DM56" s="503"/>
      <c r="DN56" s="503"/>
      <c r="DO56" s="503"/>
      <c r="DP56" s="503"/>
      <c r="DQ56" s="503"/>
      <c r="DR56" s="503"/>
      <c r="DS56" s="503"/>
      <c r="DT56" s="503"/>
      <c r="DU56" s="503"/>
      <c r="DV56" s="503"/>
      <c r="DW56" s="503"/>
      <c r="DX56" s="503"/>
      <c r="DY56" s="503"/>
      <c r="DZ56" s="503"/>
      <c r="EA56" s="503"/>
      <c r="EB56" s="503"/>
      <c r="EC56" s="503"/>
      <c r="ED56" s="503"/>
      <c r="EE56" s="503"/>
      <c r="EF56" s="503"/>
      <c r="EG56" s="503"/>
      <c r="EH56" s="503"/>
      <c r="EI56" s="503"/>
      <c r="EJ56" s="503"/>
      <c r="EK56" s="503"/>
      <c r="EL56" s="503"/>
      <c r="EM56" s="503"/>
      <c r="EN56" s="503"/>
      <c r="EO56" s="503"/>
      <c r="EP56" s="503"/>
      <c r="EQ56" s="503"/>
      <c r="ER56" s="503"/>
      <c r="ES56" s="503"/>
      <c r="ET56" s="503"/>
      <c r="EU56" s="503"/>
      <c r="EV56" s="503"/>
      <c r="EW56" s="503"/>
      <c r="EX56" s="504"/>
      <c r="EY56" s="1066"/>
      <c r="EZ56" s="789"/>
      <c r="FA56" s="789"/>
      <c r="FB56" s="789"/>
      <c r="FC56" s="789"/>
      <c r="FD56" s="789"/>
      <c r="FE56" s="248"/>
      <c r="FF56" s="505"/>
      <c r="FG56" s="505"/>
      <c r="FH56" s="505"/>
      <c r="FI56" s="505"/>
      <c r="FJ56" s="505"/>
      <c r="FK56" s="248"/>
      <c r="FL56" s="506"/>
      <c r="FM56" s="506"/>
    </row>
    <row r="57" spans="1:169" s="395" customFormat="1" ht="12.75" customHeight="1" x14ac:dyDescent="0.2">
      <c r="A57" s="480"/>
      <c r="B57" s="412"/>
      <c r="C57" s="414"/>
      <c r="D57" s="249"/>
      <c r="E57" s="470"/>
      <c r="F57" s="538"/>
      <c r="G57" s="539"/>
      <c r="H57" s="539"/>
      <c r="I57" s="539"/>
      <c r="J57" s="539"/>
      <c r="K57" s="539"/>
      <c r="L57" s="539"/>
      <c r="M57" s="539"/>
      <c r="N57" s="539"/>
      <c r="O57" s="539"/>
      <c r="P57" s="539"/>
      <c r="Q57" s="540"/>
      <c r="R57" s="541"/>
      <c r="S57" s="541"/>
      <c r="T57" s="541"/>
      <c r="U57" s="541"/>
      <c r="V57" s="541"/>
      <c r="W57" s="541"/>
      <c r="X57" s="541"/>
      <c r="Y57" s="542"/>
      <c r="Z57" s="542"/>
      <c r="AA57" s="542"/>
      <c r="AB57" s="542"/>
      <c r="AC57" s="543"/>
      <c r="AD57" s="544"/>
      <c r="AE57" s="15"/>
      <c r="AF57" s="467"/>
      <c r="AG57" s="418"/>
      <c r="AH57" s="482"/>
      <c r="AI57" s="482"/>
      <c r="AJ57" s="482"/>
      <c r="AK57" s="482"/>
      <c r="AL57" s="482"/>
      <c r="AM57" s="482"/>
      <c r="AN57" s="482"/>
      <c r="AO57" s="482"/>
      <c r="AP57" s="482"/>
      <c r="AQ57" s="482"/>
      <c r="AR57" s="482"/>
      <c r="AS57" s="482"/>
      <c r="AT57" s="482"/>
      <c r="AU57" s="482"/>
      <c r="AV57" s="482"/>
      <c r="AW57" s="482"/>
      <c r="AX57" s="482"/>
      <c r="AY57" s="482"/>
      <c r="AZ57" s="482"/>
      <c r="BA57" s="482"/>
      <c r="BB57" s="482"/>
      <c r="BC57" s="482"/>
      <c r="BD57" s="482"/>
      <c r="BE57" s="482"/>
      <c r="BF57" s="482"/>
      <c r="BG57" s="482"/>
      <c r="BH57" s="482"/>
      <c r="BI57" s="482"/>
      <c r="BJ57" s="482"/>
      <c r="BK57" s="482"/>
      <c r="BL57" s="482"/>
      <c r="BM57" s="482"/>
      <c r="BN57" s="482"/>
      <c r="BO57" s="482"/>
      <c r="BP57" s="482"/>
      <c r="BQ57" s="482"/>
      <c r="BR57" s="482"/>
      <c r="BS57" s="482"/>
      <c r="BT57" s="482"/>
      <c r="BU57" s="482"/>
      <c r="BV57" s="482"/>
      <c r="BW57" s="482"/>
      <c r="BX57" s="482"/>
      <c r="BY57" s="482"/>
      <c r="BZ57" s="482"/>
      <c r="CA57" s="482"/>
      <c r="CB57" s="482"/>
      <c r="CC57" s="482"/>
      <c r="CD57" s="482"/>
      <c r="CE57" s="482"/>
      <c r="CF57" s="482"/>
      <c r="CG57" s="482"/>
      <c r="CH57" s="482"/>
      <c r="CI57" s="482"/>
      <c r="CJ57" s="482"/>
      <c r="CK57" s="482"/>
      <c r="CL57" s="482"/>
      <c r="CM57" s="482"/>
      <c r="CN57" s="482"/>
      <c r="CO57" s="482"/>
      <c r="CP57" s="482"/>
      <c r="CQ57" s="482"/>
      <c r="CR57" s="482"/>
      <c r="CS57" s="482"/>
      <c r="CT57" s="482"/>
      <c r="CU57" s="482"/>
      <c r="CV57" s="482"/>
      <c r="CW57" s="482"/>
      <c r="CX57" s="482"/>
      <c r="CY57" s="482"/>
      <c r="CZ57" s="482"/>
      <c r="DA57" s="482"/>
      <c r="DB57" s="482"/>
      <c r="DC57" s="482"/>
      <c r="DD57" s="482"/>
      <c r="DE57" s="482"/>
      <c r="DF57" s="482"/>
      <c r="DG57" s="482"/>
      <c r="DH57" s="482"/>
      <c r="DI57" s="482"/>
      <c r="DJ57" s="482"/>
      <c r="DK57" s="482"/>
      <c r="DL57" s="482"/>
      <c r="DM57" s="482"/>
      <c r="DN57" s="482"/>
      <c r="DO57" s="482"/>
      <c r="DP57" s="482"/>
      <c r="DQ57" s="482"/>
      <c r="DR57" s="482"/>
      <c r="DS57" s="482"/>
      <c r="DT57" s="482"/>
      <c r="DU57" s="482"/>
      <c r="DV57" s="482"/>
      <c r="DW57" s="482"/>
      <c r="DX57" s="482"/>
      <c r="DY57" s="482"/>
      <c r="DZ57" s="482"/>
      <c r="EA57" s="482"/>
      <c r="EB57" s="482"/>
      <c r="EC57" s="482"/>
      <c r="ED57" s="482"/>
      <c r="EE57" s="482"/>
      <c r="EF57" s="482"/>
      <c r="EG57" s="482"/>
      <c r="EH57" s="482"/>
      <c r="EI57" s="482"/>
      <c r="EJ57" s="482"/>
      <c r="EK57" s="482"/>
      <c r="EL57" s="482"/>
      <c r="EM57" s="482"/>
      <c r="EN57" s="482"/>
      <c r="EO57" s="482"/>
      <c r="EP57" s="482"/>
      <c r="EQ57" s="482"/>
      <c r="ER57" s="482"/>
      <c r="ES57" s="482"/>
      <c r="ET57" s="482"/>
      <c r="EU57" s="482"/>
      <c r="EV57" s="482"/>
      <c r="EW57" s="482"/>
      <c r="EX57" s="393"/>
      <c r="EY57" s="393"/>
      <c r="EZ57" s="789" t="e">
        <f>VLOOKUP($EY57,'NEPC data'!$B48:$M235,5,TRUE)*100</f>
        <v>#N/A</v>
      </c>
      <c r="FA57" s="789" t="e">
        <f>VLOOKUP($EY57,'NEPC data'!$B48:$M235,7,TRUE)*100</f>
        <v>#N/A</v>
      </c>
      <c r="FB57" s="789" t="e">
        <f>VLOOKUP($EY57,'NEPC data'!$B48:$M235,9,TRUE)*100</f>
        <v>#N/A</v>
      </c>
      <c r="FC57" s="789" t="e">
        <f>VLOOKUP($EY57,'NEPC data'!$B48:$M235,10,TRUE)*100</f>
        <v>#N/A</v>
      </c>
      <c r="FD57" s="789" t="e">
        <f>VLOOKUP($EY57,'NEPC data'!$B48:$M235,11,TRUE)*100</f>
        <v>#N/A</v>
      </c>
      <c r="FE57" s="382"/>
      <c r="FF57" s="442"/>
      <c r="FG57" s="442"/>
      <c r="FH57" s="442"/>
      <c r="FI57" s="442"/>
      <c r="FJ57" s="442"/>
      <c r="FK57" s="382"/>
      <c r="FL57" s="442"/>
      <c r="FM57" s="442"/>
    </row>
    <row r="58" spans="1:169" s="207" customFormat="1" ht="12.75" hidden="1" customHeight="1" thickBot="1" x14ac:dyDescent="0.25">
      <c r="A58" s="497" t="s">
        <v>248</v>
      </c>
      <c r="B58" s="622"/>
      <c r="C58" s="498"/>
      <c r="D58" s="499"/>
      <c r="E58" s="500">
        <f>E56+E42+E28</f>
        <v>10596.665514289998</v>
      </c>
      <c r="F58" s="599"/>
      <c r="G58" s="600"/>
      <c r="H58" s="600"/>
      <c r="I58" s="600"/>
      <c r="J58" s="600"/>
      <c r="K58" s="600"/>
      <c r="L58" s="600"/>
      <c r="M58" s="600"/>
      <c r="N58" s="600"/>
      <c r="O58" s="600"/>
      <c r="P58" s="600"/>
      <c r="Q58" s="601"/>
      <c r="R58" s="499"/>
      <c r="S58" s="499"/>
      <c r="T58" s="499"/>
      <c r="U58" s="499"/>
      <c r="V58" s="499"/>
      <c r="W58" s="499"/>
      <c r="X58" s="499"/>
      <c r="Y58" s="604"/>
      <c r="Z58" s="604"/>
      <c r="AA58" s="604"/>
      <c r="AB58" s="604"/>
      <c r="AC58" s="605"/>
      <c r="AD58" s="603"/>
      <c r="AE58" s="501"/>
      <c r="AF58" s="502"/>
      <c r="AG58" s="248"/>
      <c r="AH58" s="503"/>
      <c r="AI58" s="503"/>
      <c r="AJ58" s="503"/>
      <c r="AK58" s="503"/>
      <c r="AL58" s="503"/>
      <c r="AM58" s="503"/>
      <c r="AN58" s="503"/>
      <c r="AO58" s="503"/>
      <c r="AP58" s="503"/>
      <c r="AQ58" s="503"/>
      <c r="AR58" s="503"/>
      <c r="AS58" s="503"/>
      <c r="AT58" s="503"/>
      <c r="AU58" s="503"/>
      <c r="AV58" s="503"/>
      <c r="AW58" s="503"/>
      <c r="AX58" s="503"/>
      <c r="AY58" s="503"/>
      <c r="AZ58" s="503"/>
      <c r="BA58" s="503"/>
      <c r="BB58" s="503"/>
      <c r="BC58" s="503"/>
      <c r="BD58" s="503"/>
      <c r="BE58" s="503"/>
      <c r="BF58" s="503"/>
      <c r="BG58" s="503"/>
      <c r="BH58" s="503"/>
      <c r="BI58" s="503"/>
      <c r="BJ58" s="503"/>
      <c r="BK58" s="503"/>
      <c r="BL58" s="503"/>
      <c r="BM58" s="503"/>
      <c r="BN58" s="503"/>
      <c r="BO58" s="503"/>
      <c r="BP58" s="503"/>
      <c r="BQ58" s="503"/>
      <c r="BR58" s="503"/>
      <c r="BS58" s="503"/>
      <c r="BT58" s="503"/>
      <c r="BU58" s="503"/>
      <c r="BV58" s="503"/>
      <c r="BW58" s="503"/>
      <c r="BX58" s="503"/>
      <c r="BY58" s="503"/>
      <c r="BZ58" s="503"/>
      <c r="CA58" s="503"/>
      <c r="CB58" s="503"/>
      <c r="CC58" s="503"/>
      <c r="CD58" s="503"/>
      <c r="CE58" s="503"/>
      <c r="CF58" s="503"/>
      <c r="CG58" s="503"/>
      <c r="CH58" s="503"/>
      <c r="CI58" s="503"/>
      <c r="CJ58" s="503"/>
      <c r="CK58" s="503"/>
      <c r="CL58" s="503"/>
      <c r="CM58" s="503"/>
      <c r="CN58" s="503"/>
      <c r="CO58" s="503"/>
      <c r="CP58" s="503"/>
      <c r="CQ58" s="503"/>
      <c r="CR58" s="503"/>
      <c r="CS58" s="503"/>
      <c r="CT58" s="503"/>
      <c r="CU58" s="503"/>
      <c r="CV58" s="503"/>
      <c r="CW58" s="503"/>
      <c r="CX58" s="503"/>
      <c r="CY58" s="503"/>
      <c r="CZ58" s="503"/>
      <c r="DA58" s="503"/>
      <c r="DB58" s="503"/>
      <c r="DC58" s="503"/>
      <c r="DD58" s="503"/>
      <c r="DE58" s="503"/>
      <c r="DF58" s="503"/>
      <c r="DG58" s="503"/>
      <c r="DH58" s="503"/>
      <c r="DI58" s="503"/>
      <c r="DJ58" s="503"/>
      <c r="DK58" s="503"/>
      <c r="DL58" s="503"/>
      <c r="DM58" s="503"/>
      <c r="DN58" s="503"/>
      <c r="DO58" s="503"/>
      <c r="DP58" s="503"/>
      <c r="DQ58" s="503"/>
      <c r="DR58" s="503"/>
      <c r="DS58" s="503"/>
      <c r="DT58" s="503"/>
      <c r="DU58" s="503"/>
      <c r="DV58" s="503"/>
      <c r="DW58" s="503"/>
      <c r="DX58" s="503"/>
      <c r="DY58" s="503"/>
      <c r="DZ58" s="503"/>
      <c r="EA58" s="503"/>
      <c r="EB58" s="503"/>
      <c r="EC58" s="503"/>
      <c r="ED58" s="503"/>
      <c r="EE58" s="503"/>
      <c r="EF58" s="503"/>
      <c r="EG58" s="503"/>
      <c r="EH58" s="503"/>
      <c r="EI58" s="503"/>
      <c r="EJ58" s="503"/>
      <c r="EK58" s="503"/>
      <c r="EL58" s="503"/>
      <c r="EM58" s="503"/>
      <c r="EN58" s="503"/>
      <c r="EO58" s="503"/>
      <c r="EP58" s="503"/>
      <c r="EQ58" s="503"/>
      <c r="ER58" s="503"/>
      <c r="ES58" s="503"/>
      <c r="ET58" s="503"/>
      <c r="EU58" s="503"/>
      <c r="EV58" s="503"/>
      <c r="EW58" s="503"/>
      <c r="EX58" s="504"/>
      <c r="EY58" s="1066"/>
      <c r="EZ58" s="789"/>
      <c r="FA58" s="789"/>
      <c r="FB58" s="789"/>
      <c r="FC58" s="789"/>
      <c r="FD58" s="789"/>
      <c r="FE58" s="248"/>
      <c r="FF58" s="505"/>
      <c r="FG58" s="505"/>
      <c r="FH58" s="505"/>
      <c r="FI58" s="505"/>
      <c r="FJ58" s="505"/>
      <c r="FK58" s="248"/>
      <c r="FL58" s="506"/>
      <c r="FM58" s="506"/>
    </row>
    <row r="59" spans="1:169" s="395" customFormat="1" ht="12.75" customHeight="1" x14ac:dyDescent="0.2">
      <c r="A59" s="464"/>
      <c r="B59" s="515"/>
      <c r="C59" s="465"/>
      <c r="D59" s="249"/>
      <c r="E59" s="457"/>
      <c r="F59" s="466"/>
      <c r="G59" s="467"/>
      <c r="H59" s="467"/>
      <c r="I59" s="467"/>
      <c r="J59" s="467"/>
      <c r="K59" s="467"/>
      <c r="L59" s="467"/>
      <c r="M59" s="467"/>
      <c r="N59" s="467"/>
      <c r="O59" s="467"/>
      <c r="P59" s="467"/>
      <c r="Q59" s="468"/>
      <c r="R59" s="249"/>
      <c r="S59" s="249"/>
      <c r="T59" s="249"/>
      <c r="U59" s="249"/>
      <c r="V59" s="249"/>
      <c r="W59" s="249"/>
      <c r="X59" s="249"/>
      <c r="Y59" s="249"/>
      <c r="Z59" s="249"/>
      <c r="AA59" s="249"/>
      <c r="AB59" s="249"/>
      <c r="AC59" s="459"/>
      <c r="AD59" s="463"/>
      <c r="AE59" s="15"/>
      <c r="AF59" s="442"/>
      <c r="AG59" s="382"/>
      <c r="AH59" s="440"/>
      <c r="AI59" s="440"/>
      <c r="AJ59" s="440"/>
      <c r="AK59" s="440"/>
      <c r="AL59" s="440"/>
      <c r="AM59" s="440"/>
      <c r="AN59" s="440"/>
      <c r="AO59" s="440"/>
      <c r="AP59" s="440"/>
      <c r="AQ59" s="440"/>
      <c r="AR59" s="440"/>
      <c r="AS59" s="440"/>
      <c r="AT59" s="440"/>
      <c r="AU59" s="440"/>
      <c r="AV59" s="440"/>
      <c r="AW59" s="440"/>
      <c r="AX59" s="440"/>
      <c r="AY59" s="440"/>
      <c r="AZ59" s="440"/>
      <c r="BA59" s="440"/>
      <c r="BB59" s="440"/>
      <c r="BC59" s="440"/>
      <c r="BD59" s="440"/>
      <c r="BE59" s="440"/>
      <c r="BF59" s="440"/>
      <c r="BG59" s="440"/>
      <c r="BH59" s="440"/>
      <c r="BI59" s="440"/>
      <c r="BJ59" s="440"/>
      <c r="BK59" s="440"/>
      <c r="BL59" s="440"/>
      <c r="BM59" s="440"/>
      <c r="BN59" s="440"/>
      <c r="BO59" s="440"/>
      <c r="BP59" s="440"/>
      <c r="BQ59" s="440"/>
      <c r="BR59" s="440"/>
      <c r="BS59" s="440"/>
      <c r="BT59" s="440"/>
      <c r="BU59" s="440"/>
      <c r="BV59" s="440"/>
      <c r="BW59" s="440"/>
      <c r="BX59" s="440"/>
      <c r="BY59" s="440"/>
      <c r="BZ59" s="440"/>
      <c r="CA59" s="440"/>
      <c r="CB59" s="440"/>
      <c r="CC59" s="440"/>
      <c r="CD59" s="440"/>
      <c r="CE59" s="440"/>
      <c r="CF59" s="440"/>
      <c r="CG59" s="440"/>
      <c r="CH59" s="440"/>
      <c r="CI59" s="440"/>
      <c r="CJ59" s="440"/>
      <c r="CK59" s="440"/>
      <c r="CL59" s="440"/>
      <c r="CM59" s="440"/>
      <c r="CN59" s="440"/>
      <c r="CO59" s="440"/>
      <c r="CP59" s="440"/>
      <c r="CQ59" s="440"/>
      <c r="CR59" s="440"/>
      <c r="CS59" s="440"/>
      <c r="CT59" s="440"/>
      <c r="CU59" s="440"/>
      <c r="CV59" s="440"/>
      <c r="CW59" s="440"/>
      <c r="CX59" s="440"/>
      <c r="CY59" s="440"/>
      <c r="CZ59" s="440"/>
      <c r="DA59" s="440"/>
      <c r="DB59" s="440"/>
      <c r="DC59" s="440"/>
      <c r="DD59" s="440"/>
      <c r="DE59" s="440"/>
      <c r="DF59" s="440"/>
      <c r="DG59" s="440"/>
      <c r="DH59" s="440"/>
      <c r="DI59" s="440"/>
      <c r="DJ59" s="440"/>
      <c r="DK59" s="440"/>
      <c r="DL59" s="440"/>
      <c r="DM59" s="440"/>
      <c r="DN59" s="440"/>
      <c r="DO59" s="440"/>
      <c r="DP59" s="440"/>
      <c r="DQ59" s="440"/>
      <c r="DR59" s="440"/>
      <c r="DS59" s="440"/>
      <c r="DT59" s="440"/>
      <c r="DU59" s="440"/>
      <c r="DV59" s="440"/>
      <c r="DW59" s="440"/>
      <c r="DX59" s="440"/>
      <c r="DY59" s="440"/>
      <c r="DZ59" s="440"/>
      <c r="EA59" s="440"/>
      <c r="EB59" s="440"/>
      <c r="EC59" s="440"/>
      <c r="ED59" s="440"/>
      <c r="EE59" s="440"/>
      <c r="EF59" s="440"/>
      <c r="EG59" s="440"/>
      <c r="EH59" s="440"/>
      <c r="EI59" s="440"/>
      <c r="EJ59" s="440"/>
      <c r="EK59" s="440"/>
      <c r="EL59" s="440"/>
      <c r="EM59" s="440"/>
      <c r="EN59" s="440"/>
      <c r="EO59" s="440"/>
      <c r="EP59" s="440"/>
      <c r="EQ59" s="440"/>
      <c r="ER59" s="440"/>
      <c r="ES59" s="440"/>
      <c r="ET59" s="440"/>
      <c r="EU59" s="440"/>
      <c r="EV59" s="440"/>
      <c r="EW59" s="440"/>
      <c r="EX59" s="393"/>
      <c r="EY59" s="393"/>
      <c r="EZ59" s="789" t="e">
        <f>VLOOKUP($EY59,'NEPC data'!$B50:$M237,5,TRUE)*100</f>
        <v>#N/A</v>
      </c>
      <c r="FA59" s="789" t="e">
        <f>VLOOKUP($EY59,'NEPC data'!$B50:$M237,7,TRUE)*100</f>
        <v>#N/A</v>
      </c>
      <c r="FB59" s="789" t="e">
        <f>VLOOKUP($EY59,'NEPC data'!$B50:$M237,9,TRUE)*100</f>
        <v>#N/A</v>
      </c>
      <c r="FC59" s="789" t="e">
        <f>VLOOKUP($EY59,'NEPC data'!$B50:$M237,10,TRUE)*100</f>
        <v>#N/A</v>
      </c>
      <c r="FD59" s="789" t="e">
        <f>VLOOKUP($EY59,'NEPC data'!$B50:$M237,11,TRUE)*100</f>
        <v>#N/A</v>
      </c>
      <c r="FE59" s="382"/>
      <c r="FF59" s="442"/>
      <c r="FG59" s="442"/>
      <c r="FH59" s="442"/>
      <c r="FI59" s="442"/>
      <c r="FJ59" s="442"/>
      <c r="FK59" s="382"/>
      <c r="FL59" s="442"/>
      <c r="FM59" s="442"/>
    </row>
    <row r="60" spans="1:169" s="395" customFormat="1" ht="12.75" customHeight="1" x14ac:dyDescent="0.2">
      <c r="A60" s="425" t="s">
        <v>56</v>
      </c>
      <c r="B60" s="620"/>
      <c r="C60" s="469"/>
      <c r="D60" s="249"/>
      <c r="E60" s="470"/>
      <c r="F60" s="471"/>
      <c r="G60" s="472"/>
      <c r="H60" s="467"/>
      <c r="I60" s="467"/>
      <c r="J60" s="467"/>
      <c r="K60" s="467"/>
      <c r="L60" s="467"/>
      <c r="M60" s="467"/>
      <c r="N60" s="467"/>
      <c r="O60" s="467"/>
      <c r="P60" s="467"/>
      <c r="Q60" s="468"/>
      <c r="R60" s="249"/>
      <c r="S60" s="249"/>
      <c r="T60" s="249"/>
      <c r="U60" s="249"/>
      <c r="V60" s="249"/>
      <c r="W60" s="249"/>
      <c r="X60" s="249"/>
      <c r="Y60" s="249"/>
      <c r="Z60" s="249"/>
      <c r="AA60" s="249"/>
      <c r="AB60" s="249"/>
      <c r="AC60" s="459"/>
      <c r="AD60" s="463"/>
      <c r="AE60" s="15"/>
      <c r="AF60" s="442"/>
      <c r="AG60" s="382"/>
      <c r="AH60" s="440"/>
      <c r="AI60" s="440"/>
      <c r="AJ60" s="440"/>
      <c r="AK60" s="440"/>
      <c r="AL60" s="440"/>
      <c r="AM60" s="440"/>
      <c r="AN60" s="440"/>
      <c r="AO60" s="440"/>
      <c r="AP60" s="440"/>
      <c r="AQ60" s="440"/>
      <c r="AR60" s="440"/>
      <c r="AS60" s="440"/>
      <c r="AT60" s="440"/>
      <c r="AU60" s="440"/>
      <c r="AV60" s="440"/>
      <c r="AW60" s="440"/>
      <c r="AX60" s="440"/>
      <c r="AY60" s="440"/>
      <c r="AZ60" s="440"/>
      <c r="BA60" s="440"/>
      <c r="BB60" s="440"/>
      <c r="BC60" s="440"/>
      <c r="BD60" s="440"/>
      <c r="BE60" s="440"/>
      <c r="BF60" s="440"/>
      <c r="BG60" s="440"/>
      <c r="BH60" s="440"/>
      <c r="BI60" s="440"/>
      <c r="BJ60" s="440"/>
      <c r="BK60" s="440"/>
      <c r="BL60" s="440"/>
      <c r="BM60" s="440"/>
      <c r="BN60" s="440"/>
      <c r="BO60" s="440"/>
      <c r="BP60" s="440"/>
      <c r="BQ60" s="440"/>
      <c r="BR60" s="440"/>
      <c r="BS60" s="440"/>
      <c r="BT60" s="440"/>
      <c r="BU60" s="440"/>
      <c r="BV60" s="440"/>
      <c r="BW60" s="440"/>
      <c r="BX60" s="440"/>
      <c r="BY60" s="440"/>
      <c r="BZ60" s="440"/>
      <c r="CA60" s="440"/>
      <c r="CB60" s="440"/>
      <c r="CC60" s="440"/>
      <c r="CD60" s="440"/>
      <c r="CE60" s="440"/>
      <c r="CF60" s="440"/>
      <c r="CG60" s="440"/>
      <c r="CH60" s="440"/>
      <c r="CI60" s="440"/>
      <c r="CJ60" s="440"/>
      <c r="CK60" s="440"/>
      <c r="CL60" s="440"/>
      <c r="CM60" s="440"/>
      <c r="CN60" s="440"/>
      <c r="CO60" s="440"/>
      <c r="CP60" s="440"/>
      <c r="CQ60" s="440"/>
      <c r="CR60" s="440"/>
      <c r="CS60" s="440"/>
      <c r="CT60" s="440"/>
      <c r="CU60" s="440"/>
      <c r="CV60" s="440"/>
      <c r="CW60" s="440"/>
      <c r="CX60" s="440"/>
      <c r="CY60" s="440"/>
      <c r="CZ60" s="440"/>
      <c r="DA60" s="440"/>
      <c r="DB60" s="440"/>
      <c r="DC60" s="440"/>
      <c r="DD60" s="440"/>
      <c r="DE60" s="440"/>
      <c r="DF60" s="440"/>
      <c r="DG60" s="440"/>
      <c r="DH60" s="440"/>
      <c r="DI60" s="440"/>
      <c r="DJ60" s="440"/>
      <c r="DK60" s="440"/>
      <c r="DL60" s="440"/>
      <c r="DM60" s="440"/>
      <c r="DN60" s="440"/>
      <c r="DO60" s="440"/>
      <c r="DP60" s="440"/>
      <c r="DQ60" s="440"/>
      <c r="DR60" s="440"/>
      <c r="DS60" s="440"/>
      <c r="DT60" s="440"/>
      <c r="DU60" s="440"/>
      <c r="DV60" s="440"/>
      <c r="DW60" s="440"/>
      <c r="DX60" s="440"/>
      <c r="DY60" s="440"/>
      <c r="DZ60" s="440"/>
      <c r="EA60" s="440"/>
      <c r="EB60" s="440"/>
      <c r="EC60" s="440"/>
      <c r="ED60" s="440"/>
      <c r="EE60" s="440"/>
      <c r="EF60" s="440"/>
      <c r="EG60" s="440"/>
      <c r="EH60" s="440"/>
      <c r="EI60" s="440"/>
      <c r="EJ60" s="440"/>
      <c r="EK60" s="440"/>
      <c r="EL60" s="440"/>
      <c r="EM60" s="440"/>
      <c r="EN60" s="440"/>
      <c r="EO60" s="440"/>
      <c r="EP60" s="440"/>
      <c r="EQ60" s="440"/>
      <c r="ER60" s="440"/>
      <c r="ES60" s="440"/>
      <c r="ET60" s="440"/>
      <c r="EU60" s="440"/>
      <c r="EV60" s="440"/>
      <c r="EW60" s="440"/>
      <c r="EX60" s="393"/>
      <c r="EY60" s="393"/>
      <c r="EZ60" s="789" t="e">
        <f>VLOOKUP($EY60,'NEPC data'!$B51:$M238,5,TRUE)*100</f>
        <v>#N/A</v>
      </c>
      <c r="FA60" s="789" t="e">
        <f>VLOOKUP($EY60,'NEPC data'!$B51:$M238,7,TRUE)*100</f>
        <v>#N/A</v>
      </c>
      <c r="FB60" s="789" t="e">
        <f>VLOOKUP($EY60,'NEPC data'!$B51:$M238,9,TRUE)*100</f>
        <v>#N/A</v>
      </c>
      <c r="FC60" s="789" t="e">
        <f>VLOOKUP($EY60,'NEPC data'!$B51:$M238,10,TRUE)*100</f>
        <v>#N/A</v>
      </c>
      <c r="FD60" s="789" t="e">
        <f>VLOOKUP($EY60,'NEPC data'!$B51:$M238,11,TRUE)*100</f>
        <v>#N/A</v>
      </c>
      <c r="FE60" s="382"/>
      <c r="FF60" s="442"/>
      <c r="FG60" s="442"/>
      <c r="FH60" s="442"/>
      <c r="FI60" s="442"/>
      <c r="FJ60" s="442"/>
      <c r="FK60" s="382"/>
      <c r="FL60" s="442"/>
      <c r="FM60" s="442"/>
    </row>
    <row r="61" spans="1:169" s="395" customFormat="1" ht="12.75" customHeight="1" x14ac:dyDescent="0.2">
      <c r="A61" s="425"/>
      <c r="B61" s="620"/>
      <c r="C61" s="469"/>
      <c r="D61" s="249"/>
      <c r="E61" s="470"/>
      <c r="F61" s="471"/>
      <c r="G61" s="472"/>
      <c r="H61" s="467"/>
      <c r="I61" s="467"/>
      <c r="J61" s="467"/>
      <c r="K61" s="467"/>
      <c r="L61" s="467"/>
      <c r="M61" s="467"/>
      <c r="N61" s="467"/>
      <c r="O61" s="467"/>
      <c r="P61" s="467"/>
      <c r="Q61" s="468"/>
      <c r="R61" s="249"/>
      <c r="S61" s="249"/>
      <c r="T61" s="249"/>
      <c r="U61" s="249"/>
      <c r="V61" s="249"/>
      <c r="W61" s="249"/>
      <c r="X61" s="249"/>
      <c r="Y61" s="249"/>
      <c r="Z61" s="249"/>
      <c r="AA61" s="249"/>
      <c r="AB61" s="249"/>
      <c r="AC61" s="459"/>
      <c r="AD61" s="463"/>
      <c r="AE61" s="15"/>
      <c r="AF61" s="442"/>
      <c r="AG61" s="382"/>
      <c r="AH61" s="440"/>
      <c r="AI61" s="440"/>
      <c r="AJ61" s="440"/>
      <c r="AK61" s="440"/>
      <c r="AL61" s="440"/>
      <c r="AM61" s="440"/>
      <c r="AN61" s="440"/>
      <c r="AO61" s="440"/>
      <c r="AP61" s="440"/>
      <c r="AQ61" s="440"/>
      <c r="AR61" s="440"/>
      <c r="AS61" s="440"/>
      <c r="AT61" s="440"/>
      <c r="AU61" s="440"/>
      <c r="AV61" s="440"/>
      <c r="AW61" s="440"/>
      <c r="AX61" s="440"/>
      <c r="AY61" s="440"/>
      <c r="AZ61" s="440"/>
      <c r="BA61" s="440"/>
      <c r="BB61" s="440"/>
      <c r="BC61" s="440"/>
      <c r="BD61" s="440"/>
      <c r="BE61" s="440"/>
      <c r="BF61" s="440"/>
      <c r="BG61" s="440"/>
      <c r="BH61" s="440"/>
      <c r="BI61" s="440"/>
      <c r="BJ61" s="440"/>
      <c r="BK61" s="440"/>
      <c r="BL61" s="440"/>
      <c r="BM61" s="440"/>
      <c r="BN61" s="440"/>
      <c r="BO61" s="440"/>
      <c r="BP61" s="440"/>
      <c r="BQ61" s="440"/>
      <c r="BR61" s="440"/>
      <c r="BS61" s="440"/>
      <c r="BT61" s="440"/>
      <c r="BU61" s="440"/>
      <c r="BV61" s="440"/>
      <c r="BW61" s="440"/>
      <c r="BX61" s="440"/>
      <c r="BY61" s="440"/>
      <c r="BZ61" s="440"/>
      <c r="CA61" s="440"/>
      <c r="CB61" s="440"/>
      <c r="CC61" s="440"/>
      <c r="CD61" s="440"/>
      <c r="CE61" s="440"/>
      <c r="CF61" s="440"/>
      <c r="CG61" s="440"/>
      <c r="CH61" s="440"/>
      <c r="CI61" s="440"/>
      <c r="CJ61" s="440"/>
      <c r="CK61" s="440"/>
      <c r="CL61" s="440"/>
      <c r="CM61" s="440"/>
      <c r="CN61" s="440"/>
      <c r="CO61" s="440"/>
      <c r="CP61" s="440"/>
      <c r="CQ61" s="440"/>
      <c r="CR61" s="440"/>
      <c r="CS61" s="440"/>
      <c r="CT61" s="440"/>
      <c r="CU61" s="440"/>
      <c r="CV61" s="440"/>
      <c r="CW61" s="440"/>
      <c r="CX61" s="440"/>
      <c r="CY61" s="440"/>
      <c r="CZ61" s="440"/>
      <c r="DA61" s="440"/>
      <c r="DB61" s="440"/>
      <c r="DC61" s="440"/>
      <c r="DD61" s="440"/>
      <c r="DE61" s="440"/>
      <c r="DF61" s="440"/>
      <c r="DG61" s="440"/>
      <c r="DH61" s="440"/>
      <c r="DI61" s="440"/>
      <c r="DJ61" s="440"/>
      <c r="DK61" s="440"/>
      <c r="DL61" s="440"/>
      <c r="DM61" s="440"/>
      <c r="DN61" s="440"/>
      <c r="DO61" s="440"/>
      <c r="DP61" s="440"/>
      <c r="DQ61" s="440"/>
      <c r="DR61" s="440"/>
      <c r="DS61" s="440"/>
      <c r="DT61" s="440"/>
      <c r="DU61" s="440"/>
      <c r="DV61" s="440"/>
      <c r="DW61" s="440"/>
      <c r="DX61" s="440"/>
      <c r="DY61" s="440"/>
      <c r="DZ61" s="440"/>
      <c r="EA61" s="440"/>
      <c r="EB61" s="440"/>
      <c r="EC61" s="440"/>
      <c r="ED61" s="440"/>
      <c r="EE61" s="440"/>
      <c r="EF61" s="440"/>
      <c r="EG61" s="440"/>
      <c r="EH61" s="440"/>
      <c r="EI61" s="440"/>
      <c r="EJ61" s="440"/>
      <c r="EK61" s="440"/>
      <c r="EL61" s="440"/>
      <c r="EM61" s="440"/>
      <c r="EN61" s="440"/>
      <c r="EO61" s="440"/>
      <c r="EP61" s="440"/>
      <c r="EQ61" s="440"/>
      <c r="ER61" s="440"/>
      <c r="ES61" s="440"/>
      <c r="ET61" s="440"/>
      <c r="EU61" s="440"/>
      <c r="EV61" s="440"/>
      <c r="EW61" s="440"/>
      <c r="EX61" s="393"/>
      <c r="EY61" s="393"/>
      <c r="EZ61" s="789" t="e">
        <f>VLOOKUP($EY61,'NEPC data'!$B52:$M239,5,TRUE)*100</f>
        <v>#N/A</v>
      </c>
      <c r="FA61" s="789" t="e">
        <f>VLOOKUP($EY61,'NEPC data'!$B52:$M239,7,TRUE)*100</f>
        <v>#N/A</v>
      </c>
      <c r="FB61" s="789" t="e">
        <f>VLOOKUP($EY61,'NEPC data'!$B52:$M239,9,TRUE)*100</f>
        <v>#N/A</v>
      </c>
      <c r="FC61" s="789" t="e">
        <f>VLOOKUP($EY61,'NEPC data'!$B52:$M239,10,TRUE)*100</f>
        <v>#N/A</v>
      </c>
      <c r="FD61" s="789" t="e">
        <f>VLOOKUP($EY61,'NEPC data'!$B52:$M239,11,TRUE)*100</f>
        <v>#N/A</v>
      </c>
      <c r="FE61" s="382"/>
      <c r="FF61" s="442"/>
      <c r="FG61" s="442"/>
      <c r="FH61" s="442"/>
      <c r="FI61" s="442"/>
      <c r="FJ61" s="442"/>
      <c r="FK61" s="382"/>
      <c r="FL61" s="442"/>
      <c r="FM61" s="442"/>
    </row>
    <row r="62" spans="1:169" s="15" customFormat="1" ht="12.75" customHeight="1" x14ac:dyDescent="0.2">
      <c r="A62" s="416" t="s">
        <v>184</v>
      </c>
      <c r="B62" s="417" t="s">
        <v>319</v>
      </c>
      <c r="C62" s="430">
        <v>36068</v>
      </c>
      <c r="D62" s="249">
        <f>Brandes!D1</f>
        <v>39.193302762244841</v>
      </c>
      <c r="E62" s="444">
        <f>VLOOKUP(AH$8,Brandes!A1:E488,3,FALSE)/1000000</f>
        <v>596.18876617000001</v>
      </c>
      <c r="F62" s="431">
        <f t="shared" ref="F62:F68" si="47">AH62</f>
        <v>-0.15647</v>
      </c>
      <c r="G62" s="432">
        <f t="array" ref="G62">IF($AJ62=0,"---",(PRODUCT($AH62:AJ62/100+1)-1)*100)</f>
        <v>-1.3440349983038002</v>
      </c>
      <c r="H62" s="432">
        <f t="array" ref="H62">IF($AS62=0,"---",(PRODUCT(AH62:AN62/100+1)-1)*100)</f>
        <v>8.1553459637727634</v>
      </c>
      <c r="I62" s="432">
        <f t="array" ref="I62">IF(AS62=0,"---",(GEOMEAN($AH62:AS62/100+1)^12-1)*100)</f>
        <v>19.505049549675292</v>
      </c>
      <c r="J62" s="432">
        <f t="array" ref="J62">IF(BE62=0,"---",(GEOMEAN($AH62:BE62/100+1)^12-1)*100)</f>
        <v>20.063926824782442</v>
      </c>
      <c r="K62" s="432">
        <f t="array" ref="K62">IF(BQ62=0,"---",(GEOMEAN($AH62:BQ62/100+1)^12-1)*100)</f>
        <v>12.757100282941881</v>
      </c>
      <c r="L62" s="432">
        <f t="array" ref="L62">IF(CC62=0,"---",(GEOMEAN($AH62:CC62/100+1)^12-1)*100)</f>
        <v>10.46496039840985</v>
      </c>
      <c r="M62" s="432">
        <f t="array" ref="M62">IF(CO62=0,"---",(GEOMEAN($AH62:CO62/100+1)^12-1)*100)</f>
        <v>7.6894140694840685</v>
      </c>
      <c r="N62" s="432">
        <f t="array" ref="N62">IF(DM62=0,"---",(GEOMEAN($AH62:DM62/100+1)^12-1)*100)</f>
        <v>1.3281869081151365</v>
      </c>
      <c r="O62" s="432">
        <f t="array" ref="O62">IF(EK62=0,"---",(GEOMEAN($AH62:EK62/100+1)^12-1)*100)</f>
        <v>5.5439606934504004</v>
      </c>
      <c r="P62" s="432">
        <f t="array" ref="P62">IF(EW62=0,"---",(GEOMEAN($AH62:EW62/100+1)^12-1)*100)</f>
        <v>7.1641525976547049</v>
      </c>
      <c r="Q62" s="433">
        <f t="array" ref="Q62">(GEOMEAN(Brandes!B$282:B471/100+1)^12-1)*100</f>
        <v>9.7501647760651178</v>
      </c>
      <c r="R62" s="434">
        <f t="shared" ref="R62:AB62" si="48">IF(F62="---","---",(F62-F$68)*100)</f>
        <v>-0.26499999999999857</v>
      </c>
      <c r="S62" s="434">
        <f t="shared" si="48"/>
        <v>-17.173490822403046</v>
      </c>
      <c r="T62" s="434">
        <f t="shared" si="48"/>
        <v>129.22532721096439</v>
      </c>
      <c r="U62" s="434">
        <f t="shared" si="48"/>
        <v>300.64996578347058</v>
      </c>
      <c r="V62" s="434">
        <f t="shared" si="48"/>
        <v>223.4866102289846</v>
      </c>
      <c r="W62" s="434">
        <f t="shared" si="48"/>
        <v>102.51041943089696</v>
      </c>
      <c r="X62" s="434">
        <f t="shared" si="48"/>
        <v>-59.580082470052176</v>
      </c>
      <c r="Y62" s="434">
        <f t="shared" si="48"/>
        <v>-176.78351553827918</v>
      </c>
      <c r="Z62" s="434">
        <f t="shared" si="48"/>
        <v>-115.31398921132529</v>
      </c>
      <c r="AA62" s="434">
        <f t="shared" si="48"/>
        <v>-133.3759086124453</v>
      </c>
      <c r="AB62" s="434">
        <f t="shared" si="48"/>
        <v>-132.16961656993053</v>
      </c>
      <c r="AC62" s="435">
        <f t="array" ref="AC62">(Q62-AF62)*100</f>
        <v>298.53525127769399</v>
      </c>
      <c r="AD62" s="436">
        <v>250</v>
      </c>
      <c r="AE62" s="477"/>
      <c r="AF62" s="432">
        <f t="array" ref="AF62">(GEOMEAN(Index_Returns!AN282:AN471/100+1)^12-1)*100</f>
        <v>6.764812263288178</v>
      </c>
      <c r="AG62" s="418" t="str">
        <f>IF(I62="---","&lt; 1 Year","---")</f>
        <v>---</v>
      </c>
      <c r="AH62" s="482">
        <f>VLOOKUP(AH$8,Brandes!$A$1:$E$488,2,FALSE)</f>
        <v>-0.15647</v>
      </c>
      <c r="AI62" s="482">
        <f>VLOOKUP(AI$8,Brandes!$A$1:$E$488,2,FALSE)</f>
        <v>-2.2603399999999998</v>
      </c>
      <c r="AJ62" s="482">
        <f>VLOOKUP(AJ$8,Brandes!$A$1:$E$488,2,FALSE)</f>
        <v>1.09568</v>
      </c>
      <c r="AK62" s="482">
        <f>VLOOKUP(AK$8,Brandes!$A$1:$E$488,2,FALSE)</f>
        <v>1.82182</v>
      </c>
      <c r="AL62" s="482">
        <f>VLOOKUP(AL$8,Brandes!$A$1:$E$488,2,FALSE)</f>
        <v>1.6690700000000001</v>
      </c>
      <c r="AM62" s="482">
        <f>VLOOKUP(AM$8,Brandes!$A$1:$E$488,2,FALSE)</f>
        <v>0.86751999999999996</v>
      </c>
      <c r="AN62" s="482">
        <f>VLOOKUP(AN$8,Brandes!$A$1:$E$488,2,FALSE)</f>
        <v>4.98895</v>
      </c>
      <c r="AO62" s="482">
        <f>VLOOKUP(AO$8,Brandes!$A$1:$E$488,2,FALSE)</f>
        <v>-3.11497</v>
      </c>
      <c r="AP62" s="482">
        <f>VLOOKUP(AP$8,Brandes!$A$1:$E$488,2,FALSE)</f>
        <v>0.42443999999999998</v>
      </c>
      <c r="AQ62" s="482">
        <f>VLOOKUP(AQ$8,Brandes!$A$1:$E$488,2,FALSE)</f>
        <v>0.78715999999999997</v>
      </c>
      <c r="AR62" s="482">
        <f>VLOOKUP(AR$8,Brandes!$A$1:$E$488,2,FALSE)</f>
        <v>4.3709499999999997</v>
      </c>
      <c r="AS62" s="482">
        <f>VLOOKUP(AS$8,Brandes!$A$1:$E$488,2,FALSE)</f>
        <v>7.9586199999999998</v>
      </c>
      <c r="AT62" s="482">
        <f>VLOOKUP(AT$8,Brandes!$A$1:$E$488,2,FALSE)</f>
        <v>-0.21201999999999999</v>
      </c>
      <c r="AU62" s="482">
        <f>VLOOKUP(AU$8,Brandes!$A$1:$E$488,2,FALSE)</f>
        <v>5.0459399999999999</v>
      </c>
      <c r="AV62" s="482">
        <f>VLOOKUP(AV$8,Brandes!$A$1:$E$488,2,FALSE)</f>
        <v>-3.0248599999999999</v>
      </c>
      <c r="AW62" s="482">
        <f>VLOOKUP(AW$8,Brandes!$A$1:$E$488,2,FALSE)</f>
        <v>-1.43764</v>
      </c>
      <c r="AX62" s="482">
        <f>VLOOKUP(AX$8,Brandes!$A$1:$E$488,2,FALSE)</f>
        <v>6.8943599999999998</v>
      </c>
      <c r="AY62" s="482">
        <f>VLOOKUP(AY$8,Brandes!$A$1:$E$488,2,FALSE)</f>
        <v>2.3906999999999998</v>
      </c>
      <c r="AZ62" s="482">
        <f>VLOOKUP(AZ$8,Brandes!$A$1:$E$488,2,FALSE)</f>
        <v>-2.81942</v>
      </c>
      <c r="BA62" s="482">
        <f>VLOOKUP(BA$8,Brandes!$A$1:$E$488,2,FALSE)</f>
        <v>5.7302900000000001</v>
      </c>
      <c r="BB62" s="482">
        <f>VLOOKUP(BB$8,Brandes!$A$1:$E$488,2,FALSE)</f>
        <v>3.8734099999999998</v>
      </c>
      <c r="BC62" s="482">
        <f>VLOOKUP(BC$8,Brandes!$A$1:$E$488,2,FALSE)</f>
        <v>0.61931000000000003</v>
      </c>
      <c r="BD62" s="482">
        <f>VLOOKUP(BD$8,Brandes!$A$1:$E$488,2,FALSE)</f>
        <v>8.0869999999999997E-2</v>
      </c>
      <c r="BE62" s="482">
        <f>VLOOKUP(BE$8,Brandes!$A$1:$E$488,2,FALSE)</f>
        <v>2.3478699999999999</v>
      </c>
      <c r="BF62" s="482">
        <f>VLOOKUP(BF$8,Brandes!$A$1:$E$488,2,FALSE)</f>
        <v>3.2771300000000001</v>
      </c>
      <c r="BG62" s="482">
        <f>VLOOKUP(BG$8,Brandes!$A$1:$E$488,2,FALSE)</f>
        <v>-0.46122000000000002</v>
      </c>
      <c r="BH62" s="482">
        <f>VLOOKUP(BH$8,Brandes!$A$1:$E$488,2,FALSE)</f>
        <v>7.8588800000000001</v>
      </c>
      <c r="BI62" s="482">
        <f>VLOOKUP(BI$8,Brandes!$A$1:$E$488,2,FALSE)</f>
        <v>-10.52631</v>
      </c>
      <c r="BJ62" s="482">
        <f>VLOOKUP(BJ$8,Brandes!$A$1:$E$488,2,FALSE)</f>
        <v>-4.8949400000000001</v>
      </c>
      <c r="BK62" s="482">
        <f>VLOOKUP(BK$8,Brandes!$A$1:$E$488,2,FALSE)</f>
        <v>0.37245</v>
      </c>
      <c r="BL62" s="482">
        <f>VLOOKUP(BL$8,Brandes!$A$1:$E$488,2,FALSE)</f>
        <v>5.3136900000000002</v>
      </c>
      <c r="BM62" s="482">
        <f>VLOOKUP(BM$8,Brandes!$A$1:$E$488,2,FALSE)</f>
        <v>4.0424300000000004</v>
      </c>
      <c r="BN62" s="482">
        <f>VLOOKUP(BN$8,Brandes!$A$1:$E$488,2,FALSE)</f>
        <v>-0.62231999999999998</v>
      </c>
      <c r="BO62" s="482">
        <f>VLOOKUP(BO$8,Brandes!$A$1:$E$488,2,FALSE)</f>
        <v>-4.7227499999999996</v>
      </c>
      <c r="BP62" s="482">
        <f>VLOOKUP(BP$8,Brandes!$A$1:$E$488,2,FALSE)</f>
        <v>8.5519200000000009</v>
      </c>
      <c r="BQ62" s="482">
        <f>VLOOKUP(BQ$8,Brandes!$A$1:$E$488,2,FALSE)</f>
        <v>-6.7540800000000001</v>
      </c>
      <c r="BR62" s="482">
        <f>VLOOKUP(BR$8,Brandes!$A$1:$E$488,2,FALSE)</f>
        <v>-7.9118500000000003</v>
      </c>
      <c r="BS62" s="482">
        <f>VLOOKUP(BS$8,Brandes!$A$1:$E$488,2,FALSE)</f>
        <v>-2.7241300000000002</v>
      </c>
      <c r="BT62" s="482">
        <f>VLOOKUP(BT$8,Brandes!$A$1:$E$488,2,FALSE)</f>
        <v>-2.16655</v>
      </c>
      <c r="BU62" s="482">
        <f>VLOOKUP(BU$8,Brandes!$A$1:$E$488,2,FALSE)</f>
        <v>-2.2326800000000002</v>
      </c>
      <c r="BV62" s="482">
        <f>VLOOKUP(BV$8,Brandes!$A$1:$E$488,2,FALSE)</f>
        <v>4.7047400000000001</v>
      </c>
      <c r="BW62" s="482">
        <f>VLOOKUP(BW$8,Brandes!$A$1:$E$488,2,FALSE)</f>
        <v>-3.43689</v>
      </c>
      <c r="BX62" s="482">
        <f>VLOOKUP(BX$8,Brandes!$A$1:$E$488,2,FALSE)</f>
        <v>3.4911300000000001</v>
      </c>
      <c r="BY62" s="482">
        <f>VLOOKUP(BY$8,Brandes!$A$1:$E$488,2,FALSE)</f>
        <v>3.3867699999999998</v>
      </c>
      <c r="BZ62" s="482">
        <f>VLOOKUP(BZ$8,Brandes!$A$1:$E$488,2,FALSE)</f>
        <v>6.4924299999999997</v>
      </c>
      <c r="CA62" s="482">
        <f>VLOOKUP(CA$8,Brandes!$A$1:$E$488,2,FALSE)</f>
        <v>-6.6526100000000001</v>
      </c>
      <c r="CB62" s="482">
        <f>VLOOKUP(CB$8,Brandes!$A$1:$E$488,2,FALSE)</f>
        <v>4.30389</v>
      </c>
      <c r="CC62" s="482">
        <f>VLOOKUP(CC$8,Brandes!$A$1:$E$488,2,FALSE)</f>
        <v>8.0710599999999992</v>
      </c>
      <c r="CD62" s="482">
        <f>VLOOKUP(CD$8,Brandes!$A$1:$E$488,2,FALSE)</f>
        <v>-3.2404500000000001</v>
      </c>
      <c r="CE62" s="482">
        <f>VLOOKUP(CE$8,Brandes!$A$1:$E$488,2,FALSE)</f>
        <v>8.5929900000000004</v>
      </c>
      <c r="CF62" s="482">
        <f>VLOOKUP(CF$8,Brandes!$A$1:$E$488,2,FALSE)</f>
        <v>-1.10812</v>
      </c>
      <c r="CG62" s="482">
        <f>VLOOKUP(CG$8,Brandes!$A$1:$E$488,2,FALSE)</f>
        <v>-8.6966000000000001</v>
      </c>
      <c r="CH62" s="482">
        <f>VLOOKUP(CH$8,Brandes!$A$1:$E$488,2,FALSE)</f>
        <v>-1.1184000000000001</v>
      </c>
      <c r="CI62" s="482">
        <f>VLOOKUP(CI$8,Brandes!$A$1:$E$488,2,FALSE)</f>
        <v>5.8270400000000002</v>
      </c>
      <c r="CJ62" s="482">
        <f>VLOOKUP(CJ$8,Brandes!$A$1:$E$488,2,FALSE)</f>
        <v>-1.7048099999999999</v>
      </c>
      <c r="CK62" s="482">
        <f>VLOOKUP(CK$8,Brandes!$A$1:$E$488,2,FALSE)</f>
        <v>-2.51864</v>
      </c>
      <c r="CL62" s="482">
        <f>VLOOKUP(CL$8,Brandes!$A$1:$E$488,2,FALSE)</f>
        <v>0.25169999999999998</v>
      </c>
      <c r="CM62" s="482">
        <f>VLOOKUP(CM$8,Brandes!$A$1:$E$488,2,FALSE)</f>
        <v>2.4985499999999998</v>
      </c>
      <c r="CN62" s="482">
        <f>VLOOKUP(CN$8,Brandes!$A$1:$E$488,2,FALSE)</f>
        <v>-3.00637</v>
      </c>
      <c r="CO62" s="482">
        <f>VLOOKUP(CO$8,Brandes!$A$1:$E$488,2,FALSE)</f>
        <v>2.59</v>
      </c>
      <c r="CP62" s="482">
        <f>VLOOKUP(CP$8,Brandes!$A$1:$E$488,2,FALSE)</f>
        <v>5.89</v>
      </c>
      <c r="CQ62" s="482">
        <f>VLOOKUP(CQ$8,Brandes!$A$1:$E$488,2,FALSE)</f>
        <v>7.79</v>
      </c>
      <c r="CR62" s="482">
        <f>VLOOKUP(CR$8,Brandes!$A$1:$E$488,2,FALSE)</f>
        <v>-0.14000000000000001</v>
      </c>
      <c r="CS62" s="482">
        <f>VLOOKUP(CS$8,Brandes!$A$1:$E$488,2,FALSE)</f>
        <v>10</v>
      </c>
      <c r="CT62" s="482">
        <f>VLOOKUP(CT$8,Brandes!$A$1:$E$488,2,FALSE)</f>
        <v>12.96</v>
      </c>
      <c r="CU62" s="482">
        <f>VLOOKUP(CU$8,Brandes!$A$1:$E$488,2,FALSE)</f>
        <v>5.33</v>
      </c>
      <c r="CV62" s="482">
        <f>VLOOKUP(CV$8,Brandes!$A$1:$E$488,2,FALSE)</f>
        <v>-11.05</v>
      </c>
      <c r="CW62" s="482">
        <f>VLOOKUP(CW$8,Brandes!$A$1:$E$488,2,FALSE)</f>
        <v>-9.3000000000000007</v>
      </c>
      <c r="CX62" s="482">
        <f>VLOOKUP(CX$8,Brandes!$A$1:$E$488,2,FALSE)</f>
        <v>8.6999999999999993</v>
      </c>
      <c r="CY62" s="482">
        <f>VLOOKUP(CY$8,Brandes!$A$1:$E$488,2,FALSE)</f>
        <v>-4</v>
      </c>
      <c r="CZ62" s="482">
        <f>VLOOKUP(CZ$8,Brandes!$A$1:$E$488,2,FALSE)</f>
        <v>-19.649999999999999</v>
      </c>
      <c r="DA62" s="482">
        <f>VLOOKUP(DA$8,Brandes!$A$1:$E$488,2,FALSE)</f>
        <v>-11.67</v>
      </c>
      <c r="DB62" s="482">
        <f>VLOOKUP(DB$8,Brandes!$A$1:$E$488,2,FALSE)</f>
        <v>-2.0499999999999998</v>
      </c>
      <c r="DC62" s="482">
        <f>VLOOKUP(DC$8,Brandes!$A$1:$E$488,2,FALSE)</f>
        <v>-0.25</v>
      </c>
      <c r="DD62" s="482">
        <f>VLOOKUP(DD$8,Brandes!$A$1:$E$488,2,FALSE)</f>
        <v>-9.69</v>
      </c>
      <c r="DE62" s="482">
        <f>VLOOKUP(DE$8,Brandes!$A$1:$E$488,2,FALSE)</f>
        <v>0.63</v>
      </c>
      <c r="DF62" s="482">
        <f>VLOOKUP(DF$8,Brandes!$A$1:$E$488,2,FALSE)</f>
        <v>7.51</v>
      </c>
      <c r="DG62" s="482">
        <f>VLOOKUP(DG$8,Brandes!$A$1:$E$488,2,FALSE)</f>
        <v>-3.34</v>
      </c>
      <c r="DH62" s="482">
        <f>VLOOKUP(DH$8,Brandes!$A$1:$E$488,2,FALSE)</f>
        <v>-3.06</v>
      </c>
      <c r="DI62" s="482">
        <f>VLOOKUP(DI$8,Brandes!$A$1:$E$488,2,FALSE)</f>
        <v>-5.97</v>
      </c>
      <c r="DJ62" s="482">
        <f>VLOOKUP(DJ$8,Brandes!$A$1:$E$488,2,FALSE)</f>
        <v>-2.81</v>
      </c>
      <c r="DK62" s="482">
        <f>VLOOKUP(DK$8,Brandes!$A$1:$E$488,2,FALSE)</f>
        <v>-1.27</v>
      </c>
      <c r="DL62" s="482">
        <f>VLOOKUP(DL$8,Brandes!$A$1:$E$488,2,FALSE)</f>
        <v>3.01</v>
      </c>
      <c r="DM62" s="482">
        <f>VLOOKUP(DM$8,Brandes!$A$1:$E$488,2,FALSE)</f>
        <v>2.19</v>
      </c>
      <c r="DN62" s="482">
        <f>VLOOKUP(DN$8,Brandes!$A$1:$E$488,2,FALSE)</f>
        <v>-0.72</v>
      </c>
      <c r="DO62" s="482">
        <f>VLOOKUP(DO$8,Brandes!$A$1:$E$488,2,FALSE)</f>
        <v>-1.66</v>
      </c>
      <c r="DP62" s="482">
        <f>VLOOKUP(DP$8,Brandes!$A$1:$E$488,2,FALSE)</f>
        <v>-1.31</v>
      </c>
      <c r="DQ62" s="482">
        <f>VLOOKUP(DQ$8,Brandes!$A$1:$E$488,2,FALSE)</f>
        <v>2.08</v>
      </c>
      <c r="DR62" s="482">
        <f>VLOOKUP(DR$8,Brandes!$A$1:$E$488,2,FALSE)</f>
        <v>4.03</v>
      </c>
      <c r="DS62" s="482">
        <f>VLOOKUP(DS$8,Brandes!$A$1:$E$488,2,FALSE)</f>
        <v>2.41</v>
      </c>
      <c r="DT62" s="482">
        <f>VLOOKUP(DT$8,Brandes!$A$1:$E$488,2,FALSE)</f>
        <v>2.4900000000000002</v>
      </c>
      <c r="DU62" s="482">
        <f>VLOOKUP(DU$8,Brandes!$A$1:$E$488,2,FALSE)</f>
        <v>-0.17</v>
      </c>
      <c r="DV62" s="482">
        <f>VLOOKUP(DV$8,Brandes!$A$1:$E$488,2,FALSE)</f>
        <v>2.54</v>
      </c>
      <c r="DW62" s="482">
        <f>VLOOKUP(DW$8,Brandes!$A$1:$E$488,2,FALSE)</f>
        <v>3.76</v>
      </c>
      <c r="DX62" s="482">
        <f>VLOOKUP(DX$8,Brandes!$A$1:$E$488,2,FALSE)</f>
        <v>2.97</v>
      </c>
      <c r="DY62" s="482">
        <f>VLOOKUP(DY$8,Brandes!$A$1:$E$488,2,FALSE)</f>
        <v>1.5</v>
      </c>
      <c r="DZ62" s="482">
        <f>VLOOKUP(DZ$8,Brandes!$A$1:$E$488,2,FALSE)</f>
        <v>3.2</v>
      </c>
      <c r="EA62" s="482">
        <f>VLOOKUP(EA$8,Brandes!$A$1:$E$488,2,FALSE)</f>
        <v>0.53</v>
      </c>
      <c r="EB62" s="482">
        <f>VLOOKUP(EB$8,Brandes!$A$1:$E$488,2,FALSE)</f>
        <v>0.26</v>
      </c>
      <c r="EC62" s="482">
        <f>VLOOKUP(EC$8,Brandes!$A$1:$E$488,2,FALSE)</f>
        <v>-3.97</v>
      </c>
      <c r="ED62" s="482">
        <f>VLOOKUP(ED$8,Brandes!$A$1:$E$488,2,FALSE)</f>
        <v>5.0199999999999996</v>
      </c>
      <c r="EE62" s="482">
        <f>VLOOKUP(EE$8,Brandes!$A$1:$E$488,2,FALSE)</f>
        <v>3.71</v>
      </c>
      <c r="EF62" s="482">
        <f>VLOOKUP(EF$8,Brandes!$A$1:$E$488,2,FALSE)</f>
        <v>1.67</v>
      </c>
      <c r="EG62" s="482">
        <f>VLOOKUP(EG$8,Brandes!$A$1:$E$488,2,FALSE)</f>
        <v>4.05</v>
      </c>
      <c r="EH62" s="482">
        <f>VLOOKUP(EH$8,Brandes!$A$1:$E$488,2,FALSE)</f>
        <v>3.49</v>
      </c>
      <c r="EI62" s="482">
        <f>VLOOKUP(EI$8,Brandes!$A$1:$E$488,2,FALSE)</f>
        <v>2.29</v>
      </c>
      <c r="EJ62" s="482">
        <f>VLOOKUP(EJ$8,Brandes!$A$1:$E$488,2,FALSE)</f>
        <v>-2.86</v>
      </c>
      <c r="EK62" s="482">
        <f>VLOOKUP(EK$8,Brandes!$A$1:$E$488,2,FALSE)</f>
        <v>5.0199999999999996</v>
      </c>
      <c r="EL62" s="482">
        <f>VLOOKUP(EL$8,Brandes!$A$1:$E$488,2,FALSE)</f>
        <v>1.6</v>
      </c>
      <c r="EM62" s="482">
        <f>VLOOKUP(EM$8,Brandes!$A$1:$E$488,2,FALSE)</f>
        <v>3.93</v>
      </c>
      <c r="EN62" s="482">
        <f>VLOOKUP(EN$8,Brandes!$A$1:$E$488,2,FALSE)</f>
        <v>0.33</v>
      </c>
      <c r="EO62" s="482">
        <f>VLOOKUP(EO$8,Brandes!$A$1:$E$488,2,FALSE)</f>
        <v>0.61</v>
      </c>
      <c r="EP62" s="482">
        <f>VLOOKUP(EP$8,Brandes!$A$1:$E$488,2,FALSE)</f>
        <v>-2.76</v>
      </c>
      <c r="EQ62" s="482">
        <f>VLOOKUP(EQ$8,Brandes!$A$1:$E$488,2,FALSE)</f>
        <v>-2.88</v>
      </c>
      <c r="ER62" s="482">
        <f>VLOOKUP(ER$8,Brandes!$A$1:$E$488,2,FALSE)</f>
        <v>4.4000000000000004</v>
      </c>
      <c r="ES62" s="482">
        <f>VLOOKUP(ES$8,Brandes!$A$1:$E$488,2,FALSE)</f>
        <v>-2.02</v>
      </c>
      <c r="ET62" s="482">
        <f>VLOOKUP(ET$8,Brandes!$A$1:$E$488,2,FALSE)</f>
        <v>4.05</v>
      </c>
      <c r="EU62" s="482">
        <f>VLOOKUP(EU$8,Brandes!$A$1:$E$488,2,FALSE)</f>
        <v>6.76</v>
      </c>
      <c r="EV62" s="482">
        <f>VLOOKUP(EV$8,Brandes!$A$1:$E$488,2,FALSE)</f>
        <v>4.8899999999999997</v>
      </c>
      <c r="EW62" s="482">
        <f>VLOOKUP(EW$8,Brandes!$A$1:$E$488,2,FALSE)</f>
        <v>2.4500000000000002</v>
      </c>
      <c r="EX62" s="515" t="s">
        <v>184</v>
      </c>
      <c r="EY62" s="1259" t="s">
        <v>493</v>
      </c>
      <c r="EZ62" s="789">
        <f>VLOOKUP($EY62,'NEPC data'!$B53:$M240,5,TRUE)*100</f>
        <v>-15.089105272000003</v>
      </c>
      <c r="FA62" s="789">
        <f>VLOOKUP($EY62,'NEPC data'!$B53:$M240,7,TRUE)*100</f>
        <v>-39.967306779519809</v>
      </c>
      <c r="FB62" s="789">
        <f>VLOOKUP($EY62,'NEPC data'!$B53:$M240,9,TRUE)*100</f>
        <v>-12.5758711063785</v>
      </c>
      <c r="FC62" s="789">
        <f>VLOOKUP($EY62,'NEPC data'!$B53:$M240,10,TRUE)*100</f>
        <v>-0.74597548494182986</v>
      </c>
      <c r="FD62" s="789">
        <f>VLOOKUP($EY62,'NEPC data'!$B53:$M240,11,TRUE)*100</f>
        <v>5.1925849297959292</v>
      </c>
      <c r="FE62" s="418"/>
      <c r="FF62" s="570">
        <f>IF(G62="---","-",ABS(EZ62-G62))</f>
        <v>13.745070273696204</v>
      </c>
      <c r="FG62" s="570">
        <f>IF(I62="---","-",ABS(FA62-I62))</f>
        <v>59.472356329195101</v>
      </c>
      <c r="FH62" s="570">
        <f>IF(K62="---","-",ABS(FB62-K62))</f>
        <v>25.332971389320381</v>
      </c>
      <c r="FI62" s="570">
        <f>IF(M62="---","-",ABS(FC62-M62))</f>
        <v>8.4353895544258979</v>
      </c>
      <c r="FJ62" s="570">
        <f>IF(Q62="---","-",ABS(FD62-Q62))</f>
        <v>4.5575798462691886</v>
      </c>
      <c r="FK62" s="418"/>
      <c r="FL62" s="467">
        <f>AF62</f>
        <v>6.764812263288178</v>
      </c>
      <c r="FM62" s="467">
        <f>ABS(FL62-AF62)</f>
        <v>0</v>
      </c>
    </row>
    <row r="63" spans="1:169" s="15" customFormat="1" ht="12.75" customHeight="1" x14ac:dyDescent="0.2">
      <c r="A63" s="1175" t="s">
        <v>952</v>
      </c>
      <c r="B63" s="417"/>
      <c r="C63" s="430">
        <v>41791</v>
      </c>
      <c r="D63" s="249"/>
      <c r="E63" s="444">
        <f>VLOOKUP(AH$8,American!A2:E489,3,FALSE)/1000000</f>
        <v>519.09252000000004</v>
      </c>
      <c r="F63" s="431">
        <f t="shared" si="47"/>
        <v>0.66296999999999995</v>
      </c>
      <c r="G63" s="432" t="str">
        <f t="array" ref="G63">IF($AJ63=0,"---",(PRODUCT($AH63:AJ63/100+1)-1)*100)</f>
        <v>---</v>
      </c>
      <c r="H63" s="432" t="str">
        <f t="array" ref="H63">IF($AS63=0,"---",(PRODUCT(AH63:AN63/100+1)-1)*100)</f>
        <v>---</v>
      </c>
      <c r="I63" s="432" t="str">
        <f t="array" ref="I63">IF(AS63=0,"---",(GEOMEAN($AH63:AS63/100+1)^12-1)*100)</f>
        <v>---</v>
      </c>
      <c r="J63" s="432" t="str">
        <f t="array" ref="J63">IF(BE63=0,"---",(GEOMEAN($AH63:BE63/100+1)^12-1)*100)</f>
        <v>---</v>
      </c>
      <c r="K63" s="432" t="str">
        <f t="array" ref="K63">IF(BQ63=0,"---",(GEOMEAN($AH63:BQ63/100+1)^12-1)*100)</f>
        <v>---</v>
      </c>
      <c r="L63" s="432" t="str">
        <f t="array" ref="L63">IF(CC63=0,"---",(GEOMEAN($AH63:CC63/100+1)^12-1)*100)</f>
        <v>---</v>
      </c>
      <c r="M63" s="432" t="str">
        <f t="array" ref="M63">IF(CO63=0,"---",(GEOMEAN($AH63:CO63/100+1)^12-1)*100)</f>
        <v>---</v>
      </c>
      <c r="N63" s="432" t="str">
        <f t="array" ref="N63">IF(DM63=0,"---",(GEOMEAN($AH63:DM63/100+1)^12-1)*100)</f>
        <v>---</v>
      </c>
      <c r="O63" s="432" t="str">
        <f t="array" ref="O63">IF(EK63=0,"---",(GEOMEAN($AH63:EK63/100+1)^12-1)*100)</f>
        <v>---</v>
      </c>
      <c r="P63" s="432" t="str">
        <f t="array" ref="P63">IF(EW63=0,"---",(GEOMEAN($AH63:EW63/100+1)^12-1)*100)</f>
        <v>---</v>
      </c>
      <c r="Q63" s="433">
        <f>American!B471</f>
        <v>-2.8255300000000001</v>
      </c>
      <c r="R63" s="434">
        <f t="shared" ref="R63:R65" si="49">IF(F63="---","---",(F63-F$68)*100)</f>
        <v>81.678999999999988</v>
      </c>
      <c r="S63" s="434" t="str">
        <f t="shared" ref="S63:S65" si="50">IF(G63="---","---",(G63-G$68)*100)</f>
        <v>---</v>
      </c>
      <c r="T63" s="434" t="str">
        <f t="shared" ref="T63:T65" si="51">IF(H63="---","---",(H63-H$68)*100)</f>
        <v>---</v>
      </c>
      <c r="U63" s="434" t="str">
        <f t="shared" ref="U63:U65" si="52">IF(I63="---","---",(I63-I$68)*100)</f>
        <v>---</v>
      </c>
      <c r="V63" s="434" t="str">
        <f t="shared" ref="V63:V65" si="53">IF(J63="---","---",(J63-J$68)*100)</f>
        <v>---</v>
      </c>
      <c r="W63" s="434" t="str">
        <f t="shared" ref="W63:W65" si="54">IF(K63="---","---",(K63-K$68)*100)</f>
        <v>---</v>
      </c>
      <c r="X63" s="434" t="str">
        <f t="shared" ref="X63:X65" si="55">IF(L63="---","---",(L63-L$68)*100)</f>
        <v>---</v>
      </c>
      <c r="Y63" s="434" t="str">
        <f t="shared" ref="Y63:Y65" si="56">IF(M63="---","---",(M63-M$68)*100)</f>
        <v>---</v>
      </c>
      <c r="Z63" s="434" t="str">
        <f t="shared" ref="Z63:Z65" si="57">IF(N63="---","---",(N63-N$68)*100)</f>
        <v>---</v>
      </c>
      <c r="AA63" s="434" t="str">
        <f t="shared" ref="AA63:AA65" si="58">IF(O63="---","---",(O63-O$68)*100)</f>
        <v>---</v>
      </c>
      <c r="AB63" s="434" t="str">
        <f t="shared" ref="AB63:AB65" si="59">IF(P63="---","---",(P63-P$68)*100)</f>
        <v>---</v>
      </c>
      <c r="AC63" s="435">
        <f t="array" ref="AC63">(Q63-AF63)*100</f>
        <v>-86.024000000000015</v>
      </c>
      <c r="AD63" s="436"/>
      <c r="AE63" s="477"/>
      <c r="AF63" s="1468">
        <f>Index_Returns!AA471</f>
        <v>-1.96529</v>
      </c>
      <c r="AG63" s="1215" t="str">
        <f>IF(I63="---","&lt; 1 Year","---")</f>
        <v>&lt; 1 Year</v>
      </c>
      <c r="AH63" s="482">
        <f>VLOOKUP(AH$8,American!$A$1:$E$488,2,FALSE)</f>
        <v>0.66296999999999995</v>
      </c>
      <c r="AI63" s="482">
        <f>VLOOKUP(AI$8,American!$A$1:$E$488,2,FALSE)</f>
        <v>-2.8255300000000001</v>
      </c>
      <c r="AJ63" s="482">
        <f>VLOOKUP(AJ$8,American!$A$1:$E$488,2,FALSE)</f>
        <v>0</v>
      </c>
      <c r="AK63" s="482">
        <f>VLOOKUP(AK$8,American!$A$1:$E$488,2,FALSE)</f>
        <v>0</v>
      </c>
      <c r="AL63" s="482">
        <f>VLOOKUP(AL$8,American!$A$1:$E$488,2,FALSE)</f>
        <v>0</v>
      </c>
      <c r="AM63" s="482">
        <f>VLOOKUP(AM$8,American!$A$1:$E$488,2,FALSE)</f>
        <v>0</v>
      </c>
      <c r="AN63" s="482">
        <f>VLOOKUP(AN$8,American!$A$1:$E$488,2,FALSE)</f>
        <v>0</v>
      </c>
      <c r="AO63" s="482">
        <f>VLOOKUP(AO$8,American!$A$1:$E$488,2,FALSE)</f>
        <v>0</v>
      </c>
      <c r="AP63" s="482">
        <f>VLOOKUP(AP$8,American!$A$1:$E$488,2,FALSE)</f>
        <v>0</v>
      </c>
      <c r="AQ63" s="482">
        <f>VLOOKUP(AQ$8,American!$A$1:$E$488,2,FALSE)</f>
        <v>0</v>
      </c>
      <c r="AR63" s="482">
        <f>VLOOKUP(AR$8,American!$A$1:$E$488,2,FALSE)</f>
        <v>0</v>
      </c>
      <c r="AS63" s="482">
        <f>VLOOKUP(AS$8,American!$A$1:$E$488,2,FALSE)</f>
        <v>0</v>
      </c>
      <c r="AT63" s="482">
        <f>VLOOKUP(AT$8,American!$A$1:$E$488,2,FALSE)</f>
        <v>0</v>
      </c>
      <c r="AU63" s="482">
        <f>VLOOKUP(AU$8,American!$A$1:$E$488,2,FALSE)</f>
        <v>0</v>
      </c>
      <c r="AV63" s="482">
        <f>VLOOKUP(AV$8,American!$A$1:$E$488,2,FALSE)</f>
        <v>0</v>
      </c>
      <c r="AW63" s="482">
        <f>VLOOKUP(AW$8,American!$A$1:$E$488,2,FALSE)</f>
        <v>0</v>
      </c>
      <c r="AX63" s="482">
        <f>VLOOKUP(AX$8,American!$A$1:$E$488,2,FALSE)</f>
        <v>0</v>
      </c>
      <c r="AY63" s="482">
        <f>VLOOKUP(AY$8,American!$A$1:$E$488,2,FALSE)</f>
        <v>0</v>
      </c>
      <c r="AZ63" s="482">
        <f>VLOOKUP(AZ$8,American!$A$1:$E$488,2,FALSE)</f>
        <v>0</v>
      </c>
      <c r="BA63" s="482">
        <f>VLOOKUP(BA$8,American!$A$1:$E$488,2,FALSE)</f>
        <v>0</v>
      </c>
      <c r="BB63" s="482">
        <f>VLOOKUP(BB$8,American!$A$1:$E$488,2,FALSE)</f>
        <v>0</v>
      </c>
      <c r="BC63" s="482">
        <f>VLOOKUP(BC$8,American!$A$1:$E$488,2,FALSE)</f>
        <v>0</v>
      </c>
      <c r="BD63" s="482">
        <f>VLOOKUP(BD$8,American!$A$1:$E$488,2,FALSE)</f>
        <v>0</v>
      </c>
      <c r="BE63" s="482">
        <f>VLOOKUP(BE$8,American!$A$1:$E$488,2,FALSE)</f>
        <v>0</v>
      </c>
      <c r="BF63" s="482">
        <f>VLOOKUP(BF$8,American!$A$1:$E$488,2,FALSE)</f>
        <v>0</v>
      </c>
      <c r="BG63" s="482">
        <f>VLOOKUP(BG$8,American!$A$1:$E$488,2,FALSE)</f>
        <v>0</v>
      </c>
      <c r="BH63" s="482">
        <f>VLOOKUP(BH$8,American!$A$1:$E$488,2,FALSE)</f>
        <v>0</v>
      </c>
      <c r="BI63" s="482">
        <f>VLOOKUP(BI$8,American!$A$1:$E$488,2,FALSE)</f>
        <v>0</v>
      </c>
      <c r="BJ63" s="482">
        <f>VLOOKUP(BJ$8,American!$A$1:$E$488,2,FALSE)</f>
        <v>0</v>
      </c>
      <c r="BK63" s="482">
        <f>VLOOKUP(BK$8,American!$A$1:$E$488,2,FALSE)</f>
        <v>0</v>
      </c>
      <c r="BL63" s="482">
        <f>VLOOKUP(BL$8,American!$A$1:$E$488,2,FALSE)</f>
        <v>0</v>
      </c>
      <c r="BM63" s="482">
        <f>VLOOKUP(BM$8,American!$A$1:$E$488,2,FALSE)</f>
        <v>0</v>
      </c>
      <c r="BN63" s="482">
        <f>VLOOKUP(BN$8,American!$A$1:$E$488,2,FALSE)</f>
        <v>0</v>
      </c>
      <c r="BO63" s="482">
        <f>VLOOKUP(BO$8,American!$A$1:$E$488,2,FALSE)</f>
        <v>0</v>
      </c>
      <c r="BP63" s="482">
        <f>VLOOKUP(BP$8,American!$A$1:$E$488,2,FALSE)</f>
        <v>0</v>
      </c>
      <c r="BQ63" s="482">
        <f>VLOOKUP(BQ$8,American!$A$1:$E$488,2,FALSE)</f>
        <v>0</v>
      </c>
      <c r="BR63" s="482">
        <f>VLOOKUP(BR$8,American!$A$1:$E$488,2,FALSE)</f>
        <v>0</v>
      </c>
      <c r="BS63" s="482">
        <f>VLOOKUP(BS$8,American!$A$1:$E$488,2,FALSE)</f>
        <v>0</v>
      </c>
      <c r="BT63" s="482">
        <f>VLOOKUP(BT$8,American!$A$1:$E$488,2,FALSE)</f>
        <v>0</v>
      </c>
      <c r="BU63" s="482">
        <f>VLOOKUP(BU$8,American!$A$1:$E$488,2,FALSE)</f>
        <v>0</v>
      </c>
      <c r="BV63" s="482">
        <f>VLOOKUP(BV$8,American!$A$1:$E$488,2,FALSE)</f>
        <v>0</v>
      </c>
      <c r="BW63" s="482">
        <f>VLOOKUP(BW$8,American!$A$1:$E$488,2,FALSE)</f>
        <v>0</v>
      </c>
      <c r="BX63" s="482">
        <f>VLOOKUP(BX$8,American!$A$1:$E$488,2,FALSE)</f>
        <v>0</v>
      </c>
      <c r="BY63" s="482">
        <f>VLOOKUP(BY$8,American!$A$1:$E$488,2,FALSE)</f>
        <v>0</v>
      </c>
      <c r="BZ63" s="482">
        <f>VLOOKUP(BZ$8,American!$A$1:$E$488,2,FALSE)</f>
        <v>0</v>
      </c>
      <c r="CA63" s="482">
        <f>VLOOKUP(CA$8,American!$A$1:$E$488,2,FALSE)</f>
        <v>0</v>
      </c>
      <c r="CB63" s="482">
        <f>VLOOKUP(CB$8,American!$A$1:$E$488,2,FALSE)</f>
        <v>0</v>
      </c>
      <c r="CC63" s="482">
        <f>VLOOKUP(CC$8,American!$A$1:$E$488,2,FALSE)</f>
        <v>0</v>
      </c>
      <c r="CD63" s="482">
        <f>VLOOKUP(CD$8,American!$A$1:$E$488,2,FALSE)</f>
        <v>0</v>
      </c>
      <c r="CE63" s="482">
        <f>VLOOKUP(CE$8,American!$A$1:$E$488,2,FALSE)</f>
        <v>0</v>
      </c>
      <c r="CF63" s="482">
        <f>VLOOKUP(CF$8,American!$A$1:$E$488,2,FALSE)</f>
        <v>0</v>
      </c>
      <c r="CG63" s="482">
        <f>VLOOKUP(CG$8,American!$A$1:$E$488,2,FALSE)</f>
        <v>0</v>
      </c>
      <c r="CH63" s="482">
        <f>VLOOKUP(CH$8,American!$A$1:$E$488,2,FALSE)</f>
        <v>0</v>
      </c>
      <c r="CI63" s="482">
        <f>VLOOKUP(CI$8,American!$A$1:$E$488,2,FALSE)</f>
        <v>0</v>
      </c>
      <c r="CJ63" s="482">
        <f>VLOOKUP(CJ$8,American!$A$1:$E$488,2,FALSE)</f>
        <v>0</v>
      </c>
      <c r="CK63" s="482">
        <f>VLOOKUP(CK$8,American!$A$1:$E$488,2,FALSE)</f>
        <v>0</v>
      </c>
      <c r="CL63" s="482">
        <f>VLOOKUP(CL$8,American!$A$1:$E$488,2,FALSE)</f>
        <v>0</v>
      </c>
      <c r="CM63" s="482">
        <f>VLOOKUP(CM$8,American!$A$1:$E$488,2,FALSE)</f>
        <v>0</v>
      </c>
      <c r="CN63" s="482">
        <f>VLOOKUP(CN$8,American!$A$1:$E$488,2,FALSE)</f>
        <v>0</v>
      </c>
      <c r="CO63" s="482">
        <f>VLOOKUP(CO$8,American!$A$1:$E$488,2,FALSE)</f>
        <v>0</v>
      </c>
      <c r="CP63" s="482">
        <f>VLOOKUP(CP$8,American!$A$1:$E$488,2,FALSE)</f>
        <v>0</v>
      </c>
      <c r="CQ63" s="482">
        <f>VLOOKUP(CQ$8,American!$A$1:$E$488,2,FALSE)</f>
        <v>0</v>
      </c>
      <c r="CR63" s="482">
        <f>VLOOKUP(CR$8,American!$A$1:$E$488,2,FALSE)</f>
        <v>0</v>
      </c>
      <c r="CS63" s="482">
        <f>VLOOKUP(CS$8,American!$A$1:$E$488,2,FALSE)</f>
        <v>0</v>
      </c>
      <c r="CT63" s="482">
        <f>VLOOKUP(CT$8,American!$A$1:$E$488,2,FALSE)</f>
        <v>0</v>
      </c>
      <c r="CU63" s="482">
        <f>VLOOKUP(CU$8,American!$A$1:$E$488,2,FALSE)</f>
        <v>0</v>
      </c>
      <c r="CV63" s="482">
        <f>VLOOKUP(CV$8,American!$A$1:$E$488,2,FALSE)</f>
        <v>0</v>
      </c>
      <c r="CW63" s="482">
        <f>VLOOKUP(CW$8,American!$A$1:$E$488,2,FALSE)</f>
        <v>0</v>
      </c>
      <c r="CX63" s="482">
        <f>VLOOKUP(CX$8,American!$A$1:$E$488,2,FALSE)</f>
        <v>0</v>
      </c>
      <c r="CY63" s="482">
        <f>VLOOKUP(CY$8,American!$A$1:$E$488,2,FALSE)</f>
        <v>0</v>
      </c>
      <c r="CZ63" s="482">
        <f>VLOOKUP(CZ$8,American!$A$1:$E$488,2,FALSE)</f>
        <v>0</v>
      </c>
      <c r="DA63" s="482">
        <f>VLOOKUP(DA$8,American!$A$1:$E$488,2,FALSE)</f>
        <v>0</v>
      </c>
      <c r="DB63" s="482">
        <f>VLOOKUP(DB$8,American!$A$1:$E$488,2,FALSE)</f>
        <v>0</v>
      </c>
      <c r="DC63" s="482">
        <f>VLOOKUP(DC$8,American!$A$1:$E$488,2,FALSE)</f>
        <v>0</v>
      </c>
      <c r="DD63" s="482">
        <f>VLOOKUP(DD$8,American!$A$1:$E$488,2,FALSE)</f>
        <v>0</v>
      </c>
      <c r="DE63" s="482">
        <f>VLOOKUP(DE$8,American!$A$1:$E$488,2,FALSE)</f>
        <v>0</v>
      </c>
      <c r="DF63" s="482">
        <f>VLOOKUP(DF$8,American!$A$1:$E$488,2,FALSE)</f>
        <v>0</v>
      </c>
      <c r="DG63" s="482">
        <f>VLOOKUP(DG$8,American!$A$1:$E$488,2,FALSE)</f>
        <v>0</v>
      </c>
      <c r="DH63" s="482">
        <f>VLOOKUP(DH$8,American!$A$1:$E$488,2,FALSE)</f>
        <v>0</v>
      </c>
      <c r="DI63" s="482">
        <f>VLOOKUP(DI$8,American!$A$1:$E$488,2,FALSE)</f>
        <v>0</v>
      </c>
      <c r="DJ63" s="482">
        <f>VLOOKUP(DJ$8,American!$A$1:$E$488,2,FALSE)</f>
        <v>0</v>
      </c>
      <c r="DK63" s="482">
        <f>VLOOKUP(DK$8,American!$A$1:$E$488,2,FALSE)</f>
        <v>0</v>
      </c>
      <c r="DL63" s="482">
        <f>VLOOKUP(DL$8,American!$A$1:$E$488,2,FALSE)</f>
        <v>0</v>
      </c>
      <c r="DM63" s="482">
        <f>VLOOKUP(DM$8,American!$A$1:$E$488,2,FALSE)</f>
        <v>0</v>
      </c>
      <c r="DN63" s="482">
        <f>VLOOKUP(DN$8,American!$A$1:$E$488,2,FALSE)</f>
        <v>0</v>
      </c>
      <c r="DO63" s="482">
        <f>VLOOKUP(DO$8,American!$A$1:$E$488,2,FALSE)</f>
        <v>0</v>
      </c>
      <c r="DP63" s="482">
        <f>VLOOKUP(DP$8,American!$A$1:$E$488,2,FALSE)</f>
        <v>0</v>
      </c>
      <c r="DQ63" s="482">
        <f>VLOOKUP(DQ$8,American!$A$1:$E$488,2,FALSE)</f>
        <v>0</v>
      </c>
      <c r="DR63" s="482">
        <f>VLOOKUP(DR$8,American!$A$1:$E$488,2,FALSE)</f>
        <v>0</v>
      </c>
      <c r="DS63" s="482">
        <f>VLOOKUP(DS$8,American!$A$1:$E$488,2,FALSE)</f>
        <v>0</v>
      </c>
      <c r="DT63" s="482">
        <f>VLOOKUP(DT$8,American!$A$1:$E$488,2,FALSE)</f>
        <v>0</v>
      </c>
      <c r="DU63" s="482">
        <f>VLOOKUP(DU$8,American!$A$1:$E$488,2,FALSE)</f>
        <v>0</v>
      </c>
      <c r="DV63" s="482">
        <f>VLOOKUP(DV$8,American!$A$1:$E$488,2,FALSE)</f>
        <v>0</v>
      </c>
      <c r="DW63" s="482">
        <f>VLOOKUP(DW$8,American!$A$1:$E$488,2,FALSE)</f>
        <v>0</v>
      </c>
      <c r="DX63" s="482">
        <f>VLOOKUP(DX$8,American!$A$1:$E$488,2,FALSE)</f>
        <v>0</v>
      </c>
      <c r="DY63" s="482">
        <f>VLOOKUP(DY$8,American!$A$1:$E$488,2,FALSE)</f>
        <v>0</v>
      </c>
      <c r="DZ63" s="482">
        <f>VLOOKUP(DZ$8,American!$A$1:$E$488,2,FALSE)</f>
        <v>0</v>
      </c>
      <c r="EA63" s="482">
        <f>VLOOKUP(EA$8,American!$A$1:$E$488,2,FALSE)</f>
        <v>0</v>
      </c>
      <c r="EB63" s="482">
        <f>VLOOKUP(EB$8,American!$A$1:$E$488,2,FALSE)</f>
        <v>0</v>
      </c>
      <c r="EC63" s="482">
        <f>VLOOKUP(EC$8,American!$A$1:$E$488,2,FALSE)</f>
        <v>0</v>
      </c>
      <c r="ED63" s="482">
        <f>VLOOKUP(ED$8,American!$A$1:$E$488,2,FALSE)</f>
        <v>0</v>
      </c>
      <c r="EE63" s="482">
        <f>VLOOKUP(EE$8,American!$A$1:$E$488,2,FALSE)</f>
        <v>0</v>
      </c>
      <c r="EF63" s="482">
        <f>VLOOKUP(EF$8,American!$A$1:$E$488,2,FALSE)</f>
        <v>0</v>
      </c>
      <c r="EG63" s="482">
        <f>VLOOKUP(EG$8,American!$A$1:$E$488,2,FALSE)</f>
        <v>0</v>
      </c>
      <c r="EH63" s="482">
        <f>VLOOKUP(EH$8,American!$A$1:$E$488,2,FALSE)</f>
        <v>0</v>
      </c>
      <c r="EI63" s="482">
        <f>VLOOKUP(EI$8,American!$A$1:$E$488,2,FALSE)</f>
        <v>0</v>
      </c>
      <c r="EJ63" s="482">
        <f>VLOOKUP(EJ$8,American!$A$1:$E$488,2,FALSE)</f>
        <v>0</v>
      </c>
      <c r="EK63" s="482">
        <f>VLOOKUP(EK$8,American!$A$1:$E$488,2,FALSE)</f>
        <v>0</v>
      </c>
      <c r="EL63" s="482">
        <f>VLOOKUP(EL$8,American!$A$1:$E$488,2,FALSE)</f>
        <v>0</v>
      </c>
      <c r="EM63" s="482">
        <f>VLOOKUP(EM$8,American!$A$1:$E$488,2,FALSE)</f>
        <v>0</v>
      </c>
      <c r="EN63" s="482">
        <f>VLOOKUP(EN$8,American!$A$1:$E$488,2,FALSE)</f>
        <v>0</v>
      </c>
      <c r="EO63" s="482">
        <f>VLOOKUP(EO$8,American!$A$1:$E$488,2,FALSE)</f>
        <v>0</v>
      </c>
      <c r="EP63" s="482">
        <f>VLOOKUP(EP$8,American!$A$1:$E$488,2,FALSE)</f>
        <v>0</v>
      </c>
      <c r="EQ63" s="482">
        <f>VLOOKUP(EQ$8,American!$A$1:$E$488,2,FALSE)</f>
        <v>0</v>
      </c>
      <c r="ER63" s="482">
        <f>VLOOKUP(ER$8,American!$A$1:$E$488,2,FALSE)</f>
        <v>0</v>
      </c>
      <c r="ES63" s="482">
        <f>VLOOKUP(ES$8,American!$A$1:$E$488,2,FALSE)</f>
        <v>0</v>
      </c>
      <c r="ET63" s="482">
        <f>VLOOKUP(ET$8,American!$A$1:$E$488,2,FALSE)</f>
        <v>0</v>
      </c>
      <c r="EU63" s="482">
        <f>VLOOKUP(EU$8,American!$A$1:$E$488,2,FALSE)</f>
        <v>0</v>
      </c>
      <c r="EV63" s="482">
        <f>VLOOKUP(EV$8,American!$A$1:$E$488,2,FALSE)</f>
        <v>0</v>
      </c>
      <c r="EW63" s="482">
        <f>VLOOKUP(EW$8,American!$A$1:$E$488,2,FALSE)</f>
        <v>0</v>
      </c>
      <c r="EX63" s="515"/>
      <c r="EY63" s="1259"/>
      <c r="EZ63" s="789"/>
      <c r="FA63" s="789"/>
      <c r="FB63" s="789"/>
      <c r="FC63" s="789"/>
      <c r="FD63" s="789"/>
      <c r="FE63" s="418"/>
      <c r="FF63" s="570"/>
      <c r="FG63" s="570"/>
      <c r="FH63" s="570"/>
      <c r="FI63" s="570"/>
      <c r="FJ63" s="570"/>
      <c r="FK63" s="418"/>
      <c r="FL63" s="467"/>
      <c r="FM63" s="467"/>
    </row>
    <row r="64" spans="1:169" s="15" customFormat="1" ht="12.75" customHeight="1" x14ac:dyDescent="0.2">
      <c r="A64" s="1175" t="s">
        <v>951</v>
      </c>
      <c r="B64" s="417"/>
      <c r="C64" s="430">
        <v>41791</v>
      </c>
      <c r="D64" s="249"/>
      <c r="E64" s="444">
        <f>VLOOKUP(AH$8,TRINITY!A3:E490,3,FALSE)/1000000</f>
        <v>335.33129060000005</v>
      </c>
      <c r="F64" s="431">
        <f t="shared" si="47"/>
        <v>-0.87351999999999996</v>
      </c>
      <c r="G64" s="432" t="str">
        <f t="array" ref="G64">IF($AJ64=0,"---",(PRODUCT($AH64:AJ64/100+1)-1)*100)</f>
        <v>---</v>
      </c>
      <c r="H64" s="432" t="str">
        <f t="array" ref="H64">IF($AS64=0,"---",(PRODUCT(AH64:AN64/100+1)-1)*100)</f>
        <v>---</v>
      </c>
      <c r="I64" s="432" t="str">
        <f t="array" ref="I64">IF(AS64=0,"---",(GEOMEAN($AH64:AS64/100+1)^12-1)*100)</f>
        <v>---</v>
      </c>
      <c r="J64" s="432" t="str">
        <f t="array" ref="J64">IF(BE64=0,"---",(GEOMEAN($AH64:BE64/100+1)^12-1)*100)</f>
        <v>---</v>
      </c>
      <c r="K64" s="432" t="str">
        <f t="array" ref="K64">IF(BQ64=0,"---",(GEOMEAN($AH64:BQ64/100+1)^12-1)*100)</f>
        <v>---</v>
      </c>
      <c r="L64" s="432" t="str">
        <f t="array" ref="L64">IF(CC64=0,"---",(GEOMEAN($AH64:CC64/100+1)^12-1)*100)</f>
        <v>---</v>
      </c>
      <c r="M64" s="432" t="str">
        <f t="array" ref="M64">IF(CO64=0,"---",(GEOMEAN($AH64:CO64/100+1)^12-1)*100)</f>
        <v>---</v>
      </c>
      <c r="N64" s="432" t="str">
        <f t="array" ref="N64">IF(DM64=0,"---",(GEOMEAN($AH64:DM64/100+1)^12-1)*100)</f>
        <v>---</v>
      </c>
      <c r="O64" s="432" t="str">
        <f t="array" ref="O64">IF(EK64=0,"---",(GEOMEAN($AH64:EK64/100+1)^12-1)*100)</f>
        <v>---</v>
      </c>
      <c r="P64" s="432" t="str">
        <f t="array" ref="P64">IF(EW64=0,"---",(GEOMEAN($AH64:EW64/100+1)^12-1)*100)</f>
        <v>---</v>
      </c>
      <c r="Q64" s="433">
        <f>TRINITY!B471</f>
        <v>-2.4222600000000001</v>
      </c>
      <c r="R64" s="434">
        <f t="shared" si="49"/>
        <v>-71.97</v>
      </c>
      <c r="S64" s="434" t="str">
        <f t="shared" si="50"/>
        <v>---</v>
      </c>
      <c r="T64" s="434" t="str">
        <f t="shared" si="51"/>
        <v>---</v>
      </c>
      <c r="U64" s="434" t="str">
        <f t="shared" si="52"/>
        <v>---</v>
      </c>
      <c r="V64" s="434" t="str">
        <f t="shared" si="53"/>
        <v>---</v>
      </c>
      <c r="W64" s="434" t="str">
        <f t="shared" si="54"/>
        <v>---</v>
      </c>
      <c r="X64" s="434" t="str">
        <f t="shared" si="55"/>
        <v>---</v>
      </c>
      <c r="Y64" s="434" t="str">
        <f t="shared" si="56"/>
        <v>---</v>
      </c>
      <c r="Z64" s="434" t="str">
        <f t="shared" si="57"/>
        <v>---</v>
      </c>
      <c r="AA64" s="434" t="str">
        <f t="shared" si="58"/>
        <v>---</v>
      </c>
      <c r="AB64" s="434" t="str">
        <f t="shared" si="59"/>
        <v>---</v>
      </c>
      <c r="AC64" s="435">
        <f t="array" ref="AC64">(Q64-AF64)*100</f>
        <v>-45.69700000000001</v>
      </c>
      <c r="AD64" s="436"/>
      <c r="AE64" s="477"/>
      <c r="AF64" s="1468">
        <f>Index_Returns!AA471</f>
        <v>-1.96529</v>
      </c>
      <c r="AG64" s="1215" t="str">
        <f t="shared" ref="AG64:AG65" si="60">IF(I64="---","&lt; 1 Year","---")</f>
        <v>&lt; 1 Year</v>
      </c>
      <c r="AH64" s="482">
        <f>VLOOKUP(AH$8,TRINITY!$A$1:$E$488,2,FALSE)</f>
        <v>-0.87351999999999996</v>
      </c>
      <c r="AI64" s="482">
        <f>VLOOKUP(AI$8,TRINITY!$A$1:$E$488,2,FALSE)</f>
        <v>-2.4222600000000001</v>
      </c>
      <c r="AJ64" s="482">
        <f>VLOOKUP(AJ$8,TRINITY!$A$1:$E$488,2,FALSE)</f>
        <v>0</v>
      </c>
      <c r="AK64" s="482">
        <f>VLOOKUP(AK$8,TRINITY!$A$1:$E$488,2,FALSE)</f>
        <v>0</v>
      </c>
      <c r="AL64" s="482">
        <f>VLOOKUP(AL$8,TRINITY!$A$1:$E$488,2,FALSE)</f>
        <v>0</v>
      </c>
      <c r="AM64" s="482">
        <f>VLOOKUP(AM$8,TRINITY!$A$1:$E$488,2,FALSE)</f>
        <v>0</v>
      </c>
      <c r="AN64" s="482">
        <f>VLOOKUP(AN$8,TRINITY!$A$1:$E$488,2,FALSE)</f>
        <v>0</v>
      </c>
      <c r="AO64" s="482">
        <f>VLOOKUP(AO$8,TRINITY!$A$1:$E$488,2,FALSE)</f>
        <v>0</v>
      </c>
      <c r="AP64" s="482">
        <f>VLOOKUP(AP$8,TRINITY!$A$1:$E$488,2,FALSE)</f>
        <v>0</v>
      </c>
      <c r="AQ64" s="482">
        <f>VLOOKUP(AQ$8,TRINITY!$A$1:$E$488,2,FALSE)</f>
        <v>0</v>
      </c>
      <c r="AR64" s="482">
        <f>VLOOKUP(AR$8,TRINITY!$A$1:$E$488,2,FALSE)</f>
        <v>0</v>
      </c>
      <c r="AS64" s="482">
        <f>VLOOKUP(AS$8,TRINITY!$A$1:$E$488,2,FALSE)</f>
        <v>0</v>
      </c>
      <c r="AT64" s="482">
        <f>VLOOKUP(AT$8,TRINITY!$A$1:$E$488,2,FALSE)</f>
        <v>0</v>
      </c>
      <c r="AU64" s="482">
        <f>VLOOKUP(AU$8,TRINITY!$A$1:$E$488,2,FALSE)</f>
        <v>0</v>
      </c>
      <c r="AV64" s="482">
        <f>VLOOKUP(AV$8,TRINITY!$A$1:$E$488,2,FALSE)</f>
        <v>0</v>
      </c>
      <c r="AW64" s="482">
        <f>VLOOKUP(AW$8,TRINITY!$A$1:$E$488,2,FALSE)</f>
        <v>0</v>
      </c>
      <c r="AX64" s="482">
        <f>VLOOKUP(AX$8,TRINITY!$A$1:$E$488,2,FALSE)</f>
        <v>0</v>
      </c>
      <c r="AY64" s="482">
        <f>VLOOKUP(AY$8,TRINITY!$A$1:$E$488,2,FALSE)</f>
        <v>0</v>
      </c>
      <c r="AZ64" s="482">
        <f>VLOOKUP(AZ$8,TRINITY!$A$1:$E$488,2,FALSE)</f>
        <v>0</v>
      </c>
      <c r="BA64" s="482">
        <f>VLOOKUP(BA$8,TRINITY!$A$1:$E$488,2,FALSE)</f>
        <v>0</v>
      </c>
      <c r="BB64" s="482">
        <f>VLOOKUP(BB$8,TRINITY!$A$1:$E$488,2,FALSE)</f>
        <v>0</v>
      </c>
      <c r="BC64" s="482">
        <f>VLOOKUP(BC$8,TRINITY!$A$1:$E$488,2,FALSE)</f>
        <v>0</v>
      </c>
      <c r="BD64" s="482">
        <f>VLOOKUP(BD$8,TRINITY!$A$1:$E$488,2,FALSE)</f>
        <v>0</v>
      </c>
      <c r="BE64" s="482">
        <f>VLOOKUP(BE$8,TRINITY!$A$1:$E$488,2,FALSE)</f>
        <v>0</v>
      </c>
      <c r="BF64" s="482">
        <f>VLOOKUP(BF$8,TRINITY!$A$1:$E$488,2,FALSE)</f>
        <v>0</v>
      </c>
      <c r="BG64" s="482">
        <f>VLOOKUP(BG$8,TRINITY!$A$1:$E$488,2,FALSE)</f>
        <v>0</v>
      </c>
      <c r="BH64" s="482">
        <f>VLOOKUP(BH$8,TRINITY!$A$1:$E$488,2,FALSE)</f>
        <v>0</v>
      </c>
      <c r="BI64" s="482">
        <f>VLOOKUP(BI$8,TRINITY!$A$1:$E$488,2,FALSE)</f>
        <v>0</v>
      </c>
      <c r="BJ64" s="482">
        <f>VLOOKUP(BJ$8,TRINITY!$A$1:$E$488,2,FALSE)</f>
        <v>0</v>
      </c>
      <c r="BK64" s="482">
        <f>VLOOKUP(BK$8,TRINITY!$A$1:$E$488,2,FALSE)</f>
        <v>0</v>
      </c>
      <c r="BL64" s="482">
        <f>VLOOKUP(BL$8,TRINITY!$A$1:$E$488,2,FALSE)</f>
        <v>0</v>
      </c>
      <c r="BM64" s="482">
        <f>VLOOKUP(BM$8,TRINITY!$A$1:$E$488,2,FALSE)</f>
        <v>0</v>
      </c>
      <c r="BN64" s="482">
        <f>VLOOKUP(BN$8,TRINITY!$A$1:$E$488,2,FALSE)</f>
        <v>0</v>
      </c>
      <c r="BO64" s="482">
        <f>VLOOKUP(BO$8,TRINITY!$A$1:$E$488,2,FALSE)</f>
        <v>0</v>
      </c>
      <c r="BP64" s="482">
        <f>VLOOKUP(BP$8,TRINITY!$A$1:$E$488,2,FALSE)</f>
        <v>0</v>
      </c>
      <c r="BQ64" s="482">
        <f>VLOOKUP(BQ$8,TRINITY!$A$1:$E$488,2,FALSE)</f>
        <v>0</v>
      </c>
      <c r="BR64" s="482">
        <f>VLOOKUP(BR$8,TRINITY!$A$1:$E$488,2,FALSE)</f>
        <v>0</v>
      </c>
      <c r="BS64" s="482">
        <f>VLOOKUP(BS$8,TRINITY!$A$1:$E$488,2,FALSE)</f>
        <v>0</v>
      </c>
      <c r="BT64" s="482">
        <f>VLOOKUP(BT$8,TRINITY!$A$1:$E$488,2,FALSE)</f>
        <v>0</v>
      </c>
      <c r="BU64" s="482">
        <f>VLOOKUP(BU$8,TRINITY!$A$1:$E$488,2,FALSE)</f>
        <v>0</v>
      </c>
      <c r="BV64" s="482">
        <f>VLOOKUP(BV$8,TRINITY!$A$1:$E$488,2,FALSE)</f>
        <v>0</v>
      </c>
      <c r="BW64" s="482">
        <f>VLOOKUP(BW$8,TRINITY!$A$1:$E$488,2,FALSE)</f>
        <v>0</v>
      </c>
      <c r="BX64" s="482">
        <f>VLOOKUP(BX$8,TRINITY!$A$1:$E$488,2,FALSE)</f>
        <v>0</v>
      </c>
      <c r="BY64" s="482">
        <f>VLOOKUP(BY$8,TRINITY!$A$1:$E$488,2,FALSE)</f>
        <v>0</v>
      </c>
      <c r="BZ64" s="482">
        <f>VLOOKUP(BZ$8,TRINITY!$A$1:$E$488,2,FALSE)</f>
        <v>0</v>
      </c>
      <c r="CA64" s="482">
        <f>VLOOKUP(CA$8,TRINITY!$A$1:$E$488,2,FALSE)</f>
        <v>0</v>
      </c>
      <c r="CB64" s="482">
        <f>VLOOKUP(CB$8,TRINITY!$A$1:$E$488,2,FALSE)</f>
        <v>0</v>
      </c>
      <c r="CC64" s="482">
        <f>VLOOKUP(CC$8,TRINITY!$A$1:$E$488,2,FALSE)</f>
        <v>0</v>
      </c>
      <c r="CD64" s="482">
        <f>VLOOKUP(CD$8,TRINITY!$A$1:$E$488,2,FALSE)</f>
        <v>0</v>
      </c>
      <c r="CE64" s="482">
        <f>VLOOKUP(CE$8,TRINITY!$A$1:$E$488,2,FALSE)</f>
        <v>0</v>
      </c>
      <c r="CF64" s="482">
        <f>VLOOKUP(CF$8,TRINITY!$A$1:$E$488,2,FALSE)</f>
        <v>0</v>
      </c>
      <c r="CG64" s="482">
        <f>VLOOKUP(CG$8,TRINITY!$A$1:$E$488,2,FALSE)</f>
        <v>0</v>
      </c>
      <c r="CH64" s="482">
        <f>VLOOKUP(CH$8,TRINITY!$A$1:$E$488,2,FALSE)</f>
        <v>0</v>
      </c>
      <c r="CI64" s="482">
        <f>VLOOKUP(CI$8,TRINITY!$A$1:$E$488,2,FALSE)</f>
        <v>0</v>
      </c>
      <c r="CJ64" s="482">
        <f>VLOOKUP(CJ$8,TRINITY!$A$1:$E$488,2,FALSE)</f>
        <v>0</v>
      </c>
      <c r="CK64" s="482">
        <f>VLOOKUP(CK$8,TRINITY!$A$1:$E$488,2,FALSE)</f>
        <v>0</v>
      </c>
      <c r="CL64" s="482">
        <f>VLOOKUP(CL$8,TRINITY!$A$1:$E$488,2,FALSE)</f>
        <v>0</v>
      </c>
      <c r="CM64" s="482">
        <f>VLOOKUP(CM$8,TRINITY!$A$1:$E$488,2,FALSE)</f>
        <v>0</v>
      </c>
      <c r="CN64" s="482">
        <f>VLOOKUP(CN$8,TRINITY!$A$1:$E$488,2,FALSE)</f>
        <v>0</v>
      </c>
      <c r="CO64" s="482">
        <f>VLOOKUP(CO$8,TRINITY!$A$1:$E$488,2,FALSE)</f>
        <v>0</v>
      </c>
      <c r="CP64" s="482">
        <f>VLOOKUP(CP$8,TRINITY!$A$1:$E$488,2,FALSE)</f>
        <v>0</v>
      </c>
      <c r="CQ64" s="482">
        <f>VLOOKUP(CQ$8,TRINITY!$A$1:$E$488,2,FALSE)</f>
        <v>0</v>
      </c>
      <c r="CR64" s="482">
        <f>VLOOKUP(CR$8,TRINITY!$A$1:$E$488,2,FALSE)</f>
        <v>0</v>
      </c>
      <c r="CS64" s="482">
        <f>VLOOKUP(CS$8,TRINITY!$A$1:$E$488,2,FALSE)</f>
        <v>0</v>
      </c>
      <c r="CT64" s="482">
        <f>VLOOKUP(CT$8,TRINITY!$A$1:$E$488,2,FALSE)</f>
        <v>0</v>
      </c>
      <c r="CU64" s="482">
        <f>VLOOKUP(CU$8,TRINITY!$A$1:$E$488,2,FALSE)</f>
        <v>0</v>
      </c>
      <c r="CV64" s="482">
        <f>VLOOKUP(CV$8,TRINITY!$A$1:$E$488,2,FALSE)</f>
        <v>0</v>
      </c>
      <c r="CW64" s="482">
        <f>VLOOKUP(CW$8,TRINITY!$A$1:$E$488,2,FALSE)</f>
        <v>0</v>
      </c>
      <c r="CX64" s="482">
        <f>VLOOKUP(CX$8,TRINITY!$A$1:$E$488,2,FALSE)</f>
        <v>0</v>
      </c>
      <c r="CY64" s="482">
        <f>VLOOKUP(CY$8,TRINITY!$A$1:$E$488,2,FALSE)</f>
        <v>0</v>
      </c>
      <c r="CZ64" s="482">
        <f>VLOOKUP(CZ$8,TRINITY!$A$1:$E$488,2,FALSE)</f>
        <v>0</v>
      </c>
      <c r="DA64" s="482">
        <f>VLOOKUP(DA$8,TRINITY!$A$1:$E$488,2,FALSE)</f>
        <v>0</v>
      </c>
      <c r="DB64" s="482">
        <f>VLOOKUP(DB$8,TRINITY!$A$1:$E$488,2,FALSE)</f>
        <v>0</v>
      </c>
      <c r="DC64" s="482">
        <f>VLOOKUP(DC$8,TRINITY!$A$1:$E$488,2,FALSE)</f>
        <v>0</v>
      </c>
      <c r="DD64" s="482">
        <f>VLOOKUP(DD$8,TRINITY!$A$1:$E$488,2,FALSE)</f>
        <v>0</v>
      </c>
      <c r="DE64" s="482">
        <f>VLOOKUP(DE$8,TRINITY!$A$1:$E$488,2,FALSE)</f>
        <v>0</v>
      </c>
      <c r="DF64" s="482">
        <f>VLOOKUP(DF$8,TRINITY!$A$1:$E$488,2,FALSE)</f>
        <v>0</v>
      </c>
      <c r="DG64" s="482">
        <f>VLOOKUP(DG$8,TRINITY!$A$1:$E$488,2,FALSE)</f>
        <v>0</v>
      </c>
      <c r="DH64" s="482">
        <f>VLOOKUP(DH$8,TRINITY!$A$1:$E$488,2,FALSE)</f>
        <v>0</v>
      </c>
      <c r="DI64" s="482">
        <f>VLOOKUP(DI$8,TRINITY!$A$1:$E$488,2,FALSE)</f>
        <v>0</v>
      </c>
      <c r="DJ64" s="482">
        <f>VLOOKUP(DJ$8,TRINITY!$A$1:$E$488,2,FALSE)</f>
        <v>0</v>
      </c>
      <c r="DK64" s="482">
        <f>VLOOKUP(DK$8,TRINITY!$A$1:$E$488,2,FALSE)</f>
        <v>0</v>
      </c>
      <c r="DL64" s="482">
        <f>VLOOKUP(DL$8,TRINITY!$A$1:$E$488,2,FALSE)</f>
        <v>0</v>
      </c>
      <c r="DM64" s="482">
        <f>VLOOKUP(DM$8,TRINITY!$A$1:$E$488,2,FALSE)</f>
        <v>0</v>
      </c>
      <c r="DN64" s="482">
        <f>VLOOKUP(DN$8,TRINITY!$A$1:$E$488,2,FALSE)</f>
        <v>0</v>
      </c>
      <c r="DO64" s="482">
        <f>VLOOKUP(DO$8,TRINITY!$A$1:$E$488,2,FALSE)</f>
        <v>0</v>
      </c>
      <c r="DP64" s="482">
        <f>VLOOKUP(DP$8,TRINITY!$A$1:$E$488,2,FALSE)</f>
        <v>0</v>
      </c>
      <c r="DQ64" s="482">
        <f>VLOOKUP(DQ$8,TRINITY!$A$1:$E$488,2,FALSE)</f>
        <v>0</v>
      </c>
      <c r="DR64" s="482">
        <f>VLOOKUP(DR$8,TRINITY!$A$1:$E$488,2,FALSE)</f>
        <v>0</v>
      </c>
      <c r="DS64" s="482">
        <f>VLOOKUP(DS$8,TRINITY!$A$1:$E$488,2,FALSE)</f>
        <v>0</v>
      </c>
      <c r="DT64" s="482">
        <f>VLOOKUP(DT$8,TRINITY!$A$1:$E$488,2,FALSE)</f>
        <v>0</v>
      </c>
      <c r="DU64" s="482">
        <f>VLOOKUP(DU$8,TRINITY!$A$1:$E$488,2,FALSE)</f>
        <v>0</v>
      </c>
      <c r="DV64" s="482">
        <f>VLOOKUP(DV$8,TRINITY!$A$1:$E$488,2,FALSE)</f>
        <v>0</v>
      </c>
      <c r="DW64" s="482">
        <f>VLOOKUP(DW$8,TRINITY!$A$1:$E$488,2,FALSE)</f>
        <v>0</v>
      </c>
      <c r="DX64" s="482">
        <f>VLOOKUP(DX$8,TRINITY!$A$1:$E$488,2,FALSE)</f>
        <v>0</v>
      </c>
      <c r="DY64" s="482">
        <f>VLOOKUP(DY$8,TRINITY!$A$1:$E$488,2,FALSE)</f>
        <v>0</v>
      </c>
      <c r="DZ64" s="482">
        <f>VLOOKUP(DZ$8,TRINITY!$A$1:$E$488,2,FALSE)</f>
        <v>0</v>
      </c>
      <c r="EA64" s="482">
        <f>VLOOKUP(EA$8,TRINITY!$A$1:$E$488,2,FALSE)</f>
        <v>0</v>
      </c>
      <c r="EB64" s="482">
        <f>VLOOKUP(EB$8,TRINITY!$A$1:$E$488,2,FALSE)</f>
        <v>0</v>
      </c>
      <c r="EC64" s="482">
        <f>VLOOKUP(EC$8,TRINITY!$A$1:$E$488,2,FALSE)</f>
        <v>0</v>
      </c>
      <c r="ED64" s="482">
        <f>VLOOKUP(ED$8,TRINITY!$A$1:$E$488,2,FALSE)</f>
        <v>0</v>
      </c>
      <c r="EE64" s="482">
        <f>VLOOKUP(EE$8,TRINITY!$A$1:$E$488,2,FALSE)</f>
        <v>0</v>
      </c>
      <c r="EF64" s="482">
        <f>VLOOKUP(EF$8,TRINITY!$A$1:$E$488,2,FALSE)</f>
        <v>0</v>
      </c>
      <c r="EG64" s="482">
        <f>VLOOKUP(EG$8,TRINITY!$A$1:$E$488,2,FALSE)</f>
        <v>0</v>
      </c>
      <c r="EH64" s="482">
        <f>VLOOKUP(EH$8,TRINITY!$A$1:$E$488,2,FALSE)</f>
        <v>0</v>
      </c>
      <c r="EI64" s="482">
        <f>VLOOKUP(EI$8,TRINITY!$A$1:$E$488,2,FALSE)</f>
        <v>0</v>
      </c>
      <c r="EJ64" s="482">
        <f>VLOOKUP(EJ$8,TRINITY!$A$1:$E$488,2,FALSE)</f>
        <v>0</v>
      </c>
      <c r="EK64" s="482">
        <f>VLOOKUP(EK$8,TRINITY!$A$1:$E$488,2,FALSE)</f>
        <v>0</v>
      </c>
      <c r="EL64" s="482">
        <f>VLOOKUP(EL$8,TRINITY!$A$1:$E$488,2,FALSE)</f>
        <v>0</v>
      </c>
      <c r="EM64" s="482">
        <f>VLOOKUP(EM$8,TRINITY!$A$1:$E$488,2,FALSE)</f>
        <v>0</v>
      </c>
      <c r="EN64" s="482">
        <f>VLOOKUP(EN$8,TRINITY!$A$1:$E$488,2,FALSE)</f>
        <v>0</v>
      </c>
      <c r="EO64" s="482">
        <f>VLOOKUP(EO$8,TRINITY!$A$1:$E$488,2,FALSE)</f>
        <v>0</v>
      </c>
      <c r="EP64" s="482">
        <f>VLOOKUP(EP$8,TRINITY!$A$1:$E$488,2,FALSE)</f>
        <v>0</v>
      </c>
      <c r="EQ64" s="482">
        <f>VLOOKUP(EQ$8,TRINITY!$A$1:$E$488,2,FALSE)</f>
        <v>0</v>
      </c>
      <c r="ER64" s="482">
        <f>VLOOKUP(ER$8,TRINITY!$A$1:$E$488,2,FALSE)</f>
        <v>0</v>
      </c>
      <c r="ES64" s="482">
        <f>VLOOKUP(ES$8,TRINITY!$A$1:$E$488,2,FALSE)</f>
        <v>0</v>
      </c>
      <c r="ET64" s="482">
        <f>VLOOKUP(ET$8,TRINITY!$A$1:$E$488,2,FALSE)</f>
        <v>0</v>
      </c>
      <c r="EU64" s="482">
        <f>VLOOKUP(EU$8,TRINITY!$A$1:$E$488,2,FALSE)</f>
        <v>0</v>
      </c>
      <c r="EV64" s="482">
        <f>VLOOKUP(EV$8,TRINITY!$A$1:$E$488,2,FALSE)</f>
        <v>0</v>
      </c>
      <c r="EW64" s="482">
        <f>VLOOKUP(EW$8,TRINITY!$A$1:$E$488,2,FALSE)</f>
        <v>0</v>
      </c>
      <c r="EX64" s="515"/>
      <c r="EY64" s="1259"/>
      <c r="EZ64" s="789"/>
      <c r="FA64" s="789"/>
      <c r="FB64" s="789"/>
      <c r="FC64" s="789"/>
      <c r="FD64" s="789"/>
      <c r="FE64" s="418"/>
      <c r="FF64" s="570"/>
      <c r="FG64" s="570"/>
      <c r="FH64" s="570"/>
      <c r="FI64" s="570"/>
      <c r="FJ64" s="570"/>
      <c r="FK64" s="418"/>
      <c r="FL64" s="467"/>
      <c r="FM64" s="467"/>
    </row>
    <row r="65" spans="1:169" s="15" customFormat="1" ht="12.75" customHeight="1" x14ac:dyDescent="0.2">
      <c r="A65" s="1175" t="s">
        <v>953</v>
      </c>
      <c r="B65" s="417"/>
      <c r="C65" s="430">
        <v>41791</v>
      </c>
      <c r="D65" s="249"/>
      <c r="E65" s="444">
        <f>VLOOKUP(AH$8,TRINITY!A4:E491,3,FALSE)/1000000</f>
        <v>335.33129060000005</v>
      </c>
      <c r="F65" s="431">
        <f t="shared" si="47"/>
        <v>-0.16622999999999999</v>
      </c>
      <c r="G65" s="432" t="str">
        <f t="array" ref="G65">IF($AJ65=0,"---",(PRODUCT($AH65:AJ65/100+1)-1)*100)</f>
        <v>---</v>
      </c>
      <c r="H65" s="432" t="str">
        <f t="array" ref="H65">IF($AS65=0,"---",(PRODUCT(AH65:AN65/100+1)-1)*100)</f>
        <v>---</v>
      </c>
      <c r="I65" s="432" t="str">
        <f t="array" ref="I65">IF(AS65=0,"---",(GEOMEAN($AH65:AS65/100+1)^12-1)*100)</f>
        <v>---</v>
      </c>
      <c r="J65" s="432" t="str">
        <f t="array" ref="J65">IF(BE65=0,"---",(GEOMEAN($AH65:BE65/100+1)^12-1)*100)</f>
        <v>---</v>
      </c>
      <c r="K65" s="432" t="str">
        <f t="array" ref="K65">IF(BQ65=0,"---",(GEOMEAN($AH65:BQ65/100+1)^12-1)*100)</f>
        <v>---</v>
      </c>
      <c r="L65" s="432" t="str">
        <f t="array" ref="L65">IF(CC65=0,"---",(GEOMEAN($AH65:CC65/100+1)^12-1)*100)</f>
        <v>---</v>
      </c>
      <c r="M65" s="432" t="str">
        <f t="array" ref="M65">IF(CO65=0,"---",(GEOMEAN($AH65:CO65/100+1)^12-1)*100)</f>
        <v>---</v>
      </c>
      <c r="N65" s="432" t="str">
        <f t="array" ref="N65">IF(DM65=0,"---",(GEOMEAN($AH65:DM65/100+1)^12-1)*100)</f>
        <v>---</v>
      </c>
      <c r="O65" s="432" t="str">
        <f t="array" ref="O65">IF(EK65=0,"---",(GEOMEAN($AH65:EK65/100+1)^12-1)*100)</f>
        <v>---</v>
      </c>
      <c r="P65" s="432" t="str">
        <f t="array" ref="P65">IF(EW65=0,"---",(GEOMEAN($AH65:EW65/100+1)^12-1)*100)</f>
        <v>---</v>
      </c>
      <c r="Q65" s="433">
        <f>THOMPSON!B471</f>
        <v>-1.8227199999999999</v>
      </c>
      <c r="R65" s="434">
        <f t="shared" si="49"/>
        <v>-1.2409999999999977</v>
      </c>
      <c r="S65" s="434" t="str">
        <f t="shared" si="50"/>
        <v>---</v>
      </c>
      <c r="T65" s="434" t="str">
        <f t="shared" si="51"/>
        <v>---</v>
      </c>
      <c r="U65" s="434" t="str">
        <f t="shared" si="52"/>
        <v>---</v>
      </c>
      <c r="V65" s="434" t="str">
        <f t="shared" si="53"/>
        <v>---</v>
      </c>
      <c r="W65" s="434" t="str">
        <f t="shared" si="54"/>
        <v>---</v>
      </c>
      <c r="X65" s="434" t="str">
        <f t="shared" si="55"/>
        <v>---</v>
      </c>
      <c r="Y65" s="434" t="str">
        <f t="shared" si="56"/>
        <v>---</v>
      </c>
      <c r="Z65" s="434" t="str">
        <f t="shared" si="57"/>
        <v>---</v>
      </c>
      <c r="AA65" s="434" t="str">
        <f t="shared" si="58"/>
        <v>---</v>
      </c>
      <c r="AB65" s="434" t="str">
        <f t="shared" si="59"/>
        <v>---</v>
      </c>
      <c r="AC65" s="435">
        <f t="array" ref="AC65">(Q65-AF65)*100</f>
        <v>14.257000000000009</v>
      </c>
      <c r="AD65" s="436"/>
      <c r="AE65" s="477"/>
      <c r="AF65" s="1468">
        <f>Index_Returns!AA471</f>
        <v>-1.96529</v>
      </c>
      <c r="AG65" s="1215" t="str">
        <f t="shared" si="60"/>
        <v>&lt; 1 Year</v>
      </c>
      <c r="AH65" s="482">
        <f>VLOOKUP(AH$8,THOMPSON!$A$1:$E$488,2,FALSE)</f>
        <v>-0.16622999999999999</v>
      </c>
      <c r="AI65" s="482">
        <f>VLOOKUP(AI$8,THOMPSON!$A$1:$E$488,2,FALSE)</f>
        <v>-1.8227199999999999</v>
      </c>
      <c r="AJ65" s="482">
        <f>VLOOKUP(AJ$8,THOMPSON!$A$1:$E$488,2,FALSE)</f>
        <v>0</v>
      </c>
      <c r="AK65" s="482">
        <f>VLOOKUP(AK$8,THOMPSON!$A$1:$E$488,2,FALSE)</f>
        <v>0</v>
      </c>
      <c r="AL65" s="482">
        <f>VLOOKUP(AL$8,THOMPSON!$A$1:$E$488,2,FALSE)</f>
        <v>0</v>
      </c>
      <c r="AM65" s="482">
        <f>VLOOKUP(AM$8,THOMPSON!$A$1:$E$488,2,FALSE)</f>
        <v>0</v>
      </c>
      <c r="AN65" s="482">
        <f>VLOOKUP(AN$8,THOMPSON!$A$1:$E$488,2,FALSE)</f>
        <v>0</v>
      </c>
      <c r="AO65" s="482">
        <f>VLOOKUP(AO$8,THOMPSON!$A$1:$E$488,2,FALSE)</f>
        <v>0</v>
      </c>
      <c r="AP65" s="482">
        <f>VLOOKUP(AP$8,THOMPSON!$A$1:$E$488,2,FALSE)</f>
        <v>0</v>
      </c>
      <c r="AQ65" s="482">
        <f>VLOOKUP(AQ$8,THOMPSON!$A$1:$E$488,2,FALSE)</f>
        <v>0</v>
      </c>
      <c r="AR65" s="482">
        <f>VLOOKUP(AR$8,THOMPSON!$A$1:$E$488,2,FALSE)</f>
        <v>0</v>
      </c>
      <c r="AS65" s="482">
        <f>VLOOKUP(AS$8,THOMPSON!$A$1:$E$488,2,FALSE)</f>
        <v>0</v>
      </c>
      <c r="AT65" s="482">
        <f>VLOOKUP(AT$8,THOMPSON!$A$1:$E$488,2,FALSE)</f>
        <v>0</v>
      </c>
      <c r="AU65" s="482">
        <f>VLOOKUP(AU$8,THOMPSON!$A$1:$E$488,2,FALSE)</f>
        <v>0</v>
      </c>
      <c r="AV65" s="482">
        <f>VLOOKUP(AV$8,THOMPSON!$A$1:$E$488,2,FALSE)</f>
        <v>0</v>
      </c>
      <c r="AW65" s="482">
        <f>VLOOKUP(AW$8,THOMPSON!$A$1:$E$488,2,FALSE)</f>
        <v>0</v>
      </c>
      <c r="AX65" s="482">
        <f>VLOOKUP(AX$8,THOMPSON!$A$1:$E$488,2,FALSE)</f>
        <v>0</v>
      </c>
      <c r="AY65" s="482">
        <f>VLOOKUP(AY$8,THOMPSON!$A$1:$E$488,2,FALSE)</f>
        <v>0</v>
      </c>
      <c r="AZ65" s="482">
        <f>VLOOKUP(AZ$8,THOMPSON!$A$1:$E$488,2,FALSE)</f>
        <v>0</v>
      </c>
      <c r="BA65" s="482">
        <f>VLOOKUP(BA$8,THOMPSON!$A$1:$E$488,2,FALSE)</f>
        <v>0</v>
      </c>
      <c r="BB65" s="482">
        <f>VLOOKUP(BB$8,THOMPSON!$A$1:$E$488,2,FALSE)</f>
        <v>0</v>
      </c>
      <c r="BC65" s="482">
        <f>VLOOKUP(BC$8,THOMPSON!$A$1:$E$488,2,FALSE)</f>
        <v>0</v>
      </c>
      <c r="BD65" s="482">
        <f>VLOOKUP(BD$8,THOMPSON!$A$1:$E$488,2,FALSE)</f>
        <v>0</v>
      </c>
      <c r="BE65" s="482">
        <f>VLOOKUP(BE$8,THOMPSON!$A$1:$E$488,2,FALSE)</f>
        <v>0</v>
      </c>
      <c r="BF65" s="482">
        <f>VLOOKUP(BF$8,THOMPSON!$A$1:$E$488,2,FALSE)</f>
        <v>0</v>
      </c>
      <c r="BG65" s="482">
        <f>VLOOKUP(BG$8,THOMPSON!$A$1:$E$488,2,FALSE)</f>
        <v>0</v>
      </c>
      <c r="BH65" s="482">
        <f>VLOOKUP(BH$8,THOMPSON!$A$1:$E$488,2,FALSE)</f>
        <v>0</v>
      </c>
      <c r="BI65" s="482">
        <f>VLOOKUP(BI$8,THOMPSON!$A$1:$E$488,2,FALSE)</f>
        <v>0</v>
      </c>
      <c r="BJ65" s="482">
        <f>VLOOKUP(BJ$8,THOMPSON!$A$1:$E$488,2,FALSE)</f>
        <v>0</v>
      </c>
      <c r="BK65" s="482">
        <f>VLOOKUP(BK$8,THOMPSON!$A$1:$E$488,2,FALSE)</f>
        <v>0</v>
      </c>
      <c r="BL65" s="482">
        <f>VLOOKUP(BL$8,THOMPSON!$A$1:$E$488,2,FALSE)</f>
        <v>0</v>
      </c>
      <c r="BM65" s="482">
        <f>VLOOKUP(BM$8,THOMPSON!$A$1:$E$488,2,FALSE)</f>
        <v>0</v>
      </c>
      <c r="BN65" s="482">
        <f>VLOOKUP(BN$8,THOMPSON!$A$1:$E$488,2,FALSE)</f>
        <v>0</v>
      </c>
      <c r="BO65" s="482">
        <f>VLOOKUP(BO$8,THOMPSON!$A$1:$E$488,2,FALSE)</f>
        <v>0</v>
      </c>
      <c r="BP65" s="482">
        <f>VLOOKUP(BP$8,THOMPSON!$A$1:$E$488,2,FALSE)</f>
        <v>0</v>
      </c>
      <c r="BQ65" s="482">
        <f>VLOOKUP(BQ$8,THOMPSON!$A$1:$E$488,2,FALSE)</f>
        <v>0</v>
      </c>
      <c r="BR65" s="482">
        <f>VLOOKUP(BR$8,THOMPSON!$A$1:$E$488,2,FALSE)</f>
        <v>0</v>
      </c>
      <c r="BS65" s="482">
        <f>VLOOKUP(BS$8,THOMPSON!$A$1:$E$488,2,FALSE)</f>
        <v>0</v>
      </c>
      <c r="BT65" s="482">
        <f>VLOOKUP(BT$8,THOMPSON!$A$1:$E$488,2,FALSE)</f>
        <v>0</v>
      </c>
      <c r="BU65" s="482">
        <f>VLOOKUP(BU$8,THOMPSON!$A$1:$E$488,2,FALSE)</f>
        <v>0</v>
      </c>
      <c r="BV65" s="482">
        <f>VLOOKUP(BV$8,THOMPSON!$A$1:$E$488,2,FALSE)</f>
        <v>0</v>
      </c>
      <c r="BW65" s="482">
        <f>VLOOKUP(BW$8,THOMPSON!$A$1:$E$488,2,FALSE)</f>
        <v>0</v>
      </c>
      <c r="BX65" s="482">
        <f>VLOOKUP(BX$8,THOMPSON!$A$1:$E$488,2,FALSE)</f>
        <v>0</v>
      </c>
      <c r="BY65" s="482">
        <f>VLOOKUP(BY$8,THOMPSON!$A$1:$E$488,2,FALSE)</f>
        <v>0</v>
      </c>
      <c r="BZ65" s="482">
        <f>VLOOKUP(BZ$8,THOMPSON!$A$1:$E$488,2,FALSE)</f>
        <v>0</v>
      </c>
      <c r="CA65" s="482">
        <f>VLOOKUP(CA$8,THOMPSON!$A$1:$E$488,2,FALSE)</f>
        <v>0</v>
      </c>
      <c r="CB65" s="482">
        <f>VLOOKUP(CB$8,THOMPSON!$A$1:$E$488,2,FALSE)</f>
        <v>0</v>
      </c>
      <c r="CC65" s="482">
        <f>VLOOKUP(CC$8,THOMPSON!$A$1:$E$488,2,FALSE)</f>
        <v>0</v>
      </c>
      <c r="CD65" s="482">
        <f>VLOOKUP(CD$8,THOMPSON!$A$1:$E$488,2,FALSE)</f>
        <v>0</v>
      </c>
      <c r="CE65" s="482">
        <f>VLOOKUP(CE$8,THOMPSON!$A$1:$E$488,2,FALSE)</f>
        <v>0</v>
      </c>
      <c r="CF65" s="482">
        <f>VLOOKUP(CF$8,THOMPSON!$A$1:$E$488,2,FALSE)</f>
        <v>0</v>
      </c>
      <c r="CG65" s="482">
        <f>VLOOKUP(CG$8,THOMPSON!$A$1:$E$488,2,FALSE)</f>
        <v>0</v>
      </c>
      <c r="CH65" s="482">
        <f>VLOOKUP(CH$8,THOMPSON!$A$1:$E$488,2,FALSE)</f>
        <v>0</v>
      </c>
      <c r="CI65" s="482">
        <f>VLOOKUP(CI$8,THOMPSON!$A$1:$E$488,2,FALSE)</f>
        <v>0</v>
      </c>
      <c r="CJ65" s="482">
        <f>VLOOKUP(CJ$8,THOMPSON!$A$1:$E$488,2,FALSE)</f>
        <v>0</v>
      </c>
      <c r="CK65" s="482">
        <f>VLOOKUP(CK$8,THOMPSON!$A$1:$E$488,2,FALSE)</f>
        <v>0</v>
      </c>
      <c r="CL65" s="482">
        <f>VLOOKUP(CL$8,THOMPSON!$A$1:$E$488,2,FALSE)</f>
        <v>0</v>
      </c>
      <c r="CM65" s="482">
        <f>VLOOKUP(CM$8,THOMPSON!$A$1:$E$488,2,FALSE)</f>
        <v>0</v>
      </c>
      <c r="CN65" s="482">
        <f>VLOOKUP(CN$8,THOMPSON!$A$1:$E$488,2,FALSE)</f>
        <v>0</v>
      </c>
      <c r="CO65" s="482">
        <f>VLOOKUP(CO$8,THOMPSON!$A$1:$E$488,2,FALSE)</f>
        <v>0</v>
      </c>
      <c r="CP65" s="482">
        <f>VLOOKUP(CP$8,THOMPSON!$A$1:$E$488,2,FALSE)</f>
        <v>0</v>
      </c>
      <c r="CQ65" s="482">
        <f>VLOOKUP(CQ$8,THOMPSON!$A$1:$E$488,2,FALSE)</f>
        <v>0</v>
      </c>
      <c r="CR65" s="482">
        <f>VLOOKUP(CR$8,THOMPSON!$A$1:$E$488,2,FALSE)</f>
        <v>0</v>
      </c>
      <c r="CS65" s="482">
        <f>VLOOKUP(CS$8,THOMPSON!$A$1:$E$488,2,FALSE)</f>
        <v>0</v>
      </c>
      <c r="CT65" s="482">
        <f>VLOOKUP(CT$8,THOMPSON!$A$1:$E$488,2,FALSE)</f>
        <v>0</v>
      </c>
      <c r="CU65" s="482">
        <f>VLOOKUP(CU$8,THOMPSON!$A$1:$E$488,2,FALSE)</f>
        <v>0</v>
      </c>
      <c r="CV65" s="482">
        <f>VLOOKUP(CV$8,THOMPSON!$A$1:$E$488,2,FALSE)</f>
        <v>0</v>
      </c>
      <c r="CW65" s="482">
        <f>VLOOKUP(CW$8,THOMPSON!$A$1:$E$488,2,FALSE)</f>
        <v>0</v>
      </c>
      <c r="CX65" s="482">
        <f>VLOOKUP(CX$8,THOMPSON!$A$1:$E$488,2,FALSE)</f>
        <v>0</v>
      </c>
      <c r="CY65" s="482">
        <f>VLOOKUP(CY$8,THOMPSON!$A$1:$E$488,2,FALSE)</f>
        <v>0</v>
      </c>
      <c r="CZ65" s="482">
        <f>VLOOKUP(CZ$8,THOMPSON!$A$1:$E$488,2,FALSE)</f>
        <v>0</v>
      </c>
      <c r="DA65" s="482">
        <f>VLOOKUP(DA$8,THOMPSON!$A$1:$E$488,2,FALSE)</f>
        <v>0</v>
      </c>
      <c r="DB65" s="482">
        <f>VLOOKUP(DB$8,THOMPSON!$A$1:$E$488,2,FALSE)</f>
        <v>0</v>
      </c>
      <c r="DC65" s="482">
        <f>VLOOKUP(DC$8,THOMPSON!$A$1:$E$488,2,FALSE)</f>
        <v>0</v>
      </c>
      <c r="DD65" s="482">
        <f>VLOOKUP(DD$8,THOMPSON!$A$1:$E$488,2,FALSE)</f>
        <v>0</v>
      </c>
      <c r="DE65" s="482">
        <f>VLOOKUP(DE$8,THOMPSON!$A$1:$E$488,2,FALSE)</f>
        <v>0</v>
      </c>
      <c r="DF65" s="482">
        <f>VLOOKUP(DF$8,THOMPSON!$A$1:$E$488,2,FALSE)</f>
        <v>0</v>
      </c>
      <c r="DG65" s="482">
        <f>VLOOKUP(DG$8,THOMPSON!$A$1:$E$488,2,FALSE)</f>
        <v>0</v>
      </c>
      <c r="DH65" s="482">
        <f>VLOOKUP(DH$8,THOMPSON!$A$1:$E$488,2,FALSE)</f>
        <v>0</v>
      </c>
      <c r="DI65" s="482">
        <f>VLOOKUP(DI$8,THOMPSON!$A$1:$E$488,2,FALSE)</f>
        <v>0</v>
      </c>
      <c r="DJ65" s="482">
        <f>VLOOKUP(DJ$8,THOMPSON!$A$1:$E$488,2,FALSE)</f>
        <v>0</v>
      </c>
      <c r="DK65" s="482">
        <f>VLOOKUP(DK$8,THOMPSON!$A$1:$E$488,2,FALSE)</f>
        <v>0</v>
      </c>
      <c r="DL65" s="482">
        <f>VLOOKUP(DL$8,THOMPSON!$A$1:$E$488,2,FALSE)</f>
        <v>0</v>
      </c>
      <c r="DM65" s="482">
        <f>VLOOKUP(DM$8,THOMPSON!$A$1:$E$488,2,FALSE)</f>
        <v>0</v>
      </c>
      <c r="DN65" s="482">
        <f>VLOOKUP(DN$8,THOMPSON!$A$1:$E$488,2,FALSE)</f>
        <v>0</v>
      </c>
      <c r="DO65" s="482">
        <f>VLOOKUP(DO$8,THOMPSON!$A$1:$E$488,2,FALSE)</f>
        <v>0</v>
      </c>
      <c r="DP65" s="482">
        <f>VLOOKUP(DP$8,THOMPSON!$A$1:$E$488,2,FALSE)</f>
        <v>0</v>
      </c>
      <c r="DQ65" s="482">
        <f>VLOOKUP(DQ$8,THOMPSON!$A$1:$E$488,2,FALSE)</f>
        <v>0</v>
      </c>
      <c r="DR65" s="482">
        <f>VLOOKUP(DR$8,THOMPSON!$A$1:$E$488,2,FALSE)</f>
        <v>0</v>
      </c>
      <c r="DS65" s="482">
        <f>VLOOKUP(DS$8,THOMPSON!$A$1:$E$488,2,FALSE)</f>
        <v>0</v>
      </c>
      <c r="DT65" s="482">
        <f>VLOOKUP(DT$8,THOMPSON!$A$1:$E$488,2,FALSE)</f>
        <v>0</v>
      </c>
      <c r="DU65" s="482">
        <f>VLOOKUP(DU$8,THOMPSON!$A$1:$E$488,2,FALSE)</f>
        <v>0</v>
      </c>
      <c r="DV65" s="482">
        <f>VLOOKUP(DV$8,THOMPSON!$A$1:$E$488,2,FALSE)</f>
        <v>0</v>
      </c>
      <c r="DW65" s="482">
        <f>VLOOKUP(DW$8,THOMPSON!$A$1:$E$488,2,FALSE)</f>
        <v>0</v>
      </c>
      <c r="DX65" s="482">
        <f>VLOOKUP(DX$8,THOMPSON!$A$1:$E$488,2,FALSE)</f>
        <v>0</v>
      </c>
      <c r="DY65" s="482">
        <f>VLOOKUP(DY$8,THOMPSON!$A$1:$E$488,2,FALSE)</f>
        <v>0</v>
      </c>
      <c r="DZ65" s="482">
        <f>VLOOKUP(DZ$8,THOMPSON!$A$1:$E$488,2,FALSE)</f>
        <v>0</v>
      </c>
      <c r="EA65" s="482">
        <f>VLOOKUP(EA$8,THOMPSON!$A$1:$E$488,2,FALSE)</f>
        <v>0</v>
      </c>
      <c r="EB65" s="482">
        <f>VLOOKUP(EB$8,THOMPSON!$A$1:$E$488,2,FALSE)</f>
        <v>0</v>
      </c>
      <c r="EC65" s="482">
        <f>VLOOKUP(EC$8,THOMPSON!$A$1:$E$488,2,FALSE)</f>
        <v>0</v>
      </c>
      <c r="ED65" s="482">
        <f>VLOOKUP(ED$8,THOMPSON!$A$1:$E$488,2,FALSE)</f>
        <v>0</v>
      </c>
      <c r="EE65" s="482">
        <f>VLOOKUP(EE$8,THOMPSON!$A$1:$E$488,2,FALSE)</f>
        <v>0</v>
      </c>
      <c r="EF65" s="482">
        <f>VLOOKUP(EF$8,THOMPSON!$A$1:$E$488,2,FALSE)</f>
        <v>0</v>
      </c>
      <c r="EG65" s="482">
        <f>VLOOKUP(EG$8,THOMPSON!$A$1:$E$488,2,FALSE)</f>
        <v>0</v>
      </c>
      <c r="EH65" s="482">
        <f>VLOOKUP(EH$8,THOMPSON!$A$1:$E$488,2,FALSE)</f>
        <v>0</v>
      </c>
      <c r="EI65" s="482">
        <f>VLOOKUP(EI$8,THOMPSON!$A$1:$E$488,2,FALSE)</f>
        <v>0</v>
      </c>
      <c r="EJ65" s="482">
        <f>VLOOKUP(EJ$8,THOMPSON!$A$1:$E$488,2,FALSE)</f>
        <v>0</v>
      </c>
      <c r="EK65" s="482">
        <f>VLOOKUP(EK$8,THOMPSON!$A$1:$E$488,2,FALSE)</f>
        <v>0</v>
      </c>
      <c r="EL65" s="482">
        <f>VLOOKUP(EL$8,THOMPSON!$A$1:$E$488,2,FALSE)</f>
        <v>0</v>
      </c>
      <c r="EM65" s="482">
        <f>VLOOKUP(EM$8,THOMPSON!$A$1:$E$488,2,FALSE)</f>
        <v>0</v>
      </c>
      <c r="EN65" s="482">
        <f>VLOOKUP(EN$8,THOMPSON!$A$1:$E$488,2,FALSE)</f>
        <v>0</v>
      </c>
      <c r="EO65" s="482">
        <f>VLOOKUP(EO$8,THOMPSON!$A$1:$E$488,2,FALSE)</f>
        <v>0</v>
      </c>
      <c r="EP65" s="482">
        <f>VLOOKUP(EP$8,THOMPSON!$A$1:$E$488,2,FALSE)</f>
        <v>0</v>
      </c>
      <c r="EQ65" s="482">
        <f>VLOOKUP(EQ$8,THOMPSON!$A$1:$E$488,2,FALSE)</f>
        <v>0</v>
      </c>
      <c r="ER65" s="482">
        <f>VLOOKUP(ER$8,THOMPSON!$A$1:$E$488,2,FALSE)</f>
        <v>0</v>
      </c>
      <c r="ES65" s="482">
        <f>VLOOKUP(ES$8,THOMPSON!$A$1:$E$488,2,FALSE)</f>
        <v>0</v>
      </c>
      <c r="ET65" s="482">
        <f>VLOOKUP(ET$8,THOMPSON!$A$1:$E$488,2,FALSE)</f>
        <v>0</v>
      </c>
      <c r="EU65" s="482">
        <f>VLOOKUP(EU$8,THOMPSON!$A$1:$E$488,2,FALSE)</f>
        <v>0</v>
      </c>
      <c r="EV65" s="482">
        <f>VLOOKUP(EV$8,THOMPSON!$A$1:$E$488,2,FALSE)</f>
        <v>0</v>
      </c>
      <c r="EW65" s="482">
        <f>VLOOKUP(EW$8,THOMPSON!$A$1:$E$488,2,FALSE)</f>
        <v>0</v>
      </c>
      <c r="EX65" s="515"/>
      <c r="EY65" s="1259"/>
      <c r="EZ65" s="789"/>
      <c r="FA65" s="789"/>
      <c r="FB65" s="789"/>
      <c r="FC65" s="789"/>
      <c r="FD65" s="789"/>
      <c r="FE65" s="418"/>
      <c r="FF65" s="570"/>
      <c r="FG65" s="570"/>
      <c r="FH65" s="570"/>
      <c r="FI65" s="570"/>
      <c r="FJ65" s="570"/>
      <c r="FK65" s="418"/>
      <c r="FL65" s="467"/>
      <c r="FM65" s="467"/>
    </row>
    <row r="66" spans="1:169" s="1028" customFormat="1" ht="12.75" customHeight="1" x14ac:dyDescent="0.2">
      <c r="A66" s="1062" t="s">
        <v>677</v>
      </c>
      <c r="B66" s="1214" t="s">
        <v>320</v>
      </c>
      <c r="C66" s="446">
        <v>39994</v>
      </c>
      <c r="D66" s="462">
        <f>BR_EAFE!D1</f>
        <v>5</v>
      </c>
      <c r="E66" s="448">
        <f>VLOOKUP(AH$8,BR_EAFE!A1:E488,3,FALSE)/1000000</f>
        <v>2392.0122253300001</v>
      </c>
      <c r="F66" s="1368">
        <f t="shared" si="47"/>
        <v>-0.15432000000000001</v>
      </c>
      <c r="G66" s="479">
        <f t="array" ref="G66">IF($AJ66=0,"---",(PRODUCT($AH66:AJ66/100+1)-1)*100)</f>
        <v>-1.1283084471157889</v>
      </c>
      <c r="H66" s="450">
        <f t="array" ref="H66">IF($AS66=0,"---",(PRODUCT(AH66:AN66/100+1)-1)*100)</f>
        <v>7.1414988077796338</v>
      </c>
      <c r="I66" s="479">
        <f t="array" ref="I66">IF(AS66=0,"---",(GEOMEAN($AH66:AS66/100+1)^12-1)*100)</f>
        <v>16.690226329376511</v>
      </c>
      <c r="J66" s="479">
        <f t="array" ref="J66">IF(BE66=0,"---",(GEOMEAN($AH66:BE66/100+1)^12-1)*100)</f>
        <v>17.825044877387231</v>
      </c>
      <c r="K66" s="479">
        <f t="array" ref="K66">IF(BQ66=0,"---",(GEOMEAN($AH66:BQ66/100+1)^12-1)*100)</f>
        <v>11.659082386519138</v>
      </c>
      <c r="L66" s="479">
        <f t="array" ref="L66">IF(CC66=0,"---",(GEOMEAN($AH66:CC66/100+1)^12-1)*100)</f>
        <v>11.338678052119899</v>
      </c>
      <c r="M66" s="450">
        <f t="array" ref="M66">IF(CO66=0,"---",(GEOMEAN($AH66:CO66/100+1)^12-1)*100)</f>
        <v>8.528774840370934</v>
      </c>
      <c r="N66" s="450" t="str">
        <f t="array" ref="N66">IF(DM66=0,"---",(GEOMEAN($AH66:DM66/100+1)^12-1)*100)</f>
        <v>---</v>
      </c>
      <c r="O66" s="450" t="str">
        <f t="array" ref="O66">IF(EK66=0,"---",(GEOMEAN($AH66:EK66/100+1)^12-1)*100)</f>
        <v>---</v>
      </c>
      <c r="P66" s="450" t="str">
        <f t="array" ref="P66">IF(EW66=0,"---",(GEOMEAN($AH66:EW66/100+1)^12-1)*100)</f>
        <v>---</v>
      </c>
      <c r="Q66" s="451">
        <f t="array" ref="Q66">(GEOMEAN(BR_EAFE!B411:B471/100+1)^12-1)*100</f>
        <v>11.455152075367137</v>
      </c>
      <c r="R66" s="452">
        <f t="shared" ref="R66:AB66" si="61">IF(F66="---","---",(F66-F$67)*100)</f>
        <v>-5.0000000000000044E-2</v>
      </c>
      <c r="S66" s="452">
        <f t="shared" si="61"/>
        <v>4.3991642963980837</v>
      </c>
      <c r="T66" s="452">
        <f t="shared" si="61"/>
        <v>27.840611611651411</v>
      </c>
      <c r="U66" s="452">
        <f t="shared" si="61"/>
        <v>19.1676437535925</v>
      </c>
      <c r="V66" s="452">
        <f t="shared" si="61"/>
        <v>-0.40158451053642352</v>
      </c>
      <c r="W66" s="452">
        <f t="shared" si="61"/>
        <v>-7.2913702113773127</v>
      </c>
      <c r="X66" s="452">
        <f t="shared" si="61"/>
        <v>-8.3443629056123569</v>
      </c>
      <c r="Y66" s="452">
        <f t="shared" si="61"/>
        <v>-8.5091319203668192</v>
      </c>
      <c r="Z66" s="452" t="str">
        <f t="shared" si="61"/>
        <v>---</v>
      </c>
      <c r="AA66" s="452" t="str">
        <f t="shared" si="61"/>
        <v>---</v>
      </c>
      <c r="AB66" s="452" t="str">
        <f t="shared" si="61"/>
        <v>---</v>
      </c>
      <c r="AC66" s="453">
        <f t="array" ref="AC66">(Q66-AF66)*100</f>
        <v>-8.6669265648419369</v>
      </c>
      <c r="AD66" s="454">
        <v>0</v>
      </c>
      <c r="AE66" s="477"/>
      <c r="AF66" s="432">
        <f t="array" ref="AF66">100*(GEOMEAN(Index_Returns!AA411:AA471/100+1)^12-1)</f>
        <v>11.541821341015556</v>
      </c>
      <c r="AG66" s="418" t="str">
        <f>IF(I66="---","&lt; 1 Year","---")</f>
        <v>---</v>
      </c>
      <c r="AH66" s="1025">
        <f>VLOOKUP(AH$8,BR_EAFE!$A$1:$E$488,2,FALSE)</f>
        <v>-0.15432000000000001</v>
      </c>
      <c r="AI66" s="1025">
        <f>VLOOKUP(AI$8,BR_EAFE!$A$1:$E$488,2,FALSE)</f>
        <v>-1.94309</v>
      </c>
      <c r="AJ66" s="1025">
        <f>VLOOKUP(AJ$8,BR_EAFE!$A$1:$E$488,2,FALSE)</f>
        <v>0.98677000000000004</v>
      </c>
      <c r="AK66" s="1025">
        <f>VLOOKUP(AK$8,BR_EAFE!$A$1:$E$488,2,FALSE)</f>
        <v>1.68754</v>
      </c>
      <c r="AL66" s="1025">
        <f>VLOOKUP(AL$8,BR_EAFE!$A$1:$E$488,2,FALSE)</f>
        <v>1.5206599999999999</v>
      </c>
      <c r="AM66" s="1025">
        <f>VLOOKUP(AM$8,BR_EAFE!$A$1:$E$488,2,FALSE)</f>
        <v>-0.58733999999999997</v>
      </c>
      <c r="AN66" s="1025">
        <f>VLOOKUP(AN$8,BR_EAFE!$A$1:$E$488,2,FALSE)</f>
        <v>5.5897800000000002</v>
      </c>
      <c r="AO66" s="1025">
        <f>VLOOKUP(AO$8,BR_EAFE!$A$1:$E$488,2,FALSE)</f>
        <v>-4.03484</v>
      </c>
      <c r="AP66" s="1025">
        <f>VLOOKUP(AP$8,BR_EAFE!$A$1:$E$488,2,FALSE)</f>
        <v>1.5033300000000001</v>
      </c>
      <c r="AQ66" s="1025">
        <f>VLOOKUP(AQ$8,BR_EAFE!$A$1:$E$488,2,FALSE)</f>
        <v>0.72397</v>
      </c>
      <c r="AR66" s="1025">
        <f>VLOOKUP(AR$8,BR_EAFE!$A$1:$E$488,2,FALSE)</f>
        <v>3.3626800000000001</v>
      </c>
      <c r="AS66" s="1025">
        <f>VLOOKUP(AS$8,BR_EAFE!$A$1:$E$488,2,FALSE)</f>
        <v>7.3955500000000001</v>
      </c>
      <c r="AT66" s="1025">
        <f>VLOOKUP(AT$8,BR_EAFE!$A$1:$E$488,2,FALSE)</f>
        <v>-1.3136300000000001</v>
      </c>
      <c r="AU66" s="1025">
        <f>VLOOKUP(AU$8,BR_EAFE!$A$1:$E$488,2,FALSE)</f>
        <v>5.2963100000000001</v>
      </c>
      <c r="AV66" s="1025">
        <f>VLOOKUP(AV$8,BR_EAFE!$A$1:$E$488,2,FALSE)</f>
        <v>-3.5591200000000001</v>
      </c>
      <c r="AW66" s="1025">
        <f>VLOOKUP(AW$8,BR_EAFE!$A$1:$E$488,2,FALSE)</f>
        <v>-2.33541</v>
      </c>
      <c r="AX66" s="1025">
        <f>VLOOKUP(AX$8,BR_EAFE!$A$1:$E$488,2,FALSE)</f>
        <v>5.2961400000000003</v>
      </c>
      <c r="AY66" s="1025">
        <f>VLOOKUP(AY$8,BR_EAFE!$A$1:$E$488,2,FALSE)</f>
        <v>0.84780999999999995</v>
      </c>
      <c r="AZ66" s="1025">
        <f>VLOOKUP(AZ$8,BR_EAFE!$A$1:$E$488,2,FALSE)</f>
        <v>-0.93361000000000005</v>
      </c>
      <c r="BA66" s="1025">
        <f>VLOOKUP(BA$8,BR_EAFE!$A$1:$E$488,2,FALSE)</f>
        <v>5.2972299999999999</v>
      </c>
      <c r="BB66" s="1025">
        <f>VLOOKUP(BB$8,BR_EAFE!$A$1:$E$488,2,FALSE)</f>
        <v>3.2045499999999998</v>
      </c>
      <c r="BC66" s="1025">
        <f>VLOOKUP(BC$8,BR_EAFE!$A$1:$E$488,2,FALSE)</f>
        <v>2.4163100000000002</v>
      </c>
      <c r="BD66" s="1025">
        <f>VLOOKUP(BD$8,BR_EAFE!$A$1:$E$488,2,FALSE)</f>
        <v>0.83835000000000004</v>
      </c>
      <c r="BE66" s="1025">
        <f>VLOOKUP(BE$8,BR_EAFE!$A$1:$E$488,2,FALSE)</f>
        <v>2.9570799999999999</v>
      </c>
      <c r="BF66" s="1025">
        <f>VLOOKUP(BF$8,BR_EAFE!$A$1:$E$488,2,FALSE)</f>
        <v>2.6934499999999999</v>
      </c>
      <c r="BG66" s="1025">
        <f>VLOOKUP(BG$8,BR_EAFE!$A$1:$E$488,2,FALSE)</f>
        <v>1.1286099999999999</v>
      </c>
      <c r="BH66" s="1025">
        <f>VLOOKUP(BH$8,BR_EAFE!$A$1:$E$488,2,FALSE)</f>
        <v>7.0250399999999997</v>
      </c>
      <c r="BI66" s="1025">
        <f>VLOOKUP(BI$8,BR_EAFE!$A$1:$E$488,2,FALSE)</f>
        <v>-11.39676</v>
      </c>
      <c r="BJ66" s="1025">
        <f>VLOOKUP(BJ$8,BR_EAFE!$A$1:$E$488,2,FALSE)</f>
        <v>-1.83128</v>
      </c>
      <c r="BK66" s="1025">
        <f>VLOOKUP(BK$8,BR_EAFE!$A$1:$E$488,2,FALSE)</f>
        <v>-0.41337000000000002</v>
      </c>
      <c r="BL66" s="1025">
        <f>VLOOKUP(BL$8,BR_EAFE!$A$1:$E$488,2,FALSE)</f>
        <v>5.7366700000000002</v>
      </c>
      <c r="BM66" s="1025">
        <f>VLOOKUP(BM$8,BR_EAFE!$A$1:$E$488,2,FALSE)</f>
        <v>5.3325100000000001</v>
      </c>
      <c r="BN66" s="1025">
        <f>VLOOKUP(BN$8,BR_EAFE!$A$1:$E$488,2,FALSE)</f>
        <v>-0.95172999999999996</v>
      </c>
      <c r="BO66" s="1025">
        <f>VLOOKUP(BO$8,BR_EAFE!$A$1:$E$488,2,FALSE)</f>
        <v>-4.8514999999999997</v>
      </c>
      <c r="BP66" s="1025">
        <f>VLOOKUP(BP$8,BR_EAFE!$A$1:$E$488,2,FALSE)</f>
        <v>9.6385799999999993</v>
      </c>
      <c r="BQ66" s="1025">
        <f>VLOOKUP(BQ$8,BR_EAFE!$A$1:$E$488,2,FALSE)</f>
        <v>-9.4933099999999992</v>
      </c>
      <c r="BR66" s="1025">
        <f>VLOOKUP(BR$8,BR_EAFE!$A$1:$E$488,2,FALSE)</f>
        <v>-9.0369799999999998</v>
      </c>
      <c r="BS66" s="1025">
        <f>VLOOKUP(BS$8,BR_EAFE!$A$1:$E$488,2,FALSE)</f>
        <v>-1.5807500000000001</v>
      </c>
      <c r="BT66" s="1025">
        <f>VLOOKUP(BT$8,BR_EAFE!$A$1:$E$488,2,FALSE)</f>
        <v>-1.1961599999999999</v>
      </c>
      <c r="BU66" s="1025">
        <f>VLOOKUP(BU$8,BR_EAFE!$A$1:$E$488,2,FALSE)</f>
        <v>-2.8595999999999999</v>
      </c>
      <c r="BV66" s="1025">
        <f>VLOOKUP(BV$8,BR_EAFE!$A$1:$E$488,2,FALSE)</f>
        <v>6.0475500000000002</v>
      </c>
      <c r="BW66" s="1025">
        <f>VLOOKUP(BW$8,BR_EAFE!$A$1:$E$488,2,FALSE)</f>
        <v>-2.1932999999999998</v>
      </c>
      <c r="BX66" s="1025">
        <f>VLOOKUP(BX$8,BR_EAFE!$A$1:$E$488,2,FALSE)</f>
        <v>3.3191899999999999</v>
      </c>
      <c r="BY66" s="1025">
        <f>VLOOKUP(BY$8,BR_EAFE!$A$1:$E$488,2,FALSE)</f>
        <v>2.3763999999999998</v>
      </c>
      <c r="BZ66" s="1025">
        <f>VLOOKUP(BZ$8,BR_EAFE!$A$1:$E$488,2,FALSE)</f>
        <v>8.1005299999999991</v>
      </c>
      <c r="CA66" s="1025">
        <f>VLOOKUP(CA$8,BR_EAFE!$A$1:$E$488,2,FALSE)</f>
        <v>-4.8037000000000001</v>
      </c>
      <c r="CB66" s="1025">
        <f>VLOOKUP(CB$8,BR_EAFE!$A$1:$E$488,2,FALSE)</f>
        <v>3.6256200000000001</v>
      </c>
      <c r="CC66" s="1025">
        <f>VLOOKUP(CC$8,BR_EAFE!$A$1:$E$488,2,FALSE)</f>
        <v>9.8040400000000005</v>
      </c>
      <c r="CD66" s="1025">
        <f>VLOOKUP(CD$8,BR_EAFE!$A$1:$E$488,2,FALSE)</f>
        <v>-3.09979</v>
      </c>
      <c r="CE66" s="1025">
        <f>VLOOKUP(CE$8,BR_EAFE!$A$1:$E$488,2,FALSE)</f>
        <v>9.4923800000000007</v>
      </c>
      <c r="CF66" s="1025">
        <f>VLOOKUP(CF$8,BR_EAFE!$A$1:$E$488,2,FALSE)</f>
        <v>-1.19</v>
      </c>
      <c r="CG66" s="1025">
        <f>VLOOKUP(CG$8,BR_EAFE!$A$1:$E$488,2,FALSE)</f>
        <v>-11.183059999999999</v>
      </c>
      <c r="CH66" s="1025">
        <f>VLOOKUP(CH$8,BR_EAFE!$A$1:$E$488,2,FALSE)</f>
        <v>-1.7268600000000001</v>
      </c>
      <c r="CI66" s="1025">
        <f>VLOOKUP(CI$8,BR_EAFE!$A$1:$E$488,2,FALSE)</f>
        <v>6.2633000000000001</v>
      </c>
      <c r="CJ66" s="1025">
        <f>VLOOKUP(CJ$8,BR_EAFE!$A$1:$E$488,2,FALSE)</f>
        <v>-0.67774999999999996</v>
      </c>
      <c r="CK66" s="1025">
        <f>VLOOKUP(CK$8,BR_EAFE!$A$1:$E$488,2,FALSE)</f>
        <v>-4.4011800000000001</v>
      </c>
      <c r="CL66" s="1025">
        <f>VLOOKUP(CL$8,BR_EAFE!$A$1:$E$488,2,FALSE)</f>
        <v>1.45048</v>
      </c>
      <c r="CM66" s="1025">
        <f>VLOOKUP(CM$8,BR_EAFE!$A$1:$E$488,2,FALSE)</f>
        <v>2.01342</v>
      </c>
      <c r="CN66" s="1025">
        <f>VLOOKUP(CN$8,BR_EAFE!$A$1:$E$488,2,FALSE)</f>
        <v>-1.2489699999999999</v>
      </c>
      <c r="CO66" s="1025">
        <f>VLOOKUP(CO$8,BR_EAFE!$A$1:$E$488,2,FALSE)</f>
        <v>3.84</v>
      </c>
      <c r="CP66" s="1025">
        <f>VLOOKUP(CP$8,BR_EAFE!$A$1:$E$488,2,FALSE)</f>
        <v>5.45</v>
      </c>
      <c r="CQ66" s="1025">
        <f>VLOOKUP(CQ$8,BR_EAFE!$A$1:$E$488,2,FALSE)</f>
        <v>9.14</v>
      </c>
      <c r="CR66" s="1025">
        <f>VLOOKUP(CR$8,BR_EAFE!$A$1:$E$488,2,FALSE)</f>
        <v>-0.26826666666666665</v>
      </c>
      <c r="CS66" s="1025">
        <f>VLOOKUP(CS$8,BR_EAFE!$A$1:$E$488,2,FALSE)</f>
        <v>0</v>
      </c>
      <c r="CT66" s="1025">
        <f>VLOOKUP(CT$8,BR_EAFE!$A$1:$E$488,2,FALSE)</f>
        <v>0</v>
      </c>
      <c r="CU66" s="1025">
        <f>VLOOKUP(CU$8,BR_EAFE!$A$1:$E$488,2,FALSE)</f>
        <v>0</v>
      </c>
      <c r="CV66" s="1025">
        <f>VLOOKUP(CV$8,BR_EAFE!$A$1:$E$488,2,FALSE)</f>
        <v>0</v>
      </c>
      <c r="CW66" s="1025">
        <f>VLOOKUP(CW$8,BR_EAFE!$A$1:$E$488,2,FALSE)</f>
        <v>0</v>
      </c>
      <c r="CX66" s="1025">
        <f>VLOOKUP(CX$8,BR_EAFE!$A$1:$E$488,2,FALSE)</f>
        <v>0</v>
      </c>
      <c r="CY66" s="1025">
        <f>VLOOKUP(CY$8,BR_EAFE!$A$1:$E$488,2,FALSE)</f>
        <v>0</v>
      </c>
      <c r="CZ66" s="1025">
        <f>VLOOKUP(CZ$8,BR_EAFE!$A$1:$E$488,2,FALSE)</f>
        <v>0</v>
      </c>
      <c r="DA66" s="1025">
        <f>VLOOKUP(DA$8,BR_EAFE!$A$1:$E$488,2,FALSE)</f>
        <v>0</v>
      </c>
      <c r="DB66" s="1025">
        <f>VLOOKUP(DB$8,BR_EAFE!$A$1:$E$488,2,FALSE)</f>
        <v>0</v>
      </c>
      <c r="DC66" s="1025">
        <f>VLOOKUP(DC$8,BR_EAFE!$A$1:$E$488,2,FALSE)</f>
        <v>0</v>
      </c>
      <c r="DD66" s="1025">
        <f>VLOOKUP(DD$8,BR_EAFE!$A$1:$E$488,2,FALSE)</f>
        <v>0</v>
      </c>
      <c r="DE66" s="1025">
        <f>VLOOKUP(DE$8,BR_EAFE!$A$1:$E$488,2,FALSE)</f>
        <v>0</v>
      </c>
      <c r="DF66" s="1025">
        <f>VLOOKUP(DF$8,BR_EAFE!$A$1:$E$488,2,FALSE)</f>
        <v>0</v>
      </c>
      <c r="DG66" s="1025">
        <f>VLOOKUP(DG$8,BR_EAFE!$A$1:$E$488,2,FALSE)</f>
        <v>0</v>
      </c>
      <c r="DH66" s="1025">
        <f>VLOOKUP(DH$8,BR_EAFE!$A$1:$E$488,2,FALSE)</f>
        <v>0</v>
      </c>
      <c r="DI66" s="1025">
        <f>VLOOKUP(DI$8,BR_EAFE!$A$1:$E$488,2,FALSE)</f>
        <v>0</v>
      </c>
      <c r="DJ66" s="1025">
        <f>VLOOKUP(DJ$8,BR_EAFE!$A$1:$E$488,2,FALSE)</f>
        <v>0</v>
      </c>
      <c r="DK66" s="1025">
        <f>VLOOKUP(DK$8,BR_EAFE!$A$1:$E$488,2,FALSE)</f>
        <v>0</v>
      </c>
      <c r="DL66" s="1025">
        <f>VLOOKUP(DL$8,BR_EAFE!$A$1:$E$488,2,FALSE)</f>
        <v>0</v>
      </c>
      <c r="DM66" s="1025">
        <f>VLOOKUP(DM$8,BR_EAFE!$A$1:$E$488,2,FALSE)</f>
        <v>0</v>
      </c>
      <c r="DN66" s="1025">
        <f>VLOOKUP(DN$8,BR_EAFE!$A$1:$E$488,2,FALSE)</f>
        <v>0</v>
      </c>
      <c r="DO66" s="1025">
        <f>VLOOKUP(DO$8,BR_EAFE!$A$1:$E$488,2,FALSE)</f>
        <v>0</v>
      </c>
      <c r="DP66" s="1025">
        <f>VLOOKUP(DP$8,BR_EAFE!$A$1:$E$488,2,FALSE)</f>
        <v>0</v>
      </c>
      <c r="DQ66" s="1025">
        <f>VLOOKUP(DQ$8,BR_EAFE!$A$1:$E$488,2,FALSE)</f>
        <v>0</v>
      </c>
      <c r="DR66" s="1025">
        <f>VLOOKUP(DR$8,BR_EAFE!$A$1:$E$488,2,FALSE)</f>
        <v>0</v>
      </c>
      <c r="DS66" s="1025">
        <f>VLOOKUP(DS$8,BR_EAFE!$A$1:$E$488,2,FALSE)</f>
        <v>0</v>
      </c>
      <c r="DT66" s="1025">
        <f>VLOOKUP(DT$8,BR_EAFE!$A$1:$E$488,2,FALSE)</f>
        <v>0</v>
      </c>
      <c r="DU66" s="1025">
        <f>VLOOKUP(DU$8,BR_EAFE!$A$1:$E$488,2,FALSE)</f>
        <v>0</v>
      </c>
      <c r="DV66" s="1025">
        <f>VLOOKUP(DV$8,BR_EAFE!$A$1:$E$488,2,FALSE)</f>
        <v>0</v>
      </c>
      <c r="DW66" s="1025">
        <f>VLOOKUP(DW$8,BR_EAFE!$A$1:$E$488,2,FALSE)</f>
        <v>0</v>
      </c>
      <c r="DX66" s="1025">
        <f>VLOOKUP(DX$8,BR_EAFE!$A$1:$E$488,2,FALSE)</f>
        <v>0</v>
      </c>
      <c r="DY66" s="1025">
        <f>VLOOKUP(DY$8,BR_EAFE!$A$1:$E$488,2,FALSE)</f>
        <v>0</v>
      </c>
      <c r="DZ66" s="1025">
        <f>VLOOKUP(DZ$8,BR_EAFE!$A$1:$E$488,2,FALSE)</f>
        <v>0</v>
      </c>
      <c r="EA66" s="1025">
        <f>VLOOKUP(EA$8,BR_EAFE!$A$1:$E$488,2,FALSE)</f>
        <v>0</v>
      </c>
      <c r="EB66" s="1025">
        <f>VLOOKUP(EB$8,BR_EAFE!$A$1:$E$488,2,FALSE)</f>
        <v>0</v>
      </c>
      <c r="EC66" s="1025">
        <f>VLOOKUP(EC$8,BR_EAFE!$A$1:$E$488,2,FALSE)</f>
        <v>0</v>
      </c>
      <c r="ED66" s="1025">
        <f>VLOOKUP(ED$8,BR_EAFE!$A$1:$E$488,2,FALSE)</f>
        <v>0</v>
      </c>
      <c r="EE66" s="1025">
        <f>VLOOKUP(EE$8,BR_EAFE!$A$1:$E$488,2,FALSE)</f>
        <v>0</v>
      </c>
      <c r="EF66" s="1025">
        <f>VLOOKUP(EF$8,BR_EAFE!$A$1:$E$488,2,FALSE)</f>
        <v>0</v>
      </c>
      <c r="EG66" s="1025">
        <f>VLOOKUP(EG$8,BR_EAFE!$A$1:$E$488,2,FALSE)</f>
        <v>0</v>
      </c>
      <c r="EH66" s="1025">
        <f>VLOOKUP(EH$8,BR_EAFE!$A$1:$E$488,2,FALSE)</f>
        <v>0</v>
      </c>
      <c r="EI66" s="1025">
        <f>VLOOKUP(EI$8,BR_EAFE!$A$1:$E$488,2,FALSE)</f>
        <v>0</v>
      </c>
      <c r="EJ66" s="1025">
        <f>VLOOKUP(EJ$8,BR_EAFE!$A$1:$E$488,2,FALSE)</f>
        <v>0</v>
      </c>
      <c r="EK66" s="1025">
        <f>VLOOKUP(EK$8,BR_EAFE!$A$1:$E$488,2,FALSE)</f>
        <v>0</v>
      </c>
      <c r="EL66" s="1025">
        <f>VLOOKUP(EL$8,BR_EAFE!$A$1:$E$488,2,FALSE)</f>
        <v>0</v>
      </c>
      <c r="EM66" s="1025">
        <f>VLOOKUP(EM$8,BR_EAFE!$A$1:$E$488,2,FALSE)</f>
        <v>0</v>
      </c>
      <c r="EN66" s="1025">
        <f>VLOOKUP(EN$8,BR_EAFE!$A$1:$E$488,2,FALSE)</f>
        <v>0</v>
      </c>
      <c r="EO66" s="1025">
        <f>VLOOKUP(EO$8,BR_EAFE!$A$1:$E$488,2,FALSE)</f>
        <v>0</v>
      </c>
      <c r="EP66" s="1025">
        <f>VLOOKUP(EP$8,BR_EAFE!$A$1:$E$488,2,FALSE)</f>
        <v>0</v>
      </c>
      <c r="EQ66" s="1025">
        <f>VLOOKUP(EQ$8,BR_EAFE!$A$1:$E$488,2,FALSE)</f>
        <v>0</v>
      </c>
      <c r="ER66" s="1025">
        <f>VLOOKUP(ER$8,BR_EAFE!$A$1:$E$488,2,FALSE)</f>
        <v>0</v>
      </c>
      <c r="ES66" s="1025">
        <f>VLOOKUP(ES$8,BR_EAFE!$A$1:$E$488,2,FALSE)</f>
        <v>0</v>
      </c>
      <c r="ET66" s="1025">
        <f>VLOOKUP(ET$8,BR_EAFE!$A$1:$E$488,2,FALSE)</f>
        <v>0</v>
      </c>
      <c r="EU66" s="1025">
        <f>VLOOKUP(EU$8,BR_EAFE!$A$1:$E$488,2,FALSE)</f>
        <v>0</v>
      </c>
      <c r="EV66" s="1025">
        <f>VLOOKUP(EV$8,BR_EAFE!$A$1:$E$488,2,FALSE)</f>
        <v>0</v>
      </c>
      <c r="EW66" s="1025">
        <f>VLOOKUP(EW$8,BR_EAFE!$A$1:$E$488,2,FALSE)</f>
        <v>0</v>
      </c>
      <c r="EX66" s="1230"/>
      <c r="EY66" s="1066"/>
      <c r="EZ66" s="789"/>
      <c r="FA66" s="789"/>
      <c r="FB66" s="789"/>
      <c r="FC66" s="789"/>
      <c r="FD66" s="789"/>
      <c r="FE66" s="1024"/>
      <c r="FF66" s="1026"/>
      <c r="FG66" s="1026"/>
      <c r="FH66" s="1026"/>
      <c r="FI66" s="1026"/>
      <c r="FJ66" s="1026"/>
      <c r="FK66" s="1024"/>
      <c r="FL66" s="1027"/>
      <c r="FM66" s="1027"/>
    </row>
    <row r="67" spans="1:169" s="1028" customFormat="1" ht="12.75" customHeight="1" x14ac:dyDescent="0.2">
      <c r="A67" s="1232" t="s">
        <v>310</v>
      </c>
      <c r="B67" s="1024"/>
      <c r="C67" s="1235"/>
      <c r="D67" s="1218"/>
      <c r="E67" s="1219"/>
      <c r="F67" s="1220">
        <f t="shared" si="47"/>
        <v>-0.15382000000000001</v>
      </c>
      <c r="G67" s="1023">
        <f t="array" ref="G67">IF($AJ67=0,"---",(PRODUCT($AH67:AJ67/100+1)-1)*100)</f>
        <v>-1.1723000900797698</v>
      </c>
      <c r="H67" s="432">
        <f t="array" ref="H67">IF($AS67=0,"---",(PRODUCT(AH67:AN67/100+1)-1)*100)</f>
        <v>6.8630926916631196</v>
      </c>
      <c r="I67" s="1023">
        <f t="array" ref="I67">IF(AS67=0,"---",(GEOMEAN($AH67:AS67/100+1)^12-1)*100)</f>
        <v>16.498549891840586</v>
      </c>
      <c r="J67" s="1023">
        <f t="array" ref="J67">IF(BE67=0,"---",(GEOMEAN($AH67:BE67/100+1)^12-1)*100)</f>
        <v>17.829060722492596</v>
      </c>
      <c r="K67" s="1023">
        <f t="array" ref="K67">IF(BQ67=0,"---",(GEOMEAN($AH67:BQ67/100+1)^12-1)*100)</f>
        <v>11.731996088632911</v>
      </c>
      <c r="L67" s="1023">
        <f t="array" ref="L67">IF(CC67=0,"---",(GEOMEAN($AH67:CC67/100+1)^12-1)*100)</f>
        <v>11.422121681176023</v>
      </c>
      <c r="M67" s="1023">
        <f t="array" ref="M67">IF(CO67=0,"---",(GEOMEAN($AH67:CO67/100+1)^12-1)*100)</f>
        <v>8.6138661595746022</v>
      </c>
      <c r="N67" s="1023">
        <f t="array" ref="N67">IF(DM67=0,"---",(GEOMEAN($AH67:DM67/100+1)^12-1)*100)</f>
        <v>1.5325955893777943</v>
      </c>
      <c r="O67" s="1023">
        <f t="array" ref="O67">IF(EK67=0,"---",(GEOMEAN($AH67:EK67/100+1)^12-1)*100)</f>
        <v>5.7536841180813036</v>
      </c>
      <c r="P67" s="1023">
        <f t="array" ref="P67">IF(EW67=0,"---",(GEOMEAN($AH67:EW67/100+1)^12-1)*100)</f>
        <v>7.4583099009878806</v>
      </c>
      <c r="Q67" s="1221" t="s">
        <v>34</v>
      </c>
      <c r="R67" s="1218"/>
      <c r="S67" s="1218"/>
      <c r="T67" s="1218"/>
      <c r="U67" s="1218"/>
      <c r="V67" s="1218"/>
      <c r="W67" s="1218"/>
      <c r="X67" s="1218"/>
      <c r="Y67" s="1218"/>
      <c r="Z67" s="1218"/>
      <c r="AA67" s="1218"/>
      <c r="AB67" s="1218"/>
      <c r="AC67" s="1236"/>
      <c r="AD67" s="1233"/>
      <c r="AE67" s="363"/>
      <c r="AF67" s="467"/>
      <c r="AG67" s="418"/>
      <c r="AH67" s="1025">
        <f t="shared" ref="AH67:BM67" si="62">VLOOKUP(AH$8,Index,27,FALSE)</f>
        <v>-0.15382000000000001</v>
      </c>
      <c r="AI67" s="1025">
        <f t="shared" si="62"/>
        <v>-1.96529</v>
      </c>
      <c r="AJ67" s="1025">
        <f t="shared" si="62"/>
        <v>0.96418999999999999</v>
      </c>
      <c r="AK67" s="1025">
        <f t="shared" si="62"/>
        <v>1.6240600000000001</v>
      </c>
      <c r="AL67" s="1025">
        <f t="shared" si="62"/>
        <v>1.4456</v>
      </c>
      <c r="AM67" s="1025">
        <f t="shared" si="62"/>
        <v>-0.63736000000000004</v>
      </c>
      <c r="AN67" s="1025">
        <f t="shared" si="62"/>
        <v>5.5592199999999998</v>
      </c>
      <c r="AO67" s="1025">
        <f t="shared" si="62"/>
        <v>-4.0265899999999997</v>
      </c>
      <c r="AP67" s="1025">
        <f t="shared" si="62"/>
        <v>1.51197</v>
      </c>
      <c r="AQ67" s="1025">
        <f t="shared" si="62"/>
        <v>0.78278000000000003</v>
      </c>
      <c r="AR67" s="1025">
        <f t="shared" si="62"/>
        <v>3.3641399999999999</v>
      </c>
      <c r="AS67" s="1025">
        <f t="shared" si="62"/>
        <v>7.4158499999999998</v>
      </c>
      <c r="AT67" s="1025">
        <f t="shared" si="62"/>
        <v>-1.31199</v>
      </c>
      <c r="AU67" s="1025">
        <f t="shared" si="62"/>
        <v>5.2844699999999998</v>
      </c>
      <c r="AV67" s="1025">
        <f t="shared" si="62"/>
        <v>-3.5293999999999999</v>
      </c>
      <c r="AW67" s="1025">
        <f t="shared" si="62"/>
        <v>-2.3056000000000001</v>
      </c>
      <c r="AX67" s="1025">
        <f t="shared" si="62"/>
        <v>5.3304299999999998</v>
      </c>
      <c r="AY67" s="1025">
        <f t="shared" si="62"/>
        <v>0.87558999999999998</v>
      </c>
      <c r="AZ67" s="1025">
        <f t="shared" si="62"/>
        <v>-0.92347999999999997</v>
      </c>
      <c r="BA67" s="1025">
        <f t="shared" si="62"/>
        <v>5.2924600000000002</v>
      </c>
      <c r="BB67" s="1025">
        <f t="shared" si="62"/>
        <v>3.2118099999999998</v>
      </c>
      <c r="BC67" s="1025">
        <f t="shared" si="62"/>
        <v>2.4261200000000001</v>
      </c>
      <c r="BD67" s="1025">
        <f t="shared" si="62"/>
        <v>0.84014999999999995</v>
      </c>
      <c r="BE67" s="1025">
        <f t="shared" si="62"/>
        <v>2.9933999999999998</v>
      </c>
      <c r="BF67" s="1025">
        <f t="shared" si="62"/>
        <v>2.6962700000000002</v>
      </c>
      <c r="BG67" s="1025">
        <f t="shared" si="62"/>
        <v>1.14628</v>
      </c>
      <c r="BH67" s="1025">
        <f t="shared" si="62"/>
        <v>7.0495999999999999</v>
      </c>
      <c r="BI67" s="1025">
        <f t="shared" si="62"/>
        <v>-11.35318</v>
      </c>
      <c r="BJ67" s="1025">
        <f t="shared" si="62"/>
        <v>-1.8419700000000001</v>
      </c>
      <c r="BK67" s="1025">
        <f t="shared" si="62"/>
        <v>-0.40425</v>
      </c>
      <c r="BL67" s="1025">
        <f t="shared" si="62"/>
        <v>5.7686799999999998</v>
      </c>
      <c r="BM67" s="1025">
        <f t="shared" si="62"/>
        <v>5.3530699999999998</v>
      </c>
      <c r="BN67" s="1025">
        <f t="shared" ref="BN67:CS67" si="63">VLOOKUP(BN$8,Index,27,FALSE)</f>
        <v>-0.93528</v>
      </c>
      <c r="BO67" s="1025">
        <f t="shared" si="63"/>
        <v>-4.8250500000000001</v>
      </c>
      <c r="BP67" s="1025">
        <f t="shared" si="63"/>
        <v>9.6472999999999995</v>
      </c>
      <c r="BQ67" s="1025">
        <f t="shared" si="63"/>
        <v>-9.4966799999999996</v>
      </c>
      <c r="BR67" s="1025">
        <f t="shared" si="63"/>
        <v>-9.0176800000000004</v>
      </c>
      <c r="BS67" s="1025">
        <f t="shared" si="63"/>
        <v>-1.57284</v>
      </c>
      <c r="BT67" s="1025">
        <f t="shared" si="63"/>
        <v>-1.22756</v>
      </c>
      <c r="BU67" s="1025">
        <f t="shared" si="63"/>
        <v>-2.8062999999999998</v>
      </c>
      <c r="BV67" s="1025">
        <f t="shared" si="63"/>
        <v>6.0763299999999996</v>
      </c>
      <c r="BW67" s="1025">
        <f t="shared" si="63"/>
        <v>-2.19591</v>
      </c>
      <c r="BX67" s="1025">
        <f t="shared" si="63"/>
        <v>3.3202799999999999</v>
      </c>
      <c r="BY67" s="1025">
        <f t="shared" si="63"/>
        <v>2.3729399999999998</v>
      </c>
      <c r="BZ67" s="1025">
        <f t="shared" si="63"/>
        <v>8.1063799999999997</v>
      </c>
      <c r="CA67" s="1025">
        <f t="shared" si="63"/>
        <v>-4.7890300000000003</v>
      </c>
      <c r="CB67" s="1025">
        <f t="shared" si="63"/>
        <v>3.6179199999999998</v>
      </c>
      <c r="CC67" s="1025">
        <f t="shared" si="63"/>
        <v>9.8215900000000005</v>
      </c>
      <c r="CD67" s="1025">
        <f t="shared" si="63"/>
        <v>-3.0911</v>
      </c>
      <c r="CE67" s="1025">
        <f t="shared" si="63"/>
        <v>9.4924300000000006</v>
      </c>
      <c r="CF67" s="1025">
        <f t="shared" si="63"/>
        <v>-0.97284000000000004</v>
      </c>
      <c r="CG67" s="1025">
        <f t="shared" si="63"/>
        <v>-11.3672</v>
      </c>
      <c r="CH67" s="1025">
        <f t="shared" si="63"/>
        <v>-1.72678</v>
      </c>
      <c r="CI67" s="1025">
        <f t="shared" si="63"/>
        <v>6.3056200000000002</v>
      </c>
      <c r="CJ67" s="1025">
        <f t="shared" si="63"/>
        <v>-0.67569000000000001</v>
      </c>
      <c r="CK67" s="1025">
        <f t="shared" si="63"/>
        <v>-4.3994499999999999</v>
      </c>
      <c r="CL67" s="1025">
        <f t="shared" si="63"/>
        <v>1.4532499999999999</v>
      </c>
      <c r="CM67" s="1025">
        <f t="shared" si="63"/>
        <v>2.02684</v>
      </c>
      <c r="CN67" s="1025">
        <f t="shared" si="63"/>
        <v>-1.2449699999999999</v>
      </c>
      <c r="CO67" s="1025">
        <f t="shared" si="63"/>
        <v>3.8477600000000001</v>
      </c>
      <c r="CP67" s="1025">
        <f t="shared" si="63"/>
        <v>5.45146</v>
      </c>
      <c r="CQ67" s="1025">
        <f t="shared" si="63"/>
        <v>9.1425999999999998</v>
      </c>
      <c r="CR67" s="1025">
        <f t="shared" si="63"/>
        <v>-0.53951000000000005</v>
      </c>
      <c r="CS67" s="1025">
        <f t="shared" si="63"/>
        <v>12.012890000000001</v>
      </c>
      <c r="CT67" s="1025">
        <f t="shared" ref="CT67:DY67" si="64">VLOOKUP(CT$8,Index,27,FALSE)</f>
        <v>12.96162</v>
      </c>
      <c r="CU67" s="1025">
        <f t="shared" si="64"/>
        <v>6.3874500000000003</v>
      </c>
      <c r="CV67" s="1025">
        <f t="shared" si="64"/>
        <v>-10.227180000000001</v>
      </c>
      <c r="CW67" s="1025">
        <f t="shared" si="64"/>
        <v>-9.7976700000000001</v>
      </c>
      <c r="CX67" s="1025">
        <f t="shared" si="64"/>
        <v>6.02318</v>
      </c>
      <c r="CY67" s="1025">
        <f t="shared" si="64"/>
        <v>-5.3582200000000002</v>
      </c>
      <c r="CZ67" s="1025">
        <f t="shared" si="64"/>
        <v>-20.173539999999999</v>
      </c>
      <c r="DA67" s="1025">
        <f t="shared" si="64"/>
        <v>-14.424379999999999</v>
      </c>
      <c r="DB67" s="1025">
        <f t="shared" si="64"/>
        <v>-4.0261199999999997</v>
      </c>
      <c r="DC67" s="1025">
        <f t="shared" si="64"/>
        <v>-3.2012900000000002</v>
      </c>
      <c r="DD67" s="1025">
        <f t="shared" si="64"/>
        <v>-8.1584000000000003</v>
      </c>
      <c r="DE67" s="1025">
        <f t="shared" si="64"/>
        <v>1.1638599999999999</v>
      </c>
      <c r="DF67" s="1025">
        <f t="shared" si="64"/>
        <v>5.5562699999999996</v>
      </c>
      <c r="DG67" s="1025">
        <f t="shared" si="64"/>
        <v>-1.0041100000000001</v>
      </c>
      <c r="DH67" s="1025">
        <f t="shared" si="64"/>
        <v>1.4636800000000001</v>
      </c>
      <c r="DI67" s="1025">
        <f t="shared" si="64"/>
        <v>-9.2280300000000004</v>
      </c>
      <c r="DJ67" s="1025">
        <f t="shared" si="64"/>
        <v>-2.2450100000000002</v>
      </c>
      <c r="DK67" s="1025">
        <f t="shared" si="64"/>
        <v>-3.26248</v>
      </c>
      <c r="DL67" s="1025">
        <f t="shared" si="64"/>
        <v>3.94028</v>
      </c>
      <c r="DM67" s="1025">
        <f t="shared" si="64"/>
        <v>5.3690800000000003</v>
      </c>
      <c r="DN67" s="1025">
        <f t="shared" si="64"/>
        <v>-1.53881</v>
      </c>
      <c r="DO67" s="1025">
        <f t="shared" si="64"/>
        <v>-1.46204</v>
      </c>
      <c r="DP67" s="1025">
        <f t="shared" si="64"/>
        <v>0.15429000000000001</v>
      </c>
      <c r="DQ67" s="1025">
        <f t="shared" si="64"/>
        <v>1.8876599999999999</v>
      </c>
      <c r="DR67" s="1025">
        <f t="shared" si="64"/>
        <v>4.5322100000000001</v>
      </c>
      <c r="DS67" s="1025">
        <f t="shared" si="64"/>
        <v>2.5963599999999998</v>
      </c>
      <c r="DT67" s="1025">
        <f t="shared" si="64"/>
        <v>0.82</v>
      </c>
      <c r="DU67" s="1025">
        <f t="shared" si="64"/>
        <v>0.68433999999999995</v>
      </c>
      <c r="DV67" s="1025">
        <f t="shared" si="64"/>
        <v>3.1453899999999999</v>
      </c>
      <c r="DW67" s="1025">
        <f t="shared" si="64"/>
        <v>3.0162599999999999</v>
      </c>
      <c r="DX67" s="1025">
        <f t="shared" si="64"/>
        <v>3.8983099999999999</v>
      </c>
      <c r="DY67" s="1025">
        <f t="shared" si="64"/>
        <v>0.17401</v>
      </c>
      <c r="DZ67" s="1025">
        <f t="shared" ref="DZ67:EW67" si="65">VLOOKUP(DZ$8,Index,27,FALSE)</f>
        <v>2.77685</v>
      </c>
      <c r="EA67" s="1025">
        <f t="shared" si="65"/>
        <v>1.00136</v>
      </c>
      <c r="EB67" s="1025">
        <f t="shared" si="65"/>
        <v>3.6659999999999998E-2</v>
      </c>
      <c r="EC67" s="1025">
        <f t="shared" si="65"/>
        <v>-3.7631600000000001</v>
      </c>
      <c r="ED67" s="1025">
        <f t="shared" si="65"/>
        <v>4.8498999999999999</v>
      </c>
      <c r="EE67" s="1025">
        <f t="shared" si="65"/>
        <v>3.3448799999999999</v>
      </c>
      <c r="EF67" s="1025">
        <f t="shared" si="65"/>
        <v>-0.20482</v>
      </c>
      <c r="EG67" s="1025">
        <f t="shared" si="65"/>
        <v>6.14689</v>
      </c>
      <c r="EH67" s="1025">
        <f t="shared" si="65"/>
        <v>4.6597799999999996</v>
      </c>
      <c r="EI67" s="1025">
        <f t="shared" si="65"/>
        <v>2.4727399999999999</v>
      </c>
      <c r="EJ67" s="1025">
        <f t="shared" si="65"/>
        <v>-2.9136600000000001</v>
      </c>
      <c r="EK67" s="1025">
        <f t="shared" si="65"/>
        <v>4.4740200000000003</v>
      </c>
      <c r="EL67" s="1025">
        <f t="shared" si="65"/>
        <v>2.5557400000000001</v>
      </c>
      <c r="EM67" s="1025">
        <f t="shared" si="65"/>
        <v>3.0719099999999999</v>
      </c>
      <c r="EN67" s="1025">
        <f t="shared" si="65"/>
        <v>1.3669199999999999</v>
      </c>
      <c r="EO67" s="1025">
        <f t="shared" si="65"/>
        <v>0.15298</v>
      </c>
      <c r="EP67" s="1025">
        <f t="shared" si="65"/>
        <v>-2.23834</v>
      </c>
      <c r="EQ67" s="1025">
        <f t="shared" si="65"/>
        <v>-2.4735</v>
      </c>
      <c r="ER67" s="1025">
        <f t="shared" si="65"/>
        <v>4.3437099999999997</v>
      </c>
      <c r="ES67" s="1025">
        <f t="shared" si="65"/>
        <v>-1.82728</v>
      </c>
      <c r="ET67" s="1025">
        <f t="shared" si="65"/>
        <v>4.3916700000000004</v>
      </c>
      <c r="EU67" s="1025">
        <f t="shared" si="65"/>
        <v>6.859</v>
      </c>
      <c r="EV67" s="1025">
        <f t="shared" si="65"/>
        <v>3.4160400000000002</v>
      </c>
      <c r="EW67" s="1025">
        <f t="shared" si="65"/>
        <v>2.62825</v>
      </c>
      <c r="EX67" s="1230"/>
      <c r="EY67" s="1230"/>
      <c r="EZ67" s="789" t="e">
        <f>VLOOKUP($EY67,'NEPC data'!$B60:$M247,5,TRUE)*100</f>
        <v>#N/A</v>
      </c>
      <c r="FA67" s="789" t="e">
        <f>VLOOKUP($EY67,'NEPC data'!$B60:$M247,7,TRUE)*100</f>
        <v>#N/A</v>
      </c>
      <c r="FB67" s="789" t="e">
        <f>VLOOKUP($EY67,'NEPC data'!$B60:$M247,9,TRUE)*100</f>
        <v>#N/A</v>
      </c>
      <c r="FC67" s="789" t="e">
        <f>VLOOKUP($EY67,'NEPC data'!$B60:$M247,10,TRUE)*100</f>
        <v>#N/A</v>
      </c>
      <c r="FD67" s="789" t="e">
        <f>VLOOKUP($EY67,'NEPC data'!$B60:$M247,11,TRUE)*100</f>
        <v>#N/A</v>
      </c>
      <c r="FE67" s="1024"/>
      <c r="FF67" s="1027"/>
      <c r="FG67" s="1027"/>
      <c r="FH67" s="1027"/>
      <c r="FI67" s="1027"/>
      <c r="FJ67" s="1027"/>
      <c r="FK67" s="1024"/>
      <c r="FL67" s="1027"/>
      <c r="FM67" s="1027"/>
    </row>
    <row r="68" spans="1:169" s="1028" customFormat="1" ht="12.75" hidden="1" customHeight="1" outlineLevel="1" x14ac:dyDescent="0.2">
      <c r="A68" s="1232" t="s">
        <v>738</v>
      </c>
      <c r="B68" s="1024"/>
      <c r="C68" s="1235"/>
      <c r="D68" s="1218"/>
      <c r="E68" s="1219"/>
      <c r="F68" s="1220">
        <f t="shared" si="47"/>
        <v>-0.15382000000000001</v>
      </c>
      <c r="G68" s="1023">
        <f t="array" ref="G68">IF($AH68=0,"---",(PRODUCT($AH68:AJ68/100+1)-1)*100)</f>
        <v>-1.1723000900797698</v>
      </c>
      <c r="H68" s="432">
        <f t="array" ref="H68">IF($AS68=0,"---",(PRODUCT(AH68:AN68/100+1)-1)*100)</f>
        <v>6.8630926916631196</v>
      </c>
      <c r="I68" s="1023">
        <f t="array" ref="I68">IF(AS68=0,"---",(GEOMEAN($AH68:AS68/100+1)^12-1)*100)</f>
        <v>16.498549891840586</v>
      </c>
      <c r="J68" s="1023">
        <f t="array" ref="J68">IF(BE68=0,"---",(GEOMEAN($AH68:BE68/100+1)^12-1)*100)</f>
        <v>17.829060722492596</v>
      </c>
      <c r="K68" s="1023">
        <f t="array" ref="K68">IF(BQ68=0,"---",(GEOMEAN($AH68:BQ68/100+1)^12-1)*100)</f>
        <v>11.731996088632911</v>
      </c>
      <c r="L68" s="1023">
        <f t="array" ref="L68">IF(CC68=0,"---",(GEOMEAN($AH68:CC68/100+1)^12-1)*100)</f>
        <v>11.060761223110372</v>
      </c>
      <c r="M68" s="1023">
        <f t="array" ref="M68">IF(CO68=0,"---",(GEOMEAN($AH68:CO68/100+1)^12-1)*100)</f>
        <v>9.4572492248668603</v>
      </c>
      <c r="N68" s="1023">
        <f t="array" ref="N68">IF(DM68=0,"---",(GEOMEAN($AH68:DM68/100+1)^12-1)*100)</f>
        <v>2.4813268002283895</v>
      </c>
      <c r="O68" s="1023">
        <f t="array" ref="O68">IF(EK68=0,"---",(GEOMEAN($AH68:EK68/100+1)^12-1)*100)</f>
        <v>6.8777197795748535</v>
      </c>
      <c r="P68" s="1023">
        <f t="array" ref="P68">IF(EW68=0,"---",(GEOMEAN($AH68:EW68/100+1)^12-1)*100)</f>
        <v>8.4858487633540101</v>
      </c>
      <c r="Q68" s="1221" t="s">
        <v>34</v>
      </c>
      <c r="R68" s="1218"/>
      <c r="S68" s="1218"/>
      <c r="T68" s="1218"/>
      <c r="U68" s="1218"/>
      <c r="V68" s="1218"/>
      <c r="W68" s="1218"/>
      <c r="X68" s="1218"/>
      <c r="Y68" s="1218"/>
      <c r="Z68" s="1218"/>
      <c r="AA68" s="1218"/>
      <c r="AB68" s="1218"/>
      <c r="AC68" s="1236"/>
      <c r="AD68" s="1233"/>
      <c r="AF68" s="1027"/>
      <c r="AG68" s="1024"/>
      <c r="AH68" s="1025">
        <f t="shared" ref="AH68:BM68" si="66">VLOOKUP(AH$8,Index,40,FALSE)</f>
        <v>-0.15382000000000001</v>
      </c>
      <c r="AI68" s="1025">
        <f t="shared" si="66"/>
        <v>-1.96529</v>
      </c>
      <c r="AJ68" s="1025">
        <f t="shared" si="66"/>
        <v>0.96418999999999999</v>
      </c>
      <c r="AK68" s="1025">
        <f t="shared" si="66"/>
        <v>1.6240600000000001</v>
      </c>
      <c r="AL68" s="1025">
        <f t="shared" si="66"/>
        <v>1.4456</v>
      </c>
      <c r="AM68" s="1025">
        <f t="shared" si="66"/>
        <v>-0.63736000000000004</v>
      </c>
      <c r="AN68" s="1025">
        <f t="shared" si="66"/>
        <v>5.5592199999999998</v>
      </c>
      <c r="AO68" s="1025">
        <f t="shared" si="66"/>
        <v>-4.0265899999999997</v>
      </c>
      <c r="AP68" s="1025">
        <f t="shared" si="66"/>
        <v>1.51197</v>
      </c>
      <c r="AQ68" s="1025">
        <f t="shared" si="66"/>
        <v>0.78278000000000003</v>
      </c>
      <c r="AR68" s="1025">
        <f t="shared" si="66"/>
        <v>3.3641399999999999</v>
      </c>
      <c r="AS68" s="1025">
        <f t="shared" si="66"/>
        <v>7.4158499999999998</v>
      </c>
      <c r="AT68" s="1025">
        <f t="shared" si="66"/>
        <v>-1.31199</v>
      </c>
      <c r="AU68" s="1025">
        <f t="shared" si="66"/>
        <v>5.2844699999999998</v>
      </c>
      <c r="AV68" s="1025">
        <f t="shared" si="66"/>
        <v>-3.5293999999999999</v>
      </c>
      <c r="AW68" s="1025">
        <f t="shared" si="66"/>
        <v>-2.3056000000000001</v>
      </c>
      <c r="AX68" s="1025">
        <f t="shared" si="66"/>
        <v>5.3304299999999998</v>
      </c>
      <c r="AY68" s="1025">
        <f t="shared" si="66"/>
        <v>0.87558999999999998</v>
      </c>
      <c r="AZ68" s="1025">
        <f t="shared" si="66"/>
        <v>-0.92347999999999997</v>
      </c>
      <c r="BA68" s="1025">
        <f t="shared" si="66"/>
        <v>5.2924600000000002</v>
      </c>
      <c r="BB68" s="1025">
        <f t="shared" si="66"/>
        <v>3.2118099999999998</v>
      </c>
      <c r="BC68" s="1025">
        <f t="shared" si="66"/>
        <v>2.4261200000000001</v>
      </c>
      <c r="BD68" s="1025">
        <f t="shared" si="66"/>
        <v>0.84014999999999995</v>
      </c>
      <c r="BE68" s="1025">
        <f t="shared" si="66"/>
        <v>2.9933999999999998</v>
      </c>
      <c r="BF68" s="1025">
        <f t="shared" si="66"/>
        <v>2.6962700000000002</v>
      </c>
      <c r="BG68" s="1025">
        <f t="shared" si="66"/>
        <v>1.14628</v>
      </c>
      <c r="BH68" s="1025">
        <f t="shared" si="66"/>
        <v>7.0495999999999999</v>
      </c>
      <c r="BI68" s="1025">
        <f t="shared" si="66"/>
        <v>-11.35318</v>
      </c>
      <c r="BJ68" s="1025">
        <f t="shared" si="66"/>
        <v>-1.8419700000000001</v>
      </c>
      <c r="BK68" s="1025">
        <f t="shared" si="66"/>
        <v>-0.40425</v>
      </c>
      <c r="BL68" s="1025">
        <f t="shared" si="66"/>
        <v>5.7686799999999998</v>
      </c>
      <c r="BM68" s="1025">
        <f t="shared" si="66"/>
        <v>5.3530699999999998</v>
      </c>
      <c r="BN68" s="1025">
        <f t="shared" ref="BN68:CS68" si="67">VLOOKUP(BN$8,Index,40,FALSE)</f>
        <v>-0.93528</v>
      </c>
      <c r="BO68" s="1025">
        <f t="shared" si="67"/>
        <v>-4.8250500000000001</v>
      </c>
      <c r="BP68" s="1025">
        <f t="shared" si="67"/>
        <v>9.6472999999999995</v>
      </c>
      <c r="BQ68" s="1025">
        <f t="shared" si="67"/>
        <v>-9.4966799999999996</v>
      </c>
      <c r="BR68" s="1025">
        <f t="shared" si="67"/>
        <v>-9.0176800000000004</v>
      </c>
      <c r="BS68" s="1025">
        <f t="shared" si="67"/>
        <v>-1.57284</v>
      </c>
      <c r="BT68" s="1025">
        <f t="shared" si="67"/>
        <v>-1.22756</v>
      </c>
      <c r="BU68" s="1025">
        <f t="shared" si="67"/>
        <v>-2.8062999999999998</v>
      </c>
      <c r="BV68" s="1025">
        <f t="shared" si="67"/>
        <v>6.0763299999999996</v>
      </c>
      <c r="BW68" s="1025">
        <f t="shared" si="67"/>
        <v>-2.19591</v>
      </c>
      <c r="BX68" s="1025">
        <f t="shared" si="67"/>
        <v>2.6555800000000001</v>
      </c>
      <c r="BY68" s="1025">
        <f t="shared" si="67"/>
        <v>1.00132</v>
      </c>
      <c r="BZ68" s="1025">
        <f t="shared" si="67"/>
        <v>7.8455700000000004</v>
      </c>
      <c r="CA68" s="1025">
        <f t="shared" si="67"/>
        <v>-3.8372799999999998</v>
      </c>
      <c r="CB68" s="1025">
        <f t="shared" si="67"/>
        <v>3.41628</v>
      </c>
      <c r="CC68" s="1025">
        <f t="shared" si="67"/>
        <v>9.9717099999999999</v>
      </c>
      <c r="CD68" s="1025">
        <f t="shared" si="67"/>
        <v>-2.72709</v>
      </c>
      <c r="CE68" s="1025">
        <f t="shared" si="67"/>
        <v>9.0578500000000002</v>
      </c>
      <c r="CF68" s="1025">
        <f t="shared" si="67"/>
        <v>-1.2567900000000001</v>
      </c>
      <c r="CG68" s="1025">
        <f t="shared" si="67"/>
        <v>-10.414239999999999</v>
      </c>
      <c r="CH68" s="1025">
        <f t="shared" si="67"/>
        <v>-0.81271000000000004</v>
      </c>
      <c r="CI68" s="1025">
        <f t="shared" si="67"/>
        <v>6.8544099999999997</v>
      </c>
      <c r="CJ68" s="1025">
        <f t="shared" si="67"/>
        <v>1.4149999999999999E-2</v>
      </c>
      <c r="CK68" s="1025">
        <f t="shared" si="67"/>
        <v>-4.8744100000000001</v>
      </c>
      <c r="CL68" s="1025">
        <f t="shared" si="67"/>
        <v>2.1277400000000002</v>
      </c>
      <c r="CM68" s="1025">
        <f t="shared" si="67"/>
        <v>2.88869</v>
      </c>
      <c r="CN68" s="1025">
        <f t="shared" si="67"/>
        <v>-1.22994</v>
      </c>
      <c r="CO68" s="1025">
        <f t="shared" si="67"/>
        <v>5.1576899999999997</v>
      </c>
      <c r="CP68" s="1025">
        <f t="shared" si="67"/>
        <v>3.7208899999999998</v>
      </c>
      <c r="CQ68" s="1025">
        <f t="shared" si="67"/>
        <v>9.8065700000000007</v>
      </c>
      <c r="CR68" s="1025">
        <f t="shared" si="67"/>
        <v>-1.07</v>
      </c>
      <c r="CS68" s="1025">
        <f t="shared" si="67"/>
        <v>13.69</v>
      </c>
      <c r="CT68" s="1025">
        <f t="shared" ref="CT68:DY68" si="68">VLOOKUP(CT$8,Index,40,FALSE)</f>
        <v>13.75</v>
      </c>
      <c r="CU68" s="1025">
        <f t="shared" si="68"/>
        <v>8.07</v>
      </c>
      <c r="CV68" s="1025">
        <f t="shared" si="68"/>
        <v>-9.3000000000000007</v>
      </c>
      <c r="CW68" s="1025">
        <f t="shared" si="68"/>
        <v>-8.81</v>
      </c>
      <c r="CX68" s="1025">
        <f t="shared" si="68"/>
        <v>5.72</v>
      </c>
      <c r="CY68" s="1025">
        <f t="shared" si="68"/>
        <v>-5.74</v>
      </c>
      <c r="CZ68" s="1025">
        <f t="shared" si="68"/>
        <v>-22.01</v>
      </c>
      <c r="DA68" s="1025">
        <f t="shared" si="68"/>
        <v>-14.99</v>
      </c>
      <c r="DB68" s="1025">
        <f t="shared" si="68"/>
        <v>-4.6500000000000004</v>
      </c>
      <c r="DC68" s="1025">
        <f t="shared" si="68"/>
        <v>-3.58</v>
      </c>
      <c r="DD68" s="1025">
        <f t="shared" si="68"/>
        <v>-8.1999999999999993</v>
      </c>
      <c r="DE68" s="1025">
        <f t="shared" si="68"/>
        <v>1.73</v>
      </c>
      <c r="DF68" s="1025">
        <f t="shared" si="68"/>
        <v>6.15</v>
      </c>
      <c r="DG68" s="1025">
        <f t="shared" si="68"/>
        <v>-2.16</v>
      </c>
      <c r="DH68" s="1025">
        <f t="shared" si="68"/>
        <v>2.9</v>
      </c>
      <c r="DI68" s="1025">
        <f t="shared" si="68"/>
        <v>-9.68</v>
      </c>
      <c r="DJ68" s="1025">
        <f t="shared" si="68"/>
        <v>-1.45</v>
      </c>
      <c r="DK68" s="1025">
        <f t="shared" si="68"/>
        <v>-4.49</v>
      </c>
      <c r="DL68" s="1025">
        <f t="shared" si="68"/>
        <v>5.58</v>
      </c>
      <c r="DM68" s="1025">
        <f t="shared" si="68"/>
        <v>6.62</v>
      </c>
      <c r="DN68" s="1025">
        <f t="shared" si="68"/>
        <v>-1.54</v>
      </c>
      <c r="DO68" s="1025">
        <f t="shared" si="68"/>
        <v>-0.28000000000000003</v>
      </c>
      <c r="DP68" s="1025">
        <f t="shared" si="68"/>
        <v>0.85</v>
      </c>
      <c r="DQ68" s="1025">
        <f t="shared" si="68"/>
        <v>2.74</v>
      </c>
      <c r="DR68" s="1025">
        <f t="shared" si="68"/>
        <v>4.6399999999999997</v>
      </c>
      <c r="DS68" s="1025">
        <f t="shared" si="68"/>
        <v>2.8174999999999999</v>
      </c>
      <c r="DT68" s="1025">
        <f t="shared" si="68"/>
        <v>0.61</v>
      </c>
      <c r="DU68" s="1025">
        <f t="shared" si="68"/>
        <v>0.3735</v>
      </c>
      <c r="DV68" s="1025">
        <f t="shared" si="68"/>
        <v>3.1164000000000001</v>
      </c>
      <c r="DW68" s="1025">
        <f t="shared" si="68"/>
        <v>3.63</v>
      </c>
      <c r="DX68" s="1025">
        <f t="shared" si="68"/>
        <v>4.07</v>
      </c>
      <c r="DY68" s="1025">
        <f t="shared" si="68"/>
        <v>6.4899999999999999E-2</v>
      </c>
      <c r="DZ68" s="1025">
        <f t="shared" ref="DZ68:EW68" si="69">VLOOKUP(DZ$8,Index,40,FALSE)</f>
        <v>2.8342999999999998</v>
      </c>
      <c r="EA68" s="1025">
        <f t="shared" si="69"/>
        <v>1.0230999999999999</v>
      </c>
      <c r="EB68" s="1025">
        <f t="shared" si="69"/>
        <v>-9.9699999999999997E-2</v>
      </c>
      <c r="EC68" s="1025">
        <f t="shared" si="69"/>
        <v>-4.6102999999999996</v>
      </c>
      <c r="ED68" s="1025">
        <f t="shared" si="69"/>
        <v>5.1562000000000001</v>
      </c>
      <c r="EE68" s="1025">
        <f t="shared" si="69"/>
        <v>2.9045999999999998</v>
      </c>
      <c r="EF68" s="1025">
        <f t="shared" si="69"/>
        <v>-0.28870000000000001</v>
      </c>
      <c r="EG68" s="1025">
        <f t="shared" si="69"/>
        <v>6.9722999999999997</v>
      </c>
      <c r="EH68" s="1025">
        <f t="shared" si="69"/>
        <v>4.8113999999999999</v>
      </c>
      <c r="EI68" s="1025">
        <f t="shared" si="69"/>
        <v>3.3620999999999999</v>
      </c>
      <c r="EJ68" s="1025">
        <f t="shared" si="69"/>
        <v>-3.6404999999999998</v>
      </c>
      <c r="EK68" s="1025">
        <f t="shared" si="69"/>
        <v>4.47</v>
      </c>
      <c r="EL68" s="1025">
        <f t="shared" si="69"/>
        <v>2.5556999999999999</v>
      </c>
      <c r="EM68" s="1025">
        <f t="shared" si="69"/>
        <v>3.07</v>
      </c>
      <c r="EN68" s="1025">
        <f t="shared" si="69"/>
        <v>1.3669</v>
      </c>
      <c r="EO68" s="1025">
        <f t="shared" si="69"/>
        <v>0.153</v>
      </c>
      <c r="EP68" s="1025">
        <f t="shared" si="69"/>
        <v>-2.2383000000000002</v>
      </c>
      <c r="EQ68" s="1025">
        <f t="shared" si="69"/>
        <v>-2.4735</v>
      </c>
      <c r="ER68" s="1025">
        <f t="shared" si="69"/>
        <v>4.3437000000000001</v>
      </c>
      <c r="ES68" s="1025">
        <f t="shared" si="69"/>
        <v>-1.8272999999999999</v>
      </c>
      <c r="ET68" s="1025">
        <f t="shared" si="69"/>
        <v>4.3899999999999997</v>
      </c>
      <c r="EU68" s="1025">
        <f t="shared" si="69"/>
        <v>6.86</v>
      </c>
      <c r="EV68" s="1025">
        <f t="shared" si="69"/>
        <v>3.42</v>
      </c>
      <c r="EW68" s="1025">
        <f t="shared" si="69"/>
        <v>2.6282999999999999</v>
      </c>
      <c r="EX68" s="1230"/>
      <c r="EY68" s="1230"/>
      <c r="EZ68" s="789"/>
      <c r="FA68" s="789"/>
      <c r="FB68" s="789"/>
      <c r="FC68" s="789"/>
      <c r="FD68" s="789"/>
      <c r="FE68" s="1024"/>
      <c r="FF68" s="1027"/>
      <c r="FG68" s="1027"/>
      <c r="FH68" s="1027"/>
      <c r="FI68" s="1027"/>
      <c r="FJ68" s="1027"/>
      <c r="FK68" s="1024"/>
      <c r="FL68" s="1027"/>
      <c r="FM68" s="1027"/>
    </row>
    <row r="69" spans="1:169" s="1028" customFormat="1" ht="12.75" customHeight="1" collapsed="1" x14ac:dyDescent="0.2">
      <c r="A69" s="1232"/>
      <c r="B69" s="1024"/>
      <c r="C69" s="1235"/>
      <c r="D69" s="1218"/>
      <c r="E69" s="1219"/>
      <c r="F69" s="1220"/>
      <c r="G69" s="1023"/>
      <c r="H69" s="1023"/>
      <c r="I69" s="1023"/>
      <c r="J69" s="1023"/>
      <c r="K69" s="1023"/>
      <c r="L69" s="1023"/>
      <c r="M69" s="1023"/>
      <c r="N69" s="1023"/>
      <c r="O69" s="1023"/>
      <c r="P69" s="1023"/>
      <c r="Q69" s="1221"/>
      <c r="R69" s="1218"/>
      <c r="S69" s="1218"/>
      <c r="T69" s="1218"/>
      <c r="U69" s="1218"/>
      <c r="V69" s="1218"/>
      <c r="W69" s="1218"/>
      <c r="X69" s="1218"/>
      <c r="Y69" s="1218"/>
      <c r="Z69" s="1218"/>
      <c r="AA69" s="1218"/>
      <c r="AB69" s="1218"/>
      <c r="AC69" s="1236"/>
      <c r="AD69" s="1233"/>
      <c r="AF69" s="1027"/>
      <c r="AG69" s="1024"/>
      <c r="AH69" s="1025"/>
      <c r="AI69" s="1025"/>
      <c r="AJ69" s="1025"/>
      <c r="AK69" s="1025"/>
      <c r="AL69" s="1025"/>
      <c r="AM69" s="1025"/>
      <c r="AN69" s="1025"/>
      <c r="AO69" s="1025"/>
      <c r="AP69" s="1025"/>
      <c r="AQ69" s="1025"/>
      <c r="AR69" s="1025"/>
      <c r="AS69" s="1025"/>
      <c r="AT69" s="1025"/>
      <c r="AU69" s="1025"/>
      <c r="AV69" s="1025"/>
      <c r="AW69" s="1025"/>
      <c r="AX69" s="1025"/>
      <c r="AY69" s="1025"/>
      <c r="AZ69" s="1025"/>
      <c r="BA69" s="1025"/>
      <c r="BB69" s="1025"/>
      <c r="BC69" s="1025"/>
      <c r="BD69" s="1025"/>
      <c r="BE69" s="1025"/>
      <c r="BF69" s="1025"/>
      <c r="BG69" s="1025"/>
      <c r="BH69" s="1025"/>
      <c r="BI69" s="1025"/>
      <c r="BJ69" s="1025"/>
      <c r="BK69" s="1025"/>
      <c r="BL69" s="1025"/>
      <c r="BM69" s="1025"/>
      <c r="BN69" s="1025"/>
      <c r="BO69" s="1025"/>
      <c r="BP69" s="1025"/>
      <c r="BQ69" s="1025"/>
      <c r="BR69" s="1025"/>
      <c r="BS69" s="1025"/>
      <c r="BT69" s="1025"/>
      <c r="BU69" s="1025"/>
      <c r="BV69" s="1025"/>
      <c r="BW69" s="1025"/>
      <c r="BX69" s="1025"/>
      <c r="BY69" s="1025"/>
      <c r="BZ69" s="1025"/>
      <c r="CA69" s="1025"/>
      <c r="CB69" s="1025"/>
      <c r="CC69" s="1025"/>
      <c r="CD69" s="1025"/>
      <c r="CE69" s="1025"/>
      <c r="CF69" s="1025"/>
      <c r="CG69" s="1025"/>
      <c r="CH69" s="1025"/>
      <c r="CI69" s="1025"/>
      <c r="CJ69" s="1025"/>
      <c r="CK69" s="1025"/>
      <c r="CL69" s="1025"/>
      <c r="CM69" s="1025"/>
      <c r="CN69" s="1025"/>
      <c r="CO69" s="1025"/>
      <c r="CP69" s="1025"/>
      <c r="CQ69" s="1025"/>
      <c r="CR69" s="1025"/>
      <c r="CS69" s="1025"/>
      <c r="CT69" s="1025"/>
      <c r="CU69" s="1025"/>
      <c r="CV69" s="1025"/>
      <c r="CW69" s="1025"/>
      <c r="CX69" s="1025"/>
      <c r="CY69" s="1025"/>
      <c r="CZ69" s="1025"/>
      <c r="DA69" s="1025"/>
      <c r="DB69" s="1025"/>
      <c r="DC69" s="1025"/>
      <c r="DD69" s="1025"/>
      <c r="DE69" s="1025"/>
      <c r="DF69" s="1025"/>
      <c r="DG69" s="1025"/>
      <c r="DH69" s="1025"/>
      <c r="DI69" s="1025"/>
      <c r="DJ69" s="1025"/>
      <c r="DK69" s="1025"/>
      <c r="DL69" s="1025"/>
      <c r="DM69" s="1025"/>
      <c r="DN69" s="1025"/>
      <c r="DO69" s="1025"/>
      <c r="DP69" s="1025"/>
      <c r="DQ69" s="1025"/>
      <c r="DR69" s="1025"/>
      <c r="DS69" s="1025"/>
      <c r="DT69" s="1025"/>
      <c r="DU69" s="1025"/>
      <c r="DV69" s="1025"/>
      <c r="DW69" s="1025"/>
      <c r="DX69" s="1025"/>
      <c r="DY69" s="1025"/>
      <c r="DZ69" s="1025"/>
      <c r="EA69" s="1025"/>
      <c r="EB69" s="1025"/>
      <c r="EC69" s="1025"/>
      <c r="ED69" s="1025"/>
      <c r="EE69" s="1025"/>
      <c r="EF69" s="1025"/>
      <c r="EG69" s="1025"/>
      <c r="EH69" s="1025"/>
      <c r="EI69" s="1025"/>
      <c r="EJ69" s="1025"/>
      <c r="EK69" s="1025"/>
      <c r="EL69" s="1025"/>
      <c r="EM69" s="1025"/>
      <c r="EN69" s="1025"/>
      <c r="EO69" s="1025"/>
      <c r="EP69" s="1025"/>
      <c r="EQ69" s="1025"/>
      <c r="ER69" s="1025"/>
      <c r="ES69" s="1025"/>
      <c r="ET69" s="1025"/>
      <c r="EU69" s="1025"/>
      <c r="EV69" s="1025"/>
      <c r="EW69" s="1025"/>
      <c r="EX69" s="1230"/>
      <c r="EY69" s="1230"/>
      <c r="EZ69" s="789"/>
      <c r="FA69" s="789"/>
      <c r="FB69" s="789"/>
      <c r="FC69" s="789"/>
      <c r="FD69" s="789"/>
      <c r="FE69" s="1024"/>
      <c r="FF69" s="1027"/>
      <c r="FG69" s="1027"/>
      <c r="FH69" s="1027"/>
      <c r="FI69" s="1027"/>
      <c r="FJ69" s="1027"/>
      <c r="FK69" s="1024"/>
      <c r="FL69" s="1027"/>
      <c r="FM69" s="1027"/>
    </row>
    <row r="70" spans="1:169" s="395" customFormat="1" ht="12.75" customHeight="1" x14ac:dyDescent="0.2">
      <c r="A70" s="480" t="s">
        <v>206</v>
      </c>
      <c r="B70" s="412"/>
      <c r="C70" s="414"/>
      <c r="D70" s="249"/>
      <c r="E70" s="470">
        <f>SUM(E62:E66)</f>
        <v>4177.9560927000002</v>
      </c>
      <c r="F70" s="431"/>
      <c r="G70" s="432"/>
      <c r="H70" s="432"/>
      <c r="I70" s="432"/>
      <c r="J70" s="432"/>
      <c r="K70" s="432"/>
      <c r="L70" s="432"/>
      <c r="M70" s="432"/>
      <c r="N70" s="432"/>
      <c r="O70" s="432"/>
      <c r="P70" s="432"/>
      <c r="Q70" s="468"/>
      <c r="R70" s="249"/>
      <c r="S70" s="249"/>
      <c r="T70" s="249"/>
      <c r="U70" s="249"/>
      <c r="V70" s="249"/>
      <c r="W70" s="249"/>
      <c r="X70" s="249"/>
      <c r="Y70" s="249"/>
      <c r="Z70" s="249"/>
      <c r="AA70" s="249"/>
      <c r="AB70" s="249"/>
      <c r="AC70" s="481"/>
      <c r="AD70" s="463"/>
      <c r="AE70" s="15"/>
      <c r="AF70" s="442"/>
      <c r="AG70" s="382"/>
      <c r="AH70" s="439"/>
      <c r="AI70" s="439"/>
      <c r="AJ70" s="439"/>
      <c r="AK70" s="439"/>
      <c r="AL70" s="439"/>
      <c r="AM70" s="439"/>
      <c r="AN70" s="439"/>
      <c r="AO70" s="439"/>
      <c r="AP70" s="439"/>
      <c r="AQ70" s="439"/>
      <c r="AR70" s="439"/>
      <c r="AS70" s="439"/>
      <c r="AT70" s="439"/>
      <c r="AU70" s="439"/>
      <c r="AV70" s="439"/>
      <c r="AW70" s="439"/>
      <c r="AX70" s="439"/>
      <c r="AY70" s="439"/>
      <c r="AZ70" s="439"/>
      <c r="BA70" s="439"/>
      <c r="BB70" s="439"/>
      <c r="BC70" s="439"/>
      <c r="BD70" s="439"/>
      <c r="BE70" s="439"/>
      <c r="BF70" s="439"/>
      <c r="BG70" s="439"/>
      <c r="BH70" s="439"/>
      <c r="BI70" s="439"/>
      <c r="BJ70" s="439"/>
      <c r="BK70" s="439"/>
      <c r="BL70" s="439"/>
      <c r="BM70" s="439"/>
      <c r="BN70" s="439"/>
      <c r="BO70" s="439"/>
      <c r="BP70" s="439"/>
      <c r="BQ70" s="439"/>
      <c r="BR70" s="439"/>
      <c r="BS70" s="439"/>
      <c r="BT70" s="439"/>
      <c r="BU70" s="439"/>
      <c r="BV70" s="439"/>
      <c r="BW70" s="439"/>
      <c r="BX70" s="439"/>
      <c r="BY70" s="439"/>
      <c r="BZ70" s="439"/>
      <c r="CA70" s="439"/>
      <c r="CB70" s="439"/>
      <c r="CC70" s="439"/>
      <c r="CD70" s="439"/>
      <c r="CE70" s="439"/>
      <c r="CF70" s="439"/>
      <c r="CG70" s="439"/>
      <c r="CH70" s="439"/>
      <c r="CI70" s="439"/>
      <c r="CJ70" s="439"/>
      <c r="CK70" s="439"/>
      <c r="CL70" s="439"/>
      <c r="CM70" s="439"/>
      <c r="CN70" s="439"/>
      <c r="CO70" s="439"/>
      <c r="CP70" s="439"/>
      <c r="CQ70" s="439"/>
      <c r="CR70" s="439"/>
      <c r="CS70" s="439"/>
      <c r="CT70" s="439"/>
      <c r="CU70" s="439"/>
      <c r="CV70" s="439"/>
      <c r="CW70" s="439"/>
      <c r="CX70" s="439"/>
      <c r="CY70" s="439"/>
      <c r="CZ70" s="439"/>
      <c r="DA70" s="439"/>
      <c r="DB70" s="439"/>
      <c r="DC70" s="439"/>
      <c r="DD70" s="439"/>
      <c r="DE70" s="439"/>
      <c r="DF70" s="439"/>
      <c r="DG70" s="439"/>
      <c r="DH70" s="439"/>
      <c r="DI70" s="439"/>
      <c r="DJ70" s="439"/>
      <c r="DK70" s="439"/>
      <c r="DL70" s="439"/>
      <c r="DM70" s="439"/>
      <c r="DN70" s="439"/>
      <c r="DO70" s="439"/>
      <c r="DP70" s="439"/>
      <c r="DQ70" s="439"/>
      <c r="DR70" s="439"/>
      <c r="DS70" s="439"/>
      <c r="DT70" s="439"/>
      <c r="DU70" s="439"/>
      <c r="DV70" s="439"/>
      <c r="DW70" s="439"/>
      <c r="DX70" s="439"/>
      <c r="DY70" s="439"/>
      <c r="DZ70" s="439"/>
      <c r="EA70" s="439"/>
      <c r="EB70" s="439"/>
      <c r="EC70" s="439"/>
      <c r="ED70" s="439"/>
      <c r="EE70" s="439"/>
      <c r="EF70" s="439"/>
      <c r="EG70" s="439"/>
      <c r="EH70" s="439"/>
      <c r="EI70" s="439"/>
      <c r="EJ70" s="439"/>
      <c r="EK70" s="439"/>
      <c r="EL70" s="439"/>
      <c r="EM70" s="439"/>
      <c r="EN70" s="439"/>
      <c r="EO70" s="439"/>
      <c r="EP70" s="439"/>
      <c r="EQ70" s="439"/>
      <c r="ER70" s="439"/>
      <c r="ES70" s="439"/>
      <c r="ET70" s="439"/>
      <c r="EU70" s="439"/>
      <c r="EV70" s="439"/>
      <c r="EW70" s="439"/>
      <c r="EX70" s="393"/>
      <c r="EY70" s="393"/>
      <c r="EZ70" s="789" t="e">
        <f>VLOOKUP($EY70,'NEPC data'!$B58:$M245,5,TRUE)*100</f>
        <v>#N/A</v>
      </c>
      <c r="FA70" s="789" t="e">
        <f>VLOOKUP($EY70,'NEPC data'!$B58:$M245,7,TRUE)*100</f>
        <v>#N/A</v>
      </c>
      <c r="FB70" s="789" t="e">
        <f>VLOOKUP($EY70,'NEPC data'!$B58:$M245,9,TRUE)*100</f>
        <v>#N/A</v>
      </c>
      <c r="FC70" s="789" t="e">
        <f>VLOOKUP($EY70,'NEPC data'!$B58:$M245,10,TRUE)*100</f>
        <v>#N/A</v>
      </c>
      <c r="FD70" s="789" t="e">
        <f>VLOOKUP($EY70,'NEPC data'!$B58:$M245,11,TRUE)*100</f>
        <v>#N/A</v>
      </c>
      <c r="FE70" s="382"/>
      <c r="FF70" s="442"/>
      <c r="FG70" s="442"/>
      <c r="FH70" s="442"/>
      <c r="FI70" s="442"/>
      <c r="FJ70" s="442"/>
      <c r="FK70" s="382"/>
      <c r="FL70" s="442"/>
      <c r="FM70" s="442"/>
    </row>
    <row r="71" spans="1:169" s="395" customFormat="1" ht="12.75" customHeight="1" x14ac:dyDescent="0.2">
      <c r="A71" s="480"/>
      <c r="B71" s="412"/>
      <c r="C71" s="414"/>
      <c r="D71" s="249"/>
      <c r="E71" s="470"/>
      <c r="F71" s="431"/>
      <c r="G71" s="432"/>
      <c r="H71" s="432"/>
      <c r="I71" s="432"/>
      <c r="J71" s="432"/>
      <c r="K71" s="432"/>
      <c r="L71" s="432"/>
      <c r="M71" s="432"/>
      <c r="N71" s="432"/>
      <c r="O71" s="432"/>
      <c r="P71" s="432"/>
      <c r="Q71" s="468"/>
      <c r="R71" s="249"/>
      <c r="S71" s="249"/>
      <c r="T71" s="249"/>
      <c r="U71" s="249"/>
      <c r="V71" s="249"/>
      <c r="W71" s="249"/>
      <c r="X71" s="249"/>
      <c r="Y71" s="249"/>
      <c r="Z71" s="249"/>
      <c r="AA71" s="249"/>
      <c r="AB71" s="249"/>
      <c r="AC71" s="481"/>
      <c r="AD71" s="463"/>
      <c r="AE71" s="15"/>
      <c r="AF71" s="442"/>
      <c r="AG71" s="382"/>
      <c r="AH71" s="439"/>
      <c r="AI71" s="439"/>
      <c r="AJ71" s="439"/>
      <c r="AK71" s="439"/>
      <c r="AL71" s="439"/>
      <c r="AM71" s="439"/>
      <c r="AN71" s="439"/>
      <c r="AO71" s="439"/>
      <c r="AP71" s="439"/>
      <c r="AQ71" s="439"/>
      <c r="AR71" s="439"/>
      <c r="AS71" s="439"/>
      <c r="AT71" s="439"/>
      <c r="AU71" s="439"/>
      <c r="AV71" s="439"/>
      <c r="AW71" s="439"/>
      <c r="AX71" s="439"/>
      <c r="AY71" s="439"/>
      <c r="AZ71" s="439"/>
      <c r="BA71" s="439"/>
      <c r="BB71" s="439"/>
      <c r="BC71" s="439"/>
      <c r="BD71" s="439"/>
      <c r="BE71" s="439"/>
      <c r="BF71" s="439"/>
      <c r="BG71" s="439"/>
      <c r="BH71" s="439"/>
      <c r="BI71" s="439"/>
      <c r="BJ71" s="439"/>
      <c r="BK71" s="439"/>
      <c r="BL71" s="439"/>
      <c r="BM71" s="439"/>
      <c r="BN71" s="439"/>
      <c r="BO71" s="439"/>
      <c r="BP71" s="439"/>
      <c r="BQ71" s="439"/>
      <c r="BR71" s="439"/>
      <c r="BS71" s="439"/>
      <c r="BT71" s="439"/>
      <c r="BU71" s="439"/>
      <c r="BV71" s="439"/>
      <c r="BW71" s="439"/>
      <c r="BX71" s="439"/>
      <c r="BY71" s="439"/>
      <c r="BZ71" s="439"/>
      <c r="CA71" s="439"/>
      <c r="CB71" s="439"/>
      <c r="CC71" s="439"/>
      <c r="CD71" s="439"/>
      <c r="CE71" s="439"/>
      <c r="CF71" s="439"/>
      <c r="CG71" s="439"/>
      <c r="CH71" s="439"/>
      <c r="CI71" s="439"/>
      <c r="CJ71" s="439"/>
      <c r="CK71" s="439"/>
      <c r="CL71" s="439"/>
      <c r="CM71" s="439"/>
      <c r="CN71" s="439"/>
      <c r="CO71" s="439"/>
      <c r="CP71" s="439"/>
      <c r="CQ71" s="439"/>
      <c r="CR71" s="439"/>
      <c r="CS71" s="439"/>
      <c r="CT71" s="439"/>
      <c r="CU71" s="439"/>
      <c r="CV71" s="439"/>
      <c r="CW71" s="439"/>
      <c r="CX71" s="439"/>
      <c r="CY71" s="439"/>
      <c r="CZ71" s="439"/>
      <c r="DA71" s="439"/>
      <c r="DB71" s="439"/>
      <c r="DC71" s="439"/>
      <c r="DD71" s="439"/>
      <c r="DE71" s="439"/>
      <c r="DF71" s="439"/>
      <c r="DG71" s="439"/>
      <c r="DH71" s="439"/>
      <c r="DI71" s="439"/>
      <c r="DJ71" s="439"/>
      <c r="DK71" s="439"/>
      <c r="DL71" s="439"/>
      <c r="DM71" s="439"/>
      <c r="DN71" s="439"/>
      <c r="DO71" s="439"/>
      <c r="DP71" s="439"/>
      <c r="DQ71" s="439"/>
      <c r="DR71" s="439"/>
      <c r="DS71" s="439"/>
      <c r="DT71" s="439"/>
      <c r="DU71" s="439"/>
      <c r="DV71" s="439"/>
      <c r="DW71" s="439"/>
      <c r="DX71" s="439"/>
      <c r="DY71" s="439"/>
      <c r="DZ71" s="439"/>
      <c r="EA71" s="439"/>
      <c r="EB71" s="439"/>
      <c r="EC71" s="439"/>
      <c r="ED71" s="439"/>
      <c r="EE71" s="439"/>
      <c r="EF71" s="439"/>
      <c r="EG71" s="439"/>
      <c r="EH71" s="439"/>
      <c r="EI71" s="439"/>
      <c r="EJ71" s="439"/>
      <c r="EK71" s="439"/>
      <c r="EL71" s="439"/>
      <c r="EM71" s="439"/>
      <c r="EN71" s="439"/>
      <c r="EO71" s="439"/>
      <c r="EP71" s="439"/>
      <c r="EQ71" s="439"/>
      <c r="ER71" s="439"/>
      <c r="ES71" s="439"/>
      <c r="ET71" s="439"/>
      <c r="EU71" s="439"/>
      <c r="EV71" s="439"/>
      <c r="EW71" s="439"/>
      <c r="EX71" s="393"/>
      <c r="EY71" s="393"/>
      <c r="EZ71" s="789" t="e">
        <f>VLOOKUP($EY71,'NEPC data'!$B59:$M246,5,TRUE)*100</f>
        <v>#N/A</v>
      </c>
      <c r="FA71" s="789" t="e">
        <f>VLOOKUP($EY71,'NEPC data'!$B59:$M246,7,TRUE)*100</f>
        <v>#N/A</v>
      </c>
      <c r="FB71" s="789" t="e">
        <f>VLOOKUP($EY71,'NEPC data'!$B59:$M246,9,TRUE)*100</f>
        <v>#N/A</v>
      </c>
      <c r="FC71" s="789" t="e">
        <f>VLOOKUP($EY71,'NEPC data'!$B59:$M246,10,TRUE)*100</f>
        <v>#N/A</v>
      </c>
      <c r="FD71" s="789" t="e">
        <f>VLOOKUP($EY71,'NEPC data'!$B59:$M246,11,TRUE)*100</f>
        <v>#N/A</v>
      </c>
      <c r="FE71" s="382"/>
      <c r="FF71" s="442"/>
      <c r="FG71" s="442"/>
      <c r="FH71" s="442"/>
      <c r="FI71" s="442"/>
      <c r="FJ71" s="442"/>
      <c r="FK71" s="382"/>
      <c r="FL71" s="442"/>
      <c r="FM71" s="442"/>
    </row>
    <row r="72" spans="1:169" s="395" customFormat="1" ht="12.75" customHeight="1" x14ac:dyDescent="0.2">
      <c r="A72" s="1444" t="s">
        <v>856</v>
      </c>
      <c r="B72" s="1445" t="s">
        <v>318</v>
      </c>
      <c r="C72" s="1446">
        <v>41426</v>
      </c>
      <c r="D72" s="1443"/>
      <c r="E72" s="1442">
        <f>VLOOKUP(AH8,AQR!$A$3:$D$488,3,FALSE)/1000000</f>
        <v>179.38324709</v>
      </c>
      <c r="F72" s="1425">
        <f>AH72</f>
        <v>0.19122</v>
      </c>
      <c r="G72" s="476">
        <f t="array" ref="G72">IF($AJ72=0,"---",(PRODUCT($AH72:AJ72/100+1)-1)*100)</f>
        <v>0.5006631796859784</v>
      </c>
      <c r="H72" s="432">
        <f t="array" ref="H72">IF($AN72=0,"---",(PRODUCT(AH72:AN72/100+1)-1)*100)</f>
        <v>4.6935171805078779</v>
      </c>
      <c r="I72" s="1312">
        <f t="array" ref="I72">IF(AS72=0,"---",(GEOMEAN($AH72:AS72/100+1)^12-1)*100)</f>
        <v>20.412894169884655</v>
      </c>
      <c r="J72" s="1312" t="str">
        <f t="array" ref="J72">IF(BE72=0,"---",(GEOMEAN($AH72:BE72/100+1)^12-1)*100)</f>
        <v>---</v>
      </c>
      <c r="K72" s="1312" t="str">
        <f t="array" ref="K72">IF(BQ72=0,"---",(GEOMEAN($AH72:BQ72/100+1)^12-1)*100)</f>
        <v>---</v>
      </c>
      <c r="L72" s="1312" t="str">
        <f t="array" ref="L72">IF(CC72=0,"---",(GEOMEAN($AH72:CC72/100+1)^12-1)*100)</f>
        <v>---</v>
      </c>
      <c r="M72" s="1312" t="str">
        <f t="array" ref="M72">IF(CO72=0,"---",(GEOMEAN($AH72:CO72/100+1)^12-1)*100)</f>
        <v>---</v>
      </c>
      <c r="N72" s="1312" t="str">
        <f t="array" ref="N72">IF(DM72=0,"---",(GEOMEAN($AH72:DM72/100+1)^12-1)*100)</f>
        <v>---</v>
      </c>
      <c r="O72" s="1312" t="str">
        <f t="array" ref="O72">IF(EK72=0,"---",(GEOMEAN($AH72:EK72/100+1)^12-1)*100)</f>
        <v>---</v>
      </c>
      <c r="P72" s="1312" t="str">
        <f t="array" ref="P72">IF(EW72=0,"---",(GEOMEAN($AH72:EW72/100+1)^12-1)*100)</f>
        <v>---</v>
      </c>
      <c r="Q72" s="1441">
        <f t="array" ref="Q72">(GEOMEAN(AQR!$D$458:D471/100+1)^12-1)*100</f>
        <v>19.49918774683319</v>
      </c>
      <c r="R72" s="1440">
        <f t="shared" ref="R72:AB72" si="70">IF(F72="---","---",(F72-F$76)*100)</f>
        <v>36.801000000000002</v>
      </c>
      <c r="S72" s="434">
        <f t="shared" si="70"/>
        <v>157.6718916200237</v>
      </c>
      <c r="T72" s="1364">
        <f t="shared" si="70"/>
        <v>24.995888649355091</v>
      </c>
      <c r="U72" s="434">
        <f t="shared" si="70"/>
        <v>166.83063044656842</v>
      </c>
      <c r="V72" s="434" t="str">
        <f t="shared" si="70"/>
        <v>---</v>
      </c>
      <c r="W72" s="434" t="str">
        <f t="shared" si="70"/>
        <v>---</v>
      </c>
      <c r="X72" s="434" t="str">
        <f t="shared" si="70"/>
        <v>---</v>
      </c>
      <c r="Y72" s="434" t="str">
        <f t="shared" si="70"/>
        <v>---</v>
      </c>
      <c r="Z72" s="434" t="str">
        <f t="shared" si="70"/>
        <v>---</v>
      </c>
      <c r="AA72" s="434" t="str">
        <f t="shared" si="70"/>
        <v>---</v>
      </c>
      <c r="AB72" s="434" t="str">
        <f t="shared" si="70"/>
        <v>---</v>
      </c>
      <c r="AC72" s="434">
        <f t="array" ref="AC72">(Q72-AF72)*100</f>
        <v>128.26864588384234</v>
      </c>
      <c r="AD72" s="1439">
        <v>300</v>
      </c>
      <c r="AE72" s="15"/>
      <c r="AF72" s="432">
        <f t="array" ref="AF72">(GEOMEAN(Index_Returns!V$458:V471/100+1)^12-1)*100</f>
        <v>18.216501287994767</v>
      </c>
      <c r="AG72" s="418" t="str">
        <f>IF(I72="---","&lt; 1 Year","---")</f>
        <v>---</v>
      </c>
      <c r="AH72" s="439">
        <f>VLOOKUP(AH8,AQR!$A$3:$D$488,4,FALSE)</f>
        <v>0.19122</v>
      </c>
      <c r="AI72" s="439">
        <f>VLOOKUP(AI8,AQR!$A$3:$D$488,4,FALSE)</f>
        <v>-1.6959599999999999</v>
      </c>
      <c r="AJ72" s="439">
        <f>VLOOKUP(AJ8,AQR!$A$3:$D$488,4,FALSE)</f>
        <v>2.0394000000000001</v>
      </c>
      <c r="AK72" s="439">
        <f>VLOOKUP(AK8,AQR!$A$3:$D$488,4,FALSE)</f>
        <v>1.5866100000000001</v>
      </c>
      <c r="AL72" s="439">
        <f>VLOOKUP(AL8,AQR!$A$3:$D$488,4,FALSE)</f>
        <v>-1.5593300000000001</v>
      </c>
      <c r="AM72" s="439">
        <f>VLOOKUP(AM8,AQR!$A$3:$D$488,4,FALSE)</f>
        <v>-0.93879000000000001</v>
      </c>
      <c r="AN72" s="439">
        <f>VLOOKUP(AN8,AQR!$A$3:$D$488,4,FALSE)</f>
        <v>5.1565200000000004</v>
      </c>
      <c r="AO72" s="439">
        <f>VLOOKUP(AO8,AQR!$A$3:$D$488,4,FALSE)</f>
        <v>-1.2640499999999999</v>
      </c>
      <c r="AP72" s="439">
        <f>VLOOKUP(AP8,AQR!$A$3:$D$488,4,FALSE)</f>
        <v>2.4133800000000001</v>
      </c>
      <c r="AQ72" s="439">
        <f>VLOOKUP(AQ8,AQR!$A$3:$D$488,4,FALSE)</f>
        <v>0.85165000000000002</v>
      </c>
      <c r="AR72" s="439">
        <f>VLOOKUP(AR8,AQR!$A$3:$D$488,4,FALSE)</f>
        <v>3.8262</v>
      </c>
      <c r="AS72" s="439">
        <f>VLOOKUP(AS8,AQR!$A$3:$D$488,4,FALSE)</f>
        <v>8.6253600000000006</v>
      </c>
      <c r="AT72" s="439">
        <f>VLOOKUP(AT8,AQR!$A$3:$D$488,4,FALSE)</f>
        <v>-0.95831</v>
      </c>
      <c r="AU72" s="439">
        <f>VLOOKUP(AU8,AQR!$A$3:$D$488,4,FALSE)</f>
        <v>6.5383800000000001</v>
      </c>
      <c r="AV72" s="439">
        <f>VLOOKUP(AV8,AQR!$A$3:$D$488,4,FALSE)</f>
        <v>-2.9285199999999998</v>
      </c>
      <c r="AW72" s="439">
        <f>VLOOKUP(AW8,AQR!$A$3:$D$488,4,FALSE)</f>
        <v>0</v>
      </c>
      <c r="AX72" s="439">
        <f>VLOOKUP(AX8,AQR!$A$3:$D$488,4,FALSE)</f>
        <v>0</v>
      </c>
      <c r="AY72" s="439">
        <f>VLOOKUP(AY8,AQR!$A$3:$D$488,4,FALSE)</f>
        <v>0</v>
      </c>
      <c r="AZ72" s="439">
        <f>VLOOKUP(AZ8,AQR!$A$3:$D$488,4,FALSE)</f>
        <v>0</v>
      </c>
      <c r="BA72" s="439">
        <f>VLOOKUP(BA8,AQR!$A$3:$D$488,4,FALSE)</f>
        <v>0</v>
      </c>
      <c r="BB72" s="439">
        <f>VLOOKUP(BB8,AQR!$A$3:$D$488,4,FALSE)</f>
        <v>0</v>
      </c>
      <c r="BC72" s="439">
        <f>VLOOKUP(BC8,AQR!$A$3:$D$488,4,FALSE)</f>
        <v>0</v>
      </c>
      <c r="BD72" s="439">
        <f>VLOOKUP(BD8,AQR!$A$3:$D$488,4,FALSE)</f>
        <v>0</v>
      </c>
      <c r="BE72" s="439">
        <f>VLOOKUP(BE8,AQR!$A$3:$D$488,4,FALSE)</f>
        <v>0</v>
      </c>
      <c r="BF72" s="439">
        <f>VLOOKUP(BF8,AQR!$A$3:$D$488,4,FALSE)</f>
        <v>0</v>
      </c>
      <c r="BG72" s="439">
        <f>VLOOKUP(BG8,AQR!$A$3:$D$488,4,FALSE)</f>
        <v>0</v>
      </c>
      <c r="BH72" s="439">
        <f>VLOOKUP(BH8,AQR!$A$3:$D$488,4,FALSE)</f>
        <v>0</v>
      </c>
      <c r="BI72" s="439">
        <f>VLOOKUP(BI8,AQR!$A$3:$D$488,4,FALSE)</f>
        <v>0</v>
      </c>
      <c r="BJ72" s="439">
        <f>VLOOKUP(BJ8,AQR!$A$3:$D$488,4,FALSE)</f>
        <v>0</v>
      </c>
      <c r="BK72" s="439">
        <f>VLOOKUP(BK8,AQR!$A$3:$D$488,4,FALSE)</f>
        <v>0</v>
      </c>
      <c r="BL72" s="439">
        <f>VLOOKUP(BL8,AQR!$A$3:$D$488,4,FALSE)</f>
        <v>0</v>
      </c>
      <c r="BM72" s="439">
        <f>VLOOKUP(BM8,AQR!$A$3:$D$488,4,FALSE)</f>
        <v>0</v>
      </c>
      <c r="BN72" s="439">
        <f>VLOOKUP(BN8,AQR!$A$3:$D$488,4,FALSE)</f>
        <v>0</v>
      </c>
      <c r="BO72" s="439">
        <f>VLOOKUP(BO8,AQR!$A$3:$D$488,4,FALSE)</f>
        <v>0</v>
      </c>
      <c r="BP72" s="439">
        <f>VLOOKUP(BP8,AQR!$A$3:$D$488,4,FALSE)</f>
        <v>0</v>
      </c>
      <c r="BQ72" s="439">
        <f>VLOOKUP(BQ8,AQR!$A$3:$D$488,4,FALSE)</f>
        <v>0</v>
      </c>
      <c r="BR72" s="439">
        <f>VLOOKUP(BR8,AQR!$A$3:$D$488,4,FALSE)</f>
        <v>0</v>
      </c>
      <c r="BS72" s="439">
        <f>VLOOKUP(BS8,AQR!$A$3:$D$488,4,FALSE)</f>
        <v>0</v>
      </c>
      <c r="BT72" s="439">
        <f>VLOOKUP(BT8,AQR!$A$3:$D$488,4,FALSE)</f>
        <v>0</v>
      </c>
      <c r="BU72" s="439">
        <f>VLOOKUP(BU8,AQR!$A$3:$D$488,4,FALSE)</f>
        <v>0</v>
      </c>
      <c r="BV72" s="439">
        <f>VLOOKUP(BV8,AQR!$A$3:$D$488,4,FALSE)</f>
        <v>0</v>
      </c>
      <c r="BW72" s="439">
        <f>VLOOKUP(BW8,AQR!$A$3:$D$488,4,FALSE)</f>
        <v>0</v>
      </c>
      <c r="BX72" s="439">
        <f>VLOOKUP(BX8,AQR!$A$3:$D$488,4,FALSE)</f>
        <v>0</v>
      </c>
      <c r="BY72" s="439">
        <f>VLOOKUP(BY8,AQR!$A$3:$D$488,4,FALSE)</f>
        <v>0</v>
      </c>
      <c r="BZ72" s="439">
        <f>VLOOKUP(BZ8,AQR!$A$3:$D$488,4,FALSE)</f>
        <v>0</v>
      </c>
      <c r="CA72" s="439">
        <f>VLOOKUP(CA8,AQR!$A$3:$D$488,4,FALSE)</f>
        <v>0</v>
      </c>
      <c r="CB72" s="439">
        <f>VLOOKUP(CB8,AQR!$A$3:$D$488,4,FALSE)</f>
        <v>0</v>
      </c>
      <c r="CC72" s="439">
        <f>VLOOKUP(CC8,AQR!$A$3:$D$488,4,FALSE)</f>
        <v>0</v>
      </c>
      <c r="CD72" s="439">
        <f>VLOOKUP(CD8,AQR!$A$3:$D$488,4,FALSE)</f>
        <v>0</v>
      </c>
      <c r="CE72" s="439">
        <f>VLOOKUP(CE8,AQR!$A$3:$D$488,4,FALSE)</f>
        <v>0</v>
      </c>
      <c r="CF72" s="439">
        <f>VLOOKUP(CF8,AQR!$A$3:$D$488,4,FALSE)</f>
        <v>0</v>
      </c>
      <c r="CG72" s="439">
        <f>VLOOKUP(CG8,AQR!$A$3:$D$488,4,FALSE)</f>
        <v>0</v>
      </c>
      <c r="CH72" s="439">
        <f>VLOOKUP(CH8,AQR!$A$3:$D$488,4,FALSE)</f>
        <v>0</v>
      </c>
      <c r="CI72" s="439">
        <f>VLOOKUP(CI8,AQR!$A$3:$D$488,4,FALSE)</f>
        <v>0</v>
      </c>
      <c r="CJ72" s="439">
        <f>VLOOKUP(CJ8,AQR!$A$3:$D$488,4,FALSE)</f>
        <v>0</v>
      </c>
      <c r="CK72" s="439">
        <f>VLOOKUP(CK8,AQR!$A$3:$D$488,4,FALSE)</f>
        <v>0</v>
      </c>
      <c r="CL72" s="439">
        <f>VLOOKUP(CL8,AQR!$A$3:$D$488,4,FALSE)</f>
        <v>0</v>
      </c>
      <c r="CM72" s="439">
        <f>VLOOKUP(CM8,AQR!$A$3:$D$488,4,FALSE)</f>
        <v>0</v>
      </c>
      <c r="CN72" s="439">
        <f>VLOOKUP(CN8,AQR!$A$3:$D$488,4,FALSE)</f>
        <v>0</v>
      </c>
      <c r="CO72" s="439">
        <f>VLOOKUP(CO8,AQR!$A$3:$D$488,4,FALSE)</f>
        <v>0</v>
      </c>
      <c r="CP72" s="439">
        <f>VLOOKUP(CP8,AQR!$A$3:$D$488,4,FALSE)</f>
        <v>0</v>
      </c>
      <c r="CQ72" s="439">
        <f>VLOOKUP(CQ8,AQR!$A$3:$D$488,4,FALSE)</f>
        <v>0</v>
      </c>
      <c r="CR72" s="439">
        <f>VLOOKUP(CR8,AQR!$A$3:$D$488,4,FALSE)</f>
        <v>0</v>
      </c>
      <c r="CS72" s="439">
        <f>VLOOKUP(CS8,AQR!$A$3:$D$488,4,FALSE)</f>
        <v>0</v>
      </c>
      <c r="CT72" s="439">
        <f>VLOOKUP(CT8,AQR!$A$3:$D$488,4,FALSE)</f>
        <v>0</v>
      </c>
      <c r="CU72" s="439">
        <f>VLOOKUP(CU8,AQR!$A$3:$D$488,4,FALSE)</f>
        <v>0</v>
      </c>
      <c r="CV72" s="439">
        <f>VLOOKUP(CV8,AQR!$A$3:$D$488,4,FALSE)</f>
        <v>0</v>
      </c>
      <c r="CW72" s="439">
        <f>VLOOKUP(CW8,AQR!$A$3:$D$488,4,FALSE)</f>
        <v>0</v>
      </c>
      <c r="CX72" s="439">
        <f>VLOOKUP(CX8,AQR!$A$3:$D$488,4,FALSE)</f>
        <v>0</v>
      </c>
      <c r="CY72" s="439">
        <f>VLOOKUP(CY8,AQR!$A$3:$D$488,4,FALSE)</f>
        <v>0</v>
      </c>
      <c r="CZ72" s="439">
        <f>VLOOKUP(CZ8,AQR!$A$3:$D$488,4,FALSE)</f>
        <v>0</v>
      </c>
      <c r="DA72" s="439">
        <f>VLOOKUP(DA8,AQR!$A$3:$D$488,4,FALSE)</f>
        <v>0</v>
      </c>
      <c r="DB72" s="439">
        <f>VLOOKUP(DB8,AQR!$A$3:$D$488,4,FALSE)</f>
        <v>0</v>
      </c>
      <c r="DC72" s="439">
        <f>VLOOKUP(DC8,AQR!$A$3:$D$488,4,FALSE)</f>
        <v>0</v>
      </c>
      <c r="DD72" s="439">
        <f>VLOOKUP(DD8,AQR!$A$3:$D$488,4,FALSE)</f>
        <v>0</v>
      </c>
      <c r="DE72" s="439">
        <f>VLOOKUP(DE8,AQR!$A$3:$D$488,4,FALSE)</f>
        <v>0</v>
      </c>
      <c r="DF72" s="439">
        <f>VLOOKUP(DF8,AQR!$A$3:$D$488,4,FALSE)</f>
        <v>0</v>
      </c>
      <c r="DG72" s="439">
        <f>VLOOKUP(DG8,AQR!$A$3:$D$488,4,FALSE)</f>
        <v>0</v>
      </c>
      <c r="DH72" s="439">
        <f>VLOOKUP(DH8,AQR!$A$3:$D$488,4,FALSE)</f>
        <v>0</v>
      </c>
      <c r="DI72" s="439">
        <f>VLOOKUP(DI8,AQR!$A$3:$D$488,4,FALSE)</f>
        <v>0</v>
      </c>
      <c r="DJ72" s="439">
        <f>VLOOKUP(DJ8,AQR!$A$3:$D$488,4,FALSE)</f>
        <v>0</v>
      </c>
      <c r="DK72" s="439">
        <f>VLOOKUP(DK8,AQR!$A$3:$D$488,4,FALSE)</f>
        <v>0</v>
      </c>
      <c r="DL72" s="439">
        <f>VLOOKUP(DL8,AQR!$A$3:$D$488,4,FALSE)</f>
        <v>0</v>
      </c>
      <c r="DM72" s="439">
        <f>VLOOKUP(DM8,AQR!$A$3:$D$488,4,FALSE)</f>
        <v>0</v>
      </c>
      <c r="DN72" s="439">
        <f>VLOOKUP(DN8,AQR!$A$3:$D$488,4,FALSE)</f>
        <v>0</v>
      </c>
      <c r="DO72" s="439">
        <f>VLOOKUP(DO8,AQR!$A$3:$D$488,4,FALSE)</f>
        <v>0</v>
      </c>
      <c r="DP72" s="439">
        <f>VLOOKUP(DP8,AQR!$A$3:$D$488,4,FALSE)</f>
        <v>0</v>
      </c>
      <c r="DQ72" s="439">
        <f>VLOOKUP(DQ8,AQR!$A$3:$D$488,4,FALSE)</f>
        <v>0</v>
      </c>
      <c r="DR72" s="439">
        <f>VLOOKUP(DR8,AQR!$A$3:$D$488,4,FALSE)</f>
        <v>0</v>
      </c>
      <c r="DS72" s="439">
        <f>VLOOKUP(DS8,AQR!$A$3:$D$488,4,FALSE)</f>
        <v>0</v>
      </c>
      <c r="DT72" s="439">
        <f>VLOOKUP(DT8,AQR!$A$3:$D$488,4,FALSE)</f>
        <v>0</v>
      </c>
      <c r="DU72" s="439">
        <f>VLOOKUP(DU8,AQR!$A$3:$D$488,4,FALSE)</f>
        <v>0</v>
      </c>
      <c r="DV72" s="439">
        <f>VLOOKUP(DV8,AQR!$A$3:$D$488,4,FALSE)</f>
        <v>0</v>
      </c>
      <c r="DW72" s="439">
        <f>VLOOKUP(DW8,AQR!$A$3:$D$488,4,FALSE)</f>
        <v>0</v>
      </c>
      <c r="DX72" s="439">
        <f>VLOOKUP(DX8,AQR!$A$3:$D$488,4,FALSE)</f>
        <v>0</v>
      </c>
      <c r="DY72" s="439">
        <f>VLOOKUP(DY8,AQR!$A$3:$D$488,4,FALSE)</f>
        <v>0</v>
      </c>
      <c r="DZ72" s="439">
        <f>VLOOKUP(DZ8,AQR!$A$3:$D$488,4,FALSE)</f>
        <v>0</v>
      </c>
      <c r="EA72" s="439">
        <f>VLOOKUP(EA8,AQR!$A$3:$D$488,4,FALSE)</f>
        <v>0</v>
      </c>
      <c r="EB72" s="439">
        <f>VLOOKUP(EB8,AQR!$A$3:$D$488,4,FALSE)</f>
        <v>0</v>
      </c>
      <c r="EC72" s="439">
        <f>VLOOKUP(EC8,AQR!$A$3:$D$488,4,FALSE)</f>
        <v>0</v>
      </c>
      <c r="ED72" s="439">
        <f>VLOOKUP(ED8,AQR!$A$3:$D$488,4,FALSE)</f>
        <v>0</v>
      </c>
      <c r="EE72" s="439">
        <f>VLOOKUP(EE8,AQR!$A$3:$D$488,4,FALSE)</f>
        <v>0</v>
      </c>
      <c r="EF72" s="439">
        <f>VLOOKUP(EF8,AQR!$A$3:$D$488,4,FALSE)</f>
        <v>0</v>
      </c>
      <c r="EG72" s="439">
        <f>VLOOKUP(EG8,AQR!$A$3:$D$488,4,FALSE)</f>
        <v>0</v>
      </c>
      <c r="EH72" s="439">
        <f>VLOOKUP(EH8,AQR!$A$3:$D$488,4,FALSE)</f>
        <v>0</v>
      </c>
      <c r="EI72" s="439">
        <f>VLOOKUP(EI8,AQR!$A$3:$D$488,4,FALSE)</f>
        <v>0</v>
      </c>
      <c r="EJ72" s="439">
        <f>VLOOKUP(EJ8,AQR!$A$3:$D$488,4,FALSE)</f>
        <v>0</v>
      </c>
      <c r="EK72" s="439">
        <f>VLOOKUP(EK8,AQR!$A$3:$D$488,4,FALSE)</f>
        <v>0</v>
      </c>
      <c r="EL72" s="439">
        <f>VLOOKUP(EL8,AQR!$A$3:$D$488,4,FALSE)</f>
        <v>0</v>
      </c>
      <c r="EM72" s="439">
        <f>VLOOKUP(EM8,AQR!$A$3:$D$488,4,FALSE)</f>
        <v>0</v>
      </c>
      <c r="EN72" s="439">
        <f>VLOOKUP(EN8,AQR!$A$3:$D$488,4,FALSE)</f>
        <v>0</v>
      </c>
      <c r="EO72" s="439">
        <f>VLOOKUP(EO8,AQR!$A$3:$D$488,4,FALSE)</f>
        <v>0</v>
      </c>
      <c r="EP72" s="439">
        <f>VLOOKUP(EP8,AQR!$A$3:$D$488,4,FALSE)</f>
        <v>0</v>
      </c>
      <c r="EQ72" s="439">
        <f>VLOOKUP(EQ8,AQR!$A$3:$D$488,4,FALSE)</f>
        <v>0</v>
      </c>
      <c r="ER72" s="439">
        <f>VLOOKUP(ER8,AQR!$A$3:$D$488,4,FALSE)</f>
        <v>0</v>
      </c>
      <c r="ES72" s="439">
        <f>VLOOKUP(ES8,AQR!$A$3:$D$488,4,FALSE)</f>
        <v>0</v>
      </c>
      <c r="ET72" s="439">
        <f>VLOOKUP(ET8,AQR!$A$3:$D$488,4,FALSE)</f>
        <v>0</v>
      </c>
      <c r="EU72" s="439">
        <f>VLOOKUP(EU8,AQR!$A$3:$D$488,4,FALSE)</f>
        <v>0</v>
      </c>
      <c r="EV72" s="439">
        <f>VLOOKUP(EV8,AQR!$A$3:$D$488,4,FALSE)</f>
        <v>0</v>
      </c>
      <c r="EW72" s="439">
        <f>VLOOKUP(EW8,AQR!$A$3:$D$488,4,FALSE)</f>
        <v>0</v>
      </c>
      <c r="EX72" s="393"/>
      <c r="EY72" s="393"/>
      <c r="EZ72" s="789"/>
      <c r="FA72" s="789"/>
      <c r="FB72" s="789"/>
      <c r="FC72" s="789"/>
      <c r="FD72" s="789"/>
      <c r="FE72" s="382"/>
      <c r="FF72" s="442"/>
      <c r="FG72" s="442"/>
      <c r="FH72" s="442"/>
      <c r="FI72" s="442"/>
      <c r="FJ72" s="442"/>
      <c r="FK72" s="382"/>
      <c r="FL72" s="442"/>
      <c r="FM72" s="442"/>
    </row>
    <row r="73" spans="1:169" s="395" customFormat="1" ht="12.75" customHeight="1" x14ac:dyDescent="0.2">
      <c r="A73" s="1175" t="s">
        <v>703</v>
      </c>
      <c r="B73" s="417" t="s">
        <v>320</v>
      </c>
      <c r="C73" s="430">
        <v>40328</v>
      </c>
      <c r="D73" s="249">
        <f>BR_EAFE_SC!D1</f>
        <v>0</v>
      </c>
      <c r="E73" s="444">
        <f>VLOOKUP(AH$8,BR_EAFE_SC!A1:E488,3,FALSE)/1000000</f>
        <v>465.00760217000004</v>
      </c>
      <c r="F73" s="483">
        <f>AH73</f>
        <v>-0.21362</v>
      </c>
      <c r="G73" s="476">
        <f t="array" ref="G73">IF($AJ73=0,"---",(PRODUCT($AH73:AJ73/100+1)-1)*100)</f>
        <v>-1.1364451838533851</v>
      </c>
      <c r="H73" s="432">
        <f t="array" ref="H73">IF($AS73=0,"---",(PRODUCT(AH73:AN73/100+1)-1)*100)</f>
        <v>4.4415088700154204</v>
      </c>
      <c r="I73" s="476">
        <f t="array" ref="I73">IF(AS73=0,"---",(GEOMEAN($AH73:AS73/100+1)^12-1)*100)</f>
        <v>18.516603745930425</v>
      </c>
      <c r="J73" s="476">
        <f t="array" ref="J73">IF(BE73=0,"---",(GEOMEAN($AH73:BE73/100+1)^12-1)*100)</f>
        <v>21.472445122917726</v>
      </c>
      <c r="K73" s="476">
        <f t="array" ref="K73">IF(BQ73=0,"---",(GEOMEAN($AH73:BQ73/100+1)^12-1)*100)</f>
        <v>12.418380938096774</v>
      </c>
      <c r="L73" s="476">
        <f t="array" ref="L73">IF(CC73=0,"---",(GEOMEAN($AH73:CC73/100+1)^12-1)*100)</f>
        <v>13.651347452798724</v>
      </c>
      <c r="M73" s="432" t="str">
        <f t="array" ref="M73">IF(CO73=0,"---",(GEOMEAN($AH73:CO73/100+1)^12-1)*100)</f>
        <v>---</v>
      </c>
      <c r="N73" s="432" t="str">
        <f t="array" ref="N73">IF(DM73=0,"---",(GEOMEAN($AH73:DM73/100+1)^12-1)*100)</f>
        <v>---</v>
      </c>
      <c r="O73" s="432" t="str">
        <f t="array" ref="O73">IF(EK73=0,"---",(GEOMEAN($AH73:EK73/100+1)^12-1)*100)</f>
        <v>---</v>
      </c>
      <c r="P73" s="432" t="str">
        <f t="array" ref="P73">IF(EW73=0,"---",(GEOMEAN($AH73:EW73/100+1)^12-1)*100)</f>
        <v>---</v>
      </c>
      <c r="Q73" s="458">
        <f t="array" ref="Q73">(GEOMEAN(BR_EAFE_SC!B422:B471/100+1)^12-1)*100</f>
        <v>14.556303285238204</v>
      </c>
      <c r="R73" s="434">
        <f t="shared" ref="R73:AB75" si="71">IF(F73="---","---",(F73-F$76)*100)</f>
        <v>-3.6830000000000003</v>
      </c>
      <c r="S73" s="434">
        <f t="shared" si="71"/>
        <v>-6.0389447339126434</v>
      </c>
      <c r="T73" s="1364">
        <f t="shared" si="71"/>
        <v>-0.20494239989066187</v>
      </c>
      <c r="U73" s="434">
        <f t="shared" si="71"/>
        <v>-22.798411948854636</v>
      </c>
      <c r="V73" s="434">
        <f t="shared" si="71"/>
        <v>-22.493753034276409</v>
      </c>
      <c r="W73" s="434">
        <f t="shared" si="71"/>
        <v>-31.322488856291208</v>
      </c>
      <c r="X73" s="434">
        <f t="shared" si="71"/>
        <v>-33.122316388516282</v>
      </c>
      <c r="Y73" s="434" t="str">
        <f t="shared" si="71"/>
        <v>---</v>
      </c>
      <c r="Z73" s="434" t="str">
        <f t="shared" si="71"/>
        <v>---</v>
      </c>
      <c r="AA73" s="434" t="str">
        <f t="shared" si="71"/>
        <v>---</v>
      </c>
      <c r="AB73" s="434" t="str">
        <f t="shared" si="71"/>
        <v>---</v>
      </c>
      <c r="AC73" s="435">
        <f>(Q73-AF73)*100</f>
        <v>-23.953407740511068</v>
      </c>
      <c r="AD73" s="436">
        <v>0</v>
      </c>
      <c r="AE73" s="1366"/>
      <c r="AF73" s="432">
        <f t="array" ref="AF73">(GEOMEAN(Index_Returns!V422:V471/100+1)^12-1)*100</f>
        <v>14.795837362643315</v>
      </c>
      <c r="AG73" s="418" t="str">
        <f>IF(I73="---","&lt; 1 Year","---")</f>
        <v>---</v>
      </c>
      <c r="AH73" s="439">
        <f>VLOOKUP(AH$8,BR_EAFE_SC!$A$1:$E$488,2,FALSE)</f>
        <v>-0.21362</v>
      </c>
      <c r="AI73" s="439">
        <f>VLOOKUP(AI$8,BR_EAFE_SC!$A$1:$E$488,2,FALSE)</f>
        <v>-2.3830900000000002</v>
      </c>
      <c r="AJ73" s="439">
        <f>VLOOKUP(AJ$8,BR_EAFE_SC!$A$1:$E$488,2,FALSE)</f>
        <v>1.4938899999999999</v>
      </c>
      <c r="AK73" s="439">
        <f>VLOOKUP(AK$8,BR_EAFE_SC!$A$1:$E$488,2,FALSE)</f>
        <v>1.4237500000000001</v>
      </c>
      <c r="AL73" s="439">
        <f>VLOOKUP(AL$8,BR_EAFE_SC!$A$1:$E$488,2,FALSE)</f>
        <v>-0.76563000000000003</v>
      </c>
      <c r="AM73" s="439">
        <f>VLOOKUP(AM$8,BR_EAFE_SC!$A$1:$E$488,2,FALSE)</f>
        <v>-0.52703</v>
      </c>
      <c r="AN73" s="439">
        <f>VLOOKUP(AN$8,BR_EAFE_SC!$A$1:$E$488,2,FALSE)</f>
        <v>5.5188499999999996</v>
      </c>
      <c r="AO73" s="439">
        <f>VLOOKUP(AO$8,BR_EAFE_SC!$A$1:$E$488,2,FALSE)</f>
        <v>-1.6007100000000001</v>
      </c>
      <c r="AP73" s="439">
        <f>VLOOKUP(AP$8,BR_EAFE_SC!$A$1:$E$488,2,FALSE)</f>
        <v>2.3381099999999999</v>
      </c>
      <c r="AQ73" s="439">
        <f>VLOOKUP(AQ$8,BR_EAFE_SC!$A$1:$E$488,2,FALSE)</f>
        <v>0.38262000000000002</v>
      </c>
      <c r="AR73" s="439">
        <f>VLOOKUP(AR$8,BR_EAFE_SC!$A$1:$E$488,2,FALSE)</f>
        <v>3.0410499999999998</v>
      </c>
      <c r="AS73" s="439">
        <f>VLOOKUP(AS$8,BR_EAFE_SC!$A$1:$E$488,2,FALSE)</f>
        <v>8.9451499999999999</v>
      </c>
      <c r="AT73" s="439">
        <f>VLOOKUP(AT$8,BR_EAFE_SC!$A$1:$E$488,2,FALSE)</f>
        <v>-6.1219999999999997E-2</v>
      </c>
      <c r="AU73" s="439">
        <f>VLOOKUP(AU$8,BR_EAFE_SC!$A$1:$E$488,2,FALSE)</f>
        <v>6.05288</v>
      </c>
      <c r="AV73" s="439">
        <f>VLOOKUP(AV$8,BR_EAFE_SC!$A$1:$E$488,2,FALSE)</f>
        <v>-3.5287299999999999</v>
      </c>
      <c r="AW73" s="439">
        <f>VLOOKUP(AW$8,BR_EAFE_SC!$A$1:$E$488,2,FALSE)</f>
        <v>-2.3644799999999999</v>
      </c>
      <c r="AX73" s="439">
        <f>VLOOKUP(AX$8,BR_EAFE_SC!$A$1:$E$488,2,FALSE)</f>
        <v>3.5543800000000001</v>
      </c>
      <c r="AY73" s="439">
        <f>VLOOKUP(AY$8,BR_EAFE_SC!$A$1:$E$488,2,FALSE)</f>
        <v>2.03125</v>
      </c>
      <c r="AZ73" s="439">
        <f>VLOOKUP(AZ$8,BR_EAFE_SC!$A$1:$E$488,2,FALSE)</f>
        <v>1.12635</v>
      </c>
      <c r="BA73" s="439">
        <f>VLOOKUP(BA$8,BR_EAFE_SC!$A$1:$E$488,2,FALSE)</f>
        <v>5.2270099999999999</v>
      </c>
      <c r="BB73" s="439">
        <f>VLOOKUP(BB$8,BR_EAFE_SC!$A$1:$E$488,2,FALSE)</f>
        <v>4.1011899999999999</v>
      </c>
      <c r="BC73" s="439">
        <f>VLOOKUP(BC$8,BR_EAFE_SC!$A$1:$E$488,2,FALSE)</f>
        <v>0.96131999999999995</v>
      </c>
      <c r="BD73" s="439">
        <f>VLOOKUP(BD$8,BR_EAFE_SC!$A$1:$E$488,2,FALSE)</f>
        <v>0.85299999999999998</v>
      </c>
      <c r="BE73" s="439">
        <f>VLOOKUP(BE$8,BR_EAFE_SC!$A$1:$E$488,2,FALSE)</f>
        <v>4.6456600000000003</v>
      </c>
      <c r="BF73" s="439">
        <f>VLOOKUP(BF$8,BR_EAFE_SC!$A$1:$E$488,2,FALSE)</f>
        <v>2.65537</v>
      </c>
      <c r="BG73" s="439">
        <f>VLOOKUP(BG$8,BR_EAFE_SC!$A$1:$E$488,2,FALSE)</f>
        <v>0.21659</v>
      </c>
      <c r="BH73" s="439">
        <f>VLOOKUP(BH$8,BR_EAFE_SC!$A$1:$E$488,2,FALSE)</f>
        <v>4.0155700000000003</v>
      </c>
      <c r="BI73" s="439">
        <f>VLOOKUP(BI$8,BR_EAFE_SC!$A$1:$E$488,2,FALSE)</f>
        <v>-11.668620000000001</v>
      </c>
      <c r="BJ73" s="439">
        <f>VLOOKUP(BJ$8,BR_EAFE_SC!$A$1:$E$488,2,FALSE)</f>
        <v>-0.47537000000000001</v>
      </c>
      <c r="BK73" s="439">
        <f>VLOOKUP(BK$8,BR_EAFE_SC!$A$1:$E$488,2,FALSE)</f>
        <v>0.12275</v>
      </c>
      <c r="BL73" s="439">
        <f>VLOOKUP(BL$8,BR_EAFE_SC!$A$1:$E$488,2,FALSE)</f>
        <v>5.9671599999999998</v>
      </c>
      <c r="BM73" s="439">
        <f>VLOOKUP(BM$8,BR_EAFE_SC!$A$1:$E$488,2,FALSE)</f>
        <v>8.1647499999999997</v>
      </c>
      <c r="BN73" s="439">
        <f>VLOOKUP(BN$8,BR_EAFE_SC!$A$1:$E$488,2,FALSE)</f>
        <v>-1.9268000000000001</v>
      </c>
      <c r="BO73" s="439">
        <f>VLOOKUP(BO$8,BR_EAFE_SC!$A$1:$E$488,2,FALSE)</f>
        <v>-5.4027900000000004</v>
      </c>
      <c r="BP73" s="439">
        <f>VLOOKUP(BP$8,BR_EAFE_SC!$A$1:$E$488,2,FALSE)</f>
        <v>7.19841</v>
      </c>
      <c r="BQ73" s="439">
        <f>VLOOKUP(BQ$8,BR_EAFE_SC!$A$1:$E$488,2,FALSE)</f>
        <v>-10.322319999999999</v>
      </c>
      <c r="BR73" s="439">
        <f>VLOOKUP(BR$8,BR_EAFE_SC!$A$1:$E$488,2,FALSE)</f>
        <v>-8.2477800000000006</v>
      </c>
      <c r="BS73" s="439">
        <f>VLOOKUP(BS$8,BR_EAFE_SC!$A$1:$E$488,2,FALSE)</f>
        <v>-1.0263899999999999</v>
      </c>
      <c r="BT73" s="439">
        <f>VLOOKUP(BT$8,BR_EAFE_SC!$A$1:$E$488,2,FALSE)</f>
        <v>-1.6636</v>
      </c>
      <c r="BU73" s="439">
        <f>VLOOKUP(BU$8,BR_EAFE_SC!$A$1:$E$488,2,FALSE)</f>
        <v>-2.53925</v>
      </c>
      <c r="BV73" s="439">
        <f>VLOOKUP(BV$8,BR_EAFE_SC!$A$1:$E$488,2,FALSE)</f>
        <v>5.2408599999999996</v>
      </c>
      <c r="BW73" s="439">
        <f>VLOOKUP(BW$8,BR_EAFE_SC!$A$1:$E$488,2,FALSE)</f>
        <v>-8.6290000000000006E-2</v>
      </c>
      <c r="BX73" s="439">
        <f>VLOOKUP(BX$8,BR_EAFE_SC!$A$1:$E$488,2,FALSE)</f>
        <v>2.2856100000000001</v>
      </c>
      <c r="BY73" s="439">
        <f>VLOOKUP(BY$8,BR_EAFE_SC!$A$1:$E$488,2,FALSE)</f>
        <v>0.77249999999999996</v>
      </c>
      <c r="BZ73" s="439">
        <f>VLOOKUP(BZ$8,BR_EAFE_SC!$A$1:$E$488,2,FALSE)</f>
        <v>11.58953</v>
      </c>
      <c r="CA73" s="439">
        <f>VLOOKUP(CA$8,BR_EAFE_SC!$A$1:$E$488,2,FALSE)</f>
        <v>-3.5744400000000001</v>
      </c>
      <c r="CB73" s="439">
        <f>VLOOKUP(CB$8,BR_EAFE_SC!$A$1:$E$488,2,FALSE)</f>
        <v>3.8656799999999998</v>
      </c>
      <c r="CC73" s="439">
        <f>VLOOKUP(CC$8,BR_EAFE_SC!$A$1:$E$488,2,FALSE)</f>
        <v>11.391640000000001</v>
      </c>
      <c r="CD73" s="439">
        <f>VLOOKUP(CD$8,BR_EAFE_SC!$A$1:$E$488,2,FALSE)</f>
        <v>-2.8980800000000002</v>
      </c>
      <c r="CE73" s="439">
        <f>VLOOKUP(CE$8,BR_EAFE_SC!$A$1:$E$488,2,FALSE)</f>
        <v>8.6669400000000003</v>
      </c>
      <c r="CF73" s="439">
        <f>VLOOKUP(CF$8,BR_EAFE_SC!$A$1:$E$488,2,FALSE)</f>
        <v>-0.14723</v>
      </c>
      <c r="CG73" s="439">
        <f>VLOOKUP(CG$8,BR_EAFE_SC!$A$1:$E$488,2,FALSE)</f>
        <v>0</v>
      </c>
      <c r="CH73" s="439">
        <f>VLOOKUP(CH$8,BR_EAFE_SC!$A$1:$E$488,2,FALSE)</f>
        <v>0</v>
      </c>
      <c r="CI73" s="439">
        <f>VLOOKUP(CI$8,BR_EAFE_SC!$A$1:$E$488,2,FALSE)</f>
        <v>0</v>
      </c>
      <c r="CJ73" s="439">
        <f>VLOOKUP(CJ$8,BR_EAFE_SC!$A$1:$E$488,2,FALSE)</f>
        <v>0</v>
      </c>
      <c r="CK73" s="439">
        <f>VLOOKUP(CK$8,BR_EAFE_SC!$A$1:$E$488,2,FALSE)</f>
        <v>0</v>
      </c>
      <c r="CL73" s="439">
        <f>VLOOKUP(CL$8,BR_EAFE_SC!$A$1:$E$488,2,FALSE)</f>
        <v>0</v>
      </c>
      <c r="CM73" s="439">
        <f>VLOOKUP(CM$8,BR_EAFE_SC!$A$1:$E$488,2,FALSE)</f>
        <v>0</v>
      </c>
      <c r="CN73" s="439">
        <f>VLOOKUP(CN$8,BR_EAFE_SC!$A$1:$E$488,2,FALSE)</f>
        <v>0</v>
      </c>
      <c r="CO73" s="439">
        <f>VLOOKUP(CO$8,BR_EAFE_SC!$A$1:$E$488,2,FALSE)</f>
        <v>0</v>
      </c>
      <c r="CP73" s="439">
        <f>VLOOKUP(CP$8,BR_EAFE_SC!$A$1:$E$488,2,FALSE)</f>
        <v>0</v>
      </c>
      <c r="CQ73" s="439">
        <f>VLOOKUP(CQ$8,BR_EAFE_SC!$A$1:$E$488,2,FALSE)</f>
        <v>0</v>
      </c>
      <c r="CR73" s="439">
        <f>VLOOKUP(CR$8,BR_EAFE_SC!$A$1:$E$488,2,FALSE)</f>
        <v>0</v>
      </c>
      <c r="CS73" s="439">
        <f>VLOOKUP(CS$8,BR_EAFE_SC!$A$1:$E$488,2,FALSE)</f>
        <v>0</v>
      </c>
      <c r="CT73" s="439">
        <f>VLOOKUP(CT$8,BR_EAFE_SC!$A$1:$E$488,2,FALSE)</f>
        <v>0</v>
      </c>
      <c r="CU73" s="439">
        <f>VLOOKUP(CU$8,BR_EAFE_SC!$A$1:$E$488,2,FALSE)</f>
        <v>0</v>
      </c>
      <c r="CV73" s="439">
        <f>VLOOKUP(CV$8,BR_EAFE_SC!$A$1:$E$488,2,FALSE)</f>
        <v>0</v>
      </c>
      <c r="CW73" s="439">
        <f>VLOOKUP(CW$8,BR_EAFE_SC!$A$1:$E$488,2,FALSE)</f>
        <v>0</v>
      </c>
      <c r="CX73" s="439">
        <f>VLOOKUP(CX$8,BR_EAFE_SC!$A$1:$E$488,2,FALSE)</f>
        <v>0</v>
      </c>
      <c r="CY73" s="439">
        <f>VLOOKUP(CY$8,BR_EAFE_SC!$A$1:$E$488,2,FALSE)</f>
        <v>0</v>
      </c>
      <c r="CZ73" s="439">
        <f>VLOOKUP(CZ$8,BR_EAFE_SC!$A$1:$E$488,2,FALSE)</f>
        <v>0</v>
      </c>
      <c r="DA73" s="439">
        <f>VLOOKUP(DA$8,BR_EAFE_SC!$A$1:$E$488,2,FALSE)</f>
        <v>0</v>
      </c>
      <c r="DB73" s="439">
        <f>VLOOKUP(DB$8,BR_EAFE_SC!$A$1:$E$488,2,FALSE)</f>
        <v>0</v>
      </c>
      <c r="DC73" s="439">
        <f>VLOOKUP(DC$8,BR_EAFE_SC!$A$1:$E$488,2,FALSE)</f>
        <v>0</v>
      </c>
      <c r="DD73" s="439">
        <f>VLOOKUP(DD$8,BR_EAFE_SC!$A$1:$E$488,2,FALSE)</f>
        <v>0</v>
      </c>
      <c r="DE73" s="439">
        <f>VLOOKUP(DE$8,BR_EAFE_SC!$A$1:$E$488,2,FALSE)</f>
        <v>0</v>
      </c>
      <c r="DF73" s="439">
        <f>VLOOKUP(DF$8,BR_EAFE_SC!$A$1:$E$488,2,FALSE)</f>
        <v>0</v>
      </c>
      <c r="DG73" s="439">
        <f>VLOOKUP(DG$8,BR_EAFE_SC!$A$1:$E$488,2,FALSE)</f>
        <v>0</v>
      </c>
      <c r="DH73" s="439">
        <f>VLOOKUP(DH$8,BR_EAFE_SC!$A$1:$E$488,2,FALSE)</f>
        <v>0</v>
      </c>
      <c r="DI73" s="439">
        <f>VLOOKUP(DI$8,BR_EAFE_SC!$A$1:$E$488,2,FALSE)</f>
        <v>0</v>
      </c>
      <c r="DJ73" s="439">
        <f>VLOOKUP(DJ$8,BR_EAFE_SC!$A$1:$E$488,2,FALSE)</f>
        <v>0</v>
      </c>
      <c r="DK73" s="439">
        <f>VLOOKUP(DK$8,BR_EAFE_SC!$A$1:$E$488,2,FALSE)</f>
        <v>0</v>
      </c>
      <c r="DL73" s="439">
        <f>VLOOKUP(DL$8,BR_EAFE_SC!$A$1:$E$488,2,FALSE)</f>
        <v>0</v>
      </c>
      <c r="DM73" s="439">
        <f>VLOOKUP(DM$8,BR_EAFE_SC!$A$1:$E$488,2,FALSE)</f>
        <v>0</v>
      </c>
      <c r="DN73" s="439">
        <f>VLOOKUP(DN$8,BR_EAFE_SC!$A$1:$E$488,2,FALSE)</f>
        <v>0</v>
      </c>
      <c r="DO73" s="439">
        <f>VLOOKUP(DO$8,BR_EAFE_SC!$A$1:$E$488,2,FALSE)</f>
        <v>0</v>
      </c>
      <c r="DP73" s="439">
        <f>VLOOKUP(DP$8,BR_EAFE_SC!$A$1:$E$488,2,FALSE)</f>
        <v>0</v>
      </c>
      <c r="DQ73" s="439">
        <f>VLOOKUP(DQ$8,BR_EAFE_SC!$A$1:$E$488,2,FALSE)</f>
        <v>0</v>
      </c>
      <c r="DR73" s="439">
        <f>VLOOKUP(DR$8,BR_EAFE_SC!$A$1:$E$488,2,FALSE)</f>
        <v>0</v>
      </c>
      <c r="DS73" s="439">
        <f>VLOOKUP(DS$8,BR_EAFE_SC!$A$1:$E$488,2,FALSE)</f>
        <v>0</v>
      </c>
      <c r="DT73" s="439">
        <f>VLOOKUP(DT$8,BR_EAFE_SC!$A$1:$E$488,2,FALSE)</f>
        <v>0</v>
      </c>
      <c r="DU73" s="439">
        <f>VLOOKUP(DU$8,BR_EAFE_SC!$A$1:$E$488,2,FALSE)</f>
        <v>0</v>
      </c>
      <c r="DV73" s="439">
        <f>VLOOKUP(DV$8,BR_EAFE_SC!$A$1:$E$488,2,FALSE)</f>
        <v>0</v>
      </c>
      <c r="DW73" s="439">
        <f>VLOOKUP(DW$8,BR_EAFE_SC!$A$1:$E$488,2,FALSE)</f>
        <v>0</v>
      </c>
      <c r="DX73" s="439">
        <f>VLOOKUP(DX$8,BR_EAFE_SC!$A$1:$E$488,2,FALSE)</f>
        <v>0</v>
      </c>
      <c r="DY73" s="439">
        <f>VLOOKUP(DY$8,BR_EAFE_SC!$A$1:$E$488,2,FALSE)</f>
        <v>0</v>
      </c>
      <c r="DZ73" s="439">
        <f>VLOOKUP(DZ$8,BR_EAFE_SC!$A$1:$E$488,2,FALSE)</f>
        <v>0</v>
      </c>
      <c r="EA73" s="439">
        <f>VLOOKUP(EA$8,BR_EAFE_SC!$A$1:$E$488,2,FALSE)</f>
        <v>0</v>
      </c>
      <c r="EB73" s="439">
        <f>VLOOKUP(EB$8,BR_EAFE_SC!$A$1:$E$488,2,FALSE)</f>
        <v>0</v>
      </c>
      <c r="EC73" s="439">
        <f>VLOOKUP(EC$8,BR_EAFE_SC!$A$1:$E$488,2,FALSE)</f>
        <v>0</v>
      </c>
      <c r="ED73" s="439">
        <f>VLOOKUP(ED$8,BR_EAFE_SC!$A$1:$E$488,2,FALSE)</f>
        <v>0</v>
      </c>
      <c r="EE73" s="439">
        <f>VLOOKUP(EE$8,BR_EAFE_SC!$A$1:$E$488,2,FALSE)</f>
        <v>0</v>
      </c>
      <c r="EF73" s="439">
        <f>VLOOKUP(EF$8,BR_EAFE_SC!$A$1:$E$488,2,FALSE)</f>
        <v>0</v>
      </c>
      <c r="EG73" s="439">
        <f>VLOOKUP(EG$8,BR_EAFE_SC!$A$1:$E$488,2,FALSE)</f>
        <v>0</v>
      </c>
      <c r="EH73" s="439">
        <f>VLOOKUP(EH$8,BR_EAFE_SC!$A$1:$E$488,2,FALSE)</f>
        <v>0</v>
      </c>
      <c r="EI73" s="439">
        <f>VLOOKUP(EI$8,BR_EAFE_SC!$A$1:$E$488,2,FALSE)</f>
        <v>0</v>
      </c>
      <c r="EJ73" s="439">
        <f>VLOOKUP(EJ$8,BR_EAFE_SC!$A$1:$E$488,2,FALSE)</f>
        <v>0</v>
      </c>
      <c r="EK73" s="439">
        <f>VLOOKUP(EK$8,BR_EAFE_SC!$A$1:$E$488,2,FALSE)</f>
        <v>0</v>
      </c>
      <c r="EL73" s="439">
        <f>VLOOKUP(EL$8,BR_EAFE_SC!$A$1:$E$488,2,FALSE)</f>
        <v>0</v>
      </c>
      <c r="EM73" s="439">
        <f>VLOOKUP(EM$8,BR_EAFE_SC!$A$1:$E$488,2,FALSE)</f>
        <v>0</v>
      </c>
      <c r="EN73" s="439">
        <f>VLOOKUP(EN$8,BR_EAFE_SC!$A$1:$E$488,2,FALSE)</f>
        <v>0</v>
      </c>
      <c r="EO73" s="439">
        <f>VLOOKUP(EO$8,BR_EAFE_SC!$A$1:$E$488,2,FALSE)</f>
        <v>0</v>
      </c>
      <c r="EP73" s="439">
        <f>VLOOKUP(EP$8,BR_EAFE_SC!$A$1:$E$488,2,FALSE)</f>
        <v>0</v>
      </c>
      <c r="EQ73" s="439">
        <f>VLOOKUP(EQ$8,BR_EAFE_SC!$A$1:$E$488,2,FALSE)</f>
        <v>0</v>
      </c>
      <c r="ER73" s="439">
        <f>VLOOKUP(ER$8,BR_EAFE_SC!$A$1:$E$488,2,FALSE)</f>
        <v>0</v>
      </c>
      <c r="ES73" s="439">
        <f>VLOOKUP(ES$8,BR_EAFE_SC!$A$1:$E$488,2,FALSE)</f>
        <v>0</v>
      </c>
      <c r="ET73" s="439">
        <f>VLOOKUP(ET$8,BR_EAFE_SC!$A$1:$E$488,2,FALSE)</f>
        <v>0</v>
      </c>
      <c r="EU73" s="439">
        <f>VLOOKUP(EU$8,BR_EAFE_SC!$A$1:$E$488,2,FALSE)</f>
        <v>0</v>
      </c>
      <c r="EV73" s="439">
        <f>VLOOKUP(EV$8,BR_EAFE_SC!$A$1:$E$488,2,FALSE)</f>
        <v>0</v>
      </c>
      <c r="EW73" s="439">
        <f>VLOOKUP(EW$8,BR_EAFE_SC!$A$1:$E$488,2,FALSE)</f>
        <v>0</v>
      </c>
      <c r="EX73" s="393" t="s">
        <v>672</v>
      </c>
      <c r="EY73" s="1066" t="s">
        <v>499</v>
      </c>
      <c r="EZ73" s="789">
        <f>VLOOKUP($EY73,'NEPC data'!$B60:$M247,5,TRUE)*100</f>
        <v>-16.019256298600006</v>
      </c>
      <c r="FA73" s="789">
        <f>VLOOKUP($EY73,'NEPC data'!$B60:$M247,7,TRUE)*100</f>
        <v>-50.6571511476998</v>
      </c>
      <c r="FB73" s="789">
        <f>VLOOKUP($EY73,'NEPC data'!$B60:$M247,9,TRUE)*100</f>
        <v>-21.747776875910684</v>
      </c>
      <c r="FC73" s="789">
        <f>VLOOKUP($EY73,'NEPC data'!$B60:$M247,10,TRUE)*100</f>
        <v>0</v>
      </c>
      <c r="FD73" s="789">
        <f>VLOOKUP($EY73,'NEPC data'!$B60:$M247,11,TRUE)*100</f>
        <v>0</v>
      </c>
      <c r="FE73" s="382"/>
      <c r="FF73" s="441">
        <f>IF(G73="---","-",ABS(EZ73-G73))</f>
        <v>14.88281111474662</v>
      </c>
      <c r="FG73" s="441">
        <f>IF(I73="---","-",ABS(FA73-I73))</f>
        <v>69.173754893630218</v>
      </c>
      <c r="FH73" s="441">
        <f>IF(K73="---","-",ABS(FB73-K73))</f>
        <v>34.166157814007462</v>
      </c>
      <c r="FI73" s="441" t="str">
        <f>IF(M73="---","-",ABS(FC73-M73))</f>
        <v>-</v>
      </c>
      <c r="FJ73" s="441">
        <f>IF(Q73="---","-",ABS(FD73-Q73))</f>
        <v>14.556303285238204</v>
      </c>
      <c r="FK73" s="382"/>
      <c r="FL73" s="442">
        <f>AF73</f>
        <v>14.795837362643315</v>
      </c>
      <c r="FM73" s="442">
        <f>ABS(FL73-AF73)</f>
        <v>0</v>
      </c>
    </row>
    <row r="74" spans="1:169" s="15" customFormat="1" ht="12.75" customHeight="1" x14ac:dyDescent="0.2">
      <c r="A74" s="416" t="s">
        <v>185</v>
      </c>
      <c r="B74" s="417" t="s">
        <v>318</v>
      </c>
      <c r="C74" s="430">
        <v>38595</v>
      </c>
      <c r="D74" s="249">
        <f>DFA_INTL!D1</f>
        <v>68.346860336972284</v>
      </c>
      <c r="E74" s="444">
        <f>VLOOKUP(AH$8,DFA_INTL!A1:E488,3,FALSE)/1000000</f>
        <v>224.09061762000002</v>
      </c>
      <c r="F74" s="483">
        <f>AH74</f>
        <v>-0.30803999999999998</v>
      </c>
      <c r="G74" s="476">
        <f t="array" ref="G74">IF($AJ74=0,"---",(PRODUCT($AH74:AJ74/100+1)-1)*100)</f>
        <v>-1.1807704414073972</v>
      </c>
      <c r="H74" s="432">
        <f t="array" ref="H74">IF($AS74=0,"---",(PRODUCT(AH74:AN74/100+1)-1)*100)</f>
        <v>5.6633532081570737</v>
      </c>
      <c r="I74" s="476">
        <f t="array" ref="I74">IF(AS74=0,"---",(GEOMEAN($AH74:AS74/100+1)^12-1)*100)</f>
        <v>22.189031212354827</v>
      </c>
      <c r="J74" s="476">
        <f t="array" ref="J74">IF(BE74=0,"---",(GEOMEAN($AH74:BE74/100+1)^12-1)*100)</f>
        <v>24.454406799734052</v>
      </c>
      <c r="K74" s="476">
        <f t="array" ref="K74">IF(BQ74=0,"---",(GEOMEAN($AH74:BQ74/100+1)^12-1)*100)</f>
        <v>13.585329359513153</v>
      </c>
      <c r="L74" s="476">
        <f t="array" ref="L74">IF(CC74=0,"---",(GEOMEAN($AH74:CC74/100+1)^12-1)*100)</f>
        <v>13.230128344398517</v>
      </c>
      <c r="M74" s="476">
        <f t="array" ref="M74">IF(CO74=0,"---",(GEOMEAN($AH74:CO74/100+1)^12-1)*100)</f>
        <v>9.5355159656617783</v>
      </c>
      <c r="N74" s="476">
        <f t="array" ref="N74">IF(DM74=0,"---",(GEOMEAN($AH74:DM74/100+1)^12-1)*100)</f>
        <v>2.3588668028277304</v>
      </c>
      <c r="O74" s="476">
        <f t="array" ref="O74">IF(EK74=0,"---",(GEOMEAN($AH74:EK74/100+1)^12-1)*100)</f>
        <v>6.7711833948153721</v>
      </c>
      <c r="P74" s="476" t="str">
        <f t="array" ref="P74">IF(EW74=0,"---",(GEOMEAN($AH74:EW74/100+1)^12-1)*100)</f>
        <v>---</v>
      </c>
      <c r="Q74" s="458">
        <f t="array" ref="Q74">(GEOMEAN(DFA_INTL!B365:B471/100+1)^12-1)*100</f>
        <v>6.8735528957620584</v>
      </c>
      <c r="R74" s="434">
        <f t="shared" si="71"/>
        <v>-13.124999999999998</v>
      </c>
      <c r="S74" s="434">
        <f t="shared" si="71"/>
        <v>-10.47147048931385</v>
      </c>
      <c r="T74" s="434">
        <f t="shared" si="71"/>
        <v>121.97949141427466</v>
      </c>
      <c r="U74" s="434">
        <f t="shared" si="71"/>
        <v>344.44433469358557</v>
      </c>
      <c r="V74" s="434">
        <f t="shared" si="71"/>
        <v>275.70241464735614</v>
      </c>
      <c r="W74" s="434">
        <f t="shared" si="71"/>
        <v>85.372353285346662</v>
      </c>
      <c r="X74" s="434">
        <f t="shared" si="71"/>
        <v>-75.244227228536971</v>
      </c>
      <c r="Y74" s="434">
        <f t="shared" si="71"/>
        <v>-196.37171015747691</v>
      </c>
      <c r="Z74" s="434">
        <f t="shared" si="71"/>
        <v>-89.585207407287811</v>
      </c>
      <c r="AA74" s="434">
        <f t="shared" si="71"/>
        <v>16.786758566456061</v>
      </c>
      <c r="AB74" s="434" t="str">
        <f t="shared" si="71"/>
        <v>---</v>
      </c>
      <c r="AC74" s="435">
        <f>(Q74-AF74)*100</f>
        <v>18.534107761483121</v>
      </c>
      <c r="AD74" s="436">
        <v>300</v>
      </c>
      <c r="AF74" s="432">
        <f t="array" ref="AF74">(GEOMEAN(Index_Returns!V365:V471/100+1)^12-1)*100</f>
        <v>6.6882118181472272</v>
      </c>
      <c r="AG74" s="418" t="str">
        <f>IF(I74="---","&lt; 1 Year","---")</f>
        <v>---</v>
      </c>
      <c r="AH74" s="482">
        <f>VLOOKUP(AH$8,DFA_INTL!$A$1:$E$488,2,FALSE)</f>
        <v>-0.30803999999999998</v>
      </c>
      <c r="AI74" s="482">
        <f>VLOOKUP(AI$8,DFA_INTL!$A$1:$E$488,2,FALSE)</f>
        <v>-2.9668600000000001</v>
      </c>
      <c r="AJ74" s="482">
        <f>VLOOKUP(AJ$8,DFA_INTL!$A$1:$E$488,2,FALSE)</f>
        <v>2.1553800000000001</v>
      </c>
      <c r="AK74" s="482">
        <f>VLOOKUP(AK$8,DFA_INTL!$A$1:$E$488,2,FALSE)</f>
        <v>0.34778999999999999</v>
      </c>
      <c r="AL74" s="482">
        <f>VLOOKUP(AL$8,DFA_INTL!$A$1:$E$488,2,FALSE)</f>
        <v>-0.14599999999999999</v>
      </c>
      <c r="AM74" s="482">
        <f>VLOOKUP(AM$8,DFA_INTL!$A$1:$E$488,2,FALSE)</f>
        <v>0.39588000000000001</v>
      </c>
      <c r="AN74" s="482">
        <f>VLOOKUP(AN$8,DFA_INTL!$A$1:$E$488,2,FALSE)</f>
        <v>6.29033</v>
      </c>
      <c r="AO74" s="482">
        <f>VLOOKUP(AO$8,DFA_INTL!$A$1:$E$488,2,FALSE)</f>
        <v>-0.82850999999999997</v>
      </c>
      <c r="AP74" s="482">
        <f>VLOOKUP(AP$8,DFA_INTL!$A$1:$E$488,2,FALSE)</f>
        <v>2.7479100000000001</v>
      </c>
      <c r="AQ74" s="482">
        <f>VLOOKUP(AQ$8,DFA_INTL!$A$1:$E$488,2,FALSE)</f>
        <v>-0.14018</v>
      </c>
      <c r="AR74" s="482">
        <f>VLOOKUP(AR$8,DFA_INTL!$A$1:$E$488,2,FALSE)</f>
        <v>4.1552199999999999</v>
      </c>
      <c r="AS74" s="482">
        <f>VLOOKUP(AS$8,DFA_INTL!$A$1:$E$488,2,FALSE)</f>
        <v>9.1129200000000008</v>
      </c>
      <c r="AT74" s="482">
        <f>VLOOKUP(AT$8,DFA_INTL!$A$1:$E$488,2,FALSE)</f>
        <v>-0.35438999999999998</v>
      </c>
      <c r="AU74" s="482">
        <f>VLOOKUP(AU$8,DFA_INTL!$A$1:$E$488,2,FALSE)</f>
        <v>6.4745799999999996</v>
      </c>
      <c r="AV74" s="482">
        <f>VLOOKUP(AV$8,DFA_INTL!$A$1:$E$488,2,FALSE)</f>
        <v>-3.8477999999999999</v>
      </c>
      <c r="AW74" s="482">
        <f>VLOOKUP(AW$8,DFA_INTL!$A$1:$E$488,2,FALSE)</f>
        <v>-1.79541</v>
      </c>
      <c r="AX74" s="482">
        <f>VLOOKUP(AX$8,DFA_INTL!$A$1:$E$488,2,FALSE)</f>
        <v>3.4396900000000001</v>
      </c>
      <c r="AY74" s="482">
        <f>VLOOKUP(AY$8,DFA_INTL!$A$1:$E$488,2,FALSE)</f>
        <v>1.95705</v>
      </c>
      <c r="AZ74" s="482">
        <f>VLOOKUP(AZ$8,DFA_INTL!$A$1:$E$488,2,FALSE)</f>
        <v>0.75073000000000001</v>
      </c>
      <c r="BA74" s="482">
        <f>VLOOKUP(BA$8,DFA_INTL!$A$1:$E$488,2,FALSE)</f>
        <v>5.9362399999999997</v>
      </c>
      <c r="BB74" s="482">
        <f>VLOOKUP(BB$8,DFA_INTL!$A$1:$E$488,2,FALSE)</f>
        <v>5.1097200000000003</v>
      </c>
      <c r="BC74" s="482">
        <f>VLOOKUP(BC$8,DFA_INTL!$A$1:$E$488,2,FALSE)</f>
        <v>1.4594199999999999</v>
      </c>
      <c r="BD74" s="482">
        <f>VLOOKUP(BD$8,DFA_INTL!$A$1:$E$488,2,FALSE)</f>
        <v>0.41086</v>
      </c>
      <c r="BE74" s="482">
        <f>VLOOKUP(BE$8,DFA_INTL!$A$1:$E$488,2,FALSE)</f>
        <v>4.9735899999999997</v>
      </c>
      <c r="BF74" s="482">
        <f>VLOOKUP(BF$8,DFA_INTL!$A$1:$E$488,2,FALSE)</f>
        <v>3.52217</v>
      </c>
      <c r="BG74" s="482">
        <f>VLOOKUP(BG$8,DFA_INTL!$A$1:$E$488,2,FALSE)</f>
        <v>0.35075000000000001</v>
      </c>
      <c r="BH74" s="482">
        <f>VLOOKUP(BH$8,DFA_INTL!$A$1:$E$488,2,FALSE)</f>
        <v>5.6719200000000001</v>
      </c>
      <c r="BI74" s="482">
        <f>VLOOKUP(BI$8,DFA_INTL!$A$1:$E$488,2,FALSE)</f>
        <v>-13.509919999999999</v>
      </c>
      <c r="BJ74" s="482">
        <f>VLOOKUP(BJ$8,DFA_INTL!$A$1:$E$488,2,FALSE)</f>
        <v>-2.6302400000000001</v>
      </c>
      <c r="BK74" s="482">
        <f>VLOOKUP(BK$8,DFA_INTL!$A$1:$E$488,2,FALSE)</f>
        <v>-0.72313000000000005</v>
      </c>
      <c r="BL74" s="482">
        <f>VLOOKUP(BL$8,DFA_INTL!$A$1:$E$488,2,FALSE)</f>
        <v>6.5124399999999998</v>
      </c>
      <c r="BM74" s="482">
        <f>VLOOKUP(BM$8,DFA_INTL!$A$1:$E$488,2,FALSE)</f>
        <v>9.4835899999999995</v>
      </c>
      <c r="BN74" s="482">
        <f>VLOOKUP(BN$8,DFA_INTL!$A$1:$E$488,2,FALSE)</f>
        <v>-1.6426499999999999</v>
      </c>
      <c r="BO74" s="482">
        <f>VLOOKUP(BO$8,DFA_INTL!$A$1:$E$488,2,FALSE)</f>
        <v>-6.04575</v>
      </c>
      <c r="BP74" s="482">
        <f>VLOOKUP(BP$8,DFA_INTL!$A$1:$E$488,2,FALSE)</f>
        <v>7.3367300000000002</v>
      </c>
      <c r="BQ74" s="482">
        <f>VLOOKUP(BQ$8,DFA_INTL!$A$1:$E$488,2,FALSE)</f>
        <v>-10.880420000000001</v>
      </c>
      <c r="BR74" s="482">
        <f>VLOOKUP(BR$8,DFA_INTL!$A$1:$E$488,2,FALSE)</f>
        <v>-9.2470300000000005</v>
      </c>
      <c r="BS74" s="482">
        <f>VLOOKUP(BS$8,DFA_INTL!$A$1:$E$488,2,FALSE)</f>
        <v>-1.62331</v>
      </c>
      <c r="BT74" s="482">
        <f>VLOOKUP(BT$8,DFA_INTL!$A$1:$E$488,2,FALSE)</f>
        <v>-2.5940699999999999</v>
      </c>
      <c r="BU74" s="482">
        <f>VLOOKUP(BU$8,DFA_INTL!$A$1:$E$488,2,FALSE)</f>
        <v>-4.1683000000000003</v>
      </c>
      <c r="BV74" s="482">
        <f>VLOOKUP(BV$8,DFA_INTL!$A$1:$E$488,2,FALSE)</f>
        <v>3.7491400000000001</v>
      </c>
      <c r="BW74" s="482">
        <f>VLOOKUP(BW$8,DFA_INTL!$A$1:$E$488,2,FALSE)</f>
        <v>0.61638000000000004</v>
      </c>
      <c r="BX74" s="482">
        <f>VLOOKUP(BX$8,DFA_INTL!$A$1:$E$488,2,FALSE)</f>
        <v>2.2683599999999999</v>
      </c>
      <c r="BY74" s="482">
        <f>VLOOKUP(BY$8,DFA_INTL!$A$1:$E$488,2,FALSE)</f>
        <v>2.0642299999999998</v>
      </c>
      <c r="BZ74" s="482">
        <f>VLOOKUP(BZ$8,DFA_INTL!$A$1:$E$488,2,FALSE)</f>
        <v>12.286350000000001</v>
      </c>
      <c r="CA74" s="482">
        <f>VLOOKUP(CA$8,DFA_INTL!$A$1:$E$488,2,FALSE)</f>
        <v>-3.0348000000000002</v>
      </c>
      <c r="CB74" s="482">
        <f>VLOOKUP(CB$8,DFA_INTL!$A$1:$E$488,2,FALSE)</f>
        <v>2.8636599999999999</v>
      </c>
      <c r="CC74" s="482">
        <f>VLOOKUP(CC$8,DFA_INTL!$A$1:$E$488,2,FALSE)</f>
        <v>10.296250000000001</v>
      </c>
      <c r="CD74" s="482">
        <f>VLOOKUP(CD$8,DFA_INTL!$A$1:$E$488,2,FALSE)</f>
        <v>-3.98848</v>
      </c>
      <c r="CE74" s="482">
        <f>VLOOKUP(CE$8,DFA_INTL!$A$1:$E$488,2,FALSE)</f>
        <v>8.1650299999999998</v>
      </c>
      <c r="CF74" s="482">
        <f>VLOOKUP(CF$8,DFA_INTL!$A$1:$E$488,2,FALSE)</f>
        <v>-1.36</v>
      </c>
      <c r="CG74" s="482">
        <f>VLOOKUP(CG$8,DFA_INTL!$A$1:$E$488,2,FALSE)</f>
        <v>-13.01</v>
      </c>
      <c r="CH74" s="482">
        <f>VLOOKUP(CH$8,DFA_INTL!$A$1:$E$488,2,FALSE)</f>
        <v>1.86</v>
      </c>
      <c r="CI74" s="482">
        <f>VLOOKUP(CI$8,DFA_INTL!$A$1:$E$488,2,FALSE)</f>
        <v>7.59</v>
      </c>
      <c r="CJ74" s="482">
        <f>VLOOKUP(CJ$8,DFA_INTL!$A$1:$E$488,2,FALSE)</f>
        <v>-1.78</v>
      </c>
      <c r="CK74" s="482">
        <f>VLOOKUP(CK$8,DFA_INTL!$A$1:$E$488,2,FALSE)</f>
        <v>-1.55</v>
      </c>
      <c r="CL74" s="482">
        <f>VLOOKUP(CL$8,DFA_INTL!$A$1:$E$488,2,FALSE)</f>
        <v>0.81</v>
      </c>
      <c r="CM74" s="482">
        <f>VLOOKUP(CM$8,DFA_INTL!$A$1:$E$488,2,FALSE)</f>
        <v>-0.55000000000000004</v>
      </c>
      <c r="CN74" s="482">
        <f>VLOOKUP(CN$8,DFA_INTL!$A$1:$E$488,2,FALSE)</f>
        <v>-2.68</v>
      </c>
      <c r="CO74" s="482">
        <f>VLOOKUP(CO$8,DFA_INTL!$A$1:$E$488,2,FALSE)</f>
        <v>4.1100000000000003</v>
      </c>
      <c r="CP74" s="482">
        <f>VLOOKUP(CP$8,DFA_INTL!$A$1:$E$488,2,FALSE)</f>
        <v>8.34</v>
      </c>
      <c r="CQ74" s="482">
        <f>VLOOKUP(CQ$8,DFA_INTL!$A$1:$E$488,2,FALSE)</f>
        <v>8.3800000000000008</v>
      </c>
      <c r="CR74" s="482">
        <f>VLOOKUP(CR$8,DFA_INTL!$A$1:$E$488,2,FALSE)</f>
        <v>0.25</v>
      </c>
      <c r="CS74" s="482">
        <f>VLOOKUP(CS$8,DFA_INTL!$A$1:$E$488,2,FALSE)</f>
        <v>12.26</v>
      </c>
      <c r="CT74" s="482">
        <f>VLOOKUP(CT$8,DFA_INTL!$A$1:$E$488,2,FALSE)</f>
        <v>13.99</v>
      </c>
      <c r="CU74" s="482">
        <f>VLOOKUP(CU$8,DFA_INTL!$A$1:$E$488,2,FALSE)</f>
        <v>4.4000000000000004</v>
      </c>
      <c r="CV74" s="482">
        <f>VLOOKUP(CV$8,DFA_INTL!$A$1:$E$488,2,FALSE)</f>
        <v>-10.28</v>
      </c>
      <c r="CW74" s="482">
        <f>VLOOKUP(CW$8,DFA_INTL!$A$1:$E$488,2,FALSE)</f>
        <v>-6.39</v>
      </c>
      <c r="CX74" s="482">
        <f>VLOOKUP(CX$8,DFA_INTL!$A$1:$E$488,2,FALSE)</f>
        <v>7.44</v>
      </c>
      <c r="CY74" s="482">
        <f>VLOOKUP(CY$8,DFA_INTL!$A$1:$E$488,2,FALSE)</f>
        <v>-4.5199999999999996</v>
      </c>
      <c r="CZ74" s="482">
        <f>VLOOKUP(CZ$8,DFA_INTL!$A$1:$E$488,2,FALSE)</f>
        <v>-20.010000000000002</v>
      </c>
      <c r="DA74" s="482">
        <f>VLOOKUP(DA$8,DFA_INTL!$A$1:$E$488,2,FALSE)</f>
        <v>-15.12</v>
      </c>
      <c r="DB74" s="482">
        <f>VLOOKUP(DB$8,DFA_INTL!$A$1:$E$488,2,FALSE)</f>
        <v>-2.9</v>
      </c>
      <c r="DC74" s="482">
        <f>VLOOKUP(DC$8,DFA_INTL!$A$1:$E$488,2,FALSE)</f>
        <v>-3.66</v>
      </c>
      <c r="DD74" s="482">
        <f>VLOOKUP(DD$8,DFA_INTL!$A$1:$E$488,2,FALSE)</f>
        <v>-8.58</v>
      </c>
      <c r="DE74" s="482">
        <f>VLOOKUP(DE$8,DFA_INTL!$A$1:$E$488,2,FALSE)</f>
        <v>2.76</v>
      </c>
      <c r="DF74" s="482">
        <f>VLOOKUP(DF$8,DFA_INTL!$A$1:$E$488,2,FALSE)</f>
        <v>1.64</v>
      </c>
      <c r="DG74" s="482">
        <f>VLOOKUP(DG$8,DFA_INTL!$A$1:$E$488,2,FALSE)</f>
        <v>0.02</v>
      </c>
      <c r="DH74" s="482">
        <f>VLOOKUP(DH$8,DFA_INTL!$A$1:$E$488,2,FALSE)</f>
        <v>3.78</v>
      </c>
      <c r="DI74" s="482">
        <f>VLOOKUP(DI$8,DFA_INTL!$A$1:$E$488,2,FALSE)</f>
        <v>-7.43</v>
      </c>
      <c r="DJ74" s="482">
        <f>VLOOKUP(DJ$8,DFA_INTL!$A$1:$E$488,2,FALSE)</f>
        <v>-3.22</v>
      </c>
      <c r="DK74" s="482">
        <f>VLOOKUP(DK$8,DFA_INTL!$A$1:$E$488,2,FALSE)</f>
        <v>-7.45</v>
      </c>
      <c r="DL74" s="482">
        <f>VLOOKUP(DL$8,DFA_INTL!$A$1:$E$488,2,FALSE)</f>
        <v>3.7</v>
      </c>
      <c r="DM74" s="482">
        <f>VLOOKUP(DM$8,DFA_INTL!$A$1:$E$488,2,FALSE)</f>
        <v>1.81</v>
      </c>
      <c r="DN74" s="482">
        <f>VLOOKUP(DN$8,DFA_INTL!$A$1:$E$488,2,FALSE)</f>
        <v>-4.47</v>
      </c>
      <c r="DO74" s="482">
        <f>VLOOKUP(DO$8,DFA_INTL!$A$1:$E$488,2,FALSE)</f>
        <v>0.38</v>
      </c>
      <c r="DP74" s="482">
        <f>VLOOKUP(DP$8,DFA_INTL!$A$1:$E$488,2,FALSE)</f>
        <v>-0.76</v>
      </c>
      <c r="DQ74" s="482">
        <f>VLOOKUP(DQ$8,DFA_INTL!$A$1:$E$488,2,FALSE)</f>
        <v>1.05</v>
      </c>
      <c r="DR74" s="482">
        <f>VLOOKUP(DR$8,DFA_INTL!$A$1:$E$488,2,FALSE)</f>
        <v>3.86</v>
      </c>
      <c r="DS74" s="482">
        <f>VLOOKUP(DS$8,DFA_INTL!$A$1:$E$488,2,FALSE)</f>
        <v>4.3</v>
      </c>
      <c r="DT74" s="482">
        <f>VLOOKUP(DT$8,DFA_INTL!$A$1:$E$488,2,FALSE)</f>
        <v>2.2799999999999998</v>
      </c>
      <c r="DU74" s="482">
        <f>VLOOKUP(DU$8,DFA_INTL!$A$1:$E$488,2,FALSE)</f>
        <v>1.63</v>
      </c>
      <c r="DV74" s="482">
        <f>VLOOKUP(DV$8,DFA_INTL!$A$1:$E$488,2,FALSE)</f>
        <v>3.54</v>
      </c>
      <c r="DW74" s="482">
        <f>VLOOKUP(DW$8,DFA_INTL!$A$1:$E$488,2,FALSE)</f>
        <v>5.34</v>
      </c>
      <c r="DX74" s="482">
        <f>VLOOKUP(DX$8,DFA_INTL!$A$1:$E$488,2,FALSE)</f>
        <v>4.62</v>
      </c>
      <c r="DY74" s="482">
        <f>VLOOKUP(DY$8,DFA_INTL!$A$1:$E$488,2,FALSE)</f>
        <v>1.41</v>
      </c>
      <c r="DZ74" s="482">
        <f>VLOOKUP(DZ$8,DFA_INTL!$A$1:$E$488,2,FALSE)</f>
        <v>3</v>
      </c>
      <c r="EA74" s="482">
        <f>VLOOKUP(EA$8,DFA_INTL!$A$1:$E$488,2,FALSE)</f>
        <v>-0.75</v>
      </c>
      <c r="EB74" s="482">
        <f>VLOOKUP(EB$8,DFA_INTL!$A$1:$E$488,2,FALSE)</f>
        <v>-2.12</v>
      </c>
      <c r="EC74" s="482">
        <f>VLOOKUP(EC$8,DFA_INTL!$A$1:$E$488,2,FALSE)</f>
        <v>-4.0999999999999996</v>
      </c>
      <c r="ED74" s="482">
        <f>VLOOKUP(ED$8,DFA_INTL!$A$1:$E$488,2,FALSE)</f>
        <v>4.1399999999999997</v>
      </c>
      <c r="EE74" s="482">
        <f>VLOOKUP(EE$8,DFA_INTL!$A$1:$E$488,2,FALSE)</f>
        <v>4.8499999999999996</v>
      </c>
      <c r="EF74" s="482">
        <f>VLOOKUP(EF$8,DFA_INTL!$A$1:$E$488,2,FALSE)</f>
        <v>0.53</v>
      </c>
      <c r="EG74" s="482">
        <f>VLOOKUP(EG$8,DFA_INTL!$A$1:$E$488,2,FALSE)</f>
        <v>7.93</v>
      </c>
      <c r="EH74" s="482">
        <f>VLOOKUP(EH$8,DFA_INTL!$A$1:$E$488,2,FALSE)</f>
        <v>5.28</v>
      </c>
      <c r="EI74" s="482">
        <f>VLOOKUP(EI$8,DFA_INTL!$A$1:$E$488,2,FALSE)</f>
        <v>2.08</v>
      </c>
      <c r="EJ74" s="482">
        <f>VLOOKUP(EJ$8,DFA_INTL!$A$1:$E$488,2,FALSE)</f>
        <v>-2.74</v>
      </c>
      <c r="EK74" s="482">
        <f>VLOOKUP(EK$8,DFA_INTL!$A$1:$E$488,2,FALSE)</f>
        <v>2.88</v>
      </c>
      <c r="EL74" s="482">
        <f>VLOOKUP(EL$8,DFA_INTL!$A$1:$E$488,2,FALSE)</f>
        <v>0</v>
      </c>
      <c r="EM74" s="482">
        <f>VLOOKUP(EM$8,DFA_INTL!$A$1:$E$488,2,FALSE)</f>
        <v>0</v>
      </c>
      <c r="EN74" s="482">
        <f>VLOOKUP(EN$8,DFA_INTL!$A$1:$E$488,2,FALSE)</f>
        <v>0</v>
      </c>
      <c r="EO74" s="482">
        <f>VLOOKUP(EO$8,DFA_INTL!$A$1:$E$488,2,FALSE)</f>
        <v>0</v>
      </c>
      <c r="EP74" s="482">
        <f>VLOOKUP(EP$8,DFA_INTL!$A$1:$E$488,2,FALSE)</f>
        <v>0</v>
      </c>
      <c r="EQ74" s="482">
        <f>VLOOKUP(EQ$8,DFA_INTL!$A$1:$E$488,2,FALSE)</f>
        <v>0</v>
      </c>
      <c r="ER74" s="482">
        <f>VLOOKUP(ER$8,DFA_INTL!$A$1:$E$488,2,FALSE)</f>
        <v>0</v>
      </c>
      <c r="ES74" s="482">
        <f>VLOOKUP(ES$8,DFA_INTL!$A$1:$E$488,2,FALSE)</f>
        <v>0</v>
      </c>
      <c r="ET74" s="482">
        <f>VLOOKUP(ET$8,DFA_INTL!$A$1:$E$488,2,FALSE)</f>
        <v>0</v>
      </c>
      <c r="EU74" s="482">
        <f>VLOOKUP(EU$8,DFA_INTL!$A$1:$E$488,2,FALSE)</f>
        <v>0</v>
      </c>
      <c r="EV74" s="482">
        <f>VLOOKUP(EV$8,DFA_INTL!$A$1:$E$488,2,FALSE)</f>
        <v>0</v>
      </c>
      <c r="EW74" s="482">
        <f>VLOOKUP(EW$8,DFA_INTL!$A$1:$E$488,2,FALSE)</f>
        <v>0</v>
      </c>
      <c r="EX74" s="515" t="s">
        <v>185</v>
      </c>
      <c r="EY74" s="1066" t="s">
        <v>498</v>
      </c>
      <c r="EZ74" s="789">
        <f>VLOOKUP($EY74,'NEPC data'!$B61:$M248,5,TRUE)*100</f>
        <v>-12.317684751999991</v>
      </c>
      <c r="FA74" s="789">
        <f>VLOOKUP($EY74,'NEPC data'!$B61:$M248,7,TRUE)*100</f>
        <v>-45.450932945137133</v>
      </c>
      <c r="FB74" s="789">
        <f>VLOOKUP($EY74,'NEPC data'!$B61:$M248,9,TRUE)*100</f>
        <v>-14.700496434600785</v>
      </c>
      <c r="FC74" s="789">
        <f>VLOOKUP($EY74,'NEPC data'!$B61:$M248,10,TRUE)*100</f>
        <v>0</v>
      </c>
      <c r="FD74" s="789">
        <f>VLOOKUP($EY74,'NEPC data'!$B61:$M248,11,TRUE)*100</f>
        <v>0</v>
      </c>
      <c r="FE74" s="418"/>
      <c r="FF74" s="570">
        <f>IF(G74="---","-",ABS(EZ74-G74))</f>
        <v>11.136914310592594</v>
      </c>
      <c r="FG74" s="570">
        <f>IF(I74="---","-",ABS(FA74-I74))</f>
        <v>67.63996415749196</v>
      </c>
      <c r="FH74" s="570">
        <f>IF(K74="---","-",ABS(FB74-K74))</f>
        <v>28.28582579411394</v>
      </c>
      <c r="FI74" s="570">
        <f>IF(M74="---","-",ABS(FC74-M74))</f>
        <v>9.5355159656617783</v>
      </c>
      <c r="FJ74" s="570">
        <f>IF(Q74="---","-",ABS(FD74-Q74))</f>
        <v>6.8735528957620584</v>
      </c>
      <c r="FK74" s="418"/>
      <c r="FL74" s="467">
        <f>FL73</f>
        <v>14.795837362643315</v>
      </c>
      <c r="FM74" s="467">
        <f>ABS(FL74-AF74)</f>
        <v>8.1076255444960879</v>
      </c>
    </row>
    <row r="75" spans="1:169" s="15" customFormat="1" ht="12.75" customHeight="1" x14ac:dyDescent="0.2">
      <c r="A75" s="1062" t="s">
        <v>736</v>
      </c>
      <c r="B75" s="1214" t="s">
        <v>319</v>
      </c>
      <c r="C75" s="446">
        <v>40633</v>
      </c>
      <c r="D75" s="462"/>
      <c r="E75" s="448">
        <f>VLOOKUP(AH$8,Franklin_Templeton!A1:E488,3,FALSE)/1000000</f>
        <v>408.79558280999998</v>
      </c>
      <c r="F75" s="1368">
        <f>AH75</f>
        <v>0.71262000000000003</v>
      </c>
      <c r="G75" s="479">
        <f t="array" ref="G75">IF($AJ75=0,"---",(PRODUCT($AH75:AJ75/100+1)-1)*100)</f>
        <v>-1.8903700765708686</v>
      </c>
      <c r="H75" s="450">
        <f t="array" ref="H75">IF($AS75=0,"---",(PRODUCT(AH75:AN75/100+1)-1)*100)</f>
        <v>2.7151741459466638</v>
      </c>
      <c r="I75" s="479">
        <f t="array" ref="I75">IF(AS75=0,"---",(GEOMEAN($AH75:AS75/100+1)^12-1)*100)</f>
        <v>10.063542536806857</v>
      </c>
      <c r="J75" s="479">
        <f t="array" ref="J75">IF(BE75=0,"---",(GEOMEAN($AH75:BE75/100+1)^12-1)*100)</f>
        <v>23.201175647275662</v>
      </c>
      <c r="K75" s="479">
        <f t="array" ref="K75">IF(BQ75=0,"---",(GEOMEAN($AH75:BQ75/100+1)^12-1)*100)</f>
        <v>15.351083005679067</v>
      </c>
      <c r="L75" s="479" t="str">
        <f t="array" ref="L75">IF(CC75=0,"---",(GEOMEAN($AH75:CC75/100+1)^12-1)*100)</f>
        <v>---</v>
      </c>
      <c r="M75" s="450" t="str">
        <f t="array" ref="M75">IF(CO75=0,"---",(GEOMEAN($AH75:CO75/100+1)^12-1)*100)</f>
        <v>---</v>
      </c>
      <c r="N75" s="450" t="str">
        <f t="array" ref="N75">IF(DM75=0,"---",(GEOMEAN($AH75:DM75/100+1)^12-1)*100)</f>
        <v>---</v>
      </c>
      <c r="O75" s="450" t="str">
        <f t="array" ref="O75">IF(EK75=0,"---",(GEOMEAN($AH75:EK75/100+1)^12-1)*100)</f>
        <v>---</v>
      </c>
      <c r="P75" s="450" t="str">
        <f t="array" ref="P75">IF(EW75=0,"---",(GEOMEAN($AH75:EW75/100+1)^12-1)*100)</f>
        <v>---</v>
      </c>
      <c r="Q75" s="451">
        <f t="array" ref="Q75">(GEOMEAN(Franklin_Templeton!B$432:B471/100+1)^12-1)*100</f>
        <v>10.816910577618444</v>
      </c>
      <c r="R75" s="452">
        <f t="shared" si="71"/>
        <v>88.941000000000003</v>
      </c>
      <c r="S75" s="452">
        <f t="shared" si="71"/>
        <v>-81.431434005661004</v>
      </c>
      <c r="T75" s="452">
        <f>IF(H75="---","---",(H75-H$76)*100)</f>
        <v>-172.83841480676631</v>
      </c>
      <c r="U75" s="452">
        <f t="shared" si="71"/>
        <v>-868.10453286121151</v>
      </c>
      <c r="V75" s="452">
        <f t="shared" si="71"/>
        <v>150.37929940151713</v>
      </c>
      <c r="W75" s="452">
        <f t="shared" si="71"/>
        <v>261.94771790193806</v>
      </c>
      <c r="X75" s="452" t="str">
        <f t="shared" si="71"/>
        <v>---</v>
      </c>
      <c r="Y75" s="452" t="str">
        <f t="shared" si="71"/>
        <v>---</v>
      </c>
      <c r="Z75" s="452" t="str">
        <f t="shared" si="71"/>
        <v>---</v>
      </c>
      <c r="AA75" s="452" t="str">
        <f t="shared" si="71"/>
        <v>---</v>
      </c>
      <c r="AB75" s="452" t="str">
        <f t="shared" si="71"/>
        <v>---</v>
      </c>
      <c r="AC75" s="453">
        <f>(Q75-AF75)*100</f>
        <v>220.13057347561647</v>
      </c>
      <c r="AD75" s="454">
        <v>0</v>
      </c>
      <c r="AF75" s="432">
        <f t="array" ref="AF75">(GEOMEAN(Index_Returns!V432:V471/100+1)^12-1)*100</f>
        <v>8.6156048428622789</v>
      </c>
      <c r="AG75" s="418" t="str">
        <f>IF(I75="---","&lt; 1 Year","---")</f>
        <v>---</v>
      </c>
      <c r="AH75" s="482">
        <f>VLOOKUP(AH$8,Franklin_Templeton!$A$1:$E$488,2,FALSE)</f>
        <v>0.71262000000000003</v>
      </c>
      <c r="AI75" s="482">
        <f>VLOOKUP(AI$8,Franklin_Templeton!$A$1:$E$488,2,FALSE)</f>
        <v>-4.9006499999999997</v>
      </c>
      <c r="AJ75" s="482">
        <f>VLOOKUP(AJ$8,Franklin_Templeton!$A$1:$E$488,2,FALSE)</f>
        <v>2.4354300000000002</v>
      </c>
      <c r="AK75" s="482">
        <f>VLOOKUP(AK$8,Franklin_Templeton!$A$1:$E$488,2,FALSE)</f>
        <v>-0.88046999999999997</v>
      </c>
      <c r="AL75" s="482">
        <f>VLOOKUP(AL$8,Franklin_Templeton!$A$1:$E$488,2,FALSE)</f>
        <v>-0.25884000000000001</v>
      </c>
      <c r="AM75" s="482">
        <f>VLOOKUP(AM$8,Franklin_Templeton!$A$1:$E$488,2,FALSE)</f>
        <v>-1.4019999999999999E-2</v>
      </c>
      <c r="AN75" s="482">
        <f>VLOOKUP(AN$8,Franklin_Templeton!$A$1:$E$488,2,FALSE)</f>
        <v>5.9132300000000004</v>
      </c>
      <c r="AO75" s="482">
        <f>VLOOKUP(AO$8,Franklin_Templeton!$A$1:$E$488,2,FALSE)</f>
        <v>-4.5863800000000001</v>
      </c>
      <c r="AP75" s="482">
        <f>VLOOKUP(AP$8,Franklin_Templeton!$A$1:$E$488,2,FALSE)</f>
        <v>1.76423</v>
      </c>
      <c r="AQ75" s="482">
        <f>VLOOKUP(AQ$8,Franklin_Templeton!$A$1:$E$488,2,FALSE)</f>
        <v>0.66832999999999998</v>
      </c>
      <c r="AR75" s="482">
        <f>VLOOKUP(AR$8,Franklin_Templeton!$A$1:$E$488,2,FALSE)</f>
        <v>2.34294</v>
      </c>
      <c r="AS75" s="482">
        <f>VLOOKUP(AS$8,Franklin_Templeton!$A$1:$E$488,2,FALSE)</f>
        <v>7.11557</v>
      </c>
      <c r="AT75" s="482">
        <f>VLOOKUP(AT$8,Franklin_Templeton!$A$1:$E$488,2,FALSE)</f>
        <v>1.03677</v>
      </c>
      <c r="AU75" s="482">
        <f>VLOOKUP(AU$8,Franklin_Templeton!$A$1:$E$488,2,FALSE)</f>
        <v>8.6002799999999997</v>
      </c>
      <c r="AV75" s="482">
        <f>VLOOKUP(AV$8,Franklin_Templeton!$A$1:$E$488,2,FALSE)</f>
        <v>-1.74282</v>
      </c>
      <c r="AW75" s="482">
        <f>VLOOKUP(AW$8,Franklin_Templeton!$A$1:$E$488,2,FALSE)</f>
        <v>0.15001</v>
      </c>
      <c r="AX75" s="482">
        <f>VLOOKUP(AX$8,Franklin_Templeton!$A$1:$E$488,2,FALSE)</f>
        <v>3.1953499999999999</v>
      </c>
      <c r="AY75" s="482">
        <f>VLOOKUP(AY$8,Franklin_Templeton!$A$1:$E$488,2,FALSE)</f>
        <v>0.36620000000000003</v>
      </c>
      <c r="AZ75" s="482">
        <f>VLOOKUP(AZ$8,Franklin_Templeton!$A$1:$E$488,2,FALSE)</f>
        <v>0.94198999999999999</v>
      </c>
      <c r="BA75" s="482">
        <f>VLOOKUP(BA$8,Franklin_Templeton!$A$1:$E$488,2,FALSE)</f>
        <v>5.2130299999999998</v>
      </c>
      <c r="BB75" s="482">
        <f>VLOOKUP(BB$8,Franklin_Templeton!$A$1:$E$488,2,FALSE)</f>
        <v>4.5543899999999997</v>
      </c>
      <c r="BC75" s="482">
        <f>VLOOKUP(BC$8,Franklin_Templeton!$A$1:$E$488,2,FALSE)</f>
        <v>2.3814000000000002</v>
      </c>
      <c r="BD75" s="482">
        <f>VLOOKUP(BD$8,Franklin_Templeton!$A$1:$E$488,2,FALSE)</f>
        <v>1.5763799999999999</v>
      </c>
      <c r="BE75" s="482">
        <f>VLOOKUP(BE$8,Franklin_Templeton!$A$1:$E$488,2,FALSE)</f>
        <v>6.7862799999999996</v>
      </c>
      <c r="BF75" s="482">
        <f>VLOOKUP(BF$8,Franklin_Templeton!$A$1:$E$488,2,FALSE)</f>
        <v>3.5533000000000001</v>
      </c>
      <c r="BG75" s="482">
        <f>VLOOKUP(BG$8,Franklin_Templeton!$A$1:$E$488,2,FALSE)</f>
        <v>1.73245</v>
      </c>
      <c r="BH75" s="482">
        <f>VLOOKUP(BH$8,Franklin_Templeton!$A$1:$E$488,2,FALSE)</f>
        <v>3.0952999999999999</v>
      </c>
      <c r="BI75" s="482">
        <f>VLOOKUP(BI$8,Franklin_Templeton!$A$1:$E$488,2,FALSE)</f>
        <v>-10.270849999999999</v>
      </c>
      <c r="BJ75" s="482">
        <f>VLOOKUP(BJ$8,Franklin_Templeton!$A$1:$E$488,2,FALSE)</f>
        <v>-0.3866</v>
      </c>
      <c r="BK75" s="482">
        <f>VLOOKUP(BK$8,Franklin_Templeton!$A$1:$E$488,2,FALSE)</f>
        <v>0.14702999999999999</v>
      </c>
      <c r="BL75" s="482">
        <f>VLOOKUP(BL$8,Franklin_Templeton!$A$1:$E$488,2,FALSE)</f>
        <v>8.1043699999999994</v>
      </c>
      <c r="BM75" s="482">
        <f>VLOOKUP(BM$8,Franklin_Templeton!$A$1:$E$488,2,FALSE)</f>
        <v>3.9372199999999999</v>
      </c>
      <c r="BN75" s="482">
        <f>VLOOKUP(BN$8,Franklin_Templeton!$A$1:$E$488,2,FALSE)</f>
        <v>0.15543000000000001</v>
      </c>
      <c r="BO75" s="482">
        <f>VLOOKUP(BO$8,Franklin_Templeton!$A$1:$E$488,2,FALSE)</f>
        <v>-4.1013099999999998</v>
      </c>
      <c r="BP75" s="482">
        <f>VLOOKUP(BP$8,Franklin_Templeton!$A$1:$E$488,2,FALSE)</f>
        <v>4.8834</v>
      </c>
      <c r="BQ75" s="482">
        <f>VLOOKUP(BQ$8,Franklin_Templeton!$A$1:$E$488,2,FALSE)</f>
        <v>-8.1084999999999994</v>
      </c>
      <c r="BR75" s="482">
        <f>VLOOKUP(BR$8,Franklin_Templeton!$A$1:$E$488,2,FALSE)</f>
        <v>-4.9143999999999997</v>
      </c>
      <c r="BS75" s="482">
        <f>VLOOKUP(BS$8,Franklin_Templeton!$A$1:$E$488,2,FALSE)</f>
        <v>-2.61</v>
      </c>
      <c r="BT75" s="482">
        <f>VLOOKUP(BT$8,Franklin_Templeton!$A$1:$E$488,2,FALSE)</f>
        <v>-3.7993000000000001</v>
      </c>
      <c r="BU75" s="482">
        <f>VLOOKUP(BU$8,Franklin_Templeton!$A$1:$E$488,2,FALSE)</f>
        <v>-1.8966000000000001</v>
      </c>
      <c r="BV75" s="482">
        <f>VLOOKUP(BV$8,Franklin_Templeton!$A$1:$E$488,2,FALSE)</f>
        <v>5.7339000000000002</v>
      </c>
      <c r="BW75" s="482">
        <f>VLOOKUP(BW$8,Franklin_Templeton!$A$1:$E$488,2,FALSE)</f>
        <v>0</v>
      </c>
      <c r="BX75" s="482">
        <f>VLOOKUP(BX$8,Franklin_Templeton!$A$1:$E$488,2,FALSE)</f>
        <v>0</v>
      </c>
      <c r="BY75" s="482">
        <f>VLOOKUP(BY$8,Franklin_Templeton!$A$1:$E$488,2,FALSE)</f>
        <v>0</v>
      </c>
      <c r="BZ75" s="482">
        <f>VLOOKUP(BZ$8,Franklin_Templeton!$A$1:$E$488,2,FALSE)</f>
        <v>0</v>
      </c>
      <c r="CA75" s="482">
        <f>VLOOKUP(CA$8,Franklin_Templeton!$A$1:$E$488,2,FALSE)</f>
        <v>0</v>
      </c>
      <c r="CB75" s="482">
        <f>VLOOKUP(CB$8,Franklin_Templeton!$A$1:$E$488,2,FALSE)</f>
        <v>0</v>
      </c>
      <c r="CC75" s="482">
        <f>VLOOKUP(CC$8,Franklin_Templeton!$A$1:$E$488,2,FALSE)</f>
        <v>0</v>
      </c>
      <c r="CD75" s="482">
        <f>VLOOKUP(CD$8,Franklin_Templeton!$A$1:$E$488,2,FALSE)</f>
        <v>0</v>
      </c>
      <c r="CE75" s="482">
        <f>VLOOKUP(CE$8,Franklin_Templeton!$A$1:$E$488,2,FALSE)</f>
        <v>0</v>
      </c>
      <c r="CF75" s="482">
        <f>VLOOKUP(CF$8,Franklin_Templeton!$A$1:$E$488,2,FALSE)</f>
        <v>0</v>
      </c>
      <c r="CG75" s="482">
        <f>VLOOKUP(CG$8,Franklin_Templeton!$A$1:$E$488,2,FALSE)</f>
        <v>0</v>
      </c>
      <c r="CH75" s="482">
        <f>VLOOKUP(CH$8,Franklin_Templeton!$A$1:$E$488,2,FALSE)</f>
        <v>0</v>
      </c>
      <c r="CI75" s="482">
        <f>VLOOKUP(CI$8,Franklin_Templeton!$A$1:$E$488,2,FALSE)</f>
        <v>0</v>
      </c>
      <c r="CJ75" s="482">
        <f>VLOOKUP(CJ$8,Franklin_Templeton!$A$1:$E$488,2,FALSE)</f>
        <v>0</v>
      </c>
      <c r="CK75" s="482">
        <f>VLOOKUP(CK$8,Franklin_Templeton!$A$1:$E$488,2,FALSE)</f>
        <v>0</v>
      </c>
      <c r="CL75" s="482">
        <f>VLOOKUP(CL$8,Franklin_Templeton!$A$1:$E$488,2,FALSE)</f>
        <v>0</v>
      </c>
      <c r="CM75" s="482">
        <f>VLOOKUP(CM$8,Franklin_Templeton!$A$1:$E$488,2,FALSE)</f>
        <v>0</v>
      </c>
      <c r="CN75" s="482">
        <f>VLOOKUP(CN$8,Franklin_Templeton!$A$1:$E$488,2,FALSE)</f>
        <v>0</v>
      </c>
      <c r="CO75" s="482">
        <f>VLOOKUP(CO$8,Franklin_Templeton!$A$1:$E$488,2,FALSE)</f>
        <v>0</v>
      </c>
      <c r="CP75" s="482">
        <f>VLOOKUP(CP$8,Franklin_Templeton!$A$1:$E$488,2,FALSE)</f>
        <v>0</v>
      </c>
      <c r="CQ75" s="482">
        <f>VLOOKUP(CQ$8,Franklin_Templeton!$A$1:$E$488,2,FALSE)</f>
        <v>0</v>
      </c>
      <c r="CR75" s="482">
        <f>VLOOKUP(CR$8,Franklin_Templeton!$A$1:$E$488,2,FALSE)</f>
        <v>0</v>
      </c>
      <c r="CS75" s="482">
        <f>VLOOKUP(CS$8,Franklin_Templeton!$A$1:$E$488,2,FALSE)</f>
        <v>0</v>
      </c>
      <c r="CT75" s="482">
        <f>VLOOKUP(CT$8,Franklin_Templeton!$A$1:$E$488,2,FALSE)</f>
        <v>0</v>
      </c>
      <c r="CU75" s="482">
        <f>VLOOKUP(CU$8,Franklin_Templeton!$A$1:$E$488,2,FALSE)</f>
        <v>0</v>
      </c>
      <c r="CV75" s="482">
        <f>VLOOKUP(CV$8,Franklin_Templeton!$A$1:$E$488,2,FALSE)</f>
        <v>0</v>
      </c>
      <c r="CW75" s="482">
        <f>VLOOKUP(CW$8,Franklin_Templeton!$A$1:$E$488,2,FALSE)</f>
        <v>0</v>
      </c>
      <c r="CX75" s="482">
        <f>VLOOKUP(CX$8,Franklin_Templeton!$A$1:$E$488,2,FALSE)</f>
        <v>0</v>
      </c>
      <c r="CY75" s="482">
        <f>VLOOKUP(CY$8,Franklin_Templeton!$A$1:$E$488,2,FALSE)</f>
        <v>0</v>
      </c>
      <c r="CZ75" s="482">
        <f>VLOOKUP(CZ$8,Franklin_Templeton!$A$1:$E$488,2,FALSE)</f>
        <v>0</v>
      </c>
      <c r="DA75" s="482">
        <f>VLOOKUP(DA$8,Franklin_Templeton!$A$1:$E$488,2,FALSE)</f>
        <v>0</v>
      </c>
      <c r="DB75" s="482">
        <f>VLOOKUP(DB$8,Franklin_Templeton!$A$1:$E$488,2,FALSE)</f>
        <v>0</v>
      </c>
      <c r="DC75" s="482">
        <f>VLOOKUP(DC$8,Franklin_Templeton!$A$1:$E$488,2,FALSE)</f>
        <v>0</v>
      </c>
      <c r="DD75" s="482">
        <f>VLOOKUP(DD$8,Franklin_Templeton!$A$1:$E$488,2,FALSE)</f>
        <v>0</v>
      </c>
      <c r="DE75" s="482">
        <f>VLOOKUP(DE$8,Franklin_Templeton!$A$1:$E$488,2,FALSE)</f>
        <v>0</v>
      </c>
      <c r="DF75" s="482">
        <f>VLOOKUP(DF$8,Franklin_Templeton!$A$1:$E$488,2,FALSE)</f>
        <v>0</v>
      </c>
      <c r="DG75" s="482">
        <f>VLOOKUP(DG$8,Franklin_Templeton!$A$1:$E$488,2,FALSE)</f>
        <v>0</v>
      </c>
      <c r="DH75" s="482">
        <f>VLOOKUP(DH$8,Franklin_Templeton!$A$1:$E$488,2,FALSE)</f>
        <v>0</v>
      </c>
      <c r="DI75" s="482">
        <f>VLOOKUP(DI$8,Franklin_Templeton!$A$1:$E$488,2,FALSE)</f>
        <v>0</v>
      </c>
      <c r="DJ75" s="482">
        <f>VLOOKUP(DJ$8,Franklin_Templeton!$A$1:$E$488,2,FALSE)</f>
        <v>0</v>
      </c>
      <c r="DK75" s="482">
        <f>VLOOKUP(DK$8,Franklin_Templeton!$A$1:$E$488,2,FALSE)</f>
        <v>0</v>
      </c>
      <c r="DL75" s="482">
        <f>VLOOKUP(DL$8,Franklin_Templeton!$A$1:$E$488,2,FALSE)</f>
        <v>0</v>
      </c>
      <c r="DM75" s="482">
        <f>VLOOKUP(DM$8,Franklin_Templeton!$A$1:$E$488,2,FALSE)</f>
        <v>0</v>
      </c>
      <c r="DN75" s="482">
        <f>VLOOKUP(DN$8,Franklin_Templeton!$A$1:$E$488,2,FALSE)</f>
        <v>0</v>
      </c>
      <c r="DO75" s="482">
        <f>VLOOKUP(DO$8,Franklin_Templeton!$A$1:$E$488,2,FALSE)</f>
        <v>0</v>
      </c>
      <c r="DP75" s="482">
        <f>VLOOKUP(DP$8,Franklin_Templeton!$A$1:$E$488,2,FALSE)</f>
        <v>0</v>
      </c>
      <c r="DQ75" s="482">
        <f>VLOOKUP(DQ$8,Franklin_Templeton!$A$1:$E$488,2,FALSE)</f>
        <v>0</v>
      </c>
      <c r="DR75" s="482">
        <f>VLOOKUP(DR$8,Franklin_Templeton!$A$1:$E$488,2,FALSE)</f>
        <v>0</v>
      </c>
      <c r="DS75" s="482">
        <f>VLOOKUP(DS$8,Franklin_Templeton!$A$1:$E$488,2,FALSE)</f>
        <v>0</v>
      </c>
      <c r="DT75" s="482">
        <f>VLOOKUP(DT$8,Franklin_Templeton!$A$1:$E$488,2,FALSE)</f>
        <v>0</v>
      </c>
      <c r="DU75" s="482">
        <f>VLOOKUP(DU$8,Franklin_Templeton!$A$1:$E$488,2,FALSE)</f>
        <v>0</v>
      </c>
      <c r="DV75" s="482">
        <f>VLOOKUP(DV$8,Franklin_Templeton!$A$1:$E$488,2,FALSE)</f>
        <v>0</v>
      </c>
      <c r="DW75" s="482">
        <f>VLOOKUP(DW$8,Franklin_Templeton!$A$1:$E$488,2,FALSE)</f>
        <v>0</v>
      </c>
      <c r="DX75" s="482">
        <f>VLOOKUP(DX$8,Franklin_Templeton!$A$1:$E$488,2,FALSE)</f>
        <v>0</v>
      </c>
      <c r="DY75" s="482">
        <f>VLOOKUP(DY$8,Franklin_Templeton!$A$1:$E$488,2,FALSE)</f>
        <v>0</v>
      </c>
      <c r="DZ75" s="482">
        <f>VLOOKUP(DZ$8,Franklin_Templeton!$A$1:$E$488,2,FALSE)</f>
        <v>0</v>
      </c>
      <c r="EA75" s="482">
        <f>VLOOKUP(EA$8,Franklin_Templeton!$A$1:$E$488,2,FALSE)</f>
        <v>0</v>
      </c>
      <c r="EB75" s="482">
        <f>VLOOKUP(EB$8,Franklin_Templeton!$A$1:$E$488,2,FALSE)</f>
        <v>0</v>
      </c>
      <c r="EC75" s="482">
        <f>VLOOKUP(EC$8,Franklin_Templeton!$A$1:$E$488,2,FALSE)</f>
        <v>0</v>
      </c>
      <c r="ED75" s="482">
        <f>VLOOKUP(ED$8,Franklin_Templeton!$A$1:$E$488,2,FALSE)</f>
        <v>0</v>
      </c>
      <c r="EE75" s="482">
        <f>VLOOKUP(EE$8,Franklin_Templeton!$A$1:$E$488,2,FALSE)</f>
        <v>0</v>
      </c>
      <c r="EF75" s="482">
        <f>VLOOKUP(EF$8,Franklin_Templeton!$A$1:$E$488,2,FALSE)</f>
        <v>0</v>
      </c>
      <c r="EG75" s="482">
        <f>VLOOKUP(EG$8,Franklin_Templeton!$A$1:$E$488,2,FALSE)</f>
        <v>0</v>
      </c>
      <c r="EH75" s="482">
        <f>VLOOKUP(EH$8,Franklin_Templeton!$A$1:$E$488,2,FALSE)</f>
        <v>0</v>
      </c>
      <c r="EI75" s="482">
        <f>VLOOKUP(EI$8,Franklin_Templeton!$A$1:$E$488,2,FALSE)</f>
        <v>0</v>
      </c>
      <c r="EJ75" s="482">
        <f>VLOOKUP(EJ$8,Franklin_Templeton!$A$1:$E$488,2,FALSE)</f>
        <v>0</v>
      </c>
      <c r="EK75" s="482">
        <f>VLOOKUP(EK$8,Franklin_Templeton!$A$1:$E$488,2,FALSE)</f>
        <v>0</v>
      </c>
      <c r="EL75" s="482">
        <f>VLOOKUP(EL$8,Franklin_Templeton!$A$1:$E$488,2,FALSE)</f>
        <v>0</v>
      </c>
      <c r="EM75" s="482">
        <f>VLOOKUP(EM$8,Franklin_Templeton!$A$1:$E$488,2,FALSE)</f>
        <v>0</v>
      </c>
      <c r="EN75" s="482">
        <f>VLOOKUP(EN$8,Franklin_Templeton!$A$1:$E$488,2,FALSE)</f>
        <v>0</v>
      </c>
      <c r="EO75" s="482">
        <f>VLOOKUP(EO$8,Franklin_Templeton!$A$1:$E$488,2,FALSE)</f>
        <v>0</v>
      </c>
      <c r="EP75" s="482">
        <f>VLOOKUP(EP$8,Franklin_Templeton!$A$1:$E$488,2,FALSE)</f>
        <v>0</v>
      </c>
      <c r="EQ75" s="482">
        <f>VLOOKUP(EQ$8,Franklin_Templeton!$A$1:$E$488,2,FALSE)</f>
        <v>0</v>
      </c>
      <c r="ER75" s="482">
        <f>VLOOKUP(ER$8,Franklin_Templeton!$A$1:$E$488,2,FALSE)</f>
        <v>0</v>
      </c>
      <c r="ES75" s="482">
        <f>VLOOKUP(ES$8,Franklin_Templeton!$A$1:$E$488,2,FALSE)</f>
        <v>0</v>
      </c>
      <c r="ET75" s="482">
        <f>VLOOKUP(ET$8,Franklin_Templeton!$A$1:$E$488,2,FALSE)</f>
        <v>0</v>
      </c>
      <c r="EU75" s="482">
        <f>VLOOKUP(EU$8,Franklin_Templeton!$A$1:$E$488,2,FALSE)</f>
        <v>0</v>
      </c>
      <c r="EV75" s="482">
        <f>VLOOKUP(EV$8,Franklin_Templeton!$A$1:$E$488,2,FALSE)</f>
        <v>0</v>
      </c>
      <c r="EW75" s="482">
        <f>VLOOKUP(EW$8,Franklin_Templeton!$A$1:$E$488,2,FALSE)</f>
        <v>0</v>
      </c>
      <c r="EX75" s="515"/>
      <c r="EY75" s="1259"/>
      <c r="EZ75" s="789"/>
      <c r="FA75" s="789"/>
      <c r="FB75" s="789"/>
      <c r="FC75" s="789"/>
      <c r="FD75" s="789"/>
      <c r="FE75" s="418"/>
      <c r="FF75" s="570"/>
      <c r="FG75" s="570"/>
      <c r="FH75" s="570"/>
      <c r="FI75" s="570"/>
      <c r="FJ75" s="570"/>
      <c r="FK75" s="418"/>
      <c r="FL75" s="467"/>
      <c r="FM75" s="467"/>
    </row>
    <row r="76" spans="1:169" s="1028" customFormat="1" ht="12.75" customHeight="1" x14ac:dyDescent="0.2">
      <c r="A76" s="1234" t="s">
        <v>208</v>
      </c>
      <c r="B76" s="1024"/>
      <c r="C76" s="1235"/>
      <c r="D76" s="1218"/>
      <c r="E76" s="470"/>
      <c r="F76" s="1220">
        <f>AH76</f>
        <v>-0.17679</v>
      </c>
      <c r="G76" s="1023">
        <f t="array" ref="G76">IF($AJ76=0,"---",(PRODUCT($AH76:AJ76/100+1)-1)*100)</f>
        <v>-1.0760557365142587</v>
      </c>
      <c r="H76" s="432">
        <f t="array" ref="H76">IF($AS76=0,"---",(PRODUCT(AH76:AN76/100+1)-1)*100)</f>
        <v>4.443558294014327</v>
      </c>
      <c r="I76" s="1023">
        <f t="array" ref="I76">IF(AS76=0,"---",(GEOMEAN($AH76:AS76/100+1)^12-1)*100)</f>
        <v>18.744587865418971</v>
      </c>
      <c r="J76" s="1023">
        <f t="array" ref="J76">IF(BE76=0,"---",(GEOMEAN($AH76:BE76/100+1)^12-1)*100)</f>
        <v>21.69738265326049</v>
      </c>
      <c r="K76" s="1023">
        <f t="array" ref="K76">IF(BQ76=0,"---",(GEOMEAN($AH76:BQ76/100+1)^12-1)*100)</f>
        <v>12.731605826659687</v>
      </c>
      <c r="L76" s="1023">
        <f t="array" ref="L76">IF(CC76=0,"---",(GEOMEAN($AH76:CC76/100+1)^12-1)*100)</f>
        <v>13.982570616683887</v>
      </c>
      <c r="M76" s="1023">
        <f t="array" ref="M76">IF(CO76=0,"---",(GEOMEAN($AH76:CO76/100+1)^12-1)*100)</f>
        <v>11.499233067236547</v>
      </c>
      <c r="N76" s="1023">
        <f t="array" ref="N76">IF(DM76=0,"---",(GEOMEAN($AH76:DM76/100+1)^12-1)*100)</f>
        <v>3.2547188769006086</v>
      </c>
      <c r="O76" s="1023">
        <f t="array" ref="O76">IF(EK76=0,"---",(GEOMEAN($AH76:EK76/100+1)^12-1)*100)</f>
        <v>6.6033158091508115</v>
      </c>
      <c r="P76" s="1023">
        <f t="array" ref="P76">IF(EW76=0,"---",(GEOMEAN($AH76:EW76/100+1)^12-1)*100)</f>
        <v>9.2174624210552771</v>
      </c>
      <c r="Q76" s="1221" t="s">
        <v>34</v>
      </c>
      <c r="R76" s="1218"/>
      <c r="S76" s="1218"/>
      <c r="T76" s="1218"/>
      <c r="U76" s="1218"/>
      <c r="V76" s="1218"/>
      <c r="W76" s="1218"/>
      <c r="X76" s="1218"/>
      <c r="Y76" s="1218"/>
      <c r="Z76" s="1218"/>
      <c r="AA76" s="1218"/>
      <c r="AB76" s="1218"/>
      <c r="AC76" s="1236"/>
      <c r="AD76" s="1233"/>
      <c r="AE76" s="363"/>
      <c r="AF76" s="467"/>
      <c r="AG76" s="418"/>
      <c r="AH76" s="1025">
        <f t="shared" ref="AH76:BM76" si="72">VLOOKUP(AH$8,Index,22,FALSE)</f>
        <v>-0.17679</v>
      </c>
      <c r="AI76" s="1025">
        <f t="shared" si="72"/>
        <v>-2.3511199999999999</v>
      </c>
      <c r="AJ76" s="1025">
        <f t="shared" si="72"/>
        <v>1.4851799999999999</v>
      </c>
      <c r="AK76" s="1025">
        <f t="shared" si="72"/>
        <v>1.39974</v>
      </c>
      <c r="AL76" s="1025">
        <f t="shared" si="72"/>
        <v>-0.80620999999999998</v>
      </c>
      <c r="AM76" s="1025">
        <f t="shared" si="72"/>
        <v>-0.52510999999999997</v>
      </c>
      <c r="AN76" s="1025">
        <f t="shared" si="72"/>
        <v>5.5225900000000001</v>
      </c>
      <c r="AO76" s="1025">
        <f t="shared" si="72"/>
        <v>-1.53596</v>
      </c>
      <c r="AP76" s="1025">
        <f t="shared" si="72"/>
        <v>2.3560400000000001</v>
      </c>
      <c r="AQ76" s="1025">
        <f t="shared" si="72"/>
        <v>0.44497999999999999</v>
      </c>
      <c r="AR76" s="1025">
        <f t="shared" si="72"/>
        <v>3.0435400000000001</v>
      </c>
      <c r="AS76" s="1025">
        <f t="shared" si="72"/>
        <v>8.9913500000000006</v>
      </c>
      <c r="AT76" s="1025">
        <f t="shared" si="72"/>
        <v>-4.972E-2</v>
      </c>
      <c r="AU76" s="1025">
        <f t="shared" si="72"/>
        <v>6.0822799999999999</v>
      </c>
      <c r="AV76" s="1025">
        <f t="shared" si="72"/>
        <v>-3.6211000000000002</v>
      </c>
      <c r="AW76" s="1025">
        <f t="shared" si="72"/>
        <v>-2.2612199999999998</v>
      </c>
      <c r="AX76" s="1025">
        <f t="shared" si="72"/>
        <v>3.6579700000000002</v>
      </c>
      <c r="AY76" s="1025">
        <f t="shared" si="72"/>
        <v>1.94506</v>
      </c>
      <c r="AZ76" s="1025">
        <f t="shared" si="72"/>
        <v>1.1187</v>
      </c>
      <c r="BA76" s="1025">
        <f t="shared" si="72"/>
        <v>5.23658</v>
      </c>
      <c r="BB76" s="1025">
        <f t="shared" si="72"/>
        <v>4.1478599999999997</v>
      </c>
      <c r="BC76" s="1025">
        <f t="shared" si="72"/>
        <v>0.95799000000000001</v>
      </c>
      <c r="BD76" s="1025">
        <f t="shared" si="72"/>
        <v>0.85699999999999998</v>
      </c>
      <c r="BE76" s="1025">
        <f t="shared" si="72"/>
        <v>4.7149599999999996</v>
      </c>
      <c r="BF76" s="1025">
        <f t="shared" si="72"/>
        <v>2.6830500000000002</v>
      </c>
      <c r="BG76" s="1025">
        <f t="shared" si="72"/>
        <v>0.38668999999999998</v>
      </c>
      <c r="BH76" s="1025">
        <f t="shared" si="72"/>
        <v>4.0833700000000004</v>
      </c>
      <c r="BI76" s="1025">
        <f t="shared" si="72"/>
        <v>-11.68248</v>
      </c>
      <c r="BJ76" s="1025">
        <f t="shared" si="72"/>
        <v>-0.43292999999999998</v>
      </c>
      <c r="BK76" s="1025">
        <f t="shared" si="72"/>
        <v>0.12837000000000001</v>
      </c>
      <c r="BL76" s="1025">
        <f t="shared" si="72"/>
        <v>6.0158500000000004</v>
      </c>
      <c r="BM76" s="1025">
        <f t="shared" si="72"/>
        <v>8.27773</v>
      </c>
      <c r="BN76" s="1025">
        <f t="shared" ref="BN76:CS76" si="73">VLOOKUP(BN$8,Index,22,FALSE)</f>
        <v>-1.9021699999999999</v>
      </c>
      <c r="BO76" s="1025">
        <f t="shared" si="73"/>
        <v>-5.4001400000000004</v>
      </c>
      <c r="BP76" s="1025">
        <f t="shared" si="73"/>
        <v>7.2014899999999997</v>
      </c>
      <c r="BQ76" s="1025">
        <f t="shared" si="73"/>
        <v>-10.331899999999999</v>
      </c>
      <c r="BR76" s="1025">
        <f t="shared" si="73"/>
        <v>-8.2093799999999995</v>
      </c>
      <c r="BS76" s="1025">
        <f t="shared" si="73"/>
        <v>-1.03728</v>
      </c>
      <c r="BT76" s="1025">
        <f t="shared" si="73"/>
        <v>-1.6359999999999999</v>
      </c>
      <c r="BU76" s="1025">
        <f t="shared" si="73"/>
        <v>-2.4700700000000002</v>
      </c>
      <c r="BV76" s="1025">
        <f t="shared" si="73"/>
        <v>5.3152299999999997</v>
      </c>
      <c r="BW76" s="1025">
        <f t="shared" si="73"/>
        <v>-6.2609999999999999E-2</v>
      </c>
      <c r="BX76" s="1025">
        <f t="shared" si="73"/>
        <v>2.2721399999999998</v>
      </c>
      <c r="BY76" s="1025">
        <f t="shared" si="73"/>
        <v>0.79510000000000003</v>
      </c>
      <c r="BZ76" s="1025">
        <f t="shared" si="73"/>
        <v>11.653829999999999</v>
      </c>
      <c r="CA76" s="1025">
        <f t="shared" si="73"/>
        <v>-3.5663299999999998</v>
      </c>
      <c r="CB76" s="1025">
        <f t="shared" si="73"/>
        <v>3.8665799999999999</v>
      </c>
      <c r="CC76" s="1025">
        <f t="shared" si="73"/>
        <v>11.423959999999999</v>
      </c>
      <c r="CD76" s="1025">
        <f t="shared" si="73"/>
        <v>-2.8831500000000001</v>
      </c>
      <c r="CE76" s="1025">
        <f t="shared" si="73"/>
        <v>8.6400699999999997</v>
      </c>
      <c r="CF76" s="1025">
        <f t="shared" si="73"/>
        <v>-0.39402999999999999</v>
      </c>
      <c r="CG76" s="1025">
        <f t="shared" si="73"/>
        <v>-12.37</v>
      </c>
      <c r="CH76" s="1025">
        <f t="shared" si="73"/>
        <v>1.75</v>
      </c>
      <c r="CI76" s="1025">
        <f t="shared" si="73"/>
        <v>7.35</v>
      </c>
      <c r="CJ76" s="1025">
        <f t="shared" si="73"/>
        <v>-1.39</v>
      </c>
      <c r="CK76" s="1025">
        <f t="shared" si="73"/>
        <v>-0.98</v>
      </c>
      <c r="CL76" s="1025">
        <f t="shared" si="73"/>
        <v>0.76</v>
      </c>
      <c r="CM76" s="1025">
        <f t="shared" si="73"/>
        <v>1.2999999999999999E-2</v>
      </c>
      <c r="CN76" s="1025">
        <f t="shared" si="73"/>
        <v>-1.77</v>
      </c>
      <c r="CO76" s="1025">
        <f t="shared" si="73"/>
        <v>5.0058999999999996</v>
      </c>
      <c r="CP76" s="1025">
        <f t="shared" si="73"/>
        <v>8.0949000000000009</v>
      </c>
      <c r="CQ76" s="1025">
        <f t="shared" si="73"/>
        <v>7.6417999999999999</v>
      </c>
      <c r="CR76" s="1025">
        <f t="shared" si="73"/>
        <v>1.9750000000000001</v>
      </c>
      <c r="CS76" s="1025">
        <f t="shared" si="73"/>
        <v>14.2898</v>
      </c>
      <c r="CT76" s="1025">
        <f t="shared" ref="CT76:DY76" si="74">VLOOKUP(CT$8,Index,22,FALSE)</f>
        <v>15.438700000000001</v>
      </c>
      <c r="CU76" s="1025">
        <f t="shared" si="74"/>
        <v>6.5646000000000004</v>
      </c>
      <c r="CV76" s="1025">
        <f t="shared" si="74"/>
        <v>-9.2462</v>
      </c>
      <c r="CW76" s="1025">
        <f t="shared" si="74"/>
        <v>-6.3952</v>
      </c>
      <c r="CX76" s="1025">
        <f t="shared" si="74"/>
        <v>6.8460999999999999</v>
      </c>
      <c r="CY76" s="1025">
        <f t="shared" si="74"/>
        <v>-4.4138999999999999</v>
      </c>
      <c r="CZ76" s="1025">
        <f t="shared" si="74"/>
        <v>-23.733899999999998</v>
      </c>
      <c r="DA76" s="1025">
        <f t="shared" si="74"/>
        <v>-17.116</v>
      </c>
      <c r="DB76" s="1025">
        <f t="shared" si="74"/>
        <v>-3.8269000000000002</v>
      </c>
      <c r="DC76" s="1025">
        <f t="shared" si="74"/>
        <v>-4.5591999999999997</v>
      </c>
      <c r="DD76" s="1025">
        <f t="shared" si="74"/>
        <v>-8.1744000000000003</v>
      </c>
      <c r="DE76" s="1025">
        <f t="shared" si="74"/>
        <v>1.7644</v>
      </c>
      <c r="DF76" s="1025">
        <f t="shared" si="74"/>
        <v>2.4165999999999999</v>
      </c>
      <c r="DG76" s="1025">
        <f t="shared" si="74"/>
        <v>-0.26540000000000002</v>
      </c>
      <c r="DH76" s="1025">
        <f t="shared" si="74"/>
        <v>4.2618</v>
      </c>
      <c r="DI76" s="1025">
        <f t="shared" si="74"/>
        <v>-9.7558000000000007</v>
      </c>
      <c r="DJ76" s="1025">
        <f t="shared" si="74"/>
        <v>-3.4577</v>
      </c>
      <c r="DK76" s="1025">
        <f t="shared" si="74"/>
        <v>-7.1863999999999999</v>
      </c>
      <c r="DL76" s="1025">
        <f t="shared" si="74"/>
        <v>6.2426000000000004</v>
      </c>
      <c r="DM76" s="1025">
        <f t="shared" si="74"/>
        <v>1.1355</v>
      </c>
      <c r="DN76" s="1025">
        <f t="shared" si="74"/>
        <v>-5.1435000000000004</v>
      </c>
      <c r="DO76" s="1025">
        <f t="shared" si="74"/>
        <v>-0.37959999999999999</v>
      </c>
      <c r="DP76" s="1025">
        <f t="shared" si="74"/>
        <v>-0.1845</v>
      </c>
      <c r="DQ76" s="1025">
        <f t="shared" si="74"/>
        <v>0.76549999999999996</v>
      </c>
      <c r="DR76" s="1025">
        <f t="shared" si="74"/>
        <v>3.7696999999999998</v>
      </c>
      <c r="DS76" s="1025">
        <f t="shared" si="74"/>
        <v>3.2564000000000002</v>
      </c>
      <c r="DT76" s="1025">
        <f t="shared" si="74"/>
        <v>1.6819</v>
      </c>
      <c r="DU76" s="1025">
        <f t="shared" si="74"/>
        <v>2.0939999999999999</v>
      </c>
      <c r="DV76" s="1025">
        <f t="shared" si="74"/>
        <v>3.3431000000000002</v>
      </c>
      <c r="DW76" s="1025">
        <f t="shared" si="74"/>
        <v>4.2994000000000003</v>
      </c>
      <c r="DX76" s="1025">
        <f t="shared" si="74"/>
        <v>3.6726999999999999</v>
      </c>
      <c r="DY76" s="1025">
        <f t="shared" si="74"/>
        <v>0.4199</v>
      </c>
      <c r="DZ76" s="1025">
        <f t="shared" ref="DZ76:EW76" si="75">VLOOKUP(DZ$8,Index,22,FALSE)</f>
        <v>2.8111000000000002</v>
      </c>
      <c r="EA76" s="1025">
        <f t="shared" si="75"/>
        <v>-2.6958000000000002</v>
      </c>
      <c r="EB76" s="1025">
        <f t="shared" si="75"/>
        <v>-2.161</v>
      </c>
      <c r="EC76" s="1025">
        <f t="shared" si="75"/>
        <v>-5.6856</v>
      </c>
      <c r="ED76" s="1025">
        <f t="shared" si="75"/>
        <v>4.3884999999999996</v>
      </c>
      <c r="EE76" s="1025">
        <f t="shared" si="75"/>
        <v>4.8646000000000003</v>
      </c>
      <c r="EF76" s="1025">
        <f t="shared" si="75"/>
        <v>-1.2132000000000001</v>
      </c>
      <c r="EG76" s="1025">
        <f t="shared" si="75"/>
        <v>6.8301999999999996</v>
      </c>
      <c r="EH76" s="1025">
        <f t="shared" si="75"/>
        <v>8.0044000000000004</v>
      </c>
      <c r="EI76" s="1025">
        <f t="shared" si="75"/>
        <v>3.2292999999999998</v>
      </c>
      <c r="EJ76" s="1025">
        <f t="shared" si="75"/>
        <v>-3.2625999999999999</v>
      </c>
      <c r="EK76" s="1025">
        <f t="shared" si="75"/>
        <v>4.1329000000000002</v>
      </c>
      <c r="EL76" s="1025">
        <f t="shared" si="75"/>
        <v>2.9083999999999999</v>
      </c>
      <c r="EM76" s="1025">
        <f t="shared" si="75"/>
        <v>4.5229999999999997</v>
      </c>
      <c r="EN76" s="1025">
        <f t="shared" si="75"/>
        <v>2.7172000000000001</v>
      </c>
      <c r="EO76" s="1025">
        <f t="shared" si="75"/>
        <v>5.0700000000000002E-2</v>
      </c>
      <c r="EP76" s="1025">
        <f t="shared" si="75"/>
        <v>-2.2988</v>
      </c>
      <c r="EQ76" s="1025">
        <f t="shared" si="75"/>
        <v>-1.5787</v>
      </c>
      <c r="ER76" s="1025">
        <f t="shared" si="75"/>
        <v>4.0274999999999999</v>
      </c>
      <c r="ES76" s="1025">
        <f t="shared" si="75"/>
        <v>1.9782</v>
      </c>
      <c r="ET76" s="1025">
        <f t="shared" si="75"/>
        <v>4.9995000000000003</v>
      </c>
      <c r="EU76" s="1025">
        <f t="shared" si="75"/>
        <v>7.9733000000000001</v>
      </c>
      <c r="EV76" s="1025">
        <f t="shared" si="75"/>
        <v>3.762</v>
      </c>
      <c r="EW76" s="1025">
        <f t="shared" si="75"/>
        <v>2.3934000000000002</v>
      </c>
      <c r="EX76" s="1230"/>
      <c r="EY76" s="1230"/>
      <c r="EZ76" s="789" t="e">
        <f>VLOOKUP($EY76,'NEPC data'!$B62:$M249,5,TRUE)*100</f>
        <v>#N/A</v>
      </c>
      <c r="FA76" s="789" t="e">
        <f>VLOOKUP($EY76,'NEPC data'!$B62:$M249,7,TRUE)*100</f>
        <v>#N/A</v>
      </c>
      <c r="FB76" s="789" t="e">
        <f>VLOOKUP($EY76,'NEPC data'!$B62:$M249,9,TRUE)*100</f>
        <v>#N/A</v>
      </c>
      <c r="FC76" s="789" t="e">
        <f>VLOOKUP($EY76,'NEPC data'!$B62:$M249,10,TRUE)*100</f>
        <v>#N/A</v>
      </c>
      <c r="FD76" s="789" t="e">
        <f>VLOOKUP($EY76,'NEPC data'!$B62:$M249,11,TRUE)*100</f>
        <v>#N/A</v>
      </c>
      <c r="FE76" s="1024"/>
      <c r="FF76" s="1027"/>
      <c r="FG76" s="1027"/>
      <c r="FH76" s="1027"/>
      <c r="FI76" s="1027"/>
      <c r="FJ76" s="1027"/>
      <c r="FK76" s="1024"/>
      <c r="FL76" s="1027"/>
      <c r="FM76" s="1027"/>
    </row>
    <row r="77" spans="1:169" s="395" customFormat="1" ht="12.75" customHeight="1" x14ac:dyDescent="0.2">
      <c r="A77" s="480" t="s">
        <v>207</v>
      </c>
      <c r="B77" s="412"/>
      <c r="C77" s="414"/>
      <c r="D77" s="249"/>
      <c r="E77" s="1328">
        <f>SUM(E72:E75)</f>
        <v>1277.27704969</v>
      </c>
      <c r="F77" s="431"/>
      <c r="G77" s="432"/>
      <c r="H77" s="432"/>
      <c r="I77" s="432"/>
      <c r="J77" s="432"/>
      <c r="K77" s="432"/>
      <c r="L77" s="432"/>
      <c r="M77" s="432"/>
      <c r="N77" s="432"/>
      <c r="O77" s="432"/>
      <c r="P77" s="432"/>
      <c r="Q77" s="468"/>
      <c r="R77" s="249"/>
      <c r="S77" s="249"/>
      <c r="T77" s="249"/>
      <c r="U77" s="249"/>
      <c r="V77" s="249"/>
      <c r="W77" s="249"/>
      <c r="X77" s="249"/>
      <c r="Y77" s="249"/>
      <c r="Z77" s="249"/>
      <c r="AA77" s="249"/>
      <c r="AB77" s="249"/>
      <c r="AC77" s="481"/>
      <c r="AD77" s="463"/>
      <c r="AE77" s="15"/>
      <c r="AF77" s="442"/>
      <c r="AG77" s="382"/>
      <c r="AH77" s="439"/>
      <c r="AI77" s="439"/>
      <c r="AJ77" s="439"/>
      <c r="AK77" s="439"/>
      <c r="AL77" s="439"/>
      <c r="AM77" s="439"/>
      <c r="AN77" s="439"/>
      <c r="AO77" s="439"/>
      <c r="AP77" s="439"/>
      <c r="AQ77" s="439"/>
      <c r="AR77" s="439"/>
      <c r="AS77" s="439"/>
      <c r="AT77" s="439"/>
      <c r="AU77" s="439"/>
      <c r="AV77" s="439"/>
      <c r="AW77" s="439"/>
      <c r="AX77" s="439"/>
      <c r="AY77" s="439"/>
      <c r="AZ77" s="439"/>
      <c r="BA77" s="439"/>
      <c r="BB77" s="439"/>
      <c r="BC77" s="439"/>
      <c r="BD77" s="439"/>
      <c r="BE77" s="439"/>
      <c r="BF77" s="439"/>
      <c r="BG77" s="439"/>
      <c r="BH77" s="439"/>
      <c r="BI77" s="439"/>
      <c r="BJ77" s="439"/>
      <c r="BK77" s="439"/>
      <c r="BL77" s="439"/>
      <c r="BM77" s="439"/>
      <c r="BN77" s="439"/>
      <c r="BO77" s="439"/>
      <c r="BP77" s="439"/>
      <c r="BQ77" s="439"/>
      <c r="BR77" s="439"/>
      <c r="BS77" s="439"/>
      <c r="BT77" s="439"/>
      <c r="BU77" s="439"/>
      <c r="BV77" s="439"/>
      <c r="BW77" s="439"/>
      <c r="BX77" s="439"/>
      <c r="BY77" s="439"/>
      <c r="BZ77" s="439"/>
      <c r="CA77" s="439"/>
      <c r="CB77" s="439"/>
      <c r="CC77" s="439"/>
      <c r="CD77" s="439"/>
      <c r="CE77" s="439"/>
      <c r="CF77" s="439"/>
      <c r="CG77" s="439"/>
      <c r="CH77" s="439"/>
      <c r="CI77" s="439"/>
      <c r="CJ77" s="439"/>
      <c r="CK77" s="439"/>
      <c r="CL77" s="439"/>
      <c r="CM77" s="439"/>
      <c r="CN77" s="439"/>
      <c r="CO77" s="439"/>
      <c r="CP77" s="439"/>
      <c r="CQ77" s="439"/>
      <c r="CR77" s="439"/>
      <c r="CS77" s="439"/>
      <c r="CT77" s="439"/>
      <c r="CU77" s="439"/>
      <c r="CV77" s="439"/>
      <c r="CW77" s="439"/>
      <c r="CX77" s="439"/>
      <c r="CY77" s="439"/>
      <c r="CZ77" s="439"/>
      <c r="DA77" s="439"/>
      <c r="DB77" s="439"/>
      <c r="DC77" s="439"/>
      <c r="DD77" s="439"/>
      <c r="DE77" s="439"/>
      <c r="DF77" s="439"/>
      <c r="DG77" s="439"/>
      <c r="DH77" s="439"/>
      <c r="DI77" s="439"/>
      <c r="DJ77" s="439"/>
      <c r="DK77" s="439"/>
      <c r="DL77" s="439"/>
      <c r="DM77" s="439"/>
      <c r="DN77" s="439"/>
      <c r="DO77" s="439"/>
      <c r="DP77" s="439"/>
      <c r="DQ77" s="439"/>
      <c r="DR77" s="439"/>
      <c r="DS77" s="439"/>
      <c r="DT77" s="439"/>
      <c r="DU77" s="439"/>
      <c r="DV77" s="439"/>
      <c r="DW77" s="439"/>
      <c r="DX77" s="439"/>
      <c r="DY77" s="439"/>
      <c r="DZ77" s="439"/>
      <c r="EA77" s="439"/>
      <c r="EB77" s="439"/>
      <c r="EC77" s="439"/>
      <c r="ED77" s="439"/>
      <c r="EE77" s="439"/>
      <c r="EF77" s="439"/>
      <c r="EG77" s="439"/>
      <c r="EH77" s="439"/>
      <c r="EI77" s="439"/>
      <c r="EJ77" s="439"/>
      <c r="EK77" s="439"/>
      <c r="EL77" s="439"/>
      <c r="EM77" s="439"/>
      <c r="EN77" s="439"/>
      <c r="EO77" s="439"/>
      <c r="EP77" s="439"/>
      <c r="EQ77" s="439"/>
      <c r="ER77" s="439"/>
      <c r="ES77" s="439"/>
      <c r="ET77" s="439"/>
      <c r="EU77" s="439"/>
      <c r="EV77" s="439"/>
      <c r="EW77" s="439"/>
      <c r="EX77" s="393"/>
      <c r="EY77" s="393"/>
      <c r="EZ77" s="789"/>
      <c r="FA77" s="789" t="e">
        <f>VLOOKUP($EY77,'NEPC data'!$B63:$M250,7,TRUE)*100</f>
        <v>#N/A</v>
      </c>
      <c r="FB77" s="789" t="e">
        <f>VLOOKUP($EY77,'NEPC data'!$B63:$M250,9,TRUE)*100</f>
        <v>#N/A</v>
      </c>
      <c r="FC77" s="789" t="e">
        <f>VLOOKUP($EY77,'NEPC data'!$B63:$M250,10,TRUE)*100</f>
        <v>#N/A</v>
      </c>
      <c r="FD77" s="789" t="e">
        <f>VLOOKUP($EY77,'NEPC data'!$B63:$M250,11,TRUE)*100</f>
        <v>#N/A</v>
      </c>
      <c r="FE77" s="382"/>
      <c r="FF77" s="442"/>
      <c r="FG77" s="442"/>
      <c r="FH77" s="442"/>
      <c r="FI77" s="442"/>
      <c r="FJ77" s="442"/>
      <c r="FK77" s="382"/>
      <c r="FL77" s="442"/>
      <c r="FM77" s="442"/>
    </row>
    <row r="78" spans="1:169" s="395" customFormat="1" ht="12.75" customHeight="1" x14ac:dyDescent="0.2">
      <c r="A78" s="480"/>
      <c r="B78" s="412"/>
      <c r="C78" s="414"/>
      <c r="D78" s="249"/>
      <c r="E78" s="470"/>
      <c r="F78" s="431"/>
      <c r="G78" s="432"/>
      <c r="H78" s="432"/>
      <c r="I78" s="432"/>
      <c r="J78" s="432"/>
      <c r="K78" s="432"/>
      <c r="L78" s="432"/>
      <c r="M78" s="432"/>
      <c r="N78" s="432"/>
      <c r="O78" s="432"/>
      <c r="P78" s="432"/>
      <c r="Q78" s="468"/>
      <c r="R78" s="249"/>
      <c r="S78" s="249"/>
      <c r="T78" s="249"/>
      <c r="U78" s="249"/>
      <c r="V78" s="249"/>
      <c r="W78" s="249"/>
      <c r="X78" s="249"/>
      <c r="Y78" s="249"/>
      <c r="Z78" s="249"/>
      <c r="AA78" s="249"/>
      <c r="AB78" s="249"/>
      <c r="AC78" s="481"/>
      <c r="AD78" s="463"/>
      <c r="AG78" s="382"/>
      <c r="AH78" s="439"/>
      <c r="AI78" s="439"/>
      <c r="AJ78" s="439"/>
      <c r="AK78" s="439"/>
      <c r="AL78" s="439"/>
      <c r="AM78" s="439"/>
      <c r="AN78" s="439"/>
      <c r="AO78" s="439"/>
      <c r="AP78" s="439"/>
      <c r="AQ78" s="439"/>
      <c r="AR78" s="439"/>
      <c r="AS78" s="439"/>
      <c r="AT78" s="439"/>
      <c r="AU78" s="439"/>
      <c r="AV78" s="439"/>
      <c r="AW78" s="439"/>
      <c r="AX78" s="439"/>
      <c r="AY78" s="439"/>
      <c r="AZ78" s="439"/>
      <c r="BA78" s="439"/>
      <c r="BB78" s="439"/>
      <c r="BC78" s="439"/>
      <c r="BD78" s="439"/>
      <c r="BE78" s="439"/>
      <c r="BF78" s="439"/>
      <c r="BG78" s="439"/>
      <c r="BH78" s="439"/>
      <c r="BI78" s="439"/>
      <c r="BJ78" s="439"/>
      <c r="BK78" s="439"/>
      <c r="BL78" s="439"/>
      <c r="BM78" s="439"/>
      <c r="BN78" s="439"/>
      <c r="BO78" s="439"/>
      <c r="BP78" s="439"/>
      <c r="BQ78" s="439"/>
      <c r="BR78" s="439"/>
      <c r="BS78" s="439"/>
      <c r="BT78" s="439"/>
      <c r="BU78" s="439"/>
      <c r="BV78" s="439"/>
      <c r="BW78" s="439"/>
      <c r="BX78" s="439"/>
      <c r="BY78" s="439"/>
      <c r="BZ78" s="439"/>
      <c r="CA78" s="439"/>
      <c r="CB78" s="439"/>
      <c r="CC78" s="439"/>
      <c r="CD78" s="439"/>
      <c r="CE78" s="439"/>
      <c r="CF78" s="439"/>
      <c r="CG78" s="439"/>
      <c r="CH78" s="439"/>
      <c r="CI78" s="439"/>
      <c r="CJ78" s="439"/>
      <c r="CK78" s="439"/>
      <c r="CL78" s="439"/>
      <c r="CM78" s="439"/>
      <c r="CN78" s="439"/>
      <c r="CO78" s="439"/>
      <c r="CP78" s="439"/>
      <c r="CQ78" s="439"/>
      <c r="CR78" s="439"/>
      <c r="CS78" s="439"/>
      <c r="CT78" s="439"/>
      <c r="CU78" s="439"/>
      <c r="CV78" s="439"/>
      <c r="CW78" s="439"/>
      <c r="CX78" s="439"/>
      <c r="CY78" s="439"/>
      <c r="CZ78" s="439"/>
      <c r="DA78" s="439"/>
      <c r="DB78" s="439"/>
      <c r="DC78" s="439"/>
      <c r="DD78" s="439"/>
      <c r="DE78" s="439"/>
      <c r="DF78" s="439"/>
      <c r="DG78" s="439"/>
      <c r="DH78" s="439"/>
      <c r="DI78" s="439"/>
      <c r="DJ78" s="439"/>
      <c r="DK78" s="439"/>
      <c r="DL78" s="439"/>
      <c r="DM78" s="439"/>
      <c r="DN78" s="439"/>
      <c r="DO78" s="439"/>
      <c r="DP78" s="439"/>
      <c r="DQ78" s="439"/>
      <c r="DR78" s="439"/>
      <c r="DS78" s="439"/>
      <c r="DT78" s="439"/>
      <c r="DU78" s="439"/>
      <c r="DV78" s="439"/>
      <c r="DW78" s="439"/>
      <c r="DX78" s="439"/>
      <c r="DY78" s="439"/>
      <c r="DZ78" s="439"/>
      <c r="EA78" s="439"/>
      <c r="EB78" s="439"/>
      <c r="EC78" s="439"/>
      <c r="ED78" s="439"/>
      <c r="EE78" s="439"/>
      <c r="EF78" s="439"/>
      <c r="EG78" s="439"/>
      <c r="EH78" s="439"/>
      <c r="EI78" s="439"/>
      <c r="EJ78" s="439"/>
      <c r="EK78" s="439"/>
      <c r="EL78" s="439"/>
      <c r="EM78" s="439"/>
      <c r="EN78" s="439"/>
      <c r="EO78" s="439"/>
      <c r="EP78" s="439"/>
      <c r="EQ78" s="439"/>
      <c r="ER78" s="439"/>
      <c r="ES78" s="439"/>
      <c r="ET78" s="439"/>
      <c r="EU78" s="439"/>
      <c r="EV78" s="439"/>
      <c r="EW78" s="439"/>
      <c r="EX78" s="393"/>
      <c r="EY78" s="393"/>
      <c r="EZ78" s="789"/>
      <c r="FA78" s="789"/>
      <c r="FB78" s="789"/>
      <c r="FC78" s="789"/>
      <c r="FD78" s="789"/>
      <c r="FE78" s="382"/>
      <c r="FF78" s="442"/>
      <c r="FG78" s="442"/>
      <c r="FH78" s="442"/>
      <c r="FI78" s="442"/>
      <c r="FJ78" s="442"/>
      <c r="FK78" s="382"/>
      <c r="FL78" s="442"/>
      <c r="FM78" s="442"/>
    </row>
    <row r="79" spans="1:169" s="395" customFormat="1" ht="12.75" customHeight="1" x14ac:dyDescent="0.2">
      <c r="A79" s="1335" t="s">
        <v>704</v>
      </c>
      <c r="B79" s="417" t="s">
        <v>320</v>
      </c>
      <c r="C79" s="430">
        <v>40451</v>
      </c>
      <c r="D79" s="249">
        <f>BR_EM!D5</f>
        <v>0</v>
      </c>
      <c r="E79" s="444">
        <f>VLOOKUP(AH$8,BR_EM!A5:E488,3,FALSE)/1000000</f>
        <v>728.36420037000005</v>
      </c>
      <c r="F79" s="476">
        <f>AH79</f>
        <v>2.2248199999999998</v>
      </c>
      <c r="G79" s="476">
        <f t="array" ref="G79">IF($AJ79=0,"---",(PRODUCT($AH79:AJ79/100+1)-1)*100)</f>
        <v>6.9751519385206517</v>
      </c>
      <c r="H79" s="432">
        <f t="array" ref="H79">IF($AS79=0,"---",(PRODUCT(AH79:AN79/100+1)-1)*100)</f>
        <v>18.183421048869342</v>
      </c>
      <c r="I79" s="476">
        <f t="array" ref="I79">IF(AS79=0,"---",(GEOMEAN($AH79:AS79/100+1)^12-1)*100)</f>
        <v>19.787204685276883</v>
      </c>
      <c r="J79" s="476">
        <f t="array" ref="J79">IF(BE79=0,"---",(GEOMEAN($AH79:BE79/100+1)^12-1)*100)</f>
        <v>9.6174113353257873</v>
      </c>
      <c r="K79" s="476">
        <f t="array" ref="K79">IF(BQ79=0,"---",(GEOMEAN($AH79:BQ79/100+1)^12-1)*100)</f>
        <v>4.1131043435685077</v>
      </c>
      <c r="L79" s="476" t="str">
        <f t="array" ref="L79">IF(CC79=0,"---",(GEOMEAN($AH79:CC79/100+1)^12-1)*100)</f>
        <v>---</v>
      </c>
      <c r="M79" s="432" t="str">
        <f t="array" ref="M79">IF(CO79=0,"---",(GEOMEAN($AH79:CO79/100+1)^12-1)*100)</f>
        <v>---</v>
      </c>
      <c r="N79" s="432" t="str">
        <f t="array" ref="N79">IF(DM79=0,"---",(GEOMEAN($AH79:DM79/100+1)^12-1)*100)</f>
        <v>---</v>
      </c>
      <c r="O79" s="432" t="str">
        <f t="array" ref="O79">IF(EK79=0,"---",(GEOMEAN($AH79:EK79/100+1)^12-1)*100)</f>
        <v>---</v>
      </c>
      <c r="P79" s="432" t="str">
        <f t="array" ref="P79">IF(EW79=0,"---",(GEOMEAN($AH79:EW79/100+1)^12-1)*100)</f>
        <v>---</v>
      </c>
      <c r="Q79" s="458">
        <f t="array" ref="Q79">(GEOMEAN(BR_EM!B426:B471/100+1)^12-1)*100</f>
        <v>2.0859230860580169</v>
      </c>
      <c r="R79" s="434">
        <f t="shared" ref="R79:S82" si="76">IF(F79="---","---",(F79-F$83)*100)</f>
        <v>-2.870000000000017</v>
      </c>
      <c r="S79" s="434">
        <f t="shared" si="76"/>
        <v>-2.4795097530971866</v>
      </c>
      <c r="T79" s="434">
        <f>IF(H79="---","---",(H79-H$83)*100)</f>
        <v>-12.526202432554356</v>
      </c>
      <c r="U79" s="434">
        <f t="shared" ref="U79:AB80" si="77">IF(I79="---","---",(I79-I$83)*100)</f>
        <v>-26.281902448139505</v>
      </c>
      <c r="V79" s="434">
        <f t="shared" si="77"/>
        <v>-42.527883714507198</v>
      </c>
      <c r="W79" s="434">
        <f t="shared" si="77"/>
        <v>-49.049957273090698</v>
      </c>
      <c r="X79" s="434" t="str">
        <f t="shared" si="77"/>
        <v>---</v>
      </c>
      <c r="Y79" s="434" t="str">
        <f t="shared" si="77"/>
        <v>---</v>
      </c>
      <c r="Z79" s="434" t="str">
        <f t="shared" si="77"/>
        <v>---</v>
      </c>
      <c r="AA79" s="434" t="str">
        <f t="shared" si="77"/>
        <v>---</v>
      </c>
      <c r="AB79" s="434" t="str">
        <f t="shared" si="77"/>
        <v>---</v>
      </c>
      <c r="AC79" s="435">
        <f>(Q79-AF79)*100</f>
        <v>-47.831348827720447</v>
      </c>
      <c r="AD79" s="436">
        <v>0</v>
      </c>
      <c r="AE79" s="1366"/>
      <c r="AF79" s="432">
        <f t="array" ref="AF79">(GEOMEAN(Index_Returns!AL426:AL471/100+1)^12-1)*100</f>
        <v>2.5642365743352213</v>
      </c>
      <c r="AG79" s="418" t="str">
        <f>IF(I79="---","&lt; 1 Year","---")</f>
        <v>---</v>
      </c>
      <c r="AH79" s="439">
        <f>VLOOKUP(AH$8,BR_EM!$A$1:$E$488,2,FALSE)</f>
        <v>2.2248199999999998</v>
      </c>
      <c r="AI79" s="439">
        <f>VLOOKUP(AI$8,BR_EM!$A$1:$E$488,2,FALSE)</f>
        <v>1.90998</v>
      </c>
      <c r="AJ79" s="439">
        <f>VLOOKUP(AJ$8,BR_EM!$A$1:$E$488,2,FALSE)</f>
        <v>2.68567</v>
      </c>
      <c r="AK79" s="439">
        <f>VLOOKUP(AK$8,BR_EM!$A$1:$E$488,2,FALSE)</f>
        <v>3.48529</v>
      </c>
      <c r="AL79" s="439">
        <f>VLOOKUP(AL$8,BR_EM!$A$1:$E$488,2,FALSE)</f>
        <v>0.33400999999999997</v>
      </c>
      <c r="AM79" s="439">
        <f>VLOOKUP(AM$8,BR_EM!$A$1:$E$488,2,FALSE)</f>
        <v>3.0508600000000001</v>
      </c>
      <c r="AN79" s="439">
        <f>VLOOKUP(AN$8,BR_EM!$A$1:$E$488,2,FALSE)</f>
        <v>3.2512300000000001</v>
      </c>
      <c r="AO79" s="439">
        <f>VLOOKUP(AO$8,BR_EM!$A$1:$E$488,2,FALSE)</f>
        <v>-6.6022800000000004</v>
      </c>
      <c r="AP79" s="439">
        <f>VLOOKUP(AP$8,BR_EM!$A$1:$E$488,2,FALSE)</f>
        <v>-1.2993600000000001</v>
      </c>
      <c r="AQ79" s="439">
        <f>VLOOKUP(AQ$8,BR_EM!$A$1:$E$488,2,FALSE)</f>
        <v>-1.51955</v>
      </c>
      <c r="AR79" s="439">
        <f>VLOOKUP(AR$8,BR_EM!$A$1:$E$488,2,FALSE)</f>
        <v>4.8447800000000001</v>
      </c>
      <c r="AS79" s="439">
        <f>VLOOKUP(AS$8,BR_EM!$A$1:$E$488,2,FALSE)</f>
        <v>6.4880300000000002</v>
      </c>
      <c r="AT79" s="439">
        <f>VLOOKUP(AT$8,BR_EM!$A$1:$E$488,2,FALSE)</f>
        <v>-1.69695</v>
      </c>
      <c r="AU79" s="439">
        <f>VLOOKUP(AU$8,BR_EM!$A$1:$E$488,2,FALSE)</f>
        <v>1.0087600000000001</v>
      </c>
      <c r="AV79" s="439">
        <f>VLOOKUP(AV$8,BR_EM!$A$1:$E$488,2,FALSE)</f>
        <v>-6.3620400000000004</v>
      </c>
      <c r="AW79" s="439">
        <f>VLOOKUP(AW$8,BR_EM!$A$1:$E$488,2,FALSE)</f>
        <v>-2.6539199999999998</v>
      </c>
      <c r="AX79" s="439">
        <f>VLOOKUP(AX$8,BR_EM!$A$1:$E$488,2,FALSE)</f>
        <v>0.97545999999999999</v>
      </c>
      <c r="AY79" s="439">
        <f>VLOOKUP(AY$8,BR_EM!$A$1:$E$488,2,FALSE)</f>
        <v>-1.96556</v>
      </c>
      <c r="AZ79" s="439">
        <f>VLOOKUP(AZ$8,BR_EM!$A$1:$E$488,2,FALSE)</f>
        <v>-1.29339</v>
      </c>
      <c r="BA79" s="439">
        <f>VLOOKUP(BA$8,BR_EM!$A$1:$E$488,2,FALSE)</f>
        <v>1.35947</v>
      </c>
      <c r="BB79" s="439">
        <f>VLOOKUP(BB$8,BR_EM!$A$1:$E$488,2,FALSE)</f>
        <v>4.8762999999999996</v>
      </c>
      <c r="BC79" s="439">
        <f>VLOOKUP(BC$8,BR_EM!$A$1:$E$488,2,FALSE)</f>
        <v>1.2681500000000001</v>
      </c>
      <c r="BD79" s="439">
        <f>VLOOKUP(BD$8,BR_EM!$A$1:$E$488,2,FALSE)</f>
        <v>-0.61646000000000001</v>
      </c>
      <c r="BE79" s="439">
        <f>VLOOKUP(BE$8,BR_EM!$A$1:$E$488,2,FALSE)</f>
        <v>6.0186900000000003</v>
      </c>
      <c r="BF79" s="439">
        <f>VLOOKUP(BF$8,BR_EM!$A$1:$E$488,2,FALSE)</f>
        <v>-0.36382999999999999</v>
      </c>
      <c r="BG79" s="439">
        <f>VLOOKUP(BG$8,BR_EM!$A$1:$E$488,2,FALSE)</f>
        <v>1.9145700000000001</v>
      </c>
      <c r="BH79" s="439">
        <f>VLOOKUP(BH$8,BR_EM!$A$1:$E$488,2,FALSE)</f>
        <v>3.8443499999999999</v>
      </c>
      <c r="BI79" s="439">
        <f>VLOOKUP(BI$8,BR_EM!$A$1:$E$488,2,FALSE)</f>
        <v>-11.22292</v>
      </c>
      <c r="BJ79" s="439">
        <f>VLOOKUP(BJ$8,BR_EM!$A$1:$E$488,2,FALSE)</f>
        <v>-1.1975199999999999</v>
      </c>
      <c r="BK79" s="439">
        <f>VLOOKUP(BK$8,BR_EM!$A$1:$E$488,2,FALSE)</f>
        <v>-3.3502299999999998</v>
      </c>
      <c r="BL79" s="439">
        <f>VLOOKUP(BL$8,BR_EM!$A$1:$E$488,2,FALSE)</f>
        <v>5.8524099999999999</v>
      </c>
      <c r="BM79" s="439">
        <f>VLOOKUP(BM$8,BR_EM!$A$1:$E$488,2,FALSE)</f>
        <v>11.29711</v>
      </c>
      <c r="BN79" s="439">
        <f>VLOOKUP(BN$8,BR_EM!$A$1:$E$488,2,FALSE)</f>
        <v>-1.2131099999999999</v>
      </c>
      <c r="BO79" s="439">
        <f>VLOOKUP(BO$8,BR_EM!$A$1:$E$488,2,FALSE)</f>
        <v>-6.6549399999999999</v>
      </c>
      <c r="BP79" s="439">
        <f>VLOOKUP(BP$8,BR_EM!$A$1:$E$488,2,FALSE)</f>
        <v>13.24356</v>
      </c>
      <c r="BQ79" s="439">
        <f>VLOOKUP(BQ$8,BR_EM!$A$1:$E$488,2,FALSE)</f>
        <v>-14.599069999999999</v>
      </c>
      <c r="BR79" s="439">
        <f>VLOOKUP(BR$8,BR_EM!$A$1:$E$488,2,FALSE)</f>
        <v>-8.9748000000000001</v>
      </c>
      <c r="BS79" s="439">
        <f>VLOOKUP(BS$8,BR_EM!$A$1:$E$488,2,FALSE)</f>
        <v>-0.45134999999999997</v>
      </c>
      <c r="BT79" s="439">
        <f>VLOOKUP(BT$8,BR_EM!$A$1:$E$488,2,FALSE)</f>
        <v>-1.5451900000000001</v>
      </c>
      <c r="BU79" s="439">
        <f>VLOOKUP(BU$8,BR_EM!$A$1:$E$488,2,FALSE)</f>
        <v>-2.6624400000000001</v>
      </c>
      <c r="BV79" s="439">
        <f>VLOOKUP(BV$8,BR_EM!$A$1:$E$488,2,FALSE)</f>
        <v>3.08934</v>
      </c>
      <c r="BW79" s="439">
        <f>VLOOKUP(BW$8,BR_EM!$A$1:$E$488,2,FALSE)</f>
        <v>5.85419</v>
      </c>
      <c r="BX79" s="439">
        <f>VLOOKUP(BX$8,BR_EM!$A$1:$E$488,2,FALSE)</f>
        <v>-0.94589999999999996</v>
      </c>
      <c r="BY79" s="439">
        <f>VLOOKUP(BY$8,BR_EM!$A$1:$E$488,2,FALSE)</f>
        <v>-2.6867299999999998</v>
      </c>
      <c r="BZ79" s="439">
        <f>VLOOKUP(BZ$8,BR_EM!$A$1:$E$488,2,FALSE)</f>
        <v>7.1602100000000002</v>
      </c>
      <c r="CA79" s="439">
        <f>VLOOKUP(CA$8,BR_EM!$A$1:$E$488,2,FALSE)</f>
        <v>-2.6655500000000001</v>
      </c>
      <c r="CB79" s="439">
        <f>VLOOKUP(CB$8,BR_EM!$A$1:$E$488,2,FALSE)</f>
        <v>2.9030900000000002</v>
      </c>
      <c r="CC79" s="439">
        <f>VLOOKUP(CC$8,BR_EM!$A$1:$E$488,2,FALSE)</f>
        <v>0</v>
      </c>
      <c r="CD79" s="439">
        <f>VLOOKUP(CD$8,BR_EM!$A$1:$E$488,2,FALSE)</f>
        <v>0</v>
      </c>
      <c r="CE79" s="439">
        <f>VLOOKUP(CE$8,BR_EM!$A$1:$E$488,2,FALSE)</f>
        <v>0</v>
      </c>
      <c r="CF79" s="439">
        <f>VLOOKUP(CF$8,BR_EM!$A$1:$E$488,2,FALSE)</f>
        <v>0</v>
      </c>
      <c r="CG79" s="439">
        <f>VLOOKUP(CG$8,BR_EM!$A$1:$E$488,2,FALSE)</f>
        <v>0</v>
      </c>
      <c r="CH79" s="439">
        <f>VLOOKUP(CH$8,BR_EM!$A$1:$E$488,2,FALSE)</f>
        <v>0</v>
      </c>
      <c r="CI79" s="439">
        <f>VLOOKUP(CI$8,BR_EM!$A$1:$E$488,2,FALSE)</f>
        <v>0</v>
      </c>
      <c r="CJ79" s="439">
        <f>VLOOKUP(CJ$8,BR_EM!$A$1:$E$488,2,FALSE)</f>
        <v>0</v>
      </c>
      <c r="CK79" s="439">
        <f>VLOOKUP(CK$8,BR_EM!$A$1:$E$488,2,FALSE)</f>
        <v>0</v>
      </c>
      <c r="CL79" s="439">
        <f>VLOOKUP(CL$8,BR_EM!$A$1:$E$488,2,FALSE)</f>
        <v>0</v>
      </c>
      <c r="CM79" s="439">
        <f>VLOOKUP(CM$8,BR_EM!$A$1:$E$488,2,FALSE)</f>
        <v>0</v>
      </c>
      <c r="CN79" s="439">
        <f>VLOOKUP(CN$8,BR_EM!$A$1:$E$488,2,FALSE)</f>
        <v>0</v>
      </c>
      <c r="CO79" s="439">
        <f>VLOOKUP(CO$8,BR_EM!$A$1:$E$488,2,FALSE)</f>
        <v>0</v>
      </c>
      <c r="CP79" s="439">
        <f>VLOOKUP(CP$8,BR_EM!$A$1:$E$488,2,FALSE)</f>
        <v>0</v>
      </c>
      <c r="CQ79" s="439">
        <f>VLOOKUP(CQ$8,BR_EM!$A$1:$E$488,2,FALSE)</f>
        <v>0</v>
      </c>
      <c r="CR79" s="439">
        <f>VLOOKUP(CR$8,BR_EM!$A$1:$E$488,2,FALSE)</f>
        <v>0</v>
      </c>
      <c r="CS79" s="439">
        <f>VLOOKUP(CS$8,BR_EM!$A$1:$E$488,2,FALSE)</f>
        <v>0</v>
      </c>
      <c r="CT79" s="439">
        <f>VLOOKUP(CT$8,BR_EM!$A$1:$E$488,2,FALSE)</f>
        <v>0</v>
      </c>
      <c r="CU79" s="439">
        <f>VLOOKUP(CU$8,BR_EM!$A$1:$E$488,2,FALSE)</f>
        <v>0</v>
      </c>
      <c r="CV79" s="439">
        <f>VLOOKUP(CV$8,BR_EM!$A$1:$E$488,2,FALSE)</f>
        <v>0</v>
      </c>
      <c r="CW79" s="439">
        <f>VLOOKUP(CW$8,BR_EM!$A$1:$E$488,2,FALSE)</f>
        <v>0</v>
      </c>
      <c r="CX79" s="439">
        <f>VLOOKUP(CX$8,BR_EM!$A$1:$E$488,2,FALSE)</f>
        <v>0</v>
      </c>
      <c r="CY79" s="439">
        <f>VLOOKUP(CY$8,BR_EM!$A$1:$E$488,2,FALSE)</f>
        <v>0</v>
      </c>
      <c r="CZ79" s="439">
        <f>VLOOKUP(CZ$8,BR_EM!$A$1:$E$488,2,FALSE)</f>
        <v>0</v>
      </c>
      <c r="DA79" s="439">
        <f>VLOOKUP(DA$8,BR_EM!$A$1:$E$488,2,FALSE)</f>
        <v>0</v>
      </c>
      <c r="DB79" s="439">
        <f>VLOOKUP(DB$8,BR_EM!$A$1:$E$488,2,FALSE)</f>
        <v>0</v>
      </c>
      <c r="DC79" s="439">
        <f>VLOOKUP(DC$8,BR_EM!$A$1:$E$488,2,FALSE)</f>
        <v>0</v>
      </c>
      <c r="DD79" s="439">
        <f>VLOOKUP(DD$8,BR_EM!$A$1:$E$488,2,FALSE)</f>
        <v>0</v>
      </c>
      <c r="DE79" s="439">
        <f>VLOOKUP(DE$8,BR_EM!$A$1:$E$488,2,FALSE)</f>
        <v>0</v>
      </c>
      <c r="DF79" s="439">
        <f>VLOOKUP(DF$8,BR_EM!$A$1:$E$488,2,FALSE)</f>
        <v>0</v>
      </c>
      <c r="DG79" s="439">
        <f>VLOOKUP(DG$8,BR_EM!$A$1:$E$488,2,FALSE)</f>
        <v>0</v>
      </c>
      <c r="DH79" s="439">
        <f>VLOOKUP(DH$8,BR_EM!$A$1:$E$488,2,FALSE)</f>
        <v>0</v>
      </c>
      <c r="DI79" s="439">
        <f>VLOOKUP(DI$8,BR_EM!$A$1:$E$488,2,FALSE)</f>
        <v>0</v>
      </c>
      <c r="DJ79" s="439">
        <f>VLOOKUP(DJ$8,BR_EM!$A$1:$E$488,2,FALSE)</f>
        <v>0</v>
      </c>
      <c r="DK79" s="439">
        <f>VLOOKUP(DK$8,BR_EM!$A$1:$E$488,2,FALSE)</f>
        <v>0</v>
      </c>
      <c r="DL79" s="439">
        <f>VLOOKUP(DL$8,BR_EM!$A$1:$E$488,2,FALSE)</f>
        <v>0</v>
      </c>
      <c r="DM79" s="439">
        <f>VLOOKUP(DM$8,BR_EM!$A$1:$E$488,2,FALSE)</f>
        <v>0</v>
      </c>
      <c r="DN79" s="439">
        <f>VLOOKUP(DN$8,BR_EM!$A$1:$E$488,2,FALSE)</f>
        <v>0</v>
      </c>
      <c r="DO79" s="439">
        <f>VLOOKUP(DO$8,BR_EM!$A$1:$E$488,2,FALSE)</f>
        <v>0</v>
      </c>
      <c r="DP79" s="439">
        <f>VLOOKUP(DP$8,BR_EM!$A$1:$E$488,2,FALSE)</f>
        <v>0</v>
      </c>
      <c r="DQ79" s="439">
        <f>VLOOKUP(DQ$8,BR_EM!$A$1:$E$488,2,FALSE)</f>
        <v>0</v>
      </c>
      <c r="DR79" s="439">
        <f>VLOOKUP(DR$8,BR_EM!$A$1:$E$488,2,FALSE)</f>
        <v>0</v>
      </c>
      <c r="DS79" s="439">
        <f>VLOOKUP(DS$8,BR_EM!$A$1:$E$488,2,FALSE)</f>
        <v>0</v>
      </c>
      <c r="DT79" s="439">
        <f>VLOOKUP(DT$8,BR_EM!$A$1:$E$488,2,FALSE)</f>
        <v>0</v>
      </c>
      <c r="DU79" s="439">
        <f>VLOOKUP(DU$8,BR_EM!$A$1:$E$488,2,FALSE)</f>
        <v>0</v>
      </c>
      <c r="DV79" s="439">
        <f>VLOOKUP(DV$8,BR_EM!$A$1:$E$488,2,FALSE)</f>
        <v>0</v>
      </c>
      <c r="DW79" s="439">
        <f>VLOOKUP(DW$8,BR_EM!$A$1:$E$488,2,FALSE)</f>
        <v>0</v>
      </c>
      <c r="DX79" s="439">
        <f>VLOOKUP(DX$8,BR_EM!$A$1:$E$488,2,FALSE)</f>
        <v>0</v>
      </c>
      <c r="DY79" s="439">
        <f>VLOOKUP(DY$8,BR_EM!$A$1:$E$488,2,FALSE)</f>
        <v>0</v>
      </c>
      <c r="DZ79" s="439">
        <f>VLOOKUP(DZ$8,BR_EM!$A$1:$E$488,2,FALSE)</f>
        <v>0</v>
      </c>
      <c r="EA79" s="439">
        <f>VLOOKUP(EA$8,BR_EM!$A$1:$E$488,2,FALSE)</f>
        <v>0</v>
      </c>
      <c r="EB79" s="439">
        <f>VLOOKUP(EB$8,BR_EM!$A$1:$E$488,2,FALSE)</f>
        <v>0</v>
      </c>
      <c r="EC79" s="439">
        <f>VLOOKUP(EC$8,BR_EM!$A$1:$E$488,2,FALSE)</f>
        <v>0</v>
      </c>
      <c r="ED79" s="439">
        <f>VLOOKUP(ED$8,BR_EM!$A$1:$E$488,2,FALSE)</f>
        <v>0</v>
      </c>
      <c r="EE79" s="439">
        <f>VLOOKUP(EE$8,BR_EM!$A$1:$E$488,2,FALSE)</f>
        <v>0</v>
      </c>
      <c r="EF79" s="439">
        <f>VLOOKUP(EF$8,BR_EM!$A$1:$E$488,2,FALSE)</f>
        <v>0</v>
      </c>
      <c r="EG79" s="439">
        <f>VLOOKUP(EG$8,BR_EM!$A$1:$E$488,2,FALSE)</f>
        <v>0</v>
      </c>
      <c r="EH79" s="439">
        <f>VLOOKUP(EH$8,BR_EM!$A$1:$E$488,2,FALSE)</f>
        <v>0</v>
      </c>
      <c r="EI79" s="439">
        <f>VLOOKUP(EI$8,BR_EM!$A$1:$E$488,2,FALSE)</f>
        <v>0</v>
      </c>
      <c r="EJ79" s="439">
        <f>VLOOKUP(EJ$8,BR_EM!$A$1:$E$488,2,FALSE)</f>
        <v>0</v>
      </c>
      <c r="EK79" s="439">
        <f>VLOOKUP(EK$8,BR_EM!$A$1:$E$488,2,FALSE)</f>
        <v>0</v>
      </c>
      <c r="EL79" s="439">
        <f>VLOOKUP(EL$8,BR_EM!$A$1:$E$488,2,FALSE)</f>
        <v>0</v>
      </c>
      <c r="EM79" s="439">
        <f>VLOOKUP(EM$8,BR_EM!$A$1:$E$488,2,FALSE)</f>
        <v>0</v>
      </c>
      <c r="EN79" s="439">
        <f>VLOOKUP(EN$8,BR_EM!$A$1:$E$488,2,FALSE)</f>
        <v>0</v>
      </c>
      <c r="EO79" s="439">
        <f>VLOOKUP(EO$8,BR_EM!$A$1:$E$488,2,FALSE)</f>
        <v>0</v>
      </c>
      <c r="EP79" s="439">
        <f>VLOOKUP(EP$8,BR_EM!$A$1:$E$488,2,FALSE)</f>
        <v>0</v>
      </c>
      <c r="EQ79" s="439">
        <f>VLOOKUP(EQ$8,BR_EM!$A$1:$E$488,2,FALSE)</f>
        <v>0</v>
      </c>
      <c r="ER79" s="439">
        <f>VLOOKUP(ER$8,BR_EM!$A$1:$E$488,2,FALSE)</f>
        <v>0</v>
      </c>
      <c r="ES79" s="439">
        <f>VLOOKUP(ES$8,BR_EM!$A$1:$E$488,2,FALSE)</f>
        <v>0</v>
      </c>
      <c r="ET79" s="439">
        <f>VLOOKUP(ET$8,BR_EM!$A$1:$E$488,2,FALSE)</f>
        <v>0</v>
      </c>
      <c r="EU79" s="439">
        <f>VLOOKUP(EU$8,BR_EM!$A$1:$E$488,2,FALSE)</f>
        <v>0</v>
      </c>
      <c r="EV79" s="439">
        <f>VLOOKUP(EV$8,BR_EM!$A$1:$E$488,2,FALSE)</f>
        <v>0</v>
      </c>
      <c r="EW79" s="439">
        <f>VLOOKUP(EW$8,BR_EM!$A$1:$E$488,2,FALSE)</f>
        <v>0</v>
      </c>
      <c r="EX79" s="393" t="s">
        <v>691</v>
      </c>
      <c r="EY79" s="1066" t="s">
        <v>499</v>
      </c>
      <c r="EZ79" s="789">
        <f>VLOOKUP($EY79,'NEPC data'!$B64:$M251,5,TRUE)*100</f>
        <v>-16.019256298600006</v>
      </c>
      <c r="FA79" s="789">
        <f>VLOOKUP($EY79,'NEPC data'!$B64:$M251,7,TRUE)*100</f>
        <v>-50.6571511476998</v>
      </c>
      <c r="FB79" s="789">
        <f>VLOOKUP($EY79,'NEPC data'!$B64:$M251,9,TRUE)*100</f>
        <v>-21.747776875910684</v>
      </c>
      <c r="FC79" s="789">
        <f>VLOOKUP($EY79,'NEPC data'!$B64:$M251,10,TRUE)*100</f>
        <v>0</v>
      </c>
      <c r="FD79" s="789">
        <f>VLOOKUP($EY79,'NEPC data'!$B64:$M251,11,TRUE)*100</f>
        <v>0</v>
      </c>
      <c r="FE79" s="382"/>
      <c r="FF79" s="441">
        <f>IF(G79="---","-",ABS(EZ79-G79))</f>
        <v>22.994408237120659</v>
      </c>
      <c r="FG79" s="441">
        <f>IF(I79="---","-",ABS(FA79-I79))</f>
        <v>70.444355832976683</v>
      </c>
      <c r="FH79" s="441">
        <f>IF(K79="---","-",ABS(FB79-K79))</f>
        <v>25.860881219479193</v>
      </c>
      <c r="FI79" s="441" t="str">
        <f>IF(M79="---","-",ABS(FC79-M79))</f>
        <v>-</v>
      </c>
      <c r="FJ79" s="441">
        <f>IF(Q79="---","-",ABS(FD79-Q79))</f>
        <v>2.0859230860580169</v>
      </c>
      <c r="FK79" s="382"/>
      <c r="FL79" s="442">
        <f>AF80</f>
        <v>1.8393551738870695</v>
      </c>
      <c r="FM79" s="442">
        <f>ABS(FL79-AF80)</f>
        <v>0</v>
      </c>
    </row>
    <row r="80" spans="1:169" s="15" customFormat="1" ht="12.75" customHeight="1" x14ac:dyDescent="0.2">
      <c r="A80" s="1175" t="s">
        <v>689</v>
      </c>
      <c r="B80" s="1310" t="s">
        <v>319</v>
      </c>
      <c r="C80" s="430">
        <v>40482</v>
      </c>
      <c r="D80" s="249">
        <f>William_Blair!D5</f>
        <v>0</v>
      </c>
      <c r="E80" s="444">
        <f>VLOOKUP(AH$8,William_Blair!A5:E488,3,FALSE)/1000000</f>
        <v>492.56422788999998</v>
      </c>
      <c r="F80" s="483">
        <f>AH80</f>
        <v>3.5437699999999999</v>
      </c>
      <c r="G80" s="476">
        <f t="array" ref="G80">IF($AJ80=0,"---",(PRODUCT($AH80:AJ80/100+1)-1)*100)</f>
        <v>7.4455276866612463</v>
      </c>
      <c r="H80" s="432">
        <f t="array" ref="H80">IF($AS80=0,"---",(PRODUCT(AH80:AN80/100+1)-1)*100)</f>
        <v>20.629245712944066</v>
      </c>
      <c r="I80" s="476">
        <f t="array" ref="I80">IF(AS80=0,"---",(GEOMEAN($AH80:AS80/100+1)^12-1)*100)</f>
        <v>25.135417114993984</v>
      </c>
      <c r="J80" s="476">
        <f t="array" ref="J80">IF(BE80=0,"---",(GEOMEAN($AH80:BE80/100+1)^12-1)*100)</f>
        <v>12.336070866426141</v>
      </c>
      <c r="K80" s="476">
        <f t="array" ref="K80">IF(BQ80=0,"---",(GEOMEAN($AH80:BQ80/100+1)^12-1)*100)</f>
        <v>8.4914940835611787</v>
      </c>
      <c r="L80" s="476" t="str">
        <f t="array" ref="L80">IF(CC80=0,"---",(GEOMEAN($AH80:CC80/100+1)^12-1)*100)</f>
        <v>---</v>
      </c>
      <c r="M80" s="476" t="str">
        <f t="array" ref="M80">IF(CO80=0,"---",(GEOMEAN($AH80:CO80/100+1)^12-1)*100)</f>
        <v>---</v>
      </c>
      <c r="N80" s="476" t="str">
        <f t="array" ref="N80">IF(DM80=0,"---",(GEOMEAN($AH80:DM80/100+1)^12-1)*100)</f>
        <v>---</v>
      </c>
      <c r="O80" s="476" t="str">
        <f t="array" ref="O80">IF(EK80=0,"---",(GEOMEAN($AH80:EK80/100+1)^12-1)*100)</f>
        <v>---</v>
      </c>
      <c r="P80" s="476" t="str">
        <f t="array" ref="P80">IF(EW80=0,"---",(GEOMEAN($AH80:EW80/100+1)^12-1)*100)</f>
        <v>---</v>
      </c>
      <c r="Q80" s="458">
        <f t="array" ref="Q80">(GEOMEAN(William_Blair!B427:B471/100+1)^12-1)*100</f>
        <v>3.8269029118754627</v>
      </c>
      <c r="R80" s="434">
        <f t="shared" si="76"/>
        <v>129.02499999999998</v>
      </c>
      <c r="S80" s="434">
        <f t="shared" si="76"/>
        <v>44.558065060962271</v>
      </c>
      <c r="T80" s="434">
        <f>IF(H80="---","---",(H80-H$83)*100)</f>
        <v>232.05626397491807</v>
      </c>
      <c r="U80" s="434">
        <f t="shared" si="77"/>
        <v>508.53934052357062</v>
      </c>
      <c r="V80" s="434">
        <f t="shared" si="77"/>
        <v>229.33806939552818</v>
      </c>
      <c r="W80" s="434">
        <f t="shared" si="77"/>
        <v>388.78901672617638</v>
      </c>
      <c r="X80" s="434" t="str">
        <f t="shared" si="77"/>
        <v>---</v>
      </c>
      <c r="Y80" s="434" t="str">
        <f t="shared" si="77"/>
        <v>---</v>
      </c>
      <c r="Z80" s="434" t="str">
        <f t="shared" si="77"/>
        <v>---</v>
      </c>
      <c r="AA80" s="434" t="str">
        <f t="shared" si="77"/>
        <v>---</v>
      </c>
      <c r="AB80" s="434" t="str">
        <f t="shared" si="77"/>
        <v>---</v>
      </c>
      <c r="AC80" s="435">
        <f t="array" ref="AC80">(Q80-AF80)*100</f>
        <v>198.75477379883932</v>
      </c>
      <c r="AD80" s="436">
        <v>150</v>
      </c>
      <c r="AE80" s="1366"/>
      <c r="AF80" s="432">
        <f t="array" ref="AF80">(GEOMEAN(Index_Returns!AL427:AL471/100+1)^12-1)*100</f>
        <v>1.8393551738870695</v>
      </c>
      <c r="AG80" s="418" t="str">
        <f>IF(I80="---","&lt; 1 Year","---")</f>
        <v>---</v>
      </c>
      <c r="AH80" s="482">
        <f>VLOOKUP(AH$8,William_Blair!$A$1:$E$488,2,FALSE)</f>
        <v>3.5437699999999999</v>
      </c>
      <c r="AI80" s="482">
        <f>VLOOKUP(AI$8,William_Blair!$A$1:$E$488,2,FALSE)</f>
        <v>0.66793999999999998</v>
      </c>
      <c r="AJ80" s="482">
        <f>VLOOKUP(AJ$8,William_Blair!$A$1:$E$488,2,FALSE)</f>
        <v>3.0797099999999999</v>
      </c>
      <c r="AK80" s="482">
        <f>VLOOKUP(AK$8,William_Blair!$A$1:$E$488,2,FALSE)</f>
        <v>3.4673400000000001</v>
      </c>
      <c r="AL80" s="482">
        <f>VLOOKUP(AL$8,William_Blair!$A$1:$E$488,2,FALSE)</f>
        <v>0.22720000000000001</v>
      </c>
      <c r="AM80" s="482">
        <f>VLOOKUP(AM$8,William_Blair!$A$1:$E$488,2,FALSE)</f>
        <v>1.6687399999999999</v>
      </c>
      <c r="AN80" s="482">
        <f>VLOOKUP(AN$8,William_Blair!$A$1:$E$488,2,FALSE)</f>
        <v>6.4848800000000004</v>
      </c>
      <c r="AO80" s="482">
        <f>VLOOKUP(AO$8,William_Blair!$A$1:$E$488,2,FALSE)</f>
        <v>-6.8888199999999999</v>
      </c>
      <c r="AP80" s="482">
        <f>VLOOKUP(AP$8,William_Blair!$A$1:$E$488,2,FALSE)</f>
        <v>-0.35448000000000002</v>
      </c>
      <c r="AQ80" s="482">
        <f>VLOOKUP(AQ$8,William_Blair!$A$1:$E$488,2,FALSE)</f>
        <v>-0.64981</v>
      </c>
      <c r="AR80" s="482">
        <f>VLOOKUP(AR$8,William_Blair!$A$1:$E$488,2,FALSE)</f>
        <v>4.5934499999999998</v>
      </c>
      <c r="AS80" s="482">
        <f>VLOOKUP(AS$8,William_Blair!$A$1:$E$488,2,FALSE)</f>
        <v>7.5956799999999998</v>
      </c>
      <c r="AT80" s="482">
        <f>VLOOKUP(AT$8,William_Blair!$A$1:$E$488,2,FALSE)</f>
        <v>-3.8616999999999999</v>
      </c>
      <c r="AU80" s="482">
        <f>VLOOKUP(AU$8,William_Blair!$A$1:$E$488,2,FALSE)</f>
        <v>1.30457</v>
      </c>
      <c r="AV80" s="482">
        <f>VLOOKUP(AV$8,William_Blair!$A$1:$E$488,2,FALSE)</f>
        <v>-6.7975700000000003</v>
      </c>
      <c r="AW80" s="482">
        <f>VLOOKUP(AW$8,William_Blair!$A$1:$E$488,2,FALSE)</f>
        <v>-2.0062700000000002</v>
      </c>
      <c r="AX80" s="482">
        <f>VLOOKUP(AX$8,William_Blair!$A$1:$E$488,2,FALSE)</f>
        <v>1.8746499999999999</v>
      </c>
      <c r="AY80" s="482">
        <f>VLOOKUP(AY$8,William_Blair!$A$1:$E$488,2,FALSE)</f>
        <v>-0.57962000000000002</v>
      </c>
      <c r="AZ80" s="482">
        <f>VLOOKUP(AZ$8,William_Blair!$A$1:$E$488,2,FALSE)</f>
        <v>0.60619000000000001</v>
      </c>
      <c r="BA80" s="482">
        <f>VLOOKUP(BA$8,William_Blair!$A$1:$E$488,2,FALSE)</f>
        <v>1.7235799999999999</v>
      </c>
      <c r="BB80" s="482">
        <f>VLOOKUP(BB$8,William_Blair!$A$1:$E$488,2,FALSE)</f>
        <v>3.5366399999999998</v>
      </c>
      <c r="BC80" s="482">
        <f>VLOOKUP(BC$8,William_Blair!$A$1:$E$488,2,FALSE)</f>
        <v>1.2681899999999999</v>
      </c>
      <c r="BD80" s="482">
        <f>VLOOKUP(BD$8,William_Blair!$A$1:$E$488,2,FALSE)</f>
        <v>0.17157</v>
      </c>
      <c r="BE80" s="482">
        <f>VLOOKUP(BE$8,William_Blair!$A$1:$E$488,2,FALSE)</f>
        <v>4.1376400000000002</v>
      </c>
      <c r="BF80" s="482">
        <f>VLOOKUP(BF$8,William_Blair!$A$1:$E$488,2,FALSE)</f>
        <v>1.0324599999999999</v>
      </c>
      <c r="BG80" s="482">
        <f>VLOOKUP(BG$8,William_Blair!$A$1:$E$488,2,FALSE)</f>
        <v>1.9245099999999999</v>
      </c>
      <c r="BH80" s="482">
        <f>VLOOKUP(BH$8,William_Blair!$A$1:$E$488,2,FALSE)</f>
        <v>2.8896199999999999</v>
      </c>
      <c r="BI80" s="482">
        <f>VLOOKUP(BI$8,William_Blair!$A$1:$E$488,2,FALSE)</f>
        <v>-9.7990600000000008</v>
      </c>
      <c r="BJ80" s="482">
        <f>VLOOKUP(BJ$8,William_Blair!$A$1:$E$488,2,FALSE)</f>
        <v>-0.92864000000000002</v>
      </c>
      <c r="BK80" s="482">
        <f>VLOOKUP(BK$8,William_Blair!$A$1:$E$488,2,FALSE)</f>
        <v>0.15201999999999999</v>
      </c>
      <c r="BL80" s="482">
        <f>VLOOKUP(BL$8,William_Blair!$A$1:$E$488,2,FALSE)</f>
        <v>6.8464400000000003</v>
      </c>
      <c r="BM80" s="482">
        <f>VLOOKUP(BM$8,William_Blair!$A$1:$E$488,2,FALSE)</f>
        <v>9.4781399999999998</v>
      </c>
      <c r="BN80" s="482">
        <f>VLOOKUP(BN$8,William_Blair!$A$1:$E$488,2,FALSE)</f>
        <v>-1.2246600000000001</v>
      </c>
      <c r="BO80" s="482">
        <f>VLOOKUP(BO$8,William_Blair!$A$1:$E$488,2,FALSE)</f>
        <v>-5.5059300000000002</v>
      </c>
      <c r="BP80" s="482">
        <f>VLOOKUP(BP$8,William_Blair!$A$1:$E$488,2,FALSE)</f>
        <v>11.735569999999999</v>
      </c>
      <c r="BQ80" s="482">
        <f>VLOOKUP(BQ$8,William_Blair!$A$1:$E$488,2,FALSE)</f>
        <v>-12.524470000000001</v>
      </c>
      <c r="BR80" s="482">
        <f>VLOOKUP(BR$8,William_Blair!$A$1:$E$488,2,FALSE)</f>
        <v>-7.96882</v>
      </c>
      <c r="BS80" s="482">
        <f>VLOOKUP(BS$8,William_Blair!$A$1:$E$488,2,FALSE)</f>
        <v>7.3429999999999995E-2</v>
      </c>
      <c r="BT80" s="482">
        <f>VLOOKUP(BT$8,William_Blair!$A$1:$E$488,2,FALSE)</f>
        <v>-1.0270900000000001</v>
      </c>
      <c r="BU80" s="482">
        <f>VLOOKUP(BU$8,William_Blair!$A$1:$E$488,2,FALSE)</f>
        <v>-2.4108100000000001</v>
      </c>
      <c r="BV80" s="482">
        <f>VLOOKUP(BV$8,William_Blair!$A$1:$E$488,2,FALSE)</f>
        <v>4.1015199999999998</v>
      </c>
      <c r="BW80" s="482">
        <f>VLOOKUP(BW$8,William_Blair!$A$1:$E$488,2,FALSE)</f>
        <v>6.0062699999999998</v>
      </c>
      <c r="BX80" s="482">
        <f>VLOOKUP(BX$8,William_Blair!$A$1:$E$488,2,FALSE)</f>
        <v>-1.3564799999999999</v>
      </c>
      <c r="BY80" s="482">
        <f>VLOOKUP(BY$8,William_Blair!$A$1:$E$488,2,FALSE)</f>
        <v>-5.3339800000000004</v>
      </c>
      <c r="BZ80" s="482">
        <f>VLOOKUP(BZ$8,William_Blair!$A$1:$E$488,2,FALSE)</f>
        <v>4.65517</v>
      </c>
      <c r="CA80" s="482">
        <f>VLOOKUP(CA$8,William_Blair!$A$1:$E$488,2,FALSE)</f>
        <v>-2.6994699999999998</v>
      </c>
      <c r="CB80" s="482">
        <f>VLOOKUP(CB$8,William_Blair!$A$1:$E$488,2,FALSE)</f>
        <v>0</v>
      </c>
      <c r="CC80" s="482">
        <f>VLOOKUP(CC$8,William_Blair!$A$1:$E$488,2,FALSE)</f>
        <v>0</v>
      </c>
      <c r="CD80" s="482">
        <f>VLOOKUP(CD$8,William_Blair!$A$1:$E$488,2,FALSE)</f>
        <v>0</v>
      </c>
      <c r="CE80" s="482">
        <f>VLOOKUP(CE$8,William_Blair!$A$1:$E$488,2,FALSE)</f>
        <v>0</v>
      </c>
      <c r="CF80" s="482">
        <f>VLOOKUP(CF$8,William_Blair!$A$1:$E$488,2,FALSE)</f>
        <v>0</v>
      </c>
      <c r="CG80" s="482">
        <f>VLOOKUP(CG$8,William_Blair!$A$1:$E$488,2,FALSE)</f>
        <v>0</v>
      </c>
      <c r="CH80" s="482">
        <f>VLOOKUP(CH$8,William_Blair!$A$1:$E$488,2,FALSE)</f>
        <v>0</v>
      </c>
      <c r="CI80" s="482">
        <f>VLOOKUP(CI$8,William_Blair!$A$1:$E$488,2,FALSE)</f>
        <v>0</v>
      </c>
      <c r="CJ80" s="482">
        <f>VLOOKUP(CJ$8,William_Blair!$A$1:$E$488,2,FALSE)</f>
        <v>0</v>
      </c>
      <c r="CK80" s="482">
        <f>VLOOKUP(CK$8,William_Blair!$A$1:$E$488,2,FALSE)</f>
        <v>0</v>
      </c>
      <c r="CL80" s="482">
        <f>VLOOKUP(CL$8,William_Blair!$A$1:$E$488,2,FALSE)</f>
        <v>0</v>
      </c>
      <c r="CM80" s="482">
        <f>VLOOKUP(CM$8,William_Blair!$A$1:$E$488,2,FALSE)</f>
        <v>0</v>
      </c>
      <c r="CN80" s="482">
        <f>VLOOKUP(CN$8,William_Blair!$A$1:$E$488,2,FALSE)</f>
        <v>0</v>
      </c>
      <c r="CO80" s="482">
        <f>VLOOKUP(CO$8,William_Blair!$A$1:$E$488,2,FALSE)</f>
        <v>0</v>
      </c>
      <c r="CP80" s="482">
        <f>VLOOKUP(CP$8,William_Blair!$A$1:$E$488,2,FALSE)</f>
        <v>0</v>
      </c>
      <c r="CQ80" s="482">
        <f>VLOOKUP(CQ$8,William_Blair!$A$1:$E$488,2,FALSE)</f>
        <v>0</v>
      </c>
      <c r="CR80" s="482">
        <f>VLOOKUP(CR$8,William_Blair!$A$1:$E$488,2,FALSE)</f>
        <v>0</v>
      </c>
      <c r="CS80" s="482">
        <f>VLOOKUP(CS$8,William_Blair!$A$1:$E$488,2,FALSE)</f>
        <v>0</v>
      </c>
      <c r="CT80" s="482">
        <f>VLOOKUP(CT$8,William_Blair!$A$1:$E$488,2,FALSE)</f>
        <v>0</v>
      </c>
      <c r="CU80" s="482">
        <f>VLOOKUP(CU$8,William_Blair!$A$1:$E$488,2,FALSE)</f>
        <v>0</v>
      </c>
      <c r="CV80" s="482">
        <f>VLOOKUP(CV$8,William_Blair!$A$1:$E$488,2,FALSE)</f>
        <v>0</v>
      </c>
      <c r="CW80" s="482">
        <f>VLOOKUP(CW$8,William_Blair!$A$1:$E$488,2,FALSE)</f>
        <v>0</v>
      </c>
      <c r="CX80" s="482">
        <f>VLOOKUP(CX$8,William_Blair!$A$1:$E$488,2,FALSE)</f>
        <v>0</v>
      </c>
      <c r="CY80" s="482">
        <f>VLOOKUP(CY$8,William_Blair!$A$1:$E$488,2,FALSE)</f>
        <v>0</v>
      </c>
      <c r="CZ80" s="482">
        <f>VLOOKUP(CZ$8,William_Blair!$A$1:$E$488,2,FALSE)</f>
        <v>0</v>
      </c>
      <c r="DA80" s="482">
        <f>VLOOKUP(DA$8,William_Blair!$A$1:$E$488,2,FALSE)</f>
        <v>0</v>
      </c>
      <c r="DB80" s="482">
        <f>VLOOKUP(DB$8,William_Blair!$A$1:$E$488,2,FALSE)</f>
        <v>0</v>
      </c>
      <c r="DC80" s="482">
        <f>VLOOKUP(DC$8,William_Blair!$A$1:$E$488,2,FALSE)</f>
        <v>0</v>
      </c>
      <c r="DD80" s="482">
        <f>VLOOKUP(DD$8,William_Blair!$A$1:$E$488,2,FALSE)</f>
        <v>0</v>
      </c>
      <c r="DE80" s="482">
        <f>VLOOKUP(DE$8,William_Blair!$A$1:$E$488,2,FALSE)</f>
        <v>0</v>
      </c>
      <c r="DF80" s="482">
        <f>VLOOKUP(DF$8,William_Blair!$A$1:$E$488,2,FALSE)</f>
        <v>0</v>
      </c>
      <c r="DG80" s="482">
        <f>VLOOKUP(DG$8,William_Blair!$A$1:$E$488,2,FALSE)</f>
        <v>0</v>
      </c>
      <c r="DH80" s="482">
        <f>VLOOKUP(DH$8,William_Blair!$A$1:$E$488,2,FALSE)</f>
        <v>0</v>
      </c>
      <c r="DI80" s="482">
        <f>VLOOKUP(DI$8,William_Blair!$A$1:$E$488,2,FALSE)</f>
        <v>0</v>
      </c>
      <c r="DJ80" s="482">
        <f>VLOOKUP(DJ$8,William_Blair!$A$1:$E$488,2,FALSE)</f>
        <v>0</v>
      </c>
      <c r="DK80" s="482">
        <f>VLOOKUP(DK$8,William_Blair!$A$1:$E$488,2,FALSE)</f>
        <v>0</v>
      </c>
      <c r="DL80" s="482">
        <f>VLOOKUP(DL$8,William_Blair!$A$1:$E$488,2,FALSE)</f>
        <v>0</v>
      </c>
      <c r="DM80" s="482">
        <f>VLOOKUP(DM$8,William_Blair!$A$1:$E$488,2,FALSE)</f>
        <v>0</v>
      </c>
      <c r="DN80" s="482">
        <f>VLOOKUP(DN$8,William_Blair!$A$1:$E$488,2,FALSE)</f>
        <v>0</v>
      </c>
      <c r="DO80" s="482">
        <f>VLOOKUP(DO$8,William_Blair!$A$1:$E$488,2,FALSE)</f>
        <v>0</v>
      </c>
      <c r="DP80" s="482">
        <f>VLOOKUP(DP$8,William_Blair!$A$1:$E$488,2,FALSE)</f>
        <v>0</v>
      </c>
      <c r="DQ80" s="482">
        <f>VLOOKUP(DQ$8,William_Blair!$A$1:$E$488,2,FALSE)</f>
        <v>0</v>
      </c>
      <c r="DR80" s="482">
        <f>VLOOKUP(DR$8,William_Blair!$A$1:$E$488,2,FALSE)</f>
        <v>0</v>
      </c>
      <c r="DS80" s="482">
        <f>VLOOKUP(DS$8,William_Blair!$A$1:$E$488,2,FALSE)</f>
        <v>0</v>
      </c>
      <c r="DT80" s="482">
        <f>VLOOKUP(DT$8,William_Blair!$A$1:$E$488,2,FALSE)</f>
        <v>0</v>
      </c>
      <c r="DU80" s="482">
        <f>VLOOKUP(DU$8,William_Blair!$A$1:$E$488,2,FALSE)</f>
        <v>0</v>
      </c>
      <c r="DV80" s="482">
        <f>VLOOKUP(DV$8,William_Blair!$A$1:$E$488,2,FALSE)</f>
        <v>0</v>
      </c>
      <c r="DW80" s="482">
        <f>VLOOKUP(DW$8,William_Blair!$A$1:$E$488,2,FALSE)</f>
        <v>0</v>
      </c>
      <c r="DX80" s="482">
        <f>VLOOKUP(DX$8,William_Blair!$A$1:$E$488,2,FALSE)</f>
        <v>0</v>
      </c>
      <c r="DY80" s="482">
        <f>VLOOKUP(DY$8,William_Blair!$A$1:$E$488,2,FALSE)</f>
        <v>0</v>
      </c>
      <c r="DZ80" s="482">
        <f>VLOOKUP(DZ$8,William_Blair!$A$1:$E$488,2,FALSE)</f>
        <v>0</v>
      </c>
      <c r="EA80" s="482">
        <f>VLOOKUP(EA$8,William_Blair!$A$1:$E$488,2,FALSE)</f>
        <v>0</v>
      </c>
      <c r="EB80" s="482">
        <f>VLOOKUP(EB$8,William_Blair!$A$1:$E$488,2,FALSE)</f>
        <v>0</v>
      </c>
      <c r="EC80" s="482">
        <f>VLOOKUP(EC$8,William_Blair!$A$1:$E$488,2,FALSE)</f>
        <v>0</v>
      </c>
      <c r="ED80" s="482">
        <f>VLOOKUP(ED$8,William_Blair!$A$1:$E$488,2,FALSE)</f>
        <v>0</v>
      </c>
      <c r="EE80" s="482">
        <f>VLOOKUP(EE$8,William_Blair!$A$1:$E$488,2,FALSE)</f>
        <v>0</v>
      </c>
      <c r="EF80" s="482">
        <f>VLOOKUP(EF$8,William_Blair!$A$1:$E$488,2,FALSE)</f>
        <v>0</v>
      </c>
      <c r="EG80" s="482">
        <f>VLOOKUP(EG$8,William_Blair!$A$1:$E$488,2,FALSE)</f>
        <v>0</v>
      </c>
      <c r="EH80" s="482">
        <f>VLOOKUP(EH$8,William_Blair!$A$1:$E$488,2,FALSE)</f>
        <v>0</v>
      </c>
      <c r="EI80" s="482">
        <f>VLOOKUP(EI$8,William_Blair!$A$1:$E$488,2,FALSE)</f>
        <v>0</v>
      </c>
      <c r="EJ80" s="482">
        <f>VLOOKUP(EJ$8,William_Blair!$A$1:$E$488,2,FALSE)</f>
        <v>0</v>
      </c>
      <c r="EK80" s="482">
        <f>VLOOKUP(EK$8,William_Blair!$A$1:$E$488,2,FALSE)</f>
        <v>0</v>
      </c>
      <c r="EL80" s="482">
        <f>VLOOKUP(EL$8,William_Blair!$A$1:$E$488,2,FALSE)</f>
        <v>0</v>
      </c>
      <c r="EM80" s="482">
        <f>VLOOKUP(EM$8,William_Blair!$A$1:$E$488,2,FALSE)</f>
        <v>0</v>
      </c>
      <c r="EN80" s="482">
        <f>VLOOKUP(EN$8,William_Blair!$A$1:$E$488,2,FALSE)</f>
        <v>0</v>
      </c>
      <c r="EO80" s="482">
        <f>VLOOKUP(EO$8,William_Blair!$A$1:$E$488,2,FALSE)</f>
        <v>0</v>
      </c>
      <c r="EP80" s="482">
        <f>VLOOKUP(EP$8,William_Blair!$A$1:$E$488,2,FALSE)</f>
        <v>0</v>
      </c>
      <c r="EQ80" s="482">
        <f>VLOOKUP(EQ$8,William_Blair!$A$1:$E$488,2,FALSE)</f>
        <v>0</v>
      </c>
      <c r="ER80" s="482">
        <f>VLOOKUP(ER$8,William_Blair!$A$1:$E$488,2,FALSE)</f>
        <v>0</v>
      </c>
      <c r="ES80" s="482">
        <f>VLOOKUP(ES$8,William_Blair!$A$1:$E$488,2,FALSE)</f>
        <v>0</v>
      </c>
      <c r="ET80" s="482">
        <f>VLOOKUP(ET$8,William_Blair!$A$1:$E$488,2,FALSE)</f>
        <v>0</v>
      </c>
      <c r="EU80" s="482">
        <f>VLOOKUP(EU$8,William_Blair!$A$1:$E$488,2,FALSE)</f>
        <v>0</v>
      </c>
      <c r="EV80" s="482">
        <f>VLOOKUP(EV$8,William_Blair!$A$1:$E$488,2,FALSE)</f>
        <v>0</v>
      </c>
      <c r="EW80" s="482">
        <f>VLOOKUP(EW$8,William_Blair!$A$1:$E$488,2,FALSE)</f>
        <v>0</v>
      </c>
      <c r="EX80" s="515" t="s">
        <v>185</v>
      </c>
      <c r="EY80" s="1066" t="s">
        <v>498</v>
      </c>
      <c r="EZ80" s="789">
        <f>VLOOKUP($EY80,'NEPC data'!$B65:$M252,5,TRUE)*100</f>
        <v>-12.317684751999991</v>
      </c>
      <c r="FA80" s="789">
        <f>VLOOKUP($EY80,'NEPC data'!$B65:$M252,7,TRUE)*100</f>
        <v>-45.450932945137133</v>
      </c>
      <c r="FB80" s="789">
        <f>VLOOKUP($EY80,'NEPC data'!$B65:$M252,9,TRUE)*100</f>
        <v>-14.700496434600785</v>
      </c>
      <c r="FC80" s="789">
        <f>VLOOKUP($EY80,'NEPC data'!$B65:$M252,10,TRUE)*100</f>
        <v>0</v>
      </c>
      <c r="FD80" s="789">
        <f>VLOOKUP($EY80,'NEPC data'!$B65:$M252,11,TRUE)*100</f>
        <v>0</v>
      </c>
      <c r="FE80" s="418"/>
      <c r="FF80" s="570">
        <f>IF(G80="---","-",ABS(EZ80-G80))</f>
        <v>19.763212438661238</v>
      </c>
      <c r="FG80" s="570">
        <f>IF(I80="---","-",ABS(FA80-I80))</f>
        <v>70.58635006013111</v>
      </c>
      <c r="FH80" s="570">
        <f>IF(K80="---","-",ABS(FB80-K80))</f>
        <v>23.191990518161965</v>
      </c>
      <c r="FI80" s="570" t="str">
        <f>IF(M80="---","-",ABS(FC80-M80))</f>
        <v>-</v>
      </c>
      <c r="FJ80" s="570">
        <f>IF(Q80="---","-",ABS(FD80-Q80))</f>
        <v>3.8269029118754627</v>
      </c>
      <c r="FK80" s="418"/>
      <c r="FL80" s="467">
        <f>FL79</f>
        <v>1.8393551738870695</v>
      </c>
      <c r="FM80" s="467">
        <f>ABS(FL80-AF83)</f>
        <v>1.8393551738870695</v>
      </c>
    </row>
    <row r="81" spans="1:169" s="15" customFormat="1" ht="12.75" customHeight="1" x14ac:dyDescent="0.2">
      <c r="A81" s="1175" t="s">
        <v>701</v>
      </c>
      <c r="B81" s="1310" t="s">
        <v>318</v>
      </c>
      <c r="C81" s="430">
        <v>40512</v>
      </c>
      <c r="D81" s="249"/>
      <c r="E81" s="444">
        <f>VLOOKUP(AH$8,LSV_EM!A6:E488,3,FALSE)/1000000</f>
        <v>330.31242911000004</v>
      </c>
      <c r="F81" s="483">
        <f>AH81</f>
        <v>2.4500199999999999</v>
      </c>
      <c r="G81" s="476">
        <f t="array" ref="G81">IF($AJ81=0,"---",(PRODUCT($AH81:AJ81/100+1)-1)*100)</f>
        <v>7.7273430115204489</v>
      </c>
      <c r="H81" s="432">
        <f t="array" ref="H81">IF($AS81=0,"---",(PRODUCT(AH81:AN81/100+1)-1)*100)</f>
        <v>21.710881025392446</v>
      </c>
      <c r="I81" s="476">
        <f t="array" ref="I81">IF(AS81=0,"---",(GEOMEAN($AH81:AS81/100+1)^12-1)*100)</f>
        <v>24.426610917686187</v>
      </c>
      <c r="J81" s="476">
        <f t="array" ref="J81">IF(BE81=0,"---",(GEOMEAN($AH81:BE81/100+1)^12-1)*100)</f>
        <v>12.912152722310521</v>
      </c>
      <c r="K81" s="476">
        <f t="array" ref="K81">IF(BQ81=0,"---",(GEOMEAN($AH81:BQ81/100+1)^12-1)*100)</f>
        <v>6.2262473706113042</v>
      </c>
      <c r="L81" s="476" t="str">
        <f t="array" ref="L81">IF(CC81=0,"---",(GEOMEAN($AH81:CC81/100+1)^12-1)*100)</f>
        <v>---</v>
      </c>
      <c r="M81" s="476" t="str">
        <f t="array" ref="M81">IF(CO81=0,"---",(GEOMEAN($AH81:CO81/100+1)^12-1)*100)</f>
        <v>---</v>
      </c>
      <c r="N81" s="476" t="str">
        <f t="array" ref="N81">IF(DM81=0,"---",(GEOMEAN($AH81:DM81/100+1)^12-1)*100)</f>
        <v>---</v>
      </c>
      <c r="O81" s="476" t="str">
        <f t="array" ref="O81">IF(EK81=0,"---",(GEOMEAN($AH81:EK81/100+1)^12-1)*100)</f>
        <v>---</v>
      </c>
      <c r="P81" s="476" t="str">
        <f t="array" ref="P81">IF(EW81=0,"---",(GEOMEAN($AH81:EW81/100+1)^12-1)*100)</f>
        <v>---</v>
      </c>
      <c r="Q81" s="458">
        <f t="array" ref="Q81">(GEOMEAN(LSV_EM!B428:B471/100+1)^12-1)*100</f>
        <v>4.0503068520953533</v>
      </c>
      <c r="R81" s="434">
        <f t="shared" si="76"/>
        <v>19.649999999999991</v>
      </c>
      <c r="S81" s="434">
        <f t="shared" si="76"/>
        <v>72.739597546882521</v>
      </c>
      <c r="T81" s="434">
        <f>IF(H81="---","---",(H81-H$83)*100)</f>
        <v>340.21979521975607</v>
      </c>
      <c r="U81" s="434">
        <f t="shared" ref="U81:AB82" si="78">IF(I81="---","---",(I81-I$83)*100)</f>
        <v>437.65872079279086</v>
      </c>
      <c r="V81" s="434">
        <f t="shared" si="78"/>
        <v>286.94625498396624</v>
      </c>
      <c r="W81" s="434">
        <f t="shared" si="78"/>
        <v>162.26434543118896</v>
      </c>
      <c r="X81" s="434" t="str">
        <f t="shared" si="78"/>
        <v>---</v>
      </c>
      <c r="Y81" s="434" t="str">
        <f t="shared" si="78"/>
        <v>---</v>
      </c>
      <c r="Z81" s="434" t="str">
        <f t="shared" si="78"/>
        <v>---</v>
      </c>
      <c r="AA81" s="434" t="str">
        <f t="shared" si="78"/>
        <v>---</v>
      </c>
      <c r="AB81" s="434" t="str">
        <f t="shared" si="78"/>
        <v>---</v>
      </c>
      <c r="AC81" s="435">
        <f t="array" ref="AC81">(Q81-AF81)*100</f>
        <v>142.38535183162426</v>
      </c>
      <c r="AD81" s="436">
        <v>350</v>
      </c>
      <c r="AE81" s="1366"/>
      <c r="AF81" s="432">
        <f t="array" ref="AF81">(GEOMEAN(Index_Returns!AL428:AL471/100+1)^12-1)*100</f>
        <v>2.6264533337791107</v>
      </c>
      <c r="AG81" s="418" t="str">
        <f>IF(I81="---","&lt; 1 Year","---")</f>
        <v>---</v>
      </c>
      <c r="AH81" s="482">
        <f>VLOOKUP(AH$8,LSV_EM!$A$1:$E$488,2,FALSE)</f>
        <v>2.4500199999999999</v>
      </c>
      <c r="AI81" s="482">
        <f>VLOOKUP(AI$8,LSV_EM!$A$1:$E$488,2,FALSE)</f>
        <v>1.7689900000000001</v>
      </c>
      <c r="AJ81" s="482">
        <f>VLOOKUP(AJ$8,LSV_EM!$A$1:$E$488,2,FALSE)</f>
        <v>3.32334</v>
      </c>
      <c r="AK81" s="482">
        <f>VLOOKUP(AK$8,LSV_EM!$A$1:$E$488,2,FALSE)</f>
        <v>4.3637100000000002</v>
      </c>
      <c r="AL81" s="482">
        <f>VLOOKUP(AL$8,LSV_EM!$A$1:$E$488,2,FALSE)</f>
        <v>1.1179300000000001</v>
      </c>
      <c r="AM81" s="482">
        <f>VLOOKUP(AM$8,LSV_EM!$A$1:$E$488,2,FALSE)</f>
        <v>4.2925599999999999</v>
      </c>
      <c r="AN81" s="482">
        <f>VLOOKUP(AN$8,LSV_EM!$A$1:$E$488,2,FALSE)</f>
        <v>2.6531899999999999</v>
      </c>
      <c r="AO81" s="482">
        <f>VLOOKUP(AO$8,LSV_EM!$A$1:$E$488,2,FALSE)</f>
        <v>-7.0313400000000001</v>
      </c>
      <c r="AP81" s="482">
        <f>VLOOKUP(AP$8,LSV_EM!$A$1:$E$488,2,FALSE)</f>
        <v>-0.85736000000000001</v>
      </c>
      <c r="AQ81" s="482">
        <f>VLOOKUP(AQ$8,LSV_EM!$A$1:$E$488,2,FALSE)</f>
        <v>-1.3465800000000001</v>
      </c>
      <c r="AR81" s="482">
        <f>VLOOKUP(AR$8,LSV_EM!$A$1:$E$488,2,FALSE)</f>
        <v>4.5778100000000004</v>
      </c>
      <c r="AS81" s="482">
        <f>VLOOKUP(AS$8,LSV_EM!$A$1:$E$488,2,FALSE)</f>
        <v>7.5065999999999997</v>
      </c>
      <c r="AT81" s="482">
        <f>VLOOKUP(AT$8,LSV_EM!$A$1:$E$488,2,FALSE)</f>
        <v>-1.33839</v>
      </c>
      <c r="AU81" s="482">
        <f>VLOOKUP(AU$8,LSV_EM!$A$1:$E$488,2,FALSE)</f>
        <v>0.54176999999999997</v>
      </c>
      <c r="AV81" s="482">
        <f>VLOOKUP(AV$8,LSV_EM!$A$1:$E$488,2,FALSE)</f>
        <v>-8.1755200000000006</v>
      </c>
      <c r="AW81" s="482">
        <f>VLOOKUP(AW$8,LSV_EM!$A$1:$E$488,2,FALSE)</f>
        <v>-2.9282499999999998</v>
      </c>
      <c r="AX81" s="482">
        <f>VLOOKUP(AX$8,LSV_EM!$A$1:$E$488,2,FALSE)</f>
        <v>1.4065700000000001</v>
      </c>
      <c r="AY81" s="482">
        <f>VLOOKUP(AY$8,LSV_EM!$A$1:$E$488,2,FALSE)</f>
        <v>-1.51522</v>
      </c>
      <c r="AZ81" s="482">
        <f>VLOOKUP(AZ$8,LSV_EM!$A$1:$E$488,2,FALSE)</f>
        <v>-1.0739399999999999</v>
      </c>
      <c r="BA81" s="482">
        <f>VLOOKUP(BA$8,LSV_EM!$A$1:$E$488,2,FALSE)</f>
        <v>2.8921100000000002</v>
      </c>
      <c r="BB81" s="482">
        <f>VLOOKUP(BB$8,LSV_EM!$A$1:$E$488,2,FALSE)</f>
        <v>6.4606500000000002</v>
      </c>
      <c r="BC81" s="482">
        <f>VLOOKUP(BC$8,LSV_EM!$A$1:$E$488,2,FALSE)</f>
        <v>1.4605600000000001</v>
      </c>
      <c r="BD81" s="482">
        <f>VLOOKUP(BD$8,LSV_EM!$A$1:$E$488,2,FALSE)</f>
        <v>-0.43907000000000002</v>
      </c>
      <c r="BE81" s="482">
        <f>VLOOKUP(BE$8,LSV_EM!$A$1:$E$488,2,FALSE)</f>
        <v>6.0031400000000001</v>
      </c>
      <c r="BF81" s="482">
        <f>VLOOKUP(BF$8,LSV_EM!$A$1:$E$488,2,FALSE)</f>
        <v>0.20180999999999999</v>
      </c>
      <c r="BG81" s="482">
        <f>VLOOKUP(BG$8,LSV_EM!$A$1:$E$488,2,FALSE)</f>
        <v>0.93594999999999995</v>
      </c>
      <c r="BH81" s="482">
        <f>VLOOKUP(BH$8,LSV_EM!$A$1:$E$488,2,FALSE)</f>
        <v>4.1545500000000004</v>
      </c>
      <c r="BI81" s="482">
        <f>VLOOKUP(BI$8,LSV_EM!$A$1:$E$488,2,FALSE)</f>
        <v>-11.57859</v>
      </c>
      <c r="BJ81" s="482">
        <f>VLOOKUP(BJ$8,LSV_EM!$A$1:$E$488,2,FALSE)</f>
        <v>-1.8273999999999999</v>
      </c>
      <c r="BK81" s="482">
        <f>VLOOKUP(BK$8,LSV_EM!$A$1:$E$488,2,FALSE)</f>
        <v>-3.41</v>
      </c>
      <c r="BL81" s="482">
        <f>VLOOKUP(BL$8,LSV_EM!$A$1:$E$488,2,FALSE)</f>
        <v>6.7681300000000002</v>
      </c>
      <c r="BM81" s="482">
        <f>VLOOKUP(BM$8,LSV_EM!$A$1:$E$488,2,FALSE)</f>
        <v>13.7159</v>
      </c>
      <c r="BN81" s="482">
        <f>VLOOKUP(BN$8,LSV_EM!$A$1:$E$488,2,FALSE)</f>
        <v>-2.1310799999999999</v>
      </c>
      <c r="BO81" s="482">
        <f>VLOOKUP(BO$8,LSV_EM!$A$1:$E$488,2,FALSE)</f>
        <v>-5.5200500000000003</v>
      </c>
      <c r="BP81" s="482">
        <f>VLOOKUP(BP$8,LSV_EM!$A$1:$E$488,2,FALSE)</f>
        <v>11.48728</v>
      </c>
      <c r="BQ81" s="482">
        <f>VLOOKUP(BQ$8,LSV_EM!$A$1:$E$488,2,FALSE)</f>
        <v>-14.95242</v>
      </c>
      <c r="BR81" s="482">
        <f>VLOOKUP(BR$8,LSV_EM!$A$1:$E$488,2,FALSE)</f>
        <v>-10.270289999999999</v>
      </c>
      <c r="BS81" s="482">
        <f>VLOOKUP(BS$8,LSV_EM!$A$1:$E$488,2,FALSE)</f>
        <v>-9.0090000000000003E-2</v>
      </c>
      <c r="BT81" s="482">
        <f>VLOOKUP(BT$8,LSV_EM!$A$1:$E$488,2,FALSE)</f>
        <v>-1.0256099999999999</v>
      </c>
      <c r="BU81" s="482">
        <f>VLOOKUP(BU$8,LSV_EM!$A$1:$E$488,2,FALSE)</f>
        <v>-3.1827100000000002</v>
      </c>
      <c r="BV81" s="482">
        <f>VLOOKUP(BV$8,LSV_EM!$A$1:$E$488,2,FALSE)</f>
        <v>3.67605</v>
      </c>
      <c r="BW81" s="482">
        <f>VLOOKUP(BW$8,LSV_EM!$A$1:$E$488,2,FALSE)</f>
        <v>6.0442799999999997</v>
      </c>
      <c r="BX81" s="482">
        <f>VLOOKUP(BX$8,LSV_EM!$A$1:$E$488,2,FALSE)</f>
        <v>-1.13002</v>
      </c>
      <c r="BY81" s="482">
        <f>VLOOKUP(BY$8,LSV_EM!$A$1:$E$488,2,FALSE)</f>
        <v>-0.66</v>
      </c>
      <c r="BZ81" s="482">
        <f>VLOOKUP(BZ$8,LSV_EM!$A$1:$E$488,2,FALSE)</f>
        <v>6.5779399999999999</v>
      </c>
      <c r="CA81" s="482">
        <f>VLOOKUP(CA$8,LSV_EM!$A$1:$E$488,2,FALSE)</f>
        <v>0</v>
      </c>
      <c r="CB81" s="482">
        <f>VLOOKUP(CB$8,LSV_EM!$A$1:$E$488,2,FALSE)</f>
        <v>0</v>
      </c>
      <c r="CC81" s="482">
        <f>VLOOKUP(CC$8,LSV_EM!$A$1:$E$488,2,FALSE)</f>
        <v>0</v>
      </c>
      <c r="CD81" s="482">
        <f>VLOOKUP(CD$8,LSV_EM!$A$1:$E$488,2,FALSE)</f>
        <v>0</v>
      </c>
      <c r="CE81" s="482">
        <f>VLOOKUP(CE$8,LSV_EM!$A$1:$E$488,2,FALSE)</f>
        <v>0</v>
      </c>
      <c r="CF81" s="482">
        <f>VLOOKUP(CF$8,LSV_EM!$A$1:$E$488,2,FALSE)</f>
        <v>0</v>
      </c>
      <c r="CG81" s="482">
        <f>VLOOKUP(CG$8,LSV_EM!$A$1:$E$488,2,FALSE)</f>
        <v>0</v>
      </c>
      <c r="CH81" s="482">
        <f>VLOOKUP(CH$8,LSV_EM!$A$1:$E$488,2,FALSE)</f>
        <v>0</v>
      </c>
      <c r="CI81" s="482">
        <f>VLOOKUP(CI$8,LSV_EM!$A$1:$E$488,2,FALSE)</f>
        <v>0</v>
      </c>
      <c r="CJ81" s="482">
        <f>VLOOKUP(CJ$8,LSV_EM!$A$1:$E$488,2,FALSE)</f>
        <v>0</v>
      </c>
      <c r="CK81" s="482">
        <f>VLOOKUP(CK$8,LSV_EM!$A$1:$E$488,2,FALSE)</f>
        <v>0</v>
      </c>
      <c r="CL81" s="482">
        <f>VLOOKUP(CL$8,LSV_EM!$A$1:$E$488,2,FALSE)</f>
        <v>0</v>
      </c>
      <c r="CM81" s="482">
        <f>VLOOKUP(CM$8,LSV_EM!$A$1:$E$488,2,FALSE)</f>
        <v>0</v>
      </c>
      <c r="CN81" s="482">
        <f>VLOOKUP(CN$8,LSV_EM!$A$1:$E$488,2,FALSE)</f>
        <v>0</v>
      </c>
      <c r="CO81" s="482">
        <f>VLOOKUP(CO$8,LSV_EM!$A$1:$E$488,2,FALSE)</f>
        <v>0</v>
      </c>
      <c r="CP81" s="482">
        <f>VLOOKUP(CP$8,LSV_EM!$A$1:$E$488,2,FALSE)</f>
        <v>0</v>
      </c>
      <c r="CQ81" s="482">
        <f>VLOOKUP(CQ$8,LSV_EM!$A$1:$E$488,2,FALSE)</f>
        <v>0</v>
      </c>
      <c r="CR81" s="482">
        <f>VLOOKUP(CR$8,LSV_EM!$A$1:$E$488,2,FALSE)</f>
        <v>0</v>
      </c>
      <c r="CS81" s="482">
        <f>VLOOKUP(CS$8,LSV_EM!$A$1:$E$488,2,FALSE)</f>
        <v>0</v>
      </c>
      <c r="CT81" s="482">
        <f>VLOOKUP(CT$8,LSV_EM!$A$1:$E$488,2,FALSE)</f>
        <v>0</v>
      </c>
      <c r="CU81" s="482">
        <f>VLOOKUP(CU$8,LSV_EM!$A$1:$E$488,2,FALSE)</f>
        <v>0</v>
      </c>
      <c r="CV81" s="482">
        <f>VLOOKUP(CV$8,LSV_EM!$A$1:$E$488,2,FALSE)</f>
        <v>0</v>
      </c>
      <c r="CW81" s="482">
        <f>VLOOKUP(CW$8,LSV_EM!$A$1:$E$488,2,FALSE)</f>
        <v>0</v>
      </c>
      <c r="CX81" s="482">
        <f>VLOOKUP(CX$8,LSV_EM!$A$1:$E$488,2,FALSE)</f>
        <v>0</v>
      </c>
      <c r="CY81" s="482">
        <f>VLOOKUP(CY$8,LSV_EM!$A$1:$E$488,2,FALSE)</f>
        <v>0</v>
      </c>
      <c r="CZ81" s="482">
        <f>VLOOKUP(CZ$8,LSV_EM!$A$1:$E$488,2,FALSE)</f>
        <v>0</v>
      </c>
      <c r="DA81" s="482">
        <f>VLOOKUP(DA$8,LSV_EM!$A$1:$E$488,2,FALSE)</f>
        <v>0</v>
      </c>
      <c r="DB81" s="482">
        <f>VLOOKUP(DB$8,LSV_EM!$A$1:$E$488,2,FALSE)</f>
        <v>0</v>
      </c>
      <c r="DC81" s="482">
        <f>VLOOKUP(DC$8,LSV_EM!$A$1:$E$488,2,FALSE)</f>
        <v>0</v>
      </c>
      <c r="DD81" s="482">
        <f>VLOOKUP(DD$8,LSV_EM!$A$1:$E$488,2,FALSE)</f>
        <v>0</v>
      </c>
      <c r="DE81" s="482">
        <f>VLOOKUP(DE$8,LSV_EM!$A$1:$E$488,2,FALSE)</f>
        <v>0</v>
      </c>
      <c r="DF81" s="482">
        <f>VLOOKUP(DF$8,LSV_EM!$A$1:$E$488,2,FALSE)</f>
        <v>0</v>
      </c>
      <c r="DG81" s="482">
        <f>VLOOKUP(DG$8,LSV_EM!$A$1:$E$488,2,FALSE)</f>
        <v>0</v>
      </c>
      <c r="DH81" s="482">
        <f>VLOOKUP(DH$8,LSV_EM!$A$1:$E$488,2,FALSE)</f>
        <v>0</v>
      </c>
      <c r="DI81" s="482">
        <f>VLOOKUP(DI$8,LSV_EM!$A$1:$E$488,2,FALSE)</f>
        <v>0</v>
      </c>
      <c r="DJ81" s="482">
        <f>VLOOKUP(DJ$8,LSV_EM!$A$1:$E$488,2,FALSE)</f>
        <v>0</v>
      </c>
      <c r="DK81" s="482">
        <f>VLOOKUP(DK$8,LSV_EM!$A$1:$E$488,2,FALSE)</f>
        <v>0</v>
      </c>
      <c r="DL81" s="482">
        <f>VLOOKUP(DL$8,LSV_EM!$A$1:$E$488,2,FALSE)</f>
        <v>0</v>
      </c>
      <c r="DM81" s="482">
        <f>VLOOKUP(DM$8,LSV_EM!$A$1:$E$488,2,FALSE)</f>
        <v>0</v>
      </c>
      <c r="DN81" s="482">
        <f>VLOOKUP(DN$8,LSV_EM!$A$1:$E$488,2,FALSE)</f>
        <v>0</v>
      </c>
      <c r="DO81" s="482">
        <f>VLOOKUP(DO$8,LSV_EM!$A$1:$E$488,2,FALSE)</f>
        <v>0</v>
      </c>
      <c r="DP81" s="482">
        <f>VLOOKUP(DP$8,LSV_EM!$A$1:$E$488,2,FALSE)</f>
        <v>0</v>
      </c>
      <c r="DQ81" s="482">
        <f>VLOOKUP(DQ$8,LSV_EM!$A$1:$E$488,2,FALSE)</f>
        <v>0</v>
      </c>
      <c r="DR81" s="482">
        <f>VLOOKUP(DR$8,LSV_EM!$A$1:$E$488,2,FALSE)</f>
        <v>0</v>
      </c>
      <c r="DS81" s="482">
        <f>VLOOKUP(DS$8,LSV_EM!$A$1:$E$488,2,FALSE)</f>
        <v>0</v>
      </c>
      <c r="DT81" s="482">
        <f>VLOOKUP(DT$8,LSV_EM!$A$1:$E$488,2,FALSE)</f>
        <v>0</v>
      </c>
      <c r="DU81" s="482">
        <f>VLOOKUP(DU$8,LSV_EM!$A$1:$E$488,2,FALSE)</f>
        <v>0</v>
      </c>
      <c r="DV81" s="482">
        <f>VLOOKUP(DV$8,LSV_EM!$A$1:$E$488,2,FALSE)</f>
        <v>0</v>
      </c>
      <c r="DW81" s="482">
        <f>VLOOKUP(DW$8,LSV_EM!$A$1:$E$488,2,FALSE)</f>
        <v>0</v>
      </c>
      <c r="DX81" s="482">
        <f>VLOOKUP(DX$8,LSV_EM!$A$1:$E$488,2,FALSE)</f>
        <v>0</v>
      </c>
      <c r="DY81" s="482">
        <f>VLOOKUP(DY$8,LSV_EM!$A$1:$E$488,2,FALSE)</f>
        <v>0</v>
      </c>
      <c r="DZ81" s="482">
        <f>VLOOKUP(DZ$8,LSV_EM!$A$1:$E$488,2,FALSE)</f>
        <v>0</v>
      </c>
      <c r="EA81" s="482">
        <f>VLOOKUP(EA$8,LSV_EM!$A$1:$E$488,2,FALSE)</f>
        <v>0</v>
      </c>
      <c r="EB81" s="482">
        <f>VLOOKUP(EB$8,LSV_EM!$A$1:$E$488,2,FALSE)</f>
        <v>0</v>
      </c>
      <c r="EC81" s="482">
        <f>VLOOKUP(EC$8,LSV_EM!$A$1:$E$488,2,FALSE)</f>
        <v>0</v>
      </c>
      <c r="ED81" s="482">
        <f>VLOOKUP(ED$8,LSV_EM!$A$1:$E$488,2,FALSE)</f>
        <v>0</v>
      </c>
      <c r="EE81" s="482">
        <f>VLOOKUP(EE$8,LSV_EM!$A$1:$E$488,2,FALSE)</f>
        <v>0</v>
      </c>
      <c r="EF81" s="482">
        <f>VLOOKUP(EF$8,LSV_EM!$A$1:$E$488,2,FALSE)</f>
        <v>0</v>
      </c>
      <c r="EG81" s="482">
        <f>VLOOKUP(EG$8,LSV_EM!$A$1:$E$488,2,FALSE)</f>
        <v>0</v>
      </c>
      <c r="EH81" s="482">
        <f>VLOOKUP(EH$8,LSV_EM!$A$1:$E$488,2,FALSE)</f>
        <v>0</v>
      </c>
      <c r="EI81" s="482">
        <f>VLOOKUP(EI$8,LSV_EM!$A$1:$E$488,2,FALSE)</f>
        <v>0</v>
      </c>
      <c r="EJ81" s="482">
        <f>VLOOKUP(EJ$8,LSV_EM!$A$1:$E$488,2,FALSE)</f>
        <v>0</v>
      </c>
      <c r="EK81" s="482">
        <f>VLOOKUP(EK$8,LSV_EM!$A$1:$E$488,2,FALSE)</f>
        <v>0</v>
      </c>
      <c r="EL81" s="482">
        <f>VLOOKUP(EL$8,LSV_EM!$A$1:$E$488,2,FALSE)</f>
        <v>0</v>
      </c>
      <c r="EM81" s="482">
        <f>VLOOKUP(EM$8,LSV_EM!$A$1:$E$488,2,FALSE)</f>
        <v>0</v>
      </c>
      <c r="EN81" s="482">
        <f>VLOOKUP(EN$8,LSV_EM!$A$1:$E$488,2,FALSE)</f>
        <v>0</v>
      </c>
      <c r="EO81" s="482">
        <f>VLOOKUP(EO$8,LSV_EM!$A$1:$E$488,2,FALSE)</f>
        <v>0</v>
      </c>
      <c r="EP81" s="482">
        <f>VLOOKUP(EP$8,LSV_EM!$A$1:$E$488,2,FALSE)</f>
        <v>0</v>
      </c>
      <c r="EQ81" s="482">
        <f>VLOOKUP(EQ$8,LSV_EM!$A$1:$E$488,2,FALSE)</f>
        <v>0</v>
      </c>
      <c r="ER81" s="482">
        <f>VLOOKUP(ER$8,LSV_EM!$A$1:$E$488,2,FALSE)</f>
        <v>0</v>
      </c>
      <c r="ES81" s="482">
        <f>VLOOKUP(ES$8,LSV_EM!$A$1:$E$488,2,FALSE)</f>
        <v>0</v>
      </c>
      <c r="ET81" s="482">
        <f>VLOOKUP(ET$8,LSV_EM!$A$1:$E$488,2,FALSE)</f>
        <v>0</v>
      </c>
      <c r="EU81" s="482">
        <f>VLOOKUP(EU$8,LSV_EM!$A$1:$E$488,2,FALSE)</f>
        <v>0</v>
      </c>
      <c r="EV81" s="482">
        <f>VLOOKUP(EV$8,LSV_EM!$A$1:$E$488,2,FALSE)</f>
        <v>0</v>
      </c>
      <c r="EW81" s="482">
        <f>VLOOKUP(EW$8,LSV_EM!$A$1:$E$488,2,FALSE)</f>
        <v>0</v>
      </c>
      <c r="EX81" s="515" t="s">
        <v>185</v>
      </c>
      <c r="EY81" s="1066" t="s">
        <v>498</v>
      </c>
      <c r="EZ81" s="789">
        <f>VLOOKUP($EY81,'NEPC data'!$B66:$M253,5,TRUE)*100</f>
        <v>-12.317684751999991</v>
      </c>
      <c r="FA81" s="789">
        <f>VLOOKUP($EY81,'NEPC data'!$B66:$M253,7,TRUE)*100</f>
        <v>-45.450932945137133</v>
      </c>
      <c r="FB81" s="789">
        <f>VLOOKUP($EY81,'NEPC data'!$B66:$M253,9,TRUE)*100</f>
        <v>-14.700496434600785</v>
      </c>
      <c r="FC81" s="789">
        <f>VLOOKUP($EY81,'NEPC data'!$B66:$M253,10,TRUE)*100</f>
        <v>0</v>
      </c>
      <c r="FD81" s="789">
        <f>VLOOKUP($EY81,'NEPC data'!$B66:$M253,11,TRUE)*100</f>
        <v>0</v>
      </c>
      <c r="FE81" s="418"/>
      <c r="FF81" s="570"/>
      <c r="FG81" s="570"/>
      <c r="FH81" s="570"/>
      <c r="FI81" s="570"/>
      <c r="FJ81" s="570"/>
      <c r="FK81" s="418"/>
      <c r="FL81" s="467"/>
      <c r="FM81" s="467"/>
    </row>
    <row r="82" spans="1:169" s="15" customFormat="1" ht="12.75" customHeight="1" x14ac:dyDescent="0.2">
      <c r="A82" s="1062" t="s">
        <v>702</v>
      </c>
      <c r="B82" s="1214" t="s">
        <v>319</v>
      </c>
      <c r="C82" s="446">
        <v>40512</v>
      </c>
      <c r="D82" s="249"/>
      <c r="E82" s="448">
        <f>VLOOKUP(AH$8,Eaton_Vance!A7:E488,3,FALSE)/1000000</f>
        <v>533.40788183999996</v>
      </c>
      <c r="F82" s="484">
        <f>AH82</f>
        <v>2.2015899999999999</v>
      </c>
      <c r="G82" s="479">
        <f t="array" ref="G82">IF($AJ82=0,"---",(PRODUCT($AH82:AJ82/100+1)-1)*100)</f>
        <v>4.3063610812829278</v>
      </c>
      <c r="H82" s="450">
        <f t="array" ref="H82">IF($AS82=0,"---",(PRODUCT(AH82:AN82/100+1)-1)*100)</f>
        <v>16.007851395020722</v>
      </c>
      <c r="I82" s="479">
        <f t="array" ref="I82">IF(AS82=0,"---",(GEOMEAN($AH82:AS82/100+1)^12-1)*100)</f>
        <v>20.117648392615941</v>
      </c>
      <c r="J82" s="479">
        <f t="array" ref="J82">IF(BE82=0,"---",(GEOMEAN($AH82:BE82/100+1)^12-1)*100)</f>
        <v>11.147092965072215</v>
      </c>
      <c r="K82" s="479">
        <f t="array" ref="K82">IF(BQ82=0,"---",(GEOMEAN($AH82:BQ82/100+1)^12-1)*100)</f>
        <v>5.3014000606780742</v>
      </c>
      <c r="L82" s="479" t="str">
        <f t="array" ref="L82">IF(CC82=0,"---",(GEOMEAN($AH82:CC82/100+1)^12-1)*100)</f>
        <v>---</v>
      </c>
      <c r="M82" s="479" t="str">
        <f t="array" ref="M82">IF(CO82=0,"---",(GEOMEAN($AH82:CO82/100+1)^12-1)*100)</f>
        <v>---</v>
      </c>
      <c r="N82" s="479" t="str">
        <f t="array" ref="N82">IF(DM82=0,"---",(GEOMEAN($AH82:DM82/100+1)^12-1)*100)</f>
        <v>---</v>
      </c>
      <c r="O82" s="479" t="str">
        <f t="array" ref="O82">IF(EK82=0,"---",(GEOMEAN($AH82:EK82/100+1)^12-1)*100)</f>
        <v>---</v>
      </c>
      <c r="P82" s="479" t="str">
        <f t="array" ref="P82">IF(EW82=0,"---",(GEOMEAN($AH82:EW82/100+1)^12-1)*100)</f>
        <v>---</v>
      </c>
      <c r="Q82" s="1396">
        <f t="array" ref="Q82">(GEOMEAN(Eaton_Vance!B428:B471/100+1)^12-1)*100</f>
        <v>3.2035333605675786</v>
      </c>
      <c r="R82" s="452">
        <f t="shared" si="76"/>
        <v>-5.1930000000000032</v>
      </c>
      <c r="S82" s="452">
        <f t="shared" si="76"/>
        <v>-269.3585954768696</v>
      </c>
      <c r="T82" s="452">
        <f>IF(H82="---","---",(H82-H$83)*100)</f>
        <v>-230.08316781741627</v>
      </c>
      <c r="U82" s="452">
        <f t="shared" si="78"/>
        <v>6.7624682857662322</v>
      </c>
      <c r="V82" s="452">
        <f t="shared" si="78"/>
        <v>110.44027926013555</v>
      </c>
      <c r="W82" s="452">
        <f t="shared" si="78"/>
        <v>69.779614437865959</v>
      </c>
      <c r="X82" s="452" t="str">
        <f t="shared" si="78"/>
        <v>---</v>
      </c>
      <c r="Y82" s="452" t="str">
        <f t="shared" si="78"/>
        <v>---</v>
      </c>
      <c r="Z82" s="452" t="str">
        <f t="shared" si="78"/>
        <v>---</v>
      </c>
      <c r="AA82" s="452" t="str">
        <f t="shared" si="78"/>
        <v>---</v>
      </c>
      <c r="AB82" s="452" t="str">
        <f t="shared" si="78"/>
        <v>---</v>
      </c>
      <c r="AC82" s="453">
        <f t="array" ref="AC82">(Q82-AF82)*100</f>
        <v>57.708002678846796</v>
      </c>
      <c r="AD82" s="454">
        <v>300</v>
      </c>
      <c r="AE82" s="1390"/>
      <c r="AF82" s="432">
        <f t="array" ref="AF82">(GEOMEAN(Index_Returns!AL428:AL471/100+1)^12-1)*100</f>
        <v>2.6264533337791107</v>
      </c>
      <c r="AG82" s="418" t="str">
        <f>IF(I82="---","&lt; 1 Year","---")</f>
        <v>---</v>
      </c>
      <c r="AH82" s="482">
        <f>VLOOKUP(AH$8,Eaton_Vance!$A$1:$E$488,2,FALSE)</f>
        <v>2.2015899999999999</v>
      </c>
      <c r="AI82" s="482">
        <f>VLOOKUP(AI$8,Eaton_Vance!$A$1:$E$488,2,FALSE)</f>
        <v>0.52571999999999997</v>
      </c>
      <c r="AJ82" s="482">
        <f>VLOOKUP(AJ$8,Eaton_Vance!$A$1:$E$488,2,FALSE)</f>
        <v>1.52569</v>
      </c>
      <c r="AK82" s="482">
        <f>VLOOKUP(AK$8,Eaton_Vance!$A$1:$E$488,2,FALSE)</f>
        <v>3.6456200000000001</v>
      </c>
      <c r="AL82" s="482">
        <f>VLOOKUP(AL$8,Eaton_Vance!$A$1:$E$488,2,FALSE)</f>
        <v>0.74112</v>
      </c>
      <c r="AM82" s="482">
        <f>VLOOKUP(AM$8,Eaton_Vance!$A$1:$E$488,2,FALSE)</f>
        <v>2.9294199999999999</v>
      </c>
      <c r="AN82" s="482">
        <f>VLOOKUP(AN$8,Eaton_Vance!$A$1:$E$488,2,FALSE)</f>
        <v>3.4854599999999998</v>
      </c>
      <c r="AO82" s="482">
        <f>VLOOKUP(AO$8,Eaton_Vance!$A$1:$E$488,2,FALSE)</f>
        <v>-5.2679400000000003</v>
      </c>
      <c r="AP82" s="482">
        <f>VLOOKUP(AP$8,Eaton_Vance!$A$1:$E$488,2,FALSE)</f>
        <v>-2.1329999999999998E-2</v>
      </c>
      <c r="AQ82" s="482">
        <f>VLOOKUP(AQ$8,Eaton_Vance!$A$1:$E$488,2,FALSE)</f>
        <v>-1.58117</v>
      </c>
      <c r="AR82" s="482">
        <f>VLOOKUP(AR$8,Eaton_Vance!$A$1:$E$488,2,FALSE)</f>
        <v>4.2674399999999997</v>
      </c>
      <c r="AS82" s="482">
        <f>VLOOKUP(AS$8,Eaton_Vance!$A$1:$E$488,2,FALSE)</f>
        <v>6.5339900000000002</v>
      </c>
      <c r="AT82" s="482">
        <f>VLOOKUP(AT$8,Eaton_Vance!$A$1:$E$488,2,FALSE)</f>
        <v>-2.7597900000000002</v>
      </c>
      <c r="AU82" s="482">
        <f>VLOOKUP(AU$8,Eaton_Vance!$A$1:$E$488,2,FALSE)</f>
        <v>1.8649500000000001</v>
      </c>
      <c r="AV82" s="482">
        <f>VLOOKUP(AV$8,Eaton_Vance!$A$1:$E$488,2,FALSE)</f>
        <v>-5.5419600000000004</v>
      </c>
      <c r="AW82" s="482">
        <f>VLOOKUP(AW$8,Eaton_Vance!$A$1:$E$488,2,FALSE)</f>
        <v>-1.85517</v>
      </c>
      <c r="AX82" s="482">
        <f>VLOOKUP(AX$8,Eaton_Vance!$A$1:$E$488,2,FALSE)</f>
        <v>0.90786999999999995</v>
      </c>
      <c r="AY82" s="482">
        <f>VLOOKUP(AY$8,Eaton_Vance!$A$1:$E$488,2,FALSE)</f>
        <v>-0.69140000000000001</v>
      </c>
      <c r="AZ82" s="482">
        <f>VLOOKUP(AZ$8,Eaton_Vance!$A$1:$E$488,2,FALSE)</f>
        <v>-1.6329</v>
      </c>
      <c r="BA82" s="482">
        <f>VLOOKUP(BA$8,Eaton_Vance!$A$1:$E$488,2,FALSE)</f>
        <v>2.4335900000000001</v>
      </c>
      <c r="BB82" s="482">
        <f>VLOOKUP(BB$8,Eaton_Vance!$A$1:$E$488,2,FALSE)</f>
        <v>5.3881100000000002</v>
      </c>
      <c r="BC82" s="482">
        <f>VLOOKUP(BC$8,Eaton_Vance!$A$1:$E$488,2,FALSE)</f>
        <v>0.30692999999999998</v>
      </c>
      <c r="BD82" s="482">
        <f>VLOOKUP(BD$8,Eaton_Vance!$A$1:$E$488,2,FALSE)</f>
        <v>-0.18221000000000001</v>
      </c>
      <c r="BE82" s="482">
        <f>VLOOKUP(BE$8,Eaton_Vance!$A$1:$E$488,2,FALSE)</f>
        <v>5.11815</v>
      </c>
      <c r="BF82" s="482">
        <f>VLOOKUP(BF$8,Eaton_Vance!$A$1:$E$488,2,FALSE)</f>
        <v>1.0510699999999999</v>
      </c>
      <c r="BG82" s="482">
        <f>VLOOKUP(BG$8,Eaton_Vance!$A$1:$E$488,2,FALSE)</f>
        <v>0.29465999999999998</v>
      </c>
      <c r="BH82" s="482">
        <f>VLOOKUP(BH$8,Eaton_Vance!$A$1:$E$488,2,FALSE)</f>
        <v>5.0259900000000002</v>
      </c>
      <c r="BI82" s="482">
        <f>VLOOKUP(BI$8,Eaton_Vance!$A$1:$E$488,2,FALSE)</f>
        <v>-10.799020000000001</v>
      </c>
      <c r="BJ82" s="482">
        <f>VLOOKUP(BJ$8,Eaton_Vance!$A$1:$E$488,2,FALSE)</f>
        <v>-1.33304</v>
      </c>
      <c r="BK82" s="482">
        <f>VLOOKUP(BK$8,Eaton_Vance!$A$1:$E$488,2,FALSE)</f>
        <v>-1.3201400000000001</v>
      </c>
      <c r="BL82" s="482">
        <f>VLOOKUP(BL$8,Eaton_Vance!$A$1:$E$488,2,FALSE)</f>
        <v>5.7371299999999996</v>
      </c>
      <c r="BM82" s="482">
        <f>VLOOKUP(BM$8,Eaton_Vance!$A$1:$E$488,2,FALSE)</f>
        <v>10.179080000000001</v>
      </c>
      <c r="BN82" s="482">
        <f>VLOOKUP(BN$8,Eaton_Vance!$A$1:$E$488,2,FALSE)</f>
        <v>-3.47505</v>
      </c>
      <c r="BO82" s="482">
        <f>VLOOKUP(BO$8,Eaton_Vance!$A$1:$E$488,2,FALSE)</f>
        <v>-4.4955999999999996</v>
      </c>
      <c r="BP82" s="482">
        <f>VLOOKUP(BP$8,Eaton_Vance!$A$1:$E$488,2,FALSE)</f>
        <v>10.931380000000001</v>
      </c>
      <c r="BQ82" s="482">
        <f>VLOOKUP(BQ$8,Eaton_Vance!$A$1:$E$488,2,FALSE)</f>
        <v>-14.182320000000001</v>
      </c>
      <c r="BR82" s="482">
        <f>VLOOKUP(BR$8,Eaton_Vance!$A$1:$E$488,2,FALSE)</f>
        <v>-7.4593600000000002</v>
      </c>
      <c r="BS82" s="482">
        <f>VLOOKUP(BS$8,Eaton_Vance!$A$1:$E$488,2,FALSE)</f>
        <v>-0.43989</v>
      </c>
      <c r="BT82" s="482">
        <f>VLOOKUP(BT$8,Eaton_Vance!$A$1:$E$488,2,FALSE)</f>
        <v>-1.2747900000000001</v>
      </c>
      <c r="BU82" s="482">
        <f>VLOOKUP(BU$8,Eaton_Vance!$A$1:$E$488,2,FALSE)</f>
        <v>-2.8783699999999999</v>
      </c>
      <c r="BV82" s="482">
        <f>VLOOKUP(BV$8,Eaton_Vance!$A$1:$E$488,2,FALSE)</f>
        <v>3.8235600000000001</v>
      </c>
      <c r="BW82" s="482">
        <f>VLOOKUP(BW$8,Eaton_Vance!$A$1:$E$488,2,FALSE)</f>
        <v>4.7522000000000002</v>
      </c>
      <c r="BX82" s="482">
        <f>VLOOKUP(BX$8,Eaton_Vance!$A$1:$E$488,2,FALSE)</f>
        <v>-1.32592</v>
      </c>
      <c r="BY82" s="482">
        <f>VLOOKUP(BY$8,Eaton_Vance!$A$1:$E$488,2,FALSE)</f>
        <v>-2.5928800000000001</v>
      </c>
      <c r="BZ82" s="482">
        <f>VLOOKUP(BZ$8,Eaton_Vance!$A$1:$E$488,2,FALSE)</f>
        <v>6.4029999999999996</v>
      </c>
      <c r="CA82" s="482">
        <f>VLOOKUP(CA$8,Eaton_Vance!$A$1:$E$488,2,FALSE)</f>
        <v>0</v>
      </c>
      <c r="CB82" s="482">
        <f>VLOOKUP(CB$8,Eaton_Vance!$A$1:$E$488,2,FALSE)</f>
        <v>0</v>
      </c>
      <c r="CC82" s="482">
        <f>VLOOKUP(CC$8,Eaton_Vance!$A$1:$E$488,2,FALSE)</f>
        <v>0</v>
      </c>
      <c r="CD82" s="482">
        <f>VLOOKUP(CD$8,Eaton_Vance!$A$1:$E$488,2,FALSE)</f>
        <v>0</v>
      </c>
      <c r="CE82" s="482">
        <f>VLOOKUP(CE$8,Eaton_Vance!$A$1:$E$488,2,FALSE)</f>
        <v>0</v>
      </c>
      <c r="CF82" s="482">
        <f>VLOOKUP(CF$8,Eaton_Vance!$A$1:$E$488,2,FALSE)</f>
        <v>0</v>
      </c>
      <c r="CG82" s="482">
        <f>VLOOKUP(CG$8,Eaton_Vance!$A$1:$E$488,2,FALSE)</f>
        <v>0</v>
      </c>
      <c r="CH82" s="482">
        <f>VLOOKUP(CH$8,Eaton_Vance!$A$1:$E$488,2,FALSE)</f>
        <v>0</v>
      </c>
      <c r="CI82" s="482">
        <f>VLOOKUP(CI$8,Eaton_Vance!$A$1:$E$488,2,FALSE)</f>
        <v>0</v>
      </c>
      <c r="CJ82" s="482">
        <f>VLOOKUP(CJ$8,Eaton_Vance!$A$1:$E$488,2,FALSE)</f>
        <v>0</v>
      </c>
      <c r="CK82" s="482">
        <f>VLOOKUP(CK$8,Eaton_Vance!$A$1:$E$488,2,FALSE)</f>
        <v>0</v>
      </c>
      <c r="CL82" s="482">
        <f>VLOOKUP(CL$8,Eaton_Vance!$A$1:$E$488,2,FALSE)</f>
        <v>0</v>
      </c>
      <c r="CM82" s="482">
        <f>VLOOKUP(CM$8,Eaton_Vance!$A$1:$E$488,2,FALSE)</f>
        <v>0</v>
      </c>
      <c r="CN82" s="482">
        <f>VLOOKUP(CN$8,Eaton_Vance!$A$1:$E$488,2,FALSE)</f>
        <v>0</v>
      </c>
      <c r="CO82" s="482">
        <f>VLOOKUP(CO$8,Eaton_Vance!$A$1:$E$488,2,FALSE)</f>
        <v>0</v>
      </c>
      <c r="CP82" s="482">
        <f>VLOOKUP(CP$8,Eaton_Vance!$A$1:$E$488,2,FALSE)</f>
        <v>0</v>
      </c>
      <c r="CQ82" s="482">
        <f>VLOOKUP(CQ$8,Eaton_Vance!$A$1:$E$488,2,FALSE)</f>
        <v>0</v>
      </c>
      <c r="CR82" s="482">
        <f>VLOOKUP(CR$8,Eaton_Vance!$A$1:$E$488,2,FALSE)</f>
        <v>0</v>
      </c>
      <c r="CS82" s="482">
        <f>VLOOKUP(CS$8,Eaton_Vance!$A$1:$E$488,2,FALSE)</f>
        <v>0</v>
      </c>
      <c r="CT82" s="482">
        <f>VLOOKUP(CT$8,Eaton_Vance!$A$1:$E$488,2,FALSE)</f>
        <v>0</v>
      </c>
      <c r="CU82" s="482">
        <f>VLOOKUP(CU$8,Eaton_Vance!$A$1:$E$488,2,FALSE)</f>
        <v>0</v>
      </c>
      <c r="CV82" s="482">
        <f>VLOOKUP(CV$8,Eaton_Vance!$A$1:$E$488,2,FALSE)</f>
        <v>0</v>
      </c>
      <c r="CW82" s="482">
        <f>VLOOKUP(CW$8,Eaton_Vance!$A$1:$E$488,2,FALSE)</f>
        <v>0</v>
      </c>
      <c r="CX82" s="482">
        <f>VLOOKUP(CX$8,Eaton_Vance!$A$1:$E$488,2,FALSE)</f>
        <v>0</v>
      </c>
      <c r="CY82" s="482">
        <f>VLOOKUP(CY$8,Eaton_Vance!$A$1:$E$488,2,FALSE)</f>
        <v>0</v>
      </c>
      <c r="CZ82" s="482">
        <f>VLOOKUP(CZ$8,Eaton_Vance!$A$1:$E$488,2,FALSE)</f>
        <v>0</v>
      </c>
      <c r="DA82" s="482">
        <f>VLOOKUP(DA$8,Eaton_Vance!$A$1:$E$488,2,FALSE)</f>
        <v>0</v>
      </c>
      <c r="DB82" s="482">
        <f>VLOOKUP(DB$8,Eaton_Vance!$A$1:$E$488,2,FALSE)</f>
        <v>0</v>
      </c>
      <c r="DC82" s="482">
        <f>VLOOKUP(DC$8,Eaton_Vance!$A$1:$E$488,2,FALSE)</f>
        <v>0</v>
      </c>
      <c r="DD82" s="482">
        <f>VLOOKUP(DD$8,Eaton_Vance!$A$1:$E$488,2,FALSE)</f>
        <v>0</v>
      </c>
      <c r="DE82" s="482">
        <f>VLOOKUP(DE$8,Eaton_Vance!$A$1:$E$488,2,FALSE)</f>
        <v>0</v>
      </c>
      <c r="DF82" s="482">
        <f>VLOOKUP(DF$8,Eaton_Vance!$A$1:$E$488,2,FALSE)</f>
        <v>0</v>
      </c>
      <c r="DG82" s="482">
        <f>VLOOKUP(DG$8,Eaton_Vance!$A$1:$E$488,2,FALSE)</f>
        <v>0</v>
      </c>
      <c r="DH82" s="482">
        <f>VLOOKUP(DH$8,Eaton_Vance!$A$1:$E$488,2,FALSE)</f>
        <v>0</v>
      </c>
      <c r="DI82" s="482">
        <f>VLOOKUP(DI$8,Eaton_Vance!$A$1:$E$488,2,FALSE)</f>
        <v>0</v>
      </c>
      <c r="DJ82" s="482">
        <f>VLOOKUP(DJ$8,Eaton_Vance!$A$1:$E$488,2,FALSE)</f>
        <v>0</v>
      </c>
      <c r="DK82" s="482">
        <f>VLOOKUP(DK$8,Eaton_Vance!$A$1:$E$488,2,FALSE)</f>
        <v>0</v>
      </c>
      <c r="DL82" s="482">
        <f>VLOOKUP(DL$8,Eaton_Vance!$A$1:$E$488,2,FALSE)</f>
        <v>0</v>
      </c>
      <c r="DM82" s="482">
        <f>VLOOKUP(DM$8,Eaton_Vance!$A$1:$E$488,2,FALSE)</f>
        <v>0</v>
      </c>
      <c r="DN82" s="482">
        <f>VLOOKUP(DN$8,Eaton_Vance!$A$1:$E$488,2,FALSE)</f>
        <v>0</v>
      </c>
      <c r="DO82" s="482">
        <f>VLOOKUP(DO$8,Eaton_Vance!$A$1:$E$488,2,FALSE)</f>
        <v>0</v>
      </c>
      <c r="DP82" s="482">
        <f>VLOOKUP(DP$8,Eaton_Vance!$A$1:$E$488,2,FALSE)</f>
        <v>0</v>
      </c>
      <c r="DQ82" s="482">
        <f>VLOOKUP(DQ$8,Eaton_Vance!$A$1:$E$488,2,FALSE)</f>
        <v>0</v>
      </c>
      <c r="DR82" s="482">
        <f>VLOOKUP(DR$8,Eaton_Vance!$A$1:$E$488,2,FALSE)</f>
        <v>0</v>
      </c>
      <c r="DS82" s="482">
        <f>VLOOKUP(DS$8,Eaton_Vance!$A$1:$E$488,2,FALSE)</f>
        <v>0</v>
      </c>
      <c r="DT82" s="482">
        <f>VLOOKUP(DT$8,Eaton_Vance!$A$1:$E$488,2,FALSE)</f>
        <v>0</v>
      </c>
      <c r="DU82" s="482">
        <f>VLOOKUP(DU$8,Eaton_Vance!$A$1:$E$488,2,FALSE)</f>
        <v>0</v>
      </c>
      <c r="DV82" s="482">
        <f>VLOOKUP(DV$8,Eaton_Vance!$A$1:$E$488,2,FALSE)</f>
        <v>0</v>
      </c>
      <c r="DW82" s="482">
        <f>VLOOKUP(DW$8,Eaton_Vance!$A$1:$E$488,2,FALSE)</f>
        <v>0</v>
      </c>
      <c r="DX82" s="482">
        <f>VLOOKUP(DX$8,Eaton_Vance!$A$1:$E$488,2,FALSE)</f>
        <v>0</v>
      </c>
      <c r="DY82" s="482">
        <f>VLOOKUP(DY$8,Eaton_Vance!$A$1:$E$488,2,FALSE)</f>
        <v>0</v>
      </c>
      <c r="DZ82" s="482">
        <f>VLOOKUP(DZ$8,Eaton_Vance!$A$1:$E$488,2,FALSE)</f>
        <v>0</v>
      </c>
      <c r="EA82" s="482">
        <f>VLOOKUP(EA$8,Eaton_Vance!$A$1:$E$488,2,FALSE)</f>
        <v>0</v>
      </c>
      <c r="EB82" s="482">
        <f>VLOOKUP(EB$8,Eaton_Vance!$A$1:$E$488,2,FALSE)</f>
        <v>0</v>
      </c>
      <c r="EC82" s="482">
        <f>VLOOKUP(EC$8,Eaton_Vance!$A$1:$E$488,2,FALSE)</f>
        <v>0</v>
      </c>
      <c r="ED82" s="482">
        <f>VLOOKUP(ED$8,Eaton_Vance!$A$1:$E$488,2,FALSE)</f>
        <v>0</v>
      </c>
      <c r="EE82" s="482">
        <f>VLOOKUP(EE$8,Eaton_Vance!$A$1:$E$488,2,FALSE)</f>
        <v>0</v>
      </c>
      <c r="EF82" s="482">
        <f>VLOOKUP(EF$8,Eaton_Vance!$A$1:$E$488,2,FALSE)</f>
        <v>0</v>
      </c>
      <c r="EG82" s="482">
        <f>VLOOKUP(EG$8,Eaton_Vance!$A$1:$E$488,2,FALSE)</f>
        <v>0</v>
      </c>
      <c r="EH82" s="482">
        <f>VLOOKUP(EH$8,Eaton_Vance!$A$1:$E$488,2,FALSE)</f>
        <v>0</v>
      </c>
      <c r="EI82" s="482">
        <f>VLOOKUP(EI$8,Eaton_Vance!$A$1:$E$488,2,FALSE)</f>
        <v>0</v>
      </c>
      <c r="EJ82" s="482">
        <f>VLOOKUP(EJ$8,Eaton_Vance!$A$1:$E$488,2,FALSE)</f>
        <v>0</v>
      </c>
      <c r="EK82" s="482">
        <f>VLOOKUP(EK$8,Eaton_Vance!$A$1:$E$488,2,FALSE)</f>
        <v>0</v>
      </c>
      <c r="EL82" s="482">
        <f>VLOOKUP(EL$8,Eaton_Vance!$A$1:$E$488,2,FALSE)</f>
        <v>0</v>
      </c>
      <c r="EM82" s="482">
        <f>VLOOKUP(EM$8,Eaton_Vance!$A$1:$E$488,2,FALSE)</f>
        <v>0</v>
      </c>
      <c r="EN82" s="482">
        <f>VLOOKUP(EN$8,Eaton_Vance!$A$1:$E$488,2,FALSE)</f>
        <v>0</v>
      </c>
      <c r="EO82" s="482">
        <f>VLOOKUP(EO$8,Eaton_Vance!$A$1:$E$488,2,FALSE)</f>
        <v>0</v>
      </c>
      <c r="EP82" s="482">
        <f>VLOOKUP(EP$8,Eaton_Vance!$A$1:$E$488,2,FALSE)</f>
        <v>0</v>
      </c>
      <c r="EQ82" s="482">
        <f>VLOOKUP(EQ$8,Eaton_Vance!$A$1:$E$488,2,FALSE)</f>
        <v>0</v>
      </c>
      <c r="ER82" s="482">
        <f>VLOOKUP(ER$8,Eaton_Vance!$A$1:$E$488,2,FALSE)</f>
        <v>0</v>
      </c>
      <c r="ES82" s="482">
        <f>VLOOKUP(ES$8,Eaton_Vance!$A$1:$E$488,2,FALSE)</f>
        <v>0</v>
      </c>
      <c r="ET82" s="482">
        <f>VLOOKUP(ET$8,Eaton_Vance!$A$1:$E$488,2,FALSE)</f>
        <v>0</v>
      </c>
      <c r="EU82" s="482">
        <f>VLOOKUP(EU$8,Eaton_Vance!$A$1:$E$488,2,FALSE)</f>
        <v>0</v>
      </c>
      <c r="EV82" s="482">
        <f>VLOOKUP(EV$8,Eaton_Vance!$A$1:$E$488,2,FALSE)</f>
        <v>0</v>
      </c>
      <c r="EW82" s="482">
        <f>VLOOKUP(EW$8,Eaton_Vance!$A$1:$E$488,2,FALSE)</f>
        <v>0</v>
      </c>
      <c r="EX82" s="515" t="s">
        <v>185</v>
      </c>
      <c r="EY82" s="1066" t="s">
        <v>498</v>
      </c>
      <c r="EZ82" s="789">
        <f>VLOOKUP($EY82,'NEPC data'!$B67:$M254,5,TRUE)*100</f>
        <v>-12.317684751999991</v>
      </c>
      <c r="FA82" s="789">
        <f>VLOOKUP($EY82,'NEPC data'!$B67:$M254,7,TRUE)*100</f>
        <v>-45.450932945137133</v>
      </c>
      <c r="FB82" s="789">
        <f>VLOOKUP($EY82,'NEPC data'!$B67:$M254,9,TRUE)*100</f>
        <v>-14.700496434600785</v>
      </c>
      <c r="FC82" s="789">
        <f>VLOOKUP($EY82,'NEPC data'!$B67:$M254,10,TRUE)*100</f>
        <v>0</v>
      </c>
      <c r="FD82" s="789">
        <f>VLOOKUP($EY82,'NEPC data'!$B67:$M254,11,TRUE)*100</f>
        <v>0</v>
      </c>
      <c r="FE82" s="418"/>
      <c r="FF82" s="570"/>
      <c r="FG82" s="570"/>
      <c r="FH82" s="570"/>
      <c r="FI82" s="570"/>
      <c r="FJ82" s="570"/>
      <c r="FK82" s="418"/>
      <c r="FL82" s="467"/>
      <c r="FM82" s="467"/>
    </row>
    <row r="83" spans="1:169" s="1028" customFormat="1" ht="12.75" customHeight="1" x14ac:dyDescent="0.2">
      <c r="A83" s="1232" t="s">
        <v>692</v>
      </c>
      <c r="B83" s="1024"/>
      <c r="C83" s="1235"/>
      <c r="D83" s="1218"/>
      <c r="E83" s="470"/>
      <c r="F83" s="1220">
        <f>AH83</f>
        <v>2.25352</v>
      </c>
      <c r="G83" s="1023">
        <f t="array" ref="G83">IF($AJ83=0,"---",(PRODUCT($AH83:AJ83/100+1)-1)*100)</f>
        <v>6.9999470360516236</v>
      </c>
      <c r="H83" s="432">
        <f t="array" ref="H83">IF($AS83=0,"---",(PRODUCT(AH83:AN83/100+1)-1)*100)</f>
        <v>18.308683073194885</v>
      </c>
      <c r="I83" s="1023">
        <f t="array" ref="I83">IF(AS83=0,"---",(GEOMEAN($AH83:AS83/100+1)^12-1)*100)</f>
        <v>20.050023709758278</v>
      </c>
      <c r="J83" s="1023">
        <f t="array" ref="J83">IF(BE83=0,"---",(GEOMEAN($AH83:BE83/100+1)^12-1)*100)</f>
        <v>10.042690172470859</v>
      </c>
      <c r="K83" s="1023">
        <f t="array" ref="K83">IF(BQ83=0,"---",(GEOMEAN($AH83:BQ83/100+1)^12-1)*100)</f>
        <v>4.6036039162994147</v>
      </c>
      <c r="L83" s="1023" t="str">
        <f t="array" ref="L83">IF(CC83=0,"---",(GEOMEAN($AH83:CC83/100+1)^12-1)*100)</f>
        <v>---</v>
      </c>
      <c r="M83" s="1023" t="str">
        <f t="array" ref="M83">IF(CO83=0,"---",(GEOMEAN($AH83:CO83/100+1)^12-1)*100)</f>
        <v>---</v>
      </c>
      <c r="N83" s="1023" t="str">
        <f t="array" ref="N83">IF(DM83=0,"---",(GEOMEAN($AH83:DM83/100+1)^12-1)*100)</f>
        <v>---</v>
      </c>
      <c r="O83" s="1023" t="str">
        <f t="array" ref="O83">IF(EK83=0,"---",(GEOMEAN($AH83:EK83/100+1)^12-1)*100)</f>
        <v>---</v>
      </c>
      <c r="P83" s="1023" t="str">
        <f t="array" ref="P83">IF(EW83=0,"---",(GEOMEAN($AH83:EW83/100+1)^12-1)*100)</f>
        <v>---</v>
      </c>
      <c r="Q83" s="1221" t="s">
        <v>34</v>
      </c>
      <c r="R83" s="1218"/>
      <c r="S83" s="1218"/>
      <c r="T83" s="1218"/>
      <c r="U83" s="1218"/>
      <c r="V83" s="1218"/>
      <c r="W83" s="1218"/>
      <c r="X83" s="1218"/>
      <c r="Y83" s="1218"/>
      <c r="Z83" s="1218"/>
      <c r="AA83" s="1218"/>
      <c r="AB83" s="1218"/>
      <c r="AC83" s="1236"/>
      <c r="AD83" s="1233"/>
      <c r="AE83" s="363"/>
      <c r="AF83" s="432"/>
      <c r="AG83" s="418"/>
      <c r="AH83" s="1025">
        <f t="shared" ref="AH83:BM83" si="79">VLOOKUP(AH$8,Index,38,FALSE)</f>
        <v>2.25352</v>
      </c>
      <c r="AI83" s="1025">
        <f t="shared" si="79"/>
        <v>1.93357</v>
      </c>
      <c r="AJ83" s="1025">
        <f t="shared" si="79"/>
        <v>2.6568800000000001</v>
      </c>
      <c r="AK83" s="1025">
        <f t="shared" si="79"/>
        <v>3.49057</v>
      </c>
      <c r="AL83" s="1025">
        <f t="shared" si="79"/>
        <v>0.33415</v>
      </c>
      <c r="AM83" s="1025">
        <f t="shared" si="79"/>
        <v>3.0695100000000002</v>
      </c>
      <c r="AN83" s="1025">
        <f t="shared" si="79"/>
        <v>3.3126000000000002</v>
      </c>
      <c r="AO83" s="1025">
        <f t="shared" si="79"/>
        <v>-6.4935299999999998</v>
      </c>
      <c r="AP83" s="1025">
        <f t="shared" si="79"/>
        <v>-1.43764</v>
      </c>
      <c r="AQ83" s="1025">
        <f t="shared" si="79"/>
        <v>-1.45442</v>
      </c>
      <c r="AR83" s="1025">
        <f t="shared" si="79"/>
        <v>4.8731200000000001</v>
      </c>
      <c r="AS83" s="1025">
        <f t="shared" si="79"/>
        <v>6.5348100000000002</v>
      </c>
      <c r="AT83" s="1025">
        <f t="shared" si="79"/>
        <v>-1.6781900000000001</v>
      </c>
      <c r="AU83" s="1025">
        <f t="shared" si="79"/>
        <v>1.0989100000000001</v>
      </c>
      <c r="AV83" s="1025">
        <f t="shared" si="79"/>
        <v>-6.3186</v>
      </c>
      <c r="AW83" s="1025">
        <f t="shared" si="79"/>
        <v>-2.5184899999999999</v>
      </c>
      <c r="AX83" s="1025">
        <f t="shared" si="79"/>
        <v>0.79291</v>
      </c>
      <c r="AY83" s="1025">
        <f t="shared" si="79"/>
        <v>-1.70069</v>
      </c>
      <c r="AZ83" s="1025">
        <f t="shared" si="79"/>
        <v>-1.2419800000000001</v>
      </c>
      <c r="BA83" s="1025">
        <f t="shared" si="79"/>
        <v>1.3942699999999999</v>
      </c>
      <c r="BB83" s="1025">
        <f t="shared" si="79"/>
        <v>4.90158</v>
      </c>
      <c r="BC83" s="1025">
        <f t="shared" si="79"/>
        <v>1.27695</v>
      </c>
      <c r="BD83" s="1025">
        <f t="shared" si="79"/>
        <v>-0.59633999999999998</v>
      </c>
      <c r="BE83" s="1025">
        <f t="shared" si="79"/>
        <v>6.0539699999999996</v>
      </c>
      <c r="BF83" s="1025">
        <f t="shared" si="79"/>
        <v>-0.28900999999999999</v>
      </c>
      <c r="BG83" s="1025">
        <f t="shared" si="79"/>
        <v>2.0226899999999999</v>
      </c>
      <c r="BH83" s="1025">
        <f t="shared" si="79"/>
        <v>3.9064999999999999</v>
      </c>
      <c r="BI83" s="1025">
        <f t="shared" si="79"/>
        <v>-11.162570000000001</v>
      </c>
      <c r="BJ83" s="1025">
        <f t="shared" si="79"/>
        <v>-1.17797</v>
      </c>
      <c r="BK83" s="1025">
        <f t="shared" si="79"/>
        <v>-3.3164799999999999</v>
      </c>
      <c r="BL83" s="1025">
        <f t="shared" si="79"/>
        <v>6.0084799999999996</v>
      </c>
      <c r="BM83" s="1025">
        <f t="shared" si="79"/>
        <v>11.362</v>
      </c>
      <c r="BN83" s="1025">
        <f t="shared" ref="BN83:CS83" si="80">VLOOKUP(BN$8,Index,38,FALSE)</f>
        <v>-1.1956899999999999</v>
      </c>
      <c r="BO83" s="1025">
        <f t="shared" si="80"/>
        <v>-6.6592200000000004</v>
      </c>
      <c r="BP83" s="1025">
        <f t="shared" si="80"/>
        <v>13.25563</v>
      </c>
      <c r="BQ83" s="1025">
        <f t="shared" si="80"/>
        <v>-14.56259</v>
      </c>
      <c r="BR83" s="1025">
        <f t="shared" si="80"/>
        <v>-8.8997499999999992</v>
      </c>
      <c r="BS83" s="1025">
        <f t="shared" si="80"/>
        <v>-0.37608000000000003</v>
      </c>
      <c r="BT83" s="1025">
        <f t="shared" si="80"/>
        <v>-1.4963</v>
      </c>
      <c r="BU83" s="1025">
        <f t="shared" si="80"/>
        <v>-2.5831900000000001</v>
      </c>
      <c r="BV83" s="1025">
        <f t="shared" si="80"/>
        <v>3.1237200000000001</v>
      </c>
      <c r="BW83" s="1025">
        <f t="shared" si="80"/>
        <v>5.8952</v>
      </c>
      <c r="BX83" s="1025">
        <f t="shared" si="80"/>
        <v>-0.91776999999999997</v>
      </c>
      <c r="BY83" s="1025">
        <f t="shared" si="80"/>
        <v>-2.69408</v>
      </c>
      <c r="BZ83" s="1025">
        <f t="shared" si="80"/>
        <v>7.1477300000000001</v>
      </c>
      <c r="CA83" s="1025">
        <f t="shared" si="80"/>
        <v>-2.6357599999999999</v>
      </c>
      <c r="CB83" s="1025">
        <f t="shared" si="80"/>
        <v>2.91235</v>
      </c>
      <c r="CC83" s="1025">
        <f t="shared" si="80"/>
        <v>0</v>
      </c>
      <c r="CD83" s="1025">
        <f t="shared" si="80"/>
        <v>0</v>
      </c>
      <c r="CE83" s="1025">
        <f t="shared" si="80"/>
        <v>0</v>
      </c>
      <c r="CF83" s="1025">
        <f t="shared" si="80"/>
        <v>0</v>
      </c>
      <c r="CG83" s="1025">
        <f t="shared" si="80"/>
        <v>0</v>
      </c>
      <c r="CH83" s="1025">
        <f t="shared" si="80"/>
        <v>0</v>
      </c>
      <c r="CI83" s="1025">
        <f t="shared" si="80"/>
        <v>0</v>
      </c>
      <c r="CJ83" s="1025">
        <f t="shared" si="80"/>
        <v>0</v>
      </c>
      <c r="CK83" s="1025">
        <f t="shared" si="80"/>
        <v>0</v>
      </c>
      <c r="CL83" s="1025">
        <f t="shared" si="80"/>
        <v>0</v>
      </c>
      <c r="CM83" s="1025">
        <f t="shared" si="80"/>
        <v>0</v>
      </c>
      <c r="CN83" s="1025">
        <f t="shared" si="80"/>
        <v>0</v>
      </c>
      <c r="CO83" s="1025">
        <f t="shared" si="80"/>
        <v>0</v>
      </c>
      <c r="CP83" s="1025">
        <f t="shared" si="80"/>
        <v>0</v>
      </c>
      <c r="CQ83" s="1025">
        <f t="shared" si="80"/>
        <v>0</v>
      </c>
      <c r="CR83" s="1025">
        <f t="shared" si="80"/>
        <v>0</v>
      </c>
      <c r="CS83" s="1025">
        <f t="shared" si="80"/>
        <v>0</v>
      </c>
      <c r="CT83" s="1025">
        <f t="shared" ref="CT83:DY83" si="81">VLOOKUP(CT$8,Index,38,FALSE)</f>
        <v>0</v>
      </c>
      <c r="CU83" s="1025">
        <f t="shared" si="81"/>
        <v>0</v>
      </c>
      <c r="CV83" s="1025">
        <f t="shared" si="81"/>
        <v>0</v>
      </c>
      <c r="CW83" s="1025">
        <f t="shared" si="81"/>
        <v>0</v>
      </c>
      <c r="CX83" s="1025">
        <f t="shared" si="81"/>
        <v>0</v>
      </c>
      <c r="CY83" s="1025">
        <f t="shared" si="81"/>
        <v>0</v>
      </c>
      <c r="CZ83" s="1025">
        <f t="shared" si="81"/>
        <v>0</v>
      </c>
      <c r="DA83" s="1025">
        <f t="shared" si="81"/>
        <v>0</v>
      </c>
      <c r="DB83" s="1025">
        <f t="shared" si="81"/>
        <v>0</v>
      </c>
      <c r="DC83" s="1025">
        <f t="shared" si="81"/>
        <v>0</v>
      </c>
      <c r="DD83" s="1025">
        <f t="shared" si="81"/>
        <v>0</v>
      </c>
      <c r="DE83" s="1025">
        <f t="shared" si="81"/>
        <v>0</v>
      </c>
      <c r="DF83" s="1025">
        <f t="shared" si="81"/>
        <v>0</v>
      </c>
      <c r="DG83" s="1025">
        <f t="shared" si="81"/>
        <v>0</v>
      </c>
      <c r="DH83" s="1025">
        <f t="shared" si="81"/>
        <v>0</v>
      </c>
      <c r="DI83" s="1025">
        <f t="shared" si="81"/>
        <v>0</v>
      </c>
      <c r="DJ83" s="1025">
        <f t="shared" si="81"/>
        <v>0</v>
      </c>
      <c r="DK83" s="1025">
        <f t="shared" si="81"/>
        <v>0</v>
      </c>
      <c r="DL83" s="1025">
        <f t="shared" si="81"/>
        <v>0</v>
      </c>
      <c r="DM83" s="1025">
        <f t="shared" si="81"/>
        <v>0</v>
      </c>
      <c r="DN83" s="1025">
        <f t="shared" si="81"/>
        <v>0</v>
      </c>
      <c r="DO83" s="1025">
        <f t="shared" si="81"/>
        <v>0</v>
      </c>
      <c r="DP83" s="1025">
        <f t="shared" si="81"/>
        <v>0</v>
      </c>
      <c r="DQ83" s="1025">
        <f t="shared" si="81"/>
        <v>0</v>
      </c>
      <c r="DR83" s="1025">
        <f t="shared" si="81"/>
        <v>0</v>
      </c>
      <c r="DS83" s="1025">
        <f t="shared" si="81"/>
        <v>0</v>
      </c>
      <c r="DT83" s="1025">
        <f t="shared" si="81"/>
        <v>0</v>
      </c>
      <c r="DU83" s="1025">
        <f t="shared" si="81"/>
        <v>0</v>
      </c>
      <c r="DV83" s="1025">
        <f t="shared" si="81"/>
        <v>0</v>
      </c>
      <c r="DW83" s="1025">
        <f t="shared" si="81"/>
        <v>0</v>
      </c>
      <c r="DX83" s="1025">
        <f t="shared" si="81"/>
        <v>0</v>
      </c>
      <c r="DY83" s="1025">
        <f t="shared" si="81"/>
        <v>0</v>
      </c>
      <c r="DZ83" s="1025">
        <f t="shared" ref="DZ83:EW83" si="82">VLOOKUP(DZ$8,Index,38,FALSE)</f>
        <v>0</v>
      </c>
      <c r="EA83" s="1025">
        <f t="shared" si="82"/>
        <v>0</v>
      </c>
      <c r="EB83" s="1025">
        <f t="shared" si="82"/>
        <v>0</v>
      </c>
      <c r="EC83" s="1025">
        <f t="shared" si="82"/>
        <v>0</v>
      </c>
      <c r="ED83" s="1025">
        <f t="shared" si="82"/>
        <v>0</v>
      </c>
      <c r="EE83" s="1025">
        <f t="shared" si="82"/>
        <v>0</v>
      </c>
      <c r="EF83" s="1025">
        <f t="shared" si="82"/>
        <v>0</v>
      </c>
      <c r="EG83" s="1025">
        <f t="shared" si="82"/>
        <v>0</v>
      </c>
      <c r="EH83" s="1025">
        <f t="shared" si="82"/>
        <v>0</v>
      </c>
      <c r="EI83" s="1025">
        <f t="shared" si="82"/>
        <v>0</v>
      </c>
      <c r="EJ83" s="1025">
        <f t="shared" si="82"/>
        <v>0</v>
      </c>
      <c r="EK83" s="1025">
        <f t="shared" si="82"/>
        <v>0</v>
      </c>
      <c r="EL83" s="1025">
        <f t="shared" si="82"/>
        <v>0</v>
      </c>
      <c r="EM83" s="1025">
        <f t="shared" si="82"/>
        <v>0</v>
      </c>
      <c r="EN83" s="1025">
        <f t="shared" si="82"/>
        <v>0</v>
      </c>
      <c r="EO83" s="1025">
        <f t="shared" si="82"/>
        <v>0</v>
      </c>
      <c r="EP83" s="1025">
        <f t="shared" si="82"/>
        <v>0</v>
      </c>
      <c r="EQ83" s="1025">
        <f t="shared" si="82"/>
        <v>0</v>
      </c>
      <c r="ER83" s="1025">
        <f t="shared" si="82"/>
        <v>0</v>
      </c>
      <c r="ES83" s="1025">
        <f t="shared" si="82"/>
        <v>0</v>
      </c>
      <c r="ET83" s="1025">
        <f t="shared" si="82"/>
        <v>0</v>
      </c>
      <c r="EU83" s="1025">
        <f t="shared" si="82"/>
        <v>0</v>
      </c>
      <c r="EV83" s="1025">
        <f t="shared" si="82"/>
        <v>0</v>
      </c>
      <c r="EW83" s="1025">
        <f t="shared" si="82"/>
        <v>0</v>
      </c>
      <c r="EX83" s="1230"/>
      <c r="EY83" s="1230"/>
      <c r="EZ83" s="789" t="e">
        <f>VLOOKUP($EY83,'NEPC data'!$B66:$M253,5,TRUE)*100</f>
        <v>#N/A</v>
      </c>
      <c r="FA83" s="789" t="e">
        <f>VLOOKUP($EY83,'NEPC data'!$B66:$M253,7,TRUE)*100</f>
        <v>#N/A</v>
      </c>
      <c r="FB83" s="789" t="e">
        <f>VLOOKUP($EY83,'NEPC data'!$B66:$M253,9,TRUE)*100</f>
        <v>#N/A</v>
      </c>
      <c r="FC83" s="789" t="e">
        <f>VLOOKUP($EY83,'NEPC data'!$B66:$M253,10,TRUE)*100</f>
        <v>#N/A</v>
      </c>
      <c r="FD83" s="789" t="e">
        <f>VLOOKUP($EY83,'NEPC data'!$B66:$M253,11,TRUE)*100</f>
        <v>#N/A</v>
      </c>
      <c r="FE83" s="1024"/>
      <c r="FF83" s="1027"/>
      <c r="FG83" s="1027"/>
      <c r="FH83" s="1027"/>
      <c r="FI83" s="1027"/>
      <c r="FJ83" s="1027"/>
      <c r="FK83" s="1024"/>
      <c r="FL83" s="1027"/>
      <c r="FM83" s="1027"/>
    </row>
    <row r="84" spans="1:169" s="395" customFormat="1" ht="12.75" customHeight="1" x14ac:dyDescent="0.2">
      <c r="A84" s="480" t="s">
        <v>690</v>
      </c>
      <c r="B84" s="412"/>
      <c r="C84" s="414"/>
      <c r="D84" s="249"/>
      <c r="E84" s="1328">
        <f>SUM(E79:E82)</f>
        <v>2084.6487392100003</v>
      </c>
      <c r="F84" s="431"/>
      <c r="G84" s="432"/>
      <c r="H84" s="432"/>
      <c r="I84" s="432"/>
      <c r="J84" s="432"/>
      <c r="K84" s="432"/>
      <c r="L84" s="432"/>
      <c r="M84" s="432"/>
      <c r="N84" s="432"/>
      <c r="O84" s="432"/>
      <c r="P84" s="432"/>
      <c r="Q84" s="468"/>
      <c r="R84" s="249"/>
      <c r="S84" s="249"/>
      <c r="T84" s="249"/>
      <c r="U84" s="249"/>
      <c r="V84" s="249"/>
      <c r="W84" s="249"/>
      <c r="X84" s="249"/>
      <c r="Y84" s="249"/>
      <c r="Z84" s="249"/>
      <c r="AA84" s="249"/>
      <c r="AB84" s="249"/>
      <c r="AC84" s="481"/>
      <c r="AD84" s="463"/>
      <c r="AE84" s="15"/>
      <c r="AF84" s="442"/>
      <c r="AG84" s="382"/>
      <c r="AH84" s="439"/>
      <c r="AI84" s="439"/>
      <c r="AJ84" s="439"/>
      <c r="AK84" s="439"/>
      <c r="AL84" s="439"/>
      <c r="AM84" s="439"/>
      <c r="AN84" s="439"/>
      <c r="AO84" s="439"/>
      <c r="AP84" s="439"/>
      <c r="AQ84" s="439"/>
      <c r="AR84" s="439"/>
      <c r="AS84" s="439"/>
      <c r="AT84" s="439"/>
      <c r="AU84" s="439"/>
      <c r="AV84" s="439"/>
      <c r="AW84" s="439"/>
      <c r="AX84" s="439"/>
      <c r="AY84" s="439"/>
      <c r="AZ84" s="439"/>
      <c r="BA84" s="439"/>
      <c r="BB84" s="439"/>
      <c r="BC84" s="439"/>
      <c r="BD84" s="439"/>
      <c r="BE84" s="439"/>
      <c r="BF84" s="439"/>
      <c r="BG84" s="439"/>
      <c r="BH84" s="439"/>
      <c r="BI84" s="439"/>
      <c r="BJ84" s="439"/>
      <c r="BK84" s="439"/>
      <c r="BL84" s="439"/>
      <c r="BM84" s="439"/>
      <c r="BN84" s="439"/>
      <c r="BO84" s="439"/>
      <c r="BP84" s="439"/>
      <c r="BQ84" s="439"/>
      <c r="BR84" s="439"/>
      <c r="BS84" s="439"/>
      <c r="BT84" s="439"/>
      <c r="BU84" s="439"/>
      <c r="BV84" s="439"/>
      <c r="BW84" s="439"/>
      <c r="BX84" s="439"/>
      <c r="BY84" s="439"/>
      <c r="BZ84" s="439"/>
      <c r="CA84" s="439"/>
      <c r="CB84" s="439"/>
      <c r="CC84" s="439"/>
      <c r="CD84" s="439"/>
      <c r="CE84" s="439"/>
      <c r="CF84" s="439"/>
      <c r="CG84" s="439"/>
      <c r="CH84" s="439"/>
      <c r="CI84" s="439"/>
      <c r="CJ84" s="439"/>
      <c r="CK84" s="439"/>
      <c r="CL84" s="439"/>
      <c r="CM84" s="439"/>
      <c r="CN84" s="439"/>
      <c r="CO84" s="439"/>
      <c r="CP84" s="439"/>
      <c r="CQ84" s="439"/>
      <c r="CR84" s="439"/>
      <c r="CS84" s="439"/>
      <c r="CT84" s="439"/>
      <c r="CU84" s="439"/>
      <c r="CV84" s="439"/>
      <c r="CW84" s="439"/>
      <c r="CX84" s="439"/>
      <c r="CY84" s="439"/>
      <c r="CZ84" s="439"/>
      <c r="DA84" s="439"/>
      <c r="DB84" s="439"/>
      <c r="DC84" s="439"/>
      <c r="DD84" s="439"/>
      <c r="DE84" s="439"/>
      <c r="DF84" s="439"/>
      <c r="DG84" s="439"/>
      <c r="DH84" s="439"/>
      <c r="DI84" s="439"/>
      <c r="DJ84" s="439"/>
      <c r="DK84" s="439"/>
      <c r="DL84" s="439"/>
      <c r="DM84" s="439"/>
      <c r="DN84" s="439"/>
      <c r="DO84" s="439"/>
      <c r="DP84" s="439"/>
      <c r="DQ84" s="439"/>
      <c r="DR84" s="439"/>
      <c r="DS84" s="439"/>
      <c r="DT84" s="439"/>
      <c r="DU84" s="439"/>
      <c r="DV84" s="439"/>
      <c r="DW84" s="439"/>
      <c r="DX84" s="439"/>
      <c r="DY84" s="439"/>
      <c r="DZ84" s="439"/>
      <c r="EA84" s="439"/>
      <c r="EB84" s="439"/>
      <c r="EC84" s="439"/>
      <c r="ED84" s="439"/>
      <c r="EE84" s="439"/>
      <c r="EF84" s="439"/>
      <c r="EG84" s="439"/>
      <c r="EH84" s="439"/>
      <c r="EI84" s="439"/>
      <c r="EJ84" s="439"/>
      <c r="EK84" s="439"/>
      <c r="EL84" s="439"/>
      <c r="EM84" s="439"/>
      <c r="EN84" s="439"/>
      <c r="EO84" s="439"/>
      <c r="EP84" s="439"/>
      <c r="EQ84" s="439"/>
      <c r="ER84" s="439"/>
      <c r="ES84" s="439"/>
      <c r="ET84" s="439"/>
      <c r="EU84" s="439"/>
      <c r="EV84" s="439"/>
      <c r="EW84" s="439"/>
      <c r="EX84" s="393"/>
      <c r="EY84" s="393"/>
      <c r="EZ84" s="789" t="e">
        <f>VLOOKUP($EY84,'NEPC data'!$B67:$M254,5,TRUE)*100</f>
        <v>#N/A</v>
      </c>
      <c r="FA84" s="789" t="e">
        <f>VLOOKUP($EY84,'NEPC data'!$B67:$M254,7,TRUE)*100</f>
        <v>#N/A</v>
      </c>
      <c r="FB84" s="789" t="e">
        <f>VLOOKUP($EY84,'NEPC data'!$B67:$M254,9,TRUE)*100</f>
        <v>#N/A</v>
      </c>
      <c r="FC84" s="789" t="e">
        <f>VLOOKUP($EY84,'NEPC data'!$B67:$M254,10,TRUE)*100</f>
        <v>#N/A</v>
      </c>
      <c r="FD84" s="789" t="e">
        <f>VLOOKUP($EY84,'NEPC data'!$B67:$M254,11,TRUE)*100</f>
        <v>#N/A</v>
      </c>
      <c r="FE84" s="382"/>
      <c r="FF84" s="442"/>
      <c r="FG84" s="442"/>
      <c r="FH84" s="442"/>
      <c r="FI84" s="442"/>
      <c r="FJ84" s="442"/>
      <c r="FK84" s="382"/>
      <c r="FL84" s="442"/>
      <c r="FM84" s="442"/>
    </row>
    <row r="85" spans="1:169" s="395" customFormat="1" ht="12.75" customHeight="1" x14ac:dyDescent="0.2">
      <c r="A85" s="480"/>
      <c r="B85" s="412"/>
      <c r="C85" s="414"/>
      <c r="D85" s="249"/>
      <c r="E85" s="470"/>
      <c r="F85" s="431"/>
      <c r="G85" s="432"/>
      <c r="H85" s="432"/>
      <c r="I85" s="432"/>
      <c r="J85" s="432"/>
      <c r="K85" s="432"/>
      <c r="L85" s="432"/>
      <c r="M85" s="432"/>
      <c r="N85" s="432"/>
      <c r="O85" s="432"/>
      <c r="P85" s="432"/>
      <c r="Q85" s="468"/>
      <c r="R85" s="249"/>
      <c r="S85" s="249"/>
      <c r="T85" s="249"/>
      <c r="U85" s="249"/>
      <c r="V85" s="249"/>
      <c r="W85" s="249"/>
      <c r="X85" s="249"/>
      <c r="Y85" s="249"/>
      <c r="Z85" s="249"/>
      <c r="AA85" s="249"/>
      <c r="AB85" s="249"/>
      <c r="AC85" s="481"/>
      <c r="AD85" s="463"/>
      <c r="AE85" s="15"/>
      <c r="AF85" s="442"/>
      <c r="AG85" s="382"/>
      <c r="AH85" s="439"/>
      <c r="AI85" s="439"/>
      <c r="AJ85" s="439"/>
      <c r="AK85" s="439"/>
      <c r="AL85" s="439"/>
      <c r="AM85" s="439"/>
      <c r="AN85" s="439"/>
      <c r="AO85" s="439"/>
      <c r="AP85" s="439"/>
      <c r="AQ85" s="439"/>
      <c r="AR85" s="439"/>
      <c r="AS85" s="439"/>
      <c r="AT85" s="439"/>
      <c r="AU85" s="439"/>
      <c r="AV85" s="439"/>
      <c r="AW85" s="439"/>
      <c r="AX85" s="439"/>
      <c r="AY85" s="439"/>
      <c r="AZ85" s="439"/>
      <c r="BA85" s="439"/>
      <c r="BB85" s="439"/>
      <c r="BC85" s="439"/>
      <c r="BD85" s="439"/>
      <c r="BE85" s="439"/>
      <c r="BF85" s="439"/>
      <c r="BG85" s="439"/>
      <c r="BH85" s="439"/>
      <c r="BI85" s="439"/>
      <c r="BJ85" s="439"/>
      <c r="BK85" s="439"/>
      <c r="BL85" s="439"/>
      <c r="BM85" s="439"/>
      <c r="BN85" s="439"/>
      <c r="BO85" s="439"/>
      <c r="BP85" s="439"/>
      <c r="BQ85" s="439"/>
      <c r="BR85" s="439"/>
      <c r="BS85" s="439"/>
      <c r="BT85" s="439"/>
      <c r="BU85" s="439"/>
      <c r="BV85" s="439"/>
      <c r="BW85" s="439"/>
      <c r="BX85" s="439"/>
      <c r="BY85" s="439"/>
      <c r="BZ85" s="439"/>
      <c r="CA85" s="439"/>
      <c r="CB85" s="439"/>
      <c r="CC85" s="439"/>
      <c r="CD85" s="439"/>
      <c r="CE85" s="439"/>
      <c r="CF85" s="439"/>
      <c r="CG85" s="439"/>
      <c r="CH85" s="439"/>
      <c r="CI85" s="439"/>
      <c r="CJ85" s="439"/>
      <c r="CK85" s="439"/>
      <c r="CL85" s="439"/>
      <c r="CM85" s="439"/>
      <c r="CN85" s="439"/>
      <c r="CO85" s="439"/>
      <c r="CP85" s="439"/>
      <c r="CQ85" s="439"/>
      <c r="CR85" s="439"/>
      <c r="CS85" s="439"/>
      <c r="CT85" s="439"/>
      <c r="CU85" s="439"/>
      <c r="CV85" s="439"/>
      <c r="CW85" s="439"/>
      <c r="CX85" s="439"/>
      <c r="CY85" s="439"/>
      <c r="CZ85" s="439"/>
      <c r="DA85" s="439"/>
      <c r="DB85" s="439"/>
      <c r="DC85" s="439"/>
      <c r="DD85" s="439"/>
      <c r="DE85" s="439"/>
      <c r="DF85" s="439"/>
      <c r="DG85" s="439"/>
      <c r="DH85" s="439"/>
      <c r="DI85" s="439"/>
      <c r="DJ85" s="439"/>
      <c r="DK85" s="439"/>
      <c r="DL85" s="439"/>
      <c r="DM85" s="439"/>
      <c r="DN85" s="439"/>
      <c r="DO85" s="439"/>
      <c r="DP85" s="439"/>
      <c r="DQ85" s="439"/>
      <c r="DR85" s="439"/>
      <c r="DS85" s="439"/>
      <c r="DT85" s="439"/>
      <c r="DU85" s="439"/>
      <c r="DV85" s="439"/>
      <c r="DW85" s="439"/>
      <c r="DX85" s="439"/>
      <c r="DY85" s="439"/>
      <c r="DZ85" s="439"/>
      <c r="EA85" s="439"/>
      <c r="EB85" s="439"/>
      <c r="EC85" s="439"/>
      <c r="ED85" s="439"/>
      <c r="EE85" s="439"/>
      <c r="EF85" s="439"/>
      <c r="EG85" s="439"/>
      <c r="EH85" s="439"/>
      <c r="EI85" s="439"/>
      <c r="EJ85" s="439"/>
      <c r="EK85" s="439"/>
      <c r="EL85" s="439"/>
      <c r="EM85" s="439"/>
      <c r="EN85" s="439"/>
      <c r="EO85" s="439"/>
      <c r="EP85" s="439"/>
      <c r="EQ85" s="439"/>
      <c r="ER85" s="439"/>
      <c r="ES85" s="439"/>
      <c r="ET85" s="439"/>
      <c r="EU85" s="439"/>
      <c r="EV85" s="439"/>
      <c r="EW85" s="439"/>
      <c r="EX85" s="393"/>
      <c r="EY85" s="393"/>
      <c r="EZ85" s="789" t="e">
        <f>VLOOKUP($EY85,'NEPC data'!$B64:$M251,5,TRUE)*100</f>
        <v>#N/A</v>
      </c>
      <c r="FA85" s="789" t="e">
        <f>VLOOKUP($EY85,'NEPC data'!$B64:$M251,7,TRUE)*100</f>
        <v>#N/A</v>
      </c>
      <c r="FB85" s="789" t="e">
        <f>VLOOKUP($EY85,'NEPC data'!$B64:$M251,9,TRUE)*100</f>
        <v>#N/A</v>
      </c>
      <c r="FC85" s="789" t="e">
        <f>VLOOKUP($EY85,'NEPC data'!$B64:$M251,10,TRUE)*100</f>
        <v>#N/A</v>
      </c>
      <c r="FD85" s="789" t="e">
        <f>VLOOKUP($EY85,'NEPC data'!$B64:$M251,11,TRUE)*100</f>
        <v>#N/A</v>
      </c>
      <c r="FE85" s="382"/>
      <c r="FF85" s="442"/>
      <c r="FG85" s="442"/>
      <c r="FH85" s="442"/>
      <c r="FI85" s="442"/>
      <c r="FJ85" s="442"/>
      <c r="FK85" s="382"/>
      <c r="FL85" s="442"/>
      <c r="FM85" s="442"/>
    </row>
    <row r="86" spans="1:169" s="207" customFormat="1" ht="12.75" customHeight="1" thickBot="1" x14ac:dyDescent="0.25">
      <c r="A86" s="497" t="s">
        <v>209</v>
      </c>
      <c r="B86" s="622"/>
      <c r="C86" s="498"/>
      <c r="D86" s="499"/>
      <c r="E86" s="500">
        <f>E77+E70+E84</f>
        <v>7539.8818816000003</v>
      </c>
      <c r="F86" s="599"/>
      <c r="G86" s="600"/>
      <c r="H86" s="600"/>
      <c r="I86" s="600"/>
      <c r="J86" s="600"/>
      <c r="K86" s="600"/>
      <c r="L86" s="600"/>
      <c r="M86" s="600"/>
      <c r="N86" s="600"/>
      <c r="O86" s="600"/>
      <c r="P86" s="600"/>
      <c r="Q86" s="601"/>
      <c r="R86" s="499"/>
      <c r="S86" s="499"/>
      <c r="T86" s="499"/>
      <c r="U86" s="499"/>
      <c r="V86" s="499"/>
      <c r="W86" s="499"/>
      <c r="X86" s="499"/>
      <c r="Y86" s="499"/>
      <c r="Z86" s="499"/>
      <c r="AA86" s="499"/>
      <c r="AB86" s="499"/>
      <c r="AC86" s="605"/>
      <c r="AD86" s="603"/>
      <c r="AE86" s="501"/>
      <c r="AF86" s="508"/>
      <c r="AG86" s="248"/>
      <c r="AH86" s="503"/>
      <c r="AI86" s="503"/>
      <c r="AJ86" s="503"/>
      <c r="AK86" s="503"/>
      <c r="AL86" s="503"/>
      <c r="AM86" s="503"/>
      <c r="AN86" s="503"/>
      <c r="AO86" s="503"/>
      <c r="AP86" s="503"/>
      <c r="AQ86" s="503"/>
      <c r="AR86" s="503"/>
      <c r="AS86" s="503"/>
      <c r="AT86" s="503"/>
      <c r="AU86" s="503"/>
      <c r="AV86" s="503"/>
      <c r="AW86" s="503"/>
      <c r="AX86" s="503"/>
      <c r="AY86" s="503"/>
      <c r="AZ86" s="503"/>
      <c r="BA86" s="503"/>
      <c r="BB86" s="503"/>
      <c r="BC86" s="503"/>
      <c r="BD86" s="503"/>
      <c r="BE86" s="503"/>
      <c r="BF86" s="503"/>
      <c r="BG86" s="503"/>
      <c r="BH86" s="503"/>
      <c r="BI86" s="503"/>
      <c r="BJ86" s="503"/>
      <c r="BK86" s="503"/>
      <c r="BL86" s="503"/>
      <c r="BM86" s="503"/>
      <c r="BN86" s="503"/>
      <c r="BO86" s="503"/>
      <c r="BP86" s="503"/>
      <c r="BQ86" s="503"/>
      <c r="BR86" s="503"/>
      <c r="BS86" s="503"/>
      <c r="BT86" s="503"/>
      <c r="BU86" s="503"/>
      <c r="BV86" s="503"/>
      <c r="BW86" s="503"/>
      <c r="BX86" s="503"/>
      <c r="BY86" s="503"/>
      <c r="BZ86" s="503"/>
      <c r="CA86" s="503"/>
      <c r="CB86" s="503"/>
      <c r="CC86" s="503"/>
      <c r="CD86" s="503"/>
      <c r="CE86" s="503"/>
      <c r="CF86" s="503"/>
      <c r="CG86" s="503"/>
      <c r="CH86" s="503"/>
      <c r="CI86" s="503"/>
      <c r="CJ86" s="503"/>
      <c r="CK86" s="503"/>
      <c r="CL86" s="503"/>
      <c r="CM86" s="503"/>
      <c r="CN86" s="503"/>
      <c r="CO86" s="503"/>
      <c r="CP86" s="503"/>
      <c r="CQ86" s="503"/>
      <c r="CR86" s="503"/>
      <c r="CS86" s="503"/>
      <c r="CT86" s="503"/>
      <c r="CU86" s="503"/>
      <c r="CV86" s="503"/>
      <c r="CW86" s="503"/>
      <c r="CX86" s="503"/>
      <c r="CY86" s="503"/>
      <c r="CZ86" s="503"/>
      <c r="DA86" s="503"/>
      <c r="DB86" s="503"/>
      <c r="DC86" s="503"/>
      <c r="DD86" s="503"/>
      <c r="DE86" s="503"/>
      <c r="DF86" s="503"/>
      <c r="DG86" s="503"/>
      <c r="DH86" s="503"/>
      <c r="DI86" s="503"/>
      <c r="DJ86" s="503"/>
      <c r="DK86" s="503"/>
      <c r="DL86" s="503"/>
      <c r="DM86" s="503"/>
      <c r="DN86" s="503"/>
      <c r="DO86" s="503"/>
      <c r="DP86" s="503"/>
      <c r="DQ86" s="503"/>
      <c r="DR86" s="503"/>
      <c r="DS86" s="503"/>
      <c r="DT86" s="503"/>
      <c r="DU86" s="503"/>
      <c r="DV86" s="503"/>
      <c r="DW86" s="503"/>
      <c r="DX86" s="503"/>
      <c r="DY86" s="503"/>
      <c r="DZ86" s="503"/>
      <c r="EA86" s="503"/>
      <c r="EB86" s="503"/>
      <c r="EC86" s="503"/>
      <c r="ED86" s="503"/>
      <c r="EE86" s="503"/>
      <c r="EF86" s="503"/>
      <c r="EG86" s="503"/>
      <c r="EH86" s="503"/>
      <c r="EI86" s="503"/>
      <c r="EJ86" s="503"/>
      <c r="EK86" s="503"/>
      <c r="EL86" s="503"/>
      <c r="EM86" s="503"/>
      <c r="EN86" s="503"/>
      <c r="EO86" s="503"/>
      <c r="EP86" s="503"/>
      <c r="EQ86" s="503"/>
      <c r="ER86" s="503"/>
      <c r="ES86" s="503"/>
      <c r="ET86" s="503"/>
      <c r="EU86" s="503"/>
      <c r="EV86" s="503"/>
      <c r="EW86" s="503"/>
      <c r="EX86" s="504"/>
      <c r="EY86" s="1066"/>
      <c r="EZ86" s="789"/>
      <c r="FA86" s="789"/>
      <c r="FB86" s="789"/>
      <c r="FC86" s="789"/>
      <c r="FD86" s="789"/>
      <c r="FE86" s="248"/>
      <c r="FF86" s="505"/>
      <c r="FG86" s="505"/>
      <c r="FH86" s="505"/>
      <c r="FI86" s="505"/>
      <c r="FJ86" s="505"/>
      <c r="FK86" s="248"/>
      <c r="FL86" s="506"/>
      <c r="FM86" s="506"/>
    </row>
    <row r="87" spans="1:169" s="501" customFormat="1" ht="12.75" customHeight="1" x14ac:dyDescent="0.2">
      <c r="A87" s="1421"/>
      <c r="B87" s="535"/>
      <c r="C87" s="1422"/>
      <c r="D87" s="1423"/>
      <c r="E87" s="1424"/>
      <c r="F87" s="1425"/>
      <c r="G87" s="1312"/>
      <c r="H87" s="1312"/>
      <c r="I87" s="1312"/>
      <c r="J87" s="1312"/>
      <c r="K87" s="1312"/>
      <c r="L87" s="1312"/>
      <c r="M87" s="1312"/>
      <c r="N87" s="1312"/>
      <c r="O87" s="1312"/>
      <c r="P87" s="1312"/>
      <c r="Q87" s="1426"/>
      <c r="R87" s="1423"/>
      <c r="S87" s="1423"/>
      <c r="T87" s="1423"/>
      <c r="U87" s="1423"/>
      <c r="V87" s="1423"/>
      <c r="W87" s="1423"/>
      <c r="X87" s="1423"/>
      <c r="Y87" s="1423"/>
      <c r="Z87" s="1423"/>
      <c r="AA87" s="1423"/>
      <c r="AB87" s="1423"/>
      <c r="AC87" s="1427"/>
      <c r="AD87" s="1428"/>
      <c r="AF87" s="1312"/>
      <c r="AG87" s="520"/>
      <c r="AH87" s="1313"/>
      <c r="AI87" s="1313"/>
      <c r="AJ87" s="1313"/>
      <c r="AK87" s="1313"/>
      <c r="AL87" s="1313"/>
      <c r="AM87" s="1313"/>
      <c r="AN87" s="1313"/>
      <c r="AO87" s="1313"/>
      <c r="AP87" s="1313"/>
      <c r="AQ87" s="1313"/>
      <c r="AR87" s="1313"/>
      <c r="AS87" s="1313"/>
      <c r="AT87" s="1313"/>
      <c r="AU87" s="1313"/>
      <c r="AV87" s="1313"/>
      <c r="AW87" s="1313"/>
      <c r="AX87" s="1313"/>
      <c r="AY87" s="1313"/>
      <c r="AZ87" s="1313"/>
      <c r="BA87" s="1313"/>
      <c r="BB87" s="1313"/>
      <c r="BC87" s="1313"/>
      <c r="BD87" s="1313"/>
      <c r="BE87" s="1313"/>
      <c r="BF87" s="1313"/>
      <c r="BG87" s="1313"/>
      <c r="BH87" s="1313"/>
      <c r="BI87" s="1313"/>
      <c r="BJ87" s="1313"/>
      <c r="BK87" s="1313"/>
      <c r="BL87" s="1313"/>
      <c r="BM87" s="1313"/>
      <c r="BN87" s="1313"/>
      <c r="BO87" s="1313"/>
      <c r="BP87" s="1313"/>
      <c r="BQ87" s="1313"/>
      <c r="BR87" s="1313"/>
      <c r="BS87" s="1313"/>
      <c r="BT87" s="1313"/>
      <c r="BU87" s="1313"/>
      <c r="BV87" s="1313"/>
      <c r="BW87" s="1313"/>
      <c r="BX87" s="1313"/>
      <c r="BY87" s="1313"/>
      <c r="BZ87" s="1313"/>
      <c r="CA87" s="1313"/>
      <c r="CB87" s="1313"/>
      <c r="CC87" s="1313"/>
      <c r="CD87" s="1313"/>
      <c r="CE87" s="1313"/>
      <c r="CF87" s="1313"/>
      <c r="CG87" s="1313"/>
      <c r="CH87" s="1313"/>
      <c r="CI87" s="1313"/>
      <c r="CJ87" s="1313"/>
      <c r="CK87" s="1313"/>
      <c r="CL87" s="1313"/>
      <c r="CM87" s="1313"/>
      <c r="CN87" s="1313"/>
      <c r="CO87" s="1313"/>
      <c r="CP87" s="1313"/>
      <c r="CQ87" s="1313"/>
      <c r="CR87" s="1313"/>
      <c r="CS87" s="1313"/>
      <c r="CT87" s="1313"/>
      <c r="CU87" s="1313"/>
      <c r="CV87" s="1313"/>
      <c r="CW87" s="1313"/>
      <c r="CX87" s="1313"/>
      <c r="CY87" s="1313"/>
      <c r="CZ87" s="1313"/>
      <c r="DA87" s="1313"/>
      <c r="DB87" s="1313"/>
      <c r="DC87" s="1313"/>
      <c r="DD87" s="1313"/>
      <c r="DE87" s="1313"/>
      <c r="DF87" s="1313"/>
      <c r="DG87" s="1313"/>
      <c r="DH87" s="1313"/>
      <c r="DI87" s="1313"/>
      <c r="DJ87" s="1313"/>
      <c r="DK87" s="1313"/>
      <c r="DL87" s="1313"/>
      <c r="DM87" s="1313"/>
      <c r="DN87" s="1313"/>
      <c r="DO87" s="1313"/>
      <c r="DP87" s="1313"/>
      <c r="DQ87" s="1313"/>
      <c r="DR87" s="1313"/>
      <c r="DS87" s="1313"/>
      <c r="DT87" s="1313"/>
      <c r="DU87" s="1313"/>
      <c r="DV87" s="1313"/>
      <c r="DW87" s="1313"/>
      <c r="DX87" s="1313"/>
      <c r="DY87" s="1313"/>
      <c r="DZ87" s="1313"/>
      <c r="EA87" s="1313"/>
      <c r="EB87" s="1313"/>
      <c r="EC87" s="1313"/>
      <c r="ED87" s="1313"/>
      <c r="EE87" s="1313"/>
      <c r="EF87" s="1313"/>
      <c r="EG87" s="1313"/>
      <c r="EH87" s="1313"/>
      <c r="EI87" s="1313"/>
      <c r="EJ87" s="1313"/>
      <c r="EK87" s="1313"/>
      <c r="EL87" s="1313"/>
      <c r="EM87" s="1313"/>
      <c r="EN87" s="1313"/>
      <c r="EO87" s="1313"/>
      <c r="EP87" s="1313"/>
      <c r="EQ87" s="1313"/>
      <c r="ER87" s="1313"/>
      <c r="ES87" s="1313"/>
      <c r="ET87" s="1313"/>
      <c r="EU87" s="1313"/>
      <c r="EV87" s="1313"/>
      <c r="EW87" s="1313"/>
      <c r="EX87" s="521"/>
      <c r="EY87" s="1259"/>
      <c r="EZ87" s="789"/>
      <c r="FA87" s="789"/>
      <c r="FB87" s="789"/>
      <c r="FC87" s="789"/>
      <c r="FD87" s="789"/>
      <c r="FE87" s="520"/>
      <c r="FF87" s="1429"/>
      <c r="FG87" s="1429"/>
      <c r="FH87" s="1429"/>
      <c r="FI87" s="1429"/>
      <c r="FJ87" s="1429"/>
      <c r="FK87" s="520"/>
      <c r="FL87" s="519"/>
      <c r="FM87" s="519"/>
    </row>
    <row r="88" spans="1:169" s="501" customFormat="1" ht="12.75" customHeight="1" x14ac:dyDescent="0.2">
      <c r="A88" s="1431" t="s">
        <v>875</v>
      </c>
      <c r="B88" s="548"/>
      <c r="C88" s="1432">
        <v>41426</v>
      </c>
      <c r="D88" s="1433"/>
      <c r="E88" s="1434">
        <f>VLOOKUP(AH8,'Risk Factor'!$A$3:$D$488,3,FALSE)/1000000</f>
        <v>523.61160037000002</v>
      </c>
      <c r="F88" s="1435">
        <f>AH88</f>
        <v>3.8207300000000002</v>
      </c>
      <c r="G88" s="479">
        <f t="array" ref="G88">IF($AJ88=0,"---",(PRODUCT($AH88:AJ88/100+1)-1)*100)</f>
        <v>4.5905464325331824</v>
      </c>
      <c r="H88" s="450">
        <f t="array" ref="H88">IF($AN88=0,"---",(PRODUCT(AH88:AN88/100+1)-1)*100)</f>
        <v>12.535035076059287</v>
      </c>
      <c r="I88" s="1436">
        <f t="array" ref="I88">IF(AS88=0,"---",(GEOMEAN($AH88:AS88/100+1)^12-1)*100)</f>
        <v>24.438698829179351</v>
      </c>
      <c r="J88" s="1436" t="str">
        <f t="array" ref="J88">IF(BE88=0,"---",(GEOMEAN($AH88:BE88/100+1)^12-1)*100)</f>
        <v>---</v>
      </c>
      <c r="K88" s="1436" t="str">
        <f t="array" ref="K88">IF(BQ88=0,"---",(GEOMEAN($AH88:BQ88/100+1)^12-1)*100)</f>
        <v>---</v>
      </c>
      <c r="L88" s="1436" t="str">
        <f t="array" ref="L88">IF(CC88=0,"---",(GEOMEAN($AH88:CC88/100+1)^12-1)*100)</f>
        <v>---</v>
      </c>
      <c r="M88" s="1436" t="str">
        <f t="array" ref="M88">IF(CO88=0,"---",(GEOMEAN($AH88:CO88/100+1)^12-1)*100)</f>
        <v>---</v>
      </c>
      <c r="N88" s="1436" t="str">
        <f t="array" ref="N88">IF(DM88=0,"---",(GEOMEAN($AH88:DM88/100+1)^12-1)*100)</f>
        <v>---</v>
      </c>
      <c r="O88" s="1436" t="str">
        <f t="array" ref="O88">IF(EK88=0,"---",(GEOMEAN($AH88:EK88/100+1)^12-1)*100)</f>
        <v>---</v>
      </c>
      <c r="P88" s="1436" t="str">
        <f t="array" ref="P88">IF(EW88=0,"---",(GEOMEAN($AH88:EW88/100+1)^12-1)*100)</f>
        <v>---</v>
      </c>
      <c r="Q88" s="1437">
        <f t="array" ref="Q88">(GEOMEAN('Risk Factor'!$D$458:D471/100+1)^12-1)*100</f>
        <v>17.378734141952368</v>
      </c>
      <c r="R88" s="1458" t="s">
        <v>897</v>
      </c>
      <c r="S88" s="1458" t="s">
        <v>897</v>
      </c>
      <c r="T88" s="1458" t="s">
        <v>897</v>
      </c>
      <c r="U88" s="1458" t="s">
        <v>897</v>
      </c>
      <c r="V88" s="452" t="str">
        <f t="shared" ref="V88:AA88" si="83">IF(J88="---","---",(J88-J$89)*100)</f>
        <v>---</v>
      </c>
      <c r="W88" s="1458" t="s">
        <v>897</v>
      </c>
      <c r="X88" s="452" t="str">
        <f t="shared" si="83"/>
        <v>---</v>
      </c>
      <c r="Y88" s="1458" t="s">
        <v>897</v>
      </c>
      <c r="Z88" s="452" t="str">
        <f t="shared" si="83"/>
        <v>---</v>
      </c>
      <c r="AA88" s="452" t="str">
        <f t="shared" si="83"/>
        <v>---</v>
      </c>
      <c r="AB88" s="1458" t="s">
        <v>897</v>
      </c>
      <c r="AC88" s="1458" t="s">
        <v>897</v>
      </c>
      <c r="AD88" s="1438"/>
      <c r="AF88" s="432">
        <f t="array" ref="AF88">(GEOMEAN(Index_Returns!AU$458:AU471/100+1)^12-1)*100</f>
        <v>15.568504893235179</v>
      </c>
      <c r="AG88" s="418" t="str">
        <f>IF(I88="---","&lt; 1 Year","---")</f>
        <v>---</v>
      </c>
      <c r="AH88" s="1313">
        <f>VLOOKUP(AH8,'Risk Factor'!$A$3:$D$488,4,FALSE)</f>
        <v>3.8207300000000002</v>
      </c>
      <c r="AI88" s="1313">
        <f>VLOOKUP(AI8,'Risk Factor'!$A$3:$D$488,4,FALSE)</f>
        <v>-1.0984</v>
      </c>
      <c r="AJ88" s="1313">
        <f>VLOOKUP(AJ8,'Risk Factor'!$A$3:$D$488,4,FALSE)</f>
        <v>1.86032</v>
      </c>
      <c r="AK88" s="1313">
        <f>VLOOKUP(AK8,'Risk Factor'!$A$3:$D$488,4,FALSE)</f>
        <v>2.5480100000000001</v>
      </c>
      <c r="AL88" s="1313">
        <f>VLOOKUP(AL8,'Risk Factor'!$A$3:$D$488,4,FALSE)</f>
        <v>0.23530000000000001</v>
      </c>
      <c r="AM88" s="1313">
        <f>VLOOKUP(AM8,'Risk Factor'!$A$3:$D$488,4,FALSE)</f>
        <v>-0.1613</v>
      </c>
      <c r="AN88" s="1313">
        <f>VLOOKUP(AN8,'Risk Factor'!$A$3:$D$488,4,FALSE)</f>
        <v>4.84518</v>
      </c>
      <c r="AO88" s="1313">
        <f>VLOOKUP(AO8,'Risk Factor'!$A$3:$D$488,4,FALSE)</f>
        <v>-2.99457</v>
      </c>
      <c r="AP88" s="1313">
        <f>VLOOKUP(AP8,'Risk Factor'!$A$3:$D$488,4,FALSE)</f>
        <v>2.3789500000000001</v>
      </c>
      <c r="AQ88" s="1313">
        <f>VLOOKUP(AQ8,'Risk Factor'!$A$3:$D$488,4,FALSE)</f>
        <v>2.8463599999999998</v>
      </c>
      <c r="AR88" s="1313">
        <f>VLOOKUP(AR8,'Risk Factor'!$A$3:$D$488,4,FALSE)</f>
        <v>4.9415500000000003</v>
      </c>
      <c r="AS88" s="1313">
        <f>VLOOKUP(AS8,'Risk Factor'!$A$3:$D$488,4,FALSE)</f>
        <v>3.1631499999999999</v>
      </c>
      <c r="AT88" s="1313">
        <f>VLOOKUP(AT8,'Risk Factor'!$A$3:$D$488,4,FALSE)</f>
        <v>-2.97885</v>
      </c>
      <c r="AU88" s="1313">
        <f>VLOOKUP(AU8,'Risk Factor'!$A$3:$D$488,4,FALSE)</f>
        <v>5.4433100000000003</v>
      </c>
      <c r="AV88" s="1313">
        <f>VLOOKUP(AV8,'Risk Factor'!$A$3:$D$488,4,FALSE)</f>
        <v>-1.6825000000000001</v>
      </c>
      <c r="AW88" s="1313">
        <f>VLOOKUP(AW8,'Risk Factor'!$A$3:$D$488,4,FALSE)</f>
        <v>0</v>
      </c>
      <c r="AX88" s="1313">
        <f>VLOOKUP(AX8,'Risk Factor'!$A$3:$D$488,4,FALSE)</f>
        <v>0</v>
      </c>
      <c r="AY88" s="1313">
        <f>VLOOKUP(AY8,'Risk Factor'!$A$3:$D$488,4,FALSE)</f>
        <v>0</v>
      </c>
      <c r="AZ88" s="1313">
        <f>VLOOKUP(AZ8,'Risk Factor'!$A$3:$D$488,4,FALSE)</f>
        <v>0</v>
      </c>
      <c r="BA88" s="1313">
        <f>VLOOKUP(BA8,'Risk Factor'!$A$3:$D$488,4,FALSE)</f>
        <v>0</v>
      </c>
      <c r="BB88" s="1313">
        <f>VLOOKUP(BB8,'Risk Factor'!$A$3:$D$488,4,FALSE)</f>
        <v>0</v>
      </c>
      <c r="BC88" s="1313">
        <f>VLOOKUP(BC8,'Risk Factor'!$A$3:$D$488,4,FALSE)</f>
        <v>0</v>
      </c>
      <c r="BD88" s="1313">
        <f>VLOOKUP(BD8,'Risk Factor'!$A$3:$D$488,4,FALSE)</f>
        <v>0</v>
      </c>
      <c r="BE88" s="1313">
        <f>VLOOKUP(BE8,'Risk Factor'!$A$3:$D$488,4,FALSE)</f>
        <v>0</v>
      </c>
      <c r="BF88" s="1313">
        <f>VLOOKUP(BF8,'Risk Factor'!$A$3:$D$488,4,FALSE)</f>
        <v>0</v>
      </c>
      <c r="BG88" s="1313">
        <f>VLOOKUP(BG8,'Risk Factor'!$A$3:$D$488,4,FALSE)</f>
        <v>0</v>
      </c>
      <c r="BH88" s="1313">
        <f>VLOOKUP(BH8,'Risk Factor'!$A$3:$D$488,4,FALSE)</f>
        <v>0</v>
      </c>
      <c r="BI88" s="1313">
        <f>VLOOKUP(BI8,'Risk Factor'!$A$3:$D$488,4,FALSE)</f>
        <v>0</v>
      </c>
      <c r="BJ88" s="1313">
        <f>VLOOKUP(BJ8,'Risk Factor'!$A$3:$D$488,4,FALSE)</f>
        <v>0</v>
      </c>
      <c r="BK88" s="1313">
        <f>VLOOKUP(BK8,'Risk Factor'!$A$3:$D$488,4,FALSE)</f>
        <v>0</v>
      </c>
      <c r="BL88" s="1313">
        <f>VLOOKUP(BL8,'Risk Factor'!$A$3:$D$488,4,FALSE)</f>
        <v>0</v>
      </c>
      <c r="BM88" s="1313">
        <f>VLOOKUP(BM8,'Risk Factor'!$A$3:$D$488,4,FALSE)</f>
        <v>0</v>
      </c>
      <c r="BN88" s="1313">
        <f>VLOOKUP(BN8,'Risk Factor'!$A$3:$D$488,4,FALSE)</f>
        <v>0</v>
      </c>
      <c r="BO88" s="1313">
        <f>VLOOKUP(BO8,'Risk Factor'!$A$3:$D$488,4,FALSE)</f>
        <v>0</v>
      </c>
      <c r="BP88" s="1313">
        <f>VLOOKUP(BP8,'Risk Factor'!$A$3:$D$488,4,FALSE)</f>
        <v>0</v>
      </c>
      <c r="BQ88" s="1313">
        <f>VLOOKUP(BQ8,'Risk Factor'!$A$3:$D$488,4,FALSE)</f>
        <v>0</v>
      </c>
      <c r="BR88" s="1313">
        <f>VLOOKUP(BR8,'Risk Factor'!$A$3:$D$488,4,FALSE)</f>
        <v>0</v>
      </c>
      <c r="BS88" s="1313">
        <f>VLOOKUP(BS8,'Risk Factor'!$A$3:$D$488,4,FALSE)</f>
        <v>0</v>
      </c>
      <c r="BT88" s="1313">
        <f>VLOOKUP(BT8,'Risk Factor'!$A$3:$D$488,4,FALSE)</f>
        <v>0</v>
      </c>
      <c r="BU88" s="1313">
        <f>VLOOKUP(BU8,'Risk Factor'!$A$3:$D$488,4,FALSE)</f>
        <v>0</v>
      </c>
      <c r="BV88" s="1313">
        <f>VLOOKUP(BV8,'Risk Factor'!$A$3:$D$488,4,FALSE)</f>
        <v>0</v>
      </c>
      <c r="BW88" s="1313">
        <f>VLOOKUP(BW8,'Risk Factor'!$A$3:$D$488,4,FALSE)</f>
        <v>0</v>
      </c>
      <c r="BX88" s="1313">
        <f>VLOOKUP(BX8,'Risk Factor'!$A$3:$D$488,4,FALSE)</f>
        <v>0</v>
      </c>
      <c r="BY88" s="1313">
        <f>VLOOKUP(BY8,'Risk Factor'!$A$3:$D$488,4,FALSE)</f>
        <v>0</v>
      </c>
      <c r="BZ88" s="1313">
        <f>VLOOKUP(BZ8,'Risk Factor'!$A$3:$D$488,4,FALSE)</f>
        <v>0</v>
      </c>
      <c r="CA88" s="1313">
        <f>VLOOKUP(CA8,'Risk Factor'!$A$3:$D$488,4,FALSE)</f>
        <v>0</v>
      </c>
      <c r="CB88" s="1313">
        <f>VLOOKUP(CB8,'Risk Factor'!$A$3:$D$488,4,FALSE)</f>
        <v>0</v>
      </c>
      <c r="CC88" s="1313">
        <f>VLOOKUP(CC8,'Risk Factor'!$A$3:$D$488,4,FALSE)</f>
        <v>0</v>
      </c>
      <c r="CD88" s="1313">
        <f>VLOOKUP(CD8,'Risk Factor'!$A$3:$D$488,4,FALSE)</f>
        <v>0</v>
      </c>
      <c r="CE88" s="1313">
        <f>VLOOKUP(CE8,'Risk Factor'!$A$3:$D$488,4,FALSE)</f>
        <v>0</v>
      </c>
      <c r="CF88" s="1313">
        <f>VLOOKUP(CF8,'Risk Factor'!$A$3:$D$488,4,FALSE)</f>
        <v>0</v>
      </c>
      <c r="CG88" s="1313">
        <f>VLOOKUP(CG8,'Risk Factor'!$A$3:$D$488,4,FALSE)</f>
        <v>0</v>
      </c>
      <c r="CH88" s="1313">
        <f>VLOOKUP(CH8,'Risk Factor'!$A$3:$D$488,4,FALSE)</f>
        <v>0</v>
      </c>
      <c r="CI88" s="1313">
        <f>VLOOKUP(CI8,'Risk Factor'!$A$3:$D$488,4,FALSE)</f>
        <v>0</v>
      </c>
      <c r="CJ88" s="1313">
        <f>VLOOKUP(CJ8,'Risk Factor'!$A$3:$D$488,4,FALSE)</f>
        <v>0</v>
      </c>
      <c r="CK88" s="1313">
        <f>VLOOKUP(CK8,'Risk Factor'!$A$3:$D$488,4,FALSE)</f>
        <v>0</v>
      </c>
      <c r="CL88" s="1313">
        <f>VLOOKUP(CL8,'Risk Factor'!$A$3:$D$488,4,FALSE)</f>
        <v>0</v>
      </c>
      <c r="CM88" s="1313">
        <f>VLOOKUP(CM8,'Risk Factor'!$A$3:$D$488,4,FALSE)</f>
        <v>0</v>
      </c>
      <c r="CN88" s="1313">
        <f>VLOOKUP(CN8,'Risk Factor'!$A$3:$D$488,4,FALSE)</f>
        <v>0</v>
      </c>
      <c r="CO88" s="1313">
        <f>VLOOKUP(CO8,'Risk Factor'!$A$3:$D$488,4,FALSE)</f>
        <v>0</v>
      </c>
      <c r="CP88" s="1313">
        <f>VLOOKUP(CP8,'Risk Factor'!$A$3:$D$488,4,FALSE)</f>
        <v>0</v>
      </c>
      <c r="CQ88" s="1313">
        <f>VLOOKUP(CQ8,'Risk Factor'!$A$3:$D$488,4,FALSE)</f>
        <v>0</v>
      </c>
      <c r="CR88" s="1313">
        <f>VLOOKUP(CR8,'Risk Factor'!$A$3:$D$488,4,FALSE)</f>
        <v>0</v>
      </c>
      <c r="CS88" s="1313">
        <f>VLOOKUP(CS8,'Risk Factor'!$A$3:$D$488,4,FALSE)</f>
        <v>0</v>
      </c>
      <c r="CT88" s="1313">
        <f>VLOOKUP(CT8,'Risk Factor'!$A$3:$D$488,4,FALSE)</f>
        <v>0</v>
      </c>
      <c r="CU88" s="1313">
        <f>VLOOKUP(CU8,'Risk Factor'!$A$3:$D$488,4,FALSE)</f>
        <v>0</v>
      </c>
      <c r="CV88" s="1313">
        <f>VLOOKUP(CV8,'Risk Factor'!$A$3:$D$488,4,FALSE)</f>
        <v>0</v>
      </c>
      <c r="CW88" s="1313">
        <f>VLOOKUP(CW8,'Risk Factor'!$A$3:$D$488,4,FALSE)</f>
        <v>0</v>
      </c>
      <c r="CX88" s="1313">
        <f>VLOOKUP(CX8,'Risk Factor'!$A$3:$D$488,4,FALSE)</f>
        <v>0</v>
      </c>
      <c r="CY88" s="1313">
        <f>VLOOKUP(CY8,'Risk Factor'!$A$3:$D$488,4,FALSE)</f>
        <v>0</v>
      </c>
      <c r="CZ88" s="1313">
        <f>VLOOKUP(CZ8,'Risk Factor'!$A$3:$D$488,4,FALSE)</f>
        <v>0</v>
      </c>
      <c r="DA88" s="1313">
        <f>VLOOKUP(DA8,'Risk Factor'!$A$3:$D$488,4,FALSE)</f>
        <v>0</v>
      </c>
      <c r="DB88" s="1313">
        <f>VLOOKUP(DB8,'Risk Factor'!$A$3:$D$488,4,FALSE)</f>
        <v>0</v>
      </c>
      <c r="DC88" s="1313">
        <f>VLOOKUP(DC8,'Risk Factor'!$A$3:$D$488,4,FALSE)</f>
        <v>0</v>
      </c>
      <c r="DD88" s="1313">
        <f>VLOOKUP(DD8,'Risk Factor'!$A$3:$D$488,4,FALSE)</f>
        <v>0</v>
      </c>
      <c r="DE88" s="1313">
        <f>VLOOKUP(DE8,'Risk Factor'!$A$3:$D$488,4,FALSE)</f>
        <v>0</v>
      </c>
      <c r="DF88" s="1313">
        <f>VLOOKUP(DF8,'Risk Factor'!$A$3:$D$488,4,FALSE)</f>
        <v>0</v>
      </c>
      <c r="DG88" s="1313">
        <f>VLOOKUP(DG8,'Risk Factor'!$A$3:$D$488,4,FALSE)</f>
        <v>0</v>
      </c>
      <c r="DH88" s="1313">
        <f>VLOOKUP(DH8,'Risk Factor'!$A$3:$D$488,4,FALSE)</f>
        <v>0</v>
      </c>
      <c r="DI88" s="1313">
        <f>VLOOKUP(DI8,'Risk Factor'!$A$3:$D$488,4,FALSE)</f>
        <v>0</v>
      </c>
      <c r="DJ88" s="1313">
        <f>VLOOKUP(DJ8,'Risk Factor'!$A$3:$D$488,4,FALSE)</f>
        <v>0</v>
      </c>
      <c r="DK88" s="1313">
        <f>VLOOKUP(DK8,'Risk Factor'!$A$3:$D$488,4,FALSE)</f>
        <v>0</v>
      </c>
      <c r="DL88" s="1313">
        <f>VLOOKUP(DL8,'Risk Factor'!$A$3:$D$488,4,FALSE)</f>
        <v>0</v>
      </c>
      <c r="DM88" s="1313">
        <f>VLOOKUP(DM8,'Risk Factor'!$A$3:$D$488,4,FALSE)</f>
        <v>0</v>
      </c>
      <c r="DN88" s="1313">
        <f>VLOOKUP(DN8,'Risk Factor'!$A$3:$D$488,4,FALSE)</f>
        <v>0</v>
      </c>
      <c r="DO88" s="1313">
        <f>VLOOKUP(DO8,'Risk Factor'!$A$3:$D$488,4,FALSE)</f>
        <v>0</v>
      </c>
      <c r="DP88" s="1313">
        <f>VLOOKUP(DP8,'Risk Factor'!$A$3:$D$488,4,FALSE)</f>
        <v>0</v>
      </c>
      <c r="DQ88" s="1313">
        <f>VLOOKUP(DQ8,'Risk Factor'!$A$3:$D$488,4,FALSE)</f>
        <v>0</v>
      </c>
      <c r="DR88" s="1313">
        <f>VLOOKUP(DR8,'Risk Factor'!$A$3:$D$488,4,FALSE)</f>
        <v>0</v>
      </c>
      <c r="DS88" s="1313">
        <f>VLOOKUP(DS8,'Risk Factor'!$A$3:$D$488,4,FALSE)</f>
        <v>0</v>
      </c>
      <c r="DT88" s="1313">
        <f>VLOOKUP(DT8,'Risk Factor'!$A$3:$D$488,4,FALSE)</f>
        <v>0</v>
      </c>
      <c r="DU88" s="1313">
        <f>VLOOKUP(DU8,'Risk Factor'!$A$3:$D$488,4,FALSE)</f>
        <v>0</v>
      </c>
      <c r="DV88" s="1313">
        <f>VLOOKUP(DV8,'Risk Factor'!$A$3:$D$488,4,FALSE)</f>
        <v>0</v>
      </c>
      <c r="DW88" s="1313">
        <f>VLOOKUP(DW8,'Risk Factor'!$A$3:$D$488,4,FALSE)</f>
        <v>0</v>
      </c>
      <c r="DX88" s="1313">
        <f>VLOOKUP(DX8,'Risk Factor'!$A$3:$D$488,4,FALSE)</f>
        <v>0</v>
      </c>
      <c r="DY88" s="1313">
        <f>VLOOKUP(DY8,'Risk Factor'!$A$3:$D$488,4,FALSE)</f>
        <v>0</v>
      </c>
      <c r="DZ88" s="1313">
        <f>VLOOKUP(DZ8,'Risk Factor'!$A$3:$D$488,4,FALSE)</f>
        <v>0</v>
      </c>
      <c r="EA88" s="1313">
        <f>VLOOKUP(EA8,'Risk Factor'!$A$3:$D$488,4,FALSE)</f>
        <v>0</v>
      </c>
      <c r="EB88" s="1313">
        <f>VLOOKUP(EB8,'Risk Factor'!$A$3:$D$488,4,FALSE)</f>
        <v>0</v>
      </c>
      <c r="EC88" s="1313">
        <f>VLOOKUP(EC8,'Risk Factor'!$A$3:$D$488,4,FALSE)</f>
        <v>0</v>
      </c>
      <c r="ED88" s="1313">
        <f>VLOOKUP(ED8,'Risk Factor'!$A$3:$D$488,4,FALSE)</f>
        <v>0</v>
      </c>
      <c r="EE88" s="1313">
        <f>VLOOKUP(EE8,'Risk Factor'!$A$3:$D$488,4,FALSE)</f>
        <v>0</v>
      </c>
      <c r="EF88" s="1313">
        <f>VLOOKUP(EF8,'Risk Factor'!$A$3:$D$488,4,FALSE)</f>
        <v>0</v>
      </c>
      <c r="EG88" s="1313">
        <f>VLOOKUP(EG8,'Risk Factor'!$A$3:$D$488,4,FALSE)</f>
        <v>0</v>
      </c>
      <c r="EH88" s="1313">
        <f>VLOOKUP(EH8,'Risk Factor'!$A$3:$D$488,4,FALSE)</f>
        <v>0</v>
      </c>
      <c r="EI88" s="1313">
        <f>VLOOKUP(EI8,'Risk Factor'!$A$3:$D$488,4,FALSE)</f>
        <v>0</v>
      </c>
      <c r="EJ88" s="1313">
        <f>VLOOKUP(EJ8,'Risk Factor'!$A$3:$D$488,4,FALSE)</f>
        <v>0</v>
      </c>
      <c r="EK88" s="1313">
        <f>VLOOKUP(EK8,'Risk Factor'!$A$3:$D$488,4,FALSE)</f>
        <v>0</v>
      </c>
      <c r="EL88" s="1313">
        <f>VLOOKUP(EL8,'Risk Factor'!$A$3:$D$488,4,FALSE)</f>
        <v>0</v>
      </c>
      <c r="EM88" s="1313">
        <f>VLOOKUP(EM8,'Risk Factor'!$A$3:$D$488,4,FALSE)</f>
        <v>0</v>
      </c>
      <c r="EN88" s="1313">
        <f>VLOOKUP(EN8,'Risk Factor'!$A$3:$D$488,4,FALSE)</f>
        <v>0</v>
      </c>
      <c r="EO88" s="1313">
        <f>VLOOKUP(EO8,'Risk Factor'!$A$3:$D$488,4,FALSE)</f>
        <v>0</v>
      </c>
      <c r="EP88" s="1313">
        <f>VLOOKUP(EP8,'Risk Factor'!$A$3:$D$488,4,FALSE)</f>
        <v>0</v>
      </c>
      <c r="EQ88" s="1313">
        <f>VLOOKUP(EQ8,'Risk Factor'!$A$3:$D$488,4,FALSE)</f>
        <v>0</v>
      </c>
      <c r="ER88" s="1313">
        <f>VLOOKUP(ER8,'Risk Factor'!$A$3:$D$488,4,FALSE)</f>
        <v>0</v>
      </c>
      <c r="ES88" s="1313">
        <f>VLOOKUP(ES8,'Risk Factor'!$A$3:$D$488,4,FALSE)</f>
        <v>0</v>
      </c>
      <c r="ET88" s="1313">
        <f>VLOOKUP(ET8,'Risk Factor'!$A$3:$D$488,4,FALSE)</f>
        <v>0</v>
      </c>
      <c r="EU88" s="1313">
        <f>VLOOKUP(EU8,'Risk Factor'!$A$3:$D$488,4,FALSE)</f>
        <v>0</v>
      </c>
      <c r="EV88" s="1313">
        <f>VLOOKUP(EV8,'Risk Factor'!$A$3:$D$488,4,FALSE)</f>
        <v>0</v>
      </c>
      <c r="EW88" s="1313">
        <f>VLOOKUP(EW8,'Risk Factor'!$A$3:$D$488,4,FALSE)</f>
        <v>0</v>
      </c>
      <c r="EX88" s="521"/>
      <c r="EY88" s="1259"/>
      <c r="EZ88" s="1430"/>
      <c r="FA88" s="1430"/>
      <c r="FB88" s="1430"/>
      <c r="FC88" s="1430"/>
      <c r="FD88" s="1430"/>
      <c r="FE88" s="520"/>
      <c r="FF88" s="1429"/>
      <c r="FG88" s="1429"/>
      <c r="FH88" s="1429"/>
      <c r="FI88" s="1429"/>
      <c r="FJ88" s="1429"/>
      <c r="FK88" s="520"/>
      <c r="FL88" s="519"/>
      <c r="FM88" s="519"/>
    </row>
    <row r="89" spans="1:169" s="395" customFormat="1" ht="12.75" customHeight="1" x14ac:dyDescent="0.2">
      <c r="A89" s="520"/>
      <c r="B89" s="417"/>
      <c r="C89" s="430"/>
      <c r="D89" s="249"/>
      <c r="E89" s="457"/>
      <c r="F89" s="466"/>
      <c r="G89" s="1023"/>
      <c r="H89" s="1023"/>
      <c r="I89" s="1023"/>
      <c r="J89" s="1023" t="str">
        <f t="array" ref="J89">IF(BE89=0,"---",(GEOMEAN($AH89:BE89/100+1)^12-1)*100)</f>
        <v>---</v>
      </c>
      <c r="K89" s="1023"/>
      <c r="L89" s="1023" t="str">
        <f t="array" ref="L89">IF(CC89=0,"---",(GEOMEAN($AH89:CC89/100+1)^12-1)*100)</f>
        <v>---</v>
      </c>
      <c r="M89" s="1023"/>
      <c r="N89" s="1023" t="str">
        <f t="array" ref="N89">IF(DM89=0,"---",(GEOMEAN($AH89:DM89/100+1)^12-1)*100)</f>
        <v>---</v>
      </c>
      <c r="O89" s="1023" t="str">
        <f t="array" ref="O89">IF(EK89=0,"---",(GEOMEAN($AH89:EK89/100+1)^12-1)*100)</f>
        <v>---</v>
      </c>
      <c r="P89" s="1023"/>
      <c r="Q89" s="1221"/>
      <c r="R89" s="249"/>
      <c r="S89" s="249"/>
      <c r="T89" s="249"/>
      <c r="U89" s="249"/>
      <c r="V89" s="249"/>
      <c r="W89" s="249"/>
      <c r="X89" s="249"/>
      <c r="Y89" s="249"/>
      <c r="Z89" s="249"/>
      <c r="AA89" s="249"/>
      <c r="AB89" s="249"/>
      <c r="AC89" s="459"/>
      <c r="AD89" s="463"/>
      <c r="AE89" s="15"/>
      <c r="AF89" s="442"/>
      <c r="AG89" s="382"/>
      <c r="AH89" s="482">
        <f t="shared" ref="AH89:BM89" si="84">VLOOKUP(AH$8,Index,47,FALSE)</f>
        <v>2.6848068999999994</v>
      </c>
      <c r="AI89" s="482">
        <f t="shared" si="84"/>
        <v>-1.8408154999999999</v>
      </c>
      <c r="AJ89" s="482">
        <f t="shared" si="84"/>
        <v>2.2511486000000001</v>
      </c>
      <c r="AK89" s="482">
        <f t="shared" si="84"/>
        <v>2.0064833999999996</v>
      </c>
      <c r="AL89" s="482">
        <f t="shared" si="84"/>
        <v>0.26910569999999995</v>
      </c>
      <c r="AM89" s="482">
        <f t="shared" si="84"/>
        <v>0.59269450000000001</v>
      </c>
      <c r="AN89" s="482">
        <f t="shared" si="84"/>
        <v>4.7465329000000001</v>
      </c>
      <c r="AO89" s="482">
        <f t="shared" si="84"/>
        <v>-3.7534925999999995</v>
      </c>
      <c r="AP89" s="482">
        <f t="shared" si="84"/>
        <v>1.7838595999999998</v>
      </c>
      <c r="AQ89" s="482">
        <f t="shared" si="84"/>
        <v>1.8310513999999996</v>
      </c>
      <c r="AR89" s="482">
        <f t="shared" si="84"/>
        <v>4.0729950999999991</v>
      </c>
      <c r="AS89" s="482">
        <f t="shared" si="84"/>
        <v>5.3374978999999998</v>
      </c>
      <c r="AT89" s="482">
        <f t="shared" si="84"/>
        <v>-2.2590249999999998</v>
      </c>
      <c r="AU89" s="482">
        <f t="shared" si="84"/>
        <v>5.0059800000000001</v>
      </c>
      <c r="AV89" s="482">
        <f t="shared" si="84"/>
        <v>-2.488302</v>
      </c>
      <c r="AW89" s="482">
        <f t="shared" si="84"/>
        <v>0</v>
      </c>
      <c r="AX89" s="482">
        <f t="shared" si="84"/>
        <v>0</v>
      </c>
      <c r="AY89" s="482">
        <f t="shared" si="84"/>
        <v>0</v>
      </c>
      <c r="AZ89" s="482">
        <f t="shared" si="84"/>
        <v>0</v>
      </c>
      <c r="BA89" s="482">
        <f t="shared" si="84"/>
        <v>0</v>
      </c>
      <c r="BB89" s="482">
        <f t="shared" si="84"/>
        <v>0</v>
      </c>
      <c r="BC89" s="482">
        <f t="shared" si="84"/>
        <v>0</v>
      </c>
      <c r="BD89" s="482">
        <f t="shared" si="84"/>
        <v>0</v>
      </c>
      <c r="BE89" s="482">
        <f t="shared" si="84"/>
        <v>0</v>
      </c>
      <c r="BF89" s="482">
        <f t="shared" si="84"/>
        <v>0</v>
      </c>
      <c r="BG89" s="482">
        <f t="shared" si="84"/>
        <v>0</v>
      </c>
      <c r="BH89" s="482">
        <f t="shared" si="84"/>
        <v>0</v>
      </c>
      <c r="BI89" s="482">
        <f t="shared" si="84"/>
        <v>0</v>
      </c>
      <c r="BJ89" s="482">
        <f t="shared" si="84"/>
        <v>0</v>
      </c>
      <c r="BK89" s="482">
        <f t="shared" si="84"/>
        <v>0</v>
      </c>
      <c r="BL89" s="482">
        <f t="shared" si="84"/>
        <v>0</v>
      </c>
      <c r="BM89" s="482">
        <f t="shared" si="84"/>
        <v>0</v>
      </c>
      <c r="BN89" s="482">
        <f t="shared" ref="BN89:CS89" si="85">VLOOKUP(BN$8,Index,47,FALSE)</f>
        <v>0</v>
      </c>
      <c r="BO89" s="482">
        <f t="shared" si="85"/>
        <v>0</v>
      </c>
      <c r="BP89" s="482">
        <f t="shared" si="85"/>
        <v>0</v>
      </c>
      <c r="BQ89" s="482">
        <f t="shared" si="85"/>
        <v>0</v>
      </c>
      <c r="BR89" s="482">
        <f t="shared" si="85"/>
        <v>0</v>
      </c>
      <c r="BS89" s="482">
        <f t="shared" si="85"/>
        <v>0</v>
      </c>
      <c r="BT89" s="482">
        <f t="shared" si="85"/>
        <v>0</v>
      </c>
      <c r="BU89" s="482">
        <f t="shared" si="85"/>
        <v>0</v>
      </c>
      <c r="BV89" s="482">
        <f t="shared" si="85"/>
        <v>0</v>
      </c>
      <c r="BW89" s="482">
        <f t="shared" si="85"/>
        <v>0</v>
      </c>
      <c r="BX89" s="482">
        <f t="shared" si="85"/>
        <v>0</v>
      </c>
      <c r="BY89" s="482">
        <f t="shared" si="85"/>
        <v>0</v>
      </c>
      <c r="BZ89" s="482">
        <f t="shared" si="85"/>
        <v>0</v>
      </c>
      <c r="CA89" s="482">
        <f t="shared" si="85"/>
        <v>0</v>
      </c>
      <c r="CB89" s="482">
        <f t="shared" si="85"/>
        <v>0</v>
      </c>
      <c r="CC89" s="482">
        <f t="shared" si="85"/>
        <v>0</v>
      </c>
      <c r="CD89" s="482">
        <f t="shared" si="85"/>
        <v>0</v>
      </c>
      <c r="CE89" s="482">
        <f t="shared" si="85"/>
        <v>0</v>
      </c>
      <c r="CF89" s="482">
        <f t="shared" si="85"/>
        <v>0</v>
      </c>
      <c r="CG89" s="482">
        <f t="shared" si="85"/>
        <v>0</v>
      </c>
      <c r="CH89" s="482">
        <f t="shared" si="85"/>
        <v>0</v>
      </c>
      <c r="CI89" s="482">
        <f t="shared" si="85"/>
        <v>0</v>
      </c>
      <c r="CJ89" s="482">
        <f t="shared" si="85"/>
        <v>0</v>
      </c>
      <c r="CK89" s="482">
        <f t="shared" si="85"/>
        <v>0</v>
      </c>
      <c r="CL89" s="482">
        <f t="shared" si="85"/>
        <v>0</v>
      </c>
      <c r="CM89" s="482">
        <f t="shared" si="85"/>
        <v>0</v>
      </c>
      <c r="CN89" s="482">
        <f t="shared" si="85"/>
        <v>0</v>
      </c>
      <c r="CO89" s="482">
        <f t="shared" si="85"/>
        <v>0</v>
      </c>
      <c r="CP89" s="482">
        <f t="shared" si="85"/>
        <v>0</v>
      </c>
      <c r="CQ89" s="482">
        <f t="shared" si="85"/>
        <v>0</v>
      </c>
      <c r="CR89" s="482">
        <f t="shared" si="85"/>
        <v>0</v>
      </c>
      <c r="CS89" s="482">
        <f t="shared" si="85"/>
        <v>0</v>
      </c>
      <c r="CT89" s="482">
        <f t="shared" ref="CT89:DY89" si="86">VLOOKUP(CT$8,Index,47,FALSE)</f>
        <v>0</v>
      </c>
      <c r="CU89" s="482">
        <f t="shared" si="86"/>
        <v>0</v>
      </c>
      <c r="CV89" s="482">
        <f t="shared" si="86"/>
        <v>0</v>
      </c>
      <c r="CW89" s="482">
        <f t="shared" si="86"/>
        <v>0</v>
      </c>
      <c r="CX89" s="482">
        <f t="shared" si="86"/>
        <v>0</v>
      </c>
      <c r="CY89" s="482">
        <f t="shared" si="86"/>
        <v>0</v>
      </c>
      <c r="CZ89" s="482">
        <f t="shared" si="86"/>
        <v>0</v>
      </c>
      <c r="DA89" s="482">
        <f t="shared" si="86"/>
        <v>0</v>
      </c>
      <c r="DB89" s="482">
        <f t="shared" si="86"/>
        <v>0</v>
      </c>
      <c r="DC89" s="482">
        <f t="shared" si="86"/>
        <v>0</v>
      </c>
      <c r="DD89" s="482">
        <f t="shared" si="86"/>
        <v>0</v>
      </c>
      <c r="DE89" s="482">
        <f t="shared" si="86"/>
        <v>0</v>
      </c>
      <c r="DF89" s="482">
        <f t="shared" si="86"/>
        <v>0</v>
      </c>
      <c r="DG89" s="482">
        <f t="shared" si="86"/>
        <v>0</v>
      </c>
      <c r="DH89" s="482">
        <f t="shared" si="86"/>
        <v>0</v>
      </c>
      <c r="DI89" s="482">
        <f t="shared" si="86"/>
        <v>0</v>
      </c>
      <c r="DJ89" s="482">
        <f t="shared" si="86"/>
        <v>0</v>
      </c>
      <c r="DK89" s="482">
        <f t="shared" si="86"/>
        <v>0</v>
      </c>
      <c r="DL89" s="482">
        <f t="shared" si="86"/>
        <v>0</v>
      </c>
      <c r="DM89" s="482">
        <f t="shared" si="86"/>
        <v>0</v>
      </c>
      <c r="DN89" s="482">
        <f t="shared" si="86"/>
        <v>0</v>
      </c>
      <c r="DO89" s="482">
        <f t="shared" si="86"/>
        <v>0</v>
      </c>
      <c r="DP89" s="482">
        <f t="shared" si="86"/>
        <v>0</v>
      </c>
      <c r="DQ89" s="482">
        <f t="shared" si="86"/>
        <v>0</v>
      </c>
      <c r="DR89" s="482">
        <f t="shared" si="86"/>
        <v>0</v>
      </c>
      <c r="DS89" s="482">
        <f t="shared" si="86"/>
        <v>0</v>
      </c>
      <c r="DT89" s="482">
        <f t="shared" si="86"/>
        <v>0</v>
      </c>
      <c r="DU89" s="482">
        <f t="shared" si="86"/>
        <v>0</v>
      </c>
      <c r="DV89" s="482">
        <f t="shared" si="86"/>
        <v>0</v>
      </c>
      <c r="DW89" s="482">
        <f t="shared" si="86"/>
        <v>0</v>
      </c>
      <c r="DX89" s="482">
        <f t="shared" si="86"/>
        <v>0</v>
      </c>
      <c r="DY89" s="482">
        <f t="shared" si="86"/>
        <v>0</v>
      </c>
      <c r="DZ89" s="482">
        <f t="shared" ref="DZ89:EW89" si="87">VLOOKUP(DZ$8,Index,47,FALSE)</f>
        <v>0</v>
      </c>
      <c r="EA89" s="482">
        <f t="shared" si="87"/>
        <v>0</v>
      </c>
      <c r="EB89" s="482">
        <f t="shared" si="87"/>
        <v>0</v>
      </c>
      <c r="EC89" s="482">
        <f t="shared" si="87"/>
        <v>0</v>
      </c>
      <c r="ED89" s="482">
        <f t="shared" si="87"/>
        <v>0</v>
      </c>
      <c r="EE89" s="482">
        <f t="shared" si="87"/>
        <v>0</v>
      </c>
      <c r="EF89" s="482">
        <f t="shared" si="87"/>
        <v>0</v>
      </c>
      <c r="EG89" s="482">
        <f t="shared" si="87"/>
        <v>0</v>
      </c>
      <c r="EH89" s="482">
        <f t="shared" si="87"/>
        <v>0</v>
      </c>
      <c r="EI89" s="482">
        <f t="shared" si="87"/>
        <v>0</v>
      </c>
      <c r="EJ89" s="482">
        <f t="shared" si="87"/>
        <v>0</v>
      </c>
      <c r="EK89" s="482">
        <f t="shared" si="87"/>
        <v>0</v>
      </c>
      <c r="EL89" s="482">
        <f t="shared" si="87"/>
        <v>0</v>
      </c>
      <c r="EM89" s="482">
        <f t="shared" si="87"/>
        <v>0</v>
      </c>
      <c r="EN89" s="482">
        <f t="shared" si="87"/>
        <v>0</v>
      </c>
      <c r="EO89" s="482">
        <f t="shared" si="87"/>
        <v>0</v>
      </c>
      <c r="EP89" s="482">
        <f t="shared" si="87"/>
        <v>0</v>
      </c>
      <c r="EQ89" s="482">
        <f t="shared" si="87"/>
        <v>0</v>
      </c>
      <c r="ER89" s="482">
        <f t="shared" si="87"/>
        <v>0</v>
      </c>
      <c r="ES89" s="482">
        <f t="shared" si="87"/>
        <v>0</v>
      </c>
      <c r="ET89" s="482">
        <f t="shared" si="87"/>
        <v>0</v>
      </c>
      <c r="EU89" s="482">
        <f t="shared" si="87"/>
        <v>0</v>
      </c>
      <c r="EV89" s="482">
        <f t="shared" si="87"/>
        <v>0</v>
      </c>
      <c r="EW89" s="482">
        <f t="shared" si="87"/>
        <v>0</v>
      </c>
      <c r="EX89" s="393"/>
      <c r="EY89" s="393"/>
      <c r="EZ89" s="789" t="e">
        <f>VLOOKUP($EY89,'NEPC data'!$B66:$M253,5,TRUE)*100</f>
        <v>#N/A</v>
      </c>
      <c r="FA89" s="789" t="e">
        <f>VLOOKUP($EY89,'NEPC data'!$B66:$M253,7,TRUE)*100</f>
        <v>#N/A</v>
      </c>
      <c r="FB89" s="789" t="e">
        <f>VLOOKUP($EY89,'NEPC data'!$B66:$M253,9,TRUE)*100</f>
        <v>#N/A</v>
      </c>
      <c r="FC89" s="789" t="e">
        <f>VLOOKUP($EY89,'NEPC data'!$B66:$M253,10,TRUE)*100</f>
        <v>#N/A</v>
      </c>
      <c r="FD89" s="789" t="e">
        <f>VLOOKUP($EY89,'NEPC data'!$B66:$M253,11,TRUE)*100</f>
        <v>#N/A</v>
      </c>
      <c r="FE89" s="382"/>
      <c r="FF89" s="442"/>
      <c r="FG89" s="442"/>
      <c r="FH89" s="442"/>
      <c r="FI89" s="442"/>
      <c r="FJ89" s="442"/>
      <c r="FK89" s="382"/>
      <c r="FL89" s="442"/>
      <c r="FM89" s="442"/>
    </row>
    <row r="90" spans="1:169" s="207" customFormat="1" ht="12.75" hidden="1" customHeight="1" thickBot="1" x14ac:dyDescent="0.25">
      <c r="A90" s="497" t="s">
        <v>876</v>
      </c>
      <c r="B90" s="622"/>
      <c r="C90" s="498"/>
      <c r="D90" s="499"/>
      <c r="E90" s="500">
        <f>E88+E86+E58</f>
        <v>18660.158996259997</v>
      </c>
      <c r="F90" s="599"/>
      <c r="G90" s="600"/>
      <c r="H90" s="600"/>
      <c r="I90" s="600"/>
      <c r="J90" s="600"/>
      <c r="K90" s="600"/>
      <c r="L90" s="600"/>
      <c r="M90" s="600"/>
      <c r="N90" s="600"/>
      <c r="O90" s="600"/>
      <c r="P90" s="600"/>
      <c r="Q90" s="601"/>
      <c r="R90" s="499"/>
      <c r="S90" s="499"/>
      <c r="T90" s="499"/>
      <c r="U90" s="499"/>
      <c r="V90" s="499"/>
      <c r="W90" s="499"/>
      <c r="X90" s="499"/>
      <c r="Y90" s="499"/>
      <c r="Z90" s="499"/>
      <c r="AA90" s="499"/>
      <c r="AB90" s="499"/>
      <c r="AC90" s="605"/>
      <c r="AD90" s="603"/>
      <c r="AE90" s="501"/>
      <c r="AF90" s="508"/>
      <c r="AG90" s="248"/>
      <c r="AH90" s="503"/>
      <c r="AI90" s="503"/>
      <c r="AJ90" s="503"/>
      <c r="AK90" s="503"/>
      <c r="AL90" s="503"/>
      <c r="AM90" s="503"/>
      <c r="AN90" s="503"/>
      <c r="AO90" s="503"/>
      <c r="AP90" s="503"/>
      <c r="AQ90" s="503"/>
      <c r="AR90" s="503"/>
      <c r="AS90" s="503"/>
      <c r="AT90" s="503"/>
      <c r="AU90" s="503"/>
      <c r="AV90" s="503"/>
      <c r="AW90" s="503"/>
      <c r="AX90" s="503"/>
      <c r="AY90" s="503"/>
      <c r="AZ90" s="503"/>
      <c r="BA90" s="503"/>
      <c r="BB90" s="503"/>
      <c r="BC90" s="503"/>
      <c r="BD90" s="503"/>
      <c r="BE90" s="503"/>
      <c r="BF90" s="503"/>
      <c r="BG90" s="503"/>
      <c r="BH90" s="503"/>
      <c r="BI90" s="503"/>
      <c r="BJ90" s="503"/>
      <c r="BK90" s="503"/>
      <c r="BL90" s="503"/>
      <c r="BM90" s="503"/>
      <c r="BN90" s="503"/>
      <c r="BO90" s="503"/>
      <c r="BP90" s="503"/>
      <c r="BQ90" s="503"/>
      <c r="BR90" s="503"/>
      <c r="BS90" s="503"/>
      <c r="BT90" s="503"/>
      <c r="BU90" s="503"/>
      <c r="BV90" s="503"/>
      <c r="BW90" s="503"/>
      <c r="BX90" s="503"/>
      <c r="BY90" s="503"/>
      <c r="BZ90" s="503"/>
      <c r="CA90" s="503"/>
      <c r="CB90" s="503"/>
      <c r="CC90" s="503"/>
      <c r="CD90" s="503"/>
      <c r="CE90" s="503"/>
      <c r="CF90" s="503"/>
      <c r="CG90" s="503"/>
      <c r="CH90" s="503"/>
      <c r="CI90" s="503"/>
      <c r="CJ90" s="503"/>
      <c r="CK90" s="503"/>
      <c r="CL90" s="503"/>
      <c r="CM90" s="503"/>
      <c r="CN90" s="503"/>
      <c r="CO90" s="503"/>
      <c r="CP90" s="503"/>
      <c r="CQ90" s="503"/>
      <c r="CR90" s="503"/>
      <c r="CS90" s="503"/>
      <c r="CT90" s="503"/>
      <c r="CU90" s="503"/>
      <c r="CV90" s="503"/>
      <c r="CW90" s="503"/>
      <c r="CX90" s="503"/>
      <c r="CY90" s="503"/>
      <c r="CZ90" s="503"/>
      <c r="DA90" s="503"/>
      <c r="DB90" s="503"/>
      <c r="DC90" s="503"/>
      <c r="DD90" s="503"/>
      <c r="DE90" s="503"/>
      <c r="DF90" s="503"/>
      <c r="DG90" s="503"/>
      <c r="DH90" s="503"/>
      <c r="DI90" s="503"/>
      <c r="DJ90" s="503"/>
      <c r="DK90" s="503"/>
      <c r="DL90" s="503"/>
      <c r="DM90" s="503"/>
      <c r="DN90" s="503"/>
      <c r="DO90" s="503"/>
      <c r="DP90" s="503"/>
      <c r="DQ90" s="503"/>
      <c r="DR90" s="503"/>
      <c r="DS90" s="503"/>
      <c r="DT90" s="503"/>
      <c r="DU90" s="503"/>
      <c r="DV90" s="503"/>
      <c r="DW90" s="503"/>
      <c r="DX90" s="503"/>
      <c r="DY90" s="503"/>
      <c r="DZ90" s="503"/>
      <c r="EA90" s="503"/>
      <c r="EB90" s="503"/>
      <c r="EC90" s="503"/>
      <c r="ED90" s="503"/>
      <c r="EE90" s="503"/>
      <c r="EF90" s="503"/>
      <c r="EG90" s="503"/>
      <c r="EH90" s="503"/>
      <c r="EI90" s="503"/>
      <c r="EJ90" s="503"/>
      <c r="EK90" s="503"/>
      <c r="EL90" s="503"/>
      <c r="EM90" s="503"/>
      <c r="EN90" s="503"/>
      <c r="EO90" s="503"/>
      <c r="EP90" s="503"/>
      <c r="EQ90" s="503"/>
      <c r="ER90" s="503"/>
      <c r="ES90" s="503"/>
      <c r="ET90" s="503"/>
      <c r="EU90" s="503"/>
      <c r="EV90" s="503"/>
      <c r="EW90" s="503"/>
      <c r="EX90" s="504"/>
      <c r="EY90" s="1066"/>
      <c r="EZ90" s="789"/>
      <c r="FA90" s="789"/>
      <c r="FB90" s="789"/>
      <c r="FC90" s="789"/>
      <c r="FD90" s="789"/>
      <c r="FE90" s="248"/>
      <c r="FF90" s="505"/>
      <c r="FG90" s="505"/>
      <c r="FH90" s="505"/>
      <c r="FI90" s="505"/>
      <c r="FJ90" s="505"/>
      <c r="FK90" s="248"/>
      <c r="FL90" s="506"/>
      <c r="FM90" s="506"/>
    </row>
    <row r="91" spans="1:169" s="395" customFormat="1" ht="12.75" customHeight="1" x14ac:dyDescent="0.2">
      <c r="A91" s="416"/>
      <c r="B91" s="417"/>
      <c r="C91" s="430"/>
      <c r="D91" s="249"/>
      <c r="E91" s="457"/>
      <c r="F91" s="466"/>
      <c r="G91" s="467"/>
      <c r="H91" s="467"/>
      <c r="I91" s="467"/>
      <c r="J91" s="467"/>
      <c r="K91" s="467"/>
      <c r="L91" s="467"/>
      <c r="M91" s="467"/>
      <c r="N91" s="467"/>
      <c r="O91" s="467"/>
      <c r="P91" s="467"/>
      <c r="Q91" s="468"/>
      <c r="R91" s="249"/>
      <c r="S91" s="249"/>
      <c r="T91" s="249"/>
      <c r="U91" s="249"/>
      <c r="V91" s="249"/>
      <c r="W91" s="249"/>
      <c r="X91" s="249"/>
      <c r="Y91" s="249"/>
      <c r="Z91" s="249"/>
      <c r="AA91" s="249"/>
      <c r="AB91" s="249"/>
      <c r="AC91" s="459"/>
      <c r="AD91" s="463"/>
      <c r="AE91" s="15"/>
      <c r="AF91" s="442"/>
      <c r="AG91" s="382"/>
      <c r="AH91" s="440"/>
      <c r="AI91" s="440"/>
      <c r="AJ91" s="440"/>
      <c r="AK91" s="440"/>
      <c r="AL91" s="440"/>
      <c r="AM91" s="440"/>
      <c r="AN91" s="440"/>
      <c r="AO91" s="440"/>
      <c r="AP91" s="440"/>
      <c r="AQ91" s="440"/>
      <c r="AR91" s="440"/>
      <c r="AS91" s="440"/>
      <c r="AT91" s="440"/>
      <c r="AU91" s="440"/>
      <c r="AV91" s="440"/>
      <c r="AW91" s="440"/>
      <c r="AX91" s="440"/>
      <c r="AY91" s="440"/>
      <c r="AZ91" s="440"/>
      <c r="BA91" s="440"/>
      <c r="BB91" s="440"/>
      <c r="BC91" s="440"/>
      <c r="BD91" s="440"/>
      <c r="BE91" s="440"/>
      <c r="BF91" s="440"/>
      <c r="BG91" s="440"/>
      <c r="BH91" s="440"/>
      <c r="BI91" s="440"/>
      <c r="BJ91" s="440"/>
      <c r="BK91" s="440"/>
      <c r="BL91" s="440"/>
      <c r="BM91" s="440"/>
      <c r="BN91" s="440"/>
      <c r="BO91" s="440"/>
      <c r="BP91" s="440"/>
      <c r="BQ91" s="440"/>
      <c r="BR91" s="440"/>
      <c r="BS91" s="440"/>
      <c r="BT91" s="440"/>
      <c r="BU91" s="440"/>
      <c r="BV91" s="440"/>
      <c r="BW91" s="440"/>
      <c r="BX91" s="440"/>
      <c r="BY91" s="440"/>
      <c r="BZ91" s="440"/>
      <c r="CA91" s="440"/>
      <c r="CB91" s="440"/>
      <c r="CC91" s="440"/>
      <c r="CD91" s="440"/>
      <c r="CE91" s="440"/>
      <c r="CF91" s="440"/>
      <c r="CG91" s="440"/>
      <c r="CH91" s="440"/>
      <c r="CI91" s="440"/>
      <c r="CJ91" s="440"/>
      <c r="CK91" s="440"/>
      <c r="CL91" s="440"/>
      <c r="CM91" s="440"/>
      <c r="CN91" s="440"/>
      <c r="CO91" s="440"/>
      <c r="CP91" s="440"/>
      <c r="CQ91" s="440"/>
      <c r="CR91" s="440"/>
      <c r="CS91" s="440"/>
      <c r="CT91" s="440"/>
      <c r="CU91" s="440"/>
      <c r="CV91" s="440"/>
      <c r="CW91" s="440"/>
      <c r="CX91" s="440"/>
      <c r="CY91" s="440"/>
      <c r="CZ91" s="440"/>
      <c r="DA91" s="440"/>
      <c r="DB91" s="440"/>
      <c r="DC91" s="440"/>
      <c r="DD91" s="440"/>
      <c r="DE91" s="440"/>
      <c r="DF91" s="440"/>
      <c r="DG91" s="440"/>
      <c r="DH91" s="440"/>
      <c r="DI91" s="440"/>
      <c r="DJ91" s="440"/>
      <c r="DK91" s="440"/>
      <c r="DL91" s="440"/>
      <c r="DM91" s="440"/>
      <c r="DN91" s="440"/>
      <c r="DO91" s="440"/>
      <c r="DP91" s="440"/>
      <c r="DQ91" s="440"/>
      <c r="DR91" s="440"/>
      <c r="DS91" s="440"/>
      <c r="DT91" s="440"/>
      <c r="DU91" s="440"/>
      <c r="DV91" s="440"/>
      <c r="DW91" s="440"/>
      <c r="DX91" s="440"/>
      <c r="DY91" s="440"/>
      <c r="DZ91" s="440"/>
      <c r="EA91" s="440"/>
      <c r="EB91" s="440"/>
      <c r="EC91" s="440"/>
      <c r="ED91" s="440"/>
      <c r="EE91" s="440"/>
      <c r="EF91" s="440"/>
      <c r="EG91" s="440"/>
      <c r="EH91" s="440"/>
      <c r="EI91" s="440"/>
      <c r="EJ91" s="440"/>
      <c r="EK91" s="440"/>
      <c r="EL91" s="440"/>
      <c r="EM91" s="440"/>
      <c r="EN91" s="440"/>
      <c r="EO91" s="440"/>
      <c r="EP91" s="440"/>
      <c r="EQ91" s="440"/>
      <c r="ER91" s="440"/>
      <c r="ES91" s="440"/>
      <c r="ET91" s="440"/>
      <c r="EU91" s="440"/>
      <c r="EV91" s="440"/>
      <c r="EW91" s="440"/>
      <c r="EX91" s="393"/>
      <c r="EY91" s="393"/>
      <c r="EZ91" s="789"/>
      <c r="FA91" s="789"/>
      <c r="FB91" s="789"/>
      <c r="FC91" s="789"/>
      <c r="FD91" s="789"/>
      <c r="FE91" s="382"/>
      <c r="FF91" s="442"/>
      <c r="FG91" s="442"/>
      <c r="FH91" s="442"/>
      <c r="FI91" s="442"/>
      <c r="FJ91" s="442"/>
      <c r="FK91" s="382"/>
      <c r="FL91" s="442"/>
      <c r="FM91" s="442"/>
    </row>
    <row r="92" spans="1:169" s="395" customFormat="1" ht="12.75" customHeight="1" x14ac:dyDescent="0.2">
      <c r="A92" s="425" t="s">
        <v>60</v>
      </c>
      <c r="B92" s="620"/>
      <c r="C92" s="469"/>
      <c r="D92" s="249"/>
      <c r="E92" s="470"/>
      <c r="F92" s="471"/>
      <c r="G92" s="472"/>
      <c r="H92" s="467"/>
      <c r="I92" s="467"/>
      <c r="J92" s="467"/>
      <c r="K92" s="467"/>
      <c r="L92" s="467"/>
      <c r="M92" s="467"/>
      <c r="N92" s="467"/>
      <c r="O92" s="467"/>
      <c r="P92" s="467"/>
      <c r="Q92" s="468"/>
      <c r="R92" s="249"/>
      <c r="S92" s="249"/>
      <c r="T92" s="249"/>
      <c r="U92" s="249"/>
      <c r="V92" s="249"/>
      <c r="W92" s="249"/>
      <c r="X92" s="249"/>
      <c r="Y92" s="249"/>
      <c r="Z92" s="249"/>
      <c r="AA92" s="249"/>
      <c r="AB92" s="249"/>
      <c r="AC92" s="459"/>
      <c r="AD92" s="463"/>
      <c r="AE92" s="15"/>
      <c r="AF92" s="442"/>
      <c r="AG92" s="382"/>
      <c r="AH92" s="440"/>
      <c r="AI92" s="440"/>
      <c r="AJ92" s="440"/>
      <c r="AK92" s="440"/>
      <c r="AL92" s="440"/>
      <c r="AM92" s="440"/>
      <c r="AN92" s="440"/>
      <c r="AO92" s="440"/>
      <c r="AP92" s="440"/>
      <c r="AQ92" s="440"/>
      <c r="AR92" s="440"/>
      <c r="AS92" s="440"/>
      <c r="AT92" s="440"/>
      <c r="AU92" s="440"/>
      <c r="AV92" s="440"/>
      <c r="AW92" s="440"/>
      <c r="AX92" s="440"/>
      <c r="AY92" s="440"/>
      <c r="AZ92" s="440"/>
      <c r="BA92" s="440"/>
      <c r="BB92" s="440"/>
      <c r="BC92" s="440"/>
      <c r="BD92" s="440"/>
      <c r="BE92" s="440"/>
      <c r="BF92" s="440"/>
      <c r="BG92" s="440"/>
      <c r="BH92" s="440"/>
      <c r="BI92" s="440"/>
      <c r="BJ92" s="440"/>
      <c r="BK92" s="440"/>
      <c r="BL92" s="440"/>
      <c r="BM92" s="440"/>
      <c r="BN92" s="440"/>
      <c r="BO92" s="440"/>
      <c r="BP92" s="440"/>
      <c r="BQ92" s="440"/>
      <c r="BR92" s="440"/>
      <c r="BS92" s="440"/>
      <c r="BT92" s="440"/>
      <c r="BU92" s="440"/>
      <c r="BV92" s="440"/>
      <c r="BW92" s="440"/>
      <c r="BX92" s="440"/>
      <c r="BY92" s="440"/>
      <c r="BZ92" s="440"/>
      <c r="CA92" s="440"/>
      <c r="CB92" s="440"/>
      <c r="CC92" s="440"/>
      <c r="CD92" s="440"/>
      <c r="CE92" s="440"/>
      <c r="CF92" s="440"/>
      <c r="CG92" s="440"/>
      <c r="CH92" s="440"/>
      <c r="CI92" s="440"/>
      <c r="CJ92" s="440"/>
      <c r="CK92" s="440"/>
      <c r="CL92" s="440"/>
      <c r="CM92" s="440"/>
      <c r="CN92" s="440"/>
      <c r="CO92" s="440"/>
      <c r="CP92" s="440"/>
      <c r="CQ92" s="440"/>
      <c r="CR92" s="440"/>
      <c r="CS92" s="440"/>
      <c r="CT92" s="440"/>
      <c r="CU92" s="440"/>
      <c r="CV92" s="440"/>
      <c r="CW92" s="440"/>
      <c r="CX92" s="440"/>
      <c r="CY92" s="440"/>
      <c r="CZ92" s="440"/>
      <c r="DA92" s="440"/>
      <c r="DB92" s="440"/>
      <c r="DC92" s="440"/>
      <c r="DD92" s="440"/>
      <c r="DE92" s="440"/>
      <c r="DF92" s="440"/>
      <c r="DG92" s="440"/>
      <c r="DH92" s="440"/>
      <c r="DI92" s="440"/>
      <c r="DJ92" s="440"/>
      <c r="DK92" s="440"/>
      <c r="DL92" s="440"/>
      <c r="DM92" s="440"/>
      <c r="DN92" s="440"/>
      <c r="DO92" s="440"/>
      <c r="DP92" s="440"/>
      <c r="DQ92" s="440"/>
      <c r="DR92" s="440"/>
      <c r="DS92" s="440"/>
      <c r="DT92" s="440"/>
      <c r="DU92" s="440"/>
      <c r="DV92" s="440"/>
      <c r="DW92" s="440"/>
      <c r="DX92" s="440"/>
      <c r="DY92" s="440"/>
      <c r="DZ92" s="440"/>
      <c r="EA92" s="440"/>
      <c r="EB92" s="440"/>
      <c r="EC92" s="440"/>
      <c r="ED92" s="440"/>
      <c r="EE92" s="440"/>
      <c r="EF92" s="440"/>
      <c r="EG92" s="440"/>
      <c r="EH92" s="440"/>
      <c r="EI92" s="440"/>
      <c r="EJ92" s="440"/>
      <c r="EK92" s="440"/>
      <c r="EL92" s="440"/>
      <c r="EM92" s="440"/>
      <c r="EN92" s="440"/>
      <c r="EO92" s="440"/>
      <c r="EP92" s="440"/>
      <c r="EQ92" s="440"/>
      <c r="ER92" s="440"/>
      <c r="ES92" s="440"/>
      <c r="ET92" s="440"/>
      <c r="EU92" s="440"/>
      <c r="EV92" s="440"/>
      <c r="EW92" s="440"/>
      <c r="EX92" s="393"/>
      <c r="EY92" s="393"/>
      <c r="EZ92" s="789" t="e">
        <f>VLOOKUP($EY92,'NEPC data'!$B67:$M254,5,TRUE)*100</f>
        <v>#N/A</v>
      </c>
      <c r="FA92" s="789" t="e">
        <f>VLOOKUP($EY92,'NEPC data'!$B67:$M254,7,TRUE)*100</f>
        <v>#N/A</v>
      </c>
      <c r="FB92" s="789" t="e">
        <f>VLOOKUP($EY92,'NEPC data'!$B67:$M254,9,TRUE)*100</f>
        <v>#N/A</v>
      </c>
      <c r="FC92" s="789" t="e">
        <f>VLOOKUP($EY92,'NEPC data'!$B67:$M254,10,TRUE)*100</f>
        <v>#N/A</v>
      </c>
      <c r="FD92" s="789" t="e">
        <f>VLOOKUP($EY92,'NEPC data'!$B67:$M254,11,TRUE)*100</f>
        <v>#N/A</v>
      </c>
      <c r="FE92" s="382"/>
      <c r="FF92" s="442"/>
      <c r="FG92" s="442"/>
      <c r="FH92" s="442"/>
      <c r="FI92" s="442"/>
      <c r="FJ92" s="442"/>
      <c r="FK92" s="382"/>
      <c r="FL92" s="442"/>
      <c r="FM92" s="442"/>
    </row>
    <row r="93" spans="1:169" s="395" customFormat="1" ht="12.75" customHeight="1" x14ac:dyDescent="0.2">
      <c r="A93" s="425"/>
      <c r="B93" s="620"/>
      <c r="C93" s="469"/>
      <c r="D93" s="249"/>
      <c r="E93" s="470"/>
      <c r="F93" s="471"/>
      <c r="G93" s="472"/>
      <c r="H93" s="467"/>
      <c r="I93" s="467"/>
      <c r="J93" s="467"/>
      <c r="K93" s="467"/>
      <c r="L93" s="467"/>
      <c r="M93" s="467"/>
      <c r="N93" s="467"/>
      <c r="O93" s="467"/>
      <c r="P93" s="467"/>
      <c r="Q93" s="468"/>
      <c r="R93" s="249"/>
      <c r="S93" s="249"/>
      <c r="T93" s="249"/>
      <c r="U93" s="249"/>
      <c r="V93" s="249"/>
      <c r="W93" s="249"/>
      <c r="X93" s="249"/>
      <c r="Y93" s="249"/>
      <c r="Z93" s="249"/>
      <c r="AA93" s="249"/>
      <c r="AB93" s="249"/>
      <c r="AC93" s="459"/>
      <c r="AD93" s="463"/>
      <c r="AE93" s="15"/>
      <c r="AF93" s="442"/>
      <c r="AG93" s="382"/>
      <c r="AH93" s="440"/>
      <c r="AI93" s="440"/>
      <c r="AJ93" s="440"/>
      <c r="AK93" s="440"/>
      <c r="AL93" s="440"/>
      <c r="AM93" s="440"/>
      <c r="AN93" s="440"/>
      <c r="AO93" s="440"/>
      <c r="AP93" s="440"/>
      <c r="AQ93" s="440"/>
      <c r="AR93" s="440"/>
      <c r="AS93" s="440"/>
      <c r="AT93" s="440"/>
      <c r="AU93" s="440"/>
      <c r="AV93" s="440"/>
      <c r="AW93" s="440"/>
      <c r="AX93" s="440"/>
      <c r="AY93" s="440"/>
      <c r="AZ93" s="440"/>
      <c r="BA93" s="440"/>
      <c r="BB93" s="440"/>
      <c r="BC93" s="440"/>
      <c r="BD93" s="440"/>
      <c r="BE93" s="440"/>
      <c r="BF93" s="440"/>
      <c r="BG93" s="440"/>
      <c r="BH93" s="440"/>
      <c r="BI93" s="440"/>
      <c r="BJ93" s="440"/>
      <c r="BK93" s="440"/>
      <c r="BL93" s="440"/>
      <c r="BM93" s="440"/>
      <c r="BN93" s="440"/>
      <c r="BO93" s="440"/>
      <c r="BP93" s="440"/>
      <c r="BQ93" s="440"/>
      <c r="BR93" s="440"/>
      <c r="BS93" s="440"/>
      <c r="BT93" s="440"/>
      <c r="BU93" s="440"/>
      <c r="BV93" s="440"/>
      <c r="BW93" s="440"/>
      <c r="BX93" s="440"/>
      <c r="BY93" s="440"/>
      <c r="BZ93" s="440"/>
      <c r="CA93" s="440"/>
      <c r="CB93" s="440"/>
      <c r="CC93" s="440"/>
      <c r="CD93" s="440"/>
      <c r="CE93" s="440"/>
      <c r="CF93" s="440"/>
      <c r="CG93" s="440"/>
      <c r="CH93" s="440"/>
      <c r="CI93" s="440"/>
      <c r="CJ93" s="440"/>
      <c r="CK93" s="440"/>
      <c r="CL93" s="440"/>
      <c r="CM93" s="440"/>
      <c r="CN93" s="440"/>
      <c r="CO93" s="440"/>
      <c r="CP93" s="440"/>
      <c r="CQ93" s="440"/>
      <c r="CR93" s="440"/>
      <c r="CS93" s="440"/>
      <c r="CT93" s="440"/>
      <c r="CU93" s="440"/>
      <c r="CV93" s="440"/>
      <c r="CW93" s="440"/>
      <c r="CX93" s="440"/>
      <c r="CY93" s="440"/>
      <c r="CZ93" s="440"/>
      <c r="DA93" s="440"/>
      <c r="DB93" s="440"/>
      <c r="DC93" s="440"/>
      <c r="DD93" s="440"/>
      <c r="DE93" s="440"/>
      <c r="DF93" s="440"/>
      <c r="DG93" s="440"/>
      <c r="DH93" s="440"/>
      <c r="DI93" s="440"/>
      <c r="DJ93" s="440"/>
      <c r="DK93" s="440"/>
      <c r="DL93" s="440"/>
      <c r="DM93" s="440"/>
      <c r="DN93" s="440"/>
      <c r="DO93" s="440"/>
      <c r="DP93" s="440"/>
      <c r="DQ93" s="440"/>
      <c r="DR93" s="440"/>
      <c r="DS93" s="440"/>
      <c r="DT93" s="440"/>
      <c r="DU93" s="440"/>
      <c r="DV93" s="440"/>
      <c r="DW93" s="440"/>
      <c r="DX93" s="440"/>
      <c r="DY93" s="440"/>
      <c r="DZ93" s="440"/>
      <c r="EA93" s="440"/>
      <c r="EB93" s="440"/>
      <c r="EC93" s="440"/>
      <c r="ED93" s="440"/>
      <c r="EE93" s="440"/>
      <c r="EF93" s="440"/>
      <c r="EG93" s="440"/>
      <c r="EH93" s="440"/>
      <c r="EI93" s="440"/>
      <c r="EJ93" s="440"/>
      <c r="EK93" s="440"/>
      <c r="EL93" s="440"/>
      <c r="EM93" s="440"/>
      <c r="EN93" s="440"/>
      <c r="EO93" s="440"/>
      <c r="EP93" s="440"/>
      <c r="EQ93" s="440"/>
      <c r="ER93" s="440"/>
      <c r="ES93" s="440"/>
      <c r="ET93" s="440"/>
      <c r="EU93" s="440"/>
      <c r="EV93" s="440"/>
      <c r="EW93" s="440"/>
      <c r="EX93" s="393"/>
      <c r="EY93" s="393"/>
      <c r="EZ93" s="789" t="e">
        <f>VLOOKUP($EY93,'NEPC data'!$B68:$M255,5,TRUE)*100</f>
        <v>#N/A</v>
      </c>
      <c r="FA93" s="789" t="e">
        <f>VLOOKUP($EY93,'NEPC data'!$B68:$M255,7,TRUE)*100</f>
        <v>#N/A</v>
      </c>
      <c r="FB93" s="789" t="e">
        <f>VLOOKUP($EY93,'NEPC data'!$B68:$M255,9,TRUE)*100</f>
        <v>#N/A</v>
      </c>
      <c r="FC93" s="789" t="e">
        <f>VLOOKUP($EY93,'NEPC data'!$B68:$M255,10,TRUE)*100</f>
        <v>#N/A</v>
      </c>
      <c r="FD93" s="789" t="e">
        <f>VLOOKUP($EY93,'NEPC data'!$B68:$M255,11,TRUE)*100</f>
        <v>#N/A</v>
      </c>
      <c r="FE93" s="382"/>
      <c r="FF93" s="442"/>
      <c r="FG93" s="442"/>
      <c r="FH93" s="442"/>
      <c r="FI93" s="442"/>
      <c r="FJ93" s="442"/>
      <c r="FK93" s="382"/>
      <c r="FL93" s="442"/>
      <c r="FM93" s="442"/>
    </row>
    <row r="94" spans="1:169" s="395" customFormat="1" ht="12.75" customHeight="1" x14ac:dyDescent="0.2">
      <c r="A94" s="1175" t="s">
        <v>943</v>
      </c>
      <c r="B94" s="1310" t="s">
        <v>321</v>
      </c>
      <c r="C94" s="430">
        <v>38261</v>
      </c>
      <c r="D94" s="249"/>
      <c r="E94" s="444">
        <f>VLOOKUP(AH$8,'BGI US Debt'!A3:E517,3,FALSE)/1000000</f>
        <v>718.0477395800001</v>
      </c>
      <c r="F94" s="431">
        <f>AH94</f>
        <v>1.08517</v>
      </c>
      <c r="G94" s="432">
        <f t="array" ref="G94">IF($AJ94=0,"---",(PRODUCT($AH94:AJ94/100+1)-1)*100)</f>
        <v>0.96120945941435831</v>
      </c>
      <c r="H94" s="432" t="str">
        <f t="array" ref="H94">IF($AS94=0,"---",(PRODUCT(AH94:AN94/100+1)-1)*100)</f>
        <v>---</v>
      </c>
      <c r="I94" s="432" t="str">
        <f t="array" ref="I94">IF(AS94=0,"---",(GEOMEAN($AH94:AS94/100+1)^12-1)*100)</f>
        <v>---</v>
      </c>
      <c r="J94" s="432" t="str">
        <f t="array" ref="J94">IF(BE94=0,"---",(GEOMEAN($AH94:BE94/100+1)^12-1)*100)</f>
        <v>---</v>
      </c>
      <c r="K94" s="432" t="str">
        <f t="array" ref="K94">IF(BQ94=0,"---",(GEOMEAN($AH94:BQ94/100+1)^12-1)*100)</f>
        <v>---</v>
      </c>
      <c r="L94" s="432" t="str">
        <f t="array" ref="L94">IF(CC94=0,"---",(GEOMEAN($AH94:CC94/100+1)^12-1)*100)</f>
        <v>---</v>
      </c>
      <c r="M94" s="432" t="str">
        <f t="array" ref="M94">IF(CO94=0,"---",(GEOMEAN($AH94:CO94/100+1)^12-1)*100)</f>
        <v>---</v>
      </c>
      <c r="N94" s="432" t="str">
        <f t="array" ref="N94">IF(DM94=0,"---",(GEOMEAN($AH94:DM94/100+1)^12-1)*100)</f>
        <v>---</v>
      </c>
      <c r="O94" s="432" t="str">
        <f t="array" ref="O94">IF(EK94=0,"---",(GEOMEAN($AH94:EK94/100+1)^12-1)*100)</f>
        <v>---</v>
      </c>
      <c r="P94" s="432" t="str">
        <f t="array" ref="P94">IF(EW94=0,"---",(GEOMEAN($AH94:EW94/100+1)^12-1)*100)</f>
        <v>---</v>
      </c>
      <c r="Q94" s="433">
        <f t="array" ref="Q94">(PRODUCT('BGI US Debt'!D469:D471/100+1)-1)*100</f>
        <v>1.0369864201860146</v>
      </c>
      <c r="R94" s="434">
        <f t="shared" ref="R94:AB95" si="88">IF(F94="---","---",(F94-F$96)*100)</f>
        <v>-1.8860000000000099</v>
      </c>
      <c r="S94" s="434">
        <f t="shared" si="88"/>
        <v>5.8709712210047726</v>
      </c>
      <c r="T94" s="434" t="str">
        <f t="shared" si="88"/>
        <v>---</v>
      </c>
      <c r="U94" s="434" t="str">
        <f t="shared" si="88"/>
        <v>---</v>
      </c>
      <c r="V94" s="434" t="str">
        <f t="shared" si="88"/>
        <v>---</v>
      </c>
      <c r="W94" s="434" t="str">
        <f t="shared" si="88"/>
        <v>---</v>
      </c>
      <c r="X94" s="434" t="str">
        <f t="shared" si="88"/>
        <v>---</v>
      </c>
      <c r="Y94" s="434" t="str">
        <f t="shared" si="88"/>
        <v>---</v>
      </c>
      <c r="Z94" s="434" t="str">
        <f t="shared" si="88"/>
        <v>---</v>
      </c>
      <c r="AA94" s="434" t="str">
        <f t="shared" si="88"/>
        <v>---</v>
      </c>
      <c r="AB94" s="434" t="str">
        <f t="shared" si="88"/>
        <v>---</v>
      </c>
      <c r="AC94" s="435">
        <f>(Q94-AF94)*100</f>
        <v>10.034486363588169</v>
      </c>
      <c r="AD94" s="436"/>
      <c r="AE94" s="1366"/>
      <c r="AF94" s="1468">
        <f t="array" ref="AF94">(PRODUCT(Index_Returns!W469:W471/100+1)-1)*100</f>
        <v>0.93664155655013293</v>
      </c>
      <c r="AG94" s="1215" t="str">
        <f>IF(I94="---","&lt; 1 Year","---")</f>
        <v>&lt; 1 Year</v>
      </c>
      <c r="AH94" s="439">
        <f t="array" ref="AH94">VLOOKUP(AH$8,'BGI US Debt'!$A$3:$E$527,2,FALSE)</f>
        <v>1.08517</v>
      </c>
      <c r="AI94" s="439">
        <f t="array" ref="AI94">VLOOKUP(AI$8,'BGI US Debt'!$A$3:$E$527,2,FALSE)</f>
        <v>-0.23358999999999999</v>
      </c>
      <c r="AJ94" s="439">
        <f t="array" ref="AJ94">VLOOKUP(AJ$8,'BGI US Debt'!$A$3:$E$527,2,FALSE)</f>
        <v>0.11122</v>
      </c>
      <c r="AK94" s="439">
        <f t="array" ref="AK94">VLOOKUP(AK$8,'BGI US Debt'!$A$3:$E$527,2,FALSE)</f>
        <v>1.1610400000000001</v>
      </c>
      <c r="AL94" s="439">
        <f t="array" ref="AL94">VLOOKUP(AL$8,'BGI US Debt'!$A$3:$E$527,2,FALSE)</f>
        <v>0</v>
      </c>
      <c r="AM94" s="439">
        <f t="array" ref="AM94">VLOOKUP(AM$8,'BGI US Debt'!$A$3:$E$527,2,FALSE)</f>
        <v>0</v>
      </c>
      <c r="AN94" s="439">
        <f t="array" ref="AN94">VLOOKUP(AN$8,'BGI US Debt'!$A$3:$E$527,2,FALSE)</f>
        <v>0</v>
      </c>
      <c r="AO94" s="439">
        <f t="array" ref="AO94">VLOOKUP(AO$8,'BGI US Debt'!$A$3:$E$527,2,FALSE)</f>
        <v>0</v>
      </c>
      <c r="AP94" s="439">
        <f t="array" ref="AP94">VLOOKUP(AP$8,'BGI US Debt'!$A$3:$E$527,2,FALSE)</f>
        <v>0</v>
      </c>
      <c r="AQ94" s="439">
        <f t="array" ref="AQ94">VLOOKUP(AQ$8,'BGI US Debt'!$A$3:$E$527,2,FALSE)</f>
        <v>0</v>
      </c>
      <c r="AR94" s="439">
        <f t="array" ref="AR94">VLOOKUP(AR$8,'BGI US Debt'!$A$3:$E$527,2,FALSE)</f>
        <v>0</v>
      </c>
      <c r="AS94" s="439">
        <f t="array" ref="AS94">VLOOKUP(AS$8,'BGI US Debt'!$A$3:$E$527,2,FALSE)</f>
        <v>0</v>
      </c>
      <c r="AT94" s="439">
        <f t="array" ref="AT94">VLOOKUP(AT$8,'BGI US Debt'!$A$3:$E$527,2,FALSE)</f>
        <v>0</v>
      </c>
      <c r="AU94" s="439">
        <f t="array" ref="AU94">VLOOKUP(AU$8,'BGI US Debt'!$A$3:$E$527,2,FALSE)</f>
        <v>0</v>
      </c>
      <c r="AV94" s="439">
        <f t="array" ref="AV94">VLOOKUP(AV$8,'BGI US Debt'!$A$3:$E$527,2,FALSE)</f>
        <v>0</v>
      </c>
      <c r="AW94" s="439">
        <f t="array" ref="AW94">VLOOKUP(AW$8,'BGI US Debt'!$A$3:$E$527,2,FALSE)</f>
        <v>0</v>
      </c>
      <c r="AX94" s="439">
        <f t="array" ref="AX94">VLOOKUP(AX$8,'BGI US Debt'!$A$3:$E$527,2,FALSE)</f>
        <v>0</v>
      </c>
      <c r="AY94" s="439">
        <f t="array" ref="AY94">VLOOKUP(AY$8,'BGI US Debt'!$A$3:$E$527,2,FALSE)</f>
        <v>0</v>
      </c>
      <c r="AZ94" s="439">
        <f t="array" ref="AZ94">VLOOKUP(AZ$8,'BGI US Debt'!$A$3:$E$527,2,FALSE)</f>
        <v>0</v>
      </c>
      <c r="BA94" s="439">
        <f t="array" ref="BA94">VLOOKUP(BA$8,'BGI US Debt'!$A$3:$E$527,2,FALSE)</f>
        <v>0</v>
      </c>
      <c r="BB94" s="439">
        <f t="array" ref="BB94">VLOOKUP(BB$8,'BGI US Debt'!$A$3:$E$527,2,FALSE)</f>
        <v>0</v>
      </c>
      <c r="BC94" s="439">
        <f t="array" ref="BC94">VLOOKUP(BC$8,'BGI US Debt'!$A$3:$E$527,2,FALSE)</f>
        <v>0</v>
      </c>
      <c r="BD94" s="439">
        <f t="array" ref="BD94">VLOOKUP(BD$8,'BGI US Debt'!$A$3:$E$527,2,FALSE)</f>
        <v>0</v>
      </c>
      <c r="BE94" s="439">
        <f t="array" ref="BE94">VLOOKUP(BE$8,'BGI US Debt'!$A$3:$E$527,2,FALSE)</f>
        <v>0</v>
      </c>
      <c r="BF94" s="439">
        <f t="array" ref="BF94">VLOOKUP(BF$8,'BGI US Debt'!$A$3:$E$527,2,FALSE)</f>
        <v>0</v>
      </c>
      <c r="BG94" s="439">
        <f t="array" ref="BG94">VLOOKUP(BG$8,'BGI US Debt'!$A$3:$E$527,2,FALSE)</f>
        <v>0</v>
      </c>
      <c r="BH94" s="439">
        <f t="array" ref="BH94">VLOOKUP(BH$8,'BGI US Debt'!$A$3:$E$527,2,FALSE)</f>
        <v>0</v>
      </c>
      <c r="BI94" s="439">
        <f t="array" ref="BI94">VLOOKUP(BI$8,'BGI US Debt'!$A$3:$E$527,2,FALSE)</f>
        <v>0</v>
      </c>
      <c r="BJ94" s="439">
        <f t="array" ref="BJ94">VLOOKUP(BJ$8,'BGI US Debt'!$A$3:$E$527,2,FALSE)</f>
        <v>0</v>
      </c>
      <c r="BK94" s="439">
        <f t="array" ref="BK94">VLOOKUP(BK$8,'BGI US Debt'!$A$3:$E$527,2,FALSE)</f>
        <v>0</v>
      </c>
      <c r="BL94" s="439">
        <f t="array" ref="BL94">VLOOKUP(BL$8,'BGI US Debt'!$A$3:$E$527,2,FALSE)</f>
        <v>0</v>
      </c>
      <c r="BM94" s="439">
        <f t="array" ref="BM94">VLOOKUP(BM$8,'BGI US Debt'!$A$3:$E$527,2,FALSE)</f>
        <v>0</v>
      </c>
      <c r="BN94" s="439">
        <f t="array" ref="BN94">VLOOKUP(BN$8,'BGI US Debt'!$A$3:$E$527,2,FALSE)</f>
        <v>0</v>
      </c>
      <c r="BO94" s="439">
        <f t="array" ref="BO94">VLOOKUP(BO$8,'BGI US Debt'!$A$3:$E$527,2,FALSE)</f>
        <v>0</v>
      </c>
      <c r="BP94" s="439">
        <f t="array" ref="BP94">VLOOKUP(BP$8,'BGI US Debt'!$A$3:$E$527,2,FALSE)</f>
        <v>0</v>
      </c>
      <c r="BQ94" s="439">
        <f t="array" ref="BQ94">VLOOKUP(BQ$8,'BGI US Debt'!$A$3:$E$527,2,FALSE)</f>
        <v>0</v>
      </c>
      <c r="BR94" s="439">
        <f t="array" ref="BR94">VLOOKUP(BR$8,'BGI US Debt'!$A$3:$E$527,2,FALSE)</f>
        <v>0</v>
      </c>
      <c r="BS94" s="439">
        <f t="array" ref="BS94">VLOOKUP(BS$8,'BGI US Debt'!$A$3:$E$527,2,FALSE)</f>
        <v>0</v>
      </c>
      <c r="BT94" s="439">
        <f t="array" ref="BT94">VLOOKUP(BT$8,'BGI US Debt'!$A$3:$E$527,2,FALSE)</f>
        <v>0</v>
      </c>
      <c r="BU94" s="439">
        <f t="array" ref="BU94">VLOOKUP(BU$8,'BGI US Debt'!$A$3:$E$527,2,FALSE)</f>
        <v>0</v>
      </c>
      <c r="BV94" s="439">
        <f t="array" ref="BV94">VLOOKUP(BV$8,'BGI US Debt'!$A$3:$E$527,2,FALSE)</f>
        <v>0</v>
      </c>
      <c r="BW94" s="439">
        <f t="array" ref="BW94">VLOOKUP(BW$8,'BGI US Debt'!$A$3:$E$527,2,FALSE)</f>
        <v>0</v>
      </c>
      <c r="BX94" s="439">
        <f t="array" ref="BX94">VLOOKUP(BX$8,'BGI US Debt'!$A$3:$E$527,2,FALSE)</f>
        <v>0</v>
      </c>
      <c r="BY94" s="439">
        <f t="array" ref="BY94">VLOOKUP(BY$8,'BGI US Debt'!$A$3:$E$527,2,FALSE)</f>
        <v>0</v>
      </c>
      <c r="BZ94" s="439">
        <f t="array" ref="BZ94">VLOOKUP(BZ$8,'BGI US Debt'!$A$3:$E$527,2,FALSE)</f>
        <v>0</v>
      </c>
      <c r="CA94" s="439">
        <f t="array" ref="CA94">VLOOKUP(CA$8,'BGI US Debt'!$A$3:$E$527,2,FALSE)</f>
        <v>0</v>
      </c>
      <c r="CB94" s="439">
        <f t="array" ref="CB94">VLOOKUP(CB$8,'BGI US Debt'!$A$3:$E$527,2,FALSE)</f>
        <v>0</v>
      </c>
      <c r="CC94" s="439">
        <f t="array" ref="CC94">VLOOKUP(CC$8,'BGI US Debt'!$A$3:$E$527,2,FALSE)</f>
        <v>0</v>
      </c>
      <c r="CD94" s="439">
        <f t="array" ref="CD94">VLOOKUP(CD$8,'BGI US Debt'!$A$3:$E$527,2,FALSE)</f>
        <v>0</v>
      </c>
      <c r="CE94" s="439">
        <f t="array" ref="CE94">VLOOKUP(CE$8,'BGI US Debt'!$A$3:$E$527,2,FALSE)</f>
        <v>0</v>
      </c>
      <c r="CF94" s="439">
        <f t="array" ref="CF94">VLOOKUP(CF$8,'BGI US Debt'!$A$3:$E$527,2,FALSE)</f>
        <v>0</v>
      </c>
      <c r="CG94" s="439">
        <f t="array" ref="CG94">VLOOKUP(CG$8,'BGI US Debt'!$A$3:$E$527,2,FALSE)</f>
        <v>0</v>
      </c>
      <c r="CH94" s="439">
        <f t="array" ref="CH94">VLOOKUP(CH$8,'BGI US Debt'!$A$3:$E$527,2,FALSE)</f>
        <v>0</v>
      </c>
      <c r="CI94" s="439">
        <f t="array" ref="CI94">VLOOKUP(CI$8,'BGI US Debt'!$A$3:$E$527,2,FALSE)</f>
        <v>0</v>
      </c>
      <c r="CJ94" s="439">
        <f t="array" ref="CJ94">VLOOKUP(CJ$8,'BGI US Debt'!$A$3:$E$527,2,FALSE)</f>
        <v>0</v>
      </c>
      <c r="CK94" s="439">
        <f t="array" ref="CK94">VLOOKUP(CK$8,'BGI US Debt'!$A$3:$E$527,2,FALSE)</f>
        <v>0</v>
      </c>
      <c r="CL94" s="439">
        <f t="array" ref="CL94">VLOOKUP(CL$8,'BGI US Debt'!$A$3:$E$527,2,FALSE)</f>
        <v>0</v>
      </c>
      <c r="CM94" s="439">
        <f t="array" ref="CM94">VLOOKUP(CM$8,'BGI US Debt'!$A$3:$E$527,2,FALSE)</f>
        <v>0</v>
      </c>
      <c r="CN94" s="439">
        <f t="array" ref="CN94">VLOOKUP(CN$8,'BGI US Debt'!$A$3:$E$527,2,FALSE)</f>
        <v>0</v>
      </c>
      <c r="CO94" s="439">
        <f t="array" ref="CO94">VLOOKUP(CO$8,'BGI US Debt'!$A$3:$E$527,2,FALSE)</f>
        <v>0</v>
      </c>
      <c r="CP94" s="439">
        <f t="array" ref="CP94">VLOOKUP(CP$8,'BGI US Debt'!$A$3:$E$527,2,FALSE)</f>
        <v>0</v>
      </c>
      <c r="CQ94" s="439">
        <f t="array" ref="CQ94">VLOOKUP(CQ$8,'BGI US Debt'!$A$3:$E$527,2,FALSE)</f>
        <v>0</v>
      </c>
      <c r="CR94" s="439">
        <f t="array" ref="CR94">VLOOKUP(CR$8,'BGI US Debt'!$A$3:$E$527,2,FALSE)</f>
        <v>0</v>
      </c>
      <c r="CS94" s="439">
        <f t="array" ref="CS94">VLOOKUP(CS$8,'BGI US Debt'!$A$3:$E$527,2,FALSE)</f>
        <v>0</v>
      </c>
      <c r="CT94" s="439">
        <f t="array" ref="CT94">VLOOKUP(CT$8,'BGI US Debt'!$A$3:$E$527,2,FALSE)</f>
        <v>0</v>
      </c>
      <c r="CU94" s="439">
        <f t="array" ref="CU94">VLOOKUP(CU$8,'BGI US Debt'!$A$3:$E$527,2,FALSE)</f>
        <v>0</v>
      </c>
      <c r="CV94" s="439">
        <f t="array" ref="CV94">VLOOKUP(CV$8,'BGI US Debt'!$A$3:$E$527,2,FALSE)</f>
        <v>0</v>
      </c>
      <c r="CW94" s="439">
        <f t="array" ref="CW94">VLOOKUP(CW$8,'BGI US Debt'!$A$3:$E$527,2,FALSE)</f>
        <v>0</v>
      </c>
      <c r="CX94" s="439">
        <f t="array" ref="CX94">VLOOKUP(CX$8,'BGI US Debt'!$A$3:$E$527,2,FALSE)</f>
        <v>0</v>
      </c>
      <c r="CY94" s="439">
        <f t="array" ref="CY94">VLOOKUP(CY$8,'BGI US Debt'!$A$3:$E$527,2,FALSE)</f>
        <v>0</v>
      </c>
      <c r="CZ94" s="439">
        <f t="array" ref="CZ94">VLOOKUP(CZ$8,'BGI US Debt'!$A$3:$E$527,2,FALSE)</f>
        <v>0</v>
      </c>
      <c r="DA94" s="439">
        <f t="array" ref="DA94">VLOOKUP(DA$8,'BGI US Debt'!$A$3:$E$527,2,FALSE)</f>
        <v>0</v>
      </c>
      <c r="DB94" s="439">
        <f t="array" ref="DB94">VLOOKUP(DB$8,'BGI US Debt'!$A$3:$E$527,2,FALSE)</f>
        <v>0</v>
      </c>
      <c r="DC94" s="439">
        <f t="array" ref="DC94">VLOOKUP(DC$8,'BGI US Debt'!$A$3:$E$527,2,FALSE)</f>
        <v>0</v>
      </c>
      <c r="DD94" s="439">
        <f t="array" ref="DD94">VLOOKUP(DD$8,'BGI US Debt'!$A$3:$E$527,2,FALSE)</f>
        <v>0</v>
      </c>
      <c r="DE94" s="439">
        <f t="array" ref="DE94">VLOOKUP(DE$8,'BGI US Debt'!$A$3:$E$527,2,FALSE)</f>
        <v>0</v>
      </c>
      <c r="DF94" s="439">
        <f t="array" ref="DF94">VLOOKUP(DF$8,'BGI US Debt'!$A$3:$E$527,2,FALSE)</f>
        <v>0</v>
      </c>
      <c r="DG94" s="439">
        <f t="array" ref="DG94">VLOOKUP(DG$8,'BGI US Debt'!$A$3:$E$527,2,FALSE)</f>
        <v>0</v>
      </c>
      <c r="DH94" s="439">
        <f t="array" ref="DH94">VLOOKUP(DH$8,'BGI US Debt'!$A$3:$E$527,2,FALSE)</f>
        <v>0</v>
      </c>
      <c r="DI94" s="439">
        <f t="array" ref="DI94">VLOOKUP(DI$8,'BGI US Debt'!$A$3:$E$527,2,FALSE)</f>
        <v>0</v>
      </c>
      <c r="DJ94" s="439">
        <f t="array" ref="DJ94">VLOOKUP(DJ$8,'BGI US Debt'!$A$3:$E$527,2,FALSE)</f>
        <v>0</v>
      </c>
      <c r="DK94" s="439">
        <f t="array" ref="DK94">VLOOKUP(DK$8,'BGI US Debt'!$A$3:$E$527,2,FALSE)</f>
        <v>0</v>
      </c>
      <c r="DL94" s="439">
        <f t="array" ref="DL94">VLOOKUP(DL$8,'BGI US Debt'!$A$3:$E$527,2,FALSE)</f>
        <v>0</v>
      </c>
      <c r="DM94" s="439">
        <f t="array" ref="DM94">VLOOKUP(DM$8,'BGI US Debt'!$A$3:$E$527,2,FALSE)</f>
        <v>0</v>
      </c>
      <c r="DN94" s="439">
        <f t="array" ref="DN94">VLOOKUP(DN$8,'BGI US Debt'!$A$3:$E$527,2,FALSE)</f>
        <v>0</v>
      </c>
      <c r="DO94" s="439">
        <f t="array" ref="DO94">VLOOKUP(DO$8,'BGI US Debt'!$A$3:$E$527,2,FALSE)</f>
        <v>0</v>
      </c>
      <c r="DP94" s="439">
        <f t="array" ref="DP94">VLOOKUP(DP$8,'BGI US Debt'!$A$3:$E$527,2,FALSE)</f>
        <v>0</v>
      </c>
      <c r="DQ94" s="439">
        <f t="array" ref="DQ94">VLOOKUP(DQ$8,'BGI US Debt'!$A$3:$E$527,2,FALSE)</f>
        <v>0</v>
      </c>
      <c r="DR94" s="439">
        <f t="array" ref="DR94">VLOOKUP(DR$8,'BGI US Debt'!$A$3:$E$527,2,FALSE)</f>
        <v>0</v>
      </c>
      <c r="DS94" s="439">
        <f t="array" ref="DS94">VLOOKUP(DS$8,'BGI US Debt'!$A$3:$E$527,2,FALSE)</f>
        <v>0</v>
      </c>
      <c r="DT94" s="439">
        <f t="array" ref="DT94">VLOOKUP(DT$8,'BGI US Debt'!$A$3:$E$527,2,FALSE)</f>
        <v>0</v>
      </c>
      <c r="DU94" s="439">
        <f t="array" ref="DU94">VLOOKUP(DU$8,'BGI US Debt'!$A$3:$E$527,2,FALSE)</f>
        <v>0</v>
      </c>
      <c r="DV94" s="439">
        <f t="array" ref="DV94">VLOOKUP(DV$8,'BGI US Debt'!$A$3:$E$527,2,FALSE)</f>
        <v>0</v>
      </c>
      <c r="DW94" s="439">
        <f t="array" ref="DW94">VLOOKUP(DW$8,'BGI US Debt'!$A$3:$E$527,2,FALSE)</f>
        <v>0</v>
      </c>
      <c r="DX94" s="439">
        <f t="array" ref="DX94">VLOOKUP(DX$8,'BGI US Debt'!$A$3:$E$527,2,FALSE)</f>
        <v>0</v>
      </c>
      <c r="DY94" s="439">
        <f t="array" ref="DY94">VLOOKUP(DY$8,'BGI US Debt'!$A$3:$E$527,2,FALSE)</f>
        <v>0</v>
      </c>
      <c r="DZ94" s="439">
        <f t="array" ref="DZ94">VLOOKUP(DZ$8,'BGI US Debt'!$A$3:$E$527,2,FALSE)</f>
        <v>0</v>
      </c>
      <c r="EA94" s="439">
        <f t="array" ref="EA94">VLOOKUP(EA$8,'BGI US Debt'!$A$3:$E$527,2,FALSE)</f>
        <v>0</v>
      </c>
      <c r="EB94" s="439">
        <f t="array" ref="EB94">VLOOKUP(EB$8,'BGI US Debt'!$A$3:$E$527,2,FALSE)</f>
        <v>0</v>
      </c>
      <c r="EC94" s="439">
        <f t="array" ref="EC94">VLOOKUP(EC$8,'BGI US Debt'!$A$3:$E$527,2,FALSE)</f>
        <v>0</v>
      </c>
      <c r="ED94" s="439">
        <f t="array" ref="ED94">VLOOKUP(ED$8,'BGI US Debt'!$A$3:$E$527,2,FALSE)</f>
        <v>0</v>
      </c>
      <c r="EE94" s="439">
        <f t="array" ref="EE94">VLOOKUP(EE$8,'BGI US Debt'!$A$3:$E$527,2,FALSE)</f>
        <v>0</v>
      </c>
      <c r="EF94" s="439">
        <f t="array" ref="EF94">VLOOKUP(EF$8,'BGI US Debt'!$A$3:$E$527,2,FALSE)</f>
        <v>0</v>
      </c>
      <c r="EG94" s="439">
        <f t="array" ref="EG94">VLOOKUP(EG$8,'BGI US Debt'!$A$3:$E$527,2,FALSE)</f>
        <v>0</v>
      </c>
      <c r="EH94" s="439">
        <f t="array" ref="EH94">VLOOKUP(EH$8,'BGI US Debt'!$A$3:$E$527,2,FALSE)</f>
        <v>0</v>
      </c>
      <c r="EI94" s="439">
        <f t="array" ref="EI94">VLOOKUP(EI$8,'BGI US Debt'!$A$3:$E$527,2,FALSE)</f>
        <v>0</v>
      </c>
      <c r="EJ94" s="439">
        <f t="array" ref="EJ94">VLOOKUP(EJ$8,'BGI US Debt'!$A$3:$E$527,2,FALSE)</f>
        <v>0</v>
      </c>
      <c r="EK94" s="439">
        <f t="array" ref="EK94">VLOOKUP(EK$8,'BGI US Debt'!$A$3:$E$527,2,FALSE)</f>
        <v>0</v>
      </c>
      <c r="EL94" s="439">
        <f t="array" ref="EL94">VLOOKUP(EL$8,'BGI US Debt'!$A$3:$E$527,2,FALSE)</f>
        <v>0</v>
      </c>
      <c r="EM94" s="439">
        <f t="array" ref="EM94">VLOOKUP(EM$8,'BGI US Debt'!$A$3:$E$527,2,FALSE)</f>
        <v>0</v>
      </c>
      <c r="EN94" s="439">
        <f t="array" ref="EN94">VLOOKUP(EN$8,'BGI US Debt'!$A$3:$E$527,2,FALSE)</f>
        <v>0</v>
      </c>
      <c r="EO94" s="439">
        <f t="array" ref="EO94">VLOOKUP(EO$8,'BGI US Debt'!$A$3:$E$527,2,FALSE)</f>
        <v>0</v>
      </c>
      <c r="EP94" s="439">
        <f t="array" ref="EP94">VLOOKUP(EP$8,'BGI US Debt'!$A$3:$E$527,2,FALSE)</f>
        <v>0</v>
      </c>
      <c r="EQ94" s="439">
        <f t="array" ref="EQ94">VLOOKUP(EQ$8,'BGI US Debt'!$A$3:$E$527,2,FALSE)</f>
        <v>0</v>
      </c>
      <c r="ER94" s="439">
        <f t="array" ref="ER94">VLOOKUP(ER$8,'BGI US Debt'!$A$3:$E$527,2,FALSE)</f>
        <v>0</v>
      </c>
      <c r="ES94" s="439">
        <f t="array" ref="ES94">VLOOKUP(ES$8,'BGI US Debt'!$A$3:$E$527,2,FALSE)</f>
        <v>0</v>
      </c>
      <c r="ET94" s="439">
        <f t="array" ref="ET94">VLOOKUP(ET$8,'BGI US Debt'!$A$3:$E$527,2,FALSE)</f>
        <v>0</v>
      </c>
      <c r="EU94" s="439">
        <f t="array" ref="EU94">VLOOKUP(EU$8,'BGI US Debt'!$A$3:$E$527,2,FALSE)</f>
        <v>0</v>
      </c>
      <c r="EV94" s="439">
        <f t="array" ref="EV94">VLOOKUP(EV$8,'BGI US Debt'!$A$3:$E$527,2,FALSE)</f>
        <v>0</v>
      </c>
      <c r="EW94" s="439">
        <f t="array" ref="EW94">VLOOKUP(EW$8,'BGI US Debt'!$A$3:$E$527,2,FALSE)</f>
        <v>0</v>
      </c>
      <c r="EX94" s="393"/>
      <c r="EY94" s="1066"/>
      <c r="EZ94" s="789"/>
      <c r="FA94" s="789"/>
      <c r="FB94" s="789"/>
      <c r="FC94" s="789"/>
      <c r="FD94" s="789"/>
      <c r="FE94" s="382"/>
      <c r="FF94" s="570"/>
      <c r="FG94" s="570"/>
      <c r="FH94" s="570"/>
      <c r="FI94" s="570"/>
      <c r="FJ94" s="570"/>
      <c r="FK94" s="382"/>
      <c r="FL94" s="442"/>
      <c r="FM94" s="442"/>
    </row>
    <row r="95" spans="1:169" s="395" customFormat="1" ht="12.75" customHeight="1" x14ac:dyDescent="0.2">
      <c r="A95" s="445" t="s">
        <v>55</v>
      </c>
      <c r="B95" s="621" t="s">
        <v>320</v>
      </c>
      <c r="C95" s="446">
        <v>36799</v>
      </c>
      <c r="D95" s="447">
        <f>ASRS_F2!D1</f>
        <v>1</v>
      </c>
      <c r="E95" s="448">
        <f>VLOOKUP(AH$8,ASRS_F2!A1:E488,3,FALSE)/1000000</f>
        <v>1935.13938267</v>
      </c>
      <c r="F95" s="449">
        <f>AH95</f>
        <v>1.0404199999999999</v>
      </c>
      <c r="G95" s="450">
        <f t="array" ref="G95">IF($AJ95=0,"---",(PRODUCT($AH95:AJ95/100+1)-1)*100)</f>
        <v>0.89977989225205057</v>
      </c>
      <c r="H95" s="450">
        <f t="array" ref="H95">IF($AS95=0,"---",(PRODUCT(AH95:AN95/100+1)-1)*100)</f>
        <v>3.1200975311961754</v>
      </c>
      <c r="I95" s="450">
        <f t="array" ref="I95">IF(AS95=0,"---",(GEOMEAN($AH95:AS95/100+1)^12-1)*100)</f>
        <v>5.6101689206585981</v>
      </c>
      <c r="J95" s="450">
        <f t="array" ref="J95">IF(BE95=0,"---",(GEOMEAN($AH95:BE95/100+1)^12-1)*100)</f>
        <v>1.6521245424251152</v>
      </c>
      <c r="K95" s="450">
        <f t="array" ref="K95">IF(BQ95=0,"---",(GEOMEAN($AH95:BQ95/100+1)^12-1)*100)</f>
        <v>3.1533839956249032</v>
      </c>
      <c r="L95" s="450">
        <f t="array" ref="L95">IF(CC95=0,"---",(GEOMEAN($AH95:CC95/100+1)^12-1)*100)</f>
        <v>3.5141006498688121</v>
      </c>
      <c r="M95" s="450">
        <f t="array" ref="M95">IF(CO95=0,"---",(GEOMEAN($AH95:CO95/100+1)^12-1)*100)</f>
        <v>4.6384492327555593</v>
      </c>
      <c r="N95" s="450">
        <f t="array" ref="N95">IF(DM95=0,"---",(GEOMEAN($AH95:DM95/100+1)^12-1)*100)</f>
        <v>5.4430847330922738</v>
      </c>
      <c r="O95" s="450">
        <f t="array" ref="O95">IF(EK95=0,"---",(GEOMEAN($AH95:EK95/100+1)^12-1)*100)</f>
        <v>5.0324345329322506</v>
      </c>
      <c r="P95" s="450">
        <f t="array" ref="P95">IF(EW95=0,"---",(GEOMEAN($AH95:EW95/100+1)^12-1)*100)</f>
        <v>4.9407195118694958</v>
      </c>
      <c r="Q95" s="451">
        <f t="array" ref="Q95">(GEOMEAN(ASRS_F2!B$306:B471/100+1)^12-1)*100</f>
        <v>5.6508374658155613</v>
      </c>
      <c r="R95" s="452">
        <f t="shared" si="88"/>
        <v>-6.3610000000000166</v>
      </c>
      <c r="S95" s="452">
        <f t="shared" si="88"/>
        <v>-0.27198549522600146</v>
      </c>
      <c r="T95" s="452">
        <f t="shared" si="88"/>
        <v>-16.307419016237112</v>
      </c>
      <c r="U95" s="452">
        <f t="shared" si="88"/>
        <v>-4.7199262806185693</v>
      </c>
      <c r="V95" s="452">
        <f t="shared" si="88"/>
        <v>14.004120240127538</v>
      </c>
      <c r="W95" s="452">
        <f t="shared" si="88"/>
        <v>23.853977444341368</v>
      </c>
      <c r="X95" s="452">
        <f t="shared" si="88"/>
        <v>17.663681742510207</v>
      </c>
      <c r="Y95" s="452">
        <f t="shared" si="88"/>
        <v>15.878036147893848</v>
      </c>
      <c r="Z95" s="452">
        <f t="shared" si="88"/>
        <v>27.92381953041545</v>
      </c>
      <c r="AA95" s="452">
        <f t="shared" si="88"/>
        <v>24.743783183154289</v>
      </c>
      <c r="AB95" s="452">
        <f t="shared" si="88"/>
        <v>21.96568803872756</v>
      </c>
      <c r="AC95" s="453">
        <f>(Q95-AF95)*100</f>
        <v>15.054696961811498</v>
      </c>
      <c r="AD95" s="454">
        <v>10</v>
      </c>
      <c r="AE95" s="477"/>
      <c r="AF95" s="473">
        <f t="array" ref="AF95">(GEOMEAN(Index_Returns!W306:W471/100+1)^12-1)*100</f>
        <v>5.5002904961974464</v>
      </c>
      <c r="AG95" s="382" t="str">
        <f>IF(I95="---","&lt; 1 Year","---")</f>
        <v>---</v>
      </c>
      <c r="AH95" s="439">
        <f>VLOOKUP(AH$8,ASRS_F2!$A$1:$E$488,2,FALSE)</f>
        <v>1.0404199999999999</v>
      </c>
      <c r="AI95" s="439">
        <f>VLOOKUP(AI$8,ASRS_F2!$A$1:$E$488,2,FALSE)</f>
        <v>-0.25115999999999999</v>
      </c>
      <c r="AJ95" s="439">
        <f>VLOOKUP(AJ$8,ASRS_F2!$A$1:$E$488,2,FALSE)</f>
        <v>0.11225</v>
      </c>
      <c r="AK95" s="439">
        <f>VLOOKUP(AK$8,ASRS_F2!$A$1:$E$488,2,FALSE)</f>
        <v>1.0822000000000001</v>
      </c>
      <c r="AL95" s="439">
        <f>VLOOKUP(AL$8,ASRS_F2!$A$1:$E$488,2,FALSE)</f>
        <v>0.80767</v>
      </c>
      <c r="AM95" s="439">
        <f>VLOOKUP(AM$8,ASRS_F2!$A$1:$E$488,2,FALSE)</f>
        <v>-0.18139</v>
      </c>
      <c r="AN95" s="439">
        <f>VLOOKUP(AN$8,ASRS_F2!$A$1:$E$488,2,FALSE)</f>
        <v>0.47854000000000002</v>
      </c>
      <c r="AO95" s="439">
        <f>VLOOKUP(AO$8,ASRS_F2!$A$1:$E$488,2,FALSE)</f>
        <v>1.4351499999999999</v>
      </c>
      <c r="AP95" s="439">
        <f>VLOOKUP(AP$8,ASRS_F2!$A$1:$E$488,2,FALSE)</f>
        <v>-0.48465999999999998</v>
      </c>
      <c r="AQ95" s="439">
        <f>VLOOKUP(AQ$8,ASRS_F2!$A$1:$E$488,2,FALSE)</f>
        <v>-0.23044999999999999</v>
      </c>
      <c r="AR95" s="439">
        <f>VLOOKUP(AR$8,ASRS_F2!$A$1:$E$488,2,FALSE)</f>
        <v>0.79400999999999999</v>
      </c>
      <c r="AS95" s="439">
        <f>VLOOKUP(AS$8,ASRS_F2!$A$1:$E$488,2,FALSE)</f>
        <v>0.89071</v>
      </c>
      <c r="AT95" s="439">
        <f>VLOOKUP(AT$8,ASRS_F2!$A$1:$E$488,2,FALSE)</f>
        <v>-0.43445</v>
      </c>
      <c r="AU95" s="439">
        <f>VLOOKUP(AU$8,ASRS_F2!$A$1:$E$488,2,FALSE)</f>
        <v>0.20860000000000001</v>
      </c>
      <c r="AV95" s="439">
        <f>VLOOKUP(AV$8,ASRS_F2!$A$1:$E$488,2,FALSE)</f>
        <v>-1.4512700000000001</v>
      </c>
      <c r="AW95" s="439">
        <f>VLOOKUP(AW$8,ASRS_F2!$A$1:$E$488,2,FALSE)</f>
        <v>-1.5476000000000001</v>
      </c>
      <c r="AX95" s="439">
        <f>VLOOKUP(AX$8,ASRS_F2!$A$1:$E$488,2,FALSE)</f>
        <v>0.85941999999999996</v>
      </c>
      <c r="AY95" s="439">
        <f>VLOOKUP(AY$8,ASRS_F2!$A$1:$E$488,2,FALSE)</f>
        <v>0.124</v>
      </c>
      <c r="AZ95" s="439">
        <f>VLOOKUP(AZ$8,ASRS_F2!$A$1:$E$488,2,FALSE)</f>
        <v>0.54484999999999995</v>
      </c>
      <c r="BA95" s="439">
        <f>VLOOKUP(BA$8,ASRS_F2!$A$1:$E$488,2,FALSE)</f>
        <v>-0.66200999999999999</v>
      </c>
      <c r="BB95" s="439">
        <f>VLOOKUP(BB$8,ASRS_F2!$A$1:$E$488,2,FALSE)</f>
        <v>-0.31606000000000001</v>
      </c>
      <c r="BC95" s="439">
        <f>VLOOKUP(BC$8,ASRS_F2!$A$1:$E$488,2,FALSE)</f>
        <v>0.19620000000000001</v>
      </c>
      <c r="BD95" s="439">
        <f>VLOOKUP(BD$8,ASRS_F2!$A$1:$E$488,2,FALSE)</f>
        <v>0.18992000000000001</v>
      </c>
      <c r="BE95" s="439">
        <f>VLOOKUP(BE$8,ASRS_F2!$A$1:$E$488,2,FALSE)</f>
        <v>0.13950000000000001</v>
      </c>
      <c r="BF95" s="439">
        <f>VLOOKUP(BF$8,ASRS_F2!$A$1:$E$488,2,FALSE)</f>
        <v>9.4020000000000006E-2</v>
      </c>
      <c r="BG95" s="439">
        <f>VLOOKUP(BG$8,ASRS_F2!$A$1:$E$488,2,FALSE)</f>
        <v>1.3264899999999999</v>
      </c>
      <c r="BH95" s="439">
        <f>VLOOKUP(BH$8,ASRS_F2!$A$1:$E$488,2,FALSE)</f>
        <v>9.0959999999999999E-2</v>
      </c>
      <c r="BI95" s="439">
        <f>VLOOKUP(BI$8,ASRS_F2!$A$1:$E$488,2,FALSE)</f>
        <v>0.86043000000000003</v>
      </c>
      <c r="BJ95" s="439">
        <f>VLOOKUP(BJ$8,ASRS_F2!$A$1:$E$488,2,FALSE)</f>
        <v>1.0880099999999999</v>
      </c>
      <c r="BK95" s="439">
        <f>VLOOKUP(BK$8,ASRS_F2!$A$1:$E$488,2,FALSE)</f>
        <v>-0.46811000000000003</v>
      </c>
      <c r="BL95" s="439">
        <f>VLOOKUP(BL$8,ASRS_F2!$A$1:$E$488,2,FALSE)</f>
        <v>6.4479999999999996E-2</v>
      </c>
      <c r="BM95" s="439">
        <f>VLOOKUP(BM$8,ASRS_F2!$A$1:$E$488,2,FALSE)</f>
        <v>0.92634000000000005</v>
      </c>
      <c r="BN95" s="439">
        <f>VLOOKUP(BN$8,ASRS_F2!$A$1:$E$488,2,FALSE)</f>
        <v>1.1130500000000001</v>
      </c>
      <c r="BO95" s="439">
        <f>VLOOKUP(BO$8,ASRS_F2!$A$1:$E$488,2,FALSE)</f>
        <v>-3.124E-2</v>
      </c>
      <c r="BP95" s="439">
        <f>VLOOKUP(BP$8,ASRS_F2!$A$1:$E$488,2,FALSE)</f>
        <v>2.1049999999999999E-2</v>
      </c>
      <c r="BQ95" s="439">
        <f>VLOOKUP(BQ$8,ASRS_F2!$A$1:$E$488,2,FALSE)</f>
        <v>0.98606000000000005</v>
      </c>
      <c r="BR95" s="439">
        <f>VLOOKUP(BR$8,ASRS_F2!$A$1:$E$488,2,FALSE)</f>
        <v>1.6292800000000001</v>
      </c>
      <c r="BS95" s="439">
        <f>VLOOKUP(BS$8,ASRS_F2!$A$1:$E$488,2,FALSE)</f>
        <v>1.5965</v>
      </c>
      <c r="BT95" s="439">
        <f>VLOOKUP(BT$8,ASRS_F2!$A$1:$E$488,2,FALSE)</f>
        <v>-0.31448999999999999</v>
      </c>
      <c r="BU95" s="439">
        <f>VLOOKUP(BU$8,ASRS_F2!$A$1:$E$488,2,FALSE)</f>
        <v>1.2528999999999999</v>
      </c>
      <c r="BV95" s="439">
        <f>VLOOKUP(BV$8,ASRS_F2!$A$1:$E$488,2,FALSE)</f>
        <v>1.27962</v>
      </c>
      <c r="BW95" s="439">
        <f>VLOOKUP(BW$8,ASRS_F2!$A$1:$E$488,2,FALSE)</f>
        <v>5.16E-2</v>
      </c>
      <c r="BX95" s="439">
        <f>VLOOKUP(BX$8,ASRS_F2!$A$1:$E$488,2,FALSE)</f>
        <v>0.24797</v>
      </c>
      <c r="BY95" s="439">
        <f>VLOOKUP(BY$8,ASRS_F2!$A$1:$E$488,2,FALSE)</f>
        <v>7.2400000000000006E-2</v>
      </c>
      <c r="BZ95" s="439">
        <f>VLOOKUP(BZ$8,ASRS_F2!$A$1:$E$488,2,FALSE)</f>
        <v>-1.1508700000000001</v>
      </c>
      <c r="CA95" s="439">
        <f>VLOOKUP(CA$8,ASRS_F2!$A$1:$E$488,2,FALSE)</f>
        <v>-0.52788999999999997</v>
      </c>
      <c r="CB95" s="439">
        <f>VLOOKUP(CB$8,ASRS_F2!$A$1:$E$488,2,FALSE)</f>
        <v>0.30740000000000001</v>
      </c>
      <c r="CC95" s="439">
        <f>VLOOKUP(CC$8,ASRS_F2!$A$1:$E$488,2,FALSE)</f>
        <v>0.10767</v>
      </c>
      <c r="CD95" s="439">
        <f>VLOOKUP(CD$8,ASRS_F2!$A$1:$E$488,2,FALSE)</f>
        <v>1.4019900000000001</v>
      </c>
      <c r="CE95" s="439">
        <f>VLOOKUP(CE$8,ASRS_F2!$A$1:$E$488,2,FALSE)</f>
        <v>0.97311999999999999</v>
      </c>
      <c r="CF95" s="439">
        <f>VLOOKUP(CF$8,ASRS_F2!$A$1:$E$488,2,FALSE)</f>
        <v>1.61</v>
      </c>
      <c r="CG95" s="439">
        <f>VLOOKUP(CG$8,ASRS_F2!$A$1:$E$488,2,FALSE)</f>
        <v>0.67</v>
      </c>
      <c r="CH95" s="439">
        <f>VLOOKUP(CH$8,ASRS_F2!$A$1:$E$488,2,FALSE)</f>
        <v>0.97</v>
      </c>
      <c r="CI95" s="439">
        <f>VLOOKUP(CI$8,ASRS_F2!$A$1:$E$488,2,FALSE)</f>
        <v>-0.04</v>
      </c>
      <c r="CJ95" s="439">
        <f>VLOOKUP(CJ$8,ASRS_F2!$A$1:$E$488,2,FALSE)</f>
        <v>0.35</v>
      </c>
      <c r="CK95" s="439">
        <f>VLOOKUP(CK$8,ASRS_F2!$A$1:$E$488,2,FALSE)</f>
        <v>1.52</v>
      </c>
      <c r="CL95" s="439">
        <f>VLOOKUP(CL$8,ASRS_F2!$A$1:$E$488,2,FALSE)</f>
        <v>-1.34</v>
      </c>
      <c r="CM95" s="439">
        <f>VLOOKUP(CM$8,ASRS_F2!$A$1:$E$488,2,FALSE)</f>
        <v>1.28</v>
      </c>
      <c r="CN95" s="439">
        <f>VLOOKUP(CN$8,ASRS_F2!$A$1:$E$488,2,FALSE)</f>
        <v>0.54</v>
      </c>
      <c r="CO95" s="439">
        <f>VLOOKUP(CO$8,ASRS_F2!$A$1:$E$488,2,FALSE)</f>
        <v>0.99</v>
      </c>
      <c r="CP95" s="439">
        <f>VLOOKUP(CP$8,ASRS_F2!$A$1:$E$488,2,FALSE)</f>
        <v>0.98</v>
      </c>
      <c r="CQ95" s="439">
        <f>VLOOKUP(CQ$8,ASRS_F2!$A$1:$E$488,2,FALSE)</f>
        <v>2.0299999999999998</v>
      </c>
      <c r="CR95" s="439">
        <f>VLOOKUP(CR$8,ASRS_F2!$A$1:$E$488,2,FALSE)</f>
        <v>0.6</v>
      </c>
      <c r="CS95" s="439">
        <f>VLOOKUP(CS$8,ASRS_F2!$A$1:$E$488,2,FALSE)</f>
        <v>0.92</v>
      </c>
      <c r="CT95" s="439">
        <f>VLOOKUP(CT$8,ASRS_F2!$A$1:$E$488,2,FALSE)</f>
        <v>0.95</v>
      </c>
      <c r="CU95" s="439">
        <f>VLOOKUP(CU$8,ASRS_F2!$A$1:$E$488,2,FALSE)</f>
        <v>1.54</v>
      </c>
      <c r="CV95" s="439">
        <f>VLOOKUP(CV$8,ASRS_F2!$A$1:$E$488,2,FALSE)</f>
        <v>-0.3</v>
      </c>
      <c r="CW95" s="439">
        <f>VLOOKUP(CW$8,ASRS_F2!$A$1:$E$488,2,FALSE)</f>
        <v>-1.07</v>
      </c>
      <c r="CX95" s="439">
        <f>VLOOKUP(CX$8,ASRS_F2!$A$1:$E$488,2,FALSE)</f>
        <v>4.12</v>
      </c>
      <c r="CY95" s="439">
        <f>VLOOKUP(CY$8,ASRS_F2!$A$1:$E$488,2,FALSE)</f>
        <v>2.9</v>
      </c>
      <c r="CZ95" s="439">
        <f>VLOOKUP(CZ$8,ASRS_F2!$A$1:$E$488,2,FALSE)</f>
        <v>-2.5499999999999998</v>
      </c>
      <c r="DA95" s="439">
        <f>VLOOKUP(DA$8,ASRS_F2!$A$1:$E$488,2,FALSE)</f>
        <v>-1.31</v>
      </c>
      <c r="DB95" s="439">
        <f>VLOOKUP(DB$8,ASRS_F2!$A$1:$E$488,2,FALSE)</f>
        <v>0.78</v>
      </c>
      <c r="DC95" s="439">
        <f>VLOOKUP(DC$8,ASRS_F2!$A$1:$E$488,2,FALSE)</f>
        <v>0.02</v>
      </c>
      <c r="DD95" s="439">
        <f>VLOOKUP(DD$8,ASRS_F2!$A$1:$E$488,2,FALSE)</f>
        <v>-0.03</v>
      </c>
      <c r="DE95" s="439">
        <f>VLOOKUP(DE$8,ASRS_F2!$A$1:$E$488,2,FALSE)</f>
        <v>-0.66</v>
      </c>
      <c r="DF95" s="439">
        <f>VLOOKUP(DF$8,ASRS_F2!$A$1:$E$488,2,FALSE)</f>
        <v>0</v>
      </c>
      <c r="DG95" s="439">
        <f>VLOOKUP(DG$8,ASRS_F2!$A$1:$E$488,2,FALSE)</f>
        <v>0.32</v>
      </c>
      <c r="DH95" s="439">
        <f>VLOOKUP(DH$8,ASRS_F2!$A$1:$E$488,2,FALSE)</f>
        <v>0.1</v>
      </c>
      <c r="DI95" s="439">
        <f>VLOOKUP(DI$8,ASRS_F2!$A$1:$E$488,2,FALSE)</f>
        <v>1.62</v>
      </c>
      <c r="DJ95" s="439">
        <f>VLOOKUP(DJ$8,ASRS_F2!$A$1:$E$488,2,FALSE)</f>
        <v>0.37</v>
      </c>
      <c r="DK95" s="439">
        <f>VLOOKUP(DK$8,ASRS_F2!$A$1:$E$488,2,FALSE)</f>
        <v>1.69</v>
      </c>
      <c r="DL95" s="439">
        <f>VLOOKUP(DL$8,ASRS_F2!$A$1:$E$488,2,FALSE)</f>
        <v>0.86</v>
      </c>
      <c r="DM95" s="439">
        <f>VLOOKUP(DM$8,ASRS_F2!$A$1:$E$488,2,FALSE)</f>
        <v>0.81</v>
      </c>
      <c r="DN95" s="439">
        <f>VLOOKUP(DN$8,ASRS_F2!$A$1:$E$488,2,FALSE)</f>
        <v>1.19</v>
      </c>
      <c r="DO95" s="439">
        <f>VLOOKUP(DO$8,ASRS_F2!$A$1:$E$488,2,FALSE)</f>
        <v>0.79</v>
      </c>
      <c r="DP95" s="439">
        <f>VLOOKUP(DP$8,ASRS_F2!$A$1:$E$488,2,FALSE)</f>
        <v>-0.3</v>
      </c>
      <c r="DQ95" s="439">
        <f>VLOOKUP(DQ$8,ASRS_F2!$A$1:$E$488,2,FALSE)</f>
        <v>-0.76</v>
      </c>
      <c r="DR95" s="439">
        <f>VLOOKUP(DR$8,ASRS_F2!$A$1:$E$488,2,FALSE)</f>
        <v>0.54</v>
      </c>
      <c r="DS95" s="439">
        <f>VLOOKUP(DS$8,ASRS_F2!$A$1:$E$488,2,FALSE)</f>
        <v>-0.02</v>
      </c>
      <c r="DT95" s="439">
        <f>VLOOKUP(DT$8,ASRS_F2!$A$1:$E$488,2,FALSE)</f>
        <v>1.53</v>
      </c>
      <c r="DU95" s="439">
        <f>VLOOKUP(DU$8,ASRS_F2!$A$1:$E$488,2,FALSE)</f>
        <v>7.0000000000000007E-2</v>
      </c>
      <c r="DV95" s="439">
        <f>VLOOKUP(DV$8,ASRS_F2!$A$1:$E$488,2,FALSE)</f>
        <v>-0.57999999999999996</v>
      </c>
      <c r="DW95" s="439">
        <f>VLOOKUP(DW$8,ASRS_F2!$A$1:$E$488,2,FALSE)</f>
        <v>1.17</v>
      </c>
      <c r="DX95" s="439">
        <f>VLOOKUP(DX$8,ASRS_F2!$A$1:$E$488,2,FALSE)</f>
        <v>0.7</v>
      </c>
      <c r="DY95" s="439">
        <f>VLOOKUP(DY$8,ASRS_F2!$A$1:$E$488,2,FALSE)</f>
        <v>0.9</v>
      </c>
      <c r="DZ95" s="439">
        <f>VLOOKUP(DZ$8,ASRS_F2!$A$1:$E$488,2,FALSE)</f>
        <v>1.55</v>
      </c>
      <c r="EA95" s="439">
        <f>VLOOKUP(EA$8,ASRS_F2!$A$1:$E$488,2,FALSE)</f>
        <v>1.37</v>
      </c>
      <c r="EB95" s="439">
        <f>VLOOKUP(EB$8,ASRS_F2!$A$1:$E$488,2,FALSE)</f>
        <v>0.19</v>
      </c>
      <c r="EC95" s="439">
        <f>VLOOKUP(EC$8,ASRS_F2!$A$1:$E$488,2,FALSE)</f>
        <v>-0.14000000000000001</v>
      </c>
      <c r="ED95" s="439">
        <f>VLOOKUP(ED$8,ASRS_F2!$A$1:$E$488,2,FALSE)</f>
        <v>-0.15</v>
      </c>
      <c r="EE95" s="439">
        <f>VLOOKUP(EE$8,ASRS_F2!$A$1:$E$488,2,FALSE)</f>
        <v>-0.95</v>
      </c>
      <c r="EF95" s="439">
        <f>VLOOKUP(EF$8,ASRS_F2!$A$1:$E$488,2,FALSE)</f>
        <v>0.36</v>
      </c>
      <c r="EG95" s="439">
        <f>VLOOKUP(EG$8,ASRS_F2!$A$1:$E$488,2,FALSE)</f>
        <v>0.08</v>
      </c>
      <c r="EH95" s="439">
        <f>VLOOKUP(EH$8,ASRS_F2!$A$1:$E$488,2,FALSE)</f>
        <v>0.93</v>
      </c>
      <c r="EI95" s="439">
        <f>VLOOKUP(EI$8,ASRS_F2!$A$1:$E$488,2,FALSE)</f>
        <v>0.47</v>
      </c>
      <c r="EJ95" s="439">
        <f>VLOOKUP(EJ$8,ASRS_F2!$A$1:$E$488,2,FALSE)</f>
        <v>-0.78</v>
      </c>
      <c r="EK95" s="439">
        <f>VLOOKUP(EK$8,ASRS_F2!$A$1:$E$488,2,FALSE)</f>
        <v>-0.99</v>
      </c>
      <c r="EL95" s="439">
        <f>VLOOKUP(EL$8,ASRS_F2!$A$1:$E$488,2,FALSE)</f>
        <v>1.23</v>
      </c>
      <c r="EM95" s="439">
        <f>VLOOKUP(EM$8,ASRS_F2!$A$1:$E$488,2,FALSE)</f>
        <v>-0.84</v>
      </c>
      <c r="EN95" s="439">
        <f>VLOOKUP(EN$8,ASRS_F2!$A$1:$E$488,2,FALSE)</f>
        <v>0.53</v>
      </c>
      <c r="EO95" s="439">
        <f>VLOOKUP(EO$8,ASRS_F2!$A$1:$E$488,2,FALSE)</f>
        <v>1.08</v>
      </c>
      <c r="EP95" s="439">
        <f>VLOOKUP(EP$8,ASRS_F2!$A$1:$E$488,2,FALSE)</f>
        <v>1.34</v>
      </c>
      <c r="EQ95" s="439">
        <f>VLOOKUP(EQ$8,ASRS_F2!$A$1:$E$488,2,FALSE)</f>
        <v>-0.57999999999999996</v>
      </c>
      <c r="ER95" s="439">
        <f>VLOOKUP(ER$8,ASRS_F2!$A$1:$E$488,2,FALSE)</f>
        <v>-0.59</v>
      </c>
      <c r="ES95" s="439">
        <f>VLOOKUP(ES$8,ASRS_F2!$A$1:$E$488,2,FALSE)</f>
        <v>0.6</v>
      </c>
      <c r="ET95" s="439">
        <f>VLOOKUP(ET$8,ASRS_F2!$A$1:$E$488,2,FALSE)</f>
        <v>0.9</v>
      </c>
      <c r="EU95" s="439">
        <f>VLOOKUP(EU$8,ASRS_F2!$A$1:$E$488,2,FALSE)</f>
        <v>-0.76</v>
      </c>
      <c r="EV95" s="439">
        <f>VLOOKUP(EV$8,ASRS_F2!$A$1:$E$488,2,FALSE)</f>
        <v>0.9</v>
      </c>
      <c r="EW95" s="439">
        <f>VLOOKUP(EW$8,ASRS_F2!$A$1:$E$488,2,FALSE)</f>
        <v>0.27</v>
      </c>
      <c r="EX95" s="393" t="s">
        <v>55</v>
      </c>
      <c r="EY95" s="1066" t="s">
        <v>511</v>
      </c>
      <c r="EZ95" s="789">
        <f>VLOOKUP($EY95,'NEPC data'!$B73:$M260,5,TRUE)*100</f>
        <v>0.15216143400000881</v>
      </c>
      <c r="FA95" s="789">
        <f>VLOOKUP($EY95,'NEPC data'!$B73:$M260,7,TRUE)*100</f>
        <v>3.3046581934364161</v>
      </c>
      <c r="FB95" s="789">
        <f>VLOOKUP($EY95,'NEPC data'!$B73:$M260,9,TRUE)*100</f>
        <v>5.8207274675567744</v>
      </c>
      <c r="FC95" s="789">
        <f>VLOOKUP($EY95,'NEPC data'!$B73:$M260,10,TRUE)*100</f>
        <v>4.1396801105341829</v>
      </c>
      <c r="FD95" s="789">
        <f>VLOOKUP($EY95,'NEPC data'!$B73:$M260,11,TRUE)*100</f>
        <v>0</v>
      </c>
      <c r="FE95" s="382"/>
      <c r="FF95" s="441">
        <f>IF(G95="---","-",ABS(EZ95-G95))</f>
        <v>0.74761845825204176</v>
      </c>
      <c r="FG95" s="441">
        <f>IF(I95="---","-",ABS(FA95-I95))</f>
        <v>2.305510727222182</v>
      </c>
      <c r="FH95" s="441">
        <f>IF(K95="---","-",ABS(FB95-K95))</f>
        <v>2.6673434719318712</v>
      </c>
      <c r="FI95" s="441">
        <f>IF(M95="---","-",ABS(FC95-M95))</f>
        <v>0.49876912222137637</v>
      </c>
      <c r="FJ95" s="441">
        <f>IF(Q95="---","-",ABS(FD95-Q95))</f>
        <v>5.6508374658155613</v>
      </c>
      <c r="FK95" s="382"/>
      <c r="FL95" s="442">
        <f>AF95</f>
        <v>5.5002904961974464</v>
      </c>
      <c r="FM95" s="442">
        <f>ABS(FL95-AF95)</f>
        <v>0</v>
      </c>
    </row>
    <row r="96" spans="1:169" s="1028" customFormat="1" ht="12.75" customHeight="1" x14ac:dyDescent="0.2">
      <c r="A96" s="1232" t="s">
        <v>404</v>
      </c>
      <c r="B96" s="1024"/>
      <c r="C96" s="1217"/>
      <c r="D96" s="1218"/>
      <c r="E96" s="1219"/>
      <c r="F96" s="1220">
        <f>AH96</f>
        <v>1.1040300000000001</v>
      </c>
      <c r="G96" s="1023">
        <f t="array" ref="G96">IF($AJ96=0,"---",(PRODUCT($AH96:AJ96/100+1)-1)*100)</f>
        <v>0.90249974720431059</v>
      </c>
      <c r="H96" s="432">
        <f t="array" ref="H96">IF($AS96=0,"---",(PRODUCT(AH96:AN96/100+1)-1)*100)</f>
        <v>3.2831717213585465</v>
      </c>
      <c r="I96" s="1023">
        <f t="array" ref="I96">IF(AS96=0,"---",(GEOMEAN($AH96:AS96/100+1)^12-1)*100)</f>
        <v>5.6573681834647838</v>
      </c>
      <c r="J96" s="1023">
        <f t="array" ref="J96">IF(BE96=0,"---",(GEOMEAN($AH96:BE96/100+1)^12-1)*100)</f>
        <v>1.5120833400238398</v>
      </c>
      <c r="K96" s="1023">
        <f t="array" ref="K96">IF(BQ96=0,"---",(GEOMEAN($AH96:BQ96/100+1)^12-1)*100)</f>
        <v>2.9148442211814896</v>
      </c>
      <c r="L96" s="1023">
        <f t="array" ref="L96">IF(CC96=0,"---",(GEOMEAN($AH96:CC96/100+1)^12-1)*100)</f>
        <v>3.33746383244371</v>
      </c>
      <c r="M96" s="1023">
        <f t="array" ref="M96">IF(CO96=0,"---",(GEOMEAN($AH96:CO96/100+1)^12-1)*100)</f>
        <v>4.4796688712766208</v>
      </c>
      <c r="N96" s="1023">
        <f t="array" ref="N96">IF(DM96=0,"---",(GEOMEAN($AH96:DM96/100+1)^12-1)*100)</f>
        <v>5.1638465377881193</v>
      </c>
      <c r="O96" s="1023">
        <f t="array" ref="O96">IF(EK96=0,"---",(GEOMEAN($AH96:EK96/100+1)^12-1)*100)</f>
        <v>4.7849967011007077</v>
      </c>
      <c r="P96" s="1023">
        <f t="array" ref="P96">IF(EW96=0,"---",(GEOMEAN($AH96:EW96/100+1)^12-1)*100)</f>
        <v>4.7210626314822202</v>
      </c>
      <c r="Q96" s="1221" t="s">
        <v>34</v>
      </c>
      <c r="R96" s="1218"/>
      <c r="S96" s="1218"/>
      <c r="T96" s="1218"/>
      <c r="U96" s="1218"/>
      <c r="V96" s="1218"/>
      <c r="W96" s="1218"/>
      <c r="X96" s="1218"/>
      <c r="Y96" s="1218"/>
      <c r="Z96" s="1218"/>
      <c r="AA96" s="1218"/>
      <c r="AB96" s="1218"/>
      <c r="AC96" s="1222"/>
      <c r="AD96" s="1233"/>
      <c r="AE96" s="363"/>
      <c r="AF96" s="467"/>
      <c r="AG96" s="1367"/>
      <c r="AH96" s="1025">
        <f t="shared" ref="AH96:BM96" si="89">VLOOKUP(AH$8,Index,23,FALSE)</f>
        <v>1.1040300000000001</v>
      </c>
      <c r="AI96" s="1025">
        <f t="shared" si="89"/>
        <v>-0.25086000000000003</v>
      </c>
      <c r="AJ96" s="1025">
        <f t="shared" si="89"/>
        <v>5.1659999999999998E-2</v>
      </c>
      <c r="AK96" s="1025">
        <f t="shared" si="89"/>
        <v>1.1382399999999999</v>
      </c>
      <c r="AL96" s="1025">
        <f t="shared" si="89"/>
        <v>0.84413000000000005</v>
      </c>
      <c r="AM96" s="1025">
        <f t="shared" si="89"/>
        <v>-0.17033000000000001</v>
      </c>
      <c r="AN96" s="1025">
        <f t="shared" si="89"/>
        <v>0.53146000000000004</v>
      </c>
      <c r="AO96" s="1025">
        <f t="shared" si="89"/>
        <v>1.4775499999999999</v>
      </c>
      <c r="AP96" s="1025">
        <f t="shared" si="89"/>
        <v>-0.56515000000000004</v>
      </c>
      <c r="AQ96" s="1025">
        <f t="shared" si="89"/>
        <v>-0.37402999999999997</v>
      </c>
      <c r="AR96" s="1025">
        <f t="shared" si="89"/>
        <v>0.80842000000000003</v>
      </c>
      <c r="AS96" s="1025">
        <f t="shared" si="89"/>
        <v>0.94672999999999996</v>
      </c>
      <c r="AT96" s="1025">
        <f t="shared" si="89"/>
        <v>-0.51144000000000001</v>
      </c>
      <c r="AU96" s="1025">
        <f t="shared" si="89"/>
        <v>0.13666</v>
      </c>
      <c r="AV96" s="1025">
        <f t="shared" si="89"/>
        <v>-1.5466</v>
      </c>
      <c r="AW96" s="1025">
        <f t="shared" si="89"/>
        <v>-1.7845899999999999</v>
      </c>
      <c r="AX96" s="1025">
        <f t="shared" si="89"/>
        <v>1.0121199999999999</v>
      </c>
      <c r="AY96" s="1025">
        <f t="shared" si="89"/>
        <v>7.9780000000000004E-2</v>
      </c>
      <c r="AZ96" s="1025">
        <f t="shared" si="89"/>
        <v>0.50146999999999997</v>
      </c>
      <c r="BA96" s="1025">
        <f t="shared" si="89"/>
        <v>-0.69940000000000002</v>
      </c>
      <c r="BB96" s="1025">
        <f t="shared" si="89"/>
        <v>-0.14238999999999999</v>
      </c>
      <c r="BC96" s="1025">
        <f t="shared" si="89"/>
        <v>0.15783</v>
      </c>
      <c r="BD96" s="1025">
        <f t="shared" si="89"/>
        <v>0.19669</v>
      </c>
      <c r="BE96" s="1025">
        <f t="shared" si="89"/>
        <v>0.13722000000000001</v>
      </c>
      <c r="BF96" s="1025">
        <f t="shared" si="89"/>
        <v>6.5460000000000004E-2</v>
      </c>
      <c r="BG96" s="1025">
        <f t="shared" si="89"/>
        <v>1.37941</v>
      </c>
      <c r="BH96" s="1025">
        <f t="shared" si="89"/>
        <v>3.9230000000000001E-2</v>
      </c>
      <c r="BI96" s="1025">
        <f t="shared" si="89"/>
        <v>0.90466000000000002</v>
      </c>
      <c r="BJ96" s="1025">
        <f t="shared" si="89"/>
        <v>1.1089</v>
      </c>
      <c r="BK96" s="1025">
        <f t="shared" si="89"/>
        <v>-0.54793000000000003</v>
      </c>
      <c r="BL96" s="1025">
        <f t="shared" si="89"/>
        <v>-2.281E-2</v>
      </c>
      <c r="BM96" s="1025">
        <f t="shared" si="89"/>
        <v>0.87763999999999998</v>
      </c>
      <c r="BN96" s="1025">
        <f t="shared" ref="BN96:CS96" si="90">VLOOKUP(BN$8,Index,23,FALSE)</f>
        <v>1.0991200000000001</v>
      </c>
      <c r="BO96" s="1025">
        <f t="shared" si="90"/>
        <v>-8.6910000000000001E-2</v>
      </c>
      <c r="BP96" s="1025">
        <f t="shared" si="90"/>
        <v>0.10765</v>
      </c>
      <c r="BQ96" s="1025">
        <f t="shared" si="90"/>
        <v>0.72724999999999995</v>
      </c>
      <c r="BR96" s="1025">
        <f t="shared" si="90"/>
        <v>1.4610700000000001</v>
      </c>
      <c r="BS96" s="1025">
        <f t="shared" si="90"/>
        <v>1.5868800000000001</v>
      </c>
      <c r="BT96" s="1025">
        <f t="shared" si="90"/>
        <v>-0.29292000000000001</v>
      </c>
      <c r="BU96" s="1025">
        <f t="shared" si="90"/>
        <v>1.3051900000000001</v>
      </c>
      <c r="BV96" s="1025">
        <f t="shared" si="90"/>
        <v>1.2695799999999999</v>
      </c>
      <c r="BW96" s="1025">
        <f t="shared" si="90"/>
        <v>5.5259999999999997E-2</v>
      </c>
      <c r="BX96" s="1025">
        <f t="shared" si="90"/>
        <v>0.25023000000000001</v>
      </c>
      <c r="BY96" s="1025">
        <f t="shared" si="90"/>
        <v>0.11615</v>
      </c>
      <c r="BZ96" s="1025">
        <f t="shared" si="90"/>
        <v>-1.0783199999999999</v>
      </c>
      <c r="CA96" s="1025">
        <f t="shared" si="90"/>
        <v>-0.57477999999999996</v>
      </c>
      <c r="CB96" s="1025">
        <f t="shared" si="90"/>
        <v>0.35583999999999999</v>
      </c>
      <c r="CC96" s="1025">
        <f t="shared" si="90"/>
        <v>0.10672</v>
      </c>
      <c r="CD96" s="1025">
        <f t="shared" si="90"/>
        <v>1.2865500000000001</v>
      </c>
      <c r="CE96" s="1025">
        <f t="shared" si="90"/>
        <v>1.06738</v>
      </c>
      <c r="CF96" s="1025">
        <f t="shared" si="90"/>
        <v>1.56816</v>
      </c>
      <c r="CG96" s="1025">
        <f t="shared" si="90"/>
        <v>0.84108000000000005</v>
      </c>
      <c r="CH96" s="1025">
        <f t="shared" si="90"/>
        <v>1.04098</v>
      </c>
      <c r="CI96" s="1025">
        <f t="shared" si="90"/>
        <v>-0.12262000000000001</v>
      </c>
      <c r="CJ96" s="1025">
        <f t="shared" si="90"/>
        <v>0.37331999999999999</v>
      </c>
      <c r="CK96" s="1025">
        <f t="shared" si="90"/>
        <v>1.5277799999999999</v>
      </c>
      <c r="CL96" s="1025">
        <f t="shared" si="90"/>
        <v>-1.56351</v>
      </c>
      <c r="CM96" s="1025">
        <f t="shared" si="90"/>
        <v>1.294</v>
      </c>
      <c r="CN96" s="1025">
        <f t="shared" si="90"/>
        <v>0.49</v>
      </c>
      <c r="CO96" s="1025">
        <f t="shared" si="90"/>
        <v>1.0507</v>
      </c>
      <c r="CP96" s="1025">
        <f t="shared" si="90"/>
        <v>1.0354000000000001</v>
      </c>
      <c r="CQ96" s="1025">
        <f t="shared" si="90"/>
        <v>1.6133</v>
      </c>
      <c r="CR96" s="1025">
        <f t="shared" si="90"/>
        <v>0.56840000000000002</v>
      </c>
      <c r="CS96" s="1025">
        <f t="shared" si="90"/>
        <v>0.72509999999999997</v>
      </c>
      <c r="CT96" s="1025">
        <f t="shared" ref="CT96:DY96" si="91">VLOOKUP(CT$8,Index,23,FALSE)</f>
        <v>0.47860000000000003</v>
      </c>
      <c r="CU96" s="1025">
        <f t="shared" si="91"/>
        <v>1.3902000000000001</v>
      </c>
      <c r="CV96" s="1025">
        <f t="shared" si="91"/>
        <v>-0.37759999999999999</v>
      </c>
      <c r="CW96" s="1025">
        <f t="shared" si="91"/>
        <v>-0.88229999999999997</v>
      </c>
      <c r="CX96" s="1025">
        <f t="shared" si="91"/>
        <v>3.7309000000000001</v>
      </c>
      <c r="CY96" s="1025">
        <f t="shared" si="91"/>
        <v>3.2549999999999999</v>
      </c>
      <c r="CZ96" s="1025">
        <f t="shared" si="91"/>
        <v>-2.3603999999999998</v>
      </c>
      <c r="DA96" s="1025">
        <f t="shared" si="91"/>
        <v>-1.3431999999999999</v>
      </c>
      <c r="DB96" s="1025">
        <f t="shared" si="91"/>
        <v>0.94910000000000005</v>
      </c>
      <c r="DC96" s="1025">
        <f t="shared" si="91"/>
        <v>-8.1600000000000006E-2</v>
      </c>
      <c r="DD96" s="1025">
        <f t="shared" si="91"/>
        <v>-8.0799999999999997E-2</v>
      </c>
      <c r="DE96" s="1025">
        <f t="shared" si="91"/>
        <v>-0.73329999999999995</v>
      </c>
      <c r="DF96" s="1025">
        <f t="shared" si="91"/>
        <v>-0.20899999999999999</v>
      </c>
      <c r="DG96" s="1025">
        <f t="shared" si="91"/>
        <v>0.3412</v>
      </c>
      <c r="DH96" s="1025">
        <f t="shared" si="91"/>
        <v>0.13880000000000001</v>
      </c>
      <c r="DI96" s="1025">
        <f t="shared" si="91"/>
        <v>1.6798</v>
      </c>
      <c r="DJ96" s="1025">
        <f t="shared" si="91"/>
        <v>0.28089999999999998</v>
      </c>
      <c r="DK96" s="1025">
        <f t="shared" si="91"/>
        <v>1.7983</v>
      </c>
      <c r="DL96" s="1025">
        <f t="shared" si="91"/>
        <v>0.89829999999999999</v>
      </c>
      <c r="DM96" s="1025">
        <f t="shared" si="91"/>
        <v>0.75860000000000005</v>
      </c>
      <c r="DN96" s="1025">
        <f t="shared" si="91"/>
        <v>1.2257</v>
      </c>
      <c r="DO96" s="1025">
        <f t="shared" si="91"/>
        <v>0.83409999999999995</v>
      </c>
      <c r="DP96" s="1025">
        <f t="shared" si="91"/>
        <v>-0.29580000000000001</v>
      </c>
      <c r="DQ96" s="1025">
        <f t="shared" si="91"/>
        <v>-0.75790000000000002</v>
      </c>
      <c r="DR96" s="1025">
        <f t="shared" si="91"/>
        <v>0.53920000000000001</v>
      </c>
      <c r="DS96" s="1025">
        <f t="shared" si="91"/>
        <v>3.0999999999999999E-3</v>
      </c>
      <c r="DT96" s="1025">
        <f t="shared" si="91"/>
        <v>1.542</v>
      </c>
      <c r="DU96" s="1025">
        <f t="shared" si="91"/>
        <v>-4.1000000000000002E-2</v>
      </c>
      <c r="DV96" s="1025">
        <f t="shared" si="91"/>
        <v>-0.58030000000000004</v>
      </c>
      <c r="DW96" s="1025">
        <f t="shared" si="91"/>
        <v>1.1600999999999999</v>
      </c>
      <c r="DX96" s="1025">
        <f t="shared" si="91"/>
        <v>0.66149999999999998</v>
      </c>
      <c r="DY96" s="1025">
        <f t="shared" si="91"/>
        <v>0.87839999999999996</v>
      </c>
      <c r="DZ96" s="1025">
        <f t="shared" ref="DZ96:EW96" si="92">VLOOKUP(DZ$8,Index,23,FALSE)</f>
        <v>1.5307999999999999</v>
      </c>
      <c r="EA96" s="1025">
        <f t="shared" si="92"/>
        <v>1.3522000000000001</v>
      </c>
      <c r="EB96" s="1025">
        <f t="shared" si="92"/>
        <v>0.21199999999999999</v>
      </c>
      <c r="EC96" s="1025">
        <f t="shared" si="92"/>
        <v>-0.1067</v>
      </c>
      <c r="ED96" s="1025">
        <f t="shared" si="92"/>
        <v>-0.18129999999999999</v>
      </c>
      <c r="EE96" s="1025">
        <f t="shared" si="92"/>
        <v>-0.98129999999999995</v>
      </c>
      <c r="EF96" s="1025">
        <f t="shared" si="92"/>
        <v>0.33200000000000002</v>
      </c>
      <c r="EG96" s="1025">
        <f t="shared" si="92"/>
        <v>5.7000000000000002E-3</v>
      </c>
      <c r="EH96" s="1025">
        <f t="shared" si="92"/>
        <v>0.95079999999999998</v>
      </c>
      <c r="EI96" s="1025">
        <f t="shared" si="92"/>
        <v>0.44230000000000003</v>
      </c>
      <c r="EJ96" s="1025">
        <f t="shared" si="92"/>
        <v>-0.79139999999999999</v>
      </c>
      <c r="EK96" s="1025">
        <f t="shared" si="92"/>
        <v>-1.0301</v>
      </c>
      <c r="EL96" s="1025">
        <f t="shared" si="92"/>
        <v>1.282</v>
      </c>
      <c r="EM96" s="1025">
        <f t="shared" si="92"/>
        <v>-0.9103</v>
      </c>
      <c r="EN96" s="1025">
        <f t="shared" si="92"/>
        <v>0.54530000000000001</v>
      </c>
      <c r="EO96" s="1025">
        <f t="shared" si="92"/>
        <v>1.0819000000000001</v>
      </c>
      <c r="EP96" s="1025">
        <f t="shared" si="92"/>
        <v>1.3533999999999999</v>
      </c>
      <c r="EQ96" s="1025">
        <f t="shared" si="92"/>
        <v>-0.51359999999999995</v>
      </c>
      <c r="ER96" s="1025">
        <f t="shared" si="92"/>
        <v>-0.59030000000000005</v>
      </c>
      <c r="ES96" s="1025">
        <f t="shared" si="92"/>
        <v>0.62790000000000001</v>
      </c>
      <c r="ET96" s="1025">
        <f t="shared" si="92"/>
        <v>0.92010000000000003</v>
      </c>
      <c r="EU96" s="1025">
        <f t="shared" si="92"/>
        <v>-0.79759999999999998</v>
      </c>
      <c r="EV96" s="1025">
        <f t="shared" si="92"/>
        <v>0.83860000000000001</v>
      </c>
      <c r="EW96" s="1025">
        <f t="shared" si="92"/>
        <v>0.27129999999999999</v>
      </c>
      <c r="EX96" s="1230"/>
      <c r="EY96" s="1230"/>
      <c r="EZ96" s="789" t="e">
        <f>VLOOKUP($EY96,'NEPC data'!$B74:$M261,5,TRUE)*100</f>
        <v>#N/A</v>
      </c>
      <c r="FA96" s="789" t="e">
        <f>VLOOKUP($EY96,'NEPC data'!$B74:$M261,7,TRUE)*100</f>
        <v>#N/A</v>
      </c>
      <c r="FB96" s="789" t="e">
        <f>VLOOKUP($EY96,'NEPC data'!$B74:$M261,9,TRUE)*100</f>
        <v>#N/A</v>
      </c>
      <c r="FC96" s="789" t="e">
        <f>VLOOKUP($EY96,'NEPC data'!$B74:$M261,10,TRUE)*100</f>
        <v>#N/A</v>
      </c>
      <c r="FD96" s="789" t="e">
        <f>VLOOKUP($EY96,'NEPC data'!$B74:$M261,11,TRUE)*100</f>
        <v>#N/A</v>
      </c>
      <c r="FE96" s="1024"/>
      <c r="FF96" s="1027"/>
      <c r="FG96" s="1027"/>
      <c r="FH96" s="1027"/>
      <c r="FI96" s="1027"/>
      <c r="FJ96" s="1027"/>
      <c r="FK96" s="1024"/>
      <c r="FL96" s="1027"/>
      <c r="FM96" s="1027"/>
    </row>
    <row r="97" spans="1:169" s="395" customFormat="1" ht="12.75" customHeight="1" x14ac:dyDescent="0.2">
      <c r="A97" s="456"/>
      <c r="B97" s="418"/>
      <c r="C97" s="485"/>
      <c r="D97" s="249"/>
      <c r="E97" s="470"/>
      <c r="F97" s="431"/>
      <c r="G97" s="432"/>
      <c r="H97" s="432"/>
      <c r="I97" s="432"/>
      <c r="J97" s="432"/>
      <c r="K97" s="432"/>
      <c r="L97" s="432"/>
      <c r="M97" s="432"/>
      <c r="N97" s="432"/>
      <c r="O97" s="432"/>
      <c r="P97" s="432"/>
      <c r="Q97" s="468"/>
      <c r="R97" s="249"/>
      <c r="S97" s="249"/>
      <c r="T97" s="249"/>
      <c r="U97" s="249"/>
      <c r="V97" s="249"/>
      <c r="W97" s="249"/>
      <c r="X97" s="249"/>
      <c r="Y97" s="249"/>
      <c r="Z97" s="249"/>
      <c r="AA97" s="249"/>
      <c r="AB97" s="249"/>
      <c r="AC97" s="459"/>
      <c r="AD97" s="463"/>
      <c r="AE97" s="15"/>
      <c r="AF97" s="442"/>
      <c r="AG97" s="486"/>
      <c r="AH97" s="439"/>
      <c r="AI97" s="439"/>
      <c r="AJ97" s="439"/>
      <c r="AK97" s="439"/>
      <c r="AL97" s="439"/>
      <c r="AM97" s="439"/>
      <c r="AN97" s="439"/>
      <c r="AO97" s="439"/>
      <c r="AP97" s="439"/>
      <c r="AQ97" s="439"/>
      <c r="AR97" s="439"/>
      <c r="AS97" s="439"/>
      <c r="AT97" s="439"/>
      <c r="AU97" s="439"/>
      <c r="AV97" s="439"/>
      <c r="AW97" s="439"/>
      <c r="AX97" s="439"/>
      <c r="AY97" s="439"/>
      <c r="AZ97" s="439"/>
      <c r="BA97" s="439"/>
      <c r="BB97" s="439"/>
      <c r="BC97" s="439"/>
      <c r="BD97" s="439"/>
      <c r="BE97" s="439"/>
      <c r="BF97" s="439"/>
      <c r="BG97" s="439"/>
      <c r="BH97" s="439"/>
      <c r="BI97" s="439"/>
      <c r="BJ97" s="439"/>
      <c r="BK97" s="439"/>
      <c r="BL97" s="439"/>
      <c r="BM97" s="439"/>
      <c r="BN97" s="439"/>
      <c r="BO97" s="439"/>
      <c r="BP97" s="439"/>
      <c r="BQ97" s="439"/>
      <c r="BR97" s="439"/>
      <c r="BS97" s="439"/>
      <c r="BT97" s="439"/>
      <c r="BU97" s="439"/>
      <c r="BV97" s="439"/>
      <c r="BW97" s="439"/>
      <c r="BX97" s="439"/>
      <c r="BY97" s="439"/>
      <c r="BZ97" s="439"/>
      <c r="CA97" s="439"/>
      <c r="CB97" s="439"/>
      <c r="CC97" s="439"/>
      <c r="CD97" s="439"/>
      <c r="CE97" s="439"/>
      <c r="CF97" s="439"/>
      <c r="CG97" s="439"/>
      <c r="CH97" s="439"/>
      <c r="CI97" s="439"/>
      <c r="CJ97" s="439"/>
      <c r="CK97" s="439"/>
      <c r="CL97" s="439"/>
      <c r="CM97" s="439"/>
      <c r="CN97" s="439"/>
      <c r="CO97" s="439"/>
      <c r="CP97" s="439"/>
      <c r="CQ97" s="439"/>
      <c r="CR97" s="439"/>
      <c r="CS97" s="439"/>
      <c r="CT97" s="439"/>
      <c r="CU97" s="439"/>
      <c r="CV97" s="439"/>
      <c r="CW97" s="439"/>
      <c r="CX97" s="439"/>
      <c r="CY97" s="439"/>
      <c r="CZ97" s="439"/>
      <c r="DA97" s="439"/>
      <c r="DB97" s="439"/>
      <c r="DC97" s="439"/>
      <c r="DD97" s="439"/>
      <c r="DE97" s="439"/>
      <c r="DF97" s="439"/>
      <c r="DG97" s="439"/>
      <c r="DH97" s="439"/>
      <c r="DI97" s="439"/>
      <c r="DJ97" s="439"/>
      <c r="DK97" s="439"/>
      <c r="DL97" s="439"/>
      <c r="DM97" s="439"/>
      <c r="DN97" s="439"/>
      <c r="DO97" s="439"/>
      <c r="DP97" s="439"/>
      <c r="DQ97" s="439"/>
      <c r="DR97" s="439"/>
      <c r="DS97" s="439"/>
      <c r="DT97" s="439"/>
      <c r="DU97" s="439"/>
      <c r="DV97" s="439"/>
      <c r="DW97" s="439"/>
      <c r="DX97" s="439"/>
      <c r="DY97" s="439"/>
      <c r="DZ97" s="439"/>
      <c r="EA97" s="439"/>
      <c r="EB97" s="439"/>
      <c r="EC97" s="439"/>
      <c r="ED97" s="439"/>
      <c r="EE97" s="439"/>
      <c r="EF97" s="439"/>
      <c r="EG97" s="439"/>
      <c r="EH97" s="439"/>
      <c r="EI97" s="439"/>
      <c r="EJ97" s="439"/>
      <c r="EK97" s="439"/>
      <c r="EL97" s="439"/>
      <c r="EM97" s="439"/>
      <c r="EN97" s="439"/>
      <c r="EO97" s="439"/>
      <c r="EP97" s="439"/>
      <c r="EQ97" s="439"/>
      <c r="ER97" s="439"/>
      <c r="ES97" s="439"/>
      <c r="ET97" s="439"/>
      <c r="EU97" s="439"/>
      <c r="EV97" s="439"/>
      <c r="EW97" s="439"/>
      <c r="EX97" s="393"/>
      <c r="EY97" s="393"/>
      <c r="EZ97" s="789" t="e">
        <f>VLOOKUP($EY97,'NEPC data'!$B75:$M262,5,TRUE)*100</f>
        <v>#N/A</v>
      </c>
      <c r="FA97" s="789" t="e">
        <f>VLOOKUP($EY97,'NEPC data'!$B75:$M262,7,TRUE)*100</f>
        <v>#N/A</v>
      </c>
      <c r="FB97" s="789" t="e">
        <f>VLOOKUP($EY97,'NEPC data'!$B75:$M262,9,TRUE)*100</f>
        <v>#N/A</v>
      </c>
      <c r="FC97" s="789" t="e">
        <f>VLOOKUP($EY97,'NEPC data'!$B75:$M262,10,TRUE)*100</f>
        <v>#N/A</v>
      </c>
      <c r="FD97" s="789" t="e">
        <f>VLOOKUP($EY97,'NEPC data'!$B75:$M262,11,TRUE)*100</f>
        <v>#N/A</v>
      </c>
      <c r="FE97" s="382"/>
      <c r="FF97" s="442"/>
      <c r="FG97" s="442"/>
      <c r="FH97" s="442"/>
      <c r="FI97" s="442"/>
      <c r="FJ97" s="442"/>
      <c r="FK97" s="382"/>
      <c r="FL97" s="442"/>
      <c r="FM97" s="442"/>
    </row>
    <row r="98" spans="1:169" s="395" customFormat="1" ht="12.75" customHeight="1" x14ac:dyDescent="0.2">
      <c r="A98" s="1252" t="s">
        <v>894</v>
      </c>
      <c r="B98" s="1259" t="s">
        <v>651</v>
      </c>
      <c r="C98" s="1261">
        <v>41122</v>
      </c>
      <c r="D98" s="443"/>
      <c r="E98" s="444">
        <f>VLOOKUP(AH$8,JPM_HY!A3:E488,3,FALSE)/1000000</f>
        <v>331.65561384</v>
      </c>
      <c r="F98" s="431">
        <f>AH98</f>
        <v>1.63428</v>
      </c>
      <c r="G98" s="432">
        <f t="array" ref="G98">IF($AJ98=0,"---",(PRODUCT($AH98:AJ98/100+1)-1)*100)</f>
        <v>0.90243212900507075</v>
      </c>
      <c r="H98" s="432">
        <f t="array" ref="H98">IF($AN98=0,"---",(PRODUCT(AH98:AN98/100+1)-1)*100)</f>
        <v>4.3580944672905408</v>
      </c>
      <c r="I98" s="432">
        <f t="array" ref="I98">IF(AS98=0,"---",(GEOMEAN($AH98:AS98/100+1)^12-1)*100)</f>
        <v>10.03919618079545</v>
      </c>
      <c r="J98" s="432" t="str">
        <f t="array" ref="J98">IF(BE98=0,"---",(GEOMEAN($AH98:BE98/100+1)^12-1)*100)</f>
        <v>---</v>
      </c>
      <c r="K98" s="432" t="str">
        <f t="array" ref="K98">IF(BQ98=0,"---",(GEOMEAN($AH98:BQ98/100+1)^12-1)*100)</f>
        <v>---</v>
      </c>
      <c r="L98" s="432" t="str">
        <f t="array" ref="L98">IF(CC98=0,"---",(GEOMEAN($AH98:CC98/100+1)^12-1)*100)</f>
        <v>---</v>
      </c>
      <c r="M98" s="432" t="str">
        <f t="array" ref="M98">IF(CO98=0,"---",(GEOMEAN($AH98:CO98/100+1)^12-1)*100)</f>
        <v>---</v>
      </c>
      <c r="N98" s="432" t="str">
        <f t="array" ref="N98">IF(DM98=0,"---",(GEOMEAN($AH98:DM98/100+1)^12-1)*100)</f>
        <v>---</v>
      </c>
      <c r="O98" s="432" t="str">
        <f t="array" ref="O98">IF(EK98=0,"---",(GEOMEAN($AH98:EK98/100+1)^12-1)*100)</f>
        <v>---</v>
      </c>
      <c r="P98" s="432" t="str">
        <f t="array" ref="P98">IF(EW98=0,"---",(GEOMEAN($AH98:EW98/100+1)^12-1)*100)</f>
        <v>---</v>
      </c>
      <c r="Q98" s="1426">
        <f t="array" ref="Q98">(GEOMEAN(JPM_HY!$D$459:'JPM_HY'!D471/100+1)^12-1)*100</f>
        <v>8.6010203149282649</v>
      </c>
      <c r="R98" s="434">
        <f t="shared" ref="R98:AB99" si="93">IF(F98="---","---",(F98-F$100)*100)</f>
        <v>4.9089999999999856</v>
      </c>
      <c r="S98" s="434">
        <f t="shared" si="93"/>
        <v>-16.53671878601104</v>
      </c>
      <c r="T98" s="434">
        <f t="shared" si="93"/>
        <v>-60.951595734497488</v>
      </c>
      <c r="U98" s="434">
        <f t="shared" si="93"/>
        <v>-53.760796224489127</v>
      </c>
      <c r="V98" s="434" t="str">
        <f t="shared" si="93"/>
        <v>---</v>
      </c>
      <c r="W98" s="434" t="str">
        <f t="shared" si="93"/>
        <v>---</v>
      </c>
      <c r="X98" s="434" t="str">
        <f t="shared" si="93"/>
        <v>---</v>
      </c>
      <c r="Y98" s="434" t="str">
        <f t="shared" si="93"/>
        <v>---</v>
      </c>
      <c r="Z98" s="434" t="str">
        <f t="shared" si="93"/>
        <v>---</v>
      </c>
      <c r="AA98" s="434" t="str">
        <f t="shared" si="93"/>
        <v>---</v>
      </c>
      <c r="AB98" s="434" t="str">
        <f t="shared" si="93"/>
        <v>---</v>
      </c>
      <c r="AC98" s="435">
        <f>(Q98-AF98)*100</f>
        <v>-81.602361077015573</v>
      </c>
      <c r="AD98" s="463"/>
      <c r="AE98" s="15"/>
      <c r="AF98" s="432">
        <f t="array" ref="AF98">100*(GEOMEAN(Index_Returns!AI459:AI471/100+1)^12-1)</f>
        <v>9.4170439256984206</v>
      </c>
      <c r="AG98" s="418" t="str">
        <f>IF(I98="---","&lt; 1 Year","---")</f>
        <v>---</v>
      </c>
      <c r="AH98" s="439">
        <f>VLOOKUP(AH$8,JPM_HY!$A$3:$E$488,2,FALSE)</f>
        <v>1.63428</v>
      </c>
      <c r="AI98" s="439">
        <f>VLOOKUP(AI$8,JPM_HY!$A$3:$E$488,2,FALSE)</f>
        <v>-1.59534</v>
      </c>
      <c r="AJ98" s="439">
        <f>VLOOKUP(AJ$8,JPM_HY!$A$3:$E$488,2,FALSE)</f>
        <v>0.88944999999999996</v>
      </c>
      <c r="AK98" s="439">
        <f>VLOOKUP(AK$8,JPM_HY!$A$3:$E$488,2,FALSE)</f>
        <v>0.71335999999999999</v>
      </c>
      <c r="AL98" s="439">
        <f>VLOOKUP(AL$8,JPM_HY!$A$3:$E$488,2,FALSE)</f>
        <v>0.39911000000000002</v>
      </c>
      <c r="AM98" s="439">
        <f>VLOOKUP(AM$8,JPM_HY!$A$3:$E$488,2,FALSE)</f>
        <v>0.13095000000000001</v>
      </c>
      <c r="AN98" s="439">
        <f>VLOOKUP(AN$8,JPM_HY!$A$3:$E$488,2,FALSE)</f>
        <v>2.1501999999999999</v>
      </c>
      <c r="AO98" s="439">
        <f>VLOOKUP(AO$8,JPM_HY!$A$3:$E$488,2,FALSE)</f>
        <v>0.43617</v>
      </c>
      <c r="AP98" s="439">
        <f>VLOOKUP(AP$8,JPM_HY!$A$3:$E$488,2,FALSE)</f>
        <v>0.48355999999999999</v>
      </c>
      <c r="AQ98" s="439">
        <f>VLOOKUP(AQ$8,JPM_HY!$A$3:$E$488,2,FALSE)</f>
        <v>0.53344999999999998</v>
      </c>
      <c r="AR98" s="439">
        <f>VLOOKUP(AR$8,JPM_HY!$A$3:$E$488,2,FALSE)</f>
        <v>2.7159</v>
      </c>
      <c r="AS98" s="439">
        <f>VLOOKUP(AS$8,JPM_HY!$A$3:$E$488,2,FALSE)</f>
        <v>1.17841</v>
      </c>
      <c r="AT98" s="439">
        <f>VLOOKUP(AT$8,JPM_HY!$A$3:$E$488,2,FALSE)</f>
        <v>-0.87370999999999999</v>
      </c>
      <c r="AU98" s="439">
        <f>VLOOKUP(AU$8,JPM_HY!$A$3:$E$488,2,FALSE)</f>
        <v>1.8882300000000001</v>
      </c>
      <c r="AV98" s="439">
        <f>VLOOKUP(AV$8,JPM_HY!$A$3:$E$488,2,FALSE)</f>
        <v>0</v>
      </c>
      <c r="AW98" s="439">
        <f>VLOOKUP(AW$8,JPM_HY!$A$3:$E$488,2,FALSE)</f>
        <v>0</v>
      </c>
      <c r="AX98" s="439">
        <f>VLOOKUP(AX$8,JPM_HY!$A$3:$E$488,2,FALSE)</f>
        <v>0</v>
      </c>
      <c r="AY98" s="439">
        <f>VLOOKUP(AY$8,JPM_HY!$A$3:$E$488,2,FALSE)</f>
        <v>0</v>
      </c>
      <c r="AZ98" s="439">
        <f>VLOOKUP(AZ$8,JPM_HY!$A$3:$E$488,2,FALSE)</f>
        <v>0</v>
      </c>
      <c r="BA98" s="439">
        <f>VLOOKUP(BA$8,JPM_HY!$A$3:$E$488,2,FALSE)</f>
        <v>0</v>
      </c>
      <c r="BB98" s="439">
        <f>VLOOKUP(BB$8,JPM_HY!$A$3:$E$488,2,FALSE)</f>
        <v>0</v>
      </c>
      <c r="BC98" s="439">
        <f>VLOOKUP(BC$8,JPM_HY!$A$3:$E$488,2,FALSE)</f>
        <v>0</v>
      </c>
      <c r="BD98" s="439">
        <f>VLOOKUP(BD$8,JPM_HY!$A$3:$E$488,2,FALSE)</f>
        <v>0</v>
      </c>
      <c r="BE98" s="439">
        <f>VLOOKUP(BE$8,JPM_HY!$A$3:$E$488,2,FALSE)</f>
        <v>0</v>
      </c>
      <c r="BF98" s="439">
        <f>VLOOKUP(BF$8,JPM_HY!$A$3:$E$488,2,FALSE)</f>
        <v>0</v>
      </c>
      <c r="BG98" s="439">
        <f>VLOOKUP(BG$8,JPM_HY!$A$3:$E$488,2,FALSE)</f>
        <v>0</v>
      </c>
      <c r="BH98" s="439">
        <f>VLOOKUP(BH$8,JPM_HY!$A$3:$E$488,2,FALSE)</f>
        <v>0</v>
      </c>
      <c r="BI98" s="439">
        <f>VLOOKUP(BI$8,JPM_HY!$A$3:$E$488,2,FALSE)</f>
        <v>0</v>
      </c>
      <c r="BJ98" s="439">
        <f>VLOOKUP(BJ$8,JPM_HY!$A$3:$E$488,2,FALSE)</f>
        <v>0</v>
      </c>
      <c r="BK98" s="439">
        <f>VLOOKUP(BK$8,JPM_HY!$A$3:$E$488,2,FALSE)</f>
        <v>0</v>
      </c>
      <c r="BL98" s="439">
        <f>VLOOKUP(BL$8,JPM_HY!$A$3:$E$488,2,FALSE)</f>
        <v>0</v>
      </c>
      <c r="BM98" s="439">
        <f>VLOOKUP(BM$8,JPM_HY!$A$3:$E$488,2,FALSE)</f>
        <v>0</v>
      </c>
      <c r="BN98" s="439">
        <f>VLOOKUP(BN$8,JPM_HY!$A$3:$E$488,2,FALSE)</f>
        <v>0</v>
      </c>
      <c r="BO98" s="439">
        <f>VLOOKUP(BO$8,JPM_HY!$A$3:$E$488,2,FALSE)</f>
        <v>0</v>
      </c>
      <c r="BP98" s="439">
        <f>VLOOKUP(BP$8,JPM_HY!$A$3:$E$488,2,FALSE)</f>
        <v>0</v>
      </c>
      <c r="BQ98" s="439">
        <f>VLOOKUP(BQ$8,JPM_HY!$A$3:$E$488,2,FALSE)</f>
        <v>0</v>
      </c>
      <c r="BR98" s="439">
        <f>VLOOKUP(BR$8,JPM_HY!$A$3:$E$488,2,FALSE)</f>
        <v>0</v>
      </c>
      <c r="BS98" s="439">
        <f>VLOOKUP(BS$8,JPM_HY!$A$3:$E$488,2,FALSE)</f>
        <v>0</v>
      </c>
      <c r="BT98" s="439">
        <f>VLOOKUP(BT$8,JPM_HY!$A$3:$E$488,2,FALSE)</f>
        <v>0</v>
      </c>
      <c r="BU98" s="439">
        <f>VLOOKUP(BU$8,JPM_HY!$A$3:$E$488,2,FALSE)</f>
        <v>0</v>
      </c>
      <c r="BV98" s="439">
        <f>VLOOKUP(BV$8,JPM_HY!$A$3:$E$488,2,FALSE)</f>
        <v>0</v>
      </c>
      <c r="BW98" s="439">
        <f>VLOOKUP(BW$8,JPM_HY!$A$3:$E$488,2,FALSE)</f>
        <v>0</v>
      </c>
      <c r="BX98" s="439">
        <f>VLOOKUP(BX$8,JPM_HY!$A$3:$E$488,2,FALSE)</f>
        <v>0</v>
      </c>
      <c r="BY98" s="439">
        <f>VLOOKUP(BY$8,JPM_HY!$A$3:$E$488,2,FALSE)</f>
        <v>0</v>
      </c>
      <c r="BZ98" s="439">
        <f>VLOOKUP(BZ$8,JPM_HY!$A$3:$E$488,2,FALSE)</f>
        <v>0</v>
      </c>
      <c r="CA98" s="439">
        <f>VLOOKUP(CA$8,JPM_HY!$A$3:$E$488,2,FALSE)</f>
        <v>0</v>
      </c>
      <c r="CB98" s="439">
        <f>VLOOKUP(CB$8,JPM_HY!$A$3:$E$488,2,FALSE)</f>
        <v>0</v>
      </c>
      <c r="CC98" s="439">
        <f>VLOOKUP(CC$8,JPM_HY!$A$3:$E$488,2,FALSE)</f>
        <v>0</v>
      </c>
      <c r="CD98" s="439">
        <f>VLOOKUP(CD$8,JPM_HY!$A$3:$E$488,2,FALSE)</f>
        <v>0</v>
      </c>
      <c r="CE98" s="439">
        <f>VLOOKUP(CE$8,JPM_HY!$A$3:$E$488,2,FALSE)</f>
        <v>0</v>
      </c>
      <c r="CF98" s="439">
        <f>VLOOKUP(CF$8,JPM_HY!$A$3:$E$488,2,FALSE)</f>
        <v>0</v>
      </c>
      <c r="CG98" s="439">
        <f>VLOOKUP(CG$8,JPM_HY!$A$3:$E$488,2,FALSE)</f>
        <v>0</v>
      </c>
      <c r="CH98" s="439">
        <f>VLOOKUP(CH$8,JPM_HY!$A$3:$E$488,2,FALSE)</f>
        <v>0</v>
      </c>
      <c r="CI98" s="439">
        <f>VLOOKUP(CI$8,JPM_HY!$A$3:$E$488,2,FALSE)</f>
        <v>0</v>
      </c>
      <c r="CJ98" s="439">
        <f>VLOOKUP(CJ$8,JPM_HY!$A$3:$E$488,2,FALSE)</f>
        <v>0</v>
      </c>
      <c r="CK98" s="439">
        <f>VLOOKUP(CK$8,JPM_HY!$A$3:$E$488,2,FALSE)</f>
        <v>0</v>
      </c>
      <c r="CL98" s="439">
        <f>VLOOKUP(CL$8,JPM_HY!$A$3:$E$488,2,FALSE)</f>
        <v>0</v>
      </c>
      <c r="CM98" s="439">
        <f>VLOOKUP(CM$8,JPM_HY!$A$3:$E$488,2,FALSE)</f>
        <v>0</v>
      </c>
      <c r="CN98" s="439">
        <f>VLOOKUP(CN$8,JPM_HY!$A$3:$E$488,2,FALSE)</f>
        <v>0</v>
      </c>
      <c r="CO98" s="439">
        <f>VLOOKUP(CO$8,JPM_HY!$A$3:$E$488,2,FALSE)</f>
        <v>0</v>
      </c>
      <c r="CP98" s="439">
        <f>VLOOKUP(CP$8,JPM_HY!$A$3:$E$488,2,FALSE)</f>
        <v>0</v>
      </c>
      <c r="CQ98" s="439">
        <f>VLOOKUP(CQ$8,JPM_HY!$A$3:$E$488,2,FALSE)</f>
        <v>0</v>
      </c>
      <c r="CR98" s="439">
        <f>VLOOKUP(CR$8,JPM_HY!$A$3:$E$488,2,FALSE)</f>
        <v>0</v>
      </c>
      <c r="CS98" s="439">
        <f>VLOOKUP(CS$8,JPM_HY!$A$3:$E$488,2,FALSE)</f>
        <v>0</v>
      </c>
      <c r="CT98" s="439">
        <f>VLOOKUP(CT$8,JPM_HY!$A$3:$E$488,2,FALSE)</f>
        <v>0</v>
      </c>
      <c r="CU98" s="439">
        <f>VLOOKUP(CU$8,JPM_HY!$A$3:$E$488,2,FALSE)</f>
        <v>0</v>
      </c>
      <c r="CV98" s="439">
        <f>VLOOKUP(CV$8,JPM_HY!$A$3:$E$488,2,FALSE)</f>
        <v>0</v>
      </c>
      <c r="CW98" s="439">
        <f>VLOOKUP(CW$8,JPM_HY!$A$3:$E$488,2,FALSE)</f>
        <v>0</v>
      </c>
      <c r="CX98" s="439">
        <f>VLOOKUP(CX$8,JPM_HY!$A$3:$E$488,2,FALSE)</f>
        <v>0</v>
      </c>
      <c r="CY98" s="439">
        <f>VLOOKUP(CY$8,JPM_HY!$A$3:$E$488,2,FALSE)</f>
        <v>0</v>
      </c>
      <c r="CZ98" s="439">
        <f>VLOOKUP(CZ$8,JPM_HY!$A$3:$E$488,2,FALSE)</f>
        <v>0</v>
      </c>
      <c r="DA98" s="439">
        <f>VLOOKUP(DA$8,JPM_HY!$A$3:$E$488,2,FALSE)</f>
        <v>0</v>
      </c>
      <c r="DB98" s="439">
        <f>VLOOKUP(DB$8,JPM_HY!$A$3:$E$488,2,FALSE)</f>
        <v>0</v>
      </c>
      <c r="DC98" s="439">
        <f>VLOOKUP(DC$8,JPM_HY!$A$3:$E$488,2,FALSE)</f>
        <v>0</v>
      </c>
      <c r="DD98" s="439">
        <f>VLOOKUP(DD$8,JPM_HY!$A$3:$E$488,2,FALSE)</f>
        <v>0</v>
      </c>
      <c r="DE98" s="439">
        <f>VLOOKUP(DE$8,JPM_HY!$A$3:$E$488,2,FALSE)</f>
        <v>0</v>
      </c>
      <c r="DF98" s="439">
        <f>VLOOKUP(DF$8,JPM_HY!$A$3:$E$488,2,FALSE)</f>
        <v>0</v>
      </c>
      <c r="DG98" s="439">
        <f>VLOOKUP(DG$8,JPM_HY!$A$3:$E$488,2,FALSE)</f>
        <v>0</v>
      </c>
      <c r="DH98" s="439">
        <f>VLOOKUP(DH$8,JPM_HY!$A$3:$E$488,2,FALSE)</f>
        <v>0</v>
      </c>
      <c r="DI98" s="439">
        <f>VLOOKUP(DI$8,JPM_HY!$A$3:$E$488,2,FALSE)</f>
        <v>0</v>
      </c>
      <c r="DJ98" s="439">
        <f>VLOOKUP(DJ$8,JPM_HY!$A$3:$E$488,2,FALSE)</f>
        <v>0</v>
      </c>
      <c r="DK98" s="439">
        <f>VLOOKUP(DK$8,JPM_HY!$A$3:$E$488,2,FALSE)</f>
        <v>0</v>
      </c>
      <c r="DL98" s="439">
        <f>VLOOKUP(DL$8,JPM_HY!$A$3:$E$488,2,FALSE)</f>
        <v>0</v>
      </c>
      <c r="DM98" s="439">
        <f>VLOOKUP(DM$8,JPM_HY!$A$3:$E$488,2,FALSE)</f>
        <v>0</v>
      </c>
      <c r="DN98" s="439">
        <f>VLOOKUP(DN$8,JPM_HY!$A$3:$E$488,2,FALSE)</f>
        <v>0</v>
      </c>
      <c r="DO98" s="439">
        <f>VLOOKUP(DO$8,JPM_HY!$A$3:$E$488,2,FALSE)</f>
        <v>0</v>
      </c>
      <c r="DP98" s="439">
        <f>VLOOKUP(DP$8,JPM_HY!$A$3:$E$488,2,FALSE)</f>
        <v>0</v>
      </c>
      <c r="DQ98" s="439">
        <f>VLOOKUP(DQ$8,JPM_HY!$A$3:$E$488,2,FALSE)</f>
        <v>0</v>
      </c>
      <c r="DR98" s="439">
        <f>VLOOKUP(DR$8,JPM_HY!$A$3:$E$488,2,FALSE)</f>
        <v>0</v>
      </c>
      <c r="DS98" s="439">
        <f>VLOOKUP(DS$8,JPM_HY!$A$3:$E$488,2,FALSE)</f>
        <v>0</v>
      </c>
      <c r="DT98" s="439">
        <f>VLOOKUP(DT$8,JPM_HY!$A$3:$E$488,2,FALSE)</f>
        <v>0</v>
      </c>
      <c r="DU98" s="439">
        <f>VLOOKUP(DU$8,JPM_HY!$A$3:$E$488,2,FALSE)</f>
        <v>0</v>
      </c>
      <c r="DV98" s="439">
        <f>VLOOKUP(DV$8,JPM_HY!$A$3:$E$488,2,FALSE)</f>
        <v>0</v>
      </c>
      <c r="DW98" s="439">
        <f>VLOOKUP(DW$8,JPM_HY!$A$3:$E$488,2,FALSE)</f>
        <v>0</v>
      </c>
      <c r="DX98" s="439">
        <f>VLOOKUP(DX$8,JPM_HY!$A$3:$E$488,2,FALSE)</f>
        <v>0</v>
      </c>
      <c r="DY98" s="439">
        <f>VLOOKUP(DY$8,JPM_HY!$A$3:$E$488,2,FALSE)</f>
        <v>0</v>
      </c>
      <c r="DZ98" s="439">
        <f>VLOOKUP(DZ$8,JPM_HY!$A$3:$E$488,2,FALSE)</f>
        <v>0</v>
      </c>
      <c r="EA98" s="439">
        <f>VLOOKUP(EA$8,JPM_HY!$A$3:$E$488,2,FALSE)</f>
        <v>0</v>
      </c>
      <c r="EB98" s="439">
        <f>VLOOKUP(EB$8,JPM_HY!$A$3:$E$488,2,FALSE)</f>
        <v>0</v>
      </c>
      <c r="EC98" s="439">
        <f>VLOOKUP(EC$8,JPM_HY!$A$3:$E$488,2,FALSE)</f>
        <v>0</v>
      </c>
      <c r="ED98" s="439">
        <f>VLOOKUP(ED$8,JPM_HY!$A$3:$E$488,2,FALSE)</f>
        <v>0</v>
      </c>
      <c r="EE98" s="439">
        <f>VLOOKUP(EE$8,JPM_HY!$A$3:$E$488,2,FALSE)</f>
        <v>0</v>
      </c>
      <c r="EF98" s="439">
        <f>VLOOKUP(EF$8,JPM_HY!$A$3:$E$488,2,FALSE)</f>
        <v>0</v>
      </c>
      <c r="EG98" s="439">
        <f>VLOOKUP(EG$8,JPM_HY!$A$3:$E$488,2,FALSE)</f>
        <v>0</v>
      </c>
      <c r="EH98" s="439">
        <f>VLOOKUP(EH$8,JPM_HY!$A$3:$E$488,2,FALSE)</f>
        <v>0</v>
      </c>
      <c r="EI98" s="439">
        <f>VLOOKUP(EI$8,JPM_HY!$A$3:$E$488,2,FALSE)</f>
        <v>0</v>
      </c>
      <c r="EJ98" s="439">
        <f>VLOOKUP(EJ$8,JPM_HY!$A$3:$E$488,2,FALSE)</f>
        <v>0</v>
      </c>
      <c r="EK98" s="439">
        <f>VLOOKUP(EK$8,JPM_HY!$A$3:$E$488,2,FALSE)</f>
        <v>0</v>
      </c>
      <c r="EL98" s="439">
        <f>VLOOKUP(EL$8,JPM_HY!$A$3:$E$488,2,FALSE)</f>
        <v>0</v>
      </c>
      <c r="EM98" s="439">
        <f>VLOOKUP(EM$8,JPM_HY!$A$3:$E$488,2,FALSE)</f>
        <v>0</v>
      </c>
      <c r="EN98" s="439">
        <f>VLOOKUP(EN$8,JPM_HY!$A$3:$E$488,2,FALSE)</f>
        <v>0</v>
      </c>
      <c r="EO98" s="439">
        <f>VLOOKUP(EO$8,JPM_HY!$A$3:$E$488,2,FALSE)</f>
        <v>0</v>
      </c>
      <c r="EP98" s="439">
        <f>VLOOKUP(EP$8,JPM_HY!$A$3:$E$488,2,FALSE)</f>
        <v>0</v>
      </c>
      <c r="EQ98" s="439">
        <f>VLOOKUP(EQ$8,JPM_HY!$A$3:$E$488,2,FALSE)</f>
        <v>0</v>
      </c>
      <c r="ER98" s="439">
        <f>VLOOKUP(ER$8,JPM_HY!$A$3:$E$488,2,FALSE)</f>
        <v>0</v>
      </c>
      <c r="ES98" s="439">
        <f>VLOOKUP(ES$8,JPM_HY!$A$3:$E$488,2,FALSE)</f>
        <v>0</v>
      </c>
      <c r="ET98" s="439">
        <f>VLOOKUP(ET$8,JPM_HY!$A$3:$E$488,2,FALSE)</f>
        <v>0</v>
      </c>
      <c r="EU98" s="439">
        <f>VLOOKUP(EU$8,JPM_HY!$A$3:$E$488,2,FALSE)</f>
        <v>0</v>
      </c>
      <c r="EV98" s="439">
        <f>VLOOKUP(EV$8,JPM_HY!$A$3:$E$488,2,FALSE)</f>
        <v>0</v>
      </c>
      <c r="EW98" s="439">
        <f>VLOOKUP(EW$8,JPM_HY!$A$3:$E$488,2,FALSE)</f>
        <v>0</v>
      </c>
      <c r="EX98" s="393" t="str">
        <f>A98</f>
        <v>JP Morgan High:  New York (Active)</v>
      </c>
      <c r="EY98" s="1066"/>
      <c r="EZ98" s="789" t="e">
        <f>VLOOKUP($EY98,'NEPC data'!$B76:$M263,5,TRUE)*100</f>
        <v>#N/A</v>
      </c>
      <c r="FA98" s="789" t="e">
        <f>VLOOKUP($EY98,'NEPC data'!$B76:$M263,7,TRUE)*100</f>
        <v>#N/A</v>
      </c>
      <c r="FB98" s="789" t="e">
        <f>VLOOKUP($EY98,'NEPC data'!$B76:$M263,9,TRUE)*100</f>
        <v>#N/A</v>
      </c>
      <c r="FC98" s="789" t="e">
        <f>VLOOKUP($EY98,'NEPC data'!$B76:$M263,10,TRUE)*100</f>
        <v>#N/A</v>
      </c>
      <c r="FD98" s="789" t="e">
        <f>VLOOKUP($EY98,'NEPC data'!$B76:$M263,11,TRUE)*100</f>
        <v>#N/A</v>
      </c>
      <c r="FE98" s="382"/>
      <c r="FF98" s="442"/>
      <c r="FG98" s="442"/>
      <c r="FH98" s="442"/>
      <c r="FI98" s="442"/>
      <c r="FJ98" s="442"/>
      <c r="FK98" s="382"/>
      <c r="FL98" s="442"/>
      <c r="FM98" s="442"/>
    </row>
    <row r="99" spans="1:169" s="395" customFormat="1" ht="12.75" customHeight="1" x14ac:dyDescent="0.2">
      <c r="A99" s="445" t="s">
        <v>675</v>
      </c>
      <c r="B99" s="621" t="s">
        <v>651</v>
      </c>
      <c r="C99" s="446">
        <v>40086</v>
      </c>
      <c r="D99" s="447">
        <f>Columbia!D1</f>
        <v>40</v>
      </c>
      <c r="E99" s="448">
        <f>VLOOKUP(AH$8,Columbia!A1:E488,3,FALSE)/1000000</f>
        <v>651.20282572000008</v>
      </c>
      <c r="F99" s="449">
        <f>AH99</f>
        <v>1.86328</v>
      </c>
      <c r="G99" s="450">
        <f t="array" ref="G99">IF($AJ99=0,"---",(PRODUCT($AH99:AJ99/100+1)-1)*100)</f>
        <v>1.095805218083501</v>
      </c>
      <c r="H99" s="450">
        <f t="array" ref="H99">IF($AS99=0,"---",(PRODUCT(AH99:AN99/100+1)-1)*100)</f>
        <v>5.0015835272368303</v>
      </c>
      <c r="I99" s="450">
        <f t="array" ref="I99">IF(AS99=0,"---",(GEOMEAN($AH99:AS99/100+1)^12-1)*100)</f>
        <v>10.321661108820891</v>
      </c>
      <c r="J99" s="450">
        <f t="array" ref="J99">IF(BE99=0,"---",(GEOMEAN($AH99:BE99/100+1)^12-1)*100)</f>
        <v>8.5843747491037412</v>
      </c>
      <c r="K99" s="450">
        <f t="array" ref="K99">IF(BQ99=0,"---",(GEOMEAN($AH99:BQ99/100+1)^12-1)*100)</f>
        <v>10.379778967885823</v>
      </c>
      <c r="L99" s="450">
        <f t="array" ref="L99">IF(CC99=0,"---",(GEOMEAN($AH99:CC99/100+1)^12-1)*100)</f>
        <v>10.040806996055917</v>
      </c>
      <c r="M99" s="450" t="str">
        <f t="array" ref="M99">IF(CO99=0,"---",(GEOMEAN($AH99:CO99/100+1)^12-1)*100)</f>
        <v>---</v>
      </c>
      <c r="N99" s="450" t="str">
        <f t="array" ref="N99">IF(DM99=0,"---",(GEOMEAN($AH99:DM99/100+1)^12-1)*100)</f>
        <v>---</v>
      </c>
      <c r="O99" s="450" t="str">
        <f t="array" ref="O99">IF(EK99=0,"---",(GEOMEAN($AH99:EK99/100+1)^12-1)*100)</f>
        <v>---</v>
      </c>
      <c r="P99" s="450" t="str">
        <f t="array" ref="P99">IF(EW99=0,"---",(GEOMEAN($AH99:EW99/100+1)^12-1)*100)</f>
        <v>---</v>
      </c>
      <c r="Q99" s="451">
        <f t="array" ref="Q99">(GEOMEAN(Columbia!B$414:B471/100+1)^12-1)*100</f>
        <v>10.3355822224382</v>
      </c>
      <c r="R99" s="452">
        <f t="shared" si="93"/>
        <v>27.808999999999994</v>
      </c>
      <c r="S99" s="452">
        <f t="shared" si="93"/>
        <v>2.8005901218319806</v>
      </c>
      <c r="T99" s="452">
        <f t="shared" si="93"/>
        <v>3.3973102601314586</v>
      </c>
      <c r="U99" s="452">
        <f t="shared" si="93"/>
        <v>-25.514303421945073</v>
      </c>
      <c r="V99" s="452">
        <f t="shared" si="93"/>
        <v>-47.515387222105687</v>
      </c>
      <c r="W99" s="452">
        <f t="shared" si="93"/>
        <v>-26.521235869640947</v>
      </c>
      <c r="X99" s="452">
        <f t="shared" si="93"/>
        <v>-3.7148699116130501</v>
      </c>
      <c r="Y99" s="452" t="str">
        <f t="shared" si="93"/>
        <v>---</v>
      </c>
      <c r="Z99" s="452" t="str">
        <f t="shared" si="93"/>
        <v>---</v>
      </c>
      <c r="AA99" s="452" t="str">
        <f t="shared" si="93"/>
        <v>---</v>
      </c>
      <c r="AB99" s="452" t="str">
        <f t="shared" si="93"/>
        <v>---</v>
      </c>
      <c r="AC99" s="453">
        <f>(Q99-AF99)*100</f>
        <v>-74.379134839710474</v>
      </c>
      <c r="AD99" s="454">
        <v>150</v>
      </c>
      <c r="AE99" s="15"/>
      <c r="AF99" s="432">
        <f t="array" ref="AF99">100*(GEOMEAN(Index_Returns!AI414:AI471/100+1)^12-1)</f>
        <v>11.079373570835305</v>
      </c>
      <c r="AG99" s="418" t="str">
        <f>IF(I99="---","&lt; 1 Year","---")</f>
        <v>---</v>
      </c>
      <c r="AH99" s="439">
        <f>VLOOKUP(AH$8,Columbia!$A$1:$E$488,2,FALSE)</f>
        <v>1.86328</v>
      </c>
      <c r="AI99" s="439">
        <f>VLOOKUP(AI$8,Columbia!$A$1:$E$488,2,FALSE)</f>
        <v>-1.53931</v>
      </c>
      <c r="AJ99" s="439">
        <f>VLOOKUP(AJ$8,Columbia!$A$1:$E$488,2,FALSE)</f>
        <v>0.79815999999999998</v>
      </c>
      <c r="AK99" s="439">
        <f>VLOOKUP(AK$8,Columbia!$A$1:$E$488,2,FALSE)</f>
        <v>0.83679999999999999</v>
      </c>
      <c r="AL99" s="439">
        <f>VLOOKUP(AL$8,Columbia!$A$1:$E$488,2,FALSE)</f>
        <v>0.66222000000000003</v>
      </c>
      <c r="AM99" s="439">
        <f>VLOOKUP(AM$8,Columbia!$A$1:$E$488,2,FALSE)</f>
        <v>0.16098000000000001</v>
      </c>
      <c r="AN99" s="439">
        <f>VLOOKUP(AN$8,Columbia!$A$1:$E$488,2,FALSE)</f>
        <v>2.1594600000000002</v>
      </c>
      <c r="AO99" s="439">
        <f>VLOOKUP(AO$8,Columbia!$A$1:$E$488,2,FALSE)</f>
        <v>0.53247</v>
      </c>
      <c r="AP99" s="439">
        <f>VLOOKUP(AP$8,Columbia!$A$1:$E$488,2,FALSE)</f>
        <v>0.49929000000000001</v>
      </c>
      <c r="AQ99" s="439">
        <f>VLOOKUP(AQ$8,Columbia!$A$1:$E$488,2,FALSE)</f>
        <v>0.19950999999999999</v>
      </c>
      <c r="AR99" s="439">
        <f>VLOOKUP(AR$8,Columbia!$A$1:$E$488,2,FALSE)</f>
        <v>2.5499299999999998</v>
      </c>
      <c r="AS99" s="439">
        <f>VLOOKUP(AS$8,Columbia!$A$1:$E$488,2,FALSE)</f>
        <v>1.20329</v>
      </c>
      <c r="AT99" s="439">
        <f>VLOOKUP(AT$8,Columbia!$A$1:$E$488,2,FALSE)</f>
        <v>-1.0198700000000001</v>
      </c>
      <c r="AU99" s="439">
        <f>VLOOKUP(AU$8,Columbia!$A$1:$E$488,2,FALSE)</f>
        <v>2.0787800000000001</v>
      </c>
      <c r="AV99" s="439">
        <f>VLOOKUP(AV$8,Columbia!$A$1:$E$488,2,FALSE)</f>
        <v>-2.5034399999999999</v>
      </c>
      <c r="AW99" s="439">
        <f>VLOOKUP(AW$8,Columbia!$A$1:$E$488,2,FALSE)</f>
        <v>-1.27525</v>
      </c>
      <c r="AX99" s="439">
        <f>VLOOKUP(AX$8,Columbia!$A$1:$E$488,2,FALSE)</f>
        <v>2.2326899999999998</v>
      </c>
      <c r="AY99" s="439">
        <f>VLOOKUP(AY$8,Columbia!$A$1:$E$488,2,FALSE)</f>
        <v>1.0391999999999999</v>
      </c>
      <c r="AZ99" s="439">
        <f>VLOOKUP(AZ$8,Columbia!$A$1:$E$488,2,FALSE)</f>
        <v>0.41327000000000003</v>
      </c>
      <c r="BA99" s="439">
        <f>VLOOKUP(BA$8,Columbia!$A$1:$E$488,2,FALSE)</f>
        <v>1.1430499999999999</v>
      </c>
      <c r="BB99" s="439">
        <f>VLOOKUP(BB$8,Columbia!$A$1:$E$488,2,FALSE)</f>
        <v>1.52251</v>
      </c>
      <c r="BC99" s="439">
        <f>VLOOKUP(BC$8,Columbia!$A$1:$E$488,2,FALSE)</f>
        <v>1.0130600000000001</v>
      </c>
      <c r="BD99" s="439">
        <f>VLOOKUP(BD$8,Columbia!$A$1:$E$488,2,FALSE)</f>
        <v>0.87507000000000001</v>
      </c>
      <c r="BE99" s="439">
        <f>VLOOKUP(BE$8,Columbia!$A$1:$E$488,2,FALSE)</f>
        <v>1.26153</v>
      </c>
      <c r="BF99" s="439">
        <f>VLOOKUP(BF$8,Columbia!$A$1:$E$488,2,FALSE)</f>
        <v>0.93940000000000001</v>
      </c>
      <c r="BG99" s="439">
        <f>VLOOKUP(BG$8,Columbia!$A$1:$E$488,2,FALSE)</f>
        <v>2.2523</v>
      </c>
      <c r="BH99" s="439">
        <f>VLOOKUP(BH$8,Columbia!$A$1:$E$488,2,FALSE)</f>
        <v>2.1071499999999999</v>
      </c>
      <c r="BI99" s="439">
        <f>VLOOKUP(BI$8,Columbia!$A$1:$E$488,2,FALSE)</f>
        <v>-1.4941</v>
      </c>
      <c r="BJ99" s="439">
        <f>VLOOKUP(BJ$8,Columbia!$A$1:$E$488,2,FALSE)</f>
        <v>1.2164999999999999</v>
      </c>
      <c r="BK99" s="439">
        <f>VLOOKUP(BK$8,Columbia!$A$1:$E$488,2,FALSE)</f>
        <v>-0.52490000000000003</v>
      </c>
      <c r="BL99" s="439">
        <f>VLOOKUP(BL$8,Columbia!$A$1:$E$488,2,FALSE)</f>
        <v>2.2858000000000001</v>
      </c>
      <c r="BM99" s="439">
        <f>VLOOKUP(BM$8,Columbia!$A$1:$E$488,2,FALSE)</f>
        <v>3.0240999999999998</v>
      </c>
      <c r="BN99" s="439">
        <f>VLOOKUP(BN$8,Columbia!$A$1:$E$488,2,FALSE)</f>
        <v>2.5217000000000001</v>
      </c>
      <c r="BO99" s="439">
        <f>VLOOKUP(BO$8,Columbia!$A$1:$E$488,2,FALSE)</f>
        <v>-2.4278</v>
      </c>
      <c r="BP99" s="439">
        <f>VLOOKUP(BP$8,Columbia!$A$1:$E$488,2,FALSE)</f>
        <v>6.7754000000000003</v>
      </c>
      <c r="BQ99" s="439">
        <f>VLOOKUP(BQ$8,Columbia!$A$1:$E$488,2,FALSE)</f>
        <v>-3.0497999999999998</v>
      </c>
      <c r="BR99" s="439">
        <f>VLOOKUP(BR$8,Columbia!$A$1:$E$488,2,FALSE)</f>
        <v>-4.1154000000000002</v>
      </c>
      <c r="BS99" s="439">
        <f>VLOOKUP(BS$8,Columbia!$A$1:$E$488,2,FALSE)</f>
        <v>1.7855000000000001</v>
      </c>
      <c r="BT99" s="439">
        <f>VLOOKUP(BT$8,Columbia!$A$1:$E$488,2,FALSE)</f>
        <v>-1.1773</v>
      </c>
      <c r="BU99" s="439">
        <f>VLOOKUP(BU$8,Columbia!$A$1:$E$488,2,FALSE)</f>
        <v>0.22209999999999999</v>
      </c>
      <c r="BV99" s="439">
        <f>VLOOKUP(BV$8,Columbia!$A$1:$E$488,2,FALSE)</f>
        <v>1.7568999999999999</v>
      </c>
      <c r="BW99" s="439">
        <f>VLOOKUP(BW$8,Columbia!$A$1:$E$488,2,FALSE)</f>
        <v>0.41860000000000003</v>
      </c>
      <c r="BX99" s="439">
        <f>VLOOKUP(BX$8,Columbia!$A$1:$E$488,2,FALSE)</f>
        <v>1.2232000000000001</v>
      </c>
      <c r="BY99" s="439">
        <f>VLOOKUP(BY$8,Columbia!$A$1:$E$488,2,FALSE)</f>
        <v>2.2683</v>
      </c>
      <c r="BZ99" s="439">
        <f>VLOOKUP(BZ$8,Columbia!$A$1:$E$488,2,FALSE)</f>
        <v>2.1543999999999999</v>
      </c>
      <c r="CA99" s="439">
        <f>VLOOKUP(CA$8,Columbia!$A$1:$E$488,2,FALSE)</f>
        <v>-1.5751999999999999</v>
      </c>
      <c r="CB99" s="439">
        <f>VLOOKUP(CB$8,Columbia!$A$1:$E$488,2,FALSE)</f>
        <v>2.8494999999999999</v>
      </c>
      <c r="CC99" s="439">
        <f>VLOOKUP(CC$8,Columbia!$A$1:$E$488,2,FALSE)</f>
        <v>3.1166</v>
      </c>
      <c r="CD99" s="439">
        <f>VLOOKUP(CD$8,Columbia!$A$1:$E$488,2,FALSE)</f>
        <v>-0.1792</v>
      </c>
      <c r="CE99" s="439">
        <f>VLOOKUP(CE$8,Columbia!$A$1:$E$488,2,FALSE)</f>
        <v>3.9773999999999998</v>
      </c>
      <c r="CF99" s="439">
        <f>VLOOKUP(CF$8,Columbia!$A$1:$E$488,2,FALSE)</f>
        <v>1.2749999999999999</v>
      </c>
      <c r="CG99" s="439">
        <f>VLOOKUP(CG$8,Columbia!$A$1:$E$488,2,FALSE)</f>
        <v>-3.4695</v>
      </c>
      <c r="CH99" s="439">
        <f>VLOOKUP(CH$8,Columbia!$A$1:$E$488,2,FALSE)</f>
        <v>1.8479000000000001</v>
      </c>
      <c r="CI99" s="439">
        <f>VLOOKUP(CI$8,Columbia!$A$1:$E$488,2,FALSE)</f>
        <v>2.625</v>
      </c>
      <c r="CJ99" s="439">
        <f>VLOOKUP(CJ$8,Columbia!$A$1:$E$488,2,FALSE)</f>
        <v>-6.3E-2</v>
      </c>
      <c r="CK99" s="439">
        <f>VLOOKUP(CK$8,Columbia!$A$1:$E$488,2,FALSE)</f>
        <v>0.95179999999999998</v>
      </c>
      <c r="CL99" s="439">
        <f>VLOOKUP(CL$8,Columbia!$A$1:$E$488,2,FALSE)</f>
        <v>2.7222</v>
      </c>
      <c r="CM99" s="439">
        <f>VLOOKUP(CM$8,Columbia!$A$1:$E$488,2,FALSE)</f>
        <v>0.64710000000000001</v>
      </c>
      <c r="CN99" s="439">
        <f>VLOOKUP(CN$8,Columbia!$A$1:$E$488,2,FALSE)</f>
        <v>1.0237000000000001</v>
      </c>
      <c r="CO99" s="439">
        <f>VLOOKUP(CO$8,Columbia!$A$1:$E$488,2,FALSE)</f>
        <v>0</v>
      </c>
      <c r="CP99" s="439">
        <f>VLOOKUP(CP$8,Columbia!$A$1:$E$488,2,FALSE)</f>
        <v>0</v>
      </c>
      <c r="CQ99" s="439">
        <f>VLOOKUP(CQ$8,Columbia!$A$1:$E$488,2,FALSE)</f>
        <v>0</v>
      </c>
      <c r="CR99" s="439">
        <f>VLOOKUP(CR$8,Columbia!$A$1:$E$488,2,FALSE)</f>
        <v>0</v>
      </c>
      <c r="CS99" s="439">
        <f>VLOOKUP(CS$8,Columbia!$A$1:$E$488,2,FALSE)</f>
        <v>0</v>
      </c>
      <c r="CT99" s="439">
        <f>VLOOKUP(CT$8,Columbia!$A$1:$E$488,2,FALSE)</f>
        <v>0</v>
      </c>
      <c r="CU99" s="439">
        <f>VLOOKUP(CU$8,Columbia!$A$1:$E$488,2,FALSE)</f>
        <v>0</v>
      </c>
      <c r="CV99" s="439">
        <f>VLOOKUP(CV$8,Columbia!$A$1:$E$488,2,FALSE)</f>
        <v>0</v>
      </c>
      <c r="CW99" s="439">
        <f>VLOOKUP(CW$8,Columbia!$A$1:$E$488,2,FALSE)</f>
        <v>0</v>
      </c>
      <c r="CX99" s="439">
        <f>VLOOKUP(CX$8,Columbia!$A$1:$E$488,2,FALSE)</f>
        <v>0</v>
      </c>
      <c r="CY99" s="439">
        <f>VLOOKUP(CY$8,Columbia!$A$1:$E$488,2,FALSE)</f>
        <v>0</v>
      </c>
      <c r="CZ99" s="439">
        <f>VLOOKUP(CZ$8,Columbia!$A$1:$E$488,2,FALSE)</f>
        <v>0</v>
      </c>
      <c r="DA99" s="439">
        <f>VLOOKUP(DA$8,Columbia!$A$1:$E$488,2,FALSE)</f>
        <v>0</v>
      </c>
      <c r="DB99" s="439">
        <f>VLOOKUP(DB$8,Columbia!$A$1:$E$488,2,FALSE)</f>
        <v>0</v>
      </c>
      <c r="DC99" s="439">
        <f>VLOOKUP(DC$8,Columbia!$A$1:$E$488,2,FALSE)</f>
        <v>0</v>
      </c>
      <c r="DD99" s="439">
        <f>VLOOKUP(DD$8,Columbia!$A$1:$E$488,2,FALSE)</f>
        <v>0</v>
      </c>
      <c r="DE99" s="439">
        <f>VLOOKUP(DE$8,Columbia!$A$1:$E$488,2,FALSE)</f>
        <v>0</v>
      </c>
      <c r="DF99" s="439">
        <f>VLOOKUP(DF$8,Columbia!$A$1:$E$488,2,FALSE)</f>
        <v>0</v>
      </c>
      <c r="DG99" s="439">
        <f>VLOOKUP(DG$8,Columbia!$A$1:$E$488,2,FALSE)</f>
        <v>0</v>
      </c>
      <c r="DH99" s="439">
        <f>VLOOKUP(DH$8,Columbia!$A$1:$E$488,2,FALSE)</f>
        <v>0</v>
      </c>
      <c r="DI99" s="439">
        <f>VLOOKUP(DI$8,Columbia!$A$1:$E$488,2,FALSE)</f>
        <v>0</v>
      </c>
      <c r="DJ99" s="439">
        <f>VLOOKUP(DJ$8,Columbia!$A$1:$E$488,2,FALSE)</f>
        <v>0</v>
      </c>
      <c r="DK99" s="439">
        <f>VLOOKUP(DK$8,Columbia!$A$1:$E$488,2,FALSE)</f>
        <v>0</v>
      </c>
      <c r="DL99" s="439">
        <f>VLOOKUP(DL$8,Columbia!$A$1:$E$488,2,FALSE)</f>
        <v>0</v>
      </c>
      <c r="DM99" s="439">
        <f>VLOOKUP(DM$8,Columbia!$A$1:$E$488,2,FALSE)</f>
        <v>0</v>
      </c>
      <c r="DN99" s="439">
        <f>VLOOKUP(DN$8,Columbia!$A$1:$E$488,2,FALSE)</f>
        <v>0</v>
      </c>
      <c r="DO99" s="439">
        <f>VLOOKUP(DO$8,Columbia!$A$1:$E$488,2,FALSE)</f>
        <v>0</v>
      </c>
      <c r="DP99" s="439">
        <f>VLOOKUP(DP$8,Columbia!$A$1:$E$488,2,FALSE)</f>
        <v>0</v>
      </c>
      <c r="DQ99" s="439">
        <f>VLOOKUP(DQ$8,Columbia!$A$1:$E$488,2,FALSE)</f>
        <v>0</v>
      </c>
      <c r="DR99" s="439">
        <f>VLOOKUP(DR$8,Columbia!$A$1:$E$488,2,FALSE)</f>
        <v>0</v>
      </c>
      <c r="DS99" s="439">
        <f>VLOOKUP(DS$8,Columbia!$A$1:$E$488,2,FALSE)</f>
        <v>0</v>
      </c>
      <c r="DT99" s="439">
        <f>VLOOKUP(DT$8,Columbia!$A$1:$E$488,2,FALSE)</f>
        <v>0</v>
      </c>
      <c r="DU99" s="439">
        <f>VLOOKUP(DU$8,Columbia!$A$1:$E$488,2,FALSE)</f>
        <v>0</v>
      </c>
      <c r="DV99" s="439">
        <f>VLOOKUP(DV$8,Columbia!$A$1:$E$488,2,FALSE)</f>
        <v>0</v>
      </c>
      <c r="DW99" s="439">
        <f>VLOOKUP(DW$8,Columbia!$A$1:$E$488,2,FALSE)</f>
        <v>0</v>
      </c>
      <c r="DX99" s="439">
        <f>VLOOKUP(DX$8,Columbia!$A$1:$E$488,2,FALSE)</f>
        <v>0</v>
      </c>
      <c r="DY99" s="439">
        <f>VLOOKUP(DY$8,Columbia!$A$1:$E$488,2,FALSE)</f>
        <v>0</v>
      </c>
      <c r="DZ99" s="439">
        <f>VLOOKUP(DZ$8,Columbia!$A$1:$E$488,2,FALSE)</f>
        <v>0</v>
      </c>
      <c r="EA99" s="439">
        <f>VLOOKUP(EA$8,Columbia!$A$1:$E$488,2,FALSE)</f>
        <v>0</v>
      </c>
      <c r="EB99" s="439">
        <f>VLOOKUP(EB$8,Columbia!$A$1:$E$488,2,FALSE)</f>
        <v>0</v>
      </c>
      <c r="EC99" s="439">
        <f>VLOOKUP(EC$8,Columbia!$A$1:$E$488,2,FALSE)</f>
        <v>0</v>
      </c>
      <c r="ED99" s="439">
        <f>VLOOKUP(ED$8,Columbia!$A$1:$E$488,2,FALSE)</f>
        <v>0</v>
      </c>
      <c r="EE99" s="439">
        <f>VLOOKUP(EE$8,Columbia!$A$1:$E$488,2,FALSE)</f>
        <v>0</v>
      </c>
      <c r="EF99" s="439">
        <f>VLOOKUP(EF$8,Columbia!$A$1:$E$488,2,FALSE)</f>
        <v>0</v>
      </c>
      <c r="EG99" s="439">
        <f>VLOOKUP(EG$8,Columbia!$A$1:$E$488,2,FALSE)</f>
        <v>0</v>
      </c>
      <c r="EH99" s="439">
        <f>VLOOKUP(EH$8,Columbia!$A$1:$E$488,2,FALSE)</f>
        <v>0</v>
      </c>
      <c r="EI99" s="439">
        <f>VLOOKUP(EI$8,Columbia!$A$1:$E$488,2,FALSE)</f>
        <v>0</v>
      </c>
      <c r="EJ99" s="439">
        <f>VLOOKUP(EJ$8,Columbia!$A$1:$E$488,2,FALSE)</f>
        <v>0</v>
      </c>
      <c r="EK99" s="439">
        <f>VLOOKUP(EK$8,Columbia!$A$1:$E$488,2,FALSE)</f>
        <v>0</v>
      </c>
      <c r="EL99" s="439">
        <f>VLOOKUP(EL$8,Columbia!$A$1:$E$488,2,FALSE)</f>
        <v>0</v>
      </c>
      <c r="EM99" s="439">
        <f>VLOOKUP(EM$8,Columbia!$A$1:$E$488,2,FALSE)</f>
        <v>0</v>
      </c>
      <c r="EN99" s="439">
        <f>VLOOKUP(EN$8,Columbia!$A$1:$E$488,2,FALSE)</f>
        <v>0</v>
      </c>
      <c r="EO99" s="439">
        <f>VLOOKUP(EO$8,Columbia!$A$1:$E$488,2,FALSE)</f>
        <v>0</v>
      </c>
      <c r="EP99" s="439">
        <f>VLOOKUP(EP$8,Columbia!$A$1:$E$488,2,FALSE)</f>
        <v>0</v>
      </c>
      <c r="EQ99" s="439">
        <f>VLOOKUP(EQ$8,Columbia!$A$1:$E$488,2,FALSE)</f>
        <v>0</v>
      </c>
      <c r="ER99" s="439">
        <f>VLOOKUP(ER$8,Columbia!$A$1:$E$488,2,FALSE)</f>
        <v>0</v>
      </c>
      <c r="ES99" s="439">
        <f>VLOOKUP(ES$8,Columbia!$A$1:$E$488,2,FALSE)</f>
        <v>0</v>
      </c>
      <c r="ET99" s="439">
        <f>VLOOKUP(ET$8,Columbia!$A$1:$E$488,2,FALSE)</f>
        <v>0</v>
      </c>
      <c r="EU99" s="439">
        <f>VLOOKUP(EU$8,Columbia!$A$1:$E$488,2,FALSE)</f>
        <v>0</v>
      </c>
      <c r="EV99" s="439">
        <f>VLOOKUP(EV$8,Columbia!$A$1:$E$488,2,FALSE)</f>
        <v>0</v>
      </c>
      <c r="EW99" s="439">
        <f>VLOOKUP(EW$8,Columbia!$A$1:$E$488,2,FALSE)</f>
        <v>0</v>
      </c>
      <c r="EX99" s="393" t="str">
        <f>A99</f>
        <v>Columbia: Minneapolis (Active)</v>
      </c>
      <c r="EY99" s="1066"/>
      <c r="EZ99" s="789" t="e">
        <f>VLOOKUP($EY99,'NEPC data'!$B81:$M268,5,TRUE)*100</f>
        <v>#N/A</v>
      </c>
      <c r="FA99" s="789" t="e">
        <f>VLOOKUP($EY99,'NEPC data'!$B81:$M268,7,TRUE)*100</f>
        <v>#N/A</v>
      </c>
      <c r="FB99" s="789" t="e">
        <f>VLOOKUP($EY99,'NEPC data'!$B81:$M268,9,TRUE)*100</f>
        <v>#N/A</v>
      </c>
      <c r="FC99" s="789" t="e">
        <f>VLOOKUP($EY99,'NEPC data'!$B81:$M268,10,TRUE)*100</f>
        <v>#N/A</v>
      </c>
      <c r="FD99" s="789" t="e">
        <f>VLOOKUP($EY99,'NEPC data'!$B81:$M268,11,TRUE)*100</f>
        <v>#N/A</v>
      </c>
      <c r="FE99" s="382"/>
      <c r="FF99" s="442"/>
      <c r="FG99" s="442"/>
      <c r="FH99" s="442"/>
      <c r="FI99" s="442"/>
      <c r="FJ99" s="442"/>
      <c r="FK99" s="382"/>
      <c r="FL99" s="442"/>
      <c r="FM99" s="442"/>
    </row>
    <row r="100" spans="1:169" s="1028" customFormat="1" ht="12.75" customHeight="1" x14ac:dyDescent="0.2">
      <c r="A100" s="1232" t="s">
        <v>655</v>
      </c>
      <c r="B100" s="1024"/>
      <c r="C100" s="1217"/>
      <c r="D100" s="1218"/>
      <c r="E100" s="1219"/>
      <c r="F100" s="1220">
        <f>AH100</f>
        <v>1.5851900000000001</v>
      </c>
      <c r="G100" s="1023">
        <f t="array" ref="G100">IF($AJ100=0,"---",(PRODUCT($AH100:AJ100/100+1)-1)*100)</f>
        <v>1.0677993168651811</v>
      </c>
      <c r="H100" s="432">
        <f t="array" ref="H100">IF($AS100=0,"---",(PRODUCT(AH100:AN100/100+1)-1)*100)</f>
        <v>4.9676104246355157</v>
      </c>
      <c r="I100" s="1023">
        <f t="array" ref="I100">IF(AS100=0,"---",(GEOMEAN($AH100:AS100/100+1)^12-1)*100)</f>
        <v>10.576804143040341</v>
      </c>
      <c r="J100" s="1023">
        <f t="array" ref="J100">IF(BE100=0,"---",(GEOMEAN($AH100:BE100/100+1)^12-1)*100)</f>
        <v>9.0595286213247981</v>
      </c>
      <c r="K100" s="1023">
        <f t="array" ref="K100">IF(BQ100=0,"---",(GEOMEAN($AH100:BQ100/100+1)^12-1)*100)</f>
        <v>10.644991326582232</v>
      </c>
      <c r="L100" s="1023">
        <f t="array" ref="L100">IF(CC100=0,"---",(GEOMEAN($AH100:CC100/100+1)^12-1)*100)</f>
        <v>10.077955695172047</v>
      </c>
      <c r="M100" s="1023" t="str">
        <f t="array" ref="M100">IF(CO100=0,"---",(GEOMEAN($AH100:CO100/100+1)^12-1)*100)</f>
        <v>---</v>
      </c>
      <c r="N100" s="1023" t="str">
        <f t="array" ref="N100">IF(DM100=0,"---",(GEOMEAN($AH100:DM100/100+1)^12-1)*100)</f>
        <v>---</v>
      </c>
      <c r="O100" s="1023" t="str">
        <f t="array" ref="O100">IF(EK100=0,"---",(GEOMEAN($AH100:EK100/100+1)^12-1)*100)</f>
        <v>---</v>
      </c>
      <c r="P100" s="1023" t="str">
        <f t="array" ref="P100">IF(EW100=0,"---",(GEOMEAN($AH100:EW100/100+1)^12-1)*100)</f>
        <v>---</v>
      </c>
      <c r="Q100" s="1221" t="s">
        <v>34</v>
      </c>
      <c r="R100" s="1218"/>
      <c r="S100" s="1218"/>
      <c r="T100" s="1218"/>
      <c r="U100" s="1218"/>
      <c r="V100" s="1218"/>
      <c r="W100" s="1218"/>
      <c r="X100" s="1218"/>
      <c r="Y100" s="1218"/>
      <c r="Z100" s="1218"/>
      <c r="AA100" s="1218"/>
      <c r="AB100" s="1218"/>
      <c r="AC100" s="1222"/>
      <c r="AD100" s="1233"/>
      <c r="AF100" s="1027"/>
      <c r="AG100" s="1224"/>
      <c r="AH100" s="1025">
        <f t="shared" ref="AH100:BM100" si="94">VLOOKUP(AH$8,Index,35,FALSE)</f>
        <v>1.5851900000000001</v>
      </c>
      <c r="AI100" s="1025">
        <f t="shared" si="94"/>
        <v>-1.33341</v>
      </c>
      <c r="AJ100" s="1025">
        <f t="shared" si="94"/>
        <v>0.83523000000000003</v>
      </c>
      <c r="AK100" s="1025">
        <f t="shared" si="94"/>
        <v>0.91986999999999997</v>
      </c>
      <c r="AL100" s="1025">
        <f t="shared" si="94"/>
        <v>0.63334999999999997</v>
      </c>
      <c r="AM100" s="1025">
        <f t="shared" si="94"/>
        <v>0.23637</v>
      </c>
      <c r="AN100" s="1025">
        <f t="shared" si="94"/>
        <v>2.02311</v>
      </c>
      <c r="AO100" s="1025">
        <f t="shared" si="94"/>
        <v>0.70115000000000005</v>
      </c>
      <c r="AP100" s="1025">
        <f t="shared" si="94"/>
        <v>0.53968000000000005</v>
      </c>
      <c r="AQ100" s="1025">
        <f t="shared" si="94"/>
        <v>0.50753000000000004</v>
      </c>
      <c r="AR100" s="1025">
        <f t="shared" si="94"/>
        <v>2.5053299999999998</v>
      </c>
      <c r="AS100" s="1025">
        <f t="shared" si="94"/>
        <v>0.99311000000000005</v>
      </c>
      <c r="AT100" s="1025">
        <f t="shared" si="94"/>
        <v>-0.60734999999999995</v>
      </c>
      <c r="AU100" s="1025">
        <f t="shared" si="94"/>
        <v>1.8953</v>
      </c>
      <c r="AV100" s="1025">
        <f t="shared" si="94"/>
        <v>-2.6221999999999999</v>
      </c>
      <c r="AW100" s="1025">
        <f t="shared" si="94"/>
        <v>-0.58001999999999998</v>
      </c>
      <c r="AX100" s="1025">
        <f t="shared" si="94"/>
        <v>1.8090900000000001</v>
      </c>
      <c r="AY100" s="1025">
        <f t="shared" si="94"/>
        <v>1.0183</v>
      </c>
      <c r="AZ100" s="1025">
        <f t="shared" si="94"/>
        <v>0.50780999999999998</v>
      </c>
      <c r="BA100" s="1025">
        <f t="shared" si="94"/>
        <v>1.34053</v>
      </c>
      <c r="BB100" s="1025">
        <f t="shared" si="94"/>
        <v>1.5755699999999999</v>
      </c>
      <c r="BC100" s="1025">
        <f t="shared" si="94"/>
        <v>0.80008999999999997</v>
      </c>
      <c r="BD100" s="1025">
        <f t="shared" si="94"/>
        <v>0.87861</v>
      </c>
      <c r="BE100" s="1025">
        <f t="shared" si="94"/>
        <v>1.39167</v>
      </c>
      <c r="BF100" s="1025">
        <f t="shared" si="94"/>
        <v>1.1706000000000001</v>
      </c>
      <c r="BG100" s="1025">
        <f t="shared" si="94"/>
        <v>1.90228</v>
      </c>
      <c r="BH100" s="1025">
        <f t="shared" si="94"/>
        <v>2.11172</v>
      </c>
      <c r="BI100" s="1025">
        <f t="shared" si="94"/>
        <v>-1.3059400000000001</v>
      </c>
      <c r="BJ100" s="1025">
        <f t="shared" si="94"/>
        <v>1.04681</v>
      </c>
      <c r="BK100" s="1025">
        <f t="shared" si="94"/>
        <v>-0.13916000000000001</v>
      </c>
      <c r="BL100" s="1025">
        <f t="shared" si="94"/>
        <v>2.3748499999999999</v>
      </c>
      <c r="BM100" s="1025">
        <f t="shared" si="94"/>
        <v>3.0358499999999999</v>
      </c>
      <c r="BN100" s="1025">
        <f t="shared" ref="BN100:CS100" si="95">VLOOKUP(BN$8,Index,35,FALSE)</f>
        <v>2.6566399999999999</v>
      </c>
      <c r="BO100" s="1025">
        <f t="shared" si="95"/>
        <v>-2.15625</v>
      </c>
      <c r="BP100" s="1025">
        <f t="shared" si="95"/>
        <v>5.9930199999999996</v>
      </c>
      <c r="BQ100" s="1025">
        <f t="shared" si="95"/>
        <v>-3.26885</v>
      </c>
      <c r="BR100" s="1025">
        <f t="shared" si="95"/>
        <v>-4.0025000000000004</v>
      </c>
      <c r="BS100" s="1025">
        <f t="shared" si="95"/>
        <v>1.1589700000000001</v>
      </c>
      <c r="BT100" s="1025">
        <f t="shared" si="95"/>
        <v>-0.97363</v>
      </c>
      <c r="BU100" s="1025">
        <f t="shared" si="95"/>
        <v>0.48779</v>
      </c>
      <c r="BV100" s="1025">
        <f t="shared" si="95"/>
        <v>1.5498000000000001</v>
      </c>
      <c r="BW100" s="1025">
        <f t="shared" si="95"/>
        <v>0.32347999999999999</v>
      </c>
      <c r="BX100" s="1025">
        <f t="shared" si="95"/>
        <v>1.3107200000000001</v>
      </c>
      <c r="BY100" s="1025">
        <f t="shared" si="95"/>
        <v>2.2062400000000002</v>
      </c>
      <c r="BZ100" s="1025">
        <f t="shared" si="95"/>
        <v>1.8131900000000001</v>
      </c>
      <c r="CA100" s="1025">
        <f t="shared" si="95"/>
        <v>-1.1687099999999999</v>
      </c>
      <c r="CB100" s="1025">
        <f t="shared" si="95"/>
        <v>2.5827</v>
      </c>
      <c r="CC100" s="1025">
        <f t="shared" si="95"/>
        <v>3.0126499999999998</v>
      </c>
      <c r="CD100" s="1025">
        <f t="shared" si="95"/>
        <v>3.653E-2</v>
      </c>
      <c r="CE100" s="1025">
        <f t="shared" si="95"/>
        <v>3.5560100000000001</v>
      </c>
      <c r="CF100" s="1025">
        <f t="shared" si="95"/>
        <v>1.24447</v>
      </c>
      <c r="CG100" s="1025">
        <f t="shared" si="95"/>
        <v>-3.5931299999999999</v>
      </c>
      <c r="CH100" s="1025">
        <f t="shared" si="95"/>
        <v>2.34</v>
      </c>
      <c r="CI100" s="1025">
        <f t="shared" si="95"/>
        <v>3.13</v>
      </c>
      <c r="CJ100" s="1025">
        <f t="shared" si="95"/>
        <v>0.17</v>
      </c>
      <c r="CK100" s="1025">
        <f t="shared" si="95"/>
        <v>1.27</v>
      </c>
      <c r="CL100" s="1025">
        <f t="shared" si="95"/>
        <v>3.28</v>
      </c>
      <c r="CM100" s="1025">
        <f t="shared" si="95"/>
        <v>1.01</v>
      </c>
      <c r="CN100" s="1025">
        <f t="shared" si="95"/>
        <v>1.8</v>
      </c>
      <c r="CO100" s="1025">
        <f t="shared" si="95"/>
        <v>0</v>
      </c>
      <c r="CP100" s="1025">
        <f t="shared" si="95"/>
        <v>0</v>
      </c>
      <c r="CQ100" s="1025">
        <f t="shared" si="95"/>
        <v>0</v>
      </c>
      <c r="CR100" s="1025">
        <f t="shared" si="95"/>
        <v>0</v>
      </c>
      <c r="CS100" s="1025">
        <f t="shared" si="95"/>
        <v>0</v>
      </c>
      <c r="CT100" s="1025">
        <f t="shared" ref="CT100:DY100" si="96">VLOOKUP(CT$8,Index,35,FALSE)</f>
        <v>0</v>
      </c>
      <c r="CU100" s="1025">
        <f t="shared" si="96"/>
        <v>0</v>
      </c>
      <c r="CV100" s="1025">
        <f t="shared" si="96"/>
        <v>0</v>
      </c>
      <c r="CW100" s="1025">
        <f t="shared" si="96"/>
        <v>0</v>
      </c>
      <c r="CX100" s="1025">
        <f t="shared" si="96"/>
        <v>0</v>
      </c>
      <c r="CY100" s="1025">
        <f t="shared" si="96"/>
        <v>0</v>
      </c>
      <c r="CZ100" s="1025">
        <f t="shared" si="96"/>
        <v>0</v>
      </c>
      <c r="DA100" s="1025">
        <f t="shared" si="96"/>
        <v>0</v>
      </c>
      <c r="DB100" s="1025">
        <f t="shared" si="96"/>
        <v>0</v>
      </c>
      <c r="DC100" s="1025">
        <f t="shared" si="96"/>
        <v>0</v>
      </c>
      <c r="DD100" s="1025">
        <f t="shared" si="96"/>
        <v>0</v>
      </c>
      <c r="DE100" s="1025">
        <f t="shared" si="96"/>
        <v>0</v>
      </c>
      <c r="DF100" s="1025">
        <f t="shared" si="96"/>
        <v>0</v>
      </c>
      <c r="DG100" s="1025">
        <f t="shared" si="96"/>
        <v>0</v>
      </c>
      <c r="DH100" s="1025">
        <f t="shared" si="96"/>
        <v>0</v>
      </c>
      <c r="DI100" s="1025">
        <f t="shared" si="96"/>
        <v>0</v>
      </c>
      <c r="DJ100" s="1025">
        <f t="shared" si="96"/>
        <v>0</v>
      </c>
      <c r="DK100" s="1025">
        <f t="shared" si="96"/>
        <v>0</v>
      </c>
      <c r="DL100" s="1025">
        <f t="shared" si="96"/>
        <v>0</v>
      </c>
      <c r="DM100" s="1025">
        <f t="shared" si="96"/>
        <v>0</v>
      </c>
      <c r="DN100" s="1025">
        <f t="shared" si="96"/>
        <v>0</v>
      </c>
      <c r="DO100" s="1025">
        <f t="shared" si="96"/>
        <v>0</v>
      </c>
      <c r="DP100" s="1025">
        <f t="shared" si="96"/>
        <v>0</v>
      </c>
      <c r="DQ100" s="1025">
        <f t="shared" si="96"/>
        <v>0</v>
      </c>
      <c r="DR100" s="1025">
        <f t="shared" si="96"/>
        <v>0</v>
      </c>
      <c r="DS100" s="1025">
        <f t="shared" si="96"/>
        <v>0</v>
      </c>
      <c r="DT100" s="1025">
        <f t="shared" si="96"/>
        <v>0</v>
      </c>
      <c r="DU100" s="1025">
        <f t="shared" si="96"/>
        <v>0</v>
      </c>
      <c r="DV100" s="1025">
        <f t="shared" si="96"/>
        <v>0</v>
      </c>
      <c r="DW100" s="1025">
        <f t="shared" si="96"/>
        <v>0</v>
      </c>
      <c r="DX100" s="1025">
        <f t="shared" si="96"/>
        <v>0</v>
      </c>
      <c r="DY100" s="1025">
        <f t="shared" si="96"/>
        <v>0</v>
      </c>
      <c r="DZ100" s="1025">
        <f t="shared" ref="DZ100:EW100" si="97">VLOOKUP(DZ$8,Index,35,FALSE)</f>
        <v>0</v>
      </c>
      <c r="EA100" s="1025">
        <f t="shared" si="97"/>
        <v>0</v>
      </c>
      <c r="EB100" s="1025">
        <f t="shared" si="97"/>
        <v>0</v>
      </c>
      <c r="EC100" s="1025">
        <f t="shared" si="97"/>
        <v>0</v>
      </c>
      <c r="ED100" s="1025">
        <f t="shared" si="97"/>
        <v>0</v>
      </c>
      <c r="EE100" s="1025">
        <f t="shared" si="97"/>
        <v>0</v>
      </c>
      <c r="EF100" s="1025">
        <f t="shared" si="97"/>
        <v>0</v>
      </c>
      <c r="EG100" s="1025">
        <f t="shared" si="97"/>
        <v>0</v>
      </c>
      <c r="EH100" s="1025">
        <f t="shared" si="97"/>
        <v>0</v>
      </c>
      <c r="EI100" s="1025">
        <f t="shared" si="97"/>
        <v>0</v>
      </c>
      <c r="EJ100" s="1025">
        <f t="shared" si="97"/>
        <v>0</v>
      </c>
      <c r="EK100" s="1025">
        <f t="shared" si="97"/>
        <v>0</v>
      </c>
      <c r="EL100" s="1025">
        <f t="shared" si="97"/>
        <v>0</v>
      </c>
      <c r="EM100" s="1025">
        <f t="shared" si="97"/>
        <v>0</v>
      </c>
      <c r="EN100" s="1025">
        <f t="shared" si="97"/>
        <v>0</v>
      </c>
      <c r="EO100" s="1025">
        <f t="shared" si="97"/>
        <v>0</v>
      </c>
      <c r="EP100" s="1025">
        <f t="shared" si="97"/>
        <v>0</v>
      </c>
      <c r="EQ100" s="1025">
        <f t="shared" si="97"/>
        <v>0</v>
      </c>
      <c r="ER100" s="1025">
        <f t="shared" si="97"/>
        <v>0</v>
      </c>
      <c r="ES100" s="1025">
        <f t="shared" si="97"/>
        <v>0</v>
      </c>
      <c r="ET100" s="1025">
        <f t="shared" si="97"/>
        <v>0</v>
      </c>
      <c r="EU100" s="1025">
        <f t="shared" si="97"/>
        <v>0</v>
      </c>
      <c r="EV100" s="1025">
        <f t="shared" si="97"/>
        <v>0</v>
      </c>
      <c r="EW100" s="1025">
        <f t="shared" si="97"/>
        <v>0</v>
      </c>
      <c r="EX100" s="1230"/>
      <c r="EY100" s="1230"/>
      <c r="EZ100" s="789" t="e">
        <f>VLOOKUP($EY100,'NEPC data'!$B84:$M271,5,TRUE)*100</f>
        <v>#N/A</v>
      </c>
      <c r="FA100" s="789" t="e">
        <f>VLOOKUP($EY100,'NEPC data'!$B84:$M271,7,TRUE)*100</f>
        <v>#N/A</v>
      </c>
      <c r="FB100" s="789" t="e">
        <f>VLOOKUP($EY100,'NEPC data'!$B84:$M271,9,TRUE)*100</f>
        <v>#N/A</v>
      </c>
      <c r="FC100" s="789" t="e">
        <f>VLOOKUP($EY100,'NEPC data'!$B84:$M271,10,TRUE)*100</f>
        <v>#N/A</v>
      </c>
      <c r="FD100" s="789" t="e">
        <f>VLOOKUP($EY100,'NEPC data'!$B84:$M271,11,TRUE)*100</f>
        <v>#N/A</v>
      </c>
      <c r="FE100" s="1024"/>
      <c r="FF100" s="1027"/>
      <c r="FG100" s="1027"/>
      <c r="FH100" s="1027"/>
      <c r="FI100" s="1027"/>
      <c r="FJ100" s="1027"/>
      <c r="FK100" s="1024"/>
      <c r="FL100" s="1027"/>
      <c r="FM100" s="1027"/>
    </row>
    <row r="101" spans="1:169" s="395" customFormat="1" ht="12.75" customHeight="1" x14ac:dyDescent="0.2">
      <c r="A101" s="456"/>
      <c r="B101" s="418"/>
      <c r="C101" s="485"/>
      <c r="D101" s="249"/>
      <c r="E101" s="470"/>
      <c r="F101" s="431"/>
      <c r="G101" s="432"/>
      <c r="H101" s="432"/>
      <c r="I101" s="432"/>
      <c r="J101" s="432"/>
      <c r="K101" s="432"/>
      <c r="L101" s="432"/>
      <c r="M101" s="432"/>
      <c r="N101" s="432"/>
      <c r="O101" s="432"/>
      <c r="P101" s="432"/>
      <c r="Q101" s="468"/>
      <c r="R101" s="249"/>
      <c r="S101" s="249"/>
      <c r="T101" s="249"/>
      <c r="U101" s="249"/>
      <c r="V101" s="249"/>
      <c r="W101" s="249"/>
      <c r="X101" s="249"/>
      <c r="Y101" s="249"/>
      <c r="Z101" s="249"/>
      <c r="AA101" s="249"/>
      <c r="AB101" s="249"/>
      <c r="AC101" s="459"/>
      <c r="AD101" s="463"/>
      <c r="AE101" s="15"/>
      <c r="AF101" s="442"/>
      <c r="AG101" s="486"/>
      <c r="AH101" s="439"/>
      <c r="AI101" s="439"/>
      <c r="AJ101" s="439"/>
      <c r="AK101" s="439"/>
      <c r="AL101" s="439"/>
      <c r="AM101" s="439"/>
      <c r="AN101" s="439"/>
      <c r="AO101" s="439"/>
      <c r="AP101" s="439"/>
      <c r="AQ101" s="439"/>
      <c r="AR101" s="439"/>
      <c r="AS101" s="439"/>
      <c r="AT101" s="439"/>
      <c r="AU101" s="439"/>
      <c r="AV101" s="439"/>
      <c r="AW101" s="439"/>
      <c r="AX101" s="439"/>
      <c r="AY101" s="439"/>
      <c r="AZ101" s="439"/>
      <c r="BA101" s="439"/>
      <c r="BB101" s="439"/>
      <c r="BC101" s="439"/>
      <c r="BD101" s="439"/>
      <c r="BE101" s="439"/>
      <c r="BF101" s="439"/>
      <c r="BG101" s="439"/>
      <c r="BH101" s="439"/>
      <c r="BI101" s="439"/>
      <c r="BJ101" s="439"/>
      <c r="BK101" s="439"/>
      <c r="BL101" s="439"/>
      <c r="BM101" s="439"/>
      <c r="BN101" s="439"/>
      <c r="BO101" s="439"/>
      <c r="BP101" s="439"/>
      <c r="BQ101" s="439"/>
      <c r="BR101" s="439"/>
      <c r="BS101" s="439"/>
      <c r="BT101" s="439"/>
      <c r="BU101" s="439"/>
      <c r="BV101" s="439"/>
      <c r="BW101" s="439"/>
      <c r="BX101" s="439"/>
      <c r="BY101" s="439"/>
      <c r="BZ101" s="439"/>
      <c r="CA101" s="439"/>
      <c r="CB101" s="439"/>
      <c r="CC101" s="439"/>
      <c r="CD101" s="439"/>
      <c r="CE101" s="439"/>
      <c r="CF101" s="439"/>
      <c r="CG101" s="439"/>
      <c r="CH101" s="439"/>
      <c r="CI101" s="439"/>
      <c r="CJ101" s="439"/>
      <c r="CK101" s="439"/>
      <c r="CL101" s="439"/>
      <c r="CM101" s="439"/>
      <c r="CN101" s="439"/>
      <c r="CO101" s="439"/>
      <c r="CP101" s="439"/>
      <c r="CQ101" s="439"/>
      <c r="CR101" s="439"/>
      <c r="CS101" s="439"/>
      <c r="CT101" s="439"/>
      <c r="CU101" s="439"/>
      <c r="CV101" s="439"/>
      <c r="CW101" s="439"/>
      <c r="CX101" s="439"/>
      <c r="CY101" s="439"/>
      <c r="CZ101" s="439"/>
      <c r="DA101" s="439"/>
      <c r="DB101" s="439"/>
      <c r="DC101" s="439"/>
      <c r="DD101" s="439"/>
      <c r="DE101" s="439"/>
      <c r="DF101" s="439"/>
      <c r="DG101" s="439"/>
      <c r="DH101" s="439"/>
      <c r="DI101" s="439"/>
      <c r="DJ101" s="439"/>
      <c r="DK101" s="439"/>
      <c r="DL101" s="439"/>
      <c r="DM101" s="439"/>
      <c r="DN101" s="439"/>
      <c r="DO101" s="439"/>
      <c r="DP101" s="439"/>
      <c r="DQ101" s="439"/>
      <c r="DR101" s="439"/>
      <c r="DS101" s="439"/>
      <c r="DT101" s="439"/>
      <c r="DU101" s="439"/>
      <c r="DV101" s="439"/>
      <c r="DW101" s="439"/>
      <c r="DX101" s="439"/>
      <c r="DY101" s="439"/>
      <c r="DZ101" s="439"/>
      <c r="EA101" s="439"/>
      <c r="EB101" s="439"/>
      <c r="EC101" s="439"/>
      <c r="ED101" s="439"/>
      <c r="EE101" s="439"/>
      <c r="EF101" s="439"/>
      <c r="EG101" s="439"/>
      <c r="EH101" s="439"/>
      <c r="EI101" s="439"/>
      <c r="EJ101" s="439"/>
      <c r="EK101" s="439"/>
      <c r="EL101" s="439"/>
      <c r="EM101" s="439"/>
      <c r="EN101" s="439"/>
      <c r="EO101" s="439"/>
      <c r="EP101" s="439"/>
      <c r="EQ101" s="439"/>
      <c r="ER101" s="439"/>
      <c r="ES101" s="439"/>
      <c r="ET101" s="439"/>
      <c r="EU101" s="439"/>
      <c r="EV101" s="439"/>
      <c r="EW101" s="439"/>
      <c r="EX101" s="393"/>
      <c r="EY101" s="393"/>
      <c r="EZ101" s="789" t="e">
        <f>VLOOKUP($EY101,'NEPC data'!$B85:$M272,5,TRUE)*100</f>
        <v>#N/A</v>
      </c>
      <c r="FA101" s="789" t="e">
        <f>VLOOKUP($EY101,'NEPC data'!$B85:$M272,7,TRUE)*100</f>
        <v>#N/A</v>
      </c>
      <c r="FB101" s="789" t="e">
        <f>VLOOKUP($EY101,'NEPC data'!$B85:$M272,9,TRUE)*100</f>
        <v>#N/A</v>
      </c>
      <c r="FC101" s="789" t="e">
        <f>VLOOKUP($EY101,'NEPC data'!$B85:$M272,10,TRUE)*100</f>
        <v>#N/A</v>
      </c>
      <c r="FD101" s="789" t="e">
        <f>VLOOKUP($EY101,'NEPC data'!$B85:$M272,11,TRUE)*100</f>
        <v>#N/A</v>
      </c>
      <c r="FE101" s="382"/>
      <c r="FF101" s="442"/>
      <c r="FG101" s="442"/>
      <c r="FH101" s="442"/>
      <c r="FI101" s="442"/>
      <c r="FJ101" s="442"/>
      <c r="FK101" s="382"/>
      <c r="FL101" s="442"/>
      <c r="FM101" s="442"/>
    </row>
    <row r="102" spans="1:169" s="15" customFormat="1" ht="12.75" customHeight="1" x14ac:dyDescent="0.2">
      <c r="A102" s="1062" t="s">
        <v>678</v>
      </c>
      <c r="B102" s="1214" t="s">
        <v>320</v>
      </c>
      <c r="C102" s="446">
        <v>39782</v>
      </c>
      <c r="D102" s="447">
        <f>BGI_GOV_CR!D1</f>
        <v>2</v>
      </c>
      <c r="E102" s="448">
        <f>VLOOKUP(AH$8,BGI_GOV_CR!A1:E488,3,FALSE)/1000000</f>
        <v>23.993808250000001</v>
      </c>
      <c r="F102" s="449">
        <f>AH102</f>
        <v>0.67515999999999998</v>
      </c>
      <c r="G102" s="450">
        <f t="array" ref="G102">IF($AJ102=0,"---",(PRODUCT($AH102:AJ102/100+1)-1)*100)</f>
        <v>0.43437275313356061</v>
      </c>
      <c r="H102" s="450">
        <f t="array" ref="H102">IF($AS102=0,"---",(PRODUCT(AH102:AN102/100+1)-1)*100)</f>
        <v>1.8720368836757206</v>
      </c>
      <c r="I102" s="450">
        <f t="array" ref="I102">IF(AS102=0,"---",(GEOMEAN($AH102:AS102/100+1)^12-1)*100)</f>
        <v>3.6605934345248059</v>
      </c>
      <c r="J102" s="450">
        <f t="array" ref="J102">IF(BE102=0,"---",(GEOMEAN($AH102:BE102/100+1)^12-1)*100)</f>
        <v>1.3225127011850413</v>
      </c>
      <c r="K102" s="450">
        <f t="array" ref="K102">IF(BQ102=0,"---",(GEOMEAN($AH102:BQ102/100+1)^12-1)*100)</f>
        <v>2.2604474523789442</v>
      </c>
      <c r="L102" s="450">
        <f t="array" ref="L102">IF(CC102=0,"---",(GEOMEAN($AH102:CC102/100+1)^12-1)*100)</f>
        <v>2.7277534950473026</v>
      </c>
      <c r="M102" s="450">
        <f t="array" ref="M102">IF(CO102=0,"---",(GEOMEAN($AH102:CO102/100+1)^12-1)*100)</f>
        <v>3.7892826933466406</v>
      </c>
      <c r="N102" s="450" t="str">
        <f t="array" ref="N102">IF(DM102=0,"---",(GEOMEAN($AH102:DM102/100+1)^12-1)*100)</f>
        <v>---</v>
      </c>
      <c r="O102" s="450" t="str">
        <f t="array" ref="O102">IF(EK102=0,"---",(GEOMEAN($AH102:EK102/100+1)^12-1)*100)</f>
        <v>---</v>
      </c>
      <c r="P102" s="450" t="str">
        <f t="array" ref="P102">IF(EW102=0,"---",(GEOMEAN($AH102:EW102/100+1)^12-1)*100)</f>
        <v>---</v>
      </c>
      <c r="Q102" s="451">
        <f t="array" ref="Q102">(GEOMEAN(BGI_GOV_CR!B$403:B471/100+1)^12-1)*100</f>
        <v>5.0065246968172827</v>
      </c>
      <c r="R102" s="452">
        <f>IF(F102="---","---",(F102-F$103)*100)</f>
        <v>-2.3179999999999978</v>
      </c>
      <c r="S102" s="452">
        <f>IF(G102="---","---",(G102-G$103)*100)</f>
        <v>2.736851724121081</v>
      </c>
      <c r="T102" s="452">
        <f>IF(H102="---","---",(H102-H$103)*100)</f>
        <v>6.8994645338160687</v>
      </c>
      <c r="U102" s="452">
        <f>IF(I102="---","---",(I102-I$103)*100)</f>
        <v>11.201094095714126</v>
      </c>
      <c r="V102" s="452">
        <f>IF(J102="---","---",(J102-J$96)*100)</f>
        <v>-18.957063883879854</v>
      </c>
      <c r="W102" s="452">
        <f>IF(K102="---","---",(K102-K$103)*100)</f>
        <v>11.209398856866226</v>
      </c>
      <c r="X102" s="452">
        <f>IF(L102="---","---",(L102-L$96)*100)</f>
        <v>-60.971033739640745</v>
      </c>
      <c r="Y102" s="452">
        <f>IF(M102="---","---",(M102-M$103)*100)</f>
        <v>8.7316094149803014</v>
      </c>
      <c r="Z102" s="452" t="str">
        <f>IF(N102="---","---",(N102-N$103)*100)</f>
        <v>---</v>
      </c>
      <c r="AA102" s="452" t="str">
        <f>IF(O102="---","---",(O102-O$103)*100)</f>
        <v>---</v>
      </c>
      <c r="AB102" s="452" t="str">
        <f>IF(P102="---","---",(P102-P$103)*100)</f>
        <v>---</v>
      </c>
      <c r="AC102" s="453">
        <f>(Q102-AF102)*100</f>
        <v>9.9525994391158612</v>
      </c>
      <c r="AD102" s="454"/>
      <c r="AE102" s="477"/>
      <c r="AF102" s="432">
        <f t="array" ref="AF102">(GEOMEAN(Index_Returns!Y403:Y471/100+1)^12-1)*100</f>
        <v>4.9069987024261241</v>
      </c>
      <c r="AG102" s="418" t="str">
        <f>IF(I102="---","&lt; 1 Year","---")</f>
        <v>---</v>
      </c>
      <c r="AH102" s="482">
        <f>VLOOKUP(AH$8,BGI_GOV_CR!$A$1:$E$488,2,FALSE)</f>
        <v>0.67515999999999998</v>
      </c>
      <c r="AI102" s="482">
        <f>VLOOKUP(AI$8,BGI_GOV_CR!$A$1:$E$488,2,FALSE)</f>
        <v>-0.22231999999999999</v>
      </c>
      <c r="AJ102" s="482">
        <f>VLOOKUP(AJ$8,BGI_GOV_CR!$A$1:$E$488,2,FALSE)</f>
        <v>-1.6889999999999999E-2</v>
      </c>
      <c r="AK102" s="482">
        <f>VLOOKUP(AK$8,BGI_GOV_CR!$A$1:$E$488,2,FALSE)</f>
        <v>0.79088999999999998</v>
      </c>
      <c r="AL102" s="482">
        <f>VLOOKUP(AL$8,BGI_GOV_CR!$A$1:$E$488,2,FALSE)</f>
        <v>0.50890999999999997</v>
      </c>
      <c r="AM102" s="482">
        <f>VLOOKUP(AM$8,BGI_GOV_CR!$A$1:$E$488,2,FALSE)</f>
        <v>-0.28449999999999998</v>
      </c>
      <c r="AN102" s="482">
        <f>VLOOKUP(AN$8,BGI_GOV_CR!$A$1:$E$488,2,FALSE)</f>
        <v>0.41165000000000002</v>
      </c>
      <c r="AO102" s="482">
        <f>VLOOKUP(AO$8,BGI_GOV_CR!$A$1:$E$488,2,FALSE)</f>
        <v>0.93315000000000003</v>
      </c>
      <c r="AP102" s="482">
        <f>VLOOKUP(AP$8,BGI_GOV_CR!$A$1:$E$488,2,FALSE)</f>
        <v>-0.62072000000000005</v>
      </c>
      <c r="AQ102" s="482">
        <f>VLOOKUP(AQ$8,BGI_GOV_CR!$A$1:$E$488,2,FALSE)</f>
        <v>-3.4849999999999999E-2</v>
      </c>
      <c r="AR102" s="482">
        <f>VLOOKUP(AR$8,BGI_GOV_CR!$A$1:$E$488,2,FALSE)</f>
        <v>0.64861999999999997</v>
      </c>
      <c r="AS102" s="482">
        <f>VLOOKUP(AS$8,BGI_GOV_CR!$A$1:$E$488,2,FALSE)</f>
        <v>0.82601000000000002</v>
      </c>
      <c r="AT102" s="482">
        <f>VLOOKUP(AT$8,BGI_GOV_CR!$A$1:$E$488,2,FALSE)</f>
        <v>-0.48142000000000001</v>
      </c>
      <c r="AU102" s="482">
        <f>VLOOKUP(AU$8,BGI_GOV_CR!$A$1:$E$488,2,FALSE)</f>
        <v>0.29415999999999998</v>
      </c>
      <c r="AV102" s="482">
        <f>VLOOKUP(AV$8,BGI_GOV_CR!$A$1:$E$488,2,FALSE)</f>
        <v>-1.16473</v>
      </c>
      <c r="AW102" s="482">
        <f>VLOOKUP(AW$8,BGI_GOV_CR!$A$1:$E$488,2,FALSE)</f>
        <v>-1.11694</v>
      </c>
      <c r="AX102" s="482">
        <f>VLOOKUP(AX$8,BGI_GOV_CR!$A$1:$E$488,2,FALSE)</f>
        <v>0.63563000000000003</v>
      </c>
      <c r="AY102" s="482">
        <f>VLOOKUP(AY$8,BGI_GOV_CR!$A$1:$E$488,2,FALSE)</f>
        <v>0.13586999999999999</v>
      </c>
      <c r="AZ102" s="482">
        <f>VLOOKUP(AZ$8,BGI_GOV_CR!$A$1:$E$488,2,FALSE)</f>
        <v>0.49098000000000003</v>
      </c>
      <c r="BA102" s="482">
        <f>VLOOKUP(BA$8,BGI_GOV_CR!$A$1:$E$488,2,FALSE)</f>
        <v>-0.35804000000000002</v>
      </c>
      <c r="BB102" s="482">
        <f>VLOOKUP(BB$8,BGI_GOV_CR!$A$1:$E$488,2,FALSE)</f>
        <v>-8.8870000000000005E-2</v>
      </c>
      <c r="BC102" s="482">
        <f>VLOOKUP(BC$8,BGI_GOV_CR!$A$1:$E$488,2,FALSE)</f>
        <v>0.30908999999999998</v>
      </c>
      <c r="BD102" s="482">
        <f>VLOOKUP(BD$8,BGI_GOV_CR!$A$1:$E$488,2,FALSE)</f>
        <v>0.1469</v>
      </c>
      <c r="BE102" s="482">
        <f>VLOOKUP(BE$8,BGI_GOV_CR!$A$1:$E$488,2,FALSE)</f>
        <v>0.24947</v>
      </c>
      <c r="BF102" s="482">
        <f>VLOOKUP(BF$8,BGI_GOV_CR!$A$1:$E$488,2,FALSE)</f>
        <v>0.20269999999999999</v>
      </c>
      <c r="BG102" s="482">
        <f>VLOOKUP(BG$8,BGI_GOV_CR!$A$1:$E$488,2,FALSE)</f>
        <v>0.98</v>
      </c>
      <c r="BH102" s="482">
        <f>VLOOKUP(BH$8,BGI_GOV_CR!$A$1:$E$488,2,FALSE)</f>
        <v>8.0310000000000006E-2</v>
      </c>
      <c r="BI102" s="482">
        <f>VLOOKUP(BI$8,BGI_GOV_CR!$A$1:$E$488,2,FALSE)</f>
        <v>0.48881999999999998</v>
      </c>
      <c r="BJ102" s="482">
        <f>VLOOKUP(BJ$8,BGI_GOV_CR!$A$1:$E$488,2,FALSE)</f>
        <v>0.92844000000000004</v>
      </c>
      <c r="BK102" s="482">
        <f>VLOOKUP(BK$8,BGI_GOV_CR!$A$1:$E$488,2,FALSE)</f>
        <v>-0.36660999999999999</v>
      </c>
      <c r="BL102" s="482">
        <f>VLOOKUP(BL$8,BGI_GOV_CR!$A$1:$E$488,2,FALSE)</f>
        <v>-2.5739999999999999E-2</v>
      </c>
      <c r="BM102" s="482">
        <f>VLOOKUP(BM$8,BGI_GOV_CR!$A$1:$E$488,2,FALSE)</f>
        <v>1.0358400000000001</v>
      </c>
      <c r="BN102" s="482">
        <f>VLOOKUP(BN$8,BGI_GOV_CR!$A$1:$E$488,2,FALSE)</f>
        <v>0.75705999999999996</v>
      </c>
      <c r="BO102" s="482">
        <f>VLOOKUP(BO$8,BGI_GOV_CR!$A$1:$E$488,2,FALSE)</f>
        <v>-0.19653000000000001</v>
      </c>
      <c r="BP102" s="482">
        <f>VLOOKUP(BP$8,BGI_GOV_CR!$A$1:$E$488,2,FALSE)</f>
        <v>0.30897999999999998</v>
      </c>
      <c r="BQ102" s="482">
        <f>VLOOKUP(BQ$8,BGI_GOV_CR!$A$1:$E$488,2,FALSE)</f>
        <v>-9.5070000000000002E-2</v>
      </c>
      <c r="BR102" s="482">
        <f>VLOOKUP(BR$8,BGI_GOV_CR!$A$1:$E$488,2,FALSE)</f>
        <v>1.0796600000000001</v>
      </c>
      <c r="BS102" s="482">
        <f>VLOOKUP(BS$8,BGI_GOV_CR!$A$1:$E$488,2,FALSE)</f>
        <v>1.4431499999999999</v>
      </c>
      <c r="BT102" s="482">
        <f>VLOOKUP(BT$8,BGI_GOV_CR!$A$1:$E$488,2,FALSE)</f>
        <v>-0.17135</v>
      </c>
      <c r="BU102" s="482">
        <f>VLOOKUP(BU$8,BGI_GOV_CR!$A$1:$E$488,2,FALSE)</f>
        <v>1.15574</v>
      </c>
      <c r="BV102" s="482">
        <f>VLOOKUP(BV$8,BGI_GOV_CR!$A$1:$E$488,2,FALSE)</f>
        <v>1.1454</v>
      </c>
      <c r="BW102" s="482">
        <f>VLOOKUP(BW$8,BGI_GOV_CR!$A$1:$E$488,2,FALSE)</f>
        <v>-1.426E-2</v>
      </c>
      <c r="BX102" s="482">
        <f>VLOOKUP(BX$8,BGI_GOV_CR!$A$1:$E$488,2,FALSE)</f>
        <v>-1.17E-2</v>
      </c>
      <c r="BY102" s="482">
        <f>VLOOKUP(BY$8,BGI_GOV_CR!$A$1:$E$488,2,FALSE)</f>
        <v>0.39606000000000002</v>
      </c>
      <c r="BZ102" s="482">
        <f>VLOOKUP(BZ$8,BGI_GOV_CR!$A$1:$E$488,2,FALSE)</f>
        <v>-1.23275</v>
      </c>
      <c r="CA102" s="482">
        <f>VLOOKUP(CA$8,BGI_GOV_CR!$A$1:$E$488,2,FALSE)</f>
        <v>-0.65651000000000004</v>
      </c>
      <c r="CB102" s="482">
        <f>VLOOKUP(CB$8,BGI_GOV_CR!$A$1:$E$488,2,FALSE)</f>
        <v>0.49091000000000001</v>
      </c>
      <c r="CC102" s="482">
        <f>VLOOKUP(CC$8,BGI_GOV_CR!$A$1:$E$488,2,FALSE)</f>
        <v>0.47699999999999998</v>
      </c>
      <c r="CD102" s="482">
        <f>VLOOKUP(CD$8,BGI_GOV_CR!$A$1:$E$488,2,FALSE)</f>
        <v>1.1819999999999999</v>
      </c>
      <c r="CE102" s="482">
        <f>VLOOKUP(CE$8,BGI_GOV_CR!$A$1:$E$488,2,FALSE)</f>
        <v>1.1040000000000001</v>
      </c>
      <c r="CF102" s="482">
        <f>VLOOKUP(CF$8,BGI_GOV_CR!$A$1:$E$488,2,FALSE)</f>
        <v>1.3520000000000001</v>
      </c>
      <c r="CG102" s="482">
        <f>VLOOKUP(CG$8,BGI_GOV_CR!$A$1:$E$488,2,FALSE)</f>
        <v>0.71399999999999997</v>
      </c>
      <c r="CH102" s="482">
        <f>VLOOKUP(CH$8,BGI_GOV_CR!$A$1:$E$488,2,FALSE)</f>
        <v>0.875</v>
      </c>
      <c r="CI102" s="482">
        <f>VLOOKUP(CI$8,BGI_GOV_CR!$A$1:$E$488,2,FALSE)</f>
        <v>-0.29099999999999998</v>
      </c>
      <c r="CJ102" s="482">
        <f>VLOOKUP(CJ$8,BGI_GOV_CR!$A$1:$E$488,2,FALSE)</f>
        <v>0.439</v>
      </c>
      <c r="CK102" s="482">
        <f>VLOOKUP(CK$8,BGI_GOV_CR!$A$1:$E$488,2,FALSE)</f>
        <v>1.3939999999999999</v>
      </c>
      <c r="CL102" s="482">
        <f>VLOOKUP(CL$8,BGI_GOV_CR!$A$1:$E$488,2,FALSE)</f>
        <v>-1.5169999999999999</v>
      </c>
      <c r="CM102" s="482">
        <f>VLOOKUP(CM$8,BGI_GOV_CR!$A$1:$E$488,2,FALSE)</f>
        <v>1.3460000000000001</v>
      </c>
      <c r="CN102" s="482">
        <f>VLOOKUP(CN$8,BGI_GOV_CR!$A$1:$E$488,2,FALSE)</f>
        <v>0.44800000000000001</v>
      </c>
      <c r="CO102" s="482">
        <f>VLOOKUP(CO$8,BGI_GOV_CR!$A$1:$E$488,2,FALSE)</f>
        <v>0.85</v>
      </c>
      <c r="CP102" s="482">
        <f>VLOOKUP(CP$8,BGI_GOV_CR!$A$1:$E$488,2,FALSE)</f>
        <v>1</v>
      </c>
      <c r="CQ102" s="482">
        <f>VLOOKUP(CQ$8,BGI_GOV_CR!$A$1:$E$488,2,FALSE)</f>
        <v>1.36</v>
      </c>
      <c r="CR102" s="482">
        <f>VLOOKUP(CR$8,BGI_GOV_CR!$A$1:$E$488,2,FALSE)</f>
        <v>0.39</v>
      </c>
      <c r="CS102" s="482">
        <f>VLOOKUP(CS$8,BGI_GOV_CR!$A$1:$E$488,2,FALSE)</f>
        <v>0.86</v>
      </c>
      <c r="CT102" s="482">
        <f>VLOOKUP(CT$8,BGI_GOV_CR!$A$1:$E$488,2,FALSE)</f>
        <v>0.48</v>
      </c>
      <c r="CU102" s="482">
        <f>VLOOKUP(CU$8,BGI_GOV_CR!$A$1:$E$488,2,FALSE)</f>
        <v>0.93</v>
      </c>
      <c r="CV102" s="482">
        <f>VLOOKUP(CV$8,BGI_GOV_CR!$A$1:$E$488,2,FALSE)</f>
        <v>-0.62</v>
      </c>
      <c r="CW102" s="482">
        <f>VLOOKUP(CW$8,BGI_GOV_CR!$A$1:$E$488,2,FALSE)</f>
        <v>-0.38</v>
      </c>
      <c r="CX102" s="482">
        <f>VLOOKUP(CX$8,BGI_GOV_CR!$A$1:$E$488,2,FALSE)</f>
        <v>2.94</v>
      </c>
      <c r="CY102" s="482">
        <f>VLOOKUP(CY$8,BGI_GOV_CR!$A$1:$E$488,2,FALSE)</f>
        <v>3.33</v>
      </c>
      <c r="CZ102" s="482">
        <f>VLOOKUP(CZ$8,BGI_GOV_CR!$A$1:$E$488,2,FALSE)</f>
        <v>0</v>
      </c>
      <c r="DA102" s="482">
        <f>VLOOKUP(DA$8,BGI_GOV_CR!$A$1:$E$488,2,FALSE)</f>
        <v>0</v>
      </c>
      <c r="DB102" s="482">
        <f>VLOOKUP(DB$8,BGI_GOV_CR!$A$1:$E$488,2,FALSE)</f>
        <v>0</v>
      </c>
      <c r="DC102" s="482">
        <f>VLOOKUP(DC$8,BGI_GOV_CR!$A$1:$E$488,2,FALSE)</f>
        <v>0</v>
      </c>
      <c r="DD102" s="482">
        <f>VLOOKUP(DD$8,BGI_GOV_CR!$A$1:$E$488,2,FALSE)</f>
        <v>0</v>
      </c>
      <c r="DE102" s="482">
        <f>VLOOKUP(DE$8,BGI_GOV_CR!$A$1:$E$488,2,FALSE)</f>
        <v>0</v>
      </c>
      <c r="DF102" s="482">
        <f>VLOOKUP(DF$8,BGI_GOV_CR!$A$1:$E$488,2,FALSE)</f>
        <v>0</v>
      </c>
      <c r="DG102" s="482">
        <f>VLOOKUP(DG$8,BGI_GOV_CR!$A$1:$E$488,2,FALSE)</f>
        <v>0</v>
      </c>
      <c r="DH102" s="482">
        <f>VLOOKUP(DH$8,BGI_GOV_CR!$A$1:$E$488,2,FALSE)</f>
        <v>0</v>
      </c>
      <c r="DI102" s="482">
        <f>VLOOKUP(DI$8,BGI_GOV_CR!$A$1:$E$488,2,FALSE)</f>
        <v>0</v>
      </c>
      <c r="DJ102" s="482">
        <f>VLOOKUP(DJ$8,BGI_GOV_CR!$A$1:$E$488,2,FALSE)</f>
        <v>0</v>
      </c>
      <c r="DK102" s="482">
        <f>VLOOKUP(DK$8,BGI_GOV_CR!$A$1:$E$488,2,FALSE)</f>
        <v>0</v>
      </c>
      <c r="DL102" s="482">
        <f>VLOOKUP(DL$8,BGI_GOV_CR!$A$1:$E$488,2,FALSE)</f>
        <v>0</v>
      </c>
      <c r="DM102" s="482">
        <f>VLOOKUP(DM$8,BGI_GOV_CR!$A$1:$E$488,2,FALSE)</f>
        <v>0</v>
      </c>
      <c r="DN102" s="482">
        <f>VLOOKUP(DN$8,BGI_GOV_CR!$A$1:$E$488,2,FALSE)</f>
        <v>0</v>
      </c>
      <c r="DO102" s="482">
        <f>VLOOKUP(DO$8,BGI_GOV_CR!$A$1:$E$488,2,FALSE)</f>
        <v>0</v>
      </c>
      <c r="DP102" s="482">
        <f>VLOOKUP(DP$8,BGI_GOV_CR!$A$1:$E$488,2,FALSE)</f>
        <v>0</v>
      </c>
      <c r="DQ102" s="482">
        <f>VLOOKUP(DQ$8,BGI_GOV_CR!$A$1:$E$488,2,FALSE)</f>
        <v>0</v>
      </c>
      <c r="DR102" s="482">
        <f>VLOOKUP(DR$8,BGI_GOV_CR!$A$1:$E$488,2,FALSE)</f>
        <v>0</v>
      </c>
      <c r="DS102" s="482">
        <f>VLOOKUP(DS$8,BGI_GOV_CR!$A$1:$E$488,2,FALSE)</f>
        <v>0</v>
      </c>
      <c r="DT102" s="482">
        <f>VLOOKUP(DT$8,BGI_GOV_CR!$A$1:$E$488,2,FALSE)</f>
        <v>0</v>
      </c>
      <c r="DU102" s="482">
        <f>VLOOKUP(DU$8,BGI_GOV_CR!$A$1:$E$488,2,FALSE)</f>
        <v>0</v>
      </c>
      <c r="DV102" s="482">
        <f>VLOOKUP(DV$8,BGI_GOV_CR!$A$1:$E$488,2,FALSE)</f>
        <v>0</v>
      </c>
      <c r="DW102" s="482">
        <f>VLOOKUP(DW$8,BGI_GOV_CR!$A$1:$E$488,2,FALSE)</f>
        <v>0</v>
      </c>
      <c r="DX102" s="482">
        <f>VLOOKUP(DX$8,BGI_GOV_CR!$A$1:$E$488,2,FALSE)</f>
        <v>0</v>
      </c>
      <c r="DY102" s="482">
        <f>VLOOKUP(DY$8,BGI_GOV_CR!$A$1:$E$488,2,FALSE)</f>
        <v>0</v>
      </c>
      <c r="DZ102" s="482">
        <f>VLOOKUP(DZ$8,BGI_GOV_CR!$A$1:$E$488,2,FALSE)</f>
        <v>0</v>
      </c>
      <c r="EA102" s="482">
        <f>VLOOKUP(EA$8,BGI_GOV_CR!$A$1:$E$488,2,FALSE)</f>
        <v>0</v>
      </c>
      <c r="EB102" s="482">
        <f>VLOOKUP(EB$8,BGI_GOV_CR!$A$1:$E$488,2,FALSE)</f>
        <v>0</v>
      </c>
      <c r="EC102" s="482">
        <f>VLOOKUP(EC$8,BGI_GOV_CR!$A$1:$E$488,2,FALSE)</f>
        <v>0</v>
      </c>
      <c r="ED102" s="482">
        <f>VLOOKUP(ED$8,BGI_GOV_CR!$A$1:$E$488,2,FALSE)</f>
        <v>0</v>
      </c>
      <c r="EE102" s="482">
        <f>VLOOKUP(EE$8,BGI_GOV_CR!$A$1:$E$488,2,FALSE)</f>
        <v>0</v>
      </c>
      <c r="EF102" s="482">
        <f>VLOOKUP(EF$8,BGI_GOV_CR!$A$1:$E$488,2,FALSE)</f>
        <v>0</v>
      </c>
      <c r="EG102" s="482">
        <f>VLOOKUP(EG$8,BGI_GOV_CR!$A$1:$E$488,2,FALSE)</f>
        <v>0</v>
      </c>
      <c r="EH102" s="482">
        <f>VLOOKUP(EH$8,BGI_GOV_CR!$A$1:$E$488,2,FALSE)</f>
        <v>0</v>
      </c>
      <c r="EI102" s="482">
        <f>VLOOKUP(EI$8,BGI_GOV_CR!$A$1:$E$488,2,FALSE)</f>
        <v>0</v>
      </c>
      <c r="EJ102" s="482">
        <f>VLOOKUP(EJ$8,BGI_GOV_CR!$A$1:$E$488,2,FALSE)</f>
        <v>0</v>
      </c>
      <c r="EK102" s="482">
        <f>VLOOKUP(EK$8,BGI_GOV_CR!$A$1:$E$488,2,FALSE)</f>
        <v>0</v>
      </c>
      <c r="EL102" s="482">
        <f>VLOOKUP(EL$8,BGI_GOV_CR!$A$1:$E$488,2,FALSE)</f>
        <v>0</v>
      </c>
      <c r="EM102" s="482">
        <f>VLOOKUP(EM$8,BGI_GOV_CR!$A$1:$E$488,2,FALSE)</f>
        <v>0</v>
      </c>
      <c r="EN102" s="482">
        <f>VLOOKUP(EN$8,BGI_GOV_CR!$A$1:$E$488,2,FALSE)</f>
        <v>0</v>
      </c>
      <c r="EO102" s="482">
        <f>VLOOKUP(EO$8,BGI_GOV_CR!$A$1:$E$488,2,FALSE)</f>
        <v>0</v>
      </c>
      <c r="EP102" s="482">
        <f>VLOOKUP(EP$8,BGI_GOV_CR!$A$1:$E$488,2,FALSE)</f>
        <v>0</v>
      </c>
      <c r="EQ102" s="482">
        <f>VLOOKUP(EQ$8,BGI_GOV_CR!$A$1:$E$488,2,FALSE)</f>
        <v>0</v>
      </c>
      <c r="ER102" s="482">
        <f>VLOOKUP(ER$8,BGI_GOV_CR!$A$1:$E$488,2,FALSE)</f>
        <v>0</v>
      </c>
      <c r="ES102" s="482">
        <f>VLOOKUP(ES$8,BGI_GOV_CR!$A$1:$E$488,2,FALSE)</f>
        <v>0</v>
      </c>
      <c r="ET102" s="482">
        <f>VLOOKUP(ET$8,BGI_GOV_CR!$A$1:$E$488,2,FALSE)</f>
        <v>0</v>
      </c>
      <c r="EU102" s="482">
        <f>VLOOKUP(EU$8,BGI_GOV_CR!$A$1:$E$488,2,FALSE)</f>
        <v>0</v>
      </c>
      <c r="EV102" s="482">
        <f>VLOOKUP(EV$8,BGI_GOV_CR!$A$1:$E$488,2,FALSE)</f>
        <v>0</v>
      </c>
      <c r="EW102" s="482">
        <f>VLOOKUP(EW$8,BGI_GOV_CR!$A$1:$E$488,2,FALSE)</f>
        <v>0</v>
      </c>
      <c r="EX102" s="515" t="s">
        <v>402</v>
      </c>
      <c r="EY102" s="1066" t="s">
        <v>517</v>
      </c>
      <c r="EZ102" s="789">
        <f>VLOOKUP($EY102,'NEPC data'!$B81:$M268,5,TRUE)*100</f>
        <v>-7.6922089199993327E-2</v>
      </c>
      <c r="FA102" s="789">
        <f>VLOOKUP($EY102,'NEPC data'!$B81:$M268,7,TRUE)*100</f>
        <v>0</v>
      </c>
      <c r="FB102" s="789">
        <f>VLOOKUP($EY102,'NEPC data'!$B81:$M268,9,TRUE)*100</f>
        <v>0</v>
      </c>
      <c r="FC102" s="789">
        <f>VLOOKUP($EY102,'NEPC data'!$B81:$M268,10,TRUE)*100</f>
        <v>0</v>
      </c>
      <c r="FD102" s="789">
        <f>VLOOKUP($EY102,'NEPC data'!$B81:$M268,11,TRUE)*100</f>
        <v>0</v>
      </c>
      <c r="FE102" s="418"/>
      <c r="FF102" s="441">
        <f>IF(G102="---","-",ABS(EZ102-G102))</f>
        <v>0.51129484233355393</v>
      </c>
      <c r="FG102" s="441">
        <f>IF(I102="---","-",ABS(FA102-I102))</f>
        <v>3.6605934345248059</v>
      </c>
      <c r="FH102" s="441">
        <f>IF(K102="---","-",ABS(FB102-K102))</f>
        <v>2.2604474523789442</v>
      </c>
      <c r="FI102" s="441">
        <f>IF(M102="---","-",ABS(FC102-M102))</f>
        <v>3.7892826933466406</v>
      </c>
      <c r="FJ102" s="441">
        <f>IF(Q102="---","-",ABS(FD102-Q102))</f>
        <v>5.0065246968172827</v>
      </c>
      <c r="FK102" s="418"/>
      <c r="FL102" s="467"/>
      <c r="FM102" s="467"/>
    </row>
    <row r="103" spans="1:169" s="1028" customFormat="1" ht="12.75" customHeight="1" x14ac:dyDescent="0.2">
      <c r="A103" s="1232" t="s">
        <v>403</v>
      </c>
      <c r="B103" s="1024"/>
      <c r="C103" s="1217"/>
      <c r="D103" s="1218"/>
      <c r="E103" s="1219"/>
      <c r="F103" s="1220">
        <f>AH103</f>
        <v>0.69833999999999996</v>
      </c>
      <c r="G103" s="1023">
        <f t="array" ref="G103">IF($AJ103=0,"---",(PRODUCT($AH103:AJ103/100+1)-1)*100)</f>
        <v>0.4070042358923498</v>
      </c>
      <c r="H103" s="432">
        <f t="array" ref="H103">IF($AS103=0,"---",(PRODUCT(AH103:AN103/100+1)-1)*100)</f>
        <v>1.8030422383375599</v>
      </c>
      <c r="I103" s="1023">
        <f t="array" ref="I103">IF(AS103=0,"---",(GEOMEAN($AH103:AS103/100+1)^12-1)*100)</f>
        <v>3.5485824935676646</v>
      </c>
      <c r="J103" s="1023">
        <f t="array" ref="J103">IF(BE103=0,"---",(GEOMEAN($AH103:BE103/100+1)^12-1)*100)</f>
        <v>1.217664730417356</v>
      </c>
      <c r="K103" s="1023">
        <f t="array" ref="K103">IF(BQ103=0,"---",(GEOMEAN($AH103:BQ103/100+1)^12-1)*100)</f>
        <v>2.1483534638102819</v>
      </c>
      <c r="L103" s="1023">
        <f t="array" ref="L103">IF(CC103=0,"---",(GEOMEAN($AH103:CC103/100+1)^12-1)*100)</f>
        <v>2.611478230345754</v>
      </c>
      <c r="M103" s="1023">
        <f t="array" ref="M103">IF(CO103=0,"---",(GEOMEAN($AH103:CO103/100+1)^12-1)*100)</f>
        <v>3.7019665991968376</v>
      </c>
      <c r="N103" s="1023" t="str">
        <f t="array" ref="N103">IF(DM103=0,"---",(GEOMEAN($AH103:DM103/100+1)^12-1)*100)</f>
        <v>---</v>
      </c>
      <c r="O103" s="1023" t="str">
        <f t="array" ref="O103">IF(EK103=0,"---",(GEOMEAN($AH103:EK103/100+1)^12-1)*100)</f>
        <v>---</v>
      </c>
      <c r="P103" s="1023" t="str">
        <f t="array" ref="P103">IF(EW103=0,"---",(GEOMEAN($AH103:EW103/100+1)^12-1)*100)</f>
        <v>---</v>
      </c>
      <c r="Q103" s="1221" t="s">
        <v>34</v>
      </c>
      <c r="R103" s="1218"/>
      <c r="S103" s="1218"/>
      <c r="T103" s="1218"/>
      <c r="U103" s="1218"/>
      <c r="V103" s="1218"/>
      <c r="W103" s="1218"/>
      <c r="X103" s="1218"/>
      <c r="Y103" s="1218"/>
      <c r="Z103" s="1218"/>
      <c r="AA103" s="1218"/>
      <c r="AB103" s="1218"/>
      <c r="AC103" s="1222"/>
      <c r="AD103" s="1233"/>
      <c r="AF103" s="1027"/>
      <c r="AG103" s="1224"/>
      <c r="AH103" s="1025">
        <f t="shared" ref="AH103:BM103" si="98">VLOOKUP(AH$8,Index,25,FALSE)</f>
        <v>0.69833999999999996</v>
      </c>
      <c r="AI103" s="1025">
        <f t="shared" si="98"/>
        <v>-0.21879000000000001</v>
      </c>
      <c r="AJ103" s="1025">
        <f t="shared" si="98"/>
        <v>-7.0680000000000007E-2</v>
      </c>
      <c r="AK103" s="1025">
        <f t="shared" si="98"/>
        <v>0.78991999999999996</v>
      </c>
      <c r="AL103" s="1025">
        <f t="shared" si="98"/>
        <v>0.51236999999999999</v>
      </c>
      <c r="AM103" s="1025">
        <f t="shared" si="98"/>
        <v>-0.29848000000000002</v>
      </c>
      <c r="AN103" s="1025">
        <f t="shared" si="98"/>
        <v>0.38257999999999998</v>
      </c>
      <c r="AO103" s="1025">
        <f t="shared" si="98"/>
        <v>0.91974999999999996</v>
      </c>
      <c r="AP103" s="1025">
        <f t="shared" si="98"/>
        <v>-0.62927</v>
      </c>
      <c r="AQ103" s="1025">
        <f t="shared" si="98"/>
        <v>-5.8599999999999998E-3</v>
      </c>
      <c r="AR103" s="1025">
        <f t="shared" si="98"/>
        <v>0.61726999999999999</v>
      </c>
      <c r="AS103" s="1025">
        <f t="shared" si="98"/>
        <v>0.80954999999999999</v>
      </c>
      <c r="AT103" s="1025">
        <f t="shared" si="98"/>
        <v>-0.49647999999999998</v>
      </c>
      <c r="AU103" s="1025">
        <f t="shared" si="98"/>
        <v>0.30647999999999997</v>
      </c>
      <c r="AV103" s="1025">
        <f t="shared" si="98"/>
        <v>-1.1954</v>
      </c>
      <c r="AW103" s="1025">
        <f t="shared" si="98"/>
        <v>-1.13246</v>
      </c>
      <c r="AX103" s="1025">
        <f t="shared" si="98"/>
        <v>0.62695999999999996</v>
      </c>
      <c r="AY103" s="1025">
        <f t="shared" si="98"/>
        <v>0.1396</v>
      </c>
      <c r="AZ103" s="1025">
        <f t="shared" si="98"/>
        <v>0.48352000000000001</v>
      </c>
      <c r="BA103" s="1025">
        <f t="shared" si="98"/>
        <v>-0.36366999999999999</v>
      </c>
      <c r="BB103" s="1025">
        <f t="shared" si="98"/>
        <v>-9.8400000000000001E-2</v>
      </c>
      <c r="BC103" s="1025">
        <f t="shared" si="98"/>
        <v>0.30203000000000002</v>
      </c>
      <c r="BD103" s="1025">
        <f t="shared" si="98"/>
        <v>0.1447</v>
      </c>
      <c r="BE103" s="1025">
        <f t="shared" si="98"/>
        <v>0.23680999999999999</v>
      </c>
      <c r="BF103" s="1025">
        <f t="shared" si="98"/>
        <v>0.19419</v>
      </c>
      <c r="BG103" s="1025">
        <f t="shared" si="98"/>
        <v>0.96836999999999995</v>
      </c>
      <c r="BH103" s="1025">
        <f t="shared" si="98"/>
        <v>7.6700000000000004E-2</v>
      </c>
      <c r="BI103" s="1025">
        <f t="shared" si="98"/>
        <v>0.47770000000000001</v>
      </c>
      <c r="BJ103" s="1025">
        <f t="shared" si="98"/>
        <v>0.91896999999999995</v>
      </c>
      <c r="BK103" s="1025">
        <f t="shared" si="98"/>
        <v>-0.35952000000000001</v>
      </c>
      <c r="BL103" s="1025">
        <f t="shared" si="98"/>
        <v>-4.836E-2</v>
      </c>
      <c r="BM103" s="1025">
        <f t="shared" si="98"/>
        <v>1.0217099999999999</v>
      </c>
      <c r="BN103" s="1025">
        <f t="shared" ref="BN103:CS103" si="99">VLOOKUP(BN$8,Index,25,FALSE)</f>
        <v>0.78295000000000003</v>
      </c>
      <c r="BO103" s="1025">
        <f t="shared" si="99"/>
        <v>-0.24357000000000001</v>
      </c>
      <c r="BP103" s="1025">
        <f t="shared" si="99"/>
        <v>0.30318000000000001</v>
      </c>
      <c r="BQ103" s="1025">
        <f t="shared" si="99"/>
        <v>-0.11620999999999999</v>
      </c>
      <c r="BR103" s="1025">
        <f t="shared" si="99"/>
        <v>1.0659099999999999</v>
      </c>
      <c r="BS103" s="1025">
        <f t="shared" si="99"/>
        <v>1.4297299999999999</v>
      </c>
      <c r="BT103" s="1025">
        <f t="shared" si="99"/>
        <v>-0.16439999999999999</v>
      </c>
      <c r="BU103" s="1025">
        <f t="shared" si="99"/>
        <v>1.1444700000000001</v>
      </c>
      <c r="BV103" s="1025">
        <f t="shared" si="99"/>
        <v>1.13334</v>
      </c>
      <c r="BW103" s="1025">
        <f t="shared" si="99"/>
        <v>-2.3050000000000001E-2</v>
      </c>
      <c r="BX103" s="1025">
        <f t="shared" si="99"/>
        <v>-2.666E-2</v>
      </c>
      <c r="BY103" s="1025">
        <f t="shared" si="99"/>
        <v>0.38780999999999999</v>
      </c>
      <c r="BZ103" s="1025">
        <f t="shared" si="99"/>
        <v>-1.2487299999999999</v>
      </c>
      <c r="CA103" s="1025">
        <f t="shared" si="99"/>
        <v>-0.67261000000000004</v>
      </c>
      <c r="CB103" s="1025">
        <f t="shared" si="99"/>
        <v>0.47815000000000002</v>
      </c>
      <c r="CC103" s="1025">
        <f t="shared" si="99"/>
        <v>0.47299999999999998</v>
      </c>
      <c r="CD103" s="1025">
        <f t="shared" si="99"/>
        <v>1.171</v>
      </c>
      <c r="CE103" s="1025">
        <f t="shared" si="99"/>
        <v>1.091</v>
      </c>
      <c r="CF103" s="1025">
        <f t="shared" si="99"/>
        <v>1.363</v>
      </c>
      <c r="CG103" s="1025">
        <f t="shared" si="99"/>
        <v>0.71</v>
      </c>
      <c r="CH103" s="1025">
        <f t="shared" si="99"/>
        <v>0.86899999999999999</v>
      </c>
      <c r="CI103" s="1025">
        <f t="shared" si="99"/>
        <v>-0.28199999999999997</v>
      </c>
      <c r="CJ103" s="1025">
        <f t="shared" si="99"/>
        <v>0.432</v>
      </c>
      <c r="CK103" s="1025">
        <f t="shared" si="99"/>
        <v>1.393</v>
      </c>
      <c r="CL103" s="1025">
        <f t="shared" si="99"/>
        <v>-1.4590000000000001</v>
      </c>
      <c r="CM103" s="1025">
        <f t="shared" si="99"/>
        <v>1.3420000000000001</v>
      </c>
      <c r="CN103" s="1025">
        <f t="shared" si="99"/>
        <v>0.443</v>
      </c>
      <c r="CO103" s="1025">
        <f t="shared" si="99"/>
        <v>0.85399999999999998</v>
      </c>
      <c r="CP103" s="1025">
        <f t="shared" si="99"/>
        <v>0.99099999999999999</v>
      </c>
      <c r="CQ103" s="1025">
        <f t="shared" si="99"/>
        <v>1.375</v>
      </c>
      <c r="CR103" s="1025">
        <f t="shared" si="99"/>
        <v>0.46600000000000003</v>
      </c>
      <c r="CS103" s="1025">
        <f t="shared" si="99"/>
        <v>0.74099999999999999</v>
      </c>
      <c r="CT103" s="1025">
        <f t="shared" ref="CT103:DY103" si="100">VLOOKUP(CT$8,Index,25,FALSE)</f>
        <v>0.45200000000000001</v>
      </c>
      <c r="CU103" s="1025">
        <f t="shared" si="100"/>
        <v>0.94899999999999995</v>
      </c>
      <c r="CV103" s="1025">
        <f t="shared" si="100"/>
        <v>-0.6</v>
      </c>
      <c r="CW103" s="1025">
        <f t="shared" si="100"/>
        <v>-0.39300000000000002</v>
      </c>
      <c r="CX103" s="1025">
        <f t="shared" si="100"/>
        <v>2.9350000000000001</v>
      </c>
      <c r="CY103" s="1025">
        <f t="shared" si="100"/>
        <v>3.27</v>
      </c>
      <c r="CZ103" s="1025">
        <f t="shared" si="100"/>
        <v>0</v>
      </c>
      <c r="DA103" s="1025">
        <f t="shared" si="100"/>
        <v>0</v>
      </c>
      <c r="DB103" s="1025">
        <f t="shared" si="100"/>
        <v>0</v>
      </c>
      <c r="DC103" s="1025">
        <f t="shared" si="100"/>
        <v>0</v>
      </c>
      <c r="DD103" s="1025">
        <f t="shared" si="100"/>
        <v>0</v>
      </c>
      <c r="DE103" s="1025">
        <f t="shared" si="100"/>
        <v>0</v>
      </c>
      <c r="DF103" s="1025">
        <f t="shared" si="100"/>
        <v>0</v>
      </c>
      <c r="DG103" s="1025">
        <f t="shared" si="100"/>
        <v>0</v>
      </c>
      <c r="DH103" s="1025">
        <f t="shared" si="100"/>
        <v>0</v>
      </c>
      <c r="DI103" s="1025">
        <f t="shared" si="100"/>
        <v>0</v>
      </c>
      <c r="DJ103" s="1025">
        <f t="shared" si="100"/>
        <v>0</v>
      </c>
      <c r="DK103" s="1025">
        <f t="shared" si="100"/>
        <v>0</v>
      </c>
      <c r="DL103" s="1025">
        <f t="shared" si="100"/>
        <v>0</v>
      </c>
      <c r="DM103" s="1025">
        <f t="shared" si="100"/>
        <v>0</v>
      </c>
      <c r="DN103" s="1025">
        <f t="shared" si="100"/>
        <v>0</v>
      </c>
      <c r="DO103" s="1025">
        <f t="shared" si="100"/>
        <v>0</v>
      </c>
      <c r="DP103" s="1025">
        <f t="shared" si="100"/>
        <v>0</v>
      </c>
      <c r="DQ103" s="1025">
        <f t="shared" si="100"/>
        <v>0</v>
      </c>
      <c r="DR103" s="1025">
        <f t="shared" si="100"/>
        <v>0</v>
      </c>
      <c r="DS103" s="1025">
        <f t="shared" si="100"/>
        <v>0</v>
      </c>
      <c r="DT103" s="1025">
        <f t="shared" si="100"/>
        <v>0</v>
      </c>
      <c r="DU103" s="1025">
        <f t="shared" si="100"/>
        <v>0</v>
      </c>
      <c r="DV103" s="1025">
        <f t="shared" si="100"/>
        <v>0</v>
      </c>
      <c r="DW103" s="1025">
        <f t="shared" si="100"/>
        <v>0</v>
      </c>
      <c r="DX103" s="1025">
        <f t="shared" si="100"/>
        <v>0</v>
      </c>
      <c r="DY103" s="1025">
        <f t="shared" si="100"/>
        <v>0</v>
      </c>
      <c r="DZ103" s="1025">
        <f t="shared" ref="DZ103:EW103" si="101">VLOOKUP(DZ$8,Index,25,FALSE)</f>
        <v>0</v>
      </c>
      <c r="EA103" s="1025">
        <f t="shared" si="101"/>
        <v>0</v>
      </c>
      <c r="EB103" s="1025">
        <f t="shared" si="101"/>
        <v>0</v>
      </c>
      <c r="EC103" s="1025">
        <f t="shared" si="101"/>
        <v>0</v>
      </c>
      <c r="ED103" s="1025">
        <f t="shared" si="101"/>
        <v>0</v>
      </c>
      <c r="EE103" s="1025">
        <f t="shared" si="101"/>
        <v>0</v>
      </c>
      <c r="EF103" s="1025">
        <f t="shared" si="101"/>
        <v>0</v>
      </c>
      <c r="EG103" s="1025">
        <f t="shared" si="101"/>
        <v>0</v>
      </c>
      <c r="EH103" s="1025">
        <f t="shared" si="101"/>
        <v>0</v>
      </c>
      <c r="EI103" s="1025">
        <f t="shared" si="101"/>
        <v>0</v>
      </c>
      <c r="EJ103" s="1025">
        <f t="shared" si="101"/>
        <v>0</v>
      </c>
      <c r="EK103" s="1025">
        <f t="shared" si="101"/>
        <v>0</v>
      </c>
      <c r="EL103" s="1025">
        <f t="shared" si="101"/>
        <v>0</v>
      </c>
      <c r="EM103" s="1025">
        <f t="shared" si="101"/>
        <v>0</v>
      </c>
      <c r="EN103" s="1025">
        <f t="shared" si="101"/>
        <v>0</v>
      </c>
      <c r="EO103" s="1025">
        <f t="shared" si="101"/>
        <v>0</v>
      </c>
      <c r="EP103" s="1025">
        <f t="shared" si="101"/>
        <v>0</v>
      </c>
      <c r="EQ103" s="1025">
        <f t="shared" si="101"/>
        <v>0</v>
      </c>
      <c r="ER103" s="1025">
        <f t="shared" si="101"/>
        <v>0</v>
      </c>
      <c r="ES103" s="1025">
        <f t="shared" si="101"/>
        <v>0</v>
      </c>
      <c r="ET103" s="1025">
        <f t="shared" si="101"/>
        <v>0</v>
      </c>
      <c r="EU103" s="1025">
        <f t="shared" si="101"/>
        <v>0</v>
      </c>
      <c r="EV103" s="1025">
        <f t="shared" si="101"/>
        <v>0</v>
      </c>
      <c r="EW103" s="1025">
        <f t="shared" si="101"/>
        <v>0</v>
      </c>
      <c r="EX103" s="1230"/>
      <c r="EY103" s="1230"/>
      <c r="EZ103" s="789" t="e">
        <f>VLOOKUP($EY103,'NEPC data'!$B82:$M269,5,TRUE)*100</f>
        <v>#N/A</v>
      </c>
      <c r="FA103" s="789" t="e">
        <f>VLOOKUP($EY103,'NEPC data'!$B82:$M269,7,TRUE)*100</f>
        <v>#N/A</v>
      </c>
      <c r="FB103" s="789" t="e">
        <f>VLOOKUP($EY103,'NEPC data'!$B82:$M269,9,TRUE)*100</f>
        <v>#N/A</v>
      </c>
      <c r="FC103" s="789" t="e">
        <f>VLOOKUP($EY103,'NEPC data'!$B82:$M269,10,TRUE)*100</f>
        <v>#N/A</v>
      </c>
      <c r="FD103" s="789" t="e">
        <f>VLOOKUP($EY103,'NEPC data'!$B82:$M269,11,TRUE)*100</f>
        <v>#N/A</v>
      </c>
      <c r="FE103" s="1024"/>
      <c r="FF103" s="1027"/>
      <c r="FG103" s="1027"/>
      <c r="FH103" s="1027"/>
      <c r="FI103" s="1027"/>
      <c r="FJ103" s="1027"/>
      <c r="FK103" s="1024"/>
      <c r="FL103" s="1027"/>
      <c r="FM103" s="1027"/>
    </row>
    <row r="104" spans="1:169" s="395" customFormat="1" ht="12.75" customHeight="1" x14ac:dyDescent="0.2">
      <c r="A104" s="456"/>
      <c r="B104" s="418"/>
      <c r="C104" s="485"/>
      <c r="D104" s="475"/>
      <c r="E104" s="470"/>
      <c r="F104" s="431"/>
      <c r="G104" s="432"/>
      <c r="H104" s="432"/>
      <c r="I104" s="432"/>
      <c r="J104" s="432"/>
      <c r="K104" s="432"/>
      <c r="L104" s="432"/>
      <c r="M104" s="432"/>
      <c r="N104" s="432"/>
      <c r="O104" s="432"/>
      <c r="P104" s="432"/>
      <c r="Q104" s="468"/>
      <c r="R104" s="249"/>
      <c r="S104" s="249"/>
      <c r="T104" s="249"/>
      <c r="U104" s="249"/>
      <c r="V104" s="249"/>
      <c r="W104" s="249"/>
      <c r="X104" s="249"/>
      <c r="Y104" s="249"/>
      <c r="Z104" s="249"/>
      <c r="AA104" s="249"/>
      <c r="AB104" s="249"/>
      <c r="AC104" s="459"/>
      <c r="AD104" s="463"/>
      <c r="AE104" s="15"/>
      <c r="AF104" s="442"/>
      <c r="AG104" s="486"/>
      <c r="AH104" s="439"/>
      <c r="AI104" s="439"/>
      <c r="AJ104" s="439"/>
      <c r="AK104" s="439"/>
      <c r="AL104" s="439"/>
      <c r="AM104" s="439"/>
      <c r="AN104" s="439"/>
      <c r="AO104" s="439"/>
      <c r="AP104" s="439"/>
      <c r="AQ104" s="439"/>
      <c r="AR104" s="439"/>
      <c r="AS104" s="439"/>
      <c r="AT104" s="439"/>
      <c r="AU104" s="439"/>
      <c r="AV104" s="439"/>
      <c r="AW104" s="439"/>
      <c r="AX104" s="439"/>
      <c r="AY104" s="439"/>
      <c r="AZ104" s="439"/>
      <c r="BA104" s="439"/>
      <c r="BB104" s="439"/>
      <c r="BC104" s="439"/>
      <c r="BD104" s="439"/>
      <c r="BE104" s="439"/>
      <c r="BF104" s="439"/>
      <c r="BG104" s="439"/>
      <c r="BH104" s="439"/>
      <c r="BI104" s="439"/>
      <c r="BJ104" s="439"/>
      <c r="BK104" s="439"/>
      <c r="BL104" s="439"/>
      <c r="BM104" s="439"/>
      <c r="BN104" s="439"/>
      <c r="BO104" s="439"/>
      <c r="BP104" s="439"/>
      <c r="BQ104" s="439"/>
      <c r="BR104" s="439"/>
      <c r="BS104" s="439"/>
      <c r="BT104" s="439"/>
      <c r="BU104" s="439"/>
      <c r="BV104" s="439"/>
      <c r="BW104" s="439"/>
      <c r="BX104" s="439"/>
      <c r="BY104" s="439"/>
      <c r="BZ104" s="439"/>
      <c r="CA104" s="439"/>
      <c r="CB104" s="439"/>
      <c r="CC104" s="439"/>
      <c r="CD104" s="439"/>
      <c r="CE104" s="439"/>
      <c r="CF104" s="439"/>
      <c r="CG104" s="439"/>
      <c r="CH104" s="439"/>
      <c r="CI104" s="439"/>
      <c r="CJ104" s="439"/>
      <c r="CK104" s="439"/>
      <c r="CL104" s="439"/>
      <c r="CM104" s="439"/>
      <c r="CN104" s="439"/>
      <c r="CO104" s="439"/>
      <c r="CP104" s="439"/>
      <c r="CQ104" s="439"/>
      <c r="CR104" s="439"/>
      <c r="CS104" s="439"/>
      <c r="CT104" s="439"/>
      <c r="CU104" s="439"/>
      <c r="CV104" s="439"/>
      <c r="CW104" s="439"/>
      <c r="CX104" s="439"/>
      <c r="CY104" s="439"/>
      <c r="CZ104" s="439"/>
      <c r="DA104" s="439"/>
      <c r="DB104" s="439"/>
      <c r="DC104" s="439"/>
      <c r="DD104" s="439"/>
      <c r="DE104" s="439"/>
      <c r="DF104" s="439"/>
      <c r="DG104" s="439"/>
      <c r="DH104" s="439"/>
      <c r="DI104" s="439"/>
      <c r="DJ104" s="439"/>
      <c r="DK104" s="439"/>
      <c r="DL104" s="439"/>
      <c r="DM104" s="439"/>
      <c r="DN104" s="439"/>
      <c r="DO104" s="439"/>
      <c r="DP104" s="439"/>
      <c r="DQ104" s="439"/>
      <c r="DR104" s="439"/>
      <c r="DS104" s="439"/>
      <c r="DT104" s="439"/>
      <c r="DU104" s="439"/>
      <c r="DV104" s="439"/>
      <c r="DW104" s="439"/>
      <c r="DX104" s="439"/>
      <c r="DY104" s="439"/>
      <c r="DZ104" s="439"/>
      <c r="EA104" s="439"/>
      <c r="EB104" s="439"/>
      <c r="EC104" s="439"/>
      <c r="ED104" s="439"/>
      <c r="EE104" s="439"/>
      <c r="EF104" s="439"/>
      <c r="EG104" s="439"/>
      <c r="EH104" s="439"/>
      <c r="EI104" s="439"/>
      <c r="EJ104" s="439"/>
      <c r="EK104" s="439"/>
      <c r="EL104" s="439"/>
      <c r="EM104" s="439"/>
      <c r="EN104" s="439"/>
      <c r="EO104" s="439"/>
      <c r="EP104" s="439"/>
      <c r="EQ104" s="439"/>
      <c r="ER104" s="439"/>
      <c r="ES104" s="439"/>
      <c r="ET104" s="439"/>
      <c r="EU104" s="439"/>
      <c r="EV104" s="439"/>
      <c r="EW104" s="439"/>
      <c r="EX104" s="393"/>
      <c r="EY104" s="393"/>
      <c r="EZ104" s="789" t="e">
        <f>VLOOKUP($EY104,'NEPC data'!$B83:$M270,5,TRUE)*100</f>
        <v>#N/A</v>
      </c>
      <c r="FA104" s="789" t="e">
        <f>VLOOKUP($EY104,'NEPC data'!$B83:$M270,7,TRUE)*100</f>
        <v>#N/A</v>
      </c>
      <c r="FB104" s="789" t="e">
        <f>VLOOKUP($EY104,'NEPC data'!$B83:$M270,9,TRUE)*100</f>
        <v>#N/A</v>
      </c>
      <c r="FC104" s="789" t="e">
        <f>VLOOKUP($EY104,'NEPC data'!$B83:$M270,10,TRUE)*100</f>
        <v>#N/A</v>
      </c>
      <c r="FD104" s="789" t="e">
        <f>VLOOKUP($EY104,'NEPC data'!$B83:$M270,11,TRUE)*100</f>
        <v>#N/A</v>
      </c>
      <c r="FE104" s="382"/>
      <c r="FF104" s="442"/>
      <c r="FG104" s="442"/>
      <c r="FH104" s="442"/>
      <c r="FI104" s="442"/>
      <c r="FJ104" s="442"/>
      <c r="FK104" s="382"/>
      <c r="FL104" s="442"/>
      <c r="FM104" s="442"/>
    </row>
    <row r="105" spans="1:169" s="15" customFormat="1" ht="12.75" customHeight="1" x14ac:dyDescent="0.2">
      <c r="A105" s="1253" t="s">
        <v>841</v>
      </c>
      <c r="B105" s="1260" t="s">
        <v>840</v>
      </c>
      <c r="C105" s="1262">
        <v>41305</v>
      </c>
      <c r="D105" s="447">
        <f>PIMCO_EMD!D8</f>
        <v>0</v>
      </c>
      <c r="E105" s="448">
        <f>VLOOKUP(AH$8,PIMCO_EMD!A8:E488,3,FALSE)/1000000</f>
        <v>353.10999296</v>
      </c>
      <c r="F105" s="449">
        <f>AH105</f>
        <v>1.2839499999999999</v>
      </c>
      <c r="G105" s="450">
        <f t="array" ref="G105">IF($AJ105=0,"---",(PRODUCT($AH105:AJ105/100+1)-1)*100)</f>
        <v>1.2110534759336433</v>
      </c>
      <c r="H105" s="450">
        <f t="array" ref="H105">IF($AS105=0,"---",(PRODUCT(AH105:AN105/100+1)-1)*100)</f>
        <v>12.144438659008516</v>
      </c>
      <c r="I105" s="450">
        <f t="array" ref="I105">IF(AS105=0,"---",(GEOMEAN($AH105:AS105/100+1)^12-1)*100)</f>
        <v>9.305483442091278</v>
      </c>
      <c r="J105" s="450" t="str">
        <f t="array" ref="J105">IF(BE105=0,"---",(GEOMEAN($AH105:BE105/100+1)^12-1)*100)</f>
        <v>---</v>
      </c>
      <c r="K105" s="450" t="str">
        <f t="array" ref="K105">IF(BQ105=0,"---",(GEOMEAN($AH105:BQ105/100+1)^12-1)*100)</f>
        <v>---</v>
      </c>
      <c r="L105" s="450" t="str">
        <f t="array" ref="L105">IF(CC105=0,"---",(GEOMEAN($AH105:CC105/100+1)^12-1)*100)</f>
        <v>---</v>
      </c>
      <c r="M105" s="450" t="str">
        <f t="array" ref="M105">IF(CO105=0,"---",(GEOMEAN($AH105:CO105/100+1)^12-1)*100)</f>
        <v>---</v>
      </c>
      <c r="N105" s="450" t="str">
        <f t="array" ref="N105">IF(DM105=0,"---",(GEOMEAN($AH105:DM105/100+1)^12-1)*100)</f>
        <v>---</v>
      </c>
      <c r="O105" s="450" t="str">
        <f t="array" ref="O105">IF(EK105=0,"---",(GEOMEAN($AH105:EK105/100+1)^12-1)*100)</f>
        <v>---</v>
      </c>
      <c r="P105" s="450" t="str">
        <f t="array" ref="P105">IF(EW105=0,"---",(GEOMEAN($AH105:EW105/100+1)^12-1)*100)</f>
        <v>---</v>
      </c>
      <c r="Q105" s="451">
        <f t="array" ref="Q105">(GEOMEAN(PIMCO_EMD!B$453:B471/100+1)^12-1)*100</f>
        <v>-3.5144310847533999</v>
      </c>
      <c r="R105" s="452">
        <f t="shared" ref="R105:AB105" si="102">IF(F105="---","---",(F105-F$106)*100)</f>
        <v>80.39</v>
      </c>
      <c r="S105" s="452">
        <f t="shared" si="102"/>
        <v>79.915193159250109</v>
      </c>
      <c r="T105" s="452">
        <f t="shared" si="102"/>
        <v>165.22162440640412</v>
      </c>
      <c r="U105" s="452">
        <f t="shared" si="102"/>
        <v>98.535370250298911</v>
      </c>
      <c r="V105" s="452" t="str">
        <f t="shared" si="102"/>
        <v>---</v>
      </c>
      <c r="W105" s="452" t="str">
        <f t="shared" si="102"/>
        <v>---</v>
      </c>
      <c r="X105" s="452" t="str">
        <f t="shared" si="102"/>
        <v>---</v>
      </c>
      <c r="Y105" s="452" t="str">
        <f t="shared" si="102"/>
        <v>---</v>
      </c>
      <c r="Z105" s="452" t="str">
        <f t="shared" si="102"/>
        <v>---</v>
      </c>
      <c r="AA105" s="452" t="str">
        <f t="shared" si="102"/>
        <v>---</v>
      </c>
      <c r="AB105" s="452" t="str">
        <f t="shared" si="102"/>
        <v>---</v>
      </c>
      <c r="AC105" s="453">
        <f>(Q105-AF105)*100</f>
        <v>-61.998701780467954</v>
      </c>
      <c r="AD105" s="478">
        <v>150</v>
      </c>
      <c r="AF105" s="432">
        <f t="array" ref="AF105">(GEOMEAN(Index_Returns!AS$453:AS471/100+1)^12-1)*100</f>
        <v>-2.8944440669487204</v>
      </c>
      <c r="AG105" s="418" t="str">
        <f>IF(I105="---","&lt; 1 Year","---")</f>
        <v>---</v>
      </c>
      <c r="AH105" s="482">
        <f>VLOOKUP(AH$8,PIMCO_EMD!$A$1:$E$488,2,FALSE)</f>
        <v>1.2839499999999999</v>
      </c>
      <c r="AI105" s="482">
        <f>VLOOKUP(AI$8,PIMCO_EMD!$A$1:$E$488,2,FALSE)</f>
        <v>-0.25374999999999998</v>
      </c>
      <c r="AJ105" s="482">
        <f>VLOOKUP(AJ$8,PIMCO_EMD!$A$1:$E$488,2,FALSE)</f>
        <v>0.18224000000000001</v>
      </c>
      <c r="AK105" s="482">
        <f>VLOOKUP(AK$8,PIMCO_EMD!$A$1:$E$488,2,FALSE)</f>
        <v>2.20166</v>
      </c>
      <c r="AL105" s="482">
        <f>VLOOKUP(AL$8,PIMCO_EMD!$A$1:$E$488,2,FALSE)</f>
        <v>1.2280800000000001</v>
      </c>
      <c r="AM105" s="482">
        <f>VLOOKUP(AM$8,PIMCO_EMD!$A$1:$E$488,2,FALSE)</f>
        <v>2.80443</v>
      </c>
      <c r="AN105" s="482">
        <f>VLOOKUP(AN$8,PIMCO_EMD!$A$1:$E$488,2,FALSE)</f>
        <v>4.1787200000000002</v>
      </c>
      <c r="AO105" s="482">
        <f>VLOOKUP(AO$8,PIMCO_EMD!$A$1:$E$488,2,FALSE)</f>
        <v>-4.4190100000000001</v>
      </c>
      <c r="AP105" s="482">
        <f>VLOOKUP(AP$8,PIMCO_EMD!$A$1:$E$488,2,FALSE)</f>
        <v>-0.72855000000000003</v>
      </c>
      <c r="AQ105" s="482">
        <f>VLOOKUP(AQ$8,PIMCO_EMD!$A$1:$E$488,2,FALSE)</f>
        <v>-3.93709</v>
      </c>
      <c r="AR105" s="482">
        <f>VLOOKUP(AR$8,PIMCO_EMD!$A$1:$E$488,2,FALSE)</f>
        <v>2.75271</v>
      </c>
      <c r="AS105" s="482">
        <f>VLOOKUP(AS$8,PIMCO_EMD!$A$1:$E$488,2,FALSE)</f>
        <v>4.0685000000000002</v>
      </c>
      <c r="AT105" s="482">
        <f>VLOOKUP(AT$8,PIMCO_EMD!$A$1:$E$488,2,FALSE)</f>
        <v>-4.2877000000000001</v>
      </c>
      <c r="AU105" s="482">
        <f>VLOOKUP(AU$8,PIMCO_EMD!$A$1:$E$488,2,FALSE)</f>
        <v>-0.27043</v>
      </c>
      <c r="AV105" s="482">
        <f>VLOOKUP(AV$8,PIMCO_EMD!$A$1:$E$488,2,FALSE)</f>
        <v>-4.5655799999999997</v>
      </c>
      <c r="AW105" s="482">
        <f>VLOOKUP(AW$8,PIMCO_EMD!$A$1:$E$488,2,FALSE)</f>
        <v>-6.99275</v>
      </c>
      <c r="AX105" s="482">
        <f>VLOOKUP(AX$8,PIMCO_EMD!$A$1:$E$488,2,FALSE)</f>
        <v>3.3325</v>
      </c>
      <c r="AY105" s="482">
        <f>VLOOKUP(AY$8,PIMCO_EMD!$A$1:$E$488,2,FALSE)</f>
        <v>-0.50490999999999997</v>
      </c>
      <c r="AZ105" s="482">
        <f>VLOOKUP(AZ$8,PIMCO_EMD!$A$1:$E$488,2,FALSE)</f>
        <v>-0.25946000000000002</v>
      </c>
      <c r="BA105" s="482">
        <f>VLOOKUP(BA$8,PIMCO_EMD!$A$1:$E$488,2,FALSE)</f>
        <v>0.77981999999999996</v>
      </c>
      <c r="BB105" s="482">
        <f>VLOOKUP(BB$8,PIMCO_EMD!$A$1:$E$488,2,FALSE)</f>
        <v>0</v>
      </c>
      <c r="BC105" s="482">
        <f>VLOOKUP(BC$8,PIMCO_EMD!$A$1:$E$488,2,FALSE)</f>
        <v>0</v>
      </c>
      <c r="BD105" s="482">
        <f>VLOOKUP(BD$8,PIMCO_EMD!$A$1:$E$488,2,FALSE)</f>
        <v>0</v>
      </c>
      <c r="BE105" s="482">
        <f>VLOOKUP(BE$8,PIMCO_EMD!$A$1:$E$488,2,FALSE)</f>
        <v>0</v>
      </c>
      <c r="BF105" s="482">
        <f>VLOOKUP(BF$8,PIMCO_EMD!$A$1:$E$488,2,FALSE)</f>
        <v>0</v>
      </c>
      <c r="BG105" s="482">
        <f>VLOOKUP(BG$8,PIMCO_EMD!$A$1:$E$488,2,FALSE)</f>
        <v>0</v>
      </c>
      <c r="BH105" s="482">
        <f>VLOOKUP(BH$8,PIMCO_EMD!$A$1:$E$488,2,FALSE)</f>
        <v>0</v>
      </c>
      <c r="BI105" s="482">
        <f>VLOOKUP(BI$8,PIMCO_EMD!$A$1:$E$488,2,FALSE)</f>
        <v>0</v>
      </c>
      <c r="BJ105" s="482">
        <f>VLOOKUP(BJ$8,PIMCO_EMD!$A$1:$E$488,2,FALSE)</f>
        <v>0</v>
      </c>
      <c r="BK105" s="482">
        <f>VLOOKUP(BK$8,PIMCO_EMD!$A$1:$E$488,2,FALSE)</f>
        <v>0</v>
      </c>
      <c r="BL105" s="482">
        <f>VLOOKUP(BL$8,PIMCO_EMD!$A$1:$E$488,2,FALSE)</f>
        <v>0</v>
      </c>
      <c r="BM105" s="482">
        <f>VLOOKUP(BM$8,PIMCO_EMD!$A$1:$E$488,2,FALSE)</f>
        <v>0</v>
      </c>
      <c r="BN105" s="482">
        <f>VLOOKUP(BN$8,PIMCO_EMD!$A$1:$E$488,2,FALSE)</f>
        <v>0</v>
      </c>
      <c r="BO105" s="482">
        <f>VLOOKUP(BO$8,PIMCO_EMD!$A$1:$E$488,2,FALSE)</f>
        <v>0</v>
      </c>
      <c r="BP105" s="482">
        <f>VLOOKUP(BP$8,PIMCO_EMD!$A$1:$E$488,2,FALSE)</f>
        <v>0</v>
      </c>
      <c r="BQ105" s="482">
        <f>VLOOKUP(BQ$8,PIMCO_EMD!$A$1:$E$488,2,FALSE)</f>
        <v>0</v>
      </c>
      <c r="BR105" s="482">
        <f>VLOOKUP(BR$8,PIMCO_EMD!$A$1:$E$488,2,FALSE)</f>
        <v>0</v>
      </c>
      <c r="BS105" s="482">
        <f>VLOOKUP(BS$8,PIMCO_EMD!$A$1:$E$488,2,FALSE)</f>
        <v>0</v>
      </c>
      <c r="BT105" s="482">
        <f>VLOOKUP(BT$8,PIMCO_EMD!$A$1:$E$488,2,FALSE)</f>
        <v>0</v>
      </c>
      <c r="BU105" s="482">
        <f>VLOOKUP(BU$8,PIMCO_EMD!$A$1:$E$488,2,FALSE)</f>
        <v>0</v>
      </c>
      <c r="BV105" s="482">
        <f>VLOOKUP(BV$8,PIMCO_EMD!$A$1:$E$488,2,FALSE)</f>
        <v>0</v>
      </c>
      <c r="BW105" s="482">
        <f>VLOOKUP(BW$8,PIMCO_EMD!$A$1:$E$488,2,FALSE)</f>
        <v>0</v>
      </c>
      <c r="BX105" s="482">
        <f>VLOOKUP(BX$8,PIMCO_EMD!$A$1:$E$488,2,FALSE)</f>
        <v>0</v>
      </c>
      <c r="BY105" s="482">
        <f>VLOOKUP(BY$8,PIMCO_EMD!$A$1:$E$488,2,FALSE)</f>
        <v>0</v>
      </c>
      <c r="BZ105" s="482">
        <f>VLOOKUP(BZ$8,PIMCO_EMD!$A$1:$E$488,2,FALSE)</f>
        <v>0</v>
      </c>
      <c r="CA105" s="482">
        <f>VLOOKUP(CA$8,PIMCO_EMD!$A$1:$E$488,2,FALSE)</f>
        <v>0</v>
      </c>
      <c r="CB105" s="482">
        <f>VLOOKUP(CB$8,PIMCO_EMD!$A$1:$E$488,2,FALSE)</f>
        <v>0</v>
      </c>
      <c r="CC105" s="482">
        <f>VLOOKUP(CC$8,PIMCO_EMD!$A$1:$E$488,2,FALSE)</f>
        <v>0</v>
      </c>
      <c r="CD105" s="482">
        <f>VLOOKUP(CD$8,PIMCO_EMD!$A$1:$E$488,2,FALSE)</f>
        <v>0</v>
      </c>
      <c r="CE105" s="482">
        <f>VLOOKUP(CE$8,PIMCO_EMD!$A$1:$E$488,2,FALSE)</f>
        <v>0</v>
      </c>
      <c r="CF105" s="482">
        <f>VLOOKUP(CF$8,PIMCO_EMD!$A$1:$E$488,2,FALSE)</f>
        <v>0</v>
      </c>
      <c r="CG105" s="482">
        <f>VLOOKUP(CG$8,PIMCO_EMD!$A$1:$E$488,2,FALSE)</f>
        <v>0</v>
      </c>
      <c r="CH105" s="482">
        <f>VLOOKUP(CH$8,PIMCO_EMD!$A$1:$E$488,2,FALSE)</f>
        <v>0</v>
      </c>
      <c r="CI105" s="482">
        <f>VLOOKUP(CI$8,PIMCO_EMD!$A$1:$E$488,2,FALSE)</f>
        <v>0</v>
      </c>
      <c r="CJ105" s="482">
        <f>VLOOKUP(CJ$8,PIMCO_EMD!$A$1:$E$488,2,FALSE)</f>
        <v>0</v>
      </c>
      <c r="CK105" s="482">
        <f>VLOOKUP(CK$8,PIMCO_EMD!$A$1:$E$488,2,FALSE)</f>
        <v>0</v>
      </c>
      <c r="CL105" s="482">
        <f>VLOOKUP(CL$8,PIMCO_EMD!$A$1:$E$488,2,FALSE)</f>
        <v>0</v>
      </c>
      <c r="CM105" s="482">
        <f>VLOOKUP(CM$8,PIMCO_EMD!$A$1:$E$488,2,FALSE)</f>
        <v>0</v>
      </c>
      <c r="CN105" s="482">
        <f>VLOOKUP(CN$8,PIMCO_EMD!$A$1:$E$488,2,FALSE)</f>
        <v>0</v>
      </c>
      <c r="CO105" s="482">
        <f>VLOOKUP(CO$8,PIMCO_EMD!$A$1:$E$488,2,FALSE)</f>
        <v>0</v>
      </c>
      <c r="CP105" s="482">
        <f>VLOOKUP(CP$8,PIMCO_EMD!$A$1:$E$488,2,FALSE)</f>
        <v>0</v>
      </c>
      <c r="CQ105" s="482">
        <f>VLOOKUP(CQ$8,PIMCO_EMD!$A$1:$E$488,2,FALSE)</f>
        <v>0</v>
      </c>
      <c r="CR105" s="482">
        <f>VLOOKUP(CR$8,PIMCO_EMD!$A$1:$E$488,2,FALSE)</f>
        <v>0</v>
      </c>
      <c r="CS105" s="482">
        <f>VLOOKUP(CS$8,PIMCO_EMD!$A$1:$E$488,2,FALSE)</f>
        <v>0</v>
      </c>
      <c r="CT105" s="482">
        <f>VLOOKUP(CT$8,PIMCO_EMD!$A$1:$E$488,2,FALSE)</f>
        <v>0</v>
      </c>
      <c r="CU105" s="482">
        <f>VLOOKUP(CU$8,PIMCO_EMD!$A$1:$E$488,2,FALSE)</f>
        <v>0</v>
      </c>
      <c r="CV105" s="482">
        <f>VLOOKUP(CV$8,PIMCO_EMD!$A$1:$E$488,2,FALSE)</f>
        <v>0</v>
      </c>
      <c r="CW105" s="482">
        <f>VLOOKUP(CW$8,PIMCO_EMD!$A$1:$E$488,2,FALSE)</f>
        <v>0</v>
      </c>
      <c r="CX105" s="482">
        <f>VLOOKUP(CX$8,PIMCO_EMD!$A$1:$E$488,2,FALSE)</f>
        <v>0</v>
      </c>
      <c r="CY105" s="482">
        <f>VLOOKUP(CY$8,PIMCO_EMD!$A$1:$E$488,2,FALSE)</f>
        <v>0</v>
      </c>
      <c r="CZ105" s="482">
        <f>VLOOKUP(CZ$8,PIMCO_EMD!$A$1:$E$488,2,FALSE)</f>
        <v>0</v>
      </c>
      <c r="DA105" s="482">
        <f>VLOOKUP(DA$8,PIMCO_EMD!$A$1:$E$488,2,FALSE)</f>
        <v>0</v>
      </c>
      <c r="DB105" s="482">
        <f>VLOOKUP(DB$8,PIMCO_EMD!$A$1:$E$488,2,FALSE)</f>
        <v>0</v>
      </c>
      <c r="DC105" s="482">
        <f>VLOOKUP(DC$8,PIMCO_EMD!$A$1:$E$488,2,FALSE)</f>
        <v>0</v>
      </c>
      <c r="DD105" s="482">
        <f>VLOOKUP(DD$8,PIMCO_EMD!$A$1:$E$488,2,FALSE)</f>
        <v>0</v>
      </c>
      <c r="DE105" s="482">
        <f>VLOOKUP(DE$8,PIMCO_EMD!$A$1:$E$488,2,FALSE)</f>
        <v>0</v>
      </c>
      <c r="DF105" s="482">
        <f>VLOOKUP(DF$8,PIMCO_EMD!$A$1:$E$488,2,FALSE)</f>
        <v>0</v>
      </c>
      <c r="DG105" s="482">
        <f>VLOOKUP(DG$8,PIMCO_EMD!$A$1:$E$488,2,FALSE)</f>
        <v>0</v>
      </c>
      <c r="DH105" s="482">
        <f>VLOOKUP(DH$8,PIMCO_EMD!$A$1:$E$488,2,FALSE)</f>
        <v>0</v>
      </c>
      <c r="DI105" s="482">
        <f>VLOOKUP(DI$8,PIMCO_EMD!$A$1:$E$488,2,FALSE)</f>
        <v>0</v>
      </c>
      <c r="DJ105" s="482">
        <f>VLOOKUP(DJ$8,PIMCO_EMD!$A$1:$E$488,2,FALSE)</f>
        <v>0</v>
      </c>
      <c r="DK105" s="482">
        <f>VLOOKUP(DK$8,PIMCO_EMD!$A$1:$E$488,2,FALSE)</f>
        <v>0</v>
      </c>
      <c r="DL105" s="482">
        <f>VLOOKUP(DL$8,PIMCO_EMD!$A$1:$E$488,2,FALSE)</f>
        <v>0</v>
      </c>
      <c r="DM105" s="482">
        <f>VLOOKUP(DM$8,PIMCO_EMD!$A$1:$E$488,2,FALSE)</f>
        <v>0</v>
      </c>
      <c r="DN105" s="482">
        <f>VLOOKUP(DN$8,PIMCO_EMD!$A$1:$E$488,2,FALSE)</f>
        <v>0</v>
      </c>
      <c r="DO105" s="482">
        <f>VLOOKUP(DO$8,PIMCO_EMD!$A$1:$E$488,2,FALSE)</f>
        <v>0</v>
      </c>
      <c r="DP105" s="482">
        <f>VLOOKUP(DP$8,PIMCO_EMD!$A$1:$E$488,2,FALSE)</f>
        <v>0</v>
      </c>
      <c r="DQ105" s="482">
        <f>VLOOKUP(DQ$8,PIMCO_EMD!$A$1:$E$488,2,FALSE)</f>
        <v>0</v>
      </c>
      <c r="DR105" s="482">
        <f>VLOOKUP(DR$8,PIMCO_EMD!$A$1:$E$488,2,FALSE)</f>
        <v>0</v>
      </c>
      <c r="DS105" s="482">
        <f>VLOOKUP(DS$8,PIMCO_EMD!$A$1:$E$488,2,FALSE)</f>
        <v>0</v>
      </c>
      <c r="DT105" s="482">
        <f>VLOOKUP(DT$8,PIMCO_EMD!$A$1:$E$488,2,FALSE)</f>
        <v>0</v>
      </c>
      <c r="DU105" s="482">
        <f>VLOOKUP(DU$8,PIMCO_EMD!$A$1:$E$488,2,FALSE)</f>
        <v>0</v>
      </c>
      <c r="DV105" s="482">
        <f>VLOOKUP(DV$8,PIMCO_EMD!$A$1:$E$488,2,FALSE)</f>
        <v>0</v>
      </c>
      <c r="DW105" s="482">
        <f>VLOOKUP(DW$8,PIMCO_EMD!$A$1:$E$488,2,FALSE)</f>
        <v>0</v>
      </c>
      <c r="DX105" s="482">
        <f>VLOOKUP(DX$8,PIMCO_EMD!$A$1:$E$488,2,FALSE)</f>
        <v>0</v>
      </c>
      <c r="DY105" s="482">
        <f>VLOOKUP(DY$8,PIMCO_EMD!$A$1:$E$488,2,FALSE)</f>
        <v>0</v>
      </c>
      <c r="DZ105" s="482">
        <f>VLOOKUP(DZ$8,PIMCO_EMD!$A$1:$E$488,2,FALSE)</f>
        <v>0</v>
      </c>
      <c r="EA105" s="482">
        <f>VLOOKUP(EA$8,PIMCO_EMD!$A$1:$E$488,2,FALSE)</f>
        <v>0</v>
      </c>
      <c r="EB105" s="482">
        <f>VLOOKUP(EB$8,PIMCO_EMD!$A$1:$E$488,2,FALSE)</f>
        <v>0</v>
      </c>
      <c r="EC105" s="482">
        <f>VLOOKUP(EC$8,PIMCO_EMD!$A$1:$E$488,2,FALSE)</f>
        <v>0</v>
      </c>
      <c r="ED105" s="482">
        <f>VLOOKUP(ED$8,PIMCO_EMD!$A$1:$E$488,2,FALSE)</f>
        <v>0</v>
      </c>
      <c r="EE105" s="482">
        <f>VLOOKUP(EE$8,PIMCO_EMD!$A$1:$E$488,2,FALSE)</f>
        <v>0</v>
      </c>
      <c r="EF105" s="482">
        <f>VLOOKUP(EF$8,PIMCO_EMD!$A$1:$E$488,2,FALSE)</f>
        <v>0</v>
      </c>
      <c r="EG105" s="482">
        <f>VLOOKUP(EG$8,PIMCO_EMD!$A$1:$E$488,2,FALSE)</f>
        <v>0</v>
      </c>
      <c r="EH105" s="482">
        <f>VLOOKUP(EH$8,PIMCO_EMD!$A$1:$E$488,2,FALSE)</f>
        <v>0</v>
      </c>
      <c r="EI105" s="482">
        <f>VLOOKUP(EI$8,PIMCO_EMD!$A$1:$E$488,2,FALSE)</f>
        <v>0</v>
      </c>
      <c r="EJ105" s="482">
        <f>VLOOKUP(EJ$8,PIMCO_EMD!$A$1:$E$488,2,FALSE)</f>
        <v>0</v>
      </c>
      <c r="EK105" s="482">
        <f>VLOOKUP(EK$8,PIMCO_EMD!$A$1:$E$488,2,FALSE)</f>
        <v>0</v>
      </c>
      <c r="EL105" s="482">
        <f>VLOOKUP(EL$8,PIMCO_EMD!$A$1:$E$488,2,FALSE)</f>
        <v>0</v>
      </c>
      <c r="EM105" s="482">
        <f>VLOOKUP(EM$8,PIMCO_EMD!$A$1:$E$488,2,FALSE)</f>
        <v>0</v>
      </c>
      <c r="EN105" s="482">
        <f>VLOOKUP(EN$8,PIMCO_EMD!$A$1:$E$488,2,FALSE)</f>
        <v>0</v>
      </c>
      <c r="EO105" s="482">
        <f>VLOOKUP(EO$8,PIMCO_EMD!$A$1:$E$488,2,FALSE)</f>
        <v>0</v>
      </c>
      <c r="EP105" s="482">
        <f>VLOOKUP(EP$8,PIMCO_EMD!$A$1:$E$488,2,FALSE)</f>
        <v>0</v>
      </c>
      <c r="EQ105" s="482">
        <f>VLOOKUP(EQ$8,PIMCO_EMD!$A$1:$E$488,2,FALSE)</f>
        <v>0</v>
      </c>
      <c r="ER105" s="482">
        <f>VLOOKUP(ER$8,PIMCO_EMD!$A$1:$E$488,2,FALSE)</f>
        <v>0</v>
      </c>
      <c r="ES105" s="482">
        <f>VLOOKUP(ES$8,PIMCO_EMD!$A$1:$E$488,2,FALSE)</f>
        <v>0</v>
      </c>
      <c r="ET105" s="482">
        <f>VLOOKUP(ET$8,PIMCO_EMD!$A$1:$E$488,2,FALSE)</f>
        <v>0</v>
      </c>
      <c r="EU105" s="482">
        <f>VLOOKUP(EU$8,PIMCO_EMD!$A$1:$E$488,2,FALSE)</f>
        <v>0</v>
      </c>
      <c r="EV105" s="482">
        <f>VLOOKUP(EV$8,PIMCO_EMD!$A$1:$E$488,2,FALSE)</f>
        <v>0</v>
      </c>
      <c r="EW105" s="482">
        <f>VLOOKUP(EW$8,PIMCO_EMD!$A$1:$E$488,2,FALSE)</f>
        <v>0</v>
      </c>
      <c r="EX105" s="515" t="str">
        <f>A105</f>
        <v>PIMCO LC: Newport Beach (Active)</v>
      </c>
      <c r="EY105" s="1259"/>
      <c r="EZ105" s="789" t="e">
        <f>VLOOKUP($EY105,'NEPC data'!$B88:$M275,5,TRUE)*100</f>
        <v>#N/A</v>
      </c>
      <c r="FA105" s="789" t="e">
        <f>VLOOKUP($EY105,'NEPC data'!$B88:$M275,7,TRUE)*100</f>
        <v>#N/A</v>
      </c>
      <c r="FB105" s="789" t="e">
        <f>VLOOKUP($EY105,'NEPC data'!$B88:$M275,9,TRUE)*100</f>
        <v>#N/A</v>
      </c>
      <c r="FC105" s="789" t="e">
        <f>VLOOKUP($EY105,'NEPC data'!$B88:$M275,10,TRUE)*100</f>
        <v>#N/A</v>
      </c>
      <c r="FD105" s="789" t="e">
        <f>VLOOKUP($EY105,'NEPC data'!$B88:$M275,11,TRUE)*100</f>
        <v>#N/A</v>
      </c>
      <c r="FE105" s="418"/>
      <c r="FF105" s="467"/>
      <c r="FG105" s="467"/>
      <c r="FH105" s="467"/>
      <c r="FI105" s="467"/>
      <c r="FJ105" s="467"/>
      <c r="FK105" s="418"/>
      <c r="FL105" s="467"/>
      <c r="FM105" s="467"/>
    </row>
    <row r="106" spans="1:169" s="15" customFormat="1" ht="12.75" customHeight="1" x14ac:dyDescent="0.2">
      <c r="A106" s="1408" t="s">
        <v>847</v>
      </c>
      <c r="B106" s="418"/>
      <c r="C106" s="485"/>
      <c r="D106" s="249"/>
      <c r="E106" s="470"/>
      <c r="F106" s="431">
        <f>AH106</f>
        <v>0.48004999999999998</v>
      </c>
      <c r="G106" s="432">
        <f t="array" ref="G106">IF($AJ106=0,"---",(PRODUCT($AH106:AJ106/100+1)-1)*100)</f>
        <v>0.41190154434114223</v>
      </c>
      <c r="H106" s="432">
        <f t="array" ref="H106">IF($AS106=0,"---",(PRODUCT(AH106:AN106/100+1)-1)*100)</f>
        <v>10.492222414944475</v>
      </c>
      <c r="I106" s="432">
        <f t="array" ref="I106">IF(AS106=0,"---",(GEOMEAN($AH106:AS106/100+1)^12-1)*100)</f>
        <v>8.3201297395882889</v>
      </c>
      <c r="J106" s="432" t="str">
        <f t="array" ref="J106">IF(BE106=0,"---",(GEOMEAN($AH106:BE106/100+1)^12-1)*100)</f>
        <v>---</v>
      </c>
      <c r="K106" s="432" t="str">
        <f t="array" ref="K106">IF(BQ106=0,"---",(GEOMEAN($AH106:BQ106/100+1)^12-1)*100)</f>
        <v>---</v>
      </c>
      <c r="L106" s="432" t="str">
        <f t="array" ref="L106">IF(CC106=0,"---",(GEOMEAN($AH106:CC106/100+1)^12-1)*100)</f>
        <v>---</v>
      </c>
      <c r="M106" s="432" t="str">
        <f t="array" ref="M106">IF(CO106=0,"---",(GEOMEAN($AH106:CO106/100+1)^12-1)*100)</f>
        <v>---</v>
      </c>
      <c r="N106" s="432" t="str">
        <f t="array" ref="N106">IF(DM106=0,"---",(GEOMEAN($AH106:DM106/100+1)^12-1)*100)</f>
        <v>---</v>
      </c>
      <c r="O106" s="432" t="str">
        <f t="array" ref="O106">IF(EK106=0,"---",(GEOMEAN($AH106:EK106/100+1)^12-1)*100)</f>
        <v>---</v>
      </c>
      <c r="P106" s="432" t="str">
        <f t="array" ref="P106">IF(EW106=0,"---",(GEOMEAN($AH106:EW106/100+1)^12-1)*100)</f>
        <v>---</v>
      </c>
      <c r="Q106" s="468" t="s">
        <v>34</v>
      </c>
      <c r="R106" s="249"/>
      <c r="S106" s="249"/>
      <c r="T106" s="249"/>
      <c r="U106" s="249"/>
      <c r="V106" s="249"/>
      <c r="W106" s="249"/>
      <c r="X106" s="249"/>
      <c r="Y106" s="249"/>
      <c r="Z106" s="249"/>
      <c r="AA106" s="249"/>
      <c r="AB106" s="249"/>
      <c r="AC106" s="459"/>
      <c r="AD106" s="463"/>
      <c r="AF106" s="467"/>
      <c r="AG106" s="1367"/>
      <c r="AH106" s="482">
        <f>VLOOKUP(AH$8,Index,45,FALSE)</f>
        <v>0.48004999999999998</v>
      </c>
      <c r="AI106" s="482">
        <f t="shared" ref="AI106:BM106" si="103">VLOOKUP(AI$8,Index,45,FALSE)</f>
        <v>-1.0591900000000001</v>
      </c>
      <c r="AJ106" s="482">
        <f t="shared" si="103"/>
        <v>1.0019800000000001</v>
      </c>
      <c r="AK106" s="482">
        <f t="shared" si="103"/>
        <v>2.0792999999999999</v>
      </c>
      <c r="AL106" s="482">
        <f t="shared" si="103"/>
        <v>0.89195000000000002</v>
      </c>
      <c r="AM106" s="482">
        <f t="shared" si="103"/>
        <v>2.8094800000000002</v>
      </c>
      <c r="AN106" s="482">
        <f t="shared" si="103"/>
        <v>3.9247899999999998</v>
      </c>
      <c r="AO106" s="482">
        <f t="shared" si="103"/>
        <v>-4.6309100000000001</v>
      </c>
      <c r="AP106" s="482">
        <f t="shared" si="103"/>
        <v>-0.54832999999999998</v>
      </c>
      <c r="AQ106" s="482">
        <f t="shared" si="103"/>
        <v>-3.6411600000000002</v>
      </c>
      <c r="AR106" s="482">
        <f t="shared" si="103"/>
        <v>2.7480099999999998</v>
      </c>
      <c r="AS106" s="482">
        <f t="shared" si="103"/>
        <v>4.3981399999999997</v>
      </c>
      <c r="AT106" s="482">
        <f t="shared" si="103"/>
        <v>-4.0931499999999996</v>
      </c>
      <c r="AU106" s="482">
        <f t="shared" si="103"/>
        <v>-0.55757000000000001</v>
      </c>
      <c r="AV106" s="482">
        <f t="shared" si="103"/>
        <v>-4.1302000000000003</v>
      </c>
      <c r="AW106" s="482">
        <f t="shared" si="103"/>
        <v>-6.25284</v>
      </c>
      <c r="AX106" s="482">
        <f t="shared" si="103"/>
        <v>3.43</v>
      </c>
      <c r="AY106" s="482">
        <f t="shared" si="103"/>
        <v>-0.51551000000000002</v>
      </c>
      <c r="AZ106" s="482">
        <f t="shared" si="103"/>
        <v>-0.32188</v>
      </c>
      <c r="BA106" s="482">
        <f t="shared" si="103"/>
        <v>0.71884999999999999</v>
      </c>
      <c r="BB106" s="482">
        <f t="shared" si="103"/>
        <v>0</v>
      </c>
      <c r="BC106" s="482">
        <f t="shared" si="103"/>
        <v>0</v>
      </c>
      <c r="BD106" s="482">
        <f t="shared" si="103"/>
        <v>0</v>
      </c>
      <c r="BE106" s="482">
        <f t="shared" si="103"/>
        <v>0</v>
      </c>
      <c r="BF106" s="482">
        <f t="shared" si="103"/>
        <v>0</v>
      </c>
      <c r="BG106" s="482">
        <f t="shared" si="103"/>
        <v>0</v>
      </c>
      <c r="BH106" s="482">
        <f t="shared" si="103"/>
        <v>0</v>
      </c>
      <c r="BI106" s="482">
        <f t="shared" si="103"/>
        <v>0</v>
      </c>
      <c r="BJ106" s="482">
        <f t="shared" si="103"/>
        <v>0</v>
      </c>
      <c r="BK106" s="482">
        <f t="shared" si="103"/>
        <v>0</v>
      </c>
      <c r="BL106" s="482">
        <f t="shared" si="103"/>
        <v>0</v>
      </c>
      <c r="BM106" s="482">
        <f t="shared" si="103"/>
        <v>0</v>
      </c>
      <c r="BN106" s="482">
        <f t="shared" ref="BN106:CS106" si="104">VLOOKUP(BN$8,Index,45,FALSE)</f>
        <v>0</v>
      </c>
      <c r="BO106" s="482">
        <f t="shared" si="104"/>
        <v>0</v>
      </c>
      <c r="BP106" s="482">
        <f t="shared" si="104"/>
        <v>0</v>
      </c>
      <c r="BQ106" s="482">
        <f t="shared" si="104"/>
        <v>0</v>
      </c>
      <c r="BR106" s="482">
        <f t="shared" si="104"/>
        <v>0</v>
      </c>
      <c r="BS106" s="482">
        <f t="shared" si="104"/>
        <v>0</v>
      </c>
      <c r="BT106" s="482">
        <f t="shared" si="104"/>
        <v>0</v>
      </c>
      <c r="BU106" s="482">
        <f t="shared" si="104"/>
        <v>0</v>
      </c>
      <c r="BV106" s="482">
        <f t="shared" si="104"/>
        <v>0</v>
      </c>
      <c r="BW106" s="482">
        <f t="shared" si="104"/>
        <v>0</v>
      </c>
      <c r="BX106" s="482">
        <f t="shared" si="104"/>
        <v>0</v>
      </c>
      <c r="BY106" s="482">
        <f t="shared" si="104"/>
        <v>0</v>
      </c>
      <c r="BZ106" s="482">
        <f t="shared" si="104"/>
        <v>0</v>
      </c>
      <c r="CA106" s="482">
        <f t="shared" si="104"/>
        <v>0</v>
      </c>
      <c r="CB106" s="482">
        <f t="shared" si="104"/>
        <v>0</v>
      </c>
      <c r="CC106" s="482">
        <f t="shared" si="104"/>
        <v>0</v>
      </c>
      <c r="CD106" s="482">
        <f t="shared" si="104"/>
        <v>0</v>
      </c>
      <c r="CE106" s="482">
        <f t="shared" si="104"/>
        <v>0</v>
      </c>
      <c r="CF106" s="482">
        <f t="shared" si="104"/>
        <v>0</v>
      </c>
      <c r="CG106" s="482">
        <f t="shared" si="104"/>
        <v>0</v>
      </c>
      <c r="CH106" s="482">
        <f t="shared" si="104"/>
        <v>0</v>
      </c>
      <c r="CI106" s="482">
        <f t="shared" si="104"/>
        <v>0</v>
      </c>
      <c r="CJ106" s="482">
        <f t="shared" si="104"/>
        <v>0</v>
      </c>
      <c r="CK106" s="482">
        <f t="shared" si="104"/>
        <v>0</v>
      </c>
      <c r="CL106" s="482">
        <f t="shared" si="104"/>
        <v>0</v>
      </c>
      <c r="CM106" s="482">
        <f t="shared" si="104"/>
        <v>0</v>
      </c>
      <c r="CN106" s="482">
        <f t="shared" si="104"/>
        <v>0</v>
      </c>
      <c r="CO106" s="482">
        <f t="shared" si="104"/>
        <v>0</v>
      </c>
      <c r="CP106" s="482">
        <f t="shared" si="104"/>
        <v>0</v>
      </c>
      <c r="CQ106" s="482">
        <f t="shared" si="104"/>
        <v>0</v>
      </c>
      <c r="CR106" s="482">
        <f t="shared" si="104"/>
        <v>0</v>
      </c>
      <c r="CS106" s="482">
        <f t="shared" si="104"/>
        <v>0</v>
      </c>
      <c r="CT106" s="482">
        <f t="shared" ref="CT106:DY106" si="105">VLOOKUP(CT$8,Index,45,FALSE)</f>
        <v>0</v>
      </c>
      <c r="CU106" s="482">
        <f t="shared" si="105"/>
        <v>0</v>
      </c>
      <c r="CV106" s="482">
        <f t="shared" si="105"/>
        <v>0</v>
      </c>
      <c r="CW106" s="482">
        <f t="shared" si="105"/>
        <v>0</v>
      </c>
      <c r="CX106" s="482">
        <f t="shared" si="105"/>
        <v>0</v>
      </c>
      <c r="CY106" s="482">
        <f t="shared" si="105"/>
        <v>0</v>
      </c>
      <c r="CZ106" s="482">
        <f t="shared" si="105"/>
        <v>0</v>
      </c>
      <c r="DA106" s="482">
        <f t="shared" si="105"/>
        <v>0</v>
      </c>
      <c r="DB106" s="482">
        <f t="shared" si="105"/>
        <v>0</v>
      </c>
      <c r="DC106" s="482">
        <f t="shared" si="105"/>
        <v>0</v>
      </c>
      <c r="DD106" s="482">
        <f t="shared" si="105"/>
        <v>0</v>
      </c>
      <c r="DE106" s="482">
        <f t="shared" si="105"/>
        <v>0</v>
      </c>
      <c r="DF106" s="482">
        <f t="shared" si="105"/>
        <v>0</v>
      </c>
      <c r="DG106" s="482">
        <f t="shared" si="105"/>
        <v>0</v>
      </c>
      <c r="DH106" s="482">
        <f t="shared" si="105"/>
        <v>0</v>
      </c>
      <c r="DI106" s="482">
        <f t="shared" si="105"/>
        <v>0</v>
      </c>
      <c r="DJ106" s="482">
        <f t="shared" si="105"/>
        <v>0</v>
      </c>
      <c r="DK106" s="482">
        <f t="shared" si="105"/>
        <v>0</v>
      </c>
      <c r="DL106" s="482">
        <f t="shared" si="105"/>
        <v>0</v>
      </c>
      <c r="DM106" s="482">
        <f t="shared" si="105"/>
        <v>0</v>
      </c>
      <c r="DN106" s="482">
        <f t="shared" si="105"/>
        <v>0</v>
      </c>
      <c r="DO106" s="482">
        <f t="shared" si="105"/>
        <v>0</v>
      </c>
      <c r="DP106" s="482">
        <f t="shared" si="105"/>
        <v>0</v>
      </c>
      <c r="DQ106" s="482">
        <f t="shared" si="105"/>
        <v>0</v>
      </c>
      <c r="DR106" s="482">
        <f t="shared" si="105"/>
        <v>0</v>
      </c>
      <c r="DS106" s="482">
        <f t="shared" si="105"/>
        <v>0</v>
      </c>
      <c r="DT106" s="482">
        <f t="shared" si="105"/>
        <v>0</v>
      </c>
      <c r="DU106" s="482">
        <f t="shared" si="105"/>
        <v>0</v>
      </c>
      <c r="DV106" s="482">
        <f t="shared" si="105"/>
        <v>0</v>
      </c>
      <c r="DW106" s="482">
        <f t="shared" si="105"/>
        <v>0</v>
      </c>
      <c r="DX106" s="482">
        <f t="shared" si="105"/>
        <v>0</v>
      </c>
      <c r="DY106" s="482">
        <f t="shared" si="105"/>
        <v>0</v>
      </c>
      <c r="DZ106" s="482">
        <f t="shared" ref="DZ106:EW106" si="106">VLOOKUP(DZ$8,Index,45,FALSE)</f>
        <v>0</v>
      </c>
      <c r="EA106" s="482">
        <f t="shared" si="106"/>
        <v>0</v>
      </c>
      <c r="EB106" s="482">
        <f t="shared" si="106"/>
        <v>0</v>
      </c>
      <c r="EC106" s="482">
        <f t="shared" si="106"/>
        <v>0</v>
      </c>
      <c r="ED106" s="482">
        <f t="shared" si="106"/>
        <v>0</v>
      </c>
      <c r="EE106" s="482">
        <f t="shared" si="106"/>
        <v>0</v>
      </c>
      <c r="EF106" s="482">
        <f t="shared" si="106"/>
        <v>0</v>
      </c>
      <c r="EG106" s="482">
        <f t="shared" si="106"/>
        <v>0</v>
      </c>
      <c r="EH106" s="482">
        <f t="shared" si="106"/>
        <v>0</v>
      </c>
      <c r="EI106" s="482">
        <f t="shared" si="106"/>
        <v>0</v>
      </c>
      <c r="EJ106" s="482">
        <f t="shared" si="106"/>
        <v>0</v>
      </c>
      <c r="EK106" s="482">
        <f t="shared" si="106"/>
        <v>0</v>
      </c>
      <c r="EL106" s="482">
        <f t="shared" si="106"/>
        <v>0</v>
      </c>
      <c r="EM106" s="482">
        <f t="shared" si="106"/>
        <v>0</v>
      </c>
      <c r="EN106" s="482">
        <f t="shared" si="106"/>
        <v>0</v>
      </c>
      <c r="EO106" s="482">
        <f t="shared" si="106"/>
        <v>0</v>
      </c>
      <c r="EP106" s="482">
        <f t="shared" si="106"/>
        <v>0</v>
      </c>
      <c r="EQ106" s="482">
        <f t="shared" si="106"/>
        <v>0</v>
      </c>
      <c r="ER106" s="482">
        <f t="shared" si="106"/>
        <v>0</v>
      </c>
      <c r="ES106" s="482">
        <f t="shared" si="106"/>
        <v>0</v>
      </c>
      <c r="ET106" s="482">
        <f t="shared" si="106"/>
        <v>0</v>
      </c>
      <c r="EU106" s="482">
        <f t="shared" si="106"/>
        <v>0</v>
      </c>
      <c r="EV106" s="482">
        <f t="shared" si="106"/>
        <v>0</v>
      </c>
      <c r="EW106" s="482">
        <f t="shared" si="106"/>
        <v>0</v>
      </c>
      <c r="EX106" s="515"/>
      <c r="EY106" s="515"/>
      <c r="EZ106" s="789" t="e">
        <f>VLOOKUP($EY106,'NEPC data'!$B88:$M275,5,TRUE)*100</f>
        <v>#N/A</v>
      </c>
      <c r="FA106" s="789" t="e">
        <f>VLOOKUP($EY106,'NEPC data'!$B88:$M275,7,TRUE)*100</f>
        <v>#N/A</v>
      </c>
      <c r="FB106" s="789" t="e">
        <f>VLOOKUP($EY106,'NEPC data'!$B88:$M275,9,TRUE)*100</f>
        <v>#N/A</v>
      </c>
      <c r="FC106" s="789" t="e">
        <f>VLOOKUP($EY106,'NEPC data'!$B88:$M275,10,TRUE)*100</f>
        <v>#N/A</v>
      </c>
      <c r="FD106" s="789" t="e">
        <f>VLOOKUP($EY106,'NEPC data'!$B88:$M275,11,TRUE)*100</f>
        <v>#N/A</v>
      </c>
      <c r="FE106" s="418"/>
      <c r="FF106" s="467"/>
      <c r="FG106" s="467"/>
      <c r="FH106" s="467"/>
      <c r="FI106" s="467"/>
      <c r="FJ106" s="467"/>
      <c r="FK106" s="418"/>
      <c r="FL106" s="467"/>
      <c r="FM106" s="467"/>
    </row>
    <row r="107" spans="1:169" s="15" customFormat="1" ht="12.75" customHeight="1" x14ac:dyDescent="0.2">
      <c r="A107" s="1252"/>
      <c r="B107" s="1259"/>
      <c r="C107" s="1261"/>
      <c r="D107" s="443"/>
      <c r="E107" s="444"/>
      <c r="F107" s="431"/>
      <c r="G107" s="432"/>
      <c r="H107" s="432"/>
      <c r="I107" s="432"/>
      <c r="J107" s="432"/>
      <c r="K107" s="432"/>
      <c r="L107" s="432"/>
      <c r="M107" s="432"/>
      <c r="N107" s="432"/>
      <c r="O107" s="432"/>
      <c r="P107" s="432"/>
      <c r="Q107" s="433"/>
      <c r="R107" s="434"/>
      <c r="S107" s="434"/>
      <c r="T107" s="434"/>
      <c r="U107" s="434"/>
      <c r="V107" s="434"/>
      <c r="W107" s="434"/>
      <c r="X107" s="434"/>
      <c r="Y107" s="434"/>
      <c r="Z107" s="434"/>
      <c r="AA107" s="434"/>
      <c r="AB107" s="434"/>
      <c r="AC107" s="435"/>
      <c r="AD107" s="463"/>
      <c r="AF107" s="432"/>
      <c r="AG107" s="418"/>
      <c r="AH107" s="482"/>
      <c r="AI107" s="482"/>
      <c r="AJ107" s="482"/>
      <c r="AK107" s="482"/>
      <c r="AL107" s="482"/>
      <c r="AM107" s="482"/>
      <c r="AN107" s="482"/>
      <c r="AO107" s="482"/>
      <c r="AP107" s="482"/>
      <c r="AQ107" s="482"/>
      <c r="AR107" s="482"/>
      <c r="AS107" s="482"/>
      <c r="AT107" s="482"/>
      <c r="AU107" s="482"/>
      <c r="AV107" s="482"/>
      <c r="AW107" s="482"/>
      <c r="AX107" s="482"/>
      <c r="AY107" s="482"/>
      <c r="AZ107" s="482"/>
      <c r="BA107" s="482"/>
      <c r="BB107" s="482"/>
      <c r="BC107" s="482"/>
      <c r="BD107" s="482"/>
      <c r="BE107" s="482"/>
      <c r="BF107" s="482"/>
      <c r="BG107" s="482"/>
      <c r="BH107" s="482"/>
      <c r="BI107" s="482"/>
      <c r="BJ107" s="482"/>
      <c r="BK107" s="482"/>
      <c r="BL107" s="482"/>
      <c r="BM107" s="482"/>
      <c r="BN107" s="482"/>
      <c r="BO107" s="482"/>
      <c r="BP107" s="482"/>
      <c r="BQ107" s="482"/>
      <c r="BR107" s="482"/>
      <c r="BS107" s="482"/>
      <c r="BT107" s="482"/>
      <c r="BU107" s="482"/>
      <c r="BV107" s="482"/>
      <c r="BW107" s="482"/>
      <c r="BX107" s="482"/>
      <c r="BY107" s="482"/>
      <c r="BZ107" s="482"/>
      <c r="CA107" s="482"/>
      <c r="CB107" s="482"/>
      <c r="CC107" s="482"/>
      <c r="CD107" s="482"/>
      <c r="CE107" s="482"/>
      <c r="CF107" s="482"/>
      <c r="CG107" s="482"/>
      <c r="CH107" s="482"/>
      <c r="CI107" s="482"/>
      <c r="CJ107" s="482"/>
      <c r="CK107" s="482"/>
      <c r="CL107" s="482"/>
      <c r="CM107" s="482"/>
      <c r="CN107" s="482"/>
      <c r="CO107" s="482"/>
      <c r="CP107" s="482"/>
      <c r="CQ107" s="482"/>
      <c r="CR107" s="482"/>
      <c r="CS107" s="482"/>
      <c r="CT107" s="482"/>
      <c r="CU107" s="482"/>
      <c r="CV107" s="482"/>
      <c r="CW107" s="482"/>
      <c r="CX107" s="482"/>
      <c r="CY107" s="482"/>
      <c r="CZ107" s="482"/>
      <c r="DA107" s="482"/>
      <c r="DB107" s="482"/>
      <c r="DC107" s="482"/>
      <c r="DD107" s="482"/>
      <c r="DE107" s="482"/>
      <c r="DF107" s="482"/>
      <c r="DG107" s="482"/>
      <c r="DH107" s="482"/>
      <c r="DI107" s="482"/>
      <c r="DJ107" s="482"/>
      <c r="DK107" s="482"/>
      <c r="DL107" s="482"/>
      <c r="DM107" s="482"/>
      <c r="DN107" s="482"/>
      <c r="DO107" s="482"/>
      <c r="DP107" s="482"/>
      <c r="DQ107" s="482"/>
      <c r="DR107" s="482"/>
      <c r="DS107" s="482"/>
      <c r="DT107" s="482"/>
      <c r="DU107" s="482"/>
      <c r="DV107" s="482"/>
      <c r="DW107" s="482"/>
      <c r="DX107" s="482"/>
      <c r="DY107" s="482"/>
      <c r="DZ107" s="482"/>
      <c r="EA107" s="482"/>
      <c r="EB107" s="482"/>
      <c r="EC107" s="482"/>
      <c r="ED107" s="482"/>
      <c r="EE107" s="482"/>
      <c r="EF107" s="482"/>
      <c r="EG107" s="482"/>
      <c r="EH107" s="482"/>
      <c r="EI107" s="482"/>
      <c r="EJ107" s="482"/>
      <c r="EK107" s="482"/>
      <c r="EL107" s="482"/>
      <c r="EM107" s="482"/>
      <c r="EN107" s="482"/>
      <c r="EO107" s="482"/>
      <c r="EP107" s="482"/>
      <c r="EQ107" s="482"/>
      <c r="ER107" s="482"/>
      <c r="ES107" s="482"/>
      <c r="ET107" s="482"/>
      <c r="EU107" s="482"/>
      <c r="EV107" s="482"/>
      <c r="EW107" s="482"/>
      <c r="EX107" s="515"/>
      <c r="EY107" s="1259"/>
      <c r="EZ107" s="789"/>
      <c r="FA107" s="789"/>
      <c r="FB107" s="789"/>
      <c r="FC107" s="789"/>
      <c r="FD107" s="789"/>
      <c r="FE107" s="418"/>
      <c r="FF107" s="467"/>
      <c r="FG107" s="467"/>
      <c r="FH107" s="467"/>
      <c r="FI107" s="467"/>
      <c r="FJ107" s="467"/>
      <c r="FK107" s="418"/>
      <c r="FL107" s="467"/>
      <c r="FM107" s="467"/>
    </row>
    <row r="108" spans="1:169" s="1254" customFormat="1" ht="12.75" customHeight="1" x14ac:dyDescent="0.2">
      <c r="A108" s="1253" t="s">
        <v>842</v>
      </c>
      <c r="B108" s="1260" t="s">
        <v>840</v>
      </c>
      <c r="C108" s="1262">
        <v>41305</v>
      </c>
      <c r="D108" s="447">
        <f>Ashmore_blend!D8</f>
        <v>0</v>
      </c>
      <c r="E108" s="448">
        <f>VLOOKUP(AH$8,Ashmore_blend!A18:E488,3,FALSE)/1000000</f>
        <v>417.89414542999998</v>
      </c>
      <c r="F108" s="449">
        <f>AH108</f>
        <v>0.13059000000000001</v>
      </c>
      <c r="G108" s="450">
        <f t="array" ref="G108">IF($AJ108=0,"---",(PRODUCT($AH108:AJ108/100+1)-1)*100)</f>
        <v>0.4219024379817915</v>
      </c>
      <c r="H108" s="450">
        <f t="array" ref="H108">IF($AS108=0,"---",(PRODUCT(AH108:AN108/100+1)-1)*100)</f>
        <v>8.4486978152351853</v>
      </c>
      <c r="I108" s="450">
        <f t="array" ref="I108">IF(AS108=0,"---",(GEOMEAN($AH108:AS108/100+1)^12-1)*100)</f>
        <v>7.4813947712293771</v>
      </c>
      <c r="J108" s="450" t="str">
        <f t="array" ref="J108">IF(BE108=0,"---",(GEOMEAN($AH108:BE108/100+1)^12-1)*100)</f>
        <v>---</v>
      </c>
      <c r="K108" s="450" t="str">
        <f t="array" ref="K108">IF(BQ108=0,"---",(GEOMEAN($AH108:BQ108/100+1)^12-1)*100)</f>
        <v>---</v>
      </c>
      <c r="L108" s="450" t="str">
        <f t="array" ref="L108">IF(CC108=0,"---",(GEOMEAN($AH108:CC108/100+1)^12-1)*100)</f>
        <v>---</v>
      </c>
      <c r="M108" s="450" t="str">
        <f t="array" ref="M108">IF(CO108=0,"---",(GEOMEAN($AH108:CO108/100+1)^12-1)*100)</f>
        <v>---</v>
      </c>
      <c r="N108" s="450" t="str">
        <f t="array" ref="N108">IF(DM108=0,"---",(GEOMEAN($AH108:DM108/100+1)^12-1)*100)</f>
        <v>---</v>
      </c>
      <c r="O108" s="450" t="str">
        <f t="array" ref="O108">IF(EK108=0,"---",(GEOMEAN($AH108:EK108/100+1)^12-1)*100)</f>
        <v>---</v>
      </c>
      <c r="P108" s="450" t="str">
        <f t="array" ref="P108">IF(EW108=0,"---",(GEOMEAN($AH108:EW108/100+1)^12-1)*100)</f>
        <v>---</v>
      </c>
      <c r="Q108" s="451">
        <f t="array" ref="Q108">(GEOMEAN(Ashmore_blend!B$453:B471/100+1)^12-1)*100</f>
        <v>-0.54356863599518412</v>
      </c>
      <c r="R108" s="452">
        <f t="shared" ref="R108:AB108" si="107">IF(F108="---","---",(F108-F$109)*100)</f>
        <v>-57.86</v>
      </c>
      <c r="S108" s="452">
        <f t="shared" si="107"/>
        <v>-53.368158098163754</v>
      </c>
      <c r="T108" s="452">
        <f t="shared" si="107"/>
        <v>-114.90453980077521</v>
      </c>
      <c r="U108" s="452">
        <f t="shared" si="107"/>
        <v>-303.85804930256324</v>
      </c>
      <c r="V108" s="452" t="str">
        <f t="shared" si="107"/>
        <v>---</v>
      </c>
      <c r="W108" s="452" t="str">
        <f t="shared" si="107"/>
        <v>---</v>
      </c>
      <c r="X108" s="452" t="str">
        <f t="shared" si="107"/>
        <v>---</v>
      </c>
      <c r="Y108" s="452" t="str">
        <f t="shared" si="107"/>
        <v>---</v>
      </c>
      <c r="Z108" s="452" t="str">
        <f t="shared" si="107"/>
        <v>---</v>
      </c>
      <c r="AA108" s="452" t="str">
        <f t="shared" si="107"/>
        <v>---</v>
      </c>
      <c r="AB108" s="452" t="str">
        <f t="shared" si="107"/>
        <v>---</v>
      </c>
      <c r="AC108" s="453">
        <f>(Q108-AF108)*100</f>
        <v>-36.053552406599685</v>
      </c>
      <c r="AD108" s="478">
        <v>100</v>
      </c>
      <c r="AF108" s="450">
        <f t="array" ref="AF108">(GEOMEAN(Index_Returns!AT$453:AT471/100+1)^12-1)*100</f>
        <v>-0.18303311192918725</v>
      </c>
      <c r="AG108" s="1282" t="str">
        <f>IF(I108="---","&lt; 1 Year","---")</f>
        <v>---</v>
      </c>
      <c r="AH108" s="1407">
        <f t="array" ref="AH108">VLOOKUP(AH$8,Ashmore_blend!$A$1:$E$488,2,FALSE)</f>
        <v>0.13059000000000001</v>
      </c>
      <c r="AI108" s="1407">
        <f t="array" ref="AI108">VLOOKUP(AI$8,Ashmore_blend!$A$1:$E$488,2,FALSE)</f>
        <v>-0.76593999999999995</v>
      </c>
      <c r="AJ108" s="1407">
        <f t="array" ref="AJ108">VLOOKUP(AJ$8,Ashmore_blend!$A$1:$E$488,2,FALSE)</f>
        <v>1.0650299999999999</v>
      </c>
      <c r="AK108" s="1407">
        <f t="array" ref="AK108">VLOOKUP(AK$8,Ashmore_blend!$A$1:$E$488,2,FALSE)</f>
        <v>2.8283</v>
      </c>
      <c r="AL108" s="1407">
        <f t="array" ref="AL108">VLOOKUP(AL$8,Ashmore_blend!$A$1:$E$488,2,FALSE)</f>
        <v>0.73021000000000003</v>
      </c>
      <c r="AM108" s="1407">
        <f t="array" ref="AM108">VLOOKUP(AM$8,Ashmore_blend!$A$1:$E$488,2,FALSE)</f>
        <v>1.87645</v>
      </c>
      <c r="AN108" s="1407">
        <f t="array" ref="AN108">VLOOKUP(AN$8,Ashmore_blend!$A$1:$E$488,2,FALSE)</f>
        <v>2.3410099999999998</v>
      </c>
      <c r="AO108" s="1407">
        <f t="array" ref="AO108">VLOOKUP(AO$8,Ashmore_blend!$A$1:$E$488,2,FALSE)</f>
        <v>-2.67143</v>
      </c>
      <c r="AP108" s="1407">
        <f t="array" ref="AP108">VLOOKUP(AP$8,Ashmore_blend!$A$1:$E$488,2,FALSE)</f>
        <v>-0.29826999999999998</v>
      </c>
      <c r="AQ108" s="1407">
        <f t="array" ref="AQ108">VLOOKUP(AQ$8,Ashmore_blend!$A$1:$E$488,2,FALSE)</f>
        <v>-2.3812700000000002</v>
      </c>
      <c r="AR108" s="1407">
        <f t="array" ref="AR108">VLOOKUP(AR$8,Ashmore_blend!$A$1:$E$488,2,FALSE)</f>
        <v>2.35941</v>
      </c>
      <c r="AS108" s="1407">
        <f t="array" ref="AS108">VLOOKUP(AS$8,Ashmore_blend!$A$1:$E$488,2,FALSE)</f>
        <v>2.2127300000000001</v>
      </c>
      <c r="AT108" s="1407">
        <f t="array" ref="AT108">VLOOKUP(AT$8,Ashmore_blend!$A$1:$E$488,2,FALSE)</f>
        <v>-2.7294200000000002</v>
      </c>
      <c r="AU108" s="1407">
        <f t="array" ref="AU108">VLOOKUP(AU$8,Ashmore_blend!$A$1:$E$488,2,FALSE)</f>
        <v>0.78290000000000004</v>
      </c>
      <c r="AV108" s="1407">
        <f t="array" ref="AV108">VLOOKUP(AV$8,Ashmore_blend!$A$1:$E$488,2,FALSE)</f>
        <v>-4.7144599999999999</v>
      </c>
      <c r="AW108" s="1407">
        <f t="array" ref="AW108">VLOOKUP(AW$8,Ashmore_blend!$A$1:$E$488,2,FALSE)</f>
        <v>-3.8323399999999999</v>
      </c>
      <c r="AX108" s="1407">
        <f t="array" ref="AX108">VLOOKUP(AX$8,Ashmore_blend!$A$1:$E$488,2,FALSE)</f>
        <v>2.2900999999999998</v>
      </c>
      <c r="AY108" s="1407">
        <f t="array" ref="AY108">VLOOKUP(AY$8,Ashmore_blend!$A$1:$E$488,2,FALSE)</f>
        <v>-0.22131999999999999</v>
      </c>
      <c r="AZ108" s="1407">
        <f t="array" ref="AZ108">VLOOKUP(AZ$8,Ashmore_blend!$A$1:$E$488,2,FALSE)</f>
        <v>-1.66E-2</v>
      </c>
      <c r="BA108" s="1407">
        <f t="array" ref="BA108">VLOOKUP(BA$8,Ashmore_blend!$A$1:$E$488,2,FALSE)</f>
        <v>0.75390000000000001</v>
      </c>
      <c r="BB108" s="1407">
        <f t="array" ref="BB108">VLOOKUP(BB$8,Ashmore_blend!$A$1:$E$488,2,FALSE)</f>
        <v>0</v>
      </c>
      <c r="BC108" s="1407">
        <f t="array" ref="BC108">VLOOKUP(BC$8,Ashmore_blend!$A$1:$E$488,2,FALSE)</f>
        <v>0</v>
      </c>
      <c r="BD108" s="1407">
        <f t="array" ref="BD108">VLOOKUP(BD$8,Ashmore_blend!$A$1:$E$488,2,FALSE)</f>
        <v>0</v>
      </c>
      <c r="BE108" s="1407">
        <f t="array" ref="BE108">VLOOKUP(BE$8,Ashmore_blend!$A$1:$E$488,2,FALSE)</f>
        <v>0</v>
      </c>
      <c r="BF108" s="1407">
        <f t="array" ref="BF108">VLOOKUP(BF$8,Ashmore_blend!$A$1:$E$488,2,FALSE)</f>
        <v>0</v>
      </c>
      <c r="BG108" s="1407">
        <f t="array" ref="BG108">VLOOKUP(BG$8,Ashmore_blend!$A$1:$E$488,2,FALSE)</f>
        <v>0</v>
      </c>
      <c r="BH108" s="1407">
        <f t="array" ref="BH108">VLOOKUP(BH$8,Ashmore_blend!$A$1:$E$488,2,FALSE)</f>
        <v>0</v>
      </c>
      <c r="BI108" s="1407">
        <f t="array" ref="BI108">VLOOKUP(BI$8,Ashmore_blend!$A$1:$E$488,2,FALSE)</f>
        <v>0</v>
      </c>
      <c r="BJ108" s="1407">
        <f t="array" ref="BJ108">VLOOKUP(BJ$8,Ashmore_blend!$A$1:$E$488,2,FALSE)</f>
        <v>0</v>
      </c>
      <c r="BK108" s="1407">
        <f t="array" ref="BK108">VLOOKUP(BK$8,Ashmore_blend!$A$1:$E$488,2,FALSE)</f>
        <v>0</v>
      </c>
      <c r="BL108" s="1407">
        <f t="array" ref="BL108">VLOOKUP(BL$8,Ashmore_blend!$A$1:$E$488,2,FALSE)</f>
        <v>0</v>
      </c>
      <c r="BM108" s="1407">
        <f t="array" ref="BM108">VLOOKUP(BM$8,Ashmore_blend!$A$1:$E$488,2,FALSE)</f>
        <v>0</v>
      </c>
      <c r="BN108" s="1407">
        <f t="array" ref="BN108">VLOOKUP(BN$8,Ashmore_blend!$A$1:$E$488,2,FALSE)</f>
        <v>0</v>
      </c>
      <c r="BO108" s="1407">
        <f t="array" ref="BO108">VLOOKUP(BO$8,Ashmore_blend!$A$1:$E$488,2,FALSE)</f>
        <v>0</v>
      </c>
      <c r="BP108" s="1407">
        <f t="array" ref="BP108">VLOOKUP(BP$8,Ashmore_blend!$A$1:$E$488,2,FALSE)</f>
        <v>0</v>
      </c>
      <c r="BQ108" s="1407">
        <f t="array" ref="BQ108">VLOOKUP(BQ$8,Ashmore_blend!$A$1:$E$488,2,FALSE)</f>
        <v>0</v>
      </c>
      <c r="BR108" s="1407">
        <f t="array" ref="BR108">VLOOKUP(BR$8,Ashmore_blend!$A$1:$E$488,2,FALSE)</f>
        <v>0</v>
      </c>
      <c r="BS108" s="1407">
        <f t="array" ref="BS108">VLOOKUP(BS$8,Ashmore_blend!$A$1:$E$488,2,FALSE)</f>
        <v>0</v>
      </c>
      <c r="BT108" s="1407">
        <f t="array" ref="BT108">VLOOKUP(BT$8,Ashmore_blend!$A$1:$E$488,2,FALSE)</f>
        <v>0</v>
      </c>
      <c r="BU108" s="1407">
        <f t="array" ref="BU108">VLOOKUP(BU$8,Ashmore_blend!$A$1:$E$488,2,FALSE)</f>
        <v>0</v>
      </c>
      <c r="BV108" s="1407">
        <f t="array" ref="BV108">VLOOKUP(BV$8,Ashmore_blend!$A$1:$E$488,2,FALSE)</f>
        <v>0</v>
      </c>
      <c r="BW108" s="1407">
        <f t="array" ref="BW108">VLOOKUP(BW$8,Ashmore_blend!$A$1:$E$488,2,FALSE)</f>
        <v>0</v>
      </c>
      <c r="BX108" s="1407">
        <f t="array" ref="BX108">VLOOKUP(BX$8,Ashmore_blend!$A$1:$E$488,2,FALSE)</f>
        <v>0</v>
      </c>
      <c r="BY108" s="1407">
        <f t="array" ref="BY108">VLOOKUP(BY$8,Ashmore_blend!$A$1:$E$488,2,FALSE)</f>
        <v>0</v>
      </c>
      <c r="BZ108" s="1407">
        <f t="array" ref="BZ108">VLOOKUP(BZ$8,Ashmore_blend!$A$1:$E$488,2,FALSE)</f>
        <v>0</v>
      </c>
      <c r="CA108" s="1407">
        <f t="array" ref="CA108">VLOOKUP(CA$8,Ashmore_blend!$A$1:$E$488,2,FALSE)</f>
        <v>0</v>
      </c>
      <c r="CB108" s="1407">
        <f t="array" ref="CB108">VLOOKUP(CB$8,Ashmore_blend!$A$1:$E$488,2,FALSE)</f>
        <v>0</v>
      </c>
      <c r="CC108" s="1407">
        <f t="array" ref="CC108">VLOOKUP(CC$8,Ashmore_blend!$A$1:$E$488,2,FALSE)</f>
        <v>0</v>
      </c>
      <c r="CD108" s="1407">
        <f t="array" ref="CD108">VLOOKUP(CD$8,Ashmore_blend!$A$1:$E$488,2,FALSE)</f>
        <v>0</v>
      </c>
      <c r="CE108" s="1407">
        <f t="array" ref="CE108">VLOOKUP(CE$8,Ashmore_blend!$A$1:$E$488,2,FALSE)</f>
        <v>0</v>
      </c>
      <c r="CF108" s="1407">
        <f t="array" ref="CF108">VLOOKUP(CF$8,Ashmore_blend!$A$1:$E$488,2,FALSE)</f>
        <v>0</v>
      </c>
      <c r="CG108" s="1407">
        <f t="array" ref="CG108">VLOOKUP(CG$8,Ashmore_blend!$A$1:$E$488,2,FALSE)</f>
        <v>0</v>
      </c>
      <c r="CH108" s="1407">
        <f t="array" ref="CH108">VLOOKUP(CH$8,Ashmore_blend!$A$1:$E$488,2,FALSE)</f>
        <v>0</v>
      </c>
      <c r="CI108" s="1407">
        <f t="array" ref="CI108">VLOOKUP(CI$8,Ashmore_blend!$A$1:$E$488,2,FALSE)</f>
        <v>0</v>
      </c>
      <c r="CJ108" s="1407">
        <f t="array" ref="CJ108">VLOOKUP(CJ$8,Ashmore_blend!$A$1:$E$488,2,FALSE)</f>
        <v>0</v>
      </c>
      <c r="CK108" s="1407">
        <f t="array" ref="CK108">VLOOKUP(CK$8,Ashmore_blend!$A$1:$E$488,2,FALSE)</f>
        <v>0</v>
      </c>
      <c r="CL108" s="1407">
        <f t="array" ref="CL108">VLOOKUP(CL$8,Ashmore_blend!$A$1:$E$488,2,FALSE)</f>
        <v>0</v>
      </c>
      <c r="CM108" s="1407">
        <f t="array" ref="CM108">VLOOKUP(CM$8,Ashmore_blend!$A$1:$E$488,2,FALSE)</f>
        <v>0</v>
      </c>
      <c r="CN108" s="1407">
        <f t="array" ref="CN108">VLOOKUP(CN$8,Ashmore_blend!$A$1:$E$488,2,FALSE)</f>
        <v>0</v>
      </c>
      <c r="CO108" s="1407">
        <f t="array" ref="CO108">VLOOKUP(CO$8,Ashmore_blend!$A$1:$E$488,2,FALSE)</f>
        <v>0</v>
      </c>
      <c r="CP108" s="1407">
        <f t="array" ref="CP108">VLOOKUP(CP$8,Ashmore_blend!$A$1:$E$488,2,FALSE)</f>
        <v>0</v>
      </c>
      <c r="CQ108" s="1407">
        <f t="array" ref="CQ108">VLOOKUP(CQ$8,Ashmore_blend!$A$1:$E$488,2,FALSE)</f>
        <v>0</v>
      </c>
      <c r="CR108" s="1407">
        <f t="array" ref="CR108">VLOOKUP(CR$8,Ashmore_blend!$A$1:$E$488,2,FALSE)</f>
        <v>0</v>
      </c>
      <c r="CS108" s="1407">
        <f t="array" ref="CS108">VLOOKUP(CS$8,Ashmore_blend!$A$1:$E$488,2,FALSE)</f>
        <v>0</v>
      </c>
      <c r="CT108" s="1407">
        <f t="array" ref="CT108">VLOOKUP(CT$8,Ashmore_blend!$A$1:$E$488,2,FALSE)</f>
        <v>0</v>
      </c>
      <c r="CU108" s="1407">
        <f t="array" ref="CU108">VLOOKUP(CU$8,Ashmore_blend!$A$1:$E$488,2,FALSE)</f>
        <v>0</v>
      </c>
      <c r="CV108" s="1407">
        <f t="array" ref="CV108">VLOOKUP(CV$8,Ashmore_blend!$A$1:$E$488,2,FALSE)</f>
        <v>0</v>
      </c>
      <c r="CW108" s="1407">
        <f t="array" ref="CW108">VLOOKUP(CW$8,Ashmore_blend!$A$1:$E$488,2,FALSE)</f>
        <v>0</v>
      </c>
      <c r="CX108" s="1407">
        <f t="array" ref="CX108">VLOOKUP(CX$8,Ashmore_blend!$A$1:$E$488,2,FALSE)</f>
        <v>0</v>
      </c>
      <c r="CY108" s="1407">
        <f t="array" ref="CY108">VLOOKUP(CY$8,Ashmore_blend!$A$1:$E$488,2,FALSE)</f>
        <v>0</v>
      </c>
      <c r="CZ108" s="1407">
        <f t="array" ref="CZ108">VLOOKUP(CZ$8,Ashmore_blend!$A$1:$E$488,2,FALSE)</f>
        <v>0</v>
      </c>
      <c r="DA108" s="1407">
        <f t="array" ref="DA108">VLOOKUP(DA$8,Ashmore_blend!$A$1:$E$488,2,FALSE)</f>
        <v>0</v>
      </c>
      <c r="DB108" s="1407">
        <f t="array" ref="DB108">VLOOKUP(DB$8,Ashmore_blend!$A$1:$E$488,2,FALSE)</f>
        <v>0</v>
      </c>
      <c r="DC108" s="1407">
        <f t="array" ref="DC108">VLOOKUP(DC$8,Ashmore_blend!$A$1:$E$488,2,FALSE)</f>
        <v>0</v>
      </c>
      <c r="DD108" s="1407">
        <f t="array" ref="DD108">VLOOKUP(DD$8,Ashmore_blend!$A$1:$E$488,2,FALSE)</f>
        <v>0</v>
      </c>
      <c r="DE108" s="1407">
        <f t="array" ref="DE108">VLOOKUP(DE$8,Ashmore_blend!$A$1:$E$488,2,FALSE)</f>
        <v>0</v>
      </c>
      <c r="DF108" s="1407">
        <f t="array" ref="DF108">VLOOKUP(DF$8,Ashmore_blend!$A$1:$E$488,2,FALSE)</f>
        <v>0</v>
      </c>
      <c r="DG108" s="1407">
        <f t="array" ref="DG108">VLOOKUP(DG$8,Ashmore_blend!$A$1:$E$488,2,FALSE)</f>
        <v>0</v>
      </c>
      <c r="DH108" s="1407">
        <f t="array" ref="DH108">VLOOKUP(DH$8,Ashmore_blend!$A$1:$E$488,2,FALSE)</f>
        <v>0</v>
      </c>
      <c r="DI108" s="1407">
        <f t="array" ref="DI108">VLOOKUP(DI$8,Ashmore_blend!$A$1:$E$488,2,FALSE)</f>
        <v>0</v>
      </c>
      <c r="DJ108" s="1407">
        <f t="array" ref="DJ108">VLOOKUP(DJ$8,Ashmore_blend!$A$1:$E$488,2,FALSE)</f>
        <v>0</v>
      </c>
      <c r="DK108" s="1407">
        <f t="array" ref="DK108">VLOOKUP(DK$8,Ashmore_blend!$A$1:$E$488,2,FALSE)</f>
        <v>0</v>
      </c>
      <c r="DL108" s="1407">
        <f t="array" ref="DL108">VLOOKUP(DL$8,Ashmore_blend!$A$1:$E$488,2,FALSE)</f>
        <v>0</v>
      </c>
      <c r="DM108" s="1407">
        <f t="array" ref="DM108">VLOOKUP(DM$8,Ashmore_blend!$A$1:$E$488,2,FALSE)</f>
        <v>0</v>
      </c>
      <c r="DN108" s="1407">
        <f t="array" ref="DN108">VLOOKUP(DN$8,Ashmore_blend!$A$1:$E$488,2,FALSE)</f>
        <v>0</v>
      </c>
      <c r="DO108" s="1407">
        <f t="array" ref="DO108">VLOOKUP(DO$8,Ashmore_blend!$A$1:$E$488,2,FALSE)</f>
        <v>0</v>
      </c>
      <c r="DP108" s="1407">
        <f t="array" ref="DP108">VLOOKUP(DP$8,Ashmore_blend!$A$1:$E$488,2,FALSE)</f>
        <v>0</v>
      </c>
      <c r="DQ108" s="1407">
        <f t="array" ref="DQ108">VLOOKUP(DQ$8,Ashmore_blend!$A$1:$E$488,2,FALSE)</f>
        <v>0</v>
      </c>
      <c r="DR108" s="1407">
        <f t="array" ref="DR108">VLOOKUP(DR$8,Ashmore_blend!$A$1:$E$488,2,FALSE)</f>
        <v>0</v>
      </c>
      <c r="DS108" s="1407">
        <f t="array" ref="DS108">VLOOKUP(DS$8,Ashmore_blend!$A$1:$E$488,2,FALSE)</f>
        <v>0</v>
      </c>
      <c r="DT108" s="1407">
        <f t="array" ref="DT108">VLOOKUP(DT$8,Ashmore_blend!$A$1:$E$488,2,FALSE)</f>
        <v>0</v>
      </c>
      <c r="DU108" s="1407">
        <f t="array" ref="DU108">VLOOKUP(DU$8,Ashmore_blend!$A$1:$E$488,2,FALSE)</f>
        <v>0</v>
      </c>
      <c r="DV108" s="1407">
        <f t="array" ref="DV108">VLOOKUP(DV$8,Ashmore_blend!$A$1:$E$488,2,FALSE)</f>
        <v>0</v>
      </c>
      <c r="DW108" s="1407">
        <f t="array" ref="DW108">VLOOKUP(DW$8,Ashmore_blend!$A$1:$E$488,2,FALSE)</f>
        <v>0</v>
      </c>
      <c r="DX108" s="1407">
        <f t="array" ref="DX108">VLOOKUP(DX$8,Ashmore_blend!$A$1:$E$488,2,FALSE)</f>
        <v>0</v>
      </c>
      <c r="DY108" s="1407">
        <f t="array" ref="DY108">VLOOKUP(DY$8,Ashmore_blend!$A$1:$E$488,2,FALSE)</f>
        <v>0</v>
      </c>
      <c r="DZ108" s="1407">
        <f t="array" ref="DZ108">VLOOKUP(DZ$8,Ashmore_blend!$A$1:$E$488,2,FALSE)</f>
        <v>0</v>
      </c>
      <c r="EA108" s="1407">
        <f t="array" ref="EA108">VLOOKUP(EA$8,Ashmore_blend!$A$1:$E$488,2,FALSE)</f>
        <v>0</v>
      </c>
      <c r="EB108" s="1407">
        <f t="array" ref="EB108">VLOOKUP(EB$8,Ashmore_blend!$A$1:$E$488,2,FALSE)</f>
        <v>0</v>
      </c>
      <c r="EC108" s="1407">
        <f t="array" ref="EC108">VLOOKUP(EC$8,Ashmore_blend!$A$1:$E$488,2,FALSE)</f>
        <v>0</v>
      </c>
      <c r="ED108" s="1407">
        <f t="array" ref="ED108">VLOOKUP(ED$8,Ashmore_blend!$A$1:$E$488,2,FALSE)</f>
        <v>0</v>
      </c>
      <c r="EE108" s="1407">
        <f t="array" ref="EE108">VLOOKUP(EE$8,Ashmore_blend!$A$1:$E$488,2,FALSE)</f>
        <v>0</v>
      </c>
      <c r="EF108" s="1407">
        <f t="array" ref="EF108">VLOOKUP(EF$8,Ashmore_blend!$A$1:$E$488,2,FALSE)</f>
        <v>0</v>
      </c>
      <c r="EG108" s="1407">
        <f t="array" ref="EG108">VLOOKUP(EG$8,Ashmore_blend!$A$1:$E$488,2,FALSE)</f>
        <v>0</v>
      </c>
      <c r="EH108" s="1407">
        <f t="array" ref="EH108">VLOOKUP(EH$8,Ashmore_blend!$A$1:$E$488,2,FALSE)</f>
        <v>0</v>
      </c>
      <c r="EI108" s="1407">
        <f t="array" ref="EI108">VLOOKUP(EI$8,Ashmore_blend!$A$1:$E$488,2,FALSE)</f>
        <v>0</v>
      </c>
      <c r="EJ108" s="1407">
        <f t="array" ref="EJ108">VLOOKUP(EJ$8,Ashmore_blend!$A$1:$E$488,2,FALSE)</f>
        <v>0</v>
      </c>
      <c r="EK108" s="1407">
        <f t="array" ref="EK108">VLOOKUP(EK$8,Ashmore_blend!$A$1:$E$488,2,FALSE)</f>
        <v>0</v>
      </c>
      <c r="EL108" s="1407">
        <f t="array" ref="EL108">VLOOKUP(EL$8,Ashmore_blend!$A$1:$E$488,2,FALSE)</f>
        <v>0</v>
      </c>
      <c r="EM108" s="1407">
        <f t="array" ref="EM108">VLOOKUP(EM$8,Ashmore_blend!$A$1:$E$488,2,FALSE)</f>
        <v>0</v>
      </c>
      <c r="EN108" s="1407">
        <f t="array" ref="EN108">VLOOKUP(EN$8,Ashmore_blend!$A$1:$E$488,2,FALSE)</f>
        <v>0</v>
      </c>
      <c r="EO108" s="1407">
        <f t="array" ref="EO108">VLOOKUP(EO$8,Ashmore_blend!$A$1:$E$488,2,FALSE)</f>
        <v>0</v>
      </c>
      <c r="EP108" s="1407">
        <f t="array" ref="EP108">VLOOKUP(EP$8,Ashmore_blend!$A$1:$E$488,2,FALSE)</f>
        <v>0</v>
      </c>
      <c r="EQ108" s="1407">
        <f t="array" ref="EQ108">VLOOKUP(EQ$8,Ashmore_blend!$A$1:$E$488,2,FALSE)</f>
        <v>0</v>
      </c>
      <c r="ER108" s="1407">
        <f t="array" ref="ER108">VLOOKUP(ER$8,Ashmore_blend!$A$1:$E$488,2,FALSE)</f>
        <v>0</v>
      </c>
      <c r="ES108" s="1407">
        <f t="array" ref="ES108">VLOOKUP(ES$8,Ashmore_blend!$A$1:$E$488,2,FALSE)</f>
        <v>0</v>
      </c>
      <c r="ET108" s="1407">
        <f t="array" ref="ET108">VLOOKUP(ET$8,Ashmore_blend!$A$1:$E$488,2,FALSE)</f>
        <v>0</v>
      </c>
      <c r="EU108" s="1407">
        <f t="array" ref="EU108">VLOOKUP(EU$8,Ashmore_blend!$A$1:$E$488,2,FALSE)</f>
        <v>0</v>
      </c>
      <c r="EV108" s="1407">
        <f t="array" ref="EV108">VLOOKUP(EV$8,Ashmore_blend!$A$1:$E$488,2,FALSE)</f>
        <v>0</v>
      </c>
      <c r="EW108" s="1407">
        <f t="array" ref="EW108">VLOOKUP(EW$8,Ashmore_blend!$A$1:$E$488,2,FALSE)</f>
        <v>0</v>
      </c>
      <c r="EX108" s="515" t="str">
        <f>A108</f>
        <v xml:space="preserve">Ashmore Blended: London (Active) </v>
      </c>
      <c r="EY108" s="1259"/>
      <c r="EZ108" s="789" t="e">
        <f>VLOOKUP($EY108,'NEPC data'!$B89:$M276,5,TRUE)*100</f>
        <v>#N/A</v>
      </c>
      <c r="FA108" s="789" t="e">
        <f>VLOOKUP($EY108,'NEPC data'!$B89:$M276,7,TRUE)*100</f>
        <v>#N/A</v>
      </c>
      <c r="FB108" s="789" t="e">
        <f>VLOOKUP($EY108,'NEPC data'!$B89:$M276,9,TRUE)*100</f>
        <v>#N/A</v>
      </c>
      <c r="FC108" s="789" t="e">
        <f>VLOOKUP($EY108,'NEPC data'!$B89:$M276,10,TRUE)*100</f>
        <v>#N/A</v>
      </c>
      <c r="FD108" s="789" t="e">
        <f>VLOOKUP($EY108,'NEPC data'!$B89:$M276,11,TRUE)*100</f>
        <v>#N/A</v>
      </c>
      <c r="FE108" s="1282"/>
      <c r="FF108" s="1327"/>
      <c r="FG108" s="1327"/>
      <c r="FH108" s="1327"/>
      <c r="FI108" s="1327"/>
      <c r="FJ108" s="1327"/>
      <c r="FK108" s="1282"/>
      <c r="FL108" s="1327"/>
      <c r="FM108" s="1327"/>
    </row>
    <row r="109" spans="1:169" s="15" customFormat="1" ht="12.75" customHeight="1" x14ac:dyDescent="0.2">
      <c r="A109" s="1408" t="s">
        <v>848</v>
      </c>
      <c r="B109" s="418"/>
      <c r="C109" s="485"/>
      <c r="D109" s="249"/>
      <c r="E109" s="470"/>
      <c r="F109" s="431">
        <f>AH109</f>
        <v>0.70918999999999999</v>
      </c>
      <c r="G109" s="432">
        <f t="array" ref="G109">IF($AJ109=0,"---",(PRODUCT($AH109:AJ109/100+1)-1)*100)</f>
        <v>0.95558401896342904</v>
      </c>
      <c r="H109" s="432">
        <f t="array" ref="H109">IF($AS109=0,"---",(PRODUCT(AH109:AN109/100+1)-1)*100)</f>
        <v>9.5977432132429374</v>
      </c>
      <c r="I109" s="432">
        <f t="array" ref="I109">IF(AS109=0,"---",(GEOMEAN($AH109:AS109/100+1)^12-1)*100)</f>
        <v>10.51997526425501</v>
      </c>
      <c r="J109" s="432" t="str">
        <f t="array" ref="J109">IF(BE109=0,"---",(GEOMEAN($AH109:BE109/100+1)^12-1)*100)</f>
        <v>---</v>
      </c>
      <c r="K109" s="432" t="str">
        <f t="array" ref="K109">IF(BQ109=0,"---",(GEOMEAN($AH109:BQ109/100+1)^12-1)*100)</f>
        <v>---</v>
      </c>
      <c r="L109" s="432" t="str">
        <f t="array" ref="L109">IF(CC109=0,"---",(GEOMEAN($AH109:CC109/100+1)^12-1)*100)</f>
        <v>---</v>
      </c>
      <c r="M109" s="432" t="str">
        <f t="array" ref="M109">IF(CO109=0,"---",(GEOMEAN($AH109:CO109/100+1)^12-1)*100)</f>
        <v>---</v>
      </c>
      <c r="N109" s="432" t="str">
        <f t="array" ref="N109">IF(DM109=0,"---",(GEOMEAN($AH109:DM109/100+1)^12-1)*100)</f>
        <v>---</v>
      </c>
      <c r="O109" s="432" t="str">
        <f t="array" ref="O109">IF(EK109=0,"---",(GEOMEAN($AH109:EK109/100+1)^12-1)*100)</f>
        <v>---</v>
      </c>
      <c r="P109" s="432" t="str">
        <f t="array" ref="P109">IF(EW109=0,"---",(GEOMEAN($AH109:EW109/100+1)^12-1)*100)</f>
        <v>---</v>
      </c>
      <c r="Q109" s="468" t="s">
        <v>34</v>
      </c>
      <c r="R109" s="249"/>
      <c r="S109" s="249"/>
      <c r="T109" s="249"/>
      <c r="U109" s="249"/>
      <c r="V109" s="249"/>
      <c r="W109" s="249"/>
      <c r="X109" s="249"/>
      <c r="Y109" s="249"/>
      <c r="Z109" s="249"/>
      <c r="AA109" s="249"/>
      <c r="AB109" s="249"/>
      <c r="AC109" s="459"/>
      <c r="AD109" s="463"/>
      <c r="AF109" s="467"/>
      <c r="AG109" s="1367"/>
      <c r="AH109" s="482">
        <f>VLOOKUP(AH$8,Index,46,FALSE)</f>
        <v>0.70918999999999999</v>
      </c>
      <c r="AI109" s="482">
        <f t="shared" ref="AI109:BM109" si="108">VLOOKUP(AI$8,Index,46,FALSE)</f>
        <v>-0.51722000000000001</v>
      </c>
      <c r="AJ109" s="482">
        <f t="shared" si="108"/>
        <v>0.76583999999999997</v>
      </c>
      <c r="AK109" s="482">
        <f t="shared" si="108"/>
        <v>2.4180899999999999</v>
      </c>
      <c r="AL109" s="482">
        <f t="shared" si="108"/>
        <v>0.91893999999999998</v>
      </c>
      <c r="AM109" s="482">
        <f t="shared" si="108"/>
        <v>1.8325199999999999</v>
      </c>
      <c r="AN109" s="482">
        <f t="shared" si="108"/>
        <v>3.1419700000000002</v>
      </c>
      <c r="AO109" s="482">
        <f t="shared" si="108"/>
        <v>-2.4068200000000002</v>
      </c>
      <c r="AP109" s="482">
        <f t="shared" si="108"/>
        <v>-0.12064999999999999</v>
      </c>
      <c r="AQ109" s="482">
        <f t="shared" si="108"/>
        <v>-2.3816799999999998</v>
      </c>
      <c r="AR109" s="482">
        <f t="shared" si="108"/>
        <v>2.5956399999999999</v>
      </c>
      <c r="AS109" s="482">
        <f t="shared" si="108"/>
        <v>3.2960600000000002</v>
      </c>
      <c r="AT109" s="482">
        <f t="shared" si="108"/>
        <v>-2.9921099999999998</v>
      </c>
      <c r="AU109" s="482">
        <f t="shared" si="108"/>
        <v>0.23654</v>
      </c>
      <c r="AV109" s="482">
        <f t="shared" si="108"/>
        <v>-4.2938999999999998</v>
      </c>
      <c r="AW109" s="482">
        <f t="shared" si="108"/>
        <v>-4.5274099999999997</v>
      </c>
      <c r="AX109" s="482">
        <f t="shared" si="108"/>
        <v>2.76736</v>
      </c>
      <c r="AY109" s="482">
        <f t="shared" si="108"/>
        <v>-0.43078</v>
      </c>
      <c r="AZ109" s="482">
        <f t="shared" si="108"/>
        <v>-0.10105</v>
      </c>
      <c r="BA109" s="482">
        <f t="shared" si="108"/>
        <v>4.0509999999999997E-2</v>
      </c>
      <c r="BB109" s="482">
        <f t="shared" si="108"/>
        <v>0</v>
      </c>
      <c r="BC109" s="482">
        <f t="shared" si="108"/>
        <v>0</v>
      </c>
      <c r="BD109" s="482">
        <f t="shared" si="108"/>
        <v>0</v>
      </c>
      <c r="BE109" s="482">
        <f t="shared" si="108"/>
        <v>0</v>
      </c>
      <c r="BF109" s="482">
        <f t="shared" si="108"/>
        <v>0</v>
      </c>
      <c r="BG109" s="482">
        <f t="shared" si="108"/>
        <v>0</v>
      </c>
      <c r="BH109" s="482">
        <f t="shared" si="108"/>
        <v>0</v>
      </c>
      <c r="BI109" s="482">
        <f t="shared" si="108"/>
        <v>0</v>
      </c>
      <c r="BJ109" s="482">
        <f t="shared" si="108"/>
        <v>0</v>
      </c>
      <c r="BK109" s="482">
        <f t="shared" si="108"/>
        <v>0</v>
      </c>
      <c r="BL109" s="482">
        <f t="shared" si="108"/>
        <v>0</v>
      </c>
      <c r="BM109" s="482">
        <f t="shared" si="108"/>
        <v>0</v>
      </c>
      <c r="BN109" s="482">
        <f t="shared" ref="BN109:CS109" si="109">VLOOKUP(BN$8,Index,46,FALSE)</f>
        <v>0</v>
      </c>
      <c r="BO109" s="482">
        <f t="shared" si="109"/>
        <v>0</v>
      </c>
      <c r="BP109" s="482">
        <f t="shared" si="109"/>
        <v>0</v>
      </c>
      <c r="BQ109" s="482">
        <f t="shared" si="109"/>
        <v>0</v>
      </c>
      <c r="BR109" s="482">
        <f t="shared" si="109"/>
        <v>0</v>
      </c>
      <c r="BS109" s="482">
        <f t="shared" si="109"/>
        <v>0</v>
      </c>
      <c r="BT109" s="482">
        <f t="shared" si="109"/>
        <v>0</v>
      </c>
      <c r="BU109" s="482">
        <f t="shared" si="109"/>
        <v>0</v>
      </c>
      <c r="BV109" s="482">
        <f t="shared" si="109"/>
        <v>0</v>
      </c>
      <c r="BW109" s="482">
        <f t="shared" si="109"/>
        <v>0</v>
      </c>
      <c r="BX109" s="482">
        <f t="shared" si="109"/>
        <v>0</v>
      </c>
      <c r="BY109" s="482">
        <f t="shared" si="109"/>
        <v>0</v>
      </c>
      <c r="BZ109" s="482">
        <f t="shared" si="109"/>
        <v>0</v>
      </c>
      <c r="CA109" s="482">
        <f t="shared" si="109"/>
        <v>0</v>
      </c>
      <c r="CB109" s="482">
        <f t="shared" si="109"/>
        <v>0</v>
      </c>
      <c r="CC109" s="482">
        <f t="shared" si="109"/>
        <v>0</v>
      </c>
      <c r="CD109" s="482">
        <f t="shared" si="109"/>
        <v>0</v>
      </c>
      <c r="CE109" s="482">
        <f t="shared" si="109"/>
        <v>0</v>
      </c>
      <c r="CF109" s="482">
        <f t="shared" si="109"/>
        <v>0</v>
      </c>
      <c r="CG109" s="482">
        <f t="shared" si="109"/>
        <v>0</v>
      </c>
      <c r="CH109" s="482">
        <f t="shared" si="109"/>
        <v>0</v>
      </c>
      <c r="CI109" s="482">
        <f t="shared" si="109"/>
        <v>0</v>
      </c>
      <c r="CJ109" s="482">
        <f t="shared" si="109"/>
        <v>0</v>
      </c>
      <c r="CK109" s="482">
        <f t="shared" si="109"/>
        <v>0</v>
      </c>
      <c r="CL109" s="482">
        <f t="shared" si="109"/>
        <v>0</v>
      </c>
      <c r="CM109" s="482">
        <f t="shared" si="109"/>
        <v>0</v>
      </c>
      <c r="CN109" s="482">
        <f t="shared" si="109"/>
        <v>0</v>
      </c>
      <c r="CO109" s="482">
        <f t="shared" si="109"/>
        <v>0</v>
      </c>
      <c r="CP109" s="482">
        <f t="shared" si="109"/>
        <v>0</v>
      </c>
      <c r="CQ109" s="482">
        <f t="shared" si="109"/>
        <v>0</v>
      </c>
      <c r="CR109" s="482">
        <f t="shared" si="109"/>
        <v>0</v>
      </c>
      <c r="CS109" s="482">
        <f t="shared" si="109"/>
        <v>0</v>
      </c>
      <c r="CT109" s="482">
        <f t="shared" ref="CT109:DY109" si="110">VLOOKUP(CT$8,Index,46,FALSE)</f>
        <v>0</v>
      </c>
      <c r="CU109" s="482">
        <f t="shared" si="110"/>
        <v>0</v>
      </c>
      <c r="CV109" s="482">
        <f t="shared" si="110"/>
        <v>0</v>
      </c>
      <c r="CW109" s="482">
        <f t="shared" si="110"/>
        <v>0</v>
      </c>
      <c r="CX109" s="482">
        <f t="shared" si="110"/>
        <v>0</v>
      </c>
      <c r="CY109" s="482">
        <f t="shared" si="110"/>
        <v>0</v>
      </c>
      <c r="CZ109" s="482">
        <f t="shared" si="110"/>
        <v>0</v>
      </c>
      <c r="DA109" s="482">
        <f t="shared" si="110"/>
        <v>0</v>
      </c>
      <c r="DB109" s="482">
        <f t="shared" si="110"/>
        <v>0</v>
      </c>
      <c r="DC109" s="482">
        <f t="shared" si="110"/>
        <v>0</v>
      </c>
      <c r="DD109" s="482">
        <f t="shared" si="110"/>
        <v>0</v>
      </c>
      <c r="DE109" s="482">
        <f t="shared" si="110"/>
        <v>0</v>
      </c>
      <c r="DF109" s="482">
        <f t="shared" si="110"/>
        <v>0</v>
      </c>
      <c r="DG109" s="482">
        <f t="shared" si="110"/>
        <v>0</v>
      </c>
      <c r="DH109" s="482">
        <f t="shared" si="110"/>
        <v>0</v>
      </c>
      <c r="DI109" s="482">
        <f t="shared" si="110"/>
        <v>0</v>
      </c>
      <c r="DJ109" s="482">
        <f t="shared" si="110"/>
        <v>0</v>
      </c>
      <c r="DK109" s="482">
        <f t="shared" si="110"/>
        <v>0</v>
      </c>
      <c r="DL109" s="482">
        <f t="shared" si="110"/>
        <v>0</v>
      </c>
      <c r="DM109" s="482">
        <f t="shared" si="110"/>
        <v>0</v>
      </c>
      <c r="DN109" s="482">
        <f t="shared" si="110"/>
        <v>0</v>
      </c>
      <c r="DO109" s="482">
        <f t="shared" si="110"/>
        <v>0</v>
      </c>
      <c r="DP109" s="482">
        <f t="shared" si="110"/>
        <v>0</v>
      </c>
      <c r="DQ109" s="482">
        <f t="shared" si="110"/>
        <v>0</v>
      </c>
      <c r="DR109" s="482">
        <f t="shared" si="110"/>
        <v>0</v>
      </c>
      <c r="DS109" s="482">
        <f t="shared" si="110"/>
        <v>0</v>
      </c>
      <c r="DT109" s="482">
        <f t="shared" si="110"/>
        <v>0</v>
      </c>
      <c r="DU109" s="482">
        <f t="shared" si="110"/>
        <v>0</v>
      </c>
      <c r="DV109" s="482">
        <f t="shared" si="110"/>
        <v>0</v>
      </c>
      <c r="DW109" s="482">
        <f t="shared" si="110"/>
        <v>0</v>
      </c>
      <c r="DX109" s="482">
        <f t="shared" si="110"/>
        <v>0</v>
      </c>
      <c r="DY109" s="482">
        <f t="shared" si="110"/>
        <v>0</v>
      </c>
      <c r="DZ109" s="482">
        <f t="shared" ref="DZ109:EW109" si="111">VLOOKUP(DZ$8,Index,46,FALSE)</f>
        <v>0</v>
      </c>
      <c r="EA109" s="482">
        <f t="shared" si="111"/>
        <v>0</v>
      </c>
      <c r="EB109" s="482">
        <f t="shared" si="111"/>
        <v>0</v>
      </c>
      <c r="EC109" s="482">
        <f t="shared" si="111"/>
        <v>0</v>
      </c>
      <c r="ED109" s="482">
        <f t="shared" si="111"/>
        <v>0</v>
      </c>
      <c r="EE109" s="482">
        <f t="shared" si="111"/>
        <v>0</v>
      </c>
      <c r="EF109" s="482">
        <f t="shared" si="111"/>
        <v>0</v>
      </c>
      <c r="EG109" s="482">
        <f t="shared" si="111"/>
        <v>0</v>
      </c>
      <c r="EH109" s="482">
        <f t="shared" si="111"/>
        <v>0</v>
      </c>
      <c r="EI109" s="482">
        <f t="shared" si="111"/>
        <v>0</v>
      </c>
      <c r="EJ109" s="482">
        <f t="shared" si="111"/>
        <v>0</v>
      </c>
      <c r="EK109" s="482">
        <f t="shared" si="111"/>
        <v>0</v>
      </c>
      <c r="EL109" s="482">
        <f t="shared" si="111"/>
        <v>0</v>
      </c>
      <c r="EM109" s="482">
        <f t="shared" si="111"/>
        <v>0</v>
      </c>
      <c r="EN109" s="482">
        <f t="shared" si="111"/>
        <v>0</v>
      </c>
      <c r="EO109" s="482">
        <f t="shared" si="111"/>
        <v>0</v>
      </c>
      <c r="EP109" s="482">
        <f t="shared" si="111"/>
        <v>0</v>
      </c>
      <c r="EQ109" s="482">
        <f t="shared" si="111"/>
        <v>0</v>
      </c>
      <c r="ER109" s="482">
        <f t="shared" si="111"/>
        <v>0</v>
      </c>
      <c r="ES109" s="482">
        <f t="shared" si="111"/>
        <v>0</v>
      </c>
      <c r="ET109" s="482">
        <f t="shared" si="111"/>
        <v>0</v>
      </c>
      <c r="EU109" s="482">
        <f t="shared" si="111"/>
        <v>0</v>
      </c>
      <c r="EV109" s="482">
        <f t="shared" si="111"/>
        <v>0</v>
      </c>
      <c r="EW109" s="482">
        <f t="shared" si="111"/>
        <v>0</v>
      </c>
      <c r="EX109" s="515"/>
      <c r="EY109" s="515"/>
      <c r="EZ109" s="789" t="e">
        <f>VLOOKUP($EY109,'NEPC data'!$B91:$M278,5,TRUE)*100</f>
        <v>#N/A</v>
      </c>
      <c r="FA109" s="789" t="e">
        <f>VLOOKUP($EY109,'NEPC data'!$B91:$M278,7,TRUE)*100</f>
        <v>#N/A</v>
      </c>
      <c r="FB109" s="789" t="e">
        <f>VLOOKUP($EY109,'NEPC data'!$B91:$M278,9,TRUE)*100</f>
        <v>#N/A</v>
      </c>
      <c r="FC109" s="789" t="e">
        <f>VLOOKUP($EY109,'NEPC data'!$B91:$M278,10,TRUE)*100</f>
        <v>#N/A</v>
      </c>
      <c r="FD109" s="789" t="e">
        <f>VLOOKUP($EY109,'NEPC data'!$B91:$M278,11,TRUE)*100</f>
        <v>#N/A</v>
      </c>
      <c r="FE109" s="418"/>
      <c r="FF109" s="467"/>
      <c r="FG109" s="467"/>
      <c r="FH109" s="467"/>
      <c r="FI109" s="467"/>
      <c r="FJ109" s="467"/>
      <c r="FK109" s="418"/>
      <c r="FL109" s="467"/>
      <c r="FM109" s="467"/>
    </row>
    <row r="110" spans="1:169" s="395" customFormat="1" ht="12.75" customHeight="1" x14ac:dyDescent="0.2">
      <c r="A110" s="456"/>
      <c r="B110" s="418"/>
      <c r="C110" s="485"/>
      <c r="D110" s="249"/>
      <c r="E110" s="470"/>
      <c r="F110" s="431"/>
      <c r="G110" s="432"/>
      <c r="H110" s="432"/>
      <c r="I110" s="432"/>
      <c r="J110" s="432"/>
      <c r="K110" s="432"/>
      <c r="L110" s="432"/>
      <c r="M110" s="432"/>
      <c r="N110" s="432"/>
      <c r="O110" s="432"/>
      <c r="P110" s="432"/>
      <c r="Q110" s="468"/>
      <c r="R110" s="249"/>
      <c r="S110" s="249"/>
      <c r="T110" s="249"/>
      <c r="U110" s="249"/>
      <c r="V110" s="249"/>
      <c r="W110" s="249"/>
      <c r="X110" s="249"/>
      <c r="Y110" s="249"/>
      <c r="Z110" s="249"/>
      <c r="AA110" s="249"/>
      <c r="AB110" s="249"/>
      <c r="AC110" s="459"/>
      <c r="AD110" s="463"/>
      <c r="AE110" s="15"/>
      <c r="AF110" s="442"/>
      <c r="AG110" s="486"/>
      <c r="AH110" s="439"/>
      <c r="AI110" s="439"/>
      <c r="AJ110" s="439"/>
      <c r="AK110" s="439"/>
      <c r="AL110" s="439"/>
      <c r="AM110" s="439"/>
      <c r="AN110" s="439"/>
      <c r="AO110" s="439"/>
      <c r="AP110" s="439"/>
      <c r="AQ110" s="439"/>
      <c r="AR110" s="439"/>
      <c r="AS110" s="439"/>
      <c r="AT110" s="439"/>
      <c r="AU110" s="439"/>
      <c r="AV110" s="439"/>
      <c r="AW110" s="439"/>
      <c r="AX110" s="439"/>
      <c r="AY110" s="439"/>
      <c r="AZ110" s="439"/>
      <c r="BA110" s="439"/>
      <c r="BB110" s="439"/>
      <c r="BC110" s="439"/>
      <c r="BD110" s="439"/>
      <c r="BE110" s="439"/>
      <c r="BF110" s="439"/>
      <c r="BG110" s="439"/>
      <c r="BH110" s="439"/>
      <c r="BI110" s="439"/>
      <c r="BJ110" s="439"/>
      <c r="BK110" s="439"/>
      <c r="BL110" s="439"/>
      <c r="BM110" s="439"/>
      <c r="BN110" s="439"/>
      <c r="BO110" s="439"/>
      <c r="BP110" s="439"/>
      <c r="BQ110" s="439"/>
      <c r="BR110" s="439"/>
      <c r="BS110" s="439"/>
      <c r="BT110" s="439"/>
      <c r="BU110" s="439"/>
      <c r="BV110" s="439"/>
      <c r="BW110" s="439"/>
      <c r="BX110" s="439"/>
      <c r="BY110" s="439"/>
      <c r="BZ110" s="439"/>
      <c r="CA110" s="439"/>
      <c r="CB110" s="439"/>
      <c r="CC110" s="439"/>
      <c r="CD110" s="439"/>
      <c r="CE110" s="439"/>
      <c r="CF110" s="439"/>
      <c r="CG110" s="439"/>
      <c r="CH110" s="439"/>
      <c r="CI110" s="439"/>
      <c r="CJ110" s="439"/>
      <c r="CK110" s="439"/>
      <c r="CL110" s="439"/>
      <c r="CM110" s="439"/>
      <c r="CN110" s="439"/>
      <c r="CO110" s="439"/>
      <c r="CP110" s="439"/>
      <c r="CQ110" s="439"/>
      <c r="CR110" s="439"/>
      <c r="CS110" s="439"/>
      <c r="CT110" s="439"/>
      <c r="CU110" s="439"/>
      <c r="CV110" s="439"/>
      <c r="CW110" s="439"/>
      <c r="CX110" s="439"/>
      <c r="CY110" s="439"/>
      <c r="CZ110" s="439"/>
      <c r="DA110" s="439"/>
      <c r="DB110" s="439"/>
      <c r="DC110" s="439"/>
      <c r="DD110" s="439"/>
      <c r="DE110" s="439"/>
      <c r="DF110" s="439"/>
      <c r="DG110" s="439"/>
      <c r="DH110" s="439"/>
      <c r="DI110" s="439"/>
      <c r="DJ110" s="439"/>
      <c r="DK110" s="439"/>
      <c r="DL110" s="439"/>
      <c r="DM110" s="439"/>
      <c r="DN110" s="439"/>
      <c r="DO110" s="439"/>
      <c r="DP110" s="439"/>
      <c r="DQ110" s="439"/>
      <c r="DR110" s="439"/>
      <c r="DS110" s="439"/>
      <c r="DT110" s="439"/>
      <c r="DU110" s="439"/>
      <c r="DV110" s="439"/>
      <c r="DW110" s="439"/>
      <c r="DX110" s="439"/>
      <c r="DY110" s="439"/>
      <c r="DZ110" s="439"/>
      <c r="EA110" s="439"/>
      <c r="EB110" s="439"/>
      <c r="EC110" s="439"/>
      <c r="ED110" s="439"/>
      <c r="EE110" s="439"/>
      <c r="EF110" s="439"/>
      <c r="EG110" s="439"/>
      <c r="EH110" s="439"/>
      <c r="EI110" s="439"/>
      <c r="EJ110" s="439"/>
      <c r="EK110" s="439"/>
      <c r="EL110" s="439"/>
      <c r="EM110" s="439"/>
      <c r="EN110" s="439"/>
      <c r="EO110" s="439"/>
      <c r="EP110" s="439"/>
      <c r="EQ110" s="439"/>
      <c r="ER110" s="439"/>
      <c r="ES110" s="439"/>
      <c r="ET110" s="439"/>
      <c r="EU110" s="439"/>
      <c r="EV110" s="439"/>
      <c r="EW110" s="439"/>
      <c r="EX110" s="393"/>
      <c r="EY110" s="393"/>
      <c r="EZ110" s="789" t="e">
        <f>VLOOKUP($EY110,'NEPC data'!$B92:$M279,5,TRUE)*100</f>
        <v>#N/A</v>
      </c>
      <c r="FA110" s="789" t="e">
        <f>VLOOKUP($EY110,'NEPC data'!$B92:$M279,7,TRUE)*100</f>
        <v>#N/A</v>
      </c>
      <c r="FB110" s="789" t="e">
        <f>VLOOKUP($EY110,'NEPC data'!$B92:$M279,9,TRUE)*100</f>
        <v>#N/A</v>
      </c>
      <c r="FC110" s="789" t="e">
        <f>VLOOKUP($EY110,'NEPC data'!$B92:$M279,10,TRUE)*100</f>
        <v>#N/A</v>
      </c>
      <c r="FD110" s="789" t="e">
        <f>VLOOKUP($EY110,'NEPC data'!$B92:$M279,11,TRUE)*100</f>
        <v>#N/A</v>
      </c>
      <c r="FE110" s="382"/>
      <c r="FF110" s="442"/>
      <c r="FG110" s="442"/>
      <c r="FH110" s="442"/>
      <c r="FI110" s="442"/>
      <c r="FJ110" s="442"/>
      <c r="FK110" s="382"/>
      <c r="FL110" s="442"/>
      <c r="FM110" s="442"/>
    </row>
    <row r="111" spans="1:169" s="207" customFormat="1" ht="12.75" hidden="1" customHeight="1" thickBot="1" x14ac:dyDescent="0.25">
      <c r="A111" s="497" t="s">
        <v>210</v>
      </c>
      <c r="B111" s="622"/>
      <c r="C111" s="498"/>
      <c r="D111" s="509"/>
      <c r="E111" s="500">
        <f>SUM(E94:E108)</f>
        <v>4431.0435084500004</v>
      </c>
      <c r="F111" s="599"/>
      <c r="G111" s="600"/>
      <c r="H111" s="600"/>
      <c r="I111" s="600"/>
      <c r="J111" s="600"/>
      <c r="K111" s="600"/>
      <c r="L111" s="600"/>
      <c r="M111" s="600"/>
      <c r="N111" s="600"/>
      <c r="O111" s="600"/>
      <c r="P111" s="600"/>
      <c r="Q111" s="601"/>
      <c r="R111" s="499"/>
      <c r="S111" s="499"/>
      <c r="T111" s="499"/>
      <c r="U111" s="499"/>
      <c r="V111" s="499"/>
      <c r="W111" s="499"/>
      <c r="X111" s="499"/>
      <c r="Y111" s="499"/>
      <c r="Z111" s="499"/>
      <c r="AA111" s="499"/>
      <c r="AB111" s="499"/>
      <c r="AC111" s="602"/>
      <c r="AD111" s="603"/>
      <c r="AE111" s="501"/>
      <c r="AF111" s="508"/>
      <c r="AG111" s="510"/>
      <c r="AH111" s="503"/>
      <c r="AI111" s="503"/>
      <c r="AJ111" s="503"/>
      <c r="AK111" s="503"/>
      <c r="AL111" s="503"/>
      <c r="AM111" s="503"/>
      <c r="AN111" s="503"/>
      <c r="AO111" s="503"/>
      <c r="AP111" s="503"/>
      <c r="AQ111" s="503"/>
      <c r="AR111" s="503"/>
      <c r="AS111" s="503"/>
      <c r="AT111" s="503"/>
      <c r="AU111" s="503"/>
      <c r="AV111" s="503"/>
      <c r="AW111" s="503"/>
      <c r="AX111" s="503"/>
      <c r="AY111" s="503"/>
      <c r="AZ111" s="503"/>
      <c r="BA111" s="503"/>
      <c r="BB111" s="503"/>
      <c r="BC111" s="503"/>
      <c r="BD111" s="503"/>
      <c r="BE111" s="503"/>
      <c r="BF111" s="503"/>
      <c r="BG111" s="503"/>
      <c r="BH111" s="503"/>
      <c r="BI111" s="503"/>
      <c r="BJ111" s="503"/>
      <c r="BK111" s="503"/>
      <c r="BL111" s="503"/>
      <c r="BM111" s="503"/>
      <c r="BN111" s="503"/>
      <c r="BO111" s="503"/>
      <c r="BP111" s="503"/>
      <c r="BQ111" s="503"/>
      <c r="BR111" s="503"/>
      <c r="BS111" s="503"/>
      <c r="BT111" s="503"/>
      <c r="BU111" s="503"/>
      <c r="BV111" s="503"/>
      <c r="BW111" s="503"/>
      <c r="BX111" s="503"/>
      <c r="BY111" s="503"/>
      <c r="BZ111" s="503"/>
      <c r="CA111" s="503"/>
      <c r="CB111" s="503"/>
      <c r="CC111" s="503"/>
      <c r="CD111" s="503"/>
      <c r="CE111" s="503"/>
      <c r="CF111" s="503"/>
      <c r="CG111" s="503"/>
      <c r="CH111" s="503"/>
      <c r="CI111" s="503"/>
      <c r="CJ111" s="503"/>
      <c r="CK111" s="503"/>
      <c r="CL111" s="503"/>
      <c r="CM111" s="503"/>
      <c r="CN111" s="503"/>
      <c r="CO111" s="503"/>
      <c r="CP111" s="503"/>
      <c r="CQ111" s="503"/>
      <c r="CR111" s="503"/>
      <c r="CS111" s="503"/>
      <c r="CT111" s="503"/>
      <c r="CU111" s="503"/>
      <c r="CV111" s="503"/>
      <c r="CW111" s="503"/>
      <c r="CX111" s="503"/>
      <c r="CY111" s="503"/>
      <c r="CZ111" s="503"/>
      <c r="DA111" s="503"/>
      <c r="DB111" s="503"/>
      <c r="DC111" s="503"/>
      <c r="DD111" s="503"/>
      <c r="DE111" s="503"/>
      <c r="DF111" s="503"/>
      <c r="DG111" s="503"/>
      <c r="DH111" s="503"/>
      <c r="DI111" s="503"/>
      <c r="DJ111" s="503"/>
      <c r="DK111" s="503"/>
      <c r="DL111" s="503"/>
      <c r="DM111" s="503"/>
      <c r="DN111" s="503"/>
      <c r="DO111" s="503"/>
      <c r="DP111" s="503"/>
      <c r="DQ111" s="503"/>
      <c r="DR111" s="503"/>
      <c r="DS111" s="503"/>
      <c r="DT111" s="503"/>
      <c r="DU111" s="503"/>
      <c r="DV111" s="503"/>
      <c r="DW111" s="503"/>
      <c r="DX111" s="503"/>
      <c r="DY111" s="503"/>
      <c r="DZ111" s="503"/>
      <c r="EA111" s="503"/>
      <c r="EB111" s="503"/>
      <c r="EC111" s="503"/>
      <c r="ED111" s="503"/>
      <c r="EE111" s="503"/>
      <c r="EF111" s="503"/>
      <c r="EG111" s="503"/>
      <c r="EH111" s="503"/>
      <c r="EI111" s="503"/>
      <c r="EJ111" s="503"/>
      <c r="EK111" s="503"/>
      <c r="EL111" s="503"/>
      <c r="EM111" s="503"/>
      <c r="EN111" s="503"/>
      <c r="EO111" s="503"/>
      <c r="EP111" s="503"/>
      <c r="EQ111" s="503"/>
      <c r="ER111" s="503"/>
      <c r="ES111" s="503"/>
      <c r="ET111" s="503"/>
      <c r="EU111" s="503"/>
      <c r="EV111" s="503"/>
      <c r="EW111" s="503"/>
      <c r="EX111" s="504"/>
      <c r="EY111" s="1066"/>
      <c r="EZ111" s="789"/>
      <c r="FA111" s="789"/>
      <c r="FB111" s="789"/>
      <c r="FC111" s="789"/>
      <c r="FD111" s="789"/>
      <c r="FE111" s="248"/>
      <c r="FF111" s="441"/>
      <c r="FG111" s="441"/>
      <c r="FH111" s="441"/>
      <c r="FI111" s="441"/>
      <c r="FJ111" s="441"/>
      <c r="FK111" s="248"/>
      <c r="FL111" s="506"/>
      <c r="FM111" s="506"/>
    </row>
    <row r="112" spans="1:169" s="395" customFormat="1" ht="12.75" customHeight="1" x14ac:dyDescent="0.2">
      <c r="A112" s="416"/>
      <c r="B112" s="417"/>
      <c r="C112" s="430"/>
      <c r="D112" s="249"/>
      <c r="E112" s="457"/>
      <c r="F112" s="466"/>
      <c r="G112" s="467"/>
      <c r="H112" s="467"/>
      <c r="I112" s="467"/>
      <c r="J112" s="467"/>
      <c r="K112" s="467"/>
      <c r="L112" s="467"/>
      <c r="M112" s="467"/>
      <c r="N112" s="467"/>
      <c r="O112" s="467"/>
      <c r="P112" s="467"/>
      <c r="Q112" s="468"/>
      <c r="R112" s="249"/>
      <c r="S112" s="249"/>
      <c r="T112" s="249"/>
      <c r="U112" s="249"/>
      <c r="V112" s="249"/>
      <c r="W112" s="249"/>
      <c r="X112" s="249"/>
      <c r="Y112" s="249"/>
      <c r="Z112" s="249"/>
      <c r="AA112" s="249"/>
      <c r="AB112" s="249"/>
      <c r="AC112" s="459"/>
      <c r="AD112" s="463"/>
      <c r="AE112" s="15"/>
      <c r="AF112" s="442"/>
      <c r="AG112" s="382"/>
      <c r="AH112" s="440"/>
      <c r="AI112" s="440"/>
      <c r="AJ112" s="440"/>
      <c r="AK112" s="440"/>
      <c r="AL112" s="440"/>
      <c r="AM112" s="440"/>
      <c r="AN112" s="440"/>
      <c r="AO112" s="440"/>
      <c r="AP112" s="440"/>
      <c r="AQ112" s="440"/>
      <c r="AR112" s="440"/>
      <c r="AS112" s="440"/>
      <c r="AT112" s="440"/>
      <c r="AU112" s="440"/>
      <c r="AV112" s="440"/>
      <c r="AW112" s="440"/>
      <c r="AX112" s="440"/>
      <c r="AY112" s="440"/>
      <c r="AZ112" s="440"/>
      <c r="BA112" s="440"/>
      <c r="BB112" s="440"/>
      <c r="BC112" s="440"/>
      <c r="BD112" s="440"/>
      <c r="BE112" s="440"/>
      <c r="BF112" s="440"/>
      <c r="BG112" s="440"/>
      <c r="BH112" s="440"/>
      <c r="BI112" s="440"/>
      <c r="BJ112" s="440"/>
      <c r="BK112" s="440"/>
      <c r="BL112" s="440"/>
      <c r="BM112" s="440"/>
      <c r="BN112" s="440"/>
      <c r="BO112" s="440"/>
      <c r="BP112" s="440"/>
      <c r="BQ112" s="440"/>
      <c r="BR112" s="440"/>
      <c r="BS112" s="440"/>
      <c r="BT112" s="440"/>
      <c r="BU112" s="440"/>
      <c r="BV112" s="440"/>
      <c r="BW112" s="440"/>
      <c r="BX112" s="440"/>
      <c r="BY112" s="440"/>
      <c r="BZ112" s="440"/>
      <c r="CA112" s="440"/>
      <c r="CB112" s="440"/>
      <c r="CC112" s="440"/>
      <c r="CD112" s="440"/>
      <c r="CE112" s="440"/>
      <c r="CF112" s="440"/>
      <c r="CG112" s="440"/>
      <c r="CH112" s="440"/>
      <c r="CI112" s="440"/>
      <c r="CJ112" s="440"/>
      <c r="CK112" s="440"/>
      <c r="CL112" s="440"/>
      <c r="CM112" s="440"/>
      <c r="CN112" s="440"/>
      <c r="CO112" s="440"/>
      <c r="CP112" s="440"/>
      <c r="CQ112" s="440"/>
      <c r="CR112" s="440"/>
      <c r="CS112" s="440"/>
      <c r="CT112" s="440"/>
      <c r="CU112" s="440"/>
      <c r="CV112" s="440"/>
      <c r="CW112" s="440"/>
      <c r="CX112" s="440"/>
      <c r="CY112" s="440"/>
      <c r="CZ112" s="440"/>
      <c r="DA112" s="440"/>
      <c r="DB112" s="440"/>
      <c r="DC112" s="440"/>
      <c r="DD112" s="440"/>
      <c r="DE112" s="440"/>
      <c r="DF112" s="440"/>
      <c r="DG112" s="440"/>
      <c r="DH112" s="440"/>
      <c r="DI112" s="440"/>
      <c r="DJ112" s="440"/>
      <c r="DK112" s="440"/>
      <c r="DL112" s="440"/>
      <c r="DM112" s="440"/>
      <c r="DN112" s="440"/>
      <c r="DO112" s="440"/>
      <c r="DP112" s="440"/>
      <c r="DQ112" s="440"/>
      <c r="DR112" s="440"/>
      <c r="DS112" s="440"/>
      <c r="DT112" s="440"/>
      <c r="DU112" s="440"/>
      <c r="DV112" s="440"/>
      <c r="DW112" s="440"/>
      <c r="DX112" s="440"/>
      <c r="DY112" s="440"/>
      <c r="DZ112" s="440"/>
      <c r="EA112" s="440"/>
      <c r="EB112" s="440"/>
      <c r="EC112" s="440"/>
      <c r="ED112" s="440"/>
      <c r="EE112" s="440"/>
      <c r="EF112" s="440"/>
      <c r="EG112" s="440"/>
      <c r="EH112" s="440"/>
      <c r="EI112" s="440"/>
      <c r="EJ112" s="440"/>
      <c r="EK112" s="440"/>
      <c r="EL112" s="440"/>
      <c r="EM112" s="440"/>
      <c r="EN112" s="440"/>
      <c r="EO112" s="440"/>
      <c r="EP112" s="440"/>
      <c r="EQ112" s="440"/>
      <c r="ER112" s="440"/>
      <c r="ES112" s="440"/>
      <c r="ET112" s="440"/>
      <c r="EU112" s="440"/>
      <c r="EV112" s="440"/>
      <c r="EW112" s="440"/>
      <c r="EX112" s="393"/>
      <c r="EY112" s="393"/>
      <c r="EZ112" s="789" t="e">
        <f>VLOOKUP($EY112,'NEPC data'!$B77:$M264,5,TRUE)*100</f>
        <v>#N/A</v>
      </c>
      <c r="FA112" s="789" t="e">
        <f>VLOOKUP($EY112,'NEPC data'!$B77:$M264,7,TRUE)*100</f>
        <v>#N/A</v>
      </c>
      <c r="FB112" s="789" t="e">
        <f>VLOOKUP($EY112,'NEPC data'!$B77:$M264,9,TRUE)*100</f>
        <v>#N/A</v>
      </c>
      <c r="FC112" s="789" t="e">
        <f>VLOOKUP($EY112,'NEPC data'!$B77:$M264,10,TRUE)*100</f>
        <v>#N/A</v>
      </c>
      <c r="FD112" s="789" t="e">
        <f>VLOOKUP($EY112,'NEPC data'!$B77:$M264,11,TRUE)*100</f>
        <v>#N/A</v>
      </c>
      <c r="FE112" s="382"/>
      <c r="FF112" s="442"/>
      <c r="FG112" s="442"/>
      <c r="FH112" s="442"/>
      <c r="FI112" s="442"/>
      <c r="FJ112" s="442"/>
      <c r="FK112" s="382"/>
      <c r="FL112" s="442"/>
      <c r="FM112" s="442"/>
    </row>
    <row r="113" spans="1:169" s="395" customFormat="1" ht="12.75" customHeight="1" x14ac:dyDescent="0.2">
      <c r="A113" s="425" t="s">
        <v>667</v>
      </c>
      <c r="B113" s="620"/>
      <c r="C113" s="469"/>
      <c r="D113" s="249"/>
      <c r="E113" s="470"/>
      <c r="F113" s="471"/>
      <c r="G113" s="472"/>
      <c r="H113" s="467"/>
      <c r="I113" s="467"/>
      <c r="J113" s="467"/>
      <c r="K113" s="467"/>
      <c r="L113" s="467"/>
      <c r="M113" s="467"/>
      <c r="N113" s="467"/>
      <c r="O113" s="467"/>
      <c r="P113" s="467"/>
      <c r="Q113" s="468"/>
      <c r="R113" s="249"/>
      <c r="S113" s="249"/>
      <c r="T113" s="249"/>
      <c r="U113" s="249"/>
      <c r="V113" s="249"/>
      <c r="W113" s="249"/>
      <c r="X113" s="249"/>
      <c r="Y113" s="249"/>
      <c r="Z113" s="249"/>
      <c r="AA113" s="249"/>
      <c r="AB113" s="249"/>
      <c r="AC113" s="459"/>
      <c r="AD113" s="463"/>
      <c r="AE113" s="15"/>
      <c r="AF113" s="442"/>
      <c r="AG113" s="382"/>
      <c r="AH113" s="440"/>
      <c r="AI113" s="440"/>
      <c r="AJ113" s="440"/>
      <c r="AK113" s="440"/>
      <c r="AL113" s="440"/>
      <c r="AM113" s="440"/>
      <c r="AN113" s="440"/>
      <c r="AO113" s="440"/>
      <c r="AP113" s="440"/>
      <c r="AQ113" s="440"/>
      <c r="AR113" s="440"/>
      <c r="AS113" s="440"/>
      <c r="AT113" s="440"/>
      <c r="AU113" s="440"/>
      <c r="AV113" s="440"/>
      <c r="AW113" s="440"/>
      <c r="AX113" s="440"/>
      <c r="AY113" s="440"/>
      <c r="AZ113" s="440"/>
      <c r="BA113" s="440"/>
      <c r="BB113" s="440"/>
      <c r="BC113" s="440"/>
      <c r="BD113" s="440"/>
      <c r="BE113" s="440"/>
      <c r="BF113" s="440"/>
      <c r="BG113" s="440"/>
      <c r="BH113" s="440"/>
      <c r="BI113" s="440"/>
      <c r="BJ113" s="440"/>
      <c r="BK113" s="440"/>
      <c r="BL113" s="440"/>
      <c r="BM113" s="440"/>
      <c r="BN113" s="440"/>
      <c r="BO113" s="440"/>
      <c r="BP113" s="440"/>
      <c r="BQ113" s="440"/>
      <c r="BR113" s="440"/>
      <c r="BS113" s="440"/>
      <c r="BT113" s="440"/>
      <c r="BU113" s="440"/>
      <c r="BV113" s="440"/>
      <c r="BW113" s="440"/>
      <c r="BX113" s="440"/>
      <c r="BY113" s="440"/>
      <c r="BZ113" s="440"/>
      <c r="CA113" s="440"/>
      <c r="CB113" s="440"/>
      <c r="CC113" s="440"/>
      <c r="CD113" s="440"/>
      <c r="CE113" s="440"/>
      <c r="CF113" s="440"/>
      <c r="CG113" s="440"/>
      <c r="CH113" s="440"/>
      <c r="CI113" s="440"/>
      <c r="CJ113" s="440"/>
      <c r="CK113" s="440"/>
      <c r="CL113" s="440"/>
      <c r="CM113" s="440"/>
      <c r="CN113" s="440"/>
      <c r="CO113" s="440"/>
      <c r="CP113" s="440"/>
      <c r="CQ113" s="440"/>
      <c r="CR113" s="440"/>
      <c r="CS113" s="440"/>
      <c r="CT113" s="440"/>
      <c r="CU113" s="440"/>
      <c r="CV113" s="440"/>
      <c r="CW113" s="440"/>
      <c r="CX113" s="440"/>
      <c r="CY113" s="440"/>
      <c r="CZ113" s="440"/>
      <c r="DA113" s="440"/>
      <c r="DB113" s="440"/>
      <c r="DC113" s="440"/>
      <c r="DD113" s="440"/>
      <c r="DE113" s="440"/>
      <c r="DF113" s="440"/>
      <c r="DG113" s="440"/>
      <c r="DH113" s="440"/>
      <c r="DI113" s="440"/>
      <c r="DJ113" s="440"/>
      <c r="DK113" s="440"/>
      <c r="DL113" s="440"/>
      <c r="DM113" s="440"/>
      <c r="DN113" s="440"/>
      <c r="DO113" s="440"/>
      <c r="DP113" s="440"/>
      <c r="DQ113" s="440"/>
      <c r="DR113" s="440"/>
      <c r="DS113" s="440"/>
      <c r="DT113" s="440"/>
      <c r="DU113" s="440"/>
      <c r="DV113" s="440"/>
      <c r="DW113" s="440"/>
      <c r="DX113" s="440"/>
      <c r="DY113" s="440"/>
      <c r="DZ113" s="440"/>
      <c r="EA113" s="440"/>
      <c r="EB113" s="440"/>
      <c r="EC113" s="440"/>
      <c r="ED113" s="440"/>
      <c r="EE113" s="440"/>
      <c r="EF113" s="440"/>
      <c r="EG113" s="440"/>
      <c r="EH113" s="440"/>
      <c r="EI113" s="440"/>
      <c r="EJ113" s="440"/>
      <c r="EK113" s="440"/>
      <c r="EL113" s="440"/>
      <c r="EM113" s="440"/>
      <c r="EN113" s="440"/>
      <c r="EO113" s="440"/>
      <c r="EP113" s="440"/>
      <c r="EQ113" s="440"/>
      <c r="ER113" s="440"/>
      <c r="ES113" s="440"/>
      <c r="ET113" s="440"/>
      <c r="EU113" s="440"/>
      <c r="EV113" s="440"/>
      <c r="EW113" s="440"/>
      <c r="EX113" s="393"/>
      <c r="EY113" s="393"/>
      <c r="EZ113" s="789" t="e">
        <f>VLOOKUP($EY113,'NEPC data'!$B78:$M265,5,TRUE)*100</f>
        <v>#N/A</v>
      </c>
      <c r="FA113" s="789" t="e">
        <f>VLOOKUP($EY113,'NEPC data'!$B78:$M265,7,TRUE)*100</f>
        <v>#N/A</v>
      </c>
      <c r="FB113" s="789" t="e">
        <f>VLOOKUP($EY113,'NEPC data'!$B78:$M265,9,TRUE)*100</f>
        <v>#N/A</v>
      </c>
      <c r="FC113" s="789" t="e">
        <f>VLOOKUP($EY113,'NEPC data'!$B78:$M265,10,TRUE)*100</f>
        <v>#N/A</v>
      </c>
      <c r="FD113" s="789" t="e">
        <f>VLOOKUP($EY113,'NEPC data'!$B78:$M265,11,TRUE)*100</f>
        <v>#N/A</v>
      </c>
      <c r="FE113" s="382"/>
      <c r="FF113" s="442"/>
      <c r="FG113" s="442"/>
      <c r="FH113" s="442"/>
      <c r="FI113" s="442"/>
      <c r="FJ113" s="442"/>
      <c r="FK113" s="382"/>
      <c r="FL113" s="442"/>
      <c r="FM113" s="442"/>
    </row>
    <row r="114" spans="1:169" s="395" customFormat="1" ht="12.75" customHeight="1" x14ac:dyDescent="0.2">
      <c r="A114" s="425"/>
      <c r="B114" s="620"/>
      <c r="C114" s="469"/>
      <c r="D114" s="249"/>
      <c r="E114" s="470"/>
      <c r="F114" s="471"/>
      <c r="G114" s="472"/>
      <c r="H114" s="467"/>
      <c r="I114" s="467"/>
      <c r="J114" s="467"/>
      <c r="K114" s="467"/>
      <c r="L114" s="467"/>
      <c r="M114" s="467"/>
      <c r="N114" s="467"/>
      <c r="O114" s="467"/>
      <c r="P114" s="467"/>
      <c r="Q114" s="468"/>
      <c r="R114" s="249"/>
      <c r="S114" s="249"/>
      <c r="T114" s="249"/>
      <c r="U114" s="249"/>
      <c r="V114" s="249"/>
      <c r="W114" s="249"/>
      <c r="X114" s="249"/>
      <c r="Y114" s="249"/>
      <c r="Z114" s="249"/>
      <c r="AA114" s="249"/>
      <c r="AB114" s="249"/>
      <c r="AC114" s="459"/>
      <c r="AD114" s="463"/>
      <c r="AE114" s="15"/>
      <c r="AF114" s="442"/>
      <c r="AG114" s="382"/>
      <c r="AH114" s="440"/>
      <c r="AI114" s="440"/>
      <c r="AJ114" s="440"/>
      <c r="AK114" s="440"/>
      <c r="AL114" s="440"/>
      <c r="AM114" s="440"/>
      <c r="AN114" s="440"/>
      <c r="AO114" s="440"/>
      <c r="AP114" s="440"/>
      <c r="AQ114" s="440"/>
      <c r="AR114" s="440"/>
      <c r="AS114" s="440"/>
      <c r="AT114" s="440"/>
      <c r="AU114" s="440"/>
      <c r="AV114" s="440"/>
      <c r="AW114" s="440"/>
      <c r="AX114" s="440"/>
      <c r="AY114" s="440"/>
      <c r="AZ114" s="440"/>
      <c r="BA114" s="440"/>
      <c r="BB114" s="440"/>
      <c r="BC114" s="440"/>
      <c r="BD114" s="440"/>
      <c r="BE114" s="440"/>
      <c r="BF114" s="440"/>
      <c r="BG114" s="440"/>
      <c r="BH114" s="440"/>
      <c r="BI114" s="440"/>
      <c r="BJ114" s="440"/>
      <c r="BK114" s="440"/>
      <c r="BL114" s="440"/>
      <c r="BM114" s="440"/>
      <c r="BN114" s="440"/>
      <c r="BO114" s="440"/>
      <c r="BP114" s="440"/>
      <c r="BQ114" s="440"/>
      <c r="BR114" s="440"/>
      <c r="BS114" s="440"/>
      <c r="BT114" s="440"/>
      <c r="BU114" s="440"/>
      <c r="BV114" s="440"/>
      <c r="BW114" s="440"/>
      <c r="BX114" s="440"/>
      <c r="BY114" s="440"/>
      <c r="BZ114" s="440"/>
      <c r="CA114" s="440"/>
      <c r="CB114" s="440"/>
      <c r="CC114" s="440"/>
      <c r="CD114" s="440"/>
      <c r="CE114" s="440"/>
      <c r="CF114" s="440"/>
      <c r="CG114" s="440"/>
      <c r="CH114" s="440"/>
      <c r="CI114" s="440"/>
      <c r="CJ114" s="440"/>
      <c r="CK114" s="440"/>
      <c r="CL114" s="440"/>
      <c r="CM114" s="440"/>
      <c r="CN114" s="440"/>
      <c r="CO114" s="440"/>
      <c r="CP114" s="440"/>
      <c r="CQ114" s="440"/>
      <c r="CR114" s="440"/>
      <c r="CS114" s="440"/>
      <c r="CT114" s="440"/>
      <c r="CU114" s="440"/>
      <c r="CV114" s="440"/>
      <c r="CW114" s="440"/>
      <c r="CX114" s="440"/>
      <c r="CY114" s="440"/>
      <c r="CZ114" s="440"/>
      <c r="DA114" s="440"/>
      <c r="DB114" s="440"/>
      <c r="DC114" s="440"/>
      <c r="DD114" s="440"/>
      <c r="DE114" s="440"/>
      <c r="DF114" s="440"/>
      <c r="DG114" s="440"/>
      <c r="DH114" s="440"/>
      <c r="DI114" s="440"/>
      <c r="DJ114" s="440"/>
      <c r="DK114" s="440"/>
      <c r="DL114" s="440"/>
      <c r="DM114" s="440"/>
      <c r="DN114" s="440"/>
      <c r="DO114" s="440"/>
      <c r="DP114" s="440"/>
      <c r="DQ114" s="440"/>
      <c r="DR114" s="440"/>
      <c r="DS114" s="440"/>
      <c r="DT114" s="440"/>
      <c r="DU114" s="440"/>
      <c r="DV114" s="440"/>
      <c r="DW114" s="440"/>
      <c r="DX114" s="440"/>
      <c r="DY114" s="440"/>
      <c r="DZ114" s="440"/>
      <c r="EA114" s="440"/>
      <c r="EB114" s="440"/>
      <c r="EC114" s="440"/>
      <c r="ED114" s="440"/>
      <c r="EE114" s="440"/>
      <c r="EF114" s="440"/>
      <c r="EG114" s="440"/>
      <c r="EH114" s="440"/>
      <c r="EI114" s="440"/>
      <c r="EJ114" s="440"/>
      <c r="EK114" s="440"/>
      <c r="EL114" s="440"/>
      <c r="EM114" s="440"/>
      <c r="EN114" s="440"/>
      <c r="EO114" s="440"/>
      <c r="EP114" s="440"/>
      <c r="EQ114" s="440"/>
      <c r="ER114" s="440"/>
      <c r="ES114" s="440"/>
      <c r="ET114" s="440"/>
      <c r="EU114" s="440"/>
      <c r="EV114" s="440"/>
      <c r="EW114" s="440"/>
      <c r="EX114" s="393"/>
      <c r="EY114" s="393"/>
      <c r="EZ114" s="789" t="e">
        <f>VLOOKUP($EY114,'NEPC data'!$B79:$M266,5,TRUE)*100</f>
        <v>#N/A</v>
      </c>
      <c r="FA114" s="789" t="e">
        <f>VLOOKUP($EY114,'NEPC data'!$B79:$M266,7,TRUE)*100</f>
        <v>#N/A</v>
      </c>
      <c r="FB114" s="789" t="e">
        <f>VLOOKUP($EY114,'NEPC data'!$B79:$M266,9,TRUE)*100</f>
        <v>#N/A</v>
      </c>
      <c r="FC114" s="789" t="e">
        <f>VLOOKUP($EY114,'NEPC data'!$B79:$M266,10,TRUE)*100</f>
        <v>#N/A</v>
      </c>
      <c r="FD114" s="789" t="e">
        <f>VLOOKUP($EY114,'NEPC data'!$B79:$M266,11,TRUE)*100</f>
        <v>#N/A</v>
      </c>
      <c r="FE114" s="382"/>
      <c r="FF114" s="442"/>
      <c r="FG114" s="442"/>
      <c r="FH114" s="442"/>
      <c r="FI114" s="442"/>
      <c r="FJ114" s="442"/>
      <c r="FK114" s="382"/>
      <c r="FL114" s="442"/>
      <c r="FM114" s="442"/>
    </row>
    <row r="115" spans="1:169" s="15" customFormat="1" ht="12.75" customHeight="1" x14ac:dyDescent="0.2">
      <c r="A115" s="1062" t="s">
        <v>683</v>
      </c>
      <c r="B115" s="1214" t="s">
        <v>319</v>
      </c>
      <c r="C115" s="446">
        <v>40421</v>
      </c>
      <c r="D115" s="462"/>
      <c r="E115" s="448">
        <f>VLOOKUP(AH$8,Gresham!A4:D488,3,FALSE)/1000000</f>
        <v>817.50981536000006</v>
      </c>
      <c r="F115" s="449">
        <f>AH115</f>
        <v>-1.1815100000000001</v>
      </c>
      <c r="G115" s="450">
        <f t="array" ref="G115">IF($AJ115=0,"---",(PRODUCT($AH115:AJ115/100+1)-1)*100)</f>
        <v>-3.8572220632598575</v>
      </c>
      <c r="H115" s="450">
        <f t="array" ref="H115">IF($AS115=0,"---",(PRODUCT(AH115:AN115/100+1)-1)*100)</f>
        <v>2.1960765540770311</v>
      </c>
      <c r="I115" s="450">
        <f t="array" ref="I115">IF(AS115=0,"---",(GEOMEAN($AH115:AS115/100+1)^12-1)*100)</f>
        <v>-1.8879292102213729</v>
      </c>
      <c r="J115" s="450">
        <f t="array" ref="J115">IF(BE115=0,"---",(GEOMEAN($AH115:BE115/100+1)^12-1)*100)</f>
        <v>-4.5904612765390596</v>
      </c>
      <c r="K115" s="450">
        <f t="array" ref="K115">IF(BQ115=0,"---",(GEOMEAN($AH115:BQ115/100+1)^12-1)*100)</f>
        <v>-5.8422531526577952</v>
      </c>
      <c r="L115" s="450">
        <f t="array" ref="L115">IF(CC115=0,"---",(GEOMEAN($AH115:CC115/100+1)^12-1)*100)</f>
        <v>2.1720972913867875</v>
      </c>
      <c r="M115" s="450" t="str">
        <f t="array" ref="M115">IF(CO115=0,"---",(GEOMEAN($AH115:CO115/100+1)^12-1)*100)</f>
        <v>---</v>
      </c>
      <c r="N115" s="450" t="str">
        <f t="array" ref="N115">IF(DM115=0,"---",(GEOMEAN($AH115:DM115/100+1)^12-1)*100)</f>
        <v>---</v>
      </c>
      <c r="O115" s="450" t="str">
        <f t="array" ref="O115">IF(EK115=0,"---",(GEOMEAN($AH115:EK115/100+1)^12-1)*100)</f>
        <v>---</v>
      </c>
      <c r="P115" s="450" t="str">
        <f t="array" ref="P115">IF(EW115=0,"---",(GEOMEAN($AH115:EW115/100+1)^12-1)*100)</f>
        <v>---</v>
      </c>
      <c r="Q115" s="451">
        <f t="array" ref="Q115">(GEOMEAN(Gresham!B$425:B471/100+1)^12-1)*100</f>
        <v>2.5294838286269883</v>
      </c>
      <c r="R115" s="452">
        <f>IF(F115="---","---",(F115-F$116)*100)</f>
        <v>-13.637000000000011</v>
      </c>
      <c r="S115" s="452">
        <f>IF(G115="---","---",(G115-G$116)*100)</f>
        <v>155.86837480830559</v>
      </c>
      <c r="T115" s="452">
        <f t="array" ref="T115">IF(H115="---","---",(H115-H$116)*100)</f>
        <v>181.4642874673944</v>
      </c>
      <c r="U115" s="452">
        <f t="shared" ref="U115:AB115" si="112">IF(I115="---","---",(I115-I$116)*100)</f>
        <v>103.67544893424507</v>
      </c>
      <c r="V115" s="452">
        <f t="shared" si="112"/>
        <v>225.32928331667426</v>
      </c>
      <c r="W115" s="452">
        <f t="shared" si="112"/>
        <v>245.57932362746496</v>
      </c>
      <c r="X115" s="452">
        <f t="shared" si="112"/>
        <v>292.28808323655818</v>
      </c>
      <c r="Y115" s="452" t="str">
        <f t="shared" si="112"/>
        <v>---</v>
      </c>
      <c r="Z115" s="452" t="str">
        <f t="shared" si="112"/>
        <v>---</v>
      </c>
      <c r="AA115" s="452" t="str">
        <f t="shared" si="112"/>
        <v>---</v>
      </c>
      <c r="AB115" s="452" t="str">
        <f t="shared" si="112"/>
        <v>---</v>
      </c>
      <c r="AC115" s="453">
        <f>(Q115-AF115)*100</f>
        <v>302.96309033896131</v>
      </c>
      <c r="AD115" s="478">
        <v>150</v>
      </c>
      <c r="AE115" s="1366"/>
      <c r="AF115" s="432">
        <f t="array" ref="AF115">(GEOMEAN(Index_Returns!AK425:AK471/100+1)^12-1)*100</f>
        <v>-0.50014707476262465</v>
      </c>
      <c r="AG115" s="418" t="str">
        <f>IF(I115="---","&lt; 1 Year","---")</f>
        <v>---</v>
      </c>
      <c r="AH115" s="1256">
        <f>VLOOKUP(AH$8,Gresham!$A4:$E488,2,FALSE)</f>
        <v>-1.1815100000000001</v>
      </c>
      <c r="AI115" s="1256">
        <f>VLOOKUP(AI$8,Gresham!$A4:$E488,2,FALSE)</f>
        <v>-4.1497799999999998</v>
      </c>
      <c r="AJ115" s="1256">
        <f>VLOOKUP(AJ$8,Gresham!$A4:$E488,2,FALSE)</f>
        <v>1.50451</v>
      </c>
      <c r="AK115" s="1256">
        <f>VLOOKUP(AK$8,Gresham!$A4:$E488,2,FALSE)</f>
        <v>-1.50702</v>
      </c>
      <c r="AL115" s="1256">
        <f>VLOOKUP(AL$8,Gresham!$A4:$E488,2,FALSE)</f>
        <v>1.929</v>
      </c>
      <c r="AM115" s="1256">
        <f>VLOOKUP(AM$8,Gresham!$A4:$E488,2,FALSE)</f>
        <v>0.35787000000000002</v>
      </c>
      <c r="AN115" s="1256">
        <f>VLOOKUP(AN$8,Gresham!$A4:$E488,2,FALSE)</f>
        <v>5.50258</v>
      </c>
      <c r="AO115" s="1256">
        <f>VLOOKUP(AO$8,Gresham!$A4:$E488,2,FALSE)</f>
        <v>-0.72350999999999999</v>
      </c>
      <c r="AP115" s="1256">
        <f>VLOOKUP(AP$8,Gresham!$A4:$E488,2,FALSE)</f>
        <v>1.01207</v>
      </c>
      <c r="AQ115" s="1256">
        <f>VLOOKUP(AQ$8,Gresham!$A4:$E488,2,FALSE)</f>
        <v>-1.04898</v>
      </c>
      <c r="AR115" s="1256">
        <f>VLOOKUP(AR$8,Gresham!$A4:$E488,2,FALSE)</f>
        <v>-0.92727000000000004</v>
      </c>
      <c r="AS115" s="1256">
        <f>VLOOKUP(AS$8,Gresham!$A4:$E488,2,FALSE)</f>
        <v>-2.3450799999999998</v>
      </c>
      <c r="AT115" s="1256">
        <f>VLOOKUP(AT$8,Gresham!$A4:$E488,2,FALSE)</f>
        <v>3.89988</v>
      </c>
      <c r="AU115" s="1256">
        <f>VLOOKUP(AU$8,Gresham!$A4:$E488,2,FALSE)</f>
        <v>2.3061600000000002</v>
      </c>
      <c r="AV115" s="1256">
        <f>VLOOKUP(AV$8,Gresham!$A4:$E488,2,FALSE)</f>
        <v>-4.2630999999999997</v>
      </c>
      <c r="AW115" s="1256">
        <f>VLOOKUP(AW$8,Gresham!$A4:$E488,2,FALSE)</f>
        <v>-1.1381300000000001</v>
      </c>
      <c r="AX115" s="1256">
        <f>VLOOKUP(AX$8,Gresham!$A4:$E488,2,FALSE)</f>
        <v>-3.4928599999999999</v>
      </c>
      <c r="AY115" s="1256">
        <f>VLOOKUP(AY$8,Gresham!$A4:$E488,2,FALSE)</f>
        <v>0.24942</v>
      </c>
      <c r="AZ115" s="1256">
        <f>VLOOKUP(AZ$8,Gresham!$A4:$E488,2,FALSE)</f>
        <v>-4.1740000000000004</v>
      </c>
      <c r="BA115" s="1256">
        <f>VLOOKUP(BA$8,Gresham!$A4:$E488,2,FALSE)</f>
        <v>2.8176800000000002</v>
      </c>
      <c r="BB115" s="1256">
        <f>VLOOKUP(BB$8,Gresham!$A4:$E488,2,FALSE)</f>
        <v>-1.7822</v>
      </c>
      <c r="BC115" s="1256">
        <f>VLOOKUP(BC$8,Gresham!$A4:$E488,2,FALSE)</f>
        <v>0.83630000000000004</v>
      </c>
      <c r="BD115" s="1256">
        <f>VLOOKUP(BD$8,Gresham!$A4:$E488,2,FALSE)</f>
        <v>-3.8500999999999999</v>
      </c>
      <c r="BE115" s="1256">
        <f>VLOOKUP(BE$8,Gresham!$A4:$E488,2,FALSE)</f>
        <v>1.5986</v>
      </c>
      <c r="BF115" s="1256">
        <f>VLOOKUP(BF$8,Gresham!$A4:$E488,2,FALSE)</f>
        <v>2.9956999999999998</v>
      </c>
      <c r="BG115" s="1256">
        <f>VLOOKUP(BG$8,Gresham!$A4:$E488,2,FALSE)</f>
        <v>5.0526</v>
      </c>
      <c r="BH115" s="1256">
        <f>VLOOKUP(BH$8,Gresham!$A4:$E488,2,FALSE)</f>
        <v>3.5169999999999999</v>
      </c>
      <c r="BI115" s="1256">
        <f>VLOOKUP(BI$8,Gresham!$A4:$E488,2,FALSE)</f>
        <v>-9.1686999999999994</v>
      </c>
      <c r="BJ115" s="1256">
        <f>VLOOKUP(BJ$8,Gresham!$A4:$E488,2,FALSE)</f>
        <v>-0.83889999999999998</v>
      </c>
      <c r="BK115" s="1256">
        <f>VLOOKUP(BK$8,Gresham!$A4:$E488,2,FALSE)</f>
        <v>-3.6446000000000001</v>
      </c>
      <c r="BL115" s="1256">
        <f>VLOOKUP(BL$8,Gresham!$A4:$E488,2,FALSE)</f>
        <v>2.9095</v>
      </c>
      <c r="BM115" s="1256">
        <f>VLOOKUP(BM$8,Gresham!$A4:$E488,2,FALSE)</f>
        <v>3.4336000000000002</v>
      </c>
      <c r="BN115" s="1256">
        <f>VLOOKUP(BN$8,Gresham!$A4:$E488,2,FALSE)</f>
        <v>-2.8365999999999998</v>
      </c>
      <c r="BO115" s="1256">
        <f>VLOOKUP(BO$8,Gresham!$A4:$E488,2,FALSE)</f>
        <v>-1.3919999999999999</v>
      </c>
      <c r="BP115" s="1256">
        <f>VLOOKUP(BP$8,Gresham!$A4:$E488,2,FALSE)</f>
        <v>7.2088999999999999</v>
      </c>
      <c r="BQ115" s="1256">
        <f>VLOOKUP(BQ$8,Gresham!$A4:$E488,2,FALSE)</f>
        <v>-13.7158</v>
      </c>
      <c r="BR115" s="1256">
        <f>VLOOKUP(BR$8,Gresham!$A4:$E488,2,FALSE)</f>
        <v>0.26619999999999999</v>
      </c>
      <c r="BS115" s="1256">
        <f>VLOOKUP(BS$8,Gresham!$A4:$E488,2,FALSE)</f>
        <v>3.2919</v>
      </c>
      <c r="BT115" s="1256">
        <f>VLOOKUP(BT$8,Gresham!$A4:$E488,2,FALSE)</f>
        <v>-3.6999</v>
      </c>
      <c r="BU115" s="1256">
        <f>VLOOKUP(BU$8,Gresham!$A4:$E488,2,FALSE)</f>
        <v>-5.1714000000000002</v>
      </c>
      <c r="BV115" s="1256">
        <f>VLOOKUP(BV$8,Gresham!$A4:$E488,2,FALSE)</f>
        <v>3.1101999999999999</v>
      </c>
      <c r="BW115" s="1256">
        <f>VLOOKUP(BW$8,Gresham!$A4:$E488,2,FALSE)</f>
        <v>2.2475000000000001</v>
      </c>
      <c r="BX115" s="1256">
        <f>VLOOKUP(BX$8,Gresham!$A4:$E488,2,FALSE)</f>
        <v>2.6968000000000001</v>
      </c>
      <c r="BY115" s="1256">
        <f>VLOOKUP(BY$8,Gresham!$A4:$E488,2,FALSE)</f>
        <v>2.0194999999999999</v>
      </c>
      <c r="BZ115" s="1256">
        <f>VLOOKUP(BZ$8,Gresham!$A4:$E488,2,FALSE)</f>
        <v>10.2211</v>
      </c>
      <c r="CA115" s="1256">
        <f>VLOOKUP(CA$8,Gresham!$A4:$E488,2,FALSE)</f>
        <v>0.62390000000000001</v>
      </c>
      <c r="CB115" s="1256">
        <f>VLOOKUP(CB$8,Gresham!$A4:$E488,2,FALSE)</f>
        <v>4.5926999999999998</v>
      </c>
      <c r="CC115" s="1256">
        <f>VLOOKUP(CC$8,Gresham!$A4:$E488,2,FALSE)</f>
        <v>7.7240000000000002</v>
      </c>
      <c r="CD115" s="1256">
        <f>VLOOKUP(CD$8,Gresham!$A4:$E488,2,FALSE)</f>
        <v>0</v>
      </c>
      <c r="CE115" s="1256">
        <f>VLOOKUP(CE$8,Gresham!$A4:$E488,2,FALSE)</f>
        <v>0</v>
      </c>
      <c r="CF115" s="1256">
        <f>VLOOKUP(CF$8,Gresham!$A4:$E488,2,FALSE)</f>
        <v>0</v>
      </c>
      <c r="CG115" s="1256">
        <f>VLOOKUP(CG$8,Gresham!$A4:$E488,2,FALSE)</f>
        <v>0</v>
      </c>
      <c r="CH115" s="1256">
        <f>VLOOKUP(CH$8,Gresham!$A4:$E488,2,FALSE)</f>
        <v>0</v>
      </c>
      <c r="CI115" s="1256">
        <f>VLOOKUP(CI$8,Gresham!$A4:$E488,2,FALSE)</f>
        <v>0</v>
      </c>
      <c r="CJ115" s="1256">
        <f>VLOOKUP(CJ$8,Gresham!$A4:$E488,2,FALSE)</f>
        <v>0</v>
      </c>
      <c r="CK115" s="1256">
        <f>VLOOKUP(CK$8,Gresham!$A4:$E488,2,FALSE)</f>
        <v>0</v>
      </c>
      <c r="CL115" s="1256">
        <f>VLOOKUP(CL$8,Gresham!$A4:$E488,2,FALSE)</f>
        <v>0</v>
      </c>
      <c r="CM115" s="1256">
        <f>VLOOKUP(CM$8,Gresham!$A4:$E488,2,FALSE)</f>
        <v>0</v>
      </c>
      <c r="CN115" s="1256">
        <f>VLOOKUP(CN$8,Gresham!$A4:$E488,2,FALSE)</f>
        <v>0</v>
      </c>
      <c r="CO115" s="1256">
        <f>VLOOKUP(CO$8,Gresham!$A4:$E488,2,FALSE)</f>
        <v>0</v>
      </c>
      <c r="CP115" s="1256">
        <f>VLOOKUP(CP$8,Gresham!$A4:$E488,2,FALSE)</f>
        <v>0</v>
      </c>
      <c r="CQ115" s="1256">
        <f>VLOOKUP(CQ$8,Gresham!$A4:$E488,2,FALSE)</f>
        <v>0</v>
      </c>
      <c r="CR115" s="1256">
        <f>VLOOKUP(CR$8,Gresham!$A4:$E488,2,FALSE)</f>
        <v>0</v>
      </c>
      <c r="CS115" s="1256">
        <f>VLOOKUP(CS$8,Gresham!$A4:$E488,2,FALSE)</f>
        <v>0</v>
      </c>
      <c r="CT115" s="1256">
        <f>VLOOKUP(CT$8,Gresham!$A4:$E488,2,FALSE)</f>
        <v>0</v>
      </c>
      <c r="CU115" s="1256">
        <f>VLOOKUP(CU$8,Gresham!$A4:$E488,2,FALSE)</f>
        <v>0</v>
      </c>
      <c r="CV115" s="1256">
        <f>VLOOKUP(CV$8,Gresham!$A4:$E488,2,FALSE)</f>
        <v>0</v>
      </c>
      <c r="CW115" s="1256">
        <f>VLOOKUP(CW$8,Gresham!$A4:$E488,2,FALSE)</f>
        <v>0</v>
      </c>
      <c r="CX115" s="1256">
        <f>VLOOKUP(CX$8,Gresham!$A4:$E488,2,FALSE)</f>
        <v>0</v>
      </c>
      <c r="CY115" s="1256">
        <f>VLOOKUP(CY$8,Gresham!$A4:$E488,2,FALSE)</f>
        <v>0</v>
      </c>
      <c r="CZ115" s="1256">
        <f>VLOOKUP(CZ$8,Gresham!$A4:$E488,2,FALSE)</f>
        <v>0</v>
      </c>
      <c r="DA115" s="1256">
        <f>VLOOKUP(DA$8,Gresham!$A4:$E488,2,FALSE)</f>
        <v>0</v>
      </c>
      <c r="DB115" s="1256">
        <f>VLOOKUP(DB$8,Gresham!$A4:$E488,2,FALSE)</f>
        <v>0</v>
      </c>
      <c r="DC115" s="1256">
        <f>VLOOKUP(DC$8,Gresham!$A4:$E488,2,FALSE)</f>
        <v>0</v>
      </c>
      <c r="DD115" s="1256">
        <f>VLOOKUP(DD$8,Gresham!$A4:$E488,2,FALSE)</f>
        <v>0</v>
      </c>
      <c r="DE115" s="1256">
        <f>VLOOKUP(DE$8,Gresham!$A4:$E488,2,FALSE)</f>
        <v>0</v>
      </c>
      <c r="DF115" s="1256">
        <f>VLOOKUP(DF$8,Gresham!$A4:$E488,2,FALSE)</f>
        <v>0</v>
      </c>
      <c r="DG115" s="1256">
        <f>VLOOKUP(DG$8,Gresham!$A4:$E488,2,FALSE)</f>
        <v>0</v>
      </c>
      <c r="DH115" s="1256">
        <f>VLOOKUP(DH$8,Gresham!$A4:$E488,2,FALSE)</f>
        <v>0</v>
      </c>
      <c r="DI115" s="1256">
        <f>VLOOKUP(DI$8,Gresham!$A4:$E488,2,FALSE)</f>
        <v>0</v>
      </c>
      <c r="DJ115" s="1256">
        <f>VLOOKUP(DJ$8,Gresham!$A4:$E488,2,FALSE)</f>
        <v>0</v>
      </c>
      <c r="DK115" s="1256">
        <f>VLOOKUP(DK$8,Gresham!$A4:$E488,2,FALSE)</f>
        <v>0</v>
      </c>
      <c r="DL115" s="1256">
        <f>VLOOKUP(DL$8,Gresham!$A4:$E488,2,FALSE)</f>
        <v>0</v>
      </c>
      <c r="DM115" s="1256">
        <f>VLOOKUP(DM$8,Gresham!$A4:$E488,2,FALSE)</f>
        <v>0</v>
      </c>
      <c r="DN115" s="1256">
        <f>VLOOKUP(DN$8,Gresham!$A4:$E488,2,FALSE)</f>
        <v>0</v>
      </c>
      <c r="DO115" s="1256">
        <f>VLOOKUP(DO$8,Gresham!$A4:$E488,2,FALSE)</f>
        <v>0</v>
      </c>
      <c r="DP115" s="1256">
        <f>VLOOKUP(DP$8,Gresham!$A4:$E488,2,FALSE)</f>
        <v>0</v>
      </c>
      <c r="DQ115" s="1256">
        <f>VLOOKUP(DQ$8,Gresham!$A4:$E488,2,FALSE)</f>
        <v>0</v>
      </c>
      <c r="DR115" s="1256">
        <f>VLOOKUP(DR$8,Gresham!$A4:$E488,2,FALSE)</f>
        <v>0</v>
      </c>
      <c r="DS115" s="1256">
        <f>VLOOKUP(DS$8,Gresham!$A4:$E488,2,FALSE)</f>
        <v>0</v>
      </c>
      <c r="DT115" s="1256">
        <f>VLOOKUP(DT$8,Gresham!$A4:$E488,2,FALSE)</f>
        <v>0</v>
      </c>
      <c r="DU115" s="1256">
        <f>VLOOKUP(DU$8,Gresham!$A4:$E488,2,FALSE)</f>
        <v>0</v>
      </c>
      <c r="DV115" s="1256">
        <f>VLOOKUP(DV$8,Gresham!$A4:$E488,2,FALSE)</f>
        <v>0</v>
      </c>
      <c r="DW115" s="1256">
        <f>VLOOKUP(DW$8,Gresham!$A4:$E488,2,FALSE)</f>
        <v>0</v>
      </c>
      <c r="DX115" s="1256">
        <f>VLOOKUP(DX$8,Gresham!$A4:$E488,2,FALSE)</f>
        <v>0</v>
      </c>
      <c r="DY115" s="1256">
        <f>VLOOKUP(DY$8,Gresham!$A4:$E488,2,FALSE)</f>
        <v>0</v>
      </c>
      <c r="DZ115" s="1256">
        <f>VLOOKUP(DZ$8,Gresham!$A4:$E488,2,FALSE)</f>
        <v>0</v>
      </c>
      <c r="EA115" s="1256">
        <f>VLOOKUP(EA$8,Gresham!$A4:$E488,2,FALSE)</f>
        <v>0</v>
      </c>
      <c r="EB115" s="1256">
        <f>VLOOKUP(EB$8,Gresham!$A4:$E488,2,FALSE)</f>
        <v>0</v>
      </c>
      <c r="EC115" s="1256">
        <f>VLOOKUP(EC$8,Gresham!$A4:$E488,2,FALSE)</f>
        <v>0</v>
      </c>
      <c r="ED115" s="1256">
        <f>VLOOKUP(ED$8,Gresham!$A4:$E488,2,FALSE)</f>
        <v>0</v>
      </c>
      <c r="EE115" s="1256">
        <f>VLOOKUP(EE$8,Gresham!$A4:$E488,2,FALSE)</f>
        <v>0</v>
      </c>
      <c r="EF115" s="1256">
        <f>VLOOKUP(EF$8,Gresham!$A4:$E488,2,FALSE)</f>
        <v>0</v>
      </c>
      <c r="EG115" s="1256">
        <f>VLOOKUP(EG$8,Gresham!$A4:$E488,2,FALSE)</f>
        <v>0</v>
      </c>
      <c r="EH115" s="1256">
        <f>VLOOKUP(EH$8,Gresham!$A4:$E488,2,FALSE)</f>
        <v>0</v>
      </c>
      <c r="EI115" s="1256">
        <f>VLOOKUP(EI$8,Gresham!$A4:$E488,2,FALSE)</f>
        <v>0</v>
      </c>
      <c r="EJ115" s="1256">
        <f>VLOOKUP(EJ$8,Gresham!$A4:$E488,2,FALSE)</f>
        <v>0</v>
      </c>
      <c r="EK115" s="1256">
        <f>VLOOKUP(EK$8,Gresham!$A4:$E488,2,FALSE)</f>
        <v>0</v>
      </c>
      <c r="EL115" s="1256">
        <f>VLOOKUP(EL$8,Gresham!$A4:$E488,2,FALSE)</f>
        <v>0</v>
      </c>
      <c r="EM115" s="1256">
        <f>VLOOKUP(EM$8,Gresham!$A4:$E488,2,FALSE)</f>
        <v>0</v>
      </c>
      <c r="EN115" s="1256">
        <f>VLOOKUP(EN$8,Gresham!$A4:$E488,2,FALSE)</f>
        <v>0</v>
      </c>
      <c r="EO115" s="1256">
        <f>VLOOKUP(EO$8,Gresham!$A4:$E488,2,FALSE)</f>
        <v>0</v>
      </c>
      <c r="EP115" s="1256">
        <f>VLOOKUP(EP$8,Gresham!$A4:$E488,2,FALSE)</f>
        <v>0</v>
      </c>
      <c r="EQ115" s="1256">
        <f>VLOOKUP(EQ$8,Gresham!$A4:$E488,2,FALSE)</f>
        <v>0</v>
      </c>
      <c r="ER115" s="1256">
        <f>VLOOKUP(ER$8,Gresham!$A4:$E488,2,FALSE)</f>
        <v>0</v>
      </c>
      <c r="ES115" s="1256">
        <f>VLOOKUP(ES$8,Gresham!$A4:$E488,2,FALSE)</f>
        <v>0</v>
      </c>
      <c r="ET115" s="1256">
        <f>VLOOKUP(ET$8,Gresham!$A4:$E488,2,FALSE)</f>
        <v>0</v>
      </c>
      <c r="EU115" s="1256">
        <f>VLOOKUP(EU$8,Gresham!$A4:$E488,2,FALSE)</f>
        <v>0</v>
      </c>
      <c r="EV115" s="1256">
        <f>VLOOKUP(EV$8,Gresham!$A4:$E488,2,FALSE)</f>
        <v>0</v>
      </c>
      <c r="EW115" s="1256">
        <f>VLOOKUP(EW$8,Gresham!$A4:$E488,2,FALSE)</f>
        <v>0</v>
      </c>
      <c r="EX115" s="393" t="s">
        <v>70</v>
      </c>
      <c r="EY115" s="1066" t="s">
        <v>531</v>
      </c>
      <c r="EZ115" s="789">
        <f>VLOOKUP($EY115,'NEPC data'!$B83:$M270,5,TRUE)*100</f>
        <v>-7.9752265300000014</v>
      </c>
      <c r="FA115" s="789">
        <f>VLOOKUP($EY115,'NEPC data'!$B83:$M270,7,TRUE)*100</f>
        <v>-24.49579503920144</v>
      </c>
      <c r="FB115" s="789">
        <f>VLOOKUP($EY115,'NEPC data'!$B83:$M270,9,TRUE)*100</f>
        <v>-5.4504574450736971</v>
      </c>
      <c r="FC115" s="789">
        <f>VLOOKUP($EY115,'NEPC data'!$B83:$M270,10,TRUE)*100</f>
        <v>0.2166438941622495</v>
      </c>
      <c r="FD115" s="789">
        <f>VLOOKUP($EY115,'NEPC data'!$B83:$M270,11,TRUE)*100</f>
        <v>0</v>
      </c>
      <c r="FE115" s="418"/>
      <c r="FF115" s="570"/>
      <c r="FG115" s="570"/>
      <c r="FH115" s="570"/>
      <c r="FI115" s="570"/>
      <c r="FJ115" s="570"/>
      <c r="FK115" s="418"/>
      <c r="FL115" s="467"/>
      <c r="FM115" s="467"/>
    </row>
    <row r="116" spans="1:169" s="15" customFormat="1" ht="12.75" customHeight="1" x14ac:dyDescent="0.2">
      <c r="A116" s="1232" t="s">
        <v>693</v>
      </c>
      <c r="B116" s="417"/>
      <c r="C116" s="430"/>
      <c r="D116" s="249"/>
      <c r="E116" s="1219"/>
      <c r="F116" s="1220">
        <f>AH116</f>
        <v>-1.04514</v>
      </c>
      <c r="G116" s="1023">
        <f t="array" ref="G116">IF($AJ116=0,"---",(PRODUCT($AH116:AJ116/100+1)-1)*100)</f>
        <v>-5.4159058113429133</v>
      </c>
      <c r="H116" s="432">
        <f t="array" ref="H116">IF($AS116=0,"---",(PRODUCT(AH116:AN116/100+1)-1)*100)</f>
        <v>0.38143367940308703</v>
      </c>
      <c r="I116" s="1023">
        <f t="array" ref="I116">IF(AS116=0,"---",(GEOMEAN($AH116:AS116/100+1)^12-1)*100)</f>
        <v>-2.9246836995638237</v>
      </c>
      <c r="J116" s="1023">
        <f t="array" ref="J116">IF(BE116=0,"---",(GEOMEAN($AH116:BE116/100+1)^12-1)*100)</f>
        <v>-6.8437541097058023</v>
      </c>
      <c r="K116" s="1023">
        <f t="array" ref="K116">IF(BQ116=0,"---",(GEOMEAN($AH116:BQ116/100+1)^12-1)*100)</f>
        <v>-8.2980463889324447</v>
      </c>
      <c r="L116" s="1023">
        <f t="array" ref="L116">IF(CC116=0,"---",(GEOMEAN($AH116:CC116/100+1)^12-1)*100)</f>
        <v>-0.75078354097879441</v>
      </c>
      <c r="M116" s="1023" t="str">
        <f t="array" ref="M116">IF(CO116=0,"---",(GEOMEAN($AH116:CO116/100+1)^12-1)*100)</f>
        <v>---</v>
      </c>
      <c r="N116" s="1023" t="str">
        <f t="array" ref="N116">IF(DM116=0,"---",(GEOMEAN($AH116:DM116/100+1)^12-1)*100)</f>
        <v>---</v>
      </c>
      <c r="O116" s="1023" t="str">
        <f t="array" ref="O116">IF(EK116=0,"---",(GEOMEAN($AH116:EK116/100+1)^12-1)*100)</f>
        <v>---</v>
      </c>
      <c r="P116" s="1023" t="str">
        <f t="array" ref="P116">IF(EW116=0,"---",(GEOMEAN($AH116:EW116/100+1)^12-1)*100)</f>
        <v>---</v>
      </c>
      <c r="Q116" s="1221" t="s">
        <v>34</v>
      </c>
      <c r="R116" s="1218"/>
      <c r="S116" s="1218"/>
      <c r="T116" s="1218"/>
      <c r="U116" s="1218"/>
      <c r="V116" s="1218"/>
      <c r="W116" s="1218"/>
      <c r="X116" s="1218"/>
      <c r="Y116" s="1218"/>
      <c r="Z116" s="1218"/>
      <c r="AA116" s="1218"/>
      <c r="AB116" s="1218"/>
      <c r="AC116" s="1222"/>
      <c r="AD116" s="1233"/>
      <c r="AE116" s="363"/>
      <c r="AF116" s="432"/>
      <c r="AG116" s="418"/>
      <c r="AH116" s="1025">
        <f t="shared" ref="AH116:BM116" si="113">VLOOKUP(AH$8,Index,37,FALSE)</f>
        <v>-1.04514</v>
      </c>
      <c r="AI116" s="1025">
        <f t="shared" si="113"/>
        <v>-4.9835500000000001</v>
      </c>
      <c r="AJ116" s="1025">
        <f t="shared" si="113"/>
        <v>0.59633999999999998</v>
      </c>
      <c r="AK116" s="1025">
        <f t="shared" si="113"/>
        <v>-2.87466</v>
      </c>
      <c r="AL116" s="1025">
        <f t="shared" si="113"/>
        <v>2.4358599999999999</v>
      </c>
      <c r="AM116" s="1025">
        <f t="shared" si="113"/>
        <v>0.41117999999999999</v>
      </c>
      <c r="AN116" s="1025">
        <f t="shared" si="113"/>
        <v>6.2352499999999997</v>
      </c>
      <c r="AO116" s="1025">
        <f t="shared" si="113"/>
        <v>0.29765999999999998</v>
      </c>
      <c r="AP116" s="1025">
        <f t="shared" si="113"/>
        <v>1.2399100000000001</v>
      </c>
      <c r="AQ116" s="1025">
        <f t="shared" si="113"/>
        <v>-0.80006999999999995</v>
      </c>
      <c r="AR116" s="1025">
        <f t="shared" si="113"/>
        <v>-1.47685</v>
      </c>
      <c r="AS116" s="1025">
        <f t="shared" si="113"/>
        <v>-2.5541800000000001</v>
      </c>
      <c r="AT116" s="1025">
        <f t="shared" si="113"/>
        <v>3.4022600000000001</v>
      </c>
      <c r="AU116" s="1025">
        <f t="shared" si="113"/>
        <v>1.3626799999999999</v>
      </c>
      <c r="AV116" s="1025">
        <f t="shared" si="113"/>
        <v>-4.7145000000000001</v>
      </c>
      <c r="AW116" s="1025">
        <f t="shared" si="113"/>
        <v>-2.2430500000000002</v>
      </c>
      <c r="AX116" s="1025">
        <f t="shared" si="113"/>
        <v>-2.7908900000000001</v>
      </c>
      <c r="AY116" s="1025">
        <f t="shared" si="113"/>
        <v>0.67384999999999995</v>
      </c>
      <c r="AZ116" s="1025">
        <f t="shared" si="113"/>
        <v>-4.08697</v>
      </c>
      <c r="BA116" s="1025">
        <f t="shared" si="113"/>
        <v>2.3974799999999998</v>
      </c>
      <c r="BB116" s="1025">
        <f t="shared" si="113"/>
        <v>-2.6071</v>
      </c>
      <c r="BC116" s="1025">
        <f t="shared" si="113"/>
        <v>5.16E-2</v>
      </c>
      <c r="BD116" s="1025">
        <f t="shared" si="113"/>
        <v>-3.8729</v>
      </c>
      <c r="BE116" s="1025">
        <f t="shared" si="113"/>
        <v>1.7056</v>
      </c>
      <c r="BF116" s="1025">
        <f t="shared" si="113"/>
        <v>1.2984</v>
      </c>
      <c r="BG116" s="1025">
        <f t="shared" si="113"/>
        <v>6.4686000000000003</v>
      </c>
      <c r="BH116" s="1025">
        <f t="shared" si="113"/>
        <v>5.4930000000000003</v>
      </c>
      <c r="BI116" s="1025">
        <f t="shared" si="113"/>
        <v>-9.1319999999999997</v>
      </c>
      <c r="BJ116" s="1025">
        <f t="shared" si="113"/>
        <v>-0.42320000000000002</v>
      </c>
      <c r="BK116" s="1025">
        <f t="shared" si="113"/>
        <v>-4.1364999999999998</v>
      </c>
      <c r="BL116" s="1025">
        <f t="shared" si="113"/>
        <v>2.6987000000000001</v>
      </c>
      <c r="BM116" s="1025">
        <f t="shared" si="113"/>
        <v>2.4729000000000001</v>
      </c>
      <c r="BN116" s="1025">
        <f t="shared" ref="BN116:CS116" si="114">VLOOKUP(BN$8,Index,37,FALSE)</f>
        <v>-3.7479</v>
      </c>
      <c r="BO116" s="1025">
        <f t="shared" si="114"/>
        <v>-2.2189999999999999</v>
      </c>
      <c r="BP116" s="1025">
        <f t="shared" si="114"/>
        <v>6.6184000000000003</v>
      </c>
      <c r="BQ116" s="1025">
        <f t="shared" si="114"/>
        <v>-14.734999999999999</v>
      </c>
      <c r="BR116" s="1025">
        <f t="shared" si="114"/>
        <v>0.99860000000000004</v>
      </c>
      <c r="BS116" s="1025">
        <f t="shared" si="114"/>
        <v>2.9618000000000002</v>
      </c>
      <c r="BT116" s="1025">
        <f t="shared" si="114"/>
        <v>-5.0442</v>
      </c>
      <c r="BU116" s="1025">
        <f t="shared" si="114"/>
        <v>-5.0582000000000003</v>
      </c>
      <c r="BV116" s="1025">
        <f t="shared" si="114"/>
        <v>3.4630999999999998</v>
      </c>
      <c r="BW116" s="1025">
        <f t="shared" si="114"/>
        <v>2.0644999999999998</v>
      </c>
      <c r="BX116" s="1025">
        <f t="shared" si="114"/>
        <v>1.3179000000000001</v>
      </c>
      <c r="BY116" s="1025">
        <f t="shared" si="114"/>
        <v>1.0029999999999999</v>
      </c>
      <c r="BZ116" s="1025">
        <f t="shared" si="114"/>
        <v>10.689</v>
      </c>
      <c r="CA116" s="1025">
        <f t="shared" si="114"/>
        <v>-0.35399999999999998</v>
      </c>
      <c r="CB116" s="1025">
        <f t="shared" si="114"/>
        <v>4.9828000000000001</v>
      </c>
      <c r="CC116" s="1025">
        <f t="shared" si="114"/>
        <v>7.2603</v>
      </c>
      <c r="CD116" s="1025">
        <f t="shared" si="114"/>
        <v>0</v>
      </c>
      <c r="CE116" s="1025">
        <f t="shared" si="114"/>
        <v>0</v>
      </c>
      <c r="CF116" s="1025">
        <f t="shared" si="114"/>
        <v>0</v>
      </c>
      <c r="CG116" s="1025">
        <f t="shared" si="114"/>
        <v>0</v>
      </c>
      <c r="CH116" s="1025">
        <f t="shared" si="114"/>
        <v>0</v>
      </c>
      <c r="CI116" s="1025">
        <f t="shared" si="114"/>
        <v>0</v>
      </c>
      <c r="CJ116" s="1025">
        <f t="shared" si="114"/>
        <v>0</v>
      </c>
      <c r="CK116" s="1025">
        <f t="shared" si="114"/>
        <v>0</v>
      </c>
      <c r="CL116" s="1025">
        <f t="shared" si="114"/>
        <v>0</v>
      </c>
      <c r="CM116" s="1025">
        <f t="shared" si="114"/>
        <v>0</v>
      </c>
      <c r="CN116" s="1025">
        <f t="shared" si="114"/>
        <v>0</v>
      </c>
      <c r="CO116" s="1025">
        <f t="shared" si="114"/>
        <v>0</v>
      </c>
      <c r="CP116" s="1025">
        <f t="shared" si="114"/>
        <v>0</v>
      </c>
      <c r="CQ116" s="1025">
        <f t="shared" si="114"/>
        <v>0</v>
      </c>
      <c r="CR116" s="1025">
        <f t="shared" si="114"/>
        <v>0</v>
      </c>
      <c r="CS116" s="1025">
        <f t="shared" si="114"/>
        <v>0</v>
      </c>
      <c r="CT116" s="1025">
        <f t="shared" ref="CT116:DY116" si="115">VLOOKUP(CT$8,Index,37,FALSE)</f>
        <v>0</v>
      </c>
      <c r="CU116" s="1025">
        <f t="shared" si="115"/>
        <v>0</v>
      </c>
      <c r="CV116" s="1025">
        <f t="shared" si="115"/>
        <v>0</v>
      </c>
      <c r="CW116" s="1025">
        <f t="shared" si="115"/>
        <v>0</v>
      </c>
      <c r="CX116" s="1025">
        <f t="shared" si="115"/>
        <v>0</v>
      </c>
      <c r="CY116" s="1025">
        <f t="shared" si="115"/>
        <v>0</v>
      </c>
      <c r="CZ116" s="1025">
        <f t="shared" si="115"/>
        <v>0</v>
      </c>
      <c r="DA116" s="1025">
        <f t="shared" si="115"/>
        <v>0</v>
      </c>
      <c r="DB116" s="1025">
        <f t="shared" si="115"/>
        <v>0</v>
      </c>
      <c r="DC116" s="1025">
        <f t="shared" si="115"/>
        <v>0</v>
      </c>
      <c r="DD116" s="1025">
        <f t="shared" si="115"/>
        <v>0</v>
      </c>
      <c r="DE116" s="1025">
        <f t="shared" si="115"/>
        <v>0</v>
      </c>
      <c r="DF116" s="1025">
        <f t="shared" si="115"/>
        <v>0</v>
      </c>
      <c r="DG116" s="1025">
        <f t="shared" si="115"/>
        <v>0</v>
      </c>
      <c r="DH116" s="1025">
        <f t="shared" si="115"/>
        <v>0</v>
      </c>
      <c r="DI116" s="1025">
        <f t="shared" si="115"/>
        <v>0</v>
      </c>
      <c r="DJ116" s="1025">
        <f t="shared" si="115"/>
        <v>0</v>
      </c>
      <c r="DK116" s="1025">
        <f t="shared" si="115"/>
        <v>0</v>
      </c>
      <c r="DL116" s="1025">
        <f t="shared" si="115"/>
        <v>0</v>
      </c>
      <c r="DM116" s="1025">
        <f t="shared" si="115"/>
        <v>0</v>
      </c>
      <c r="DN116" s="1025">
        <f t="shared" si="115"/>
        <v>0</v>
      </c>
      <c r="DO116" s="1025">
        <f t="shared" si="115"/>
        <v>0</v>
      </c>
      <c r="DP116" s="1025">
        <f t="shared" si="115"/>
        <v>0</v>
      </c>
      <c r="DQ116" s="1025">
        <f t="shared" si="115"/>
        <v>0</v>
      </c>
      <c r="DR116" s="1025">
        <f t="shared" si="115"/>
        <v>0</v>
      </c>
      <c r="DS116" s="1025">
        <f t="shared" si="115"/>
        <v>0</v>
      </c>
      <c r="DT116" s="1025">
        <f t="shared" si="115"/>
        <v>0</v>
      </c>
      <c r="DU116" s="1025">
        <f t="shared" si="115"/>
        <v>0</v>
      </c>
      <c r="DV116" s="1025">
        <f t="shared" si="115"/>
        <v>0</v>
      </c>
      <c r="DW116" s="1025">
        <f t="shared" si="115"/>
        <v>0</v>
      </c>
      <c r="DX116" s="1025">
        <f t="shared" si="115"/>
        <v>0</v>
      </c>
      <c r="DY116" s="1025">
        <f t="shared" si="115"/>
        <v>0</v>
      </c>
      <c r="DZ116" s="1025">
        <f t="shared" ref="DZ116:EW116" si="116">VLOOKUP(DZ$8,Index,37,FALSE)</f>
        <v>0</v>
      </c>
      <c r="EA116" s="1025">
        <f t="shared" si="116"/>
        <v>0</v>
      </c>
      <c r="EB116" s="1025">
        <f t="shared" si="116"/>
        <v>0</v>
      </c>
      <c r="EC116" s="1025">
        <f t="shared" si="116"/>
        <v>0</v>
      </c>
      <c r="ED116" s="1025">
        <f t="shared" si="116"/>
        <v>0</v>
      </c>
      <c r="EE116" s="1025">
        <f t="shared" si="116"/>
        <v>0</v>
      </c>
      <c r="EF116" s="1025">
        <f t="shared" si="116"/>
        <v>0</v>
      </c>
      <c r="EG116" s="1025">
        <f t="shared" si="116"/>
        <v>0</v>
      </c>
      <c r="EH116" s="1025">
        <f t="shared" si="116"/>
        <v>0</v>
      </c>
      <c r="EI116" s="1025">
        <f t="shared" si="116"/>
        <v>0</v>
      </c>
      <c r="EJ116" s="1025">
        <f t="shared" si="116"/>
        <v>0</v>
      </c>
      <c r="EK116" s="1025">
        <f t="shared" si="116"/>
        <v>0</v>
      </c>
      <c r="EL116" s="1025">
        <f t="shared" si="116"/>
        <v>0</v>
      </c>
      <c r="EM116" s="1025">
        <f t="shared" si="116"/>
        <v>0</v>
      </c>
      <c r="EN116" s="1025">
        <f t="shared" si="116"/>
        <v>0</v>
      </c>
      <c r="EO116" s="1025">
        <f t="shared" si="116"/>
        <v>0</v>
      </c>
      <c r="EP116" s="1025">
        <f t="shared" si="116"/>
        <v>0</v>
      </c>
      <c r="EQ116" s="1025">
        <f t="shared" si="116"/>
        <v>0</v>
      </c>
      <c r="ER116" s="1025">
        <f t="shared" si="116"/>
        <v>0</v>
      </c>
      <c r="ES116" s="1025">
        <f t="shared" si="116"/>
        <v>0</v>
      </c>
      <c r="ET116" s="1025">
        <f t="shared" si="116"/>
        <v>0</v>
      </c>
      <c r="EU116" s="1025">
        <f t="shared" si="116"/>
        <v>0</v>
      </c>
      <c r="EV116" s="1025">
        <f t="shared" si="116"/>
        <v>0</v>
      </c>
      <c r="EW116" s="1025">
        <f t="shared" si="116"/>
        <v>0</v>
      </c>
      <c r="EX116" s="1230"/>
      <c r="EY116" s="1230"/>
      <c r="EZ116" s="789" t="e">
        <f>VLOOKUP($EY116,'NEPC data'!$B86:$M273,5,TRUE)*100</f>
        <v>#N/A</v>
      </c>
      <c r="FA116" s="789" t="e">
        <f>VLOOKUP($EY116,'NEPC data'!$B86:$M273,7,TRUE)*100</f>
        <v>#N/A</v>
      </c>
      <c r="FB116" s="789" t="e">
        <f>VLOOKUP($EY116,'NEPC data'!$B86:$M273,9,TRUE)*100</f>
        <v>#N/A</v>
      </c>
      <c r="FC116" s="789" t="e">
        <f>VLOOKUP($EY116,'NEPC data'!$B86:$M273,10,TRUE)*100</f>
        <v>#N/A</v>
      </c>
      <c r="FD116" s="789" t="e">
        <f>VLOOKUP($EY116,'NEPC data'!$B86:$M273,11,TRUE)*100</f>
        <v>#N/A</v>
      </c>
      <c r="FE116" s="418"/>
      <c r="FF116" s="570"/>
      <c r="FG116" s="570"/>
      <c r="FH116" s="570"/>
      <c r="FI116" s="570"/>
      <c r="FJ116" s="570"/>
      <c r="FK116" s="418"/>
      <c r="FL116" s="467"/>
      <c r="FM116" s="467"/>
    </row>
    <row r="117" spans="1:169" s="1028" customFormat="1" ht="12.75" customHeight="1" x14ac:dyDescent="0.2">
      <c r="A117" s="456"/>
      <c r="B117" s="1024"/>
      <c r="C117" s="1235"/>
      <c r="D117" s="1218"/>
      <c r="E117" s="1219"/>
      <c r="F117" s="1220"/>
      <c r="G117" s="1023"/>
      <c r="H117" s="1023"/>
      <c r="I117" s="1023"/>
      <c r="J117" s="1023"/>
      <c r="K117" s="1023"/>
      <c r="L117" s="1023"/>
      <c r="M117" s="1023"/>
      <c r="N117" s="1023"/>
      <c r="O117" s="1023"/>
      <c r="P117" s="1023"/>
      <c r="Q117" s="1221"/>
      <c r="R117" s="1218"/>
      <c r="S117" s="1218"/>
      <c r="T117" s="1218"/>
      <c r="U117" s="1218"/>
      <c r="V117" s="1218"/>
      <c r="W117" s="1218"/>
      <c r="X117" s="1218"/>
      <c r="Y117" s="1218"/>
      <c r="Z117" s="1218"/>
      <c r="AA117" s="1218"/>
      <c r="AB117" s="1218"/>
      <c r="AC117" s="1236"/>
      <c r="AD117" s="1233"/>
      <c r="AF117" s="1027"/>
      <c r="AG117" s="1024"/>
      <c r="AH117" s="1025"/>
      <c r="AI117" s="1025"/>
      <c r="AJ117" s="1025"/>
      <c r="AK117" s="1025"/>
      <c r="AL117" s="1025"/>
      <c r="AM117" s="1025"/>
      <c r="AN117" s="1025"/>
      <c r="AO117" s="1025"/>
      <c r="AP117" s="1025"/>
      <c r="AQ117" s="1025"/>
      <c r="AR117" s="1025"/>
      <c r="AS117" s="1025"/>
      <c r="AT117" s="1025"/>
      <c r="AU117" s="1025"/>
      <c r="AV117" s="1025"/>
      <c r="AW117" s="1025"/>
      <c r="AX117" s="1025"/>
      <c r="AY117" s="1025"/>
      <c r="AZ117" s="1025"/>
      <c r="BA117" s="1025"/>
      <c r="BB117" s="1025"/>
      <c r="BC117" s="1025"/>
      <c r="BD117" s="1025"/>
      <c r="BE117" s="1025"/>
      <c r="BF117" s="1025"/>
      <c r="BG117" s="1025"/>
      <c r="BH117" s="1025"/>
      <c r="BI117" s="1025"/>
      <c r="BJ117" s="1025"/>
      <c r="BK117" s="1025"/>
      <c r="BL117" s="1025"/>
      <c r="BM117" s="1025"/>
      <c r="BN117" s="1025"/>
      <c r="BO117" s="1025"/>
      <c r="BP117" s="1025"/>
      <c r="BQ117" s="1025"/>
      <c r="BR117" s="1025"/>
      <c r="BS117" s="1025"/>
      <c r="BT117" s="1025"/>
      <c r="BU117" s="1025"/>
      <c r="BV117" s="1025"/>
      <c r="BW117" s="1025"/>
      <c r="BX117" s="1025"/>
      <c r="BY117" s="1025"/>
      <c r="BZ117" s="1025"/>
      <c r="CA117" s="1025"/>
      <c r="CB117" s="1025"/>
      <c r="CC117" s="1025"/>
      <c r="CD117" s="1025"/>
      <c r="CE117" s="1025"/>
      <c r="CF117" s="1025"/>
      <c r="CG117" s="1025"/>
      <c r="CH117" s="1025"/>
      <c r="CI117" s="1025"/>
      <c r="CJ117" s="1025"/>
      <c r="CK117" s="1025"/>
      <c r="CL117" s="1025"/>
      <c r="CM117" s="1025"/>
      <c r="CN117" s="1025"/>
      <c r="CO117" s="1025"/>
      <c r="CP117" s="1025"/>
      <c r="CQ117" s="1025"/>
      <c r="CR117" s="1025"/>
      <c r="CS117" s="1025"/>
      <c r="CT117" s="1025"/>
      <c r="CU117" s="1025"/>
      <c r="CV117" s="1025"/>
      <c r="CW117" s="1025"/>
      <c r="CX117" s="1025"/>
      <c r="CY117" s="1025"/>
      <c r="CZ117" s="1025"/>
      <c r="DA117" s="1025"/>
      <c r="DB117" s="1025"/>
      <c r="DC117" s="1025"/>
      <c r="DD117" s="1025"/>
      <c r="DE117" s="1025"/>
      <c r="DF117" s="1025"/>
      <c r="DG117" s="1025"/>
      <c r="DH117" s="1025"/>
      <c r="DI117" s="1025"/>
      <c r="DJ117" s="1025"/>
      <c r="DK117" s="1025"/>
      <c r="DL117" s="1025"/>
      <c r="DM117" s="1025"/>
      <c r="DN117" s="1025"/>
      <c r="DO117" s="1025"/>
      <c r="DP117" s="1025"/>
      <c r="DQ117" s="1025"/>
      <c r="DR117" s="1025"/>
      <c r="DS117" s="1025"/>
      <c r="DT117" s="1025"/>
      <c r="DU117" s="1025"/>
      <c r="DV117" s="1025"/>
      <c r="DW117" s="1025"/>
      <c r="DX117" s="1025"/>
      <c r="DY117" s="1025"/>
      <c r="DZ117" s="1025"/>
      <c r="EA117" s="1025"/>
      <c r="EB117" s="1025"/>
      <c r="EC117" s="1025"/>
      <c r="ED117" s="1025"/>
      <c r="EE117" s="1025"/>
      <c r="EF117" s="1025"/>
      <c r="EG117" s="1025"/>
      <c r="EH117" s="1025"/>
      <c r="EI117" s="1025"/>
      <c r="EJ117" s="1025"/>
      <c r="EK117" s="1025"/>
      <c r="EL117" s="1025"/>
      <c r="EM117" s="1025"/>
      <c r="EN117" s="1025"/>
      <c r="EO117" s="1025"/>
      <c r="EP117" s="1025"/>
      <c r="EQ117" s="1025"/>
      <c r="ER117" s="1025"/>
      <c r="ES117" s="1025"/>
      <c r="ET117" s="1025"/>
      <c r="EU117" s="1025"/>
      <c r="EV117" s="1025"/>
      <c r="EW117" s="1025"/>
      <c r="EX117" s="1230"/>
      <c r="EY117" s="1230"/>
      <c r="EZ117" s="789"/>
      <c r="FA117" s="789"/>
      <c r="FB117" s="789"/>
      <c r="FC117" s="789"/>
      <c r="FD117" s="789"/>
      <c r="FE117" s="1024"/>
      <c r="FF117" s="1027"/>
      <c r="FG117" s="1027"/>
      <c r="FH117" s="1027"/>
      <c r="FI117" s="1027"/>
      <c r="FJ117" s="1027"/>
      <c r="FK117" s="1024"/>
      <c r="FL117" s="1027"/>
      <c r="FM117" s="1027"/>
    </row>
    <row r="118" spans="1:169" s="207" customFormat="1" ht="12.75" customHeight="1" thickBot="1" x14ac:dyDescent="0.25">
      <c r="A118" s="511" t="s">
        <v>669</v>
      </c>
      <c r="B118" s="628"/>
      <c r="C118" s="625"/>
      <c r="D118" s="499"/>
      <c r="E118" s="500">
        <f>E115</f>
        <v>817.50981536000006</v>
      </c>
      <c r="F118" s="599"/>
      <c r="G118" s="600"/>
      <c r="H118" s="600"/>
      <c r="I118" s="600"/>
      <c r="J118" s="600"/>
      <c r="K118" s="600"/>
      <c r="L118" s="600"/>
      <c r="M118" s="600"/>
      <c r="N118" s="600"/>
      <c r="O118" s="600"/>
      <c r="P118" s="600"/>
      <c r="Q118" s="601"/>
      <c r="R118" s="606"/>
      <c r="S118" s="499"/>
      <c r="T118" s="499"/>
      <c r="U118" s="499"/>
      <c r="V118" s="499"/>
      <c r="W118" s="499"/>
      <c r="X118" s="499"/>
      <c r="Y118" s="499"/>
      <c r="Z118" s="499"/>
      <c r="AA118" s="499"/>
      <c r="AB118" s="499"/>
      <c r="AC118" s="602"/>
      <c r="AD118" s="603"/>
      <c r="AE118" s="501"/>
      <c r="AF118" s="1312"/>
      <c r="AG118" s="520"/>
      <c r="AH118" s="1313"/>
      <c r="AI118" s="1313"/>
      <c r="AJ118" s="1313"/>
      <c r="AK118" s="1313"/>
      <c r="AL118" s="1313"/>
      <c r="AM118" s="1313"/>
      <c r="AN118" s="1313"/>
      <c r="AO118" s="1313"/>
      <c r="AP118" s="1313"/>
      <c r="AQ118" s="1313"/>
      <c r="AR118" s="1313"/>
      <c r="AS118" s="1313"/>
      <c r="AT118" s="1313"/>
      <c r="AU118" s="1313"/>
      <c r="AV118" s="1313"/>
      <c r="AW118" s="1313"/>
      <c r="AX118" s="1313"/>
      <c r="AY118" s="1313"/>
      <c r="AZ118" s="1313"/>
      <c r="BA118" s="1313"/>
      <c r="BB118" s="1313"/>
      <c r="BC118" s="1313"/>
      <c r="BD118" s="1313"/>
      <c r="BE118" s="1313"/>
      <c r="BF118" s="1313"/>
      <c r="BG118" s="1313"/>
      <c r="BH118" s="1313"/>
      <c r="BI118" s="1313"/>
      <c r="BJ118" s="1313"/>
      <c r="BK118" s="1313"/>
      <c r="BL118" s="1313"/>
      <c r="BM118" s="1313"/>
      <c r="BN118" s="1313"/>
      <c r="BO118" s="1313"/>
      <c r="BP118" s="1313"/>
      <c r="BQ118" s="1313"/>
      <c r="BR118" s="1313"/>
      <c r="BS118" s="1313"/>
      <c r="BT118" s="1313"/>
      <c r="BU118" s="1313"/>
      <c r="BV118" s="1313"/>
      <c r="BW118" s="1313"/>
      <c r="BX118" s="1313"/>
      <c r="BY118" s="1313"/>
      <c r="BZ118" s="1313"/>
      <c r="CA118" s="1313"/>
      <c r="CB118" s="1313"/>
      <c r="CC118" s="1313"/>
      <c r="CD118" s="1313"/>
      <c r="CE118" s="1313"/>
      <c r="CF118" s="1313"/>
      <c r="CG118" s="1313"/>
      <c r="CH118" s="1313"/>
      <c r="CI118" s="1313"/>
      <c r="CJ118" s="1313"/>
      <c r="CK118" s="1313"/>
      <c r="CL118" s="1313"/>
      <c r="CM118" s="1313"/>
      <c r="CN118" s="1313"/>
      <c r="CO118" s="1313"/>
      <c r="CP118" s="1313"/>
      <c r="CQ118" s="1313"/>
      <c r="CR118" s="1313"/>
      <c r="CS118" s="1313"/>
      <c r="CT118" s="1313"/>
      <c r="CU118" s="1313"/>
      <c r="CV118" s="1313"/>
      <c r="CW118" s="1313"/>
      <c r="CX118" s="1313"/>
      <c r="CY118" s="1313"/>
      <c r="CZ118" s="1313"/>
      <c r="DA118" s="1313"/>
      <c r="DB118" s="1313"/>
      <c r="DC118" s="1313"/>
      <c r="DD118" s="1313"/>
      <c r="DE118" s="1313"/>
      <c r="DF118" s="1313"/>
      <c r="DG118" s="1313"/>
      <c r="DH118" s="1313"/>
      <c r="DI118" s="1313"/>
      <c r="DJ118" s="1313"/>
      <c r="DK118" s="1313"/>
      <c r="DL118" s="1313"/>
      <c r="DM118" s="1313"/>
      <c r="DN118" s="1313"/>
      <c r="DO118" s="1313"/>
      <c r="DP118" s="1313"/>
      <c r="DQ118" s="1313"/>
      <c r="DR118" s="1313"/>
      <c r="DS118" s="1313"/>
      <c r="DT118" s="1313"/>
      <c r="DU118" s="1313"/>
      <c r="DV118" s="1313"/>
      <c r="DW118" s="1313"/>
      <c r="DX118" s="1313"/>
      <c r="DY118" s="1313"/>
      <c r="DZ118" s="1313"/>
      <c r="EA118" s="1313"/>
      <c r="EB118" s="1313"/>
      <c r="EC118" s="1313"/>
      <c r="ED118" s="1313"/>
      <c r="EE118" s="1313"/>
      <c r="EF118" s="1313"/>
      <c r="EG118" s="1313"/>
      <c r="EH118" s="1313"/>
      <c r="EI118" s="1313"/>
      <c r="EJ118" s="1313"/>
      <c r="EK118" s="1313"/>
      <c r="EL118" s="1313"/>
      <c r="EM118" s="1313"/>
      <c r="EN118" s="1313"/>
      <c r="EO118" s="1313"/>
      <c r="EP118" s="1313"/>
      <c r="EQ118" s="1313"/>
      <c r="ER118" s="1313"/>
      <c r="ES118" s="1313"/>
      <c r="ET118" s="1313"/>
      <c r="EU118" s="1313"/>
      <c r="EV118" s="1313"/>
      <c r="EW118" s="1313"/>
      <c r="EX118" s="521"/>
      <c r="EY118" s="1259"/>
      <c r="EZ118" s="789"/>
      <c r="FA118" s="789"/>
      <c r="FB118" s="789"/>
      <c r="FC118" s="789"/>
      <c r="FD118" s="789"/>
      <c r="FE118" s="248"/>
      <c r="FF118" s="441"/>
      <c r="FG118" s="441"/>
      <c r="FH118" s="441"/>
      <c r="FI118" s="441"/>
      <c r="FJ118" s="441"/>
      <c r="FK118" s="248"/>
      <c r="FL118" s="248"/>
      <c r="FM118" s="512"/>
    </row>
    <row r="119" spans="1:169" s="395" customFormat="1" ht="12.75" customHeight="1" x14ac:dyDescent="0.2">
      <c r="A119" s="416"/>
      <c r="B119" s="417"/>
      <c r="C119" s="430"/>
      <c r="D119" s="249"/>
      <c r="E119" s="457"/>
      <c r="F119" s="466"/>
      <c r="G119" s="467"/>
      <c r="H119" s="467"/>
      <c r="I119" s="467"/>
      <c r="J119" s="467"/>
      <c r="K119" s="467"/>
      <c r="L119" s="467"/>
      <c r="M119" s="467"/>
      <c r="N119" s="467"/>
      <c r="O119" s="467"/>
      <c r="P119" s="467"/>
      <c r="Q119" s="468"/>
      <c r="R119" s="249"/>
      <c r="S119" s="249"/>
      <c r="T119" s="249"/>
      <c r="U119" s="249"/>
      <c r="V119" s="249"/>
      <c r="W119" s="249"/>
      <c r="X119" s="249"/>
      <c r="Y119" s="249"/>
      <c r="Z119" s="249"/>
      <c r="AA119" s="249"/>
      <c r="AB119" s="249"/>
      <c r="AC119" s="459"/>
      <c r="AD119" s="463"/>
      <c r="AE119" s="15"/>
      <c r="AF119" s="442"/>
      <c r="AG119" s="382"/>
      <c r="AH119" s="440"/>
      <c r="AI119" s="440"/>
      <c r="AJ119" s="440"/>
      <c r="AK119" s="440"/>
      <c r="AL119" s="440"/>
      <c r="AM119" s="440"/>
      <c r="AN119" s="440"/>
      <c r="AO119" s="440"/>
      <c r="AP119" s="440"/>
      <c r="AQ119" s="440"/>
      <c r="AR119" s="440"/>
      <c r="AS119" s="440"/>
      <c r="AT119" s="440"/>
      <c r="AU119" s="440"/>
      <c r="AV119" s="440"/>
      <c r="AW119" s="440"/>
      <c r="AX119" s="440"/>
      <c r="AY119" s="440"/>
      <c r="AZ119" s="440"/>
      <c r="BA119" s="440"/>
      <c r="BB119" s="440"/>
      <c r="BC119" s="440"/>
      <c r="BD119" s="440"/>
      <c r="BE119" s="440"/>
      <c r="BF119" s="440"/>
      <c r="BG119" s="440"/>
      <c r="BH119" s="440"/>
      <c r="BI119" s="440"/>
      <c r="BJ119" s="440"/>
      <c r="BK119" s="440"/>
      <c r="BL119" s="440"/>
      <c r="BM119" s="440"/>
      <c r="BN119" s="440"/>
      <c r="BO119" s="440"/>
      <c r="BP119" s="440"/>
      <c r="BQ119" s="440"/>
      <c r="BR119" s="440"/>
      <c r="BS119" s="440"/>
      <c r="BT119" s="440"/>
      <c r="BU119" s="440"/>
      <c r="BV119" s="440"/>
      <c r="BW119" s="440"/>
      <c r="BX119" s="440"/>
      <c r="BY119" s="440"/>
      <c r="BZ119" s="440"/>
      <c r="CA119" s="440"/>
      <c r="CB119" s="440"/>
      <c r="CC119" s="440"/>
      <c r="CD119" s="440"/>
      <c r="CE119" s="440"/>
      <c r="CF119" s="440"/>
      <c r="CG119" s="440"/>
      <c r="CH119" s="440"/>
      <c r="CI119" s="440"/>
      <c r="CJ119" s="440"/>
      <c r="CK119" s="440"/>
      <c r="CL119" s="440"/>
      <c r="CM119" s="440"/>
      <c r="CN119" s="440"/>
      <c r="CO119" s="440"/>
      <c r="CP119" s="440"/>
      <c r="CQ119" s="440"/>
      <c r="CR119" s="440"/>
      <c r="CS119" s="440"/>
      <c r="CT119" s="440"/>
      <c r="CU119" s="440"/>
      <c r="CV119" s="440"/>
      <c r="CW119" s="440"/>
      <c r="CX119" s="440"/>
      <c r="CY119" s="440"/>
      <c r="CZ119" s="440"/>
      <c r="DA119" s="440"/>
      <c r="DB119" s="440"/>
      <c r="DC119" s="440"/>
      <c r="DD119" s="440"/>
      <c r="DE119" s="440"/>
      <c r="DF119" s="440"/>
      <c r="DG119" s="440"/>
      <c r="DH119" s="440"/>
      <c r="DI119" s="440"/>
      <c r="DJ119" s="440"/>
      <c r="DK119" s="440"/>
      <c r="DL119" s="440"/>
      <c r="DM119" s="440"/>
      <c r="DN119" s="440"/>
      <c r="DO119" s="440"/>
      <c r="DP119" s="440"/>
      <c r="DQ119" s="440"/>
      <c r="DR119" s="440"/>
      <c r="DS119" s="440"/>
      <c r="DT119" s="440"/>
      <c r="DU119" s="440"/>
      <c r="DV119" s="440"/>
      <c r="DW119" s="440"/>
      <c r="DX119" s="440"/>
      <c r="DY119" s="440"/>
      <c r="DZ119" s="440"/>
      <c r="EA119" s="440"/>
      <c r="EB119" s="440"/>
      <c r="EC119" s="440"/>
      <c r="ED119" s="440"/>
      <c r="EE119" s="440"/>
      <c r="EF119" s="440"/>
      <c r="EG119" s="440"/>
      <c r="EH119" s="440"/>
      <c r="EI119" s="440"/>
      <c r="EJ119" s="440"/>
      <c r="EK119" s="440"/>
      <c r="EL119" s="440"/>
      <c r="EM119" s="440"/>
      <c r="EN119" s="440"/>
      <c r="EO119" s="440"/>
      <c r="EP119" s="440"/>
      <c r="EQ119" s="440"/>
      <c r="ER119" s="440"/>
      <c r="ES119" s="440"/>
      <c r="ET119" s="440"/>
      <c r="EU119" s="440"/>
      <c r="EV119" s="440"/>
      <c r="EW119" s="440"/>
      <c r="EX119" s="393"/>
      <c r="EY119" s="393"/>
      <c r="EZ119" s="789" t="e">
        <f>VLOOKUP($EY119,'NEPC data'!$B85:$M272,5,TRUE)*100</f>
        <v>#N/A</v>
      </c>
      <c r="FA119" s="789" t="e">
        <f>VLOOKUP($EY119,'NEPC data'!$B85:$M272,7,TRUE)*100</f>
        <v>#N/A</v>
      </c>
      <c r="FB119" s="789" t="e">
        <f>VLOOKUP($EY119,'NEPC data'!$B85:$M272,9,TRUE)*100</f>
        <v>#N/A</v>
      </c>
      <c r="FC119" s="789" t="e">
        <f>VLOOKUP($EY119,'NEPC data'!$B85:$M272,10,TRUE)*100</f>
        <v>#N/A</v>
      </c>
      <c r="FD119" s="789" t="e">
        <f>VLOOKUP($EY119,'NEPC data'!$B85:$M272,11,TRUE)*100</f>
        <v>#N/A</v>
      </c>
      <c r="FE119" s="382"/>
      <c r="FF119" s="442"/>
      <c r="FG119" s="442"/>
      <c r="FH119" s="442"/>
      <c r="FI119" s="442"/>
      <c r="FJ119" s="442"/>
      <c r="FK119" s="382"/>
      <c r="FL119" s="442"/>
      <c r="FM119" s="442"/>
    </row>
    <row r="120" spans="1:169" s="395" customFormat="1" ht="12.75" customHeight="1" x14ac:dyDescent="0.2">
      <c r="A120" s="425" t="s">
        <v>213</v>
      </c>
      <c r="B120" s="620"/>
      <c r="C120" s="469"/>
      <c r="D120" s="249"/>
      <c r="E120" s="470"/>
      <c r="F120" s="471"/>
      <c r="G120" s="472"/>
      <c r="H120" s="467"/>
      <c r="I120" s="467"/>
      <c r="J120" s="467"/>
      <c r="K120" s="467"/>
      <c r="L120" s="467"/>
      <c r="M120" s="467"/>
      <c r="N120" s="467"/>
      <c r="O120" s="467"/>
      <c r="P120" s="467"/>
      <c r="Q120" s="468"/>
      <c r="R120" s="249"/>
      <c r="S120" s="249"/>
      <c r="T120" s="249"/>
      <c r="U120" s="249"/>
      <c r="V120" s="249"/>
      <c r="W120" s="249"/>
      <c r="X120" s="249"/>
      <c r="Y120" s="249"/>
      <c r="Z120" s="249"/>
      <c r="AA120" s="249"/>
      <c r="AB120" s="249"/>
      <c r="AC120" s="459"/>
      <c r="AD120" s="463"/>
      <c r="AE120" s="15"/>
      <c r="AF120" s="442"/>
      <c r="AG120" s="382"/>
      <c r="AH120" s="440"/>
      <c r="AI120" s="440"/>
      <c r="AJ120" s="440"/>
      <c r="AK120" s="440"/>
      <c r="AL120" s="440"/>
      <c r="AM120" s="440"/>
      <c r="AN120" s="440"/>
      <c r="AO120" s="440"/>
      <c r="AP120" s="440"/>
      <c r="AQ120" s="440"/>
      <c r="AR120" s="440"/>
      <c r="AS120" s="440"/>
      <c r="AT120" s="440"/>
      <c r="AU120" s="440"/>
      <c r="AV120" s="440"/>
      <c r="AW120" s="440"/>
      <c r="AX120" s="440"/>
      <c r="AY120" s="440"/>
      <c r="AZ120" s="440"/>
      <c r="BA120" s="440"/>
      <c r="BB120" s="440"/>
      <c r="BC120" s="440"/>
      <c r="BD120" s="440"/>
      <c r="BE120" s="440"/>
      <c r="BF120" s="440"/>
      <c r="BG120" s="440"/>
      <c r="BH120" s="440"/>
      <c r="BI120" s="440"/>
      <c r="BJ120" s="440"/>
      <c r="BK120" s="440"/>
      <c r="BL120" s="440"/>
      <c r="BM120" s="440"/>
      <c r="BN120" s="440"/>
      <c r="BO120" s="440"/>
      <c r="BP120" s="440"/>
      <c r="BQ120" s="440"/>
      <c r="BR120" s="440"/>
      <c r="BS120" s="440"/>
      <c r="BT120" s="440"/>
      <c r="BU120" s="440"/>
      <c r="BV120" s="440"/>
      <c r="BW120" s="440"/>
      <c r="BX120" s="440"/>
      <c r="BY120" s="440"/>
      <c r="BZ120" s="440"/>
      <c r="CA120" s="440"/>
      <c r="CB120" s="440"/>
      <c r="CC120" s="440"/>
      <c r="CD120" s="440"/>
      <c r="CE120" s="440"/>
      <c r="CF120" s="440"/>
      <c r="CG120" s="440"/>
      <c r="CH120" s="440"/>
      <c r="CI120" s="440"/>
      <c r="CJ120" s="440"/>
      <c r="CK120" s="440"/>
      <c r="CL120" s="440"/>
      <c r="CM120" s="440"/>
      <c r="CN120" s="440"/>
      <c r="CO120" s="440"/>
      <c r="CP120" s="440"/>
      <c r="CQ120" s="440"/>
      <c r="CR120" s="440"/>
      <c r="CS120" s="440"/>
      <c r="CT120" s="440"/>
      <c r="CU120" s="440"/>
      <c r="CV120" s="440"/>
      <c r="CW120" s="440"/>
      <c r="CX120" s="440"/>
      <c r="CY120" s="440"/>
      <c r="CZ120" s="440"/>
      <c r="DA120" s="440"/>
      <c r="DB120" s="440"/>
      <c r="DC120" s="440"/>
      <c r="DD120" s="440"/>
      <c r="DE120" s="440"/>
      <c r="DF120" s="440"/>
      <c r="DG120" s="440"/>
      <c r="DH120" s="440"/>
      <c r="DI120" s="440"/>
      <c r="DJ120" s="440"/>
      <c r="DK120" s="440"/>
      <c r="DL120" s="440"/>
      <c r="DM120" s="440"/>
      <c r="DN120" s="440"/>
      <c r="DO120" s="440"/>
      <c r="DP120" s="440"/>
      <c r="DQ120" s="440"/>
      <c r="DR120" s="440"/>
      <c r="DS120" s="440"/>
      <c r="DT120" s="440"/>
      <c r="DU120" s="440"/>
      <c r="DV120" s="440"/>
      <c r="DW120" s="440"/>
      <c r="DX120" s="440"/>
      <c r="DY120" s="440"/>
      <c r="DZ120" s="440"/>
      <c r="EA120" s="440"/>
      <c r="EB120" s="440"/>
      <c r="EC120" s="440"/>
      <c r="ED120" s="440"/>
      <c r="EE120" s="440"/>
      <c r="EF120" s="440"/>
      <c r="EG120" s="440"/>
      <c r="EH120" s="440"/>
      <c r="EI120" s="440"/>
      <c r="EJ120" s="440"/>
      <c r="EK120" s="440"/>
      <c r="EL120" s="440"/>
      <c r="EM120" s="440"/>
      <c r="EN120" s="440"/>
      <c r="EO120" s="440"/>
      <c r="EP120" s="440"/>
      <c r="EQ120" s="440"/>
      <c r="ER120" s="440"/>
      <c r="ES120" s="440"/>
      <c r="ET120" s="440"/>
      <c r="EU120" s="440"/>
      <c r="EV120" s="440"/>
      <c r="EW120" s="440"/>
      <c r="EX120" s="393"/>
      <c r="EY120" s="393"/>
      <c r="EZ120" s="789" t="e">
        <f>VLOOKUP($EY120,'NEPC data'!$B86:$M273,5,TRUE)*100</f>
        <v>#N/A</v>
      </c>
      <c r="FA120" s="789" t="e">
        <f>VLOOKUP($EY120,'NEPC data'!$B86:$M273,7,TRUE)*100</f>
        <v>#N/A</v>
      </c>
      <c r="FB120" s="789" t="e">
        <f>VLOOKUP($EY120,'NEPC data'!$B86:$M273,9,TRUE)*100</f>
        <v>#N/A</v>
      </c>
      <c r="FC120" s="789" t="e">
        <f>VLOOKUP($EY120,'NEPC data'!$B86:$M273,10,TRUE)*100</f>
        <v>#N/A</v>
      </c>
      <c r="FD120" s="789" t="e">
        <f>VLOOKUP($EY120,'NEPC data'!$B86:$M273,11,TRUE)*100</f>
        <v>#N/A</v>
      </c>
      <c r="FE120" s="382"/>
      <c r="FF120" s="442"/>
      <c r="FG120" s="442"/>
      <c r="FH120" s="442"/>
      <c r="FI120" s="442"/>
      <c r="FJ120" s="442"/>
      <c r="FK120" s="382"/>
      <c r="FL120" s="442"/>
      <c r="FM120" s="442"/>
    </row>
    <row r="121" spans="1:169" s="395" customFormat="1" ht="12.75" customHeight="1" x14ac:dyDescent="0.2">
      <c r="A121" s="425"/>
      <c r="B121" s="620"/>
      <c r="C121" s="469"/>
      <c r="D121" s="249"/>
      <c r="E121" s="470"/>
      <c r="F121" s="471"/>
      <c r="G121" s="472"/>
      <c r="H121" s="467"/>
      <c r="I121" s="467"/>
      <c r="J121" s="467"/>
      <c r="K121" s="467"/>
      <c r="L121" s="467"/>
      <c r="M121" s="467"/>
      <c r="N121" s="467"/>
      <c r="O121" s="467"/>
      <c r="P121" s="467"/>
      <c r="Q121" s="468"/>
      <c r="R121" s="249"/>
      <c r="S121" s="249"/>
      <c r="T121" s="249"/>
      <c r="U121" s="249"/>
      <c r="V121" s="249"/>
      <c r="W121" s="249"/>
      <c r="X121" s="249"/>
      <c r="Y121" s="249"/>
      <c r="Z121" s="249"/>
      <c r="AA121" s="249"/>
      <c r="AB121" s="249"/>
      <c r="AC121" s="459"/>
      <c r="AD121" s="463"/>
      <c r="AE121" s="15"/>
      <c r="AF121" s="442"/>
      <c r="AG121" s="382"/>
      <c r="AH121" s="440"/>
      <c r="AI121" s="440"/>
      <c r="AJ121" s="440"/>
      <c r="AK121" s="440"/>
      <c r="AL121" s="440"/>
      <c r="AM121" s="440"/>
      <c r="AN121" s="440"/>
      <c r="AO121" s="440"/>
      <c r="AP121" s="440"/>
      <c r="AQ121" s="440"/>
      <c r="AR121" s="440"/>
      <c r="AS121" s="440"/>
      <c r="AT121" s="440"/>
      <c r="AU121" s="440"/>
      <c r="AV121" s="440"/>
      <c r="AW121" s="440"/>
      <c r="AX121" s="440"/>
      <c r="AY121" s="440"/>
      <c r="AZ121" s="440"/>
      <c r="BA121" s="440"/>
      <c r="BB121" s="440"/>
      <c r="BC121" s="440"/>
      <c r="BD121" s="440"/>
      <c r="BE121" s="440"/>
      <c r="BF121" s="440"/>
      <c r="BG121" s="440"/>
      <c r="BH121" s="440"/>
      <c r="BI121" s="440"/>
      <c r="BJ121" s="440"/>
      <c r="BK121" s="440"/>
      <c r="BL121" s="440"/>
      <c r="BM121" s="440"/>
      <c r="BN121" s="440"/>
      <c r="BO121" s="440"/>
      <c r="BP121" s="440"/>
      <c r="BQ121" s="440"/>
      <c r="BR121" s="440"/>
      <c r="BS121" s="440"/>
      <c r="BT121" s="440"/>
      <c r="BU121" s="440"/>
      <c r="BV121" s="440"/>
      <c r="BW121" s="440"/>
      <c r="BX121" s="440"/>
      <c r="BY121" s="440"/>
      <c r="BZ121" s="440"/>
      <c r="CA121" s="440"/>
      <c r="CB121" s="440"/>
      <c r="CC121" s="440"/>
      <c r="CD121" s="440"/>
      <c r="CE121" s="440"/>
      <c r="CF121" s="440"/>
      <c r="CG121" s="440"/>
      <c r="CH121" s="440"/>
      <c r="CI121" s="440"/>
      <c r="CJ121" s="440"/>
      <c r="CK121" s="440"/>
      <c r="CL121" s="440"/>
      <c r="CM121" s="440"/>
      <c r="CN121" s="440"/>
      <c r="CO121" s="440"/>
      <c r="CP121" s="440"/>
      <c r="CQ121" s="440"/>
      <c r="CR121" s="440"/>
      <c r="CS121" s="440"/>
      <c r="CT121" s="440"/>
      <c r="CU121" s="440"/>
      <c r="CV121" s="440"/>
      <c r="CW121" s="440"/>
      <c r="CX121" s="440"/>
      <c r="CY121" s="440"/>
      <c r="CZ121" s="440"/>
      <c r="DA121" s="440"/>
      <c r="DB121" s="440"/>
      <c r="DC121" s="440"/>
      <c r="DD121" s="440"/>
      <c r="DE121" s="440"/>
      <c r="DF121" s="440"/>
      <c r="DG121" s="440"/>
      <c r="DH121" s="440"/>
      <c r="DI121" s="440"/>
      <c r="DJ121" s="440"/>
      <c r="DK121" s="440"/>
      <c r="DL121" s="440"/>
      <c r="DM121" s="440"/>
      <c r="DN121" s="440"/>
      <c r="DO121" s="440"/>
      <c r="DP121" s="440"/>
      <c r="DQ121" s="440"/>
      <c r="DR121" s="440"/>
      <c r="DS121" s="440"/>
      <c r="DT121" s="440"/>
      <c r="DU121" s="440"/>
      <c r="DV121" s="440"/>
      <c r="DW121" s="440"/>
      <c r="DX121" s="440"/>
      <c r="DY121" s="440"/>
      <c r="DZ121" s="440"/>
      <c r="EA121" s="440"/>
      <c r="EB121" s="440"/>
      <c r="EC121" s="440"/>
      <c r="ED121" s="440"/>
      <c r="EE121" s="440"/>
      <c r="EF121" s="440"/>
      <c r="EG121" s="440"/>
      <c r="EH121" s="440"/>
      <c r="EI121" s="440"/>
      <c r="EJ121" s="440"/>
      <c r="EK121" s="440"/>
      <c r="EL121" s="440"/>
      <c r="EM121" s="440"/>
      <c r="EN121" s="440"/>
      <c r="EO121" s="440"/>
      <c r="EP121" s="440"/>
      <c r="EQ121" s="440"/>
      <c r="ER121" s="440"/>
      <c r="ES121" s="440"/>
      <c r="ET121" s="440"/>
      <c r="EU121" s="440"/>
      <c r="EV121" s="440"/>
      <c r="EW121" s="440"/>
      <c r="EX121" s="393"/>
      <c r="EY121" s="393"/>
      <c r="EZ121" s="789" t="e">
        <f>VLOOKUP($EY121,'NEPC data'!$B87:$M274,5,TRUE)*100</f>
        <v>#N/A</v>
      </c>
      <c r="FA121" s="789" t="e">
        <f>VLOOKUP($EY121,'NEPC data'!$B87:$M274,7,TRUE)*100</f>
        <v>#N/A</v>
      </c>
      <c r="FB121" s="789" t="e">
        <f>VLOOKUP($EY121,'NEPC data'!$B87:$M274,9,TRUE)*100</f>
        <v>#N/A</v>
      </c>
      <c r="FC121" s="789" t="e">
        <f>VLOOKUP($EY121,'NEPC data'!$B87:$M274,10,TRUE)*100</f>
        <v>#N/A</v>
      </c>
      <c r="FD121" s="789" t="e">
        <f>VLOOKUP($EY121,'NEPC data'!$B87:$M274,11,TRUE)*100</f>
        <v>#N/A</v>
      </c>
      <c r="FE121" s="382"/>
      <c r="FF121" s="442"/>
      <c r="FG121" s="442"/>
      <c r="FH121" s="442"/>
      <c r="FI121" s="442"/>
      <c r="FJ121" s="442"/>
      <c r="FK121" s="382"/>
      <c r="FL121" s="442"/>
      <c r="FM121" s="442"/>
    </row>
    <row r="122" spans="1:169" s="1258" customFormat="1" ht="12.75" customHeight="1" x14ac:dyDescent="0.2">
      <c r="A122" s="445" t="s">
        <v>70</v>
      </c>
      <c r="B122" s="621" t="s">
        <v>319</v>
      </c>
      <c r="C122" s="446">
        <v>37986</v>
      </c>
      <c r="D122" s="462">
        <f>Bridge_GTAA!D1</f>
        <v>62.608781761363979</v>
      </c>
      <c r="E122" s="448">
        <f>VLOOKUP(AH$8,Bridge_GTAA!A1:E488,3,FALSE)/1000000</f>
        <v>3208.8472915700004</v>
      </c>
      <c r="F122" s="449">
        <f>AH122</f>
        <v>1.6466499999999999</v>
      </c>
      <c r="G122" s="450">
        <f t="array" ref="G122">IF($AJ122=0,"---",(PRODUCT($AH122:AJ122/100+1)-1)*100)</f>
        <v>1.4547004037777533</v>
      </c>
      <c r="H122" s="450">
        <f t="array" ref="H122">IF($AS122=0,"---",(PRODUCT(AH122:AN122/100+1)-1)*100)</f>
        <v>9.9156103280841457</v>
      </c>
      <c r="I122" s="450">
        <f t="array" ref="I122">IF(AS122=0,"---",(GEOMEAN($AH122:AS122/100+1)^12-1)*100)</f>
        <v>18.380537483569871</v>
      </c>
      <c r="J122" s="450">
        <f t="array" ref="J122">IF(BE122=0,"---",(GEOMEAN($AH122:BE122/100+1)^12-1)*100)</f>
        <v>15.215878248923364</v>
      </c>
      <c r="K122" s="450">
        <f t="array" ref="K122">IF(BQ122=0,"---",(GEOMEAN($AH122:BQ122/100+1)^12-1)*100)</f>
        <v>13.845096105489873</v>
      </c>
      <c r="L122" s="450">
        <f t="array" ref="L122">IF(CC122=0,"---",(GEOMEAN($AH122:CC122/100+1)^12-1)*100)</f>
        <v>15.743480716517322</v>
      </c>
      <c r="M122" s="450">
        <f t="array" ref="M122">IF(CO122=0,"---",(GEOMEAN($AH122:CO122/100+1)^12-1)*100)</f>
        <v>15.227212113961075</v>
      </c>
      <c r="N122" s="450">
        <f t="array" ref="N122">IF(DM122=0,"---",(GEOMEAN($AH122:DM122/100+1)^12-1)*100)</f>
        <v>9.0183258395366561</v>
      </c>
      <c r="O122" s="450">
        <f t="array" ref="O122">IF(EK122=0,"---",(GEOMEAN($AH122:EK122/100+1)^12-1)*100)</f>
        <v>9.4082402888502337</v>
      </c>
      <c r="P122" s="450">
        <f t="array" ref="P122">IF(EW122=0,"---",(GEOMEAN($AH122:EW122/100+1)^12-1)*100)</f>
        <v>9.9040151501430316</v>
      </c>
      <c r="Q122" s="451">
        <f t="array" ref="Q122">(GEOMEAN(Bridge_GTAA!B$345:B471/100+1)^12-1)*100</f>
        <v>9.2275570135499141</v>
      </c>
      <c r="R122" s="452">
        <f>IF(F122="---","---",(F122-F$123)*100)</f>
        <v>-30.242999999999999</v>
      </c>
      <c r="S122" s="452">
        <f>IF(G122="---","---",(G122-G$123)*100)</f>
        <v>-28.835181017823341</v>
      </c>
      <c r="T122" s="452">
        <f t="shared" ref="T122:AB122" si="117">IF(H122="---","---",(H122-H$123)*100)</f>
        <v>137.10271929715958</v>
      </c>
      <c r="U122" s="452">
        <f t="shared" si="117"/>
        <v>211.60519453606418</v>
      </c>
      <c r="V122" s="452">
        <f t="shared" si="117"/>
        <v>142.01241108289011</v>
      </c>
      <c r="W122" s="452">
        <f t="shared" si="117"/>
        <v>100.98683485509454</v>
      </c>
      <c r="X122" s="452">
        <f t="shared" si="117"/>
        <v>274.44938873093514</v>
      </c>
      <c r="Y122" s="452">
        <f t="shared" si="117"/>
        <v>380.44963785015983</v>
      </c>
      <c r="Z122" s="452">
        <f t="shared" si="117"/>
        <v>369.86125880211108</v>
      </c>
      <c r="AA122" s="452">
        <f t="shared" si="117"/>
        <v>282.45586118115898</v>
      </c>
      <c r="AB122" s="452">
        <f t="shared" si="117"/>
        <v>279.01899949365213</v>
      </c>
      <c r="AC122" s="453">
        <f>(Q122-AF122)*100</f>
        <v>256.93170044732926</v>
      </c>
      <c r="AD122" s="454">
        <v>300</v>
      </c>
      <c r="AE122" s="1395"/>
      <c r="AF122" s="1391">
        <f t="array" ref="AF122">(GEOMEAN(Index_Returns!AD345:AD471/100+1)^12-1)*100</f>
        <v>6.6582400090766214</v>
      </c>
      <c r="AG122" s="1257" t="str">
        <f>IF(I122="---","&lt; 1 Year","---")</f>
        <v>---</v>
      </c>
      <c r="AH122" s="1256">
        <f>VLOOKUP(AH$8,Bridge_GTAA!$A$1:$E$488,2,FALSE)</f>
        <v>1.6466499999999999</v>
      </c>
      <c r="AI122" s="1256">
        <f>VLOOKUP(AI$8,Bridge_GTAA!$A$1:$E$488,2,FALSE)</f>
        <v>-1.8621300000000001</v>
      </c>
      <c r="AJ122" s="1256">
        <f>VLOOKUP(AJ$8,Bridge_GTAA!$A$1:$E$488,2,FALSE)</f>
        <v>1.7050399999999999</v>
      </c>
      <c r="AK122" s="1256">
        <f>VLOOKUP(AK$8,Bridge_GTAA!$A$1:$E$488,2,FALSE)</f>
        <v>2.23237</v>
      </c>
      <c r="AL122" s="1256">
        <f>VLOOKUP(AL$8,Bridge_GTAA!$A$1:$E$488,2,FALSE)</f>
        <v>1.25579</v>
      </c>
      <c r="AM122" s="1256">
        <f>VLOOKUP(AM$8,Bridge_GTAA!$A$1:$E$488,2,FALSE)</f>
        <v>0.12113</v>
      </c>
      <c r="AN122" s="1256">
        <f>VLOOKUP(AN$8,Bridge_GTAA!$A$1:$E$488,2,FALSE)</f>
        <v>4.53294</v>
      </c>
      <c r="AO122" s="1256">
        <f>VLOOKUP(AO$8,Bridge_GTAA!$A$1:$E$488,2,FALSE)</f>
        <v>-2.3142100000000001</v>
      </c>
      <c r="AP122" s="1256">
        <f>VLOOKUP(AP$8,Bridge_GTAA!$A$1:$E$488,2,FALSE)</f>
        <v>1.1550800000000001</v>
      </c>
      <c r="AQ122" s="1256">
        <f>VLOOKUP(AQ$8,Bridge_GTAA!$A$1:$E$488,2,FALSE)</f>
        <v>1.32799</v>
      </c>
      <c r="AR122" s="1256">
        <f>VLOOKUP(AR$8,Bridge_GTAA!$A$1:$E$488,2,FALSE)</f>
        <v>3.4031899999999999</v>
      </c>
      <c r="AS122" s="1256">
        <f>VLOOKUP(AS$8,Bridge_GTAA!$A$1:$E$488,2,FALSE)</f>
        <v>4.0251799999999998</v>
      </c>
      <c r="AT122" s="1256">
        <f>VLOOKUP(AT$8,Bridge_GTAA!$A$1:$E$488,2,FALSE)</f>
        <v>-1.5183599999999999</v>
      </c>
      <c r="AU122" s="1256">
        <f>VLOOKUP(AU$8,Bridge_GTAA!$A$1:$E$488,2,FALSE)</f>
        <v>4.4422499999999996</v>
      </c>
      <c r="AV122" s="1256">
        <f>VLOOKUP(AV$8,Bridge_GTAA!$A$1:$E$488,2,FALSE)</f>
        <v>-2.8101500000000001</v>
      </c>
      <c r="AW122" s="1256">
        <f>VLOOKUP(AW$8,Bridge_GTAA!$A$1:$E$488,2,FALSE)</f>
        <v>0.16162000000000001</v>
      </c>
      <c r="AX122" s="1256">
        <f>VLOOKUP(AX$8,Bridge_GTAA!$A$1:$E$488,2,FALSE)</f>
        <v>2.5558100000000001</v>
      </c>
      <c r="AY122" s="1256">
        <f>VLOOKUP(AY$8,Bridge_GTAA!$A$1:$E$488,2,FALSE)</f>
        <v>1.93207</v>
      </c>
      <c r="AZ122" s="1256">
        <f>VLOOKUP(AZ$8,Bridge_GTAA!$A$1:$E$488,2,FALSE)</f>
        <v>-0.41732999999999998</v>
      </c>
      <c r="BA122" s="1256">
        <f>VLOOKUP(BA$8,Bridge_GTAA!$A$1:$E$488,2,FALSE)</f>
        <v>3.6579799999999998</v>
      </c>
      <c r="BB122" s="1256">
        <f>VLOOKUP(BB$8,Bridge_GTAA!$A$1:$E$488,2,FALSE)</f>
        <v>1.4890399999999999</v>
      </c>
      <c r="BC122" s="1256">
        <f>VLOOKUP(BC$8,Bridge_GTAA!$A$1:$E$488,2,FALSE)</f>
        <v>0.66783999999999999</v>
      </c>
      <c r="BD122" s="1256">
        <f>VLOOKUP(BD$8,Bridge_GTAA!$A$1:$E$488,2,FALSE)</f>
        <v>-0.79983000000000004</v>
      </c>
      <c r="BE122" s="1256">
        <f>VLOOKUP(BE$8,Bridge_GTAA!$A$1:$E$488,2,FALSE)</f>
        <v>2.4025300000000001</v>
      </c>
      <c r="BF122" s="1256">
        <f>VLOOKUP(BF$8,Bridge_GTAA!$A$1:$E$488,2,FALSE)</f>
        <v>1.9076</v>
      </c>
      <c r="BG122" s="1256">
        <f>VLOOKUP(BG$8,Bridge_GTAA!$A$1:$E$488,2,FALSE)</f>
        <v>1.8454900000000001</v>
      </c>
      <c r="BH122" s="1256">
        <f>VLOOKUP(BH$8,Bridge_GTAA!$A$1:$E$488,2,FALSE)</f>
        <v>3.0124</v>
      </c>
      <c r="BI122" s="1256">
        <f>VLOOKUP(BI$8,Bridge_GTAA!$A$1:$E$488,2,FALSE)</f>
        <v>-5.3712200000000001</v>
      </c>
      <c r="BJ122" s="1256">
        <f>VLOOKUP(BJ$8,Bridge_GTAA!$A$1:$E$488,2,FALSE)</f>
        <v>-0.26112000000000002</v>
      </c>
      <c r="BK122" s="1256">
        <f>VLOOKUP(BK$8,Bridge_GTAA!$A$1:$E$488,2,FALSE)</f>
        <v>1.2041599999999999</v>
      </c>
      <c r="BL122" s="1256">
        <f>VLOOKUP(BL$8,Bridge_GTAA!$A$1:$E$488,2,FALSE)</f>
        <v>3.0979800000000002</v>
      </c>
      <c r="BM122" s="1256">
        <f>VLOOKUP(BM$8,Bridge_GTAA!$A$1:$E$488,2,FALSE)</f>
        <v>3.4418099999999998</v>
      </c>
      <c r="BN122" s="1256">
        <f>VLOOKUP(BN$8,Bridge_GTAA!$A$1:$E$488,2,FALSE)</f>
        <v>0.65891</v>
      </c>
      <c r="BO122" s="1256">
        <f>VLOOKUP(BO$8,Bridge_GTAA!$A$1:$E$488,2,FALSE)</f>
        <v>-0.82979000000000003</v>
      </c>
      <c r="BP122" s="1256">
        <f>VLOOKUP(BP$8,Bridge_GTAA!$A$1:$E$488,2,FALSE)</f>
        <v>7.0895299999999999</v>
      </c>
      <c r="BQ122" s="1256">
        <f>VLOOKUP(BQ$8,Bridge_GTAA!$A$1:$E$488,2,FALSE)</f>
        <v>-4.5298499999999997</v>
      </c>
      <c r="BR122" s="1256">
        <f>VLOOKUP(BR$8,Bridge_GTAA!$A$1:$E$488,2,FALSE)</f>
        <v>-2.0763500000000001</v>
      </c>
      <c r="BS122" s="1256">
        <f>VLOOKUP(BS$8,Bridge_GTAA!$A$1:$E$488,2,FALSE)</f>
        <v>-0.28619</v>
      </c>
      <c r="BT122" s="1256">
        <f>VLOOKUP(BT$8,Bridge_GTAA!$A$1:$E$488,2,FALSE)</f>
        <v>-1.01976</v>
      </c>
      <c r="BU122" s="1256">
        <f>VLOOKUP(BU$8,Bridge_GTAA!$A$1:$E$488,2,FALSE)</f>
        <v>-1.35022</v>
      </c>
      <c r="BV122" s="1256">
        <f>VLOOKUP(BV$8,Bridge_GTAA!$A$1:$E$488,2,FALSE)</f>
        <v>4.8106499999999999</v>
      </c>
      <c r="BW122" s="1256">
        <f>VLOOKUP(BW$8,Bridge_GTAA!$A$1:$E$488,2,FALSE)</f>
        <v>0.48403000000000002</v>
      </c>
      <c r="BX122" s="1256">
        <f>VLOOKUP(BX$8,Bridge_GTAA!$A$1:$E$488,2,FALSE)</f>
        <v>2.79305</v>
      </c>
      <c r="BY122" s="1256">
        <f>VLOOKUP(BY$8,Bridge_GTAA!$A$1:$E$488,2,FALSE)</f>
        <v>1.7022600000000001</v>
      </c>
      <c r="BZ122" s="1256">
        <f>VLOOKUP(BZ$8,Bridge_GTAA!$A$1:$E$488,2,FALSE)</f>
        <v>6.3321899999999998</v>
      </c>
      <c r="CA122" s="1256">
        <f>VLOOKUP(CA$8,Bridge_GTAA!$A$1:$E$488,2,FALSE)</f>
        <v>-1.34209</v>
      </c>
      <c r="CB122" s="1256">
        <f>VLOOKUP(CB$8,Bridge_GTAA!$A$1:$E$488,2,FALSE)</f>
        <v>3.4114100000000001</v>
      </c>
      <c r="CC122" s="1256">
        <f>VLOOKUP(CC$8,Bridge_GTAA!$A$1:$E$488,2,FALSE)</f>
        <v>6.8055199999999996</v>
      </c>
      <c r="CD122" s="1256">
        <f>VLOOKUP(CD$8,Bridge_GTAA!$A$1:$E$488,2,FALSE)</f>
        <v>-1.5546500000000001</v>
      </c>
      <c r="CE122" s="1256">
        <f>VLOOKUP(CE$8,Bridge_GTAA!$A$1:$E$488,2,FALSE)</f>
        <v>6.27712</v>
      </c>
      <c r="CF122" s="1256">
        <f>VLOOKUP(CF$8,Bridge_GTAA!$A$1:$E$488,2,FALSE)</f>
        <v>-1.45</v>
      </c>
      <c r="CG122" s="1256">
        <f>VLOOKUP(CG$8,Bridge_GTAA!$A$1:$E$488,2,FALSE)</f>
        <v>-4.99</v>
      </c>
      <c r="CH122" s="1256">
        <f>VLOOKUP(CH$8,Bridge_GTAA!$A$1:$E$488,2,FALSE)</f>
        <v>1.6</v>
      </c>
      <c r="CI122" s="1256">
        <f>VLOOKUP(CI$8,Bridge_GTAA!$A$1:$E$488,2,FALSE)</f>
        <v>3.79</v>
      </c>
      <c r="CJ122" s="1256">
        <f>VLOOKUP(CJ$8,Bridge_GTAA!$A$1:$E$488,2,FALSE)</f>
        <v>2.72</v>
      </c>
      <c r="CK122" s="1256">
        <f>VLOOKUP(CK$8,Bridge_GTAA!$A$1:$E$488,2,FALSE)</f>
        <v>-1.45</v>
      </c>
      <c r="CL122" s="1256">
        <f>VLOOKUP(CL$8,Bridge_GTAA!$A$1:$E$488,2,FALSE)</f>
        <v>-0.42</v>
      </c>
      <c r="CM122" s="1256">
        <f>VLOOKUP(CM$8,Bridge_GTAA!$A$1:$E$488,2,FALSE)</f>
        <v>5.85</v>
      </c>
      <c r="CN122" s="1256">
        <f>VLOOKUP(CN$8,Bridge_GTAA!$A$1:$E$488,2,FALSE)</f>
        <v>-1.17</v>
      </c>
      <c r="CO122" s="1256">
        <f>VLOOKUP(CO$8,Bridge_GTAA!$A$1:$E$488,2,FALSE)</f>
        <v>3.9</v>
      </c>
      <c r="CP122" s="1256">
        <f>VLOOKUP(CP$8,Bridge_GTAA!$A$1:$E$488,2,FALSE)</f>
        <v>3.48</v>
      </c>
      <c r="CQ122" s="1256">
        <f>VLOOKUP(CQ$8,Bridge_GTAA!$A$1:$E$488,2,FALSE)</f>
        <v>6.52</v>
      </c>
      <c r="CR122" s="1256">
        <f>VLOOKUP(CR$8,Bridge_GTAA!$A$1:$E$488,2,FALSE)</f>
        <v>-0.39</v>
      </c>
      <c r="CS122" s="1256">
        <f>VLOOKUP(CS$8,Bridge_GTAA!$A$1:$E$488,2,FALSE)</f>
        <v>4.4800000000000004</v>
      </c>
      <c r="CT122" s="1256">
        <f>VLOOKUP(CT$8,Bridge_GTAA!$A$1:$E$488,2,FALSE)</f>
        <v>7.49</v>
      </c>
      <c r="CU122" s="1256">
        <f>VLOOKUP(CU$8,Bridge_GTAA!$A$1:$E$488,2,FALSE)</f>
        <v>5.64</v>
      </c>
      <c r="CV122" s="1256">
        <f>VLOOKUP(CV$8,Bridge_GTAA!$A$1:$E$488,2,FALSE)</f>
        <v>-7.75</v>
      </c>
      <c r="CW122" s="1256">
        <f>VLOOKUP(CW$8,Bridge_GTAA!$A$1:$E$488,2,FALSE)</f>
        <v>-5.57</v>
      </c>
      <c r="CX122" s="1256">
        <f>VLOOKUP(CX$8,Bridge_GTAA!$A$1:$E$488,2,FALSE)</f>
        <v>2.64</v>
      </c>
      <c r="CY122" s="1256">
        <f>VLOOKUP(CY$8,Bridge_GTAA!$A$1:$E$488,2,FALSE)</f>
        <v>-1.44</v>
      </c>
      <c r="CZ122" s="1256">
        <f>VLOOKUP(CZ$8,Bridge_GTAA!$A$1:$E$488,2,FALSE)</f>
        <v>-10.02</v>
      </c>
      <c r="DA122" s="1256">
        <f>VLOOKUP(DA$8,Bridge_GTAA!$A$1:$E$488,2,FALSE)</f>
        <v>-7.39</v>
      </c>
      <c r="DB122" s="1256">
        <f>VLOOKUP(DB$8,Bridge_GTAA!$A$1:$E$488,2,FALSE)</f>
        <v>0.9</v>
      </c>
      <c r="DC122" s="1256">
        <f>VLOOKUP(DC$8,Bridge_GTAA!$A$1:$E$488,2,FALSE)</f>
        <v>-1.8</v>
      </c>
      <c r="DD122" s="1256">
        <f>VLOOKUP(DD$8,Bridge_GTAA!$A$1:$E$488,2,FALSE)</f>
        <v>-5.21</v>
      </c>
      <c r="DE122" s="1256">
        <f>VLOOKUP(DE$8,Bridge_GTAA!$A$1:$E$488,2,FALSE)</f>
        <v>1.68</v>
      </c>
      <c r="DF122" s="1256">
        <f>VLOOKUP(DF$8,Bridge_GTAA!$A$1:$E$488,2,FALSE)</f>
        <v>2.02</v>
      </c>
      <c r="DG122" s="1256">
        <f>VLOOKUP(DG$8,Bridge_GTAA!$A$1:$E$488,2,FALSE)</f>
        <v>-0.09</v>
      </c>
      <c r="DH122" s="1256">
        <f>VLOOKUP(DH$8,Bridge_GTAA!$A$1:$E$488,2,FALSE)</f>
        <v>-1.1000000000000001</v>
      </c>
      <c r="DI122" s="1256">
        <f>VLOOKUP(DI$8,Bridge_GTAA!$A$1:$E$488,2,FALSE)</f>
        <v>-3.62</v>
      </c>
      <c r="DJ122" s="1256">
        <f>VLOOKUP(DJ$8,Bridge_GTAA!$A$1:$E$488,2,FALSE)</f>
        <v>-0.7</v>
      </c>
      <c r="DK122" s="1256">
        <f>VLOOKUP(DK$8,Bridge_GTAA!$A$1:$E$488,2,FALSE)</f>
        <v>-3.09</v>
      </c>
      <c r="DL122" s="1256">
        <f>VLOOKUP(DL$8,Bridge_GTAA!$A$1:$E$488,2,FALSE)</f>
        <v>2.0499999999999998</v>
      </c>
      <c r="DM122" s="1256">
        <f>VLOOKUP(DM$8,Bridge_GTAA!$A$1:$E$488,2,FALSE)</f>
        <v>3.37</v>
      </c>
      <c r="DN122" s="1256">
        <f>VLOOKUP(DN$8,Bridge_GTAA!$A$1:$E$488,2,FALSE)</f>
        <v>1.35</v>
      </c>
      <c r="DO122" s="1256">
        <f>VLOOKUP(DO$8,Bridge_GTAA!$A$1:$E$488,2,FALSE)</f>
        <v>-1.74</v>
      </c>
      <c r="DP122" s="1256">
        <f>VLOOKUP(DP$8,Bridge_GTAA!$A$1:$E$488,2,FALSE)</f>
        <v>-1.01</v>
      </c>
      <c r="DQ122" s="1256">
        <f>VLOOKUP(DQ$8,Bridge_GTAA!$A$1:$E$488,2,FALSE)</f>
        <v>2.19</v>
      </c>
      <c r="DR122" s="1256">
        <f>VLOOKUP(DR$8,Bridge_GTAA!$A$1:$E$488,2,FALSE)</f>
        <v>3.58</v>
      </c>
      <c r="DS122" s="1256">
        <f>VLOOKUP(DS$8,Bridge_GTAA!$A$1:$E$488,2,FALSE)</f>
        <v>1.38</v>
      </c>
      <c r="DT122" s="1256">
        <f>VLOOKUP(DT$8,Bridge_GTAA!$A$1:$E$488,2,FALSE)</f>
        <v>-0.68</v>
      </c>
      <c r="DU122" s="1256">
        <f>VLOOKUP(DU$8,Bridge_GTAA!$A$1:$E$488,2,FALSE)</f>
        <v>0.76</v>
      </c>
      <c r="DV122" s="1256">
        <f>VLOOKUP(DV$8,Bridge_GTAA!$A$1:$E$488,2,FALSE)</f>
        <v>1.2</v>
      </c>
      <c r="DW122" s="1256">
        <f>VLOOKUP(DW$8,Bridge_GTAA!$A$1:$E$488,2,FALSE)</f>
        <v>1.34</v>
      </c>
      <c r="DX122" s="1256">
        <f>VLOOKUP(DX$8,Bridge_GTAA!$A$1:$E$488,2,FALSE)</f>
        <v>2.93</v>
      </c>
      <c r="DY122" s="1256">
        <f>VLOOKUP(DY$8,Bridge_GTAA!$A$1:$E$488,2,FALSE)</f>
        <v>1.03</v>
      </c>
      <c r="DZ122" s="1256">
        <f>VLOOKUP(DZ$8,Bridge_GTAA!$A$1:$E$488,2,FALSE)</f>
        <v>1.79</v>
      </c>
      <c r="EA122" s="1256">
        <f>VLOOKUP(EA$8,Bridge_GTAA!$A$1:$E$488,2,FALSE)</f>
        <v>0.75</v>
      </c>
      <c r="EB122" s="1256">
        <f>VLOOKUP(EB$8,Bridge_GTAA!$A$1:$E$488,2,FALSE)</f>
        <v>-0.4</v>
      </c>
      <c r="EC122" s="1256">
        <f>VLOOKUP(EC$8,Bridge_GTAA!$A$1:$E$488,2,FALSE)</f>
        <v>-1.63</v>
      </c>
      <c r="ED122" s="1256">
        <f>VLOOKUP(ED$8,Bridge_GTAA!$A$1:$E$488,2,FALSE)</f>
        <v>1.96</v>
      </c>
      <c r="EE122" s="1256">
        <f>VLOOKUP(EE$8,Bridge_GTAA!$A$1:$E$488,2,FALSE)</f>
        <v>0.17</v>
      </c>
      <c r="EF122" s="1256">
        <f>VLOOKUP(EF$8,Bridge_GTAA!$A$1:$E$488,2,FALSE)</f>
        <v>0.56000000000000005</v>
      </c>
      <c r="EG122" s="1256">
        <f>VLOOKUP(EG$8,Bridge_GTAA!$A$1:$E$488,2,FALSE)</f>
        <v>2.52</v>
      </c>
      <c r="EH122" s="1256">
        <f>VLOOKUP(EH$8,Bridge_GTAA!$A$1:$E$488,2,FALSE)</f>
        <v>0.86</v>
      </c>
      <c r="EI122" s="1256">
        <f>VLOOKUP(EI$8,Bridge_GTAA!$A$1:$E$488,2,FALSE)</f>
        <v>2.36</v>
      </c>
      <c r="EJ122" s="1256">
        <f>VLOOKUP(EJ$8,Bridge_GTAA!$A$1:$E$488,2,FALSE)</f>
        <v>-1.55</v>
      </c>
      <c r="EK122" s="1256">
        <f>VLOOKUP(EK$8,Bridge_GTAA!$A$1:$E$488,2,FALSE)</f>
        <v>1.0900000000000001</v>
      </c>
      <c r="EL122" s="1256">
        <f>VLOOKUP(EL$8,Bridge_GTAA!$A$1:$E$488,2,FALSE)</f>
        <v>-0.17</v>
      </c>
      <c r="EM122" s="1256">
        <f>VLOOKUP(EM$8,Bridge_GTAA!$A$1:$E$488,2,FALSE)</f>
        <v>2.36</v>
      </c>
      <c r="EN122" s="1256">
        <f>VLOOKUP(EN$8,Bridge_GTAA!$A$1:$E$488,2,FALSE)</f>
        <v>0.33</v>
      </c>
      <c r="EO122" s="1256">
        <f>VLOOKUP(EO$8,Bridge_GTAA!$A$1:$E$488,2,FALSE)</f>
        <v>1.79</v>
      </c>
      <c r="EP122" s="1256">
        <f>VLOOKUP(EP$8,Bridge_GTAA!$A$1:$E$488,2,FALSE)</f>
        <v>-0.86</v>
      </c>
      <c r="EQ122" s="1256">
        <f>VLOOKUP(EQ$8,Bridge_GTAA!$A$1:$E$488,2,FALSE)</f>
        <v>-1.6</v>
      </c>
      <c r="ER122" s="1256">
        <f>VLOOKUP(ER$8,Bridge_GTAA!$A$1:$E$488,2,FALSE)</f>
        <v>2.0699999999999998</v>
      </c>
      <c r="ES122" s="1256">
        <f>VLOOKUP(ES$8,Bridge_GTAA!$A$1:$E$488,2,FALSE)</f>
        <v>-0.92</v>
      </c>
      <c r="ET122" s="1256">
        <f>VLOOKUP(ET$8,Bridge_GTAA!$A$1:$E$488,2,FALSE)</f>
        <v>2.56</v>
      </c>
      <c r="EU122" s="1256">
        <f>VLOOKUP(EU$8,Bridge_GTAA!$A$1:$E$488,2,FALSE)</f>
        <v>4.21</v>
      </c>
      <c r="EV122" s="1256">
        <f>VLOOKUP(EV$8,Bridge_GTAA!$A$1:$E$488,2,FALSE)</f>
        <v>2.6</v>
      </c>
      <c r="EW122" s="1256">
        <f>VLOOKUP(EW$8,Bridge_GTAA!$A$1:$E$488,2,FALSE)</f>
        <v>1.39</v>
      </c>
      <c r="EX122" s="1323" t="s">
        <v>70</v>
      </c>
      <c r="EY122" s="1324" t="s">
        <v>531</v>
      </c>
      <c r="EZ122" s="1325">
        <f>VLOOKUP($EY122,'NEPC data'!$B88:$M275,5,TRUE)*100</f>
        <v>-7.9752265300000014</v>
      </c>
      <c r="FA122" s="1325">
        <f>VLOOKUP($EY122,'NEPC data'!$B88:$M275,7,TRUE)*100</f>
        <v>-24.49579503920144</v>
      </c>
      <c r="FB122" s="1325">
        <f>VLOOKUP($EY122,'NEPC data'!$B88:$M275,9,TRUE)*100</f>
        <v>-5.4504574450736971</v>
      </c>
      <c r="FC122" s="1325">
        <f>VLOOKUP($EY122,'NEPC data'!$B88:$M275,10,TRUE)*100</f>
        <v>0.2166438941622495</v>
      </c>
      <c r="FD122" s="1325">
        <f>VLOOKUP($EY122,'NEPC data'!$B88:$M275,11,TRUE)*100</f>
        <v>0</v>
      </c>
      <c r="FE122" s="1257"/>
      <c r="FF122" s="1326">
        <f>IF(G122="---","-",ABS(EZ122-G122))</f>
        <v>9.4299269337777538</v>
      </c>
      <c r="FG122" s="1326">
        <f>IF(I122="---","-",ABS(FA122-I122))</f>
        <v>42.876332522771307</v>
      </c>
      <c r="FH122" s="1326">
        <f>IF(K122="---","-",ABS(FB122-K122))</f>
        <v>19.295553550563568</v>
      </c>
      <c r="FI122" s="1326">
        <f>IF(M122="---","-",ABS(FC122-M122))</f>
        <v>15.010568219798825</v>
      </c>
      <c r="FJ122" s="1326">
        <f>IF(Q122="---","-",ABS(FD122-Q122))</f>
        <v>9.2275570135499141</v>
      </c>
      <c r="FK122" s="1257"/>
      <c r="FL122" s="1255">
        <f>AF122</f>
        <v>6.6582400090766214</v>
      </c>
      <c r="FM122" s="1255">
        <f>ABS(FL122-AF122)</f>
        <v>0</v>
      </c>
    </row>
    <row r="123" spans="1:169" s="1028" customFormat="1" ht="12.75" customHeight="1" x14ac:dyDescent="0.2">
      <c r="A123" s="1216" t="s">
        <v>211</v>
      </c>
      <c r="B123" s="1393"/>
      <c r="C123" s="1235"/>
      <c r="D123" s="1218"/>
      <c r="E123" s="1219"/>
      <c r="F123" s="1220">
        <f>AH123</f>
        <v>1.9490799999999999</v>
      </c>
      <c r="G123" s="1023">
        <f t="array" ref="G123">IF($AJ123=0,"---",(PRODUCT($AH123:AJ123/100+1)-1)*100)</f>
        <v>1.7430522139559868</v>
      </c>
      <c r="H123" s="432">
        <f t="array" ref="H123">IF($AS123=0,"---",(PRODUCT(AH123:AN123/100+1)-1)*100)</f>
        <v>8.5445831351125499</v>
      </c>
      <c r="I123" s="1023">
        <f t="array" ref="I123">IF(AS123=0,"---",(GEOMEAN($AH123:AS123/100+1)^12-1)*100)</f>
        <v>16.264485538209229</v>
      </c>
      <c r="J123" s="1023">
        <f t="array" ref="J123">IF(BE123=0,"---",(GEOMEAN($AH123:BE123/100+1)^12-1)*100)</f>
        <v>13.795754138094463</v>
      </c>
      <c r="K123" s="1023">
        <f t="array" ref="K123">IF(BQ123=0,"---",(GEOMEAN($AH123:BQ123/100+1)^12-1)*100)</f>
        <v>12.835227756938927</v>
      </c>
      <c r="L123" s="1023">
        <f t="array" ref="L123">IF(CC123=0,"---",(GEOMEAN($AH123:CC123/100+1)^12-1)*100)</f>
        <v>12.99898682920797</v>
      </c>
      <c r="M123" s="1023">
        <f t="array" ref="M123">IF(CO123=0,"---",(GEOMEAN($AH123:CO123/100+1)^12-1)*100)</f>
        <v>11.422715735459477</v>
      </c>
      <c r="N123" s="1023">
        <f t="array" ref="N123">IF(DM123=0,"---",(GEOMEAN($AH123:DM123/100+1)^12-1)*100)</f>
        <v>5.3197132515155454</v>
      </c>
      <c r="O123" s="1023">
        <f t="array" ref="O123">IF(EK123=0,"---",(GEOMEAN($AH123:EK123/100+1)^12-1)*100)</f>
        <v>6.5836816770386442</v>
      </c>
      <c r="P123" s="1023">
        <f t="array" ref="P123">IF(EW123=0,"---",(GEOMEAN($AH123:EW123/100+1)^12-1)*100)</f>
        <v>7.1138251552065102</v>
      </c>
      <c r="Q123" s="1229" t="s">
        <v>34</v>
      </c>
      <c r="R123" s="1394"/>
      <c r="S123" s="1218"/>
      <c r="T123" s="1218"/>
      <c r="U123" s="1218"/>
      <c r="V123" s="1218"/>
      <c r="W123" s="1218"/>
      <c r="X123" s="1218"/>
      <c r="Y123" s="1218"/>
      <c r="Z123" s="1218"/>
      <c r="AA123" s="1218"/>
      <c r="AB123" s="1218"/>
      <c r="AC123" s="1222"/>
      <c r="AD123" s="1233"/>
      <c r="AF123" s="1027"/>
      <c r="AG123" s="1024"/>
      <c r="AH123" s="1025">
        <f>VLOOKUP(AH$8,Index,30,FALSE)</f>
        <v>1.9490799999999999</v>
      </c>
      <c r="AI123" s="1025">
        <f t="shared" ref="AI123:BM123" si="118">VLOOKUP(AI$8,Index,30,FALSE)</f>
        <v>-1.35392</v>
      </c>
      <c r="AJ123" s="1025">
        <f t="shared" si="118"/>
        <v>1.16764</v>
      </c>
      <c r="AK123" s="1025">
        <f t="shared" si="118"/>
        <v>1.6191199999999999</v>
      </c>
      <c r="AL123" s="1025">
        <f t="shared" si="118"/>
        <v>1.01305</v>
      </c>
      <c r="AM123" s="1025">
        <f t="shared" si="118"/>
        <v>0.17086000000000001</v>
      </c>
      <c r="AN123" s="1025">
        <f t="shared" si="118"/>
        <v>3.75501</v>
      </c>
      <c r="AO123" s="1025">
        <f t="shared" si="118"/>
        <v>-2.0677099999999999</v>
      </c>
      <c r="AP123" s="1025">
        <f t="shared" si="118"/>
        <v>1.3579399999999999</v>
      </c>
      <c r="AQ123" s="1025">
        <f t="shared" si="118"/>
        <v>1.3693299999999999</v>
      </c>
      <c r="AR123" s="1025">
        <f t="shared" si="118"/>
        <v>2.9849399999999999</v>
      </c>
      <c r="AS123" s="1025">
        <f t="shared" si="118"/>
        <v>3.3653400000000002</v>
      </c>
      <c r="AT123" s="1025">
        <f t="shared" si="118"/>
        <v>-1.58046</v>
      </c>
      <c r="AU123" s="1025">
        <f t="shared" si="118"/>
        <v>3.6019000000000001</v>
      </c>
      <c r="AV123" s="1025">
        <f t="shared" si="118"/>
        <v>-2.0813999999999999</v>
      </c>
      <c r="AW123" s="1025">
        <f t="shared" si="118"/>
        <v>-0.15995000000000001</v>
      </c>
      <c r="AX123" s="1025">
        <f t="shared" si="118"/>
        <v>2.33283</v>
      </c>
      <c r="AY123" s="1025">
        <f t="shared" si="118"/>
        <v>1.88083</v>
      </c>
      <c r="AZ123" s="1025">
        <f t="shared" si="118"/>
        <v>0.32979000000000003</v>
      </c>
      <c r="BA123" s="1025">
        <f t="shared" si="118"/>
        <v>3.4503599999999999</v>
      </c>
      <c r="BB123" s="1025">
        <f t="shared" si="118"/>
        <v>1.0507299999999999</v>
      </c>
      <c r="BC123" s="1025">
        <f t="shared" si="118"/>
        <v>0.90222999999999998</v>
      </c>
      <c r="BD123" s="1025">
        <f t="shared" si="118"/>
        <v>-0.68376999999999999</v>
      </c>
      <c r="BE123" s="1025">
        <f t="shared" si="118"/>
        <v>1.9661900000000001</v>
      </c>
      <c r="BF123" s="1025">
        <f t="shared" si="118"/>
        <v>1.7128000000000001</v>
      </c>
      <c r="BG123" s="1025">
        <f t="shared" si="118"/>
        <v>1.52878</v>
      </c>
      <c r="BH123" s="1025">
        <f t="shared" si="118"/>
        <v>3.5752999999999999</v>
      </c>
      <c r="BI123" s="1025">
        <f t="shared" si="118"/>
        <v>-5.1827899999999998</v>
      </c>
      <c r="BJ123" s="1025">
        <f t="shared" si="118"/>
        <v>-0.36602000000000001</v>
      </c>
      <c r="BK123" s="1025">
        <f t="shared" si="118"/>
        <v>1.29114</v>
      </c>
      <c r="BL123" s="1025">
        <f t="shared" si="118"/>
        <v>3.3327300000000002</v>
      </c>
      <c r="BM123" s="1025">
        <f t="shared" si="118"/>
        <v>3.5777600000000001</v>
      </c>
      <c r="BN123" s="1025">
        <f t="shared" ref="BN123:CS123" si="119">VLOOKUP(BN$8,Index,30,FALSE)</f>
        <v>0.52907999999999999</v>
      </c>
      <c r="BO123" s="1025">
        <f t="shared" si="119"/>
        <v>-1.11818</v>
      </c>
      <c r="BP123" s="1025">
        <f t="shared" si="119"/>
        <v>7.5263400000000003</v>
      </c>
      <c r="BQ123" s="1025">
        <f t="shared" si="119"/>
        <v>-5.2525599999999999</v>
      </c>
      <c r="BR123" s="1025">
        <f t="shared" si="119"/>
        <v>-4.0757500000000002</v>
      </c>
      <c r="BS123" s="1025">
        <f t="shared" si="119"/>
        <v>-0.94608000000000003</v>
      </c>
      <c r="BT123" s="1025">
        <f t="shared" si="119"/>
        <v>-1.2119</v>
      </c>
      <c r="BU123" s="1025">
        <f t="shared" si="119"/>
        <v>-0.71745000000000003</v>
      </c>
      <c r="BV123" s="1025">
        <f t="shared" si="119"/>
        <v>2.9861599999999999</v>
      </c>
      <c r="BW123" s="1025">
        <f t="shared" si="119"/>
        <v>-0.31361</v>
      </c>
      <c r="BX123" s="1025">
        <f t="shared" si="119"/>
        <v>2.5198100000000001</v>
      </c>
      <c r="BY123" s="1025">
        <f t="shared" si="119"/>
        <v>1.7394799999999999</v>
      </c>
      <c r="BZ123" s="1025">
        <f t="shared" si="119"/>
        <v>4.7376800000000001</v>
      </c>
      <c r="CA123" s="1025">
        <f t="shared" si="119"/>
        <v>-0.92</v>
      </c>
      <c r="CB123" s="1025">
        <f t="shared" si="119"/>
        <v>2.8092600000000001</v>
      </c>
      <c r="CC123" s="1025">
        <f t="shared" si="119"/>
        <v>6.5990200000000003</v>
      </c>
      <c r="CD123" s="1025">
        <f t="shared" si="119"/>
        <v>-2.66242</v>
      </c>
      <c r="CE123" s="1025">
        <f t="shared" si="119"/>
        <v>5.7412099999999997</v>
      </c>
      <c r="CF123" s="1025">
        <f t="shared" si="119"/>
        <v>-2.64812</v>
      </c>
      <c r="CG123" s="1025">
        <f t="shared" si="119"/>
        <v>-6.0548500000000001</v>
      </c>
      <c r="CH123" s="1025">
        <f t="shared" si="119"/>
        <v>0.89929999999999999</v>
      </c>
      <c r="CI123" s="1025">
        <f t="shared" si="119"/>
        <v>4.3538600000000001</v>
      </c>
      <c r="CJ123" s="1025">
        <f t="shared" si="119"/>
        <v>1.7311399999999999</v>
      </c>
      <c r="CK123" s="1025">
        <f t="shared" si="119"/>
        <v>-2.2906399999999998</v>
      </c>
      <c r="CL123" s="1025">
        <f t="shared" si="119"/>
        <v>0.87638000000000005</v>
      </c>
      <c r="CM123" s="1025">
        <f t="shared" si="119"/>
        <v>4.0458299999999996</v>
      </c>
      <c r="CN123" s="1025">
        <f t="shared" si="119"/>
        <v>-1.10121</v>
      </c>
      <c r="CO123" s="1025">
        <f t="shared" si="119"/>
        <v>2.9994900000000002</v>
      </c>
      <c r="CP123" s="1025">
        <f t="shared" si="119"/>
        <v>3.18397</v>
      </c>
      <c r="CQ123" s="1025">
        <f t="shared" si="119"/>
        <v>6.15022</v>
      </c>
      <c r="CR123" s="1025">
        <f t="shared" si="119"/>
        <v>0.1852</v>
      </c>
      <c r="CS123" s="1025">
        <f t="shared" si="119"/>
        <v>5.2564000000000002</v>
      </c>
      <c r="CT123" s="1025">
        <f t="shared" ref="CT123:DY123" si="120">VLOOKUP(CT$8,Index,30,FALSE)</f>
        <v>7.5671999999999997</v>
      </c>
      <c r="CU123" s="1025">
        <f t="shared" si="120"/>
        <v>6.3171999999999997</v>
      </c>
      <c r="CV123" s="1025">
        <f t="shared" si="120"/>
        <v>-7.7072000000000003</v>
      </c>
      <c r="CW123" s="1025">
        <f t="shared" si="120"/>
        <v>-6.5351999999999997</v>
      </c>
      <c r="CX123" s="1025">
        <f t="shared" si="120"/>
        <v>2.6012</v>
      </c>
      <c r="CY123" s="1025">
        <f t="shared" si="120"/>
        <v>-3.9628000000000001</v>
      </c>
      <c r="CZ123" s="1025">
        <f t="shared" si="120"/>
        <v>-13.295999999999999</v>
      </c>
      <c r="DA123" s="1025">
        <f t="shared" si="120"/>
        <v>-7.6719999999999997</v>
      </c>
      <c r="DB123" s="1025">
        <f t="shared" si="120"/>
        <v>0.43319999999999997</v>
      </c>
      <c r="DC123" s="1025">
        <f t="shared" si="120"/>
        <v>-1.0047999999999999</v>
      </c>
      <c r="DD123" s="1025">
        <f t="shared" si="120"/>
        <v>-6.0488</v>
      </c>
      <c r="DE123" s="1025">
        <f t="shared" si="120"/>
        <v>0.70920000000000005</v>
      </c>
      <c r="DF123" s="1025">
        <f t="shared" si="120"/>
        <v>3.5579999999999998</v>
      </c>
      <c r="DG123" s="1025">
        <f t="shared" si="120"/>
        <v>-0.30559999999999998</v>
      </c>
      <c r="DH123" s="1025">
        <f t="shared" si="120"/>
        <v>-1.5471999999999999</v>
      </c>
      <c r="DI123" s="1025">
        <f t="shared" si="120"/>
        <v>-4.3663999999999996</v>
      </c>
      <c r="DJ123" s="1025">
        <f t="shared" si="120"/>
        <v>-0.66800000000000004</v>
      </c>
      <c r="DK123" s="1025">
        <f t="shared" si="120"/>
        <v>-2.3584000000000001</v>
      </c>
      <c r="DL123" s="1025">
        <f t="shared" si="120"/>
        <v>1.7727999999999999</v>
      </c>
      <c r="DM123" s="1025">
        <f t="shared" si="120"/>
        <v>3.1663999999999999</v>
      </c>
      <c r="DN123" s="1025">
        <f t="shared" si="120"/>
        <v>0.93799999999999994</v>
      </c>
      <c r="DO123" s="1025">
        <f t="shared" si="120"/>
        <v>-1.7372000000000001</v>
      </c>
      <c r="DP123" s="1025">
        <f t="shared" si="120"/>
        <v>-0.98960000000000004</v>
      </c>
      <c r="DQ123" s="1025">
        <f t="shared" si="120"/>
        <v>2.044</v>
      </c>
      <c r="DR123" s="1025">
        <f t="shared" si="120"/>
        <v>3.3567999999999998</v>
      </c>
      <c r="DS123" s="1025">
        <f t="shared" si="120"/>
        <v>1.0435000000000001</v>
      </c>
      <c r="DT123" s="1025">
        <f t="shared" si="120"/>
        <v>-0.53520000000000001</v>
      </c>
      <c r="DU123" s="1025">
        <f t="shared" si="120"/>
        <v>0.94389999999999996</v>
      </c>
      <c r="DV123" s="1025">
        <f t="shared" si="120"/>
        <v>1.1249</v>
      </c>
      <c r="DW123" s="1025">
        <f t="shared" si="120"/>
        <v>1.8720000000000001</v>
      </c>
      <c r="DX123" s="1025">
        <f t="shared" si="120"/>
        <v>2.6343999999999999</v>
      </c>
      <c r="DY123" s="1025">
        <f t="shared" si="120"/>
        <v>1.7190000000000001</v>
      </c>
      <c r="DZ123" s="1025">
        <f t="shared" ref="DZ123:EW123" si="121">VLOOKUP(DZ$8,Index,30,FALSE)</f>
        <v>2.2054999999999998</v>
      </c>
      <c r="EA123" s="1025">
        <f t="shared" si="121"/>
        <v>0.88539999999999996</v>
      </c>
      <c r="EB123" s="1025">
        <f t="shared" si="121"/>
        <v>0.1431</v>
      </c>
      <c r="EC123" s="1025">
        <f t="shared" si="121"/>
        <v>-2.2456999999999998</v>
      </c>
      <c r="ED123" s="1025">
        <f t="shared" si="121"/>
        <v>1.476</v>
      </c>
      <c r="EE123" s="1025">
        <f t="shared" si="121"/>
        <v>0.95520000000000005</v>
      </c>
      <c r="EF123" s="1025">
        <f t="shared" si="121"/>
        <v>0.21079999999999999</v>
      </c>
      <c r="EG123" s="1025">
        <f t="shared" si="121"/>
        <v>2.4702999999999999</v>
      </c>
      <c r="EH123" s="1025">
        <f t="shared" si="121"/>
        <v>1.034</v>
      </c>
      <c r="EI123" s="1025">
        <f t="shared" si="121"/>
        <v>2.6356000000000002</v>
      </c>
      <c r="EJ123" s="1025">
        <f t="shared" si="121"/>
        <v>-1.6226</v>
      </c>
      <c r="EK123" s="1025">
        <f t="shared" si="121"/>
        <v>0.88039999999999996</v>
      </c>
      <c r="EL123" s="1025">
        <f t="shared" si="121"/>
        <v>0.25769999999999998</v>
      </c>
      <c r="EM123" s="1025">
        <f t="shared" si="121"/>
        <v>2.3191999999999999</v>
      </c>
      <c r="EN123" s="1025">
        <f t="shared" si="121"/>
        <v>0.45090000000000002</v>
      </c>
      <c r="EO123" s="1025">
        <f t="shared" si="121"/>
        <v>2.1088</v>
      </c>
      <c r="EP123" s="1025">
        <f t="shared" si="121"/>
        <v>-1.0424</v>
      </c>
      <c r="EQ123" s="1025">
        <f t="shared" si="121"/>
        <v>-1.5303</v>
      </c>
      <c r="ER123" s="1025">
        <f t="shared" si="121"/>
        <v>1.708</v>
      </c>
      <c r="ES123" s="1025">
        <f t="shared" si="121"/>
        <v>-1.4806999999999999</v>
      </c>
      <c r="ET123" s="1025">
        <f t="shared" si="121"/>
        <v>2.8656999999999999</v>
      </c>
      <c r="EU123" s="1025">
        <f t="shared" si="121"/>
        <v>3.1394000000000002</v>
      </c>
      <c r="EV123" s="1025">
        <f t="shared" si="121"/>
        <v>1.6392</v>
      </c>
      <c r="EW123" s="1025">
        <f t="shared" si="121"/>
        <v>1.1026</v>
      </c>
      <c r="EX123" s="1230"/>
      <c r="EY123" s="1230"/>
      <c r="EZ123" s="789" t="e">
        <f>VLOOKUP($EY123,'NEPC data'!$B91:$M278,5,TRUE)*100</f>
        <v>#N/A</v>
      </c>
      <c r="FA123" s="789" t="e">
        <f>VLOOKUP($EY123,'NEPC data'!$B91:$M278,7,TRUE)*100</f>
        <v>#N/A</v>
      </c>
      <c r="FB123" s="789" t="e">
        <f>VLOOKUP($EY123,'NEPC data'!$B91:$M278,9,TRUE)*100</f>
        <v>#N/A</v>
      </c>
      <c r="FC123" s="789" t="e">
        <f>VLOOKUP($EY123,'NEPC data'!$B91:$M278,10,TRUE)*100</f>
        <v>#N/A</v>
      </c>
      <c r="FD123" s="789" t="e">
        <f>VLOOKUP($EY123,'NEPC data'!$B91:$M278,11,TRUE)*100</f>
        <v>#N/A</v>
      </c>
      <c r="FE123" s="1024"/>
      <c r="FF123" s="1024"/>
      <c r="FG123" s="1024"/>
      <c r="FH123" s="1024"/>
      <c r="FI123" s="1024"/>
      <c r="FJ123" s="1024"/>
      <c r="FK123" s="1024"/>
      <c r="FL123" s="1024"/>
      <c r="FM123" s="1231"/>
    </row>
    <row r="124" spans="1:169" s="1028" customFormat="1" ht="12.75" customHeight="1" x14ac:dyDescent="0.2">
      <c r="A124" s="1216"/>
      <c r="B124" s="1024"/>
      <c r="C124" s="1235"/>
      <c r="D124" s="1218"/>
      <c r="E124" s="1219"/>
      <c r="F124" s="1220"/>
      <c r="G124" s="1023"/>
      <c r="H124" s="1023"/>
      <c r="I124" s="1023"/>
      <c r="J124" s="1023"/>
      <c r="K124" s="1023"/>
      <c r="L124" s="1023"/>
      <c r="M124" s="1023"/>
      <c r="N124" s="1023"/>
      <c r="O124" s="1023"/>
      <c r="P124" s="1023"/>
      <c r="Q124" s="1238"/>
      <c r="R124" s="1218"/>
      <c r="S124" s="1218"/>
      <c r="T124" s="1218"/>
      <c r="U124" s="1218"/>
      <c r="V124" s="1218"/>
      <c r="W124" s="1218"/>
      <c r="X124" s="1218"/>
      <c r="Y124" s="1218"/>
      <c r="Z124" s="1218"/>
      <c r="AA124" s="1218"/>
      <c r="AB124" s="1218"/>
      <c r="AC124" s="1222"/>
      <c r="AD124" s="1233"/>
      <c r="AF124" s="1027"/>
      <c r="AG124" s="1024"/>
      <c r="AH124" s="1025"/>
      <c r="AI124" s="1025"/>
      <c r="AJ124" s="1025"/>
      <c r="AK124" s="1025"/>
      <c r="AL124" s="1025"/>
      <c r="AM124" s="1025"/>
      <c r="AN124" s="1025"/>
      <c r="AO124" s="1025"/>
      <c r="AP124" s="1025"/>
      <c r="AQ124" s="1025"/>
      <c r="AR124" s="1025"/>
      <c r="AS124" s="1025"/>
      <c r="AT124" s="1025"/>
      <c r="AU124" s="1025"/>
      <c r="AV124" s="1025"/>
      <c r="AW124" s="1025"/>
      <c r="AX124" s="1025"/>
      <c r="AY124" s="1025"/>
      <c r="AZ124" s="1025"/>
      <c r="BA124" s="1025"/>
      <c r="BB124" s="1025"/>
      <c r="BC124" s="1025"/>
      <c r="BD124" s="1025"/>
      <c r="BE124" s="1025"/>
      <c r="BF124" s="1025"/>
      <c r="BG124" s="1025"/>
      <c r="BH124" s="1025"/>
      <c r="BI124" s="1025"/>
      <c r="BJ124" s="1025"/>
      <c r="BK124" s="1025"/>
      <c r="BL124" s="1025"/>
      <c r="BM124" s="1025"/>
      <c r="BN124" s="1025"/>
      <c r="BO124" s="1025"/>
      <c r="BP124" s="1025"/>
      <c r="BQ124" s="1025"/>
      <c r="BR124" s="1025"/>
      <c r="BS124" s="1025"/>
      <c r="BT124" s="1025"/>
      <c r="BU124" s="1025"/>
      <c r="BV124" s="1025"/>
      <c r="BW124" s="1025"/>
      <c r="BX124" s="1025"/>
      <c r="BY124" s="1025"/>
      <c r="BZ124" s="1025"/>
      <c r="CA124" s="1025"/>
      <c r="CB124" s="1025"/>
      <c r="CC124" s="1025"/>
      <c r="CD124" s="1025"/>
      <c r="CE124" s="1025"/>
      <c r="CF124" s="1025"/>
      <c r="CG124" s="1025"/>
      <c r="CH124" s="1025"/>
      <c r="CI124" s="1025"/>
      <c r="CJ124" s="1025"/>
      <c r="CK124" s="1025"/>
      <c r="CL124" s="1025"/>
      <c r="CM124" s="1025"/>
      <c r="CN124" s="1025"/>
      <c r="CO124" s="1025"/>
      <c r="CP124" s="1025"/>
      <c r="CQ124" s="1025"/>
      <c r="CR124" s="1025"/>
      <c r="CS124" s="1025"/>
      <c r="CT124" s="1025"/>
      <c r="CU124" s="1025"/>
      <c r="CV124" s="1025"/>
      <c r="CW124" s="1025"/>
      <c r="CX124" s="1025"/>
      <c r="CY124" s="1025"/>
      <c r="CZ124" s="1025"/>
      <c r="DA124" s="1025"/>
      <c r="DB124" s="1025"/>
      <c r="DC124" s="1025"/>
      <c r="DD124" s="1025"/>
      <c r="DE124" s="1025"/>
      <c r="DF124" s="1025"/>
      <c r="DG124" s="1025"/>
      <c r="DH124" s="1025"/>
      <c r="DI124" s="1025"/>
      <c r="DJ124" s="1025"/>
      <c r="DK124" s="1025"/>
      <c r="DL124" s="1025"/>
      <c r="DM124" s="1025"/>
      <c r="DN124" s="1025"/>
      <c r="DO124" s="1025"/>
      <c r="DP124" s="1025"/>
      <c r="DQ124" s="1025"/>
      <c r="DR124" s="1025"/>
      <c r="DS124" s="1025"/>
      <c r="DT124" s="1025"/>
      <c r="DU124" s="1025"/>
      <c r="DV124" s="1025"/>
      <c r="DW124" s="1025"/>
      <c r="DX124" s="1025"/>
      <c r="DY124" s="1025"/>
      <c r="DZ124" s="1025"/>
      <c r="EA124" s="1025"/>
      <c r="EB124" s="1025"/>
      <c r="EC124" s="1025"/>
      <c r="ED124" s="1025"/>
      <c r="EE124" s="1025"/>
      <c r="EF124" s="1025"/>
      <c r="EG124" s="1025"/>
      <c r="EH124" s="1025"/>
      <c r="EI124" s="1025"/>
      <c r="EJ124" s="1025"/>
      <c r="EK124" s="1025"/>
      <c r="EL124" s="1025"/>
      <c r="EM124" s="1025"/>
      <c r="EN124" s="1025"/>
      <c r="EO124" s="1025"/>
      <c r="EP124" s="1025"/>
      <c r="EQ124" s="1025"/>
      <c r="ER124" s="1025"/>
      <c r="ES124" s="1025"/>
      <c r="ET124" s="1025"/>
      <c r="EU124" s="1025"/>
      <c r="EV124" s="1025"/>
      <c r="EW124" s="1025"/>
      <c r="EX124" s="1230"/>
      <c r="EY124" s="1230"/>
      <c r="EZ124" s="789"/>
      <c r="FA124" s="789"/>
      <c r="FB124" s="789"/>
      <c r="FC124" s="789"/>
      <c r="FD124" s="789"/>
      <c r="FE124" s="1024"/>
      <c r="FF124" s="1024"/>
      <c r="FG124" s="1024"/>
      <c r="FH124" s="1024"/>
      <c r="FI124" s="1024"/>
      <c r="FJ124" s="1024"/>
      <c r="FK124" s="1024"/>
      <c r="FL124" s="1024"/>
      <c r="FM124" s="1231"/>
    </row>
    <row r="125" spans="1:169" s="1258" customFormat="1" ht="12.75" customHeight="1" x14ac:dyDescent="0.2">
      <c r="A125" s="1062" t="s">
        <v>807</v>
      </c>
      <c r="B125" s="1214" t="s">
        <v>318</v>
      </c>
      <c r="C125" s="446">
        <v>40816</v>
      </c>
      <c r="D125" s="462">
        <f>Windham!D1</f>
        <v>60</v>
      </c>
      <c r="E125" s="448">
        <f>VLOOKUP(AH$8,Windham!A1:E488,3,FALSE)/1000000</f>
        <v>616.79324669000005</v>
      </c>
      <c r="F125" s="449">
        <f>AH125</f>
        <v>2.3191199999999998</v>
      </c>
      <c r="G125" s="450">
        <f t="array" ref="G125">IF($AJ125=0,"---",(PRODUCT($AH125:AJ125/100+1)-1)*100)</f>
        <v>2.6046484815028359</v>
      </c>
      <c r="H125" s="450">
        <f t="array" ref="H125">IF($AS125=0,"---",(PRODUCT(AH125:AN125/100+1)-1)*100)</f>
        <v>10.718724547315951</v>
      </c>
      <c r="I125" s="450">
        <f t="array" ref="I125">IF(AS125=0,"---",(GEOMEAN($AH125:AS125/100+1)^12-1)*100)</f>
        <v>16.003570753953376</v>
      </c>
      <c r="J125" s="450">
        <f t="array" ref="J125">IF(BE125=0,"---",(GEOMEAN($AH125:BE125/100+1)^12-1)*100)</f>
        <v>12.326291192881689</v>
      </c>
      <c r="K125" s="450" t="str">
        <f t="array" ref="K125">IF(BQ125=0,"---",(GEOMEAN($AH125:BQ125/100+1)^12-1)*100)</f>
        <v>---</v>
      </c>
      <c r="L125" s="450" t="str">
        <f t="array" ref="L125">IF(CC125=0,"---",(GEOMEAN($AH125:CC125/100+1)^12-1)*100)</f>
        <v>---</v>
      </c>
      <c r="M125" s="450" t="str">
        <f t="array" ref="M125">IF(CO125=0,"---",(GEOMEAN($AH125:CO125/100+1)^12-1)*100)</f>
        <v>---</v>
      </c>
      <c r="N125" s="450" t="str">
        <f t="array" ref="N125">IF(DM125=0,"---",(GEOMEAN($AH125:DM125/100+1)^12-1)*100)</f>
        <v>---</v>
      </c>
      <c r="O125" s="450" t="str">
        <f t="array" ref="O125">IF(EK125=0,"---",(GEOMEAN($AH125:EK125/100+1)^12-1)*100)</f>
        <v>---</v>
      </c>
      <c r="P125" s="450" t="str">
        <f t="array" ref="P125">IF(EW125=0,"---",(GEOMEAN($AH125:EW125/100+1)^12-1)*100)</f>
        <v>---</v>
      </c>
      <c r="Q125" s="451">
        <f t="array" ref="Q125">(GEOMEAN(Windham!B$438:B471/100+1)^12-1)*100</f>
        <v>12.061455346163651</v>
      </c>
      <c r="R125" s="452">
        <f t="shared" ref="R125:AB125" si="122">IF(F125="---","---",(F125-F$126)*100)</f>
        <v>25.868000000000002</v>
      </c>
      <c r="S125" s="452">
        <f t="shared" si="122"/>
        <v>65.532141309128093</v>
      </c>
      <c r="T125" s="452">
        <f t="shared" si="122"/>
        <v>154.06283723077968</v>
      </c>
      <c r="U125" s="452">
        <f t="shared" si="122"/>
        <v>-95.879349328618346</v>
      </c>
      <c r="V125" s="452">
        <f t="shared" si="122"/>
        <v>-142.80739785652815</v>
      </c>
      <c r="W125" s="452" t="str">
        <f t="shared" si="122"/>
        <v>---</v>
      </c>
      <c r="X125" s="452" t="str">
        <f t="shared" si="122"/>
        <v>---</v>
      </c>
      <c r="Y125" s="452" t="str">
        <f t="shared" si="122"/>
        <v>---</v>
      </c>
      <c r="Z125" s="452" t="str">
        <f t="shared" si="122"/>
        <v>---</v>
      </c>
      <c r="AA125" s="452" t="str">
        <f t="shared" si="122"/>
        <v>---</v>
      </c>
      <c r="AB125" s="452" t="str">
        <f t="shared" si="122"/>
        <v>---</v>
      </c>
      <c r="AC125" s="453">
        <f>(Q125-AF125)*100</f>
        <v>-326.76818812989336</v>
      </c>
      <c r="AD125" s="454">
        <v>300</v>
      </c>
      <c r="AE125" s="1395"/>
      <c r="AF125" s="450">
        <f t="array" ref="AF125">(GEOMEAN(Index_Returns!AP438:AP471/100+1)^12-1)*100</f>
        <v>15.329137227462585</v>
      </c>
      <c r="AG125" s="1282" t="str">
        <f>IF(I125="---","&lt; 1 Year","---")</f>
        <v>---</v>
      </c>
      <c r="AH125" s="1256">
        <f>VLOOKUP(AH$8,Windham!$A$1:$E$488,2,FALSE)</f>
        <v>2.3191199999999998</v>
      </c>
      <c r="AI125" s="1256">
        <f>VLOOKUP(AI$8,Windham!$A$1:$E$488,2,FALSE)</f>
        <v>-1.8314299999999999</v>
      </c>
      <c r="AJ125" s="1256">
        <f>VLOOKUP(AJ$8,Windham!$A$1:$E$488,2,FALSE)</f>
        <v>2.1498599999999999</v>
      </c>
      <c r="AK125" s="1256">
        <f>VLOOKUP(AK$8,Windham!$A$1:$E$488,2,FALSE)</f>
        <v>1.7941100000000001</v>
      </c>
      <c r="AL125" s="1256">
        <f>VLOOKUP(AL$8,Windham!$A$1:$E$488,2,FALSE)</f>
        <v>0.60268999999999995</v>
      </c>
      <c r="AM125" s="1256">
        <f>VLOOKUP(AM$8,Windham!$A$1:$E$488,2,FALSE)</f>
        <v>0.58070999999999995</v>
      </c>
      <c r="AN125" s="1256">
        <f>VLOOKUP(AN$8,Windham!$A$1:$E$488,2,FALSE)</f>
        <v>4.7628000000000004</v>
      </c>
      <c r="AO125" s="1256">
        <f>VLOOKUP(AO$8,Windham!$A$1:$E$488,2,FALSE)</f>
        <v>-3.50169</v>
      </c>
      <c r="AP125" s="1256">
        <f>VLOOKUP(AP$8,Windham!$A$1:$E$488,2,FALSE)</f>
        <v>1.3790100000000001</v>
      </c>
      <c r="AQ125" s="1256">
        <f>VLOOKUP(AQ$8,Windham!$A$1:$E$488,2,FALSE)</f>
        <v>0.38149</v>
      </c>
      <c r="AR125" s="1256">
        <f>VLOOKUP(AR$8,Windham!$A$1:$E$488,2,FALSE)</f>
        <v>2.6383700000000001</v>
      </c>
      <c r="AS125" s="1256">
        <f>VLOOKUP(AS$8,Windham!$A$1:$E$488,2,FALSE)</f>
        <v>3.9487199999999998</v>
      </c>
      <c r="AT125" s="1256">
        <f>VLOOKUP(AT$8,Windham!$A$1:$E$488,2,FALSE)</f>
        <v>-1.8225100000000001</v>
      </c>
      <c r="AU125" s="1256">
        <f>VLOOKUP(AU$8,Windham!$A$1:$E$488,2,FALSE)</f>
        <v>3.2603900000000001</v>
      </c>
      <c r="AV125" s="1256">
        <f>VLOOKUP(AV$8,Windham!$A$1:$E$488,2,FALSE)</f>
        <v>-2.7295400000000001</v>
      </c>
      <c r="AW125" s="1256">
        <f>VLOOKUP(AW$8,Windham!$A$1:$E$488,2,FALSE)</f>
        <v>-1.74139</v>
      </c>
      <c r="AX125" s="1256">
        <f>VLOOKUP(AX$8,Windham!$A$1:$E$488,2,FALSE)</f>
        <v>1.86226</v>
      </c>
      <c r="AY125" s="1256">
        <f>VLOOKUP(AY$8,Windham!$A$1:$E$488,2,FALSE)</f>
        <v>1.9443600000000001</v>
      </c>
      <c r="AZ125" s="1256">
        <f>VLOOKUP(AZ$8,Windham!$A$1:$E$488,2,FALSE)</f>
        <v>-0.49876999999999999</v>
      </c>
      <c r="BA125" s="1256">
        <f>VLOOKUP(BA$8,Windham!$A$1:$E$488,2,FALSE)</f>
        <v>3.1909999999999998</v>
      </c>
      <c r="BB125" s="1256">
        <f>VLOOKUP(BB$8,Windham!$A$1:$E$488,2,FALSE)</f>
        <v>2.6443099999999999</v>
      </c>
      <c r="BC125" s="1256">
        <f>VLOOKUP(BC$8,Windham!$A$1:$E$488,2,FALSE)</f>
        <v>1.1274599999999999</v>
      </c>
      <c r="BD125" s="1256">
        <f>VLOOKUP(BD$8,Windham!$A$1:$E$488,2,FALSE)</f>
        <v>-0.58311000000000002</v>
      </c>
      <c r="BE125" s="1256">
        <f>VLOOKUP(BE$8,Windham!$A$1:$E$488,2,FALSE)</f>
        <v>2.01952</v>
      </c>
      <c r="BF125" s="1256">
        <f>VLOOKUP(BF$8,Windham!$A$1:$E$488,2,FALSE)</f>
        <v>1.65001</v>
      </c>
      <c r="BG125" s="1256">
        <f>VLOOKUP(BG$8,Windham!$A$1:$E$488,2,FALSE)</f>
        <v>1.2310700000000001</v>
      </c>
      <c r="BH125" s="1256">
        <f>VLOOKUP(BH$8,Windham!$A$1:$E$488,2,FALSE)</f>
        <v>4.1548400000000001</v>
      </c>
      <c r="BI125" s="1256">
        <f>VLOOKUP(BI$8,Windham!$A$1:$E$488,2,FALSE)</f>
        <v>-6.8825799999999999</v>
      </c>
      <c r="BJ125" s="1256">
        <f>VLOOKUP(BJ$8,Windham!$A$1:$E$488,2,FALSE)</f>
        <v>-0.66679999999999995</v>
      </c>
      <c r="BK125" s="1256">
        <f>VLOOKUP(BK$8,Windham!$A$1:$E$488,2,FALSE)</f>
        <v>0.34228999999999998</v>
      </c>
      <c r="BL125" s="1256">
        <f>VLOOKUP(BL$8,Windham!$A$1:$E$488,2,FALSE)</f>
        <v>2.55836</v>
      </c>
      <c r="BM125" s="1256">
        <f>VLOOKUP(BM$8,Windham!$A$1:$E$488,2,FALSE)</f>
        <v>3.8970899999999999</v>
      </c>
      <c r="BN125" s="1256">
        <f>VLOOKUP(BN$8,Windham!$A$1:$E$488,2,FALSE)</f>
        <v>-1.2160000000000001E-2</v>
      </c>
      <c r="BO125" s="1256">
        <f>VLOOKUP(BO$8,Windham!$A$1:$E$488,2,FALSE)</f>
        <v>-1.15642</v>
      </c>
      <c r="BP125" s="1256">
        <f>VLOOKUP(BP$8,Windham!$A$1:$E$488,2,FALSE)</f>
        <v>6.8906799999999997</v>
      </c>
      <c r="BQ125" s="1256">
        <f>VLOOKUP(BQ$8,Windham!$A$1:$E$488,2,FALSE)</f>
        <v>0</v>
      </c>
      <c r="BR125" s="1256">
        <f>VLOOKUP(BR$8,Windham!$A$1:$E$488,2,FALSE)</f>
        <v>0</v>
      </c>
      <c r="BS125" s="1256">
        <f>VLOOKUP(BS$8,Windham!$A$1:$E$488,2,FALSE)</f>
        <v>0</v>
      </c>
      <c r="BT125" s="1256">
        <f>VLOOKUP(BT$8,Windham!$A$1:$E$488,2,FALSE)</f>
        <v>0</v>
      </c>
      <c r="BU125" s="1256">
        <f>VLOOKUP(BU$8,Windham!$A$1:$E$488,2,FALSE)</f>
        <v>0</v>
      </c>
      <c r="BV125" s="1256">
        <f>VLOOKUP(BV$8,Windham!$A$1:$E$488,2,FALSE)</f>
        <v>0</v>
      </c>
      <c r="BW125" s="1256">
        <f>VLOOKUP(BW$8,Windham!$A$1:$E$488,2,FALSE)</f>
        <v>0</v>
      </c>
      <c r="BX125" s="1256">
        <f>VLOOKUP(BX$8,Windham!$A$1:$E$488,2,FALSE)</f>
        <v>0</v>
      </c>
      <c r="BY125" s="1256">
        <f>VLOOKUP(BY$8,Windham!$A$1:$E$488,2,FALSE)</f>
        <v>0</v>
      </c>
      <c r="BZ125" s="1256">
        <f>VLOOKUP(BZ$8,Windham!$A$1:$E$488,2,FALSE)</f>
        <v>0</v>
      </c>
      <c r="CA125" s="1256">
        <f>VLOOKUP(CA$8,Windham!$A$1:$E$488,2,FALSE)</f>
        <v>0</v>
      </c>
      <c r="CB125" s="1256">
        <f>VLOOKUP(CB$8,Windham!$A$1:$E$488,2,FALSE)</f>
        <v>0</v>
      </c>
      <c r="CC125" s="1256">
        <f>VLOOKUP(CC$8,Windham!$A$1:$E$488,2,FALSE)</f>
        <v>0</v>
      </c>
      <c r="CD125" s="1256">
        <f>VLOOKUP(CD$8,Windham!$A$1:$E$488,2,FALSE)</f>
        <v>0</v>
      </c>
      <c r="CE125" s="1256">
        <f>VLOOKUP(CE$8,Windham!$A$1:$E$488,2,FALSE)</f>
        <v>0</v>
      </c>
      <c r="CF125" s="1256">
        <f>VLOOKUP(CF$8,Windham!$A$1:$E$488,2,FALSE)</f>
        <v>0</v>
      </c>
      <c r="CG125" s="1256">
        <f>VLOOKUP(CG$8,Windham!$A$1:$E$488,2,FALSE)</f>
        <v>0</v>
      </c>
      <c r="CH125" s="1256">
        <f>VLOOKUP(CH$8,Windham!$A$1:$E$488,2,FALSE)</f>
        <v>0</v>
      </c>
      <c r="CI125" s="1256">
        <f>VLOOKUP(CI$8,Windham!$A$1:$E$488,2,FALSE)</f>
        <v>0</v>
      </c>
      <c r="CJ125" s="1256">
        <f>VLOOKUP(CJ$8,Windham!$A$1:$E$488,2,FALSE)</f>
        <v>0</v>
      </c>
      <c r="CK125" s="1256">
        <f>VLOOKUP(CK$8,Windham!$A$1:$E$488,2,FALSE)</f>
        <v>0</v>
      </c>
      <c r="CL125" s="1256">
        <f>VLOOKUP(CL$8,Windham!$A$1:$E$488,2,FALSE)</f>
        <v>0</v>
      </c>
      <c r="CM125" s="1256">
        <f>VLOOKUP(CM$8,Windham!$A$1:$E$488,2,FALSE)</f>
        <v>0</v>
      </c>
      <c r="CN125" s="1256">
        <f>VLOOKUP(CN$8,Windham!$A$1:$E$488,2,FALSE)</f>
        <v>0</v>
      </c>
      <c r="CO125" s="1256">
        <f>VLOOKUP(CO$8,Windham!$A$1:$E$488,2,FALSE)</f>
        <v>0</v>
      </c>
      <c r="CP125" s="1256">
        <f>VLOOKUP(CP$8,Windham!$A$1:$E$488,2,FALSE)</f>
        <v>0</v>
      </c>
      <c r="CQ125" s="1256">
        <f>VLOOKUP(CQ$8,Windham!$A$1:$E$488,2,FALSE)</f>
        <v>0</v>
      </c>
      <c r="CR125" s="1256">
        <f>VLOOKUP(CR$8,Windham!$A$1:$E$488,2,FALSE)</f>
        <v>0</v>
      </c>
      <c r="CS125" s="1256">
        <f>VLOOKUP(CS$8,Windham!$A$1:$E$488,2,FALSE)</f>
        <v>0</v>
      </c>
      <c r="CT125" s="1256">
        <f>VLOOKUP(CT$8,Windham!$A$1:$E$488,2,FALSE)</f>
        <v>0</v>
      </c>
      <c r="CU125" s="1256">
        <f>VLOOKUP(CU$8,Windham!$A$1:$E$488,2,FALSE)</f>
        <v>0</v>
      </c>
      <c r="CV125" s="1256">
        <f>VLOOKUP(CV$8,Windham!$A$1:$E$488,2,FALSE)</f>
        <v>0</v>
      </c>
      <c r="CW125" s="1256">
        <f>VLOOKUP(CW$8,Windham!$A$1:$E$488,2,FALSE)</f>
        <v>0</v>
      </c>
      <c r="CX125" s="1256">
        <f>VLOOKUP(CX$8,Windham!$A$1:$E$488,2,FALSE)</f>
        <v>0</v>
      </c>
      <c r="CY125" s="1256">
        <f>VLOOKUP(CY$8,Windham!$A$1:$E$488,2,FALSE)</f>
        <v>0</v>
      </c>
      <c r="CZ125" s="1256">
        <f>VLOOKUP(CZ$8,Windham!$A$1:$E$488,2,FALSE)</f>
        <v>0</v>
      </c>
      <c r="DA125" s="1256">
        <f>VLOOKUP(DA$8,Windham!$A$1:$E$488,2,FALSE)</f>
        <v>0</v>
      </c>
      <c r="DB125" s="1256">
        <f>VLOOKUP(DB$8,Windham!$A$1:$E$488,2,FALSE)</f>
        <v>0</v>
      </c>
      <c r="DC125" s="1256">
        <f>VLOOKUP(DC$8,Windham!$A$1:$E$488,2,FALSE)</f>
        <v>0</v>
      </c>
      <c r="DD125" s="1256">
        <f>VLOOKUP(DD$8,Windham!$A$1:$E$488,2,FALSE)</f>
        <v>0</v>
      </c>
      <c r="DE125" s="1256">
        <f>VLOOKUP(DE$8,Windham!$A$1:$E$488,2,FALSE)</f>
        <v>0</v>
      </c>
      <c r="DF125" s="1256">
        <f>VLOOKUP(DF$8,Windham!$A$1:$E$488,2,FALSE)</f>
        <v>0</v>
      </c>
      <c r="DG125" s="1256">
        <f>VLOOKUP(DG$8,Windham!$A$1:$E$488,2,FALSE)</f>
        <v>0</v>
      </c>
      <c r="DH125" s="1256">
        <f>VLOOKUP(DH$8,Windham!$A$1:$E$488,2,FALSE)</f>
        <v>0</v>
      </c>
      <c r="DI125" s="1256">
        <f>VLOOKUP(DI$8,Windham!$A$1:$E$488,2,FALSE)</f>
        <v>0</v>
      </c>
      <c r="DJ125" s="1256">
        <f>VLOOKUP(DJ$8,Windham!$A$1:$E$488,2,FALSE)</f>
        <v>0</v>
      </c>
      <c r="DK125" s="1256">
        <f>VLOOKUP(DK$8,Windham!$A$1:$E$488,2,FALSE)</f>
        <v>0</v>
      </c>
      <c r="DL125" s="1256">
        <f>VLOOKUP(DL$8,Windham!$A$1:$E$488,2,FALSE)</f>
        <v>0</v>
      </c>
      <c r="DM125" s="1256">
        <f>VLOOKUP(DM$8,Windham!$A$1:$E$488,2,FALSE)</f>
        <v>0</v>
      </c>
      <c r="DN125" s="1256">
        <f>VLOOKUP(DN$8,Windham!$A$1:$E$488,2,FALSE)</f>
        <v>0</v>
      </c>
      <c r="DO125" s="1256">
        <f>VLOOKUP(DO$8,Windham!$A$1:$E$488,2,FALSE)</f>
        <v>0</v>
      </c>
      <c r="DP125" s="1256">
        <f>VLOOKUP(DP$8,Windham!$A$1:$E$488,2,FALSE)</f>
        <v>0</v>
      </c>
      <c r="DQ125" s="1256">
        <f>VLOOKUP(DQ$8,Windham!$A$1:$E$488,2,FALSE)</f>
        <v>0</v>
      </c>
      <c r="DR125" s="1256">
        <f>VLOOKUP(DR$8,Windham!$A$1:$E$488,2,FALSE)</f>
        <v>0</v>
      </c>
      <c r="DS125" s="1256">
        <f>VLOOKUP(DS$8,Windham!$A$1:$E$488,2,FALSE)</f>
        <v>0</v>
      </c>
      <c r="DT125" s="1256">
        <f>VLOOKUP(DT$8,Windham!$A$1:$E$488,2,FALSE)</f>
        <v>0</v>
      </c>
      <c r="DU125" s="1256">
        <f>VLOOKUP(DU$8,Windham!$A$1:$E$488,2,FALSE)</f>
        <v>0</v>
      </c>
      <c r="DV125" s="1256">
        <f>VLOOKUP(DV$8,Windham!$A$1:$E$488,2,FALSE)</f>
        <v>0</v>
      </c>
      <c r="DW125" s="1256">
        <f>VLOOKUP(DW$8,Windham!$A$1:$E$488,2,FALSE)</f>
        <v>0</v>
      </c>
      <c r="DX125" s="1256">
        <f>VLOOKUP(DX$8,Windham!$A$1:$E$488,2,FALSE)</f>
        <v>0</v>
      </c>
      <c r="DY125" s="1256">
        <f>VLOOKUP(DY$8,Windham!$A$1:$E$488,2,FALSE)</f>
        <v>0</v>
      </c>
      <c r="DZ125" s="1256">
        <f>VLOOKUP(DZ$8,Windham!$A$1:$E$488,2,FALSE)</f>
        <v>0</v>
      </c>
      <c r="EA125" s="1256">
        <f>VLOOKUP(EA$8,Windham!$A$1:$E$488,2,FALSE)</f>
        <v>0</v>
      </c>
      <c r="EB125" s="1256">
        <f>VLOOKUP(EB$8,Windham!$A$1:$E$488,2,FALSE)</f>
        <v>0</v>
      </c>
      <c r="EC125" s="1256">
        <f>VLOOKUP(EC$8,Windham!$A$1:$E$488,2,FALSE)</f>
        <v>0</v>
      </c>
      <c r="ED125" s="1256">
        <f>VLOOKUP(ED$8,Windham!$A$1:$E$488,2,FALSE)</f>
        <v>0</v>
      </c>
      <c r="EE125" s="1256">
        <f>VLOOKUP(EE$8,Windham!$A$1:$E$488,2,FALSE)</f>
        <v>0</v>
      </c>
      <c r="EF125" s="1256">
        <f>VLOOKUP(EF$8,Windham!$A$1:$E$488,2,FALSE)</f>
        <v>0</v>
      </c>
      <c r="EG125" s="1256">
        <f>VLOOKUP(EG$8,Windham!$A$1:$E$488,2,FALSE)</f>
        <v>0</v>
      </c>
      <c r="EH125" s="1256">
        <f>VLOOKUP(EH$8,Windham!$A$1:$E$488,2,FALSE)</f>
        <v>0</v>
      </c>
      <c r="EI125" s="1256">
        <f>VLOOKUP(EI$8,Windham!$A$1:$E$488,2,FALSE)</f>
        <v>0</v>
      </c>
      <c r="EJ125" s="1256">
        <f>VLOOKUP(EJ$8,Windham!$A$1:$E$488,2,FALSE)</f>
        <v>0</v>
      </c>
      <c r="EK125" s="1256">
        <f>VLOOKUP(EK$8,Windham!$A$1:$E$488,2,FALSE)</f>
        <v>0</v>
      </c>
      <c r="EL125" s="1256">
        <f>VLOOKUP(EL$8,Windham!$A$1:$E$488,2,FALSE)</f>
        <v>0</v>
      </c>
      <c r="EM125" s="1256">
        <f>VLOOKUP(EM$8,Windham!$A$1:$E$488,2,FALSE)</f>
        <v>0</v>
      </c>
      <c r="EN125" s="1256">
        <f>VLOOKUP(EN$8,Windham!$A$1:$E$488,2,FALSE)</f>
        <v>0</v>
      </c>
      <c r="EO125" s="1256">
        <f>VLOOKUP(EO$8,Windham!$A$1:$E$488,2,FALSE)</f>
        <v>0</v>
      </c>
      <c r="EP125" s="1256">
        <f>VLOOKUP(EP$8,Windham!$A$1:$E$488,2,FALSE)</f>
        <v>0</v>
      </c>
      <c r="EQ125" s="1256">
        <f>VLOOKUP(EQ$8,Windham!$A$1:$E$488,2,FALSE)</f>
        <v>0</v>
      </c>
      <c r="ER125" s="1256">
        <f>VLOOKUP(ER$8,Windham!$A$1:$E$488,2,FALSE)</f>
        <v>0</v>
      </c>
      <c r="ES125" s="1256">
        <f>VLOOKUP(ES$8,Windham!$A$1:$E$488,2,FALSE)</f>
        <v>0</v>
      </c>
      <c r="ET125" s="1256">
        <f>VLOOKUP(ET$8,Windham!$A$1:$E$488,2,FALSE)</f>
        <v>0</v>
      </c>
      <c r="EU125" s="1256">
        <f>VLOOKUP(EU$8,Windham!$A$1:$E$488,2,FALSE)</f>
        <v>0</v>
      </c>
      <c r="EV125" s="1256">
        <f>VLOOKUP(EV$8,Windham!$A$1:$E$488,2,FALSE)</f>
        <v>0</v>
      </c>
      <c r="EW125" s="1256">
        <f>VLOOKUP(EW$8,Windham!$A$1:$E$488,2,FALSE)</f>
        <v>0</v>
      </c>
      <c r="EX125" s="1323" t="s">
        <v>391</v>
      </c>
      <c r="EY125" s="1324" t="s">
        <v>529</v>
      </c>
      <c r="EZ125" s="1325">
        <f>VLOOKUP($EY125,'NEPC data'!$B89:$M276,5,TRUE)*100</f>
        <v>-8.4219813549999962</v>
      </c>
      <c r="FA125" s="1325">
        <f>VLOOKUP($EY125,'NEPC data'!$B89:$M276,7,TRUE)*100</f>
        <v>0</v>
      </c>
      <c r="FB125" s="1325">
        <f>VLOOKUP($EY125,'NEPC data'!$B89:$M276,9,TRUE)*100</f>
        <v>0</v>
      </c>
      <c r="FC125" s="1325">
        <f>VLOOKUP($EY125,'NEPC data'!$B89:$M276,10,TRUE)*100</f>
        <v>0</v>
      </c>
      <c r="FD125" s="1325">
        <f>VLOOKUP($EY125,'NEPC data'!$B89:$M276,11,TRUE)*100</f>
        <v>0</v>
      </c>
      <c r="FE125" s="1257"/>
      <c r="FF125" s="1326">
        <f>IF(G125="---","-",ABS(EZ125-G125))</f>
        <v>11.026629836502831</v>
      </c>
      <c r="FG125" s="1326">
        <f>IF(I125="---","-",ABS(FA125-I125))</f>
        <v>16.003570753953376</v>
      </c>
      <c r="FH125" s="1326" t="str">
        <f>IF(K125="---","-",ABS(FB125-K125))</f>
        <v>-</v>
      </c>
      <c r="FI125" s="1326" t="str">
        <f>IF(M125="---","-",ABS(FC125-M125))</f>
        <v>-</v>
      </c>
      <c r="FJ125" s="1326">
        <f>IF(Q125="---","-",ABS(FD125-Q125))</f>
        <v>12.061455346163651</v>
      </c>
      <c r="FK125" s="1257"/>
      <c r="FL125" s="1255"/>
      <c r="FM125" s="1255"/>
    </row>
    <row r="126" spans="1:169" s="1028" customFormat="1" ht="12.75" customHeight="1" x14ac:dyDescent="0.2">
      <c r="A126" s="1216" t="s">
        <v>211</v>
      </c>
      <c r="B126" s="1393"/>
      <c r="C126" s="1235"/>
      <c r="D126" s="1218"/>
      <c r="E126" s="1219"/>
      <c r="F126" s="1220">
        <f>AH126</f>
        <v>2.0604399999999998</v>
      </c>
      <c r="G126" s="1023">
        <f t="array" ref="G126">IF($AJ126=0,"---",(PRODUCT($AH126:AJ126/100+1)-1)*100)</f>
        <v>1.9493270684115549</v>
      </c>
      <c r="H126" s="432">
        <f t="array" ref="H126">IF($AS126=0,"---",(PRODUCT(AH126:AN126/100+1)-1)*100)</f>
        <v>9.1780961750081538</v>
      </c>
      <c r="I126" s="1023">
        <f t="array" ref="I126">IF(AS126=0,"---",(GEOMEAN($AH126:AS126/100+1)^12-1)*100)</f>
        <v>16.962364247239559</v>
      </c>
      <c r="J126" s="1023">
        <f t="array" ref="J126">IF(BE126=0,"---",(GEOMEAN($AH126:BE126/100+1)^12-1)*100)</f>
        <v>13.75436517144697</v>
      </c>
      <c r="K126" s="1023" t="str">
        <f t="array" ref="K126">IF(BQ126=0,"---",(GEOMEAN($AH126:BQ126/100+1)^12-1)*100)</f>
        <v>---</v>
      </c>
      <c r="L126" s="1023" t="str">
        <f t="array" ref="L126">IF(CC126=0,"---",(GEOMEAN($AH126:CC126/100+1)^12-1)*100)</f>
        <v>---</v>
      </c>
      <c r="M126" s="1023" t="str">
        <f t="array" ref="M126">IF(CO126=0,"---",(GEOMEAN($AH126:CO126/100+1)^12-1)*100)</f>
        <v>---</v>
      </c>
      <c r="N126" s="1023" t="str">
        <f t="array" ref="N126">IF(DM126=0,"---",(GEOMEAN($AH126:DM126/100+1)^12-1)*100)</f>
        <v>---</v>
      </c>
      <c r="O126" s="1023" t="str">
        <f t="array" ref="O126">IF(EK126=0,"---",(GEOMEAN($AH126:EK126/100+1)^12-1)*100)</f>
        <v>---</v>
      </c>
      <c r="P126" s="1023" t="str">
        <f t="array" ref="P126">IF(EW126=0,"---",(GEOMEAN($AH126:EW126/100+1)^12-1)*100)</f>
        <v>---</v>
      </c>
      <c r="Q126" s="1229" t="s">
        <v>34</v>
      </c>
      <c r="R126" s="1394"/>
      <c r="S126" s="1218"/>
      <c r="T126" s="1218"/>
      <c r="U126" s="1218"/>
      <c r="V126" s="1218"/>
      <c r="W126" s="1218"/>
      <c r="X126" s="1218"/>
      <c r="Y126" s="1218"/>
      <c r="Z126" s="1218"/>
      <c r="AA126" s="1218"/>
      <c r="AB126" s="1218"/>
      <c r="AC126" s="1222"/>
      <c r="AD126" s="1233"/>
      <c r="AE126" s="363" t="s">
        <v>673</v>
      </c>
      <c r="AF126" s="467"/>
      <c r="AG126" s="418"/>
      <c r="AH126" s="1025">
        <f t="shared" ref="AH126:BM126" si="123">VLOOKUP(AH$8,Index,42,FALSE)</f>
        <v>2.0604399999999998</v>
      </c>
      <c r="AI126" s="1025">
        <f t="shared" si="123"/>
        <v>-1.2640800000000001</v>
      </c>
      <c r="AJ126" s="1025">
        <f t="shared" si="123"/>
        <v>1.17</v>
      </c>
      <c r="AK126" s="1025">
        <f t="shared" si="123"/>
        <v>1.7094800000000001</v>
      </c>
      <c r="AL126" s="1025">
        <f t="shared" si="123"/>
        <v>1.1782699999999999</v>
      </c>
      <c r="AM126" s="1025">
        <f t="shared" si="123"/>
        <v>0.19767000000000001</v>
      </c>
      <c r="AN126" s="1025">
        <f t="shared" si="123"/>
        <v>3.8591700000000002</v>
      </c>
      <c r="AO126" s="1025">
        <f t="shared" si="123"/>
        <v>-1.6584700000000001</v>
      </c>
      <c r="AP126" s="1025">
        <f t="shared" si="123"/>
        <v>1.3180799999999999</v>
      </c>
      <c r="AQ126" s="1025">
        <f t="shared" si="123"/>
        <v>0.88504000000000005</v>
      </c>
      <c r="AR126" s="1025">
        <f t="shared" si="123"/>
        <v>3.1032299999999999</v>
      </c>
      <c r="AS126" s="1025">
        <f t="shared" si="123"/>
        <v>3.3683700000000001</v>
      </c>
      <c r="AT126" s="1025">
        <f t="shared" si="123"/>
        <v>-1.98089</v>
      </c>
      <c r="AU126" s="1025">
        <f t="shared" si="123"/>
        <v>3.4019599999999999</v>
      </c>
      <c r="AV126" s="1025">
        <f t="shared" si="123"/>
        <v>-2.1007899999999999</v>
      </c>
      <c r="AW126" s="1025">
        <f t="shared" si="123"/>
        <v>-0.60367000000000004</v>
      </c>
      <c r="AX126" s="1025">
        <f t="shared" si="123"/>
        <v>2.6482700000000001</v>
      </c>
      <c r="AY126" s="1025">
        <f t="shared" si="123"/>
        <v>1.98248</v>
      </c>
      <c r="AZ126" s="1025">
        <f t="shared" si="123"/>
        <v>0.38928000000000001</v>
      </c>
      <c r="BA126" s="1025">
        <f t="shared" si="123"/>
        <v>3.4970699999999999</v>
      </c>
      <c r="BB126" s="1025">
        <f t="shared" si="123"/>
        <v>1.2535099999999999</v>
      </c>
      <c r="BC126" s="1025">
        <f t="shared" si="123"/>
        <v>0.80935000000000001</v>
      </c>
      <c r="BD126" s="1025">
        <f t="shared" si="123"/>
        <v>-0.67183999999999999</v>
      </c>
      <c r="BE126" s="1025">
        <f t="shared" si="123"/>
        <v>1.72438</v>
      </c>
      <c r="BF126" s="1025">
        <f t="shared" si="123"/>
        <v>1.59541</v>
      </c>
      <c r="BG126" s="1025">
        <f t="shared" si="123"/>
        <v>1.59544</v>
      </c>
      <c r="BH126" s="1025">
        <f t="shared" si="123"/>
        <v>3.7396500000000001</v>
      </c>
      <c r="BI126" s="1025">
        <f t="shared" si="123"/>
        <v>-5.17225</v>
      </c>
      <c r="BJ126" s="1025">
        <f t="shared" si="123"/>
        <v>-0.1905</v>
      </c>
      <c r="BK126" s="1025">
        <f t="shared" si="123"/>
        <v>1.4976499999999999</v>
      </c>
      <c r="BL126" s="1025">
        <f t="shared" si="123"/>
        <v>3.0901200000000002</v>
      </c>
      <c r="BM126" s="1025">
        <f t="shared" si="123"/>
        <v>3.7543899999999999</v>
      </c>
      <c r="BN126" s="1025">
        <f t="shared" ref="BN126:CS126" si="124">VLOOKUP(BN$8,Index,42,FALSE)</f>
        <v>0.76266</v>
      </c>
      <c r="BO126" s="1025">
        <f t="shared" si="124"/>
        <v>-1.2850600000000001</v>
      </c>
      <c r="BP126" s="1025">
        <f t="shared" si="124"/>
        <v>7.9574999999999996</v>
      </c>
      <c r="BQ126" s="1025">
        <f t="shared" si="124"/>
        <v>0</v>
      </c>
      <c r="BR126" s="1025">
        <f t="shared" si="124"/>
        <v>0</v>
      </c>
      <c r="BS126" s="1025">
        <f t="shared" si="124"/>
        <v>0</v>
      </c>
      <c r="BT126" s="1025">
        <f t="shared" si="124"/>
        <v>0</v>
      </c>
      <c r="BU126" s="1025">
        <f t="shared" si="124"/>
        <v>0</v>
      </c>
      <c r="BV126" s="1025">
        <f t="shared" si="124"/>
        <v>0</v>
      </c>
      <c r="BW126" s="1025">
        <f t="shared" si="124"/>
        <v>0</v>
      </c>
      <c r="BX126" s="1025">
        <f t="shared" si="124"/>
        <v>0</v>
      </c>
      <c r="BY126" s="1025">
        <f t="shared" si="124"/>
        <v>0</v>
      </c>
      <c r="BZ126" s="1025">
        <f t="shared" si="124"/>
        <v>0</v>
      </c>
      <c r="CA126" s="1025">
        <f t="shared" si="124"/>
        <v>0</v>
      </c>
      <c r="CB126" s="1025">
        <f t="shared" si="124"/>
        <v>0</v>
      </c>
      <c r="CC126" s="1025">
        <f t="shared" si="124"/>
        <v>0</v>
      </c>
      <c r="CD126" s="1025">
        <f t="shared" si="124"/>
        <v>0</v>
      </c>
      <c r="CE126" s="1025">
        <f t="shared" si="124"/>
        <v>0</v>
      </c>
      <c r="CF126" s="1025">
        <f t="shared" si="124"/>
        <v>0</v>
      </c>
      <c r="CG126" s="1025">
        <f t="shared" si="124"/>
        <v>0</v>
      </c>
      <c r="CH126" s="1025">
        <f t="shared" si="124"/>
        <v>0</v>
      </c>
      <c r="CI126" s="1025">
        <f t="shared" si="124"/>
        <v>0</v>
      </c>
      <c r="CJ126" s="1025">
        <f t="shared" si="124"/>
        <v>0</v>
      </c>
      <c r="CK126" s="1025">
        <f t="shared" si="124"/>
        <v>0</v>
      </c>
      <c r="CL126" s="1025">
        <f t="shared" si="124"/>
        <v>0</v>
      </c>
      <c r="CM126" s="1025">
        <f t="shared" si="124"/>
        <v>0</v>
      </c>
      <c r="CN126" s="1025">
        <f t="shared" si="124"/>
        <v>0</v>
      </c>
      <c r="CO126" s="1025">
        <f t="shared" si="124"/>
        <v>0</v>
      </c>
      <c r="CP126" s="1025">
        <f t="shared" si="124"/>
        <v>0</v>
      </c>
      <c r="CQ126" s="1025">
        <f t="shared" si="124"/>
        <v>0</v>
      </c>
      <c r="CR126" s="1025">
        <f t="shared" si="124"/>
        <v>0</v>
      </c>
      <c r="CS126" s="1025">
        <f t="shared" si="124"/>
        <v>0</v>
      </c>
      <c r="CT126" s="1025">
        <f t="shared" ref="CT126:DY126" si="125">VLOOKUP(CT$8,Index,42,FALSE)</f>
        <v>0</v>
      </c>
      <c r="CU126" s="1025">
        <f t="shared" si="125"/>
        <v>0</v>
      </c>
      <c r="CV126" s="1025">
        <f t="shared" si="125"/>
        <v>0</v>
      </c>
      <c r="CW126" s="1025">
        <f t="shared" si="125"/>
        <v>0</v>
      </c>
      <c r="CX126" s="1025">
        <f t="shared" si="125"/>
        <v>0</v>
      </c>
      <c r="CY126" s="1025">
        <f t="shared" si="125"/>
        <v>0</v>
      </c>
      <c r="CZ126" s="1025">
        <f t="shared" si="125"/>
        <v>0</v>
      </c>
      <c r="DA126" s="1025">
        <f t="shared" si="125"/>
        <v>0</v>
      </c>
      <c r="DB126" s="1025">
        <f t="shared" si="125"/>
        <v>0</v>
      </c>
      <c r="DC126" s="1025">
        <f t="shared" si="125"/>
        <v>0</v>
      </c>
      <c r="DD126" s="1025">
        <f t="shared" si="125"/>
        <v>0</v>
      </c>
      <c r="DE126" s="1025">
        <f t="shared" si="125"/>
        <v>0</v>
      </c>
      <c r="DF126" s="1025">
        <f t="shared" si="125"/>
        <v>0</v>
      </c>
      <c r="DG126" s="1025">
        <f t="shared" si="125"/>
        <v>0</v>
      </c>
      <c r="DH126" s="1025">
        <f t="shared" si="125"/>
        <v>0</v>
      </c>
      <c r="DI126" s="1025">
        <f t="shared" si="125"/>
        <v>0</v>
      </c>
      <c r="DJ126" s="1025">
        <f t="shared" si="125"/>
        <v>0</v>
      </c>
      <c r="DK126" s="1025">
        <f t="shared" si="125"/>
        <v>0</v>
      </c>
      <c r="DL126" s="1025">
        <f t="shared" si="125"/>
        <v>0</v>
      </c>
      <c r="DM126" s="1025">
        <f t="shared" si="125"/>
        <v>0</v>
      </c>
      <c r="DN126" s="1025">
        <f t="shared" si="125"/>
        <v>0</v>
      </c>
      <c r="DO126" s="1025">
        <f t="shared" si="125"/>
        <v>0</v>
      </c>
      <c r="DP126" s="1025">
        <f t="shared" si="125"/>
        <v>0</v>
      </c>
      <c r="DQ126" s="1025">
        <f t="shared" si="125"/>
        <v>0</v>
      </c>
      <c r="DR126" s="1025">
        <f t="shared" si="125"/>
        <v>0</v>
      </c>
      <c r="DS126" s="1025">
        <f t="shared" si="125"/>
        <v>0</v>
      </c>
      <c r="DT126" s="1025">
        <f t="shared" si="125"/>
        <v>0</v>
      </c>
      <c r="DU126" s="1025">
        <f t="shared" si="125"/>
        <v>0</v>
      </c>
      <c r="DV126" s="1025">
        <f t="shared" si="125"/>
        <v>0</v>
      </c>
      <c r="DW126" s="1025">
        <f t="shared" si="125"/>
        <v>0</v>
      </c>
      <c r="DX126" s="1025">
        <f t="shared" si="125"/>
        <v>0</v>
      </c>
      <c r="DY126" s="1025">
        <f t="shared" si="125"/>
        <v>0</v>
      </c>
      <c r="DZ126" s="1025">
        <f t="shared" ref="DZ126:EW126" si="126">VLOOKUP(DZ$8,Index,42,FALSE)</f>
        <v>0</v>
      </c>
      <c r="EA126" s="1025">
        <f t="shared" si="126"/>
        <v>0</v>
      </c>
      <c r="EB126" s="1025">
        <f t="shared" si="126"/>
        <v>0</v>
      </c>
      <c r="EC126" s="1025">
        <f t="shared" si="126"/>
        <v>0</v>
      </c>
      <c r="ED126" s="1025">
        <f t="shared" si="126"/>
        <v>0</v>
      </c>
      <c r="EE126" s="1025">
        <f t="shared" si="126"/>
        <v>0</v>
      </c>
      <c r="EF126" s="1025">
        <f t="shared" si="126"/>
        <v>0</v>
      </c>
      <c r="EG126" s="1025">
        <f t="shared" si="126"/>
        <v>0</v>
      </c>
      <c r="EH126" s="1025">
        <f t="shared" si="126"/>
        <v>0</v>
      </c>
      <c r="EI126" s="1025">
        <f t="shared" si="126"/>
        <v>0</v>
      </c>
      <c r="EJ126" s="1025">
        <f t="shared" si="126"/>
        <v>0</v>
      </c>
      <c r="EK126" s="1025">
        <f t="shared" si="126"/>
        <v>0</v>
      </c>
      <c r="EL126" s="1025">
        <f t="shared" si="126"/>
        <v>0</v>
      </c>
      <c r="EM126" s="1025">
        <f t="shared" si="126"/>
        <v>0</v>
      </c>
      <c r="EN126" s="1025">
        <f t="shared" si="126"/>
        <v>0</v>
      </c>
      <c r="EO126" s="1025">
        <f t="shared" si="126"/>
        <v>0</v>
      </c>
      <c r="EP126" s="1025">
        <f t="shared" si="126"/>
        <v>0</v>
      </c>
      <c r="EQ126" s="1025">
        <f t="shared" si="126"/>
        <v>0</v>
      </c>
      <c r="ER126" s="1025">
        <f t="shared" si="126"/>
        <v>0</v>
      </c>
      <c r="ES126" s="1025">
        <f t="shared" si="126"/>
        <v>0</v>
      </c>
      <c r="ET126" s="1025">
        <f t="shared" si="126"/>
        <v>0</v>
      </c>
      <c r="EU126" s="1025">
        <f t="shared" si="126"/>
        <v>0</v>
      </c>
      <c r="EV126" s="1025">
        <f t="shared" si="126"/>
        <v>0</v>
      </c>
      <c r="EW126" s="1025">
        <f t="shared" si="126"/>
        <v>0</v>
      </c>
      <c r="EX126" s="1230"/>
      <c r="EY126" s="1230"/>
      <c r="EZ126" s="789" t="e">
        <f>VLOOKUP($EY126,'NEPC data'!$B94:$M281,5,TRUE)*100</f>
        <v>#N/A</v>
      </c>
      <c r="FA126" s="789" t="e">
        <f>VLOOKUP($EY126,'NEPC data'!$B94:$M281,7,TRUE)*100</f>
        <v>#N/A</v>
      </c>
      <c r="FB126" s="789" t="e">
        <f>VLOOKUP($EY126,'NEPC data'!$B94:$M281,9,TRUE)*100</f>
        <v>#N/A</v>
      </c>
      <c r="FC126" s="789" t="e">
        <f>VLOOKUP($EY126,'NEPC data'!$B94:$M281,10,TRUE)*100</f>
        <v>#N/A</v>
      </c>
      <c r="FD126" s="789" t="e">
        <f>VLOOKUP($EY126,'NEPC data'!$B94:$M281,11,TRUE)*100</f>
        <v>#N/A</v>
      </c>
      <c r="FE126" s="1024"/>
      <c r="FF126" s="1024"/>
      <c r="FG126" s="1024"/>
      <c r="FH126" s="1024"/>
      <c r="FI126" s="1024"/>
      <c r="FJ126" s="1024"/>
      <c r="FK126" s="1024"/>
      <c r="FL126" s="1024"/>
      <c r="FM126" s="1231"/>
    </row>
    <row r="127" spans="1:169" s="207" customFormat="1" ht="12.75" customHeight="1" thickBot="1" x14ac:dyDescent="0.25">
      <c r="A127" s="511" t="s">
        <v>212</v>
      </c>
      <c r="B127" s="628"/>
      <c r="C127" s="625"/>
      <c r="D127" s="499"/>
      <c r="E127" s="500">
        <f>E122+E125</f>
        <v>3825.6405382600005</v>
      </c>
      <c r="F127" s="599"/>
      <c r="G127" s="600"/>
      <c r="H127" s="600"/>
      <c r="I127" s="600"/>
      <c r="J127" s="600"/>
      <c r="K127" s="600"/>
      <c r="L127" s="600"/>
      <c r="M127" s="600"/>
      <c r="N127" s="600"/>
      <c r="O127" s="600"/>
      <c r="P127" s="600"/>
      <c r="Q127" s="601"/>
      <c r="R127" s="606"/>
      <c r="S127" s="499"/>
      <c r="T127" s="499"/>
      <c r="U127" s="499"/>
      <c r="V127" s="499"/>
      <c r="W127" s="499"/>
      <c r="X127" s="499"/>
      <c r="Y127" s="499"/>
      <c r="Z127" s="499"/>
      <c r="AA127" s="499"/>
      <c r="AB127" s="499"/>
      <c r="AC127" s="602"/>
      <c r="AD127" s="603"/>
      <c r="AE127" s="501"/>
      <c r="AF127" s="508"/>
      <c r="AG127" s="248"/>
      <c r="AH127" s="503"/>
      <c r="AI127" s="503"/>
      <c r="AJ127" s="503"/>
      <c r="AK127" s="503"/>
      <c r="AL127" s="503"/>
      <c r="AM127" s="503"/>
      <c r="AN127" s="503"/>
      <c r="AO127" s="503"/>
      <c r="AP127" s="503"/>
      <c r="AQ127" s="503"/>
      <c r="AR127" s="503"/>
      <c r="AS127" s="503"/>
      <c r="AT127" s="503"/>
      <c r="AU127" s="503"/>
      <c r="AV127" s="503"/>
      <c r="AW127" s="503"/>
      <c r="AX127" s="503"/>
      <c r="AY127" s="503"/>
      <c r="AZ127" s="503"/>
      <c r="BA127" s="503"/>
      <c r="BB127" s="503"/>
      <c r="BC127" s="503"/>
      <c r="BD127" s="503"/>
      <c r="BE127" s="503"/>
      <c r="BF127" s="503"/>
      <c r="BG127" s="503"/>
      <c r="BH127" s="503"/>
      <c r="BI127" s="503"/>
      <c r="BJ127" s="503"/>
      <c r="BK127" s="503"/>
      <c r="BL127" s="503"/>
      <c r="BM127" s="503"/>
      <c r="BN127" s="503"/>
      <c r="BO127" s="503"/>
      <c r="BP127" s="503"/>
      <c r="BQ127" s="503"/>
      <c r="BR127" s="503"/>
      <c r="BS127" s="503"/>
      <c r="BT127" s="503"/>
      <c r="BU127" s="503"/>
      <c r="BV127" s="503"/>
      <c r="BW127" s="503"/>
      <c r="BX127" s="503"/>
      <c r="BY127" s="503"/>
      <c r="BZ127" s="503"/>
      <c r="CA127" s="503"/>
      <c r="CB127" s="503"/>
      <c r="CC127" s="503"/>
      <c r="CD127" s="503"/>
      <c r="CE127" s="503"/>
      <c r="CF127" s="503"/>
      <c r="CG127" s="503"/>
      <c r="CH127" s="503"/>
      <c r="CI127" s="503"/>
      <c r="CJ127" s="503"/>
      <c r="CK127" s="503"/>
      <c r="CL127" s="503"/>
      <c r="CM127" s="503"/>
      <c r="CN127" s="503"/>
      <c r="CO127" s="503"/>
      <c r="CP127" s="503"/>
      <c r="CQ127" s="503"/>
      <c r="CR127" s="503"/>
      <c r="CS127" s="503"/>
      <c r="CT127" s="503"/>
      <c r="CU127" s="503"/>
      <c r="CV127" s="503"/>
      <c r="CW127" s="503"/>
      <c r="CX127" s="503"/>
      <c r="CY127" s="503"/>
      <c r="CZ127" s="503"/>
      <c r="DA127" s="503"/>
      <c r="DB127" s="503"/>
      <c r="DC127" s="503"/>
      <c r="DD127" s="503"/>
      <c r="DE127" s="503"/>
      <c r="DF127" s="503"/>
      <c r="DG127" s="503"/>
      <c r="DH127" s="503"/>
      <c r="DI127" s="503"/>
      <c r="DJ127" s="503"/>
      <c r="DK127" s="503"/>
      <c r="DL127" s="503"/>
      <c r="DM127" s="503"/>
      <c r="DN127" s="503"/>
      <c r="DO127" s="503"/>
      <c r="DP127" s="503"/>
      <c r="DQ127" s="503"/>
      <c r="DR127" s="503"/>
      <c r="DS127" s="503"/>
      <c r="DT127" s="503"/>
      <c r="DU127" s="503"/>
      <c r="DV127" s="503"/>
      <c r="DW127" s="503"/>
      <c r="DX127" s="503"/>
      <c r="DY127" s="503"/>
      <c r="DZ127" s="503"/>
      <c r="EA127" s="503"/>
      <c r="EB127" s="503"/>
      <c r="EC127" s="503"/>
      <c r="ED127" s="503"/>
      <c r="EE127" s="503"/>
      <c r="EF127" s="503"/>
      <c r="EG127" s="503"/>
      <c r="EH127" s="503"/>
      <c r="EI127" s="503"/>
      <c r="EJ127" s="503"/>
      <c r="EK127" s="503"/>
      <c r="EL127" s="503"/>
      <c r="EM127" s="503"/>
      <c r="EN127" s="503"/>
      <c r="EO127" s="503"/>
      <c r="EP127" s="503"/>
      <c r="EQ127" s="503"/>
      <c r="ER127" s="503"/>
      <c r="ES127" s="503"/>
      <c r="ET127" s="503"/>
      <c r="EU127" s="503"/>
      <c r="EV127" s="503"/>
      <c r="EW127" s="503"/>
      <c r="EX127" s="504"/>
      <c r="EY127" s="1066"/>
      <c r="EZ127" s="789"/>
      <c r="FA127" s="789"/>
      <c r="FB127" s="789"/>
      <c r="FC127" s="789"/>
      <c r="FD127" s="789"/>
      <c r="FE127" s="248"/>
      <c r="FF127" s="441"/>
      <c r="FG127" s="441"/>
      <c r="FH127" s="441"/>
      <c r="FI127" s="441"/>
      <c r="FJ127" s="441"/>
      <c r="FK127" s="248"/>
      <c r="FL127" s="248"/>
      <c r="FM127" s="512"/>
    </row>
    <row r="128" spans="1:169" s="586" customFormat="1" ht="12.75" customHeight="1" x14ac:dyDescent="0.2">
      <c r="A128" s="587"/>
      <c r="B128" s="629"/>
      <c r="C128" s="626"/>
      <c r="D128" s="588"/>
      <c r="E128" s="589"/>
      <c r="F128" s="590"/>
      <c r="G128" s="590"/>
      <c r="H128" s="590"/>
      <c r="I128" s="590"/>
      <c r="J128" s="590"/>
      <c r="K128" s="590"/>
      <c r="L128" s="590"/>
      <c r="M128" s="590"/>
      <c r="N128" s="590"/>
      <c r="O128" s="590"/>
      <c r="P128" s="590"/>
      <c r="Q128" s="590"/>
      <c r="R128" s="591"/>
      <c r="S128" s="541"/>
      <c r="T128" s="541"/>
      <c r="U128" s="541"/>
      <c r="V128" s="541"/>
      <c r="W128" s="541"/>
      <c r="X128" s="541"/>
      <c r="Y128" s="541"/>
      <c r="Z128" s="592"/>
      <c r="AA128" s="592"/>
      <c r="AB128" s="592"/>
      <c r="AC128" s="593"/>
      <c r="AD128" s="594"/>
      <c r="AF128" s="585"/>
      <c r="AG128" s="583"/>
      <c r="AH128" s="583"/>
      <c r="AI128" s="583"/>
      <c r="AJ128" s="583"/>
      <c r="AK128" s="583"/>
      <c r="AL128" s="583"/>
      <c r="AM128" s="583"/>
      <c r="AN128" s="583"/>
      <c r="AO128" s="583"/>
      <c r="AP128" s="583"/>
      <c r="AQ128" s="583"/>
      <c r="AR128" s="583"/>
      <c r="AS128" s="583"/>
      <c r="AT128" s="583"/>
      <c r="AU128" s="583"/>
      <c r="AV128" s="583"/>
      <c r="AW128" s="583"/>
      <c r="AX128" s="583"/>
      <c r="AY128" s="583"/>
      <c r="AZ128" s="583"/>
      <c r="BA128" s="583"/>
      <c r="BB128" s="583"/>
      <c r="BC128" s="583"/>
      <c r="BD128" s="583"/>
      <c r="BE128" s="583"/>
      <c r="BF128" s="583"/>
      <c r="BG128" s="583"/>
      <c r="BH128" s="583"/>
      <c r="BI128" s="583"/>
      <c r="BJ128" s="583"/>
      <c r="BK128" s="583"/>
      <c r="BL128" s="583"/>
      <c r="BM128" s="583"/>
      <c r="BN128" s="583"/>
      <c r="BO128" s="583"/>
      <c r="BP128" s="583"/>
      <c r="BQ128" s="583"/>
      <c r="BR128" s="583"/>
      <c r="BS128" s="583"/>
      <c r="BT128" s="583"/>
      <c r="BU128" s="583"/>
      <c r="BV128" s="583"/>
      <c r="BW128" s="583"/>
      <c r="BX128" s="583"/>
      <c r="BY128" s="583"/>
      <c r="BZ128" s="583"/>
      <c r="CA128" s="583"/>
      <c r="CB128" s="583"/>
      <c r="CC128" s="583"/>
      <c r="CD128" s="583"/>
      <c r="CE128" s="583"/>
      <c r="CF128" s="583"/>
      <c r="CG128" s="583"/>
      <c r="CH128" s="583"/>
      <c r="CI128" s="583"/>
      <c r="CJ128" s="583"/>
      <c r="CK128" s="583"/>
      <c r="CL128" s="583"/>
      <c r="CM128" s="583"/>
      <c r="CN128" s="583"/>
      <c r="CO128" s="583"/>
      <c r="CP128" s="583"/>
      <c r="CQ128" s="583"/>
      <c r="CR128" s="583"/>
      <c r="CS128" s="583"/>
      <c r="CT128" s="583"/>
      <c r="CU128" s="583"/>
      <c r="CV128" s="583"/>
      <c r="CW128" s="583"/>
      <c r="CX128" s="583"/>
      <c r="CY128" s="583"/>
      <c r="CZ128" s="583"/>
      <c r="DA128" s="583"/>
      <c r="DB128" s="583"/>
      <c r="DC128" s="583"/>
      <c r="DD128" s="583"/>
      <c r="DE128" s="583"/>
      <c r="DF128" s="583"/>
      <c r="DG128" s="583"/>
      <c r="DH128" s="583"/>
      <c r="DI128" s="583"/>
      <c r="DJ128" s="583"/>
      <c r="DK128" s="583"/>
      <c r="DL128" s="583"/>
      <c r="DM128" s="583"/>
      <c r="DN128" s="583"/>
      <c r="DO128" s="583"/>
      <c r="DP128" s="583"/>
      <c r="DQ128" s="583"/>
      <c r="DR128" s="583"/>
      <c r="DS128" s="583"/>
      <c r="DT128" s="583"/>
      <c r="DU128" s="583"/>
      <c r="DV128" s="583"/>
      <c r="DW128" s="583"/>
      <c r="DX128" s="583"/>
      <c r="DY128" s="583"/>
      <c r="DZ128" s="583"/>
      <c r="EA128" s="583"/>
      <c r="EB128" s="583"/>
      <c r="EC128" s="583"/>
      <c r="ED128" s="583"/>
      <c r="EE128" s="583"/>
      <c r="EF128" s="583"/>
      <c r="EG128" s="583"/>
      <c r="EH128" s="583"/>
      <c r="EI128" s="583"/>
      <c r="EJ128" s="583"/>
      <c r="EK128" s="583"/>
      <c r="EL128" s="583"/>
      <c r="EM128" s="583"/>
      <c r="EN128" s="583"/>
      <c r="EO128" s="583"/>
      <c r="EP128" s="583"/>
      <c r="EQ128" s="583"/>
      <c r="ER128" s="583"/>
      <c r="ES128" s="583"/>
      <c r="ET128" s="583"/>
      <c r="EU128" s="583"/>
      <c r="EV128" s="583"/>
      <c r="EW128" s="583"/>
      <c r="EX128" s="584"/>
      <c r="EY128" s="584"/>
      <c r="EZ128" s="789" t="e">
        <f>VLOOKUP($EY128,'NEPC data'!$B107:$M294,5,TRUE)*100</f>
        <v>#N/A</v>
      </c>
      <c r="FA128" s="789" t="e">
        <f>VLOOKUP($EY128,'NEPC data'!$B107:$M294,7,TRUE)*100</f>
        <v>#N/A</v>
      </c>
      <c r="FB128" s="789" t="e">
        <f>VLOOKUP($EY128,'NEPC data'!$B107:$M294,9,TRUE)*100</f>
        <v>#N/A</v>
      </c>
      <c r="FC128" s="789" t="e">
        <f>VLOOKUP($EY128,'NEPC data'!$B107:$M294,10,TRUE)*100</f>
        <v>#N/A</v>
      </c>
      <c r="FD128" s="789" t="e">
        <f>VLOOKUP($EY128,'NEPC data'!$B107:$M294,11,TRUE)*100</f>
        <v>#N/A</v>
      </c>
      <c r="FE128" s="583"/>
      <c r="FF128" s="583"/>
      <c r="FG128" s="583"/>
      <c r="FH128" s="583"/>
      <c r="FI128" s="583"/>
      <c r="FJ128" s="583"/>
      <c r="FK128" s="583"/>
      <c r="FL128" s="583"/>
      <c r="FM128" s="583"/>
    </row>
    <row r="129" spans="1:169" s="207" customFormat="1" ht="12.75" customHeight="1" thickBot="1" x14ac:dyDescent="0.25">
      <c r="A129" s="581"/>
      <c r="B129" s="630"/>
      <c r="C129" s="627"/>
      <c r="D129" s="251"/>
      <c r="E129" s="582">
        <f>E90+E111+E118+E127</f>
        <v>27734.352858329999</v>
      </c>
      <c r="F129" s="710">
        <f>AH129</f>
        <v>0</v>
      </c>
      <c r="G129" s="711" t="str">
        <f t="array" ref="G129">IF($AH129=0,"---",(PRODUCT($AH129:AJ129/100+1)-1)*100)</f>
        <v>---</v>
      </c>
      <c r="H129" s="711" t="str">
        <f t="array" ref="H129">IF($AR129=0,"---",(PRODUCT(AN129:$AR129/100+1)-1)*100)</f>
        <v>---</v>
      </c>
      <c r="I129" s="711" t="str">
        <f t="array" ref="I129">IF(AS129=0,"---",(GEOMEAN($AH129:AS129/100+1)^12-1)*100)</f>
        <v>---</v>
      </c>
      <c r="J129" s="711" t="str">
        <f t="array" ref="J129">IF(BE129=0,"---",(GEOMEAN($AH129:BE129/100+1)^12-1)*100)</f>
        <v>---</v>
      </c>
      <c r="K129" s="711" t="str">
        <f t="array" ref="K129">IF(BQ129=0,"---",(GEOMEAN($AH129:BQ129/100+1)^12-1)*100)</f>
        <v>---</v>
      </c>
      <c r="L129" s="711" t="str">
        <f t="array" ref="L129">IF(CC129=0,"---",(GEOMEAN($AH129:CC129/100+1)^12-1)*100)</f>
        <v>---</v>
      </c>
      <c r="M129" s="711" t="str">
        <f t="array" ref="M129">IF(CO129=0,"---",(GEOMEAN($AH129:CO129/100+1)^12-1)*100)</f>
        <v>---</v>
      </c>
      <c r="N129" s="712"/>
      <c r="O129" s="712"/>
      <c r="P129" s="712"/>
      <c r="Q129" s="707"/>
      <c r="R129" s="607"/>
      <c r="S129" s="608"/>
      <c r="T129" s="608"/>
      <c r="U129" s="608"/>
      <c r="V129" s="608"/>
      <c r="W129" s="608"/>
      <c r="X129" s="608"/>
      <c r="Y129" s="608"/>
      <c r="Z129" s="608"/>
      <c r="AA129" s="608"/>
      <c r="AB129" s="608"/>
      <c r="AC129" s="609"/>
      <c r="AD129" s="610"/>
      <c r="AF129" s="502"/>
      <c r="AG129" s="248"/>
      <c r="AH129" s="503"/>
      <c r="AI129" s="503"/>
      <c r="AJ129" s="503"/>
      <c r="AK129" s="503"/>
      <c r="AL129" s="503"/>
      <c r="AM129" s="503"/>
      <c r="AN129" s="503"/>
      <c r="AO129" s="503"/>
      <c r="AP129" s="503"/>
      <c r="AQ129" s="503"/>
      <c r="AR129" s="503"/>
      <c r="AS129" s="503"/>
      <c r="AT129" s="503"/>
      <c r="AU129" s="503"/>
      <c r="AV129" s="503"/>
      <c r="AW129" s="503"/>
      <c r="AX129" s="503"/>
      <c r="AY129" s="503"/>
      <c r="AZ129" s="503"/>
      <c r="BA129" s="503"/>
      <c r="BB129" s="503"/>
      <c r="BC129" s="503"/>
      <c r="BD129" s="503"/>
      <c r="BE129" s="503"/>
      <c r="BF129" s="503"/>
      <c r="BG129" s="503"/>
      <c r="BH129" s="503"/>
      <c r="BI129" s="503"/>
      <c r="BJ129" s="503"/>
      <c r="BK129" s="503"/>
      <c r="BL129" s="503"/>
      <c r="BM129" s="503"/>
      <c r="BN129" s="503"/>
      <c r="BO129" s="503"/>
      <c r="BP129" s="503"/>
      <c r="BQ129" s="503"/>
      <c r="BR129" s="503"/>
      <c r="BS129" s="503"/>
      <c r="BT129" s="503"/>
      <c r="BU129" s="503"/>
      <c r="BV129" s="503"/>
      <c r="BW129" s="503"/>
      <c r="BX129" s="503"/>
      <c r="BY129" s="503"/>
      <c r="BZ129" s="503"/>
      <c r="CA129" s="503"/>
      <c r="CB129" s="503"/>
      <c r="CC129" s="503"/>
      <c r="CD129" s="503"/>
      <c r="CE129" s="503"/>
      <c r="CF129" s="503"/>
      <c r="CG129" s="503"/>
      <c r="CH129" s="503"/>
      <c r="CI129" s="503"/>
      <c r="CJ129" s="503"/>
      <c r="CK129" s="503"/>
      <c r="CL129" s="503"/>
      <c r="CM129" s="503"/>
      <c r="CN129" s="503"/>
      <c r="CO129" s="503"/>
      <c r="CP129" s="503"/>
      <c r="CQ129" s="503"/>
      <c r="CR129" s="503"/>
      <c r="CS129" s="503"/>
      <c r="CT129" s="503"/>
      <c r="CU129" s="503"/>
      <c r="CV129" s="503"/>
      <c r="CW129" s="503"/>
      <c r="CX129" s="503"/>
      <c r="CY129" s="503"/>
      <c r="CZ129" s="503"/>
      <c r="DA129" s="503"/>
      <c r="DB129" s="503"/>
      <c r="DC129" s="503"/>
      <c r="DD129" s="503"/>
      <c r="DE129" s="503"/>
      <c r="DF129" s="503"/>
      <c r="DG129" s="503"/>
      <c r="DH129" s="503"/>
      <c r="DI129" s="503"/>
      <c r="DJ129" s="503"/>
      <c r="DK129" s="503"/>
      <c r="DL129" s="503"/>
      <c r="DM129" s="503"/>
      <c r="DN129" s="503"/>
      <c r="DO129" s="503"/>
      <c r="DP129" s="503"/>
      <c r="DQ129" s="503"/>
      <c r="DR129" s="503"/>
      <c r="DS129" s="503"/>
      <c r="DT129" s="503"/>
      <c r="DU129" s="503"/>
      <c r="DV129" s="503"/>
      <c r="DW129" s="503"/>
      <c r="DX129" s="503"/>
      <c r="DY129" s="503"/>
      <c r="DZ129" s="503"/>
      <c r="EA129" s="503"/>
      <c r="EB129" s="503"/>
      <c r="EC129" s="503"/>
      <c r="ED129" s="503"/>
      <c r="EE129" s="503"/>
      <c r="EF129" s="503"/>
      <c r="EG129" s="503"/>
      <c r="EH129" s="503"/>
      <c r="EI129" s="503"/>
      <c r="EJ129" s="503"/>
      <c r="EK129" s="503"/>
      <c r="EL129" s="503"/>
      <c r="EM129" s="503"/>
      <c r="EN129" s="503"/>
      <c r="EO129" s="503"/>
      <c r="EP129" s="503"/>
      <c r="EQ129" s="503"/>
      <c r="ER129" s="503"/>
      <c r="ES129" s="503"/>
      <c r="ET129" s="503"/>
      <c r="EU129" s="503"/>
      <c r="EV129" s="503"/>
      <c r="EW129" s="503"/>
      <c r="EX129" s="504"/>
      <c r="EY129" s="1066"/>
      <c r="EZ129" s="789"/>
      <c r="FA129" s="789"/>
      <c r="FB129" s="789"/>
      <c r="FC129" s="789"/>
      <c r="FD129" s="789"/>
      <c r="FE129" s="248"/>
      <c r="FF129" s="505"/>
      <c r="FG129" s="505"/>
      <c r="FH129" s="505"/>
      <c r="FI129" s="505"/>
      <c r="FJ129" s="505"/>
      <c r="FK129" s="248"/>
      <c r="FL129" s="248"/>
      <c r="FM129" s="248"/>
    </row>
    <row r="130" spans="1:169" s="15" customFormat="1" ht="12.75" customHeight="1" x14ac:dyDescent="0.2">
      <c r="B130" s="729"/>
      <c r="C130" s="565"/>
      <c r="D130" s="418"/>
      <c r="E130" s="566"/>
      <c r="F130" s="567"/>
      <c r="G130" s="567"/>
      <c r="H130" s="567"/>
      <c r="I130" s="567"/>
      <c r="J130" s="567"/>
      <c r="K130" s="567"/>
      <c r="L130" s="567"/>
      <c r="M130" s="567"/>
      <c r="N130" s="567"/>
      <c r="O130" s="567"/>
      <c r="P130" s="567"/>
      <c r="Q130" s="567"/>
      <c r="R130" s="568"/>
      <c r="S130" s="568"/>
      <c r="T130" s="568"/>
      <c r="U130" s="568"/>
      <c r="V130" s="568"/>
      <c r="W130" s="568"/>
      <c r="X130" s="568"/>
      <c r="Y130" s="568"/>
      <c r="Z130" s="568"/>
      <c r="AA130" s="568"/>
      <c r="AB130" s="568"/>
      <c r="AC130" s="568"/>
      <c r="AD130" s="569"/>
      <c r="AF130" s="476"/>
      <c r="AG130" s="418"/>
      <c r="AH130" s="482"/>
      <c r="AI130" s="482"/>
      <c r="AJ130" s="482"/>
      <c r="AK130" s="482"/>
      <c r="AL130" s="482"/>
      <c r="AM130" s="482"/>
      <c r="AN130" s="482"/>
      <c r="AO130" s="482"/>
      <c r="AP130" s="482"/>
      <c r="AQ130" s="482"/>
      <c r="AR130" s="482"/>
      <c r="AS130" s="482"/>
      <c r="AT130" s="482"/>
      <c r="AU130" s="482"/>
      <c r="AV130" s="482"/>
      <c r="AW130" s="482"/>
      <c r="AX130" s="482"/>
      <c r="AY130" s="482"/>
      <c r="AZ130" s="482"/>
      <c r="BA130" s="482"/>
      <c r="BB130" s="482"/>
      <c r="BC130" s="482"/>
      <c r="BD130" s="482"/>
      <c r="BE130" s="482"/>
      <c r="BF130" s="482"/>
      <c r="BG130" s="482"/>
      <c r="BH130" s="482"/>
      <c r="BI130" s="482"/>
      <c r="BJ130" s="482"/>
      <c r="BK130" s="482"/>
      <c r="BL130" s="482"/>
      <c r="BM130" s="482"/>
      <c r="BN130" s="482"/>
      <c r="BO130" s="482"/>
      <c r="BP130" s="482"/>
      <c r="BQ130" s="482"/>
      <c r="BR130" s="482"/>
      <c r="BS130" s="482"/>
      <c r="BT130" s="482"/>
      <c r="BU130" s="482"/>
      <c r="BV130" s="482"/>
      <c r="BW130" s="482"/>
      <c r="BX130" s="482"/>
      <c r="BY130" s="482"/>
      <c r="BZ130" s="482"/>
      <c r="CA130" s="482"/>
      <c r="CB130" s="482"/>
      <c r="CC130" s="482"/>
      <c r="CD130" s="482"/>
      <c r="CE130" s="482"/>
      <c r="CF130" s="482"/>
      <c r="CG130" s="482"/>
      <c r="CH130" s="482"/>
      <c r="CI130" s="482"/>
      <c r="CJ130" s="482"/>
      <c r="CK130" s="482"/>
      <c r="CL130" s="482"/>
      <c r="CM130" s="482"/>
      <c r="CN130" s="482"/>
      <c r="CO130" s="482"/>
      <c r="CP130" s="482"/>
      <c r="CQ130" s="482"/>
      <c r="CR130" s="482"/>
      <c r="CS130" s="482"/>
      <c r="CT130" s="482"/>
      <c r="CU130" s="482"/>
      <c r="CV130" s="482"/>
      <c r="CW130" s="482"/>
      <c r="CX130" s="482"/>
      <c r="CY130" s="482"/>
      <c r="CZ130" s="482"/>
      <c r="DA130" s="482"/>
      <c r="DB130" s="482"/>
      <c r="DC130" s="482"/>
      <c r="DD130" s="482"/>
      <c r="DE130" s="482"/>
      <c r="DF130" s="482"/>
      <c r="DG130" s="482"/>
      <c r="DH130" s="482"/>
      <c r="DI130" s="482"/>
      <c r="DJ130" s="482"/>
      <c r="DK130" s="482"/>
      <c r="DL130" s="482"/>
      <c r="DM130" s="482"/>
      <c r="DN130" s="482"/>
      <c r="DO130" s="482"/>
      <c r="DP130" s="482"/>
      <c r="DQ130" s="482"/>
      <c r="DR130" s="482"/>
      <c r="DS130" s="482"/>
      <c r="DT130" s="482"/>
      <c r="DU130" s="482"/>
      <c r="DV130" s="482"/>
      <c r="DW130" s="482"/>
      <c r="DX130" s="482"/>
      <c r="DY130" s="482"/>
      <c r="DZ130" s="482"/>
      <c r="EA130" s="482"/>
      <c r="EB130" s="482"/>
      <c r="EC130" s="482"/>
      <c r="ED130" s="482"/>
      <c r="EE130" s="482"/>
      <c r="EF130" s="482"/>
      <c r="EG130" s="482"/>
      <c r="EH130" s="482"/>
      <c r="EI130" s="482"/>
      <c r="EJ130" s="482"/>
      <c r="EK130" s="482"/>
      <c r="EL130" s="482"/>
      <c r="EM130" s="482"/>
      <c r="EN130" s="482"/>
      <c r="EO130" s="482"/>
      <c r="EP130" s="482"/>
      <c r="EQ130" s="482"/>
      <c r="ER130" s="482"/>
      <c r="ES130" s="482"/>
      <c r="ET130" s="482"/>
      <c r="EU130" s="482"/>
      <c r="EV130" s="482"/>
      <c r="EW130" s="482"/>
      <c r="EX130" s="515"/>
      <c r="EY130" s="515"/>
      <c r="EZ130" s="789"/>
      <c r="FA130" s="789"/>
      <c r="FB130" s="789"/>
      <c r="FC130" s="789"/>
      <c r="FD130" s="789"/>
      <c r="FE130" s="418"/>
      <c r="FF130" s="570"/>
      <c r="FG130" s="570"/>
      <c r="FH130" s="570"/>
      <c r="FI130" s="570"/>
      <c r="FJ130" s="570"/>
      <c r="FK130" s="418"/>
      <c r="FL130" s="418"/>
      <c r="FM130" s="418"/>
    </row>
    <row r="131" spans="1:169" s="15" customFormat="1" ht="12.75" customHeight="1" x14ac:dyDescent="0.2">
      <c r="A131" s="1259" t="s">
        <v>385</v>
      </c>
      <c r="B131" s="412"/>
      <c r="C131" s="565"/>
      <c r="D131" s="418"/>
      <c r="E131" s="566"/>
      <c r="F131" s="567"/>
      <c r="G131" s="567"/>
      <c r="H131" s="567"/>
      <c r="I131" s="567"/>
      <c r="J131" s="567"/>
      <c r="K131" s="567"/>
      <c r="L131" s="567"/>
      <c r="M131" s="567"/>
      <c r="N131" s="567"/>
      <c r="O131" s="567"/>
      <c r="P131" s="567"/>
      <c r="Q131" s="567"/>
      <c r="R131" s="568"/>
      <c r="S131" s="568"/>
      <c r="T131" s="568"/>
      <c r="U131" s="568"/>
      <c r="V131" s="568"/>
      <c r="W131" s="568"/>
      <c r="X131" s="568"/>
      <c r="Y131" s="568"/>
      <c r="Z131" s="568"/>
      <c r="AA131" s="568"/>
      <c r="AB131" s="568"/>
      <c r="AC131" s="568"/>
      <c r="AD131" s="569"/>
      <c r="AE131" s="1315" t="s">
        <v>673</v>
      </c>
      <c r="AF131" s="1316"/>
      <c r="AG131" s="418"/>
      <c r="AH131" s="482"/>
      <c r="AI131" s="482"/>
      <c r="AJ131" s="482"/>
      <c r="AK131" s="482"/>
      <c r="AL131" s="482"/>
      <c r="AM131" s="482"/>
      <c r="AN131" s="482"/>
      <c r="AO131" s="482"/>
      <c r="AP131" s="482"/>
      <c r="AQ131" s="482"/>
      <c r="AR131" s="482"/>
      <c r="AS131" s="482"/>
      <c r="AT131" s="482"/>
      <c r="AU131" s="482"/>
      <c r="AV131" s="482"/>
      <c r="AW131" s="482"/>
      <c r="AX131" s="482"/>
      <c r="AY131" s="482"/>
      <c r="AZ131" s="482"/>
      <c r="BA131" s="482"/>
      <c r="BB131" s="482"/>
      <c r="BC131" s="482"/>
      <c r="BD131" s="482"/>
      <c r="BE131" s="482"/>
      <c r="BF131" s="482"/>
      <c r="BG131" s="482"/>
      <c r="BH131" s="482"/>
      <c r="BI131" s="482"/>
      <c r="BJ131" s="482"/>
      <c r="BK131" s="482"/>
      <c r="BL131" s="482"/>
      <c r="BM131" s="482"/>
      <c r="BN131" s="482"/>
      <c r="BO131" s="482"/>
      <c r="BP131" s="482"/>
      <c r="BQ131" s="482"/>
      <c r="BR131" s="482"/>
      <c r="BS131" s="482"/>
      <c r="BT131" s="482"/>
      <c r="BU131" s="482"/>
      <c r="BV131" s="482"/>
      <c r="BW131" s="482"/>
      <c r="BX131" s="482"/>
      <c r="BY131" s="482"/>
      <c r="BZ131" s="482"/>
      <c r="CA131" s="482"/>
      <c r="CB131" s="482"/>
      <c r="CC131" s="482"/>
      <c r="CD131" s="482"/>
      <c r="CE131" s="482"/>
      <c r="CF131" s="482"/>
      <c r="CG131" s="482"/>
      <c r="CH131" s="482"/>
      <c r="CI131" s="482"/>
      <c r="CJ131" s="482"/>
      <c r="CK131" s="482"/>
      <c r="CL131" s="482"/>
      <c r="CM131" s="482"/>
      <c r="CN131" s="482"/>
      <c r="CO131" s="482"/>
      <c r="CP131" s="482"/>
      <c r="CQ131" s="482"/>
      <c r="CR131" s="482"/>
      <c r="CS131" s="482"/>
      <c r="CT131" s="482"/>
      <c r="CU131" s="482"/>
      <c r="CV131" s="482"/>
      <c r="CW131" s="482"/>
      <c r="CX131" s="482"/>
      <c r="CY131" s="482"/>
      <c r="CZ131" s="482"/>
      <c r="DA131" s="482"/>
      <c r="DB131" s="482"/>
      <c r="DC131" s="482"/>
      <c r="DD131" s="482"/>
      <c r="DE131" s="482"/>
      <c r="DF131" s="482"/>
      <c r="DG131" s="482"/>
      <c r="DH131" s="482"/>
      <c r="DI131" s="482"/>
      <c r="DJ131" s="482"/>
      <c r="DK131" s="482"/>
      <c r="DL131" s="482"/>
      <c r="DM131" s="482"/>
      <c r="DN131" s="482"/>
      <c r="DO131" s="482"/>
      <c r="DP131" s="482"/>
      <c r="DQ131" s="482"/>
      <c r="DR131" s="482"/>
      <c r="DS131" s="482"/>
      <c r="DT131" s="482"/>
      <c r="DU131" s="482"/>
      <c r="DV131" s="482"/>
      <c r="DW131" s="482"/>
      <c r="DX131" s="482"/>
      <c r="DY131" s="482"/>
      <c r="DZ131" s="482"/>
      <c r="EA131" s="482"/>
      <c r="EB131" s="482"/>
      <c r="EC131" s="482"/>
      <c r="ED131" s="482"/>
      <c r="EE131" s="482"/>
      <c r="EF131" s="482"/>
      <c r="EG131" s="482"/>
      <c r="EH131" s="482"/>
      <c r="EI131" s="482"/>
      <c r="EJ131" s="482"/>
      <c r="EK131" s="482"/>
      <c r="EL131" s="482"/>
      <c r="EM131" s="482"/>
      <c r="EN131" s="482"/>
      <c r="EO131" s="482"/>
      <c r="EP131" s="482"/>
      <c r="EQ131" s="482"/>
      <c r="ER131" s="482"/>
      <c r="ES131" s="482"/>
      <c r="ET131" s="482"/>
      <c r="EU131" s="482"/>
      <c r="EV131" s="482"/>
      <c r="EW131" s="482"/>
      <c r="EX131" s="515"/>
      <c r="EY131" s="515"/>
      <c r="EZ131" s="789"/>
      <c r="FA131" s="789"/>
      <c r="FB131" s="789"/>
      <c r="FC131" s="789"/>
      <c r="FD131" s="789"/>
      <c r="FE131" s="418"/>
      <c r="FF131" s="570"/>
      <c r="FG131" s="570"/>
      <c r="FH131" s="570"/>
      <c r="FI131" s="570"/>
      <c r="FJ131" s="570"/>
      <c r="FK131" s="418"/>
      <c r="FL131" s="418"/>
      <c r="FM131" s="418"/>
    </row>
    <row r="132" spans="1:169" s="15" customFormat="1" ht="12.75" customHeight="1" x14ac:dyDescent="0.2">
      <c r="A132" s="12" t="s">
        <v>679</v>
      </c>
      <c r="B132" s="207"/>
      <c r="C132" s="565"/>
      <c r="D132" s="418"/>
      <c r="E132" s="566"/>
      <c r="F132" s="567"/>
      <c r="G132" s="567"/>
      <c r="H132" s="567"/>
      <c r="I132" s="567"/>
      <c r="J132" s="567"/>
      <c r="K132" s="567"/>
      <c r="L132" s="567"/>
      <c r="M132" s="567"/>
      <c r="N132" s="567"/>
      <c r="O132" s="567"/>
      <c r="P132" s="567"/>
      <c r="Q132" s="567"/>
      <c r="R132" s="568"/>
      <c r="S132" s="568"/>
      <c r="T132" s="568"/>
      <c r="U132" s="568"/>
      <c r="V132" s="568"/>
      <c r="W132" s="568"/>
      <c r="X132" s="568"/>
      <c r="Y132" s="568"/>
      <c r="Z132" s="568"/>
      <c r="AA132" s="568"/>
      <c r="AB132" s="568"/>
      <c r="AC132" s="568"/>
      <c r="AD132" s="569"/>
      <c r="AF132" s="476"/>
      <c r="AG132" s="418"/>
      <c r="AH132" s="482"/>
      <c r="AI132" s="482"/>
      <c r="AJ132" s="482"/>
      <c r="AK132" s="482"/>
      <c r="AL132" s="482"/>
      <c r="AM132" s="482"/>
      <c r="AN132" s="482"/>
      <c r="AO132" s="482"/>
      <c r="AP132" s="482"/>
      <c r="AQ132" s="482"/>
      <c r="AR132" s="482"/>
      <c r="AS132" s="482"/>
      <c r="AT132" s="482"/>
      <c r="AU132" s="482"/>
      <c r="AV132" s="482"/>
      <c r="AW132" s="482"/>
      <c r="AX132" s="482"/>
      <c r="AY132" s="482"/>
      <c r="AZ132" s="482"/>
      <c r="BA132" s="482"/>
      <c r="BB132" s="482"/>
      <c r="BC132" s="482"/>
      <c r="BD132" s="482"/>
      <c r="BE132" s="482"/>
      <c r="BF132" s="482"/>
      <c r="BG132" s="482"/>
      <c r="BH132" s="482"/>
      <c r="BI132" s="482"/>
      <c r="BJ132" s="482"/>
      <c r="BK132" s="482"/>
      <c r="BL132" s="482"/>
      <c r="BM132" s="482"/>
      <c r="BN132" s="482"/>
      <c r="BO132" s="482"/>
      <c r="BP132" s="482"/>
      <c r="BQ132" s="482"/>
      <c r="BR132" s="482"/>
      <c r="BS132" s="482"/>
      <c r="BT132" s="482"/>
      <c r="BU132" s="482"/>
      <c r="BV132" s="482"/>
      <c r="BW132" s="482"/>
      <c r="BX132" s="482"/>
      <c r="BY132" s="482"/>
      <c r="BZ132" s="482"/>
      <c r="CA132" s="482"/>
      <c r="CB132" s="482"/>
      <c r="CC132" s="482"/>
      <c r="CD132" s="482"/>
      <c r="CE132" s="482"/>
      <c r="CF132" s="482"/>
      <c r="CG132" s="482"/>
      <c r="CH132" s="482"/>
      <c r="CI132" s="482"/>
      <c r="CJ132" s="482"/>
      <c r="CK132" s="482"/>
      <c r="CL132" s="482"/>
      <c r="CM132" s="482"/>
      <c r="CN132" s="482"/>
      <c r="CO132" s="482"/>
      <c r="CP132" s="482"/>
      <c r="CQ132" s="482"/>
      <c r="CR132" s="482"/>
      <c r="CS132" s="482"/>
      <c r="CT132" s="482"/>
      <c r="CU132" s="482"/>
      <c r="CV132" s="482"/>
      <c r="CW132" s="482"/>
      <c r="CX132" s="482"/>
      <c r="CY132" s="482"/>
      <c r="CZ132" s="482"/>
      <c r="DA132" s="482"/>
      <c r="DB132" s="482"/>
      <c r="DC132" s="482"/>
      <c r="DD132" s="482"/>
      <c r="DE132" s="482"/>
      <c r="DF132" s="482"/>
      <c r="DG132" s="482"/>
      <c r="DH132" s="482"/>
      <c r="DI132" s="482"/>
      <c r="DJ132" s="482"/>
      <c r="DK132" s="482"/>
      <c r="DL132" s="482"/>
      <c r="DM132" s="482"/>
      <c r="DN132" s="482"/>
      <c r="DO132" s="482"/>
      <c r="DP132" s="482"/>
      <c r="DQ132" s="482"/>
      <c r="DR132" s="482"/>
      <c r="DS132" s="482"/>
      <c r="DT132" s="482"/>
      <c r="DU132" s="482"/>
      <c r="DV132" s="482"/>
      <c r="DW132" s="482"/>
      <c r="DX132" s="482"/>
      <c r="DY132" s="482"/>
      <c r="DZ132" s="482"/>
      <c r="EA132" s="482"/>
      <c r="EB132" s="482"/>
      <c r="EC132" s="482"/>
      <c r="ED132" s="482"/>
      <c r="EE132" s="482"/>
      <c r="EF132" s="482"/>
      <c r="EG132" s="482"/>
      <c r="EH132" s="482"/>
      <c r="EI132" s="482"/>
      <c r="EJ132" s="482"/>
      <c r="EK132" s="482"/>
      <c r="EL132" s="482"/>
      <c r="EM132" s="482"/>
      <c r="EN132" s="482"/>
      <c r="EO132" s="482"/>
      <c r="EP132" s="482"/>
      <c r="EQ132" s="482"/>
      <c r="ER132" s="482"/>
      <c r="ES132" s="482"/>
      <c r="ET132" s="482"/>
      <c r="EU132" s="482"/>
      <c r="EV132" s="482"/>
      <c r="EW132" s="482"/>
      <c r="EX132" s="515"/>
      <c r="EY132" s="515"/>
      <c r="EZ132" s="789"/>
      <c r="FA132" s="789"/>
      <c r="FB132" s="789"/>
      <c r="FC132" s="789"/>
      <c r="FD132" s="789"/>
      <c r="FE132" s="418"/>
      <c r="FF132" s="570"/>
      <c r="FG132" s="570"/>
      <c r="FH132" s="570"/>
      <c r="FI132" s="570"/>
      <c r="FJ132" s="570"/>
      <c r="FK132" s="418"/>
      <c r="FL132" s="418"/>
      <c r="FM132" s="418"/>
    </row>
    <row r="133" spans="1:169" s="15" customFormat="1" ht="12.75" customHeight="1" x14ac:dyDescent="0.2">
      <c r="A133" s="12" t="s">
        <v>694</v>
      </c>
      <c r="B133" s="207"/>
      <c r="C133" s="565"/>
      <c r="D133" s="418"/>
      <c r="E133" s="566"/>
      <c r="F133" s="567"/>
      <c r="G133" s="567"/>
      <c r="H133" s="567"/>
      <c r="I133" s="567"/>
      <c r="J133" s="567"/>
      <c r="K133" s="567"/>
      <c r="L133" s="567"/>
      <c r="M133" s="567"/>
      <c r="N133" s="567"/>
      <c r="O133" s="567"/>
      <c r="P133" s="567"/>
      <c r="Q133" s="567"/>
      <c r="R133" s="568"/>
      <c r="S133" s="568"/>
      <c r="T133" s="568"/>
      <c r="U133" s="568"/>
      <c r="V133" s="568"/>
      <c r="W133" s="568"/>
      <c r="X133" s="568"/>
      <c r="Y133" s="568"/>
      <c r="Z133" s="568"/>
      <c r="AA133" s="568"/>
      <c r="AB133" s="568"/>
      <c r="AC133" s="568"/>
      <c r="AD133" s="569"/>
      <c r="AF133" s="476"/>
      <c r="AG133" s="418"/>
      <c r="AH133" s="482"/>
      <c r="AI133" s="482"/>
      <c r="AJ133" s="482"/>
      <c r="AK133" s="482"/>
      <c r="AL133" s="482"/>
      <c r="AM133" s="482"/>
      <c r="AN133" s="482"/>
      <c r="AO133" s="482"/>
      <c r="AP133" s="482"/>
      <c r="AQ133" s="482"/>
      <c r="AR133" s="482"/>
      <c r="AS133" s="482"/>
      <c r="AT133" s="482"/>
      <c r="AU133" s="482"/>
      <c r="AV133" s="482"/>
      <c r="AW133" s="482"/>
      <c r="AX133" s="482"/>
      <c r="AY133" s="482"/>
      <c r="AZ133" s="482"/>
      <c r="BA133" s="482"/>
      <c r="BB133" s="482"/>
      <c r="BC133" s="482"/>
      <c r="BD133" s="482"/>
      <c r="BE133" s="482"/>
      <c r="BF133" s="482"/>
      <c r="BG133" s="482"/>
      <c r="BH133" s="482"/>
      <c r="BI133" s="482"/>
      <c r="BJ133" s="482"/>
      <c r="BK133" s="482"/>
      <c r="BL133" s="482"/>
      <c r="BM133" s="482"/>
      <c r="BN133" s="482"/>
      <c r="BO133" s="482"/>
      <c r="BP133" s="482"/>
      <c r="BQ133" s="482"/>
      <c r="BR133" s="482"/>
      <c r="BS133" s="482"/>
      <c r="BT133" s="482"/>
      <c r="BU133" s="482"/>
      <c r="BV133" s="482"/>
      <c r="BW133" s="482"/>
      <c r="BX133" s="482"/>
      <c r="BY133" s="482"/>
      <c r="BZ133" s="482"/>
      <c r="CA133" s="482"/>
      <c r="CB133" s="482"/>
      <c r="CC133" s="482"/>
      <c r="CD133" s="482"/>
      <c r="CE133" s="482"/>
      <c r="CF133" s="482"/>
      <c r="CG133" s="482"/>
      <c r="CH133" s="482"/>
      <c r="CI133" s="482"/>
      <c r="CJ133" s="482"/>
      <c r="CK133" s="482"/>
      <c r="CL133" s="482"/>
      <c r="CM133" s="482"/>
      <c r="CN133" s="482"/>
      <c r="CO133" s="482"/>
      <c r="CP133" s="482"/>
      <c r="CQ133" s="482"/>
      <c r="CR133" s="482"/>
      <c r="CS133" s="482"/>
      <c r="CT133" s="482"/>
      <c r="CU133" s="482"/>
      <c r="CV133" s="482"/>
      <c r="CW133" s="482"/>
      <c r="CX133" s="482"/>
      <c r="CY133" s="482"/>
      <c r="CZ133" s="482"/>
      <c r="DA133" s="482"/>
      <c r="DB133" s="482"/>
      <c r="DC133" s="482"/>
      <c r="DD133" s="482"/>
      <c r="DE133" s="482"/>
      <c r="DF133" s="482"/>
      <c r="DG133" s="482"/>
      <c r="DH133" s="482"/>
      <c r="DI133" s="482"/>
      <c r="DJ133" s="482"/>
      <c r="DK133" s="482"/>
      <c r="DL133" s="482"/>
      <c r="DM133" s="482"/>
      <c r="DN133" s="482"/>
      <c r="DO133" s="482"/>
      <c r="DP133" s="482"/>
      <c r="DQ133" s="482"/>
      <c r="DR133" s="482"/>
      <c r="DS133" s="482"/>
      <c r="DT133" s="482"/>
      <c r="DU133" s="482"/>
      <c r="DV133" s="482"/>
      <c r="DW133" s="482"/>
      <c r="DX133" s="482"/>
      <c r="DY133" s="482"/>
      <c r="DZ133" s="482"/>
      <c r="EA133" s="482"/>
      <c r="EB133" s="482"/>
      <c r="EC133" s="482"/>
      <c r="ED133" s="482"/>
      <c r="EE133" s="482"/>
      <c r="EF133" s="482"/>
      <c r="EG133" s="482"/>
      <c r="EH133" s="482"/>
      <c r="EI133" s="482"/>
      <c r="EJ133" s="482"/>
      <c r="EK133" s="482"/>
      <c r="EL133" s="482"/>
      <c r="EM133" s="482"/>
      <c r="EN133" s="482"/>
      <c r="EO133" s="482"/>
      <c r="EP133" s="482"/>
      <c r="EQ133" s="482"/>
      <c r="ER133" s="482"/>
      <c r="ES133" s="482"/>
      <c r="ET133" s="482"/>
      <c r="EU133" s="482"/>
      <c r="EV133" s="482"/>
      <c r="EW133" s="482"/>
      <c r="EX133" s="515"/>
      <c r="EY133" s="515"/>
      <c r="EZ133" s="789"/>
      <c r="FA133" s="789"/>
      <c r="FB133" s="789"/>
      <c r="FC133" s="789"/>
      <c r="FD133" s="789"/>
      <c r="FE133" s="418"/>
      <c r="FF133" s="570"/>
      <c r="FG133" s="570"/>
      <c r="FH133" s="570"/>
      <c r="FI133" s="570"/>
      <c r="FJ133" s="570"/>
      <c r="FK133" s="418"/>
      <c r="FL133" s="418"/>
      <c r="FM133" s="418"/>
    </row>
    <row r="134" spans="1:169" s="15" customFormat="1" ht="12.75" customHeight="1" x14ac:dyDescent="0.2">
      <c r="A134" s="12" t="s">
        <v>695</v>
      </c>
      <c r="B134" s="207"/>
      <c r="C134" s="565"/>
      <c r="D134" s="418"/>
      <c r="E134" s="566"/>
      <c r="F134" s="567"/>
      <c r="G134" s="567"/>
      <c r="H134" s="567"/>
      <c r="I134" s="567"/>
      <c r="J134" s="567"/>
      <c r="K134" s="567"/>
      <c r="L134" s="567"/>
      <c r="M134" s="567"/>
      <c r="N134" s="567"/>
      <c r="O134" s="567"/>
      <c r="P134" s="567"/>
      <c r="Q134" s="567"/>
      <c r="R134" s="568"/>
      <c r="S134" s="568"/>
      <c r="T134" s="568"/>
      <c r="U134" s="568"/>
      <c r="V134" s="568"/>
      <c r="W134" s="568"/>
      <c r="X134" s="568"/>
      <c r="Y134" s="568"/>
      <c r="Z134" s="568"/>
      <c r="AA134" s="568"/>
      <c r="AB134" s="568"/>
      <c r="AC134" s="568"/>
      <c r="AD134" s="569"/>
      <c r="AF134" s="476"/>
      <c r="AG134" s="418"/>
      <c r="AH134" s="482"/>
      <c r="AI134" s="482"/>
      <c r="AJ134" s="482"/>
      <c r="AK134" s="482"/>
      <c r="AL134" s="482"/>
      <c r="AM134" s="482"/>
      <c r="AN134" s="482"/>
      <c r="AO134" s="482"/>
      <c r="AP134" s="482"/>
      <c r="AQ134" s="482"/>
      <c r="AR134" s="482"/>
      <c r="AS134" s="482"/>
      <c r="AT134" s="482"/>
      <c r="AU134" s="482"/>
      <c r="AV134" s="482"/>
      <c r="AW134" s="482"/>
      <c r="AX134" s="482"/>
      <c r="AY134" s="482"/>
      <c r="AZ134" s="482"/>
      <c r="BA134" s="482"/>
      <c r="BB134" s="482"/>
      <c r="BC134" s="482"/>
      <c r="BD134" s="482"/>
      <c r="BE134" s="482"/>
      <c r="BF134" s="482"/>
      <c r="BG134" s="482"/>
      <c r="BH134" s="482"/>
      <c r="BI134" s="482"/>
      <c r="BJ134" s="482"/>
      <c r="BK134" s="482"/>
      <c r="BL134" s="482"/>
      <c r="BM134" s="482"/>
      <c r="BN134" s="482"/>
      <c r="BO134" s="482"/>
      <c r="BP134" s="482"/>
      <c r="BQ134" s="482"/>
      <c r="BR134" s="482"/>
      <c r="BS134" s="482"/>
      <c r="BT134" s="482"/>
      <c r="BU134" s="482"/>
      <c r="BV134" s="482"/>
      <c r="BW134" s="482"/>
      <c r="BX134" s="482"/>
      <c r="BY134" s="482"/>
      <c r="BZ134" s="482"/>
      <c r="CA134" s="482"/>
      <c r="CB134" s="482"/>
      <c r="CC134" s="482"/>
      <c r="CD134" s="482"/>
      <c r="CE134" s="482"/>
      <c r="CF134" s="482"/>
      <c r="CG134" s="482"/>
      <c r="CH134" s="482"/>
      <c r="CI134" s="482"/>
      <c r="CJ134" s="482"/>
      <c r="CK134" s="482"/>
      <c r="CL134" s="482"/>
      <c r="CM134" s="482"/>
      <c r="CN134" s="482"/>
      <c r="CO134" s="482"/>
      <c r="CP134" s="482"/>
      <c r="CQ134" s="482"/>
      <c r="CR134" s="482"/>
      <c r="CS134" s="482"/>
      <c r="CT134" s="482"/>
      <c r="CU134" s="482"/>
      <c r="CV134" s="482"/>
      <c r="CW134" s="482"/>
      <c r="CX134" s="482"/>
      <c r="CY134" s="482"/>
      <c r="CZ134" s="482"/>
      <c r="DA134" s="482"/>
      <c r="DB134" s="482"/>
      <c r="DC134" s="482"/>
      <c r="DD134" s="482"/>
      <c r="DE134" s="482"/>
      <c r="DF134" s="482"/>
      <c r="DG134" s="482"/>
      <c r="DH134" s="482"/>
      <c r="DI134" s="482"/>
      <c r="DJ134" s="482"/>
      <c r="DK134" s="482"/>
      <c r="DL134" s="482"/>
      <c r="DM134" s="482"/>
      <c r="DN134" s="482"/>
      <c r="DO134" s="482"/>
      <c r="DP134" s="482"/>
      <c r="DQ134" s="482"/>
      <c r="DR134" s="482"/>
      <c r="DS134" s="482"/>
      <c r="DT134" s="482"/>
      <c r="DU134" s="482"/>
      <c r="DV134" s="482"/>
      <c r="DW134" s="482"/>
      <c r="DX134" s="482"/>
      <c r="DY134" s="482"/>
      <c r="DZ134" s="482"/>
      <c r="EA134" s="482"/>
      <c r="EB134" s="482"/>
      <c r="EC134" s="482"/>
      <c r="ED134" s="482"/>
      <c r="EE134" s="482"/>
      <c r="EF134" s="482"/>
      <c r="EG134" s="482"/>
      <c r="EH134" s="482"/>
      <c r="EI134" s="482"/>
      <c r="EJ134" s="482"/>
      <c r="EK134" s="482"/>
      <c r="EL134" s="482"/>
      <c r="EM134" s="482"/>
      <c r="EN134" s="482"/>
      <c r="EO134" s="482"/>
      <c r="EP134" s="482"/>
      <c r="EQ134" s="482"/>
      <c r="ER134" s="482"/>
      <c r="ES134" s="482"/>
      <c r="ET134" s="482"/>
      <c r="EU134" s="482"/>
      <c r="EV134" s="482"/>
      <c r="EW134" s="482"/>
      <c r="EX134" s="515"/>
      <c r="EY134" s="515"/>
      <c r="EZ134" s="789"/>
      <c r="FA134" s="789"/>
      <c r="FB134" s="789"/>
      <c r="FC134" s="789"/>
      <c r="FD134" s="789"/>
      <c r="FE134" s="418"/>
      <c r="FF134" s="570"/>
      <c r="FG134" s="570"/>
      <c r="FH134" s="570"/>
      <c r="FI134" s="570"/>
      <c r="FJ134" s="570"/>
      <c r="FK134" s="418"/>
      <c r="FL134" s="418"/>
      <c r="FM134" s="418"/>
    </row>
    <row r="135" spans="1:169" s="395" customFormat="1" x14ac:dyDescent="0.2">
      <c r="A135" s="699"/>
      <c r="B135" s="15"/>
      <c r="C135" s="15"/>
      <c r="D135" s="15"/>
      <c r="E135" s="15"/>
      <c r="F135" s="15"/>
      <c r="G135" s="15"/>
      <c r="H135" s="15"/>
      <c r="I135" s="15"/>
      <c r="J135" s="15"/>
      <c r="K135" s="15"/>
      <c r="L135" s="15"/>
      <c r="M135" s="15"/>
      <c r="N135" s="15"/>
      <c r="O135" s="15"/>
      <c r="P135" s="15"/>
      <c r="Q135" s="15"/>
      <c r="R135" s="9"/>
      <c r="S135" s="9"/>
      <c r="T135" s="9"/>
      <c r="U135" s="9"/>
      <c r="V135" s="9"/>
      <c r="W135" s="9"/>
      <c r="X135" s="9"/>
      <c r="Y135" s="9"/>
      <c r="Z135" s="489"/>
      <c r="AA135" s="489"/>
      <c r="AB135" s="489"/>
      <c r="AC135" s="489"/>
      <c r="AF135" s="442"/>
      <c r="AG135" s="382"/>
      <c r="EX135" s="393"/>
      <c r="EY135" s="393"/>
      <c r="EZ135" s="789"/>
      <c r="FA135" s="789"/>
      <c r="FB135" s="789"/>
      <c r="FC135" s="789"/>
      <c r="FD135" s="789"/>
      <c r="FE135" s="382"/>
      <c r="FF135" s="382"/>
      <c r="FG135" s="382"/>
      <c r="FH135" s="382"/>
      <c r="FI135" s="382"/>
      <c r="FJ135" s="382"/>
      <c r="FK135" s="382"/>
      <c r="FL135" s="382"/>
      <c r="FM135" s="382"/>
    </row>
    <row r="136" spans="1:169" s="395" customFormat="1" hidden="1" outlineLevel="1" x14ac:dyDescent="0.2">
      <c r="A136" s="535" t="s">
        <v>261</v>
      </c>
      <c r="B136" s="535"/>
      <c r="C136" s="501"/>
      <c r="D136" s="501"/>
      <c r="E136" s="535"/>
      <c r="F136" s="790">
        <f>AH136</f>
        <v>4.06792</v>
      </c>
      <c r="G136" s="790">
        <f t="array" ref="G136">IF($AH136=0,"---",(PRODUCT($AH136:AJ136/100+1)-1)*100)</f>
        <v>3.8363919619443188</v>
      </c>
      <c r="H136" s="790">
        <f t="array" ref="H136">IF($AR136=0,"---",(PRODUCT(AN136:$AR136/100+1)-1)*100)</f>
        <v>8.7873693706305609</v>
      </c>
      <c r="I136" s="790">
        <f t="array" ref="I136">IF(AS136=0,"---",(GEOMEAN($AH136:AS136/100+1)^12-1)*100)</f>
        <v>19.824102888510708</v>
      </c>
      <c r="J136" s="790">
        <f t="array" ref="J136">IF(BE136=0,"---",(GEOMEAN($AH136:BE136/100+1)^12-1)*100)</f>
        <v>16.678376266600981</v>
      </c>
      <c r="K136" s="790" t="str">
        <f t="array" ref="K136">IF(BQ136=0,"---",(GEOMEAN($AH136:BQ136/100+1)^12-1)*100)</f>
        <v>---</v>
      </c>
      <c r="L136" s="790" t="str">
        <f t="array" ref="L136">IF(CC136=0,"---",(GEOMEAN($AH136:CC136/100+1)^12-1)*100)</f>
        <v>---</v>
      </c>
      <c r="M136" s="790" t="str">
        <f t="array" ref="M136">IF(CO136=0,"---",(GEOMEAN($AH136:CO136/100+1)^12-1)*100)</f>
        <v>---</v>
      </c>
      <c r="N136" s="790" t="str">
        <f t="array" ref="N136">IF(DM136=0,"---",(GEOMEAN($AH136:DM136/100+1)^12-1)*100)</f>
        <v>---</v>
      </c>
      <c r="O136" s="790" t="str">
        <f t="array" ref="O136">IF(EK136=0,"---",(GEOMEAN($AH136:EK136/100+1)^12-1)*100)</f>
        <v>---</v>
      </c>
      <c r="P136" s="790" t="str">
        <f t="array" ref="P136">IF(EW136=0,"---",(GEOMEAN($AH136:EW136/100+1)^12-1)*100)</f>
        <v>---</v>
      </c>
      <c r="Q136" s="790">
        <f t="array" ref="Q136">(GEOMEAN(Index_Returns!BD3:BD$417/100+1)^12-1)*100</f>
        <v>9.5723544634144453</v>
      </c>
      <c r="R136" s="791"/>
      <c r="S136" s="1318"/>
      <c r="T136" s="9"/>
      <c r="U136" s="9"/>
      <c r="V136" s="9"/>
      <c r="W136" s="9"/>
      <c r="X136" s="9"/>
      <c r="Y136" s="9"/>
      <c r="Z136" s="249"/>
      <c r="AA136" s="490"/>
      <c r="AB136" s="490"/>
      <c r="AC136" s="9"/>
      <c r="AF136" s="442"/>
      <c r="AG136" s="382"/>
      <c r="AH136" s="439">
        <f>VLOOKUP(AH$8,Index_Returns!$A1:AV488,44,FALSE)</f>
        <v>4.06792</v>
      </c>
      <c r="AI136" s="439">
        <f t="shared" ref="AI136:BM136" si="127">VLOOKUP(AI$8,Index,44,FALSE)</f>
        <v>-1.5151699999999999</v>
      </c>
      <c r="AJ136" s="439">
        <f t="shared" si="127"/>
        <v>1.3125800000000001</v>
      </c>
      <c r="AK136" s="439">
        <f t="shared" si="127"/>
        <v>1.15802</v>
      </c>
      <c r="AL136" s="439">
        <f t="shared" si="127"/>
        <v>1.39499</v>
      </c>
      <c r="AM136" s="439">
        <f t="shared" si="127"/>
        <v>0.83030000000000004</v>
      </c>
      <c r="AN136" s="439">
        <f t="shared" si="127"/>
        <v>4.3633199999999999</v>
      </c>
      <c r="AO136" s="439">
        <f t="shared" si="127"/>
        <v>-3.0002499999999999</v>
      </c>
      <c r="AP136" s="439">
        <f t="shared" si="127"/>
        <v>1.2575400000000001</v>
      </c>
      <c r="AQ136" s="439">
        <f t="shared" si="127"/>
        <v>1.3397399999999999</v>
      </c>
      <c r="AR136" s="439">
        <f t="shared" si="127"/>
        <v>4.7255900000000004</v>
      </c>
      <c r="AS136" s="439">
        <f t="shared" si="127"/>
        <v>2.5671400000000002</v>
      </c>
      <c r="AT136" s="439">
        <f t="shared" si="127"/>
        <v>-3.2242600000000001</v>
      </c>
      <c r="AU136" s="439">
        <f t="shared" si="127"/>
        <v>3.6480800000000002</v>
      </c>
      <c r="AV136" s="439">
        <f t="shared" si="127"/>
        <v>-0.32579999999999998</v>
      </c>
      <c r="AW136" s="439">
        <f t="shared" si="127"/>
        <v>-2.4409900000000002</v>
      </c>
      <c r="AX136" s="439">
        <f t="shared" si="127"/>
        <v>2.73516</v>
      </c>
      <c r="AY136" s="439">
        <f t="shared" si="127"/>
        <v>5.1235499999999998</v>
      </c>
      <c r="AZ136" s="439">
        <f t="shared" si="127"/>
        <v>2.7071800000000001</v>
      </c>
      <c r="BA136" s="439">
        <f t="shared" si="127"/>
        <v>5.09314</v>
      </c>
      <c r="BB136" s="439">
        <f t="shared" si="127"/>
        <v>-0.81291999999999998</v>
      </c>
      <c r="BC136" s="439">
        <f t="shared" si="127"/>
        <v>0.19450999999999999</v>
      </c>
      <c r="BD136" s="439">
        <f t="shared" si="127"/>
        <v>-0.98357000000000006</v>
      </c>
      <c r="BE136" s="439">
        <f t="shared" si="127"/>
        <v>1.5448900000000001</v>
      </c>
      <c r="BF136" s="439">
        <f t="shared" si="127"/>
        <v>-5.176E-2</v>
      </c>
      <c r="BG136" s="439">
        <f t="shared" si="127"/>
        <v>0</v>
      </c>
      <c r="BH136" s="439">
        <f t="shared" si="127"/>
        <v>0</v>
      </c>
      <c r="BI136" s="439">
        <f t="shared" si="127"/>
        <v>0</v>
      </c>
      <c r="BJ136" s="439">
        <f t="shared" si="127"/>
        <v>0</v>
      </c>
      <c r="BK136" s="439">
        <f t="shared" si="127"/>
        <v>0</v>
      </c>
      <c r="BL136" s="439">
        <f t="shared" si="127"/>
        <v>0</v>
      </c>
      <c r="BM136" s="439">
        <f t="shared" si="127"/>
        <v>0</v>
      </c>
      <c r="BN136" s="439">
        <f t="shared" ref="BN136:CS136" si="128">VLOOKUP(BN$8,Index,44,FALSE)</f>
        <v>0</v>
      </c>
      <c r="BO136" s="439">
        <f t="shared" si="128"/>
        <v>0</v>
      </c>
      <c r="BP136" s="439">
        <f t="shared" si="128"/>
        <v>0</v>
      </c>
      <c r="BQ136" s="439">
        <f t="shared" si="128"/>
        <v>0</v>
      </c>
      <c r="BR136" s="439">
        <f t="shared" si="128"/>
        <v>0</v>
      </c>
      <c r="BS136" s="439">
        <f t="shared" si="128"/>
        <v>0</v>
      </c>
      <c r="BT136" s="439">
        <f t="shared" si="128"/>
        <v>0</v>
      </c>
      <c r="BU136" s="439">
        <f t="shared" si="128"/>
        <v>0</v>
      </c>
      <c r="BV136" s="439">
        <f t="shared" si="128"/>
        <v>0</v>
      </c>
      <c r="BW136" s="439">
        <f t="shared" si="128"/>
        <v>0</v>
      </c>
      <c r="BX136" s="439">
        <f t="shared" si="128"/>
        <v>0</v>
      </c>
      <c r="BY136" s="439">
        <f t="shared" si="128"/>
        <v>0</v>
      </c>
      <c r="BZ136" s="439">
        <f t="shared" si="128"/>
        <v>0</v>
      </c>
      <c r="CA136" s="439">
        <f t="shared" si="128"/>
        <v>0</v>
      </c>
      <c r="CB136" s="439">
        <f t="shared" si="128"/>
        <v>0</v>
      </c>
      <c r="CC136" s="439">
        <f t="shared" si="128"/>
        <v>0</v>
      </c>
      <c r="CD136" s="439">
        <f t="shared" si="128"/>
        <v>0</v>
      </c>
      <c r="CE136" s="439">
        <f t="shared" si="128"/>
        <v>0</v>
      </c>
      <c r="CF136" s="439">
        <f t="shared" si="128"/>
        <v>0</v>
      </c>
      <c r="CG136" s="439">
        <f t="shared" si="128"/>
        <v>0</v>
      </c>
      <c r="CH136" s="439">
        <f t="shared" si="128"/>
        <v>0</v>
      </c>
      <c r="CI136" s="439">
        <f t="shared" si="128"/>
        <v>0</v>
      </c>
      <c r="CJ136" s="439">
        <f t="shared" si="128"/>
        <v>0</v>
      </c>
      <c r="CK136" s="439">
        <f t="shared" si="128"/>
        <v>0</v>
      </c>
      <c r="CL136" s="439">
        <f t="shared" si="128"/>
        <v>0</v>
      </c>
      <c r="CM136" s="439">
        <f t="shared" si="128"/>
        <v>0</v>
      </c>
      <c r="CN136" s="439">
        <f t="shared" si="128"/>
        <v>0</v>
      </c>
      <c r="CO136" s="439">
        <f t="shared" si="128"/>
        <v>0</v>
      </c>
      <c r="CP136" s="439">
        <f t="shared" si="128"/>
        <v>0</v>
      </c>
      <c r="CQ136" s="439">
        <f t="shared" si="128"/>
        <v>0</v>
      </c>
      <c r="CR136" s="439">
        <f t="shared" si="128"/>
        <v>0</v>
      </c>
      <c r="CS136" s="439">
        <f t="shared" si="128"/>
        <v>0</v>
      </c>
      <c r="CT136" s="439">
        <f t="shared" ref="CT136:DY136" si="129">VLOOKUP(CT$8,Index,44,FALSE)</f>
        <v>0</v>
      </c>
      <c r="CU136" s="439">
        <f t="shared" si="129"/>
        <v>0</v>
      </c>
      <c r="CV136" s="439">
        <f t="shared" si="129"/>
        <v>0</v>
      </c>
      <c r="CW136" s="439">
        <f t="shared" si="129"/>
        <v>0</v>
      </c>
      <c r="CX136" s="439">
        <f t="shared" si="129"/>
        <v>0</v>
      </c>
      <c r="CY136" s="439">
        <f t="shared" si="129"/>
        <v>0</v>
      </c>
      <c r="CZ136" s="439">
        <f t="shared" si="129"/>
        <v>0</v>
      </c>
      <c r="DA136" s="439">
        <f t="shared" si="129"/>
        <v>0</v>
      </c>
      <c r="DB136" s="439">
        <f t="shared" si="129"/>
        <v>0</v>
      </c>
      <c r="DC136" s="439">
        <f t="shared" si="129"/>
        <v>0</v>
      </c>
      <c r="DD136" s="439">
        <f t="shared" si="129"/>
        <v>0</v>
      </c>
      <c r="DE136" s="439">
        <f t="shared" si="129"/>
        <v>0</v>
      </c>
      <c r="DF136" s="439">
        <f t="shared" si="129"/>
        <v>0</v>
      </c>
      <c r="DG136" s="439">
        <f t="shared" si="129"/>
        <v>0</v>
      </c>
      <c r="DH136" s="439">
        <f t="shared" si="129"/>
        <v>0</v>
      </c>
      <c r="DI136" s="439">
        <f t="shared" si="129"/>
        <v>0</v>
      </c>
      <c r="DJ136" s="439">
        <f t="shared" si="129"/>
        <v>0</v>
      </c>
      <c r="DK136" s="439">
        <f t="shared" si="129"/>
        <v>0</v>
      </c>
      <c r="DL136" s="439">
        <f t="shared" si="129"/>
        <v>0</v>
      </c>
      <c r="DM136" s="439">
        <f t="shared" si="129"/>
        <v>0</v>
      </c>
      <c r="DN136" s="439">
        <f t="shared" si="129"/>
        <v>0</v>
      </c>
      <c r="DO136" s="439">
        <f t="shared" si="129"/>
        <v>0</v>
      </c>
      <c r="DP136" s="439">
        <f t="shared" si="129"/>
        <v>0</v>
      </c>
      <c r="DQ136" s="439">
        <f t="shared" si="129"/>
        <v>0</v>
      </c>
      <c r="DR136" s="439">
        <f t="shared" si="129"/>
        <v>0</v>
      </c>
      <c r="DS136" s="439">
        <f t="shared" si="129"/>
        <v>0</v>
      </c>
      <c r="DT136" s="439">
        <f t="shared" si="129"/>
        <v>0</v>
      </c>
      <c r="DU136" s="439">
        <f t="shared" si="129"/>
        <v>0</v>
      </c>
      <c r="DV136" s="439">
        <f t="shared" si="129"/>
        <v>0</v>
      </c>
      <c r="DW136" s="439">
        <f t="shared" si="129"/>
        <v>0</v>
      </c>
      <c r="DX136" s="439">
        <f t="shared" si="129"/>
        <v>0</v>
      </c>
      <c r="DY136" s="439">
        <f t="shared" si="129"/>
        <v>0</v>
      </c>
      <c r="DZ136" s="439">
        <f t="shared" ref="DZ136:EW136" si="130">VLOOKUP(DZ$8,Index,44,FALSE)</f>
        <v>0</v>
      </c>
      <c r="EA136" s="439">
        <f t="shared" si="130"/>
        <v>0</v>
      </c>
      <c r="EB136" s="439">
        <f t="shared" si="130"/>
        <v>0</v>
      </c>
      <c r="EC136" s="439">
        <f t="shared" si="130"/>
        <v>0</v>
      </c>
      <c r="ED136" s="439">
        <f t="shared" si="130"/>
        <v>0</v>
      </c>
      <c r="EE136" s="439">
        <f t="shared" si="130"/>
        <v>0</v>
      </c>
      <c r="EF136" s="439">
        <f t="shared" si="130"/>
        <v>0</v>
      </c>
      <c r="EG136" s="439">
        <f t="shared" si="130"/>
        <v>0</v>
      </c>
      <c r="EH136" s="439">
        <f t="shared" si="130"/>
        <v>0</v>
      </c>
      <c r="EI136" s="439">
        <f t="shared" si="130"/>
        <v>0</v>
      </c>
      <c r="EJ136" s="439">
        <f t="shared" si="130"/>
        <v>0</v>
      </c>
      <c r="EK136" s="439">
        <f t="shared" si="130"/>
        <v>0</v>
      </c>
      <c r="EL136" s="439">
        <f t="shared" si="130"/>
        <v>0</v>
      </c>
      <c r="EM136" s="439">
        <f t="shared" si="130"/>
        <v>0</v>
      </c>
      <c r="EN136" s="439">
        <f t="shared" si="130"/>
        <v>0</v>
      </c>
      <c r="EO136" s="439">
        <f t="shared" si="130"/>
        <v>0</v>
      </c>
      <c r="EP136" s="439">
        <f t="shared" si="130"/>
        <v>0</v>
      </c>
      <c r="EQ136" s="439">
        <f t="shared" si="130"/>
        <v>0</v>
      </c>
      <c r="ER136" s="439">
        <f t="shared" si="130"/>
        <v>0</v>
      </c>
      <c r="ES136" s="439">
        <f t="shared" si="130"/>
        <v>0</v>
      </c>
      <c r="ET136" s="439">
        <f t="shared" si="130"/>
        <v>0</v>
      </c>
      <c r="EU136" s="439">
        <f t="shared" si="130"/>
        <v>0</v>
      </c>
      <c r="EV136" s="439">
        <f t="shared" si="130"/>
        <v>0</v>
      </c>
      <c r="EW136" s="439">
        <f t="shared" si="130"/>
        <v>0</v>
      </c>
      <c r="EX136" s="393" t="s">
        <v>261</v>
      </c>
      <c r="EY136" s="393"/>
      <c r="EZ136" s="789"/>
      <c r="FA136" s="789"/>
      <c r="FB136" s="789"/>
      <c r="FC136" s="789"/>
      <c r="FD136" s="789"/>
      <c r="FE136" s="382"/>
      <c r="FF136" s="382"/>
      <c r="FG136" s="382"/>
      <c r="FH136" s="382"/>
      <c r="FI136" s="382"/>
      <c r="FJ136" s="382"/>
      <c r="FK136" s="382"/>
      <c r="FL136" s="382"/>
      <c r="FM136" s="382"/>
    </row>
    <row r="137" spans="1:169" s="395" customFormat="1" hidden="1" outlineLevel="1" x14ac:dyDescent="0.2">
      <c r="A137" s="535" t="s">
        <v>265</v>
      </c>
      <c r="B137" s="535"/>
      <c r="C137" s="501"/>
      <c r="D137" s="501"/>
      <c r="E137" s="754"/>
      <c r="F137" s="790" t="e">
        <f>AH137</f>
        <v>#REF!</v>
      </c>
      <c r="G137" s="790" t="e">
        <f t="array" ref="G137">IF($AH137=0,"---",(PRODUCT($AH137:AJ137/100+1)-1)*100)</f>
        <v>#REF!</v>
      </c>
      <c r="H137" s="790" t="str">
        <f t="array" ref="H137">IF($AR137=0,"---",(PRODUCT(AN137:$AR137/100+1)-1)*100)</f>
        <v>---</v>
      </c>
      <c r="I137" s="790" t="str">
        <f t="array" ref="I137">IF(AS137=0,"---",(GEOMEAN($AH137:AS137/100+1)^12-1)*100)</f>
        <v>---</v>
      </c>
      <c r="J137" s="790" t="str">
        <f t="array" ref="J137">IF(BE137=0,"---",(GEOMEAN($AH137:BE137/100+1)^12-1)*100)</f>
        <v>---</v>
      </c>
      <c r="K137" s="790" t="e">
        <f t="array" ref="K137">IF(BQ137=0,"---",(GEOMEAN($AH137:BQ137/100+1)^12-1)*100)</f>
        <v>#REF!</v>
      </c>
      <c r="L137" s="790" t="e">
        <f t="array" ref="L137">IF(CC137=0,"---",(GEOMEAN($AH137:CC137/100+1)^12-1)*100)</f>
        <v>#REF!</v>
      </c>
      <c r="M137" s="790" t="e">
        <f t="array" ref="M137">IF(CO137=0,"---",(GEOMEAN($AH137:CO137/100+1)^12-1)*100)</f>
        <v>#REF!</v>
      </c>
      <c r="N137" s="790" t="e">
        <f t="array" ref="N137">IF(DM137=0,"---",(GEOMEAN($AH137:DM137/100+1)^12-1)*100)</f>
        <v>#REF!</v>
      </c>
      <c r="O137" s="790" t="e">
        <f t="array" ref="O137">IF(EK137=0,"---",(GEOMEAN($AH137:EK137/100+1)^12-1)*100)</f>
        <v>#REF!</v>
      </c>
      <c r="P137" s="790" t="e">
        <f t="array" ref="P137">IF(EW137=0,"---",(GEOMEAN($AH137:EW137/100+1)^12-1)*100)</f>
        <v>#REF!</v>
      </c>
      <c r="Q137" s="790">
        <f t="array" ref="Q137">(GEOMEAN(Index_Returns!BD4:BD$417/100+1)^12-1)*100</f>
        <v>9.6794849953013795</v>
      </c>
      <c r="R137" s="791"/>
      <c r="S137" s="753"/>
      <c r="T137" s="9"/>
      <c r="U137" s="9"/>
      <c r="V137" s="9"/>
      <c r="W137" s="9"/>
      <c r="X137" s="9"/>
      <c r="Y137" s="9"/>
      <c r="Z137" s="9"/>
      <c r="AA137" s="9"/>
      <c r="AB137" s="9"/>
      <c r="AC137" s="9"/>
      <c r="AF137" s="442"/>
      <c r="AG137" s="382"/>
      <c r="AH137" s="439" t="e">
        <f>VLOOKUP(AH$8,Index_Returns!$A1:AV488,57,FALSE)</f>
        <v>#REF!</v>
      </c>
      <c r="AI137" s="439">
        <f t="shared" ref="AI137:BM137" si="131">VLOOKUP(AI$8,Index,57,FALSE)</f>
        <v>0</v>
      </c>
      <c r="AJ137" s="439">
        <f t="shared" si="131"/>
        <v>0</v>
      </c>
      <c r="AK137" s="439">
        <f t="shared" si="131"/>
        <v>0</v>
      </c>
      <c r="AL137" s="439">
        <f t="shared" si="131"/>
        <v>0</v>
      </c>
      <c r="AM137" s="439">
        <f t="shared" si="131"/>
        <v>0</v>
      </c>
      <c r="AN137" s="439">
        <f t="shared" si="131"/>
        <v>0</v>
      </c>
      <c r="AO137" s="439">
        <f t="shared" si="131"/>
        <v>0</v>
      </c>
      <c r="AP137" s="439">
        <f t="shared" si="131"/>
        <v>0</v>
      </c>
      <c r="AQ137" s="439">
        <f t="shared" si="131"/>
        <v>0</v>
      </c>
      <c r="AR137" s="439">
        <f t="shared" si="131"/>
        <v>0</v>
      </c>
      <c r="AS137" s="439">
        <f t="shared" si="131"/>
        <v>0</v>
      </c>
      <c r="AT137" s="439">
        <f t="shared" si="131"/>
        <v>0</v>
      </c>
      <c r="AU137" s="439">
        <f t="shared" si="131"/>
        <v>0</v>
      </c>
      <c r="AV137" s="439">
        <f t="shared" si="131"/>
        <v>0</v>
      </c>
      <c r="AW137" s="439">
        <f t="shared" si="131"/>
        <v>0</v>
      </c>
      <c r="AX137" s="439">
        <f t="shared" si="131"/>
        <v>0</v>
      </c>
      <c r="AY137" s="439">
        <f t="shared" si="131"/>
        <v>0</v>
      </c>
      <c r="AZ137" s="439">
        <f t="shared" si="131"/>
        <v>0</v>
      </c>
      <c r="BA137" s="439">
        <f t="shared" si="131"/>
        <v>0</v>
      </c>
      <c r="BB137" s="439">
        <f t="shared" si="131"/>
        <v>0</v>
      </c>
      <c r="BC137" s="439">
        <f t="shared" si="131"/>
        <v>0</v>
      </c>
      <c r="BD137" s="439">
        <f t="shared" si="131"/>
        <v>0</v>
      </c>
      <c r="BE137" s="439">
        <f t="shared" si="131"/>
        <v>0</v>
      </c>
      <c r="BF137" s="439">
        <f t="shared" si="131"/>
        <v>0</v>
      </c>
      <c r="BG137" s="439">
        <f t="shared" si="131"/>
        <v>0</v>
      </c>
      <c r="BH137" s="439">
        <f t="shared" si="131"/>
        <v>2.9587818000000001</v>
      </c>
      <c r="BI137" s="439">
        <f t="shared" si="131"/>
        <v>-4.5128921000000002</v>
      </c>
      <c r="BJ137" s="439">
        <f t="shared" si="131"/>
        <v>-0.12359089999999991</v>
      </c>
      <c r="BK137" s="439">
        <f t="shared" si="131"/>
        <v>1.2003024</v>
      </c>
      <c r="BL137" s="439">
        <f t="shared" si="131"/>
        <v>3.1304414</v>
      </c>
      <c r="BM137" s="439">
        <f t="shared" si="131"/>
        <v>4.1561367999999996</v>
      </c>
      <c r="BN137" s="439">
        <f t="shared" ref="BN137:CS137" si="132">VLOOKUP(BN$8,Index,57,FALSE)</f>
        <v>0.64636519999999997</v>
      </c>
      <c r="BO137" s="439">
        <f t="shared" si="132"/>
        <v>-0.90563919999999998</v>
      </c>
      <c r="BP137" s="439">
        <f t="shared" si="132"/>
        <v>7.5886022000000004</v>
      </c>
      <c r="BQ137" s="439">
        <f t="shared" si="132"/>
        <v>-5.3441291</v>
      </c>
      <c r="BR137" s="439">
        <f t="shared" si="132"/>
        <v>-3.6822514999999996</v>
      </c>
      <c r="BS137" s="439">
        <f t="shared" si="132"/>
        <v>-0.64201620000000004</v>
      </c>
      <c r="BT137" s="439">
        <f t="shared" si="132"/>
        <v>-1.0082713999999999</v>
      </c>
      <c r="BU137" s="439">
        <f t="shared" si="132"/>
        <v>-0.49051240000000002</v>
      </c>
      <c r="BV137" s="439">
        <f t="shared" si="132"/>
        <v>2.7666675999999999</v>
      </c>
      <c r="BW137" s="439">
        <f t="shared" si="132"/>
        <v>0.55706590000000011</v>
      </c>
      <c r="BX137" s="439">
        <f t="shared" si="132"/>
        <v>2.4518753999999996</v>
      </c>
      <c r="BY137" s="439">
        <f t="shared" si="132"/>
        <v>1.3110303999999999</v>
      </c>
      <c r="BZ137" s="439">
        <f t="shared" si="132"/>
        <v>4.3582758000000004</v>
      </c>
      <c r="CA137" s="439">
        <f t="shared" si="132"/>
        <v>-0.30212070000000002</v>
      </c>
      <c r="CB137" s="439">
        <f t="shared" si="132"/>
        <v>2.6421945</v>
      </c>
      <c r="CC137" s="439">
        <f t="shared" si="132"/>
        <v>6.4356347999999999</v>
      </c>
      <c r="CD137" s="439">
        <f t="shared" si="132"/>
        <v>-2.2476311</v>
      </c>
      <c r="CE137" s="439">
        <f t="shared" si="132"/>
        <v>5.2957538</v>
      </c>
      <c r="CF137" s="439">
        <f t="shared" si="132"/>
        <v>-2.2930557999999999</v>
      </c>
      <c r="CG137" s="439">
        <f t="shared" si="132"/>
        <v>-5.1703998000000002</v>
      </c>
      <c r="CH137" s="439">
        <f t="shared" si="132"/>
        <v>1.3976154999999999</v>
      </c>
      <c r="CI137" s="439">
        <f t="shared" si="132"/>
        <v>4.1332152000000004</v>
      </c>
      <c r="CJ137" s="439">
        <f t="shared" si="132"/>
        <v>1.7142136000000001</v>
      </c>
      <c r="CK137" s="439">
        <f t="shared" si="132"/>
        <v>-2.0579631000000003</v>
      </c>
      <c r="CL137" s="439">
        <f t="shared" si="132"/>
        <v>1.3437600000000001</v>
      </c>
      <c r="CM137" s="439">
        <f t="shared" si="132"/>
        <v>3.0830085</v>
      </c>
      <c r="CN137" s="439">
        <f t="shared" si="132"/>
        <v>-1.5792308000000002</v>
      </c>
      <c r="CO137" s="439">
        <f t="shared" si="132"/>
        <v>3.1535113000000004</v>
      </c>
      <c r="CP137" s="439">
        <f t="shared" si="132"/>
        <v>2.5507011000000004</v>
      </c>
      <c r="CQ137" s="439">
        <f t="shared" si="132"/>
        <v>5.9764208999999999</v>
      </c>
      <c r="CR137" s="439">
        <f t="shared" si="132"/>
        <v>7.8393000000000046E-2</v>
      </c>
      <c r="CS137" s="439">
        <f t="shared" si="132"/>
        <v>4.7716580999999998</v>
      </c>
      <c r="CT137" s="439">
        <f t="shared" ref="CT137:DY137" si="133">VLOOKUP(CT$8,Index,57,FALSE)</f>
        <v>7.8945564000000008</v>
      </c>
      <c r="CU137" s="439">
        <f t="shared" si="133"/>
        <v>5.7667921</v>
      </c>
      <c r="CV137" s="439">
        <f t="shared" si="133"/>
        <v>-6.8298317999999991</v>
      </c>
      <c r="CW137" s="439">
        <f t="shared" si="133"/>
        <v>-6.0558711000000001</v>
      </c>
      <c r="CX137" s="439">
        <f t="shared" si="133"/>
        <v>3.3454682</v>
      </c>
      <c r="CY137" s="439">
        <f t="shared" si="133"/>
        <v>-3.8496208000000003</v>
      </c>
      <c r="CZ137" s="439">
        <f t="shared" si="133"/>
        <v>-13.216337199999998</v>
      </c>
      <c r="DA137" s="439">
        <f t="shared" si="133"/>
        <v>-7.4186335000000003</v>
      </c>
      <c r="DB137" s="439">
        <f t="shared" si="133"/>
        <v>0.30834570000000017</v>
      </c>
      <c r="DC137" s="439">
        <f t="shared" si="133"/>
        <v>-0.96028060000000015</v>
      </c>
      <c r="DD137" s="439">
        <f t="shared" si="133"/>
        <v>-5.3793594000000002</v>
      </c>
      <c r="DE137" s="439">
        <f t="shared" si="133"/>
        <v>1.2197268000000001</v>
      </c>
      <c r="DF137" s="439">
        <f t="shared" si="133"/>
        <v>3.5393192</v>
      </c>
      <c r="DG137" s="439">
        <f t="shared" si="133"/>
        <v>-0.46414400000000006</v>
      </c>
      <c r="DH137" s="439">
        <f t="shared" si="133"/>
        <v>-0.79902040000000008</v>
      </c>
      <c r="DI137" s="439">
        <f t="shared" si="133"/>
        <v>-4.0285962</v>
      </c>
      <c r="DJ137" s="439">
        <f t="shared" si="133"/>
        <v>-0.47567820000000005</v>
      </c>
      <c r="DK137" s="439">
        <f t="shared" si="133"/>
        <v>-2.8590055000000003</v>
      </c>
      <c r="DL137" s="439">
        <f t="shared" si="133"/>
        <v>2.2496432999999998</v>
      </c>
      <c r="DM137" s="439">
        <f t="shared" si="133"/>
        <v>3.2261274000000002</v>
      </c>
      <c r="DN137" s="439">
        <f t="shared" si="133"/>
        <v>0.83467280000000021</v>
      </c>
      <c r="DO137" s="439">
        <f t="shared" si="133"/>
        <v>-1.6777141000000002</v>
      </c>
      <c r="DP137" s="439">
        <f t="shared" si="133"/>
        <v>-0.82168380000000019</v>
      </c>
      <c r="DQ137" s="439">
        <f t="shared" si="133"/>
        <v>2.3620209000000001</v>
      </c>
      <c r="DR137" s="439">
        <f t="shared" si="133"/>
        <v>3.1350337000000001</v>
      </c>
      <c r="DS137" s="439">
        <f t="shared" si="133"/>
        <v>1.1986869999999998</v>
      </c>
      <c r="DT137" s="439">
        <f t="shared" si="133"/>
        <v>-0.20240920000000009</v>
      </c>
      <c r="DU137" s="439">
        <f t="shared" si="133"/>
        <v>1.0627610000000001</v>
      </c>
      <c r="DV137" s="439">
        <f t="shared" si="133"/>
        <v>1.1216932500000001</v>
      </c>
      <c r="DW137" s="439">
        <f t="shared" si="133"/>
        <v>1.9620102500000001</v>
      </c>
      <c r="DX137" s="439">
        <f t="shared" si="133"/>
        <v>2.6474234999999999</v>
      </c>
      <c r="DY137" s="439">
        <f t="shared" si="133"/>
        <v>1.6977464500000004</v>
      </c>
      <c r="DZ137" s="439">
        <f t="shared" ref="DZ137:EW137" si="134">VLOOKUP(DZ$8,Index,57,FALSE)</f>
        <v>2.2062191000000002</v>
      </c>
      <c r="EA137" s="439">
        <f t="shared" si="134"/>
        <v>0.89244515000000013</v>
      </c>
      <c r="EB137" s="439">
        <f t="shared" si="134"/>
        <v>0.13079480000000002</v>
      </c>
      <c r="EC137" s="439">
        <f t="shared" si="134"/>
        <v>-2.3426650499999999</v>
      </c>
      <c r="ED137" s="439">
        <f t="shared" si="134"/>
        <v>1.52224615</v>
      </c>
      <c r="EE137" s="439">
        <f t="shared" si="134"/>
        <v>0.89653870000000002</v>
      </c>
      <c r="EF137" s="439">
        <f t="shared" si="134"/>
        <v>0.21543035000000002</v>
      </c>
      <c r="EG137" s="439">
        <f t="shared" si="134"/>
        <v>2.5914704</v>
      </c>
      <c r="EH137" s="439">
        <f t="shared" si="134"/>
        <v>1.0578259999999999</v>
      </c>
      <c r="EI137" s="439">
        <f t="shared" si="134"/>
        <v>2.7681397500000005</v>
      </c>
      <c r="EJ137" s="439">
        <f t="shared" si="134"/>
        <v>-1.7042857500000002</v>
      </c>
      <c r="EK137" s="439">
        <f t="shared" si="134"/>
        <v>0.8810152</v>
      </c>
      <c r="EL137" s="439">
        <f t="shared" si="134"/>
        <v>0.25692879999999996</v>
      </c>
      <c r="EM137" s="439">
        <f t="shared" si="134"/>
        <v>2.3192615999999999</v>
      </c>
      <c r="EN137" s="439">
        <f t="shared" si="134"/>
        <v>0.45091120000000001</v>
      </c>
      <c r="EO137" s="439">
        <f t="shared" si="134"/>
        <v>2.1093288000000001</v>
      </c>
      <c r="EP137" s="439">
        <f t="shared" si="134"/>
        <v>-1.0415024000000002</v>
      </c>
      <c r="EQ137" s="439">
        <f t="shared" si="134"/>
        <v>-1.5313280000000002</v>
      </c>
      <c r="ER137" s="439">
        <f t="shared" si="134"/>
        <v>1.7079496000000001</v>
      </c>
      <c r="ES137" s="439">
        <f t="shared" si="134"/>
        <v>-1.4812727999999999</v>
      </c>
      <c r="ET137" s="439">
        <f t="shared" si="134"/>
        <v>2.8659752000000003</v>
      </c>
      <c r="EU137" s="439">
        <f t="shared" si="134"/>
        <v>3.1398720000000004</v>
      </c>
      <c r="EV137" s="439">
        <f t="shared" si="134"/>
        <v>1.6370544000000002</v>
      </c>
      <c r="EW137" s="439">
        <f t="shared" si="134"/>
        <v>1.1029640000000001</v>
      </c>
      <c r="EX137" s="393" t="s">
        <v>265</v>
      </c>
      <c r="EY137" s="393"/>
      <c r="EZ137" s="789"/>
      <c r="FA137" s="789"/>
      <c r="FB137" s="789"/>
      <c r="FC137" s="789"/>
      <c r="FD137" s="789"/>
      <c r="FE137" s="382"/>
      <c r="FF137" s="382"/>
      <c r="FG137" s="382"/>
      <c r="FH137" s="382"/>
      <c r="FI137" s="382"/>
      <c r="FJ137" s="382"/>
      <c r="FK137" s="382"/>
      <c r="FL137" s="382"/>
      <c r="FM137" s="382"/>
    </row>
    <row r="138" spans="1:169" s="395" customFormat="1" hidden="1" outlineLevel="1" x14ac:dyDescent="0.2">
      <c r="A138" s="535" t="s">
        <v>253</v>
      </c>
      <c r="B138" s="535"/>
      <c r="C138" s="501"/>
      <c r="D138" s="501"/>
      <c r="E138" s="754"/>
      <c r="F138" s="790">
        <f>AH138</f>
        <v>1.9490799999999999</v>
      </c>
      <c r="G138" s="790">
        <f t="array" ref="G138">IF($AH138=0,"---",(PRODUCT($AH138:AJ138/100+1)-1)*100)</f>
        <v>1.7430522139559868</v>
      </c>
      <c r="H138" s="790">
        <f t="array" ref="H138">IF($AR138=0,"---",(PRODUCT(AN138:$AR138/100+1)-1)*100)</f>
        <v>7.515990004544415</v>
      </c>
      <c r="I138" s="790">
        <f t="array" ref="I138">IF(AS138=0,"---",(GEOMEAN($AH138:AS138/100+1)^12-1)*100)</f>
        <v>16.264485538209229</v>
      </c>
      <c r="J138" s="790">
        <f t="array" ref="J138">IF(BE138=0,"---",(GEOMEAN($AH138:BE138/100+1)^12-1)*100)</f>
        <v>13.795754138094463</v>
      </c>
      <c r="K138" s="790">
        <f t="array" ref="K138">IF(BQ138=0,"---",(GEOMEAN($AH138:BQ138/100+1)^12-1)*100)</f>
        <v>12.835227756938927</v>
      </c>
      <c r="L138" s="790">
        <f t="array" ref="L138">IF(CC138=0,"---",(GEOMEAN($AH138:CC138/100+1)^12-1)*100)</f>
        <v>12.99898682920797</v>
      </c>
      <c r="M138" s="790">
        <f t="array" ref="M138">IF(CO138=0,"---",(GEOMEAN($AH138:CO138/100+1)^12-1)*100)</f>
        <v>11.422715735459477</v>
      </c>
      <c r="N138" s="790">
        <f t="array" ref="N138">IF(DM138=0,"---",(GEOMEAN($AH138:DM138/100+1)^12-1)*100)</f>
        <v>5.3197132515155454</v>
      </c>
      <c r="O138" s="790">
        <f t="array" ref="O138">IF(EK138=0,"---",(GEOMEAN($AH138:EK138/100+1)^12-1)*100)</f>
        <v>6.5836816770386442</v>
      </c>
      <c r="P138" s="790">
        <f t="array" ref="P138">IF(EW138=0,"---",(GEOMEAN($AH138:EW138/100+1)^12-1)*100)</f>
        <v>7.1138251552065102</v>
      </c>
      <c r="Q138" s="792"/>
      <c r="R138" s="791"/>
      <c r="S138" s="753"/>
      <c r="T138" s="9"/>
      <c r="U138" s="9"/>
      <c r="V138" s="9"/>
      <c r="W138" s="9"/>
      <c r="X138" s="9"/>
      <c r="Y138" s="9"/>
      <c r="Z138" s="9"/>
      <c r="AA138" s="9"/>
      <c r="AB138" s="9"/>
      <c r="AC138" s="9"/>
      <c r="AF138" s="442"/>
      <c r="AG138" s="382"/>
      <c r="AH138" s="439">
        <f>VLOOKUP(AH$8,Index_Returns!$A1:AV488,31,FALSE)</f>
        <v>1.9490799999999999</v>
      </c>
      <c r="AI138" s="439">
        <f t="shared" ref="AI138:BM138" si="135">VLOOKUP(AI$8,Index,31,FALSE)</f>
        <v>-1.35392</v>
      </c>
      <c r="AJ138" s="439">
        <f t="shared" si="135"/>
        <v>1.16764</v>
      </c>
      <c r="AK138" s="439">
        <f t="shared" si="135"/>
        <v>1.6191199999999999</v>
      </c>
      <c r="AL138" s="439">
        <f t="shared" si="135"/>
        <v>1.01305</v>
      </c>
      <c r="AM138" s="439">
        <f t="shared" si="135"/>
        <v>0.17086000000000001</v>
      </c>
      <c r="AN138" s="439">
        <f t="shared" si="135"/>
        <v>3.75501</v>
      </c>
      <c r="AO138" s="439">
        <f t="shared" si="135"/>
        <v>-2.0677099999999999</v>
      </c>
      <c r="AP138" s="439">
        <f t="shared" si="135"/>
        <v>1.3579399999999999</v>
      </c>
      <c r="AQ138" s="439">
        <f t="shared" si="135"/>
        <v>1.3693299999999999</v>
      </c>
      <c r="AR138" s="439">
        <f t="shared" si="135"/>
        <v>2.9849399999999999</v>
      </c>
      <c r="AS138" s="439">
        <f t="shared" si="135"/>
        <v>3.3653400000000002</v>
      </c>
      <c r="AT138" s="439">
        <f t="shared" si="135"/>
        <v>-1.58046</v>
      </c>
      <c r="AU138" s="439">
        <f t="shared" si="135"/>
        <v>3.6019000000000001</v>
      </c>
      <c r="AV138" s="439">
        <f t="shared" si="135"/>
        <v>-2.0813999999999999</v>
      </c>
      <c r="AW138" s="439">
        <f t="shared" si="135"/>
        <v>-0.15995000000000001</v>
      </c>
      <c r="AX138" s="439">
        <f t="shared" si="135"/>
        <v>2.33283</v>
      </c>
      <c r="AY138" s="439">
        <f t="shared" si="135"/>
        <v>1.88083</v>
      </c>
      <c r="AZ138" s="439">
        <f t="shared" si="135"/>
        <v>0.32979000000000003</v>
      </c>
      <c r="BA138" s="439">
        <f t="shared" si="135"/>
        <v>3.4503599999999999</v>
      </c>
      <c r="BB138" s="439">
        <f t="shared" si="135"/>
        <v>1.0507299999999999</v>
      </c>
      <c r="BC138" s="439">
        <f t="shared" si="135"/>
        <v>0.90222999999999998</v>
      </c>
      <c r="BD138" s="439">
        <f t="shared" si="135"/>
        <v>-0.68376999999999999</v>
      </c>
      <c r="BE138" s="439">
        <f t="shared" si="135"/>
        <v>1.9661900000000001</v>
      </c>
      <c r="BF138" s="439">
        <f t="shared" si="135"/>
        <v>1.7128000000000001</v>
      </c>
      <c r="BG138" s="439">
        <f t="shared" si="135"/>
        <v>1.52878</v>
      </c>
      <c r="BH138" s="439">
        <f t="shared" si="135"/>
        <v>3.5752999999999999</v>
      </c>
      <c r="BI138" s="439">
        <f t="shared" si="135"/>
        <v>-5.1827899999999998</v>
      </c>
      <c r="BJ138" s="439">
        <f t="shared" si="135"/>
        <v>-0.36602000000000001</v>
      </c>
      <c r="BK138" s="439">
        <f t="shared" si="135"/>
        <v>1.29114</v>
      </c>
      <c r="BL138" s="439">
        <f t="shared" si="135"/>
        <v>3.3327300000000002</v>
      </c>
      <c r="BM138" s="439">
        <f t="shared" si="135"/>
        <v>3.5777600000000001</v>
      </c>
      <c r="BN138" s="439">
        <f t="shared" ref="BN138:CS138" si="136">VLOOKUP(BN$8,Index,31,FALSE)</f>
        <v>0.52907999999999999</v>
      </c>
      <c r="BO138" s="439">
        <f t="shared" si="136"/>
        <v>-1.11818</v>
      </c>
      <c r="BP138" s="439">
        <f t="shared" si="136"/>
        <v>7.5263400000000003</v>
      </c>
      <c r="BQ138" s="439">
        <f t="shared" si="136"/>
        <v>-5.2525599999999999</v>
      </c>
      <c r="BR138" s="439">
        <f t="shared" si="136"/>
        <v>-4.0757500000000002</v>
      </c>
      <c r="BS138" s="439">
        <f t="shared" si="136"/>
        <v>-0.94608000000000003</v>
      </c>
      <c r="BT138" s="439">
        <f t="shared" si="136"/>
        <v>-1.2119</v>
      </c>
      <c r="BU138" s="439">
        <f t="shared" si="136"/>
        <v>-0.71745000000000003</v>
      </c>
      <c r="BV138" s="439">
        <f t="shared" si="136"/>
        <v>2.9861599999999999</v>
      </c>
      <c r="BW138" s="439">
        <f t="shared" si="136"/>
        <v>-0.31361</v>
      </c>
      <c r="BX138" s="439">
        <f t="shared" si="136"/>
        <v>2.5198100000000001</v>
      </c>
      <c r="BY138" s="439">
        <f t="shared" si="136"/>
        <v>1.7394799999999999</v>
      </c>
      <c r="BZ138" s="439">
        <f t="shared" si="136"/>
        <v>4.7376800000000001</v>
      </c>
      <c r="CA138" s="439">
        <f t="shared" si="136"/>
        <v>-0.92</v>
      </c>
      <c r="CB138" s="439">
        <f t="shared" si="136"/>
        <v>2.8092600000000001</v>
      </c>
      <c r="CC138" s="439">
        <f t="shared" si="136"/>
        <v>6.5990200000000003</v>
      </c>
      <c r="CD138" s="439">
        <f t="shared" si="136"/>
        <v>-2.66242</v>
      </c>
      <c r="CE138" s="439">
        <f t="shared" si="136"/>
        <v>5.7412099999999997</v>
      </c>
      <c r="CF138" s="439">
        <f t="shared" si="136"/>
        <v>-2.64812</v>
      </c>
      <c r="CG138" s="439">
        <f t="shared" si="136"/>
        <v>-6.0548500000000001</v>
      </c>
      <c r="CH138" s="439">
        <f t="shared" si="136"/>
        <v>0.89929999999999999</v>
      </c>
      <c r="CI138" s="439">
        <f t="shared" si="136"/>
        <v>4.3538600000000001</v>
      </c>
      <c r="CJ138" s="439">
        <f t="shared" si="136"/>
        <v>1.7311399999999999</v>
      </c>
      <c r="CK138" s="439">
        <f t="shared" si="136"/>
        <v>-2.2906399999999998</v>
      </c>
      <c r="CL138" s="439">
        <f t="shared" si="136"/>
        <v>0.87638000000000005</v>
      </c>
      <c r="CM138" s="439">
        <f t="shared" si="136"/>
        <v>4.0458299999999996</v>
      </c>
      <c r="CN138" s="439">
        <f t="shared" si="136"/>
        <v>-1.10121</v>
      </c>
      <c r="CO138" s="439">
        <f t="shared" si="136"/>
        <v>2.9994900000000002</v>
      </c>
      <c r="CP138" s="439">
        <f t="shared" si="136"/>
        <v>3.18397</v>
      </c>
      <c r="CQ138" s="439">
        <f t="shared" si="136"/>
        <v>6.15022</v>
      </c>
      <c r="CR138" s="439">
        <f t="shared" si="136"/>
        <v>0.1852</v>
      </c>
      <c r="CS138" s="439">
        <f t="shared" si="136"/>
        <v>5.2564000000000002</v>
      </c>
      <c r="CT138" s="439">
        <f t="shared" ref="CT138:DY138" si="137">VLOOKUP(CT$8,Index,31,FALSE)</f>
        <v>7.5671999999999997</v>
      </c>
      <c r="CU138" s="439">
        <f t="shared" si="137"/>
        <v>6.3171999999999997</v>
      </c>
      <c r="CV138" s="439">
        <f t="shared" si="137"/>
        <v>-7.7072000000000003</v>
      </c>
      <c r="CW138" s="439">
        <f t="shared" si="137"/>
        <v>-6.5351999999999997</v>
      </c>
      <c r="CX138" s="439">
        <f t="shared" si="137"/>
        <v>2.6012</v>
      </c>
      <c r="CY138" s="439">
        <f t="shared" si="137"/>
        <v>-3.9628000000000001</v>
      </c>
      <c r="CZ138" s="439">
        <f t="shared" si="137"/>
        <v>-13.295999999999999</v>
      </c>
      <c r="DA138" s="439">
        <f t="shared" si="137"/>
        <v>-7.6719999999999997</v>
      </c>
      <c r="DB138" s="439">
        <f t="shared" si="137"/>
        <v>0.43319999999999997</v>
      </c>
      <c r="DC138" s="439">
        <f t="shared" si="137"/>
        <v>-1.0047999999999999</v>
      </c>
      <c r="DD138" s="439">
        <f t="shared" si="137"/>
        <v>-6.0488</v>
      </c>
      <c r="DE138" s="439">
        <f t="shared" si="137"/>
        <v>0.70920000000000005</v>
      </c>
      <c r="DF138" s="439">
        <f t="shared" si="137"/>
        <v>3.5579999999999998</v>
      </c>
      <c r="DG138" s="439">
        <f t="shared" si="137"/>
        <v>-0.30559999999999998</v>
      </c>
      <c r="DH138" s="439">
        <f t="shared" si="137"/>
        <v>-1.5471999999999999</v>
      </c>
      <c r="DI138" s="439">
        <f t="shared" si="137"/>
        <v>-4.3663999999999996</v>
      </c>
      <c r="DJ138" s="439">
        <f t="shared" si="137"/>
        <v>-0.66800000000000004</v>
      </c>
      <c r="DK138" s="439">
        <f t="shared" si="137"/>
        <v>-2.3584000000000001</v>
      </c>
      <c r="DL138" s="439">
        <f t="shared" si="137"/>
        <v>1.7727999999999999</v>
      </c>
      <c r="DM138" s="439">
        <f t="shared" si="137"/>
        <v>3.1663999999999999</v>
      </c>
      <c r="DN138" s="439">
        <f t="shared" si="137"/>
        <v>0.93799999999999994</v>
      </c>
      <c r="DO138" s="439">
        <f t="shared" si="137"/>
        <v>-1.7372000000000001</v>
      </c>
      <c r="DP138" s="439">
        <f t="shared" si="137"/>
        <v>-0.98960000000000004</v>
      </c>
      <c r="DQ138" s="439">
        <f t="shared" si="137"/>
        <v>2.044</v>
      </c>
      <c r="DR138" s="439">
        <f t="shared" si="137"/>
        <v>3.3567999999999998</v>
      </c>
      <c r="DS138" s="439">
        <f t="shared" si="137"/>
        <v>1.0435000000000001</v>
      </c>
      <c r="DT138" s="439">
        <f t="shared" si="137"/>
        <v>-0.53520000000000001</v>
      </c>
      <c r="DU138" s="439">
        <f t="shared" si="137"/>
        <v>0.94389999999999996</v>
      </c>
      <c r="DV138" s="439">
        <f t="shared" si="137"/>
        <v>1.1249</v>
      </c>
      <c r="DW138" s="439">
        <f t="shared" si="137"/>
        <v>1.8720000000000001</v>
      </c>
      <c r="DX138" s="439">
        <f t="shared" si="137"/>
        <v>2.6343999999999999</v>
      </c>
      <c r="DY138" s="439">
        <f t="shared" si="137"/>
        <v>1.7190000000000001</v>
      </c>
      <c r="DZ138" s="439">
        <f t="shared" ref="DZ138:EW138" si="138">VLOOKUP(DZ$8,Index,31,FALSE)</f>
        <v>2.2054999999999998</v>
      </c>
      <c r="EA138" s="439">
        <f t="shared" si="138"/>
        <v>0.88539999999999996</v>
      </c>
      <c r="EB138" s="439">
        <f t="shared" si="138"/>
        <v>0.1431</v>
      </c>
      <c r="EC138" s="439">
        <f t="shared" si="138"/>
        <v>-2.2456999999999998</v>
      </c>
      <c r="ED138" s="439">
        <f t="shared" si="138"/>
        <v>1.476</v>
      </c>
      <c r="EE138" s="439">
        <f t="shared" si="138"/>
        <v>0.95520000000000005</v>
      </c>
      <c r="EF138" s="439">
        <f t="shared" si="138"/>
        <v>0.21079999999999999</v>
      </c>
      <c r="EG138" s="439">
        <f t="shared" si="138"/>
        <v>2.4702999999999999</v>
      </c>
      <c r="EH138" s="439">
        <f t="shared" si="138"/>
        <v>1.034</v>
      </c>
      <c r="EI138" s="439">
        <f t="shared" si="138"/>
        <v>2.6356000000000002</v>
      </c>
      <c r="EJ138" s="439">
        <f t="shared" si="138"/>
        <v>-1.6226</v>
      </c>
      <c r="EK138" s="439">
        <f t="shared" si="138"/>
        <v>0.88039999999999996</v>
      </c>
      <c r="EL138" s="439">
        <f t="shared" si="138"/>
        <v>0.25769999999999998</v>
      </c>
      <c r="EM138" s="439">
        <f t="shared" si="138"/>
        <v>2.3191999999999999</v>
      </c>
      <c r="EN138" s="439">
        <f t="shared" si="138"/>
        <v>0.45090000000000002</v>
      </c>
      <c r="EO138" s="439">
        <f t="shared" si="138"/>
        <v>2.1088</v>
      </c>
      <c r="EP138" s="439">
        <f t="shared" si="138"/>
        <v>-1.0424</v>
      </c>
      <c r="EQ138" s="439">
        <f t="shared" si="138"/>
        <v>-1.5303</v>
      </c>
      <c r="ER138" s="439">
        <f t="shared" si="138"/>
        <v>1.708</v>
      </c>
      <c r="ES138" s="439">
        <f t="shared" si="138"/>
        <v>-1.4806999999999999</v>
      </c>
      <c r="ET138" s="439">
        <f t="shared" si="138"/>
        <v>2.8656999999999999</v>
      </c>
      <c r="EU138" s="439">
        <f t="shared" si="138"/>
        <v>3.1394000000000002</v>
      </c>
      <c r="EV138" s="439">
        <f t="shared" si="138"/>
        <v>1.6392</v>
      </c>
      <c r="EW138" s="439">
        <f t="shared" si="138"/>
        <v>1.1026</v>
      </c>
      <c r="EX138" s="393" t="s">
        <v>253</v>
      </c>
      <c r="EY138" s="393"/>
      <c r="EZ138" s="440"/>
      <c r="FA138" s="440"/>
      <c r="FB138" s="440"/>
      <c r="FC138" s="440"/>
      <c r="FD138" s="440"/>
      <c r="FE138" s="382"/>
      <c r="FF138" s="382"/>
      <c r="FG138" s="382"/>
      <c r="FH138" s="382"/>
      <c r="FI138" s="382"/>
      <c r="FJ138" s="382"/>
      <c r="FK138" s="382"/>
      <c r="FL138" s="382"/>
      <c r="FM138" s="382"/>
    </row>
    <row r="139" spans="1:169" s="395" customFormat="1" hidden="1" outlineLevel="1" x14ac:dyDescent="0.2">
      <c r="A139" s="535" t="s">
        <v>262</v>
      </c>
      <c r="B139" s="535"/>
      <c r="C139" s="501"/>
      <c r="D139" s="501"/>
      <c r="E139" s="754"/>
      <c r="F139" s="790" t="e">
        <f>AH139</f>
        <v>#N/A</v>
      </c>
      <c r="G139" s="790" t="e">
        <f t="array" ref="G139">IF($AH139=0,"---",(PRODUCT($AH139:AJ139/100+1)-1)*100)</f>
        <v>#N/A</v>
      </c>
      <c r="H139" s="790" t="e">
        <f t="array" ref="H139">IF($AR139=0,"---",(PRODUCT(AN139:$AR139/100+1)-1)*100)</f>
        <v>#N/A</v>
      </c>
      <c r="I139" s="790" t="e">
        <f t="array" ref="I139">IF(AS139=0,"---",(GEOMEAN($AH139:AS139/100+1)^12-1)*100)</f>
        <v>#N/A</v>
      </c>
      <c r="J139" s="790" t="e">
        <f t="array" ref="J139">IF(BE139=0,"---",(GEOMEAN($AH139:BE139/100+1)^12-1)*100)</f>
        <v>#N/A</v>
      </c>
      <c r="K139" s="790" t="e">
        <f t="array" ref="K139">IF(BQ139=0,"---",(GEOMEAN($AH139:BQ139/100+1)^12-1)*100)</f>
        <v>#N/A</v>
      </c>
      <c r="L139" s="790" t="str">
        <f t="array" ref="L139">IF(CC139=0,"---",(GEOMEAN($AH139:CC139/100+1)^12-1)*100)</f>
        <v>---</v>
      </c>
      <c r="M139" s="790" t="e">
        <f t="array" ref="M139">IF(CO139=0,"---",(GEOMEAN($AH139:CO139/100+1)^12-1)*100)</f>
        <v>#N/A</v>
      </c>
      <c r="N139" s="790" t="e">
        <f t="array" ref="N139">IF(DM139=0,"---",(GEOMEAN($AH139:DM139/100+1)^12-1)*100)</f>
        <v>#N/A</v>
      </c>
      <c r="O139" s="790" t="e">
        <f t="array" ref="O139">IF(EK139=0,"---",(GEOMEAN($AH139:EK139/100+1)^12-1)*100)</f>
        <v>#N/A</v>
      </c>
      <c r="P139" s="790" t="e">
        <f t="array" ref="P139">IF(EW139=0,"---",(GEOMEAN($AH139:EW139/100+1)^12-1)*100)</f>
        <v>#N/A</v>
      </c>
      <c r="Q139" s="790"/>
      <c r="R139" s="791"/>
      <c r="S139" s="753"/>
      <c r="T139" s="9"/>
      <c r="U139" s="9"/>
      <c r="V139" s="9"/>
      <c r="W139" s="9"/>
      <c r="X139" s="9"/>
      <c r="Y139" s="9"/>
      <c r="Z139" s="9"/>
      <c r="AA139" s="9"/>
      <c r="AB139" s="9"/>
      <c r="AC139" s="9"/>
      <c r="AF139" s="442"/>
      <c r="AG139" s="382"/>
      <c r="AH139" s="439" t="e">
        <f>VLOOKUP(AH$8,'TF gross'!$A$1:$B$488,2,FALSE)</f>
        <v>#N/A</v>
      </c>
      <c r="AI139" s="439" t="e">
        <f>VLOOKUP(AI$8,'TF gross'!$A$1:$B$464,2,FALSE)</f>
        <v>#N/A</v>
      </c>
      <c r="AJ139" s="439" t="e">
        <f>VLOOKUP(AJ$8,'TF gross'!$A$1:$B$464,2,FALSE)</f>
        <v>#N/A</v>
      </c>
      <c r="AK139" s="439" t="e">
        <f>VLOOKUP(AK$8,'TF gross'!$A$1:$B$464,2,FALSE)</f>
        <v>#N/A</v>
      </c>
      <c r="AL139" s="439" t="e">
        <f>VLOOKUP(AL$8,'TF gross'!$A$1:$B$464,2,FALSE)</f>
        <v>#N/A</v>
      </c>
      <c r="AM139" s="439" t="e">
        <f>VLOOKUP(AM$8,'TF gross'!$A$1:$B$464,2,FALSE)</f>
        <v>#N/A</v>
      </c>
      <c r="AN139" s="439" t="e">
        <f>VLOOKUP(AN$8,'TF gross'!$A$1:$B$464,2,FALSE)</f>
        <v>#N/A</v>
      </c>
      <c r="AO139" s="439" t="e">
        <f>VLOOKUP(AO$8,'TF gross'!$A$1:$B$464,2,FALSE)</f>
        <v>#N/A</v>
      </c>
      <c r="AP139" s="439" t="e">
        <f>VLOOKUP(AP$8,'TF gross'!$A$1:$B$464,2,FALSE)</f>
        <v>#N/A</v>
      </c>
      <c r="AQ139" s="439" t="e">
        <f>VLOOKUP(AQ$8,'TF gross'!$A$1:$B$464,2,FALSE)</f>
        <v>#N/A</v>
      </c>
      <c r="AR139" s="439" t="e">
        <f>VLOOKUP(AR$8,'TF gross'!$A$1:$B$464,2,FALSE)</f>
        <v>#N/A</v>
      </c>
      <c r="AS139" s="439" t="e">
        <f>VLOOKUP(AS$8,'TF gross'!$A$1:$B$464,2,FALSE)</f>
        <v>#N/A</v>
      </c>
      <c r="AT139" s="439" t="e">
        <f>VLOOKUP(AT$8,'TF gross'!$A$1:$B$464,2,FALSE)</f>
        <v>#N/A</v>
      </c>
      <c r="AU139" s="439" t="e">
        <f>VLOOKUP(AU$8,'TF gross'!$A$1:$B$464,2,FALSE)</f>
        <v>#N/A</v>
      </c>
      <c r="AV139" s="439" t="e">
        <f>VLOOKUP(AV$8,'TF gross'!$A$1:$B$464,2,FALSE)</f>
        <v>#N/A</v>
      </c>
      <c r="AW139" s="439" t="e">
        <f>VLOOKUP(AW$8,'TF gross'!$A$1:$B$464,2,FALSE)</f>
        <v>#N/A</v>
      </c>
      <c r="AX139" s="439" t="e">
        <f>VLOOKUP(AX$8,'TF gross'!$A$1:$B$464,2,FALSE)</f>
        <v>#N/A</v>
      </c>
      <c r="AY139" s="439" t="e">
        <f>VLOOKUP(AY$8,'TF gross'!$A$1:$B$464,2,FALSE)</f>
        <v>#N/A</v>
      </c>
      <c r="AZ139" s="439" t="e">
        <f>VLOOKUP(AZ$8,'TF gross'!$A$1:$B$464,2,FALSE)</f>
        <v>#N/A</v>
      </c>
      <c r="BA139" s="439" t="e">
        <f>VLOOKUP(BA$8,'TF gross'!$A$1:$B$464,2,FALSE)</f>
        <v>#N/A</v>
      </c>
      <c r="BB139" s="439" t="e">
        <f>VLOOKUP(BB$8,'TF gross'!$A$1:$B$464,2,FALSE)</f>
        <v>#N/A</v>
      </c>
      <c r="BC139" s="439" t="e">
        <f>VLOOKUP(BC$8,'TF gross'!$A$1:$B$464,2,FALSE)</f>
        <v>#N/A</v>
      </c>
      <c r="BD139" s="439" t="e">
        <f>VLOOKUP(BD$8,'TF gross'!$A$1:$B$464,2,FALSE)</f>
        <v>#N/A</v>
      </c>
      <c r="BE139" s="439" t="e">
        <f>VLOOKUP(BE$8,'TF gross'!$A$1:$B$464,2,FALSE)</f>
        <v>#N/A</v>
      </c>
      <c r="BF139" s="439" t="e">
        <f>VLOOKUP(BF$8,'TF gross'!$A$1:$B$464,2,FALSE)</f>
        <v>#N/A</v>
      </c>
      <c r="BG139" s="439" t="e">
        <f>VLOOKUP(BG$8,'TF gross'!$A$1:$B$464,2,FALSE)</f>
        <v>#N/A</v>
      </c>
      <c r="BH139" s="439" t="e">
        <f>VLOOKUP(BH$8,'TF gross'!$A$1:$B$464,2,FALSE)</f>
        <v>#N/A</v>
      </c>
      <c r="BI139" s="439" t="e">
        <f>VLOOKUP(BI$8,'TF gross'!$A$1:$B$464,2,FALSE)</f>
        <v>#N/A</v>
      </c>
      <c r="BJ139" s="439" t="e">
        <f>VLOOKUP(BJ$8,'TF gross'!$A$1:$B$464,2,FALSE)</f>
        <v>#N/A</v>
      </c>
      <c r="BK139" s="439" t="e">
        <f>VLOOKUP(BK$8,'TF gross'!$A$1:$B$464,2,FALSE)</f>
        <v>#N/A</v>
      </c>
      <c r="BL139" s="439" t="e">
        <f>VLOOKUP(BL$8,'TF gross'!$A$1:$B$464,2,FALSE)</f>
        <v>#N/A</v>
      </c>
      <c r="BM139" s="439" t="e">
        <f>VLOOKUP(BM$8,'TF gross'!$A$1:$B$464,2,FALSE)</f>
        <v>#N/A</v>
      </c>
      <c r="BN139" s="439" t="e">
        <f>VLOOKUP(BN$8,'TF gross'!$A$1:$B$464,2,FALSE)</f>
        <v>#N/A</v>
      </c>
      <c r="BO139" s="439" t="e">
        <f>VLOOKUP(BO$8,'TF gross'!$A$1:$B$464,2,FALSE)</f>
        <v>#N/A</v>
      </c>
      <c r="BP139" s="439" t="e">
        <f>VLOOKUP(BP$8,'TF gross'!$A$1:$B$464,2,FALSE)</f>
        <v>#N/A</v>
      </c>
      <c r="BQ139" s="439" t="e">
        <f>VLOOKUP(BQ$8,'TF gross'!$A$1:$B$464,2,FALSE)</f>
        <v>#N/A</v>
      </c>
      <c r="BR139" s="439" t="e">
        <f>VLOOKUP(BR$8,'TF gross'!$A$1:$B$464,2,FALSE)</f>
        <v>#N/A</v>
      </c>
      <c r="BS139" s="439" t="e">
        <f>VLOOKUP(BS$8,'TF gross'!$A$1:$B$464,2,FALSE)</f>
        <v>#N/A</v>
      </c>
      <c r="BT139" s="439" t="e">
        <f>VLOOKUP(BT$8,'TF gross'!$A$1:$B$464,2,FALSE)</f>
        <v>#N/A</v>
      </c>
      <c r="BU139" s="439" t="e">
        <f>VLOOKUP(BU$8,'TF gross'!$A$1:$B$464,2,FALSE)</f>
        <v>#N/A</v>
      </c>
      <c r="BV139" s="439" t="e">
        <f>VLOOKUP(BV$8,'TF gross'!$A$1:$B$464,2,FALSE)</f>
        <v>#N/A</v>
      </c>
      <c r="BW139" s="439" t="e">
        <f>VLOOKUP(BW$8,'TF gross'!$A$1:$B$464,2,FALSE)</f>
        <v>#N/A</v>
      </c>
      <c r="BX139" s="439" t="e">
        <f>VLOOKUP(BX$8,'TF gross'!$A$1:$B$464,2,FALSE)</f>
        <v>#N/A</v>
      </c>
      <c r="BY139" s="439" t="e">
        <f>VLOOKUP(BY$8,'TF gross'!$A$1:$B$464,2,FALSE)</f>
        <v>#N/A</v>
      </c>
      <c r="BZ139" s="439">
        <f>VLOOKUP(BZ$8,'TF gross'!$A$1:$B$464,2,FALSE)</f>
        <v>0</v>
      </c>
      <c r="CA139" s="439">
        <f>VLOOKUP(CA$8,'TF gross'!$A$1:$B$464,2,FALSE)</f>
        <v>0</v>
      </c>
      <c r="CB139" s="439">
        <f>VLOOKUP(CB$8,'TF gross'!$A$1:$B$464,2,FALSE)</f>
        <v>0</v>
      </c>
      <c r="CC139" s="439">
        <f>VLOOKUP(CC$8,'TF gross'!$A$1:$B$464,2,FALSE)</f>
        <v>0</v>
      </c>
      <c r="CD139" s="439">
        <f>VLOOKUP(CD$8,'TF gross'!$A$1:$B$464,2,FALSE)</f>
        <v>0</v>
      </c>
      <c r="CE139" s="439">
        <f>VLOOKUP(CE$8,'TF gross'!$A$1:$B$464,2,FALSE)</f>
        <v>0</v>
      </c>
      <c r="CF139" s="439">
        <f>VLOOKUP(CF$8,'TF gross'!$A$1:$B$464,2,FALSE)</f>
        <v>0</v>
      </c>
      <c r="CG139" s="439">
        <f>VLOOKUP(CG$8,'TF gross'!$A$1:$B$464,2,FALSE)</f>
        <v>0</v>
      </c>
      <c r="CH139" s="439">
        <f>VLOOKUP(CH$8,'TF gross'!$A$1:$B$464,2,FALSE)</f>
        <v>0</v>
      </c>
      <c r="CI139" s="439">
        <f>VLOOKUP(CI$8,'TF gross'!$A$1:$B$464,2,FALSE)</f>
        <v>0</v>
      </c>
      <c r="CJ139" s="439">
        <f>VLOOKUP(CJ$8,'TF gross'!$A$1:$B$464,2,FALSE)</f>
        <v>0</v>
      </c>
      <c r="CK139" s="439">
        <f>VLOOKUP(CK$8,'TF gross'!$A$1:$B$464,2,FALSE)</f>
        <v>0</v>
      </c>
      <c r="CL139" s="439">
        <f>VLOOKUP(CL$8,'TF gross'!$A$1:$B$464,2,FALSE)</f>
        <v>0</v>
      </c>
      <c r="CM139" s="439">
        <f>VLOOKUP(CM$8,'TF gross'!$A$1:$B$464,2,FALSE)</f>
        <v>0</v>
      </c>
      <c r="CN139" s="439">
        <f>VLOOKUP(CN$8,'TF gross'!$A$1:$B$464,2,FALSE)</f>
        <v>0</v>
      </c>
      <c r="CO139" s="439">
        <f>VLOOKUP(CO$8,'TF gross'!$A$1:$B$464,2,FALSE)</f>
        <v>3.49</v>
      </c>
      <c r="CP139" s="439">
        <f>VLOOKUP(CP$8,'TF gross'!$A$1:$B$464,2,FALSE)</f>
        <v>2.96</v>
      </c>
      <c r="CQ139" s="439">
        <f>VLOOKUP(CQ$8,'TF gross'!$A$1:$B$464,2,FALSE)</f>
        <v>6.3</v>
      </c>
      <c r="CR139" s="439">
        <f>VLOOKUP(CR$8,'TF gross'!$A$1:$B$464,2,FALSE)</f>
        <v>0.05</v>
      </c>
      <c r="CS139" s="439">
        <f>VLOOKUP(CS$8,'TF gross'!$A$1:$B$464,2,FALSE)</f>
        <v>4.5599999999999996</v>
      </c>
      <c r="CT139" s="439">
        <f>VLOOKUP(CT$8,'TF gross'!$A$1:$B$464,2,FALSE)</f>
        <v>7.7</v>
      </c>
      <c r="CU139" s="439">
        <f>VLOOKUP(CU$8,'TF gross'!$A$1:$B$464,2,FALSE)</f>
        <v>4.6399999999999997</v>
      </c>
      <c r="CV139" s="439">
        <f>VLOOKUP(CV$8,'TF gross'!$A$1:$B$464,2,FALSE)</f>
        <v>-6.7</v>
      </c>
      <c r="CW139" s="439">
        <f>VLOOKUP(CW$8,'TF gross'!$A$1:$B$464,2,FALSE)</f>
        <v>-5.48</v>
      </c>
      <c r="CX139" s="439">
        <f>VLOOKUP(CX$8,'TF gross'!$A$1:$B$464,2,FALSE)</f>
        <v>3.3763999999999998</v>
      </c>
      <c r="CY139" s="439">
        <f>VLOOKUP(CY$8,'TF gross'!$A$1:$B$464,2,FALSE)</f>
        <v>-4.1036000000000001</v>
      </c>
      <c r="CZ139" s="439">
        <f>VLOOKUP(CZ$8,'TF gross'!$A$1:$B$464,2,FALSE)</f>
        <v>-13.2516</v>
      </c>
      <c r="DA139" s="439">
        <f>VLOOKUP(DA$8,'TF gross'!$A$1:$B$464,2,FALSE)</f>
        <v>-7.6106999999999996</v>
      </c>
      <c r="DB139" s="439">
        <f>VLOOKUP(DB$8,'TF gross'!$A$1:$B$464,2,FALSE)</f>
        <v>0.44950000000000001</v>
      </c>
      <c r="DC139" s="439">
        <f>VLOOKUP(DC$8,'TF gross'!$A$1:$B$464,2,FALSE)</f>
        <v>-0.97950000000000004</v>
      </c>
      <c r="DD139" s="439">
        <f>VLOOKUP(DD$8,'TF gross'!$A$1:$B$464,2,FALSE)</f>
        <v>-5.8884999999999996</v>
      </c>
      <c r="DE139" s="439">
        <f>VLOOKUP(DE$8,'TF gross'!$A$1:$B$464,2,FALSE)</f>
        <v>1.3537999999999999</v>
      </c>
      <c r="DF139" s="439">
        <f>VLOOKUP(DF$8,'TF gross'!$A$1:$B$464,2,FALSE)</f>
        <v>3.8523000000000001</v>
      </c>
      <c r="DG139" s="439">
        <f>VLOOKUP(DG$8,'TF gross'!$A$1:$B$464,2,FALSE)</f>
        <v>-0.57579999999999998</v>
      </c>
      <c r="DH139" s="439">
        <f>VLOOKUP(DH$8,'TF gross'!$A$1:$B$464,2,FALSE)</f>
        <v>-1.3081</v>
      </c>
      <c r="DI139" s="439">
        <f>VLOOKUP(DI$8,'TF gross'!$A$1:$B$464,2,FALSE)</f>
        <v>-4.4953000000000003</v>
      </c>
      <c r="DJ139" s="439">
        <f>VLOOKUP(DJ$8,'TF gross'!$A$1:$B$464,2,FALSE)</f>
        <v>-0.69830000000000003</v>
      </c>
      <c r="DK139" s="439">
        <f>VLOOKUP(DK$8,'TF gross'!$A$1:$B$464,2,FALSE)</f>
        <v>-2.8692000000000002</v>
      </c>
      <c r="DL139" s="439">
        <f>VLOOKUP(DL$8,'TF gross'!$A$1:$B$464,2,FALSE)</f>
        <v>1.9775</v>
      </c>
      <c r="DM139" s="439">
        <f>VLOOKUP(DM$8,'TF gross'!$A$1:$B$464,2,FALSE)</f>
        <v>2.8123999999999998</v>
      </c>
      <c r="DN139" s="439">
        <f>VLOOKUP(DN$8,'TF gross'!$A$1:$B$464,2,FALSE)</f>
        <v>0.77359999999999995</v>
      </c>
      <c r="DO139" s="439">
        <f>VLOOKUP(DO$8,'TF gross'!$A$1:$B$464,2,FALSE)</f>
        <v>-2.0560999999999998</v>
      </c>
      <c r="DP139" s="439">
        <f>VLOOKUP(DP$8,'TF gross'!$A$1:$B$464,2,FALSE)</f>
        <v>-0.996</v>
      </c>
      <c r="DQ139" s="439">
        <f>VLOOKUP(DQ$8,'TF gross'!$A$1:$B$464,2,FALSE)</f>
        <v>2.3611</v>
      </c>
      <c r="DR139" s="439">
        <f>VLOOKUP(DR$8,'TF gross'!$A$1:$B$464,2,FALSE)</f>
        <v>3.1926999999999999</v>
      </c>
      <c r="DS139" s="439">
        <f>VLOOKUP(DS$8,'TF gross'!$A$1:$B$464,2,FALSE)</f>
        <v>1.3320000000000001</v>
      </c>
      <c r="DT139" s="439">
        <f>VLOOKUP(DT$8,'TF gross'!$A$1:$B$464,2,FALSE)</f>
        <v>-0.21190000000000001</v>
      </c>
      <c r="DU139" s="439">
        <f>VLOOKUP(DU$8,'TF gross'!$A$1:$B$464,2,FALSE)</f>
        <v>1.1852</v>
      </c>
      <c r="DV139" s="439">
        <f>VLOOKUP(DV$8,'TF gross'!$A$1:$B$464,2,FALSE)</f>
        <v>1.1708000000000001</v>
      </c>
      <c r="DW139" s="439">
        <f>VLOOKUP(DW$8,'TF gross'!$A$1:$B$464,2,FALSE)</f>
        <v>1.9994000000000001</v>
      </c>
      <c r="DX139" s="439">
        <f>VLOOKUP(DX$8,'TF gross'!$A$1:$B$464,2,FALSE)</f>
        <v>2.7227000000000001</v>
      </c>
      <c r="DY139" s="439">
        <f>VLOOKUP(DY$8,'TF gross'!$A$1:$B$464,2,FALSE)</f>
        <v>1.5406</v>
      </c>
      <c r="DZ139" s="439">
        <f>VLOOKUP(DZ$8,'TF gross'!$A$1:$B$464,2,FALSE)</f>
        <v>2.0718999999999999</v>
      </c>
      <c r="EA139" s="439">
        <f>VLOOKUP(EA$8,'TF gross'!$A$1:$B$464,2,FALSE)</f>
        <v>0.3402</v>
      </c>
      <c r="EB139" s="439">
        <f>VLOOKUP(EB$8,'TF gross'!$A$1:$B$464,2,FALSE)</f>
        <v>0.10929999999999999</v>
      </c>
      <c r="EC139" s="439">
        <f>VLOOKUP(EC$8,'TF gross'!$A$1:$B$464,2,FALSE)</f>
        <v>-2.6738</v>
      </c>
      <c r="ED139" s="439">
        <f>VLOOKUP(ED$8,'TF gross'!$A$1:$B$464,2,FALSE)</f>
        <v>1.5168999999999999</v>
      </c>
      <c r="EE139" s="439">
        <f>VLOOKUP(EE$8,'TF gross'!$A$1:$B$464,2,FALSE)</f>
        <v>1.4495</v>
      </c>
      <c r="EF139" s="439">
        <f>VLOOKUP(EF$8,'TF gross'!$A$1:$B$464,2,FALSE)</f>
        <v>0.16089999999999999</v>
      </c>
      <c r="EG139" s="439">
        <f>VLOOKUP(EG$8,'TF gross'!$A$1:$B$464,2,FALSE)</f>
        <v>3.0903999999999998</v>
      </c>
      <c r="EH139" s="439">
        <f>VLOOKUP(EH$8,'TF gross'!$A$1:$B$464,2,FALSE)</f>
        <v>1.1549</v>
      </c>
      <c r="EI139" s="439">
        <f>VLOOKUP(EI$8,'TF gross'!$A$1:$B$464,2,FALSE)</f>
        <v>2.9089</v>
      </c>
      <c r="EJ139" s="439">
        <f>VLOOKUP(EJ$8,'TF gross'!$A$1:$B$464,2,FALSE)</f>
        <v>-1.6886000000000001</v>
      </c>
      <c r="EK139" s="439">
        <f>VLOOKUP(EK$8,'TF gross'!$A$1:$B$464,2,FALSE)</f>
        <v>0.95909999999999995</v>
      </c>
      <c r="EL139" s="439">
        <f>VLOOKUP(EL$8,'TF gross'!$A$1:$B$464,2,FALSE)</f>
        <v>6.0299999999999999E-2</v>
      </c>
      <c r="EM139" s="439">
        <f>VLOOKUP(EM$8,'TF gross'!$A$1:$B$464,2,FALSE)</f>
        <v>2.6720999999999999</v>
      </c>
      <c r="EN139" s="439">
        <f>VLOOKUP(EN$8,'TF gross'!$A$1:$B$464,2,FALSE)</f>
        <v>0.8175</v>
      </c>
      <c r="EO139" s="439">
        <f>VLOOKUP(EO$8,'TF gross'!$A$1:$B$464,2,FALSE)</f>
        <v>2.4990000000000001</v>
      </c>
      <c r="EP139" s="439">
        <f>VLOOKUP(EP$8,'TF gross'!$A$1:$B$464,2,FALSE)</f>
        <v>-1.5354000000000001</v>
      </c>
      <c r="EQ139" s="439">
        <f>VLOOKUP(EQ$8,'TF gross'!$A$1:$B$464,2,FALSE)</f>
        <v>-1.5781000000000001</v>
      </c>
      <c r="ER139" s="439">
        <f>VLOOKUP(ER$8,'TF gross'!$A$1:$B$464,2,FALSE)</f>
        <v>1.917</v>
      </c>
      <c r="ES139" s="439">
        <f>VLOOKUP(ES$8,'TF gross'!$A$1:$B$464,2,FALSE)</f>
        <v>-1.5459000000000001</v>
      </c>
      <c r="ET139" s="439">
        <f>VLOOKUP(ET$8,'TF gross'!$A$1:$B$464,2,FALSE)</f>
        <v>2.7584</v>
      </c>
      <c r="EU139" s="439">
        <f>VLOOKUP(EU$8,'TF gross'!$A$1:$B$464,2,FALSE)</f>
        <v>3.6774</v>
      </c>
      <c r="EV139" s="439">
        <f>VLOOKUP(EV$8,'TF gross'!$A$1:$B$464,2,FALSE)</f>
        <v>1.7734000000000001</v>
      </c>
      <c r="EW139" s="439">
        <f>VLOOKUP(EW$8,'TF gross'!$A$1:$B$464,2,FALSE)</f>
        <v>1.4890000000000001</v>
      </c>
      <c r="EX139" s="393" t="s">
        <v>262</v>
      </c>
      <c r="EY139" s="393"/>
      <c r="EZ139" s="440"/>
      <c r="FA139" s="440"/>
      <c r="FB139" s="440"/>
      <c r="FC139" s="440"/>
      <c r="FD139" s="440"/>
      <c r="FE139" s="382"/>
      <c r="FF139" s="382"/>
      <c r="FG139" s="382"/>
      <c r="FH139" s="382"/>
      <c r="FI139" s="382"/>
      <c r="FJ139" s="382"/>
      <c r="FK139" s="382"/>
      <c r="FL139" s="382"/>
      <c r="FM139" s="382"/>
    </row>
    <row r="140" spans="1:169" s="395" customFormat="1" hidden="1" outlineLevel="1" x14ac:dyDescent="0.2">
      <c r="A140" s="535" t="s">
        <v>269</v>
      </c>
      <c r="B140" s="535"/>
      <c r="C140" s="501"/>
      <c r="D140" s="501"/>
      <c r="E140" s="501"/>
      <c r="F140" s="793"/>
      <c r="G140" s="793"/>
      <c r="H140" s="793"/>
      <c r="I140" s="792">
        <v>0.23769999999999999</v>
      </c>
      <c r="J140" s="793"/>
      <c r="K140" s="792">
        <v>0.18959999999999999</v>
      </c>
      <c r="L140" s="793"/>
      <c r="M140" s="792">
        <v>0.1686</v>
      </c>
      <c r="N140" s="793"/>
      <c r="O140" s="793"/>
      <c r="P140" s="792" t="e">
        <f>P139-P129</f>
        <v>#N/A</v>
      </c>
      <c r="Q140" s="793"/>
      <c r="R140" s="791"/>
      <c r="S140" s="753"/>
      <c r="T140" s="9"/>
      <c r="U140" s="9"/>
      <c r="V140" s="9"/>
      <c r="W140" s="9"/>
      <c r="X140" s="9"/>
      <c r="Y140" s="9"/>
      <c r="Z140" s="9"/>
      <c r="AA140" s="9"/>
      <c r="AB140" s="9"/>
      <c r="AC140" s="9"/>
      <c r="AF140" s="442"/>
      <c r="AG140" s="382"/>
      <c r="AH140" s="382"/>
      <c r="AI140" s="382"/>
      <c r="AJ140" s="382"/>
      <c r="AK140" s="382"/>
      <c r="AL140" s="382"/>
      <c r="AM140" s="382"/>
      <c r="AN140" s="382"/>
      <c r="AO140" s="382"/>
      <c r="AP140" s="382"/>
      <c r="AQ140" s="382"/>
      <c r="AR140" s="382"/>
      <c r="AS140" s="382"/>
      <c r="AT140" s="382"/>
      <c r="AU140" s="382"/>
      <c r="AV140" s="382"/>
      <c r="AW140" s="382"/>
      <c r="AX140" s="382"/>
      <c r="AY140" s="382"/>
      <c r="AZ140" s="382"/>
      <c r="BA140" s="382"/>
      <c r="BB140" s="382"/>
      <c r="BC140" s="382"/>
      <c r="BD140" s="382"/>
      <c r="BE140" s="382"/>
      <c r="BF140" s="382"/>
      <c r="BG140" s="382"/>
      <c r="BH140" s="382"/>
      <c r="BI140" s="382"/>
      <c r="BJ140" s="382"/>
      <c r="BK140" s="382"/>
      <c r="BL140" s="382"/>
      <c r="BM140" s="382"/>
      <c r="BN140" s="382"/>
      <c r="BO140" s="382"/>
      <c r="BP140" s="382"/>
      <c r="BQ140" s="382"/>
      <c r="BR140" s="382"/>
      <c r="BS140" s="382"/>
      <c r="BT140" s="382"/>
      <c r="BU140" s="382"/>
      <c r="BV140" s="382"/>
      <c r="BW140" s="382"/>
      <c r="BX140" s="382"/>
      <c r="BY140" s="382"/>
      <c r="BZ140" s="382"/>
      <c r="CA140" s="382"/>
      <c r="CB140" s="382"/>
      <c r="CC140" s="382"/>
      <c r="CD140" s="382"/>
      <c r="CE140" s="382"/>
      <c r="CF140" s="382"/>
      <c r="CG140" s="382"/>
      <c r="CH140" s="382"/>
      <c r="CI140" s="382"/>
      <c r="CJ140" s="382"/>
      <c r="CK140" s="382"/>
      <c r="CL140" s="382"/>
      <c r="CM140" s="382"/>
      <c r="CN140" s="382"/>
      <c r="CO140" s="382"/>
      <c r="CP140" s="382"/>
      <c r="CQ140" s="382"/>
      <c r="CR140" s="382"/>
      <c r="CS140" s="382"/>
      <c r="CT140" s="382"/>
      <c r="CU140" s="382"/>
      <c r="CV140" s="382"/>
      <c r="CW140" s="382"/>
      <c r="CX140" s="382"/>
      <c r="CY140" s="382"/>
      <c r="CZ140" s="382"/>
      <c r="DA140" s="382"/>
      <c r="DB140" s="382"/>
      <c r="DC140" s="382"/>
      <c r="DD140" s="382"/>
      <c r="DE140" s="382"/>
      <c r="DF140" s="382"/>
      <c r="DG140" s="382"/>
      <c r="DH140" s="382"/>
      <c r="DI140" s="382"/>
      <c r="DJ140" s="382"/>
      <c r="DK140" s="382"/>
      <c r="DL140" s="382"/>
      <c r="DM140" s="382"/>
      <c r="DN140" s="382"/>
      <c r="DO140" s="382"/>
      <c r="DP140" s="382"/>
      <c r="DQ140" s="382"/>
      <c r="DR140" s="382"/>
      <c r="DS140" s="382"/>
      <c r="DT140" s="382"/>
      <c r="DU140" s="382"/>
      <c r="DV140" s="382"/>
      <c r="DW140" s="382"/>
      <c r="DX140" s="382"/>
      <c r="DY140" s="382"/>
      <c r="DZ140" s="382"/>
      <c r="EA140" s="382"/>
      <c r="EB140" s="382"/>
      <c r="EC140" s="382"/>
      <c r="ED140" s="382"/>
      <c r="EE140" s="382"/>
      <c r="EF140" s="382"/>
      <c r="EG140" s="382"/>
      <c r="EH140" s="382"/>
      <c r="EI140" s="382"/>
      <c r="EJ140" s="382"/>
      <c r="EK140" s="382"/>
      <c r="EL140" s="382"/>
      <c r="EM140" s="382"/>
      <c r="EN140" s="382"/>
      <c r="EO140" s="382"/>
      <c r="EP140" s="382"/>
      <c r="EQ140" s="382"/>
      <c r="ER140" s="382"/>
      <c r="ES140" s="382"/>
      <c r="ET140" s="382"/>
      <c r="EU140" s="382"/>
      <c r="EV140" s="382"/>
      <c r="EW140" s="382"/>
      <c r="EX140" s="393" t="s">
        <v>269</v>
      </c>
      <c r="EY140" s="393"/>
      <c r="EZ140" s="440"/>
      <c r="FA140" s="440"/>
      <c r="FB140" s="440"/>
      <c r="FC140" s="440"/>
      <c r="FD140" s="440"/>
      <c r="FE140" s="382"/>
      <c r="FF140" s="382"/>
      <c r="FG140" s="382"/>
      <c r="FH140" s="382"/>
      <c r="FI140" s="382"/>
      <c r="FJ140" s="382"/>
      <c r="FK140" s="382"/>
      <c r="FL140" s="382"/>
      <c r="FM140" s="382"/>
    </row>
    <row r="141" spans="1:169" s="15" customFormat="1" hidden="1" outlineLevel="1" x14ac:dyDescent="0.2">
      <c r="A141" s="535"/>
      <c r="B141" s="535"/>
      <c r="C141" s="501"/>
      <c r="D141" s="501"/>
      <c r="E141" s="501"/>
      <c r="F141" s="792"/>
      <c r="G141" s="792"/>
      <c r="H141" s="792"/>
      <c r="I141" s="792"/>
      <c r="J141" s="792"/>
      <c r="K141" s="792"/>
      <c r="L141" s="792"/>
      <c r="M141" s="792"/>
      <c r="N141" s="792"/>
      <c r="O141" s="792"/>
      <c r="P141" s="792"/>
      <c r="Q141" s="792"/>
      <c r="R141" s="791"/>
      <c r="S141" s="753"/>
      <c r="T141" s="9"/>
      <c r="U141" s="9"/>
      <c r="V141" s="9"/>
      <c r="W141" s="9"/>
      <c r="X141" s="9"/>
      <c r="Y141" s="9"/>
      <c r="Z141" s="9"/>
      <c r="AA141" s="9"/>
      <c r="AB141" s="9"/>
      <c r="AC141" s="9"/>
      <c r="AF141" s="467"/>
      <c r="AG141" s="418"/>
      <c r="AH141" s="418"/>
      <c r="AI141" s="418"/>
      <c r="AJ141" s="418"/>
      <c r="AK141" s="418"/>
      <c r="AL141" s="418"/>
      <c r="AM141" s="418"/>
      <c r="AN141" s="418"/>
      <c r="AO141" s="418"/>
      <c r="AP141" s="418"/>
      <c r="AQ141" s="418"/>
      <c r="AR141" s="418"/>
      <c r="AS141" s="418"/>
      <c r="AT141" s="418"/>
      <c r="AU141" s="418"/>
      <c r="AV141" s="418"/>
      <c r="AW141" s="418"/>
      <c r="AX141" s="418"/>
      <c r="AY141" s="418"/>
      <c r="AZ141" s="418"/>
      <c r="BA141" s="418"/>
      <c r="BB141" s="418"/>
      <c r="BC141" s="418"/>
      <c r="BD141" s="418"/>
      <c r="BE141" s="418"/>
      <c r="BF141" s="418"/>
      <c r="BG141" s="418"/>
      <c r="BH141" s="418"/>
      <c r="BI141" s="418"/>
      <c r="BJ141" s="418"/>
      <c r="BK141" s="418"/>
      <c r="BL141" s="418"/>
      <c r="BM141" s="418"/>
      <c r="BN141" s="418"/>
      <c r="BO141" s="418"/>
      <c r="BP141" s="418"/>
      <c r="BQ141" s="418"/>
      <c r="BR141" s="418"/>
      <c r="BS141" s="418"/>
      <c r="BT141" s="418"/>
      <c r="BU141" s="418"/>
      <c r="BV141" s="418"/>
      <c r="BW141" s="418"/>
      <c r="BX141" s="418"/>
      <c r="BY141" s="418"/>
      <c r="BZ141" s="418"/>
      <c r="CA141" s="418"/>
      <c r="CB141" s="418"/>
      <c r="CC141" s="418"/>
      <c r="CD141" s="418"/>
      <c r="CE141" s="418"/>
      <c r="CF141" s="418"/>
      <c r="CG141" s="418"/>
      <c r="CH141" s="418"/>
      <c r="CI141" s="418"/>
      <c r="CJ141" s="418"/>
      <c r="CK141" s="418"/>
      <c r="CL141" s="418"/>
      <c r="CM141" s="418"/>
      <c r="CN141" s="418"/>
      <c r="CO141" s="418"/>
      <c r="CP141" s="418"/>
      <c r="CQ141" s="418"/>
      <c r="CR141" s="418"/>
      <c r="CS141" s="418"/>
      <c r="CT141" s="418"/>
      <c r="CU141" s="418"/>
      <c r="CV141" s="418"/>
      <c r="CW141" s="418"/>
      <c r="CX141" s="418"/>
      <c r="CY141" s="418"/>
      <c r="CZ141" s="418"/>
      <c r="DA141" s="418"/>
      <c r="DB141" s="418"/>
      <c r="DC141" s="418"/>
      <c r="DD141" s="418"/>
      <c r="DE141" s="418"/>
      <c r="DF141" s="418"/>
      <c r="DG141" s="418"/>
      <c r="DH141" s="418"/>
      <c r="DI141" s="418"/>
      <c r="DJ141" s="418"/>
      <c r="DK141" s="418"/>
      <c r="DL141" s="418"/>
      <c r="DM141" s="418"/>
      <c r="DN141" s="418"/>
      <c r="DO141" s="418"/>
      <c r="DP141" s="418"/>
      <c r="DQ141" s="418"/>
      <c r="DR141" s="418"/>
      <c r="DS141" s="418"/>
      <c r="DT141" s="418"/>
      <c r="DU141" s="418"/>
      <c r="DV141" s="418"/>
      <c r="DW141" s="418"/>
      <c r="DX141" s="418"/>
      <c r="DY141" s="418"/>
      <c r="DZ141" s="418"/>
      <c r="EA141" s="418"/>
      <c r="EB141" s="418"/>
      <c r="EC141" s="418"/>
      <c r="ED141" s="418"/>
      <c r="EE141" s="418"/>
      <c r="EF141" s="418"/>
      <c r="EG141" s="418"/>
      <c r="EH141" s="418"/>
      <c r="EI141" s="418"/>
      <c r="EJ141" s="418"/>
      <c r="EK141" s="418"/>
      <c r="EL141" s="418"/>
      <c r="EM141" s="418"/>
      <c r="EN141" s="418"/>
      <c r="EO141" s="418"/>
      <c r="EP141" s="418"/>
      <c r="EQ141" s="418"/>
      <c r="ER141" s="418"/>
      <c r="ES141" s="418"/>
      <c r="ET141" s="418"/>
      <c r="EU141" s="418"/>
      <c r="EV141" s="418"/>
      <c r="EW141" s="418"/>
      <c r="EX141" s="418"/>
      <c r="EY141" s="515"/>
      <c r="EZ141" s="440"/>
      <c r="FA141" s="440"/>
      <c r="FB141" s="440"/>
      <c r="FC141" s="440"/>
      <c r="FD141" s="440"/>
      <c r="FE141" s="418"/>
      <c r="FF141" s="418"/>
      <c r="FG141" s="418"/>
      <c r="FH141" s="418"/>
      <c r="FI141" s="418"/>
      <c r="FJ141" s="418"/>
      <c r="FK141" s="418"/>
      <c r="FL141" s="418"/>
      <c r="FM141" s="418"/>
    </row>
    <row r="142" spans="1:169" s="15" customFormat="1" hidden="1" outlineLevel="1" x14ac:dyDescent="0.2">
      <c r="A142" s="412"/>
      <c r="B142" s="412"/>
      <c r="C142" s="501"/>
      <c r="D142" s="501"/>
      <c r="E142" s="501"/>
      <c r="F142" s="501"/>
      <c r="G142" s="501"/>
      <c r="H142" s="501"/>
      <c r="I142" s="758"/>
      <c r="J142" s="758"/>
      <c r="K142" s="758"/>
      <c r="L142" s="758"/>
      <c r="M142" s="758"/>
      <c r="N142" s="758"/>
      <c r="O142" s="758"/>
      <c r="P142" s="758"/>
      <c r="Q142" s="758"/>
      <c r="R142" s="9"/>
      <c r="S142" s="9"/>
      <c r="T142" s="9"/>
      <c r="U142" s="9"/>
      <c r="V142" s="9"/>
      <c r="W142" s="9"/>
      <c r="X142" s="9"/>
      <c r="Y142" s="9"/>
      <c r="Z142" s="9"/>
      <c r="AA142" s="9"/>
      <c r="AB142" s="9"/>
      <c r="AC142" s="9"/>
      <c r="AF142" s="467"/>
      <c r="AG142" s="418"/>
      <c r="AH142" s="418"/>
      <c r="AI142" s="418"/>
      <c r="AJ142" s="418"/>
      <c r="AK142" s="418"/>
      <c r="AL142" s="418"/>
      <c r="AM142" s="418"/>
      <c r="AN142" s="418"/>
      <c r="AO142" s="418"/>
      <c r="AP142" s="418"/>
      <c r="AQ142" s="418"/>
      <c r="AR142" s="418"/>
      <c r="AS142" s="418"/>
      <c r="AT142" s="418"/>
      <c r="AU142" s="418"/>
      <c r="AV142" s="418"/>
      <c r="AW142" s="418"/>
      <c r="AX142" s="418"/>
      <c r="AY142" s="418"/>
      <c r="AZ142" s="418"/>
      <c r="BA142" s="418"/>
      <c r="BB142" s="418"/>
      <c r="BC142" s="418"/>
      <c r="BD142" s="418"/>
      <c r="BE142" s="418"/>
      <c r="BF142" s="418"/>
      <c r="BG142" s="418"/>
      <c r="BH142" s="418"/>
      <c r="BI142" s="418"/>
      <c r="BJ142" s="418"/>
      <c r="BK142" s="418"/>
      <c r="BL142" s="418"/>
      <c r="BM142" s="418"/>
      <c r="BN142" s="418"/>
      <c r="BO142" s="418"/>
      <c r="BP142" s="418"/>
      <c r="BQ142" s="418"/>
      <c r="BR142" s="418"/>
      <c r="BS142" s="418"/>
      <c r="BT142" s="418"/>
      <c r="BU142" s="418"/>
      <c r="BV142" s="418"/>
      <c r="BW142" s="418"/>
      <c r="BX142" s="418"/>
      <c r="BY142" s="418"/>
      <c r="BZ142" s="418"/>
      <c r="CA142" s="418"/>
      <c r="CB142" s="418"/>
      <c r="CC142" s="418"/>
      <c r="CD142" s="418"/>
      <c r="CE142" s="418"/>
      <c r="CF142" s="418"/>
      <c r="CG142" s="418"/>
      <c r="CH142" s="418"/>
      <c r="CI142" s="418"/>
      <c r="CJ142" s="418"/>
      <c r="CK142" s="418"/>
      <c r="CL142" s="418"/>
      <c r="CM142" s="418"/>
      <c r="CN142" s="418"/>
      <c r="CO142" s="418"/>
      <c r="CP142" s="418"/>
      <c r="CQ142" s="418"/>
      <c r="CR142" s="418"/>
      <c r="CS142" s="418"/>
      <c r="CT142" s="418"/>
      <c r="CU142" s="418"/>
      <c r="CV142" s="418"/>
      <c r="CW142" s="418"/>
      <c r="CX142" s="418"/>
      <c r="CY142" s="418"/>
      <c r="CZ142" s="418"/>
      <c r="DA142" s="418"/>
      <c r="DB142" s="418"/>
      <c r="DC142" s="418"/>
      <c r="DD142" s="418"/>
      <c r="DE142" s="418"/>
      <c r="DF142" s="418"/>
      <c r="DG142" s="418"/>
      <c r="DH142" s="418"/>
      <c r="DI142" s="418"/>
      <c r="DJ142" s="418"/>
      <c r="DK142" s="418"/>
      <c r="DL142" s="418"/>
      <c r="DM142" s="418"/>
      <c r="DN142" s="418"/>
      <c r="DO142" s="418"/>
      <c r="DP142" s="418"/>
      <c r="DQ142" s="418"/>
      <c r="DR142" s="418"/>
      <c r="DS142" s="418"/>
      <c r="DT142" s="418"/>
      <c r="DU142" s="418"/>
      <c r="DV142" s="418"/>
      <c r="DW142" s="418"/>
      <c r="DX142" s="418"/>
      <c r="DY142" s="418"/>
      <c r="DZ142" s="418"/>
      <c r="EA142" s="418"/>
      <c r="EB142" s="418"/>
      <c r="EC142" s="418"/>
      <c r="ED142" s="418"/>
      <c r="EE142" s="418"/>
      <c r="EF142" s="418"/>
      <c r="EG142" s="418"/>
      <c r="EH142" s="418"/>
      <c r="EI142" s="418"/>
      <c r="EJ142" s="418"/>
      <c r="EK142" s="418"/>
      <c r="EL142" s="418"/>
      <c r="EM142" s="418"/>
      <c r="EN142" s="418"/>
      <c r="EO142" s="418"/>
      <c r="EP142" s="418"/>
      <c r="EQ142" s="418"/>
      <c r="ER142" s="418"/>
      <c r="ES142" s="418"/>
      <c r="ET142" s="418"/>
      <c r="EU142" s="418"/>
      <c r="EV142" s="418"/>
      <c r="EW142" s="418"/>
      <c r="EX142" s="418"/>
      <c r="EY142" s="515"/>
      <c r="EZ142" s="440"/>
      <c r="FA142" s="440"/>
      <c r="FB142" s="440"/>
      <c r="FC142" s="440"/>
      <c r="FD142" s="440"/>
      <c r="FE142" s="418"/>
      <c r="FF142" s="418"/>
      <c r="FG142" s="418"/>
      <c r="FH142" s="418"/>
      <c r="FI142" s="418"/>
      <c r="FJ142" s="418"/>
      <c r="FK142" s="418"/>
      <c r="FL142" s="418"/>
      <c r="FM142" s="418"/>
    </row>
    <row r="143" spans="1:169" s="15" customFormat="1" hidden="1" outlineLevel="1" x14ac:dyDescent="0.2">
      <c r="A143" s="412"/>
      <c r="B143" s="412"/>
      <c r="C143" s="501"/>
      <c r="D143" s="501"/>
      <c r="E143" s="501"/>
      <c r="F143" s="501"/>
      <c r="G143" s="501"/>
      <c r="H143" s="501"/>
      <c r="I143" s="758"/>
      <c r="J143" s="501"/>
      <c r="K143" s="758"/>
      <c r="L143" s="501"/>
      <c r="M143" s="758"/>
      <c r="N143" s="501"/>
      <c r="O143" s="501"/>
      <c r="P143" s="758"/>
      <c r="Q143" s="501"/>
      <c r="R143" s="9"/>
      <c r="S143" s="9"/>
      <c r="T143" s="9"/>
      <c r="U143" s="9"/>
      <c r="V143" s="9"/>
      <c r="W143" s="9"/>
      <c r="X143" s="9"/>
      <c r="Y143" s="9"/>
      <c r="Z143" s="9"/>
      <c r="AA143" s="9"/>
      <c r="AB143" s="9"/>
      <c r="AC143" s="9"/>
      <c r="AF143" s="467"/>
      <c r="AG143" s="418"/>
      <c r="AH143" s="418"/>
      <c r="AI143" s="418"/>
      <c r="AJ143" s="418"/>
      <c r="AK143" s="418"/>
      <c r="AL143" s="418"/>
      <c r="AM143" s="418"/>
      <c r="AN143" s="418"/>
      <c r="AO143" s="418"/>
      <c r="AP143" s="418"/>
      <c r="AQ143" s="418"/>
      <c r="AR143" s="418"/>
      <c r="AS143" s="418"/>
      <c r="AT143" s="418"/>
      <c r="AU143" s="418"/>
      <c r="AV143" s="418"/>
      <c r="AW143" s="418"/>
      <c r="AX143" s="418"/>
      <c r="AY143" s="418"/>
      <c r="AZ143" s="418"/>
      <c r="BA143" s="418"/>
      <c r="BB143" s="418"/>
      <c r="BC143" s="418"/>
      <c r="BD143" s="418"/>
      <c r="BE143" s="418"/>
      <c r="BF143" s="418"/>
      <c r="BG143" s="418"/>
      <c r="BH143" s="418"/>
      <c r="BI143" s="418"/>
      <c r="BJ143" s="418"/>
      <c r="BK143" s="418"/>
      <c r="BL143" s="418"/>
      <c r="BM143" s="418"/>
      <c r="BN143" s="418"/>
      <c r="BO143" s="418"/>
      <c r="BP143" s="418"/>
      <c r="BQ143" s="418"/>
      <c r="BR143" s="418"/>
      <c r="BS143" s="418"/>
      <c r="BT143" s="418"/>
      <c r="BU143" s="418"/>
      <c r="BV143" s="418"/>
      <c r="BW143" s="418"/>
      <c r="BX143" s="418"/>
      <c r="BY143" s="418"/>
      <c r="BZ143" s="418"/>
      <c r="CA143" s="418"/>
      <c r="CB143" s="418"/>
      <c r="CC143" s="418"/>
      <c r="CD143" s="418"/>
      <c r="CE143" s="418"/>
      <c r="CF143" s="418"/>
      <c r="CG143" s="418"/>
      <c r="CH143" s="418"/>
      <c r="CI143" s="418"/>
      <c r="CJ143" s="418"/>
      <c r="CK143" s="418"/>
      <c r="CL143" s="418"/>
      <c r="CM143" s="418"/>
      <c r="CN143" s="418"/>
      <c r="CO143" s="418"/>
      <c r="CP143" s="418"/>
      <c r="CQ143" s="418"/>
      <c r="CR143" s="418"/>
      <c r="CS143" s="418"/>
      <c r="CT143" s="418"/>
      <c r="CU143" s="418"/>
      <c r="CV143" s="418"/>
      <c r="CW143" s="418"/>
      <c r="CX143" s="418"/>
      <c r="CY143" s="418"/>
      <c r="CZ143" s="418"/>
      <c r="DA143" s="418"/>
      <c r="DB143" s="418"/>
      <c r="DC143" s="418"/>
      <c r="DD143" s="418"/>
      <c r="DE143" s="418"/>
      <c r="DF143" s="418"/>
      <c r="DG143" s="418"/>
      <c r="DH143" s="418"/>
      <c r="DI143" s="418"/>
      <c r="DJ143" s="418"/>
      <c r="DK143" s="418"/>
      <c r="DL143" s="418"/>
      <c r="DM143" s="418"/>
      <c r="DN143" s="418"/>
      <c r="DO143" s="418"/>
      <c r="DP143" s="418"/>
      <c r="DQ143" s="418"/>
      <c r="DR143" s="418"/>
      <c r="DS143" s="418"/>
      <c r="DT143" s="418"/>
      <c r="DU143" s="418"/>
      <c r="DV143" s="418"/>
      <c r="DW143" s="418"/>
      <c r="DX143" s="418"/>
      <c r="DY143" s="418"/>
      <c r="DZ143" s="418"/>
      <c r="EA143" s="418"/>
      <c r="EB143" s="418"/>
      <c r="EC143" s="418"/>
      <c r="ED143" s="418"/>
      <c r="EE143" s="418"/>
      <c r="EF143" s="418"/>
      <c r="EG143" s="418"/>
      <c r="EH143" s="418"/>
      <c r="EI143" s="418"/>
      <c r="EJ143" s="418"/>
      <c r="EK143" s="418"/>
      <c r="EL143" s="418"/>
      <c r="EM143" s="418"/>
      <c r="EN143" s="418"/>
      <c r="EO143" s="418"/>
      <c r="EP143" s="418"/>
      <c r="EQ143" s="418"/>
      <c r="ER143" s="418"/>
      <c r="ES143" s="418"/>
      <c r="ET143" s="418"/>
      <c r="EU143" s="418"/>
      <c r="EV143" s="418"/>
      <c r="EW143" s="418"/>
      <c r="EX143" s="418"/>
      <c r="EY143" s="515"/>
      <c r="EZ143" s="440"/>
      <c r="FA143" s="440"/>
      <c r="FB143" s="440"/>
      <c r="FC143" s="440"/>
      <c r="FD143" s="440"/>
      <c r="FE143" s="418"/>
      <c r="FF143" s="418"/>
      <c r="FG143" s="418"/>
      <c r="FH143" s="418"/>
      <c r="FI143" s="418"/>
      <c r="FJ143" s="418"/>
      <c r="FK143" s="418"/>
      <c r="FL143" s="418"/>
      <c r="FM143" s="418"/>
    </row>
    <row r="144" spans="1:169" s="15" customFormat="1" hidden="1" outlineLevel="1" x14ac:dyDescent="0.2">
      <c r="A144" s="412"/>
      <c r="B144" s="412"/>
      <c r="I144" s="514"/>
      <c r="K144" s="514"/>
      <c r="M144" s="514"/>
      <c r="P144" s="514"/>
      <c r="R144" s="9"/>
      <c r="S144" s="9"/>
      <c r="T144" s="9"/>
      <c r="U144" s="9"/>
      <c r="V144" s="9"/>
      <c r="W144" s="9"/>
      <c r="X144" s="9"/>
      <c r="Y144" s="9"/>
      <c r="Z144" s="9"/>
      <c r="AA144" s="9"/>
      <c r="AB144" s="9"/>
      <c r="AC144" s="9"/>
      <c r="AF144" s="467"/>
      <c r="AG144" s="418"/>
      <c r="AH144" s="418"/>
      <c r="AI144" s="418"/>
      <c r="AJ144" s="418"/>
      <c r="AK144" s="418"/>
      <c r="AL144" s="418"/>
      <c r="AM144" s="418"/>
      <c r="AN144" s="418"/>
      <c r="AO144" s="418"/>
      <c r="AP144" s="418"/>
      <c r="AQ144" s="418"/>
      <c r="AR144" s="418"/>
      <c r="AS144" s="418"/>
      <c r="AT144" s="418"/>
      <c r="AU144" s="418"/>
      <c r="AV144" s="418"/>
      <c r="AW144" s="418"/>
      <c r="AX144" s="418"/>
      <c r="AY144" s="418"/>
      <c r="AZ144" s="418"/>
      <c r="BA144" s="418"/>
      <c r="BB144" s="418"/>
      <c r="BC144" s="418"/>
      <c r="BD144" s="418"/>
      <c r="BE144" s="418"/>
      <c r="BF144" s="418"/>
      <c r="BG144" s="418"/>
      <c r="BH144" s="418"/>
      <c r="BI144" s="418"/>
      <c r="BJ144" s="418"/>
      <c r="BK144" s="418"/>
      <c r="BL144" s="418"/>
      <c r="BM144" s="418"/>
      <c r="BN144" s="418"/>
      <c r="BO144" s="418"/>
      <c r="BP144" s="418"/>
      <c r="BQ144" s="418"/>
      <c r="BR144" s="418"/>
      <c r="BS144" s="418"/>
      <c r="BT144" s="418"/>
      <c r="BU144" s="418"/>
      <c r="BV144" s="418"/>
      <c r="BW144" s="418"/>
      <c r="BX144" s="418"/>
      <c r="BY144" s="418"/>
      <c r="BZ144" s="418"/>
      <c r="CA144" s="418"/>
      <c r="CB144" s="418"/>
      <c r="CC144" s="418"/>
      <c r="CD144" s="418"/>
      <c r="CE144" s="418"/>
      <c r="CF144" s="418"/>
      <c r="CG144" s="418"/>
      <c r="CH144" s="418"/>
      <c r="CI144" s="418"/>
      <c r="CJ144" s="418"/>
      <c r="CK144" s="418"/>
      <c r="CL144" s="418"/>
      <c r="CM144" s="418"/>
      <c r="CN144" s="418"/>
      <c r="CO144" s="418"/>
      <c r="CP144" s="418"/>
      <c r="CQ144" s="418"/>
      <c r="CR144" s="418"/>
      <c r="CS144" s="418"/>
      <c r="CT144" s="418"/>
      <c r="CU144" s="418"/>
      <c r="CV144" s="418"/>
      <c r="CW144" s="418"/>
      <c r="CX144" s="418"/>
      <c r="CY144" s="418"/>
      <c r="CZ144" s="418"/>
      <c r="DA144" s="418"/>
      <c r="DB144" s="418"/>
      <c r="DC144" s="418"/>
      <c r="DD144" s="418"/>
      <c r="DE144" s="418"/>
      <c r="DF144" s="418"/>
      <c r="DG144" s="418"/>
      <c r="DH144" s="418"/>
      <c r="DI144" s="418"/>
      <c r="DJ144" s="418"/>
      <c r="DK144" s="418"/>
      <c r="DL144" s="418"/>
      <c r="DM144" s="418"/>
      <c r="DN144" s="418"/>
      <c r="DO144" s="418"/>
      <c r="DP144" s="418"/>
      <c r="DQ144" s="418"/>
      <c r="DR144" s="418"/>
      <c r="DS144" s="418"/>
      <c r="DT144" s="418"/>
      <c r="DU144" s="418"/>
      <c r="DV144" s="418"/>
      <c r="DW144" s="418"/>
      <c r="DX144" s="418"/>
      <c r="DY144" s="418"/>
      <c r="DZ144" s="418"/>
      <c r="EA144" s="418"/>
      <c r="EB144" s="418"/>
      <c r="EC144" s="418"/>
      <c r="ED144" s="418"/>
      <c r="EE144" s="418"/>
      <c r="EF144" s="418"/>
      <c r="EG144" s="418"/>
      <c r="EH144" s="418"/>
      <c r="EI144" s="418"/>
      <c r="EJ144" s="418"/>
      <c r="EK144" s="418"/>
      <c r="EL144" s="418"/>
      <c r="EM144" s="418"/>
      <c r="EN144" s="418"/>
      <c r="EO144" s="418"/>
      <c r="EP144" s="418"/>
      <c r="EQ144" s="418"/>
      <c r="ER144" s="418"/>
      <c r="ES144" s="418"/>
      <c r="ET144" s="418"/>
      <c r="EU144" s="418"/>
      <c r="EV144" s="418"/>
      <c r="EW144" s="418"/>
      <c r="EX144" s="418"/>
      <c r="EY144" s="515"/>
      <c r="EZ144" s="440"/>
      <c r="FA144" s="440"/>
      <c r="FB144" s="440"/>
      <c r="FC144" s="440"/>
      <c r="FD144" s="440"/>
      <c r="FE144" s="418"/>
      <c r="FF144" s="418"/>
      <c r="FG144" s="418"/>
      <c r="FH144" s="418"/>
      <c r="FI144" s="418"/>
      <c r="FJ144" s="418"/>
      <c r="FK144" s="418"/>
      <c r="FL144" s="418"/>
      <c r="FM144" s="418"/>
    </row>
    <row r="145" spans="1:169" s="15" customFormat="1" hidden="1" outlineLevel="1" x14ac:dyDescent="0.2">
      <c r="A145" s="412"/>
      <c r="B145" s="412"/>
      <c r="I145" s="514"/>
      <c r="K145" s="514"/>
      <c r="M145" s="514"/>
      <c r="P145" s="514"/>
      <c r="R145" s="9"/>
      <c r="S145" s="9"/>
      <c r="T145" s="9"/>
      <c r="U145" s="9"/>
      <c r="V145" s="9"/>
      <c r="W145" s="9"/>
      <c r="X145" s="9"/>
      <c r="Y145" s="9"/>
      <c r="Z145" s="9"/>
      <c r="AA145" s="9"/>
      <c r="AB145" s="9"/>
      <c r="AC145" s="9"/>
      <c r="AF145" s="467"/>
      <c r="AG145" s="418"/>
      <c r="AH145" s="418"/>
      <c r="AI145" s="418"/>
      <c r="AJ145" s="418"/>
      <c r="AK145" s="418"/>
      <c r="AL145" s="418"/>
      <c r="AM145" s="418"/>
      <c r="AN145" s="418"/>
      <c r="AO145" s="418"/>
      <c r="AP145" s="418"/>
      <c r="AQ145" s="418"/>
      <c r="AR145" s="418"/>
      <c r="AS145" s="418"/>
      <c r="AT145" s="418"/>
      <c r="AU145" s="418"/>
      <c r="AV145" s="418"/>
      <c r="AW145" s="418"/>
      <c r="AX145" s="418"/>
      <c r="AY145" s="418"/>
      <c r="AZ145" s="418"/>
      <c r="BA145" s="418"/>
      <c r="BB145" s="418"/>
      <c r="BC145" s="418"/>
      <c r="BD145" s="418"/>
      <c r="BE145" s="418"/>
      <c r="BF145" s="418"/>
      <c r="BG145" s="418"/>
      <c r="BH145" s="418"/>
      <c r="BI145" s="418"/>
      <c r="BJ145" s="418"/>
      <c r="BK145" s="418"/>
      <c r="BL145" s="418"/>
      <c r="BM145" s="418"/>
      <c r="BN145" s="418"/>
      <c r="BO145" s="418"/>
      <c r="BP145" s="418"/>
      <c r="BQ145" s="418"/>
      <c r="BR145" s="418"/>
      <c r="BS145" s="418"/>
      <c r="BT145" s="418"/>
      <c r="BU145" s="418"/>
      <c r="BV145" s="418"/>
      <c r="BW145" s="418"/>
      <c r="BX145" s="418"/>
      <c r="BY145" s="418"/>
      <c r="BZ145" s="418"/>
      <c r="CA145" s="418"/>
      <c r="CB145" s="418"/>
      <c r="CC145" s="418"/>
      <c r="CD145" s="418"/>
      <c r="CE145" s="418"/>
      <c r="CF145" s="418"/>
      <c r="CG145" s="418"/>
      <c r="CH145" s="418"/>
      <c r="CI145" s="418"/>
      <c r="CJ145" s="418"/>
      <c r="CK145" s="418"/>
      <c r="CL145" s="418"/>
      <c r="CM145" s="418"/>
      <c r="CN145" s="418"/>
      <c r="CO145" s="418"/>
      <c r="CP145" s="418"/>
      <c r="CQ145" s="418"/>
      <c r="CR145" s="418"/>
      <c r="CS145" s="418"/>
      <c r="CT145" s="418"/>
      <c r="CU145" s="418"/>
      <c r="CV145" s="418"/>
      <c r="CW145" s="418"/>
      <c r="CX145" s="418"/>
      <c r="CY145" s="418"/>
      <c r="CZ145" s="418"/>
      <c r="DA145" s="418"/>
      <c r="DB145" s="418"/>
      <c r="DC145" s="418"/>
      <c r="DD145" s="418"/>
      <c r="DE145" s="418"/>
      <c r="DF145" s="418"/>
      <c r="DG145" s="418"/>
      <c r="DH145" s="418"/>
      <c r="DI145" s="418"/>
      <c r="DJ145" s="418"/>
      <c r="DK145" s="418"/>
      <c r="DL145" s="418"/>
      <c r="DM145" s="418"/>
      <c r="DN145" s="418"/>
      <c r="DO145" s="418"/>
      <c r="DP145" s="418"/>
      <c r="DQ145" s="418"/>
      <c r="DR145" s="418"/>
      <c r="DS145" s="418"/>
      <c r="DT145" s="418"/>
      <c r="DU145" s="418"/>
      <c r="DV145" s="418"/>
      <c r="DW145" s="418"/>
      <c r="DX145" s="418"/>
      <c r="DY145" s="418"/>
      <c r="DZ145" s="418"/>
      <c r="EA145" s="418"/>
      <c r="EB145" s="418"/>
      <c r="EC145" s="418"/>
      <c r="ED145" s="418"/>
      <c r="EE145" s="418"/>
      <c r="EF145" s="418"/>
      <c r="EG145" s="418"/>
      <c r="EH145" s="418"/>
      <c r="EI145" s="418"/>
      <c r="EJ145" s="418"/>
      <c r="EK145" s="418"/>
      <c r="EL145" s="418"/>
      <c r="EM145" s="418"/>
      <c r="EN145" s="418"/>
      <c r="EO145" s="418"/>
      <c r="EP145" s="418"/>
      <c r="EQ145" s="418"/>
      <c r="ER145" s="418"/>
      <c r="ES145" s="418"/>
      <c r="ET145" s="418"/>
      <c r="EU145" s="418"/>
      <c r="EV145" s="418"/>
      <c r="EW145" s="418"/>
      <c r="EX145" s="418"/>
      <c r="EY145" s="515"/>
      <c r="EZ145" s="440"/>
      <c r="FA145" s="440"/>
      <c r="FB145" s="440"/>
      <c r="FC145" s="440"/>
      <c r="FD145" s="440"/>
      <c r="FE145" s="418"/>
      <c r="FF145" s="418"/>
      <c r="FG145" s="418"/>
      <c r="FH145" s="418"/>
      <c r="FI145" s="418"/>
      <c r="FJ145" s="418"/>
      <c r="FK145" s="418"/>
      <c r="FL145" s="418"/>
      <c r="FM145" s="418"/>
    </row>
    <row r="146" spans="1:169" s="15" customFormat="1" hidden="1" outlineLevel="1" x14ac:dyDescent="0.2">
      <c r="A146" s="412"/>
      <c r="B146" s="412"/>
      <c r="I146" s="514"/>
      <c r="K146" s="514"/>
      <c r="M146" s="514"/>
      <c r="P146" s="514"/>
      <c r="R146" s="9"/>
      <c r="S146" s="9"/>
      <c r="T146" s="9"/>
      <c r="U146" s="9"/>
      <c r="V146" s="9"/>
      <c r="W146" s="9"/>
      <c r="X146" s="9"/>
      <c r="Y146" s="9"/>
      <c r="Z146" s="9"/>
      <c r="AA146" s="9"/>
      <c r="AB146" s="9"/>
      <c r="AC146" s="9"/>
      <c r="AF146" s="467"/>
      <c r="AG146" s="418"/>
      <c r="AH146" s="418"/>
      <c r="AI146" s="418"/>
      <c r="AJ146" s="418"/>
      <c r="AK146" s="418"/>
      <c r="AL146" s="418"/>
      <c r="AM146" s="418"/>
      <c r="AN146" s="418"/>
      <c r="AO146" s="418"/>
      <c r="AP146" s="418"/>
      <c r="AQ146" s="418"/>
      <c r="AR146" s="418"/>
      <c r="AS146" s="418"/>
      <c r="AT146" s="418"/>
      <c r="AU146" s="418"/>
      <c r="AV146" s="418"/>
      <c r="AW146" s="418"/>
      <c r="AX146" s="418"/>
      <c r="AY146" s="418"/>
      <c r="AZ146" s="418"/>
      <c r="BA146" s="418"/>
      <c r="BB146" s="418"/>
      <c r="BC146" s="418"/>
      <c r="BD146" s="418"/>
      <c r="BE146" s="418"/>
      <c r="BF146" s="418"/>
      <c r="BG146" s="418"/>
      <c r="BH146" s="418"/>
      <c r="BI146" s="418"/>
      <c r="BJ146" s="418"/>
      <c r="BK146" s="418"/>
      <c r="BL146" s="418"/>
      <c r="BM146" s="418"/>
      <c r="BN146" s="418"/>
      <c r="BO146" s="418"/>
      <c r="BP146" s="418"/>
      <c r="BQ146" s="418"/>
      <c r="BR146" s="418"/>
      <c r="BS146" s="418"/>
      <c r="BT146" s="418"/>
      <c r="BU146" s="418"/>
      <c r="BV146" s="418"/>
      <c r="BW146" s="418"/>
      <c r="BX146" s="418"/>
      <c r="BY146" s="418"/>
      <c r="BZ146" s="418"/>
      <c r="CA146" s="418"/>
      <c r="CB146" s="418"/>
      <c r="CC146" s="418"/>
      <c r="CD146" s="418"/>
      <c r="CE146" s="418"/>
      <c r="CF146" s="418"/>
      <c r="CG146" s="418"/>
      <c r="CH146" s="418"/>
      <c r="CI146" s="418"/>
      <c r="CJ146" s="418"/>
      <c r="CK146" s="418"/>
      <c r="CL146" s="418"/>
      <c r="CM146" s="418"/>
      <c r="CN146" s="418"/>
      <c r="CO146" s="418"/>
      <c r="CP146" s="418"/>
      <c r="CQ146" s="418"/>
      <c r="CR146" s="418"/>
      <c r="CS146" s="418"/>
      <c r="CT146" s="418"/>
      <c r="CU146" s="418"/>
      <c r="CV146" s="418"/>
      <c r="CW146" s="418"/>
      <c r="CX146" s="418"/>
      <c r="CY146" s="418"/>
      <c r="CZ146" s="418"/>
      <c r="DA146" s="418"/>
      <c r="DB146" s="418"/>
      <c r="DC146" s="418"/>
      <c r="DD146" s="418"/>
      <c r="DE146" s="418"/>
      <c r="DF146" s="418"/>
      <c r="DG146" s="418"/>
      <c r="DH146" s="418"/>
      <c r="DI146" s="418"/>
      <c r="DJ146" s="418"/>
      <c r="DK146" s="418"/>
      <c r="DL146" s="418"/>
      <c r="DM146" s="418"/>
      <c r="DN146" s="418"/>
      <c r="DO146" s="418"/>
      <c r="DP146" s="418"/>
      <c r="DQ146" s="418"/>
      <c r="DR146" s="418"/>
      <c r="DS146" s="418"/>
      <c r="DT146" s="418"/>
      <c r="DU146" s="418"/>
      <c r="DV146" s="418"/>
      <c r="DW146" s="418"/>
      <c r="DX146" s="418"/>
      <c r="DY146" s="418"/>
      <c r="DZ146" s="418"/>
      <c r="EA146" s="418"/>
      <c r="EB146" s="418"/>
      <c r="EC146" s="418"/>
      <c r="ED146" s="418"/>
      <c r="EE146" s="418"/>
      <c r="EF146" s="418"/>
      <c r="EG146" s="418"/>
      <c r="EH146" s="418"/>
      <c r="EI146" s="418"/>
      <c r="EJ146" s="418"/>
      <c r="EK146" s="418"/>
      <c r="EL146" s="418"/>
      <c r="EM146" s="418"/>
      <c r="EN146" s="418"/>
      <c r="EO146" s="418"/>
      <c r="EP146" s="418"/>
      <c r="EQ146" s="418"/>
      <c r="ER146" s="418"/>
      <c r="ES146" s="418"/>
      <c r="ET146" s="418"/>
      <c r="EU146" s="418"/>
      <c r="EV146" s="418"/>
      <c r="EW146" s="418"/>
      <c r="EX146" s="418"/>
      <c r="EY146" s="515"/>
      <c r="EZ146" s="440"/>
      <c r="FA146" s="440"/>
      <c r="FB146" s="440"/>
      <c r="FC146" s="440"/>
      <c r="FD146" s="440"/>
      <c r="FE146" s="418"/>
      <c r="FF146" s="418"/>
      <c r="FG146" s="418"/>
      <c r="FH146" s="418"/>
      <c r="FI146" s="418"/>
      <c r="FJ146" s="418"/>
      <c r="FK146" s="418"/>
      <c r="FL146" s="418"/>
      <c r="FM146" s="418"/>
    </row>
    <row r="147" spans="1:169" s="15" customFormat="1" hidden="1" outlineLevel="1" x14ac:dyDescent="0.2">
      <c r="A147" s="412"/>
      <c r="B147" s="412"/>
      <c r="I147" s="514"/>
      <c r="K147" s="514"/>
      <c r="M147" s="514"/>
      <c r="P147" s="514"/>
      <c r="R147" s="9"/>
      <c r="S147" s="9"/>
      <c r="T147" s="9"/>
      <c r="U147" s="9"/>
      <c r="V147" s="9"/>
      <c r="W147" s="9"/>
      <c r="X147" s="9"/>
      <c r="Y147" s="9"/>
      <c r="Z147" s="9"/>
      <c r="AA147" s="9"/>
      <c r="AB147" s="9"/>
      <c r="AC147" s="9"/>
      <c r="AF147" s="467"/>
      <c r="AG147" s="418"/>
      <c r="AH147" s="418"/>
      <c r="AI147" s="418"/>
      <c r="AJ147" s="418"/>
      <c r="AK147" s="418"/>
      <c r="AL147" s="418"/>
      <c r="AM147" s="418"/>
      <c r="AN147" s="418"/>
      <c r="AO147" s="418"/>
      <c r="AP147" s="418"/>
      <c r="AQ147" s="418"/>
      <c r="AR147" s="418"/>
      <c r="AS147" s="418"/>
      <c r="AT147" s="418"/>
      <c r="AU147" s="418"/>
      <c r="AV147" s="418"/>
      <c r="AW147" s="418"/>
      <c r="AX147" s="418"/>
      <c r="AY147" s="418"/>
      <c r="AZ147" s="418"/>
      <c r="BA147" s="418"/>
      <c r="BB147" s="418"/>
      <c r="BC147" s="418"/>
      <c r="BD147" s="418"/>
      <c r="BE147" s="418"/>
      <c r="BF147" s="418"/>
      <c r="BG147" s="418"/>
      <c r="BH147" s="418"/>
      <c r="BI147" s="418"/>
      <c r="BJ147" s="418"/>
      <c r="BK147" s="418"/>
      <c r="BL147" s="418"/>
      <c r="BM147" s="418"/>
      <c r="BN147" s="418"/>
      <c r="BO147" s="418"/>
      <c r="BP147" s="418"/>
      <c r="BQ147" s="418"/>
      <c r="BR147" s="418"/>
      <c r="BS147" s="418"/>
      <c r="BT147" s="418"/>
      <c r="BU147" s="418"/>
      <c r="BV147" s="418"/>
      <c r="BW147" s="418"/>
      <c r="BX147" s="418"/>
      <c r="BY147" s="418"/>
      <c r="BZ147" s="418"/>
      <c r="CA147" s="418"/>
      <c r="CB147" s="418"/>
      <c r="CC147" s="418"/>
      <c r="CD147" s="418"/>
      <c r="CE147" s="418"/>
      <c r="CF147" s="418"/>
      <c r="CG147" s="418"/>
      <c r="CH147" s="418"/>
      <c r="CI147" s="418"/>
      <c r="CJ147" s="418"/>
      <c r="CK147" s="418"/>
      <c r="CL147" s="418"/>
      <c r="CM147" s="418"/>
      <c r="CN147" s="418"/>
      <c r="CO147" s="418"/>
      <c r="CP147" s="418"/>
      <c r="CQ147" s="418"/>
      <c r="CR147" s="418"/>
      <c r="CS147" s="418"/>
      <c r="CT147" s="418"/>
      <c r="CU147" s="418"/>
      <c r="CV147" s="418"/>
      <c r="CW147" s="418"/>
      <c r="CX147" s="418"/>
      <c r="CY147" s="418"/>
      <c r="CZ147" s="418"/>
      <c r="DA147" s="418"/>
      <c r="DB147" s="418"/>
      <c r="DC147" s="418"/>
      <c r="DD147" s="418"/>
      <c r="DE147" s="418"/>
      <c r="DF147" s="418"/>
      <c r="DG147" s="418"/>
      <c r="DH147" s="418"/>
      <c r="DI147" s="418"/>
      <c r="DJ147" s="418"/>
      <c r="DK147" s="418"/>
      <c r="DL147" s="418"/>
      <c r="DM147" s="418"/>
      <c r="DN147" s="418"/>
      <c r="DO147" s="418"/>
      <c r="DP147" s="418"/>
      <c r="DQ147" s="418"/>
      <c r="DR147" s="418"/>
      <c r="DS147" s="418"/>
      <c r="DT147" s="418"/>
      <c r="DU147" s="418"/>
      <c r="DV147" s="418"/>
      <c r="DW147" s="418"/>
      <c r="DX147" s="418"/>
      <c r="DY147" s="418"/>
      <c r="DZ147" s="418"/>
      <c r="EA147" s="418"/>
      <c r="EB147" s="418"/>
      <c r="EC147" s="418"/>
      <c r="ED147" s="418"/>
      <c r="EE147" s="418"/>
      <c r="EF147" s="418"/>
      <c r="EG147" s="418"/>
      <c r="EH147" s="418"/>
      <c r="EI147" s="418"/>
      <c r="EJ147" s="418"/>
      <c r="EK147" s="418"/>
      <c r="EL147" s="418"/>
      <c r="EM147" s="418"/>
      <c r="EN147" s="418"/>
      <c r="EO147" s="418"/>
      <c r="EP147" s="418"/>
      <c r="EQ147" s="418"/>
      <c r="ER147" s="418"/>
      <c r="ES147" s="418"/>
      <c r="ET147" s="418"/>
      <c r="EU147" s="418"/>
      <c r="EV147" s="418"/>
      <c r="EW147" s="418"/>
      <c r="EX147" s="418"/>
      <c r="EY147" s="515"/>
      <c r="EZ147" s="440"/>
      <c r="FA147" s="440"/>
      <c r="FB147" s="440"/>
      <c r="FC147" s="440"/>
      <c r="FD147" s="440"/>
      <c r="FE147" s="418"/>
      <c r="FF147" s="418"/>
      <c r="FG147" s="418"/>
      <c r="FH147" s="418"/>
      <c r="FI147" s="418"/>
      <c r="FJ147" s="418"/>
      <c r="FK147" s="418"/>
      <c r="FL147" s="418"/>
      <c r="FM147" s="418"/>
    </row>
    <row r="148" spans="1:169" s="15" customFormat="1" hidden="1" outlineLevel="1" x14ac:dyDescent="0.2">
      <c r="A148" s="412"/>
      <c r="B148" s="412"/>
      <c r="I148" s="514"/>
      <c r="K148" s="514"/>
      <c r="M148" s="514"/>
      <c r="P148" s="514"/>
      <c r="R148" s="9"/>
      <c r="S148" s="9"/>
      <c r="T148" s="9"/>
      <c r="U148" s="9"/>
      <c r="V148" s="9"/>
      <c r="W148" s="9"/>
      <c r="X148" s="9"/>
      <c r="Y148" s="9"/>
      <c r="Z148" s="9"/>
      <c r="AA148" s="9"/>
      <c r="AB148" s="9"/>
      <c r="AC148" s="9"/>
      <c r="AF148" s="467"/>
      <c r="AG148" s="418"/>
      <c r="AH148" s="418"/>
      <c r="AI148" s="418"/>
      <c r="AJ148" s="418"/>
      <c r="AK148" s="418"/>
      <c r="AL148" s="418"/>
      <c r="AM148" s="418"/>
      <c r="AN148" s="418"/>
      <c r="AO148" s="418"/>
      <c r="AP148" s="418"/>
      <c r="AQ148" s="418"/>
      <c r="AR148" s="418"/>
      <c r="AS148" s="418"/>
      <c r="AT148" s="418"/>
      <c r="AU148" s="418"/>
      <c r="AV148" s="418"/>
      <c r="AW148" s="418"/>
      <c r="AX148" s="418"/>
      <c r="AY148" s="418"/>
      <c r="AZ148" s="418"/>
      <c r="BA148" s="418"/>
      <c r="BB148" s="418"/>
      <c r="BC148" s="418"/>
      <c r="BD148" s="418"/>
      <c r="BE148" s="418"/>
      <c r="BF148" s="418"/>
      <c r="BG148" s="418"/>
      <c r="BH148" s="418"/>
      <c r="BI148" s="418"/>
      <c r="BJ148" s="418"/>
      <c r="BK148" s="418"/>
      <c r="BL148" s="418"/>
      <c r="BM148" s="418"/>
      <c r="BN148" s="418"/>
      <c r="BO148" s="418"/>
      <c r="BP148" s="418"/>
      <c r="BQ148" s="418"/>
      <c r="BR148" s="418"/>
      <c r="BS148" s="418"/>
      <c r="BT148" s="418"/>
      <c r="BU148" s="418"/>
      <c r="BV148" s="418"/>
      <c r="BW148" s="418"/>
      <c r="BX148" s="418"/>
      <c r="BY148" s="418"/>
      <c r="BZ148" s="418"/>
      <c r="CA148" s="418"/>
      <c r="CB148" s="418"/>
      <c r="CC148" s="418"/>
      <c r="CD148" s="418"/>
      <c r="CE148" s="418"/>
      <c r="CF148" s="418"/>
      <c r="CG148" s="418"/>
      <c r="CH148" s="418"/>
      <c r="CI148" s="418"/>
      <c r="CJ148" s="418"/>
      <c r="CK148" s="418"/>
      <c r="CL148" s="418"/>
      <c r="CM148" s="418"/>
      <c r="CN148" s="418"/>
      <c r="CO148" s="418"/>
      <c r="CP148" s="418"/>
      <c r="CQ148" s="418"/>
      <c r="CR148" s="418"/>
      <c r="CS148" s="418"/>
      <c r="CT148" s="418"/>
      <c r="CU148" s="418"/>
      <c r="CV148" s="418"/>
      <c r="CW148" s="418"/>
      <c r="CX148" s="418"/>
      <c r="CY148" s="418"/>
      <c r="CZ148" s="418"/>
      <c r="DA148" s="418"/>
      <c r="DB148" s="418"/>
      <c r="DC148" s="418"/>
      <c r="DD148" s="418"/>
      <c r="DE148" s="418"/>
      <c r="DF148" s="418"/>
      <c r="DG148" s="418"/>
      <c r="DH148" s="418"/>
      <c r="DI148" s="418"/>
      <c r="DJ148" s="418"/>
      <c r="DK148" s="418"/>
      <c r="DL148" s="418"/>
      <c r="DM148" s="418"/>
      <c r="DN148" s="418"/>
      <c r="DO148" s="418"/>
      <c r="DP148" s="418"/>
      <c r="DQ148" s="418"/>
      <c r="DR148" s="418"/>
      <c r="DS148" s="418"/>
      <c r="DT148" s="418"/>
      <c r="DU148" s="418"/>
      <c r="DV148" s="418"/>
      <c r="DW148" s="418"/>
      <c r="DX148" s="418"/>
      <c r="DY148" s="418"/>
      <c r="DZ148" s="418"/>
      <c r="EA148" s="418"/>
      <c r="EB148" s="418"/>
      <c r="EC148" s="418"/>
      <c r="ED148" s="418"/>
      <c r="EE148" s="418"/>
      <c r="EF148" s="418"/>
      <c r="EG148" s="418"/>
      <c r="EH148" s="418"/>
      <c r="EI148" s="418"/>
      <c r="EJ148" s="418"/>
      <c r="EK148" s="418"/>
      <c r="EL148" s="418"/>
      <c r="EM148" s="418"/>
      <c r="EN148" s="418"/>
      <c r="EO148" s="418"/>
      <c r="EP148" s="418"/>
      <c r="EQ148" s="418"/>
      <c r="ER148" s="418"/>
      <c r="ES148" s="418"/>
      <c r="ET148" s="418"/>
      <c r="EU148" s="418"/>
      <c r="EV148" s="418"/>
      <c r="EW148" s="418"/>
      <c r="EX148" s="418"/>
      <c r="EY148" s="515"/>
      <c r="EZ148" s="440"/>
      <c r="FA148" s="440"/>
      <c r="FB148" s="440"/>
      <c r="FC148" s="440"/>
      <c r="FD148" s="440"/>
      <c r="FE148" s="418"/>
      <c r="FF148" s="418"/>
      <c r="FG148" s="418"/>
      <c r="FH148" s="418"/>
      <c r="FI148" s="418"/>
      <c r="FJ148" s="418"/>
      <c r="FK148" s="418"/>
      <c r="FL148" s="418"/>
      <c r="FM148" s="418"/>
    </row>
    <row r="149" spans="1:169" s="15" customFormat="1" hidden="1" outlineLevel="1" x14ac:dyDescent="0.2">
      <c r="A149" s="412"/>
      <c r="B149" s="412"/>
      <c r="I149" s="514"/>
      <c r="K149" s="514"/>
      <c r="M149" s="514"/>
      <c r="P149" s="514"/>
      <c r="R149" s="9"/>
      <c r="S149" s="9"/>
      <c r="T149" s="9"/>
      <c r="U149" s="9"/>
      <c r="V149" s="9"/>
      <c r="W149" s="9"/>
      <c r="X149" s="9"/>
      <c r="Y149" s="9"/>
      <c r="Z149" s="9"/>
      <c r="AA149" s="9"/>
      <c r="AB149" s="9"/>
      <c r="AC149" s="9"/>
      <c r="AF149" s="467"/>
      <c r="AG149" s="418"/>
      <c r="AH149" s="418"/>
      <c r="AI149" s="418"/>
      <c r="AJ149" s="418"/>
      <c r="AK149" s="418"/>
      <c r="AL149" s="418"/>
      <c r="AM149" s="418"/>
      <c r="AN149" s="418"/>
      <c r="AO149" s="418"/>
      <c r="AP149" s="418"/>
      <c r="AQ149" s="418"/>
      <c r="AR149" s="418"/>
      <c r="AS149" s="418"/>
      <c r="AT149" s="418"/>
      <c r="AU149" s="418"/>
      <c r="AV149" s="418"/>
      <c r="AW149" s="418"/>
      <c r="AX149" s="418"/>
      <c r="AY149" s="418"/>
      <c r="AZ149" s="418"/>
      <c r="BA149" s="418"/>
      <c r="BB149" s="418"/>
      <c r="BC149" s="418"/>
      <c r="BD149" s="418"/>
      <c r="BE149" s="418"/>
      <c r="BF149" s="418"/>
      <c r="BG149" s="418"/>
      <c r="BH149" s="418"/>
      <c r="BI149" s="418"/>
      <c r="BJ149" s="418"/>
      <c r="BK149" s="418"/>
      <c r="BL149" s="418"/>
      <c r="BM149" s="418"/>
      <c r="BN149" s="418"/>
      <c r="BO149" s="418"/>
      <c r="BP149" s="418"/>
      <c r="BQ149" s="418"/>
      <c r="BR149" s="418"/>
      <c r="BS149" s="418"/>
      <c r="BT149" s="418"/>
      <c r="BU149" s="418"/>
      <c r="BV149" s="418"/>
      <c r="BW149" s="418"/>
      <c r="BX149" s="418"/>
      <c r="BY149" s="418"/>
      <c r="BZ149" s="418"/>
      <c r="CA149" s="418"/>
      <c r="CB149" s="418"/>
      <c r="CC149" s="418"/>
      <c r="CD149" s="418"/>
      <c r="CE149" s="418"/>
      <c r="CF149" s="418"/>
      <c r="CG149" s="418"/>
      <c r="CH149" s="418"/>
      <c r="CI149" s="418"/>
      <c r="CJ149" s="418"/>
      <c r="CK149" s="418"/>
      <c r="CL149" s="418"/>
      <c r="CM149" s="418"/>
      <c r="CN149" s="418"/>
      <c r="CO149" s="418"/>
      <c r="CP149" s="418"/>
      <c r="CQ149" s="418"/>
      <c r="CR149" s="418"/>
      <c r="CS149" s="418"/>
      <c r="CT149" s="418"/>
      <c r="CU149" s="418"/>
      <c r="CV149" s="418"/>
      <c r="CW149" s="418"/>
      <c r="CX149" s="418"/>
      <c r="CY149" s="418"/>
      <c r="CZ149" s="418"/>
      <c r="DA149" s="418"/>
      <c r="DB149" s="418"/>
      <c r="DC149" s="418"/>
      <c r="DD149" s="418"/>
      <c r="DE149" s="418"/>
      <c r="DF149" s="418"/>
      <c r="DG149" s="418"/>
      <c r="DH149" s="418"/>
      <c r="DI149" s="418"/>
      <c r="DJ149" s="418"/>
      <c r="DK149" s="418"/>
      <c r="DL149" s="418"/>
      <c r="DM149" s="418"/>
      <c r="DN149" s="418"/>
      <c r="DO149" s="418"/>
      <c r="DP149" s="418"/>
      <c r="DQ149" s="418"/>
      <c r="DR149" s="418"/>
      <c r="DS149" s="418"/>
      <c r="DT149" s="418"/>
      <c r="DU149" s="418"/>
      <c r="DV149" s="418"/>
      <c r="DW149" s="418"/>
      <c r="DX149" s="418"/>
      <c r="DY149" s="418"/>
      <c r="DZ149" s="418"/>
      <c r="EA149" s="418"/>
      <c r="EB149" s="418"/>
      <c r="EC149" s="418"/>
      <c r="ED149" s="418"/>
      <c r="EE149" s="418"/>
      <c r="EF149" s="418"/>
      <c r="EG149" s="418"/>
      <c r="EH149" s="418"/>
      <c r="EI149" s="418"/>
      <c r="EJ149" s="418"/>
      <c r="EK149" s="418"/>
      <c r="EL149" s="418"/>
      <c r="EM149" s="418"/>
      <c r="EN149" s="418"/>
      <c r="EO149" s="418"/>
      <c r="EP149" s="418"/>
      <c r="EQ149" s="418"/>
      <c r="ER149" s="418"/>
      <c r="ES149" s="418"/>
      <c r="ET149" s="418"/>
      <c r="EU149" s="418"/>
      <c r="EV149" s="418"/>
      <c r="EW149" s="418"/>
      <c r="EX149" s="418"/>
      <c r="EY149" s="515"/>
      <c r="EZ149" s="440"/>
      <c r="FA149" s="440"/>
      <c r="FB149" s="440"/>
      <c r="FC149" s="440"/>
      <c r="FD149" s="440"/>
      <c r="FE149" s="418"/>
      <c r="FF149" s="418"/>
      <c r="FG149" s="418"/>
      <c r="FH149" s="418"/>
      <c r="FI149" s="418"/>
      <c r="FJ149" s="418"/>
      <c r="FK149" s="418"/>
      <c r="FL149" s="418"/>
      <c r="FM149" s="418"/>
    </row>
    <row r="150" spans="1:169" hidden="1" outlineLevel="1" x14ac:dyDescent="0.2">
      <c r="B150" s="395"/>
      <c r="EZ150" s="440"/>
      <c r="FA150" s="440"/>
      <c r="FB150" s="440"/>
      <c r="FC150" s="440"/>
      <c r="FD150" s="440"/>
    </row>
    <row r="151" spans="1:169" collapsed="1" x14ac:dyDescent="0.2">
      <c r="B151" s="395"/>
      <c r="I151" s="597"/>
      <c r="EZ151" s="440"/>
      <c r="FA151" s="440"/>
      <c r="FB151" s="440"/>
      <c r="FC151" s="440"/>
      <c r="FD151" s="440"/>
    </row>
    <row r="152" spans="1:169" s="546" customFormat="1" ht="13.5" customHeight="1" x14ac:dyDescent="0.25">
      <c r="A152" s="377" t="s">
        <v>61</v>
      </c>
      <c r="B152" s="522"/>
      <c r="C152" s="516"/>
      <c r="D152" s="516"/>
      <c r="E152" s="523"/>
      <c r="F152" s="517"/>
      <c r="G152" s="517"/>
      <c r="H152" s="517"/>
      <c r="I152" s="517"/>
      <c r="J152" s="517"/>
      <c r="K152" s="379" t="s">
        <v>312</v>
      </c>
      <c r="L152" s="517"/>
      <c r="M152" s="517"/>
      <c r="N152" s="517"/>
      <c r="O152" s="517"/>
      <c r="P152" s="517"/>
      <c r="Q152" s="517"/>
      <c r="R152" s="518"/>
      <c r="S152" s="518"/>
      <c r="T152" s="518"/>
      <c r="U152" s="518"/>
      <c r="V152" s="518"/>
      <c r="W152" s="518"/>
      <c r="X152" s="518"/>
      <c r="Y152" s="518"/>
      <c r="Z152" s="518"/>
      <c r="AA152" s="518"/>
      <c r="AB152" s="518"/>
      <c r="AC152" s="380" t="str">
        <f>"Period Ending "&amp;TEXT(AH8,"mmmm dd, yyy")</f>
        <v>Period Ending August 31, 2014</v>
      </c>
      <c r="AD152" s="545"/>
      <c r="AF152" s="547"/>
      <c r="AG152" s="548"/>
      <c r="AH152" s="548"/>
      <c r="AI152" s="548"/>
      <c r="AJ152" s="548"/>
      <c r="AK152" s="548"/>
      <c r="AL152" s="548"/>
      <c r="AM152" s="548"/>
      <c r="AN152" s="548"/>
      <c r="AO152" s="548"/>
      <c r="AP152" s="548"/>
      <c r="AQ152" s="548"/>
      <c r="AR152" s="548"/>
      <c r="AS152" s="548"/>
      <c r="AT152" s="548"/>
      <c r="AU152" s="548"/>
      <c r="AV152" s="548"/>
      <c r="AW152" s="548"/>
      <c r="AX152" s="548"/>
      <c r="AY152" s="548"/>
      <c r="AZ152" s="548"/>
      <c r="BA152" s="548"/>
      <c r="BB152" s="548"/>
      <c r="BC152" s="548"/>
      <c r="BD152" s="548"/>
      <c r="BE152" s="548"/>
      <c r="BF152" s="548"/>
      <c r="BG152" s="548"/>
      <c r="BH152" s="548"/>
      <c r="BI152" s="548"/>
      <c r="BJ152" s="548"/>
      <c r="BK152" s="548"/>
      <c r="BL152" s="548"/>
      <c r="BM152" s="548"/>
      <c r="BN152" s="548"/>
      <c r="BO152" s="548"/>
      <c r="BP152" s="548"/>
      <c r="BQ152" s="548"/>
      <c r="BR152" s="548"/>
      <c r="BS152" s="548"/>
      <c r="BT152" s="548"/>
      <c r="BU152" s="548"/>
      <c r="BV152" s="548"/>
      <c r="BW152" s="548"/>
      <c r="BX152" s="548"/>
      <c r="BY152" s="548"/>
      <c r="BZ152" s="548"/>
      <c r="CA152" s="548"/>
      <c r="CB152" s="548"/>
      <c r="CC152" s="548"/>
      <c r="CD152" s="548"/>
      <c r="CE152" s="548"/>
      <c r="CF152" s="548"/>
      <c r="CG152" s="548"/>
      <c r="CH152" s="548"/>
      <c r="CI152" s="548"/>
      <c r="CJ152" s="548"/>
      <c r="CK152" s="548"/>
      <c r="CL152" s="548"/>
      <c r="CM152" s="548"/>
      <c r="CN152" s="548"/>
      <c r="CO152" s="548"/>
      <c r="CP152" s="548"/>
      <c r="CQ152" s="548"/>
      <c r="CR152" s="548"/>
      <c r="CS152" s="548"/>
      <c r="CT152" s="548"/>
      <c r="CU152" s="548"/>
      <c r="CV152" s="548"/>
      <c r="CW152" s="548"/>
      <c r="CX152" s="548"/>
      <c r="CY152" s="548"/>
      <c r="CZ152" s="548"/>
      <c r="DA152" s="548"/>
      <c r="DB152" s="548"/>
      <c r="DC152" s="548"/>
      <c r="DD152" s="548"/>
      <c r="DE152" s="548"/>
      <c r="DF152" s="548"/>
      <c r="DG152" s="548"/>
      <c r="DH152" s="548"/>
      <c r="DI152" s="548"/>
      <c r="DJ152" s="548"/>
      <c r="DK152" s="548"/>
      <c r="DL152" s="548"/>
      <c r="DM152" s="548"/>
      <c r="DN152" s="548"/>
      <c r="DO152" s="548"/>
      <c r="DP152" s="548"/>
      <c r="DQ152" s="548"/>
      <c r="DR152" s="548"/>
      <c r="DS152" s="548"/>
      <c r="DT152" s="548"/>
      <c r="DU152" s="548"/>
      <c r="DV152" s="548"/>
      <c r="DW152" s="548"/>
      <c r="DX152" s="548"/>
      <c r="DY152" s="548"/>
      <c r="DZ152" s="548"/>
      <c r="EA152" s="548"/>
      <c r="EB152" s="548"/>
      <c r="EC152" s="548"/>
      <c r="ED152" s="548"/>
      <c r="EE152" s="548"/>
      <c r="EF152" s="548"/>
      <c r="EG152" s="548"/>
      <c r="EH152" s="548"/>
      <c r="EI152" s="548"/>
      <c r="EJ152" s="548"/>
      <c r="EK152" s="548"/>
      <c r="EL152" s="548"/>
      <c r="EM152" s="548"/>
      <c r="EN152" s="548"/>
      <c r="EO152" s="548"/>
      <c r="EP152" s="548"/>
      <c r="EQ152" s="548"/>
      <c r="ER152" s="548"/>
      <c r="ES152" s="548"/>
      <c r="ET152" s="548"/>
      <c r="EU152" s="548"/>
      <c r="EV152" s="548"/>
      <c r="EW152" s="548"/>
      <c r="EX152" s="548"/>
      <c r="EY152" s="549"/>
      <c r="EZ152" s="440"/>
      <c r="FA152" s="440"/>
      <c r="FB152" s="440"/>
      <c r="FC152" s="440"/>
      <c r="FD152" s="440"/>
      <c r="FE152" s="548"/>
      <c r="FF152" s="548"/>
      <c r="FG152" s="548"/>
      <c r="FH152" s="548"/>
      <c r="FI152" s="548"/>
      <c r="FJ152" s="548"/>
      <c r="FK152" s="548"/>
      <c r="FL152" s="548"/>
      <c r="FM152" s="548"/>
    </row>
    <row r="153" spans="1:169" s="501" customFormat="1" ht="13.5" customHeight="1" x14ac:dyDescent="0.25">
      <c r="A153" s="384" t="s">
        <v>62</v>
      </c>
      <c r="B153" s="522"/>
      <c r="C153" s="516"/>
      <c r="D153" s="516"/>
      <c r="E153" s="523"/>
      <c r="F153" s="517"/>
      <c r="G153" s="517"/>
      <c r="H153" s="517"/>
      <c r="I153" s="517"/>
      <c r="J153" s="517"/>
      <c r="K153" s="379" t="s">
        <v>346</v>
      </c>
      <c r="L153" s="517"/>
      <c r="M153" s="517"/>
      <c r="N153" s="517"/>
      <c r="O153" s="517"/>
      <c r="P153" s="517"/>
      <c r="Q153" s="517"/>
      <c r="R153" s="518"/>
      <c r="S153" s="518"/>
      <c r="T153" s="518"/>
      <c r="U153" s="518"/>
      <c r="V153" s="518"/>
      <c r="W153" s="518"/>
      <c r="X153" s="518"/>
      <c r="Y153" s="518"/>
      <c r="Z153" s="518"/>
      <c r="AA153" s="518"/>
      <c r="AB153" s="518"/>
      <c r="AC153" s="518"/>
      <c r="AD153" s="516"/>
      <c r="AF153" s="519"/>
      <c r="AG153" s="520"/>
      <c r="AH153" s="520"/>
      <c r="AI153" s="520"/>
      <c r="AJ153" s="520"/>
      <c r="AK153" s="520"/>
      <c r="AL153" s="520"/>
      <c r="AM153" s="520"/>
      <c r="AN153" s="520"/>
      <c r="AO153" s="520"/>
      <c r="AP153" s="520"/>
      <c r="AQ153" s="520"/>
      <c r="AR153" s="520"/>
      <c r="AS153" s="520"/>
      <c r="AT153" s="520"/>
      <c r="AU153" s="520"/>
      <c r="AV153" s="520"/>
      <c r="AW153" s="520"/>
      <c r="AX153" s="520"/>
      <c r="AY153" s="520"/>
      <c r="AZ153" s="520"/>
      <c r="BA153" s="520"/>
      <c r="BB153" s="520"/>
      <c r="BC153" s="520"/>
      <c r="BD153" s="520"/>
      <c r="BE153" s="520"/>
      <c r="BF153" s="520"/>
      <c r="BG153" s="520"/>
      <c r="BH153" s="520"/>
      <c r="BI153" s="520"/>
      <c r="BJ153" s="520"/>
      <c r="BK153" s="520"/>
      <c r="BL153" s="520"/>
      <c r="BM153" s="520"/>
      <c r="BN153" s="520"/>
      <c r="BO153" s="520"/>
      <c r="BP153" s="520"/>
      <c r="BQ153" s="520"/>
      <c r="BR153" s="520"/>
      <c r="BS153" s="520"/>
      <c r="BT153" s="520"/>
      <c r="BU153" s="520"/>
      <c r="BV153" s="520"/>
      <c r="BW153" s="520"/>
      <c r="BX153" s="520"/>
      <c r="BY153" s="520"/>
      <c r="BZ153" s="520"/>
      <c r="CA153" s="520"/>
      <c r="CB153" s="520"/>
      <c r="CC153" s="520"/>
      <c r="CD153" s="520"/>
      <c r="CE153" s="520"/>
      <c r="CF153" s="520"/>
      <c r="CG153" s="520"/>
      <c r="CH153" s="520"/>
      <c r="CI153" s="520"/>
      <c r="CJ153" s="520"/>
      <c r="CK153" s="520"/>
      <c r="CL153" s="520"/>
      <c r="CM153" s="520"/>
      <c r="CN153" s="520"/>
      <c r="CO153" s="520"/>
      <c r="CP153" s="520"/>
      <c r="CQ153" s="520"/>
      <c r="CR153" s="520"/>
      <c r="CS153" s="520"/>
      <c r="CT153" s="520"/>
      <c r="CU153" s="520"/>
      <c r="CV153" s="520"/>
      <c r="CW153" s="520"/>
      <c r="CX153" s="520"/>
      <c r="CY153" s="520"/>
      <c r="CZ153" s="520"/>
      <c r="DA153" s="520"/>
      <c r="DB153" s="520"/>
      <c r="DC153" s="520"/>
      <c r="DD153" s="520"/>
      <c r="DE153" s="520"/>
      <c r="DF153" s="520"/>
      <c r="DG153" s="520"/>
      <c r="DH153" s="520"/>
      <c r="DI153" s="520"/>
      <c r="DJ153" s="520"/>
      <c r="DK153" s="520"/>
      <c r="DL153" s="520"/>
      <c r="DM153" s="520"/>
      <c r="DN153" s="520"/>
      <c r="DO153" s="520"/>
      <c r="DP153" s="520"/>
      <c r="DQ153" s="520"/>
      <c r="DR153" s="520"/>
      <c r="DS153" s="520"/>
      <c r="DT153" s="520"/>
      <c r="DU153" s="520"/>
      <c r="DV153" s="520"/>
      <c r="DW153" s="520"/>
      <c r="DX153" s="520"/>
      <c r="DY153" s="520"/>
      <c r="DZ153" s="520"/>
      <c r="EA153" s="520"/>
      <c r="EB153" s="520"/>
      <c r="EC153" s="520"/>
      <c r="ED153" s="520"/>
      <c r="EE153" s="520"/>
      <c r="EF153" s="520"/>
      <c r="EG153" s="520"/>
      <c r="EH153" s="520"/>
      <c r="EI153" s="520"/>
      <c r="EJ153" s="520"/>
      <c r="EK153" s="520"/>
      <c r="EL153" s="520"/>
      <c r="EM153" s="520"/>
      <c r="EN153" s="520"/>
      <c r="EO153" s="520"/>
      <c r="EP153" s="520"/>
      <c r="EQ153" s="520"/>
      <c r="ER153" s="520"/>
      <c r="ES153" s="520"/>
      <c r="ET153" s="520"/>
      <c r="EU153" s="520"/>
      <c r="EV153" s="520"/>
      <c r="EW153" s="520"/>
      <c r="EX153" s="520"/>
      <c r="EY153" s="521"/>
      <c r="EZ153" s="440"/>
      <c r="FA153" s="440"/>
      <c r="FB153" s="440"/>
      <c r="FC153" s="440"/>
      <c r="FD153" s="440"/>
      <c r="FE153" s="520"/>
      <c r="FF153" s="520"/>
      <c r="FG153" s="520"/>
      <c r="FH153" s="520"/>
      <c r="FI153" s="520"/>
      <c r="FJ153" s="520"/>
      <c r="FK153" s="520"/>
      <c r="FL153" s="520"/>
      <c r="FM153" s="520"/>
    </row>
    <row r="154" spans="1:169" s="501" customFormat="1" ht="13.5" customHeight="1" x14ac:dyDescent="0.25">
      <c r="A154" s="522"/>
      <c r="B154" s="522"/>
      <c r="C154" s="516"/>
      <c r="D154" s="516"/>
      <c r="E154" s="523"/>
      <c r="F154" s="517"/>
      <c r="G154" s="517"/>
      <c r="H154" s="517"/>
      <c r="I154" s="517"/>
      <c r="J154" s="517"/>
      <c r="K154" s="379" t="s">
        <v>313</v>
      </c>
      <c r="L154" s="517"/>
      <c r="M154" s="517"/>
      <c r="N154" s="517"/>
      <c r="O154" s="517"/>
      <c r="P154" s="517"/>
      <c r="Q154" s="517"/>
      <c r="R154" s="518"/>
      <c r="S154" s="518"/>
      <c r="T154" s="518"/>
      <c r="U154" s="518"/>
      <c r="V154" s="518"/>
      <c r="W154" s="518"/>
      <c r="X154" s="518"/>
      <c r="Y154" s="518"/>
      <c r="Z154" s="518"/>
      <c r="AA154" s="518"/>
      <c r="AB154" s="518"/>
      <c r="AC154" s="518"/>
      <c r="AD154" s="516"/>
      <c r="AF154" s="519"/>
      <c r="AG154" s="520"/>
      <c r="AH154" s="520"/>
      <c r="AI154" s="520"/>
      <c r="AJ154" s="520"/>
      <c r="AK154" s="520"/>
      <c r="AL154" s="520"/>
      <c r="AM154" s="520"/>
      <c r="AN154" s="520"/>
      <c r="AO154" s="520"/>
      <c r="AP154" s="520"/>
      <c r="AQ154" s="520"/>
      <c r="AR154" s="520"/>
      <c r="AS154" s="520"/>
      <c r="AT154" s="520"/>
      <c r="AU154" s="520"/>
      <c r="AV154" s="520"/>
      <c r="AW154" s="520"/>
      <c r="AX154" s="520"/>
      <c r="AY154" s="520"/>
      <c r="AZ154" s="520"/>
      <c r="BA154" s="520"/>
      <c r="BB154" s="520"/>
      <c r="BC154" s="520"/>
      <c r="BD154" s="520"/>
      <c r="BE154" s="520"/>
      <c r="BF154" s="520"/>
      <c r="BG154" s="520"/>
      <c r="BH154" s="520"/>
      <c r="BI154" s="520"/>
      <c r="BJ154" s="520"/>
      <c r="BK154" s="520"/>
      <c r="BL154" s="520"/>
      <c r="BM154" s="520"/>
      <c r="BN154" s="520"/>
      <c r="BO154" s="520"/>
      <c r="BP154" s="520"/>
      <c r="BQ154" s="520"/>
      <c r="BR154" s="520"/>
      <c r="BS154" s="520"/>
      <c r="BT154" s="520"/>
      <c r="BU154" s="520"/>
      <c r="BV154" s="520"/>
      <c r="BW154" s="520"/>
      <c r="BX154" s="520"/>
      <c r="BY154" s="520"/>
      <c r="BZ154" s="520"/>
      <c r="CA154" s="520"/>
      <c r="CB154" s="520"/>
      <c r="CC154" s="520"/>
      <c r="CD154" s="520"/>
      <c r="CE154" s="520"/>
      <c r="CF154" s="520"/>
      <c r="CG154" s="520"/>
      <c r="CH154" s="520"/>
      <c r="CI154" s="520"/>
      <c r="CJ154" s="520"/>
      <c r="CK154" s="520"/>
      <c r="CL154" s="520"/>
      <c r="CM154" s="520"/>
      <c r="CN154" s="520"/>
      <c r="CO154" s="520"/>
      <c r="CP154" s="520"/>
      <c r="CQ154" s="520"/>
      <c r="CR154" s="520"/>
      <c r="CS154" s="520"/>
      <c r="CT154" s="520"/>
      <c r="CU154" s="520"/>
      <c r="CV154" s="520"/>
      <c r="CW154" s="520"/>
      <c r="CX154" s="520"/>
      <c r="CY154" s="520"/>
      <c r="CZ154" s="520"/>
      <c r="DA154" s="520"/>
      <c r="DB154" s="520"/>
      <c r="DC154" s="520"/>
      <c r="DD154" s="520"/>
      <c r="DE154" s="520"/>
      <c r="DF154" s="520"/>
      <c r="DG154" s="520"/>
      <c r="DH154" s="520"/>
      <c r="DI154" s="520"/>
      <c r="DJ154" s="520"/>
      <c r="DK154" s="520"/>
      <c r="DL154" s="520"/>
      <c r="DM154" s="520"/>
      <c r="DN154" s="520"/>
      <c r="DO154" s="520"/>
      <c r="DP154" s="520"/>
      <c r="DQ154" s="520"/>
      <c r="DR154" s="520"/>
      <c r="DS154" s="520"/>
      <c r="DT154" s="520"/>
      <c r="DU154" s="520"/>
      <c r="DV154" s="520"/>
      <c r="DW154" s="520"/>
      <c r="DX154" s="520"/>
      <c r="DY154" s="520"/>
      <c r="DZ154" s="520"/>
      <c r="EA154" s="520"/>
      <c r="EB154" s="520"/>
      <c r="EC154" s="520"/>
      <c r="ED154" s="520"/>
      <c r="EE154" s="520"/>
      <c r="EF154" s="520"/>
      <c r="EG154" s="520"/>
      <c r="EH154" s="520"/>
      <c r="EI154" s="520"/>
      <c r="EJ154" s="520"/>
      <c r="EK154" s="520"/>
      <c r="EL154" s="520"/>
      <c r="EM154" s="520"/>
      <c r="EN154" s="520"/>
      <c r="EO154" s="520"/>
      <c r="EP154" s="520"/>
      <c r="EQ154" s="520"/>
      <c r="ER154" s="520"/>
      <c r="ES154" s="520"/>
      <c r="ET154" s="520"/>
      <c r="EU154" s="520"/>
      <c r="EV154" s="520"/>
      <c r="EW154" s="520"/>
      <c r="EX154" s="520"/>
      <c r="EY154" s="521"/>
      <c r="EZ154" s="440"/>
      <c r="FA154" s="440"/>
      <c r="FB154" s="440"/>
      <c r="FC154" s="440"/>
      <c r="FD154" s="440"/>
      <c r="FE154" s="520"/>
      <c r="FF154" s="520"/>
      <c r="FG154" s="520"/>
      <c r="FH154" s="520"/>
      <c r="FI154" s="520"/>
      <c r="FJ154" s="520"/>
      <c r="FK154" s="520"/>
      <c r="FL154" s="520"/>
      <c r="FM154" s="520"/>
    </row>
    <row r="155" spans="1:169" s="501" customFormat="1" ht="13.5" customHeight="1" x14ac:dyDescent="0.2">
      <c r="A155" s="522"/>
      <c r="B155" s="522"/>
      <c r="C155" s="516"/>
      <c r="D155" s="516"/>
      <c r="E155" s="523"/>
      <c r="F155" s="517"/>
      <c r="G155" s="517"/>
      <c r="H155" s="517"/>
      <c r="I155" s="517"/>
      <c r="J155" s="517"/>
      <c r="K155" s="517"/>
      <c r="L155" s="517"/>
      <c r="M155" s="517"/>
      <c r="N155" s="517"/>
      <c r="O155" s="517"/>
      <c r="P155" s="517"/>
      <c r="Q155" s="517"/>
      <c r="R155" s="518"/>
      <c r="S155" s="518"/>
      <c r="T155" s="518"/>
      <c r="U155" s="518"/>
      <c r="V155" s="518"/>
      <c r="W155" s="518"/>
      <c r="X155" s="518"/>
      <c r="Y155" s="518"/>
      <c r="Z155" s="518"/>
      <c r="AA155" s="518"/>
      <c r="AB155" s="518"/>
      <c r="AC155" s="518"/>
      <c r="AD155" s="516"/>
      <c r="AF155" s="519"/>
      <c r="AG155" s="520"/>
      <c r="AH155" s="520"/>
      <c r="AI155" s="520"/>
      <c r="AJ155" s="520"/>
      <c r="AK155" s="520"/>
      <c r="AL155" s="520"/>
      <c r="AM155" s="520"/>
      <c r="AN155" s="520"/>
      <c r="AO155" s="520"/>
      <c r="AP155" s="520"/>
      <c r="AQ155" s="520"/>
      <c r="AR155" s="520"/>
      <c r="AS155" s="520"/>
      <c r="AT155" s="520"/>
      <c r="AU155" s="520"/>
      <c r="AV155" s="520"/>
      <c r="AW155" s="520"/>
      <c r="AX155" s="520"/>
      <c r="AY155" s="520"/>
      <c r="AZ155" s="520"/>
      <c r="BA155" s="520"/>
      <c r="BB155" s="520"/>
      <c r="BC155" s="520"/>
      <c r="BD155" s="520"/>
      <c r="BE155" s="520"/>
      <c r="BF155" s="520"/>
      <c r="BG155" s="520"/>
      <c r="BH155" s="520"/>
      <c r="BI155" s="520"/>
      <c r="BJ155" s="520"/>
      <c r="BK155" s="520"/>
      <c r="BL155" s="520"/>
      <c r="BM155" s="520"/>
      <c r="BN155" s="520"/>
      <c r="BO155" s="520"/>
      <c r="BP155" s="520"/>
      <c r="BQ155" s="520"/>
      <c r="BR155" s="520"/>
      <c r="BS155" s="520"/>
      <c r="BT155" s="520"/>
      <c r="BU155" s="520"/>
      <c r="BV155" s="520"/>
      <c r="BW155" s="520"/>
      <c r="BX155" s="520"/>
      <c r="BY155" s="520"/>
      <c r="BZ155" s="520"/>
      <c r="CA155" s="520"/>
      <c r="CB155" s="520"/>
      <c r="CC155" s="520"/>
      <c r="CD155" s="520"/>
      <c r="CE155" s="520"/>
      <c r="CF155" s="520"/>
      <c r="CG155" s="520"/>
      <c r="CH155" s="520"/>
      <c r="CI155" s="520"/>
      <c r="CJ155" s="520"/>
      <c r="CK155" s="520"/>
      <c r="CL155" s="520"/>
      <c r="CM155" s="520"/>
      <c r="CN155" s="520"/>
      <c r="CO155" s="520"/>
      <c r="CP155" s="520"/>
      <c r="CQ155" s="520"/>
      <c r="CR155" s="520"/>
      <c r="CS155" s="520"/>
      <c r="CT155" s="520"/>
      <c r="CU155" s="520"/>
      <c r="CV155" s="520"/>
      <c r="CW155" s="520"/>
      <c r="CX155" s="520"/>
      <c r="CY155" s="520"/>
      <c r="CZ155" s="520"/>
      <c r="DA155" s="520"/>
      <c r="DB155" s="520"/>
      <c r="DC155" s="520"/>
      <c r="DD155" s="520"/>
      <c r="DE155" s="520"/>
      <c r="DF155" s="520"/>
      <c r="DG155" s="520"/>
      <c r="DH155" s="520"/>
      <c r="DI155" s="520"/>
      <c r="DJ155" s="520"/>
      <c r="DK155" s="520"/>
      <c r="DL155" s="520"/>
      <c r="DM155" s="520"/>
      <c r="DN155" s="520"/>
      <c r="DO155" s="520"/>
      <c r="DP155" s="520"/>
      <c r="DQ155" s="520"/>
      <c r="DR155" s="520"/>
      <c r="DS155" s="520"/>
      <c r="DT155" s="520"/>
      <c r="DU155" s="520"/>
      <c r="DV155" s="520"/>
      <c r="DW155" s="520"/>
      <c r="DX155" s="520"/>
      <c r="DY155" s="520"/>
      <c r="DZ155" s="520"/>
      <c r="EA155" s="520"/>
      <c r="EB155" s="520"/>
      <c r="EC155" s="520"/>
      <c r="ED155" s="520"/>
      <c r="EE155" s="520"/>
      <c r="EF155" s="520"/>
      <c r="EG155" s="520"/>
      <c r="EH155" s="520"/>
      <c r="EI155" s="520"/>
      <c r="EJ155" s="520"/>
      <c r="EK155" s="520"/>
      <c r="EL155" s="520"/>
      <c r="EM155" s="520"/>
      <c r="EN155" s="520"/>
      <c r="EO155" s="520"/>
      <c r="EP155" s="520"/>
      <c r="EQ155" s="520"/>
      <c r="ER155" s="520"/>
      <c r="ES155" s="520"/>
      <c r="ET155" s="520"/>
      <c r="EU155" s="520"/>
      <c r="EV155" s="520"/>
      <c r="EW155" s="520"/>
      <c r="EX155" s="520"/>
      <c r="EY155" s="521"/>
      <c r="EZ155" s="440"/>
      <c r="FA155" s="440"/>
      <c r="FB155" s="440"/>
      <c r="FC155" s="440"/>
      <c r="FD155" s="440"/>
      <c r="FE155" s="520"/>
      <c r="FF155" s="520"/>
      <c r="FG155" s="520"/>
      <c r="FH155" s="520"/>
      <c r="FI155" s="520"/>
      <c r="FJ155" s="520"/>
      <c r="FK155" s="520"/>
      <c r="FL155" s="520"/>
      <c r="FM155" s="520"/>
    </row>
    <row r="156" spans="1:169" s="501" customFormat="1" ht="13.5" customHeight="1" x14ac:dyDescent="0.2">
      <c r="A156" s="522"/>
      <c r="B156" s="522"/>
      <c r="C156" s="516"/>
      <c r="D156" s="516"/>
      <c r="E156" s="523"/>
      <c r="F156" s="517"/>
      <c r="G156" s="517"/>
      <c r="H156" s="517"/>
      <c r="I156" s="517"/>
      <c r="J156" s="517"/>
      <c r="K156" s="517"/>
      <c r="L156" s="517"/>
      <c r="M156" s="517"/>
      <c r="N156" s="517"/>
      <c r="O156" s="517"/>
      <c r="P156" s="517"/>
      <c r="Q156" s="517"/>
      <c r="R156" s="518"/>
      <c r="S156" s="518"/>
      <c r="T156" s="518"/>
      <c r="U156" s="518"/>
      <c r="V156" s="518"/>
      <c r="W156" s="518"/>
      <c r="X156" s="518"/>
      <c r="Y156" s="518"/>
      <c r="Z156" s="518"/>
      <c r="AA156" s="518"/>
      <c r="AB156" s="518"/>
      <c r="AC156" s="518"/>
      <c r="AD156" s="516"/>
      <c r="AF156" s="519"/>
      <c r="AG156" s="520"/>
      <c r="AH156" s="520"/>
      <c r="AI156" s="520"/>
      <c r="AJ156" s="520"/>
      <c r="AK156" s="520"/>
      <c r="AL156" s="520"/>
      <c r="AM156" s="520"/>
      <c r="AN156" s="520"/>
      <c r="AO156" s="520"/>
      <c r="AP156" s="520"/>
      <c r="AQ156" s="520"/>
      <c r="AR156" s="520"/>
      <c r="AS156" s="520"/>
      <c r="AT156" s="520"/>
      <c r="AU156" s="520"/>
      <c r="AV156" s="520"/>
      <c r="AW156" s="520"/>
      <c r="AX156" s="520"/>
      <c r="AY156" s="520"/>
      <c r="AZ156" s="520"/>
      <c r="BA156" s="520"/>
      <c r="BB156" s="520"/>
      <c r="BC156" s="520"/>
      <c r="BD156" s="520"/>
      <c r="BE156" s="520"/>
      <c r="BF156" s="520"/>
      <c r="BG156" s="520"/>
      <c r="BH156" s="520"/>
      <c r="BI156" s="520"/>
      <c r="BJ156" s="520"/>
      <c r="BK156" s="520"/>
      <c r="BL156" s="520"/>
      <c r="BM156" s="520"/>
      <c r="BN156" s="520"/>
      <c r="BO156" s="520"/>
      <c r="BP156" s="520"/>
      <c r="BQ156" s="520"/>
      <c r="BR156" s="520"/>
      <c r="BS156" s="520"/>
      <c r="BT156" s="520"/>
      <c r="BU156" s="520"/>
      <c r="BV156" s="520"/>
      <c r="BW156" s="520"/>
      <c r="BX156" s="520"/>
      <c r="BY156" s="520"/>
      <c r="BZ156" s="520"/>
      <c r="CA156" s="520"/>
      <c r="CB156" s="520"/>
      <c r="CC156" s="520"/>
      <c r="CD156" s="520"/>
      <c r="CE156" s="520"/>
      <c r="CF156" s="520"/>
      <c r="CG156" s="520"/>
      <c r="CH156" s="520"/>
      <c r="CI156" s="520"/>
      <c r="CJ156" s="520"/>
      <c r="CK156" s="520"/>
      <c r="CL156" s="520"/>
      <c r="CM156" s="520"/>
      <c r="CN156" s="520"/>
      <c r="CO156" s="520"/>
      <c r="CP156" s="520"/>
      <c r="CQ156" s="520"/>
      <c r="CR156" s="520"/>
      <c r="CS156" s="520"/>
      <c r="CT156" s="520"/>
      <c r="CU156" s="520"/>
      <c r="CV156" s="520"/>
      <c r="CW156" s="520"/>
      <c r="CX156" s="520"/>
      <c r="CY156" s="520"/>
      <c r="CZ156" s="520"/>
      <c r="DA156" s="520"/>
      <c r="DB156" s="520"/>
      <c r="DC156" s="520"/>
      <c r="DD156" s="520"/>
      <c r="DE156" s="520"/>
      <c r="DF156" s="520"/>
      <c r="DG156" s="520"/>
      <c r="DH156" s="520"/>
      <c r="DI156" s="520"/>
      <c r="DJ156" s="520"/>
      <c r="DK156" s="520"/>
      <c r="DL156" s="520"/>
      <c r="DM156" s="520"/>
      <c r="DN156" s="520"/>
      <c r="DO156" s="520"/>
      <c r="DP156" s="520"/>
      <c r="DQ156" s="520"/>
      <c r="DR156" s="520"/>
      <c r="DS156" s="520"/>
      <c r="DT156" s="520"/>
      <c r="DU156" s="520"/>
      <c r="DV156" s="520"/>
      <c r="DW156" s="520"/>
      <c r="DX156" s="520"/>
      <c r="DY156" s="520"/>
      <c r="DZ156" s="520"/>
      <c r="EA156" s="520"/>
      <c r="EB156" s="520"/>
      <c r="EC156" s="520"/>
      <c r="ED156" s="520"/>
      <c r="EE156" s="520"/>
      <c r="EF156" s="520"/>
      <c r="EG156" s="520"/>
      <c r="EH156" s="520"/>
      <c r="EI156" s="520"/>
      <c r="EJ156" s="520"/>
      <c r="EK156" s="520"/>
      <c r="EL156" s="520"/>
      <c r="EM156" s="520"/>
      <c r="EN156" s="520"/>
      <c r="EO156" s="520"/>
      <c r="EP156" s="520"/>
      <c r="EQ156" s="520"/>
      <c r="ER156" s="520"/>
      <c r="ES156" s="520"/>
      <c r="ET156" s="520"/>
      <c r="EU156" s="520"/>
      <c r="EV156" s="520"/>
      <c r="EW156" s="520"/>
      <c r="EX156" s="520"/>
      <c r="EY156" s="521"/>
      <c r="EZ156" s="440"/>
      <c r="FA156" s="440"/>
      <c r="FB156" s="440"/>
      <c r="FC156" s="440"/>
      <c r="FD156" s="440"/>
      <c r="FE156" s="520"/>
      <c r="FF156" s="520"/>
      <c r="FG156" s="520"/>
      <c r="FH156" s="520"/>
      <c r="FI156" s="520"/>
      <c r="FJ156" s="520"/>
      <c r="FK156" s="520"/>
      <c r="FL156" s="520"/>
      <c r="FM156" s="520"/>
    </row>
    <row r="157" spans="1:169" s="501" customFormat="1" ht="13.5" customHeight="1" thickBot="1" x14ac:dyDescent="0.25">
      <c r="A157" s="522"/>
      <c r="B157" s="522"/>
      <c r="C157" s="516"/>
      <c r="D157" s="516"/>
      <c r="E157" s="523"/>
      <c r="F157" s="517"/>
      <c r="G157" s="517"/>
      <c r="H157" s="517"/>
      <c r="I157" s="517"/>
      <c r="J157" s="517"/>
      <c r="K157" s="517"/>
      <c r="L157" s="517"/>
      <c r="M157" s="517"/>
      <c r="N157" s="517"/>
      <c r="O157" s="517"/>
      <c r="P157" s="517"/>
      <c r="Q157" s="517"/>
      <c r="R157" s="518"/>
      <c r="S157" s="518"/>
      <c r="T157" s="518"/>
      <c r="U157" s="518"/>
      <c r="V157" s="518"/>
      <c r="W157" s="518"/>
      <c r="X157" s="518"/>
      <c r="Y157" s="518"/>
      <c r="Z157" s="518"/>
      <c r="AA157" s="518"/>
      <c r="AB157" s="518"/>
      <c r="AC157" s="518"/>
      <c r="AD157" s="516"/>
      <c r="AF157" s="519"/>
      <c r="AG157" s="520"/>
      <c r="AH157" s="520"/>
      <c r="AI157" s="520"/>
      <c r="AJ157" s="520"/>
      <c r="AK157" s="520"/>
      <c r="AL157" s="520"/>
      <c r="AM157" s="520"/>
      <c r="AN157" s="520"/>
      <c r="AO157" s="520"/>
      <c r="AP157" s="520"/>
      <c r="AQ157" s="520"/>
      <c r="AR157" s="520"/>
      <c r="AS157" s="520"/>
      <c r="AT157" s="520"/>
      <c r="AU157" s="520"/>
      <c r="AV157" s="520"/>
      <c r="AW157" s="520"/>
      <c r="AX157" s="520"/>
      <c r="AY157" s="520"/>
      <c r="AZ157" s="520"/>
      <c r="BA157" s="520"/>
      <c r="BB157" s="520"/>
      <c r="BC157" s="520"/>
      <c r="BD157" s="520"/>
      <c r="BE157" s="520"/>
      <c r="BF157" s="520"/>
      <c r="BG157" s="520"/>
      <c r="BH157" s="520"/>
      <c r="BI157" s="520"/>
      <c r="BJ157" s="520"/>
      <c r="BK157" s="520"/>
      <c r="BL157" s="520"/>
      <c r="BM157" s="520"/>
      <c r="BN157" s="520"/>
      <c r="BO157" s="520"/>
      <c r="BP157" s="520"/>
      <c r="BQ157" s="520"/>
      <c r="BR157" s="520"/>
      <c r="BS157" s="520"/>
      <c r="BT157" s="520"/>
      <c r="BU157" s="520"/>
      <c r="BV157" s="520"/>
      <c r="BW157" s="520"/>
      <c r="BX157" s="520"/>
      <c r="BY157" s="520"/>
      <c r="BZ157" s="520"/>
      <c r="CA157" s="520"/>
      <c r="CB157" s="520"/>
      <c r="CC157" s="520"/>
      <c r="CD157" s="520"/>
      <c r="CE157" s="520"/>
      <c r="CF157" s="520"/>
      <c r="CG157" s="520"/>
      <c r="CH157" s="520"/>
      <c r="CI157" s="520"/>
      <c r="CJ157" s="520"/>
      <c r="CK157" s="520"/>
      <c r="CL157" s="520"/>
      <c r="CM157" s="520"/>
      <c r="CN157" s="520"/>
      <c r="CO157" s="520"/>
      <c r="CP157" s="520"/>
      <c r="CQ157" s="520"/>
      <c r="CR157" s="520"/>
      <c r="CS157" s="520"/>
      <c r="CT157" s="520"/>
      <c r="CU157" s="520"/>
      <c r="CV157" s="520"/>
      <c r="CW157" s="520"/>
      <c r="CX157" s="520"/>
      <c r="CY157" s="520"/>
      <c r="CZ157" s="520"/>
      <c r="DA157" s="520"/>
      <c r="DB157" s="520"/>
      <c r="DC157" s="520"/>
      <c r="DD157" s="520"/>
      <c r="DE157" s="520"/>
      <c r="DF157" s="520"/>
      <c r="DG157" s="520"/>
      <c r="DH157" s="520"/>
      <c r="DI157" s="520"/>
      <c r="DJ157" s="520"/>
      <c r="DK157" s="520"/>
      <c r="DL157" s="520"/>
      <c r="DM157" s="520"/>
      <c r="DN157" s="520"/>
      <c r="DO157" s="520"/>
      <c r="DP157" s="520"/>
      <c r="DQ157" s="520"/>
      <c r="DR157" s="520"/>
      <c r="DS157" s="520"/>
      <c r="DT157" s="520"/>
      <c r="DU157" s="520"/>
      <c r="DV157" s="520"/>
      <c r="DW157" s="520"/>
      <c r="DX157" s="520"/>
      <c r="DY157" s="520"/>
      <c r="DZ157" s="520"/>
      <c r="EA157" s="520"/>
      <c r="EB157" s="520"/>
      <c r="EC157" s="520"/>
      <c r="ED157" s="520"/>
      <c r="EE157" s="520"/>
      <c r="EF157" s="520"/>
      <c r="EG157" s="520"/>
      <c r="EH157" s="520"/>
      <c r="EI157" s="520"/>
      <c r="EJ157" s="520"/>
      <c r="EK157" s="520"/>
      <c r="EL157" s="520"/>
      <c r="EM157" s="520"/>
      <c r="EN157" s="520"/>
      <c r="EO157" s="520"/>
      <c r="EP157" s="520"/>
      <c r="EQ157" s="520"/>
      <c r="ER157" s="520"/>
      <c r="ES157" s="520"/>
      <c r="ET157" s="520"/>
      <c r="EU157" s="520"/>
      <c r="EV157" s="520"/>
      <c r="EW157" s="520"/>
      <c r="EX157" s="520"/>
      <c r="EY157" s="521"/>
      <c r="EZ157" s="440"/>
      <c r="FA157" s="440"/>
      <c r="FB157" s="440"/>
      <c r="FC157" s="440"/>
      <c r="FD157" s="440"/>
      <c r="FE157" s="520"/>
      <c r="FF157" s="520"/>
      <c r="FG157" s="520"/>
      <c r="FH157" s="520"/>
      <c r="FI157" s="520"/>
      <c r="FJ157" s="520"/>
      <c r="FK157" s="520"/>
      <c r="FL157" s="520"/>
      <c r="FM157" s="520"/>
    </row>
    <row r="158" spans="1:169" s="527" customFormat="1" x14ac:dyDescent="0.2">
      <c r="A158" s="556"/>
      <c r="B158" s="623"/>
      <c r="C158" s="557"/>
      <c r="D158" s="557"/>
      <c r="E158" s="558"/>
      <c r="F158" s="559"/>
      <c r="G158" s="560"/>
      <c r="H158" s="561"/>
      <c r="I158" s="561"/>
      <c r="J158" s="561"/>
      <c r="K158" s="561"/>
      <c r="L158" s="561"/>
      <c r="M158" s="561"/>
      <c r="N158" s="561"/>
      <c r="O158" s="561"/>
      <c r="P158" s="561"/>
      <c r="Q158" s="562"/>
      <c r="R158" s="561"/>
      <c r="S158" s="560"/>
      <c r="T158" s="561"/>
      <c r="U158" s="561"/>
      <c r="V158" s="561"/>
      <c r="W158" s="561"/>
      <c r="X158" s="561"/>
      <c r="Y158" s="561"/>
      <c r="Z158" s="561"/>
      <c r="AA158" s="561"/>
      <c r="AB158" s="561"/>
      <c r="AC158" s="563"/>
      <c r="AD158" s="551"/>
      <c r="AF158" s="528"/>
      <c r="AG158" s="529"/>
      <c r="AH158" s="529"/>
      <c r="AI158" s="529"/>
      <c r="AJ158" s="529"/>
      <c r="AK158" s="520"/>
      <c r="AL158" s="529"/>
      <c r="AM158" s="529"/>
      <c r="AN158" s="529"/>
      <c r="AO158" s="529"/>
      <c r="AP158" s="529"/>
      <c r="AQ158" s="529"/>
      <c r="AR158" s="529"/>
      <c r="AS158" s="529"/>
      <c r="AT158" s="529"/>
      <c r="AU158" s="529"/>
      <c r="AV158" s="529"/>
      <c r="AW158" s="529"/>
      <c r="AX158" s="529"/>
      <c r="AY158" s="529"/>
      <c r="AZ158" s="529"/>
      <c r="BA158" s="529"/>
      <c r="BB158" s="529"/>
      <c r="BC158" s="529"/>
      <c r="BD158" s="529"/>
      <c r="BE158" s="529"/>
      <c r="BF158" s="529"/>
      <c r="BG158" s="529"/>
      <c r="BH158" s="529"/>
      <c r="BI158" s="529"/>
      <c r="BJ158" s="529"/>
      <c r="BK158" s="529"/>
      <c r="BL158" s="529"/>
      <c r="BM158" s="529"/>
      <c r="BN158" s="529"/>
      <c r="BO158" s="529"/>
      <c r="BP158" s="529"/>
      <c r="BQ158" s="529"/>
      <c r="BR158" s="529"/>
      <c r="BS158" s="529"/>
      <c r="BT158" s="529"/>
      <c r="BU158" s="529"/>
      <c r="BV158" s="529"/>
      <c r="BW158" s="529"/>
      <c r="BX158" s="529"/>
      <c r="BY158" s="529"/>
      <c r="BZ158" s="529"/>
      <c r="CA158" s="529"/>
      <c r="CB158" s="529"/>
      <c r="CC158" s="529"/>
      <c r="CD158" s="529"/>
      <c r="CE158" s="529"/>
      <c r="CF158" s="529"/>
      <c r="CG158" s="529"/>
      <c r="CH158" s="529"/>
      <c r="CI158" s="529"/>
      <c r="CJ158" s="529"/>
      <c r="CK158" s="529"/>
      <c r="CL158" s="529"/>
      <c r="CM158" s="529"/>
      <c r="CN158" s="529"/>
      <c r="CO158" s="529"/>
      <c r="CP158" s="529"/>
      <c r="CQ158" s="529"/>
      <c r="CR158" s="529"/>
      <c r="CS158" s="529"/>
      <c r="CT158" s="529"/>
      <c r="CU158" s="529"/>
      <c r="CV158" s="529"/>
      <c r="CW158" s="529"/>
      <c r="CX158" s="529"/>
      <c r="CY158" s="529"/>
      <c r="CZ158" s="529"/>
      <c r="DA158" s="529"/>
      <c r="DB158" s="529"/>
      <c r="DC158" s="529"/>
      <c r="DD158" s="529"/>
      <c r="DE158" s="529"/>
      <c r="DF158" s="529"/>
      <c r="DG158" s="529"/>
      <c r="DH158" s="529"/>
      <c r="DI158" s="529"/>
      <c r="DJ158" s="529"/>
      <c r="DK158" s="529"/>
      <c r="DL158" s="529"/>
      <c r="DM158" s="529"/>
      <c r="DN158" s="529"/>
      <c r="DO158" s="529"/>
      <c r="DP158" s="529"/>
      <c r="DQ158" s="529"/>
      <c r="DR158" s="529"/>
      <c r="DS158" s="529"/>
      <c r="DT158" s="529"/>
      <c r="DU158" s="529"/>
      <c r="DV158" s="529"/>
      <c r="DW158" s="529"/>
      <c r="DX158" s="529"/>
      <c r="DY158" s="529"/>
      <c r="DZ158" s="529"/>
      <c r="EA158" s="529"/>
      <c r="EB158" s="529"/>
      <c r="EC158" s="529"/>
      <c r="ED158" s="529"/>
      <c r="EE158" s="529"/>
      <c r="EF158" s="529"/>
      <c r="EG158" s="529"/>
      <c r="EH158" s="529"/>
      <c r="EI158" s="529"/>
      <c r="EJ158" s="529"/>
      <c r="EK158" s="529"/>
      <c r="EL158" s="529"/>
      <c r="EM158" s="529"/>
      <c r="EN158" s="529"/>
      <c r="EO158" s="529"/>
      <c r="EP158" s="529"/>
      <c r="EQ158" s="529"/>
      <c r="ER158" s="529"/>
      <c r="ES158" s="529"/>
      <c r="ET158" s="529"/>
      <c r="EU158" s="529"/>
      <c r="EV158" s="529"/>
      <c r="EW158" s="529"/>
      <c r="EX158" s="529"/>
      <c r="EY158" s="530"/>
      <c r="EZ158" s="440"/>
      <c r="FA158" s="440"/>
      <c r="FB158" s="440"/>
      <c r="FC158" s="440"/>
      <c r="FD158" s="440"/>
      <c r="FE158" s="529"/>
      <c r="FF158" s="529"/>
      <c r="FG158" s="529"/>
      <c r="FH158" s="529"/>
      <c r="FI158" s="529"/>
      <c r="FJ158" s="529"/>
      <c r="FK158" s="529"/>
      <c r="FL158" s="529"/>
      <c r="FM158" s="529"/>
    </row>
    <row r="159" spans="1:169" s="501" customFormat="1" x14ac:dyDescent="0.2">
      <c r="A159" s="425" t="s">
        <v>314</v>
      </c>
      <c r="B159" s="620"/>
      <c r="C159" s="531"/>
      <c r="D159" s="531"/>
      <c r="E159" s="532"/>
      <c r="F159" s="533"/>
      <c r="G159" s="534"/>
      <c r="H159" s="535"/>
      <c r="I159" s="535"/>
      <c r="J159" s="535"/>
      <c r="K159" s="535"/>
      <c r="L159" s="535"/>
      <c r="M159" s="535"/>
      <c r="N159" s="535"/>
      <c r="O159" s="535"/>
      <c r="P159" s="535"/>
      <c r="Q159" s="536"/>
      <c r="R159" s="535"/>
      <c r="S159" s="534"/>
      <c r="T159" s="535"/>
      <c r="U159" s="535"/>
      <c r="V159" s="535"/>
      <c r="W159" s="535"/>
      <c r="X159" s="535"/>
      <c r="Y159" s="535"/>
      <c r="Z159" s="535"/>
      <c r="AA159" s="535"/>
      <c r="AB159" s="535"/>
      <c r="AC159" s="555"/>
      <c r="AD159" s="525"/>
      <c r="AF159" s="519"/>
      <c r="AG159" s="520"/>
      <c r="AH159" s="520"/>
      <c r="AI159" s="520"/>
      <c r="AJ159" s="520"/>
      <c r="AK159" s="520"/>
      <c r="AL159" s="520"/>
      <c r="AM159" s="520"/>
      <c r="AN159" s="520"/>
      <c r="AO159" s="520"/>
      <c r="AP159" s="520"/>
      <c r="AQ159" s="520"/>
      <c r="AR159" s="520"/>
      <c r="AS159" s="520"/>
      <c r="AT159" s="520"/>
      <c r="AU159" s="520"/>
      <c r="AV159" s="520"/>
      <c r="AW159" s="520"/>
      <c r="AX159" s="520"/>
      <c r="AY159" s="520"/>
      <c r="AZ159" s="520"/>
      <c r="BA159" s="520"/>
      <c r="BB159" s="520"/>
      <c r="BC159" s="520"/>
      <c r="BD159" s="520"/>
      <c r="BE159" s="520"/>
      <c r="BF159" s="520"/>
      <c r="BG159" s="520"/>
      <c r="BH159" s="520"/>
      <c r="BI159" s="520"/>
      <c r="BJ159" s="520"/>
      <c r="BK159" s="520"/>
      <c r="BL159" s="520"/>
      <c r="BM159" s="520"/>
      <c r="BN159" s="520"/>
      <c r="BO159" s="520"/>
      <c r="BP159" s="520"/>
      <c r="BQ159" s="520"/>
      <c r="BR159" s="520"/>
      <c r="BS159" s="520"/>
      <c r="BT159" s="520"/>
      <c r="BU159" s="520"/>
      <c r="BV159" s="520"/>
      <c r="BW159" s="520"/>
      <c r="BX159" s="520"/>
      <c r="BY159" s="520"/>
      <c r="BZ159" s="520"/>
      <c r="CA159" s="520"/>
      <c r="CB159" s="520"/>
      <c r="CC159" s="520"/>
      <c r="CD159" s="520"/>
      <c r="CE159" s="520"/>
      <c r="CF159" s="520"/>
      <c r="CG159" s="520"/>
      <c r="CH159" s="520"/>
      <c r="CI159" s="520"/>
      <c r="CJ159" s="520"/>
      <c r="CK159" s="520"/>
      <c r="CL159" s="520"/>
      <c r="CM159" s="520"/>
      <c r="CN159" s="520"/>
      <c r="CO159" s="520"/>
      <c r="CP159" s="520"/>
      <c r="CQ159" s="520"/>
      <c r="CR159" s="520"/>
      <c r="CS159" s="520"/>
      <c r="CT159" s="520"/>
      <c r="CU159" s="520"/>
      <c r="CV159" s="520"/>
      <c r="CW159" s="520"/>
      <c r="CX159" s="520"/>
      <c r="CY159" s="520"/>
      <c r="CZ159" s="520"/>
      <c r="DA159" s="520"/>
      <c r="DB159" s="520"/>
      <c r="DC159" s="520"/>
      <c r="DD159" s="520"/>
      <c r="DE159" s="520"/>
      <c r="DF159" s="520"/>
      <c r="DG159" s="520"/>
      <c r="DH159" s="520"/>
      <c r="DI159" s="520"/>
      <c r="DJ159" s="520"/>
      <c r="DK159" s="520"/>
      <c r="DL159" s="520"/>
      <c r="DM159" s="520"/>
      <c r="DN159" s="520"/>
      <c r="DO159" s="520"/>
      <c r="DP159" s="520"/>
      <c r="DQ159" s="520"/>
      <c r="DR159" s="520"/>
      <c r="DS159" s="520"/>
      <c r="DT159" s="520"/>
      <c r="DU159" s="520"/>
      <c r="DV159" s="520"/>
      <c r="DW159" s="520"/>
      <c r="DX159" s="520"/>
      <c r="DY159" s="520"/>
      <c r="DZ159" s="520"/>
      <c r="EA159" s="520"/>
      <c r="EB159" s="520"/>
      <c r="EC159" s="520"/>
      <c r="ED159" s="520"/>
      <c r="EE159" s="520"/>
      <c r="EF159" s="520"/>
      <c r="EG159" s="520"/>
      <c r="EH159" s="520"/>
      <c r="EI159" s="520"/>
      <c r="EJ159" s="520"/>
      <c r="EK159" s="520"/>
      <c r="EL159" s="520"/>
      <c r="EM159" s="520"/>
      <c r="EN159" s="520"/>
      <c r="EO159" s="520"/>
      <c r="EP159" s="520"/>
      <c r="EQ159" s="520"/>
      <c r="ER159" s="520"/>
      <c r="ES159" s="520"/>
      <c r="ET159" s="520"/>
      <c r="EU159" s="520"/>
      <c r="EV159" s="520"/>
      <c r="EW159" s="520"/>
      <c r="EX159" s="520"/>
      <c r="EY159" s="521"/>
      <c r="EZ159" s="440"/>
      <c r="FA159" s="440"/>
      <c r="FB159" s="440"/>
      <c r="FC159" s="440"/>
      <c r="FD159" s="440"/>
      <c r="FE159" s="520"/>
      <c r="FF159" s="520"/>
      <c r="FG159" s="520"/>
      <c r="FH159" s="520"/>
      <c r="FI159" s="520"/>
      <c r="FJ159" s="520"/>
      <c r="FK159" s="520"/>
      <c r="FL159" s="520"/>
      <c r="FM159" s="520"/>
    </row>
    <row r="160" spans="1:169" s="501" customFormat="1" x14ac:dyDescent="0.2">
      <c r="A160" s="577"/>
      <c r="B160" s="620"/>
      <c r="C160" s="531"/>
      <c r="D160" s="531"/>
      <c r="E160" s="532"/>
      <c r="F160" s="533"/>
      <c r="G160" s="534"/>
      <c r="H160" s="535"/>
      <c r="I160" s="535"/>
      <c r="J160" s="535"/>
      <c r="K160" s="535"/>
      <c r="L160" s="535"/>
      <c r="M160" s="535"/>
      <c r="N160" s="535"/>
      <c r="O160" s="535"/>
      <c r="P160" s="535"/>
      <c r="Q160" s="536"/>
      <c r="R160" s="535"/>
      <c r="S160" s="534"/>
      <c r="T160" s="535"/>
      <c r="U160" s="535"/>
      <c r="V160" s="535"/>
      <c r="W160" s="535"/>
      <c r="X160" s="535"/>
      <c r="Y160" s="535"/>
      <c r="Z160" s="535"/>
      <c r="AA160" s="535"/>
      <c r="AB160" s="535"/>
      <c r="AC160" s="555"/>
      <c r="AD160" s="525"/>
      <c r="AF160" s="519"/>
      <c r="AG160" s="520"/>
      <c r="AH160" s="520"/>
      <c r="AI160" s="520"/>
      <c r="AJ160" s="520"/>
      <c r="AK160" s="520"/>
      <c r="AL160" s="520"/>
      <c r="AM160" s="520"/>
      <c r="AN160" s="520"/>
      <c r="AO160" s="520"/>
      <c r="AP160" s="520"/>
      <c r="AQ160" s="520"/>
      <c r="AR160" s="520"/>
      <c r="AS160" s="520"/>
      <c r="AT160" s="520"/>
      <c r="AU160" s="520"/>
      <c r="AV160" s="520"/>
      <c r="AW160" s="520"/>
      <c r="AX160" s="520"/>
      <c r="AY160" s="520"/>
      <c r="AZ160" s="520"/>
      <c r="BA160" s="520"/>
      <c r="BB160" s="520"/>
      <c r="BC160" s="520"/>
      <c r="BD160" s="520"/>
      <c r="BE160" s="520"/>
      <c r="BF160" s="520"/>
      <c r="BG160" s="520"/>
      <c r="BH160" s="520"/>
      <c r="BI160" s="520"/>
      <c r="BJ160" s="520"/>
      <c r="BK160" s="520"/>
      <c r="BL160" s="520"/>
      <c r="BM160" s="520"/>
      <c r="BN160" s="520"/>
      <c r="BO160" s="520"/>
      <c r="BP160" s="520"/>
      <c r="BQ160" s="520"/>
      <c r="BR160" s="520"/>
      <c r="BS160" s="520"/>
      <c r="BT160" s="520"/>
      <c r="BU160" s="520"/>
      <c r="BV160" s="520"/>
      <c r="BW160" s="520"/>
      <c r="BX160" s="520"/>
      <c r="BY160" s="520"/>
      <c r="BZ160" s="520"/>
      <c r="CA160" s="520"/>
      <c r="CB160" s="520"/>
      <c r="CC160" s="520"/>
      <c r="CD160" s="520"/>
      <c r="CE160" s="520"/>
      <c r="CF160" s="520"/>
      <c r="CG160" s="520"/>
      <c r="CH160" s="520"/>
      <c r="CI160" s="520"/>
      <c r="CJ160" s="520"/>
      <c r="CK160" s="520"/>
      <c r="CL160" s="520"/>
      <c r="CM160" s="520"/>
      <c r="CN160" s="520"/>
      <c r="CO160" s="520"/>
      <c r="CP160" s="520"/>
      <c r="CQ160" s="520"/>
      <c r="CR160" s="520"/>
      <c r="CS160" s="520"/>
      <c r="CT160" s="520"/>
      <c r="CU160" s="520"/>
      <c r="CV160" s="520"/>
      <c r="CW160" s="520"/>
      <c r="CX160" s="520"/>
      <c r="CY160" s="520"/>
      <c r="CZ160" s="520"/>
      <c r="DA160" s="520"/>
      <c r="DB160" s="520"/>
      <c r="DC160" s="520"/>
      <c r="DD160" s="520"/>
      <c r="DE160" s="520"/>
      <c r="DF160" s="520"/>
      <c r="DG160" s="520"/>
      <c r="DH160" s="520"/>
      <c r="DI160" s="520"/>
      <c r="DJ160" s="520"/>
      <c r="DK160" s="520"/>
      <c r="DL160" s="520"/>
      <c r="DM160" s="520"/>
      <c r="DN160" s="520"/>
      <c r="DO160" s="520"/>
      <c r="DP160" s="520"/>
      <c r="DQ160" s="520"/>
      <c r="DR160" s="520"/>
      <c r="DS160" s="520"/>
      <c r="DT160" s="520"/>
      <c r="DU160" s="520"/>
      <c r="DV160" s="520"/>
      <c r="DW160" s="520"/>
      <c r="DX160" s="520"/>
      <c r="DY160" s="520"/>
      <c r="DZ160" s="520"/>
      <c r="EA160" s="520"/>
      <c r="EB160" s="520"/>
      <c r="EC160" s="520"/>
      <c r="ED160" s="520"/>
      <c r="EE160" s="520"/>
      <c r="EF160" s="520"/>
      <c r="EG160" s="520"/>
      <c r="EH160" s="520"/>
      <c r="EI160" s="520"/>
      <c r="EJ160" s="520"/>
      <c r="EK160" s="520"/>
      <c r="EL160" s="520"/>
      <c r="EM160" s="520"/>
      <c r="EN160" s="520"/>
      <c r="EO160" s="520"/>
      <c r="EP160" s="520"/>
      <c r="EQ160" s="520"/>
      <c r="ER160" s="520"/>
      <c r="ES160" s="520"/>
      <c r="ET160" s="520"/>
      <c r="EU160" s="520"/>
      <c r="EV160" s="520"/>
      <c r="EW160" s="520"/>
      <c r="EX160" s="520"/>
      <c r="EY160" s="521"/>
      <c r="EZ160" s="440"/>
      <c r="FA160" s="440"/>
      <c r="FB160" s="440"/>
      <c r="FC160" s="440"/>
      <c r="FD160" s="440"/>
      <c r="FE160" s="520"/>
      <c r="FF160" s="520"/>
      <c r="FG160" s="520"/>
      <c r="FH160" s="520"/>
      <c r="FI160" s="520"/>
      <c r="FJ160" s="520"/>
      <c r="FK160" s="520"/>
      <c r="FL160" s="520"/>
      <c r="FM160" s="520"/>
    </row>
    <row r="161" spans="1:169" collapsed="1" x14ac:dyDescent="0.2">
      <c r="A161" s="1339" t="s">
        <v>718</v>
      </c>
      <c r="B161" s="1260" t="s">
        <v>320</v>
      </c>
      <c r="C161" s="446">
        <v>40543</v>
      </c>
      <c r="D161" s="447">
        <v>6</v>
      </c>
      <c r="E161" s="448">
        <f>VLOOKUP(AH$8,LTD_USDebt!A58:E485,3,FALSE)/1000000</f>
        <v>31.825713710000002</v>
      </c>
      <c r="F161" s="449">
        <f>AH161</f>
        <v>1.07582</v>
      </c>
      <c r="G161" s="450">
        <f t="array" ref="G161">IF($AJ161=0,"---",(PRODUCT($AH161:AJ161/100+1)-1)*100)</f>
        <v>0.93962174164192724</v>
      </c>
      <c r="H161" s="450">
        <f t="array" ref="H161">IF($AS161=0,"---",(PRODUCT(AH161:AN161/100+1)-1)*100)</f>
        <v>3.3570587503141347</v>
      </c>
      <c r="I161" s="450">
        <f t="array" ref="I161">IF(AS161=0,"---",(GEOMEAN($AH161:AS161/100+1)^12-1)*100)</f>
        <v>5.7119084211016968</v>
      </c>
      <c r="J161" s="450">
        <f t="array" ref="J161">IF(BE161=0,"---",(GEOMEAN($AH161:BE161/100+1)^12-1)*100)</f>
        <v>1.5605721711943632</v>
      </c>
      <c r="K161" s="450">
        <f t="array" ref="K161">IF(BQ161=0,"---",(GEOMEAN($AH161:BQ161/100+1)^12-1)*100)</f>
        <v>2.953084830814956</v>
      </c>
      <c r="L161" s="450" t="str">
        <f t="array" ref="L161">IF(CC161=0,"---",(GEOMEAN($AH161:CC161/100+1)^12-1)*100)</f>
        <v>---</v>
      </c>
      <c r="M161" s="450" t="str">
        <f t="array" ref="M161">IF(CO161=0,"---",(GEOMEAN($AH161:CO161/100+1)^12-1)*100)</f>
        <v>---</v>
      </c>
      <c r="N161" s="450" t="str">
        <f t="array" ref="N161">IF(DM161=0,"---",(GEOMEAN($AH161:DM161/100+1)^12-1)*100)</f>
        <v>---</v>
      </c>
      <c r="O161" s="450" t="str">
        <f t="array" ref="O161">IF(EK161=0,"---",(GEOMEAN($AH161:EK161/100+1)^12-1)*100)</f>
        <v>---</v>
      </c>
      <c r="P161" s="450" t="str">
        <f t="array" ref="P161">IF(EW161=0,"---",(GEOMEAN($AH161:EW161/100+1)^12-1)*100)</f>
        <v>---</v>
      </c>
      <c r="Q161" s="1447">
        <f t="array" ref="Q161">(GEOMEAN(LTD_USDebt!B$429:B471/100+1)^12-1)*100</f>
        <v>3.7940600776213973</v>
      </c>
      <c r="R161" s="452">
        <f>IF(F161="---","---",(F161-F162)*100)</f>
        <v>-2.8210000000000068</v>
      </c>
      <c r="S161" s="452">
        <f t="shared" ref="S161:AB161" si="139">IF(G161="---","---",(G161-G162)*100)</f>
        <v>3.7121994437616657</v>
      </c>
      <c r="T161" s="452">
        <f>IF(H161="---","---",(H161-H162)*100)</f>
        <v>7.3887028955588185</v>
      </c>
      <c r="U161" s="452">
        <f t="shared" si="139"/>
        <v>5.4540237636913069</v>
      </c>
      <c r="V161" s="452">
        <f t="shared" si="139"/>
        <v>4.8488831170523383</v>
      </c>
      <c r="W161" s="452">
        <f t="shared" si="139"/>
        <v>3.8240609633466427</v>
      </c>
      <c r="X161" s="452" t="str">
        <f t="shared" si="139"/>
        <v>---</v>
      </c>
      <c r="Y161" s="452" t="str">
        <f t="shared" si="139"/>
        <v>---</v>
      </c>
      <c r="Z161" s="452" t="str">
        <f t="shared" si="139"/>
        <v>---</v>
      </c>
      <c r="AA161" s="452" t="str">
        <f t="shared" si="139"/>
        <v>---</v>
      </c>
      <c r="AB161" s="452" t="str">
        <f t="shared" si="139"/>
        <v>---</v>
      </c>
      <c r="AC161" s="453">
        <f>(Q161-AF161)*100</f>
        <v>3.2186499015574022</v>
      </c>
      <c r="AD161" s="552">
        <v>0</v>
      </c>
      <c r="AE161" s="1397"/>
      <c r="AF161" s="473">
        <f t="array" ref="AF161">(GEOMEAN(Index_Returns!W$429:W471/100+1)^12-1)*100</f>
        <v>3.7618735786058233</v>
      </c>
      <c r="AG161" s="382" t="str">
        <f>IF(I161="---","&lt; 1 Year","---")</f>
        <v>---</v>
      </c>
      <c r="AH161" s="439">
        <f>VLOOKUP(AH$8,LTD_USDebt!$A$1:$E$488,2,FALSE)</f>
        <v>1.07582</v>
      </c>
      <c r="AI161" s="439">
        <f>VLOOKUP(AI$8,LTD_USDebt!$A$1:$E$488,2,FALSE)</f>
        <v>-0.23573</v>
      </c>
      <c r="AJ161" s="439">
        <f>VLOOKUP(AJ$8,LTD_USDebt!$A$1:$E$488,2,FALSE)</f>
        <v>0.10122</v>
      </c>
      <c r="AK161" s="439">
        <f>VLOOKUP(AK$8,LTD_USDebt!$A$1:$E$488,2,FALSE)</f>
        <v>1.15089</v>
      </c>
      <c r="AL161" s="439">
        <f>VLOOKUP(AL$8,LTD_USDebt!$A$1:$E$488,2,FALSE)</f>
        <v>0.84845999999999999</v>
      </c>
      <c r="AM161" s="439">
        <f>VLOOKUP(AM$8,LTD_USDebt!$A$1:$E$488,2,FALSE)</f>
        <v>-0.20144000000000001</v>
      </c>
      <c r="AN161" s="439">
        <f>VLOOKUP(AN$8,LTD_USDebt!$A$1:$E$488,2,FALSE)</f>
        <v>0.58082999999999996</v>
      </c>
      <c r="AO161" s="439">
        <f>VLOOKUP(AO$8,LTD_USDebt!$A$1:$E$488,2,FALSE)</f>
        <v>1.50979</v>
      </c>
      <c r="AP161" s="439">
        <f>VLOOKUP(AP$8,LTD_USDebt!$A$1:$E$488,2,FALSE)</f>
        <v>-0.60421000000000002</v>
      </c>
      <c r="AQ161" s="439">
        <f>VLOOKUP(AQ$8,LTD_USDebt!$A$1:$E$488,2,FALSE)</f>
        <v>-0.41896</v>
      </c>
      <c r="AR161" s="439">
        <f>VLOOKUP(AR$8,LTD_USDebt!$A$1:$E$488,2,FALSE)</f>
        <v>0.83850999999999998</v>
      </c>
      <c r="AS161" s="439">
        <f>VLOOKUP(AS$8,LTD_USDebt!$A$1:$E$488,2,FALSE)</f>
        <v>0.94964000000000004</v>
      </c>
      <c r="AT161" s="439">
        <f>VLOOKUP(AT$8,LTD_USDebt!$A$1:$E$488,2,FALSE)</f>
        <v>-0.51049999999999995</v>
      </c>
      <c r="AU161" s="439">
        <f>VLOOKUP(AU$8,LTD_USDebt!$A$1:$E$488,2,FALSE)</f>
        <v>6.1690000000000002E-2</v>
      </c>
      <c r="AV161" s="439">
        <f>VLOOKUP(AV$8,LTD_USDebt!$A$1:$E$488,2,FALSE)</f>
        <v>-1.5666</v>
      </c>
      <c r="AW161" s="439">
        <f>VLOOKUP(AW$8,LTD_USDebt!$A$1:$E$488,2,FALSE)</f>
        <v>-1.7838799999999999</v>
      </c>
      <c r="AX161" s="439">
        <f>VLOOKUP(AX$8,LTD_USDebt!$A$1:$E$488,2,FALSE)</f>
        <v>1.01484</v>
      </c>
      <c r="AY161" s="439">
        <f>VLOOKUP(AY$8,LTD_USDebt!$A$1:$E$488,2,FALSE)</f>
        <v>1.746E-2</v>
      </c>
      <c r="AZ161" s="439">
        <f>VLOOKUP(AZ$8,LTD_USDebt!$A$1:$E$488,2,FALSE)</f>
        <v>0.51365000000000005</v>
      </c>
      <c r="BA161" s="439">
        <f>VLOOKUP(BA$8,LTD_USDebt!$A$1:$E$488,2,FALSE)</f>
        <v>-0.55269000000000001</v>
      </c>
      <c r="BB161" s="439">
        <f>VLOOKUP(BB$8,LTD_USDebt!$A$1:$E$488,2,FALSE)</f>
        <v>-0.13519</v>
      </c>
      <c r="BC161" s="439">
        <f>VLOOKUP(BC$8,LTD_USDebt!$A$1:$E$488,2,FALSE)</f>
        <v>0.16883000000000001</v>
      </c>
      <c r="BD161" s="439">
        <f>VLOOKUP(BD$8,LTD_USDebt!$A$1:$E$488,2,FALSE)</f>
        <v>0.20083000000000001</v>
      </c>
      <c r="BE161" s="439">
        <f>VLOOKUP(BE$8,LTD_USDebt!$A$1:$E$488,2,FALSE)</f>
        <v>0.15221000000000001</v>
      </c>
      <c r="BF161" s="439">
        <f>VLOOKUP(BF$8,LTD_USDebt!$A$1:$E$488,2,FALSE)</f>
        <v>7.288E-2</v>
      </c>
      <c r="BG161" s="439">
        <f>VLOOKUP(BG$8,LTD_USDebt!$A$1:$E$488,2,FALSE)</f>
        <v>1.39459</v>
      </c>
      <c r="BH161" s="439">
        <f>VLOOKUP(BH$8,LTD_USDebt!$A$1:$E$488,2,FALSE)</f>
        <v>3.2730000000000002E-2</v>
      </c>
      <c r="BI161" s="439">
        <f>VLOOKUP(BI$8,LTD_USDebt!$A$1:$E$488,2,FALSE)</f>
        <v>0.90627999999999997</v>
      </c>
      <c r="BJ161" s="439">
        <f>VLOOKUP(BJ$8,LTD_USDebt!$A$1:$E$488,2,FALSE)</f>
        <v>1.1207499999999999</v>
      </c>
      <c r="BK161" s="439">
        <f>VLOOKUP(BK$8,LTD_USDebt!$A$1:$E$488,2,FALSE)</f>
        <v>-0.61258000000000001</v>
      </c>
      <c r="BL161" s="439">
        <f>VLOOKUP(BL$8,LTD_USDebt!$A$1:$E$488,2,FALSE)</f>
        <v>3.1280000000000002E-2</v>
      </c>
      <c r="BM161" s="439">
        <f>VLOOKUP(BM$8,LTD_USDebt!$A$1:$E$488,2,FALSE)</f>
        <v>0.86807999999999996</v>
      </c>
      <c r="BN161" s="439">
        <f>VLOOKUP(BN$8,LTD_USDebt!$A$1:$E$488,2,FALSE)</f>
        <v>1.0081199999999999</v>
      </c>
      <c r="BO161" s="439">
        <f>VLOOKUP(BO$8,LTD_USDebt!$A$1:$E$488,2,FALSE)</f>
        <v>1.261E-2</v>
      </c>
      <c r="BP161" s="439">
        <f>VLOOKUP(BP$8,LTD_USDebt!$A$1:$E$488,2,FALSE)</f>
        <v>0.10460999999999999</v>
      </c>
      <c r="BQ161" s="439">
        <f>VLOOKUP(BQ$8,LTD_USDebt!$A$1:$E$488,2,FALSE)</f>
        <v>0.72792999999999997</v>
      </c>
      <c r="BR161" s="439">
        <f>VLOOKUP(BR$8,LTD_USDebt!$A$1:$E$488,2,FALSE)</f>
        <v>1.4383999999999999</v>
      </c>
      <c r="BS161" s="439">
        <f>VLOOKUP(BS$8,LTD_USDebt!$A$1:$E$488,2,FALSE)</f>
        <v>1.5883799999999999</v>
      </c>
      <c r="BT161" s="439">
        <f>VLOOKUP(BT$8,LTD_USDebt!$A$1:$E$488,2,FALSE)</f>
        <v>-0.29865999999999998</v>
      </c>
      <c r="BU161" s="439">
        <f>VLOOKUP(BU$8,LTD_USDebt!$A$1:$E$488,2,FALSE)</f>
        <v>1.2892399999999999</v>
      </c>
      <c r="BV161" s="439">
        <f>VLOOKUP(BV$8,LTD_USDebt!$A$1:$E$488,2,FALSE)</f>
        <v>1.27163</v>
      </c>
      <c r="BW161" s="439">
        <f>VLOOKUP(BW$8,LTD_USDebt!$A$1:$E$488,2,FALSE)</f>
        <v>5.8520000000000003E-2</v>
      </c>
      <c r="BX161" s="439">
        <f>VLOOKUP(BX$8,LTD_USDebt!$A$1:$E$488,2,FALSE)</f>
        <v>0.25097000000000003</v>
      </c>
      <c r="BY161" s="439">
        <f>VLOOKUP(BY$8,LTD_USDebt!$A$1:$E$488,2,FALSE)</f>
        <v>0.12429</v>
      </c>
      <c r="BZ161" s="439">
        <f>VLOOKUP(BZ$8,LTD_USDebt!$A$1:$E$488,2,FALSE)</f>
        <v>0</v>
      </c>
      <c r="CA161" s="439">
        <f>VLOOKUP(CA$8,LTD_USDebt!$A$1:$E$488,2,FALSE)</f>
        <v>0</v>
      </c>
      <c r="CB161" s="439">
        <f>VLOOKUP(CB$8,LTD_USDebt!$A$1:$E$488,2,FALSE)</f>
        <v>0</v>
      </c>
      <c r="CC161" s="439">
        <f>VLOOKUP(CC$8,LTD_USDebt!$A$1:$E$488,2,FALSE)</f>
        <v>0</v>
      </c>
      <c r="CD161" s="439">
        <f>VLOOKUP(CD$8,LTD_USDebt!$A$1:$E$488,2,FALSE)</f>
        <v>0</v>
      </c>
      <c r="CE161" s="439">
        <f>VLOOKUP(CE$8,LTD_USDebt!$A$1:$E$488,2,FALSE)</f>
        <v>0</v>
      </c>
      <c r="CF161" s="439">
        <f>VLOOKUP(CF$8,LTD_USDebt!$A$1:$E$488,2,FALSE)</f>
        <v>0</v>
      </c>
      <c r="CG161" s="439">
        <f>VLOOKUP(CG$8,LTD_USDebt!$A$1:$E$488,2,FALSE)</f>
        <v>0</v>
      </c>
      <c r="CH161" s="439">
        <f>VLOOKUP(CH$8,LTD_USDebt!$A$1:$E$488,2,FALSE)</f>
        <v>0</v>
      </c>
      <c r="CI161" s="439">
        <f>VLOOKUP(CI$8,LTD_USDebt!$A$1:$E$488,2,FALSE)</f>
        <v>0</v>
      </c>
      <c r="CJ161" s="439">
        <f>VLOOKUP(CJ$8,LTD_USDebt!$A$1:$E$488,2,FALSE)</f>
        <v>0</v>
      </c>
      <c r="CK161" s="439">
        <f>VLOOKUP(CK$8,LTD_USDebt!$A$1:$E$488,2,FALSE)</f>
        <v>0</v>
      </c>
      <c r="CL161" s="439">
        <f>VLOOKUP(CL$8,LTD_USDebt!$A$1:$E$488,2,FALSE)</f>
        <v>0</v>
      </c>
      <c r="CM161" s="439">
        <f>VLOOKUP(CM$8,LTD_USDebt!$A$1:$E$488,2,FALSE)</f>
        <v>0</v>
      </c>
      <c r="CN161" s="439">
        <f>VLOOKUP(CN$8,LTD_USDebt!$A$1:$E$488,2,FALSE)</f>
        <v>0</v>
      </c>
      <c r="CO161" s="439">
        <f>VLOOKUP(CO$8,LTD_USDebt!$A$1:$E$488,2,FALSE)</f>
        <v>0</v>
      </c>
      <c r="CP161" s="439">
        <f>VLOOKUP(CP$8,LTD_USDebt!$A$1:$E$488,2,FALSE)</f>
        <v>0</v>
      </c>
      <c r="CQ161" s="439">
        <f>VLOOKUP(CQ$8,LTD_USDebt!$A$1:$E$488,2,FALSE)</f>
        <v>0</v>
      </c>
      <c r="CR161" s="439">
        <f>VLOOKUP(CR$8,LTD_USDebt!$A$1:$E$488,2,FALSE)</f>
        <v>0</v>
      </c>
      <c r="CS161" s="439">
        <f>VLOOKUP(CS$8,LTD_USDebt!$A$1:$E$488,2,FALSE)</f>
        <v>0</v>
      </c>
      <c r="CT161" s="439">
        <f>VLOOKUP(CT$8,LTD_USDebt!$A$1:$E$488,2,FALSE)</f>
        <v>0</v>
      </c>
      <c r="CU161" s="439">
        <f>VLOOKUP(CU$8,LTD_USDebt!$A$1:$E$488,2,FALSE)</f>
        <v>0</v>
      </c>
      <c r="CV161" s="439">
        <f>VLOOKUP(CV$8,LTD_USDebt!$A$1:$E$488,2,FALSE)</f>
        <v>0</v>
      </c>
      <c r="CW161" s="439">
        <f>VLOOKUP(CW$8,LTD_USDebt!$A$1:$E$488,2,FALSE)</f>
        <v>0</v>
      </c>
      <c r="CX161" s="439">
        <f>VLOOKUP(CX$8,LTD_USDebt!$A$1:$E$488,2,FALSE)</f>
        <v>0</v>
      </c>
      <c r="CY161" s="439">
        <f>VLOOKUP(CY$8,LTD_USDebt!$A$1:$E$488,2,FALSE)</f>
        <v>0</v>
      </c>
      <c r="CZ161" s="439">
        <f>VLOOKUP(CZ$8,LTD_USDebt!$A$1:$E$488,2,FALSE)</f>
        <v>0</v>
      </c>
      <c r="DA161" s="439">
        <f>VLOOKUP(DA$8,LTD_USDebt!$A$1:$E$488,2,FALSE)</f>
        <v>0</v>
      </c>
      <c r="DB161" s="439">
        <f>VLOOKUP(DB$8,LTD_USDebt!$A$1:$E$488,2,FALSE)</f>
        <v>0</v>
      </c>
      <c r="DC161" s="439">
        <f>VLOOKUP(DC$8,LTD_USDebt!$A$1:$E$488,2,FALSE)</f>
        <v>0</v>
      </c>
      <c r="DD161" s="439">
        <f>VLOOKUP(DD$8,LTD_USDebt!$A$1:$E$488,2,FALSE)</f>
        <v>0</v>
      </c>
      <c r="DE161" s="439">
        <f>VLOOKUP(DE$8,LTD_USDebt!$A$1:$E$488,2,FALSE)</f>
        <v>0</v>
      </c>
      <c r="DF161" s="439">
        <f>VLOOKUP(DF$8,LTD_USDebt!$A$1:$E$488,2,FALSE)</f>
        <v>0</v>
      </c>
      <c r="DG161" s="439">
        <f>VLOOKUP(DG$8,LTD_USDebt!$A$1:$E$488,2,FALSE)</f>
        <v>0</v>
      </c>
      <c r="DH161" s="439">
        <f>VLOOKUP(DH$8,LTD_USDebt!$A$1:$E$488,2,FALSE)</f>
        <v>0</v>
      </c>
      <c r="DI161" s="439">
        <f>VLOOKUP(DI$8,LTD_USDebt!$A$1:$E$488,2,FALSE)</f>
        <v>0</v>
      </c>
      <c r="DJ161" s="439">
        <f>VLOOKUP(DJ$8,LTD_USDebt!$A$1:$E$488,2,FALSE)</f>
        <v>0</v>
      </c>
      <c r="DK161" s="439">
        <f>VLOOKUP(DK$8,LTD_USDebt!$A$1:$E$488,2,FALSE)</f>
        <v>0</v>
      </c>
      <c r="DL161" s="439">
        <f>VLOOKUP(DL$8,LTD_USDebt!$A$1:$E$488,2,FALSE)</f>
        <v>0</v>
      </c>
      <c r="DM161" s="439">
        <f>VLOOKUP(DM$8,LTD_USDebt!$A$1:$E$488,2,FALSE)</f>
        <v>0</v>
      </c>
      <c r="DN161" s="439">
        <f>VLOOKUP(DN$8,LTD_USDebt!$A$1:$E$488,2,FALSE)</f>
        <v>0</v>
      </c>
      <c r="DO161" s="439">
        <f>VLOOKUP(DO$8,LTD_USDebt!$A$1:$E$488,2,FALSE)</f>
        <v>0</v>
      </c>
      <c r="DP161" s="439">
        <f>VLOOKUP(DP$8,LTD_USDebt!$A$1:$E$488,2,FALSE)</f>
        <v>0</v>
      </c>
      <c r="DQ161" s="439">
        <f>VLOOKUP(DQ$8,LTD_USDebt!$A$1:$E$488,2,FALSE)</f>
        <v>0</v>
      </c>
      <c r="DR161" s="439">
        <f>VLOOKUP(DR$8,LTD_USDebt!$A$1:$E$488,2,FALSE)</f>
        <v>0</v>
      </c>
      <c r="DS161" s="439">
        <f>VLOOKUP(DS$8,LTD_USDebt!$A$1:$E$488,2,FALSE)</f>
        <v>0</v>
      </c>
      <c r="DT161" s="439">
        <f>VLOOKUP(DT$8,LTD_USDebt!$A$1:$E$488,2,FALSE)</f>
        <v>0</v>
      </c>
      <c r="DU161" s="439">
        <f>VLOOKUP(DU$8,LTD_USDebt!$A$1:$E$488,2,FALSE)</f>
        <v>0</v>
      </c>
      <c r="DV161" s="439">
        <f>VLOOKUP(DV$8,LTD_USDebt!$A$1:$E$488,2,FALSE)</f>
        <v>0</v>
      </c>
      <c r="DW161" s="439">
        <f>VLOOKUP(DW$8,LTD_USDebt!$A$1:$E$488,2,FALSE)</f>
        <v>0</v>
      </c>
      <c r="DX161" s="439">
        <f>VLOOKUP(DX$8,LTD_USDebt!$A$1:$E$488,2,FALSE)</f>
        <v>0</v>
      </c>
      <c r="DY161" s="439">
        <f>VLOOKUP(DY$8,LTD_USDebt!$A$1:$E$488,2,FALSE)</f>
        <v>0</v>
      </c>
      <c r="DZ161" s="439">
        <f>VLOOKUP(DZ$8,LTD_USDebt!$A$1:$E$488,2,FALSE)</f>
        <v>0</v>
      </c>
      <c r="EA161" s="439">
        <f>VLOOKUP(EA$8,LTD_USDebt!$A$1:$E$488,2,FALSE)</f>
        <v>0</v>
      </c>
      <c r="EB161" s="439">
        <f>VLOOKUP(EB$8,LTD_USDebt!$A$1:$E$488,2,FALSE)</f>
        <v>0</v>
      </c>
      <c r="EC161" s="439">
        <f>VLOOKUP(EC$8,LTD_USDebt!$A$1:$E$488,2,FALSE)</f>
        <v>0</v>
      </c>
      <c r="ED161" s="439">
        <f>VLOOKUP(ED$8,LTD_USDebt!$A$1:$E$488,2,FALSE)</f>
        <v>0</v>
      </c>
      <c r="EE161" s="439">
        <f>VLOOKUP(EE$8,LTD_USDebt!$A$1:$E$488,2,FALSE)</f>
        <v>0</v>
      </c>
      <c r="EF161" s="439">
        <f>VLOOKUP(EF$8,LTD_USDebt!$A$1:$E$488,2,FALSE)</f>
        <v>0</v>
      </c>
      <c r="EG161" s="439">
        <f>VLOOKUP(EG$8,LTD_USDebt!$A$1:$E$488,2,FALSE)</f>
        <v>0</v>
      </c>
      <c r="EH161" s="439">
        <f>VLOOKUP(EH$8,LTD_USDebt!$A$1:$E$488,2,FALSE)</f>
        <v>0</v>
      </c>
      <c r="EI161" s="439">
        <f>VLOOKUP(EI$8,LTD_USDebt!$A$1:$E$488,2,FALSE)</f>
        <v>0</v>
      </c>
      <c r="EJ161" s="439">
        <f>VLOOKUP(EJ$8,LTD_USDebt!$A$1:$E$488,2,FALSE)</f>
        <v>0</v>
      </c>
      <c r="EK161" s="439">
        <f>VLOOKUP(EK$8,LTD_USDebt!$A$1:$E$488,2,FALSE)</f>
        <v>0</v>
      </c>
      <c r="EL161" s="439">
        <f>VLOOKUP(EL$8,LTD_USDebt!$A$1:$E$488,2,FALSE)</f>
        <v>0</v>
      </c>
      <c r="EM161" s="439">
        <f>VLOOKUP(EM$8,LTD_USDebt!$A$1:$E$488,2,FALSE)</f>
        <v>0</v>
      </c>
      <c r="EN161" s="439">
        <f>VLOOKUP(EN$8,LTD_USDebt!$A$1:$E$488,2,FALSE)</f>
        <v>0</v>
      </c>
      <c r="EO161" s="439">
        <f>VLOOKUP(EO$8,LTD_USDebt!$A$1:$E$488,2,FALSE)</f>
        <v>0</v>
      </c>
      <c r="EP161" s="439">
        <f>VLOOKUP(EP$8,LTD_USDebt!$A$1:$E$488,2,FALSE)</f>
        <v>0</v>
      </c>
      <c r="EQ161" s="439">
        <f>VLOOKUP(EQ$8,LTD_USDebt!$A$1:$E$488,2,FALSE)</f>
        <v>0</v>
      </c>
      <c r="ER161" s="439">
        <f>VLOOKUP(ER$8,LTD_USDebt!$A$1:$E$488,2,FALSE)</f>
        <v>0</v>
      </c>
      <c r="ES161" s="439">
        <f>VLOOKUP(ES$8,LTD_USDebt!$A$1:$E$488,2,FALSE)</f>
        <v>0</v>
      </c>
      <c r="ET161" s="439">
        <f>VLOOKUP(ET$8,LTD_USDebt!$A$1:$E$488,2,FALSE)</f>
        <v>0</v>
      </c>
      <c r="EU161" s="439">
        <f>VLOOKUP(EU$8,LTD_USDebt!$A$1:$E$488,2,FALSE)</f>
        <v>0</v>
      </c>
      <c r="EV161" s="439">
        <f>VLOOKUP(EV$8,LTD_USDebt!$A$1:$E$488,2,FALSE)</f>
        <v>0</v>
      </c>
      <c r="EW161" s="439">
        <f>VLOOKUP(EW$8,LTD_USDebt!$A$1:$E$488,2,FALSE)</f>
        <v>0</v>
      </c>
      <c r="EY161" s="580" t="s">
        <v>303</v>
      </c>
      <c r="EZ161" s="789">
        <v>4.6639999999999997</v>
      </c>
      <c r="FA161" s="789">
        <v>4.5453999999999999</v>
      </c>
      <c r="FB161" s="789">
        <v>4.8029999999999999</v>
      </c>
      <c r="FC161" s="789" t="e">
        <v>#VALUE!</v>
      </c>
      <c r="FD161" s="789">
        <v>4.2186000000000003</v>
      </c>
      <c r="FE161" s="341"/>
      <c r="FF161" s="441">
        <f>IF(G161="---","-",ABS(EZ161-G161))</f>
        <v>3.7243782583580725</v>
      </c>
      <c r="FG161" s="441">
        <f>IF(I161="---","-",ABS(FA161-I161))</f>
        <v>1.1665084211016969</v>
      </c>
      <c r="FH161" s="441">
        <f>IF(K161="---","-",ABS(FB161-K161))</f>
        <v>1.849915169185044</v>
      </c>
      <c r="FI161" s="441" t="str">
        <f>IF(M161="---","-",ABS(FC161-M161))</f>
        <v>-</v>
      </c>
      <c r="FJ161" s="441">
        <f>IF(Q161="---","-",ABS(FD161-Q161))</f>
        <v>0.42453992237860305</v>
      </c>
    </row>
    <row r="162" spans="1:169" x14ac:dyDescent="0.2">
      <c r="A162" s="1341" t="s">
        <v>727</v>
      </c>
      <c r="B162" s="418"/>
      <c r="C162" s="485"/>
      <c r="D162" s="249"/>
      <c r="E162" s="470"/>
      <c r="F162" s="431">
        <f>AH162</f>
        <v>1.1040300000000001</v>
      </c>
      <c r="G162" s="432">
        <f t="array" ref="G162">IF($AJ162=0,"---",(PRODUCT($AH162:AJ162/100+1)-1)*100)</f>
        <v>0.90249974720431059</v>
      </c>
      <c r="H162" s="432">
        <f t="array" ref="H162">IF($AS162=0,"---",(PRODUCT(AH162:AN162/100+1)-1)*100)</f>
        <v>3.2831717213585465</v>
      </c>
      <c r="I162" s="432">
        <f t="array" ref="I162">IF(AS162=0,"---",(GEOMEAN($AH162:AS162/100+1)^12-1)*100)</f>
        <v>5.6573681834647838</v>
      </c>
      <c r="J162" s="432">
        <f t="array" ref="J162">IF(BE162=0,"---",(GEOMEAN($AH162:BE162/100+1)^12-1)*100)</f>
        <v>1.5120833400238398</v>
      </c>
      <c r="K162" s="432">
        <f t="array" ref="K162">IF(BQ162=0,"---",(GEOMEAN($AH162:BQ162/100+1)^12-1)*100)</f>
        <v>2.9148442211814896</v>
      </c>
      <c r="L162" s="432">
        <f t="array" ref="L162">IF(CC162=0,"---",(GEOMEAN($AH162:CC162/100+1)^12-1)*100)</f>
        <v>3.33746383244371</v>
      </c>
      <c r="M162" s="432">
        <f t="array" ref="M162">IF(CO162=0,"---",(GEOMEAN($AH162:CO162/100+1)^12-1)*100)</f>
        <v>4.4796688712766208</v>
      </c>
      <c r="N162" s="432">
        <f t="array" ref="N162">IF(DM162=0,"---",(GEOMEAN($AH162:DM162/100+1)^12-1)*100)</f>
        <v>5.1638465377881193</v>
      </c>
      <c r="O162" s="432">
        <f t="array" ref="O162">IF(EK162=0,"---",(GEOMEAN($AH162:EK162/100+1)^12-1)*100)</f>
        <v>4.7849967011007077</v>
      </c>
      <c r="P162" s="432">
        <f t="array" ref="P162">IF(EW162=0,"---",(GEOMEAN($AH162:EW162/100+1)^12-1)*100)</f>
        <v>4.7210626314822202</v>
      </c>
      <c r="Q162" s="468" t="s">
        <v>34</v>
      </c>
      <c r="R162" s="249"/>
      <c r="S162" s="249"/>
      <c r="T162" s="249"/>
      <c r="U162" s="249"/>
      <c r="V162" s="249"/>
      <c r="W162" s="249"/>
      <c r="X162" s="249"/>
      <c r="Y162" s="249"/>
      <c r="Z162" s="249"/>
      <c r="AA162" s="249"/>
      <c r="AB162" s="249"/>
      <c r="AC162" s="459"/>
      <c r="AD162" s="553"/>
      <c r="AE162" s="15"/>
      <c r="AF162" s="442"/>
      <c r="AG162" s="486"/>
      <c r="AH162" s="439">
        <f t="shared" ref="AH162:CS162" si="140">VLOOKUP(AH$8,Index,23,FALSE)</f>
        <v>1.1040300000000001</v>
      </c>
      <c r="AI162" s="439">
        <f t="shared" si="140"/>
        <v>-0.25086000000000003</v>
      </c>
      <c r="AJ162" s="439">
        <f t="shared" si="140"/>
        <v>5.1659999999999998E-2</v>
      </c>
      <c r="AK162" s="439">
        <f t="shared" si="140"/>
        <v>1.1382399999999999</v>
      </c>
      <c r="AL162" s="439">
        <f t="shared" si="140"/>
        <v>0.84413000000000005</v>
      </c>
      <c r="AM162" s="439">
        <f t="shared" si="140"/>
        <v>-0.17033000000000001</v>
      </c>
      <c r="AN162" s="439">
        <f t="shared" si="140"/>
        <v>0.53146000000000004</v>
      </c>
      <c r="AO162" s="439">
        <f t="shared" si="140"/>
        <v>1.4775499999999999</v>
      </c>
      <c r="AP162" s="439">
        <f t="shared" si="140"/>
        <v>-0.56515000000000004</v>
      </c>
      <c r="AQ162" s="439">
        <f t="shared" si="140"/>
        <v>-0.37402999999999997</v>
      </c>
      <c r="AR162" s="439">
        <f t="shared" si="140"/>
        <v>0.80842000000000003</v>
      </c>
      <c r="AS162" s="439">
        <f t="shared" si="140"/>
        <v>0.94672999999999996</v>
      </c>
      <c r="AT162" s="439">
        <f t="shared" si="140"/>
        <v>-0.51144000000000001</v>
      </c>
      <c r="AU162" s="439">
        <f t="shared" si="140"/>
        <v>0.13666</v>
      </c>
      <c r="AV162" s="439">
        <f t="shared" si="140"/>
        <v>-1.5466</v>
      </c>
      <c r="AW162" s="439">
        <f t="shared" si="140"/>
        <v>-1.7845899999999999</v>
      </c>
      <c r="AX162" s="439">
        <f t="shared" si="140"/>
        <v>1.0121199999999999</v>
      </c>
      <c r="AY162" s="439">
        <f t="shared" si="140"/>
        <v>7.9780000000000004E-2</v>
      </c>
      <c r="AZ162" s="439">
        <f t="shared" si="140"/>
        <v>0.50146999999999997</v>
      </c>
      <c r="BA162" s="439">
        <f t="shared" si="140"/>
        <v>-0.69940000000000002</v>
      </c>
      <c r="BB162" s="439">
        <f t="shared" si="140"/>
        <v>-0.14238999999999999</v>
      </c>
      <c r="BC162" s="439">
        <f t="shared" si="140"/>
        <v>0.15783</v>
      </c>
      <c r="BD162" s="439">
        <f t="shared" si="140"/>
        <v>0.19669</v>
      </c>
      <c r="BE162" s="439">
        <f t="shared" si="140"/>
        <v>0.13722000000000001</v>
      </c>
      <c r="BF162" s="439">
        <f t="shared" si="140"/>
        <v>6.5460000000000004E-2</v>
      </c>
      <c r="BG162" s="439">
        <f t="shared" si="140"/>
        <v>1.37941</v>
      </c>
      <c r="BH162" s="439">
        <f t="shared" si="140"/>
        <v>3.9230000000000001E-2</v>
      </c>
      <c r="BI162" s="439">
        <f t="shared" si="140"/>
        <v>0.90466000000000002</v>
      </c>
      <c r="BJ162" s="439">
        <f t="shared" si="140"/>
        <v>1.1089</v>
      </c>
      <c r="BK162" s="439">
        <f t="shared" si="140"/>
        <v>-0.54793000000000003</v>
      </c>
      <c r="BL162" s="439">
        <f t="shared" si="140"/>
        <v>-2.281E-2</v>
      </c>
      <c r="BM162" s="439">
        <f t="shared" si="140"/>
        <v>0.87763999999999998</v>
      </c>
      <c r="BN162" s="439">
        <f t="shared" si="140"/>
        <v>1.0991200000000001</v>
      </c>
      <c r="BO162" s="439">
        <f t="shared" si="140"/>
        <v>-8.6910000000000001E-2</v>
      </c>
      <c r="BP162" s="439">
        <f t="shared" si="140"/>
        <v>0.10765</v>
      </c>
      <c r="BQ162" s="439">
        <f t="shared" si="140"/>
        <v>0.72724999999999995</v>
      </c>
      <c r="BR162" s="439">
        <f t="shared" si="140"/>
        <v>1.4610700000000001</v>
      </c>
      <c r="BS162" s="439">
        <f t="shared" si="140"/>
        <v>1.5868800000000001</v>
      </c>
      <c r="BT162" s="439">
        <f t="shared" si="140"/>
        <v>-0.29292000000000001</v>
      </c>
      <c r="BU162" s="439">
        <f t="shared" si="140"/>
        <v>1.3051900000000001</v>
      </c>
      <c r="BV162" s="439">
        <f t="shared" si="140"/>
        <v>1.2695799999999999</v>
      </c>
      <c r="BW162" s="439">
        <f t="shared" si="140"/>
        <v>5.5259999999999997E-2</v>
      </c>
      <c r="BX162" s="439">
        <f t="shared" si="140"/>
        <v>0.25023000000000001</v>
      </c>
      <c r="BY162" s="439">
        <f t="shared" si="140"/>
        <v>0.11615</v>
      </c>
      <c r="BZ162" s="439">
        <f t="shared" si="140"/>
        <v>-1.0783199999999999</v>
      </c>
      <c r="CA162" s="439">
        <f t="shared" si="140"/>
        <v>-0.57477999999999996</v>
      </c>
      <c r="CB162" s="439">
        <f t="shared" si="140"/>
        <v>0.35583999999999999</v>
      </c>
      <c r="CC162" s="439">
        <f t="shared" si="140"/>
        <v>0.10672</v>
      </c>
      <c r="CD162" s="439">
        <f t="shared" si="140"/>
        <v>1.2865500000000001</v>
      </c>
      <c r="CE162" s="439">
        <f t="shared" si="140"/>
        <v>1.06738</v>
      </c>
      <c r="CF162" s="439">
        <f t="shared" si="140"/>
        <v>1.56816</v>
      </c>
      <c r="CG162" s="439">
        <f t="shared" si="140"/>
        <v>0.84108000000000005</v>
      </c>
      <c r="CH162" s="439">
        <f t="shared" si="140"/>
        <v>1.04098</v>
      </c>
      <c r="CI162" s="439">
        <f t="shared" si="140"/>
        <v>-0.12262000000000001</v>
      </c>
      <c r="CJ162" s="439">
        <f t="shared" si="140"/>
        <v>0.37331999999999999</v>
      </c>
      <c r="CK162" s="439">
        <f t="shared" si="140"/>
        <v>1.5277799999999999</v>
      </c>
      <c r="CL162" s="439">
        <f t="shared" si="140"/>
        <v>-1.56351</v>
      </c>
      <c r="CM162" s="439">
        <f t="shared" si="140"/>
        <v>1.294</v>
      </c>
      <c r="CN162" s="439">
        <f t="shared" si="140"/>
        <v>0.49</v>
      </c>
      <c r="CO162" s="439">
        <f t="shared" si="140"/>
        <v>1.0507</v>
      </c>
      <c r="CP162" s="439">
        <f t="shared" si="140"/>
        <v>1.0354000000000001</v>
      </c>
      <c r="CQ162" s="439">
        <f t="shared" si="140"/>
        <v>1.6133</v>
      </c>
      <c r="CR162" s="439">
        <f t="shared" si="140"/>
        <v>0.56840000000000002</v>
      </c>
      <c r="CS162" s="439">
        <f t="shared" si="140"/>
        <v>0.72509999999999997</v>
      </c>
      <c r="CT162" s="439">
        <f t="shared" ref="CT162:EW162" si="141">VLOOKUP(CT$8,Index,23,FALSE)</f>
        <v>0.47860000000000003</v>
      </c>
      <c r="CU162" s="439">
        <f t="shared" si="141"/>
        <v>1.3902000000000001</v>
      </c>
      <c r="CV162" s="439">
        <f t="shared" si="141"/>
        <v>-0.37759999999999999</v>
      </c>
      <c r="CW162" s="439">
        <f t="shared" si="141"/>
        <v>-0.88229999999999997</v>
      </c>
      <c r="CX162" s="439">
        <f t="shared" si="141"/>
        <v>3.7309000000000001</v>
      </c>
      <c r="CY162" s="439">
        <f t="shared" si="141"/>
        <v>3.2549999999999999</v>
      </c>
      <c r="CZ162" s="439">
        <f t="shared" si="141"/>
        <v>-2.3603999999999998</v>
      </c>
      <c r="DA162" s="439">
        <f t="shared" si="141"/>
        <v>-1.3431999999999999</v>
      </c>
      <c r="DB162" s="439">
        <f t="shared" si="141"/>
        <v>0.94910000000000005</v>
      </c>
      <c r="DC162" s="439">
        <f t="shared" si="141"/>
        <v>-8.1600000000000006E-2</v>
      </c>
      <c r="DD162" s="439">
        <f t="shared" si="141"/>
        <v>-8.0799999999999997E-2</v>
      </c>
      <c r="DE162" s="439">
        <f t="shared" si="141"/>
        <v>-0.73329999999999995</v>
      </c>
      <c r="DF162" s="439">
        <f t="shared" si="141"/>
        <v>-0.20899999999999999</v>
      </c>
      <c r="DG162" s="439">
        <f t="shared" si="141"/>
        <v>0.3412</v>
      </c>
      <c r="DH162" s="439">
        <f t="shared" si="141"/>
        <v>0.13880000000000001</v>
      </c>
      <c r="DI162" s="439">
        <f t="shared" si="141"/>
        <v>1.6798</v>
      </c>
      <c r="DJ162" s="439">
        <f t="shared" si="141"/>
        <v>0.28089999999999998</v>
      </c>
      <c r="DK162" s="439">
        <f t="shared" si="141"/>
        <v>1.7983</v>
      </c>
      <c r="DL162" s="439">
        <f t="shared" si="141"/>
        <v>0.89829999999999999</v>
      </c>
      <c r="DM162" s="439">
        <f t="shared" si="141"/>
        <v>0.75860000000000005</v>
      </c>
      <c r="DN162" s="439">
        <f t="shared" si="141"/>
        <v>1.2257</v>
      </c>
      <c r="DO162" s="439">
        <f t="shared" si="141"/>
        <v>0.83409999999999995</v>
      </c>
      <c r="DP162" s="439">
        <f t="shared" si="141"/>
        <v>-0.29580000000000001</v>
      </c>
      <c r="DQ162" s="439">
        <f t="shared" si="141"/>
        <v>-0.75790000000000002</v>
      </c>
      <c r="DR162" s="439">
        <f t="shared" si="141"/>
        <v>0.53920000000000001</v>
      </c>
      <c r="DS162" s="439">
        <f t="shared" si="141"/>
        <v>3.0999999999999999E-3</v>
      </c>
      <c r="DT162" s="439">
        <f t="shared" si="141"/>
        <v>1.542</v>
      </c>
      <c r="DU162" s="439">
        <f t="shared" si="141"/>
        <v>-4.1000000000000002E-2</v>
      </c>
      <c r="DV162" s="439">
        <f t="shared" si="141"/>
        <v>-0.58030000000000004</v>
      </c>
      <c r="DW162" s="439">
        <f t="shared" si="141"/>
        <v>1.1600999999999999</v>
      </c>
      <c r="DX162" s="439">
        <f t="shared" si="141"/>
        <v>0.66149999999999998</v>
      </c>
      <c r="DY162" s="439">
        <f t="shared" si="141"/>
        <v>0.87839999999999996</v>
      </c>
      <c r="DZ162" s="439">
        <f t="shared" si="141"/>
        <v>1.5307999999999999</v>
      </c>
      <c r="EA162" s="439">
        <f t="shared" si="141"/>
        <v>1.3522000000000001</v>
      </c>
      <c r="EB162" s="439">
        <f t="shared" si="141"/>
        <v>0.21199999999999999</v>
      </c>
      <c r="EC162" s="439">
        <f t="shared" si="141"/>
        <v>-0.1067</v>
      </c>
      <c r="ED162" s="439">
        <f t="shared" si="141"/>
        <v>-0.18129999999999999</v>
      </c>
      <c r="EE162" s="439">
        <f t="shared" si="141"/>
        <v>-0.98129999999999995</v>
      </c>
      <c r="EF162" s="439">
        <f t="shared" si="141"/>
        <v>0.33200000000000002</v>
      </c>
      <c r="EG162" s="439">
        <f t="shared" si="141"/>
        <v>5.7000000000000002E-3</v>
      </c>
      <c r="EH162" s="439">
        <f t="shared" si="141"/>
        <v>0.95079999999999998</v>
      </c>
      <c r="EI162" s="439">
        <f t="shared" si="141"/>
        <v>0.44230000000000003</v>
      </c>
      <c r="EJ162" s="439">
        <f t="shared" si="141"/>
        <v>-0.79139999999999999</v>
      </c>
      <c r="EK162" s="439">
        <f t="shared" si="141"/>
        <v>-1.0301</v>
      </c>
      <c r="EL162" s="439">
        <f t="shared" si="141"/>
        <v>1.282</v>
      </c>
      <c r="EM162" s="439">
        <f t="shared" si="141"/>
        <v>-0.9103</v>
      </c>
      <c r="EN162" s="439">
        <f t="shared" si="141"/>
        <v>0.54530000000000001</v>
      </c>
      <c r="EO162" s="439">
        <f t="shared" si="141"/>
        <v>1.0819000000000001</v>
      </c>
      <c r="EP162" s="439">
        <f t="shared" si="141"/>
        <v>1.3533999999999999</v>
      </c>
      <c r="EQ162" s="439">
        <f t="shared" si="141"/>
        <v>-0.51359999999999995</v>
      </c>
      <c r="ER162" s="439">
        <f t="shared" si="141"/>
        <v>-0.59030000000000005</v>
      </c>
      <c r="ES162" s="439">
        <f t="shared" si="141"/>
        <v>0.62790000000000001</v>
      </c>
      <c r="ET162" s="439">
        <f t="shared" si="141"/>
        <v>0.92010000000000003</v>
      </c>
      <c r="EU162" s="439">
        <f t="shared" si="141"/>
        <v>-0.79759999999999998</v>
      </c>
      <c r="EV162" s="439">
        <f t="shared" si="141"/>
        <v>0.83860000000000001</v>
      </c>
      <c r="EW162" s="439">
        <f t="shared" si="141"/>
        <v>0.27129999999999999</v>
      </c>
      <c r="EZ162" s="440"/>
      <c r="FA162" s="440"/>
      <c r="FB162" s="440"/>
      <c r="FC162" s="440"/>
      <c r="FD162" s="440"/>
    </row>
    <row r="163" spans="1:169" x14ac:dyDescent="0.2">
      <c r="A163" s="17"/>
      <c r="B163" s="15"/>
      <c r="C163" s="15"/>
      <c r="D163" s="16"/>
      <c r="E163" s="526"/>
      <c r="F163" s="16"/>
      <c r="G163" s="16"/>
      <c r="H163" s="16"/>
      <c r="I163" s="16"/>
      <c r="J163" s="16"/>
      <c r="K163" s="16"/>
      <c r="L163" s="16"/>
      <c r="M163" s="16"/>
      <c r="N163" s="16"/>
      <c r="O163" s="16"/>
      <c r="P163" s="16"/>
      <c r="Q163" s="16"/>
      <c r="R163" s="524"/>
      <c r="S163" s="16"/>
      <c r="T163" s="16"/>
      <c r="U163" s="16"/>
      <c r="V163" s="16"/>
      <c r="W163" s="16"/>
      <c r="X163" s="16"/>
      <c r="Y163" s="16"/>
      <c r="Z163" s="16"/>
      <c r="AA163" s="16"/>
      <c r="AB163" s="16"/>
      <c r="AC163" s="18"/>
      <c r="AD163" s="525"/>
      <c r="AF163" s="491"/>
      <c r="EZ163" s="440"/>
      <c r="FA163" s="440"/>
      <c r="FB163" s="440"/>
      <c r="FC163" s="440"/>
      <c r="FD163" s="440"/>
    </row>
    <row r="164" spans="1:169" collapsed="1" x14ac:dyDescent="0.2">
      <c r="A164" s="1339" t="s">
        <v>719</v>
      </c>
      <c r="B164" s="1260" t="s">
        <v>320</v>
      </c>
      <c r="C164" s="446">
        <v>40543</v>
      </c>
      <c r="D164" s="447">
        <v>20</v>
      </c>
      <c r="E164" s="448">
        <f>VLOOKUP(AH$8,LTD_HY!A61:E488,3,FALSE)/1000000</f>
        <v>18.42433934</v>
      </c>
      <c r="F164" s="449">
        <f>AH164</f>
        <v>1.82579</v>
      </c>
      <c r="G164" s="450">
        <f t="array" ref="G164">IF($AJ164=0,"---",(PRODUCT($AH164:AJ164/100+1)-1)*100)</f>
        <v>1.2258253741715741</v>
      </c>
      <c r="H164" s="450">
        <f t="array" ref="H164">IF($AS164=0,"---",(PRODUCT(AH164:AN164/100+1)-1)*100)</f>
        <v>5.232553814660923</v>
      </c>
      <c r="I164" s="450">
        <f t="array" ref="I164">IF(AS164=0,"---",(GEOMEAN($AH164:AS164/100+1)^12-1)*100)</f>
        <v>10.872290357195169</v>
      </c>
      <c r="J164" s="450">
        <f t="array" ref="J164">IF(BE164=0,"---",(GEOMEAN($AH164:BE164/100+1)^12-1)*100)</f>
        <v>8.7304007377055228</v>
      </c>
      <c r="K164" s="450">
        <f t="array" ref="K164">IF(BQ164=0,"---",(GEOMEAN($AH164:BQ164/100+1)^12-1)*100)</f>
        <v>10.436305312806592</v>
      </c>
      <c r="L164" s="450" t="str">
        <f t="array" ref="L164">IF(CC164=0,"---",(GEOMEAN($AH164:CC164/100+1)^12-1)*100)</f>
        <v>---</v>
      </c>
      <c r="M164" s="450" t="str">
        <f t="array" ref="M164">IF(CO164=0,"---",(GEOMEAN($AH164:CO164/100+1)^12-1)*100)</f>
        <v>---</v>
      </c>
      <c r="N164" s="450" t="str">
        <f t="array" ref="N164">IF(DM164=0,"---",(GEOMEAN($AH164:DM164/100+1)^12-1)*100)</f>
        <v>---</v>
      </c>
      <c r="O164" s="450" t="str">
        <f t="array" ref="O164">IF(EK164=0,"---",(GEOMEAN($AH164:EK164/100+1)^12-1)*100)</f>
        <v>---</v>
      </c>
      <c r="P164" s="450" t="str">
        <f t="array" ref="P164">IF(EW164=0,"---",(GEOMEAN($AH164:EW164/100+1)^12-1)*100)</f>
        <v>---</v>
      </c>
      <c r="Q164" s="1447">
        <f t="array" ref="Q164">(GEOMEAN(LTD_HY!B$429:B471/100+1)^12-1)*100</f>
        <v>8.5768601851380577</v>
      </c>
      <c r="R164" s="452">
        <f>IF(F164="---","---",(F164-F165)*100)</f>
        <v>24.059999999999992</v>
      </c>
      <c r="S164" s="452">
        <f t="shared" ref="S164:AB164" si="142">IF(G164="---","---",(G164-G165)*100)</f>
        <v>15.802605730639296</v>
      </c>
      <c r="T164" s="452">
        <f t="shared" si="142"/>
        <v>26.494339002540723</v>
      </c>
      <c r="U164" s="452">
        <f t="shared" si="142"/>
        <v>29.548621415482756</v>
      </c>
      <c r="V164" s="452">
        <f t="shared" si="142"/>
        <v>-32.912788361927525</v>
      </c>
      <c r="W164" s="452">
        <f t="shared" si="142"/>
        <v>-20.868601377564033</v>
      </c>
      <c r="X164" s="452" t="str">
        <f t="shared" si="142"/>
        <v>---</v>
      </c>
      <c r="Y164" s="452" t="str">
        <f t="shared" si="142"/>
        <v>---</v>
      </c>
      <c r="Z164" s="452" t="str">
        <f t="shared" si="142"/>
        <v>---</v>
      </c>
      <c r="AA164" s="452" t="str">
        <f t="shared" si="142"/>
        <v>---</v>
      </c>
      <c r="AB164" s="452" t="str">
        <f t="shared" si="142"/>
        <v>---</v>
      </c>
      <c r="AC164" s="453">
        <f>(Q164-AF164)*100</f>
        <v>-36.685596573955515</v>
      </c>
      <c r="AD164" s="552">
        <v>0</v>
      </c>
      <c r="AE164" s="1397"/>
      <c r="AF164" s="473">
        <f t="array" ref="AF164">(GEOMEAN(Index_Returns!AI$429:AI471/100+1)^12-1)*100</f>
        <v>8.9437161508776128</v>
      </c>
      <c r="AG164" s="382" t="str">
        <f>IF(I164="---","&lt; 1 Year","---")</f>
        <v>---</v>
      </c>
      <c r="AH164" s="439">
        <f>VLOOKUP(AH$8,LTD_HY!$A$1:$E$488,2,FALSE)</f>
        <v>1.82579</v>
      </c>
      <c r="AI164" s="439">
        <f>VLOOKUP(AI$8,LTD_HY!$A$1:$E$488,2,FALSE)</f>
        <v>-1.59517</v>
      </c>
      <c r="AJ164" s="439">
        <f>VLOOKUP(AJ$8,LTD_HY!$A$1:$E$488,2,FALSE)</f>
        <v>1.02227</v>
      </c>
      <c r="AK164" s="439">
        <f>VLOOKUP(AK$8,LTD_HY!$A$1:$E$488,2,FALSE)</f>
        <v>0.88700000000000001</v>
      </c>
      <c r="AL164" s="439">
        <f>VLOOKUP(AL$8,LTD_HY!$A$1:$E$488,2,FALSE)</f>
        <v>0.70172000000000001</v>
      </c>
      <c r="AM164" s="439">
        <f>VLOOKUP(AM$8,LTD_HY!$A$1:$E$488,2,FALSE)</f>
        <v>0.10229000000000001</v>
      </c>
      <c r="AN164" s="439">
        <f>VLOOKUP(AN$8,LTD_HY!$A$1:$E$488,2,FALSE)</f>
        <v>2.2216</v>
      </c>
      <c r="AO164" s="439">
        <f>VLOOKUP(AO$8,LTD_HY!$A$1:$E$488,2,FALSE)</f>
        <v>0.60584000000000005</v>
      </c>
      <c r="AP164" s="439">
        <f>VLOOKUP(AP$8,LTD_HY!$A$1:$E$488,2,FALSE)</f>
        <v>0.50843000000000005</v>
      </c>
      <c r="AQ164" s="439">
        <f>VLOOKUP(AQ$8,LTD_HY!$A$1:$E$488,2,FALSE)</f>
        <v>0.34877999999999998</v>
      </c>
      <c r="AR164" s="439">
        <f>VLOOKUP(AR$8,LTD_HY!$A$1:$E$488,2,FALSE)</f>
        <v>2.7063899999999999</v>
      </c>
      <c r="AS164" s="439">
        <f>VLOOKUP(AS$8,LTD_HY!$A$1:$E$488,2,FALSE)</f>
        <v>1.0968599999999999</v>
      </c>
      <c r="AT164" s="439">
        <f>VLOOKUP(AT$8,LTD_HY!$A$1:$E$488,2,FALSE)</f>
        <v>-0.79122000000000003</v>
      </c>
      <c r="AU164" s="439">
        <f>VLOOKUP(AU$8,LTD_HY!$A$1:$E$488,2,FALSE)</f>
        <v>2.0467399999999998</v>
      </c>
      <c r="AV164" s="439">
        <f>VLOOKUP(AV$8,LTD_HY!$A$1:$E$488,2,FALSE)</f>
        <v>-2.8667899999999999</v>
      </c>
      <c r="AW164" s="439">
        <f>VLOOKUP(AW$8,LTD_HY!$A$1:$E$488,2,FALSE)</f>
        <v>-0.98767000000000005</v>
      </c>
      <c r="AX164" s="439">
        <f>VLOOKUP(AX$8,LTD_HY!$A$1:$E$488,2,FALSE)</f>
        <v>1.94475</v>
      </c>
      <c r="AY164" s="439">
        <f>VLOOKUP(AY$8,LTD_HY!$A$1:$E$488,2,FALSE)</f>
        <v>0.83611999999999997</v>
      </c>
      <c r="AZ164" s="439">
        <f>VLOOKUP(AZ$8,LTD_HY!$A$1:$E$488,2,FALSE)</f>
        <v>0.40043000000000001</v>
      </c>
      <c r="BA164" s="439">
        <f>VLOOKUP(BA$8,LTD_HY!$A$1:$E$488,2,FALSE)</f>
        <v>1.13927</v>
      </c>
      <c r="BB164" s="439">
        <f>VLOOKUP(BB$8,LTD_HY!$A$1:$E$488,2,FALSE)</f>
        <v>1.7437100000000001</v>
      </c>
      <c r="BC164" s="439">
        <f>VLOOKUP(BC$8,LTD_HY!$A$1:$E$488,2,FALSE)</f>
        <v>0.93471000000000004</v>
      </c>
      <c r="BD164" s="439">
        <f>VLOOKUP(BD$8,LTD_HY!$A$1:$E$488,2,FALSE)</f>
        <v>0.87768999999999997</v>
      </c>
      <c r="BE164" s="439">
        <f>VLOOKUP(BE$8,LTD_HY!$A$1:$E$488,2,FALSE)</f>
        <v>1.2728600000000001</v>
      </c>
      <c r="BF164" s="439">
        <f>VLOOKUP(BF$8,LTD_HY!$A$1:$E$488,2,FALSE)</f>
        <v>1.0753699999999999</v>
      </c>
      <c r="BG164" s="439">
        <f>VLOOKUP(BG$8,LTD_HY!$A$1:$E$488,2,FALSE)</f>
        <v>2.0183599999999999</v>
      </c>
      <c r="BH164" s="439">
        <f>VLOOKUP(BH$8,LTD_HY!$A$1:$E$488,2,FALSE)</f>
        <v>2.4472299999999998</v>
      </c>
      <c r="BI164" s="439">
        <f>VLOOKUP(BI$8,LTD_HY!$A$1:$E$488,2,FALSE)</f>
        <v>-1.77196</v>
      </c>
      <c r="BJ164" s="439">
        <f>VLOOKUP(BJ$8,LTD_HY!$A$1:$E$488,2,FALSE)</f>
        <v>1.0307999999999999</v>
      </c>
      <c r="BK164" s="439">
        <f>VLOOKUP(BK$8,LTD_HY!$A$1:$E$488,2,FALSE)</f>
        <v>-0.49647999999999998</v>
      </c>
      <c r="BL164" s="439">
        <f>VLOOKUP(BL$8,LTD_HY!$A$1:$E$488,2,FALSE)</f>
        <v>2.37967</v>
      </c>
      <c r="BM164" s="439">
        <f>VLOOKUP(BM$8,LTD_HY!$A$1:$E$488,2,FALSE)</f>
        <v>3.0750700000000002</v>
      </c>
      <c r="BN164" s="439">
        <f>VLOOKUP(BN$8,LTD_HY!$A$1:$E$488,2,FALSE)</f>
        <v>3.2505799999999998</v>
      </c>
      <c r="BO164" s="439">
        <f>VLOOKUP(BO$8,LTD_HY!$A$1:$E$488,2,FALSE)</f>
        <v>-2.7597499999999999</v>
      </c>
      <c r="BP164" s="439">
        <f>VLOOKUP(BP$8,LTD_HY!$A$1:$E$488,2,FALSE)</f>
        <v>7.1098600000000003</v>
      </c>
      <c r="BQ164" s="439">
        <f>VLOOKUP(BQ$8,LTD_HY!$A$1:$E$488,2,FALSE)</f>
        <v>-3.7619899999999999</v>
      </c>
      <c r="BR164" s="439">
        <f>VLOOKUP(BR$8,LTD_HY!$A$1:$E$488,2,FALSE)</f>
        <v>-4.2808599999999997</v>
      </c>
      <c r="BS164" s="439">
        <f>VLOOKUP(BS$8,LTD_HY!$A$1:$E$488,2,FALSE)</f>
        <v>1.0958600000000001</v>
      </c>
      <c r="BT164" s="439">
        <f>VLOOKUP(BT$8,LTD_HY!$A$1:$E$488,2,FALSE)</f>
        <v>-1.06751</v>
      </c>
      <c r="BU164" s="439">
        <f>VLOOKUP(BU$8,LTD_HY!$A$1:$E$488,2,FALSE)</f>
        <v>0.36830000000000002</v>
      </c>
      <c r="BV164" s="439">
        <f>VLOOKUP(BV$8,LTD_HY!$A$1:$E$488,2,FALSE)</f>
        <v>1.6368799999999999</v>
      </c>
      <c r="BW164" s="439">
        <f>VLOOKUP(BW$8,LTD_HY!$A$1:$E$488,2,FALSE)</f>
        <v>0.24224000000000001</v>
      </c>
      <c r="BX164" s="439">
        <f>VLOOKUP(BX$8,LTD_HY!$A$1:$E$488,2,FALSE)</f>
        <v>1.2863500000000001</v>
      </c>
      <c r="BY164" s="439">
        <f>VLOOKUP(BY$8,LTD_HY!$A$1:$E$488,2,FALSE)</f>
        <v>2.3906000000000001</v>
      </c>
      <c r="BZ164" s="439">
        <f>VLOOKUP(BZ$8,LTD_HY!$A$1:$E$488,2,FALSE)</f>
        <v>0</v>
      </c>
      <c r="CA164" s="439">
        <f>VLOOKUP(CA$8,LTD_HY!$A$1:$E$488,2,FALSE)</f>
        <v>0</v>
      </c>
      <c r="CB164" s="439">
        <f>VLOOKUP(CB$8,LTD_HY!$A$1:$E$488,2,FALSE)</f>
        <v>0</v>
      </c>
      <c r="CC164" s="439">
        <f>VLOOKUP(CC$8,LTD_HY!$A$1:$E$488,2,FALSE)</f>
        <v>0</v>
      </c>
      <c r="CD164" s="439">
        <f>VLOOKUP(CD$8,LTD_HY!$A$1:$E$488,2,FALSE)</f>
        <v>0</v>
      </c>
      <c r="CE164" s="439">
        <f>VLOOKUP(CE$8,LTD_HY!$A$1:$E$488,2,FALSE)</f>
        <v>0</v>
      </c>
      <c r="CF164" s="439">
        <f>VLOOKUP(CF$8,LTD_HY!$A$1:$E$488,2,FALSE)</f>
        <v>0</v>
      </c>
      <c r="CG164" s="439">
        <f>VLOOKUP(CG$8,LTD_HY!$A$1:$E$488,2,FALSE)</f>
        <v>0</v>
      </c>
      <c r="CH164" s="439">
        <f>VLOOKUP(CH$8,LTD_HY!$A$1:$E$488,2,FALSE)</f>
        <v>0</v>
      </c>
      <c r="CI164" s="439">
        <f>VLOOKUP(CI$8,LTD_HY!$A$1:$E$488,2,FALSE)</f>
        <v>0</v>
      </c>
      <c r="CJ164" s="439">
        <f>VLOOKUP(CJ$8,LTD_HY!$A$1:$E$488,2,FALSE)</f>
        <v>0</v>
      </c>
      <c r="CK164" s="439">
        <f>VLOOKUP(CK$8,LTD_HY!$A$1:$E$488,2,FALSE)</f>
        <v>0</v>
      </c>
      <c r="CL164" s="439">
        <f>VLOOKUP(CL$8,LTD_HY!$A$1:$E$488,2,FALSE)</f>
        <v>0</v>
      </c>
      <c r="CM164" s="439">
        <f>VLOOKUP(CM$8,LTD_HY!$A$1:$E$488,2,FALSE)</f>
        <v>0</v>
      </c>
      <c r="CN164" s="439">
        <f>VLOOKUP(CN$8,LTD_HY!$A$1:$E$488,2,FALSE)</f>
        <v>0</v>
      </c>
      <c r="CO164" s="439">
        <f>VLOOKUP(CO$8,LTD_HY!$A$1:$E$488,2,FALSE)</f>
        <v>0</v>
      </c>
      <c r="CP164" s="439">
        <f>VLOOKUP(CP$8,LTD_HY!$A$1:$E$488,2,FALSE)</f>
        <v>0</v>
      </c>
      <c r="CQ164" s="439">
        <f>VLOOKUP(CQ$8,LTD_HY!$A$1:$E$488,2,FALSE)</f>
        <v>0</v>
      </c>
      <c r="CR164" s="439">
        <f>VLOOKUP(CR$8,LTD_HY!$A$1:$E$488,2,FALSE)</f>
        <v>0</v>
      </c>
      <c r="CS164" s="439">
        <f>VLOOKUP(CS$8,LTD_HY!$A$1:$E$488,2,FALSE)</f>
        <v>0</v>
      </c>
      <c r="CT164" s="439">
        <f>VLOOKUP(CT$8,LTD_HY!$A$1:$E$488,2,FALSE)</f>
        <v>0</v>
      </c>
      <c r="CU164" s="439">
        <f>VLOOKUP(CU$8,LTD_HY!$A$1:$E$488,2,FALSE)</f>
        <v>0</v>
      </c>
      <c r="CV164" s="439">
        <f>VLOOKUP(CV$8,LTD_HY!$A$1:$E$488,2,FALSE)</f>
        <v>0</v>
      </c>
      <c r="CW164" s="439">
        <f>VLOOKUP(CW$8,LTD_HY!$A$1:$E$488,2,FALSE)</f>
        <v>0</v>
      </c>
      <c r="CX164" s="439">
        <f>VLOOKUP(CX$8,LTD_HY!$A$1:$E$488,2,FALSE)</f>
        <v>0</v>
      </c>
      <c r="CY164" s="439">
        <f>VLOOKUP(CY$8,LTD_HY!$A$1:$E$488,2,FALSE)</f>
        <v>0</v>
      </c>
      <c r="CZ164" s="439">
        <f>VLOOKUP(CZ$8,LTD_HY!$A$1:$E$488,2,FALSE)</f>
        <v>0</v>
      </c>
      <c r="DA164" s="439">
        <f>VLOOKUP(DA$8,LTD_HY!$A$1:$E$488,2,FALSE)</f>
        <v>0</v>
      </c>
      <c r="DB164" s="439">
        <f>VLOOKUP(DB$8,LTD_HY!$A$1:$E$488,2,FALSE)</f>
        <v>0</v>
      </c>
      <c r="DC164" s="439">
        <f>VLOOKUP(DC$8,LTD_HY!$A$1:$E$488,2,FALSE)</f>
        <v>0</v>
      </c>
      <c r="DD164" s="439">
        <f>VLOOKUP(DD$8,LTD_HY!$A$1:$E$488,2,FALSE)</f>
        <v>0</v>
      </c>
      <c r="DE164" s="439">
        <f>VLOOKUP(DE$8,LTD_HY!$A$1:$E$488,2,FALSE)</f>
        <v>0</v>
      </c>
      <c r="DF164" s="439">
        <f>VLOOKUP(DF$8,LTD_HY!$A$1:$E$488,2,FALSE)</f>
        <v>0</v>
      </c>
      <c r="DG164" s="439">
        <f>VLOOKUP(DG$8,LTD_HY!$A$1:$E$488,2,FALSE)</f>
        <v>0</v>
      </c>
      <c r="DH164" s="439">
        <f>VLOOKUP(DH$8,LTD_HY!$A$1:$E$488,2,FALSE)</f>
        <v>0</v>
      </c>
      <c r="DI164" s="439">
        <f>VLOOKUP(DI$8,LTD_HY!$A$1:$E$488,2,FALSE)</f>
        <v>0</v>
      </c>
      <c r="DJ164" s="439">
        <f>VLOOKUP(DJ$8,LTD_HY!$A$1:$E$488,2,FALSE)</f>
        <v>0</v>
      </c>
      <c r="DK164" s="439">
        <f>VLOOKUP(DK$8,LTD_HY!$A$1:$E$488,2,FALSE)</f>
        <v>0</v>
      </c>
      <c r="DL164" s="439">
        <f>VLOOKUP(DL$8,LTD_HY!$A$1:$E$488,2,FALSE)</f>
        <v>0</v>
      </c>
      <c r="DM164" s="439">
        <f>VLOOKUP(DM$8,LTD_HY!$A$1:$E$488,2,FALSE)</f>
        <v>0</v>
      </c>
      <c r="DN164" s="439">
        <f>VLOOKUP(DN$8,LTD_HY!$A$1:$E$488,2,FALSE)</f>
        <v>0</v>
      </c>
      <c r="DO164" s="439">
        <f>VLOOKUP(DO$8,LTD_HY!$A$1:$E$488,2,FALSE)</f>
        <v>0</v>
      </c>
      <c r="DP164" s="439">
        <f>VLOOKUP(DP$8,LTD_HY!$A$1:$E$488,2,FALSE)</f>
        <v>0</v>
      </c>
      <c r="DQ164" s="439">
        <f>VLOOKUP(DQ$8,LTD_HY!$A$1:$E$488,2,FALSE)</f>
        <v>0</v>
      </c>
      <c r="DR164" s="439">
        <f>VLOOKUP(DR$8,LTD_HY!$A$1:$E$488,2,FALSE)</f>
        <v>0</v>
      </c>
      <c r="DS164" s="439">
        <f>VLOOKUP(DS$8,LTD_HY!$A$1:$E$488,2,FALSE)</f>
        <v>0</v>
      </c>
      <c r="DT164" s="439">
        <f>VLOOKUP(DT$8,LTD_HY!$A$1:$E$488,2,FALSE)</f>
        <v>0</v>
      </c>
      <c r="DU164" s="439">
        <f>VLOOKUP(DU$8,LTD_HY!$A$1:$E$488,2,FALSE)</f>
        <v>0</v>
      </c>
      <c r="DV164" s="439">
        <f>VLOOKUP(DV$8,LTD_HY!$A$1:$E$488,2,FALSE)</f>
        <v>0</v>
      </c>
      <c r="DW164" s="439">
        <f>VLOOKUP(DW$8,LTD_HY!$A$1:$E$488,2,FALSE)</f>
        <v>0</v>
      </c>
      <c r="DX164" s="439">
        <f>VLOOKUP(DX$8,LTD_HY!$A$1:$E$488,2,FALSE)</f>
        <v>0</v>
      </c>
      <c r="DY164" s="439">
        <f>VLOOKUP(DY$8,LTD_HY!$A$1:$E$488,2,FALSE)</f>
        <v>0</v>
      </c>
      <c r="DZ164" s="439">
        <f>VLOOKUP(DZ$8,LTD_HY!$A$1:$E$488,2,FALSE)</f>
        <v>0</v>
      </c>
      <c r="EA164" s="439">
        <f>VLOOKUP(EA$8,LTD_HY!$A$1:$E$488,2,FALSE)</f>
        <v>0</v>
      </c>
      <c r="EB164" s="439">
        <f>VLOOKUP(EB$8,LTD_HY!$A$1:$E$488,2,FALSE)</f>
        <v>0</v>
      </c>
      <c r="EC164" s="439">
        <f>VLOOKUP(EC$8,LTD_HY!$A$1:$E$488,2,FALSE)</f>
        <v>0</v>
      </c>
      <c r="ED164" s="439">
        <f>VLOOKUP(ED$8,LTD_HY!$A$1:$E$488,2,FALSE)</f>
        <v>0</v>
      </c>
      <c r="EE164" s="439">
        <f>VLOOKUP(EE$8,LTD_HY!$A$1:$E$488,2,FALSE)</f>
        <v>0</v>
      </c>
      <c r="EF164" s="439">
        <f>VLOOKUP(EF$8,LTD_HY!$A$1:$E$488,2,FALSE)</f>
        <v>0</v>
      </c>
      <c r="EG164" s="439">
        <f>VLOOKUP(EG$8,LTD_HY!$A$1:$E$488,2,FALSE)</f>
        <v>0</v>
      </c>
      <c r="EH164" s="439">
        <f>VLOOKUP(EH$8,LTD_HY!$A$1:$E$488,2,FALSE)</f>
        <v>0</v>
      </c>
      <c r="EI164" s="439">
        <f>VLOOKUP(EI$8,LTD_HY!$A$1:$E$488,2,FALSE)</f>
        <v>0</v>
      </c>
      <c r="EJ164" s="439">
        <f>VLOOKUP(EJ$8,LTD_HY!$A$1:$E$488,2,FALSE)</f>
        <v>0</v>
      </c>
      <c r="EK164" s="439">
        <f>VLOOKUP(EK$8,LTD_HY!$A$1:$E$488,2,FALSE)</f>
        <v>0</v>
      </c>
      <c r="EL164" s="439">
        <f>VLOOKUP(EL$8,LTD_HY!$A$1:$E$488,2,FALSE)</f>
        <v>0</v>
      </c>
      <c r="EM164" s="439">
        <f>VLOOKUP(EM$8,LTD_HY!$A$1:$E$488,2,FALSE)</f>
        <v>0</v>
      </c>
      <c r="EN164" s="439">
        <f>VLOOKUP(EN$8,LTD_HY!$A$1:$E$488,2,FALSE)</f>
        <v>0</v>
      </c>
      <c r="EO164" s="439">
        <f>VLOOKUP(EO$8,LTD_HY!$A$1:$E$488,2,FALSE)</f>
        <v>0</v>
      </c>
      <c r="EP164" s="439">
        <f>VLOOKUP(EP$8,LTD_HY!$A$1:$E$488,2,FALSE)</f>
        <v>0</v>
      </c>
      <c r="EQ164" s="439">
        <f>VLOOKUP(EQ$8,LTD_HY!$A$1:$E$488,2,FALSE)</f>
        <v>0</v>
      </c>
      <c r="ER164" s="439">
        <f>VLOOKUP(ER$8,LTD_HY!$A$1:$E$488,2,FALSE)</f>
        <v>0</v>
      </c>
      <c r="ES164" s="439">
        <f>VLOOKUP(ES$8,LTD_HY!$A$1:$E$488,2,FALSE)</f>
        <v>0</v>
      </c>
      <c r="ET164" s="439">
        <f>VLOOKUP(ET$8,LTD_HY!$A$1:$E$488,2,FALSE)</f>
        <v>0</v>
      </c>
      <c r="EU164" s="439">
        <f>VLOOKUP(EU$8,LTD_HY!$A$1:$E$488,2,FALSE)</f>
        <v>0</v>
      </c>
      <c r="EV164" s="439">
        <f>VLOOKUP(EV$8,LTD_HY!$A$1:$E$488,2,FALSE)</f>
        <v>0</v>
      </c>
      <c r="EW164" s="439">
        <f>VLOOKUP(EW$8,LTD_HY!$A$1:$E$488,2,FALSE)</f>
        <v>0</v>
      </c>
      <c r="EY164" s="580" t="s">
        <v>303</v>
      </c>
      <c r="EZ164" s="789">
        <v>4.6639999999999997</v>
      </c>
      <c r="FA164" s="789">
        <v>4.5453999999999999</v>
      </c>
      <c r="FB164" s="789">
        <v>4.8029999999999999</v>
      </c>
      <c r="FC164" s="789" t="e">
        <v>#VALUE!</v>
      </c>
      <c r="FD164" s="789">
        <v>4.2186000000000003</v>
      </c>
      <c r="FE164" s="341"/>
      <c r="FF164" s="441">
        <f>IF(G164="---","-",ABS(EZ164-G164))</f>
        <v>3.4381746258284256</v>
      </c>
      <c r="FG164" s="441">
        <f>IF(I164="---","-",ABS(FA164-I164))</f>
        <v>6.3268903571951691</v>
      </c>
      <c r="FH164" s="441">
        <f>IF(K164="---","-",ABS(FB164-K164))</f>
        <v>5.6333053128065922</v>
      </c>
      <c r="FI164" s="441" t="str">
        <f>IF(M164="---","-",ABS(FC164-M164))</f>
        <v>-</v>
      </c>
      <c r="FJ164" s="441">
        <f>IF(Q164="---","-",ABS(FD164-Q164))</f>
        <v>4.3582601851380574</v>
      </c>
    </row>
    <row r="165" spans="1:169" x14ac:dyDescent="0.2">
      <c r="A165" s="1341" t="s">
        <v>728</v>
      </c>
      <c r="B165" s="418"/>
      <c r="C165" s="485"/>
      <c r="D165" s="249"/>
      <c r="E165" s="470"/>
      <c r="F165" s="431">
        <f>AH165</f>
        <v>1.5851900000000001</v>
      </c>
      <c r="G165" s="432">
        <f t="array" ref="G165">IF($AJ165=0,"---",(PRODUCT($AH165:AJ165/100+1)-1)*100)</f>
        <v>1.0677993168651811</v>
      </c>
      <c r="H165" s="432">
        <f t="array" ref="H165">IF($AS165=0,"---",(PRODUCT(AH165:AN165/100+1)-1)*100)</f>
        <v>4.9676104246355157</v>
      </c>
      <c r="I165" s="432">
        <f t="array" ref="I165">IF(AS165=0,"---",(GEOMEAN($AH165:AS165/100+1)^12-1)*100)</f>
        <v>10.576804143040341</v>
      </c>
      <c r="J165" s="432">
        <f t="array" ref="J165">IF(BE165=0,"---",(GEOMEAN($AH165:BE165/100+1)^12-1)*100)</f>
        <v>9.0595286213247981</v>
      </c>
      <c r="K165" s="432">
        <f t="array" ref="K165">IF(BQ165=0,"---",(GEOMEAN($AH165:BQ165/100+1)^12-1)*100)</f>
        <v>10.644991326582232</v>
      </c>
      <c r="L165" s="432">
        <f t="array" ref="L165">IF(CC165=0,"---",(GEOMEAN($AH165:CC165/100+1)^12-1)*100)</f>
        <v>10.077955695172047</v>
      </c>
      <c r="M165" s="432" t="str">
        <f t="array" ref="M165">IF(CO165=0,"---",(GEOMEAN($AH165:CO165/100+1)^12-1)*100)</f>
        <v>---</v>
      </c>
      <c r="N165" s="432" t="str">
        <f t="array" ref="N165">IF(DM165=0,"---",(GEOMEAN($AH165:DM165/100+1)^12-1)*100)</f>
        <v>---</v>
      </c>
      <c r="O165" s="432" t="str">
        <f t="array" ref="O165">IF(EK165=0,"---",(GEOMEAN($AH165:EK165/100+1)^12-1)*100)</f>
        <v>---</v>
      </c>
      <c r="P165" s="432" t="str">
        <f t="array" ref="P165">IF(EW165=0,"---",(GEOMEAN($AH165:EW165/100+1)^12-1)*100)</f>
        <v>---</v>
      </c>
      <c r="Q165" s="468" t="s">
        <v>34</v>
      </c>
      <c r="R165" s="249"/>
      <c r="S165" s="249"/>
      <c r="T165" s="249"/>
      <c r="U165" s="249"/>
      <c r="V165" s="249"/>
      <c r="W165" s="249"/>
      <c r="X165" s="249"/>
      <c r="Y165" s="249"/>
      <c r="Z165" s="249"/>
      <c r="AA165" s="249"/>
      <c r="AB165" s="249"/>
      <c r="AC165" s="459"/>
      <c r="AD165" s="553"/>
      <c r="AE165" s="15"/>
      <c r="AF165" s="442"/>
      <c r="AG165" s="486"/>
      <c r="AH165" s="439">
        <f t="shared" ref="AH165:BN165" si="143">VLOOKUP(AH$8,Index,35,FALSE)</f>
        <v>1.5851900000000001</v>
      </c>
      <c r="AI165" s="439">
        <f t="shared" si="143"/>
        <v>-1.33341</v>
      </c>
      <c r="AJ165" s="439">
        <f t="shared" si="143"/>
        <v>0.83523000000000003</v>
      </c>
      <c r="AK165" s="439">
        <f t="shared" si="143"/>
        <v>0.91986999999999997</v>
      </c>
      <c r="AL165" s="439">
        <f t="shared" si="143"/>
        <v>0.63334999999999997</v>
      </c>
      <c r="AM165" s="439">
        <f t="shared" si="143"/>
        <v>0.23637</v>
      </c>
      <c r="AN165" s="439">
        <f t="shared" si="143"/>
        <v>2.02311</v>
      </c>
      <c r="AO165" s="439">
        <f t="shared" si="143"/>
        <v>0.70115000000000005</v>
      </c>
      <c r="AP165" s="439">
        <f t="shared" si="143"/>
        <v>0.53968000000000005</v>
      </c>
      <c r="AQ165" s="439">
        <f t="shared" si="143"/>
        <v>0.50753000000000004</v>
      </c>
      <c r="AR165" s="439">
        <f t="shared" si="143"/>
        <v>2.5053299999999998</v>
      </c>
      <c r="AS165" s="439">
        <f t="shared" si="143"/>
        <v>0.99311000000000005</v>
      </c>
      <c r="AT165" s="439">
        <f t="shared" si="143"/>
        <v>-0.60734999999999995</v>
      </c>
      <c r="AU165" s="439">
        <f t="shared" si="143"/>
        <v>1.8953</v>
      </c>
      <c r="AV165" s="439">
        <f t="shared" si="143"/>
        <v>-2.6221999999999999</v>
      </c>
      <c r="AW165" s="439">
        <f t="shared" si="143"/>
        <v>-0.58001999999999998</v>
      </c>
      <c r="AX165" s="439">
        <f t="shared" si="143"/>
        <v>1.8090900000000001</v>
      </c>
      <c r="AY165" s="439">
        <f t="shared" si="143"/>
        <v>1.0183</v>
      </c>
      <c r="AZ165" s="439">
        <f t="shared" si="143"/>
        <v>0.50780999999999998</v>
      </c>
      <c r="BA165" s="439">
        <f t="shared" si="143"/>
        <v>1.34053</v>
      </c>
      <c r="BB165" s="439">
        <f t="shared" si="143"/>
        <v>1.5755699999999999</v>
      </c>
      <c r="BC165" s="439">
        <f t="shared" si="143"/>
        <v>0.80008999999999997</v>
      </c>
      <c r="BD165" s="439">
        <f t="shared" si="143"/>
        <v>0.87861</v>
      </c>
      <c r="BE165" s="439">
        <f t="shared" si="143"/>
        <v>1.39167</v>
      </c>
      <c r="BF165" s="439">
        <f t="shared" si="143"/>
        <v>1.1706000000000001</v>
      </c>
      <c r="BG165" s="439">
        <f t="shared" si="143"/>
        <v>1.90228</v>
      </c>
      <c r="BH165" s="439">
        <f t="shared" si="143"/>
        <v>2.11172</v>
      </c>
      <c r="BI165" s="439">
        <f t="shared" si="143"/>
        <v>-1.3059400000000001</v>
      </c>
      <c r="BJ165" s="439">
        <f t="shared" si="143"/>
        <v>1.04681</v>
      </c>
      <c r="BK165" s="439">
        <f t="shared" si="143"/>
        <v>-0.13916000000000001</v>
      </c>
      <c r="BL165" s="439">
        <f t="shared" si="143"/>
        <v>2.3748499999999999</v>
      </c>
      <c r="BM165" s="439">
        <f t="shared" si="143"/>
        <v>3.0358499999999999</v>
      </c>
      <c r="BN165" s="439">
        <f t="shared" si="143"/>
        <v>2.6566399999999999</v>
      </c>
      <c r="BO165" s="439">
        <f t="shared" ref="BO165:CT165" si="144">VLOOKUP(BO$8,Index,35,FALSE)</f>
        <v>-2.15625</v>
      </c>
      <c r="BP165" s="439">
        <f t="shared" si="144"/>
        <v>5.9930199999999996</v>
      </c>
      <c r="BQ165" s="439">
        <f t="shared" si="144"/>
        <v>-3.26885</v>
      </c>
      <c r="BR165" s="439">
        <f t="shared" si="144"/>
        <v>-4.0025000000000004</v>
      </c>
      <c r="BS165" s="439">
        <f t="shared" si="144"/>
        <v>1.1589700000000001</v>
      </c>
      <c r="BT165" s="439">
        <f t="shared" si="144"/>
        <v>-0.97363</v>
      </c>
      <c r="BU165" s="439">
        <f t="shared" si="144"/>
        <v>0.48779</v>
      </c>
      <c r="BV165" s="439">
        <f t="shared" si="144"/>
        <v>1.5498000000000001</v>
      </c>
      <c r="BW165" s="439">
        <f t="shared" si="144"/>
        <v>0.32347999999999999</v>
      </c>
      <c r="BX165" s="439">
        <f t="shared" si="144"/>
        <v>1.3107200000000001</v>
      </c>
      <c r="BY165" s="439">
        <f t="shared" si="144"/>
        <v>2.2062400000000002</v>
      </c>
      <c r="BZ165" s="439">
        <f t="shared" si="144"/>
        <v>1.8131900000000001</v>
      </c>
      <c r="CA165" s="439">
        <f t="shared" si="144"/>
        <v>-1.1687099999999999</v>
      </c>
      <c r="CB165" s="439">
        <f t="shared" si="144"/>
        <v>2.5827</v>
      </c>
      <c r="CC165" s="439">
        <f t="shared" si="144"/>
        <v>3.0126499999999998</v>
      </c>
      <c r="CD165" s="439">
        <f t="shared" si="144"/>
        <v>3.653E-2</v>
      </c>
      <c r="CE165" s="439">
        <f t="shared" si="144"/>
        <v>3.5560100000000001</v>
      </c>
      <c r="CF165" s="439">
        <f t="shared" si="144"/>
        <v>1.24447</v>
      </c>
      <c r="CG165" s="439">
        <f t="shared" si="144"/>
        <v>-3.5931299999999999</v>
      </c>
      <c r="CH165" s="439">
        <f t="shared" si="144"/>
        <v>2.34</v>
      </c>
      <c r="CI165" s="439">
        <f t="shared" si="144"/>
        <v>3.13</v>
      </c>
      <c r="CJ165" s="439">
        <f t="shared" si="144"/>
        <v>0.17</v>
      </c>
      <c r="CK165" s="439">
        <f t="shared" si="144"/>
        <v>1.27</v>
      </c>
      <c r="CL165" s="439">
        <f t="shared" si="144"/>
        <v>3.28</v>
      </c>
      <c r="CM165" s="439">
        <f t="shared" si="144"/>
        <v>1.01</v>
      </c>
      <c r="CN165" s="439">
        <f t="shared" si="144"/>
        <v>1.8</v>
      </c>
      <c r="CO165" s="439">
        <f t="shared" si="144"/>
        <v>0</v>
      </c>
      <c r="CP165" s="439">
        <f t="shared" si="144"/>
        <v>0</v>
      </c>
      <c r="CQ165" s="439">
        <f t="shared" si="144"/>
        <v>0</v>
      </c>
      <c r="CR165" s="439">
        <f t="shared" si="144"/>
        <v>0</v>
      </c>
      <c r="CS165" s="439">
        <f t="shared" si="144"/>
        <v>0</v>
      </c>
      <c r="CT165" s="439">
        <f t="shared" si="144"/>
        <v>0</v>
      </c>
      <c r="CU165" s="439">
        <f t="shared" ref="CU165:DZ165" si="145">VLOOKUP(CU$8,Index,35,FALSE)</f>
        <v>0</v>
      </c>
      <c r="CV165" s="439">
        <f t="shared" si="145"/>
        <v>0</v>
      </c>
      <c r="CW165" s="439">
        <f t="shared" si="145"/>
        <v>0</v>
      </c>
      <c r="CX165" s="439">
        <f t="shared" si="145"/>
        <v>0</v>
      </c>
      <c r="CY165" s="439">
        <f t="shared" si="145"/>
        <v>0</v>
      </c>
      <c r="CZ165" s="439">
        <f t="shared" si="145"/>
        <v>0</v>
      </c>
      <c r="DA165" s="439">
        <f t="shared" si="145"/>
        <v>0</v>
      </c>
      <c r="DB165" s="439">
        <f t="shared" si="145"/>
        <v>0</v>
      </c>
      <c r="DC165" s="439">
        <f t="shared" si="145"/>
        <v>0</v>
      </c>
      <c r="DD165" s="439">
        <f t="shared" si="145"/>
        <v>0</v>
      </c>
      <c r="DE165" s="439">
        <f t="shared" si="145"/>
        <v>0</v>
      </c>
      <c r="DF165" s="439">
        <f t="shared" si="145"/>
        <v>0</v>
      </c>
      <c r="DG165" s="439">
        <f t="shared" si="145"/>
        <v>0</v>
      </c>
      <c r="DH165" s="439">
        <f t="shared" si="145"/>
        <v>0</v>
      </c>
      <c r="DI165" s="439">
        <f t="shared" si="145"/>
        <v>0</v>
      </c>
      <c r="DJ165" s="439">
        <f t="shared" si="145"/>
        <v>0</v>
      </c>
      <c r="DK165" s="439">
        <f t="shared" si="145"/>
        <v>0</v>
      </c>
      <c r="DL165" s="439">
        <f t="shared" si="145"/>
        <v>0</v>
      </c>
      <c r="DM165" s="439">
        <f t="shared" si="145"/>
        <v>0</v>
      </c>
      <c r="DN165" s="439">
        <f t="shared" si="145"/>
        <v>0</v>
      </c>
      <c r="DO165" s="439">
        <f t="shared" si="145"/>
        <v>0</v>
      </c>
      <c r="DP165" s="439">
        <f t="shared" si="145"/>
        <v>0</v>
      </c>
      <c r="DQ165" s="439">
        <f t="shared" si="145"/>
        <v>0</v>
      </c>
      <c r="DR165" s="439">
        <f t="shared" si="145"/>
        <v>0</v>
      </c>
      <c r="DS165" s="439">
        <f t="shared" si="145"/>
        <v>0</v>
      </c>
      <c r="DT165" s="439">
        <f t="shared" si="145"/>
        <v>0</v>
      </c>
      <c r="DU165" s="439">
        <f t="shared" si="145"/>
        <v>0</v>
      </c>
      <c r="DV165" s="439">
        <f t="shared" si="145"/>
        <v>0</v>
      </c>
      <c r="DW165" s="439">
        <f t="shared" si="145"/>
        <v>0</v>
      </c>
      <c r="DX165" s="439">
        <f t="shared" si="145"/>
        <v>0</v>
      </c>
      <c r="DY165" s="439">
        <f t="shared" si="145"/>
        <v>0</v>
      </c>
      <c r="DZ165" s="439">
        <f t="shared" si="145"/>
        <v>0</v>
      </c>
      <c r="EA165" s="439">
        <f t="shared" ref="EA165:EW165" si="146">VLOOKUP(EA$8,Index,35,FALSE)</f>
        <v>0</v>
      </c>
      <c r="EB165" s="439">
        <f t="shared" si="146"/>
        <v>0</v>
      </c>
      <c r="EC165" s="439">
        <f t="shared" si="146"/>
        <v>0</v>
      </c>
      <c r="ED165" s="439">
        <f t="shared" si="146"/>
        <v>0</v>
      </c>
      <c r="EE165" s="439">
        <f t="shared" si="146"/>
        <v>0</v>
      </c>
      <c r="EF165" s="439">
        <f t="shared" si="146"/>
        <v>0</v>
      </c>
      <c r="EG165" s="439">
        <f t="shared" si="146"/>
        <v>0</v>
      </c>
      <c r="EH165" s="439">
        <f t="shared" si="146"/>
        <v>0</v>
      </c>
      <c r="EI165" s="439">
        <f t="shared" si="146"/>
        <v>0</v>
      </c>
      <c r="EJ165" s="439">
        <f t="shared" si="146"/>
        <v>0</v>
      </c>
      <c r="EK165" s="439">
        <f t="shared" si="146"/>
        <v>0</v>
      </c>
      <c r="EL165" s="439">
        <f t="shared" si="146"/>
        <v>0</v>
      </c>
      <c r="EM165" s="439">
        <f t="shared" si="146"/>
        <v>0</v>
      </c>
      <c r="EN165" s="439">
        <f t="shared" si="146"/>
        <v>0</v>
      </c>
      <c r="EO165" s="439">
        <f t="shared" si="146"/>
        <v>0</v>
      </c>
      <c r="EP165" s="439">
        <f t="shared" si="146"/>
        <v>0</v>
      </c>
      <c r="EQ165" s="439">
        <f t="shared" si="146"/>
        <v>0</v>
      </c>
      <c r="ER165" s="439">
        <f t="shared" si="146"/>
        <v>0</v>
      </c>
      <c r="ES165" s="439">
        <f t="shared" si="146"/>
        <v>0</v>
      </c>
      <c r="ET165" s="439">
        <f t="shared" si="146"/>
        <v>0</v>
      </c>
      <c r="EU165" s="439">
        <f t="shared" si="146"/>
        <v>0</v>
      </c>
      <c r="EV165" s="439">
        <f t="shared" si="146"/>
        <v>0</v>
      </c>
      <c r="EW165" s="439">
        <f t="shared" si="146"/>
        <v>0</v>
      </c>
      <c r="EZ165" s="440"/>
      <c r="FA165" s="440"/>
      <c r="FB165" s="440"/>
      <c r="FC165" s="440"/>
      <c r="FD165" s="440"/>
    </row>
    <row r="166" spans="1:169" x14ac:dyDescent="0.2">
      <c r="A166" s="17"/>
      <c r="B166" s="15"/>
      <c r="C166" s="15"/>
      <c r="D166" s="16"/>
      <c r="E166" s="526"/>
      <c r="F166" s="16"/>
      <c r="G166" s="16"/>
      <c r="H166" s="16"/>
      <c r="I166" s="16"/>
      <c r="J166" s="16"/>
      <c r="K166" s="16"/>
      <c r="L166" s="16"/>
      <c r="M166" s="16"/>
      <c r="N166" s="16"/>
      <c r="O166" s="16"/>
      <c r="P166" s="16"/>
      <c r="Q166" s="16"/>
      <c r="R166" s="524"/>
      <c r="S166" s="16"/>
      <c r="T166" s="16"/>
      <c r="U166" s="16"/>
      <c r="V166" s="16"/>
      <c r="W166" s="16"/>
      <c r="X166" s="16"/>
      <c r="Y166" s="16"/>
      <c r="Z166" s="16"/>
      <c r="AA166" s="16"/>
      <c r="AB166" s="16"/>
      <c r="AC166" s="18"/>
      <c r="AD166" s="525"/>
      <c r="AF166" s="491"/>
      <c r="EZ166" s="440"/>
      <c r="FA166" s="440"/>
      <c r="FB166" s="440"/>
      <c r="FC166" s="440"/>
      <c r="FD166" s="440"/>
    </row>
    <row r="167" spans="1:169" s="16" customFormat="1" collapsed="1" x14ac:dyDescent="0.2">
      <c r="A167" s="1339" t="s">
        <v>839</v>
      </c>
      <c r="B167" s="1260" t="s">
        <v>320</v>
      </c>
      <c r="C167" s="446">
        <v>41305</v>
      </c>
      <c r="D167" s="447">
        <v>20</v>
      </c>
      <c r="E167" s="448">
        <f>VLOOKUP(AH$8,LTD_EMD!A64:E491,3,FALSE)/1000000</f>
        <v>10.162185050000001</v>
      </c>
      <c r="F167" s="449">
        <f>AH167</f>
        <v>0.42843999999999999</v>
      </c>
      <c r="G167" s="450">
        <f t="array" ref="G167">IF($AJ167=0,"---",(PRODUCT($AH167:AJ167/100+1)-1)*100)</f>
        <v>0.28774422691031365</v>
      </c>
      <c r="H167" s="450">
        <f t="array" ref="H167">IF($AS167=0,"---",(PRODUCT(AH167:AN167/100+1)-1)*100)</f>
        <v>10.20884296827942</v>
      </c>
      <c r="I167" s="450">
        <f t="array" ref="I167">IF(AS167=0,"---",(GEOMEAN($AH167:AS167/100+1)^12-1)*100)</f>
        <v>7.3739569503895597</v>
      </c>
      <c r="J167" s="450" t="str">
        <f t="array" ref="J167">IF(BE167=0,"---",(GEOMEAN($AH167:BE167/100+1)^12-1)*100)</f>
        <v>---</v>
      </c>
      <c r="K167" s="450" t="str">
        <f t="array" ref="K167">IF(BQ167=0,"---",(GEOMEAN($AH167:BQ167/100+1)^12-1)*100)</f>
        <v>---</v>
      </c>
      <c r="L167" s="450" t="str">
        <f t="array" ref="L167">IF(CC167=0,"---",(GEOMEAN($AH167:CC167/100+1)^12-1)*100)</f>
        <v>---</v>
      </c>
      <c r="M167" s="450" t="str">
        <f t="array" ref="M167">IF(CO167=0,"---",(GEOMEAN($AH167:CO167/100+1)^12-1)*100)</f>
        <v>---</v>
      </c>
      <c r="N167" s="450" t="str">
        <f t="array" ref="N167">IF(DM167=0,"---",(GEOMEAN($AH167:DM167/100+1)^12-1)*100)</f>
        <v>---</v>
      </c>
      <c r="O167" s="450" t="str">
        <f t="array" ref="O167">IF(EK167=0,"---",(GEOMEAN($AH167:EK167/100+1)^12-1)*100)</f>
        <v>---</v>
      </c>
      <c r="P167" s="450" t="str">
        <f t="array" ref="P167">IF(EW167=0,"---",(GEOMEAN($AH167:EW167/100+1)^12-1)*100)</f>
        <v>---</v>
      </c>
      <c r="Q167" s="1447">
        <f t="array" ref="Q167">(GEOMEAN(LTD_EMD!D453:D471/100+1)^12-1)*100</f>
        <v>-3.7076510729492029</v>
      </c>
      <c r="R167" s="452">
        <f t="shared" ref="R167:AB167" si="147">IF(F167="---","---",(F167-F168)*100)</f>
        <v>-5.1609999999999987</v>
      </c>
      <c r="S167" s="452">
        <f t="shared" si="147"/>
        <v>-12.415731743082858</v>
      </c>
      <c r="T167" s="452">
        <f t="shared" si="147"/>
        <v>-28.337944666505521</v>
      </c>
      <c r="U167" s="452">
        <f t="shared" si="147"/>
        <v>-94.61727891987293</v>
      </c>
      <c r="V167" s="452" t="str">
        <f t="shared" si="147"/>
        <v>---</v>
      </c>
      <c r="W167" s="452" t="str">
        <f t="shared" si="147"/>
        <v>---</v>
      </c>
      <c r="X167" s="452" t="str">
        <f t="shared" si="147"/>
        <v>---</v>
      </c>
      <c r="Y167" s="452" t="str">
        <f t="shared" si="147"/>
        <v>---</v>
      </c>
      <c r="Z167" s="452" t="str">
        <f t="shared" si="147"/>
        <v>---</v>
      </c>
      <c r="AA167" s="452" t="str">
        <f t="shared" si="147"/>
        <v>---</v>
      </c>
      <c r="AB167" s="452" t="str">
        <f t="shared" si="147"/>
        <v>---</v>
      </c>
      <c r="AC167" s="453">
        <f>(Q167-AF167)*100</f>
        <v>-81.320700600048255</v>
      </c>
      <c r="AD167" s="552">
        <v>0</v>
      </c>
      <c r="AE167" s="1397"/>
      <c r="AF167" s="473">
        <f t="array" ref="AF167">(GEOMEAN(Index_Returns!AS$453:AS471/100+1)^12-1)*100</f>
        <v>-2.8944440669487204</v>
      </c>
      <c r="AG167" s="418" t="str">
        <f>IF(I167="---","&lt; 1 Year","---")</f>
        <v>---</v>
      </c>
      <c r="AH167" s="482">
        <f>VLOOKUP(AH$8,LTD_EMD!$A$1:$E$488,2,FALSE)</f>
        <v>0.42843999999999999</v>
      </c>
      <c r="AI167" s="482">
        <f>VLOOKUP(AI$8,LTD_EMD!$A$1:$E$488,2,FALSE)</f>
        <v>-1.1310100000000001</v>
      </c>
      <c r="AJ167" s="482">
        <f>VLOOKUP(AJ$8,LTD_EMD!$A$1:$E$488,2,FALSE)</f>
        <v>1.0022500000000001</v>
      </c>
      <c r="AK167" s="482">
        <f>VLOOKUP(AK$8,LTD_EMD!$A$1:$E$488,2,FALSE)</f>
        <v>2.0287199999999999</v>
      </c>
      <c r="AL167" s="482">
        <f>VLOOKUP(AL$8,LTD_EMD!$A$1:$E$488,2,FALSE)</f>
        <v>0.87216000000000005</v>
      </c>
      <c r="AM167" s="482">
        <f>VLOOKUP(AM$8,LTD_EMD!$A$1:$E$488,2,FALSE)</f>
        <v>2.7985600000000002</v>
      </c>
      <c r="AN167" s="482">
        <f>VLOOKUP(AN$8,LTD_EMD!$A$1:$E$488,2,FALSE)</f>
        <v>3.86944</v>
      </c>
      <c r="AO167" s="482">
        <f>VLOOKUP(AO$8,LTD_EMD!$A$1:$E$488,2,FALSE)</f>
        <v>-4.6451900000000004</v>
      </c>
      <c r="AP167" s="482">
        <f>VLOOKUP(AP$8,LTD_EMD!$A$1:$E$488,2,FALSE)</f>
        <v>-0.75014000000000003</v>
      </c>
      <c r="AQ167" s="482">
        <f>VLOOKUP(AQ$8,LTD_EMD!$A$1:$E$488,2,FALSE)</f>
        <v>-3.8496600000000001</v>
      </c>
      <c r="AR167" s="482">
        <f>VLOOKUP(AR$8,LTD_EMD!$A$1:$E$488,2,FALSE)</f>
        <v>2.8326899999999999</v>
      </c>
      <c r="AS167" s="482">
        <f>VLOOKUP(AS$8,LTD_EMD!$A$1:$E$488,2,FALSE)</f>
        <v>4.1185200000000002</v>
      </c>
      <c r="AT167" s="482">
        <f>VLOOKUP(AT$8,LTD_EMD!$A$1:$E$488,2,FALSE)</f>
        <v>-4.0548599999999997</v>
      </c>
      <c r="AU167" s="482">
        <f>VLOOKUP(AU$8,LTD_EMD!$A$1:$E$488,2,FALSE)</f>
        <v>-0.53990000000000005</v>
      </c>
      <c r="AV167" s="482">
        <f>VLOOKUP(AV$8,LTD_EMD!$A$1:$E$488,2,FALSE)</f>
        <v>-4.1275000000000004</v>
      </c>
      <c r="AW167" s="482">
        <f>VLOOKUP(AW$8,LTD_EMD!$A$1:$E$488,2,FALSE)</f>
        <v>-6.3522800000000004</v>
      </c>
      <c r="AX167" s="482">
        <f>VLOOKUP(AX$8,LTD_EMD!$A$1:$E$488,2,FALSE)</f>
        <v>3.3406400000000001</v>
      </c>
      <c r="AY167" s="482">
        <f>VLOOKUP(AY$8,LTD_EMD!$A$1:$E$488,2,FALSE)</f>
        <v>-0.70423999999999998</v>
      </c>
      <c r="AZ167" s="482">
        <f>VLOOKUP(AZ$8,LTD_EMD!$A$1:$E$488,2,FALSE)</f>
        <v>-0.40677999999999997</v>
      </c>
      <c r="BA167" s="482">
        <f>VLOOKUP(BA$8,LTD_EMD!$A$1:$E$488,2,FALSE)</f>
        <v>0.61977000000000004</v>
      </c>
      <c r="BB167" s="482">
        <f>VLOOKUP(BB$8,LTD_EMD!$A$1:$E$488,2,FALSE)</f>
        <v>0</v>
      </c>
      <c r="BC167" s="482">
        <f>VLOOKUP(BC$8,LTD_EMD!$A$1:$E$488,2,FALSE)</f>
        <v>0</v>
      </c>
      <c r="BD167" s="482">
        <f>VLOOKUP(BD$8,LTD_EMD!$A$1:$E$488,2,FALSE)</f>
        <v>0</v>
      </c>
      <c r="BE167" s="482">
        <f>VLOOKUP(BE$8,LTD_EMD!$A$1:$E$488,2,FALSE)</f>
        <v>0</v>
      </c>
      <c r="BF167" s="482">
        <f>VLOOKUP(BF$8,LTD_EMD!$A$1:$E$488,2,FALSE)</f>
        <v>0</v>
      </c>
      <c r="BG167" s="482">
        <f>VLOOKUP(BG$8,LTD_EMD!$A$1:$E$488,2,FALSE)</f>
        <v>0</v>
      </c>
      <c r="BH167" s="482">
        <f>VLOOKUP(BH$8,LTD_EMD!$A$1:$E$488,2,FALSE)</f>
        <v>0</v>
      </c>
      <c r="BI167" s="482">
        <f>VLOOKUP(BI$8,LTD_EMD!$A$1:$E$488,2,FALSE)</f>
        <v>0</v>
      </c>
      <c r="BJ167" s="482">
        <f>VLOOKUP(BJ$8,LTD_EMD!$A$1:$E$488,2,FALSE)</f>
        <v>0</v>
      </c>
      <c r="BK167" s="482">
        <f>VLOOKUP(BK$8,LTD_EMD!$A$1:$E$488,2,FALSE)</f>
        <v>0</v>
      </c>
      <c r="BL167" s="482">
        <f>VLOOKUP(BL$8,LTD_EMD!$A$1:$E$488,2,FALSE)</f>
        <v>0</v>
      </c>
      <c r="BM167" s="482">
        <f>VLOOKUP(BM$8,LTD_EMD!$A$1:$E$488,2,FALSE)</f>
        <v>0</v>
      </c>
      <c r="BN167" s="482">
        <f>VLOOKUP(BN$8,LTD_EMD!$A$1:$E$488,2,FALSE)</f>
        <v>0</v>
      </c>
      <c r="BO167" s="482">
        <f>VLOOKUP(BO$8,LTD_EMD!$A$1:$E$488,2,FALSE)</f>
        <v>0</v>
      </c>
      <c r="BP167" s="482">
        <f>VLOOKUP(BP$8,LTD_EMD!$A$1:$E$488,2,FALSE)</f>
        <v>0</v>
      </c>
      <c r="BQ167" s="482">
        <f>VLOOKUP(BQ$8,LTD_EMD!$A$1:$E$488,2,FALSE)</f>
        <v>0</v>
      </c>
      <c r="BR167" s="482">
        <f>VLOOKUP(BR$8,LTD_EMD!$A$1:$E$488,2,FALSE)</f>
        <v>0</v>
      </c>
      <c r="BS167" s="482">
        <f>VLOOKUP(BS$8,LTD_EMD!$A$1:$E$488,2,FALSE)</f>
        <v>0</v>
      </c>
      <c r="BT167" s="482">
        <f>VLOOKUP(BT$8,LTD_EMD!$A$1:$E$488,2,FALSE)</f>
        <v>0</v>
      </c>
      <c r="BU167" s="482">
        <f>VLOOKUP(BU$8,LTD_EMD!$A$1:$E$488,2,FALSE)</f>
        <v>0</v>
      </c>
      <c r="BV167" s="482">
        <f>VLOOKUP(BV$8,LTD_EMD!$A$1:$E$488,2,FALSE)</f>
        <v>0</v>
      </c>
      <c r="BW167" s="482">
        <f>VLOOKUP(BW$8,LTD_EMD!$A$1:$E$488,2,FALSE)</f>
        <v>0</v>
      </c>
      <c r="BX167" s="482">
        <f>VLOOKUP(BX$8,LTD_EMD!$A$1:$E$488,2,FALSE)</f>
        <v>0</v>
      </c>
      <c r="BY167" s="482">
        <f>VLOOKUP(BY$8,LTD_EMD!$A$1:$E$488,2,FALSE)</f>
        <v>0</v>
      </c>
      <c r="BZ167" s="482">
        <f>VLOOKUP(BZ$8,LTD_EMD!$A$1:$E$488,2,FALSE)</f>
        <v>0</v>
      </c>
      <c r="CA167" s="482">
        <f>VLOOKUP(CA$8,LTD_EMD!$A$1:$E$488,2,FALSE)</f>
        <v>0</v>
      </c>
      <c r="CB167" s="482">
        <f>VLOOKUP(CB$8,LTD_EMD!$A$1:$E$488,2,FALSE)</f>
        <v>0</v>
      </c>
      <c r="CC167" s="482">
        <f>VLOOKUP(CC$8,LTD_EMD!$A$1:$E$488,2,FALSE)</f>
        <v>0</v>
      </c>
      <c r="CD167" s="482">
        <f>VLOOKUP(CD$8,LTD_EMD!$A$1:$E$488,2,FALSE)</f>
        <v>0</v>
      </c>
      <c r="CE167" s="482">
        <f>VLOOKUP(CE$8,LTD_EMD!$A$1:$E$488,2,FALSE)</f>
        <v>0</v>
      </c>
      <c r="CF167" s="482">
        <f>VLOOKUP(CF$8,LTD_EMD!$A$1:$E$488,2,FALSE)</f>
        <v>0</v>
      </c>
      <c r="CG167" s="482">
        <f>VLOOKUP(CG$8,LTD_EMD!$A$1:$E$488,2,FALSE)</f>
        <v>0</v>
      </c>
      <c r="CH167" s="482">
        <f>VLOOKUP(CH$8,LTD_EMD!$A$1:$E$488,2,FALSE)</f>
        <v>0</v>
      </c>
      <c r="CI167" s="482">
        <f>VLOOKUP(CI$8,LTD_EMD!$A$1:$E$488,2,FALSE)</f>
        <v>0</v>
      </c>
      <c r="CJ167" s="482">
        <f>VLOOKUP(CJ$8,LTD_EMD!$A$1:$E$488,2,FALSE)</f>
        <v>0</v>
      </c>
      <c r="CK167" s="482">
        <f>VLOOKUP(CK$8,LTD_EMD!$A$1:$E$488,2,FALSE)</f>
        <v>0</v>
      </c>
      <c r="CL167" s="482">
        <f>VLOOKUP(CL$8,LTD_EMD!$A$1:$E$488,2,FALSE)</f>
        <v>0</v>
      </c>
      <c r="CM167" s="482">
        <f>VLOOKUP(CM$8,LTD_EMD!$A$1:$E$488,2,FALSE)</f>
        <v>0</v>
      </c>
      <c r="CN167" s="482">
        <f>VLOOKUP(CN$8,LTD_EMD!$A$1:$E$488,2,FALSE)</f>
        <v>0</v>
      </c>
      <c r="CO167" s="482">
        <f>VLOOKUP(CO$8,LTD_EMD!$A$1:$E$488,2,FALSE)</f>
        <v>0</v>
      </c>
      <c r="CP167" s="482">
        <f>VLOOKUP(CP$8,LTD_EMD!$A$1:$E$488,2,FALSE)</f>
        <v>0</v>
      </c>
      <c r="CQ167" s="482">
        <f>VLOOKUP(CQ$8,LTD_EMD!$A$1:$E$488,2,FALSE)</f>
        <v>0</v>
      </c>
      <c r="CR167" s="482">
        <f>VLOOKUP(CR$8,LTD_EMD!$A$1:$E$488,2,FALSE)</f>
        <v>0</v>
      </c>
      <c r="CS167" s="482">
        <f>VLOOKUP(CS$8,LTD_EMD!$A$1:$E$488,2,FALSE)</f>
        <v>0</v>
      </c>
      <c r="CT167" s="482">
        <f>VLOOKUP(CT$8,LTD_EMD!$A$1:$E$488,2,FALSE)</f>
        <v>0</v>
      </c>
      <c r="CU167" s="482">
        <f>VLOOKUP(CU$8,LTD_EMD!$A$1:$E$488,2,FALSE)</f>
        <v>0</v>
      </c>
      <c r="CV167" s="482">
        <f>VLOOKUP(CV$8,LTD_EMD!$A$1:$E$488,2,FALSE)</f>
        <v>0</v>
      </c>
      <c r="CW167" s="482">
        <f>VLOOKUP(CW$8,LTD_EMD!$A$1:$E$488,2,FALSE)</f>
        <v>0</v>
      </c>
      <c r="CX167" s="482">
        <f>VLOOKUP(CX$8,LTD_EMD!$A$1:$E$488,2,FALSE)</f>
        <v>0</v>
      </c>
      <c r="CY167" s="482">
        <f>VLOOKUP(CY$8,LTD_EMD!$A$1:$E$488,2,FALSE)</f>
        <v>0</v>
      </c>
      <c r="CZ167" s="482">
        <f>VLOOKUP(CZ$8,LTD_EMD!$A$1:$E$488,2,FALSE)</f>
        <v>0</v>
      </c>
      <c r="DA167" s="482">
        <f>VLOOKUP(DA$8,LTD_EMD!$A$1:$E$488,2,FALSE)</f>
        <v>0</v>
      </c>
      <c r="DB167" s="482">
        <f>VLOOKUP(DB$8,LTD_EMD!$A$1:$E$488,2,FALSE)</f>
        <v>0</v>
      </c>
      <c r="DC167" s="482">
        <f>VLOOKUP(DC$8,LTD_EMD!$A$1:$E$488,2,FALSE)</f>
        <v>0</v>
      </c>
      <c r="DD167" s="482">
        <f>VLOOKUP(DD$8,LTD_EMD!$A$1:$E$488,2,FALSE)</f>
        <v>0</v>
      </c>
      <c r="DE167" s="482">
        <f>VLOOKUP(DE$8,LTD_EMD!$A$1:$E$488,2,FALSE)</f>
        <v>0</v>
      </c>
      <c r="DF167" s="482">
        <f>VLOOKUP(DF$8,LTD_EMD!$A$1:$E$488,2,FALSE)</f>
        <v>0</v>
      </c>
      <c r="DG167" s="482">
        <f>VLOOKUP(DG$8,LTD_EMD!$A$1:$E$488,2,FALSE)</f>
        <v>0</v>
      </c>
      <c r="DH167" s="482">
        <f>VLOOKUP(DH$8,LTD_EMD!$A$1:$E$488,2,FALSE)</f>
        <v>0</v>
      </c>
      <c r="DI167" s="482">
        <f>VLOOKUP(DI$8,LTD_EMD!$A$1:$E$488,2,FALSE)</f>
        <v>0</v>
      </c>
      <c r="DJ167" s="482">
        <f>VLOOKUP(DJ$8,LTD_EMD!$A$1:$E$488,2,FALSE)</f>
        <v>0</v>
      </c>
      <c r="DK167" s="482">
        <f>VLOOKUP(DK$8,LTD_EMD!$A$1:$E$488,2,FALSE)</f>
        <v>0</v>
      </c>
      <c r="DL167" s="482">
        <f>VLOOKUP(DL$8,LTD_EMD!$A$1:$E$488,2,FALSE)</f>
        <v>0</v>
      </c>
      <c r="DM167" s="482">
        <f>VLOOKUP(DM$8,LTD_EMD!$A$1:$E$488,2,FALSE)</f>
        <v>0</v>
      </c>
      <c r="DN167" s="482">
        <f>VLOOKUP(DN$8,LTD_EMD!$A$1:$E$488,2,FALSE)</f>
        <v>0</v>
      </c>
      <c r="DO167" s="482">
        <f>VLOOKUP(DO$8,LTD_EMD!$A$1:$E$488,2,FALSE)</f>
        <v>0</v>
      </c>
      <c r="DP167" s="482">
        <f>VLOOKUP(DP$8,LTD_EMD!$A$1:$E$488,2,FALSE)</f>
        <v>0</v>
      </c>
      <c r="DQ167" s="482">
        <f>VLOOKUP(DQ$8,LTD_EMD!$A$1:$E$488,2,FALSE)</f>
        <v>0</v>
      </c>
      <c r="DR167" s="482">
        <f>VLOOKUP(DR$8,LTD_EMD!$A$1:$E$488,2,FALSE)</f>
        <v>0</v>
      </c>
      <c r="DS167" s="482">
        <f>VLOOKUP(DS$8,LTD_EMD!$A$1:$E$488,2,FALSE)</f>
        <v>0</v>
      </c>
      <c r="DT167" s="482">
        <f>VLOOKUP(DT$8,LTD_EMD!$A$1:$E$488,2,FALSE)</f>
        <v>0</v>
      </c>
      <c r="DU167" s="482">
        <f>VLOOKUP(DU$8,LTD_EMD!$A$1:$E$488,2,FALSE)</f>
        <v>0</v>
      </c>
      <c r="DV167" s="482">
        <f>VLOOKUP(DV$8,LTD_EMD!$A$1:$E$488,2,FALSE)</f>
        <v>0</v>
      </c>
      <c r="DW167" s="482">
        <f>VLOOKUP(DW$8,LTD_EMD!$A$1:$E$488,2,FALSE)</f>
        <v>0</v>
      </c>
      <c r="DX167" s="482">
        <f>VLOOKUP(DX$8,LTD_EMD!$A$1:$E$488,2,FALSE)</f>
        <v>0</v>
      </c>
      <c r="DY167" s="482">
        <f>VLOOKUP(DY$8,LTD_EMD!$A$1:$E$488,2,FALSE)</f>
        <v>0</v>
      </c>
      <c r="DZ167" s="482">
        <f>VLOOKUP(DZ$8,LTD_EMD!$A$1:$E$488,2,FALSE)</f>
        <v>0</v>
      </c>
      <c r="EA167" s="482">
        <f>VLOOKUP(EA$8,LTD_EMD!$A$1:$E$488,2,FALSE)</f>
        <v>0</v>
      </c>
      <c r="EB167" s="482">
        <f>VLOOKUP(EB$8,LTD_EMD!$A$1:$E$488,2,FALSE)</f>
        <v>0</v>
      </c>
      <c r="EC167" s="482">
        <f>VLOOKUP(EC$8,LTD_EMD!$A$1:$E$488,2,FALSE)</f>
        <v>0</v>
      </c>
      <c r="ED167" s="482">
        <f>VLOOKUP(ED$8,LTD_EMD!$A$1:$E$488,2,FALSE)</f>
        <v>0</v>
      </c>
      <c r="EE167" s="482">
        <f>VLOOKUP(EE$8,LTD_EMD!$A$1:$E$488,2,FALSE)</f>
        <v>0</v>
      </c>
      <c r="EF167" s="482">
        <f>VLOOKUP(EF$8,LTD_EMD!$A$1:$E$488,2,FALSE)</f>
        <v>0</v>
      </c>
      <c r="EG167" s="482">
        <f>VLOOKUP(EG$8,LTD_EMD!$A$1:$E$488,2,FALSE)</f>
        <v>0</v>
      </c>
      <c r="EH167" s="482">
        <f>VLOOKUP(EH$8,LTD_EMD!$A$1:$E$488,2,FALSE)</f>
        <v>0</v>
      </c>
      <c r="EI167" s="482">
        <f>VLOOKUP(EI$8,LTD_EMD!$A$1:$E$488,2,FALSE)</f>
        <v>0</v>
      </c>
      <c r="EJ167" s="482">
        <f>VLOOKUP(EJ$8,LTD_EMD!$A$1:$E$488,2,FALSE)</f>
        <v>0</v>
      </c>
      <c r="EK167" s="482">
        <f>VLOOKUP(EK$8,LTD_EMD!$A$1:$E$488,2,FALSE)</f>
        <v>0</v>
      </c>
      <c r="EL167" s="482">
        <f>VLOOKUP(EL$8,LTD_EMD!$A$1:$E$488,2,FALSE)</f>
        <v>0</v>
      </c>
      <c r="EM167" s="482">
        <f>VLOOKUP(EM$8,LTD_EMD!$A$1:$E$488,2,FALSE)</f>
        <v>0</v>
      </c>
      <c r="EN167" s="482">
        <f>VLOOKUP(EN$8,LTD_EMD!$A$1:$E$488,2,FALSE)</f>
        <v>0</v>
      </c>
      <c r="EO167" s="482">
        <f>VLOOKUP(EO$8,LTD_EMD!$A$1:$E$488,2,FALSE)</f>
        <v>0</v>
      </c>
      <c r="EP167" s="482">
        <f>VLOOKUP(EP$8,LTD_EMD!$A$1:$E$488,2,FALSE)</f>
        <v>0</v>
      </c>
      <c r="EQ167" s="482">
        <f>VLOOKUP(EQ$8,LTD_EMD!$A$1:$E$488,2,FALSE)</f>
        <v>0</v>
      </c>
      <c r="ER167" s="482">
        <f>VLOOKUP(ER$8,LTD_EMD!$A$1:$E$488,2,FALSE)</f>
        <v>0</v>
      </c>
      <c r="ES167" s="482">
        <f>VLOOKUP(ES$8,LTD_EMD!$A$1:$E$488,2,FALSE)</f>
        <v>0</v>
      </c>
      <c r="ET167" s="482">
        <f>VLOOKUP(ET$8,LTD_EMD!$A$1:$E$488,2,FALSE)</f>
        <v>0</v>
      </c>
      <c r="EU167" s="482">
        <f>VLOOKUP(EU$8,LTD_EMD!$A$1:$E$488,2,FALSE)</f>
        <v>0</v>
      </c>
      <c r="EV167" s="482">
        <f>VLOOKUP(EV$8,LTD_EMD!$A$1:$E$488,2,FALSE)</f>
        <v>0</v>
      </c>
      <c r="EW167" s="482">
        <f>VLOOKUP(EW$8,LTD_EMD!$A$1:$E$488,2,FALSE)</f>
        <v>0</v>
      </c>
      <c r="EX167" s="307"/>
      <c r="EY167" s="1409" t="s">
        <v>303</v>
      </c>
      <c r="EZ167" s="789">
        <v>4.6639999999999997</v>
      </c>
      <c r="FA167" s="789">
        <v>4.5453999999999999</v>
      </c>
      <c r="FB167" s="789">
        <v>4.8029999999999999</v>
      </c>
      <c r="FC167" s="789" t="e">
        <v>#VALUE!</v>
      </c>
      <c r="FD167" s="789">
        <v>4.2186000000000003</v>
      </c>
      <c r="FE167" s="1410"/>
      <c r="FF167" s="570">
        <f>IF(G167="---","-",ABS(EZ167-G167))</f>
        <v>4.3762557730896861</v>
      </c>
      <c r="FG167" s="570">
        <f>IF(I167="---","-",ABS(FA167-I167))</f>
        <v>2.8285569503895598</v>
      </c>
      <c r="FH167" s="570" t="str">
        <f>IF(K167="---","-",ABS(FB167-K167))</f>
        <v>-</v>
      </c>
      <c r="FI167" s="570" t="str">
        <f>IF(M167="---","-",ABS(FC167-M167))</f>
        <v>-</v>
      </c>
      <c r="FJ167" s="570">
        <f>IF(Q167="---","-",ABS(FD167-Q167))</f>
        <v>7.9262510729492028</v>
      </c>
      <c r="FK167" s="307"/>
      <c r="FL167" s="307"/>
      <c r="FM167" s="307"/>
    </row>
    <row r="168" spans="1:169" s="16" customFormat="1" x14ac:dyDescent="0.2">
      <c r="A168" s="1408" t="s">
        <v>847</v>
      </c>
      <c r="B168" s="418"/>
      <c r="C168" s="485"/>
      <c r="D168" s="249"/>
      <c r="E168" s="470"/>
      <c r="F168" s="431">
        <f>AH168</f>
        <v>0.48004999999999998</v>
      </c>
      <c r="G168" s="432">
        <f t="array" ref="G168">IF($AJ168=0,"---",(PRODUCT($AH168:AJ168/100+1)-1)*100)</f>
        <v>0.41190154434114223</v>
      </c>
      <c r="H168" s="432">
        <f t="array" ref="H168">IF($AS168=0,"---",(PRODUCT(AH168:AN168/100+1)-1)*100)</f>
        <v>10.492222414944475</v>
      </c>
      <c r="I168" s="432">
        <f t="array" ref="I168">IF(AS168=0,"---",(GEOMEAN($AH168:AS168/100+1)^12-1)*100)</f>
        <v>8.3201297395882889</v>
      </c>
      <c r="J168" s="432" t="str">
        <f t="array" ref="J168">IF(BE168=0,"---",(GEOMEAN($AH168:BE168/100+1)^12-1)*100)</f>
        <v>---</v>
      </c>
      <c r="K168" s="432" t="str">
        <f t="array" ref="K168">IF(BQ168=0,"---",(GEOMEAN($AH168:BQ168/100+1)^12-1)*100)</f>
        <v>---</v>
      </c>
      <c r="L168" s="432" t="str">
        <f t="array" ref="L168">IF(CC168=0,"---",(GEOMEAN($AH168:CC168/100+1)^12-1)*100)</f>
        <v>---</v>
      </c>
      <c r="M168" s="432" t="str">
        <f t="array" ref="M168">IF(CO168=0,"---",(GEOMEAN($AH168:CO168/100+1)^12-1)*100)</f>
        <v>---</v>
      </c>
      <c r="N168" s="432" t="str">
        <f t="array" ref="N168">IF(DM168=0,"---",(GEOMEAN($AH168:DM168/100+1)^12-1)*100)</f>
        <v>---</v>
      </c>
      <c r="O168" s="432" t="str">
        <f t="array" ref="O168">IF(EK168=0,"---",(GEOMEAN($AH168:EK168/100+1)^12-1)*100)</f>
        <v>---</v>
      </c>
      <c r="P168" s="432" t="str">
        <f t="array" ref="P168">IF(EW168=0,"---",(GEOMEAN($AH168:EW168/100+1)^12-1)*100)</f>
        <v>---</v>
      </c>
      <c r="Q168" s="468" t="s">
        <v>34</v>
      </c>
      <c r="R168" s="249"/>
      <c r="S168" s="249"/>
      <c r="T168" s="249"/>
      <c r="U168" s="249"/>
      <c r="V168" s="249"/>
      <c r="W168" s="249"/>
      <c r="X168" s="249"/>
      <c r="Y168" s="249"/>
      <c r="Z168" s="249"/>
      <c r="AA168" s="249"/>
      <c r="AB168" s="249"/>
      <c r="AC168" s="459"/>
      <c r="AD168" s="553"/>
      <c r="AE168" s="15"/>
      <c r="AF168" s="467"/>
      <c r="AG168" s="1367"/>
      <c r="AH168" s="482">
        <f>VLOOKUP(AH$8,Index,45,FALSE)</f>
        <v>0.48004999999999998</v>
      </c>
      <c r="AI168" s="482">
        <f t="shared" ref="AI168:BM168" si="148">VLOOKUP(AI$8,Index,45,FALSE)</f>
        <v>-1.0591900000000001</v>
      </c>
      <c r="AJ168" s="482">
        <f t="shared" si="148"/>
        <v>1.0019800000000001</v>
      </c>
      <c r="AK168" s="482">
        <f t="shared" si="148"/>
        <v>2.0792999999999999</v>
      </c>
      <c r="AL168" s="482">
        <f t="shared" si="148"/>
        <v>0.89195000000000002</v>
      </c>
      <c r="AM168" s="482">
        <f t="shared" si="148"/>
        <v>2.8094800000000002</v>
      </c>
      <c r="AN168" s="482">
        <f t="shared" si="148"/>
        <v>3.9247899999999998</v>
      </c>
      <c r="AO168" s="482">
        <f t="shared" si="148"/>
        <v>-4.6309100000000001</v>
      </c>
      <c r="AP168" s="482">
        <f t="shared" si="148"/>
        <v>-0.54832999999999998</v>
      </c>
      <c r="AQ168" s="482">
        <f t="shared" si="148"/>
        <v>-3.6411600000000002</v>
      </c>
      <c r="AR168" s="482">
        <f t="shared" si="148"/>
        <v>2.7480099999999998</v>
      </c>
      <c r="AS168" s="482">
        <f t="shared" si="148"/>
        <v>4.3981399999999997</v>
      </c>
      <c r="AT168" s="482">
        <f t="shared" si="148"/>
        <v>-4.0931499999999996</v>
      </c>
      <c r="AU168" s="482">
        <f t="shared" si="148"/>
        <v>-0.55757000000000001</v>
      </c>
      <c r="AV168" s="482">
        <f t="shared" si="148"/>
        <v>-4.1302000000000003</v>
      </c>
      <c r="AW168" s="482">
        <f t="shared" si="148"/>
        <v>-6.25284</v>
      </c>
      <c r="AX168" s="482">
        <f t="shared" si="148"/>
        <v>3.43</v>
      </c>
      <c r="AY168" s="482">
        <f t="shared" si="148"/>
        <v>-0.51551000000000002</v>
      </c>
      <c r="AZ168" s="482">
        <f t="shared" si="148"/>
        <v>-0.32188</v>
      </c>
      <c r="BA168" s="482">
        <f t="shared" si="148"/>
        <v>0.71884999999999999</v>
      </c>
      <c r="BB168" s="482">
        <f t="shared" si="148"/>
        <v>0</v>
      </c>
      <c r="BC168" s="482">
        <f t="shared" si="148"/>
        <v>0</v>
      </c>
      <c r="BD168" s="482">
        <f t="shared" si="148"/>
        <v>0</v>
      </c>
      <c r="BE168" s="482">
        <f t="shared" si="148"/>
        <v>0</v>
      </c>
      <c r="BF168" s="482">
        <f t="shared" si="148"/>
        <v>0</v>
      </c>
      <c r="BG168" s="482">
        <f t="shared" si="148"/>
        <v>0</v>
      </c>
      <c r="BH168" s="482">
        <f t="shared" si="148"/>
        <v>0</v>
      </c>
      <c r="BI168" s="482">
        <f t="shared" si="148"/>
        <v>0</v>
      </c>
      <c r="BJ168" s="482">
        <f t="shared" si="148"/>
        <v>0</v>
      </c>
      <c r="BK168" s="482">
        <f t="shared" si="148"/>
        <v>0</v>
      </c>
      <c r="BL168" s="482">
        <f t="shared" si="148"/>
        <v>0</v>
      </c>
      <c r="BM168" s="482">
        <f t="shared" si="148"/>
        <v>0</v>
      </c>
      <c r="BN168" s="482">
        <f t="shared" ref="BN168:CS168" si="149">VLOOKUP(BN$8,Index,45,FALSE)</f>
        <v>0</v>
      </c>
      <c r="BO168" s="482">
        <f t="shared" si="149"/>
        <v>0</v>
      </c>
      <c r="BP168" s="482">
        <f t="shared" si="149"/>
        <v>0</v>
      </c>
      <c r="BQ168" s="482">
        <f t="shared" si="149"/>
        <v>0</v>
      </c>
      <c r="BR168" s="482">
        <f t="shared" si="149"/>
        <v>0</v>
      </c>
      <c r="BS168" s="482">
        <f t="shared" si="149"/>
        <v>0</v>
      </c>
      <c r="BT168" s="482">
        <f t="shared" si="149"/>
        <v>0</v>
      </c>
      <c r="BU168" s="482">
        <f t="shared" si="149"/>
        <v>0</v>
      </c>
      <c r="BV168" s="482">
        <f t="shared" si="149"/>
        <v>0</v>
      </c>
      <c r="BW168" s="482">
        <f t="shared" si="149"/>
        <v>0</v>
      </c>
      <c r="BX168" s="482">
        <f t="shared" si="149"/>
        <v>0</v>
      </c>
      <c r="BY168" s="482">
        <f t="shared" si="149"/>
        <v>0</v>
      </c>
      <c r="BZ168" s="482">
        <f t="shared" si="149"/>
        <v>0</v>
      </c>
      <c r="CA168" s="482">
        <f t="shared" si="149"/>
        <v>0</v>
      </c>
      <c r="CB168" s="482">
        <f t="shared" si="149"/>
        <v>0</v>
      </c>
      <c r="CC168" s="482">
        <f t="shared" si="149"/>
        <v>0</v>
      </c>
      <c r="CD168" s="482">
        <f t="shared" si="149"/>
        <v>0</v>
      </c>
      <c r="CE168" s="482">
        <f t="shared" si="149"/>
        <v>0</v>
      </c>
      <c r="CF168" s="482">
        <f t="shared" si="149"/>
        <v>0</v>
      </c>
      <c r="CG168" s="482">
        <f t="shared" si="149"/>
        <v>0</v>
      </c>
      <c r="CH168" s="482">
        <f t="shared" si="149"/>
        <v>0</v>
      </c>
      <c r="CI168" s="482">
        <f t="shared" si="149"/>
        <v>0</v>
      </c>
      <c r="CJ168" s="482">
        <f t="shared" si="149"/>
        <v>0</v>
      </c>
      <c r="CK168" s="482">
        <f t="shared" si="149"/>
        <v>0</v>
      </c>
      <c r="CL168" s="482">
        <f t="shared" si="149"/>
        <v>0</v>
      </c>
      <c r="CM168" s="482">
        <f t="shared" si="149"/>
        <v>0</v>
      </c>
      <c r="CN168" s="482">
        <f t="shared" si="149"/>
        <v>0</v>
      </c>
      <c r="CO168" s="482">
        <f t="shared" si="149"/>
        <v>0</v>
      </c>
      <c r="CP168" s="482">
        <f t="shared" si="149"/>
        <v>0</v>
      </c>
      <c r="CQ168" s="482">
        <f t="shared" si="149"/>
        <v>0</v>
      </c>
      <c r="CR168" s="482">
        <f t="shared" si="149"/>
        <v>0</v>
      </c>
      <c r="CS168" s="482">
        <f t="shared" si="149"/>
        <v>0</v>
      </c>
      <c r="CT168" s="482">
        <f t="shared" ref="CT168:DY168" si="150">VLOOKUP(CT$8,Index,45,FALSE)</f>
        <v>0</v>
      </c>
      <c r="CU168" s="482">
        <f t="shared" si="150"/>
        <v>0</v>
      </c>
      <c r="CV168" s="482">
        <f t="shared" si="150"/>
        <v>0</v>
      </c>
      <c r="CW168" s="482">
        <f t="shared" si="150"/>
        <v>0</v>
      </c>
      <c r="CX168" s="482">
        <f t="shared" si="150"/>
        <v>0</v>
      </c>
      <c r="CY168" s="482">
        <f t="shared" si="150"/>
        <v>0</v>
      </c>
      <c r="CZ168" s="482">
        <f t="shared" si="150"/>
        <v>0</v>
      </c>
      <c r="DA168" s="482">
        <f t="shared" si="150"/>
        <v>0</v>
      </c>
      <c r="DB168" s="482">
        <f t="shared" si="150"/>
        <v>0</v>
      </c>
      <c r="DC168" s="482">
        <f t="shared" si="150"/>
        <v>0</v>
      </c>
      <c r="DD168" s="482">
        <f t="shared" si="150"/>
        <v>0</v>
      </c>
      <c r="DE168" s="482">
        <f t="shared" si="150"/>
        <v>0</v>
      </c>
      <c r="DF168" s="482">
        <f t="shared" si="150"/>
        <v>0</v>
      </c>
      <c r="DG168" s="482">
        <f t="shared" si="150"/>
        <v>0</v>
      </c>
      <c r="DH168" s="482">
        <f t="shared" si="150"/>
        <v>0</v>
      </c>
      <c r="DI168" s="482">
        <f t="shared" si="150"/>
        <v>0</v>
      </c>
      <c r="DJ168" s="482">
        <f t="shared" si="150"/>
        <v>0</v>
      </c>
      <c r="DK168" s="482">
        <f t="shared" si="150"/>
        <v>0</v>
      </c>
      <c r="DL168" s="482">
        <f t="shared" si="150"/>
        <v>0</v>
      </c>
      <c r="DM168" s="482">
        <f t="shared" si="150"/>
        <v>0</v>
      </c>
      <c r="DN168" s="482">
        <f t="shared" si="150"/>
        <v>0</v>
      </c>
      <c r="DO168" s="482">
        <f t="shared" si="150"/>
        <v>0</v>
      </c>
      <c r="DP168" s="482">
        <f t="shared" si="150"/>
        <v>0</v>
      </c>
      <c r="DQ168" s="482">
        <f t="shared" si="150"/>
        <v>0</v>
      </c>
      <c r="DR168" s="482">
        <f t="shared" si="150"/>
        <v>0</v>
      </c>
      <c r="DS168" s="482">
        <f t="shared" si="150"/>
        <v>0</v>
      </c>
      <c r="DT168" s="482">
        <f t="shared" si="150"/>
        <v>0</v>
      </c>
      <c r="DU168" s="482">
        <f t="shared" si="150"/>
        <v>0</v>
      </c>
      <c r="DV168" s="482">
        <f t="shared" si="150"/>
        <v>0</v>
      </c>
      <c r="DW168" s="482">
        <f t="shared" si="150"/>
        <v>0</v>
      </c>
      <c r="DX168" s="482">
        <f t="shared" si="150"/>
        <v>0</v>
      </c>
      <c r="DY168" s="482">
        <f t="shared" si="150"/>
        <v>0</v>
      </c>
      <c r="DZ168" s="482">
        <f t="shared" ref="DZ168:EW168" si="151">VLOOKUP(DZ$8,Index,45,FALSE)</f>
        <v>0</v>
      </c>
      <c r="EA168" s="482">
        <f t="shared" si="151"/>
        <v>0</v>
      </c>
      <c r="EB168" s="482">
        <f t="shared" si="151"/>
        <v>0</v>
      </c>
      <c r="EC168" s="482">
        <f t="shared" si="151"/>
        <v>0</v>
      </c>
      <c r="ED168" s="482">
        <f t="shared" si="151"/>
        <v>0</v>
      </c>
      <c r="EE168" s="482">
        <f t="shared" si="151"/>
        <v>0</v>
      </c>
      <c r="EF168" s="482">
        <f t="shared" si="151"/>
        <v>0</v>
      </c>
      <c r="EG168" s="482">
        <f t="shared" si="151"/>
        <v>0</v>
      </c>
      <c r="EH168" s="482">
        <f t="shared" si="151"/>
        <v>0</v>
      </c>
      <c r="EI168" s="482">
        <f t="shared" si="151"/>
        <v>0</v>
      </c>
      <c r="EJ168" s="482">
        <f t="shared" si="151"/>
        <v>0</v>
      </c>
      <c r="EK168" s="482">
        <f t="shared" si="151"/>
        <v>0</v>
      </c>
      <c r="EL168" s="482">
        <f t="shared" si="151"/>
        <v>0</v>
      </c>
      <c r="EM168" s="482">
        <f t="shared" si="151"/>
        <v>0</v>
      </c>
      <c r="EN168" s="482">
        <f t="shared" si="151"/>
        <v>0</v>
      </c>
      <c r="EO168" s="482">
        <f t="shared" si="151"/>
        <v>0</v>
      </c>
      <c r="EP168" s="482">
        <f t="shared" si="151"/>
        <v>0</v>
      </c>
      <c r="EQ168" s="482">
        <f t="shared" si="151"/>
        <v>0</v>
      </c>
      <c r="ER168" s="482">
        <f t="shared" si="151"/>
        <v>0</v>
      </c>
      <c r="ES168" s="482">
        <f t="shared" si="151"/>
        <v>0</v>
      </c>
      <c r="ET168" s="482">
        <f t="shared" si="151"/>
        <v>0</v>
      </c>
      <c r="EU168" s="482">
        <f t="shared" si="151"/>
        <v>0</v>
      </c>
      <c r="EV168" s="482">
        <f t="shared" si="151"/>
        <v>0</v>
      </c>
      <c r="EW168" s="482">
        <f t="shared" si="151"/>
        <v>0</v>
      </c>
      <c r="EX168" s="307"/>
      <c r="EY168" s="1411"/>
      <c r="EZ168" s="789"/>
      <c r="FA168" s="789"/>
      <c r="FB168" s="789"/>
      <c r="FC168" s="789"/>
      <c r="FD168" s="789"/>
      <c r="FE168" s="307"/>
      <c r="FF168" s="307"/>
      <c r="FG168" s="307"/>
      <c r="FH168" s="307"/>
      <c r="FI168" s="307"/>
      <c r="FJ168" s="307"/>
      <c r="FK168" s="307"/>
      <c r="FL168" s="307"/>
      <c r="FM168" s="307"/>
    </row>
    <row r="169" spans="1:169" s="16" customFormat="1" x14ac:dyDescent="0.2">
      <c r="A169" s="17"/>
      <c r="B169" s="15"/>
      <c r="C169" s="15"/>
      <c r="E169" s="526"/>
      <c r="R169" s="524"/>
      <c r="AC169" s="18"/>
      <c r="AD169" s="526"/>
      <c r="AF169" s="1412"/>
      <c r="AG169" s="307"/>
      <c r="AH169" s="307"/>
      <c r="AI169" s="307"/>
      <c r="AJ169" s="307"/>
      <c r="AK169" s="418"/>
      <c r="AL169" s="307"/>
      <c r="AM169" s="307"/>
      <c r="AN169" s="307"/>
      <c r="AO169" s="307"/>
      <c r="AP169" s="307"/>
      <c r="AQ169" s="307"/>
      <c r="AR169" s="307"/>
      <c r="AS169" s="307"/>
      <c r="AT169" s="307"/>
      <c r="AU169" s="307"/>
      <c r="AV169" s="307"/>
      <c r="AW169" s="307"/>
      <c r="AX169" s="307"/>
      <c r="AY169" s="307"/>
      <c r="AZ169" s="307"/>
      <c r="BA169" s="307"/>
      <c r="BB169" s="307"/>
      <c r="BC169" s="307"/>
      <c r="BD169" s="307"/>
      <c r="BE169" s="307"/>
      <c r="BF169" s="307"/>
      <c r="BG169" s="307"/>
      <c r="BH169" s="307"/>
      <c r="BI169" s="307"/>
      <c r="BJ169" s="307"/>
      <c r="BK169" s="307"/>
      <c r="BL169" s="307"/>
      <c r="BM169" s="307"/>
      <c r="BN169" s="307"/>
      <c r="BO169" s="307"/>
      <c r="BP169" s="307"/>
      <c r="BQ169" s="307"/>
      <c r="BR169" s="307"/>
      <c r="BS169" s="307"/>
      <c r="BT169" s="307"/>
      <c r="BU169" s="307"/>
      <c r="BV169" s="307"/>
      <c r="BW169" s="307"/>
      <c r="BX169" s="307"/>
      <c r="BY169" s="307"/>
      <c r="BZ169" s="307"/>
      <c r="CA169" s="307"/>
      <c r="CB169" s="307"/>
      <c r="CC169" s="307"/>
      <c r="CD169" s="307"/>
      <c r="CE169" s="307"/>
      <c r="CF169" s="307"/>
      <c r="CG169" s="307"/>
      <c r="CH169" s="307"/>
      <c r="CI169" s="307"/>
      <c r="CJ169" s="307"/>
      <c r="CK169" s="307"/>
      <c r="CL169" s="307"/>
      <c r="CM169" s="307"/>
      <c r="CN169" s="307"/>
      <c r="CO169" s="307"/>
      <c r="CP169" s="307"/>
      <c r="CQ169" s="307"/>
      <c r="CR169" s="307"/>
      <c r="CS169" s="307"/>
      <c r="CT169" s="307"/>
      <c r="CU169" s="307"/>
      <c r="CV169" s="307"/>
      <c r="CW169" s="307"/>
      <c r="CX169" s="307"/>
      <c r="CY169" s="307"/>
      <c r="CZ169" s="307"/>
      <c r="DA169" s="307"/>
      <c r="DB169" s="307"/>
      <c r="DC169" s="307"/>
      <c r="DD169" s="307"/>
      <c r="DE169" s="307"/>
      <c r="DF169" s="307"/>
      <c r="DG169" s="307"/>
      <c r="DH169" s="307"/>
      <c r="DI169" s="307"/>
      <c r="DJ169" s="307"/>
      <c r="DK169" s="307"/>
      <c r="DL169" s="307"/>
      <c r="DM169" s="307"/>
      <c r="DN169" s="307"/>
      <c r="DO169" s="307"/>
      <c r="DP169" s="307"/>
      <c r="DQ169" s="307"/>
      <c r="DR169" s="307"/>
      <c r="DS169" s="307"/>
      <c r="DT169" s="307"/>
      <c r="DU169" s="307"/>
      <c r="DV169" s="307"/>
      <c r="DW169" s="307"/>
      <c r="DX169" s="307"/>
      <c r="DY169" s="307"/>
      <c r="DZ169" s="307"/>
      <c r="EA169" s="307"/>
      <c r="EB169" s="307"/>
      <c r="EC169" s="307"/>
      <c r="ED169" s="307"/>
      <c r="EE169" s="307"/>
      <c r="EF169" s="307"/>
      <c r="EG169" s="307"/>
      <c r="EH169" s="307"/>
      <c r="EI169" s="307"/>
      <c r="EJ169" s="307"/>
      <c r="EK169" s="307"/>
      <c r="EL169" s="307"/>
      <c r="EM169" s="307"/>
      <c r="EN169" s="307"/>
      <c r="EO169" s="307"/>
      <c r="EP169" s="307"/>
      <c r="EQ169" s="307"/>
      <c r="ER169" s="307"/>
      <c r="ES169" s="307"/>
      <c r="ET169" s="307"/>
      <c r="EU169" s="307"/>
      <c r="EV169" s="307"/>
      <c r="EW169" s="307"/>
      <c r="EX169" s="307"/>
      <c r="EY169" s="1411"/>
      <c r="EZ169" s="789"/>
      <c r="FA169" s="789"/>
      <c r="FB169" s="789"/>
      <c r="FC169" s="789"/>
      <c r="FD169" s="789"/>
      <c r="FE169" s="307"/>
      <c r="FF169" s="307"/>
      <c r="FG169" s="307"/>
      <c r="FH169" s="307"/>
      <c r="FI169" s="307"/>
      <c r="FJ169" s="307"/>
      <c r="FK169" s="307"/>
      <c r="FL169" s="307"/>
      <c r="FM169" s="307"/>
    </row>
    <row r="170" spans="1:169" collapsed="1" x14ac:dyDescent="0.2">
      <c r="A170" s="1339" t="s">
        <v>717</v>
      </c>
      <c r="B170" s="1260" t="s">
        <v>320</v>
      </c>
      <c r="C170" s="446">
        <v>40543</v>
      </c>
      <c r="D170" s="447">
        <v>5</v>
      </c>
      <c r="E170" s="448">
        <f>VLOOKUP(AH$8,LTD_R1!A64:E491,3,FALSE)/1000000</f>
        <v>100.26335164</v>
      </c>
      <c r="F170" s="449">
        <f>AH170</f>
        <v>4.0978899999999996</v>
      </c>
      <c r="G170" s="450">
        <f t="array" ref="G170">IF($AJ170=0,"---",(PRODUCT($AH170:AJ170/100+1)-1)*100)</f>
        <v>4.7698346610320019</v>
      </c>
      <c r="H170" s="450">
        <f t="array" ref="H170">IF($AS170=0,"---",(PRODUCT(AH170:AN170/100+1)-1)*100)</f>
        <v>13.489553024612322</v>
      </c>
      <c r="I170" s="1436">
        <f t="array" ref="I170">IF(AS170=0,"---",(GEOMEAN($AH170:AS170/100+1)^12-1)*100)</f>
        <v>25.281928816805909</v>
      </c>
      <c r="J170" s="450">
        <f t="array" ref="J170">IF(BE170=0,"---",(GEOMEAN($AH170:BE170/100+1)^12-1)*100)</f>
        <v>22.530428821875368</v>
      </c>
      <c r="K170" s="450">
        <f t="array" ref="K170">IF(BQ170=0,"---",(GEOMEAN($AH170:BQ170/100+1)^12-1)*100)</f>
        <v>20.779557822933814</v>
      </c>
      <c r="L170" s="450" t="str">
        <f t="array" ref="L170">IF(CC170=0,"---",(GEOMEAN($AH170:CC170/100+1)^12-1)*100)</f>
        <v>---</v>
      </c>
      <c r="M170" s="450" t="str">
        <f t="array" ref="M170">IF(CO170=0,"---",(GEOMEAN($AH170:CO170/100+1)^12-1)*100)</f>
        <v>---</v>
      </c>
      <c r="N170" s="450" t="str">
        <f t="array" ref="N170">IF(DM170=0,"---",(GEOMEAN($AH170:DM170/100+1)^12-1)*100)</f>
        <v>---</v>
      </c>
      <c r="O170" s="450" t="str">
        <f t="array" ref="O170">IF(EK170=0,"---",(GEOMEAN($AH170:EK170/100+1)^12-1)*100)</f>
        <v>---</v>
      </c>
      <c r="P170" s="450" t="str">
        <f t="array" ref="P170">IF(EW170=0,"---",(GEOMEAN($AH170:EW170/100+1)^12-1)*100)</f>
        <v>---</v>
      </c>
      <c r="Q170" s="1447">
        <f t="array" ref="Q170">(GEOMEAN(LTD_R1!B$429:B471/100+1)^12-1)*100</f>
        <v>15.211846169880673</v>
      </c>
      <c r="R170" s="452">
        <f>IF(F170="---","---",(F170-F171)*100)</f>
        <v>-3.4110000000000085</v>
      </c>
      <c r="S170" s="452">
        <f t="shared" ref="S170:AB170" si="152">IF(G170="---","---",(G170-G171)*100)</f>
        <v>-0.85754535695592438</v>
      </c>
      <c r="T170" s="452">
        <f t="shared" si="152"/>
        <v>-3.1167205344706517</v>
      </c>
      <c r="U170" s="452">
        <f t="shared" si="152"/>
        <v>-7.5669107087783516</v>
      </c>
      <c r="V170" s="452">
        <f t="shared" si="152"/>
        <v>-3.6340614588503684</v>
      </c>
      <c r="W170" s="452">
        <f t="shared" si="152"/>
        <v>-1.7053061888059773</v>
      </c>
      <c r="X170" s="452" t="str">
        <f t="shared" si="152"/>
        <v>---</v>
      </c>
      <c r="Y170" s="452" t="str">
        <f t="shared" si="152"/>
        <v>---</v>
      </c>
      <c r="Z170" s="452" t="str">
        <f t="shared" si="152"/>
        <v>---</v>
      </c>
      <c r="AA170" s="452" t="str">
        <f t="shared" si="152"/>
        <v>---</v>
      </c>
      <c r="AB170" s="452" t="str">
        <f t="shared" si="152"/>
        <v>---</v>
      </c>
      <c r="AC170" s="453">
        <f>(Q170-AF170)*100</f>
        <v>1.8574039623509009</v>
      </c>
      <c r="AD170" s="552">
        <v>0</v>
      </c>
      <c r="AE170" s="1397"/>
      <c r="AF170" s="473">
        <f t="array" ref="AF170">(GEOMEAN(Index_Returns!AM$429:AM471/100+1)^12-1)*100</f>
        <v>15.193272130257164</v>
      </c>
      <c r="AG170" s="382" t="str">
        <f>IF(I170="---","&lt; 1 Year","---")</f>
        <v>---</v>
      </c>
      <c r="AH170" s="439">
        <f>VLOOKUP(AH$8,LTD_R1!$A$1:$E$488,2,FALSE)</f>
        <v>4.0978899999999996</v>
      </c>
      <c r="AI170" s="439">
        <f>VLOOKUP(AI$8,LTD_R1!$A$1:$E$488,2,FALSE)</f>
        <v>-1.5940300000000001</v>
      </c>
      <c r="AJ170" s="439">
        <f>VLOOKUP(AJ$8,LTD_R1!$A$1:$E$488,2,FALSE)</f>
        <v>2.2757999999999998</v>
      </c>
      <c r="AK170" s="439">
        <f>VLOOKUP(AK$8,LTD_R1!$A$1:$E$488,2,FALSE)</f>
        <v>2.2869899999999999</v>
      </c>
      <c r="AL170" s="439">
        <f>VLOOKUP(AL$8,LTD_R1!$A$1:$E$488,2,FALSE)</f>
        <v>0.47112999999999999</v>
      </c>
      <c r="AM170" s="439">
        <f>VLOOKUP(AM$8,LTD_R1!$A$1:$E$488,2,FALSE)</f>
        <v>0.62919000000000003</v>
      </c>
      <c r="AN170" s="439">
        <f>VLOOKUP(AN$8,LTD_R1!$A$1:$E$488,2,FALSE)</f>
        <v>4.7451600000000003</v>
      </c>
      <c r="AO170" s="439">
        <f>VLOOKUP(AO$8,LTD_R1!$A$1:$E$488,2,FALSE)</f>
        <v>-3.2027100000000002</v>
      </c>
      <c r="AP170" s="439">
        <f>VLOOKUP(AP$8,LTD_R1!$A$1:$E$488,2,FALSE)</f>
        <v>2.6976</v>
      </c>
      <c r="AQ170" s="439">
        <f>VLOOKUP(AQ$8,LTD_R1!$A$1:$E$488,2,FALSE)</f>
        <v>2.7812000000000001</v>
      </c>
      <c r="AR170" s="439">
        <f>VLOOKUP(AR$8,LTD_R1!$A$1:$E$488,2,FALSE)</f>
        <v>4.4032099999999996</v>
      </c>
      <c r="AS170" s="439">
        <f>VLOOKUP(AS$8,LTD_R1!$A$1:$E$488,2,FALSE)</f>
        <v>3.4859800000000001</v>
      </c>
      <c r="AT170" s="439">
        <f>VLOOKUP(AT$8,LTD_R1!$A$1:$E$488,2,FALSE)</f>
        <v>-2.7518500000000001</v>
      </c>
      <c r="AU170" s="439">
        <f>VLOOKUP(AU$8,LTD_R1!$A$1:$E$488,2,FALSE)</f>
        <v>5.3374199999999998</v>
      </c>
      <c r="AV170" s="439">
        <f>VLOOKUP(AV$8,LTD_R1!$A$1:$E$488,2,FALSE)</f>
        <v>-1.3500799999999999</v>
      </c>
      <c r="AW170" s="439">
        <f>VLOOKUP(AW$8,LTD_R1!$A$1:$E$488,2,FALSE)</f>
        <v>2.2209099999999999</v>
      </c>
      <c r="AX170" s="439">
        <f>VLOOKUP(AX$8,LTD_R1!$A$1:$E$488,2,FALSE)</f>
        <v>1.8089299999999999</v>
      </c>
      <c r="AY170" s="439">
        <f>VLOOKUP(AY$8,LTD_R1!$A$1:$E$488,2,FALSE)</f>
        <v>3.8609399999999998</v>
      </c>
      <c r="AZ170" s="439">
        <f>VLOOKUP(AZ$8,LTD_R1!$A$1:$E$488,2,FALSE)</f>
        <v>1.3450899999999999</v>
      </c>
      <c r="BA170" s="439">
        <f>VLOOKUP(BA$8,LTD_R1!$A$1:$E$488,2,FALSE)</f>
        <v>5.4188299999999998</v>
      </c>
      <c r="BB170" s="439">
        <f>VLOOKUP(BB$8,LTD_R1!$A$1:$E$488,2,FALSE)</f>
        <v>1.0398700000000001</v>
      </c>
      <c r="BC170" s="439">
        <f>VLOOKUP(BC$8,LTD_R1!$A$1:$E$488,2,FALSE)</f>
        <v>0.79340999999999995</v>
      </c>
      <c r="BD170" s="439">
        <f>VLOOKUP(BD$8,LTD_R1!$A$1:$E$488,2,FALSE)</f>
        <v>-1.6926399999999999</v>
      </c>
      <c r="BE170" s="439">
        <f>VLOOKUP(BE$8,LTD_R1!$A$1:$E$488,2,FALSE)</f>
        <v>2.5720399999999999</v>
      </c>
      <c r="BF170" s="439">
        <f>VLOOKUP(BF$8,LTD_R1!$A$1:$E$488,2,FALSE)</f>
        <v>2.4195799999999998</v>
      </c>
      <c r="BG170" s="439">
        <f>VLOOKUP(BG$8,LTD_R1!$A$1:$E$488,2,FALSE)</f>
        <v>1.20103</v>
      </c>
      <c r="BH170" s="439">
        <f>VLOOKUP(BH$8,LTD_R1!$A$1:$E$488,2,FALSE)</f>
        <v>3.81792</v>
      </c>
      <c r="BI170" s="439">
        <f>VLOOKUP(BI$8,LTD_R1!$A$1:$E$488,2,FALSE)</f>
        <v>-6.1346600000000002</v>
      </c>
      <c r="BJ170" s="439">
        <f>VLOOKUP(BJ$8,LTD_R1!$A$1:$E$488,2,FALSE)</f>
        <v>-0.57738999999999996</v>
      </c>
      <c r="BK170" s="439">
        <f>VLOOKUP(BK$8,LTD_R1!$A$1:$E$488,2,FALSE)</f>
        <v>3.1371699999999998</v>
      </c>
      <c r="BL170" s="439">
        <f>VLOOKUP(BL$8,LTD_R1!$A$1:$E$488,2,FALSE)</f>
        <v>4.3807</v>
      </c>
      <c r="BM170" s="439">
        <f>VLOOKUP(BM$8,LTD_R1!$A$1:$E$488,2,FALSE)</f>
        <v>4.8643799999999997</v>
      </c>
      <c r="BN170" s="439">
        <f>VLOOKUP(BN$8,LTD_R1!$A$1:$E$488,2,FALSE)</f>
        <v>0.83275999999999994</v>
      </c>
      <c r="BO170" s="439">
        <f>VLOOKUP(BO$8,LTD_R1!$A$1:$E$488,2,FALSE)</f>
        <v>-0.25228</v>
      </c>
      <c r="BP170" s="439">
        <f>VLOOKUP(BP$8,LTD_R1!$A$1:$E$488,2,FALSE)</f>
        <v>11.201370000000001</v>
      </c>
      <c r="BQ170" s="439">
        <f>VLOOKUP(BQ$8,LTD_R1!$A$1:$E$488,2,FALSE)</f>
        <v>-7.44848</v>
      </c>
      <c r="BR170" s="439">
        <f>VLOOKUP(BR$8,LTD_R1!$A$1:$E$488,2,FALSE)</f>
        <v>-5.7442599999999997</v>
      </c>
      <c r="BS170" s="439">
        <f>VLOOKUP(BS$8,LTD_R1!$A$1:$E$488,2,FALSE)</f>
        <v>-2.16011</v>
      </c>
      <c r="BT170" s="439">
        <f>VLOOKUP(BT$8,LTD_R1!$A$1:$E$488,2,FALSE)</f>
        <v>-1.7292799999999999</v>
      </c>
      <c r="BU170" s="439">
        <f>VLOOKUP(BU$8,LTD_R1!$A$1:$E$488,2,FALSE)</f>
        <v>-1.0736000000000001</v>
      </c>
      <c r="BV170" s="439">
        <f>VLOOKUP(BV$8,LTD_R1!$A$1:$E$488,2,FALSE)</f>
        <v>3.00989</v>
      </c>
      <c r="BW170" s="439">
        <f>VLOOKUP(BW$8,LTD_R1!$A$1:$E$488,2,FALSE)</f>
        <v>0.26057999999999998</v>
      </c>
      <c r="BX170" s="439">
        <f>VLOOKUP(BX$8,LTD_R1!$A$1:$E$488,2,FALSE)</f>
        <v>3.4833799999999999</v>
      </c>
      <c r="BY170" s="439">
        <f>VLOOKUP(BY$8,LTD_R1!$A$1:$E$488,2,FALSE)</f>
        <v>2.42041</v>
      </c>
      <c r="BZ170" s="439">
        <f>VLOOKUP(BZ$8,LTD_R1!$A$1:$E$488,2,FALSE)</f>
        <v>0</v>
      </c>
      <c r="CA170" s="439">
        <f>VLOOKUP(CA$8,LTD_R1!$A$1:$E$488,2,FALSE)</f>
        <v>0</v>
      </c>
      <c r="CB170" s="439">
        <f>VLOOKUP(CB$8,LTD_R1!$A$1:$E$488,2,FALSE)</f>
        <v>0</v>
      </c>
      <c r="CC170" s="439">
        <f>VLOOKUP(CC$8,LTD_R1!$A$1:$E$488,2,FALSE)</f>
        <v>0</v>
      </c>
      <c r="CD170" s="439">
        <f>VLOOKUP(CD$8,LTD_R1!$A$1:$E$488,2,FALSE)</f>
        <v>0</v>
      </c>
      <c r="CE170" s="439">
        <f>VLOOKUP(CE$8,LTD_R1!$A$1:$E$488,2,FALSE)</f>
        <v>0</v>
      </c>
      <c r="CF170" s="439">
        <f>VLOOKUP(CF$8,LTD_R1!$A$1:$E$488,2,FALSE)</f>
        <v>0</v>
      </c>
      <c r="CG170" s="439">
        <f>VLOOKUP(CG$8,LTD_R1!$A$1:$E$488,2,FALSE)</f>
        <v>0</v>
      </c>
      <c r="CH170" s="439">
        <f>VLOOKUP(CH$8,LTD_R1!$A$1:$E$488,2,FALSE)</f>
        <v>0</v>
      </c>
      <c r="CI170" s="439">
        <f>VLOOKUP(CI$8,LTD_R1!$A$1:$E$488,2,FALSE)</f>
        <v>0</v>
      </c>
      <c r="CJ170" s="439">
        <f>VLOOKUP(CJ$8,LTD_R1!$A$1:$E$488,2,FALSE)</f>
        <v>0</v>
      </c>
      <c r="CK170" s="439">
        <f>VLOOKUP(CK$8,LTD_R1!$A$1:$E$488,2,FALSE)</f>
        <v>0</v>
      </c>
      <c r="CL170" s="439">
        <f>VLOOKUP(CL$8,LTD_R1!$A$1:$E$488,2,FALSE)</f>
        <v>0</v>
      </c>
      <c r="CM170" s="439">
        <f>VLOOKUP(CM$8,LTD_R1!$A$1:$E$488,2,FALSE)</f>
        <v>0</v>
      </c>
      <c r="CN170" s="439">
        <f>VLOOKUP(CN$8,LTD_R1!$A$1:$E$488,2,FALSE)</f>
        <v>0</v>
      </c>
      <c r="CO170" s="439">
        <f>VLOOKUP(CO$8,LTD_R1!$A$1:$E$488,2,FALSE)</f>
        <v>0</v>
      </c>
      <c r="CP170" s="439">
        <f>VLOOKUP(CP$8,LTD_R1!$A$1:$E$488,2,FALSE)</f>
        <v>0</v>
      </c>
      <c r="CQ170" s="439">
        <f>VLOOKUP(CQ$8,LTD_R1!$A$1:$E$488,2,FALSE)</f>
        <v>0</v>
      </c>
      <c r="CR170" s="439">
        <f>VLOOKUP(CR$8,LTD_R1!$A$1:$E$488,2,FALSE)</f>
        <v>0</v>
      </c>
      <c r="CS170" s="439">
        <f>VLOOKUP(CS$8,LTD_R1!$A$1:$E$488,2,FALSE)</f>
        <v>0</v>
      </c>
      <c r="CT170" s="439">
        <f>VLOOKUP(CT$8,LTD_R1!$A$1:$E$488,2,FALSE)</f>
        <v>0</v>
      </c>
      <c r="CU170" s="439">
        <f>VLOOKUP(CU$8,LTD_R1!$A$1:$E$488,2,FALSE)</f>
        <v>0</v>
      </c>
      <c r="CV170" s="439">
        <f>VLOOKUP(CV$8,LTD_R1!$A$1:$E$488,2,FALSE)</f>
        <v>0</v>
      </c>
      <c r="CW170" s="439">
        <f>VLOOKUP(CW$8,LTD_R1!$A$1:$E$488,2,FALSE)</f>
        <v>0</v>
      </c>
      <c r="CX170" s="439">
        <f>VLOOKUP(CX$8,LTD_R1!$A$1:$E$488,2,FALSE)</f>
        <v>0</v>
      </c>
      <c r="CY170" s="439">
        <f>VLOOKUP(CY$8,LTD_R1!$A$1:$E$488,2,FALSE)</f>
        <v>0</v>
      </c>
      <c r="CZ170" s="439">
        <f>VLOOKUP(CZ$8,LTD_R1!$A$1:$E$488,2,FALSE)</f>
        <v>0</v>
      </c>
      <c r="DA170" s="439">
        <f>VLOOKUP(DA$8,LTD_R1!$A$1:$E$488,2,FALSE)</f>
        <v>0</v>
      </c>
      <c r="DB170" s="439">
        <f>VLOOKUP(DB$8,LTD_R1!$A$1:$E$488,2,FALSE)</f>
        <v>0</v>
      </c>
      <c r="DC170" s="439">
        <f>VLOOKUP(DC$8,LTD_R1!$A$1:$E$488,2,FALSE)</f>
        <v>0</v>
      </c>
      <c r="DD170" s="439">
        <f>VLOOKUP(DD$8,LTD_R1!$A$1:$E$488,2,FALSE)</f>
        <v>0</v>
      </c>
      <c r="DE170" s="439">
        <f>VLOOKUP(DE$8,LTD_R1!$A$1:$E$488,2,FALSE)</f>
        <v>0</v>
      </c>
      <c r="DF170" s="439">
        <f>VLOOKUP(DF$8,LTD_R1!$A$1:$E$488,2,FALSE)</f>
        <v>0</v>
      </c>
      <c r="DG170" s="439">
        <f>VLOOKUP(DG$8,LTD_R1!$A$1:$E$488,2,FALSE)</f>
        <v>0</v>
      </c>
      <c r="DH170" s="439">
        <f>VLOOKUP(DH$8,LTD_R1!$A$1:$E$488,2,FALSE)</f>
        <v>0</v>
      </c>
      <c r="DI170" s="439">
        <f>VLOOKUP(DI$8,LTD_R1!$A$1:$E$488,2,FALSE)</f>
        <v>0</v>
      </c>
      <c r="DJ170" s="439">
        <f>VLOOKUP(DJ$8,LTD_R1!$A$1:$E$488,2,FALSE)</f>
        <v>0</v>
      </c>
      <c r="DK170" s="439">
        <f>VLOOKUP(DK$8,LTD_R1!$A$1:$E$488,2,FALSE)</f>
        <v>0</v>
      </c>
      <c r="DL170" s="439">
        <f>VLOOKUP(DL$8,LTD_R1!$A$1:$E$488,2,FALSE)</f>
        <v>0</v>
      </c>
      <c r="DM170" s="439">
        <f>VLOOKUP(DM$8,LTD_R1!$A$1:$E$488,2,FALSE)</f>
        <v>0</v>
      </c>
      <c r="DN170" s="439">
        <f>VLOOKUP(DN$8,LTD_R1!$A$1:$E$488,2,FALSE)</f>
        <v>0</v>
      </c>
      <c r="DO170" s="439">
        <f>VLOOKUP(DO$8,LTD_R1!$A$1:$E$488,2,FALSE)</f>
        <v>0</v>
      </c>
      <c r="DP170" s="439">
        <f>VLOOKUP(DP$8,LTD_R1!$A$1:$E$488,2,FALSE)</f>
        <v>0</v>
      </c>
      <c r="DQ170" s="439">
        <f>VLOOKUP(DQ$8,LTD_R1!$A$1:$E$488,2,FALSE)</f>
        <v>0</v>
      </c>
      <c r="DR170" s="439">
        <f>VLOOKUP(DR$8,LTD_R1!$A$1:$E$488,2,FALSE)</f>
        <v>0</v>
      </c>
      <c r="DS170" s="439">
        <f>VLOOKUP(DS$8,LTD_R1!$A$1:$E$488,2,FALSE)</f>
        <v>0</v>
      </c>
      <c r="DT170" s="439">
        <f>VLOOKUP(DT$8,LTD_R1!$A$1:$E$488,2,FALSE)</f>
        <v>0</v>
      </c>
      <c r="DU170" s="439">
        <f>VLOOKUP(DU$8,LTD_R1!$A$1:$E$488,2,FALSE)</f>
        <v>0</v>
      </c>
      <c r="DV170" s="439">
        <f>VLOOKUP(DV$8,LTD_R1!$A$1:$E$488,2,FALSE)</f>
        <v>0</v>
      </c>
      <c r="DW170" s="439">
        <f>VLOOKUP(DW$8,LTD_R1!$A$1:$E$488,2,FALSE)</f>
        <v>0</v>
      </c>
      <c r="DX170" s="439">
        <f>VLOOKUP(DX$8,LTD_R1!$A$1:$E$488,2,FALSE)</f>
        <v>0</v>
      </c>
      <c r="DY170" s="439">
        <f>VLOOKUP(DY$8,LTD_R1!$A$1:$E$488,2,FALSE)</f>
        <v>0</v>
      </c>
      <c r="DZ170" s="439">
        <f>VLOOKUP(DZ$8,LTD_R1!$A$1:$E$488,2,FALSE)</f>
        <v>0</v>
      </c>
      <c r="EA170" s="439">
        <f>VLOOKUP(EA$8,LTD_R1!$A$1:$E$488,2,FALSE)</f>
        <v>0</v>
      </c>
      <c r="EB170" s="439">
        <f>VLOOKUP(EB$8,LTD_R1!$A$1:$E$488,2,FALSE)</f>
        <v>0</v>
      </c>
      <c r="EC170" s="439">
        <f>VLOOKUP(EC$8,LTD_R1!$A$1:$E$488,2,FALSE)</f>
        <v>0</v>
      </c>
      <c r="ED170" s="439">
        <f>VLOOKUP(ED$8,LTD_R1!$A$1:$E$488,2,FALSE)</f>
        <v>0</v>
      </c>
      <c r="EE170" s="439">
        <f>VLOOKUP(EE$8,LTD_R1!$A$1:$E$488,2,FALSE)</f>
        <v>0</v>
      </c>
      <c r="EF170" s="439">
        <f>VLOOKUP(EF$8,LTD_R1!$A$1:$E$488,2,FALSE)</f>
        <v>0</v>
      </c>
      <c r="EG170" s="439">
        <f>VLOOKUP(EG$8,LTD_R1!$A$1:$E$488,2,FALSE)</f>
        <v>0</v>
      </c>
      <c r="EH170" s="439">
        <f>VLOOKUP(EH$8,LTD_R1!$A$1:$E$488,2,FALSE)</f>
        <v>0</v>
      </c>
      <c r="EI170" s="439">
        <f>VLOOKUP(EI$8,LTD_R1!$A$1:$E$488,2,FALSE)</f>
        <v>0</v>
      </c>
      <c r="EJ170" s="439">
        <f>VLOOKUP(EJ$8,LTD_R1!$A$1:$E$488,2,FALSE)</f>
        <v>0</v>
      </c>
      <c r="EK170" s="439">
        <f>VLOOKUP(EK$8,LTD_R1!$A$1:$E$488,2,FALSE)</f>
        <v>0</v>
      </c>
      <c r="EL170" s="439">
        <f>VLOOKUP(EL$8,LTD_R1!$A$1:$E$488,2,FALSE)</f>
        <v>0</v>
      </c>
      <c r="EM170" s="439">
        <f>VLOOKUP(EM$8,LTD_R1!$A$1:$E$488,2,FALSE)</f>
        <v>0</v>
      </c>
      <c r="EN170" s="439">
        <f>VLOOKUP(EN$8,LTD_R1!$A$1:$E$488,2,FALSE)</f>
        <v>0</v>
      </c>
      <c r="EO170" s="439">
        <f>VLOOKUP(EO$8,LTD_R1!$A$1:$E$488,2,FALSE)</f>
        <v>0</v>
      </c>
      <c r="EP170" s="439">
        <f>VLOOKUP(EP$8,LTD_R1!$A$1:$E$488,2,FALSE)</f>
        <v>0</v>
      </c>
      <c r="EQ170" s="439">
        <f>VLOOKUP(EQ$8,LTD_R1!$A$1:$E$488,2,FALSE)</f>
        <v>0</v>
      </c>
      <c r="ER170" s="439">
        <f>VLOOKUP(ER$8,LTD_R1!$A$1:$E$488,2,FALSE)</f>
        <v>0</v>
      </c>
      <c r="ES170" s="439">
        <f>VLOOKUP(ES$8,LTD_R1!$A$1:$E$488,2,FALSE)</f>
        <v>0</v>
      </c>
      <c r="ET170" s="439">
        <f>VLOOKUP(ET$8,LTD_R1!$A$1:$E$488,2,FALSE)</f>
        <v>0</v>
      </c>
      <c r="EU170" s="439">
        <f>VLOOKUP(EU$8,LTD_R1!$A$1:$E$488,2,FALSE)</f>
        <v>0</v>
      </c>
      <c r="EV170" s="439">
        <f>VLOOKUP(EV$8,LTD_R1!$A$1:$E$488,2,FALSE)</f>
        <v>0</v>
      </c>
      <c r="EW170" s="439">
        <f>VLOOKUP(EW$8,LTD_R1!$A$1:$E$488,2,FALSE)</f>
        <v>0</v>
      </c>
      <c r="EY170" s="580" t="s">
        <v>307</v>
      </c>
      <c r="EZ170" s="789">
        <v>-24.410899999999998</v>
      </c>
      <c r="FA170" s="789">
        <v>-38.304899999999996</v>
      </c>
      <c r="FB170" s="789">
        <v>-10.886800000000001</v>
      </c>
      <c r="FC170" s="789" t="e">
        <v>#VALUE!</v>
      </c>
      <c r="FD170" s="789">
        <v>-6.3708</v>
      </c>
      <c r="FF170" s="441">
        <f>IF(G170="---","-",ABS(EZ170-G170))</f>
        <v>29.180734661031998</v>
      </c>
      <c r="FG170" s="441">
        <f>IF(I170="---","-",ABS(FA170-I170))</f>
        <v>63.586828816805905</v>
      </c>
      <c r="FH170" s="441">
        <f>IF(K170="---","-",ABS(FB170-K170))</f>
        <v>31.666357822933815</v>
      </c>
      <c r="FI170" s="441" t="str">
        <f>IF(M170="---","-",ABS(FC170-M170))</f>
        <v>-</v>
      </c>
      <c r="FJ170" s="441">
        <f>IF(Q170="---","-",ABS(FD170-Q170))</f>
        <v>21.582646169880672</v>
      </c>
    </row>
    <row r="171" spans="1:169" s="1228" customFormat="1" x14ac:dyDescent="0.2">
      <c r="A171" s="1340" t="s">
        <v>715</v>
      </c>
      <c r="B171" s="1024"/>
      <c r="C171" s="1217"/>
      <c r="D171" s="1218"/>
      <c r="E171" s="1219"/>
      <c r="F171" s="1220">
        <f>AH171</f>
        <v>4.1319999999999997</v>
      </c>
      <c r="G171" s="1023">
        <f t="array" ref="G171">IF($AJ171=0,"---",(PRODUCT($AH171:AJ171/100+1)-1)*100)</f>
        <v>4.7784101146015612</v>
      </c>
      <c r="H171" s="432">
        <f t="array" ref="H171">IF($AS171=0,"---",(PRODUCT(AH171:AN171/100+1)-1)*100)</f>
        <v>13.520720229957028</v>
      </c>
      <c r="I171" s="1023">
        <f t="array" ref="I171">IF(AS171=0,"---",(GEOMEAN($AH171:AS171/100+1)^12-1)*100)</f>
        <v>25.357597923893692</v>
      </c>
      <c r="J171" s="1023">
        <f t="array" ref="J171">IF(BE171=0,"---",(GEOMEAN($AH171:BE171/100+1)^12-1)*100)</f>
        <v>22.566769436463872</v>
      </c>
      <c r="K171" s="1023">
        <f t="array" ref="K171">IF(BQ171=0,"---",(GEOMEAN($AH171:BQ171/100+1)^12-1)*100)</f>
        <v>20.796610884821874</v>
      </c>
      <c r="L171" s="1023" t="str">
        <f t="array" ref="L171">IF(CC171=0,"---",(GEOMEAN($AH171:CC171/100+1)^12-1)*100)</f>
        <v>---</v>
      </c>
      <c r="M171" s="1023" t="str">
        <f t="array" ref="M171">IF(CO171=0,"---",(GEOMEAN($AH171:CO171/100+1)^12-1)*100)</f>
        <v>---</v>
      </c>
      <c r="N171" s="1023" t="str">
        <f t="array" ref="N171">IF(DM171=0,"---",(GEOMEAN($AH171:DM171/100+1)^12-1)*100)</f>
        <v>---</v>
      </c>
      <c r="O171" s="1023" t="str">
        <f t="array" ref="O171">IF(EK171=0,"---",(GEOMEAN($AH171:EK171/100+1)^12-1)*100)</f>
        <v>---</v>
      </c>
      <c r="P171" s="1023" t="str">
        <f t="array" ref="P171">IF(EW171=0,"---",(GEOMEAN($AH171:EW171/100+1)^12-1)*100)</f>
        <v>---</v>
      </c>
      <c r="Q171" s="1221" t="s">
        <v>34</v>
      </c>
      <c r="R171" s="1218"/>
      <c r="S171" s="1218"/>
      <c r="T171" s="1218"/>
      <c r="U171" s="1218"/>
      <c r="V171" s="1218"/>
      <c r="W171" s="1218"/>
      <c r="X171" s="1218"/>
      <c r="Y171" s="1218"/>
      <c r="Z171" s="1218"/>
      <c r="AA171" s="1218"/>
      <c r="AB171" s="1218"/>
      <c r="AC171" s="1222"/>
      <c r="AD171" s="1223"/>
      <c r="AE171" s="1028"/>
      <c r="AF171" s="1027"/>
      <c r="AG171" s="1224"/>
      <c r="AH171" s="1025">
        <f t="shared" ref="AH171:BN171" si="153">VLOOKUP(AH$8,Index,39,FALSE)</f>
        <v>4.1319999999999997</v>
      </c>
      <c r="AI171" s="1025">
        <f t="shared" si="153"/>
        <v>-1.6170100000000001</v>
      </c>
      <c r="AJ171" s="1025">
        <f t="shared" si="153"/>
        <v>2.2745500000000001</v>
      </c>
      <c r="AK171" s="1025">
        <f t="shared" si="153"/>
        <v>2.29792</v>
      </c>
      <c r="AL171" s="1025">
        <f t="shared" si="153"/>
        <v>0.47065000000000001</v>
      </c>
      <c r="AM171" s="1025">
        <f t="shared" si="153"/>
        <v>0.63695000000000002</v>
      </c>
      <c r="AN171" s="1025">
        <f t="shared" si="153"/>
        <v>4.7465799999999998</v>
      </c>
      <c r="AO171" s="1025">
        <f t="shared" si="153"/>
        <v>-3.1938399999999998</v>
      </c>
      <c r="AP171" s="1025">
        <f t="shared" si="153"/>
        <v>2.6977600000000002</v>
      </c>
      <c r="AQ171" s="1025">
        <f t="shared" si="153"/>
        <v>2.8057099999999999</v>
      </c>
      <c r="AR171" s="1025">
        <f t="shared" si="153"/>
        <v>4.40198</v>
      </c>
      <c r="AS171" s="1025">
        <f t="shared" si="153"/>
        <v>3.4869500000000002</v>
      </c>
      <c r="AT171" s="1025">
        <f t="shared" si="153"/>
        <v>-2.7582399999999998</v>
      </c>
      <c r="AU171" s="1025">
        <f t="shared" si="153"/>
        <v>5.3507899999999999</v>
      </c>
      <c r="AV171" s="1025">
        <f t="shared" si="153"/>
        <v>-1.3628</v>
      </c>
      <c r="AW171" s="1025">
        <f t="shared" si="153"/>
        <v>2.2244100000000002</v>
      </c>
      <c r="AX171" s="1025">
        <f t="shared" si="153"/>
        <v>1.80585</v>
      </c>
      <c r="AY171" s="1025">
        <f t="shared" si="153"/>
        <v>3.8605499999999999</v>
      </c>
      <c r="AZ171" s="1025">
        <f t="shared" si="153"/>
        <v>1.3435299999999999</v>
      </c>
      <c r="BA171" s="1025">
        <f t="shared" si="153"/>
        <v>5.4233700000000002</v>
      </c>
      <c r="BB171" s="1025">
        <f t="shared" si="153"/>
        <v>1.0370600000000001</v>
      </c>
      <c r="BC171" s="1025">
        <f t="shared" si="153"/>
        <v>0.79444999999999999</v>
      </c>
      <c r="BD171" s="1025">
        <f t="shared" si="153"/>
        <v>-1.68825</v>
      </c>
      <c r="BE171" s="1025">
        <f t="shared" si="153"/>
        <v>2.5722399999999999</v>
      </c>
      <c r="BF171" s="1025">
        <f t="shared" si="153"/>
        <v>2.42815</v>
      </c>
      <c r="BG171" s="1025">
        <f t="shared" si="153"/>
        <v>1.1861299999999999</v>
      </c>
      <c r="BH171" s="1025">
        <f t="shared" si="153"/>
        <v>3.82843</v>
      </c>
      <c r="BI171" s="1025">
        <f t="shared" si="153"/>
        <v>-6.1451599999999997</v>
      </c>
      <c r="BJ171" s="1025">
        <f t="shared" si="153"/>
        <v>-0.58025000000000004</v>
      </c>
      <c r="BK171" s="1025">
        <f t="shared" si="153"/>
        <v>3.12907</v>
      </c>
      <c r="BL171" s="1025">
        <f t="shared" si="153"/>
        <v>4.3882300000000001</v>
      </c>
      <c r="BM171" s="1025">
        <f t="shared" si="153"/>
        <v>4.8733399999999998</v>
      </c>
      <c r="BN171" s="1025">
        <f t="shared" si="153"/>
        <v>0.83589000000000002</v>
      </c>
      <c r="BO171" s="1025">
        <f t="shared" ref="BO171:CT171" si="154">VLOOKUP(BO$8,Index,39,FALSE)</f>
        <v>-0.26229999999999998</v>
      </c>
      <c r="BP171" s="1025">
        <f t="shared" si="154"/>
        <v>11.208819999999999</v>
      </c>
      <c r="BQ171" s="1025">
        <f t="shared" si="154"/>
        <v>-7.4617300000000002</v>
      </c>
      <c r="BR171" s="1025">
        <f t="shared" si="154"/>
        <v>-5.7580200000000001</v>
      </c>
      <c r="BS171" s="1025">
        <f t="shared" si="154"/>
        <v>-2.17015</v>
      </c>
      <c r="BT171" s="1025">
        <f t="shared" si="154"/>
        <v>-1.748</v>
      </c>
      <c r="BU171" s="1025">
        <f t="shared" si="154"/>
        <v>-1.0727599999999999</v>
      </c>
      <c r="BV171" s="1025">
        <f t="shared" si="154"/>
        <v>3.00773</v>
      </c>
      <c r="BW171" s="1025">
        <f t="shared" si="154"/>
        <v>0.25853999999999999</v>
      </c>
      <c r="BX171" s="1025">
        <f t="shared" si="154"/>
        <v>3.4782999999999999</v>
      </c>
      <c r="BY171" s="1025">
        <f t="shared" si="154"/>
        <v>2.4047800000000001</v>
      </c>
      <c r="BZ171" s="1025">
        <f t="shared" si="154"/>
        <v>0</v>
      </c>
      <c r="CA171" s="1025">
        <f t="shared" si="154"/>
        <v>0</v>
      </c>
      <c r="CB171" s="1025">
        <f t="shared" si="154"/>
        <v>0</v>
      </c>
      <c r="CC171" s="1025">
        <f t="shared" si="154"/>
        <v>0</v>
      </c>
      <c r="CD171" s="1025">
        <f t="shared" si="154"/>
        <v>0</v>
      </c>
      <c r="CE171" s="1025">
        <f t="shared" si="154"/>
        <v>0</v>
      </c>
      <c r="CF171" s="1025">
        <f t="shared" si="154"/>
        <v>0</v>
      </c>
      <c r="CG171" s="1025">
        <f t="shared" si="154"/>
        <v>0</v>
      </c>
      <c r="CH171" s="1025">
        <f t="shared" si="154"/>
        <v>0</v>
      </c>
      <c r="CI171" s="1025">
        <f t="shared" si="154"/>
        <v>0</v>
      </c>
      <c r="CJ171" s="1025">
        <f t="shared" si="154"/>
        <v>0</v>
      </c>
      <c r="CK171" s="1025">
        <f t="shared" si="154"/>
        <v>0</v>
      </c>
      <c r="CL171" s="1025">
        <f t="shared" si="154"/>
        <v>0</v>
      </c>
      <c r="CM171" s="1025">
        <f t="shared" si="154"/>
        <v>0</v>
      </c>
      <c r="CN171" s="1025">
        <f t="shared" si="154"/>
        <v>0</v>
      </c>
      <c r="CO171" s="1025">
        <f t="shared" si="154"/>
        <v>0</v>
      </c>
      <c r="CP171" s="1025">
        <f t="shared" si="154"/>
        <v>0</v>
      </c>
      <c r="CQ171" s="1025">
        <f t="shared" si="154"/>
        <v>0</v>
      </c>
      <c r="CR171" s="1025">
        <f t="shared" si="154"/>
        <v>0</v>
      </c>
      <c r="CS171" s="1025">
        <f t="shared" si="154"/>
        <v>0</v>
      </c>
      <c r="CT171" s="1025">
        <f t="shared" si="154"/>
        <v>0</v>
      </c>
      <c r="CU171" s="1025">
        <f t="shared" ref="CU171:DZ171" si="155">VLOOKUP(CU$8,Index,39,FALSE)</f>
        <v>0</v>
      </c>
      <c r="CV171" s="1025">
        <f t="shared" si="155"/>
        <v>0</v>
      </c>
      <c r="CW171" s="1025">
        <f t="shared" si="155"/>
        <v>0</v>
      </c>
      <c r="CX171" s="1025">
        <f t="shared" si="155"/>
        <v>0</v>
      </c>
      <c r="CY171" s="1025">
        <f t="shared" si="155"/>
        <v>0</v>
      </c>
      <c r="CZ171" s="1025">
        <f t="shared" si="155"/>
        <v>0</v>
      </c>
      <c r="DA171" s="1025">
        <f t="shared" si="155"/>
        <v>0</v>
      </c>
      <c r="DB171" s="1025">
        <f t="shared" si="155"/>
        <v>0</v>
      </c>
      <c r="DC171" s="1025">
        <f t="shared" si="155"/>
        <v>0</v>
      </c>
      <c r="DD171" s="1025">
        <f t="shared" si="155"/>
        <v>0</v>
      </c>
      <c r="DE171" s="1025">
        <f t="shared" si="155"/>
        <v>0</v>
      </c>
      <c r="DF171" s="1025">
        <f t="shared" si="155"/>
        <v>0</v>
      </c>
      <c r="DG171" s="1025">
        <f t="shared" si="155"/>
        <v>0</v>
      </c>
      <c r="DH171" s="1025">
        <f t="shared" si="155"/>
        <v>0</v>
      </c>
      <c r="DI171" s="1025">
        <f t="shared" si="155"/>
        <v>0</v>
      </c>
      <c r="DJ171" s="1025">
        <f t="shared" si="155"/>
        <v>0</v>
      </c>
      <c r="DK171" s="1025">
        <f t="shared" si="155"/>
        <v>0</v>
      </c>
      <c r="DL171" s="1025">
        <f t="shared" si="155"/>
        <v>0</v>
      </c>
      <c r="DM171" s="1025">
        <f t="shared" si="155"/>
        <v>0</v>
      </c>
      <c r="DN171" s="1025">
        <f t="shared" si="155"/>
        <v>0</v>
      </c>
      <c r="DO171" s="1025">
        <f t="shared" si="155"/>
        <v>0</v>
      </c>
      <c r="DP171" s="1025">
        <f t="shared" si="155"/>
        <v>0</v>
      </c>
      <c r="DQ171" s="1025">
        <f t="shared" si="155"/>
        <v>0</v>
      </c>
      <c r="DR171" s="1025">
        <f t="shared" si="155"/>
        <v>0</v>
      </c>
      <c r="DS171" s="1025">
        <f t="shared" si="155"/>
        <v>0</v>
      </c>
      <c r="DT171" s="1025">
        <f t="shared" si="155"/>
        <v>0</v>
      </c>
      <c r="DU171" s="1025">
        <f t="shared" si="155"/>
        <v>0</v>
      </c>
      <c r="DV171" s="1025">
        <f t="shared" si="155"/>
        <v>0</v>
      </c>
      <c r="DW171" s="1025">
        <f t="shared" si="155"/>
        <v>0</v>
      </c>
      <c r="DX171" s="1025">
        <f t="shared" si="155"/>
        <v>0</v>
      </c>
      <c r="DY171" s="1025">
        <f t="shared" si="155"/>
        <v>0</v>
      </c>
      <c r="DZ171" s="1025">
        <f t="shared" si="155"/>
        <v>0</v>
      </c>
      <c r="EA171" s="1025">
        <f t="shared" ref="EA171:EW171" si="156">VLOOKUP(EA$8,Index,39,FALSE)</f>
        <v>0</v>
      </c>
      <c r="EB171" s="1025">
        <f t="shared" si="156"/>
        <v>0</v>
      </c>
      <c r="EC171" s="1025">
        <f t="shared" si="156"/>
        <v>0</v>
      </c>
      <c r="ED171" s="1025">
        <f t="shared" si="156"/>
        <v>0</v>
      </c>
      <c r="EE171" s="1025">
        <f t="shared" si="156"/>
        <v>0</v>
      </c>
      <c r="EF171" s="1025">
        <f t="shared" si="156"/>
        <v>0</v>
      </c>
      <c r="EG171" s="1025">
        <f t="shared" si="156"/>
        <v>0</v>
      </c>
      <c r="EH171" s="1025">
        <f t="shared" si="156"/>
        <v>0</v>
      </c>
      <c r="EI171" s="1025">
        <f t="shared" si="156"/>
        <v>0</v>
      </c>
      <c r="EJ171" s="1025">
        <f t="shared" si="156"/>
        <v>0</v>
      </c>
      <c r="EK171" s="1025">
        <f t="shared" si="156"/>
        <v>0</v>
      </c>
      <c r="EL171" s="1025">
        <f t="shared" si="156"/>
        <v>0</v>
      </c>
      <c r="EM171" s="1025">
        <f t="shared" si="156"/>
        <v>0</v>
      </c>
      <c r="EN171" s="1025">
        <f t="shared" si="156"/>
        <v>0</v>
      </c>
      <c r="EO171" s="1025">
        <f t="shared" si="156"/>
        <v>0</v>
      </c>
      <c r="EP171" s="1025">
        <f t="shared" si="156"/>
        <v>0</v>
      </c>
      <c r="EQ171" s="1025">
        <f t="shared" si="156"/>
        <v>0</v>
      </c>
      <c r="ER171" s="1025">
        <f t="shared" si="156"/>
        <v>0</v>
      </c>
      <c r="ES171" s="1025">
        <f t="shared" si="156"/>
        <v>0</v>
      </c>
      <c r="ET171" s="1025">
        <f t="shared" si="156"/>
        <v>0</v>
      </c>
      <c r="EU171" s="1025">
        <f t="shared" si="156"/>
        <v>0</v>
      </c>
      <c r="EV171" s="1025">
        <f t="shared" si="156"/>
        <v>0</v>
      </c>
      <c r="EW171" s="1025">
        <f t="shared" si="156"/>
        <v>0</v>
      </c>
      <c r="EX171" s="1225"/>
      <c r="EY171" s="1226"/>
      <c r="EZ171" s="1227"/>
      <c r="FA171" s="1227"/>
      <c r="FB171" s="1227"/>
      <c r="FC171" s="1227"/>
      <c r="FD171" s="1227"/>
      <c r="FE171" s="1225"/>
      <c r="FF171" s="1225"/>
      <c r="FG171" s="1225"/>
      <c r="FH171" s="1225"/>
      <c r="FI171" s="1225"/>
      <c r="FJ171" s="1225"/>
      <c r="FK171" s="1225"/>
      <c r="FL171" s="1225"/>
      <c r="FM171" s="1225"/>
    </row>
    <row r="172" spans="1:169" x14ac:dyDescent="0.2">
      <c r="A172" s="17"/>
      <c r="B172" s="15"/>
      <c r="C172" s="15"/>
      <c r="D172" s="16"/>
      <c r="E172" s="525"/>
      <c r="F172" s="16"/>
      <c r="G172" s="16"/>
      <c r="H172" s="16"/>
      <c r="I172" s="16"/>
      <c r="J172" s="16"/>
      <c r="K172" s="16"/>
      <c r="L172" s="16"/>
      <c r="M172" s="16"/>
      <c r="N172" s="16"/>
      <c r="O172" s="16"/>
      <c r="P172" s="16"/>
      <c r="Q172" s="16"/>
      <c r="R172" s="524"/>
      <c r="S172" s="16"/>
      <c r="T172" s="16"/>
      <c r="U172" s="16"/>
      <c r="V172" s="16"/>
      <c r="W172" s="16"/>
      <c r="X172" s="16"/>
      <c r="Y172" s="16"/>
      <c r="Z172" s="16"/>
      <c r="AA172" s="16"/>
      <c r="AB172" s="16"/>
      <c r="AC172" s="18"/>
      <c r="AD172" s="525"/>
      <c r="AF172" s="491"/>
      <c r="EZ172" s="440"/>
      <c r="FA172" s="440"/>
      <c r="FB172" s="440"/>
      <c r="FC172" s="440"/>
      <c r="FD172" s="440"/>
    </row>
    <row r="173" spans="1:169" collapsed="1" x14ac:dyDescent="0.2">
      <c r="A173" s="1339" t="s">
        <v>716</v>
      </c>
      <c r="B173" s="1260" t="s">
        <v>320</v>
      </c>
      <c r="C173" s="446">
        <v>40543</v>
      </c>
      <c r="D173" s="447">
        <v>7</v>
      </c>
      <c r="E173" s="448">
        <f>VLOOKUP(AH$8,LTD_R2!A67:E494,3,FALSE)/1000000</f>
        <v>17.1758621</v>
      </c>
      <c r="F173" s="449">
        <f>AH173</f>
        <v>4.9615900000000002</v>
      </c>
      <c r="G173" s="450">
        <f t="array" ref="G173">IF($AJ173=0,"---",(PRODUCT($AH173:AJ173/100+1)-1)*100)</f>
        <v>3.9337627171163625</v>
      </c>
      <c r="H173" s="450">
        <f t="array" ref="H173">IF($AS173=0,"---",(PRODUCT(AH173:AN173/100+1)-1)*100)</f>
        <v>4.758483235882971</v>
      </c>
      <c r="I173" s="450">
        <f t="array" ref="I173">IF(AS173=0,"---",(GEOMEAN($AH173:AS173/100+1)^12-1)*100)</f>
        <v>17.838251079343049</v>
      </c>
      <c r="J173" s="450">
        <f t="array" ref="J173">IF(BE173=0,"---",(GEOMEAN($AH173:BE173/100+1)^12-1)*100)</f>
        <v>22.074685735223088</v>
      </c>
      <c r="K173" s="450">
        <f t="array" ref="K173">IF(BQ173=0,"---",(GEOMEAN($AH173:BQ173/100+1)^12-1)*100)</f>
        <v>19.185610786447938</v>
      </c>
      <c r="L173" s="450" t="str">
        <f t="array" ref="L173">IF(CC173=0,"---",(GEOMEAN($AH173:CC173/100+1)^12-1)*100)</f>
        <v>---</v>
      </c>
      <c r="M173" s="450" t="str">
        <f t="array" ref="M173">IF(CO173=0,"---",(GEOMEAN($AH173:CO173/100+1)^12-1)*100)</f>
        <v>---</v>
      </c>
      <c r="N173" s="450" t="str">
        <f t="array" ref="N173">IF(DM173=0,"---",(GEOMEAN($AH173:DM173/100+1)^12-1)*100)</f>
        <v>---</v>
      </c>
      <c r="O173" s="450" t="str">
        <f t="array" ref="O173">IF(EK173=0,"---",(GEOMEAN($AH173:EK173/100+1)^12-1)*100)</f>
        <v>---</v>
      </c>
      <c r="P173" s="450" t="str">
        <f t="array" ref="P173">IF(EW173=0,"---",(GEOMEAN($AH173:EW173/100+1)^12-1)*100)</f>
        <v>---</v>
      </c>
      <c r="Q173" s="1447">
        <f t="array" ref="Q173">(GEOMEAN(LTD_R2!B$429:B471/100+1)^12-1)*100</f>
        <v>12.165838724619537</v>
      </c>
      <c r="R173" s="452">
        <f>IF(F173="---","---",(F173-F174)*100)</f>
        <v>0.30299999999998661</v>
      </c>
      <c r="S173" s="452">
        <f t="shared" ref="S173:AB173" si="157">IF(G173="---","---",(G173-G174)*100)</f>
        <v>8.1735315975506317</v>
      </c>
      <c r="T173" s="452">
        <f t="shared" si="157"/>
        <v>11.168666943199845</v>
      </c>
      <c r="U173" s="452">
        <f t="shared" si="157"/>
        <v>15.724199428055741</v>
      </c>
      <c r="V173" s="452">
        <f t="shared" si="157"/>
        <v>17.501875788281751</v>
      </c>
      <c r="W173" s="452">
        <f t="shared" si="157"/>
        <v>18.868627332961907</v>
      </c>
      <c r="X173" s="452" t="str">
        <f t="shared" si="157"/>
        <v>---</v>
      </c>
      <c r="Y173" s="452" t="str">
        <f t="shared" si="157"/>
        <v>---</v>
      </c>
      <c r="Z173" s="452" t="str">
        <f t="shared" si="157"/>
        <v>---</v>
      </c>
      <c r="AA173" s="452" t="str">
        <f t="shared" si="157"/>
        <v>---</v>
      </c>
      <c r="AB173" s="452" t="str">
        <f t="shared" si="157"/>
        <v>---</v>
      </c>
      <c r="AC173" s="453">
        <f>(Q173-AF173)*100</f>
        <v>17.637160763881354</v>
      </c>
      <c r="AD173" s="552">
        <v>0</v>
      </c>
      <c r="AE173" s="1397"/>
      <c r="AF173" s="473">
        <f t="array" ref="AF173">(GEOMEAN(Index_Returns!H$429:H471/100+1)^12-1)*100</f>
        <v>11.989467116980723</v>
      </c>
      <c r="AG173" s="382" t="str">
        <f>IF(I173="---","&lt; 1 Year","---")</f>
        <v>---</v>
      </c>
      <c r="AH173" s="439">
        <f>VLOOKUP(AH$8,LTD_R2!$A$1:$E$488,2,FALSE)</f>
        <v>4.9615900000000002</v>
      </c>
      <c r="AI173" s="439">
        <f>VLOOKUP(AI$8,LTD_R2!$A$1:$E$488,2,FALSE)</f>
        <v>-6.0020499999999997</v>
      </c>
      <c r="AJ173" s="439">
        <f>VLOOKUP(AJ$8,LTD_R2!$A$1:$E$488,2,FALSE)</f>
        <v>5.3435300000000003</v>
      </c>
      <c r="AK173" s="439">
        <f>VLOOKUP(AK$8,LTD_R2!$A$1:$E$488,2,FALSE)</f>
        <v>0.79293000000000002</v>
      </c>
      <c r="AL173" s="439">
        <f>VLOOKUP(AL$8,LTD_R2!$A$1:$E$488,2,FALSE)</f>
        <v>-3.8661699999999999</v>
      </c>
      <c r="AM173" s="439">
        <f>VLOOKUP(AM$8,LTD_R2!$A$1:$E$488,2,FALSE)</f>
        <v>-0.66578999999999999</v>
      </c>
      <c r="AN173" s="439">
        <f>VLOOKUP(AN$8,LTD_R2!$A$1:$E$488,2,FALSE)</f>
        <v>4.7194599999999998</v>
      </c>
      <c r="AO173" s="439">
        <f>VLOOKUP(AO$8,LTD_R2!$A$1:$E$488,2,FALSE)</f>
        <v>-2.7695099999999999</v>
      </c>
      <c r="AP173" s="439">
        <f>VLOOKUP(AP$8,LTD_R2!$A$1:$E$488,2,FALSE)</f>
        <v>1.98611</v>
      </c>
      <c r="AQ173" s="439">
        <f>VLOOKUP(AQ$8,LTD_R2!$A$1:$E$488,2,FALSE)</f>
        <v>3.9834499999999999</v>
      </c>
      <c r="AR173" s="439">
        <f>VLOOKUP(AR$8,LTD_R2!$A$1:$E$488,2,FALSE)</f>
        <v>2.53851</v>
      </c>
      <c r="AS173" s="439">
        <f>VLOOKUP(AS$8,LTD_R2!$A$1:$E$488,2,FALSE)</f>
        <v>6.3903800000000004</v>
      </c>
      <c r="AT173" s="439">
        <f>VLOOKUP(AT$8,LTD_R2!$A$1:$E$488,2,FALSE)</f>
        <v>-3.1517900000000001</v>
      </c>
      <c r="AU173" s="439">
        <f>VLOOKUP(AU$8,LTD_R2!$A$1:$E$488,2,FALSE)</f>
        <v>7.0363199999999999</v>
      </c>
      <c r="AV173" s="439">
        <f>VLOOKUP(AV$8,LTD_R2!$A$1:$E$488,2,FALSE)</f>
        <v>-0.49825999999999998</v>
      </c>
      <c r="AW173" s="439">
        <f>VLOOKUP(AW$8,LTD_R2!$A$1:$E$488,2,FALSE)</f>
        <v>3.99275</v>
      </c>
      <c r="AX173" s="439">
        <f>VLOOKUP(AX$8,LTD_R2!$A$1:$E$488,2,FALSE)</f>
        <v>-0.34988000000000002</v>
      </c>
      <c r="AY173" s="439">
        <f>VLOOKUP(AY$8,LTD_R2!$A$1:$E$488,2,FALSE)</f>
        <v>4.5917300000000001</v>
      </c>
      <c r="AZ173" s="439">
        <f>VLOOKUP(AZ$8,LTD_R2!$A$1:$E$488,2,FALSE)</f>
        <v>1.1178900000000001</v>
      </c>
      <c r="BA173" s="439">
        <f>VLOOKUP(BA$8,LTD_R2!$A$1:$E$488,2,FALSE)</f>
        <v>6.2778700000000001</v>
      </c>
      <c r="BB173" s="439">
        <f>VLOOKUP(BB$8,LTD_R2!$A$1:$E$488,2,FALSE)</f>
        <v>3.5719400000000001</v>
      </c>
      <c r="BC173" s="439">
        <f>VLOOKUP(BC$8,LTD_R2!$A$1:$E$488,2,FALSE)</f>
        <v>0.54796</v>
      </c>
      <c r="BD173" s="439">
        <f>VLOOKUP(BD$8,LTD_R2!$A$1:$E$488,2,FALSE)</f>
        <v>-2.1509800000000001</v>
      </c>
      <c r="BE173" s="439">
        <f>VLOOKUP(BE$8,LTD_R2!$A$1:$E$488,2,FALSE)</f>
        <v>3.2976800000000002</v>
      </c>
      <c r="BF173" s="439">
        <f>VLOOKUP(BF$8,LTD_R2!$A$1:$E$488,2,FALSE)</f>
        <v>3.3505799999999999</v>
      </c>
      <c r="BG173" s="439">
        <f>VLOOKUP(BG$8,LTD_R2!$A$1:$E$488,2,FALSE)</f>
        <v>-1.3428800000000001</v>
      </c>
      <c r="BH173" s="439">
        <f>VLOOKUP(BH$8,LTD_R2!$A$1:$E$488,2,FALSE)</f>
        <v>4.9973400000000003</v>
      </c>
      <c r="BI173" s="439">
        <f>VLOOKUP(BI$8,LTD_R2!$A$1:$E$488,2,FALSE)</f>
        <v>-6.5846400000000003</v>
      </c>
      <c r="BJ173" s="439">
        <f>VLOOKUP(BJ$8,LTD_R2!$A$1:$E$488,2,FALSE)</f>
        <v>-1.5533699999999999</v>
      </c>
      <c r="BK173" s="439">
        <f>VLOOKUP(BK$8,LTD_R2!$A$1:$E$488,2,FALSE)</f>
        <v>2.5765899999999999</v>
      </c>
      <c r="BL173" s="439">
        <f>VLOOKUP(BL$8,LTD_R2!$A$1:$E$488,2,FALSE)</f>
        <v>2.39236</v>
      </c>
      <c r="BM173" s="439">
        <f>VLOOKUP(BM$8,LTD_R2!$A$1:$E$488,2,FALSE)</f>
        <v>7.0650700000000004</v>
      </c>
      <c r="BN173" s="439">
        <f>VLOOKUP(BN$8,LTD_R2!$A$1:$E$488,2,FALSE)</f>
        <v>0.66900999999999999</v>
      </c>
      <c r="BO173" s="439">
        <f>VLOOKUP(BO$8,LTD_R2!$A$1:$E$488,2,FALSE)</f>
        <v>-0.33956999999999998</v>
      </c>
      <c r="BP173" s="439">
        <f>VLOOKUP(BP$8,LTD_R2!$A$1:$E$488,2,FALSE)</f>
        <v>15.141529999999999</v>
      </c>
      <c r="BQ173" s="439">
        <f>VLOOKUP(BQ$8,LTD_R2!$A$1:$E$488,2,FALSE)</f>
        <v>-11.16844</v>
      </c>
      <c r="BR173" s="439">
        <f>VLOOKUP(BR$8,LTD_R2!$A$1:$E$488,2,FALSE)</f>
        <v>-8.6960200000000007</v>
      </c>
      <c r="BS173" s="439">
        <f>VLOOKUP(BS$8,LTD_R2!$A$1:$E$488,2,FALSE)</f>
        <v>-3.6092</v>
      </c>
      <c r="BT173" s="439">
        <f>VLOOKUP(BT$8,LTD_R2!$A$1:$E$488,2,FALSE)</f>
        <v>-2.3140000000000001</v>
      </c>
      <c r="BU173" s="439">
        <f>VLOOKUP(BU$8,LTD_R2!$A$1:$E$488,2,FALSE)</f>
        <v>-1.8915999999999999</v>
      </c>
      <c r="BV173" s="439">
        <f>VLOOKUP(BV$8,LTD_R2!$A$1:$E$488,2,FALSE)</f>
        <v>2.6566100000000001</v>
      </c>
      <c r="BW173" s="439">
        <f>VLOOKUP(BW$8,LTD_R2!$A$1:$E$488,2,FALSE)</f>
        <v>2.62784</v>
      </c>
      <c r="BX173" s="439">
        <f>VLOOKUP(BX$8,LTD_R2!$A$1:$E$488,2,FALSE)</f>
        <v>5.5224799999999998</v>
      </c>
      <c r="BY173" s="439">
        <f>VLOOKUP(BY$8,LTD_R2!$A$1:$E$488,2,FALSE)</f>
        <v>-0.23799000000000001</v>
      </c>
      <c r="BZ173" s="439">
        <f>VLOOKUP(BZ$8,LTD_R2!$A$1:$E$488,2,FALSE)</f>
        <v>0</v>
      </c>
      <c r="CA173" s="439">
        <f>VLOOKUP(CA$8,LTD_R2!$A$1:$E$488,2,FALSE)</f>
        <v>0</v>
      </c>
      <c r="CB173" s="439">
        <f>VLOOKUP(CB$8,LTD_R2!$A$1:$E$488,2,FALSE)</f>
        <v>0</v>
      </c>
      <c r="CC173" s="439">
        <f>VLOOKUP(CC$8,LTD_R2!$A$1:$E$488,2,FALSE)</f>
        <v>0</v>
      </c>
      <c r="CD173" s="439">
        <f>VLOOKUP(CD$8,LTD_R2!$A$1:$E$488,2,FALSE)</f>
        <v>0</v>
      </c>
      <c r="CE173" s="439">
        <f>VLOOKUP(CE$8,LTD_R2!$A$1:$E$488,2,FALSE)</f>
        <v>0</v>
      </c>
      <c r="CF173" s="439">
        <f>VLOOKUP(CF$8,LTD_R2!$A$1:$E$488,2,FALSE)</f>
        <v>0</v>
      </c>
      <c r="CG173" s="439">
        <f>VLOOKUP(CG$8,LTD_R2!$A$1:$E$488,2,FALSE)</f>
        <v>0</v>
      </c>
      <c r="CH173" s="439">
        <f>VLOOKUP(CH$8,LTD_R2!$A$1:$E$488,2,FALSE)</f>
        <v>0</v>
      </c>
      <c r="CI173" s="439">
        <f>VLOOKUP(CI$8,LTD_R2!$A$1:$E$488,2,FALSE)</f>
        <v>0</v>
      </c>
      <c r="CJ173" s="439">
        <f>VLOOKUP(CJ$8,LTD_R2!$A$1:$E$488,2,FALSE)</f>
        <v>0</v>
      </c>
      <c r="CK173" s="439">
        <f>VLOOKUP(CK$8,LTD_R2!$A$1:$E$488,2,FALSE)</f>
        <v>0</v>
      </c>
      <c r="CL173" s="439">
        <f>VLOOKUP(CL$8,LTD_R2!$A$1:$E$488,2,FALSE)</f>
        <v>0</v>
      </c>
      <c r="CM173" s="439">
        <f>VLOOKUP(CM$8,LTD_R2!$A$1:$E$488,2,FALSE)</f>
        <v>0</v>
      </c>
      <c r="CN173" s="439">
        <f>VLOOKUP(CN$8,LTD_R2!$A$1:$E$488,2,FALSE)</f>
        <v>0</v>
      </c>
      <c r="CO173" s="439">
        <f>VLOOKUP(CO$8,LTD_R2!$A$1:$E$488,2,FALSE)</f>
        <v>0</v>
      </c>
      <c r="CP173" s="439">
        <f>VLOOKUP(CP$8,LTD_R2!$A$1:$E$488,2,FALSE)</f>
        <v>0</v>
      </c>
      <c r="CQ173" s="439">
        <f>VLOOKUP(CQ$8,LTD_R2!$A$1:$E$488,2,FALSE)</f>
        <v>0</v>
      </c>
      <c r="CR173" s="439">
        <f>VLOOKUP(CR$8,LTD_R2!$A$1:$E$488,2,FALSE)</f>
        <v>0</v>
      </c>
      <c r="CS173" s="439">
        <f>VLOOKUP(CS$8,LTD_R2!$A$1:$E$488,2,FALSE)</f>
        <v>0</v>
      </c>
      <c r="CT173" s="439">
        <f>VLOOKUP(CT$8,LTD_R2!$A$1:$E$488,2,FALSE)</f>
        <v>0</v>
      </c>
      <c r="CU173" s="439">
        <f>VLOOKUP(CU$8,LTD_R2!$A$1:$E$488,2,FALSE)</f>
        <v>0</v>
      </c>
      <c r="CV173" s="439">
        <f>VLOOKUP(CV$8,LTD_R2!$A$1:$E$488,2,FALSE)</f>
        <v>0</v>
      </c>
      <c r="CW173" s="439">
        <f>VLOOKUP(CW$8,LTD_R2!$A$1:$E$488,2,FALSE)</f>
        <v>0</v>
      </c>
      <c r="CX173" s="439">
        <f>VLOOKUP(CX$8,LTD_R2!$A$1:$E$488,2,FALSE)</f>
        <v>0</v>
      </c>
      <c r="CY173" s="439">
        <f>VLOOKUP(CY$8,LTD_R2!$A$1:$E$488,2,FALSE)</f>
        <v>0</v>
      </c>
      <c r="CZ173" s="439">
        <f>VLOOKUP(CZ$8,LTD_R2!$A$1:$E$488,2,FALSE)</f>
        <v>0</v>
      </c>
      <c r="DA173" s="439">
        <f>VLOOKUP(DA$8,LTD_R2!$A$1:$E$488,2,FALSE)</f>
        <v>0</v>
      </c>
      <c r="DB173" s="439">
        <f>VLOOKUP(DB$8,LTD_R2!$A$1:$E$488,2,FALSE)</f>
        <v>0</v>
      </c>
      <c r="DC173" s="439">
        <f>VLOOKUP(DC$8,LTD_R2!$A$1:$E$488,2,FALSE)</f>
        <v>0</v>
      </c>
      <c r="DD173" s="439">
        <f>VLOOKUP(DD$8,LTD_R2!$A$1:$E$488,2,FALSE)</f>
        <v>0</v>
      </c>
      <c r="DE173" s="439">
        <f>VLOOKUP(DE$8,LTD_R2!$A$1:$E$488,2,FALSE)</f>
        <v>0</v>
      </c>
      <c r="DF173" s="439">
        <f>VLOOKUP(DF$8,LTD_R2!$A$1:$E$488,2,FALSE)</f>
        <v>0</v>
      </c>
      <c r="DG173" s="439">
        <f>VLOOKUP(DG$8,LTD_R2!$A$1:$E$488,2,FALSE)</f>
        <v>0</v>
      </c>
      <c r="DH173" s="439">
        <f>VLOOKUP(DH$8,LTD_R2!$A$1:$E$488,2,FALSE)</f>
        <v>0</v>
      </c>
      <c r="DI173" s="439">
        <f>VLOOKUP(DI$8,LTD_R2!$A$1:$E$488,2,FALSE)</f>
        <v>0</v>
      </c>
      <c r="DJ173" s="439">
        <f>VLOOKUP(DJ$8,LTD_R2!$A$1:$E$488,2,FALSE)</f>
        <v>0</v>
      </c>
      <c r="DK173" s="439">
        <f>VLOOKUP(DK$8,LTD_R2!$A$1:$E$488,2,FALSE)</f>
        <v>0</v>
      </c>
      <c r="DL173" s="439">
        <f>VLOOKUP(DL$8,LTD_R2!$A$1:$E$488,2,FALSE)</f>
        <v>0</v>
      </c>
      <c r="DM173" s="439">
        <f>VLOOKUP(DM$8,LTD_R2!$A$1:$E$488,2,FALSE)</f>
        <v>0</v>
      </c>
      <c r="DN173" s="439">
        <f>VLOOKUP(DN$8,LTD_R2!$A$1:$E$488,2,FALSE)</f>
        <v>0</v>
      </c>
      <c r="DO173" s="439">
        <f>VLOOKUP(DO$8,LTD_R2!$A$1:$E$488,2,FALSE)</f>
        <v>0</v>
      </c>
      <c r="DP173" s="439">
        <f>VLOOKUP(DP$8,LTD_R2!$A$1:$E$488,2,FALSE)</f>
        <v>0</v>
      </c>
      <c r="DQ173" s="439">
        <f>VLOOKUP(DQ$8,LTD_R2!$A$1:$E$488,2,FALSE)</f>
        <v>0</v>
      </c>
      <c r="DR173" s="439">
        <f>VLOOKUP(DR$8,LTD_R2!$A$1:$E$488,2,FALSE)</f>
        <v>0</v>
      </c>
      <c r="DS173" s="439">
        <f>VLOOKUP(DS$8,LTD_R2!$A$1:$E$488,2,FALSE)</f>
        <v>0</v>
      </c>
      <c r="DT173" s="439">
        <f>VLOOKUP(DT$8,LTD_R2!$A$1:$E$488,2,FALSE)</f>
        <v>0</v>
      </c>
      <c r="DU173" s="439">
        <f>VLOOKUP(DU$8,LTD_R2!$A$1:$E$488,2,FALSE)</f>
        <v>0</v>
      </c>
      <c r="DV173" s="439">
        <f>VLOOKUP(DV$8,LTD_R2!$A$1:$E$488,2,FALSE)</f>
        <v>0</v>
      </c>
      <c r="DW173" s="439">
        <f>VLOOKUP(DW$8,LTD_R2!$A$1:$E$488,2,FALSE)</f>
        <v>0</v>
      </c>
      <c r="DX173" s="439">
        <f>VLOOKUP(DX$8,LTD_R2!$A$1:$E$488,2,FALSE)</f>
        <v>0</v>
      </c>
      <c r="DY173" s="439">
        <f>VLOOKUP(DY$8,LTD_R2!$A$1:$E$488,2,FALSE)</f>
        <v>0</v>
      </c>
      <c r="DZ173" s="439">
        <f>VLOOKUP(DZ$8,LTD_R2!$A$1:$E$488,2,FALSE)</f>
        <v>0</v>
      </c>
      <c r="EA173" s="439">
        <f>VLOOKUP(EA$8,LTD_R2!$A$1:$E$488,2,FALSE)</f>
        <v>0</v>
      </c>
      <c r="EB173" s="439">
        <f>VLOOKUP(EB$8,LTD_R2!$A$1:$E$488,2,FALSE)</f>
        <v>0</v>
      </c>
      <c r="EC173" s="439">
        <f>VLOOKUP(EC$8,LTD_R2!$A$1:$E$488,2,FALSE)</f>
        <v>0</v>
      </c>
      <c r="ED173" s="439">
        <f>VLOOKUP(ED$8,LTD_R2!$A$1:$E$488,2,FALSE)</f>
        <v>0</v>
      </c>
      <c r="EE173" s="439">
        <f>VLOOKUP(EE$8,LTD_R2!$A$1:$E$488,2,FALSE)</f>
        <v>0</v>
      </c>
      <c r="EF173" s="439">
        <f>VLOOKUP(EF$8,LTD_R2!$A$1:$E$488,2,FALSE)</f>
        <v>0</v>
      </c>
      <c r="EG173" s="439">
        <f>VLOOKUP(EG$8,LTD_R2!$A$1:$E$488,2,FALSE)</f>
        <v>0</v>
      </c>
      <c r="EH173" s="439">
        <f>VLOOKUP(EH$8,LTD_R2!$A$1:$E$488,2,FALSE)</f>
        <v>0</v>
      </c>
      <c r="EI173" s="439">
        <f>VLOOKUP(EI$8,LTD_R2!$A$1:$E$488,2,FALSE)</f>
        <v>0</v>
      </c>
      <c r="EJ173" s="439">
        <f>VLOOKUP(EJ$8,LTD_R2!$A$1:$E$488,2,FALSE)</f>
        <v>0</v>
      </c>
      <c r="EK173" s="439">
        <f>VLOOKUP(EK$8,LTD_R2!$A$1:$E$488,2,FALSE)</f>
        <v>0</v>
      </c>
      <c r="EL173" s="439">
        <f>VLOOKUP(EL$8,LTD_R2!$A$1:$E$488,2,FALSE)</f>
        <v>0</v>
      </c>
      <c r="EM173" s="439">
        <f>VLOOKUP(EM$8,LTD_R2!$A$1:$E$488,2,FALSE)</f>
        <v>0</v>
      </c>
      <c r="EN173" s="439">
        <f>VLOOKUP(EN$8,LTD_R2!$A$1:$E$488,2,FALSE)</f>
        <v>0</v>
      </c>
      <c r="EO173" s="439">
        <f>VLOOKUP(EO$8,LTD_R2!$A$1:$E$488,2,FALSE)</f>
        <v>0</v>
      </c>
      <c r="EP173" s="439">
        <f>VLOOKUP(EP$8,LTD_R2!$A$1:$E$488,2,FALSE)</f>
        <v>0</v>
      </c>
      <c r="EQ173" s="439">
        <f>VLOOKUP(EQ$8,LTD_R2!$A$1:$E$488,2,FALSE)</f>
        <v>0</v>
      </c>
      <c r="ER173" s="439">
        <f>VLOOKUP(ER$8,LTD_R2!$A$1:$E$488,2,FALSE)</f>
        <v>0</v>
      </c>
      <c r="ES173" s="439">
        <f>VLOOKUP(ES$8,LTD_R2!$A$1:$E$488,2,FALSE)</f>
        <v>0</v>
      </c>
      <c r="ET173" s="439">
        <f>VLOOKUP(ET$8,LTD_R2!$A$1:$E$488,2,FALSE)</f>
        <v>0</v>
      </c>
      <c r="EU173" s="439">
        <f>VLOOKUP(EU$8,LTD_R2!$A$1:$E$488,2,FALSE)</f>
        <v>0</v>
      </c>
      <c r="EV173" s="439">
        <f>VLOOKUP(EV$8,LTD_R2!$A$1:$E$488,2,FALSE)</f>
        <v>0</v>
      </c>
      <c r="EW173" s="439">
        <f>VLOOKUP(EW$8,LTD_R2!$A$1:$E$488,2,FALSE)</f>
        <v>0</v>
      </c>
      <c r="EY173" s="580" t="s">
        <v>307</v>
      </c>
      <c r="EZ173" s="789">
        <v>-24.410899999999998</v>
      </c>
      <c r="FA173" s="789">
        <v>-38.304899999999996</v>
      </c>
      <c r="FB173" s="789">
        <v>-10.886800000000001</v>
      </c>
      <c r="FC173" s="789" t="e">
        <v>#VALUE!</v>
      </c>
      <c r="FD173" s="789">
        <v>-6.3708</v>
      </c>
      <c r="FF173" s="441">
        <f>IF(G173="---","-",ABS(EZ173-G173))</f>
        <v>28.344662717116361</v>
      </c>
      <c r="FG173" s="441">
        <f>IF(I173="---","-",ABS(FA173-I173))</f>
        <v>56.143151079343042</v>
      </c>
      <c r="FH173" s="441">
        <f>IF(K173="---","-",ABS(FB173-K173))</f>
        <v>30.072410786447939</v>
      </c>
      <c r="FI173" s="441" t="str">
        <f>IF(M173="---","-",ABS(FC173-M173))</f>
        <v>-</v>
      </c>
      <c r="FJ173" s="441">
        <f>IF(Q173="---","-",ABS(FD173-Q173))</f>
        <v>18.536638724619536</v>
      </c>
    </row>
    <row r="174" spans="1:169" s="1228" customFormat="1" x14ac:dyDescent="0.2">
      <c r="A174" s="1340" t="s">
        <v>731</v>
      </c>
      <c r="B174" s="1024"/>
      <c r="C174" s="1217"/>
      <c r="D174" s="1218"/>
      <c r="E174" s="1219"/>
      <c r="F174" s="1220">
        <f>AH174</f>
        <v>4.9585600000000003</v>
      </c>
      <c r="G174" s="1023">
        <f t="array" ref="G174">IF($AJ174=0,"---",(PRODUCT($AH174:AJ174/100+1)-1)*100)</f>
        <v>3.8520274011408562</v>
      </c>
      <c r="H174" s="432">
        <f t="array" ref="H174">IF($AS174=0,"---",(PRODUCT(AH174:AN174/100+1)-1)*100)</f>
        <v>4.6467965664509725</v>
      </c>
      <c r="I174" s="1023">
        <f t="array" ref="I174">IF(AS174=0,"---",(GEOMEAN($AH174:AS174/100+1)^12-1)*100)</f>
        <v>17.681009085062492</v>
      </c>
      <c r="J174" s="1023">
        <f t="array" ref="J174">IF(BE174=0,"---",(GEOMEAN($AH174:BE174/100+1)^12-1)*100)</f>
        <v>21.899666977340271</v>
      </c>
      <c r="K174" s="1023">
        <f t="array" ref="K174">IF(BQ174=0,"---",(GEOMEAN($AH174:BQ174/100+1)^12-1)*100)</f>
        <v>18.996924513118319</v>
      </c>
      <c r="L174" s="1023">
        <f t="array" ref="L174">IF(CC174=0,"---",(GEOMEAN($AH174:CC174/100+1)^12-1)*100)</f>
        <v>19.787060457681239</v>
      </c>
      <c r="M174" s="1023">
        <f t="array" ref="M174">IF(CO174=0,"---",(GEOMEAN($AH174:CO174/100+1)^12-1)*100)</f>
        <v>17.02559001654549</v>
      </c>
      <c r="N174" s="1023">
        <f t="array" ref="N174">IF(DM174=0,"---",(GEOMEAN($AH174:DM174/100+1)^12-1)*100)</f>
        <v>7.2548423774749571</v>
      </c>
      <c r="O174" s="1023">
        <f t="array" ref="O174">IF(EK174=0,"---",(GEOMEAN($AH174:EK174/100+1)^12-1)*100)</f>
        <v>7.9364004801782295</v>
      </c>
      <c r="P174" s="1023">
        <f t="array" ref="P174">IF(EW174=0,"---",(GEOMEAN($AH174:EW174/100+1)^12-1)*100)</f>
        <v>9.3647722634557553</v>
      </c>
      <c r="Q174" s="1221" t="s">
        <v>34</v>
      </c>
      <c r="R174" s="1218"/>
      <c r="S174" s="1218"/>
      <c r="T174" s="1218"/>
      <c r="U174" s="1218"/>
      <c r="V174" s="1218"/>
      <c r="W174" s="1218"/>
      <c r="X174" s="1218"/>
      <c r="Y174" s="1218"/>
      <c r="Z174" s="1218"/>
      <c r="AA174" s="1218"/>
      <c r="AB174" s="1218"/>
      <c r="AC174" s="1222"/>
      <c r="AD174" s="1223"/>
      <c r="AE174" s="1028"/>
      <c r="AF174" s="1027"/>
      <c r="AG174" s="1224"/>
      <c r="AH174" s="1025">
        <f t="shared" ref="AH174:BN174" si="158">VLOOKUP(AH$8,Index,8,FALSE)</f>
        <v>4.9585600000000003</v>
      </c>
      <c r="AI174" s="1025">
        <f t="shared" si="158"/>
        <v>-6.0529000000000002</v>
      </c>
      <c r="AJ174" s="1025">
        <f t="shared" si="158"/>
        <v>5.3207000000000004</v>
      </c>
      <c r="AK174" s="1025">
        <f t="shared" si="158"/>
        <v>0.80128999999999995</v>
      </c>
      <c r="AL174" s="1025">
        <f t="shared" si="158"/>
        <v>-3.8780800000000002</v>
      </c>
      <c r="AM174" s="1025">
        <f t="shared" si="158"/>
        <v>-0.68162</v>
      </c>
      <c r="AN174" s="1025">
        <f t="shared" si="158"/>
        <v>4.7111200000000002</v>
      </c>
      <c r="AO174" s="1025">
        <f t="shared" si="158"/>
        <v>-2.7680099999999999</v>
      </c>
      <c r="AP174" s="1025">
        <f t="shared" si="158"/>
        <v>1.9680200000000001</v>
      </c>
      <c r="AQ174" s="1025">
        <f t="shared" si="158"/>
        <v>4.0064099999999998</v>
      </c>
      <c r="AR174" s="1025">
        <f t="shared" si="158"/>
        <v>2.5146099999999998</v>
      </c>
      <c r="AS174" s="1025">
        <f t="shared" si="158"/>
        <v>6.38035</v>
      </c>
      <c r="AT174" s="1025">
        <f t="shared" si="158"/>
        <v>-3.1762299999999999</v>
      </c>
      <c r="AU174" s="1025">
        <f t="shared" si="158"/>
        <v>6.9983500000000003</v>
      </c>
      <c r="AV174" s="1025">
        <f t="shared" si="158"/>
        <v>-0.51160000000000005</v>
      </c>
      <c r="AW174" s="1025">
        <f t="shared" si="158"/>
        <v>3.99681</v>
      </c>
      <c r="AX174" s="1025">
        <f t="shared" si="158"/>
        <v>-0.36743999999999999</v>
      </c>
      <c r="AY174" s="1025">
        <f t="shared" si="158"/>
        <v>4.6173799999999998</v>
      </c>
      <c r="AZ174" s="1025">
        <f t="shared" si="158"/>
        <v>1.1031</v>
      </c>
      <c r="BA174" s="1025">
        <f t="shared" si="158"/>
        <v>6.25929</v>
      </c>
      <c r="BB174" s="1025">
        <f t="shared" si="158"/>
        <v>3.5625100000000001</v>
      </c>
      <c r="BC174" s="1025">
        <f t="shared" si="158"/>
        <v>0.53130999999999995</v>
      </c>
      <c r="BD174" s="1025">
        <f t="shared" si="158"/>
        <v>-2.1694599999999999</v>
      </c>
      <c r="BE174" s="1025">
        <f t="shared" si="158"/>
        <v>3.2838099999999999</v>
      </c>
      <c r="BF174" s="1025">
        <f t="shared" si="158"/>
        <v>3.3347199999999999</v>
      </c>
      <c r="BG174" s="1025">
        <f t="shared" si="158"/>
        <v>-1.38191</v>
      </c>
      <c r="BH174" s="1025">
        <f t="shared" si="158"/>
        <v>4.9899899999999997</v>
      </c>
      <c r="BI174" s="1025">
        <f t="shared" si="158"/>
        <v>-6.6189600000000004</v>
      </c>
      <c r="BJ174" s="1025">
        <f t="shared" si="158"/>
        <v>-1.5446899999999999</v>
      </c>
      <c r="BK174" s="1025">
        <f t="shared" si="158"/>
        <v>2.56223</v>
      </c>
      <c r="BL174" s="1025">
        <f t="shared" si="158"/>
        <v>2.39324</v>
      </c>
      <c r="BM174" s="1025">
        <f t="shared" si="158"/>
        <v>7.0651000000000002</v>
      </c>
      <c r="BN174" s="1025">
        <f t="shared" si="158"/>
        <v>0.66056000000000004</v>
      </c>
      <c r="BO174" s="1025">
        <f t="shared" ref="BO174:CT174" si="159">VLOOKUP(BO$8,Index,8,FALSE)</f>
        <v>-0.36452000000000001</v>
      </c>
      <c r="BP174" s="1025">
        <f t="shared" si="159"/>
        <v>15.135809999999999</v>
      </c>
      <c r="BQ174" s="1025">
        <f t="shared" si="159"/>
        <v>-11.210190000000001</v>
      </c>
      <c r="BR174" s="1025">
        <f t="shared" si="159"/>
        <v>-8.7002299999999995</v>
      </c>
      <c r="BS174" s="1025">
        <f t="shared" si="159"/>
        <v>-3.6145200000000002</v>
      </c>
      <c r="BT174" s="1025">
        <f t="shared" si="159"/>
        <v>-2.30558</v>
      </c>
      <c r="BU174" s="1025">
        <f t="shared" si="159"/>
        <v>-1.8748800000000001</v>
      </c>
      <c r="BV174" s="1025">
        <f t="shared" si="159"/>
        <v>2.64059</v>
      </c>
      <c r="BW174" s="1025">
        <f t="shared" si="159"/>
        <v>2.5916000000000001</v>
      </c>
      <c r="BX174" s="1025">
        <f t="shared" si="159"/>
        <v>5.4841499999999996</v>
      </c>
      <c r="BY174" s="1025">
        <f t="shared" si="159"/>
        <v>-0.25768000000000002</v>
      </c>
      <c r="BZ174" s="1025">
        <f t="shared" si="159"/>
        <v>7.9407899999999998</v>
      </c>
      <c r="CA174" s="1025">
        <f t="shared" si="159"/>
        <v>3.4673699999999998</v>
      </c>
      <c r="CB174" s="1025">
        <f t="shared" si="159"/>
        <v>4.0921200000000004</v>
      </c>
      <c r="CC174" s="1025">
        <f t="shared" si="159"/>
        <v>12.45964</v>
      </c>
      <c r="CD174" s="1025">
        <f t="shared" si="159"/>
        <v>-7.4037899999999999</v>
      </c>
      <c r="CE174" s="1025">
        <f t="shared" si="159"/>
        <v>6.8719400000000004</v>
      </c>
      <c r="CF174" s="1025">
        <f t="shared" si="159"/>
        <v>-7.7494899999999998</v>
      </c>
      <c r="CG174" s="1025">
        <f t="shared" si="159"/>
        <v>-7.5852399999999998</v>
      </c>
      <c r="CH174" s="1025">
        <f t="shared" si="159"/>
        <v>5.6594199999999999</v>
      </c>
      <c r="CI174" s="1025">
        <f t="shared" si="159"/>
        <v>8.1388700000000007</v>
      </c>
      <c r="CJ174" s="1025">
        <f t="shared" si="159"/>
        <v>4.5045799999999998</v>
      </c>
      <c r="CK174" s="1025">
        <f t="shared" si="159"/>
        <v>-3.6811500000000001</v>
      </c>
      <c r="CL174" s="1025">
        <f t="shared" si="159"/>
        <v>8.04941</v>
      </c>
      <c r="CM174" s="1025">
        <f t="shared" si="159"/>
        <v>3.1389999999999998</v>
      </c>
      <c r="CN174" s="1025">
        <f t="shared" si="159"/>
        <v>-6.79</v>
      </c>
      <c r="CO174" s="1025">
        <f t="shared" si="159"/>
        <v>5.7676999999999996</v>
      </c>
      <c r="CP174" s="1025">
        <f t="shared" si="159"/>
        <v>2.8675000000000002</v>
      </c>
      <c r="CQ174" s="1025">
        <f t="shared" si="159"/>
        <v>9.6310000000000002</v>
      </c>
      <c r="CR174" s="1025">
        <f t="shared" si="159"/>
        <v>1.4688000000000001</v>
      </c>
      <c r="CS174" s="1025">
        <f t="shared" si="159"/>
        <v>3.0148999999999999</v>
      </c>
      <c r="CT174" s="1025">
        <f t="shared" si="159"/>
        <v>15.4582</v>
      </c>
      <c r="CU174" s="1025">
        <f t="shared" ref="CU174:DZ174" si="160">VLOOKUP(CU$8,Index,8,FALSE)</f>
        <v>8.9267000000000003</v>
      </c>
      <c r="CV174" s="1025">
        <f t="shared" si="160"/>
        <v>-12.1523</v>
      </c>
      <c r="CW174" s="1025">
        <f t="shared" si="160"/>
        <v>-11.1221</v>
      </c>
      <c r="CX174" s="1025">
        <f t="shared" si="160"/>
        <v>5.8041</v>
      </c>
      <c r="CY174" s="1025">
        <f t="shared" si="160"/>
        <v>-11.8287</v>
      </c>
      <c r="CZ174" s="1025">
        <f t="shared" si="160"/>
        <v>-20.802900000000001</v>
      </c>
      <c r="DA174" s="1025">
        <f t="shared" si="160"/>
        <v>-7.968</v>
      </c>
      <c r="DB174" s="1025">
        <f t="shared" si="160"/>
        <v>3.6143999999999998</v>
      </c>
      <c r="DC174" s="1025">
        <f t="shared" si="160"/>
        <v>3.7006000000000001</v>
      </c>
      <c r="DD174" s="1025">
        <f t="shared" si="160"/>
        <v>-7.6988000000000003</v>
      </c>
      <c r="DE174" s="1025">
        <f t="shared" si="160"/>
        <v>4.5937000000000001</v>
      </c>
      <c r="DF174" s="1025">
        <f t="shared" si="160"/>
        <v>4.1870000000000003</v>
      </c>
      <c r="DG174" s="1025">
        <f t="shared" si="160"/>
        <v>0.41889999999999999</v>
      </c>
      <c r="DH174" s="1025">
        <f t="shared" si="160"/>
        <v>-3.7067000000000001</v>
      </c>
      <c r="DI174" s="1025">
        <f t="shared" si="160"/>
        <v>-6.8193999999999999</v>
      </c>
      <c r="DJ174" s="1025">
        <f t="shared" si="160"/>
        <v>-6.2399999999999997E-2</v>
      </c>
      <c r="DK174" s="1025">
        <f t="shared" si="160"/>
        <v>-7.1806000000000001</v>
      </c>
      <c r="DL174" s="1025">
        <f t="shared" si="160"/>
        <v>2.8691</v>
      </c>
      <c r="DM174" s="1025">
        <f t="shared" si="160"/>
        <v>1.7164999999999999</v>
      </c>
      <c r="DN174" s="1025">
        <f t="shared" si="160"/>
        <v>2.2665999999999999</v>
      </c>
      <c r="DO174" s="1025">
        <f t="shared" si="160"/>
        <v>-6.8395000000000001</v>
      </c>
      <c r="DP174" s="1025">
        <f t="shared" si="160"/>
        <v>-1.4629000000000001</v>
      </c>
      <c r="DQ174" s="1025">
        <f t="shared" si="160"/>
        <v>4.0956000000000001</v>
      </c>
      <c r="DR174" s="1025">
        <f t="shared" si="160"/>
        <v>1.7962</v>
      </c>
      <c r="DS174" s="1025">
        <f t="shared" si="160"/>
        <v>1.0705</v>
      </c>
      <c r="DT174" s="1025">
        <f t="shared" si="160"/>
        <v>-0.79349999999999998</v>
      </c>
      <c r="DU174" s="1025">
        <f t="shared" si="160"/>
        <v>1.6735</v>
      </c>
      <c r="DV174" s="1025">
        <f t="shared" si="160"/>
        <v>0.33489999999999998</v>
      </c>
      <c r="DW174" s="1025">
        <f t="shared" si="160"/>
        <v>2.6305000000000001</v>
      </c>
      <c r="DX174" s="1025">
        <f t="shared" si="160"/>
        <v>5.7577999999999996</v>
      </c>
      <c r="DY174" s="1025">
        <f t="shared" si="160"/>
        <v>0.83260000000000001</v>
      </c>
      <c r="DZ174" s="1025">
        <f t="shared" si="160"/>
        <v>2.9607000000000001</v>
      </c>
      <c r="EA174" s="1025">
        <f t="shared" ref="EA174:EW174" si="161">VLOOKUP(EA$8,Index,8,FALSE)</f>
        <v>-3.2538999999999998</v>
      </c>
      <c r="EB174" s="1025">
        <f t="shared" si="161"/>
        <v>0.64290000000000003</v>
      </c>
      <c r="EC174" s="1025">
        <f t="shared" si="161"/>
        <v>-5.6159999999999997</v>
      </c>
      <c r="ED174" s="1025">
        <f t="shared" si="161"/>
        <v>-1.6299999999999999E-2</v>
      </c>
      <c r="EE174" s="1025">
        <f t="shared" si="161"/>
        <v>4.8517000000000001</v>
      </c>
      <c r="EF174" s="1025">
        <f t="shared" si="161"/>
        <v>-0.27529999999999999</v>
      </c>
      <c r="EG174" s="1025">
        <f t="shared" si="161"/>
        <v>8.9672000000000001</v>
      </c>
      <c r="EH174" s="1025">
        <f t="shared" si="161"/>
        <v>-0.45700000000000002</v>
      </c>
      <c r="EI174" s="1025">
        <f t="shared" si="161"/>
        <v>4.8545999999999996</v>
      </c>
      <c r="EJ174" s="1025">
        <f t="shared" si="161"/>
        <v>-3.105</v>
      </c>
      <c r="EK174" s="1025">
        <f t="shared" si="161"/>
        <v>0.31369999999999998</v>
      </c>
      <c r="EL174" s="1025">
        <f t="shared" si="161"/>
        <v>-1.8541000000000001</v>
      </c>
      <c r="EM174" s="1025">
        <f t="shared" si="161"/>
        <v>6.3356000000000003</v>
      </c>
      <c r="EN174" s="1025">
        <f t="shared" si="161"/>
        <v>3.8571</v>
      </c>
      <c r="EO174" s="1025">
        <f t="shared" si="161"/>
        <v>6.5450999999999997</v>
      </c>
      <c r="EP174" s="1025">
        <f t="shared" si="161"/>
        <v>-5.7268999999999997</v>
      </c>
      <c r="EQ174" s="1025">
        <f t="shared" si="161"/>
        <v>-2.8626999999999998</v>
      </c>
      <c r="ER174" s="1025">
        <f t="shared" si="161"/>
        <v>1.6938</v>
      </c>
      <c r="ES174" s="1025">
        <f t="shared" si="161"/>
        <v>-4.1722999999999999</v>
      </c>
      <c r="ET174" s="1025">
        <f t="shared" si="161"/>
        <v>2.96</v>
      </c>
      <c r="EU174" s="1025">
        <f t="shared" si="161"/>
        <v>8.6738</v>
      </c>
      <c r="EV174" s="1025">
        <f t="shared" si="161"/>
        <v>1.9683999999999999</v>
      </c>
      <c r="EW174" s="1025">
        <f t="shared" si="161"/>
        <v>4.6946000000000003</v>
      </c>
      <c r="EX174" s="1225"/>
      <c r="EY174" s="1226"/>
      <c r="EZ174" s="1227"/>
      <c r="FA174" s="1227"/>
      <c r="FB174" s="1227"/>
      <c r="FC174" s="1227"/>
      <c r="FD174" s="1227"/>
      <c r="FE174" s="1225"/>
      <c r="FF174" s="1225"/>
      <c r="FG174" s="1225"/>
      <c r="FH174" s="1225"/>
      <c r="FI174" s="1225"/>
      <c r="FJ174" s="1225"/>
      <c r="FK174" s="1225"/>
      <c r="FL174" s="1225"/>
      <c r="FM174" s="1225"/>
    </row>
    <row r="175" spans="1:169" x14ac:dyDescent="0.2">
      <c r="A175" s="17"/>
      <c r="B175" s="15"/>
      <c r="C175" s="15"/>
      <c r="D175" s="16"/>
      <c r="E175" s="525"/>
      <c r="F175" s="16"/>
      <c r="G175" s="16"/>
      <c r="H175" s="16"/>
      <c r="I175" s="16"/>
      <c r="J175" s="16"/>
      <c r="K175" s="16"/>
      <c r="L175" s="16"/>
      <c r="M175" s="16"/>
      <c r="N175" s="16"/>
      <c r="O175" s="16"/>
      <c r="P175" s="16"/>
      <c r="Q175" s="16"/>
      <c r="R175" s="524"/>
      <c r="S175" s="16"/>
      <c r="T175" s="16"/>
      <c r="U175" s="16"/>
      <c r="V175" s="16"/>
      <c r="W175" s="16"/>
      <c r="X175" s="16"/>
      <c r="Y175" s="16"/>
      <c r="Z175" s="16"/>
      <c r="AA175" s="16"/>
      <c r="AB175" s="16"/>
      <c r="AC175" s="18"/>
      <c r="AD175" s="525"/>
      <c r="AF175" s="491"/>
      <c r="EZ175" s="440"/>
      <c r="FA175" s="440"/>
      <c r="FB175" s="440"/>
      <c r="FC175" s="440"/>
      <c r="FD175" s="440"/>
    </row>
    <row r="176" spans="1:169" x14ac:dyDescent="0.2">
      <c r="A176" s="1339" t="s">
        <v>720</v>
      </c>
      <c r="B176" s="1260" t="s">
        <v>320</v>
      </c>
      <c r="C176" s="446">
        <v>40543</v>
      </c>
      <c r="D176" s="447">
        <v>10</v>
      </c>
      <c r="E176" s="448">
        <f>VLOOKUP(AH$8,LTD_EAFE!A67:E494,3,FALSE)/1000000</f>
        <v>38.786380219999998</v>
      </c>
      <c r="F176" s="449">
        <f>AH176</f>
        <v>-0.17965999999999999</v>
      </c>
      <c r="G176" s="450">
        <f t="array" ref="G176">IF($AJ176=0,"---",(PRODUCT($AH176:AJ176/100+1)-1)*100)</f>
        <v>-1.1979477441888764</v>
      </c>
      <c r="H176" s="450">
        <f t="array" ref="H176">IF($AS176=0,"---",(PRODUCT(AH176:AN176/100+1)-1)*100)</f>
        <v>6.9190278846270159</v>
      </c>
      <c r="I176" s="450">
        <f t="array" ref="I176">IF(AS176=0,"---",(GEOMEAN($AH176:AS176/100+1)^12-1)*100)</f>
        <v>16.414925182544128</v>
      </c>
      <c r="J176" s="450">
        <f t="array" ref="J176">IF(BE176=0,"---",(GEOMEAN($AH176:BE176/100+1)^12-1)*100)</f>
        <v>17.577357668105332</v>
      </c>
      <c r="K176" s="450">
        <f t="array" ref="K176">IF(BQ176=0,"---",(GEOMEAN($AH176:BQ176/100+1)^12-1)*100)</f>
        <v>11.419690109838099</v>
      </c>
      <c r="L176" s="450" t="str">
        <f t="array" ref="L176">IF(CC176=0,"---",(GEOMEAN($AH176:CC176/100+1)^12-1)*100)</f>
        <v>---</v>
      </c>
      <c r="M176" s="450" t="str">
        <f t="array" ref="M176">IF(CO176=0,"---",(GEOMEAN($AH176:CO176/100+1)^12-1)*100)</f>
        <v>---</v>
      </c>
      <c r="N176" s="450" t="str">
        <f t="array" ref="N176">IF(DM176=0,"---",(GEOMEAN($AH176:DM176/100+1)^12-1)*100)</f>
        <v>---</v>
      </c>
      <c r="O176" s="450" t="str">
        <f t="array" ref="O176">IF(EK176=0,"---",(GEOMEAN($AH176:EK176/100+1)^12-1)*100)</f>
        <v>---</v>
      </c>
      <c r="P176" s="450" t="str">
        <f t="array" ref="P176">IF(EW176=0,"---",(GEOMEAN($AH176:EW176/100+1)^12-1)*100)</f>
        <v>---</v>
      </c>
      <c r="Q176" s="1447">
        <f t="array" ref="Q176">(GEOMEAN(LTD_EAFE!B$429:B471/100+1)^12-1)*100</f>
        <v>7.6889974392579052</v>
      </c>
      <c r="R176" s="452">
        <f>IF(F176="---","---",(F176-F177)*100)</f>
        <v>-2.5839999999999974</v>
      </c>
      <c r="S176" s="452">
        <f t="shared" ref="S176:AB176" si="162">IF(G176="---","---",(G176-G177)*100)</f>
        <v>-2.5647654109106632</v>
      </c>
      <c r="T176" s="452">
        <f t="shared" si="162"/>
        <v>5.5935192963896263</v>
      </c>
      <c r="U176" s="452">
        <f t="shared" si="162"/>
        <v>-8.3624709296458377</v>
      </c>
      <c r="V176" s="452">
        <f t="shared" si="162"/>
        <v>-25.170305438726359</v>
      </c>
      <c r="W176" s="452">
        <f t="shared" si="162"/>
        <v>-31.230597879481259</v>
      </c>
      <c r="X176" s="452" t="str">
        <f t="shared" si="162"/>
        <v>---</v>
      </c>
      <c r="Y176" s="452" t="str">
        <f t="shared" si="162"/>
        <v>---</v>
      </c>
      <c r="Z176" s="452" t="str">
        <f t="shared" si="162"/>
        <v>---</v>
      </c>
      <c r="AA176" s="452" t="str">
        <f t="shared" si="162"/>
        <v>---</v>
      </c>
      <c r="AB176" s="452" t="str">
        <f t="shared" si="162"/>
        <v>---</v>
      </c>
      <c r="AC176" s="453">
        <f>(Q176-AF176)*100</f>
        <v>-31.966893454316114</v>
      </c>
      <c r="AD176" s="554">
        <v>0</v>
      </c>
      <c r="AE176" s="1397"/>
      <c r="AF176" s="473">
        <f t="array" ref="AF176">(GEOMEAN(Index_Returns!AA$429:AA471/100+1)^12-1)*100</f>
        <v>8.0086663738010664</v>
      </c>
      <c r="AG176" s="382" t="str">
        <f>IF(I176="---","&lt; 1 Year","---")</f>
        <v>---</v>
      </c>
      <c r="AH176" s="439">
        <f>VLOOKUP(AH$8,LTD_EAFE!$A$1:$E$488,2,FALSE)</f>
        <v>-0.17965999999999999</v>
      </c>
      <c r="AI176" s="439">
        <f>VLOOKUP(AI$8,LTD_EAFE!$A$1:$E$488,2,FALSE)</f>
        <v>-1.95261</v>
      </c>
      <c r="AJ176" s="439">
        <f>VLOOKUP(AJ$8,LTD_EAFE!$A$1:$E$488,2,FALSE)</f>
        <v>0.95106000000000002</v>
      </c>
      <c r="AK176" s="439">
        <f>VLOOKUP(AK$8,LTD_EAFE!$A$1:$E$488,2,FALSE)</f>
        <v>1.6611499999999999</v>
      </c>
      <c r="AL176" s="439">
        <f>VLOOKUP(AL$8,LTD_EAFE!$A$1:$E$488,2,FALSE)</f>
        <v>1.4585600000000001</v>
      </c>
      <c r="AM176" s="439">
        <f>VLOOKUP(AM$8,LTD_EAFE!$A$1:$E$488,2,FALSE)</f>
        <v>-0.61241000000000001</v>
      </c>
      <c r="AN176" s="439">
        <f>VLOOKUP(AN$8,LTD_EAFE!$A$1:$E$488,2,FALSE)</f>
        <v>5.5633499999999998</v>
      </c>
      <c r="AO176" s="439">
        <f>VLOOKUP(AO$8,LTD_EAFE!$A$1:$E$488,2,FALSE)</f>
        <v>-4.0419799999999997</v>
      </c>
      <c r="AP176" s="439">
        <f>VLOOKUP(AP$8,LTD_EAFE!$A$1:$E$488,2,FALSE)</f>
        <v>1.49437</v>
      </c>
      <c r="AQ176" s="439">
        <f>VLOOKUP(AQ$8,LTD_EAFE!$A$1:$E$488,2,FALSE)</f>
        <v>0.71191000000000004</v>
      </c>
      <c r="AR176" s="439">
        <f>VLOOKUP(AR$8,LTD_EAFE!$A$1:$E$488,2,FALSE)</f>
        <v>3.3585600000000002</v>
      </c>
      <c r="AS176" s="439">
        <f>VLOOKUP(AS$8,LTD_EAFE!$A$1:$E$488,2,FALSE)</f>
        <v>7.3997200000000003</v>
      </c>
      <c r="AT176" s="439">
        <f>VLOOKUP(AT$8,LTD_EAFE!$A$1:$E$488,2,FALSE)</f>
        <v>-1.3163400000000001</v>
      </c>
      <c r="AU176" s="439">
        <f>VLOOKUP(AU$8,LTD_EAFE!$A$1:$E$488,2,FALSE)</f>
        <v>5.2770099999999998</v>
      </c>
      <c r="AV176" s="439">
        <f>VLOOKUP(AV$8,LTD_EAFE!$A$1:$E$488,2,FALSE)</f>
        <v>-3.54854</v>
      </c>
      <c r="AW176" s="439">
        <f>VLOOKUP(AW$8,LTD_EAFE!$A$1:$E$488,2,FALSE)</f>
        <v>-2.37818</v>
      </c>
      <c r="AX176" s="439">
        <f>VLOOKUP(AX$8,LTD_EAFE!$A$1:$E$488,2,FALSE)</f>
        <v>5.2275799999999997</v>
      </c>
      <c r="AY176" s="439">
        <f>VLOOKUP(AY$8,LTD_EAFE!$A$1:$E$488,2,FALSE)</f>
        <v>0.81018999999999997</v>
      </c>
      <c r="AZ176" s="439">
        <f>VLOOKUP(AZ$8,LTD_EAFE!$A$1:$E$488,2,FALSE)</f>
        <v>-0.95204</v>
      </c>
      <c r="BA176" s="439">
        <f>VLOOKUP(BA$8,LTD_EAFE!$A$1:$E$488,2,FALSE)</f>
        <v>5.2920699999999998</v>
      </c>
      <c r="BB176" s="439">
        <f>VLOOKUP(BB$8,LTD_EAFE!$A$1:$E$488,2,FALSE)</f>
        <v>3.1985399999999999</v>
      </c>
      <c r="BC176" s="439">
        <f>VLOOKUP(BC$8,LTD_EAFE!$A$1:$E$488,2,FALSE)</f>
        <v>2.4140299999999999</v>
      </c>
      <c r="BD176" s="439">
        <f>VLOOKUP(BD$8,LTD_EAFE!$A$1:$E$488,2,FALSE)</f>
        <v>0.84614</v>
      </c>
      <c r="BE176" s="439">
        <f>VLOOKUP(BE$8,LTD_EAFE!$A$1:$E$488,2,FALSE)</f>
        <v>2.9524599999999999</v>
      </c>
      <c r="BF176" s="439">
        <f>VLOOKUP(BF$8,LTD_EAFE!$A$1:$E$488,2,FALSE)</f>
        <v>2.6669900000000002</v>
      </c>
      <c r="BG176" s="439">
        <f>VLOOKUP(BG$8,LTD_EAFE!$A$1:$E$488,2,FALSE)</f>
        <v>1.1393</v>
      </c>
      <c r="BH176" s="439">
        <f>VLOOKUP(BH$8,LTD_EAFE!$A$1:$E$488,2,FALSE)</f>
        <v>7.0023200000000001</v>
      </c>
      <c r="BI176" s="439">
        <f>VLOOKUP(BI$8,LTD_EAFE!$A$1:$E$488,2,FALSE)</f>
        <v>-11.40672</v>
      </c>
      <c r="BJ176" s="439">
        <f>VLOOKUP(BJ$8,LTD_EAFE!$A$1:$E$488,2,FALSE)</f>
        <v>-1.91818</v>
      </c>
      <c r="BK176" s="439">
        <f>VLOOKUP(BK$8,LTD_EAFE!$A$1:$E$488,2,FALSE)</f>
        <v>-0.45698</v>
      </c>
      <c r="BL176" s="439">
        <f>VLOOKUP(BL$8,LTD_EAFE!$A$1:$E$488,2,FALSE)</f>
        <v>5.7128199999999998</v>
      </c>
      <c r="BM176" s="439">
        <f>VLOOKUP(BM$8,LTD_EAFE!$A$1:$E$488,2,FALSE)</f>
        <v>5.3135599999999998</v>
      </c>
      <c r="BN176" s="439">
        <f>VLOOKUP(BN$8,LTD_EAFE!$A$1:$E$488,2,FALSE)</f>
        <v>-0.95357000000000003</v>
      </c>
      <c r="BO176" s="439">
        <f>VLOOKUP(BO$8,LTD_EAFE!$A$1:$E$488,2,FALSE)</f>
        <v>-4.8591699999999998</v>
      </c>
      <c r="BP176" s="439">
        <f>VLOOKUP(BP$8,LTD_EAFE!$A$1:$E$488,2,FALSE)</f>
        <v>9.6532</v>
      </c>
      <c r="BQ176" s="439">
        <f>VLOOKUP(BQ$8,LTD_EAFE!$A$1:$E$488,2,FALSE)</f>
        <v>-9.4985900000000001</v>
      </c>
      <c r="BR176" s="439">
        <f>VLOOKUP(BR$8,LTD_EAFE!$A$1:$E$488,2,FALSE)</f>
        <v>-9.0539500000000004</v>
      </c>
      <c r="BS176" s="439">
        <f>VLOOKUP(BS$8,LTD_EAFE!$A$1:$E$488,2,FALSE)</f>
        <v>-1.5934200000000001</v>
      </c>
      <c r="BT176" s="439">
        <f>VLOOKUP(BT$8,LTD_EAFE!$A$1:$E$488,2,FALSE)</f>
        <v>-1.2074800000000001</v>
      </c>
      <c r="BU176" s="439">
        <f>VLOOKUP(BU$8,LTD_EAFE!$A$1:$E$488,2,FALSE)</f>
        <v>-2.8999100000000002</v>
      </c>
      <c r="BV176" s="439">
        <f>VLOOKUP(BV$8,LTD_EAFE!$A$1:$E$488,2,FALSE)</f>
        <v>6.0080999999999998</v>
      </c>
      <c r="BW176" s="439">
        <f>VLOOKUP(BW$8,LTD_EAFE!$A$1:$E$488,2,FALSE)</f>
        <v>-2.23143</v>
      </c>
      <c r="BX176" s="439">
        <f>VLOOKUP(BX$8,LTD_EAFE!$A$1:$E$488,2,FALSE)</f>
        <v>3.30714</v>
      </c>
      <c r="BY176" s="439">
        <f>VLOOKUP(BY$8,LTD_EAFE!$A$1:$E$488,2,FALSE)</f>
        <v>2.3748999999999998</v>
      </c>
      <c r="BZ176" s="439">
        <f>VLOOKUP(BZ$8,LTD_EAFE!$A$1:$E$488,2,FALSE)</f>
        <v>0</v>
      </c>
      <c r="CA176" s="439">
        <f>VLOOKUP(CA$8,LTD_EAFE!$A$1:$E$488,2,FALSE)</f>
        <v>0</v>
      </c>
      <c r="CB176" s="439">
        <f>VLOOKUP(CB$8,LTD_EAFE!$A$1:$E$488,2,FALSE)</f>
        <v>0</v>
      </c>
      <c r="CC176" s="439">
        <f>VLOOKUP(CC$8,LTD_EAFE!$A$1:$E$488,2,FALSE)</f>
        <v>0</v>
      </c>
      <c r="CD176" s="439">
        <f>VLOOKUP(CD$8,LTD_EAFE!$A$1:$E$488,2,FALSE)</f>
        <v>0</v>
      </c>
      <c r="CE176" s="439">
        <f>VLOOKUP(CE$8,LTD_EAFE!$A$1:$E$488,2,FALSE)</f>
        <v>0</v>
      </c>
      <c r="CF176" s="439">
        <f>VLOOKUP(CF$8,LTD_EAFE!$A$1:$E$488,2,FALSE)</f>
        <v>0</v>
      </c>
      <c r="CG176" s="439">
        <f>VLOOKUP(CG$8,LTD_EAFE!$A$1:$E$488,2,FALSE)</f>
        <v>0</v>
      </c>
      <c r="CH176" s="439">
        <f>VLOOKUP(CH$8,LTD_EAFE!$A$1:$E$488,2,FALSE)</f>
        <v>0</v>
      </c>
      <c r="CI176" s="439">
        <f>VLOOKUP(CI$8,LTD_EAFE!$A$1:$E$488,2,FALSE)</f>
        <v>0</v>
      </c>
      <c r="CJ176" s="439">
        <f>VLOOKUP(CJ$8,LTD_EAFE!$A$1:$E$488,2,FALSE)</f>
        <v>0</v>
      </c>
      <c r="CK176" s="439">
        <f>VLOOKUP(CK$8,LTD_EAFE!$A$1:$E$488,2,FALSE)</f>
        <v>0</v>
      </c>
      <c r="CL176" s="439">
        <f>VLOOKUP(CL$8,LTD_EAFE!$A$1:$E$488,2,FALSE)</f>
        <v>0</v>
      </c>
      <c r="CM176" s="439">
        <f>VLOOKUP(CM$8,LTD_EAFE!$A$1:$E$488,2,FALSE)</f>
        <v>0</v>
      </c>
      <c r="CN176" s="439">
        <f>VLOOKUP(CN$8,LTD_EAFE!$A$1:$E$488,2,FALSE)</f>
        <v>0</v>
      </c>
      <c r="CO176" s="439">
        <f>VLOOKUP(CO$8,LTD_EAFE!$A$1:$E$488,2,FALSE)</f>
        <v>0</v>
      </c>
      <c r="CP176" s="439">
        <f>VLOOKUP(CP$8,LTD_EAFE!$A$1:$E$488,2,FALSE)</f>
        <v>0</v>
      </c>
      <c r="CQ176" s="439">
        <f>VLOOKUP(CQ$8,LTD_EAFE!$A$1:$E$488,2,FALSE)</f>
        <v>0</v>
      </c>
      <c r="CR176" s="439">
        <f>VLOOKUP(CR$8,LTD_EAFE!$A$1:$E$488,2,FALSE)</f>
        <v>0</v>
      </c>
      <c r="CS176" s="439">
        <f>VLOOKUP(CS$8,LTD_EAFE!$A$1:$E$488,2,FALSE)</f>
        <v>0</v>
      </c>
      <c r="CT176" s="439">
        <f>VLOOKUP(CT$8,LTD_EAFE!$A$1:$E$488,2,FALSE)</f>
        <v>0</v>
      </c>
      <c r="CU176" s="439">
        <f>VLOOKUP(CU$8,LTD_EAFE!$A$1:$E$488,2,FALSE)</f>
        <v>0</v>
      </c>
      <c r="CV176" s="439">
        <f>VLOOKUP(CV$8,LTD_EAFE!$A$1:$E$488,2,FALSE)</f>
        <v>0</v>
      </c>
      <c r="CW176" s="439">
        <f>VLOOKUP(CW$8,LTD_EAFE!$A$1:$E$488,2,FALSE)</f>
        <v>0</v>
      </c>
      <c r="CX176" s="439">
        <f>VLOOKUP(CX$8,LTD_EAFE!$A$1:$E$488,2,FALSE)</f>
        <v>0</v>
      </c>
      <c r="CY176" s="439">
        <f>VLOOKUP(CY$8,LTD_EAFE!$A$1:$E$488,2,FALSE)</f>
        <v>0</v>
      </c>
      <c r="CZ176" s="439">
        <f>VLOOKUP(CZ$8,LTD_EAFE!$A$1:$E$488,2,FALSE)</f>
        <v>0</v>
      </c>
      <c r="DA176" s="439">
        <f>VLOOKUP(DA$8,LTD_EAFE!$A$1:$E$488,2,FALSE)</f>
        <v>0</v>
      </c>
      <c r="DB176" s="439">
        <f>VLOOKUP(DB$8,LTD_EAFE!$A$1:$E$488,2,FALSE)</f>
        <v>0</v>
      </c>
      <c r="DC176" s="439">
        <f>VLOOKUP(DC$8,LTD_EAFE!$A$1:$E$488,2,FALSE)</f>
        <v>0</v>
      </c>
      <c r="DD176" s="439">
        <f>VLOOKUP(DD$8,LTD_EAFE!$A$1:$E$488,2,FALSE)</f>
        <v>0</v>
      </c>
      <c r="DE176" s="439">
        <f>VLOOKUP(DE$8,LTD_EAFE!$A$1:$E$488,2,FALSE)</f>
        <v>0</v>
      </c>
      <c r="DF176" s="439">
        <f>VLOOKUP(DF$8,LTD_EAFE!$A$1:$E$488,2,FALSE)</f>
        <v>0</v>
      </c>
      <c r="DG176" s="439">
        <f>VLOOKUP(DG$8,LTD_EAFE!$A$1:$E$488,2,FALSE)</f>
        <v>0</v>
      </c>
      <c r="DH176" s="439">
        <f>VLOOKUP(DH$8,LTD_EAFE!$A$1:$E$488,2,FALSE)</f>
        <v>0</v>
      </c>
      <c r="DI176" s="439">
        <f>VLOOKUP(DI$8,LTD_EAFE!$A$1:$E$488,2,FALSE)</f>
        <v>0</v>
      </c>
      <c r="DJ176" s="439">
        <f>VLOOKUP(DJ$8,LTD_EAFE!$A$1:$E$488,2,FALSE)</f>
        <v>0</v>
      </c>
      <c r="DK176" s="439">
        <f>VLOOKUP(DK$8,LTD_EAFE!$A$1:$E$488,2,FALSE)</f>
        <v>0</v>
      </c>
      <c r="DL176" s="439">
        <f>VLOOKUP(DL$8,LTD_EAFE!$A$1:$E$488,2,FALSE)</f>
        <v>0</v>
      </c>
      <c r="DM176" s="439">
        <f>VLOOKUP(DM$8,LTD_EAFE!$A$1:$E$488,2,FALSE)</f>
        <v>0</v>
      </c>
      <c r="DN176" s="439">
        <f>VLOOKUP(DN$8,LTD_EAFE!$A$1:$E$488,2,FALSE)</f>
        <v>0</v>
      </c>
      <c r="DO176" s="439">
        <f>VLOOKUP(DO$8,LTD_EAFE!$A$1:$E$488,2,FALSE)</f>
        <v>0</v>
      </c>
      <c r="DP176" s="439">
        <f>VLOOKUP(DP$8,LTD_EAFE!$A$1:$E$488,2,FALSE)</f>
        <v>0</v>
      </c>
      <c r="DQ176" s="439">
        <f>VLOOKUP(DQ$8,LTD_EAFE!$A$1:$E$488,2,FALSE)</f>
        <v>0</v>
      </c>
      <c r="DR176" s="439">
        <f>VLOOKUP(DR$8,LTD_EAFE!$A$1:$E$488,2,FALSE)</f>
        <v>0</v>
      </c>
      <c r="DS176" s="439">
        <f>VLOOKUP(DS$8,LTD_EAFE!$A$1:$E$488,2,FALSE)</f>
        <v>0</v>
      </c>
      <c r="DT176" s="439">
        <f>VLOOKUP(DT$8,LTD_EAFE!$A$1:$E$488,2,FALSE)</f>
        <v>0</v>
      </c>
      <c r="DU176" s="439">
        <f>VLOOKUP(DU$8,LTD_EAFE!$A$1:$E$488,2,FALSE)</f>
        <v>0</v>
      </c>
      <c r="DV176" s="439">
        <f>VLOOKUP(DV$8,LTD_EAFE!$A$1:$E$488,2,FALSE)</f>
        <v>0</v>
      </c>
      <c r="DW176" s="439">
        <f>VLOOKUP(DW$8,LTD_EAFE!$A$1:$E$488,2,FALSE)</f>
        <v>0</v>
      </c>
      <c r="DX176" s="439">
        <f>VLOOKUP(DX$8,LTD_EAFE!$A$1:$E$488,2,FALSE)</f>
        <v>0</v>
      </c>
      <c r="DY176" s="439">
        <f>VLOOKUP(DY$8,LTD_EAFE!$A$1:$E$488,2,FALSE)</f>
        <v>0</v>
      </c>
      <c r="DZ176" s="439">
        <f>VLOOKUP(DZ$8,LTD_EAFE!$A$1:$E$488,2,FALSE)</f>
        <v>0</v>
      </c>
      <c r="EA176" s="439">
        <f>VLOOKUP(EA$8,LTD_EAFE!$A$1:$E$488,2,FALSE)</f>
        <v>0</v>
      </c>
      <c r="EB176" s="439">
        <f>VLOOKUP(EB$8,LTD_EAFE!$A$1:$E$488,2,FALSE)</f>
        <v>0</v>
      </c>
      <c r="EC176" s="439">
        <f>VLOOKUP(EC$8,LTD_EAFE!$A$1:$E$488,2,FALSE)</f>
        <v>0</v>
      </c>
      <c r="ED176" s="439">
        <f>VLOOKUP(ED$8,LTD_EAFE!$A$1:$E$488,2,FALSE)</f>
        <v>0</v>
      </c>
      <c r="EE176" s="439">
        <f>VLOOKUP(EE$8,LTD_EAFE!$A$1:$E$488,2,FALSE)</f>
        <v>0</v>
      </c>
      <c r="EF176" s="439">
        <f>VLOOKUP(EF$8,LTD_EAFE!$A$1:$E$488,2,FALSE)</f>
        <v>0</v>
      </c>
      <c r="EG176" s="439">
        <f>VLOOKUP(EG$8,LTD_EAFE!$A$1:$E$488,2,FALSE)</f>
        <v>0</v>
      </c>
      <c r="EH176" s="439">
        <f>VLOOKUP(EH$8,LTD_EAFE!$A$1:$E$488,2,FALSE)</f>
        <v>0</v>
      </c>
      <c r="EI176" s="439">
        <f>VLOOKUP(EI$8,LTD_EAFE!$A$1:$E$488,2,FALSE)</f>
        <v>0</v>
      </c>
      <c r="EJ176" s="439">
        <f>VLOOKUP(EJ$8,LTD_EAFE!$A$1:$E$488,2,FALSE)</f>
        <v>0</v>
      </c>
      <c r="EK176" s="439">
        <f>VLOOKUP(EK$8,LTD_EAFE!$A$1:$E$488,2,FALSE)</f>
        <v>0</v>
      </c>
      <c r="EL176" s="439">
        <f>VLOOKUP(EL$8,LTD_EAFE!$A$1:$E$488,2,FALSE)</f>
        <v>0</v>
      </c>
      <c r="EM176" s="439">
        <f>VLOOKUP(EM$8,LTD_EAFE!$A$1:$E$488,2,FALSE)</f>
        <v>0</v>
      </c>
      <c r="EN176" s="439">
        <f>VLOOKUP(EN$8,LTD_EAFE!$A$1:$E$488,2,FALSE)</f>
        <v>0</v>
      </c>
      <c r="EO176" s="439">
        <f>VLOOKUP(EO$8,LTD_EAFE!$A$1:$E$488,2,FALSE)</f>
        <v>0</v>
      </c>
      <c r="EP176" s="439">
        <f>VLOOKUP(EP$8,LTD_EAFE!$A$1:$E$488,2,FALSE)</f>
        <v>0</v>
      </c>
      <c r="EQ176" s="439">
        <f>VLOOKUP(EQ$8,LTD_EAFE!$A$1:$E$488,2,FALSE)</f>
        <v>0</v>
      </c>
      <c r="ER176" s="439">
        <f>VLOOKUP(ER$8,LTD_EAFE!$A$1:$E$488,2,FALSE)</f>
        <v>0</v>
      </c>
      <c r="ES176" s="439">
        <f>VLOOKUP(ES$8,LTD_EAFE!$A$1:$E$488,2,FALSE)</f>
        <v>0</v>
      </c>
      <c r="ET176" s="439">
        <f>VLOOKUP(ET$8,LTD_EAFE!$A$1:$E$488,2,FALSE)</f>
        <v>0</v>
      </c>
      <c r="EU176" s="439">
        <f>VLOOKUP(EU$8,LTD_EAFE!$A$1:$E$488,2,FALSE)</f>
        <v>0</v>
      </c>
      <c r="EV176" s="439">
        <f>VLOOKUP(EV$8,LTD_EAFE!$A$1:$E$488,2,FALSE)</f>
        <v>0</v>
      </c>
      <c r="EW176" s="439">
        <f>VLOOKUP(EW$8,LTD_EAFE!$A$1:$E$488,2,FALSE)</f>
        <v>0</v>
      </c>
      <c r="EY176" s="580" t="s">
        <v>308</v>
      </c>
      <c r="EZ176" s="789">
        <v>-19.840499999999999</v>
      </c>
      <c r="FA176" s="789">
        <v>-43.639000000000003</v>
      </c>
      <c r="FB176" s="789">
        <v>-8.2395999999999994</v>
      </c>
      <c r="FC176" s="789" t="e">
        <v>#VALUE!</v>
      </c>
      <c r="FD176" s="789">
        <v>-3.3224999999999998</v>
      </c>
      <c r="FF176" s="441">
        <f>IF(G176="---","-",ABS(EZ176-G176))</f>
        <v>18.642552255811122</v>
      </c>
      <c r="FG176" s="441">
        <f>IF(I176="---","-",ABS(FA176-I176))</f>
        <v>60.053925182544134</v>
      </c>
      <c r="FH176" s="441">
        <f>IF(K176="---","-",ABS(FB176-K176))</f>
        <v>19.659290109838096</v>
      </c>
      <c r="FI176" s="441" t="str">
        <f>IF(M176="---","-",ABS(FC176-M176))</f>
        <v>-</v>
      </c>
      <c r="FJ176" s="441">
        <f>IF(Q176="---","-",ABS(FD176-Q176))</f>
        <v>11.011497439257905</v>
      </c>
    </row>
    <row r="177" spans="1:169" s="1228" customFormat="1" x14ac:dyDescent="0.2">
      <c r="A177" s="1216" t="s">
        <v>310</v>
      </c>
      <c r="B177" s="1024"/>
      <c r="C177" s="1217"/>
      <c r="D177" s="1218"/>
      <c r="E177" s="1219"/>
      <c r="F177" s="1220">
        <f>AH177</f>
        <v>-0.15382000000000001</v>
      </c>
      <c r="G177" s="1023">
        <f t="array" ref="G177">IF($AJ177=0,"---",(PRODUCT($AH177:AJ177/100+1)-1)*100)</f>
        <v>-1.1723000900797698</v>
      </c>
      <c r="H177" s="432">
        <f t="array" ref="H177">IF($AS177=0,"---",(PRODUCT(AH177:AN177/100+1)-1)*100)</f>
        <v>6.8630926916631196</v>
      </c>
      <c r="I177" s="1023">
        <f t="array" ref="I177">IF(AS177=0,"---",(GEOMEAN($AH177:AS177/100+1)^12-1)*100)</f>
        <v>16.498549891840586</v>
      </c>
      <c r="J177" s="1023">
        <f t="array" ref="J177">IF(BE177=0,"---",(GEOMEAN($AH177:BE177/100+1)^12-1)*100)</f>
        <v>17.829060722492596</v>
      </c>
      <c r="K177" s="1023">
        <f t="array" ref="K177">IF(BQ177=0,"---",(GEOMEAN($AH177:BQ177/100+1)^12-1)*100)</f>
        <v>11.731996088632911</v>
      </c>
      <c r="L177" s="1023">
        <f t="array" ref="L177">IF(CC177=0,"---",(GEOMEAN($AH177:CC177/100+1)^12-1)*100)</f>
        <v>11.422121681176023</v>
      </c>
      <c r="M177" s="1023">
        <f t="array" ref="M177">IF(CO177=0,"---",(GEOMEAN($AH177:CO177/100+1)^12-1)*100)</f>
        <v>8.6138661595746022</v>
      </c>
      <c r="N177" s="1023">
        <f t="array" ref="N177">IF(DM177=0,"---",(GEOMEAN($AH177:DM177/100+1)^12-1)*100)</f>
        <v>1.5325955893777943</v>
      </c>
      <c r="O177" s="1023">
        <f t="array" ref="O177">IF(EK177=0,"---",(GEOMEAN($AH177:EK177/100+1)^12-1)*100)</f>
        <v>5.7536841180813036</v>
      </c>
      <c r="P177" s="1023">
        <f t="array" ref="P177">IF(EW177=0,"---",(GEOMEAN($AH177:EW177/100+1)^12-1)*100)</f>
        <v>7.4583099009878806</v>
      </c>
      <c r="Q177" s="1221" t="s">
        <v>34</v>
      </c>
      <c r="R177" s="1218"/>
      <c r="S177" s="1218"/>
      <c r="T177" s="1218"/>
      <c r="U177" s="1218"/>
      <c r="V177" s="1218"/>
      <c r="W177" s="1218"/>
      <c r="X177" s="1218"/>
      <c r="Y177" s="1218"/>
      <c r="Z177" s="1218"/>
      <c r="AA177" s="1218"/>
      <c r="AB177" s="1218"/>
      <c r="AC177" s="1222"/>
      <c r="AD177" s="1223"/>
      <c r="AE177" s="1028"/>
      <c r="AF177" s="1027"/>
      <c r="AG177" s="1224"/>
      <c r="AH177" s="1025">
        <f t="shared" ref="AH177:CS177" si="163">VLOOKUP(AH$8,Index,27,FALSE)</f>
        <v>-0.15382000000000001</v>
      </c>
      <c r="AI177" s="1025">
        <f t="shared" si="163"/>
        <v>-1.96529</v>
      </c>
      <c r="AJ177" s="1025">
        <f t="shared" si="163"/>
        <v>0.96418999999999999</v>
      </c>
      <c r="AK177" s="1025">
        <f t="shared" si="163"/>
        <v>1.6240600000000001</v>
      </c>
      <c r="AL177" s="1025">
        <f t="shared" si="163"/>
        <v>1.4456</v>
      </c>
      <c r="AM177" s="1025">
        <f t="shared" si="163"/>
        <v>-0.63736000000000004</v>
      </c>
      <c r="AN177" s="1025">
        <f t="shared" si="163"/>
        <v>5.5592199999999998</v>
      </c>
      <c r="AO177" s="1025">
        <f t="shared" si="163"/>
        <v>-4.0265899999999997</v>
      </c>
      <c r="AP177" s="1025">
        <f t="shared" si="163"/>
        <v>1.51197</v>
      </c>
      <c r="AQ177" s="1025">
        <f t="shared" si="163"/>
        <v>0.78278000000000003</v>
      </c>
      <c r="AR177" s="1025">
        <f t="shared" si="163"/>
        <v>3.3641399999999999</v>
      </c>
      <c r="AS177" s="1025">
        <f t="shared" si="163"/>
        <v>7.4158499999999998</v>
      </c>
      <c r="AT177" s="1025">
        <f t="shared" si="163"/>
        <v>-1.31199</v>
      </c>
      <c r="AU177" s="1025">
        <f t="shared" si="163"/>
        <v>5.2844699999999998</v>
      </c>
      <c r="AV177" s="1025">
        <f t="shared" si="163"/>
        <v>-3.5293999999999999</v>
      </c>
      <c r="AW177" s="1025">
        <f t="shared" si="163"/>
        <v>-2.3056000000000001</v>
      </c>
      <c r="AX177" s="1025">
        <f t="shared" si="163"/>
        <v>5.3304299999999998</v>
      </c>
      <c r="AY177" s="1025">
        <f t="shared" si="163"/>
        <v>0.87558999999999998</v>
      </c>
      <c r="AZ177" s="1025">
        <f t="shared" si="163"/>
        <v>-0.92347999999999997</v>
      </c>
      <c r="BA177" s="1025">
        <f t="shared" si="163"/>
        <v>5.2924600000000002</v>
      </c>
      <c r="BB177" s="1025">
        <f t="shared" si="163"/>
        <v>3.2118099999999998</v>
      </c>
      <c r="BC177" s="1025">
        <f t="shared" si="163"/>
        <v>2.4261200000000001</v>
      </c>
      <c r="BD177" s="1025">
        <f t="shared" si="163"/>
        <v>0.84014999999999995</v>
      </c>
      <c r="BE177" s="1025">
        <f t="shared" si="163"/>
        <v>2.9933999999999998</v>
      </c>
      <c r="BF177" s="1025">
        <f t="shared" si="163"/>
        <v>2.6962700000000002</v>
      </c>
      <c r="BG177" s="1025">
        <f t="shared" si="163"/>
        <v>1.14628</v>
      </c>
      <c r="BH177" s="1025">
        <f t="shared" si="163"/>
        <v>7.0495999999999999</v>
      </c>
      <c r="BI177" s="1025">
        <f t="shared" si="163"/>
        <v>-11.35318</v>
      </c>
      <c r="BJ177" s="1025">
        <f t="shared" si="163"/>
        <v>-1.8419700000000001</v>
      </c>
      <c r="BK177" s="1025">
        <f t="shared" si="163"/>
        <v>-0.40425</v>
      </c>
      <c r="BL177" s="1025">
        <f t="shared" si="163"/>
        <v>5.7686799999999998</v>
      </c>
      <c r="BM177" s="1025">
        <f t="shared" si="163"/>
        <v>5.3530699999999998</v>
      </c>
      <c r="BN177" s="1025">
        <f t="shared" si="163"/>
        <v>-0.93528</v>
      </c>
      <c r="BO177" s="1025">
        <f t="shared" si="163"/>
        <v>-4.8250500000000001</v>
      </c>
      <c r="BP177" s="1025">
        <f t="shared" si="163"/>
        <v>9.6472999999999995</v>
      </c>
      <c r="BQ177" s="1025">
        <f t="shared" si="163"/>
        <v>-9.4966799999999996</v>
      </c>
      <c r="BR177" s="1025">
        <f t="shared" si="163"/>
        <v>-9.0176800000000004</v>
      </c>
      <c r="BS177" s="1025">
        <f t="shared" si="163"/>
        <v>-1.57284</v>
      </c>
      <c r="BT177" s="1025">
        <f t="shared" si="163"/>
        <v>-1.22756</v>
      </c>
      <c r="BU177" s="1025">
        <f t="shared" si="163"/>
        <v>-2.8062999999999998</v>
      </c>
      <c r="BV177" s="1025">
        <f t="shared" si="163"/>
        <v>6.0763299999999996</v>
      </c>
      <c r="BW177" s="1025">
        <f t="shared" si="163"/>
        <v>-2.19591</v>
      </c>
      <c r="BX177" s="1025">
        <f t="shared" si="163"/>
        <v>3.3202799999999999</v>
      </c>
      <c r="BY177" s="1025">
        <f t="shared" si="163"/>
        <v>2.3729399999999998</v>
      </c>
      <c r="BZ177" s="1025">
        <f t="shared" si="163"/>
        <v>8.1063799999999997</v>
      </c>
      <c r="CA177" s="1025">
        <f t="shared" si="163"/>
        <v>-4.7890300000000003</v>
      </c>
      <c r="CB177" s="1025">
        <f t="shared" si="163"/>
        <v>3.6179199999999998</v>
      </c>
      <c r="CC177" s="1025">
        <f t="shared" si="163"/>
        <v>9.8215900000000005</v>
      </c>
      <c r="CD177" s="1025">
        <f t="shared" si="163"/>
        <v>-3.0911</v>
      </c>
      <c r="CE177" s="1025">
        <f t="shared" si="163"/>
        <v>9.4924300000000006</v>
      </c>
      <c r="CF177" s="1025">
        <f t="shared" si="163"/>
        <v>-0.97284000000000004</v>
      </c>
      <c r="CG177" s="1025">
        <f t="shared" si="163"/>
        <v>-11.3672</v>
      </c>
      <c r="CH177" s="1025">
        <f t="shared" si="163"/>
        <v>-1.72678</v>
      </c>
      <c r="CI177" s="1025">
        <f t="shared" si="163"/>
        <v>6.3056200000000002</v>
      </c>
      <c r="CJ177" s="1025">
        <f t="shared" si="163"/>
        <v>-0.67569000000000001</v>
      </c>
      <c r="CK177" s="1025">
        <f t="shared" si="163"/>
        <v>-4.3994499999999999</v>
      </c>
      <c r="CL177" s="1025">
        <f t="shared" si="163"/>
        <v>1.4532499999999999</v>
      </c>
      <c r="CM177" s="1025">
        <f t="shared" si="163"/>
        <v>2.02684</v>
      </c>
      <c r="CN177" s="1025">
        <f t="shared" si="163"/>
        <v>-1.2449699999999999</v>
      </c>
      <c r="CO177" s="1025">
        <f t="shared" si="163"/>
        <v>3.8477600000000001</v>
      </c>
      <c r="CP177" s="1025">
        <f t="shared" si="163"/>
        <v>5.45146</v>
      </c>
      <c r="CQ177" s="1025">
        <f t="shared" si="163"/>
        <v>9.1425999999999998</v>
      </c>
      <c r="CR177" s="1025">
        <f t="shared" si="163"/>
        <v>-0.53951000000000005</v>
      </c>
      <c r="CS177" s="1025">
        <f t="shared" si="163"/>
        <v>12.012890000000001</v>
      </c>
      <c r="CT177" s="1025">
        <f t="shared" ref="CT177:EW177" si="164">VLOOKUP(CT$8,Index,27,FALSE)</f>
        <v>12.96162</v>
      </c>
      <c r="CU177" s="1025">
        <f t="shared" si="164"/>
        <v>6.3874500000000003</v>
      </c>
      <c r="CV177" s="1025">
        <f t="shared" si="164"/>
        <v>-10.227180000000001</v>
      </c>
      <c r="CW177" s="1025">
        <f t="shared" si="164"/>
        <v>-9.7976700000000001</v>
      </c>
      <c r="CX177" s="1025">
        <f t="shared" si="164"/>
        <v>6.02318</v>
      </c>
      <c r="CY177" s="1025">
        <f t="shared" si="164"/>
        <v>-5.3582200000000002</v>
      </c>
      <c r="CZ177" s="1025">
        <f t="shared" si="164"/>
        <v>-20.173539999999999</v>
      </c>
      <c r="DA177" s="1025">
        <f t="shared" si="164"/>
        <v>-14.424379999999999</v>
      </c>
      <c r="DB177" s="1025">
        <f t="shared" si="164"/>
        <v>-4.0261199999999997</v>
      </c>
      <c r="DC177" s="1025">
        <f t="shared" si="164"/>
        <v>-3.2012900000000002</v>
      </c>
      <c r="DD177" s="1025">
        <f t="shared" si="164"/>
        <v>-8.1584000000000003</v>
      </c>
      <c r="DE177" s="1025">
        <f t="shared" si="164"/>
        <v>1.1638599999999999</v>
      </c>
      <c r="DF177" s="1025">
        <f t="shared" si="164"/>
        <v>5.5562699999999996</v>
      </c>
      <c r="DG177" s="1025">
        <f t="shared" si="164"/>
        <v>-1.0041100000000001</v>
      </c>
      <c r="DH177" s="1025">
        <f t="shared" si="164"/>
        <v>1.4636800000000001</v>
      </c>
      <c r="DI177" s="1025">
        <f t="shared" si="164"/>
        <v>-9.2280300000000004</v>
      </c>
      <c r="DJ177" s="1025">
        <f t="shared" si="164"/>
        <v>-2.2450100000000002</v>
      </c>
      <c r="DK177" s="1025">
        <f t="shared" si="164"/>
        <v>-3.26248</v>
      </c>
      <c r="DL177" s="1025">
        <f t="shared" si="164"/>
        <v>3.94028</v>
      </c>
      <c r="DM177" s="1025">
        <f t="shared" si="164"/>
        <v>5.3690800000000003</v>
      </c>
      <c r="DN177" s="1025">
        <f t="shared" si="164"/>
        <v>-1.53881</v>
      </c>
      <c r="DO177" s="1025">
        <f t="shared" si="164"/>
        <v>-1.46204</v>
      </c>
      <c r="DP177" s="1025">
        <f t="shared" si="164"/>
        <v>0.15429000000000001</v>
      </c>
      <c r="DQ177" s="1025">
        <f t="shared" si="164"/>
        <v>1.8876599999999999</v>
      </c>
      <c r="DR177" s="1025">
        <f t="shared" si="164"/>
        <v>4.5322100000000001</v>
      </c>
      <c r="DS177" s="1025">
        <f t="shared" si="164"/>
        <v>2.5963599999999998</v>
      </c>
      <c r="DT177" s="1025">
        <f t="shared" si="164"/>
        <v>0.82</v>
      </c>
      <c r="DU177" s="1025">
        <f t="shared" si="164"/>
        <v>0.68433999999999995</v>
      </c>
      <c r="DV177" s="1025">
        <f t="shared" si="164"/>
        <v>3.1453899999999999</v>
      </c>
      <c r="DW177" s="1025">
        <f t="shared" si="164"/>
        <v>3.0162599999999999</v>
      </c>
      <c r="DX177" s="1025">
        <f t="shared" si="164"/>
        <v>3.8983099999999999</v>
      </c>
      <c r="DY177" s="1025">
        <f t="shared" si="164"/>
        <v>0.17401</v>
      </c>
      <c r="DZ177" s="1025">
        <f t="shared" si="164"/>
        <v>2.77685</v>
      </c>
      <c r="EA177" s="1025">
        <f t="shared" si="164"/>
        <v>1.00136</v>
      </c>
      <c r="EB177" s="1025">
        <f t="shared" si="164"/>
        <v>3.6659999999999998E-2</v>
      </c>
      <c r="EC177" s="1025">
        <f t="shared" si="164"/>
        <v>-3.7631600000000001</v>
      </c>
      <c r="ED177" s="1025">
        <f t="shared" si="164"/>
        <v>4.8498999999999999</v>
      </c>
      <c r="EE177" s="1025">
        <f t="shared" si="164"/>
        <v>3.3448799999999999</v>
      </c>
      <c r="EF177" s="1025">
        <f t="shared" si="164"/>
        <v>-0.20482</v>
      </c>
      <c r="EG177" s="1025">
        <f t="shared" si="164"/>
        <v>6.14689</v>
      </c>
      <c r="EH177" s="1025">
        <f t="shared" si="164"/>
        <v>4.6597799999999996</v>
      </c>
      <c r="EI177" s="1025">
        <f t="shared" si="164"/>
        <v>2.4727399999999999</v>
      </c>
      <c r="EJ177" s="1025">
        <f t="shared" si="164"/>
        <v>-2.9136600000000001</v>
      </c>
      <c r="EK177" s="1025">
        <f t="shared" si="164"/>
        <v>4.4740200000000003</v>
      </c>
      <c r="EL177" s="1025">
        <f t="shared" si="164"/>
        <v>2.5557400000000001</v>
      </c>
      <c r="EM177" s="1025">
        <f t="shared" si="164"/>
        <v>3.0719099999999999</v>
      </c>
      <c r="EN177" s="1025">
        <f t="shared" si="164"/>
        <v>1.3669199999999999</v>
      </c>
      <c r="EO177" s="1025">
        <f t="shared" si="164"/>
        <v>0.15298</v>
      </c>
      <c r="EP177" s="1025">
        <f t="shared" si="164"/>
        <v>-2.23834</v>
      </c>
      <c r="EQ177" s="1025">
        <f t="shared" si="164"/>
        <v>-2.4735</v>
      </c>
      <c r="ER177" s="1025">
        <f t="shared" si="164"/>
        <v>4.3437099999999997</v>
      </c>
      <c r="ES177" s="1025">
        <f t="shared" si="164"/>
        <v>-1.82728</v>
      </c>
      <c r="ET177" s="1025">
        <f t="shared" si="164"/>
        <v>4.3916700000000004</v>
      </c>
      <c r="EU177" s="1025">
        <f t="shared" si="164"/>
        <v>6.859</v>
      </c>
      <c r="EV177" s="1025">
        <f t="shared" si="164"/>
        <v>3.4160400000000002</v>
      </c>
      <c r="EW177" s="1025">
        <f t="shared" si="164"/>
        <v>2.62825</v>
      </c>
      <c r="EX177" s="1225"/>
      <c r="EY177" s="1226"/>
      <c r="EZ177" s="1227"/>
      <c r="FA177" s="1227"/>
      <c r="FB177" s="1227"/>
      <c r="FC177" s="1227"/>
      <c r="FD177" s="1227"/>
      <c r="FE177" s="1225"/>
      <c r="FF177" s="1225"/>
      <c r="FG177" s="1225"/>
      <c r="FH177" s="1225"/>
      <c r="FI177" s="1225"/>
      <c r="FJ177" s="1225"/>
      <c r="FK177" s="1225"/>
      <c r="FL177" s="1225"/>
      <c r="FM177" s="1225"/>
    </row>
    <row r="178" spans="1:169" x14ac:dyDescent="0.2">
      <c r="A178" s="17"/>
      <c r="B178" s="15"/>
      <c r="C178" s="15"/>
      <c r="D178" s="16"/>
      <c r="E178" s="526"/>
      <c r="F178" s="16"/>
      <c r="G178" s="16"/>
      <c r="H178" s="16"/>
      <c r="I178" s="16"/>
      <c r="J178" s="16"/>
      <c r="K178" s="16"/>
      <c r="L178" s="16"/>
      <c r="M178" s="16"/>
      <c r="N178" s="16"/>
      <c r="O178" s="16"/>
      <c r="P178" s="16"/>
      <c r="Q178" s="16"/>
      <c r="R178" s="524"/>
      <c r="S178" s="16"/>
      <c r="T178" s="16"/>
      <c r="U178" s="16"/>
      <c r="V178" s="16"/>
      <c r="W178" s="16"/>
      <c r="X178" s="16"/>
      <c r="Y178" s="16"/>
      <c r="Z178" s="16"/>
      <c r="AA178" s="16"/>
      <c r="AB178" s="16"/>
      <c r="AC178" s="18"/>
      <c r="AD178" s="525"/>
      <c r="AF178" s="491"/>
      <c r="EZ178" s="440"/>
      <c r="FA178" s="440"/>
      <c r="FB178" s="440"/>
      <c r="FC178" s="440"/>
      <c r="FD178" s="440"/>
    </row>
    <row r="179" spans="1:169" x14ac:dyDescent="0.2">
      <c r="A179" s="1339" t="s">
        <v>721</v>
      </c>
      <c r="B179" s="1260" t="s">
        <v>320</v>
      </c>
      <c r="C179" s="446">
        <v>40543</v>
      </c>
      <c r="D179" s="447">
        <v>12</v>
      </c>
      <c r="E179" s="448">
        <f>VLOOKUP(AH$8,LTD_EAFE_SC!A70:E497,3,FALSE)/1000000</f>
        <v>9.3718454900000001</v>
      </c>
      <c r="F179" s="449">
        <f>AH179</f>
        <v>-0.18174000000000001</v>
      </c>
      <c r="G179" s="450">
        <f t="array" ref="G179">IF($AJ179=0,"---",(PRODUCT($AH179:AJ179/100+1)-1)*100)</f>
        <v>-1.0871883582644792</v>
      </c>
      <c r="H179" s="450">
        <f t="array" ref="H179">IF($AS179=0,"---",(PRODUCT(AH179:AN179/100+1)-1)*100)</f>
        <v>4.4910710727632086</v>
      </c>
      <c r="I179" s="450">
        <f t="array" ref="I179">IF(AS179=0,"---",(GEOMEAN($AH179:AS179/100+1)^12-1)*100)</f>
        <v>18.62215281875983</v>
      </c>
      <c r="J179" s="450">
        <f t="array" ref="J179">IF(BE179=0,"---",(GEOMEAN($AH179:BE179/100+1)^12-1)*100)</f>
        <v>21.528572088239663</v>
      </c>
      <c r="K179" s="450">
        <f t="array" ref="K179">IF(BQ179=0,"---",(GEOMEAN($AH179:BQ179/100+1)^12-1)*100)</f>
        <v>12.459863957975026</v>
      </c>
      <c r="L179" s="450" t="str">
        <f t="array" ref="L179">IF(CC179=0,"---",(GEOMEAN($AH179:CC179/100+1)^12-1)*100)</f>
        <v>---</v>
      </c>
      <c r="M179" s="450" t="str">
        <f t="array" ref="M179">IF(CO179=0,"---",(GEOMEAN($AH179:CO179/100+1)^12-1)*100)</f>
        <v>---</v>
      </c>
      <c r="N179" s="450" t="str">
        <f t="array" ref="N179">IF(DM179=0,"---",(GEOMEAN($AH179:DM179/100+1)^12-1)*100)</f>
        <v>---</v>
      </c>
      <c r="O179" s="450" t="str">
        <f t="array" ref="O179">IF(EK179=0,"---",(GEOMEAN($AH179:EK179/100+1)^12-1)*100)</f>
        <v>---</v>
      </c>
      <c r="P179" s="450" t="str">
        <f t="array" ref="P179">IF(EW179=0,"---",(GEOMEAN($AH179:EW179/100+1)^12-1)*100)</f>
        <v>---</v>
      </c>
      <c r="Q179" s="451">
        <f t="array" ref="Q179">(GEOMEAN(LTD_EAFE_SC!B$429:B471/100+1)^12-1)*100</f>
        <v>8.6139425561619021</v>
      </c>
      <c r="R179" s="452">
        <f>IF(F179="---","---",(F179-F180)*100)</f>
        <v>-0.49500000000000099</v>
      </c>
      <c r="S179" s="452">
        <f t="shared" ref="S179:AB179" si="165">IF(G179="---","---",(G179-G180)*100)</f>
        <v>-1.1132621750220562</v>
      </c>
      <c r="T179" s="452">
        <f t="shared" si="165"/>
        <v>4.7512778748881601</v>
      </c>
      <c r="U179" s="452">
        <f t="shared" si="165"/>
        <v>-12.243504665914173</v>
      </c>
      <c r="V179" s="452">
        <f t="shared" si="165"/>
        <v>-16.881056502082714</v>
      </c>
      <c r="W179" s="452">
        <f t="shared" si="165"/>
        <v>-27.174186868466066</v>
      </c>
      <c r="X179" s="452" t="str">
        <f t="shared" si="165"/>
        <v>---</v>
      </c>
      <c r="Y179" s="452" t="str">
        <f t="shared" si="165"/>
        <v>---</v>
      </c>
      <c r="Z179" s="452" t="str">
        <f t="shared" si="165"/>
        <v>---</v>
      </c>
      <c r="AA179" s="452" t="str">
        <f t="shared" si="165"/>
        <v>---</v>
      </c>
      <c r="AB179" s="452" t="str">
        <f t="shared" si="165"/>
        <v>---</v>
      </c>
      <c r="AC179" s="453">
        <f>(Q179-AF179)*100</f>
        <v>-27.782009448771205</v>
      </c>
      <c r="AD179" s="554">
        <v>0</v>
      </c>
      <c r="AE179" s="1397"/>
      <c r="AF179" s="473">
        <f t="array" ref="AF179">(GEOMEAN(Index_Returns!V$429:V471/100+1)^12-1)*100</f>
        <v>8.8917626506496141</v>
      </c>
      <c r="AG179" s="382" t="str">
        <f>IF(I179="---","&lt; 1 Year","---")</f>
        <v>---</v>
      </c>
      <c r="AH179" s="439">
        <f>VLOOKUP(AH$8,LTD_EAFE_SC!$A$1:$E$488,2,FALSE)</f>
        <v>-0.18174000000000001</v>
      </c>
      <c r="AI179" s="439">
        <f>VLOOKUP(AI$8,LTD_EAFE_SC!$A$1:$E$488,2,FALSE)</f>
        <v>-2.3801800000000002</v>
      </c>
      <c r="AJ179" s="439">
        <f>VLOOKUP(AJ$8,LTD_EAFE_SC!$A$1:$E$488,2,FALSE)</f>
        <v>1.5089999999999999</v>
      </c>
      <c r="AK179" s="439">
        <f>VLOOKUP(AK$8,LTD_EAFE_SC!$A$1:$E$488,2,FALSE)</f>
        <v>1.4359</v>
      </c>
      <c r="AL179" s="439">
        <f>VLOOKUP(AL$8,LTD_EAFE_SC!$A$1:$E$488,2,FALSE)</f>
        <v>-0.80101999999999995</v>
      </c>
      <c r="AM179" s="439">
        <f>VLOOKUP(AM$8,LTD_EAFE_SC!$A$1:$E$488,2,FALSE)</f>
        <v>-0.50278999999999996</v>
      </c>
      <c r="AN179" s="439">
        <f>VLOOKUP(AN$8,LTD_EAFE_SC!$A$1:$E$488,2,FALSE)</f>
        <v>5.5156400000000003</v>
      </c>
      <c r="AO179" s="439">
        <f>VLOOKUP(AO$8,LTD_EAFE_SC!$A$1:$E$488,2,FALSE)</f>
        <v>-1.5979300000000001</v>
      </c>
      <c r="AP179" s="439">
        <f>VLOOKUP(AP$8,LTD_EAFE_SC!$A$1:$E$488,2,FALSE)</f>
        <v>2.32816</v>
      </c>
      <c r="AQ179" s="439">
        <f>VLOOKUP(AQ$8,LTD_EAFE_SC!$A$1:$E$488,2,FALSE)</f>
        <v>0.40590999999999999</v>
      </c>
      <c r="AR179" s="439">
        <f>VLOOKUP(AR$8,LTD_EAFE_SC!$A$1:$E$488,2,FALSE)</f>
        <v>3.0438200000000002</v>
      </c>
      <c r="AS179" s="439">
        <f>VLOOKUP(AS$8,LTD_EAFE_SC!$A$1:$E$488,2,FALSE)</f>
        <v>8.9697600000000008</v>
      </c>
      <c r="AT179" s="439">
        <f>VLOOKUP(AT$8,LTD_EAFE_SC!$A$1:$E$488,2,FALSE)</f>
        <v>-5.1119999999999999E-2</v>
      </c>
      <c r="AU179" s="439">
        <f>VLOOKUP(AU$8,LTD_EAFE_SC!$A$1:$E$488,2,FALSE)</f>
        <v>6.07118</v>
      </c>
      <c r="AV179" s="439">
        <f>VLOOKUP(AV$8,LTD_EAFE_SC!$A$1:$E$488,2,FALSE)</f>
        <v>-3.6198999999999999</v>
      </c>
      <c r="AW179" s="439">
        <f>VLOOKUP(AW$8,LTD_EAFE_SC!$A$1:$E$488,2,FALSE)</f>
        <v>-2.3402799999999999</v>
      </c>
      <c r="AX179" s="439">
        <f>VLOOKUP(AX$8,LTD_EAFE_SC!$A$1:$E$488,2,FALSE)</f>
        <v>3.5496500000000002</v>
      </c>
      <c r="AY179" s="439">
        <f>VLOOKUP(AY$8,LTD_EAFE_SC!$A$1:$E$488,2,FALSE)</f>
        <v>2.0070999999999999</v>
      </c>
      <c r="AZ179" s="439">
        <f>VLOOKUP(AZ$8,LTD_EAFE_SC!$A$1:$E$488,2,FALSE)</f>
        <v>1.1379600000000001</v>
      </c>
      <c r="BA179" s="439">
        <f>VLOOKUP(BA$8,LTD_EAFE_SC!$A$1:$E$488,2,FALSE)</f>
        <v>5.2457399999999996</v>
      </c>
      <c r="BB179" s="439">
        <f>VLOOKUP(BB$8,LTD_EAFE_SC!$A$1:$E$488,2,FALSE)</f>
        <v>4.1196000000000002</v>
      </c>
      <c r="BC179" s="439">
        <f>VLOOKUP(BC$8,LTD_EAFE_SC!$A$1:$E$488,2,FALSE)</f>
        <v>0.97924</v>
      </c>
      <c r="BD179" s="439">
        <f>VLOOKUP(BD$8,LTD_EAFE_SC!$A$1:$E$488,2,FALSE)</f>
        <v>0.85382999999999998</v>
      </c>
      <c r="BE179" s="439">
        <f>VLOOKUP(BE$8,LTD_EAFE_SC!$A$1:$E$488,2,FALSE)</f>
        <v>4.6545399999999999</v>
      </c>
      <c r="BF179" s="439">
        <f>VLOOKUP(BF$8,LTD_EAFE_SC!$A$1:$E$488,2,FALSE)</f>
        <v>2.6565300000000001</v>
      </c>
      <c r="BG179" s="439">
        <f>VLOOKUP(BG$8,LTD_EAFE_SC!$A$1:$E$488,2,FALSE)</f>
        <v>0.24395</v>
      </c>
      <c r="BH179" s="439">
        <f>VLOOKUP(BH$8,LTD_EAFE_SC!$A$1:$E$488,2,FALSE)</f>
        <v>4.03301</v>
      </c>
      <c r="BI179" s="439">
        <f>VLOOKUP(BI$8,LTD_EAFE_SC!$A$1:$E$488,2,FALSE)</f>
        <v>-11.69589</v>
      </c>
      <c r="BJ179" s="439">
        <f>VLOOKUP(BJ$8,LTD_EAFE_SC!$A$1:$E$488,2,FALSE)</f>
        <v>-0.49271999999999999</v>
      </c>
      <c r="BK179" s="439">
        <f>VLOOKUP(BK$8,LTD_EAFE_SC!$A$1:$E$488,2,FALSE)</f>
        <v>8.8260000000000005E-2</v>
      </c>
      <c r="BL179" s="439">
        <f>VLOOKUP(BL$8,LTD_EAFE_SC!$A$1:$E$488,2,FALSE)</f>
        <v>5.984</v>
      </c>
      <c r="BM179" s="439">
        <f>VLOOKUP(BM$8,LTD_EAFE_SC!$A$1:$E$488,2,FALSE)</f>
        <v>8.2116500000000006</v>
      </c>
      <c r="BN179" s="439">
        <f>VLOOKUP(BN$8,LTD_EAFE_SC!$A$1:$E$488,2,FALSE)</f>
        <v>-1.92181</v>
      </c>
      <c r="BO179" s="439">
        <f>VLOOKUP(BO$8,LTD_EAFE_SC!$A$1:$E$488,2,FALSE)</f>
        <v>-5.4052800000000003</v>
      </c>
      <c r="BP179" s="439">
        <f>VLOOKUP(BP$8,LTD_EAFE_SC!$A$1:$E$488,2,FALSE)</f>
        <v>7.1927199999999996</v>
      </c>
      <c r="BQ179" s="439">
        <f>VLOOKUP(BQ$8,LTD_EAFE_SC!$A$1:$E$488,2,FALSE)</f>
        <v>-10.322789999999999</v>
      </c>
      <c r="BR179" s="439">
        <f>VLOOKUP(BR$8,LTD_EAFE_SC!$A$1:$E$488,2,FALSE)</f>
        <v>-8.2568800000000007</v>
      </c>
      <c r="BS179" s="439">
        <f>VLOOKUP(BS$8,LTD_EAFE_SC!$A$1:$E$488,2,FALSE)</f>
        <v>-1.0485800000000001</v>
      </c>
      <c r="BT179" s="439">
        <f>VLOOKUP(BT$8,LTD_EAFE_SC!$A$1:$E$488,2,FALSE)</f>
        <v>-1.65137</v>
      </c>
      <c r="BU179" s="439">
        <f>VLOOKUP(BU$8,LTD_EAFE_SC!$A$1:$E$488,2,FALSE)</f>
        <v>-2.5579100000000001</v>
      </c>
      <c r="BV179" s="439">
        <f>VLOOKUP(BV$8,LTD_EAFE_SC!$A$1:$E$488,2,FALSE)</f>
        <v>5.30063</v>
      </c>
      <c r="BW179" s="439">
        <f>VLOOKUP(BW$8,LTD_EAFE_SC!$A$1:$E$488,2,FALSE)</f>
        <v>-0.11591</v>
      </c>
      <c r="BX179" s="439">
        <f>VLOOKUP(BX$8,LTD_EAFE_SC!$A$1:$E$488,2,FALSE)</f>
        <v>2.30348</v>
      </c>
      <c r="BY179" s="439">
        <f>VLOOKUP(BY$8,LTD_EAFE_SC!$A$1:$E$488,2,FALSE)</f>
        <v>0.80432999999999999</v>
      </c>
      <c r="BZ179" s="439">
        <f>VLOOKUP(BZ$8,LTD_EAFE_SC!$A$1:$E$488,2,FALSE)</f>
        <v>0</v>
      </c>
      <c r="CA179" s="439">
        <f>VLOOKUP(CA$8,LTD_EAFE_SC!$A$1:$E$488,2,FALSE)</f>
        <v>0</v>
      </c>
      <c r="CB179" s="439">
        <f>VLOOKUP(CB$8,LTD_EAFE_SC!$A$1:$E$488,2,FALSE)</f>
        <v>0</v>
      </c>
      <c r="CC179" s="439">
        <f>VLOOKUP(CC$8,LTD_EAFE_SC!$A$1:$E$488,2,FALSE)</f>
        <v>0</v>
      </c>
      <c r="CD179" s="439">
        <f>VLOOKUP(CD$8,LTD_EAFE_SC!$A$1:$E$488,2,FALSE)</f>
        <v>0</v>
      </c>
      <c r="CE179" s="439">
        <f>VLOOKUP(CE$8,LTD_EAFE_SC!$A$1:$E$488,2,FALSE)</f>
        <v>0</v>
      </c>
      <c r="CF179" s="439">
        <f>VLOOKUP(CF$8,LTD_EAFE_SC!$A$1:$E$488,2,FALSE)</f>
        <v>0</v>
      </c>
      <c r="CG179" s="439">
        <f>VLOOKUP(CG$8,LTD_EAFE_SC!$A$1:$E$488,2,FALSE)</f>
        <v>0</v>
      </c>
      <c r="CH179" s="439">
        <f>VLOOKUP(CH$8,LTD_EAFE_SC!$A$1:$E$488,2,FALSE)</f>
        <v>0</v>
      </c>
      <c r="CI179" s="439">
        <f>VLOOKUP(CI$8,LTD_EAFE_SC!$A$1:$E$488,2,FALSE)</f>
        <v>0</v>
      </c>
      <c r="CJ179" s="439">
        <f>VLOOKUP(CJ$8,LTD_EAFE_SC!$A$1:$E$488,2,FALSE)</f>
        <v>0</v>
      </c>
      <c r="CK179" s="439">
        <f>VLOOKUP(CK$8,LTD_EAFE_SC!$A$1:$E$488,2,FALSE)</f>
        <v>0</v>
      </c>
      <c r="CL179" s="439">
        <f>VLOOKUP(CL$8,LTD_EAFE_SC!$A$1:$E$488,2,FALSE)</f>
        <v>0</v>
      </c>
      <c r="CM179" s="439">
        <f>VLOOKUP(CM$8,LTD_EAFE_SC!$A$1:$E$488,2,FALSE)</f>
        <v>0</v>
      </c>
      <c r="CN179" s="439">
        <f>VLOOKUP(CN$8,LTD_EAFE_SC!$A$1:$E$488,2,FALSE)</f>
        <v>0</v>
      </c>
      <c r="CO179" s="439">
        <f>VLOOKUP(CO$8,LTD_EAFE_SC!$A$1:$E$488,2,FALSE)</f>
        <v>0</v>
      </c>
      <c r="CP179" s="439">
        <f>VLOOKUP(CP$8,LTD_EAFE_SC!$A$1:$E$488,2,FALSE)</f>
        <v>0</v>
      </c>
      <c r="CQ179" s="439">
        <f>VLOOKUP(CQ$8,LTD_EAFE_SC!$A$1:$E$488,2,FALSE)</f>
        <v>0</v>
      </c>
      <c r="CR179" s="439">
        <f>VLOOKUP(CR$8,LTD_EAFE_SC!$A$1:$E$488,2,FALSE)</f>
        <v>0</v>
      </c>
      <c r="CS179" s="439">
        <f>VLOOKUP(CS$8,LTD_EAFE_SC!$A$1:$E$488,2,FALSE)</f>
        <v>0</v>
      </c>
      <c r="CT179" s="439">
        <f>VLOOKUP(CT$8,LTD_EAFE_SC!$A$1:$E$488,2,FALSE)</f>
        <v>0</v>
      </c>
      <c r="CU179" s="439">
        <f>VLOOKUP(CU$8,LTD_EAFE_SC!$A$1:$E$488,2,FALSE)</f>
        <v>0</v>
      </c>
      <c r="CV179" s="439">
        <f>VLOOKUP(CV$8,LTD_EAFE_SC!$A$1:$E$488,2,FALSE)</f>
        <v>0</v>
      </c>
      <c r="CW179" s="439">
        <f>VLOOKUP(CW$8,LTD_EAFE_SC!$A$1:$E$488,2,FALSE)</f>
        <v>0</v>
      </c>
      <c r="CX179" s="439">
        <f>VLOOKUP(CX$8,LTD_EAFE_SC!$A$1:$E$488,2,FALSE)</f>
        <v>0</v>
      </c>
      <c r="CY179" s="439">
        <f>VLOOKUP(CY$8,LTD_EAFE_SC!$A$1:$E$488,2,FALSE)</f>
        <v>0</v>
      </c>
      <c r="CZ179" s="439">
        <f>VLOOKUP(CZ$8,LTD_EAFE_SC!$A$1:$E$488,2,FALSE)</f>
        <v>0</v>
      </c>
      <c r="DA179" s="439">
        <f>VLOOKUP(DA$8,LTD_EAFE_SC!$A$1:$E$488,2,FALSE)</f>
        <v>0</v>
      </c>
      <c r="DB179" s="439">
        <f>VLOOKUP(DB$8,LTD_EAFE_SC!$A$1:$E$488,2,FALSE)</f>
        <v>0</v>
      </c>
      <c r="DC179" s="439">
        <f>VLOOKUP(DC$8,LTD_EAFE_SC!$A$1:$E$488,2,FALSE)</f>
        <v>0</v>
      </c>
      <c r="DD179" s="439">
        <f>VLOOKUP(DD$8,LTD_EAFE_SC!$A$1:$E$488,2,FALSE)</f>
        <v>0</v>
      </c>
      <c r="DE179" s="439">
        <f>VLOOKUP(DE$8,LTD_EAFE_SC!$A$1:$E$488,2,FALSE)</f>
        <v>0</v>
      </c>
      <c r="DF179" s="439">
        <f>VLOOKUP(DF$8,LTD_EAFE_SC!$A$1:$E$488,2,FALSE)</f>
        <v>0</v>
      </c>
      <c r="DG179" s="439">
        <f>VLOOKUP(DG$8,LTD_EAFE_SC!$A$1:$E$488,2,FALSE)</f>
        <v>0</v>
      </c>
      <c r="DH179" s="439">
        <f>VLOOKUP(DH$8,LTD_EAFE_SC!$A$1:$E$488,2,FALSE)</f>
        <v>0</v>
      </c>
      <c r="DI179" s="439">
        <f>VLOOKUP(DI$8,LTD_EAFE_SC!$A$1:$E$488,2,FALSE)</f>
        <v>0</v>
      </c>
      <c r="DJ179" s="439">
        <f>VLOOKUP(DJ$8,LTD_EAFE_SC!$A$1:$E$488,2,FALSE)</f>
        <v>0</v>
      </c>
      <c r="DK179" s="439">
        <f>VLOOKUP(DK$8,LTD_EAFE_SC!$A$1:$E$488,2,FALSE)</f>
        <v>0</v>
      </c>
      <c r="DL179" s="439">
        <f>VLOOKUP(DL$8,LTD_EAFE_SC!$A$1:$E$488,2,FALSE)</f>
        <v>0</v>
      </c>
      <c r="DM179" s="439">
        <f>VLOOKUP(DM$8,LTD_EAFE_SC!$A$1:$E$488,2,FALSE)</f>
        <v>0</v>
      </c>
      <c r="DN179" s="439">
        <f>VLOOKUP(DN$8,LTD_EAFE_SC!$A$1:$E$488,2,FALSE)</f>
        <v>0</v>
      </c>
      <c r="DO179" s="439">
        <f>VLOOKUP(DO$8,LTD_EAFE_SC!$A$1:$E$488,2,FALSE)</f>
        <v>0</v>
      </c>
      <c r="DP179" s="439">
        <f>VLOOKUP(DP$8,LTD_EAFE_SC!$A$1:$E$488,2,FALSE)</f>
        <v>0</v>
      </c>
      <c r="DQ179" s="439">
        <f>VLOOKUP(DQ$8,LTD_EAFE_SC!$A$1:$E$488,2,FALSE)</f>
        <v>0</v>
      </c>
      <c r="DR179" s="439">
        <f>VLOOKUP(DR$8,LTD_EAFE_SC!$A$1:$E$488,2,FALSE)</f>
        <v>0</v>
      </c>
      <c r="DS179" s="439">
        <f>VLOOKUP(DS$8,LTD_EAFE_SC!$A$1:$E$488,2,FALSE)</f>
        <v>0</v>
      </c>
      <c r="DT179" s="439">
        <f>VLOOKUP(DT$8,LTD_EAFE_SC!$A$1:$E$488,2,FALSE)</f>
        <v>0</v>
      </c>
      <c r="DU179" s="439">
        <f>VLOOKUP(DU$8,LTD_EAFE_SC!$A$1:$E$488,2,FALSE)</f>
        <v>0</v>
      </c>
      <c r="DV179" s="439">
        <f>VLOOKUP(DV$8,LTD_EAFE_SC!$A$1:$E$488,2,FALSE)</f>
        <v>0</v>
      </c>
      <c r="DW179" s="439">
        <f>VLOOKUP(DW$8,LTD_EAFE_SC!$A$1:$E$488,2,FALSE)</f>
        <v>0</v>
      </c>
      <c r="DX179" s="439">
        <f>VLOOKUP(DX$8,LTD_EAFE_SC!$A$1:$E$488,2,FALSE)</f>
        <v>0</v>
      </c>
      <c r="DY179" s="439">
        <f>VLOOKUP(DY$8,LTD_EAFE_SC!$A$1:$E$488,2,FALSE)</f>
        <v>0</v>
      </c>
      <c r="DZ179" s="439">
        <f>VLOOKUP(DZ$8,LTD_EAFE_SC!$A$1:$E$488,2,FALSE)</f>
        <v>0</v>
      </c>
      <c r="EA179" s="439">
        <f>VLOOKUP(EA$8,LTD_EAFE_SC!$A$1:$E$488,2,FALSE)</f>
        <v>0</v>
      </c>
      <c r="EB179" s="439">
        <f>VLOOKUP(EB$8,LTD_EAFE_SC!$A$1:$E$488,2,FALSE)</f>
        <v>0</v>
      </c>
      <c r="EC179" s="439">
        <f>VLOOKUP(EC$8,LTD_EAFE_SC!$A$1:$E$488,2,FALSE)</f>
        <v>0</v>
      </c>
      <c r="ED179" s="439">
        <f>VLOOKUP(ED$8,LTD_EAFE_SC!$A$1:$E$488,2,FALSE)</f>
        <v>0</v>
      </c>
      <c r="EE179" s="439">
        <f>VLOOKUP(EE$8,LTD_EAFE_SC!$A$1:$E$488,2,FALSE)</f>
        <v>0</v>
      </c>
      <c r="EF179" s="439">
        <f>VLOOKUP(EF$8,LTD_EAFE_SC!$A$1:$E$488,2,FALSE)</f>
        <v>0</v>
      </c>
      <c r="EG179" s="439">
        <f>VLOOKUP(EG$8,LTD_EAFE_SC!$A$1:$E$488,2,FALSE)</f>
        <v>0</v>
      </c>
      <c r="EH179" s="439">
        <f>VLOOKUP(EH$8,LTD_EAFE_SC!$A$1:$E$488,2,FALSE)</f>
        <v>0</v>
      </c>
      <c r="EI179" s="439">
        <f>VLOOKUP(EI$8,LTD_EAFE_SC!$A$1:$E$488,2,FALSE)</f>
        <v>0</v>
      </c>
      <c r="EJ179" s="439">
        <f>VLOOKUP(EJ$8,LTD_EAFE_SC!$A$1:$E$488,2,FALSE)</f>
        <v>0</v>
      </c>
      <c r="EK179" s="439">
        <f>VLOOKUP(EK$8,LTD_EAFE_SC!$A$1:$E$488,2,FALSE)</f>
        <v>0</v>
      </c>
      <c r="EL179" s="439">
        <f>VLOOKUP(EL$8,LTD_EAFE_SC!$A$1:$E$488,2,FALSE)</f>
        <v>0</v>
      </c>
      <c r="EM179" s="439">
        <f>VLOOKUP(EM$8,LTD_EAFE_SC!$A$1:$E$488,2,FALSE)</f>
        <v>0</v>
      </c>
      <c r="EN179" s="439">
        <f>VLOOKUP(EN$8,LTD_EAFE_SC!$A$1:$E$488,2,FALSE)</f>
        <v>0</v>
      </c>
      <c r="EO179" s="439">
        <f>VLOOKUP(EO$8,LTD_EAFE_SC!$A$1:$E$488,2,FALSE)</f>
        <v>0</v>
      </c>
      <c r="EP179" s="439">
        <f>VLOOKUP(EP$8,LTD_EAFE_SC!$A$1:$E$488,2,FALSE)</f>
        <v>0</v>
      </c>
      <c r="EQ179" s="439">
        <f>VLOOKUP(EQ$8,LTD_EAFE_SC!$A$1:$E$488,2,FALSE)</f>
        <v>0</v>
      </c>
      <c r="ER179" s="439">
        <f>VLOOKUP(ER$8,LTD_EAFE_SC!$A$1:$E$488,2,FALSE)</f>
        <v>0</v>
      </c>
      <c r="ES179" s="439">
        <f>VLOOKUP(ES$8,LTD_EAFE_SC!$A$1:$E$488,2,FALSE)</f>
        <v>0</v>
      </c>
      <c r="ET179" s="439">
        <f>VLOOKUP(ET$8,LTD_EAFE_SC!$A$1:$E$488,2,FALSE)</f>
        <v>0</v>
      </c>
      <c r="EU179" s="439">
        <f>VLOOKUP(EU$8,LTD_EAFE_SC!$A$1:$E$488,2,FALSE)</f>
        <v>0</v>
      </c>
      <c r="EV179" s="439">
        <f>VLOOKUP(EV$8,LTD_EAFE_SC!$A$1:$E$488,2,FALSE)</f>
        <v>0</v>
      </c>
      <c r="EW179" s="439">
        <f>VLOOKUP(EW$8,LTD_EAFE_SC!$A$1:$E$488,2,FALSE)</f>
        <v>0</v>
      </c>
      <c r="EY179" s="580" t="s">
        <v>308</v>
      </c>
      <c r="EZ179" s="789">
        <v>-19.840499999999999</v>
      </c>
      <c r="FA179" s="789">
        <v>-43.639000000000003</v>
      </c>
      <c r="FB179" s="789">
        <v>-8.2395999999999994</v>
      </c>
      <c r="FC179" s="789" t="e">
        <v>#VALUE!</v>
      </c>
      <c r="FD179" s="789">
        <v>-3.3224999999999998</v>
      </c>
      <c r="FF179" s="441">
        <f>IF(G179="---","-",ABS(EZ179-G179))</f>
        <v>18.753311641735518</v>
      </c>
      <c r="FG179" s="441">
        <f>IF(I179="---","-",ABS(FA179-I179))</f>
        <v>62.261152818759832</v>
      </c>
      <c r="FH179" s="441">
        <f>IF(K179="---","-",ABS(FB179-K179))</f>
        <v>20.699463957975027</v>
      </c>
      <c r="FI179" s="441" t="str">
        <f>IF(M179="---","-",ABS(FC179-M179))</f>
        <v>-</v>
      </c>
      <c r="FJ179" s="441">
        <f>IF(Q179="---","-",ABS(FD179-Q179))</f>
        <v>11.936442556161902</v>
      </c>
    </row>
    <row r="180" spans="1:169" s="1228" customFormat="1" x14ac:dyDescent="0.2">
      <c r="A180" s="1340" t="s">
        <v>722</v>
      </c>
      <c r="B180" s="1024"/>
      <c r="C180" s="1217"/>
      <c r="D180" s="1218"/>
      <c r="E180" s="1219"/>
      <c r="F180" s="1220">
        <f>AH180</f>
        <v>-0.17679</v>
      </c>
      <c r="G180" s="1023">
        <f t="array" ref="G180">IF($AJ180=0,"---",(PRODUCT($AH180:AJ180/100+1)-1)*100)</f>
        <v>-1.0760557365142587</v>
      </c>
      <c r="H180" s="432">
        <f t="array" ref="H180">IF($AS180=0,"---",(PRODUCT(AH180:AN180/100+1)-1)*100)</f>
        <v>4.443558294014327</v>
      </c>
      <c r="I180" s="1023">
        <f t="array" ref="I180">IF(AS180=0,"---",(GEOMEAN($AH180:AS180/100+1)^12-1)*100)</f>
        <v>18.744587865418971</v>
      </c>
      <c r="J180" s="1023">
        <f t="array" ref="J180">IF(BE180=0,"---",(GEOMEAN($AH180:BE180/100+1)^12-1)*100)</f>
        <v>21.69738265326049</v>
      </c>
      <c r="K180" s="1023">
        <f t="array" ref="K180">IF(BQ180=0,"---",(GEOMEAN($AH180:BQ180/100+1)^12-1)*100)</f>
        <v>12.731605826659687</v>
      </c>
      <c r="L180" s="1023">
        <f t="array" ref="L180">IF(CC180=0,"---",(GEOMEAN($AH180:CC180/100+1)^12-1)*100)</f>
        <v>13.982570616683887</v>
      </c>
      <c r="M180" s="1023">
        <f t="array" ref="M180">IF(CO180=0,"---",(GEOMEAN($AH180:CO180/100+1)^12-1)*100)</f>
        <v>11.499233067236547</v>
      </c>
      <c r="N180" s="1023">
        <f t="array" ref="N180">IF(DM180=0,"---",(GEOMEAN($AH180:DM180/100+1)^12-1)*100)</f>
        <v>3.2547188769006086</v>
      </c>
      <c r="O180" s="1023">
        <f t="array" ref="O180">IF(EK180=0,"---",(GEOMEAN($AH180:EK180/100+1)^12-1)*100)</f>
        <v>6.6033158091508115</v>
      </c>
      <c r="P180" s="1023">
        <f t="array" ref="P180">IF(EW180=0,"---",(GEOMEAN($AH180:EW180/100+1)^12-1)*100)</f>
        <v>9.2174624210552771</v>
      </c>
      <c r="Q180" s="1221" t="s">
        <v>34</v>
      </c>
      <c r="R180" s="1218"/>
      <c r="S180" s="1218"/>
      <c r="T180" s="1218"/>
      <c r="U180" s="1218"/>
      <c r="V180" s="1218"/>
      <c r="W180" s="1218"/>
      <c r="X180" s="1218"/>
      <c r="Y180" s="1218"/>
      <c r="Z180" s="1218"/>
      <c r="AA180" s="1218"/>
      <c r="AB180" s="1218"/>
      <c r="AC180" s="1222"/>
      <c r="AD180" s="1223"/>
      <c r="AE180" s="1028"/>
      <c r="AF180" s="1027"/>
      <c r="AG180" s="1224"/>
      <c r="AH180" s="1025">
        <f t="shared" ref="AH180:BN180" si="166">VLOOKUP(AH$8,Index,22,FALSE)</f>
        <v>-0.17679</v>
      </c>
      <c r="AI180" s="1025">
        <f t="shared" si="166"/>
        <v>-2.3511199999999999</v>
      </c>
      <c r="AJ180" s="1025">
        <f t="shared" si="166"/>
        <v>1.4851799999999999</v>
      </c>
      <c r="AK180" s="1025">
        <f t="shared" si="166"/>
        <v>1.39974</v>
      </c>
      <c r="AL180" s="1025">
        <f t="shared" si="166"/>
        <v>-0.80620999999999998</v>
      </c>
      <c r="AM180" s="1025">
        <f t="shared" si="166"/>
        <v>-0.52510999999999997</v>
      </c>
      <c r="AN180" s="1025">
        <f t="shared" si="166"/>
        <v>5.5225900000000001</v>
      </c>
      <c r="AO180" s="1025">
        <f t="shared" si="166"/>
        <v>-1.53596</v>
      </c>
      <c r="AP180" s="1025">
        <f t="shared" si="166"/>
        <v>2.3560400000000001</v>
      </c>
      <c r="AQ180" s="1025">
        <f t="shared" si="166"/>
        <v>0.44497999999999999</v>
      </c>
      <c r="AR180" s="1025">
        <f t="shared" si="166"/>
        <v>3.0435400000000001</v>
      </c>
      <c r="AS180" s="1025">
        <f t="shared" si="166"/>
        <v>8.9913500000000006</v>
      </c>
      <c r="AT180" s="1025">
        <f t="shared" si="166"/>
        <v>-4.972E-2</v>
      </c>
      <c r="AU180" s="1025">
        <f t="shared" si="166"/>
        <v>6.0822799999999999</v>
      </c>
      <c r="AV180" s="1025">
        <f t="shared" si="166"/>
        <v>-3.6211000000000002</v>
      </c>
      <c r="AW180" s="1025">
        <f t="shared" si="166"/>
        <v>-2.2612199999999998</v>
      </c>
      <c r="AX180" s="1025">
        <f t="shared" si="166"/>
        <v>3.6579700000000002</v>
      </c>
      <c r="AY180" s="1025">
        <f t="shared" si="166"/>
        <v>1.94506</v>
      </c>
      <c r="AZ180" s="1025">
        <f t="shared" si="166"/>
        <v>1.1187</v>
      </c>
      <c r="BA180" s="1025">
        <f t="shared" si="166"/>
        <v>5.23658</v>
      </c>
      <c r="BB180" s="1025">
        <f t="shared" si="166"/>
        <v>4.1478599999999997</v>
      </c>
      <c r="BC180" s="1025">
        <f t="shared" si="166"/>
        <v>0.95799000000000001</v>
      </c>
      <c r="BD180" s="1025">
        <f t="shared" si="166"/>
        <v>0.85699999999999998</v>
      </c>
      <c r="BE180" s="1025">
        <f t="shared" si="166"/>
        <v>4.7149599999999996</v>
      </c>
      <c r="BF180" s="1025">
        <f t="shared" si="166"/>
        <v>2.6830500000000002</v>
      </c>
      <c r="BG180" s="1025">
        <f t="shared" si="166"/>
        <v>0.38668999999999998</v>
      </c>
      <c r="BH180" s="1025">
        <f t="shared" si="166"/>
        <v>4.0833700000000004</v>
      </c>
      <c r="BI180" s="1025">
        <f t="shared" si="166"/>
        <v>-11.68248</v>
      </c>
      <c r="BJ180" s="1025">
        <f t="shared" si="166"/>
        <v>-0.43292999999999998</v>
      </c>
      <c r="BK180" s="1025">
        <f t="shared" si="166"/>
        <v>0.12837000000000001</v>
      </c>
      <c r="BL180" s="1025">
        <f t="shared" si="166"/>
        <v>6.0158500000000004</v>
      </c>
      <c r="BM180" s="1025">
        <f t="shared" si="166"/>
        <v>8.27773</v>
      </c>
      <c r="BN180" s="1025">
        <f t="shared" si="166"/>
        <v>-1.9021699999999999</v>
      </c>
      <c r="BO180" s="1025">
        <f t="shared" ref="BO180:CT180" si="167">VLOOKUP(BO$8,Index,22,FALSE)</f>
        <v>-5.4001400000000004</v>
      </c>
      <c r="BP180" s="1025">
        <f t="shared" si="167"/>
        <v>7.2014899999999997</v>
      </c>
      <c r="BQ180" s="1025">
        <f t="shared" si="167"/>
        <v>-10.331899999999999</v>
      </c>
      <c r="BR180" s="1025">
        <f t="shared" si="167"/>
        <v>-8.2093799999999995</v>
      </c>
      <c r="BS180" s="1025">
        <f t="shared" si="167"/>
        <v>-1.03728</v>
      </c>
      <c r="BT180" s="1025">
        <f t="shared" si="167"/>
        <v>-1.6359999999999999</v>
      </c>
      <c r="BU180" s="1025">
        <f t="shared" si="167"/>
        <v>-2.4700700000000002</v>
      </c>
      <c r="BV180" s="1025">
        <f t="shared" si="167"/>
        <v>5.3152299999999997</v>
      </c>
      <c r="BW180" s="1025">
        <f t="shared" si="167"/>
        <v>-6.2609999999999999E-2</v>
      </c>
      <c r="BX180" s="1025">
        <f t="shared" si="167"/>
        <v>2.2721399999999998</v>
      </c>
      <c r="BY180" s="1025">
        <f t="shared" si="167"/>
        <v>0.79510000000000003</v>
      </c>
      <c r="BZ180" s="1025">
        <f t="shared" si="167"/>
        <v>11.653829999999999</v>
      </c>
      <c r="CA180" s="1025">
        <f t="shared" si="167"/>
        <v>-3.5663299999999998</v>
      </c>
      <c r="CB180" s="1025">
        <f t="shared" si="167"/>
        <v>3.8665799999999999</v>
      </c>
      <c r="CC180" s="1025">
        <f t="shared" si="167"/>
        <v>11.423959999999999</v>
      </c>
      <c r="CD180" s="1025">
        <f t="shared" si="167"/>
        <v>-2.8831500000000001</v>
      </c>
      <c r="CE180" s="1025">
        <f t="shared" si="167"/>
        <v>8.6400699999999997</v>
      </c>
      <c r="CF180" s="1025">
        <f t="shared" si="167"/>
        <v>-0.39402999999999999</v>
      </c>
      <c r="CG180" s="1025">
        <f t="shared" si="167"/>
        <v>-12.37</v>
      </c>
      <c r="CH180" s="1025">
        <f t="shared" si="167"/>
        <v>1.75</v>
      </c>
      <c r="CI180" s="1025">
        <f t="shared" si="167"/>
        <v>7.35</v>
      </c>
      <c r="CJ180" s="1025">
        <f t="shared" si="167"/>
        <v>-1.39</v>
      </c>
      <c r="CK180" s="1025">
        <f t="shared" si="167"/>
        <v>-0.98</v>
      </c>
      <c r="CL180" s="1025">
        <f t="shared" si="167"/>
        <v>0.76</v>
      </c>
      <c r="CM180" s="1025">
        <f t="shared" si="167"/>
        <v>1.2999999999999999E-2</v>
      </c>
      <c r="CN180" s="1025">
        <f t="shared" si="167"/>
        <v>-1.77</v>
      </c>
      <c r="CO180" s="1025">
        <f t="shared" si="167"/>
        <v>5.0058999999999996</v>
      </c>
      <c r="CP180" s="1025">
        <f t="shared" si="167"/>
        <v>8.0949000000000009</v>
      </c>
      <c r="CQ180" s="1025">
        <f t="shared" si="167"/>
        <v>7.6417999999999999</v>
      </c>
      <c r="CR180" s="1025">
        <f t="shared" si="167"/>
        <v>1.9750000000000001</v>
      </c>
      <c r="CS180" s="1025">
        <f t="shared" si="167"/>
        <v>14.2898</v>
      </c>
      <c r="CT180" s="1025">
        <f t="shared" si="167"/>
        <v>15.438700000000001</v>
      </c>
      <c r="CU180" s="1025">
        <f t="shared" ref="CU180:DZ180" si="168">VLOOKUP(CU$8,Index,22,FALSE)</f>
        <v>6.5646000000000004</v>
      </c>
      <c r="CV180" s="1025">
        <f t="shared" si="168"/>
        <v>-9.2462</v>
      </c>
      <c r="CW180" s="1025">
        <f t="shared" si="168"/>
        <v>-6.3952</v>
      </c>
      <c r="CX180" s="1025">
        <f t="shared" si="168"/>
        <v>6.8460999999999999</v>
      </c>
      <c r="CY180" s="1025">
        <f t="shared" si="168"/>
        <v>-4.4138999999999999</v>
      </c>
      <c r="CZ180" s="1025">
        <f t="shared" si="168"/>
        <v>-23.733899999999998</v>
      </c>
      <c r="DA180" s="1025">
        <f t="shared" si="168"/>
        <v>-17.116</v>
      </c>
      <c r="DB180" s="1025">
        <f t="shared" si="168"/>
        <v>-3.8269000000000002</v>
      </c>
      <c r="DC180" s="1025">
        <f t="shared" si="168"/>
        <v>-4.5591999999999997</v>
      </c>
      <c r="DD180" s="1025">
        <f t="shared" si="168"/>
        <v>-8.1744000000000003</v>
      </c>
      <c r="DE180" s="1025">
        <f t="shared" si="168"/>
        <v>1.7644</v>
      </c>
      <c r="DF180" s="1025">
        <f t="shared" si="168"/>
        <v>2.4165999999999999</v>
      </c>
      <c r="DG180" s="1025">
        <f t="shared" si="168"/>
        <v>-0.26540000000000002</v>
      </c>
      <c r="DH180" s="1025">
        <f t="shared" si="168"/>
        <v>4.2618</v>
      </c>
      <c r="DI180" s="1025">
        <f t="shared" si="168"/>
        <v>-9.7558000000000007</v>
      </c>
      <c r="DJ180" s="1025">
        <f t="shared" si="168"/>
        <v>-3.4577</v>
      </c>
      <c r="DK180" s="1025">
        <f t="shared" si="168"/>
        <v>-7.1863999999999999</v>
      </c>
      <c r="DL180" s="1025">
        <f t="shared" si="168"/>
        <v>6.2426000000000004</v>
      </c>
      <c r="DM180" s="1025">
        <f t="shared" si="168"/>
        <v>1.1355</v>
      </c>
      <c r="DN180" s="1025">
        <f t="shared" si="168"/>
        <v>-5.1435000000000004</v>
      </c>
      <c r="DO180" s="1025">
        <f t="shared" si="168"/>
        <v>-0.37959999999999999</v>
      </c>
      <c r="DP180" s="1025">
        <f t="shared" si="168"/>
        <v>-0.1845</v>
      </c>
      <c r="DQ180" s="1025">
        <f t="shared" si="168"/>
        <v>0.76549999999999996</v>
      </c>
      <c r="DR180" s="1025">
        <f t="shared" si="168"/>
        <v>3.7696999999999998</v>
      </c>
      <c r="DS180" s="1025">
        <f t="shared" si="168"/>
        <v>3.2564000000000002</v>
      </c>
      <c r="DT180" s="1025">
        <f t="shared" si="168"/>
        <v>1.6819</v>
      </c>
      <c r="DU180" s="1025">
        <f t="shared" si="168"/>
        <v>2.0939999999999999</v>
      </c>
      <c r="DV180" s="1025">
        <f t="shared" si="168"/>
        <v>3.3431000000000002</v>
      </c>
      <c r="DW180" s="1025">
        <f t="shared" si="168"/>
        <v>4.2994000000000003</v>
      </c>
      <c r="DX180" s="1025">
        <f t="shared" si="168"/>
        <v>3.6726999999999999</v>
      </c>
      <c r="DY180" s="1025">
        <f t="shared" si="168"/>
        <v>0.4199</v>
      </c>
      <c r="DZ180" s="1025">
        <f t="shared" si="168"/>
        <v>2.8111000000000002</v>
      </c>
      <c r="EA180" s="1025">
        <f t="shared" ref="EA180:EW180" si="169">VLOOKUP(EA$8,Index,22,FALSE)</f>
        <v>-2.6958000000000002</v>
      </c>
      <c r="EB180" s="1025">
        <f t="shared" si="169"/>
        <v>-2.161</v>
      </c>
      <c r="EC180" s="1025">
        <f t="shared" si="169"/>
        <v>-5.6856</v>
      </c>
      <c r="ED180" s="1025">
        <f t="shared" si="169"/>
        <v>4.3884999999999996</v>
      </c>
      <c r="EE180" s="1025">
        <f t="shared" si="169"/>
        <v>4.8646000000000003</v>
      </c>
      <c r="EF180" s="1025">
        <f t="shared" si="169"/>
        <v>-1.2132000000000001</v>
      </c>
      <c r="EG180" s="1025">
        <f t="shared" si="169"/>
        <v>6.8301999999999996</v>
      </c>
      <c r="EH180" s="1025">
        <f t="shared" si="169"/>
        <v>8.0044000000000004</v>
      </c>
      <c r="EI180" s="1025">
        <f t="shared" si="169"/>
        <v>3.2292999999999998</v>
      </c>
      <c r="EJ180" s="1025">
        <f t="shared" si="169"/>
        <v>-3.2625999999999999</v>
      </c>
      <c r="EK180" s="1025">
        <f t="shared" si="169"/>
        <v>4.1329000000000002</v>
      </c>
      <c r="EL180" s="1025">
        <f t="shared" si="169"/>
        <v>2.9083999999999999</v>
      </c>
      <c r="EM180" s="1025">
        <f t="shared" si="169"/>
        <v>4.5229999999999997</v>
      </c>
      <c r="EN180" s="1025">
        <f t="shared" si="169"/>
        <v>2.7172000000000001</v>
      </c>
      <c r="EO180" s="1025">
        <f t="shared" si="169"/>
        <v>5.0700000000000002E-2</v>
      </c>
      <c r="EP180" s="1025">
        <f t="shared" si="169"/>
        <v>-2.2988</v>
      </c>
      <c r="EQ180" s="1025">
        <f t="shared" si="169"/>
        <v>-1.5787</v>
      </c>
      <c r="ER180" s="1025">
        <f t="shared" si="169"/>
        <v>4.0274999999999999</v>
      </c>
      <c r="ES180" s="1025">
        <f t="shared" si="169"/>
        <v>1.9782</v>
      </c>
      <c r="ET180" s="1025">
        <f t="shared" si="169"/>
        <v>4.9995000000000003</v>
      </c>
      <c r="EU180" s="1025">
        <f t="shared" si="169"/>
        <v>7.9733000000000001</v>
      </c>
      <c r="EV180" s="1025">
        <f t="shared" si="169"/>
        <v>3.762</v>
      </c>
      <c r="EW180" s="1025">
        <f t="shared" si="169"/>
        <v>2.3934000000000002</v>
      </c>
      <c r="EX180" s="1225"/>
      <c r="EY180" s="1226"/>
      <c r="EZ180" s="1227"/>
      <c r="FA180" s="1227"/>
      <c r="FB180" s="1227"/>
      <c r="FC180" s="1227"/>
      <c r="FD180" s="1227"/>
      <c r="FE180" s="1225"/>
      <c r="FF180" s="1225"/>
      <c r="FG180" s="1225"/>
      <c r="FH180" s="1225"/>
      <c r="FI180" s="1225"/>
      <c r="FJ180" s="1225"/>
      <c r="FK180" s="1225"/>
      <c r="FL180" s="1225"/>
      <c r="FM180" s="1225"/>
    </row>
    <row r="181" spans="1:169" x14ac:dyDescent="0.2">
      <c r="A181" s="17"/>
      <c r="B181" s="15"/>
      <c r="C181" s="15"/>
      <c r="D181" s="16"/>
      <c r="E181" s="526"/>
      <c r="F181" s="16"/>
      <c r="G181" s="16"/>
      <c r="H181" s="16"/>
      <c r="I181" s="16"/>
      <c r="J181" s="16"/>
      <c r="K181" s="16"/>
      <c r="L181" s="16"/>
      <c r="M181" s="16"/>
      <c r="N181" s="16"/>
      <c r="O181" s="16"/>
      <c r="P181" s="16"/>
      <c r="Q181" s="16"/>
      <c r="R181" s="524"/>
      <c r="S181" s="16"/>
      <c r="T181" s="16"/>
      <c r="U181" s="16"/>
      <c r="V181" s="16"/>
      <c r="W181" s="16"/>
      <c r="X181" s="16"/>
      <c r="Y181" s="16"/>
      <c r="Z181" s="16"/>
      <c r="AA181" s="16"/>
      <c r="AB181" s="16"/>
      <c r="AC181" s="18"/>
      <c r="AD181" s="525"/>
      <c r="AF181" s="491"/>
      <c r="EZ181" s="440"/>
      <c r="FA181" s="440"/>
      <c r="FB181" s="440"/>
      <c r="FC181" s="440"/>
      <c r="FD181" s="440"/>
    </row>
    <row r="182" spans="1:169" x14ac:dyDescent="0.2">
      <c r="A182" s="1339" t="s">
        <v>723</v>
      </c>
      <c r="B182" s="1260" t="s">
        <v>320</v>
      </c>
      <c r="C182" s="446">
        <v>40543</v>
      </c>
      <c r="D182" s="447">
        <v>20</v>
      </c>
      <c r="E182" s="448">
        <f>VLOOKUP(AH$8,LTD_EM!A73:E500,3,FALSE)/1000000</f>
        <v>17.09422073</v>
      </c>
      <c r="F182" s="449">
        <f>AH182</f>
        <v>2.2086899999999998</v>
      </c>
      <c r="G182" s="450">
        <f t="array" ref="G182">IF($AJ182=0,"---",(PRODUCT($AH182:AJ182/100+1)-1)*100)</f>
        <v>6.9367281340097842</v>
      </c>
      <c r="H182" s="450">
        <f t="array" ref="H182">IF($AS182=0,"---",(PRODUCT(AH182:AN182/100+1)-1)*100)</f>
        <v>18.123049286228699</v>
      </c>
      <c r="I182" s="450">
        <f t="array" ref="I182">IF(AS182=0,"---",(GEOMEAN($AH182:AS182/100+1)^12-1)*100)</f>
        <v>19.669414231204385</v>
      </c>
      <c r="J182" s="450">
        <f t="array" ref="J182">IF(BE182=0,"---",(GEOMEAN($AH182:BE182/100+1)^12-1)*100)</f>
        <v>9.5748181370178607</v>
      </c>
      <c r="K182" s="450">
        <f t="array" ref="K182">IF(BQ182=0,"---",(GEOMEAN($AH182:BQ182/100+1)^12-1)*100)</f>
        <v>4.0976969851302503</v>
      </c>
      <c r="L182" s="450" t="str">
        <f t="array" ref="L182">IF(CC182=0,"---",(GEOMEAN($AH182:CC182/100+1)^12-1)*100)</f>
        <v>---</v>
      </c>
      <c r="M182" s="450" t="str">
        <f t="array" ref="M182">IF(CO182=0,"---",(GEOMEAN($AH182:CO182/100+1)^12-1)*100)</f>
        <v>---</v>
      </c>
      <c r="N182" s="450" t="str">
        <f t="array" ref="N182">IF(DM182=0,"---",(GEOMEAN($AH182:DM182/100+1)^12-1)*100)</f>
        <v>---</v>
      </c>
      <c r="O182" s="450" t="str">
        <f t="array" ref="O182">IF(EK182=0,"---",(GEOMEAN($AH182:EK182/100+1)^12-1)*100)</f>
        <v>---</v>
      </c>
      <c r="P182" s="450" t="str">
        <f t="array" ref="P182">IF(EW182=0,"---",(GEOMEAN($AH182:EW182/100+1)^12-1)*100)</f>
        <v>---</v>
      </c>
      <c r="Q182" s="1447">
        <f t="array" ref="Q182">(GEOMEAN(LTD_EM!B$429:B471/100+1)^12-1)*100</f>
        <v>0.21836943536357456</v>
      </c>
      <c r="R182" s="452">
        <f>IF(F182="---","---",(F182-F183)*100)</f>
        <v>-4.4830000000000148</v>
      </c>
      <c r="S182" s="452">
        <f t="shared" ref="S182:AB182" si="170">IF(G182="---","---",(G182-G183)*100)</f>
        <v>-6.3218902041839442</v>
      </c>
      <c r="T182" s="452">
        <f t="shared" si="170"/>
        <v>-18.563378696618571</v>
      </c>
      <c r="U182" s="452">
        <f t="shared" si="170"/>
        <v>-38.060947855389315</v>
      </c>
      <c r="V182" s="452">
        <f t="shared" si="170"/>
        <v>-46.78720354529986</v>
      </c>
      <c r="W182" s="452">
        <f t="shared" si="170"/>
        <v>-50.590693116916441</v>
      </c>
      <c r="X182" s="452" t="str">
        <f t="shared" si="170"/>
        <v>---</v>
      </c>
      <c r="Y182" s="452" t="str">
        <f t="shared" si="170"/>
        <v>---</v>
      </c>
      <c r="Z182" s="452" t="str">
        <f t="shared" si="170"/>
        <v>---</v>
      </c>
      <c r="AA182" s="452" t="str">
        <f t="shared" si="170"/>
        <v>---</v>
      </c>
      <c r="AB182" s="452" t="str">
        <f t="shared" si="170"/>
        <v>---</v>
      </c>
      <c r="AC182" s="453">
        <f>(Q182-AF182)*100</f>
        <v>-51.046840091657501</v>
      </c>
      <c r="AD182" s="554">
        <v>0</v>
      </c>
      <c r="AE182" s="1397"/>
      <c r="AF182" s="473">
        <f t="array" ref="AF182">(GEOMEAN(Index_Returns!AL$429:AL471/100+1)^12-1)*100</f>
        <v>0.72883783628014953</v>
      </c>
      <c r="AG182" s="382" t="str">
        <f>IF(I182="---","&lt; 1 Year","---")</f>
        <v>---</v>
      </c>
      <c r="AH182" s="439">
        <f>VLOOKUP(AH$8,LTD_EM!$A$1:$E$488,2,FALSE)</f>
        <v>2.2086899999999998</v>
      </c>
      <c r="AI182" s="439">
        <f>VLOOKUP(AI$8,LTD_EM!$A$1:$E$488,2,FALSE)</f>
        <v>1.9108400000000001</v>
      </c>
      <c r="AJ182" s="439">
        <f>VLOOKUP(AJ$8,LTD_EM!$A$1:$E$488,2,FALSE)</f>
        <v>2.66412</v>
      </c>
      <c r="AK182" s="439">
        <f>VLOOKUP(AK$8,LTD_EM!$A$1:$E$488,2,FALSE)</f>
        <v>3.4748899999999998</v>
      </c>
      <c r="AL182" s="439">
        <f>VLOOKUP(AL$8,LTD_EM!$A$1:$E$488,2,FALSE)</f>
        <v>0.3342</v>
      </c>
      <c r="AM182" s="439">
        <f>VLOOKUP(AM$8,LTD_EM!$A$1:$E$488,2,FALSE)</f>
        <v>3.0546899999999999</v>
      </c>
      <c r="AN182" s="439">
        <f>VLOOKUP(AN$8,LTD_EM!$A$1:$E$488,2,FALSE)</f>
        <v>3.2419099999999998</v>
      </c>
      <c r="AO182" s="439">
        <f>VLOOKUP(AO$8,LTD_EM!$A$1:$E$488,2,FALSE)</f>
        <v>-6.6110300000000004</v>
      </c>
      <c r="AP182" s="439">
        <f>VLOOKUP(AP$8,LTD_EM!$A$1:$E$488,2,FALSE)</f>
        <v>-1.3067599999999999</v>
      </c>
      <c r="AQ182" s="439">
        <f>VLOOKUP(AQ$8,LTD_EM!$A$1:$E$488,2,FALSE)</f>
        <v>-1.5599400000000001</v>
      </c>
      <c r="AR182" s="439">
        <f>VLOOKUP(AR$8,LTD_EM!$A$1:$E$488,2,FALSE)</f>
        <v>4.84361</v>
      </c>
      <c r="AS182" s="439">
        <f>VLOOKUP(AS$8,LTD_EM!$A$1:$E$488,2,FALSE)</f>
        <v>6.5005100000000002</v>
      </c>
      <c r="AT182" s="439">
        <f>VLOOKUP(AT$8,LTD_EM!$A$1:$E$488,2,FALSE)</f>
        <v>-1.7102900000000001</v>
      </c>
      <c r="AU182" s="439">
        <f>VLOOKUP(AU$8,LTD_EM!$A$1:$E$488,2,FALSE)</f>
        <v>1.00614</v>
      </c>
      <c r="AV182" s="439">
        <f>VLOOKUP(AV$8,LTD_EM!$A$1:$E$488,2,FALSE)</f>
        <v>-6.3788299999999998</v>
      </c>
      <c r="AW182" s="439">
        <f>VLOOKUP(AW$8,LTD_EM!$A$1:$E$488,2,FALSE)</f>
        <v>-2.64662</v>
      </c>
      <c r="AX182" s="439">
        <f>VLOOKUP(AX$8,LTD_EM!$A$1:$E$488,2,FALSE)</f>
        <v>0.97294999999999998</v>
      </c>
      <c r="AY182" s="439">
        <f>VLOOKUP(AY$8,LTD_EM!$A$1:$E$488,2,FALSE)</f>
        <v>-1.9539299999999999</v>
      </c>
      <c r="AZ182" s="439">
        <f>VLOOKUP(AZ$8,LTD_EM!$A$1:$E$488,2,FALSE)</f>
        <v>-1.25939</v>
      </c>
      <c r="BA182" s="439">
        <f>VLOOKUP(BA$8,LTD_EM!$A$1:$E$488,2,FALSE)</f>
        <v>1.37679</v>
      </c>
      <c r="BB182" s="439">
        <f>VLOOKUP(BB$8,LTD_EM!$A$1:$E$488,2,FALSE)</f>
        <v>4.8722399999999997</v>
      </c>
      <c r="BC182" s="439">
        <f>VLOOKUP(BC$8,LTD_EM!$A$1:$E$488,2,FALSE)</f>
        <v>1.2668600000000001</v>
      </c>
      <c r="BD182" s="439">
        <f>VLOOKUP(BD$8,LTD_EM!$A$1:$E$488,2,FALSE)</f>
        <v>-0.62104999999999999</v>
      </c>
      <c r="BE182" s="439">
        <f>VLOOKUP(BE$8,LTD_EM!$A$1:$E$488,2,FALSE)</f>
        <v>6.01457</v>
      </c>
      <c r="BF182" s="439">
        <f>VLOOKUP(BF$8,LTD_EM!$A$1:$E$488,2,FALSE)</f>
        <v>-0.38568000000000002</v>
      </c>
      <c r="BG182" s="439">
        <f>VLOOKUP(BG$8,LTD_EM!$A$1:$E$488,2,FALSE)</f>
        <v>1.9313</v>
      </c>
      <c r="BH182" s="439">
        <f>VLOOKUP(BH$8,LTD_EM!$A$1:$E$488,2,FALSE)</f>
        <v>3.7910300000000001</v>
      </c>
      <c r="BI182" s="439">
        <f>VLOOKUP(BI$8,LTD_EM!$A$1:$E$488,2,FALSE)</f>
        <v>-11.21306</v>
      </c>
      <c r="BJ182" s="439">
        <f>VLOOKUP(BJ$8,LTD_EM!$A$1:$E$488,2,FALSE)</f>
        <v>-1.18018</v>
      </c>
      <c r="BK182" s="439">
        <f>VLOOKUP(BK$8,LTD_EM!$A$1:$E$488,2,FALSE)</f>
        <v>-3.3494700000000002</v>
      </c>
      <c r="BL182" s="439">
        <f>VLOOKUP(BL$8,LTD_EM!$A$1:$E$488,2,FALSE)</f>
        <v>5.9243800000000002</v>
      </c>
      <c r="BM182" s="439">
        <f>VLOOKUP(BM$8,LTD_EM!$A$1:$E$488,2,FALSE)</f>
        <v>11.267860000000001</v>
      </c>
      <c r="BN182" s="439">
        <f>VLOOKUP(BN$8,LTD_EM!$A$1:$E$488,2,FALSE)</f>
        <v>-1.2073799999999999</v>
      </c>
      <c r="BO182" s="439">
        <f>VLOOKUP(BO$8,LTD_EM!$A$1:$E$488,2,FALSE)</f>
        <v>-6.6492100000000001</v>
      </c>
      <c r="BP182" s="439">
        <f>VLOOKUP(BP$8,LTD_EM!$A$1:$E$488,2,FALSE)</f>
        <v>13.25145</v>
      </c>
      <c r="BQ182" s="439">
        <f>VLOOKUP(BQ$8,LTD_EM!$A$1:$E$488,2,FALSE)</f>
        <v>-14.59892</v>
      </c>
      <c r="BR182" s="439">
        <f>VLOOKUP(BR$8,LTD_EM!$A$1:$E$488,2,FALSE)</f>
        <v>-9.0008800000000004</v>
      </c>
      <c r="BS182" s="439">
        <f>VLOOKUP(BS$8,LTD_EM!$A$1:$E$488,2,FALSE)</f>
        <v>-0.44757999999999998</v>
      </c>
      <c r="BT182" s="439">
        <f>VLOOKUP(BT$8,LTD_EM!$A$1:$E$488,2,FALSE)</f>
        <v>-1.5363500000000001</v>
      </c>
      <c r="BU182" s="439">
        <f>VLOOKUP(BU$8,LTD_EM!$A$1:$E$488,2,FALSE)</f>
        <v>-2.69048</v>
      </c>
      <c r="BV182" s="439">
        <f>VLOOKUP(BV$8,LTD_EM!$A$1:$E$488,2,FALSE)</f>
        <v>3.1048399999999998</v>
      </c>
      <c r="BW182" s="439">
        <f>VLOOKUP(BW$8,LTD_EM!$A$1:$E$488,2,FALSE)</f>
        <v>5.8537999999999997</v>
      </c>
      <c r="BX182" s="439">
        <f>VLOOKUP(BX$8,LTD_EM!$A$1:$E$488,2,FALSE)</f>
        <v>-0.94154000000000004</v>
      </c>
      <c r="BY182" s="439">
        <f>VLOOKUP(BY$8,LTD_EM!$A$1:$E$488,2,FALSE)</f>
        <v>-2.6890499999999999</v>
      </c>
      <c r="BZ182" s="439">
        <f>VLOOKUP(BZ$8,LTD_EM!$A$1:$E$488,2,FALSE)</f>
        <v>0</v>
      </c>
      <c r="CA182" s="439">
        <f>VLOOKUP(CA$8,LTD_EM!$A$1:$E$488,2,FALSE)</f>
        <v>0</v>
      </c>
      <c r="CB182" s="439">
        <f>VLOOKUP(CB$8,LTD_EM!$A$1:$E$488,2,FALSE)</f>
        <v>0</v>
      </c>
      <c r="CC182" s="439">
        <f>VLOOKUP(CC$8,LTD_EM!$A$1:$E$488,2,FALSE)</f>
        <v>0</v>
      </c>
      <c r="CD182" s="439">
        <f>VLOOKUP(CD$8,LTD_EM!$A$1:$E$488,2,FALSE)</f>
        <v>0</v>
      </c>
      <c r="CE182" s="439">
        <f>VLOOKUP(CE$8,LTD_EM!$A$1:$E$488,2,FALSE)</f>
        <v>0</v>
      </c>
      <c r="CF182" s="439">
        <f>VLOOKUP(CF$8,LTD_EM!$A$1:$E$488,2,FALSE)</f>
        <v>0</v>
      </c>
      <c r="CG182" s="439">
        <f>VLOOKUP(CG$8,LTD_EM!$A$1:$E$488,2,FALSE)</f>
        <v>0</v>
      </c>
      <c r="CH182" s="439">
        <f>VLOOKUP(CH$8,LTD_EM!$A$1:$E$488,2,FALSE)</f>
        <v>0</v>
      </c>
      <c r="CI182" s="439">
        <f>VLOOKUP(CI$8,LTD_EM!$A$1:$E$488,2,FALSE)</f>
        <v>0</v>
      </c>
      <c r="CJ182" s="439">
        <f>VLOOKUP(CJ$8,LTD_EM!$A$1:$E$488,2,FALSE)</f>
        <v>0</v>
      </c>
      <c r="CK182" s="439">
        <f>VLOOKUP(CK$8,LTD_EM!$A$1:$E$488,2,FALSE)</f>
        <v>0</v>
      </c>
      <c r="CL182" s="439">
        <f>VLOOKUP(CL$8,LTD_EM!$A$1:$E$488,2,FALSE)</f>
        <v>0</v>
      </c>
      <c r="CM182" s="439">
        <f>VLOOKUP(CM$8,LTD_EM!$A$1:$E$488,2,FALSE)</f>
        <v>0</v>
      </c>
      <c r="CN182" s="439">
        <f>VLOOKUP(CN$8,LTD_EM!$A$1:$E$488,2,FALSE)</f>
        <v>0</v>
      </c>
      <c r="CO182" s="439">
        <f>VLOOKUP(CO$8,LTD_EM!$A$1:$E$488,2,FALSE)</f>
        <v>0</v>
      </c>
      <c r="CP182" s="439">
        <f>VLOOKUP(CP$8,LTD_EM!$A$1:$E$488,2,FALSE)</f>
        <v>0</v>
      </c>
      <c r="CQ182" s="439">
        <f>VLOOKUP(CQ$8,LTD_EM!$A$1:$E$488,2,FALSE)</f>
        <v>0</v>
      </c>
      <c r="CR182" s="439">
        <f>VLOOKUP(CR$8,LTD_EM!$A$1:$E$488,2,FALSE)</f>
        <v>0</v>
      </c>
      <c r="CS182" s="439">
        <f>VLOOKUP(CS$8,LTD_EM!$A$1:$E$488,2,FALSE)</f>
        <v>0</v>
      </c>
      <c r="CT182" s="439">
        <f>VLOOKUP(CT$8,LTD_EM!$A$1:$E$488,2,FALSE)</f>
        <v>0</v>
      </c>
      <c r="CU182" s="439">
        <f>VLOOKUP(CU$8,LTD_EM!$A$1:$E$488,2,FALSE)</f>
        <v>0</v>
      </c>
      <c r="CV182" s="439">
        <f>VLOOKUP(CV$8,LTD_EM!$A$1:$E$488,2,FALSE)</f>
        <v>0</v>
      </c>
      <c r="CW182" s="439">
        <f>VLOOKUP(CW$8,LTD_EM!$A$1:$E$488,2,FALSE)</f>
        <v>0</v>
      </c>
      <c r="CX182" s="439">
        <f>VLOOKUP(CX$8,LTD_EM!$A$1:$E$488,2,FALSE)</f>
        <v>0</v>
      </c>
      <c r="CY182" s="439">
        <f>VLOOKUP(CY$8,LTD_EM!$A$1:$E$488,2,FALSE)</f>
        <v>0</v>
      </c>
      <c r="CZ182" s="439">
        <f>VLOOKUP(CZ$8,LTD_EM!$A$1:$E$488,2,FALSE)</f>
        <v>0</v>
      </c>
      <c r="DA182" s="439">
        <f>VLOOKUP(DA$8,LTD_EM!$A$1:$E$488,2,FALSE)</f>
        <v>0</v>
      </c>
      <c r="DB182" s="439">
        <f>VLOOKUP(DB$8,LTD_EM!$A$1:$E$488,2,FALSE)</f>
        <v>0</v>
      </c>
      <c r="DC182" s="439">
        <f>VLOOKUP(DC$8,LTD_EM!$A$1:$E$488,2,FALSE)</f>
        <v>0</v>
      </c>
      <c r="DD182" s="439">
        <f>VLOOKUP(DD$8,LTD_EM!$A$1:$E$488,2,FALSE)</f>
        <v>0</v>
      </c>
      <c r="DE182" s="439">
        <f>VLOOKUP(DE$8,LTD_EM!$A$1:$E$488,2,FALSE)</f>
        <v>0</v>
      </c>
      <c r="DF182" s="439">
        <f>VLOOKUP(DF$8,LTD_EM!$A$1:$E$488,2,FALSE)</f>
        <v>0</v>
      </c>
      <c r="DG182" s="439">
        <f>VLOOKUP(DG$8,LTD_EM!$A$1:$E$488,2,FALSE)</f>
        <v>0</v>
      </c>
      <c r="DH182" s="439">
        <f>VLOOKUP(DH$8,LTD_EM!$A$1:$E$488,2,FALSE)</f>
        <v>0</v>
      </c>
      <c r="DI182" s="439">
        <f>VLOOKUP(DI$8,LTD_EM!$A$1:$E$488,2,FALSE)</f>
        <v>0</v>
      </c>
      <c r="DJ182" s="439">
        <f>VLOOKUP(DJ$8,LTD_EM!$A$1:$E$488,2,FALSE)</f>
        <v>0</v>
      </c>
      <c r="DK182" s="439">
        <f>VLOOKUP(DK$8,LTD_EM!$A$1:$E$488,2,FALSE)</f>
        <v>0</v>
      </c>
      <c r="DL182" s="439">
        <f>VLOOKUP(DL$8,LTD_EM!$A$1:$E$488,2,FALSE)</f>
        <v>0</v>
      </c>
      <c r="DM182" s="439">
        <f>VLOOKUP(DM$8,LTD_EM!$A$1:$E$488,2,FALSE)</f>
        <v>0</v>
      </c>
      <c r="DN182" s="439">
        <f>VLOOKUP(DN$8,LTD_EM!$A$1:$E$488,2,FALSE)</f>
        <v>0</v>
      </c>
      <c r="DO182" s="439">
        <f>VLOOKUP(DO$8,LTD_EM!$A$1:$E$488,2,FALSE)</f>
        <v>0</v>
      </c>
      <c r="DP182" s="439">
        <f>VLOOKUP(DP$8,LTD_EM!$A$1:$E$488,2,FALSE)</f>
        <v>0</v>
      </c>
      <c r="DQ182" s="439">
        <f>VLOOKUP(DQ$8,LTD_EM!$A$1:$E$488,2,FALSE)</f>
        <v>0</v>
      </c>
      <c r="DR182" s="439">
        <f>VLOOKUP(DR$8,LTD_EM!$A$1:$E$488,2,FALSE)</f>
        <v>0</v>
      </c>
      <c r="DS182" s="439">
        <f>VLOOKUP(DS$8,LTD_EM!$A$1:$E$488,2,FALSE)</f>
        <v>0</v>
      </c>
      <c r="DT182" s="439">
        <f>VLOOKUP(DT$8,LTD_EM!$A$1:$E$488,2,FALSE)</f>
        <v>0</v>
      </c>
      <c r="DU182" s="439">
        <f>VLOOKUP(DU$8,LTD_EM!$A$1:$E$488,2,FALSE)</f>
        <v>0</v>
      </c>
      <c r="DV182" s="439">
        <f>VLOOKUP(DV$8,LTD_EM!$A$1:$E$488,2,FALSE)</f>
        <v>0</v>
      </c>
      <c r="DW182" s="439">
        <f>VLOOKUP(DW$8,LTD_EM!$A$1:$E$488,2,FALSE)</f>
        <v>0</v>
      </c>
      <c r="DX182" s="439">
        <f>VLOOKUP(DX$8,LTD_EM!$A$1:$E$488,2,FALSE)</f>
        <v>0</v>
      </c>
      <c r="DY182" s="439">
        <f>VLOOKUP(DY$8,LTD_EM!$A$1:$E$488,2,FALSE)</f>
        <v>0</v>
      </c>
      <c r="DZ182" s="439">
        <f>VLOOKUP(DZ$8,LTD_EM!$A$1:$E$488,2,FALSE)</f>
        <v>0</v>
      </c>
      <c r="EA182" s="439">
        <f>VLOOKUP(EA$8,LTD_EM!$A$1:$E$488,2,FALSE)</f>
        <v>0</v>
      </c>
      <c r="EB182" s="439">
        <f>VLOOKUP(EB$8,LTD_EM!$A$1:$E$488,2,FALSE)</f>
        <v>0</v>
      </c>
      <c r="EC182" s="439">
        <f>VLOOKUP(EC$8,LTD_EM!$A$1:$E$488,2,FALSE)</f>
        <v>0</v>
      </c>
      <c r="ED182" s="439">
        <f>VLOOKUP(ED$8,LTD_EM!$A$1:$E$488,2,FALSE)</f>
        <v>0</v>
      </c>
      <c r="EE182" s="439">
        <f>VLOOKUP(EE$8,LTD_EM!$A$1:$E$488,2,FALSE)</f>
        <v>0</v>
      </c>
      <c r="EF182" s="439">
        <f>VLOOKUP(EF$8,LTD_EM!$A$1:$E$488,2,FALSE)</f>
        <v>0</v>
      </c>
      <c r="EG182" s="439">
        <f>VLOOKUP(EG$8,LTD_EM!$A$1:$E$488,2,FALSE)</f>
        <v>0</v>
      </c>
      <c r="EH182" s="439">
        <f>VLOOKUP(EH$8,LTD_EM!$A$1:$E$488,2,FALSE)</f>
        <v>0</v>
      </c>
      <c r="EI182" s="439">
        <f>VLOOKUP(EI$8,LTD_EM!$A$1:$E$488,2,FALSE)</f>
        <v>0</v>
      </c>
      <c r="EJ182" s="439">
        <f>VLOOKUP(EJ$8,LTD_EM!$A$1:$E$488,2,FALSE)</f>
        <v>0</v>
      </c>
      <c r="EK182" s="439">
        <f>VLOOKUP(EK$8,LTD_EM!$A$1:$E$488,2,FALSE)</f>
        <v>0</v>
      </c>
      <c r="EL182" s="439">
        <f>VLOOKUP(EL$8,LTD_EM!$A$1:$E$488,2,FALSE)</f>
        <v>0</v>
      </c>
      <c r="EM182" s="439">
        <f>VLOOKUP(EM$8,LTD_EM!$A$1:$E$488,2,FALSE)</f>
        <v>0</v>
      </c>
      <c r="EN182" s="439">
        <f>VLOOKUP(EN$8,LTD_EM!$A$1:$E$488,2,FALSE)</f>
        <v>0</v>
      </c>
      <c r="EO182" s="439">
        <f>VLOOKUP(EO$8,LTD_EM!$A$1:$E$488,2,FALSE)</f>
        <v>0</v>
      </c>
      <c r="EP182" s="439">
        <f>VLOOKUP(EP$8,LTD_EM!$A$1:$E$488,2,FALSE)</f>
        <v>0</v>
      </c>
      <c r="EQ182" s="439">
        <f>VLOOKUP(EQ$8,LTD_EM!$A$1:$E$488,2,FALSE)</f>
        <v>0</v>
      </c>
      <c r="ER182" s="439">
        <f>VLOOKUP(ER$8,LTD_EM!$A$1:$E$488,2,FALSE)</f>
        <v>0</v>
      </c>
      <c r="ES182" s="439">
        <f>VLOOKUP(ES$8,LTD_EM!$A$1:$E$488,2,FALSE)</f>
        <v>0</v>
      </c>
      <c r="ET182" s="439">
        <f>VLOOKUP(ET$8,LTD_EM!$A$1:$E$488,2,FALSE)</f>
        <v>0</v>
      </c>
      <c r="EU182" s="439">
        <f>VLOOKUP(EU$8,LTD_EM!$A$1:$E$488,2,FALSE)</f>
        <v>0</v>
      </c>
      <c r="EV182" s="439">
        <f>VLOOKUP(EV$8,LTD_EM!$A$1:$E$488,2,FALSE)</f>
        <v>0</v>
      </c>
      <c r="EW182" s="439">
        <f>VLOOKUP(EW$8,LTD_EM!$A$1:$E$488,2,FALSE)</f>
        <v>0</v>
      </c>
      <c r="EY182" s="580" t="s">
        <v>308</v>
      </c>
      <c r="EZ182" s="789">
        <v>-19.840499999999999</v>
      </c>
      <c r="FA182" s="789">
        <v>-43.639000000000003</v>
      </c>
      <c r="FB182" s="789">
        <v>-8.2395999999999994</v>
      </c>
      <c r="FC182" s="789" t="e">
        <v>#VALUE!</v>
      </c>
      <c r="FD182" s="789">
        <v>-3.3224999999999998</v>
      </c>
      <c r="FF182" s="441">
        <f>IF(G182="---","-",ABS(EZ182-G182))</f>
        <v>26.777228134009782</v>
      </c>
      <c r="FG182" s="441">
        <f>IF(I182="---","-",ABS(FA182-I182))</f>
        <v>63.308414231204388</v>
      </c>
      <c r="FH182" s="441">
        <f>IF(K182="---","-",ABS(FB182-K182))</f>
        <v>12.33729698513025</v>
      </c>
      <c r="FI182" s="441" t="str">
        <f>IF(M182="---","-",ABS(FC182-M182))</f>
        <v>-</v>
      </c>
      <c r="FJ182" s="441">
        <f>IF(Q182="---","-",ABS(FD182-Q182))</f>
        <v>3.5408694353635743</v>
      </c>
    </row>
    <row r="183" spans="1:169" s="1228" customFormat="1" x14ac:dyDescent="0.2">
      <c r="A183" s="1340" t="s">
        <v>688</v>
      </c>
      <c r="B183" s="1464" t="s">
        <v>917</v>
      </c>
      <c r="C183" s="1217"/>
      <c r="D183" s="1218"/>
      <c r="E183" s="1219"/>
      <c r="F183" s="1220">
        <f>AH183</f>
        <v>2.25352</v>
      </c>
      <c r="G183" s="1023">
        <f t="array" ref="G183">IF($AJ183=0,"---",(PRODUCT($AH183:AJ183/100+1)-1)*100)</f>
        <v>6.9999470360516236</v>
      </c>
      <c r="H183" s="432">
        <f t="array" ref="H183">IF($AS183=0,"---",(PRODUCT(AH183:AN183/100+1)-1)*100)</f>
        <v>18.308683073194885</v>
      </c>
      <c r="I183" s="1023">
        <f t="array" ref="I183">IF(AS183=0,"---",(GEOMEAN($AH183:AS183/100+1)^12-1)*100)</f>
        <v>20.050023709758278</v>
      </c>
      <c r="J183" s="1023">
        <f t="array" ref="J183">IF(BE183=0,"---",(GEOMEAN($AH183:BE183/100+1)^12-1)*100)</f>
        <v>10.042690172470859</v>
      </c>
      <c r="K183" s="1023">
        <f t="array" ref="K183">IF(BQ183=0,"---",(GEOMEAN($AH183:BQ183/100+1)^12-1)*100)</f>
        <v>4.6036039162994147</v>
      </c>
      <c r="L183" s="1023" t="str">
        <f t="array" ref="L183">IF(CC183=0,"---",(GEOMEAN($AH183:CC183/100+1)^12-1)*100)</f>
        <v>---</v>
      </c>
      <c r="M183" s="1023" t="str">
        <f t="array" ref="M183">IF(CO183=0,"---",(GEOMEAN($AH183:CO183/100+1)^12-1)*100)</f>
        <v>---</v>
      </c>
      <c r="N183" s="1023" t="str">
        <f t="array" ref="N183">IF(DM183=0,"---",(GEOMEAN($AH183:DM183/100+1)^12-1)*100)</f>
        <v>---</v>
      </c>
      <c r="O183" s="1023" t="str">
        <f t="array" ref="O183">IF(EK183=0,"---",(GEOMEAN($AH183:EK183/100+1)^12-1)*100)</f>
        <v>---</v>
      </c>
      <c r="P183" s="1023" t="str">
        <f t="array" ref="P183">IF(EW183=0,"---",(GEOMEAN($AH183:EW183/100+1)^12-1)*100)</f>
        <v>---</v>
      </c>
      <c r="Q183" s="1221" t="s">
        <v>34</v>
      </c>
      <c r="R183" s="1218"/>
      <c r="S183" s="1218"/>
      <c r="T183" s="1218"/>
      <c r="U183" s="1218"/>
      <c r="V183" s="1218"/>
      <c r="W183" s="1218"/>
      <c r="X183" s="1218"/>
      <c r="Y183" s="1218"/>
      <c r="Z183" s="1218"/>
      <c r="AA183" s="1218"/>
      <c r="AB183" s="1218"/>
      <c r="AC183" s="1222"/>
      <c r="AD183" s="1223"/>
      <c r="AE183" s="1028"/>
      <c r="AF183" s="1027"/>
      <c r="AG183" s="1224"/>
      <c r="AH183" s="1025">
        <f t="shared" ref="AH183:BN183" si="171">VLOOKUP(AH$8,Index,38,FALSE)</f>
        <v>2.25352</v>
      </c>
      <c r="AI183" s="1025">
        <f t="shared" si="171"/>
        <v>1.93357</v>
      </c>
      <c r="AJ183" s="1025">
        <f t="shared" si="171"/>
        <v>2.6568800000000001</v>
      </c>
      <c r="AK183" s="1025">
        <f t="shared" si="171"/>
        <v>3.49057</v>
      </c>
      <c r="AL183" s="1025">
        <f t="shared" si="171"/>
        <v>0.33415</v>
      </c>
      <c r="AM183" s="1025">
        <f t="shared" si="171"/>
        <v>3.0695100000000002</v>
      </c>
      <c r="AN183" s="1025">
        <f t="shared" si="171"/>
        <v>3.3126000000000002</v>
      </c>
      <c r="AO183" s="1025">
        <f t="shared" si="171"/>
        <v>-6.4935299999999998</v>
      </c>
      <c r="AP183" s="1025">
        <f t="shared" si="171"/>
        <v>-1.43764</v>
      </c>
      <c r="AQ183" s="1025">
        <f t="shared" si="171"/>
        <v>-1.45442</v>
      </c>
      <c r="AR183" s="1025">
        <f t="shared" si="171"/>
        <v>4.8731200000000001</v>
      </c>
      <c r="AS183" s="1025">
        <f t="shared" si="171"/>
        <v>6.5348100000000002</v>
      </c>
      <c r="AT183" s="1025">
        <f t="shared" si="171"/>
        <v>-1.6781900000000001</v>
      </c>
      <c r="AU183" s="1025">
        <f t="shared" si="171"/>
        <v>1.0989100000000001</v>
      </c>
      <c r="AV183" s="1025">
        <f t="shared" si="171"/>
        <v>-6.3186</v>
      </c>
      <c r="AW183" s="1025">
        <f t="shared" si="171"/>
        <v>-2.5184899999999999</v>
      </c>
      <c r="AX183" s="1025">
        <f t="shared" si="171"/>
        <v>0.79291</v>
      </c>
      <c r="AY183" s="1025">
        <f t="shared" si="171"/>
        <v>-1.70069</v>
      </c>
      <c r="AZ183" s="1025">
        <f t="shared" si="171"/>
        <v>-1.2419800000000001</v>
      </c>
      <c r="BA183" s="1025">
        <f t="shared" si="171"/>
        <v>1.3942699999999999</v>
      </c>
      <c r="BB183" s="1025">
        <f t="shared" si="171"/>
        <v>4.90158</v>
      </c>
      <c r="BC183" s="1025">
        <f t="shared" si="171"/>
        <v>1.27695</v>
      </c>
      <c r="BD183" s="1025">
        <f t="shared" si="171"/>
        <v>-0.59633999999999998</v>
      </c>
      <c r="BE183" s="1025">
        <f t="shared" si="171"/>
        <v>6.0539699999999996</v>
      </c>
      <c r="BF183" s="1025">
        <f t="shared" si="171"/>
        <v>-0.28900999999999999</v>
      </c>
      <c r="BG183" s="1025">
        <f t="shared" si="171"/>
        <v>2.0226899999999999</v>
      </c>
      <c r="BH183" s="1025">
        <f t="shared" si="171"/>
        <v>3.9064999999999999</v>
      </c>
      <c r="BI183" s="1025">
        <f t="shared" si="171"/>
        <v>-11.162570000000001</v>
      </c>
      <c r="BJ183" s="1025">
        <f t="shared" si="171"/>
        <v>-1.17797</v>
      </c>
      <c r="BK183" s="1025">
        <f t="shared" si="171"/>
        <v>-3.3164799999999999</v>
      </c>
      <c r="BL183" s="1025">
        <f t="shared" si="171"/>
        <v>6.0084799999999996</v>
      </c>
      <c r="BM183" s="1025">
        <f t="shared" si="171"/>
        <v>11.362</v>
      </c>
      <c r="BN183" s="1025">
        <f t="shared" si="171"/>
        <v>-1.1956899999999999</v>
      </c>
      <c r="BO183" s="1025">
        <f t="shared" ref="BO183:CT183" si="172">VLOOKUP(BO$8,Index,38,FALSE)</f>
        <v>-6.6592200000000004</v>
      </c>
      <c r="BP183" s="1025">
        <f t="shared" si="172"/>
        <v>13.25563</v>
      </c>
      <c r="BQ183" s="1025">
        <f t="shared" si="172"/>
        <v>-14.56259</v>
      </c>
      <c r="BR183" s="1025">
        <f t="shared" si="172"/>
        <v>-8.8997499999999992</v>
      </c>
      <c r="BS183" s="1025">
        <f t="shared" si="172"/>
        <v>-0.37608000000000003</v>
      </c>
      <c r="BT183" s="1025">
        <f t="shared" si="172"/>
        <v>-1.4963</v>
      </c>
      <c r="BU183" s="1025">
        <f t="shared" si="172"/>
        <v>-2.5831900000000001</v>
      </c>
      <c r="BV183" s="1025">
        <f t="shared" si="172"/>
        <v>3.1237200000000001</v>
      </c>
      <c r="BW183" s="1025">
        <f t="shared" si="172"/>
        <v>5.8952</v>
      </c>
      <c r="BX183" s="1025">
        <f t="shared" si="172"/>
        <v>-0.91776999999999997</v>
      </c>
      <c r="BY183" s="1025">
        <f t="shared" si="172"/>
        <v>-2.69408</v>
      </c>
      <c r="BZ183" s="1025">
        <f t="shared" si="172"/>
        <v>7.1477300000000001</v>
      </c>
      <c r="CA183" s="1025">
        <f t="shared" si="172"/>
        <v>-2.6357599999999999</v>
      </c>
      <c r="CB183" s="1025">
        <f t="shared" si="172"/>
        <v>2.91235</v>
      </c>
      <c r="CC183" s="1025">
        <f t="shared" si="172"/>
        <v>0</v>
      </c>
      <c r="CD183" s="1025">
        <f t="shared" si="172"/>
        <v>0</v>
      </c>
      <c r="CE183" s="1025">
        <f t="shared" si="172"/>
        <v>0</v>
      </c>
      <c r="CF183" s="1025">
        <f t="shared" si="172"/>
        <v>0</v>
      </c>
      <c r="CG183" s="1025">
        <f t="shared" si="172"/>
        <v>0</v>
      </c>
      <c r="CH183" s="1025">
        <f t="shared" si="172"/>
        <v>0</v>
      </c>
      <c r="CI183" s="1025">
        <f t="shared" si="172"/>
        <v>0</v>
      </c>
      <c r="CJ183" s="1025">
        <f t="shared" si="172"/>
        <v>0</v>
      </c>
      <c r="CK183" s="1025">
        <f t="shared" si="172"/>
        <v>0</v>
      </c>
      <c r="CL183" s="1025">
        <f t="shared" si="172"/>
        <v>0</v>
      </c>
      <c r="CM183" s="1025">
        <f t="shared" si="172"/>
        <v>0</v>
      </c>
      <c r="CN183" s="1025">
        <f t="shared" si="172"/>
        <v>0</v>
      </c>
      <c r="CO183" s="1025">
        <f t="shared" si="172"/>
        <v>0</v>
      </c>
      <c r="CP183" s="1025">
        <f t="shared" si="172"/>
        <v>0</v>
      </c>
      <c r="CQ183" s="1025">
        <f t="shared" si="172"/>
        <v>0</v>
      </c>
      <c r="CR183" s="1025">
        <f t="shared" si="172"/>
        <v>0</v>
      </c>
      <c r="CS183" s="1025">
        <f t="shared" si="172"/>
        <v>0</v>
      </c>
      <c r="CT183" s="1025">
        <f t="shared" si="172"/>
        <v>0</v>
      </c>
      <c r="CU183" s="1025">
        <f t="shared" ref="CU183:DZ183" si="173">VLOOKUP(CU$8,Index,38,FALSE)</f>
        <v>0</v>
      </c>
      <c r="CV183" s="1025">
        <f t="shared" si="173"/>
        <v>0</v>
      </c>
      <c r="CW183" s="1025">
        <f t="shared" si="173"/>
        <v>0</v>
      </c>
      <c r="CX183" s="1025">
        <f t="shared" si="173"/>
        <v>0</v>
      </c>
      <c r="CY183" s="1025">
        <f t="shared" si="173"/>
        <v>0</v>
      </c>
      <c r="CZ183" s="1025">
        <f t="shared" si="173"/>
        <v>0</v>
      </c>
      <c r="DA183" s="1025">
        <f t="shared" si="173"/>
        <v>0</v>
      </c>
      <c r="DB183" s="1025">
        <f t="shared" si="173"/>
        <v>0</v>
      </c>
      <c r="DC183" s="1025">
        <f t="shared" si="173"/>
        <v>0</v>
      </c>
      <c r="DD183" s="1025">
        <f t="shared" si="173"/>
        <v>0</v>
      </c>
      <c r="DE183" s="1025">
        <f t="shared" si="173"/>
        <v>0</v>
      </c>
      <c r="DF183" s="1025">
        <f t="shared" si="173"/>
        <v>0</v>
      </c>
      <c r="DG183" s="1025">
        <f t="shared" si="173"/>
        <v>0</v>
      </c>
      <c r="DH183" s="1025">
        <f t="shared" si="173"/>
        <v>0</v>
      </c>
      <c r="DI183" s="1025">
        <f t="shared" si="173"/>
        <v>0</v>
      </c>
      <c r="DJ183" s="1025">
        <f t="shared" si="173"/>
        <v>0</v>
      </c>
      <c r="DK183" s="1025">
        <f t="shared" si="173"/>
        <v>0</v>
      </c>
      <c r="DL183" s="1025">
        <f t="shared" si="173"/>
        <v>0</v>
      </c>
      <c r="DM183" s="1025">
        <f t="shared" si="173"/>
        <v>0</v>
      </c>
      <c r="DN183" s="1025">
        <f t="shared" si="173"/>
        <v>0</v>
      </c>
      <c r="DO183" s="1025">
        <f t="shared" si="173"/>
        <v>0</v>
      </c>
      <c r="DP183" s="1025">
        <f t="shared" si="173"/>
        <v>0</v>
      </c>
      <c r="DQ183" s="1025">
        <f t="shared" si="173"/>
        <v>0</v>
      </c>
      <c r="DR183" s="1025">
        <f t="shared" si="173"/>
        <v>0</v>
      </c>
      <c r="DS183" s="1025">
        <f t="shared" si="173"/>
        <v>0</v>
      </c>
      <c r="DT183" s="1025">
        <f t="shared" si="173"/>
        <v>0</v>
      </c>
      <c r="DU183" s="1025">
        <f t="shared" si="173"/>
        <v>0</v>
      </c>
      <c r="DV183" s="1025">
        <f t="shared" si="173"/>
        <v>0</v>
      </c>
      <c r="DW183" s="1025">
        <f t="shared" si="173"/>
        <v>0</v>
      </c>
      <c r="DX183" s="1025">
        <f t="shared" si="173"/>
        <v>0</v>
      </c>
      <c r="DY183" s="1025">
        <f t="shared" si="173"/>
        <v>0</v>
      </c>
      <c r="DZ183" s="1025">
        <f t="shared" si="173"/>
        <v>0</v>
      </c>
      <c r="EA183" s="1025">
        <f t="shared" ref="EA183:EW183" si="174">VLOOKUP(EA$8,Index,38,FALSE)</f>
        <v>0</v>
      </c>
      <c r="EB183" s="1025">
        <f t="shared" si="174"/>
        <v>0</v>
      </c>
      <c r="EC183" s="1025">
        <f t="shared" si="174"/>
        <v>0</v>
      </c>
      <c r="ED183" s="1025">
        <f t="shared" si="174"/>
        <v>0</v>
      </c>
      <c r="EE183" s="1025">
        <f t="shared" si="174"/>
        <v>0</v>
      </c>
      <c r="EF183" s="1025">
        <f t="shared" si="174"/>
        <v>0</v>
      </c>
      <c r="EG183" s="1025">
        <f t="shared" si="174"/>
        <v>0</v>
      </c>
      <c r="EH183" s="1025">
        <f t="shared" si="174"/>
        <v>0</v>
      </c>
      <c r="EI183" s="1025">
        <f t="shared" si="174"/>
        <v>0</v>
      </c>
      <c r="EJ183" s="1025">
        <f t="shared" si="174"/>
        <v>0</v>
      </c>
      <c r="EK183" s="1025">
        <f t="shared" si="174"/>
        <v>0</v>
      </c>
      <c r="EL183" s="1025">
        <f t="shared" si="174"/>
        <v>0</v>
      </c>
      <c r="EM183" s="1025">
        <f t="shared" si="174"/>
        <v>0</v>
      </c>
      <c r="EN183" s="1025">
        <f t="shared" si="174"/>
        <v>0</v>
      </c>
      <c r="EO183" s="1025">
        <f t="shared" si="174"/>
        <v>0</v>
      </c>
      <c r="EP183" s="1025">
        <f t="shared" si="174"/>
        <v>0</v>
      </c>
      <c r="EQ183" s="1025">
        <f t="shared" si="174"/>
        <v>0</v>
      </c>
      <c r="ER183" s="1025">
        <f t="shared" si="174"/>
        <v>0</v>
      </c>
      <c r="ES183" s="1025">
        <f t="shared" si="174"/>
        <v>0</v>
      </c>
      <c r="ET183" s="1025">
        <f t="shared" si="174"/>
        <v>0</v>
      </c>
      <c r="EU183" s="1025">
        <f t="shared" si="174"/>
        <v>0</v>
      </c>
      <c r="EV183" s="1025">
        <f t="shared" si="174"/>
        <v>0</v>
      </c>
      <c r="EW183" s="1025">
        <f t="shared" si="174"/>
        <v>0</v>
      </c>
      <c r="EX183" s="1225"/>
      <c r="EY183" s="1226"/>
      <c r="EZ183" s="1227"/>
      <c r="FA183" s="1227"/>
      <c r="FB183" s="1227"/>
      <c r="FC183" s="1227"/>
      <c r="FD183" s="1227"/>
      <c r="FE183" s="1225"/>
      <c r="FF183" s="1225"/>
      <c r="FG183" s="1225"/>
      <c r="FH183" s="1225"/>
      <c r="FI183" s="1225"/>
      <c r="FJ183" s="1225"/>
      <c r="FK183" s="1225"/>
      <c r="FL183" s="1225"/>
      <c r="FM183" s="1225"/>
    </row>
    <row r="184" spans="1:169" x14ac:dyDescent="0.2">
      <c r="A184" s="17"/>
      <c r="B184" s="15"/>
      <c r="C184" s="15"/>
      <c r="D184" s="16"/>
      <c r="E184" s="526"/>
      <c r="F184" s="16"/>
      <c r="G184" s="16"/>
      <c r="H184" s="16"/>
      <c r="I184" s="16"/>
      <c r="J184" s="16"/>
      <c r="K184" s="16"/>
      <c r="L184" s="16"/>
      <c r="M184" s="16"/>
      <c r="N184" s="16"/>
      <c r="O184" s="16"/>
      <c r="P184" s="16"/>
      <c r="Q184" s="16"/>
      <c r="R184" s="524"/>
      <c r="S184" s="16"/>
      <c r="T184" s="16"/>
      <c r="U184" s="16"/>
      <c r="V184" s="16"/>
      <c r="W184" s="16"/>
      <c r="X184" s="16"/>
      <c r="Y184" s="16"/>
      <c r="Z184" s="16"/>
      <c r="AA184" s="16"/>
      <c r="AB184" s="16"/>
      <c r="AC184" s="18"/>
      <c r="AD184" s="525"/>
      <c r="AF184" s="491"/>
      <c r="EZ184" s="440"/>
      <c r="FA184" s="440"/>
      <c r="FB184" s="440"/>
      <c r="FC184" s="440"/>
      <c r="FD184" s="440"/>
    </row>
    <row r="185" spans="1:169" x14ac:dyDescent="0.2">
      <c r="A185" s="1339" t="s">
        <v>725</v>
      </c>
      <c r="B185" s="1260" t="s">
        <v>320</v>
      </c>
      <c r="C185" s="446">
        <v>38352</v>
      </c>
      <c r="D185" s="447">
        <f>LTD_RE!D1</f>
        <v>15</v>
      </c>
      <c r="E185" s="448">
        <f>VLOOKUP(AH$8,LTD_RE!A64:E491,3,FALSE)/1000000</f>
        <v>22.745267399999999</v>
      </c>
      <c r="F185" s="449">
        <f>AH185</f>
        <v>2.7777799999999999</v>
      </c>
      <c r="G185" s="450">
        <f t="array" ref="G185">IF($AJ185=0,"---",(PRODUCT($AH185:AJ185/100+1)-1)*100)</f>
        <v>3.8792534525948108</v>
      </c>
      <c r="H185" s="450">
        <f t="array" ref="H185">IF($AS185=0,"---",(PRODUCT(AH185:AN185/100+1)-1)*100)</f>
        <v>16.965572358201975</v>
      </c>
      <c r="I185" s="450">
        <f t="array" ref="I185">IF(AS185=0,"---",(GEOMEAN($AH185:AS185/100+1)^12-1)*100)</f>
        <v>24.058286388361626</v>
      </c>
      <c r="J185" s="450">
        <f t="array" ref="J185">IF(BE185=0,"---",(GEOMEAN($AH185:BE185/100+1)^12-1)*100)</f>
        <v>11.060140894644931</v>
      </c>
      <c r="K185" s="450">
        <f t="array" ref="K185">IF(BQ185=0,"---",(GEOMEAN($AH185:BQ185/100+1)^12-1)*100)</f>
        <v>13.722642295791543</v>
      </c>
      <c r="L185" s="450">
        <f t="array" ref="L185">IF(CC185=0,"---",(GEOMEAN($AH185:CC185/100+1)^12-1)*100)</f>
        <v>15.172347659070628</v>
      </c>
      <c r="M185" s="450">
        <f t="array" ref="M185">IF(CO185=0,"---",(GEOMEAN($AH185:CO185/100+1)^12-1)*100)</f>
        <v>18.558466745162704</v>
      </c>
      <c r="N185" s="450">
        <f t="array" ref="N185">IF(DM185=0,"---",(GEOMEAN($AH185:DM185/100+1)^12-1)*100)</f>
        <v>4.9218255916707587</v>
      </c>
      <c r="O185" s="450">
        <f t="array" ref="O185">IF(EK185=0,"---",(GEOMEAN($AH185:EK185/100+1)^12-1)*100)</f>
        <v>6.705979605130219</v>
      </c>
      <c r="P185" s="450" t="str">
        <f t="array" ref="P185">IF(EW185=0,"---",(GEOMEAN($AH185:EW185/100+1)^12-1)*100)</f>
        <v>---</v>
      </c>
      <c r="Q185" s="1447">
        <f t="array" ref="Q185">(GEOMEAN(LTD_RE!B$357:B471/100+1)^12-1)*100</f>
        <v>7.0409350573624963</v>
      </c>
      <c r="R185" s="452">
        <f>IF(F185="---","---",(F185-F$186)*100)</f>
        <v>-9.2220000000000191</v>
      </c>
      <c r="S185" s="452">
        <f>IF(G185="---","---",(G185-G$186)*100)</f>
        <v>-9.2078939605166887</v>
      </c>
      <c r="T185" s="452">
        <f t="shared" ref="T185:AB185" si="175">IF(H185="---","---",(H185-H$186)*100)</f>
        <v>-3.979034539884907</v>
      </c>
      <c r="U185" s="452">
        <f t="shared" si="175"/>
        <v>-48.935230556030973</v>
      </c>
      <c r="V185" s="452">
        <f t="shared" si="175"/>
        <v>-175.98440604153396</v>
      </c>
      <c r="W185" s="452">
        <f t="shared" si="175"/>
        <v>-132.97459976886242</v>
      </c>
      <c r="X185" s="452">
        <f t="shared" si="175"/>
        <v>-107.626893037569</v>
      </c>
      <c r="Y185" s="452">
        <f>IF(M185="---","---",(M185-M$186)*100)</f>
        <v>-92.122391702664785</v>
      </c>
      <c r="Z185" s="452">
        <f t="shared" si="175"/>
        <v>-56.755100702061689</v>
      </c>
      <c r="AA185" s="452">
        <f t="shared" si="175"/>
        <v>-49.686105390989169</v>
      </c>
      <c r="AB185" s="452" t="str">
        <f t="shared" si="175"/>
        <v>---</v>
      </c>
      <c r="AC185" s="453">
        <f>(Q185-AF185)*100</f>
        <v>-47.062271137576772</v>
      </c>
      <c r="AD185" s="554">
        <v>0</v>
      </c>
      <c r="AE185" s="477"/>
      <c r="AF185" s="473">
        <f t="array" ref="AF185">(GEOMEAN(Index_Returns!AH357:AH471/100+1)^12-1)*100</f>
        <v>7.511557768738264</v>
      </c>
      <c r="AG185" s="382" t="str">
        <f>IF(I185="---","&lt; 1 Year","---")</f>
        <v>---</v>
      </c>
      <c r="AH185" s="439">
        <f>VLOOKUP(AH$8,LTD_RE!$A$1:$E$488,2,FALSE)</f>
        <v>2.7777799999999999</v>
      </c>
      <c r="AI185" s="439">
        <f>VLOOKUP(AI$8,LTD_RE!$A$1:$E$488,2,FALSE)</f>
        <v>0.1845</v>
      </c>
      <c r="AJ185" s="439">
        <f>VLOOKUP(AJ$8,LTD_RE!$A$1:$E$488,2,FALSE)</f>
        <v>0.88556999999999997</v>
      </c>
      <c r="AK185" s="439">
        <f>VLOOKUP(AK$8,LTD_RE!$A$1:$E$488,2,FALSE)</f>
        <v>2.41832</v>
      </c>
      <c r="AL185" s="439">
        <f>VLOOKUP(AL$8,LTD_RE!$A$1:$E$488,2,FALSE)</f>
        <v>3.69591</v>
      </c>
      <c r="AM185" s="439">
        <f>VLOOKUP(AM$8,LTD_RE!$A$1:$E$488,2,FALSE)</f>
        <v>0.84852000000000005</v>
      </c>
      <c r="AN185" s="439">
        <f>VLOOKUP(AN$8,LTD_RE!$A$1:$E$488,2,FALSE)</f>
        <v>5.1284900000000002</v>
      </c>
      <c r="AO185" s="439">
        <f>VLOOKUP(AO$8,LTD_RE!$A$1:$E$488,2,FALSE)</f>
        <v>3.9573800000000001</v>
      </c>
      <c r="AP185" s="439">
        <f>VLOOKUP(AP$8,LTD_RE!$A$1:$E$488,2,FALSE)</f>
        <v>0.54381999999999997</v>
      </c>
      <c r="AQ185" s="439">
        <f>VLOOKUP(AQ$8,LTD_RE!$A$1:$E$488,2,FALSE)</f>
        <v>-5.5338099999999999</v>
      </c>
      <c r="AR185" s="439">
        <f>VLOOKUP(AR$8,LTD_RE!$A$1:$E$488,2,FALSE)</f>
        <v>4.0819000000000001</v>
      </c>
      <c r="AS185" s="439">
        <f>VLOOKUP(AS$8,LTD_RE!$A$1:$E$488,2,FALSE)</f>
        <v>3.2061099999999998</v>
      </c>
      <c r="AT185" s="439">
        <f>VLOOKUP(AT$8,LTD_RE!$A$1:$E$488,2,FALSE)</f>
        <v>-6.8041499999999999</v>
      </c>
      <c r="AU185" s="439">
        <f>VLOOKUP(AU$8,LTD_RE!$A$1:$E$488,2,FALSE)</f>
        <v>0.71526000000000001</v>
      </c>
      <c r="AV185" s="439">
        <f>VLOOKUP(AV$8,LTD_RE!$A$1:$E$488,2,FALSE)</f>
        <v>-1.7522</v>
      </c>
      <c r="AW185" s="439">
        <f>VLOOKUP(AW$8,LTD_RE!$A$1:$E$488,2,FALSE)</f>
        <v>-6.00319</v>
      </c>
      <c r="AX185" s="439">
        <f>VLOOKUP(AX$8,LTD_RE!$A$1:$E$488,2,FALSE)</f>
        <v>6.8348899999999997</v>
      </c>
      <c r="AY185" s="439">
        <f>VLOOKUP(AY$8,LTD_RE!$A$1:$E$488,2,FALSE)</f>
        <v>2.6326299999999998</v>
      </c>
      <c r="AZ185" s="439">
        <f>VLOOKUP(AZ$8,LTD_RE!$A$1:$E$488,2,FALSE)</f>
        <v>0.83933000000000002</v>
      </c>
      <c r="BA185" s="439">
        <f>VLOOKUP(BA$8,LTD_RE!$A$1:$E$488,2,FALSE)</f>
        <v>3.4089700000000001</v>
      </c>
      <c r="BB185" s="439">
        <f>VLOOKUP(BB$8,LTD_RE!$A$1:$E$488,2,FALSE)</f>
        <v>3.7925300000000002</v>
      </c>
      <c r="BC185" s="439">
        <f>VLOOKUP(BC$8,LTD_RE!$A$1:$E$488,2,FALSE)</f>
        <v>-0.52529999999999999</v>
      </c>
      <c r="BD185" s="439">
        <f>VLOOKUP(BD$8,LTD_RE!$A$1:$E$488,2,FALSE)</f>
        <v>-0.89383999999999997</v>
      </c>
      <c r="BE185" s="439">
        <f>VLOOKUP(BE$8,LTD_RE!$A$1:$E$488,2,FALSE)</f>
        <v>-1.9614799999999999</v>
      </c>
      <c r="BF185" s="439">
        <f>VLOOKUP(BF$8,LTD_RE!$A$1:$E$488,2,FALSE)</f>
        <v>-0.27667000000000003</v>
      </c>
      <c r="BG185" s="439">
        <f>VLOOKUP(BG$8,LTD_RE!$A$1:$E$488,2,FALSE)</f>
        <v>1.8406400000000001</v>
      </c>
      <c r="BH185" s="439">
        <f>VLOOKUP(BH$8,LTD_RE!$A$1:$E$488,2,FALSE)</f>
        <v>5.4948399999999999</v>
      </c>
      <c r="BI185" s="439">
        <f>VLOOKUP(BI$8,LTD_RE!$A$1:$E$488,2,FALSE)</f>
        <v>-4.6496500000000003</v>
      </c>
      <c r="BJ185" s="439">
        <f>VLOOKUP(BJ$8,LTD_RE!$A$1:$E$488,2,FALSE)</f>
        <v>3.0116100000000001</v>
      </c>
      <c r="BK185" s="439">
        <f>VLOOKUP(BK$8,LTD_RE!$A$1:$E$488,2,FALSE)</f>
        <v>5.1694000000000004</v>
      </c>
      <c r="BL185" s="439">
        <f>VLOOKUP(BL$8,LTD_RE!$A$1:$E$488,2,FALSE)</f>
        <v>-1.0351699999999999</v>
      </c>
      <c r="BM185" s="439">
        <f>VLOOKUP(BM$8,LTD_RE!$A$1:$E$488,2,FALSE)</f>
        <v>6.4599900000000003</v>
      </c>
      <c r="BN185" s="439">
        <f>VLOOKUP(BN$8,LTD_RE!$A$1:$E$488,2,FALSE)</f>
        <v>4.6619200000000003</v>
      </c>
      <c r="BO185" s="439">
        <f>VLOOKUP(BO$8,LTD_RE!$A$1:$E$488,2,FALSE)</f>
        <v>-4.0337699999999996</v>
      </c>
      <c r="BP185" s="439">
        <f>VLOOKUP(BP$8,LTD_RE!$A$1:$E$488,2,FALSE)</f>
        <v>14.814019999999999</v>
      </c>
      <c r="BQ185" s="439">
        <f>VLOOKUP(BQ$8,LTD_RE!$A$1:$E$488,2,FALSE)</f>
        <v>-11.323600000000001</v>
      </c>
      <c r="BR185" s="439">
        <f>VLOOKUP(BR$8,LTD_RE!$A$1:$E$488,2,FALSE)</f>
        <v>-5.7290999999999999</v>
      </c>
      <c r="BS185" s="439">
        <f>VLOOKUP(BS$8,LTD_RE!$A$1:$E$488,2,FALSE)</f>
        <v>1.7082999999999999</v>
      </c>
      <c r="BT185" s="439">
        <f>VLOOKUP(BT$8,LTD_RE!$A$1:$E$488,2,FALSE)</f>
        <v>-3.3163</v>
      </c>
      <c r="BU185" s="439">
        <f>VLOOKUP(BU$8,LTD_RE!$A$1:$E$488,2,FALSE)</f>
        <v>1.4806999999999999</v>
      </c>
      <c r="BV185" s="439">
        <f>VLOOKUP(BV$8,LTD_RE!$A$1:$E$488,2,FALSE)</f>
        <v>5.9367000000000001</v>
      </c>
      <c r="BW185" s="439">
        <f>VLOOKUP(BW$8,LTD_RE!$A$1:$E$488,2,FALSE)</f>
        <v>-1.4239999999999999</v>
      </c>
      <c r="BX185" s="439">
        <f>VLOOKUP(BX$8,LTD_RE!$A$1:$E$488,2,FALSE)</f>
        <v>4.5849000000000002</v>
      </c>
      <c r="BY185" s="439">
        <f>VLOOKUP(BY$8,LTD_RE!$A$1:$E$488,2,FALSE)</f>
        <v>3.4902000000000002</v>
      </c>
      <c r="BZ185" s="439">
        <f>VLOOKUP(BZ$8,LTD_RE!$A$1:$E$488,2,FALSE)</f>
        <v>4.8129999999999997</v>
      </c>
      <c r="CA185" s="439">
        <f>VLOOKUP(CA$8,LTD_RE!$A$1:$E$488,2,FALSE)</f>
        <v>-1.9534</v>
      </c>
      <c r="CB185" s="439">
        <f>VLOOKUP(CB$8,LTD_RE!$A$1:$E$488,2,FALSE)</f>
        <v>4.7336999999999998</v>
      </c>
      <c r="CC185" s="439">
        <f>VLOOKUP(CC$8,LTD_RE!$A$1:$E$488,2,FALSE)</f>
        <v>4.5349000000000004</v>
      </c>
      <c r="CD185" s="439">
        <f>VLOOKUP(CD$8,LTD_RE!$A$1:$E$488,2,FALSE)</f>
        <v>-1.4313</v>
      </c>
      <c r="CE185" s="439">
        <f>VLOOKUP(CE$8,LTD_RE!$A$1:$E$488,2,FALSE)</f>
        <v>9.8530999999999995</v>
      </c>
      <c r="CF185" s="439">
        <f>VLOOKUP(CF$8,LTD_RE!$A$1:$E$488,2,FALSE)</f>
        <v>-5.4314</v>
      </c>
      <c r="CG185" s="439">
        <f>VLOOKUP(CG$8,LTD_RE!$A$1:$E$488,2,FALSE)</f>
        <v>-5.4817999999999998</v>
      </c>
      <c r="CH185" s="439">
        <f>VLOOKUP(CH$8,LTD_RE!$A$1:$E$488,2,FALSE)</f>
        <v>7.0151000000000003</v>
      </c>
      <c r="CI185" s="439">
        <f>VLOOKUP(CI$8,LTD_RE!$A$1:$E$488,2,FALSE)</f>
        <v>10.2149</v>
      </c>
      <c r="CJ185" s="439">
        <f>VLOOKUP(CJ$8,LTD_RE!$A$1:$E$488,2,FALSE)</f>
        <v>5.8414999999999999</v>
      </c>
      <c r="CK185" s="439">
        <f>VLOOKUP(CK$8,LTD_RE!$A$1:$E$488,2,FALSE)</f>
        <v>-5.6299000000000001</v>
      </c>
      <c r="CL185" s="439">
        <f>VLOOKUP(CL$8,LTD_RE!$A$1:$E$488,2,FALSE)</f>
        <v>7.0438000000000001</v>
      </c>
      <c r="CM185" s="439">
        <f>VLOOKUP(CM$8,LTD_RE!$A$1:$E$488,2,FALSE)</f>
        <v>7.0071000000000003</v>
      </c>
      <c r="CN185" s="439">
        <f>VLOOKUP(CN$8,LTD_RE!$A$1:$E$488,2,FALSE)</f>
        <v>-4.8352000000000004</v>
      </c>
      <c r="CO185" s="439">
        <f>VLOOKUP(CO$8,LTD_RE!$A$1:$E$488,2,FALSE)</f>
        <v>7.11</v>
      </c>
      <c r="CP185" s="439">
        <f>VLOOKUP(CP$8,LTD_RE!$A$1:$E$488,2,FALSE)</f>
        <v>14.73</v>
      </c>
      <c r="CQ185" s="439">
        <f>VLOOKUP(CQ$8,LTD_RE!$A$1:$E$488,2,FALSE)</f>
        <v>10.49</v>
      </c>
      <c r="CR185" s="439">
        <f>VLOOKUP(CR$8,LTD_RE!$A$1:$E$488,2,FALSE)</f>
        <v>-3.47</v>
      </c>
      <c r="CS185" s="439">
        <f>VLOOKUP(CS$8,LTD_RE!$A$1:$E$488,2,FALSE)</f>
        <v>2.52</v>
      </c>
      <c r="CT185" s="439">
        <f>VLOOKUP(CT$8,LTD_RE!$A$1:$E$488,2,FALSE)</f>
        <v>32.840000000000003</v>
      </c>
      <c r="CU185" s="439">
        <f>VLOOKUP(CU$8,LTD_RE!$A$1:$E$488,2,FALSE)</f>
        <v>3.31</v>
      </c>
      <c r="CV185" s="439">
        <f>VLOOKUP(CV$8,LTD_RE!$A$1:$E$488,2,FALSE)</f>
        <v>-21.64</v>
      </c>
      <c r="CW185" s="439">
        <f>VLOOKUP(CW$8,LTD_RE!$A$1:$E$488,2,FALSE)</f>
        <v>-18.03</v>
      </c>
      <c r="CX185" s="439">
        <f>VLOOKUP(CX$8,LTD_RE!$A$1:$E$488,2,FALSE)</f>
        <v>17.46</v>
      </c>
      <c r="CY185" s="439">
        <f>VLOOKUP(CY$8,LTD_RE!$A$1:$E$488,2,FALSE)</f>
        <v>-24.55</v>
      </c>
      <c r="CZ185" s="439">
        <f>VLOOKUP(CZ$8,LTD_RE!$A$1:$E$488,2,FALSE)</f>
        <v>-32.61</v>
      </c>
      <c r="DA185" s="439">
        <f>VLOOKUP(DA$8,LTD_RE!$A$1:$E$488,2,FALSE)</f>
        <v>-0.91</v>
      </c>
      <c r="DB185" s="439">
        <f>VLOOKUP(DB$8,LTD_RE!$A$1:$E$488,2,FALSE)</f>
        <v>2.39</v>
      </c>
      <c r="DC185" s="439">
        <f>VLOOKUP(DC$8,LTD_RE!$A$1:$E$488,2,FALSE)</f>
        <v>2.92</v>
      </c>
      <c r="DD185" s="439">
        <f>VLOOKUP(DD$8,LTD_RE!$A$1:$E$488,2,FALSE)</f>
        <v>-11.08</v>
      </c>
      <c r="DE185" s="439">
        <f>VLOOKUP(DE$8,LTD_RE!$A$1:$E$488,2,FALSE)</f>
        <v>0.24</v>
      </c>
      <c r="DF185" s="439">
        <f>VLOOKUP(DF$8,LTD_RE!$A$1:$E$488,2,FALSE)</f>
        <v>6.15</v>
      </c>
      <c r="DG185" s="439">
        <f>VLOOKUP(DG$8,LTD_RE!$A$1:$E$488,2,FALSE)</f>
        <v>6.55</v>
      </c>
      <c r="DH185" s="439">
        <f>VLOOKUP(DH$8,LTD_RE!$A$1:$E$488,2,FALSE)</f>
        <v>-3.81</v>
      </c>
      <c r="DI185" s="439">
        <f>VLOOKUP(DI$8,LTD_RE!$A$1:$E$488,2,FALSE)</f>
        <v>-0.43</v>
      </c>
      <c r="DJ185" s="439">
        <f>VLOOKUP(DJ$8,LTD_RE!$A$1:$E$488,2,FALSE)</f>
        <v>-5.39</v>
      </c>
      <c r="DK185" s="439">
        <f>VLOOKUP(DK$8,LTD_RE!$A$1:$E$488,2,FALSE)</f>
        <v>-9.76</v>
      </c>
      <c r="DL185" s="439">
        <f>VLOOKUP(DL$8,LTD_RE!$A$1:$E$488,2,FALSE)</f>
        <v>1.1599999999999999</v>
      </c>
      <c r="DM185" s="439">
        <f>VLOOKUP(DM$8,LTD_RE!$A$1:$E$488,2,FALSE)</f>
        <v>3.91</v>
      </c>
      <c r="DN185" s="439">
        <f>VLOOKUP(DN$8,LTD_RE!$A$1:$E$488,2,FALSE)</f>
        <v>5.84</v>
      </c>
      <c r="DO185" s="439">
        <f>VLOOKUP(DO$8,LTD_RE!$A$1:$E$488,2,FALSE)</f>
        <v>-7.82</v>
      </c>
      <c r="DP185" s="439">
        <f>VLOOKUP(DP$8,LTD_RE!$A$1:$E$488,2,FALSE)</f>
        <v>-9.36</v>
      </c>
      <c r="DQ185" s="439">
        <f>VLOOKUP(DQ$8,LTD_RE!$A$1:$E$488,2,FALSE)</f>
        <v>0.02</v>
      </c>
      <c r="DR185" s="439">
        <f>VLOOKUP(DR$8,LTD_RE!$A$1:$E$488,2,FALSE)</f>
        <v>0</v>
      </c>
      <c r="DS185" s="439">
        <f>VLOOKUP(DS$8,LTD_RE!$A$1:$E$488,2,FALSE)</f>
        <v>-2.71</v>
      </c>
      <c r="DT185" s="439">
        <f>VLOOKUP(DT$8,LTD_RE!$A$1:$E$488,2,FALSE)</f>
        <v>-2.25</v>
      </c>
      <c r="DU185" s="439">
        <f>VLOOKUP(DU$8,LTD_RE!$A$1:$E$488,2,FALSE)</f>
        <v>8.99</v>
      </c>
      <c r="DV185" s="439">
        <f>VLOOKUP(DV$8,LTD_RE!$A$1:$E$488,2,FALSE)</f>
        <v>-2.2799999999999998</v>
      </c>
      <c r="DW185" s="439">
        <f>VLOOKUP(DW$8,LTD_RE!$A$1:$E$488,2,FALSE)</f>
        <v>4.78</v>
      </c>
      <c r="DX185" s="439">
        <f>VLOOKUP(DX$8,LTD_RE!$A$1:$E$488,2,FALSE)</f>
        <v>6.31</v>
      </c>
      <c r="DY185" s="439">
        <f>VLOOKUP(DY$8,LTD_RE!$A$1:$E$488,2,FALSE)</f>
        <v>1.85</v>
      </c>
      <c r="DZ185" s="439">
        <f>VLOOKUP(DZ$8,LTD_RE!$A$1:$E$488,2,FALSE)</f>
        <v>3.35</v>
      </c>
      <c r="EA185" s="439">
        <f>VLOOKUP(EA$8,LTD_RE!$A$1:$E$488,2,FALSE)</f>
        <v>3.52</v>
      </c>
      <c r="EB185" s="439">
        <f>VLOOKUP(EB$8,LTD_RE!$A$1:$E$488,2,FALSE)</f>
        <v>5.66</v>
      </c>
      <c r="EC185" s="439">
        <f>VLOOKUP(EC$8,LTD_RE!$A$1:$E$488,2,FALSE)</f>
        <v>-2.81</v>
      </c>
      <c r="ED185" s="439">
        <f>VLOOKUP(ED$8,LTD_RE!$A$1:$E$488,2,FALSE)</f>
        <v>-3.66</v>
      </c>
      <c r="EE185" s="439">
        <f>VLOOKUP(EE$8,LTD_RE!$A$1:$E$488,2,FALSE)</f>
        <v>5.28</v>
      </c>
      <c r="EF185" s="439">
        <f>VLOOKUP(EF$8,LTD_RE!$A$1:$E$488,2,FALSE)</f>
        <v>2.21</v>
      </c>
      <c r="EG185" s="439">
        <f>VLOOKUP(EG$8,LTD_RE!$A$1:$E$488,2,FALSE)</f>
        <v>7.15</v>
      </c>
      <c r="EH185" s="439">
        <f>VLOOKUP(EH$8,LTD_RE!$A$1:$E$488,2,FALSE)</f>
        <v>0.39</v>
      </c>
      <c r="EI185" s="439">
        <f>VLOOKUP(EI$8,LTD_RE!$A$1:$E$488,2,FALSE)</f>
        <v>4.55</v>
      </c>
      <c r="EJ185" s="439">
        <f>VLOOKUP(EJ$8,LTD_RE!$A$1:$E$488,2,FALSE)</f>
        <v>-1.9</v>
      </c>
      <c r="EK185" s="439">
        <f>VLOOKUP(EK$8,LTD_RE!$A$1:$E$488,2,FALSE)</f>
        <v>0.32</v>
      </c>
      <c r="EL185" s="439">
        <f>VLOOKUP(EL$8,LTD_RE!$A$1:$E$488,2,FALSE)</f>
        <v>-3.98</v>
      </c>
      <c r="EM185" s="439">
        <f>VLOOKUP(EM$8,LTD_RE!$A$1:$E$488,2,FALSE)</f>
        <v>7.54</v>
      </c>
      <c r="EN185" s="439">
        <f>VLOOKUP(EN$8,LTD_RE!$A$1:$E$488,2,FALSE)</f>
        <v>5.19</v>
      </c>
      <c r="EO185" s="439">
        <f>VLOOKUP(EO$8,LTD_RE!$A$1:$E$488,2,FALSE)</f>
        <v>3.31</v>
      </c>
      <c r="EP185" s="439">
        <f>VLOOKUP(EP$8,LTD_RE!$A$1:$E$488,2,FALSE)</f>
        <v>4.9800000000000004</v>
      </c>
      <c r="EQ185" s="439">
        <f>VLOOKUP(EQ$8,LTD_RE!$A$1:$E$488,2,FALSE)</f>
        <v>-1.23</v>
      </c>
      <c r="ER185" s="439">
        <f>VLOOKUP(ER$8,LTD_RE!$A$1:$E$488,2,FALSE)</f>
        <v>3.05</v>
      </c>
      <c r="ES185" s="439">
        <f>VLOOKUP(ES$8,LTD_RE!$A$1:$E$488,2,FALSE)</f>
        <v>-8.26</v>
      </c>
      <c r="ET185" s="439">
        <f>VLOOKUP(ET$8,LTD_RE!$A$1:$E$488,2,FALSE)</f>
        <v>0</v>
      </c>
      <c r="EU185" s="439">
        <f>VLOOKUP(EU$8,LTD_RE!$A$1:$E$488,2,FALSE)</f>
        <v>0</v>
      </c>
      <c r="EV185" s="439">
        <f>VLOOKUP(EV$8,LTD_RE!$A$1:$E$488,2,FALSE)</f>
        <v>0</v>
      </c>
      <c r="EW185" s="439">
        <f>VLOOKUP(EW$8,LTD_RE!$A$1:$E$488,2,FALSE)</f>
        <v>0</v>
      </c>
      <c r="EY185" s="580" t="s">
        <v>309</v>
      </c>
      <c r="EZ185" s="789">
        <v>-40.135899999999999</v>
      </c>
      <c r="FA185" s="789">
        <v>-39.637899999999995</v>
      </c>
      <c r="FB185" s="789">
        <v>-12.4039</v>
      </c>
      <c r="FC185" s="789" t="e">
        <v>#VALUE!</v>
      </c>
      <c r="FD185" s="789">
        <v>-6.5047999999999995</v>
      </c>
      <c r="FF185" s="505">
        <f>IF(G185="---","-",ABS(EZ185-G185))</f>
        <v>44.015153452594809</v>
      </c>
      <c r="FG185" s="505">
        <f>IF(I185="---","-",ABS(FA185-I185))</f>
        <v>63.696186388361625</v>
      </c>
      <c r="FH185" s="505">
        <f>IF(K185="---","-",ABS(FB185-K185))</f>
        <v>26.126542295791545</v>
      </c>
      <c r="FI185" s="505" t="e">
        <f>IF(M185="---","-",ABS(FC185-M185))</f>
        <v>#VALUE!</v>
      </c>
      <c r="FJ185" s="505">
        <f>IF(Q185="---","-",ABS(FD185-Q185))</f>
        <v>13.545735057362496</v>
      </c>
    </row>
    <row r="186" spans="1:169" x14ac:dyDescent="0.2">
      <c r="A186" s="1341" t="s">
        <v>729</v>
      </c>
      <c r="B186" s="418"/>
      <c r="C186" s="485"/>
      <c r="D186" s="249"/>
      <c r="E186" s="470"/>
      <c r="F186" s="431">
        <f>AH186</f>
        <v>2.87</v>
      </c>
      <c r="G186" s="432">
        <f t="array" ref="G186">IF($AJ186=0,"---",(PRODUCT($AH186:AJ186/100+1)-1)*100)</f>
        <v>3.9713323921999777</v>
      </c>
      <c r="H186" s="432">
        <f t="array" ref="H186">IF($AS186=0,"---",(PRODUCT(AH186:AN186/100+1)-1)*100)</f>
        <v>17.005362703600824</v>
      </c>
      <c r="I186" s="432">
        <f t="array" ref="I186">IF(AS186=0,"---",(GEOMEAN($AH186:AS186/100+1)^12-1)*100)</f>
        <v>24.547638693921936</v>
      </c>
      <c r="J186" s="432">
        <f t="array" ref="J186">IF(BE186=0,"---",(GEOMEAN($AH186:BE186/100+1)^12-1)*100)</f>
        <v>12.819984955060271</v>
      </c>
      <c r="K186" s="432">
        <f t="array" ref="K186">IF(BQ186=0,"---",(GEOMEAN($AH186:BQ186/100+1)^12-1)*100)</f>
        <v>15.052388293480167</v>
      </c>
      <c r="L186" s="432">
        <f t="array" ref="L186">IF(CC186=0,"---",(GEOMEAN($AH186:CC186/100+1)^12-1)*100)</f>
        <v>16.248616589446318</v>
      </c>
      <c r="M186" s="432">
        <f t="array" ref="M186">IF(CO186=0,"---",(GEOMEAN($AH186:CO186/100+1)^12-1)*100)</f>
        <v>19.479690662189352</v>
      </c>
      <c r="N186" s="432">
        <f t="array" ref="N186">IF(DM186=0,"---",(GEOMEAN($AH186:DM186/100+1)^12-1)*100)</f>
        <v>5.4893765986913756</v>
      </c>
      <c r="O186" s="432">
        <f t="array" ref="O186">IF(EK186=0,"---",(GEOMEAN($AH186:EK186/100+1)^12-1)*100)</f>
        <v>7.2028406590401106</v>
      </c>
      <c r="P186" s="432">
        <f t="array" ref="P186">IF(EW186=0,"---",(GEOMEAN($AH186:EW186/100+1)^12-1)*100)</f>
        <v>9.1195357581227441</v>
      </c>
      <c r="Q186" s="468" t="s">
        <v>34</v>
      </c>
      <c r="R186" s="249"/>
      <c r="S186" s="249"/>
      <c r="T186" s="249"/>
      <c r="U186" s="249"/>
      <c r="V186" s="249"/>
      <c r="W186" s="249"/>
      <c r="X186" s="249"/>
      <c r="Y186" s="249"/>
      <c r="Z186" s="249"/>
      <c r="AA186" s="249"/>
      <c r="AB186" s="249"/>
      <c r="AC186" s="459"/>
      <c r="AD186" s="553"/>
      <c r="AE186" s="15"/>
      <c r="AF186" s="442"/>
      <c r="AG186" s="486"/>
      <c r="AH186" s="439">
        <f t="shared" ref="AH186:BM186" si="176">VLOOKUP(AH$8,Index,34,FALSE)</f>
        <v>2.87</v>
      </c>
      <c r="AI186" s="439">
        <f t="shared" si="176"/>
        <v>0.06</v>
      </c>
      <c r="AJ186" s="439">
        <f t="shared" si="176"/>
        <v>1.01</v>
      </c>
      <c r="AK186" s="439">
        <f t="shared" si="176"/>
        <v>2.5299999999999998</v>
      </c>
      <c r="AL186" s="439">
        <f t="shared" si="176"/>
        <v>3.53</v>
      </c>
      <c r="AM186" s="439">
        <f t="shared" si="176"/>
        <v>0.93</v>
      </c>
      <c r="AN186" s="439">
        <f t="shared" si="176"/>
        <v>5.04</v>
      </c>
      <c r="AO186" s="439">
        <f t="shared" si="176"/>
        <v>3.74</v>
      </c>
      <c r="AP186" s="439">
        <f t="shared" si="176"/>
        <v>0.59</v>
      </c>
      <c r="AQ186" s="439">
        <f t="shared" si="176"/>
        <v>-5.16</v>
      </c>
      <c r="AR186" s="439">
        <f t="shared" si="176"/>
        <v>4.03</v>
      </c>
      <c r="AS186" s="439">
        <f t="shared" si="176"/>
        <v>3.39</v>
      </c>
      <c r="AT186" s="439">
        <f t="shared" si="176"/>
        <v>-6.77</v>
      </c>
      <c r="AU186" s="439">
        <f t="shared" si="176"/>
        <v>0.84</v>
      </c>
      <c r="AV186" s="439">
        <f t="shared" si="176"/>
        <v>-1.7</v>
      </c>
      <c r="AW186" s="439">
        <f t="shared" si="176"/>
        <v>-5.85</v>
      </c>
      <c r="AX186" s="439">
        <f t="shared" si="176"/>
        <v>6.53</v>
      </c>
      <c r="AY186" s="439">
        <f t="shared" si="176"/>
        <v>2.83</v>
      </c>
      <c r="AZ186" s="439">
        <f t="shared" si="176"/>
        <v>0.93</v>
      </c>
      <c r="BA186" s="439">
        <f t="shared" si="176"/>
        <v>3.48</v>
      </c>
      <c r="BB186" s="439">
        <f t="shared" si="176"/>
        <v>3.86</v>
      </c>
      <c r="BC186" s="439">
        <f t="shared" si="176"/>
        <v>-0.36</v>
      </c>
      <c r="BD186" s="439">
        <f t="shared" si="176"/>
        <v>0.98</v>
      </c>
      <c r="BE186" s="439">
        <f t="shared" si="176"/>
        <v>-1.76</v>
      </c>
      <c r="BF186" s="439">
        <f t="shared" si="176"/>
        <v>-0.13</v>
      </c>
      <c r="BG186" s="439">
        <f t="shared" si="176"/>
        <v>1.81</v>
      </c>
      <c r="BH186" s="439">
        <f t="shared" si="176"/>
        <v>5.55</v>
      </c>
      <c r="BI186" s="439">
        <f t="shared" si="176"/>
        <v>-4.7</v>
      </c>
      <c r="BJ186" s="439">
        <f t="shared" si="176"/>
        <v>2.93</v>
      </c>
      <c r="BK186" s="439">
        <f t="shared" si="176"/>
        <v>5.18</v>
      </c>
      <c r="BL186" s="439">
        <f t="shared" si="176"/>
        <v>-1.03</v>
      </c>
      <c r="BM186" s="439">
        <f t="shared" si="176"/>
        <v>6.57</v>
      </c>
      <c r="BN186" s="439">
        <f t="shared" ref="BN186:CS186" si="177">VLOOKUP(BN$8,Index,34,FALSE)</f>
        <v>4.71</v>
      </c>
      <c r="BO186" s="439">
        <f t="shared" si="177"/>
        <v>-4.04</v>
      </c>
      <c r="BP186" s="439">
        <f t="shared" si="177"/>
        <v>14.85</v>
      </c>
      <c r="BQ186" s="439">
        <f t="shared" si="177"/>
        <v>-11.22</v>
      </c>
      <c r="BR186" s="439">
        <f t="shared" si="177"/>
        <v>-5.87</v>
      </c>
      <c r="BS186" s="439">
        <f t="shared" si="177"/>
        <v>1.63</v>
      </c>
      <c r="BT186" s="439">
        <f t="shared" si="177"/>
        <v>-3.36</v>
      </c>
      <c r="BU186" s="439">
        <f t="shared" si="177"/>
        <v>1.54</v>
      </c>
      <c r="BV186" s="439">
        <f t="shared" si="177"/>
        <v>5.86</v>
      </c>
      <c r="BW186" s="439">
        <f t="shared" si="177"/>
        <v>-1.41</v>
      </c>
      <c r="BX186" s="439">
        <f t="shared" si="177"/>
        <v>4.5199999999999996</v>
      </c>
      <c r="BY186" s="439">
        <f t="shared" si="177"/>
        <v>3.48</v>
      </c>
      <c r="BZ186" s="439">
        <f t="shared" si="177"/>
        <v>4.8499999999999996</v>
      </c>
      <c r="CA186" s="439">
        <f t="shared" si="177"/>
        <v>-1.62</v>
      </c>
      <c r="CB186" s="439">
        <f t="shared" si="177"/>
        <v>4.88</v>
      </c>
      <c r="CC186" s="439">
        <f t="shared" si="177"/>
        <v>4.5999999999999996</v>
      </c>
      <c r="CD186" s="439">
        <f t="shared" si="177"/>
        <v>-1.42</v>
      </c>
      <c r="CE186" s="439">
        <f t="shared" si="177"/>
        <v>9.82</v>
      </c>
      <c r="CF186" s="439">
        <f t="shared" si="177"/>
        <v>-5.46</v>
      </c>
      <c r="CG186" s="439">
        <f t="shared" si="177"/>
        <v>-5.42</v>
      </c>
      <c r="CH186" s="439">
        <f t="shared" si="177"/>
        <v>6.89</v>
      </c>
      <c r="CI186" s="439">
        <f t="shared" si="177"/>
        <v>10.27</v>
      </c>
      <c r="CJ186" s="439">
        <f t="shared" si="177"/>
        <v>5.85</v>
      </c>
      <c r="CK186" s="439">
        <f t="shared" si="177"/>
        <v>-5.51999</v>
      </c>
      <c r="CL186" s="439">
        <f t="shared" si="177"/>
        <v>6.93</v>
      </c>
      <c r="CM186" s="439">
        <f t="shared" si="177"/>
        <v>7.08</v>
      </c>
      <c r="CN186" s="439">
        <f t="shared" si="177"/>
        <v>-4.8600000000000003</v>
      </c>
      <c r="CO186" s="439">
        <f t="shared" si="177"/>
        <v>7.26</v>
      </c>
      <c r="CP186" s="439">
        <f t="shared" si="177"/>
        <v>14.68</v>
      </c>
      <c r="CQ186" s="439">
        <f t="shared" si="177"/>
        <v>10.5</v>
      </c>
      <c r="CR186" s="439">
        <f t="shared" si="177"/>
        <v>-3.36</v>
      </c>
      <c r="CS186" s="439">
        <f t="shared" si="177"/>
        <v>2.56</v>
      </c>
      <c r="CT186" s="439">
        <f t="shared" ref="CT186:DY186" si="178">VLOOKUP(CT$8,Index,34,FALSE)</f>
        <v>33.08</v>
      </c>
      <c r="CU186" s="439">
        <f t="shared" si="178"/>
        <v>3.24</v>
      </c>
      <c r="CV186" s="439">
        <f t="shared" si="178"/>
        <v>-21.72</v>
      </c>
      <c r="CW186" s="439">
        <f t="shared" si="178"/>
        <v>-18.149999999999999</v>
      </c>
      <c r="CX186" s="439">
        <f t="shared" si="178"/>
        <v>17.55</v>
      </c>
      <c r="CY186" s="439">
        <f t="shared" si="178"/>
        <v>-24.69</v>
      </c>
      <c r="CZ186" s="439">
        <f t="shared" si="178"/>
        <v>-32.67</v>
      </c>
      <c r="DA186" s="439">
        <f t="shared" si="178"/>
        <v>-0.84</v>
      </c>
      <c r="DB186" s="439">
        <f t="shared" si="178"/>
        <v>2.39</v>
      </c>
      <c r="DC186" s="439">
        <f t="shared" si="178"/>
        <v>2.94</v>
      </c>
      <c r="DD186" s="439">
        <f t="shared" si="178"/>
        <v>-11.09</v>
      </c>
      <c r="DE186" s="439">
        <f t="shared" si="178"/>
        <v>0.23</v>
      </c>
      <c r="DF186" s="439">
        <f t="shared" si="178"/>
        <v>6.14</v>
      </c>
      <c r="DG186" s="439">
        <f t="shared" si="178"/>
        <v>6.6</v>
      </c>
      <c r="DH186" s="439">
        <f t="shared" si="178"/>
        <v>-3.83</v>
      </c>
      <c r="DI186" s="439">
        <f t="shared" si="178"/>
        <v>-0.39</v>
      </c>
      <c r="DJ186" s="439">
        <f t="shared" si="178"/>
        <v>-5.39</v>
      </c>
      <c r="DK186" s="439">
        <f t="shared" si="178"/>
        <v>-9.7799999999999994</v>
      </c>
      <c r="DL186" s="439">
        <f t="shared" si="178"/>
        <v>1.1299999999999999</v>
      </c>
      <c r="DM186" s="439">
        <f t="shared" si="178"/>
        <v>3.96</v>
      </c>
      <c r="DN186" s="439">
        <f t="shared" si="178"/>
        <v>5.86</v>
      </c>
      <c r="DO186" s="439">
        <f t="shared" si="178"/>
        <v>-7.83</v>
      </c>
      <c r="DP186" s="439">
        <f t="shared" si="178"/>
        <v>-9.34</v>
      </c>
      <c r="DQ186" s="439">
        <f t="shared" si="178"/>
        <v>0.01</v>
      </c>
      <c r="DR186" s="439">
        <f t="shared" si="178"/>
        <v>-0.02</v>
      </c>
      <c r="DS186" s="439">
        <f t="shared" si="178"/>
        <v>-2.68</v>
      </c>
      <c r="DT186" s="439">
        <f t="shared" si="178"/>
        <v>-2.2599999999999998</v>
      </c>
      <c r="DU186" s="439">
        <f t="shared" si="178"/>
        <v>9.0399999999999991</v>
      </c>
      <c r="DV186" s="439">
        <f t="shared" si="178"/>
        <v>-2.25</v>
      </c>
      <c r="DW186" s="439">
        <f t="shared" si="178"/>
        <v>4.79</v>
      </c>
      <c r="DX186" s="439">
        <f t="shared" si="178"/>
        <v>6.32</v>
      </c>
      <c r="DY186" s="439">
        <f t="shared" si="178"/>
        <v>1.92</v>
      </c>
      <c r="DZ186" s="439">
        <f t="shared" ref="DZ186:EW186" si="179">VLOOKUP(DZ$8,Index,34,FALSE)</f>
        <v>3.38</v>
      </c>
      <c r="EA186" s="439">
        <f t="shared" si="179"/>
        <v>3.55</v>
      </c>
      <c r="EB186" s="439">
        <f t="shared" si="179"/>
        <v>5.72</v>
      </c>
      <c r="EC186" s="439">
        <f t="shared" si="179"/>
        <v>-2.81</v>
      </c>
      <c r="ED186" s="439">
        <f t="shared" si="179"/>
        <v>-3.69</v>
      </c>
      <c r="EE186" s="439">
        <f t="shared" si="179"/>
        <v>5.33</v>
      </c>
      <c r="EF186" s="439">
        <f t="shared" si="179"/>
        <v>2.2200000000000002</v>
      </c>
      <c r="EG186" s="439">
        <f t="shared" si="179"/>
        <v>7.16</v>
      </c>
      <c r="EH186" s="439">
        <f t="shared" si="179"/>
        <v>0.43</v>
      </c>
      <c r="EI186" s="439">
        <f t="shared" si="179"/>
        <v>4.5599999999999996</v>
      </c>
      <c r="EJ186" s="439">
        <f t="shared" si="179"/>
        <v>-1.89</v>
      </c>
      <c r="EK186" s="439">
        <f t="shared" si="179"/>
        <v>0.33</v>
      </c>
      <c r="EL186" s="439">
        <f t="shared" si="179"/>
        <v>-3.99</v>
      </c>
      <c r="EM186" s="439">
        <f t="shared" si="179"/>
        <v>7.56</v>
      </c>
      <c r="EN186" s="439">
        <f t="shared" si="179"/>
        <v>5.24</v>
      </c>
      <c r="EO186" s="439">
        <f t="shared" si="179"/>
        <v>3.3</v>
      </c>
      <c r="EP186" s="439">
        <f t="shared" si="179"/>
        <v>5.0199999999999996</v>
      </c>
      <c r="EQ186" s="439">
        <f t="shared" si="179"/>
        <v>-1.18</v>
      </c>
      <c r="ER186" s="439">
        <f t="shared" si="179"/>
        <v>3.05</v>
      </c>
      <c r="ES186" s="439">
        <f t="shared" si="179"/>
        <v>-8.2799999999999994</v>
      </c>
      <c r="ET186" s="439">
        <f t="shared" si="179"/>
        <v>5.54</v>
      </c>
      <c r="EU186" s="439">
        <f t="shared" si="179"/>
        <v>4.6900000000000004</v>
      </c>
      <c r="EV186" s="439">
        <f t="shared" si="179"/>
        <v>5.41</v>
      </c>
      <c r="EW186" s="439">
        <f t="shared" si="179"/>
        <v>-0.21</v>
      </c>
      <c r="EZ186" s="440"/>
      <c r="FA186" s="440"/>
      <c r="FB186" s="440"/>
      <c r="FC186" s="440"/>
      <c r="FD186" s="440"/>
    </row>
    <row r="187" spans="1:169" x14ac:dyDescent="0.2">
      <c r="A187" s="17"/>
      <c r="B187" s="15"/>
      <c r="C187" s="15"/>
      <c r="D187" s="16"/>
      <c r="E187" s="526"/>
      <c r="F187" s="16"/>
      <c r="G187" s="16"/>
      <c r="H187" s="16"/>
      <c r="I187" s="16"/>
      <c r="J187" s="16"/>
      <c r="K187" s="16"/>
      <c r="L187" s="16"/>
      <c r="M187" s="16"/>
      <c r="N187" s="16"/>
      <c r="O187" s="16"/>
      <c r="P187" s="16"/>
      <c r="Q187" s="16"/>
      <c r="R187" s="524"/>
      <c r="S187" s="16"/>
      <c r="T187" s="16"/>
      <c r="U187" s="16"/>
      <c r="V187" s="16"/>
      <c r="W187" s="16"/>
      <c r="X187" s="16"/>
      <c r="Y187" s="16"/>
      <c r="Z187" s="16"/>
      <c r="AA187" s="16"/>
      <c r="AB187" s="16"/>
      <c r="AC187" s="18"/>
      <c r="AD187" s="525"/>
      <c r="AF187" s="491"/>
      <c r="EZ187" s="440"/>
      <c r="FA187" s="440"/>
      <c r="FB187" s="440"/>
      <c r="FC187" s="440"/>
      <c r="FD187" s="440"/>
    </row>
    <row r="188" spans="1:169" x14ac:dyDescent="0.2">
      <c r="A188" s="1339" t="s">
        <v>724</v>
      </c>
      <c r="B188" s="1260" t="s">
        <v>320</v>
      </c>
      <c r="C188" s="446">
        <v>40543</v>
      </c>
      <c r="D188" s="447">
        <v>35</v>
      </c>
      <c r="E188" s="448">
        <f>VLOOKUP(AH$8,LTD_DJUBS!A79:E506,3,FALSE)/1000000</f>
        <v>6.8746279299999999</v>
      </c>
      <c r="F188" s="449">
        <f>AH188</f>
        <v>-1.1520900000000001</v>
      </c>
      <c r="G188" s="450">
        <f t="array" ref="G188">IF($AJ188=0,"---",(PRODUCT($AH188:AJ188/100+1)-1)*100)</f>
        <v>-5.5011297042114276</v>
      </c>
      <c r="H188" s="450">
        <f t="array" ref="H188">IF($AS188=0,"---",(PRODUCT(AH188:AN188/100+1)-1)*100)</f>
        <v>0.21519627452122325</v>
      </c>
      <c r="I188" s="450">
        <f t="array" ref="I188">IF(AS188=0,"---",(GEOMEAN($AH188:AS188/100+1)^12-1)*100)</f>
        <v>-3.3720398348869196</v>
      </c>
      <c r="J188" s="450">
        <f t="array" ref="J188">IF(BE188=0,"---",(GEOMEAN($AH188:BE188/100+1)^12-1)*100)</f>
        <v>-7.0541098455041968</v>
      </c>
      <c r="K188" s="450">
        <f t="array" ref="K188">IF(BQ188=0,"---",(GEOMEAN($AH188:BQ188/100+1)^12-1)*100)</f>
        <v>-8.6371333450803061</v>
      </c>
      <c r="L188" s="450" t="str">
        <f t="array" ref="L188">IF(CC188=0,"---",(GEOMEAN($AH188:CC188/100+1)^12-1)*100)</f>
        <v>---</v>
      </c>
      <c r="M188" s="450" t="str">
        <f t="array" ref="M188">IF(CO188=0,"---",(GEOMEAN($AH188:CO188/100+1)^12-1)*100)</f>
        <v>---</v>
      </c>
      <c r="N188" s="450" t="str">
        <f t="array" ref="N188">IF(DM188=0,"---",(GEOMEAN($AH188:DM188/100+1)^12-1)*100)</f>
        <v>---</v>
      </c>
      <c r="O188" s="450" t="str">
        <f t="array" ref="O188">IF(EK188=0,"---",(GEOMEAN($AH188:EK188/100+1)^12-1)*100)</f>
        <v>---</v>
      </c>
      <c r="P188" s="450" t="str">
        <f t="array" ref="P188">IF(EW188=0,"---",(GEOMEAN($AH188:EW188/100+1)^12-1)*100)</f>
        <v>---</v>
      </c>
      <c r="Q188" s="1447">
        <f t="array" ref="Q188">(GEOMEAN(LTD_DJUBS!B$429:B471/100+1)^12-1)*100</f>
        <v>-6.7002370288520741</v>
      </c>
      <c r="R188" s="452">
        <f>IF(F188="---","---",(F188-F189)*100)</f>
        <v>-10.695000000000011</v>
      </c>
      <c r="S188" s="452">
        <f t="shared" ref="S188:AB188" si="180">IF(G188="---","---",(G188-G189)*100)</f>
        <v>-8.5223892868514284</v>
      </c>
      <c r="T188" s="452">
        <f t="shared" si="180"/>
        <v>-16.623740488186378</v>
      </c>
      <c r="U188" s="452">
        <f t="shared" si="180"/>
        <v>-44.735613532309593</v>
      </c>
      <c r="V188" s="452">
        <f t="shared" si="180"/>
        <v>-21.035573579839451</v>
      </c>
      <c r="W188" s="452">
        <f t="shared" si="180"/>
        <v>-33.908695614786133</v>
      </c>
      <c r="X188" s="452" t="str">
        <f t="shared" si="180"/>
        <v>---</v>
      </c>
      <c r="Y188" s="452" t="str">
        <f t="shared" si="180"/>
        <v>---</v>
      </c>
      <c r="Z188" s="452" t="str">
        <f t="shared" si="180"/>
        <v>---</v>
      </c>
      <c r="AA188" s="452" t="str">
        <f t="shared" si="180"/>
        <v>---</v>
      </c>
      <c r="AB188" s="452" t="str">
        <f t="shared" si="180"/>
        <v>---</v>
      </c>
      <c r="AC188" s="453">
        <f>(Q188-AF188)*100</f>
        <v>-31.695507817761648</v>
      </c>
      <c r="AD188" s="554">
        <v>0</v>
      </c>
      <c r="AE188" s="1397"/>
      <c r="AF188" s="473">
        <f t="array" ref="AF188">(GEOMEAN(Index_Returns!AK$429:AK471/100+1)^12-1)*100</f>
        <v>-6.3832819506744576</v>
      </c>
      <c r="AG188" s="382" t="str">
        <f>IF(I188="---","&lt; 1 Year","---")</f>
        <v>---</v>
      </c>
      <c r="AH188" s="439">
        <f>VLOOKUP(AH$8,LTD_DJUBS!$A$1:$E$488,2,FALSE)</f>
        <v>-1.1520900000000001</v>
      </c>
      <c r="AI188" s="439">
        <f>VLOOKUP(AI$8,LTD_DJUBS!$A$1:$E$488,2,FALSE)</f>
        <v>-4.97194</v>
      </c>
      <c r="AJ188" s="439">
        <f>VLOOKUP(AJ$8,LTD_DJUBS!$A$1:$E$488,2,FALSE)</f>
        <v>0.60214999999999996</v>
      </c>
      <c r="AK188" s="439">
        <f>VLOOKUP(AK$8,LTD_DJUBS!$A$1:$E$488,2,FALSE)</f>
        <v>-2.9536500000000001</v>
      </c>
      <c r="AL188" s="439">
        <f>VLOOKUP(AL$8,LTD_DJUBS!$A$1:$E$488,2,FALSE)</f>
        <v>2.42354</v>
      </c>
      <c r="AM188" s="439">
        <f>VLOOKUP(AM$8,LTD_DJUBS!$A$1:$E$488,2,FALSE)</f>
        <v>0.42221999999999998</v>
      </c>
      <c r="AN188" s="439">
        <f>VLOOKUP(AN$8,LTD_DJUBS!$A$1:$E$488,2,FALSE)</f>
        <v>6.24247</v>
      </c>
      <c r="AO188" s="439">
        <f>VLOOKUP(AO$8,LTD_DJUBS!$A$1:$E$488,2,FALSE)</f>
        <v>0.19783000000000001</v>
      </c>
      <c r="AP188" s="439">
        <f>VLOOKUP(AP$8,LTD_DJUBS!$A$1:$E$488,2,FALSE)</f>
        <v>1.24316</v>
      </c>
      <c r="AQ188" s="439">
        <f>VLOOKUP(AQ$8,LTD_DJUBS!$A$1:$E$488,2,FALSE)</f>
        <v>-1.0036700000000001</v>
      </c>
      <c r="AR188" s="439">
        <f>VLOOKUP(AR$8,LTD_DJUBS!$A$1:$E$488,2,FALSE)</f>
        <v>-1.4755</v>
      </c>
      <c r="AS188" s="439">
        <f>VLOOKUP(AS$8,LTD_DJUBS!$A$1:$E$488,2,FALSE)</f>
        <v>-2.5499900000000002</v>
      </c>
      <c r="AT188" s="439">
        <f>VLOOKUP(AT$8,LTD_DJUBS!$A$1:$E$488,2,FALSE)</f>
        <v>3.4263699999999999</v>
      </c>
      <c r="AU188" s="439">
        <f>VLOOKUP(AU$8,LTD_DJUBS!$A$1:$E$488,2,FALSE)</f>
        <v>1.38636</v>
      </c>
      <c r="AV188" s="439">
        <f>VLOOKUP(AV$8,LTD_DJUBS!$A$1:$E$488,2,FALSE)</f>
        <v>-4.6963800000000004</v>
      </c>
      <c r="AW188" s="439">
        <f>VLOOKUP(AW$8,LTD_DJUBS!$A$1:$E$488,2,FALSE)</f>
        <v>-2.3043900000000002</v>
      </c>
      <c r="AX188" s="439">
        <f>VLOOKUP(AX$8,LTD_DJUBS!$A$1:$E$488,2,FALSE)</f>
        <v>-2.7760099999999999</v>
      </c>
      <c r="AY188" s="439">
        <f>VLOOKUP(AY$8,LTD_DJUBS!$A$1:$E$488,2,FALSE)</f>
        <v>0.57203999999999999</v>
      </c>
      <c r="AZ188" s="439">
        <f>VLOOKUP(AZ$8,LTD_DJUBS!$A$1:$E$488,2,FALSE)</f>
        <v>-4.0937599999999996</v>
      </c>
      <c r="BA188" s="439">
        <f>VLOOKUP(BA$8,LTD_DJUBS!$A$1:$E$488,2,FALSE)</f>
        <v>2.3974799999999998</v>
      </c>
      <c r="BB188" s="439">
        <f>VLOOKUP(BB$8,LTD_DJUBS!$A$1:$E$488,2,FALSE)</f>
        <v>-2.5785800000000001</v>
      </c>
      <c r="BC188" s="439">
        <f>VLOOKUP(BC$8,LTD_DJUBS!$A$1:$E$488,2,FALSE)</f>
        <v>5.9639999999999999E-2</v>
      </c>
      <c r="BD188" s="439">
        <f>VLOOKUP(BD$8,LTD_DJUBS!$A$1:$E$488,2,FALSE)</f>
        <v>-3.8530099999999998</v>
      </c>
      <c r="BE188" s="439">
        <f>VLOOKUP(BE$8,LTD_DJUBS!$A$1:$E$488,2,FALSE)</f>
        <v>1.7481199999999999</v>
      </c>
      <c r="BF188" s="439">
        <f>VLOOKUP(BF$8,LTD_DJUBS!$A$1:$E$488,2,FALSE)</f>
        <v>1.17404</v>
      </c>
      <c r="BG188" s="439">
        <f>VLOOKUP(BG$8,LTD_DJUBS!$A$1:$E$488,2,FALSE)</f>
        <v>6.49376</v>
      </c>
      <c r="BH188" s="439">
        <f>VLOOKUP(BH$8,LTD_DJUBS!$A$1:$E$488,2,FALSE)</f>
        <v>5.3800499999999998</v>
      </c>
      <c r="BI188" s="439">
        <f>VLOOKUP(BI$8,LTD_DJUBS!$A$1:$E$488,2,FALSE)</f>
        <v>-9.0768199999999997</v>
      </c>
      <c r="BJ188" s="439">
        <f>VLOOKUP(BJ$8,LTD_DJUBS!$A$1:$E$488,2,FALSE)</f>
        <v>-0.43424000000000001</v>
      </c>
      <c r="BK188" s="439">
        <f>VLOOKUP(BK$8,LTD_DJUBS!$A$1:$E$488,2,FALSE)</f>
        <v>-4.1195199999999996</v>
      </c>
      <c r="BL188" s="439">
        <f>VLOOKUP(BL$8,LTD_DJUBS!$A$1:$E$488,2,FALSE)</f>
        <v>2.6530300000000002</v>
      </c>
      <c r="BM188" s="439">
        <f>VLOOKUP(BM$8,LTD_DJUBS!$A$1:$E$488,2,FALSE)</f>
        <v>2.3797899999999998</v>
      </c>
      <c r="BN188" s="439">
        <f>VLOOKUP(BN$8,LTD_DJUBS!$A$1:$E$488,2,FALSE)</f>
        <v>-3.7119800000000001</v>
      </c>
      <c r="BO188" s="439">
        <f>VLOOKUP(BO$8,LTD_DJUBS!$A$1:$E$488,2,FALSE)</f>
        <v>-2.2761100000000001</v>
      </c>
      <c r="BP188" s="439">
        <f>VLOOKUP(BP$8,LTD_DJUBS!$A$1:$E$488,2,FALSE)</f>
        <v>6.6844599999999996</v>
      </c>
      <c r="BQ188" s="439">
        <f>VLOOKUP(BQ$8,LTD_DJUBS!$A$1:$E$488,2,FALSE)</f>
        <v>-15.09718</v>
      </c>
      <c r="BR188" s="439">
        <f>VLOOKUP(BR$8,LTD_DJUBS!$A$1:$E$488,2,FALSE)</f>
        <v>0.74011000000000005</v>
      </c>
      <c r="BS188" s="439">
        <f>VLOOKUP(BS$8,LTD_DJUBS!$A$1:$E$488,2,FALSE)</f>
        <v>3.0682299999999998</v>
      </c>
      <c r="BT188" s="439">
        <f>VLOOKUP(BT$8,LTD_DJUBS!$A$1:$E$488,2,FALSE)</f>
        <v>-5.0829700000000004</v>
      </c>
      <c r="BU188" s="439">
        <f>VLOOKUP(BU$8,LTD_DJUBS!$A$1:$E$488,2,FALSE)</f>
        <v>-5.1809599999999998</v>
      </c>
      <c r="BV188" s="439">
        <f>VLOOKUP(BV$8,LTD_DJUBS!$A$1:$E$488,2,FALSE)</f>
        <v>3.48367</v>
      </c>
      <c r="BW188" s="439">
        <f>VLOOKUP(BW$8,LTD_DJUBS!$A$1:$E$488,2,FALSE)</f>
        <v>2.1334599999999999</v>
      </c>
      <c r="BX188" s="439">
        <f>VLOOKUP(BX$8,LTD_DJUBS!$A$1:$E$488,2,FALSE)</f>
        <v>1.3099499999999999</v>
      </c>
      <c r="BY188" s="439">
        <f>VLOOKUP(BY$8,LTD_DJUBS!$A$1:$E$488,2,FALSE)</f>
        <v>1.0348900000000001</v>
      </c>
      <c r="BZ188" s="439">
        <f>VLOOKUP(BZ$8,LTD_DJUBS!$A$1:$E$488,2,FALSE)</f>
        <v>0</v>
      </c>
      <c r="CA188" s="439">
        <f>VLOOKUP(CA$8,LTD_DJUBS!$A$1:$E$488,2,FALSE)</f>
        <v>0</v>
      </c>
      <c r="CB188" s="439">
        <f>VLOOKUP(CB$8,LTD_DJUBS!$A$1:$E$488,2,FALSE)</f>
        <v>0</v>
      </c>
      <c r="CC188" s="439">
        <f>VLOOKUP(CC$8,LTD_DJUBS!$A$1:$E$488,2,FALSE)</f>
        <v>0</v>
      </c>
      <c r="CD188" s="439">
        <f>VLOOKUP(CD$8,LTD_DJUBS!$A$1:$E$488,2,FALSE)</f>
        <v>0</v>
      </c>
      <c r="CE188" s="439">
        <f>VLOOKUP(CE$8,LTD_DJUBS!$A$1:$E$488,2,FALSE)</f>
        <v>0</v>
      </c>
      <c r="CF188" s="439">
        <f>VLOOKUP(CF$8,LTD_DJUBS!$A$1:$E$488,2,FALSE)</f>
        <v>0</v>
      </c>
      <c r="CG188" s="439">
        <f>VLOOKUP(CG$8,LTD_DJUBS!$A$1:$E$488,2,FALSE)</f>
        <v>0</v>
      </c>
      <c r="CH188" s="439">
        <f>VLOOKUP(CH$8,LTD_DJUBS!$A$1:$E$488,2,FALSE)</f>
        <v>0</v>
      </c>
      <c r="CI188" s="439">
        <f>VLOOKUP(CI$8,LTD_DJUBS!$A$1:$E$488,2,FALSE)</f>
        <v>0</v>
      </c>
      <c r="CJ188" s="439">
        <f>VLOOKUP(CJ$8,LTD_DJUBS!$A$1:$E$488,2,FALSE)</f>
        <v>0</v>
      </c>
      <c r="CK188" s="439">
        <f>VLOOKUP(CK$8,LTD_DJUBS!$A$1:$E$488,2,FALSE)</f>
        <v>0</v>
      </c>
      <c r="CL188" s="439">
        <f>VLOOKUP(CL$8,LTD_DJUBS!$A$1:$E$488,2,FALSE)</f>
        <v>0</v>
      </c>
      <c r="CM188" s="439">
        <f>VLOOKUP(CM$8,LTD_DJUBS!$A$1:$E$488,2,FALSE)</f>
        <v>0</v>
      </c>
      <c r="CN188" s="439">
        <f>VLOOKUP(CN$8,LTD_DJUBS!$A$1:$E$488,2,FALSE)</f>
        <v>0</v>
      </c>
      <c r="CO188" s="439">
        <f>VLOOKUP(CO$8,LTD_DJUBS!$A$1:$E$488,2,FALSE)</f>
        <v>0</v>
      </c>
      <c r="CP188" s="439">
        <f>VLOOKUP(CP$8,LTD_DJUBS!$A$1:$E$488,2,FALSE)</f>
        <v>0</v>
      </c>
      <c r="CQ188" s="439">
        <f>VLOOKUP(CQ$8,LTD_DJUBS!$A$1:$E$488,2,FALSE)</f>
        <v>0</v>
      </c>
      <c r="CR188" s="439">
        <f>VLOOKUP(CR$8,LTD_DJUBS!$A$1:$E$488,2,FALSE)</f>
        <v>0</v>
      </c>
      <c r="CS188" s="439">
        <f>VLOOKUP(CS$8,LTD_DJUBS!$A$1:$E$488,2,FALSE)</f>
        <v>0</v>
      </c>
      <c r="CT188" s="439">
        <f>VLOOKUP(CT$8,LTD_DJUBS!$A$1:$E$488,2,FALSE)</f>
        <v>0</v>
      </c>
      <c r="CU188" s="439">
        <f>VLOOKUP(CU$8,LTD_DJUBS!$A$1:$E$488,2,FALSE)</f>
        <v>0</v>
      </c>
      <c r="CV188" s="439">
        <f>VLOOKUP(CV$8,LTD_DJUBS!$A$1:$E$488,2,FALSE)</f>
        <v>0</v>
      </c>
      <c r="CW188" s="439">
        <f>VLOOKUP(CW$8,LTD_DJUBS!$A$1:$E$488,2,FALSE)</f>
        <v>0</v>
      </c>
      <c r="CX188" s="439">
        <f>VLOOKUP(CX$8,LTD_DJUBS!$A$1:$E$488,2,FALSE)</f>
        <v>0</v>
      </c>
      <c r="CY188" s="439">
        <f>VLOOKUP(CY$8,LTD_DJUBS!$A$1:$E$488,2,FALSE)</f>
        <v>0</v>
      </c>
      <c r="CZ188" s="439">
        <f>VLOOKUP(CZ$8,LTD_DJUBS!$A$1:$E$488,2,FALSE)</f>
        <v>0</v>
      </c>
      <c r="DA188" s="439">
        <f>VLOOKUP(DA$8,LTD_DJUBS!$A$1:$E$488,2,FALSE)</f>
        <v>0</v>
      </c>
      <c r="DB188" s="439">
        <f>VLOOKUP(DB$8,LTD_DJUBS!$A$1:$E$488,2,FALSE)</f>
        <v>0</v>
      </c>
      <c r="DC188" s="439">
        <f>VLOOKUP(DC$8,LTD_DJUBS!$A$1:$E$488,2,FALSE)</f>
        <v>0</v>
      </c>
      <c r="DD188" s="439">
        <f>VLOOKUP(DD$8,LTD_DJUBS!$A$1:$E$488,2,FALSE)</f>
        <v>0</v>
      </c>
      <c r="DE188" s="439">
        <f>VLOOKUP(DE$8,LTD_DJUBS!$A$1:$E$488,2,FALSE)</f>
        <v>0</v>
      </c>
      <c r="DF188" s="439">
        <f>VLOOKUP(DF$8,LTD_DJUBS!$A$1:$E$488,2,FALSE)</f>
        <v>0</v>
      </c>
      <c r="DG188" s="439">
        <f>VLOOKUP(DG$8,LTD_DJUBS!$A$1:$E$488,2,FALSE)</f>
        <v>0</v>
      </c>
      <c r="DH188" s="439">
        <f>VLOOKUP(DH$8,LTD_DJUBS!$A$1:$E$488,2,FALSE)</f>
        <v>0</v>
      </c>
      <c r="DI188" s="439">
        <f>VLOOKUP(DI$8,LTD_DJUBS!$A$1:$E$488,2,FALSE)</f>
        <v>0</v>
      </c>
      <c r="DJ188" s="439">
        <f>VLOOKUP(DJ$8,LTD_DJUBS!$A$1:$E$488,2,FALSE)</f>
        <v>0</v>
      </c>
      <c r="DK188" s="439">
        <f>VLOOKUP(DK$8,LTD_DJUBS!$A$1:$E$488,2,FALSE)</f>
        <v>0</v>
      </c>
      <c r="DL188" s="439">
        <f>VLOOKUP(DL$8,LTD_DJUBS!$A$1:$E$488,2,FALSE)</f>
        <v>0</v>
      </c>
      <c r="DM188" s="439">
        <f>VLOOKUP(DM$8,LTD_DJUBS!$A$1:$E$488,2,FALSE)</f>
        <v>0</v>
      </c>
      <c r="DN188" s="439">
        <f>VLOOKUP(DN$8,LTD_DJUBS!$A$1:$E$488,2,FALSE)</f>
        <v>0</v>
      </c>
      <c r="DO188" s="439">
        <f>VLOOKUP(DO$8,LTD_DJUBS!$A$1:$E$488,2,FALSE)</f>
        <v>0</v>
      </c>
      <c r="DP188" s="439">
        <f>VLOOKUP(DP$8,LTD_DJUBS!$A$1:$E$488,2,FALSE)</f>
        <v>0</v>
      </c>
      <c r="DQ188" s="439">
        <f>VLOOKUP(DQ$8,LTD_DJUBS!$A$1:$E$488,2,FALSE)</f>
        <v>0</v>
      </c>
      <c r="DR188" s="439">
        <f>VLOOKUP(DR$8,LTD_DJUBS!$A$1:$E$488,2,FALSE)</f>
        <v>0</v>
      </c>
      <c r="DS188" s="439">
        <f>VLOOKUP(DS$8,LTD_DJUBS!$A$1:$E$488,2,FALSE)</f>
        <v>0</v>
      </c>
      <c r="DT188" s="439">
        <f>VLOOKUP(DT$8,LTD_DJUBS!$A$1:$E$488,2,FALSE)</f>
        <v>0</v>
      </c>
      <c r="DU188" s="439">
        <f>VLOOKUP(DU$8,LTD_DJUBS!$A$1:$E$488,2,FALSE)</f>
        <v>0</v>
      </c>
      <c r="DV188" s="439">
        <f>VLOOKUP(DV$8,LTD_DJUBS!$A$1:$E$488,2,FALSE)</f>
        <v>0</v>
      </c>
      <c r="DW188" s="439">
        <f>VLOOKUP(DW$8,LTD_DJUBS!$A$1:$E$488,2,FALSE)</f>
        <v>0</v>
      </c>
      <c r="DX188" s="439">
        <f>VLOOKUP(DX$8,LTD_DJUBS!$A$1:$E$488,2,FALSE)</f>
        <v>0</v>
      </c>
      <c r="DY188" s="439">
        <f>VLOOKUP(DY$8,LTD_DJUBS!$A$1:$E$488,2,FALSE)</f>
        <v>0</v>
      </c>
      <c r="DZ188" s="439">
        <f>VLOOKUP(DZ$8,LTD_DJUBS!$A$1:$E$488,2,FALSE)</f>
        <v>0</v>
      </c>
      <c r="EA188" s="439">
        <f>VLOOKUP(EA$8,LTD_DJUBS!$A$1:$E$488,2,FALSE)</f>
        <v>0</v>
      </c>
      <c r="EB188" s="439">
        <f>VLOOKUP(EB$8,LTD_DJUBS!$A$1:$E$488,2,FALSE)</f>
        <v>0</v>
      </c>
      <c r="EC188" s="439">
        <f>VLOOKUP(EC$8,LTD_DJUBS!$A$1:$E$488,2,FALSE)</f>
        <v>0</v>
      </c>
      <c r="ED188" s="439">
        <f>VLOOKUP(ED$8,LTD_DJUBS!$A$1:$E$488,2,FALSE)</f>
        <v>0</v>
      </c>
      <c r="EE188" s="439">
        <f>VLOOKUP(EE$8,LTD_DJUBS!$A$1:$E$488,2,FALSE)</f>
        <v>0</v>
      </c>
      <c r="EF188" s="439">
        <f>VLOOKUP(EF$8,LTD_DJUBS!$A$1:$E$488,2,FALSE)</f>
        <v>0</v>
      </c>
      <c r="EG188" s="439">
        <f>VLOOKUP(EG$8,LTD_DJUBS!$A$1:$E$488,2,FALSE)</f>
        <v>0</v>
      </c>
      <c r="EH188" s="439">
        <f>VLOOKUP(EH$8,LTD_DJUBS!$A$1:$E$488,2,FALSE)</f>
        <v>0</v>
      </c>
      <c r="EI188" s="439">
        <f>VLOOKUP(EI$8,LTD_DJUBS!$A$1:$E$488,2,FALSE)</f>
        <v>0</v>
      </c>
      <c r="EJ188" s="439">
        <f>VLOOKUP(EJ$8,LTD_DJUBS!$A$1:$E$488,2,FALSE)</f>
        <v>0</v>
      </c>
      <c r="EK188" s="439">
        <f>VLOOKUP(EK$8,LTD_DJUBS!$A$1:$E$488,2,FALSE)</f>
        <v>0</v>
      </c>
      <c r="EL188" s="439">
        <f>VLOOKUP(EL$8,LTD_DJUBS!$A$1:$E$488,2,FALSE)</f>
        <v>0</v>
      </c>
      <c r="EM188" s="439">
        <f>VLOOKUP(EM$8,LTD_DJUBS!$A$1:$E$488,2,FALSE)</f>
        <v>0</v>
      </c>
      <c r="EN188" s="439">
        <f>VLOOKUP(EN$8,LTD_DJUBS!$A$1:$E$488,2,FALSE)</f>
        <v>0</v>
      </c>
      <c r="EO188" s="439">
        <f>VLOOKUP(EO$8,LTD_DJUBS!$A$1:$E$488,2,FALSE)</f>
        <v>0</v>
      </c>
      <c r="EP188" s="439">
        <f>VLOOKUP(EP$8,LTD_DJUBS!$A$1:$E$488,2,FALSE)</f>
        <v>0</v>
      </c>
      <c r="EQ188" s="439">
        <f>VLOOKUP(EQ$8,LTD_DJUBS!$A$1:$E$488,2,FALSE)</f>
        <v>0</v>
      </c>
      <c r="ER188" s="439">
        <f>VLOOKUP(ER$8,LTD_DJUBS!$A$1:$E$488,2,FALSE)</f>
        <v>0</v>
      </c>
      <c r="ES188" s="439">
        <f>VLOOKUP(ES$8,LTD_DJUBS!$A$1:$E$488,2,FALSE)</f>
        <v>0</v>
      </c>
      <c r="ET188" s="439">
        <f>VLOOKUP(ET$8,LTD_DJUBS!$A$1:$E$488,2,FALSE)</f>
        <v>0</v>
      </c>
      <c r="EU188" s="439">
        <f>VLOOKUP(EU$8,LTD_DJUBS!$A$1:$E$488,2,FALSE)</f>
        <v>0</v>
      </c>
      <c r="EV188" s="439">
        <f>VLOOKUP(EV$8,LTD_DJUBS!$A$1:$E$488,2,FALSE)</f>
        <v>0</v>
      </c>
      <c r="EW188" s="439">
        <f>VLOOKUP(EW$8,LTD_DJUBS!$A$1:$E$488,2,FALSE)</f>
        <v>0</v>
      </c>
      <c r="EY188" s="580" t="s">
        <v>308</v>
      </c>
      <c r="EZ188" s="789">
        <v>-19.840499999999999</v>
      </c>
      <c r="FA188" s="789">
        <v>-43.639000000000003</v>
      </c>
      <c r="FB188" s="789">
        <v>-8.2395999999999994</v>
      </c>
      <c r="FC188" s="789" t="e">
        <v>#VALUE!</v>
      </c>
      <c r="FD188" s="789">
        <v>-3.3224999999999998</v>
      </c>
      <c r="FF188" s="441">
        <f>IF(G188="---","-",ABS(EZ188-G188))</f>
        <v>14.339370295788571</v>
      </c>
      <c r="FG188" s="441">
        <f>IF(I188="---","-",ABS(FA188-I188))</f>
        <v>40.266960165113083</v>
      </c>
      <c r="FH188" s="441">
        <f>IF(K188="---","-",ABS(FB188-K188))</f>
        <v>0.39753334508030669</v>
      </c>
      <c r="FI188" s="441" t="str">
        <f>IF(M188="---","-",ABS(FC188-M188))</f>
        <v>-</v>
      </c>
      <c r="FJ188" s="441">
        <f>IF(Q188="---","-",ABS(FD188-Q188))</f>
        <v>3.3777370288520743</v>
      </c>
    </row>
    <row r="189" spans="1:169" s="1228" customFormat="1" x14ac:dyDescent="0.2">
      <c r="A189" s="1340" t="s">
        <v>726</v>
      </c>
      <c r="B189" s="1024"/>
      <c r="C189" s="1217"/>
      <c r="D189" s="1218"/>
      <c r="E189" s="1219"/>
      <c r="F189" s="1220">
        <f>AH189</f>
        <v>-1.04514</v>
      </c>
      <c r="G189" s="1023">
        <f t="array" ref="G189">IF($AJ189=0,"---",(PRODUCT($AH189:AJ189/100+1)-1)*100)</f>
        <v>-5.4159058113429133</v>
      </c>
      <c r="H189" s="432">
        <f t="array" ref="H189">IF($AS189=0,"---",(PRODUCT(AH189:AN189/100+1)-1)*100)</f>
        <v>0.38143367940308703</v>
      </c>
      <c r="I189" s="1023">
        <f t="array" ref="I189">IF(AS189=0,"---",(GEOMEAN($AH189:AS189/100+1)^12-1)*100)</f>
        <v>-2.9246836995638237</v>
      </c>
      <c r="J189" s="1023">
        <f t="array" ref="J189">IF(BE189=0,"---",(GEOMEAN($AH189:BE189/100+1)^12-1)*100)</f>
        <v>-6.8437541097058023</v>
      </c>
      <c r="K189" s="1023">
        <f t="array" ref="K189">IF(BQ189=0,"---",(GEOMEAN($AH189:BQ189/100+1)^12-1)*100)</f>
        <v>-8.2980463889324447</v>
      </c>
      <c r="L189" s="1023">
        <f t="array" ref="L189">IF(CC189=0,"---",(GEOMEAN($AH189:CC189/100+1)^12-1)*100)</f>
        <v>-0.75078354097879441</v>
      </c>
      <c r="M189" s="1023" t="str">
        <f t="array" ref="M189">IF(CO189=0,"---",(GEOMEAN($AH189:CO189/100+1)^12-1)*100)</f>
        <v>---</v>
      </c>
      <c r="N189" s="1023" t="str">
        <f t="array" ref="N189">IF(DM189=0,"---",(GEOMEAN($AH189:DM189/100+1)^12-1)*100)</f>
        <v>---</v>
      </c>
      <c r="O189" s="1023" t="str">
        <f t="array" ref="O189">IF(EK189=0,"---",(GEOMEAN($AH189:EK189/100+1)^12-1)*100)</f>
        <v>---</v>
      </c>
      <c r="P189" s="1023" t="str">
        <f t="array" ref="P189">IF(EW189=0,"---",(GEOMEAN($AH189:EW189/100+1)^12-1)*100)</f>
        <v>---</v>
      </c>
      <c r="Q189" s="1221" t="s">
        <v>34</v>
      </c>
      <c r="R189" s="1218"/>
      <c r="S189" s="1218"/>
      <c r="T189" s="1218"/>
      <c r="U189" s="1218"/>
      <c r="V189" s="1218"/>
      <c r="W189" s="1218"/>
      <c r="X189" s="1218"/>
      <c r="Y189" s="1218"/>
      <c r="Z189" s="1218"/>
      <c r="AA189" s="1218"/>
      <c r="AB189" s="1218"/>
      <c r="AC189" s="1222"/>
      <c r="AD189" s="1223"/>
      <c r="AE189" s="1028"/>
      <c r="AF189" s="1027"/>
      <c r="AG189" s="1224"/>
      <c r="AH189" s="1025">
        <f t="shared" ref="AH189:BN189" si="181">VLOOKUP(AH$8,Index,37,FALSE)</f>
        <v>-1.04514</v>
      </c>
      <c r="AI189" s="1025">
        <f t="shared" si="181"/>
        <v>-4.9835500000000001</v>
      </c>
      <c r="AJ189" s="1025">
        <f t="shared" si="181"/>
        <v>0.59633999999999998</v>
      </c>
      <c r="AK189" s="1025">
        <f t="shared" si="181"/>
        <v>-2.87466</v>
      </c>
      <c r="AL189" s="1025">
        <f t="shared" si="181"/>
        <v>2.4358599999999999</v>
      </c>
      <c r="AM189" s="1025">
        <f t="shared" si="181"/>
        <v>0.41117999999999999</v>
      </c>
      <c r="AN189" s="1025">
        <f t="shared" si="181"/>
        <v>6.2352499999999997</v>
      </c>
      <c r="AO189" s="1025">
        <f t="shared" si="181"/>
        <v>0.29765999999999998</v>
      </c>
      <c r="AP189" s="1025">
        <f t="shared" si="181"/>
        <v>1.2399100000000001</v>
      </c>
      <c r="AQ189" s="1025">
        <f t="shared" si="181"/>
        <v>-0.80006999999999995</v>
      </c>
      <c r="AR189" s="1025">
        <f t="shared" si="181"/>
        <v>-1.47685</v>
      </c>
      <c r="AS189" s="1025">
        <f t="shared" si="181"/>
        <v>-2.5541800000000001</v>
      </c>
      <c r="AT189" s="1025">
        <f t="shared" si="181"/>
        <v>3.4022600000000001</v>
      </c>
      <c r="AU189" s="1025">
        <f t="shared" si="181"/>
        <v>1.3626799999999999</v>
      </c>
      <c r="AV189" s="1025">
        <f t="shared" si="181"/>
        <v>-4.7145000000000001</v>
      </c>
      <c r="AW189" s="1025">
        <f t="shared" si="181"/>
        <v>-2.2430500000000002</v>
      </c>
      <c r="AX189" s="1025">
        <f t="shared" si="181"/>
        <v>-2.7908900000000001</v>
      </c>
      <c r="AY189" s="1025">
        <f t="shared" si="181"/>
        <v>0.67384999999999995</v>
      </c>
      <c r="AZ189" s="1025">
        <f t="shared" si="181"/>
        <v>-4.08697</v>
      </c>
      <c r="BA189" s="1025">
        <f t="shared" si="181"/>
        <v>2.3974799999999998</v>
      </c>
      <c r="BB189" s="1025">
        <f t="shared" si="181"/>
        <v>-2.6071</v>
      </c>
      <c r="BC189" s="1025">
        <f t="shared" si="181"/>
        <v>5.16E-2</v>
      </c>
      <c r="BD189" s="1025">
        <f t="shared" si="181"/>
        <v>-3.8729</v>
      </c>
      <c r="BE189" s="1025">
        <f t="shared" si="181"/>
        <v>1.7056</v>
      </c>
      <c r="BF189" s="1025">
        <f t="shared" si="181"/>
        <v>1.2984</v>
      </c>
      <c r="BG189" s="1025">
        <f t="shared" si="181"/>
        <v>6.4686000000000003</v>
      </c>
      <c r="BH189" s="1025">
        <f t="shared" si="181"/>
        <v>5.4930000000000003</v>
      </c>
      <c r="BI189" s="1025">
        <f t="shared" si="181"/>
        <v>-9.1319999999999997</v>
      </c>
      <c r="BJ189" s="1025">
        <f t="shared" si="181"/>
        <v>-0.42320000000000002</v>
      </c>
      <c r="BK189" s="1025">
        <f t="shared" si="181"/>
        <v>-4.1364999999999998</v>
      </c>
      <c r="BL189" s="1025">
        <f t="shared" si="181"/>
        <v>2.6987000000000001</v>
      </c>
      <c r="BM189" s="1025">
        <f t="shared" si="181"/>
        <v>2.4729000000000001</v>
      </c>
      <c r="BN189" s="1025">
        <f t="shared" si="181"/>
        <v>-3.7479</v>
      </c>
      <c r="BO189" s="1025">
        <f t="shared" ref="BO189:CT189" si="182">VLOOKUP(BO$8,Index,37,FALSE)</f>
        <v>-2.2189999999999999</v>
      </c>
      <c r="BP189" s="1025">
        <f t="shared" si="182"/>
        <v>6.6184000000000003</v>
      </c>
      <c r="BQ189" s="1025">
        <f t="shared" si="182"/>
        <v>-14.734999999999999</v>
      </c>
      <c r="BR189" s="1025">
        <f t="shared" si="182"/>
        <v>0.99860000000000004</v>
      </c>
      <c r="BS189" s="1025">
        <f t="shared" si="182"/>
        <v>2.9618000000000002</v>
      </c>
      <c r="BT189" s="1025">
        <f t="shared" si="182"/>
        <v>-5.0442</v>
      </c>
      <c r="BU189" s="1025">
        <f t="shared" si="182"/>
        <v>-5.0582000000000003</v>
      </c>
      <c r="BV189" s="1025">
        <f t="shared" si="182"/>
        <v>3.4630999999999998</v>
      </c>
      <c r="BW189" s="1025">
        <f t="shared" si="182"/>
        <v>2.0644999999999998</v>
      </c>
      <c r="BX189" s="1025">
        <f t="shared" si="182"/>
        <v>1.3179000000000001</v>
      </c>
      <c r="BY189" s="1025">
        <f t="shared" si="182"/>
        <v>1.0029999999999999</v>
      </c>
      <c r="BZ189" s="1025">
        <f t="shared" si="182"/>
        <v>10.689</v>
      </c>
      <c r="CA189" s="1025">
        <f t="shared" si="182"/>
        <v>-0.35399999999999998</v>
      </c>
      <c r="CB189" s="1025">
        <f t="shared" si="182"/>
        <v>4.9828000000000001</v>
      </c>
      <c r="CC189" s="1025">
        <f t="shared" si="182"/>
        <v>7.2603</v>
      </c>
      <c r="CD189" s="1025">
        <f t="shared" si="182"/>
        <v>0</v>
      </c>
      <c r="CE189" s="1025">
        <f t="shared" si="182"/>
        <v>0</v>
      </c>
      <c r="CF189" s="1025">
        <f t="shared" si="182"/>
        <v>0</v>
      </c>
      <c r="CG189" s="1025">
        <f t="shared" si="182"/>
        <v>0</v>
      </c>
      <c r="CH189" s="1025">
        <f t="shared" si="182"/>
        <v>0</v>
      </c>
      <c r="CI189" s="1025">
        <f t="shared" si="182"/>
        <v>0</v>
      </c>
      <c r="CJ189" s="1025">
        <f t="shared" si="182"/>
        <v>0</v>
      </c>
      <c r="CK189" s="1025">
        <f t="shared" si="182"/>
        <v>0</v>
      </c>
      <c r="CL189" s="1025">
        <f t="shared" si="182"/>
        <v>0</v>
      </c>
      <c r="CM189" s="1025">
        <f t="shared" si="182"/>
        <v>0</v>
      </c>
      <c r="CN189" s="1025">
        <f t="shared" si="182"/>
        <v>0</v>
      </c>
      <c r="CO189" s="1025">
        <f t="shared" si="182"/>
        <v>0</v>
      </c>
      <c r="CP189" s="1025">
        <f t="shared" si="182"/>
        <v>0</v>
      </c>
      <c r="CQ189" s="1025">
        <f t="shared" si="182"/>
        <v>0</v>
      </c>
      <c r="CR189" s="1025">
        <f t="shared" si="182"/>
        <v>0</v>
      </c>
      <c r="CS189" s="1025">
        <f t="shared" si="182"/>
        <v>0</v>
      </c>
      <c r="CT189" s="1025">
        <f t="shared" si="182"/>
        <v>0</v>
      </c>
      <c r="CU189" s="1025">
        <f t="shared" ref="CU189:DZ189" si="183">VLOOKUP(CU$8,Index,37,FALSE)</f>
        <v>0</v>
      </c>
      <c r="CV189" s="1025">
        <f t="shared" si="183"/>
        <v>0</v>
      </c>
      <c r="CW189" s="1025">
        <f t="shared" si="183"/>
        <v>0</v>
      </c>
      <c r="CX189" s="1025">
        <f t="shared" si="183"/>
        <v>0</v>
      </c>
      <c r="CY189" s="1025">
        <f t="shared" si="183"/>
        <v>0</v>
      </c>
      <c r="CZ189" s="1025">
        <f t="shared" si="183"/>
        <v>0</v>
      </c>
      <c r="DA189" s="1025">
        <f t="shared" si="183"/>
        <v>0</v>
      </c>
      <c r="DB189" s="1025">
        <f t="shared" si="183"/>
        <v>0</v>
      </c>
      <c r="DC189" s="1025">
        <f t="shared" si="183"/>
        <v>0</v>
      </c>
      <c r="DD189" s="1025">
        <f t="shared" si="183"/>
        <v>0</v>
      </c>
      <c r="DE189" s="1025">
        <f t="shared" si="183"/>
        <v>0</v>
      </c>
      <c r="DF189" s="1025">
        <f t="shared" si="183"/>
        <v>0</v>
      </c>
      <c r="DG189" s="1025">
        <f t="shared" si="183"/>
        <v>0</v>
      </c>
      <c r="DH189" s="1025">
        <f t="shared" si="183"/>
        <v>0</v>
      </c>
      <c r="DI189" s="1025">
        <f t="shared" si="183"/>
        <v>0</v>
      </c>
      <c r="DJ189" s="1025">
        <f t="shared" si="183"/>
        <v>0</v>
      </c>
      <c r="DK189" s="1025">
        <f t="shared" si="183"/>
        <v>0</v>
      </c>
      <c r="DL189" s="1025">
        <f t="shared" si="183"/>
        <v>0</v>
      </c>
      <c r="DM189" s="1025">
        <f t="shared" si="183"/>
        <v>0</v>
      </c>
      <c r="DN189" s="1025">
        <f t="shared" si="183"/>
        <v>0</v>
      </c>
      <c r="DO189" s="1025">
        <f t="shared" si="183"/>
        <v>0</v>
      </c>
      <c r="DP189" s="1025">
        <f t="shared" si="183"/>
        <v>0</v>
      </c>
      <c r="DQ189" s="1025">
        <f t="shared" si="183"/>
        <v>0</v>
      </c>
      <c r="DR189" s="1025">
        <f t="shared" si="183"/>
        <v>0</v>
      </c>
      <c r="DS189" s="1025">
        <f t="shared" si="183"/>
        <v>0</v>
      </c>
      <c r="DT189" s="1025">
        <f t="shared" si="183"/>
        <v>0</v>
      </c>
      <c r="DU189" s="1025">
        <f t="shared" si="183"/>
        <v>0</v>
      </c>
      <c r="DV189" s="1025">
        <f t="shared" si="183"/>
        <v>0</v>
      </c>
      <c r="DW189" s="1025">
        <f t="shared" si="183"/>
        <v>0</v>
      </c>
      <c r="DX189" s="1025">
        <f t="shared" si="183"/>
        <v>0</v>
      </c>
      <c r="DY189" s="1025">
        <f t="shared" si="183"/>
        <v>0</v>
      </c>
      <c r="DZ189" s="1025">
        <f t="shared" si="183"/>
        <v>0</v>
      </c>
      <c r="EA189" s="1025">
        <f t="shared" ref="EA189:EW189" si="184">VLOOKUP(EA$8,Index,37,FALSE)</f>
        <v>0</v>
      </c>
      <c r="EB189" s="1025">
        <f t="shared" si="184"/>
        <v>0</v>
      </c>
      <c r="EC189" s="1025">
        <f t="shared" si="184"/>
        <v>0</v>
      </c>
      <c r="ED189" s="1025">
        <f t="shared" si="184"/>
        <v>0</v>
      </c>
      <c r="EE189" s="1025">
        <f t="shared" si="184"/>
        <v>0</v>
      </c>
      <c r="EF189" s="1025">
        <f t="shared" si="184"/>
        <v>0</v>
      </c>
      <c r="EG189" s="1025">
        <f t="shared" si="184"/>
        <v>0</v>
      </c>
      <c r="EH189" s="1025">
        <f t="shared" si="184"/>
        <v>0</v>
      </c>
      <c r="EI189" s="1025">
        <f t="shared" si="184"/>
        <v>0</v>
      </c>
      <c r="EJ189" s="1025">
        <f t="shared" si="184"/>
        <v>0</v>
      </c>
      <c r="EK189" s="1025">
        <f t="shared" si="184"/>
        <v>0</v>
      </c>
      <c r="EL189" s="1025">
        <f t="shared" si="184"/>
        <v>0</v>
      </c>
      <c r="EM189" s="1025">
        <f t="shared" si="184"/>
        <v>0</v>
      </c>
      <c r="EN189" s="1025">
        <f t="shared" si="184"/>
        <v>0</v>
      </c>
      <c r="EO189" s="1025">
        <f t="shared" si="184"/>
        <v>0</v>
      </c>
      <c r="EP189" s="1025">
        <f t="shared" si="184"/>
        <v>0</v>
      </c>
      <c r="EQ189" s="1025">
        <f t="shared" si="184"/>
        <v>0</v>
      </c>
      <c r="ER189" s="1025">
        <f t="shared" si="184"/>
        <v>0</v>
      </c>
      <c r="ES189" s="1025">
        <f t="shared" si="184"/>
        <v>0</v>
      </c>
      <c r="ET189" s="1025">
        <f t="shared" si="184"/>
        <v>0</v>
      </c>
      <c r="EU189" s="1025">
        <f t="shared" si="184"/>
        <v>0</v>
      </c>
      <c r="EV189" s="1025">
        <f t="shared" si="184"/>
        <v>0</v>
      </c>
      <c r="EW189" s="1025">
        <f t="shared" si="184"/>
        <v>0</v>
      </c>
      <c r="EX189" s="1225"/>
      <c r="EY189" s="1226"/>
      <c r="EZ189" s="1227"/>
      <c r="FA189" s="1227"/>
      <c r="FB189" s="1227"/>
      <c r="FC189" s="1227"/>
      <c r="FD189" s="1227"/>
      <c r="FE189" s="1225"/>
      <c r="FF189" s="1225"/>
      <c r="FG189" s="1225"/>
      <c r="FH189" s="1225"/>
      <c r="FI189" s="1225"/>
      <c r="FJ189" s="1225"/>
      <c r="FK189" s="1225"/>
      <c r="FL189" s="1225"/>
      <c r="FM189" s="1225"/>
    </row>
    <row r="190" spans="1:169" x14ac:dyDescent="0.2">
      <c r="A190" s="17"/>
      <c r="B190" s="15"/>
      <c r="C190" s="15"/>
      <c r="D190" s="16"/>
      <c r="E190" s="526"/>
      <c r="F190" s="16"/>
      <c r="G190" s="16"/>
      <c r="H190" s="16"/>
      <c r="I190" s="16"/>
      <c r="J190" s="16"/>
      <c r="K190" s="16"/>
      <c r="L190" s="16"/>
      <c r="M190" s="16"/>
      <c r="N190" s="16"/>
      <c r="O190" s="16"/>
      <c r="P190" s="16"/>
      <c r="Q190" s="16"/>
      <c r="R190" s="524"/>
      <c r="S190" s="16"/>
      <c r="T190" s="16"/>
      <c r="U190" s="16"/>
      <c r="V190" s="16"/>
      <c r="W190" s="16"/>
      <c r="X190" s="16"/>
      <c r="Y190" s="16"/>
      <c r="Z190" s="16"/>
      <c r="AA190" s="16"/>
      <c r="AB190" s="16"/>
      <c r="AC190" s="18"/>
      <c r="AD190" s="525"/>
      <c r="AF190" s="491"/>
      <c r="EZ190" s="440"/>
      <c r="FA190" s="440"/>
      <c r="FB190" s="440"/>
      <c r="FC190" s="440"/>
      <c r="FD190" s="440"/>
    </row>
    <row r="191" spans="1:169" s="207" customFormat="1" ht="12.75" customHeight="1" thickBot="1" x14ac:dyDescent="0.25">
      <c r="A191" s="598" t="s">
        <v>296</v>
      </c>
      <c r="B191" s="624"/>
      <c r="C191" s="627">
        <v>37437</v>
      </c>
      <c r="D191" s="656"/>
      <c r="E191" s="582">
        <f>E161+E164+E170+E173+E176+E179+E182+E185+E188</f>
        <v>262.56160855999997</v>
      </c>
      <c r="F191" s="1343"/>
      <c r="G191" s="1344"/>
      <c r="H191" s="1344"/>
      <c r="I191" s="1344"/>
      <c r="J191" s="1344"/>
      <c r="K191" s="1344"/>
      <c r="L191" s="1344"/>
      <c r="M191" s="1344"/>
      <c r="N191" s="1344"/>
      <c r="O191" s="1344"/>
      <c r="P191" s="1344"/>
      <c r="Q191" s="1345"/>
      <c r="R191" s="1346"/>
      <c r="S191" s="1346"/>
      <c r="T191" s="1346"/>
      <c r="U191" s="1346"/>
      <c r="V191" s="1346"/>
      <c r="W191" s="1346"/>
      <c r="X191" s="1346"/>
      <c r="Y191" s="1346"/>
      <c r="Z191" s="1346"/>
      <c r="AA191" s="1346"/>
      <c r="AB191" s="1346"/>
      <c r="AC191" s="1347"/>
      <c r="AD191" s="611"/>
      <c r="AE191" s="595"/>
      <c r="AF191" s="473"/>
      <c r="AG191" s="248"/>
      <c r="AH191" s="503"/>
      <c r="AI191" s="503"/>
      <c r="AJ191" s="503"/>
      <c r="AK191" s="503"/>
      <c r="AL191" s="503"/>
      <c r="AM191" s="503"/>
      <c r="AN191" s="503"/>
      <c r="AO191" s="503"/>
      <c r="AP191" s="503"/>
      <c r="AQ191" s="503"/>
      <c r="AR191" s="503"/>
      <c r="AS191" s="503"/>
      <c r="AT191" s="503"/>
      <c r="AU191" s="503"/>
      <c r="AV191" s="503"/>
      <c r="AW191" s="503"/>
      <c r="AX191" s="503"/>
      <c r="AY191" s="503"/>
      <c r="AZ191" s="503"/>
      <c r="BA191" s="503"/>
      <c r="BB191" s="503"/>
      <c r="BC191" s="503"/>
      <c r="BD191" s="503"/>
      <c r="BE191" s="503"/>
      <c r="BF191" s="503"/>
      <c r="BG191" s="503"/>
      <c r="BH191" s="503"/>
      <c r="BI191" s="503"/>
      <c r="BJ191" s="503"/>
      <c r="BK191" s="503"/>
      <c r="BL191" s="503"/>
      <c r="BM191" s="503"/>
      <c r="BN191" s="503"/>
      <c r="BO191" s="503"/>
      <c r="BP191" s="503"/>
      <c r="BQ191" s="503"/>
      <c r="BR191" s="503"/>
      <c r="BS191" s="503"/>
      <c r="BT191" s="503"/>
      <c r="BU191" s="503"/>
      <c r="BV191" s="503"/>
      <c r="BW191" s="503"/>
      <c r="BX191" s="503"/>
      <c r="BY191" s="503"/>
      <c r="BZ191" s="503"/>
      <c r="CA191" s="503"/>
      <c r="CB191" s="503"/>
      <c r="CC191" s="503"/>
      <c r="CD191" s="503"/>
      <c r="CE191" s="503"/>
      <c r="CF191" s="503"/>
      <c r="CG191" s="503"/>
      <c r="CH191" s="503"/>
      <c r="CI191" s="503"/>
      <c r="CJ191" s="503"/>
      <c r="CK191" s="503"/>
      <c r="CL191" s="503"/>
      <c r="CM191" s="503"/>
      <c r="CN191" s="503"/>
      <c r="CO191" s="503"/>
      <c r="CP191" s="503"/>
      <c r="CQ191" s="503"/>
      <c r="CR191" s="503"/>
      <c r="CS191" s="503"/>
      <c r="CT191" s="503"/>
      <c r="CU191" s="503"/>
      <c r="CV191" s="503"/>
      <c r="CW191" s="503"/>
      <c r="CX191" s="503"/>
      <c r="CY191" s="503"/>
      <c r="CZ191" s="503"/>
      <c r="DA191" s="503"/>
      <c r="DB191" s="503"/>
      <c r="DC191" s="503"/>
      <c r="DD191" s="503"/>
      <c r="DE191" s="503"/>
      <c r="DF191" s="503"/>
      <c r="DG191" s="503"/>
      <c r="DH191" s="503"/>
      <c r="DI191" s="503"/>
      <c r="DJ191" s="503"/>
      <c r="DK191" s="503"/>
      <c r="DL191" s="503"/>
      <c r="DM191" s="503"/>
      <c r="DN191" s="503"/>
      <c r="DO191" s="503"/>
      <c r="DP191" s="503"/>
      <c r="DQ191" s="503"/>
      <c r="DR191" s="503"/>
      <c r="DS191" s="503"/>
      <c r="DT191" s="503"/>
      <c r="DU191" s="503"/>
      <c r="DV191" s="503"/>
      <c r="DW191" s="503"/>
      <c r="DX191" s="503"/>
      <c r="DY191" s="503"/>
      <c r="DZ191" s="503"/>
      <c r="EA191" s="503"/>
      <c r="EB191" s="503"/>
      <c r="EC191" s="503"/>
      <c r="ED191" s="503"/>
      <c r="EE191" s="503"/>
      <c r="EF191" s="503"/>
      <c r="EG191" s="503"/>
      <c r="EH191" s="503"/>
      <c r="EI191" s="503"/>
      <c r="EJ191" s="503"/>
      <c r="EK191" s="503"/>
      <c r="EL191" s="503"/>
      <c r="EM191" s="503"/>
      <c r="EN191" s="503"/>
      <c r="EO191" s="503"/>
      <c r="EP191" s="503"/>
      <c r="EQ191" s="503"/>
      <c r="ER191" s="503"/>
      <c r="ES191" s="503"/>
      <c r="ET191" s="503"/>
      <c r="EU191" s="503"/>
      <c r="EV191" s="503"/>
      <c r="EW191" s="503"/>
      <c r="EX191" s="248"/>
      <c r="EY191" s="513" t="s">
        <v>300</v>
      </c>
      <c r="EZ191" s="789"/>
      <c r="FA191" s="789"/>
      <c r="FB191" s="789"/>
      <c r="FC191" s="789"/>
      <c r="FD191" s="789"/>
      <c r="FE191" s="248"/>
      <c r="FF191" s="505"/>
      <c r="FG191" s="505"/>
      <c r="FH191" s="505"/>
      <c r="FI191" s="505"/>
      <c r="FJ191" s="505"/>
      <c r="FK191" s="248"/>
      <c r="FL191" s="248"/>
      <c r="FM191" s="248"/>
    </row>
    <row r="192" spans="1:169" x14ac:dyDescent="0.2">
      <c r="A192" s="16"/>
      <c r="B192" s="15"/>
      <c r="C192" s="578"/>
      <c r="D192" s="16"/>
      <c r="E192" s="16"/>
      <c r="F192" s="579"/>
      <c r="G192" s="579"/>
      <c r="H192" s="579"/>
      <c r="I192" s="579"/>
      <c r="J192" s="579" t="e">
        <f>(0.53*#REF!)+(0.15*#REF!)+(0.26*#REF!)+(0.06*J186)</f>
        <v>#REF!</v>
      </c>
      <c r="K192" s="579"/>
      <c r="L192" s="579" t="e">
        <f>(0.53*#REF!)+(0.15*#REF!)+(0.26*#REF!)+(0.06*L186)</f>
        <v>#REF!</v>
      </c>
      <c r="M192" s="579"/>
      <c r="N192" s="579" t="e">
        <f>(0.53*#REF!)+(0.15*#REF!)+(0.26*#REF!)+(0.06*N186)</f>
        <v>#REF!</v>
      </c>
      <c r="O192" s="579" t="e">
        <f>(0.53*#REF!)+(0.15*#REF!)+(0.26*#REF!)+(0.06*O186)</f>
        <v>#REF!</v>
      </c>
      <c r="P192" s="579"/>
      <c r="Q192" s="579"/>
      <c r="R192" s="16"/>
      <c r="S192" s="16"/>
      <c r="T192" s="16"/>
      <c r="U192" s="16"/>
      <c r="V192" s="16"/>
      <c r="W192" s="16"/>
      <c r="X192" s="16"/>
      <c r="Y192" s="16"/>
      <c r="Z192" s="16"/>
      <c r="AA192" s="16"/>
      <c r="AB192" s="16"/>
      <c r="AC192" s="16"/>
      <c r="AF192" s="491"/>
    </row>
    <row r="193" spans="2:162" x14ac:dyDescent="0.2">
      <c r="B193" s="395"/>
      <c r="AF193" s="491"/>
    </row>
    <row r="194" spans="2:162" x14ac:dyDescent="0.2">
      <c r="B194" s="395"/>
      <c r="AF194" s="491"/>
    </row>
    <row r="195" spans="2:162" x14ac:dyDescent="0.2">
      <c r="B195" s="395"/>
      <c r="K195" s="1003"/>
      <c r="AF195" s="491"/>
    </row>
    <row r="196" spans="2:162" x14ac:dyDescent="0.2">
      <c r="B196" s="395"/>
      <c r="AB196" s="596"/>
      <c r="AF196" s="491"/>
      <c r="AG196" s="788"/>
      <c r="EY196" s="344"/>
      <c r="EZ196" s="613"/>
      <c r="FA196" s="614"/>
      <c r="FB196" s="614"/>
      <c r="FC196" s="614"/>
      <c r="FD196" s="614"/>
      <c r="FE196" s="614"/>
      <c r="FF196" s="614"/>
    </row>
    <row r="197" spans="2:162" x14ac:dyDescent="0.2">
      <c r="B197" s="395"/>
      <c r="AF197" s="491"/>
      <c r="AG197" s="788"/>
      <c r="EY197" s="344"/>
      <c r="EZ197" s="613"/>
      <c r="FA197" s="614"/>
      <c r="FB197" s="614"/>
      <c r="FC197" s="614"/>
      <c r="FD197" s="614"/>
      <c r="FE197" s="614"/>
      <c r="FF197" s="614"/>
    </row>
    <row r="198" spans="2:162" x14ac:dyDescent="0.2">
      <c r="B198" s="395"/>
      <c r="AF198" s="491"/>
      <c r="AG198" s="788"/>
      <c r="EY198" s="344"/>
      <c r="EZ198" s="613"/>
      <c r="FA198" s="614"/>
      <c r="FB198" s="614"/>
      <c r="FC198" s="614"/>
      <c r="FD198" s="614"/>
      <c r="FE198" s="614"/>
      <c r="FF198" s="614"/>
    </row>
    <row r="199" spans="2:162" x14ac:dyDescent="0.2">
      <c r="B199" s="395"/>
      <c r="AF199" s="491"/>
      <c r="EY199" s="344"/>
      <c r="EZ199" s="613"/>
      <c r="FA199" s="614"/>
      <c r="FB199" s="614"/>
      <c r="FC199" s="614"/>
      <c r="FD199" s="614"/>
      <c r="FE199" s="614"/>
      <c r="FF199" s="614"/>
    </row>
    <row r="200" spans="2:162" x14ac:dyDescent="0.2">
      <c r="B200" s="395"/>
      <c r="AF200" s="491"/>
      <c r="EY200" s="344"/>
      <c r="EZ200" s="613"/>
      <c r="FA200" s="614"/>
      <c r="FB200" s="614"/>
      <c r="FC200" s="614"/>
      <c r="FD200" s="614"/>
      <c r="FE200" s="614"/>
      <c r="FF200" s="614"/>
    </row>
    <row r="201" spans="2:162" x14ac:dyDescent="0.2">
      <c r="B201" s="395"/>
      <c r="AF201" s="491"/>
    </row>
    <row r="202" spans="2:162" x14ac:dyDescent="0.2">
      <c r="B202" s="395"/>
      <c r="AF202" s="491"/>
    </row>
    <row r="203" spans="2:162" x14ac:dyDescent="0.2">
      <c r="B203" s="395"/>
      <c r="AF203" s="491"/>
    </row>
    <row r="204" spans="2:162" x14ac:dyDescent="0.2">
      <c r="B204" s="395"/>
      <c r="AF204" s="491"/>
    </row>
    <row r="205" spans="2:162" x14ac:dyDescent="0.2">
      <c r="B205" s="395"/>
      <c r="AF205" s="491"/>
    </row>
    <row r="206" spans="2:162" x14ac:dyDescent="0.2">
      <c r="B206" s="395"/>
      <c r="AF206" s="491"/>
    </row>
    <row r="207" spans="2:162" x14ac:dyDescent="0.2">
      <c r="B207" s="395"/>
      <c r="AF207" s="491"/>
    </row>
    <row r="208" spans="2:162" x14ac:dyDescent="0.2">
      <c r="B208" s="395"/>
      <c r="AF208" s="491"/>
    </row>
    <row r="209" spans="2:32" x14ac:dyDescent="0.2">
      <c r="B209" s="395"/>
      <c r="AF209" s="491"/>
    </row>
    <row r="210" spans="2:32" x14ac:dyDescent="0.2">
      <c r="B210" s="395"/>
      <c r="AF210" s="491"/>
    </row>
    <row r="211" spans="2:32" x14ac:dyDescent="0.2">
      <c r="B211" s="395"/>
      <c r="AF211" s="491"/>
    </row>
    <row r="212" spans="2:32" x14ac:dyDescent="0.2">
      <c r="B212" s="395"/>
      <c r="AF212" s="491"/>
    </row>
    <row r="213" spans="2:32" x14ac:dyDescent="0.2">
      <c r="B213" s="395"/>
      <c r="AF213" s="491"/>
    </row>
    <row r="214" spans="2:32" x14ac:dyDescent="0.2">
      <c r="B214" s="395"/>
      <c r="AF214" s="491"/>
    </row>
    <row r="215" spans="2:32" x14ac:dyDescent="0.2">
      <c r="B215" s="395"/>
      <c r="AF215" s="491"/>
    </row>
    <row r="216" spans="2:32" x14ac:dyDescent="0.2">
      <c r="B216" s="395"/>
      <c r="AF216" s="491"/>
    </row>
    <row r="217" spans="2:32" x14ac:dyDescent="0.2">
      <c r="B217" s="395"/>
      <c r="AF217" s="491"/>
    </row>
    <row r="218" spans="2:32" x14ac:dyDescent="0.2">
      <c r="B218" s="395"/>
      <c r="AF218" s="491"/>
    </row>
    <row r="219" spans="2:32" x14ac:dyDescent="0.2">
      <c r="B219" s="395"/>
      <c r="AF219" s="491"/>
    </row>
    <row r="220" spans="2:32" x14ac:dyDescent="0.2">
      <c r="B220" s="395"/>
      <c r="AF220" s="491"/>
    </row>
    <row r="221" spans="2:32" x14ac:dyDescent="0.2">
      <c r="B221" s="395"/>
      <c r="AF221" s="491"/>
    </row>
    <row r="222" spans="2:32" x14ac:dyDescent="0.2">
      <c r="B222" s="395"/>
      <c r="AF222" s="491"/>
    </row>
    <row r="223" spans="2:32" x14ac:dyDescent="0.2">
      <c r="B223" s="395"/>
      <c r="AF223" s="491"/>
    </row>
    <row r="224" spans="2:32" x14ac:dyDescent="0.2">
      <c r="B224" s="395"/>
      <c r="AF224" s="491"/>
    </row>
    <row r="225" spans="2:2" x14ac:dyDescent="0.2">
      <c r="B225" s="395"/>
    </row>
    <row r="226" spans="2:2" x14ac:dyDescent="0.2">
      <c r="B226" s="395"/>
    </row>
    <row r="227" spans="2:2" x14ac:dyDescent="0.2">
      <c r="B227" s="395"/>
    </row>
    <row r="228" spans="2:2" x14ac:dyDescent="0.2">
      <c r="B228" s="395"/>
    </row>
    <row r="229" spans="2:2" x14ac:dyDescent="0.2">
      <c r="B229" s="395"/>
    </row>
    <row r="230" spans="2:2" x14ac:dyDescent="0.2">
      <c r="B230" s="395"/>
    </row>
    <row r="231" spans="2:2" x14ac:dyDescent="0.2">
      <c r="B231" s="395"/>
    </row>
    <row r="232" spans="2:2" x14ac:dyDescent="0.2">
      <c r="B232" s="395"/>
    </row>
    <row r="233" spans="2:2" x14ac:dyDescent="0.2">
      <c r="B233" s="395"/>
    </row>
    <row r="234" spans="2:2" x14ac:dyDescent="0.2">
      <c r="B234" s="395"/>
    </row>
    <row r="235" spans="2:2" x14ac:dyDescent="0.2">
      <c r="B235" s="395"/>
    </row>
    <row r="236" spans="2:2" x14ac:dyDescent="0.2">
      <c r="B236" s="395"/>
    </row>
    <row r="237" spans="2:2" x14ac:dyDescent="0.2">
      <c r="B237" s="395"/>
    </row>
    <row r="238" spans="2:2" x14ac:dyDescent="0.2">
      <c r="B238" s="395"/>
    </row>
    <row r="239" spans="2:2" x14ac:dyDescent="0.2">
      <c r="B239" s="395"/>
    </row>
    <row r="240" spans="2:2" x14ac:dyDescent="0.2">
      <c r="B240" s="395"/>
    </row>
    <row r="241" spans="2:2" x14ac:dyDescent="0.2">
      <c r="B241" s="395"/>
    </row>
    <row r="242" spans="2:2" x14ac:dyDescent="0.2">
      <c r="B242" s="395"/>
    </row>
    <row r="243" spans="2:2" x14ac:dyDescent="0.2">
      <c r="B243" s="395"/>
    </row>
    <row r="244" spans="2:2" x14ac:dyDescent="0.2">
      <c r="B244" s="395"/>
    </row>
    <row r="245" spans="2:2" x14ac:dyDescent="0.2">
      <c r="B245" s="395"/>
    </row>
    <row r="246" spans="2:2" x14ac:dyDescent="0.2">
      <c r="B246" s="395"/>
    </row>
    <row r="247" spans="2:2" x14ac:dyDescent="0.2">
      <c r="B247" s="395"/>
    </row>
    <row r="248" spans="2:2" x14ac:dyDescent="0.2">
      <c r="B248" s="395"/>
    </row>
    <row r="249" spans="2:2" x14ac:dyDescent="0.2">
      <c r="B249" s="395"/>
    </row>
    <row r="250" spans="2:2" x14ac:dyDescent="0.2">
      <c r="B250" s="395"/>
    </row>
    <row r="251" spans="2:2" x14ac:dyDescent="0.2">
      <c r="B251" s="395"/>
    </row>
    <row r="252" spans="2:2" x14ac:dyDescent="0.2">
      <c r="B252" s="395"/>
    </row>
    <row r="253" spans="2:2" x14ac:dyDescent="0.2">
      <c r="B253" s="395"/>
    </row>
    <row r="254" spans="2:2" x14ac:dyDescent="0.2">
      <c r="B254" s="395"/>
    </row>
    <row r="255" spans="2:2" x14ac:dyDescent="0.2">
      <c r="B255" s="395"/>
    </row>
    <row r="256" spans="2:2" x14ac:dyDescent="0.2">
      <c r="B256" s="395"/>
    </row>
    <row r="257" spans="2:2" x14ac:dyDescent="0.2">
      <c r="B257" s="395"/>
    </row>
    <row r="258" spans="2:2" x14ac:dyDescent="0.2">
      <c r="B258" s="395"/>
    </row>
    <row r="259" spans="2:2" x14ac:dyDescent="0.2">
      <c r="B259" s="395"/>
    </row>
    <row r="260" spans="2:2" x14ac:dyDescent="0.2">
      <c r="B260" s="395"/>
    </row>
    <row r="261" spans="2:2" x14ac:dyDescent="0.2">
      <c r="B261" s="395"/>
    </row>
    <row r="262" spans="2:2" x14ac:dyDescent="0.2">
      <c r="B262" s="395"/>
    </row>
    <row r="263" spans="2:2" x14ac:dyDescent="0.2">
      <c r="B263" s="395"/>
    </row>
  </sheetData>
  <mergeCells count="10">
    <mergeCell ref="FL6:FM6"/>
    <mergeCell ref="EZ7:FD7"/>
    <mergeCell ref="FF7:FJ7"/>
    <mergeCell ref="F6:Q6"/>
    <mergeCell ref="R6:AC6"/>
    <mergeCell ref="FL7:FM7"/>
    <mergeCell ref="J7:Q7"/>
    <mergeCell ref="V7:AC7"/>
    <mergeCell ref="EZ6:FD6"/>
    <mergeCell ref="FF6:FJ6"/>
  </mergeCells>
  <phoneticPr fontId="3" type="noConversion"/>
  <conditionalFormatting sqref="FF185:FJ185 FF191:FJ191 FF170:FJ170 FF176:FJ176 FF173:FJ173 FF164:FJ164 FF179:FJ179 FF182:FJ182 FF188:FJ188 FF161:FJ161 FM125 FF127:FJ134 FM91:FM104 FF91:FJ104 FF27:FJ89 FM27:FM89 FM111:FM122 FF111:FJ125 FM12:FM20 FF12:FJ20">
    <cfRule type="cellIs" dxfId="19" priority="29" stopIfTrue="1" operator="greaterThan">
      <formula>0.005</formula>
    </cfRule>
  </conditionalFormatting>
  <conditionalFormatting sqref="FF126:FJ126">
    <cfRule type="cellIs" dxfId="18" priority="19" stopIfTrue="1" operator="greaterThan">
      <formula>0.005</formula>
    </cfRule>
  </conditionalFormatting>
  <conditionalFormatting sqref="FM21:FM26 FF21:FJ26">
    <cfRule type="cellIs" dxfId="17" priority="18" stopIfTrue="1" operator="greaterThan">
      <formula>0.005</formula>
    </cfRule>
  </conditionalFormatting>
  <conditionalFormatting sqref="FF167:FJ167">
    <cfRule type="cellIs" dxfId="16" priority="17" stopIfTrue="1" operator="greaterThan">
      <formula>0.005</formula>
    </cfRule>
  </conditionalFormatting>
  <conditionalFormatting sqref="FF105:FJ105 FM105 FM108:FM110 FF108:FJ110">
    <cfRule type="cellIs" dxfId="15" priority="16" stopIfTrue="1" operator="greaterThan">
      <formula>0.005</formula>
    </cfRule>
  </conditionalFormatting>
  <conditionalFormatting sqref="FM107 FF107:FJ107">
    <cfRule type="cellIs" dxfId="14" priority="15" stopIfTrue="1" operator="greaterThan">
      <formula>0.005</formula>
    </cfRule>
  </conditionalFormatting>
  <conditionalFormatting sqref="FM106 FF106:FJ106">
    <cfRule type="cellIs" dxfId="13" priority="14" stopIfTrue="1" operator="greaterThan">
      <formula>0.005</formula>
    </cfRule>
  </conditionalFormatting>
  <conditionalFormatting sqref="FF90:FJ90 FM90">
    <cfRule type="cellIs" dxfId="12" priority="13" stopIfTrue="1" operator="greaterThan">
      <formula>0.005</formula>
    </cfRule>
  </conditionalFormatting>
  <conditionalFormatting sqref="R98:AC98 R102:AC102 R108:AC108 R115:AC115 R122:AC122 R125:AC125 R12:AC25 R32:AC39 R46:AC53 R72:AC75 R79:AC82 R161:AC188 R94:AC95 R62:AC65">
    <cfRule type="cellIs" dxfId="11" priority="10" operator="greaterThan">
      <formula>0</formula>
    </cfRule>
  </conditionalFormatting>
  <conditionalFormatting sqref="R98:AC98 R102:AC102 R108:AC108 R115:AC115 R122:AC122 R125:AC125 R12:AC25 R32:AC39 R46:AC53 R72:AC75 R79:AC82 R161:AC188 R94:AC95 R62:AC65">
    <cfRule type="cellIs" dxfId="10" priority="9" operator="lessThan">
      <formula>0</formula>
    </cfRule>
  </conditionalFormatting>
  <conditionalFormatting sqref="R99:AC99">
    <cfRule type="cellIs" dxfId="9" priority="8" operator="greaterThan">
      <formula>0</formula>
    </cfRule>
  </conditionalFormatting>
  <conditionalFormatting sqref="R99:AC99">
    <cfRule type="cellIs" dxfId="8" priority="7" operator="lessThan">
      <formula>0</formula>
    </cfRule>
  </conditionalFormatting>
  <conditionalFormatting sqref="R66:AC66">
    <cfRule type="cellIs" dxfId="7" priority="6" operator="greaterThan">
      <formula>0</formula>
    </cfRule>
  </conditionalFormatting>
  <conditionalFormatting sqref="R66:AC66">
    <cfRule type="cellIs" dxfId="6" priority="5" operator="lessThan">
      <formula>0</formula>
    </cfRule>
  </conditionalFormatting>
  <conditionalFormatting sqref="R105:AC105">
    <cfRule type="cellIs" dxfId="5" priority="4" operator="greaterThan">
      <formula>0</formula>
    </cfRule>
  </conditionalFormatting>
  <conditionalFormatting sqref="R105:AC105">
    <cfRule type="cellIs" dxfId="4" priority="3" operator="lessThan">
      <formula>0</formula>
    </cfRule>
  </conditionalFormatting>
  <printOptions horizontalCentered="1"/>
  <pageMargins left="0.25" right="0.25" top="0.7" bottom="0.25" header="0.15" footer="0.15"/>
  <pageSetup scale="54" fitToHeight="0" orientation="landscape" r:id="rId1"/>
  <headerFooter differentFirst="1" alignWithMargins="0">
    <oddFooter>&amp;R3A</oddFooter>
    <firstFooter>&amp;R3A</firstFooter>
  </headerFooter>
  <rowBreaks count="2" manualBreakCount="2">
    <brk id="77" max="28" man="1"/>
    <brk id="151" max="16383" man="1"/>
  </rowBreaks>
  <ignoredErrors>
    <ignoredError sqref="G12"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pageSetUpPr fitToPage="1"/>
  </sheetPr>
  <dimension ref="A1:AD51"/>
  <sheetViews>
    <sheetView zoomScaleNormal="100" workbookViewId="0">
      <selection activeCell="P1" sqref="P1"/>
    </sheetView>
  </sheetViews>
  <sheetFormatPr defaultRowHeight="12.75" outlineLevelCol="1" x14ac:dyDescent="0.2"/>
  <cols>
    <col min="1" max="1" width="35.5703125" customWidth="1"/>
    <col min="2" max="2" width="11.5703125" style="65" bestFit="1" customWidth="1"/>
    <col min="3" max="3" width="10.5703125" style="8" hidden="1" customWidth="1" outlineLevel="1"/>
    <col min="4" max="4" width="9.5703125" style="646" customWidth="1" collapsed="1"/>
    <col min="5" max="6" width="9.28515625" style="639" bestFit="1" customWidth="1"/>
    <col min="7" max="7" width="9.28515625" style="639" customWidth="1" outlineLevel="1"/>
    <col min="8" max="8" width="9.28515625" style="639" bestFit="1" customWidth="1"/>
    <col min="9" max="9" width="9.140625" style="639" hidden="1" customWidth="1" outlineLevel="1"/>
    <col min="10" max="10" width="9.28515625" style="639" bestFit="1" customWidth="1" collapsed="1"/>
    <col min="11" max="11" width="9.140625" style="639" hidden="1" customWidth="1" outlineLevel="1"/>
    <col min="12" max="12" width="9.28515625" style="639" bestFit="1" customWidth="1" collapsed="1"/>
    <col min="13" max="14" width="9.140625" style="639" hidden="1" customWidth="1" outlineLevel="1"/>
    <col min="15" max="15" width="9.140625" style="639" customWidth="1" collapsed="1"/>
    <col min="16" max="16" width="9.28515625" style="639" bestFit="1" customWidth="1"/>
    <col min="17" max="17" width="8.28515625" style="639" customWidth="1"/>
    <col min="18" max="18" width="9.140625" style="639" bestFit="1" customWidth="1"/>
    <col min="19" max="20" width="8.28515625" style="639" customWidth="1"/>
    <col min="21" max="21" width="9.140625" style="639" hidden="1" customWidth="1" outlineLevel="1"/>
    <col min="22" max="22" width="8.5703125" style="639" customWidth="1" collapsed="1"/>
    <col min="23" max="23" width="9.140625" style="639" hidden="1" customWidth="1" outlineLevel="1"/>
    <col min="24" max="24" width="8.28515625" style="639" customWidth="1" collapsed="1"/>
    <col min="25" max="26" width="9.140625" hidden="1" customWidth="1" outlineLevel="1"/>
    <col min="27" max="27" width="9.140625" customWidth="1" collapsed="1"/>
    <col min="28" max="28" width="9.28515625" customWidth="1"/>
  </cols>
  <sheetData>
    <row r="1" spans="1:30" ht="18" x14ac:dyDescent="0.25">
      <c r="A1" s="377" t="s">
        <v>61</v>
      </c>
      <c r="B1" s="632"/>
      <c r="C1" s="640"/>
      <c r="D1" s="644"/>
      <c r="E1" s="637"/>
      <c r="F1" s="637"/>
      <c r="H1" s="657" t="s">
        <v>315</v>
      </c>
      <c r="I1" s="637"/>
      <c r="J1" s="637"/>
      <c r="K1" s="657" t="s">
        <v>315</v>
      </c>
      <c r="L1" s="657"/>
      <c r="M1" s="637"/>
      <c r="N1" s="637"/>
      <c r="O1" s="637"/>
      <c r="P1" s="637"/>
      <c r="Q1" s="637"/>
      <c r="R1" s="637"/>
      <c r="S1" s="637"/>
      <c r="T1" s="637"/>
      <c r="U1" s="637"/>
      <c r="V1" s="637"/>
      <c r="W1" s="637"/>
      <c r="X1" s="637"/>
      <c r="Y1" s="378"/>
      <c r="Z1" s="378"/>
      <c r="AA1" s="378"/>
      <c r="AB1" s="380" t="str">
        <f>'Return Summary'!AC1</f>
        <v>Period Ending August 31, 2014</v>
      </c>
    </row>
    <row r="2" spans="1:30" ht="18" x14ac:dyDescent="0.25">
      <c r="A2" s="384" t="s">
        <v>62</v>
      </c>
      <c r="B2" s="633"/>
      <c r="C2" s="641"/>
      <c r="D2" s="644"/>
      <c r="E2" s="637"/>
      <c r="F2" s="637"/>
      <c r="H2" s="657" t="s">
        <v>313</v>
      </c>
      <c r="I2" s="637"/>
      <c r="J2" s="637"/>
      <c r="K2" s="657" t="s">
        <v>313</v>
      </c>
      <c r="L2" s="657"/>
      <c r="M2" s="637"/>
      <c r="N2" s="637"/>
      <c r="O2" s="637"/>
      <c r="P2" s="637"/>
      <c r="Q2" s="637"/>
      <c r="R2" s="637"/>
      <c r="S2" s="637"/>
      <c r="T2" s="637"/>
      <c r="U2" s="637"/>
      <c r="V2" s="637"/>
      <c r="W2" s="637"/>
      <c r="X2" s="637"/>
      <c r="Y2" s="378"/>
      <c r="Z2" s="378"/>
      <c r="AA2" s="378"/>
      <c r="AB2" s="380"/>
    </row>
    <row r="3" spans="1:30" ht="18.75" thickBot="1" x14ac:dyDescent="0.3">
      <c r="A3" s="730"/>
      <c r="B3" s="634"/>
      <c r="C3" s="642"/>
      <c r="D3" s="644"/>
      <c r="E3" s="637"/>
      <c r="F3" s="637"/>
      <c r="G3" s="637"/>
      <c r="H3" s="637"/>
      <c r="I3" s="637"/>
      <c r="J3" s="637"/>
      <c r="K3" s="657"/>
      <c r="L3" s="657"/>
      <c r="M3" s="637"/>
      <c r="N3" s="637"/>
      <c r="O3" s="637"/>
      <c r="P3" s="637"/>
      <c r="Q3" s="637"/>
      <c r="R3" s="637"/>
      <c r="S3" s="637"/>
      <c r="T3" s="637"/>
      <c r="U3" s="637"/>
      <c r="V3" s="637"/>
      <c r="W3" s="637"/>
      <c r="X3" s="637"/>
      <c r="Y3" s="378"/>
      <c r="Z3" s="378"/>
      <c r="AA3" s="378"/>
      <c r="AB3" s="492" t="str">
        <f>Home!A1</f>
        <v>(Preliminary)</v>
      </c>
    </row>
    <row r="4" spans="1:30" x14ac:dyDescent="0.2">
      <c r="A4" s="647"/>
      <c r="B4" s="674"/>
      <c r="C4" s="387"/>
      <c r="D4" s="388"/>
      <c r="E4" s="1488" t="s">
        <v>113</v>
      </c>
      <c r="F4" s="1489"/>
      <c r="G4" s="1489"/>
      <c r="H4" s="1489"/>
      <c r="I4" s="1489"/>
      <c r="J4" s="1489"/>
      <c r="K4" s="1489"/>
      <c r="L4" s="1489"/>
      <c r="M4" s="1489"/>
      <c r="N4" s="1489"/>
      <c r="O4" s="1489"/>
      <c r="P4" s="1490"/>
      <c r="Q4" s="1481" t="s">
        <v>114</v>
      </c>
      <c r="R4" s="1481"/>
      <c r="S4" s="1481"/>
      <c r="T4" s="1481"/>
      <c r="U4" s="1481"/>
      <c r="V4" s="1481"/>
      <c r="W4" s="1481"/>
      <c r="X4" s="1481"/>
      <c r="Y4" s="1481"/>
      <c r="Z4" s="1481"/>
      <c r="AA4" s="1481"/>
      <c r="AB4" s="1481"/>
      <c r="AC4" s="650"/>
      <c r="AD4" s="651"/>
    </row>
    <row r="5" spans="1:30" x14ac:dyDescent="0.2">
      <c r="A5" s="648"/>
      <c r="B5" s="675"/>
      <c r="C5" s="397" t="s">
        <v>216</v>
      </c>
      <c r="D5" s="397" t="s">
        <v>215</v>
      </c>
      <c r="E5" s="658"/>
      <c r="F5" s="659"/>
      <c r="G5" s="659"/>
      <c r="H5" s="659"/>
      <c r="I5" s="1491" t="s">
        <v>47</v>
      </c>
      <c r="J5" s="1491"/>
      <c r="K5" s="1491"/>
      <c r="L5" s="1491"/>
      <c r="M5" s="1491"/>
      <c r="N5" s="1491"/>
      <c r="O5" s="1491"/>
      <c r="P5" s="1492"/>
      <c r="Q5" s="659"/>
      <c r="R5" s="659"/>
      <c r="S5" s="659"/>
      <c r="T5" s="659"/>
      <c r="U5" s="1485" t="s">
        <v>47</v>
      </c>
      <c r="V5" s="1485"/>
      <c r="W5" s="1485"/>
      <c r="X5" s="1485"/>
      <c r="Y5" s="1485"/>
      <c r="Z5" s="1485"/>
      <c r="AA5" s="1485"/>
      <c r="AB5" s="1485"/>
      <c r="AC5" s="650"/>
      <c r="AD5" s="651"/>
    </row>
    <row r="6" spans="1:30" ht="16.5" customHeight="1" x14ac:dyDescent="0.2">
      <c r="A6" s="649"/>
      <c r="B6" s="676" t="s">
        <v>32</v>
      </c>
      <c r="C6" s="404" t="s">
        <v>217</v>
      </c>
      <c r="D6" s="404" t="s">
        <v>218</v>
      </c>
      <c r="E6" s="660" t="s">
        <v>46</v>
      </c>
      <c r="F6" s="661" t="s">
        <v>48</v>
      </c>
      <c r="G6" s="662" t="s">
        <v>31</v>
      </c>
      <c r="H6" s="662" t="s">
        <v>35</v>
      </c>
      <c r="I6" s="662" t="s">
        <v>190</v>
      </c>
      <c r="J6" s="662" t="s">
        <v>36</v>
      </c>
      <c r="K6" s="662" t="s">
        <v>191</v>
      </c>
      <c r="L6" s="662" t="s">
        <v>45</v>
      </c>
      <c r="M6" s="662" t="s">
        <v>192</v>
      </c>
      <c r="N6" s="662" t="s">
        <v>219</v>
      </c>
      <c r="O6" s="662" t="s">
        <v>249</v>
      </c>
      <c r="P6" s="663" t="s">
        <v>32</v>
      </c>
      <c r="Q6" s="662" t="s">
        <v>46</v>
      </c>
      <c r="R6" s="661" t="s">
        <v>48</v>
      </c>
      <c r="S6" s="662" t="str">
        <f>G6</f>
        <v>YTD</v>
      </c>
      <c r="T6" s="662" t="str">
        <f>H6</f>
        <v>1 Year</v>
      </c>
      <c r="U6" s="662" t="str">
        <f>I6</f>
        <v>2 Years</v>
      </c>
      <c r="V6" s="662" t="str">
        <f>J6</f>
        <v>3 Years</v>
      </c>
      <c r="W6" s="662" t="str">
        <f>K6</f>
        <v>4 Years</v>
      </c>
      <c r="X6" s="662" t="s">
        <v>45</v>
      </c>
      <c r="Y6" s="408" t="str">
        <f>M6</f>
        <v>7 Years</v>
      </c>
      <c r="Z6" s="408" t="str">
        <f>N6</f>
        <v>9 Years</v>
      </c>
      <c r="AA6" s="408" t="str">
        <f>O6</f>
        <v>10 Years</v>
      </c>
      <c r="AB6" s="408" t="str">
        <f>P6</f>
        <v>Inception</v>
      </c>
      <c r="AC6" s="650"/>
      <c r="AD6" s="651"/>
    </row>
    <row r="7" spans="1:30" ht="18" x14ac:dyDescent="0.25">
      <c r="A7" s="673"/>
      <c r="B7" s="1348"/>
      <c r="C7" s="1349"/>
      <c r="D7" s="1350"/>
      <c r="E7" s="664"/>
      <c r="F7" s="672"/>
      <c r="G7" s="637"/>
      <c r="H7" s="637"/>
      <c r="I7" s="637"/>
      <c r="J7" s="637"/>
      <c r="K7" s="657"/>
      <c r="L7" s="657"/>
      <c r="M7" s="637"/>
      <c r="N7" s="637"/>
      <c r="O7" s="637"/>
      <c r="P7" s="637"/>
      <c r="Q7" s="681"/>
      <c r="R7" s="682"/>
      <c r="S7" s="682"/>
      <c r="T7" s="682"/>
      <c r="U7" s="682"/>
      <c r="V7" s="682"/>
      <c r="W7" s="682"/>
      <c r="X7" s="682"/>
      <c r="Y7" s="682"/>
      <c r="Z7" s="682"/>
      <c r="AA7" s="682"/>
      <c r="AB7" s="1362"/>
      <c r="AC7" s="1361"/>
      <c r="AD7" s="651"/>
    </row>
    <row r="8" spans="1:30" x14ac:dyDescent="0.2">
      <c r="A8" s="577" t="s">
        <v>316</v>
      </c>
      <c r="B8" s="677"/>
      <c r="C8" s="643"/>
      <c r="D8" s="1351"/>
      <c r="E8" s="670"/>
      <c r="F8" s="665"/>
      <c r="G8" s="665"/>
      <c r="H8" s="666"/>
      <c r="I8" s="666"/>
      <c r="J8" s="666"/>
      <c r="K8" s="666"/>
      <c r="L8" s="666"/>
      <c r="M8" s="666"/>
      <c r="N8" s="666"/>
      <c r="O8" s="666"/>
      <c r="P8" s="666"/>
      <c r="Q8" s="683"/>
      <c r="R8" s="684"/>
      <c r="S8" s="685"/>
      <c r="T8" s="684"/>
      <c r="U8" s="684"/>
      <c r="V8" s="684"/>
      <c r="W8" s="684"/>
      <c r="X8" s="684"/>
      <c r="Y8" s="684"/>
      <c r="Z8" s="684"/>
      <c r="AA8" s="684"/>
      <c r="AB8" s="1363"/>
      <c r="AC8" s="535"/>
      <c r="AD8" s="15"/>
    </row>
    <row r="9" spans="1:30" x14ac:dyDescent="0.2">
      <c r="A9" s="577"/>
      <c r="B9" s="677"/>
      <c r="C9" s="643"/>
      <c r="D9" s="1351"/>
      <c r="E9" s="670"/>
      <c r="F9" s="665"/>
      <c r="G9" s="665"/>
      <c r="H9" s="666"/>
      <c r="I9" s="666"/>
      <c r="J9" s="666"/>
      <c r="K9" s="666"/>
      <c r="L9" s="666"/>
      <c r="M9" s="666"/>
      <c r="N9" s="666"/>
      <c r="O9" s="666"/>
      <c r="P9" s="666"/>
      <c r="Q9" s="683"/>
      <c r="R9" s="684"/>
      <c r="S9" s="685"/>
      <c r="T9" s="684"/>
      <c r="U9" s="684"/>
      <c r="V9" s="684"/>
      <c r="W9" s="684"/>
      <c r="X9" s="684"/>
      <c r="Y9" s="684"/>
      <c r="Z9" s="684"/>
      <c r="AA9" s="684"/>
      <c r="AB9" s="1363"/>
      <c r="AC9" s="535"/>
      <c r="AD9" s="15"/>
    </row>
    <row r="10" spans="1:30" x14ac:dyDescent="0.2">
      <c r="A10" s="550" t="str">
        <f>'Return Summary'!A161</f>
        <v>Blackrock US Debt Fund B</v>
      </c>
      <c r="B10" s="678">
        <f>'Return Summary'!C161</f>
        <v>40543</v>
      </c>
      <c r="C10" s="1355">
        <f>'Return Summary'!D161</f>
        <v>6</v>
      </c>
      <c r="D10" s="1354">
        <f>'Return Summary'!E161</f>
        <v>31.825713710000002</v>
      </c>
      <c r="E10" s="671">
        <f>'Return Summary'!F161</f>
        <v>1.07582</v>
      </c>
      <c r="F10" s="667">
        <f>'Return Summary'!G161</f>
        <v>0.93962174164192724</v>
      </c>
      <c r="G10" s="667">
        <f>'Return Summary'!H161</f>
        <v>3.3570587503141347</v>
      </c>
      <c r="H10" s="667">
        <f>'Return Summary'!I161</f>
        <v>5.7119084211016968</v>
      </c>
      <c r="I10" s="667">
        <f>'Return Summary'!J161</f>
        <v>1.5605721711943632</v>
      </c>
      <c r="J10" s="667">
        <f>'Return Summary'!K161</f>
        <v>2.953084830814956</v>
      </c>
      <c r="K10" s="667" t="str">
        <f>'Return Summary'!L161</f>
        <v>---</v>
      </c>
      <c r="L10" s="667" t="str">
        <f>'Return Summary'!M161</f>
        <v>---</v>
      </c>
      <c r="M10" s="667" t="str">
        <f>'Return Summary'!N161</f>
        <v>---</v>
      </c>
      <c r="N10" s="667" t="str">
        <f>'Return Summary'!O161</f>
        <v>---</v>
      </c>
      <c r="O10" s="667" t="str">
        <f>'Return Summary'!P161</f>
        <v>---</v>
      </c>
      <c r="P10" s="667">
        <f>'Return Summary'!Q161</f>
        <v>3.7940600776213973</v>
      </c>
      <c r="Q10" s="686">
        <f>'Return Summary'!R161</f>
        <v>-2.8210000000000068</v>
      </c>
      <c r="R10" s="1360">
        <f>'Return Summary'!S161</f>
        <v>3.7121994437616657</v>
      </c>
      <c r="S10" s="1360">
        <f>'Return Summary'!T161</f>
        <v>7.3887028955588185</v>
      </c>
      <c r="T10" s="1360">
        <f>'Return Summary'!U161</f>
        <v>5.4540237636913069</v>
      </c>
      <c r="U10" s="1360">
        <f>'Return Summary'!V161</f>
        <v>4.8488831170523383</v>
      </c>
      <c r="V10" s="1360">
        <f>'Return Summary'!W161</f>
        <v>3.8240609633466427</v>
      </c>
      <c r="W10" s="1360" t="str">
        <f>'Return Summary'!X161</f>
        <v>---</v>
      </c>
      <c r="X10" s="1360" t="str">
        <f>'Return Summary'!Y161</f>
        <v>---</v>
      </c>
      <c r="Y10" s="1360" t="str">
        <f>'Return Summary'!Z161</f>
        <v>---</v>
      </c>
      <c r="Z10" s="1360" t="str">
        <f>'Return Summary'!AA161</f>
        <v>---</v>
      </c>
      <c r="AA10" s="1360" t="str">
        <f>'Return Summary'!AB161</f>
        <v>---</v>
      </c>
      <c r="AB10" s="1359">
        <f>'Return Summary'!AC161</f>
        <v>3.2186499015574022</v>
      </c>
      <c r="AC10" s="434"/>
      <c r="AD10" s="652"/>
    </row>
    <row r="11" spans="1:30" x14ac:dyDescent="0.2">
      <c r="A11" s="487" t="str">
        <f>'Return Summary'!A162</f>
        <v>Barclay's Aggregate</v>
      </c>
      <c r="B11" s="679"/>
      <c r="C11" s="249"/>
      <c r="D11" s="1352"/>
      <c r="E11" s="1356">
        <f>'Return Summary'!F162</f>
        <v>1.1040300000000001</v>
      </c>
      <c r="F11" s="1456">
        <f>'Return Summary'!G162</f>
        <v>0.90249974720431059</v>
      </c>
      <c r="G11" s="1357">
        <f>'Return Summary'!H162</f>
        <v>3.2831717213585465</v>
      </c>
      <c r="H11" s="1357">
        <f>'Return Summary'!I162</f>
        <v>5.6573681834647838</v>
      </c>
      <c r="I11" s="1357">
        <f>'Return Summary'!J162</f>
        <v>1.5120833400238398</v>
      </c>
      <c r="J11" s="1357">
        <f>'Return Summary'!K162</f>
        <v>2.9148442211814896</v>
      </c>
      <c r="K11" s="1357">
        <f>'Return Summary'!L162</f>
        <v>3.33746383244371</v>
      </c>
      <c r="L11" s="1357">
        <f>'Return Summary'!M162</f>
        <v>4.4796688712766208</v>
      </c>
      <c r="M11" s="1357">
        <f>'Return Summary'!N162</f>
        <v>5.1638465377881193</v>
      </c>
      <c r="N11" s="1357">
        <f>'Return Summary'!O162</f>
        <v>4.7849967011007077</v>
      </c>
      <c r="O11" s="1357">
        <f>'Return Summary'!P162</f>
        <v>4.7210626314822202</v>
      </c>
      <c r="P11" s="1358" t="str">
        <f>'Return Summary'!Q162</f>
        <v>---</v>
      </c>
      <c r="Q11" s="687"/>
      <c r="R11" s="443"/>
      <c r="S11" s="443"/>
      <c r="T11" s="443"/>
      <c r="U11" s="443"/>
      <c r="V11" s="443"/>
      <c r="W11" s="443"/>
      <c r="X11" s="443"/>
      <c r="Y11" s="443"/>
      <c r="Z11" s="443"/>
      <c r="AA11" s="443"/>
      <c r="AB11" s="443"/>
      <c r="AC11" s="488"/>
      <c r="AD11" s="653"/>
    </row>
    <row r="12" spans="1:30" x14ac:dyDescent="0.2">
      <c r="A12" s="17"/>
      <c r="B12" s="680"/>
      <c r="C12" s="9"/>
      <c r="D12" s="1353"/>
      <c r="E12" s="669"/>
      <c r="F12" s="638"/>
      <c r="G12" s="668"/>
      <c r="H12" s="668"/>
      <c r="I12" s="668"/>
      <c r="J12" s="668"/>
      <c r="K12" s="668"/>
      <c r="L12" s="668"/>
      <c r="M12" s="668"/>
      <c r="N12" s="668"/>
      <c r="O12" s="668"/>
      <c r="P12" s="668"/>
      <c r="Q12" s="688"/>
      <c r="R12" s="689"/>
      <c r="S12" s="690"/>
      <c r="T12" s="690"/>
      <c r="U12" s="690"/>
      <c r="V12" s="690"/>
      <c r="W12" s="690"/>
      <c r="X12" s="690"/>
      <c r="Y12" s="690"/>
      <c r="Z12" s="690"/>
      <c r="AA12" s="690"/>
      <c r="AB12" s="690"/>
      <c r="AC12" s="524"/>
      <c r="AD12" s="15"/>
    </row>
    <row r="13" spans="1:30" x14ac:dyDescent="0.2">
      <c r="A13" s="550" t="str">
        <f>'Return Summary'!A164</f>
        <v>Blackrock US High Yield Fund B</v>
      </c>
      <c r="B13" s="678">
        <f>'Return Summary'!C164</f>
        <v>40543</v>
      </c>
      <c r="C13" s="1355">
        <f>'Return Summary'!D164</f>
        <v>20</v>
      </c>
      <c r="D13" s="1354">
        <f>'Return Summary'!E164</f>
        <v>18.42433934</v>
      </c>
      <c r="E13" s="671">
        <f>'Return Summary'!F164</f>
        <v>1.82579</v>
      </c>
      <c r="F13" s="667">
        <f>'Return Summary'!G164</f>
        <v>1.2258253741715741</v>
      </c>
      <c r="G13" s="667">
        <f>'Return Summary'!H164</f>
        <v>5.232553814660923</v>
      </c>
      <c r="H13" s="667">
        <f>'Return Summary'!I164</f>
        <v>10.872290357195169</v>
      </c>
      <c r="I13" s="667">
        <f>'Return Summary'!J164</f>
        <v>8.7304007377055228</v>
      </c>
      <c r="J13" s="667">
        <f>'Return Summary'!K164</f>
        <v>10.436305312806592</v>
      </c>
      <c r="K13" s="667" t="str">
        <f>'Return Summary'!L164</f>
        <v>---</v>
      </c>
      <c r="L13" s="667" t="str">
        <f>'Return Summary'!M164</f>
        <v>---</v>
      </c>
      <c r="M13" s="667" t="str">
        <f>'Return Summary'!N164</f>
        <v>---</v>
      </c>
      <c r="N13" s="667" t="str">
        <f>'Return Summary'!O164</f>
        <v>---</v>
      </c>
      <c r="O13" s="667" t="str">
        <f>'Return Summary'!P164</f>
        <v>---</v>
      </c>
      <c r="P13" s="667">
        <f>'Return Summary'!Q164</f>
        <v>8.5768601851380577</v>
      </c>
      <c r="Q13" s="686">
        <f>'Return Summary'!R164</f>
        <v>24.059999999999992</v>
      </c>
      <c r="R13" s="1360">
        <f>'Return Summary'!S164</f>
        <v>15.802605730639296</v>
      </c>
      <c r="S13" s="1360">
        <f>'Return Summary'!T164</f>
        <v>26.494339002540723</v>
      </c>
      <c r="T13" s="1360">
        <f>'Return Summary'!U164</f>
        <v>29.548621415482756</v>
      </c>
      <c r="U13" s="1360">
        <f>'Return Summary'!V164</f>
        <v>-32.912788361927525</v>
      </c>
      <c r="V13" s="1360">
        <f>'Return Summary'!W164</f>
        <v>-20.868601377564033</v>
      </c>
      <c r="W13" s="1360" t="str">
        <f>'Return Summary'!X164</f>
        <v>---</v>
      </c>
      <c r="X13" s="1360" t="str">
        <f>'Return Summary'!Y164</f>
        <v>---</v>
      </c>
      <c r="Y13" s="1360" t="str">
        <f>'Return Summary'!Z164</f>
        <v>---</v>
      </c>
      <c r="Z13" s="1360" t="str">
        <f>'Return Summary'!AA164</f>
        <v>---</v>
      </c>
      <c r="AA13" s="1360" t="str">
        <f>'Return Summary'!AB164</f>
        <v>---</v>
      </c>
      <c r="AB13" s="1359">
        <f>'Return Summary'!AC164</f>
        <v>-36.685596573955515</v>
      </c>
      <c r="AC13" s="434"/>
      <c r="AD13" s="652"/>
    </row>
    <row r="14" spans="1:30" x14ac:dyDescent="0.2">
      <c r="A14" s="487" t="str">
        <f>'Return Summary'!A165</f>
        <v>Barclay's High Yield</v>
      </c>
      <c r="B14" s="679"/>
      <c r="C14" s="249"/>
      <c r="D14" s="1352"/>
      <c r="E14" s="1356">
        <f>'Return Summary'!F165</f>
        <v>1.5851900000000001</v>
      </c>
      <c r="F14" s="1456">
        <f>'Return Summary'!G165</f>
        <v>1.0677993168651811</v>
      </c>
      <c r="G14" s="1357">
        <f>'Return Summary'!H165</f>
        <v>4.9676104246355157</v>
      </c>
      <c r="H14" s="1357">
        <f>'Return Summary'!I165</f>
        <v>10.576804143040341</v>
      </c>
      <c r="I14" s="1357">
        <f>'Return Summary'!J165</f>
        <v>9.0595286213247981</v>
      </c>
      <c r="J14" s="1357">
        <f>'Return Summary'!K165</f>
        <v>10.644991326582232</v>
      </c>
      <c r="K14" s="1357">
        <f>'Return Summary'!L165</f>
        <v>10.077955695172047</v>
      </c>
      <c r="L14" s="1357" t="str">
        <f>'Return Summary'!M165</f>
        <v>---</v>
      </c>
      <c r="M14" s="1357" t="str">
        <f>'Return Summary'!N165</f>
        <v>---</v>
      </c>
      <c r="N14" s="1357" t="str">
        <f>'Return Summary'!O165</f>
        <v>---</v>
      </c>
      <c r="O14" s="1357" t="str">
        <f>'Return Summary'!P165</f>
        <v>---</v>
      </c>
      <c r="P14" s="1358" t="str">
        <f>'Return Summary'!Q165</f>
        <v>---</v>
      </c>
      <c r="Q14" s="687"/>
      <c r="R14" s="443"/>
      <c r="S14" s="443"/>
      <c r="T14" s="443"/>
      <c r="U14" s="443"/>
      <c r="V14" s="443"/>
      <c r="W14" s="443"/>
      <c r="X14" s="443"/>
      <c r="Y14" s="443"/>
      <c r="Z14" s="443"/>
      <c r="AA14" s="443"/>
      <c r="AB14" s="443"/>
      <c r="AC14" s="488"/>
      <c r="AD14" s="653"/>
    </row>
    <row r="15" spans="1:30" x14ac:dyDescent="0.2">
      <c r="A15" s="17"/>
      <c r="B15" s="680"/>
      <c r="C15" s="9"/>
      <c r="D15" s="1353"/>
      <c r="E15" s="669"/>
      <c r="F15" s="638"/>
      <c r="G15" s="668"/>
      <c r="H15" s="668"/>
      <c r="I15" s="668"/>
      <c r="J15" s="668"/>
      <c r="K15" s="668"/>
      <c r="L15" s="668"/>
      <c r="M15" s="668"/>
      <c r="N15" s="668"/>
      <c r="O15" s="668"/>
      <c r="P15" s="668"/>
      <c r="Q15" s="688"/>
      <c r="R15" s="689"/>
      <c r="S15" s="690"/>
      <c r="T15" s="690"/>
      <c r="U15" s="690"/>
      <c r="V15" s="690"/>
      <c r="W15" s="690"/>
      <c r="X15" s="690"/>
      <c r="Y15" s="690"/>
      <c r="Z15" s="690"/>
      <c r="AA15" s="690"/>
      <c r="AB15" s="690"/>
      <c r="AC15" s="524"/>
      <c r="AD15" s="15"/>
    </row>
    <row r="16" spans="1:30" x14ac:dyDescent="0.2">
      <c r="A16" s="550" t="str">
        <f>'Return Summary'!A167</f>
        <v>Blackrock Emerging Market Debt Fund B</v>
      </c>
      <c r="B16" s="678">
        <f>'Return Summary'!C167</f>
        <v>41305</v>
      </c>
      <c r="C16" s="1355">
        <f>'Return Summary'!D167</f>
        <v>20</v>
      </c>
      <c r="D16" s="1354">
        <f>'Return Summary'!E167</f>
        <v>10.162185050000001</v>
      </c>
      <c r="E16" s="671">
        <f>'Return Summary'!F167</f>
        <v>0.42843999999999999</v>
      </c>
      <c r="F16" s="667">
        <f>'Return Summary'!G167</f>
        <v>0.28774422691031365</v>
      </c>
      <c r="G16" s="667">
        <f>'Return Summary'!H167</f>
        <v>10.20884296827942</v>
      </c>
      <c r="H16" s="667">
        <f>'Return Summary'!I167</f>
        <v>7.3739569503895597</v>
      </c>
      <c r="I16" s="667" t="str">
        <f>'Return Summary'!J167</f>
        <v>---</v>
      </c>
      <c r="J16" s="667" t="str">
        <f>'Return Summary'!K167</f>
        <v>---</v>
      </c>
      <c r="K16" s="667" t="str">
        <f>'Return Summary'!L167</f>
        <v>---</v>
      </c>
      <c r="L16" s="667" t="str">
        <f>'Return Summary'!M167</f>
        <v>---</v>
      </c>
      <c r="M16" s="667" t="str">
        <f>'Return Summary'!N167</f>
        <v>---</v>
      </c>
      <c r="N16" s="667" t="str">
        <f>'Return Summary'!O167</f>
        <v>---</v>
      </c>
      <c r="O16" s="667" t="str">
        <f>'Return Summary'!P167</f>
        <v>---</v>
      </c>
      <c r="P16" s="667">
        <f>'Return Summary'!Q167</f>
        <v>-3.7076510729492029</v>
      </c>
      <c r="Q16" s="686">
        <f>'Return Summary'!R167</f>
        <v>-5.1609999999999987</v>
      </c>
      <c r="R16" s="1360">
        <f>'Return Summary'!S167</f>
        <v>-12.415731743082858</v>
      </c>
      <c r="S16" s="1360">
        <f>'Return Summary'!T167</f>
        <v>-28.337944666505521</v>
      </c>
      <c r="T16" s="1360">
        <f>'Return Summary'!U167</f>
        <v>-94.61727891987293</v>
      </c>
      <c r="U16" s="1360" t="str">
        <f>'Return Summary'!V167</f>
        <v>---</v>
      </c>
      <c r="V16" s="1360" t="str">
        <f>'Return Summary'!W167</f>
        <v>---</v>
      </c>
      <c r="W16" s="1360" t="str">
        <f>'Return Summary'!X167</f>
        <v>---</v>
      </c>
      <c r="X16" s="1360" t="str">
        <f>'Return Summary'!Y167</f>
        <v>---</v>
      </c>
      <c r="Y16" s="1360" t="str">
        <f>'Return Summary'!Z167</f>
        <v>---</v>
      </c>
      <c r="Z16" s="1360" t="str">
        <f>'Return Summary'!AA167</f>
        <v>---</v>
      </c>
      <c r="AA16" s="1360" t="str">
        <f>'Return Summary'!AB167</f>
        <v>---</v>
      </c>
      <c r="AB16" s="1359">
        <f>'Return Summary'!AC167</f>
        <v>-81.320700600048255</v>
      </c>
      <c r="AC16" s="434"/>
      <c r="AD16" s="652"/>
    </row>
    <row r="17" spans="1:30" x14ac:dyDescent="0.2">
      <c r="A17" s="487" t="str">
        <f>'Return Summary'!A168</f>
        <v>JP Morgan GBI EM Global Diversified</v>
      </c>
      <c r="B17" s="679"/>
      <c r="C17" s="249"/>
      <c r="D17" s="1352"/>
      <c r="E17" s="1356">
        <f>'Return Summary'!F168</f>
        <v>0.48004999999999998</v>
      </c>
      <c r="F17" s="1456">
        <f>'Return Summary'!G168</f>
        <v>0.41190154434114223</v>
      </c>
      <c r="G17" s="1357">
        <f>'Return Summary'!H168</f>
        <v>10.492222414944475</v>
      </c>
      <c r="H17" s="1357">
        <f>'Return Summary'!I168</f>
        <v>8.3201297395882889</v>
      </c>
      <c r="I17" s="1357" t="str">
        <f>'Return Summary'!J168</f>
        <v>---</v>
      </c>
      <c r="J17" s="1357" t="str">
        <f>'Return Summary'!K168</f>
        <v>---</v>
      </c>
      <c r="K17" s="1357" t="str">
        <f>'Return Summary'!L168</f>
        <v>---</v>
      </c>
      <c r="L17" s="1357" t="str">
        <f>'Return Summary'!M168</f>
        <v>---</v>
      </c>
      <c r="M17" s="1357" t="str">
        <f>'Return Summary'!N168</f>
        <v>---</v>
      </c>
      <c r="N17" s="1357" t="str">
        <f>'Return Summary'!O168</f>
        <v>---</v>
      </c>
      <c r="O17" s="1357" t="str">
        <f>'Return Summary'!P168</f>
        <v>---</v>
      </c>
      <c r="P17" s="1358" t="str">
        <f>'Return Summary'!Q168</f>
        <v>---</v>
      </c>
      <c r="Q17" s="687"/>
      <c r="R17" s="443"/>
      <c r="S17" s="443"/>
      <c r="T17" s="443"/>
      <c r="U17" s="443"/>
      <c r="V17" s="443"/>
      <c r="W17" s="443"/>
      <c r="X17" s="443"/>
      <c r="Y17" s="443"/>
      <c r="Z17" s="443"/>
      <c r="AA17" s="443"/>
      <c r="AB17" s="443"/>
      <c r="AC17" s="488"/>
      <c r="AD17" s="653"/>
    </row>
    <row r="18" spans="1:30" x14ac:dyDescent="0.2">
      <c r="A18" s="17"/>
      <c r="B18" s="680"/>
      <c r="C18" s="9"/>
      <c r="D18" s="1353"/>
      <c r="E18" s="669"/>
      <c r="F18" s="638"/>
      <c r="G18" s="668"/>
      <c r="H18" s="668"/>
      <c r="I18" s="668"/>
      <c r="J18" s="668"/>
      <c r="K18" s="668"/>
      <c r="L18" s="668"/>
      <c r="M18" s="668"/>
      <c r="N18" s="668"/>
      <c r="O18" s="668"/>
      <c r="P18" s="668"/>
      <c r="Q18" s="688"/>
      <c r="R18" s="689"/>
      <c r="S18" s="690"/>
      <c r="T18" s="690"/>
      <c r="U18" s="690"/>
      <c r="V18" s="690"/>
      <c r="W18" s="690"/>
      <c r="X18" s="690"/>
      <c r="Y18" s="690"/>
      <c r="Z18" s="690"/>
      <c r="AA18" s="690"/>
      <c r="AB18" s="690"/>
      <c r="AC18" s="524"/>
      <c r="AD18" s="15"/>
    </row>
    <row r="19" spans="1:30" x14ac:dyDescent="0.2">
      <c r="A19" s="550" t="str">
        <f>'Return Summary'!A170</f>
        <v>Blackrock Russell 1000 Fund B</v>
      </c>
      <c r="B19" s="678">
        <f>'Return Summary'!C170</f>
        <v>40543</v>
      </c>
      <c r="C19" s="1355">
        <f>'Return Summary'!D170</f>
        <v>5</v>
      </c>
      <c r="D19" s="1354">
        <f>'Return Summary'!E170</f>
        <v>100.26335164</v>
      </c>
      <c r="E19" s="671">
        <f>'Return Summary'!F170</f>
        <v>4.0978899999999996</v>
      </c>
      <c r="F19" s="667">
        <f>'Return Summary'!G170</f>
        <v>4.7698346610320019</v>
      </c>
      <c r="G19" s="667">
        <f>'Return Summary'!H170</f>
        <v>13.489553024612322</v>
      </c>
      <c r="H19" s="667">
        <f>'Return Summary'!I170</f>
        <v>25.281928816805909</v>
      </c>
      <c r="I19" s="667">
        <f>'Return Summary'!J170</f>
        <v>22.530428821875368</v>
      </c>
      <c r="J19" s="667">
        <f>'Return Summary'!K170</f>
        <v>20.779557822933814</v>
      </c>
      <c r="K19" s="667" t="str">
        <f>'Return Summary'!L170</f>
        <v>---</v>
      </c>
      <c r="L19" s="667" t="str">
        <f>'Return Summary'!M170</f>
        <v>---</v>
      </c>
      <c r="M19" s="667" t="str">
        <f>'Return Summary'!N170</f>
        <v>---</v>
      </c>
      <c r="N19" s="667" t="str">
        <f>'Return Summary'!O170</f>
        <v>---</v>
      </c>
      <c r="O19" s="667" t="str">
        <f>'Return Summary'!P170</f>
        <v>---</v>
      </c>
      <c r="P19" s="667">
        <f>'Return Summary'!Q170</f>
        <v>15.211846169880673</v>
      </c>
      <c r="Q19" s="686">
        <f>'Return Summary'!R170</f>
        <v>-3.4110000000000085</v>
      </c>
      <c r="R19" s="1360">
        <f>'Return Summary'!S170</f>
        <v>-0.85754535695592438</v>
      </c>
      <c r="S19" s="1360">
        <f>'Return Summary'!T170</f>
        <v>-3.1167205344706517</v>
      </c>
      <c r="T19" s="1360">
        <f>'Return Summary'!U170</f>
        <v>-7.5669107087783516</v>
      </c>
      <c r="U19" s="1360">
        <f>'Return Summary'!V170</f>
        <v>-3.6340614588503684</v>
      </c>
      <c r="V19" s="1360">
        <f>'Return Summary'!W170</f>
        <v>-1.7053061888059773</v>
      </c>
      <c r="W19" s="1360" t="str">
        <f>'Return Summary'!X170</f>
        <v>---</v>
      </c>
      <c r="X19" s="1360" t="str">
        <f>'Return Summary'!Y170</f>
        <v>---</v>
      </c>
      <c r="Y19" s="1360" t="str">
        <f>'Return Summary'!Z170</f>
        <v>---</v>
      </c>
      <c r="Z19" s="1360" t="str">
        <f>'Return Summary'!AA170</f>
        <v>---</v>
      </c>
      <c r="AA19" s="1360" t="str">
        <f>'Return Summary'!AB170</f>
        <v>---</v>
      </c>
      <c r="AB19" s="1359">
        <f>'Return Summary'!AC170</f>
        <v>1.8574039623509009</v>
      </c>
      <c r="AC19" s="434"/>
      <c r="AD19" s="652"/>
    </row>
    <row r="20" spans="1:30" x14ac:dyDescent="0.2">
      <c r="A20" s="487" t="str">
        <f>'Return Summary'!A171</f>
        <v>Russell 1000</v>
      </c>
      <c r="B20" s="679"/>
      <c r="C20" s="249"/>
      <c r="D20" s="1352"/>
      <c r="E20" s="1356">
        <f>'Return Summary'!F171</f>
        <v>4.1319999999999997</v>
      </c>
      <c r="F20" s="1456">
        <f>'Return Summary'!G171</f>
        <v>4.7784101146015612</v>
      </c>
      <c r="G20" s="1357">
        <f>'Return Summary'!H171</f>
        <v>13.520720229957028</v>
      </c>
      <c r="H20" s="1357">
        <f>'Return Summary'!I171</f>
        <v>25.357597923893692</v>
      </c>
      <c r="I20" s="1357">
        <f>'Return Summary'!J171</f>
        <v>22.566769436463872</v>
      </c>
      <c r="J20" s="1357">
        <f>'Return Summary'!K171</f>
        <v>20.796610884821874</v>
      </c>
      <c r="K20" s="1357" t="str">
        <f>'Return Summary'!L171</f>
        <v>---</v>
      </c>
      <c r="L20" s="1357" t="str">
        <f>'Return Summary'!M171</f>
        <v>---</v>
      </c>
      <c r="M20" s="1357" t="str">
        <f>'Return Summary'!N171</f>
        <v>---</v>
      </c>
      <c r="N20" s="1357" t="str">
        <f>'Return Summary'!O171</f>
        <v>---</v>
      </c>
      <c r="O20" s="1357" t="str">
        <f>'Return Summary'!P171</f>
        <v>---</v>
      </c>
      <c r="P20" s="1358" t="str">
        <f>'Return Summary'!Q171</f>
        <v>---</v>
      </c>
      <c r="Q20" s="687"/>
      <c r="R20" s="443"/>
      <c r="S20" s="443"/>
      <c r="T20" s="443"/>
      <c r="U20" s="443"/>
      <c r="V20" s="443"/>
      <c r="W20" s="443"/>
      <c r="X20" s="443"/>
      <c r="Y20" s="443"/>
      <c r="Z20" s="443"/>
      <c r="AA20" s="443"/>
      <c r="AB20" s="443"/>
      <c r="AC20" s="488"/>
      <c r="AD20" s="653"/>
    </row>
    <row r="21" spans="1:30" x14ac:dyDescent="0.2">
      <c r="A21" s="17"/>
      <c r="B21" s="680"/>
      <c r="C21" s="9"/>
      <c r="D21" s="1353"/>
      <c r="E21" s="669"/>
      <c r="F21" s="638"/>
      <c r="G21" s="668"/>
      <c r="H21" s="668"/>
      <c r="I21" s="668"/>
      <c r="J21" s="668"/>
      <c r="K21" s="668"/>
      <c r="L21" s="668"/>
      <c r="M21" s="668"/>
      <c r="N21" s="668"/>
      <c r="O21" s="668"/>
      <c r="P21" s="668"/>
      <c r="Q21" s="688"/>
      <c r="R21" s="689"/>
      <c r="S21" s="690"/>
      <c r="T21" s="690"/>
      <c r="U21" s="690"/>
      <c r="V21" s="690"/>
      <c r="W21" s="690"/>
      <c r="X21" s="690"/>
      <c r="Y21" s="690"/>
      <c r="Z21" s="690"/>
      <c r="AA21" s="690"/>
      <c r="AB21" s="690"/>
      <c r="AC21" s="524"/>
      <c r="AD21" s="15"/>
    </row>
    <row r="22" spans="1:30" x14ac:dyDescent="0.2">
      <c r="A22" s="550" t="str">
        <f>'Return Summary'!A173</f>
        <v>Blackrock Russell 2000 Fund B</v>
      </c>
      <c r="B22" s="678">
        <f>'Return Summary'!C173</f>
        <v>40543</v>
      </c>
      <c r="C22" s="1355">
        <f>'Return Summary'!D173</f>
        <v>7</v>
      </c>
      <c r="D22" s="1354">
        <f>'Return Summary'!E173</f>
        <v>17.1758621</v>
      </c>
      <c r="E22" s="671">
        <f>'Return Summary'!F173</f>
        <v>4.9615900000000002</v>
      </c>
      <c r="F22" s="667">
        <f>'Return Summary'!G173</f>
        <v>3.9337627171163625</v>
      </c>
      <c r="G22" s="667">
        <f>'Return Summary'!H173</f>
        <v>4.758483235882971</v>
      </c>
      <c r="H22" s="667">
        <f>'Return Summary'!I173</f>
        <v>17.838251079343049</v>
      </c>
      <c r="I22" s="667">
        <f>'Return Summary'!J173</f>
        <v>22.074685735223088</v>
      </c>
      <c r="J22" s="667">
        <f>'Return Summary'!K173</f>
        <v>19.185610786447938</v>
      </c>
      <c r="K22" s="667" t="str">
        <f>'Return Summary'!L173</f>
        <v>---</v>
      </c>
      <c r="L22" s="667" t="str">
        <f>'Return Summary'!M173</f>
        <v>---</v>
      </c>
      <c r="M22" s="667" t="str">
        <f>'Return Summary'!N173</f>
        <v>---</v>
      </c>
      <c r="N22" s="667" t="str">
        <f>'Return Summary'!O173</f>
        <v>---</v>
      </c>
      <c r="O22" s="667" t="str">
        <f>'Return Summary'!P173</f>
        <v>---</v>
      </c>
      <c r="P22" s="667">
        <f>'Return Summary'!Q173</f>
        <v>12.165838724619537</v>
      </c>
      <c r="Q22" s="686">
        <f>'Return Summary'!R173</f>
        <v>0.30299999999998661</v>
      </c>
      <c r="R22" s="1360">
        <f>'Return Summary'!S173</f>
        <v>8.1735315975506317</v>
      </c>
      <c r="S22" s="1360">
        <f>'Return Summary'!T173</f>
        <v>11.168666943199845</v>
      </c>
      <c r="T22" s="1360">
        <f>'Return Summary'!U173</f>
        <v>15.724199428055741</v>
      </c>
      <c r="U22" s="1360">
        <f>'Return Summary'!V173</f>
        <v>17.501875788281751</v>
      </c>
      <c r="V22" s="1360">
        <f>'Return Summary'!W173</f>
        <v>18.868627332961907</v>
      </c>
      <c r="W22" s="1360" t="str">
        <f>'Return Summary'!X173</f>
        <v>---</v>
      </c>
      <c r="X22" s="1360" t="str">
        <f>'Return Summary'!Y173</f>
        <v>---</v>
      </c>
      <c r="Y22" s="1360" t="str">
        <f>'Return Summary'!Z173</f>
        <v>---</v>
      </c>
      <c r="Z22" s="1360" t="str">
        <f>'Return Summary'!AA173</f>
        <v>---</v>
      </c>
      <c r="AA22" s="1360" t="str">
        <f>'Return Summary'!AB173</f>
        <v>---</v>
      </c>
      <c r="AB22" s="1359">
        <f>'Return Summary'!AC173</f>
        <v>17.637160763881354</v>
      </c>
      <c r="AC22" s="434"/>
      <c r="AD22" s="652"/>
    </row>
    <row r="23" spans="1:30" x14ac:dyDescent="0.2">
      <c r="A23" s="487" t="str">
        <f>'Return Summary'!A174</f>
        <v>Russell 2000</v>
      </c>
      <c r="B23" s="679"/>
      <c r="C23" s="249"/>
      <c r="D23" s="1352"/>
      <c r="E23" s="1356">
        <f>'Return Summary'!F174</f>
        <v>4.9585600000000003</v>
      </c>
      <c r="F23" s="1456">
        <f>'Return Summary'!G174</f>
        <v>3.8520274011408562</v>
      </c>
      <c r="G23" s="1357">
        <f>'Return Summary'!H174</f>
        <v>4.6467965664509725</v>
      </c>
      <c r="H23" s="1357">
        <f>'Return Summary'!I174</f>
        <v>17.681009085062492</v>
      </c>
      <c r="I23" s="1357">
        <f>'Return Summary'!J174</f>
        <v>21.899666977340271</v>
      </c>
      <c r="J23" s="1357">
        <f>'Return Summary'!K174</f>
        <v>18.996924513118319</v>
      </c>
      <c r="K23" s="1357">
        <f>'Return Summary'!L174</f>
        <v>19.787060457681239</v>
      </c>
      <c r="L23" s="1357">
        <f>'Return Summary'!M174</f>
        <v>17.02559001654549</v>
      </c>
      <c r="M23" s="1357">
        <f>'Return Summary'!N174</f>
        <v>7.2548423774749571</v>
      </c>
      <c r="N23" s="1357">
        <f>'Return Summary'!O174</f>
        <v>7.9364004801782295</v>
      </c>
      <c r="O23" s="1357">
        <f>'Return Summary'!P174</f>
        <v>9.3647722634557553</v>
      </c>
      <c r="P23" s="1358" t="str">
        <f>'Return Summary'!Q174</f>
        <v>---</v>
      </c>
      <c r="Q23" s="687"/>
      <c r="R23" s="443"/>
      <c r="S23" s="443"/>
      <c r="T23" s="443"/>
      <c r="U23" s="443"/>
      <c r="V23" s="443"/>
      <c r="W23" s="443"/>
      <c r="X23" s="443"/>
      <c r="Y23" s="443"/>
      <c r="Z23" s="443"/>
      <c r="AA23" s="443"/>
      <c r="AB23" s="443"/>
      <c r="AC23" s="488"/>
      <c r="AD23" s="653"/>
    </row>
    <row r="24" spans="1:30" x14ac:dyDescent="0.2">
      <c r="A24" s="17"/>
      <c r="B24" s="680"/>
      <c r="C24" s="9"/>
      <c r="D24" s="1353"/>
      <c r="E24" s="669"/>
      <c r="F24" s="638"/>
      <c r="G24" s="668"/>
      <c r="H24" s="668"/>
      <c r="I24" s="668"/>
      <c r="J24" s="668"/>
      <c r="K24" s="668"/>
      <c r="L24" s="668"/>
      <c r="M24" s="668"/>
      <c r="N24" s="668"/>
      <c r="O24" s="668"/>
      <c r="P24" s="668"/>
      <c r="Q24" s="688"/>
      <c r="R24" s="689"/>
      <c r="S24" s="690"/>
      <c r="T24" s="690"/>
      <c r="U24" s="690"/>
      <c r="V24" s="690"/>
      <c r="W24" s="690"/>
      <c r="X24" s="690"/>
      <c r="Y24" s="690"/>
      <c r="Z24" s="690"/>
      <c r="AA24" s="690"/>
      <c r="AB24" s="690"/>
      <c r="AC24" s="524"/>
      <c r="AD24" s="15"/>
    </row>
    <row r="25" spans="1:30" x14ac:dyDescent="0.2">
      <c r="A25" s="550" t="str">
        <f>'Return Summary'!A176</f>
        <v>Blackrock EAFE Index Fund B</v>
      </c>
      <c r="B25" s="678">
        <f>'Return Summary'!C176</f>
        <v>40543</v>
      </c>
      <c r="C25" s="1355">
        <f>'Return Summary'!D176</f>
        <v>10</v>
      </c>
      <c r="D25" s="1354">
        <f>'Return Summary'!E176</f>
        <v>38.786380219999998</v>
      </c>
      <c r="E25" s="671">
        <f>'Return Summary'!F176</f>
        <v>-0.17965999999999999</v>
      </c>
      <c r="F25" s="667">
        <f>'Return Summary'!G176</f>
        <v>-1.1979477441888764</v>
      </c>
      <c r="G25" s="667">
        <f>'Return Summary'!H176</f>
        <v>6.9190278846270159</v>
      </c>
      <c r="H25" s="667">
        <f>'Return Summary'!I176</f>
        <v>16.414925182544128</v>
      </c>
      <c r="I25" s="667">
        <f>'Return Summary'!J176</f>
        <v>17.577357668105332</v>
      </c>
      <c r="J25" s="667">
        <f>'Return Summary'!K176</f>
        <v>11.419690109838099</v>
      </c>
      <c r="K25" s="667" t="str">
        <f>'Return Summary'!L176</f>
        <v>---</v>
      </c>
      <c r="L25" s="667" t="str">
        <f>'Return Summary'!M176</f>
        <v>---</v>
      </c>
      <c r="M25" s="667" t="str">
        <f>'Return Summary'!N176</f>
        <v>---</v>
      </c>
      <c r="N25" s="667" t="str">
        <f>'Return Summary'!O176</f>
        <v>---</v>
      </c>
      <c r="O25" s="667" t="str">
        <f>'Return Summary'!P176</f>
        <v>---</v>
      </c>
      <c r="P25" s="667">
        <f>'Return Summary'!Q176</f>
        <v>7.6889974392579052</v>
      </c>
      <c r="Q25" s="686">
        <f>'Return Summary'!R176</f>
        <v>-2.5839999999999974</v>
      </c>
      <c r="R25" s="1360">
        <f>'Return Summary'!S176</f>
        <v>-2.5647654109106632</v>
      </c>
      <c r="S25" s="1360">
        <f>'Return Summary'!T176</f>
        <v>5.5935192963896263</v>
      </c>
      <c r="T25" s="1360">
        <f>'Return Summary'!U176</f>
        <v>-8.3624709296458377</v>
      </c>
      <c r="U25" s="1360">
        <f>'Return Summary'!V176</f>
        <v>-25.170305438726359</v>
      </c>
      <c r="V25" s="1360">
        <f>'Return Summary'!W176</f>
        <v>-31.230597879481259</v>
      </c>
      <c r="W25" s="1360" t="str">
        <f>'Return Summary'!X176</f>
        <v>---</v>
      </c>
      <c r="X25" s="1360" t="str">
        <f>'Return Summary'!Y176</f>
        <v>---</v>
      </c>
      <c r="Y25" s="1360" t="str">
        <f>'Return Summary'!Z176</f>
        <v>---</v>
      </c>
      <c r="Z25" s="1360" t="str">
        <f>'Return Summary'!AA176</f>
        <v>---</v>
      </c>
      <c r="AA25" s="1360" t="str">
        <f>'Return Summary'!AB176</f>
        <v>---</v>
      </c>
      <c r="AB25" s="1359">
        <f>'Return Summary'!AC176</f>
        <v>-31.966893454316114</v>
      </c>
      <c r="AC25" s="434"/>
      <c r="AD25" s="652"/>
    </row>
    <row r="26" spans="1:30" x14ac:dyDescent="0.2">
      <c r="A26" s="487" t="str">
        <f>'Return Summary'!A177</f>
        <v>MSCI EAFE</v>
      </c>
      <c r="B26" s="679"/>
      <c r="C26" s="249"/>
      <c r="D26" s="1352"/>
      <c r="E26" s="1356">
        <f>'Return Summary'!F177</f>
        <v>-0.15382000000000001</v>
      </c>
      <c r="F26" s="1456">
        <f>'Return Summary'!G177</f>
        <v>-1.1723000900797698</v>
      </c>
      <c r="G26" s="1357">
        <f>'Return Summary'!H177</f>
        <v>6.8630926916631196</v>
      </c>
      <c r="H26" s="1357">
        <f>'Return Summary'!I177</f>
        <v>16.498549891840586</v>
      </c>
      <c r="I26" s="1357">
        <f>'Return Summary'!J177</f>
        <v>17.829060722492596</v>
      </c>
      <c r="J26" s="1357">
        <f>'Return Summary'!K177</f>
        <v>11.731996088632911</v>
      </c>
      <c r="K26" s="1357">
        <f>'Return Summary'!L177</f>
        <v>11.422121681176023</v>
      </c>
      <c r="L26" s="1357">
        <f>'Return Summary'!M177</f>
        <v>8.6138661595746022</v>
      </c>
      <c r="M26" s="1357">
        <f>'Return Summary'!N177</f>
        <v>1.5325955893777943</v>
      </c>
      <c r="N26" s="1357">
        <f>'Return Summary'!O177</f>
        <v>5.7536841180813036</v>
      </c>
      <c r="O26" s="1357">
        <f>'Return Summary'!P177</f>
        <v>7.4583099009878806</v>
      </c>
      <c r="P26" s="1358" t="str">
        <f>'Return Summary'!Q177</f>
        <v>---</v>
      </c>
      <c r="Q26" s="687"/>
      <c r="R26" s="443"/>
      <c r="S26" s="443"/>
      <c r="T26" s="443"/>
      <c r="U26" s="443"/>
      <c r="V26" s="443"/>
      <c r="W26" s="443"/>
      <c r="X26" s="443"/>
      <c r="Y26" s="443"/>
      <c r="Z26" s="443"/>
      <c r="AA26" s="443"/>
      <c r="AB26" s="443"/>
      <c r="AC26" s="488"/>
      <c r="AD26" s="653"/>
    </row>
    <row r="27" spans="1:30" x14ac:dyDescent="0.2">
      <c r="A27" s="17"/>
      <c r="B27" s="680"/>
      <c r="C27" s="9"/>
      <c r="D27" s="1353"/>
      <c r="E27" s="669"/>
      <c r="F27" s="638"/>
      <c r="G27" s="668"/>
      <c r="H27" s="668"/>
      <c r="I27" s="668"/>
      <c r="J27" s="668"/>
      <c r="K27" s="668"/>
      <c r="L27" s="668"/>
      <c r="M27" s="668"/>
      <c r="N27" s="668"/>
      <c r="O27" s="668"/>
      <c r="P27" s="668"/>
      <c r="Q27" s="688"/>
      <c r="R27" s="689"/>
      <c r="S27" s="690"/>
      <c r="T27" s="690"/>
      <c r="U27" s="690"/>
      <c r="V27" s="690"/>
      <c r="W27" s="690"/>
      <c r="X27" s="690"/>
      <c r="Y27" s="690"/>
      <c r="Z27" s="690"/>
      <c r="AA27" s="690"/>
      <c r="AB27" s="690"/>
      <c r="AC27" s="524"/>
      <c r="AD27" s="15"/>
    </row>
    <row r="28" spans="1:30" x14ac:dyDescent="0.2">
      <c r="A28" s="550" t="str">
        <f>'Return Summary'!A179</f>
        <v>Blackrock EAFE SC Index Fund B</v>
      </c>
      <c r="B28" s="678">
        <f>'Return Summary'!C179</f>
        <v>40543</v>
      </c>
      <c r="C28" s="1355">
        <f>'Return Summary'!D179</f>
        <v>12</v>
      </c>
      <c r="D28" s="1354">
        <f>'Return Summary'!E179</f>
        <v>9.3718454900000001</v>
      </c>
      <c r="E28" s="671">
        <f>'Return Summary'!F179</f>
        <v>-0.18174000000000001</v>
      </c>
      <c r="F28" s="667">
        <f>'Return Summary'!G179</f>
        <v>-1.0871883582644792</v>
      </c>
      <c r="G28" s="667">
        <f>'Return Summary'!H179</f>
        <v>4.4910710727632086</v>
      </c>
      <c r="H28" s="667">
        <f>'Return Summary'!I179</f>
        <v>18.62215281875983</v>
      </c>
      <c r="I28" s="667">
        <f>'Return Summary'!J179</f>
        <v>21.528572088239663</v>
      </c>
      <c r="J28" s="667">
        <f>'Return Summary'!K179</f>
        <v>12.459863957975026</v>
      </c>
      <c r="K28" s="667" t="str">
        <f>'Return Summary'!L179</f>
        <v>---</v>
      </c>
      <c r="L28" s="667" t="str">
        <f>'Return Summary'!M179</f>
        <v>---</v>
      </c>
      <c r="M28" s="667" t="str">
        <f>'Return Summary'!N179</f>
        <v>---</v>
      </c>
      <c r="N28" s="667" t="str">
        <f>'Return Summary'!O179</f>
        <v>---</v>
      </c>
      <c r="O28" s="667" t="str">
        <f>'Return Summary'!P179</f>
        <v>---</v>
      </c>
      <c r="P28" s="667">
        <f>'Return Summary'!Q179</f>
        <v>8.6139425561619021</v>
      </c>
      <c r="Q28" s="686">
        <f>'Return Summary'!R179</f>
        <v>-0.49500000000000099</v>
      </c>
      <c r="R28" s="1360">
        <f>'Return Summary'!S179</f>
        <v>-1.1132621750220562</v>
      </c>
      <c r="S28" s="1360">
        <f>'Return Summary'!T179</f>
        <v>4.7512778748881601</v>
      </c>
      <c r="T28" s="1360">
        <f>'Return Summary'!U179</f>
        <v>-12.243504665914173</v>
      </c>
      <c r="U28" s="1360">
        <f>'Return Summary'!V179</f>
        <v>-16.881056502082714</v>
      </c>
      <c r="V28" s="1360">
        <f>'Return Summary'!W179</f>
        <v>-27.174186868466066</v>
      </c>
      <c r="W28" s="1360" t="str">
        <f>'Return Summary'!X179</f>
        <v>---</v>
      </c>
      <c r="X28" s="1360" t="str">
        <f>'Return Summary'!Y179</f>
        <v>---</v>
      </c>
      <c r="Y28" s="1360" t="str">
        <f>'Return Summary'!Z179</f>
        <v>---</v>
      </c>
      <c r="Z28" s="1360" t="str">
        <f>'Return Summary'!AA179</f>
        <v>---</v>
      </c>
      <c r="AA28" s="1360" t="str">
        <f>'Return Summary'!AB179</f>
        <v>---</v>
      </c>
      <c r="AB28" s="1359">
        <f>'Return Summary'!AC179</f>
        <v>-27.782009448771205</v>
      </c>
      <c r="AC28" s="434"/>
      <c r="AD28" s="652"/>
    </row>
    <row r="29" spans="1:30" x14ac:dyDescent="0.2">
      <c r="A29" s="487" t="str">
        <f>'Return Summary'!A180</f>
        <v>MSCI EAFE SC</v>
      </c>
      <c r="B29" s="679"/>
      <c r="C29" s="249"/>
      <c r="D29" s="1352"/>
      <c r="E29" s="1356">
        <f>'Return Summary'!F180</f>
        <v>-0.17679</v>
      </c>
      <c r="F29" s="1456">
        <f>'Return Summary'!G180</f>
        <v>-1.0760557365142587</v>
      </c>
      <c r="G29" s="1357">
        <f>'Return Summary'!H180</f>
        <v>4.443558294014327</v>
      </c>
      <c r="H29" s="1357">
        <f>'Return Summary'!I180</f>
        <v>18.744587865418971</v>
      </c>
      <c r="I29" s="1357">
        <f>'Return Summary'!J180</f>
        <v>21.69738265326049</v>
      </c>
      <c r="J29" s="1357">
        <f>'Return Summary'!K180</f>
        <v>12.731605826659687</v>
      </c>
      <c r="K29" s="1357">
        <f>'Return Summary'!L180</f>
        <v>13.982570616683887</v>
      </c>
      <c r="L29" s="1357">
        <f>'Return Summary'!M180</f>
        <v>11.499233067236547</v>
      </c>
      <c r="M29" s="1357">
        <f>'Return Summary'!N180</f>
        <v>3.2547188769006086</v>
      </c>
      <c r="N29" s="1357">
        <f>'Return Summary'!O180</f>
        <v>6.6033158091508115</v>
      </c>
      <c r="O29" s="1357">
        <f>'Return Summary'!P180</f>
        <v>9.2174624210552771</v>
      </c>
      <c r="P29" s="1358" t="str">
        <f>'Return Summary'!Q180</f>
        <v>---</v>
      </c>
      <c r="Q29" s="687"/>
      <c r="R29" s="443"/>
      <c r="S29" s="443"/>
      <c r="T29" s="443"/>
      <c r="U29" s="443"/>
      <c r="V29" s="443"/>
      <c r="W29" s="443"/>
      <c r="X29" s="443"/>
      <c r="Y29" s="443"/>
      <c r="Z29" s="443"/>
      <c r="AA29" s="443"/>
      <c r="AB29" s="443"/>
      <c r="AC29" s="488"/>
      <c r="AD29" s="653"/>
    </row>
    <row r="30" spans="1:30" x14ac:dyDescent="0.2">
      <c r="A30" s="17"/>
      <c r="B30" s="680"/>
      <c r="C30" s="9"/>
      <c r="D30" s="1353"/>
      <c r="E30" s="669"/>
      <c r="F30" s="638"/>
      <c r="G30" s="668"/>
      <c r="H30" s="668"/>
      <c r="I30" s="668"/>
      <c r="J30" s="668"/>
      <c r="K30" s="668"/>
      <c r="L30" s="668"/>
      <c r="M30" s="668"/>
      <c r="N30" s="668"/>
      <c r="O30" s="668"/>
      <c r="P30" s="668"/>
      <c r="Q30" s="688"/>
      <c r="R30" s="689"/>
      <c r="S30" s="690"/>
      <c r="T30" s="690"/>
      <c r="U30" s="690"/>
      <c r="V30" s="690"/>
      <c r="W30" s="690"/>
      <c r="X30" s="690"/>
      <c r="Y30" s="690"/>
      <c r="Z30" s="690"/>
      <c r="AA30" s="690"/>
      <c r="AB30" s="690"/>
      <c r="AC30" s="524"/>
      <c r="AD30" s="15"/>
    </row>
    <row r="31" spans="1:30" x14ac:dyDescent="0.2">
      <c r="A31" s="550" t="str">
        <f>'Return Summary'!A182</f>
        <v>Blackrock MSCI Emerging Markets Fund B</v>
      </c>
      <c r="B31" s="678">
        <f>'Return Summary'!C182</f>
        <v>40543</v>
      </c>
      <c r="C31" s="1355">
        <f>'Return Summary'!D182</f>
        <v>20</v>
      </c>
      <c r="D31" s="1354">
        <f>'Return Summary'!E182</f>
        <v>17.09422073</v>
      </c>
      <c r="E31" s="671">
        <f>'Return Summary'!F182</f>
        <v>2.2086899999999998</v>
      </c>
      <c r="F31" s="667">
        <f>'Return Summary'!G182</f>
        <v>6.9367281340097842</v>
      </c>
      <c r="G31" s="667">
        <f>'Return Summary'!H182</f>
        <v>18.123049286228699</v>
      </c>
      <c r="H31" s="667">
        <f>'Return Summary'!I182</f>
        <v>19.669414231204385</v>
      </c>
      <c r="I31" s="667">
        <f>'Return Summary'!J182</f>
        <v>9.5748181370178607</v>
      </c>
      <c r="J31" s="667">
        <f>'Return Summary'!K182</f>
        <v>4.0976969851302503</v>
      </c>
      <c r="K31" s="667" t="str">
        <f>'Return Summary'!L182</f>
        <v>---</v>
      </c>
      <c r="L31" s="667" t="str">
        <f>'Return Summary'!M182</f>
        <v>---</v>
      </c>
      <c r="M31" s="667" t="str">
        <f>'Return Summary'!N182</f>
        <v>---</v>
      </c>
      <c r="N31" s="667" t="str">
        <f>'Return Summary'!O182</f>
        <v>---</v>
      </c>
      <c r="O31" s="667" t="str">
        <f>'Return Summary'!P182</f>
        <v>---</v>
      </c>
      <c r="P31" s="667">
        <f>'Return Summary'!Q182</f>
        <v>0.21836943536357456</v>
      </c>
      <c r="Q31" s="686">
        <f>'Return Summary'!R182</f>
        <v>-4.4830000000000148</v>
      </c>
      <c r="R31" s="1360">
        <f>'Return Summary'!S182</f>
        <v>-6.3218902041839442</v>
      </c>
      <c r="S31" s="1360">
        <f>'Return Summary'!T182</f>
        <v>-18.563378696618571</v>
      </c>
      <c r="T31" s="1360">
        <f>'Return Summary'!U182</f>
        <v>-38.060947855389315</v>
      </c>
      <c r="U31" s="1360">
        <f>'Return Summary'!V182</f>
        <v>-46.78720354529986</v>
      </c>
      <c r="V31" s="1360">
        <f>'Return Summary'!W182</f>
        <v>-50.590693116916441</v>
      </c>
      <c r="W31" s="1360" t="str">
        <f>'Return Summary'!X182</f>
        <v>---</v>
      </c>
      <c r="X31" s="1360" t="str">
        <f>'Return Summary'!Y182</f>
        <v>---</v>
      </c>
      <c r="Y31" s="1360" t="str">
        <f>'Return Summary'!Z182</f>
        <v>---</v>
      </c>
      <c r="Z31" s="1360" t="str">
        <f>'Return Summary'!AA182</f>
        <v>---</v>
      </c>
      <c r="AA31" s="1360" t="str">
        <f>'Return Summary'!AB182</f>
        <v>---</v>
      </c>
      <c r="AB31" s="1359">
        <f>'Return Summary'!AC182</f>
        <v>-51.046840091657501</v>
      </c>
      <c r="AC31" s="434"/>
      <c r="AD31" s="652"/>
    </row>
    <row r="32" spans="1:30" x14ac:dyDescent="0.2">
      <c r="A32" s="487" t="str">
        <f>'Return Summary'!A183</f>
        <v>MSCI EM</v>
      </c>
      <c r="B32" s="679"/>
      <c r="C32" s="249"/>
      <c r="D32" s="1352"/>
      <c r="E32" s="1356">
        <f>'Return Summary'!F183</f>
        <v>2.25352</v>
      </c>
      <c r="F32" s="1456">
        <f>'Return Summary'!G183</f>
        <v>6.9999470360516236</v>
      </c>
      <c r="G32" s="1357">
        <f>'Return Summary'!H183</f>
        <v>18.308683073194885</v>
      </c>
      <c r="H32" s="1357">
        <f>'Return Summary'!I183</f>
        <v>20.050023709758278</v>
      </c>
      <c r="I32" s="1357">
        <f>'Return Summary'!J183</f>
        <v>10.042690172470859</v>
      </c>
      <c r="J32" s="1357">
        <f>'Return Summary'!K183</f>
        <v>4.6036039162994147</v>
      </c>
      <c r="K32" s="1357" t="str">
        <f>'Return Summary'!L183</f>
        <v>---</v>
      </c>
      <c r="L32" s="1357" t="str">
        <f>'Return Summary'!M183</f>
        <v>---</v>
      </c>
      <c r="M32" s="1357" t="str">
        <f>'Return Summary'!N183</f>
        <v>---</v>
      </c>
      <c r="N32" s="1357" t="str">
        <f>'Return Summary'!O183</f>
        <v>---</v>
      </c>
      <c r="O32" s="1357" t="str">
        <f>'Return Summary'!P183</f>
        <v>---</v>
      </c>
      <c r="P32" s="1358" t="str">
        <f>'Return Summary'!Q183</f>
        <v>---</v>
      </c>
      <c r="Q32" s="687"/>
      <c r="R32" s="443"/>
      <c r="S32" s="443"/>
      <c r="T32" s="443"/>
      <c r="U32" s="443"/>
      <c r="V32" s="443"/>
      <c r="W32" s="443"/>
      <c r="X32" s="443"/>
      <c r="Y32" s="443"/>
      <c r="Z32" s="443"/>
      <c r="AA32" s="443"/>
      <c r="AB32" s="443"/>
      <c r="AC32" s="488"/>
      <c r="AD32" s="653"/>
    </row>
    <row r="33" spans="1:30" x14ac:dyDescent="0.2">
      <c r="A33" s="17"/>
      <c r="B33" s="680"/>
      <c r="C33" s="9"/>
      <c r="D33" s="1353"/>
      <c r="E33" s="669"/>
      <c r="F33" s="638"/>
      <c r="G33" s="668"/>
      <c r="H33" s="668"/>
      <c r="I33" s="668"/>
      <c r="J33" s="668"/>
      <c r="K33" s="668"/>
      <c r="L33" s="668"/>
      <c r="M33" s="668"/>
      <c r="N33" s="668"/>
      <c r="O33" s="668"/>
      <c r="P33" s="668"/>
      <c r="Q33" s="688"/>
      <c r="R33" s="689"/>
      <c r="S33" s="690"/>
      <c r="T33" s="690"/>
      <c r="U33" s="690"/>
      <c r="V33" s="690"/>
      <c r="W33" s="690"/>
      <c r="X33" s="690"/>
      <c r="Y33" s="690"/>
      <c r="Z33" s="690"/>
      <c r="AA33" s="690"/>
      <c r="AB33" s="690"/>
      <c r="AC33" s="524"/>
      <c r="AD33" s="15"/>
    </row>
    <row r="34" spans="1:30" x14ac:dyDescent="0.2">
      <c r="A34" s="550" t="str">
        <f>'Return Summary'!A185</f>
        <v>Blackrock US Real Estate Securities Fund B</v>
      </c>
      <c r="B34" s="678">
        <f>'Return Summary'!C185</f>
        <v>38352</v>
      </c>
      <c r="C34" s="1355">
        <f>'Return Summary'!D185</f>
        <v>15</v>
      </c>
      <c r="D34" s="1354">
        <f>'Return Summary'!E185</f>
        <v>22.745267399999999</v>
      </c>
      <c r="E34" s="671">
        <f>'Return Summary'!F185</f>
        <v>2.7777799999999999</v>
      </c>
      <c r="F34" s="667">
        <f>'Return Summary'!G185</f>
        <v>3.8792534525948108</v>
      </c>
      <c r="G34" s="667">
        <f>'Return Summary'!H185</f>
        <v>16.965572358201975</v>
      </c>
      <c r="H34" s="667">
        <f>'Return Summary'!I185</f>
        <v>24.058286388361626</v>
      </c>
      <c r="I34" s="667">
        <f>'Return Summary'!J185</f>
        <v>11.060140894644931</v>
      </c>
      <c r="J34" s="667">
        <f>'Return Summary'!K185</f>
        <v>13.722642295791543</v>
      </c>
      <c r="K34" s="667">
        <f>'Return Summary'!L185</f>
        <v>15.172347659070628</v>
      </c>
      <c r="L34" s="667">
        <f>'Return Summary'!M185</f>
        <v>18.558466745162704</v>
      </c>
      <c r="M34" s="667">
        <f>'Return Summary'!N185</f>
        <v>4.9218255916707587</v>
      </c>
      <c r="N34" s="667">
        <f>'Return Summary'!O185</f>
        <v>6.705979605130219</v>
      </c>
      <c r="O34" s="667" t="str">
        <f>'Return Summary'!P185</f>
        <v>---</v>
      </c>
      <c r="P34" s="667">
        <f>'Return Summary'!Q185</f>
        <v>7.0409350573624963</v>
      </c>
      <c r="Q34" s="686">
        <f>'Return Summary'!R185</f>
        <v>-9.2220000000000191</v>
      </c>
      <c r="R34" s="1360">
        <f>'Return Summary'!S185</f>
        <v>-9.2078939605166887</v>
      </c>
      <c r="S34" s="1360">
        <f>'Return Summary'!T185</f>
        <v>-3.979034539884907</v>
      </c>
      <c r="T34" s="1360">
        <f>'Return Summary'!U185</f>
        <v>-48.935230556030973</v>
      </c>
      <c r="U34" s="1360">
        <f>'Return Summary'!V185</f>
        <v>-175.98440604153396</v>
      </c>
      <c r="V34" s="1360">
        <f>'Return Summary'!W185</f>
        <v>-132.97459976886242</v>
      </c>
      <c r="W34" s="1360">
        <f>'Return Summary'!X185</f>
        <v>-107.626893037569</v>
      </c>
      <c r="X34" s="1360">
        <f>'Return Summary'!Y185</f>
        <v>-92.122391702664785</v>
      </c>
      <c r="Y34" s="1360">
        <f>'Return Summary'!Z185</f>
        <v>-56.755100702061689</v>
      </c>
      <c r="Z34" s="1360">
        <f>'Return Summary'!AA185</f>
        <v>-49.686105390989169</v>
      </c>
      <c r="AA34" s="1360" t="str">
        <f>'Return Summary'!AB185</f>
        <v>---</v>
      </c>
      <c r="AB34" s="1359">
        <f>'Return Summary'!AC185</f>
        <v>-47.062271137576772</v>
      </c>
      <c r="AC34" s="434"/>
      <c r="AD34" s="652"/>
    </row>
    <row r="35" spans="1:30" x14ac:dyDescent="0.2">
      <c r="A35" s="487" t="str">
        <f>'Return Summary'!A186</f>
        <v>DJ Wilshire Real Estate</v>
      </c>
      <c r="B35" s="679"/>
      <c r="C35" s="249"/>
      <c r="D35" s="1352"/>
      <c r="E35" s="1356">
        <f>'Return Summary'!F186</f>
        <v>2.87</v>
      </c>
      <c r="F35" s="1456">
        <f>'Return Summary'!G186</f>
        <v>3.9713323921999777</v>
      </c>
      <c r="G35" s="1357">
        <f>'Return Summary'!H186</f>
        <v>17.005362703600824</v>
      </c>
      <c r="H35" s="1357">
        <f>'Return Summary'!I186</f>
        <v>24.547638693921936</v>
      </c>
      <c r="I35" s="1357">
        <f>'Return Summary'!J186</f>
        <v>12.819984955060271</v>
      </c>
      <c r="J35" s="1357">
        <f>'Return Summary'!K186</f>
        <v>15.052388293480167</v>
      </c>
      <c r="K35" s="1357">
        <f>'Return Summary'!L186</f>
        <v>16.248616589446318</v>
      </c>
      <c r="L35" s="1357">
        <f>'Return Summary'!M186</f>
        <v>19.479690662189352</v>
      </c>
      <c r="M35" s="1357">
        <f>'Return Summary'!N186</f>
        <v>5.4893765986913756</v>
      </c>
      <c r="N35" s="1357">
        <f>'Return Summary'!O186</f>
        <v>7.2028406590401106</v>
      </c>
      <c r="O35" s="1357">
        <f>'Return Summary'!P186</f>
        <v>9.1195357581227441</v>
      </c>
      <c r="P35" s="1358" t="str">
        <f>'Return Summary'!Q186</f>
        <v>---</v>
      </c>
      <c r="Q35" s="687"/>
      <c r="R35" s="443"/>
      <c r="S35" s="443"/>
      <c r="T35" s="443"/>
      <c r="U35" s="443"/>
      <c r="V35" s="443"/>
      <c r="W35" s="443"/>
      <c r="X35" s="443"/>
      <c r="Y35" s="443"/>
      <c r="Z35" s="443"/>
      <c r="AA35" s="443"/>
      <c r="AB35" s="443"/>
      <c r="AC35" s="488"/>
      <c r="AD35" s="653"/>
    </row>
    <row r="36" spans="1:30" x14ac:dyDescent="0.2">
      <c r="A36" s="17"/>
      <c r="B36" s="680"/>
      <c r="C36" s="9"/>
      <c r="D36" s="1353"/>
      <c r="E36" s="669"/>
      <c r="F36" s="638"/>
      <c r="G36" s="668"/>
      <c r="H36" s="668"/>
      <c r="I36" s="668"/>
      <c r="J36" s="668"/>
      <c r="K36" s="668"/>
      <c r="L36" s="668"/>
      <c r="M36" s="668"/>
      <c r="N36" s="668"/>
      <c r="O36" s="668"/>
      <c r="P36" s="668"/>
      <c r="Q36" s="688"/>
      <c r="R36" s="689"/>
      <c r="S36" s="690"/>
      <c r="T36" s="690"/>
      <c r="U36" s="690"/>
      <c r="V36" s="690"/>
      <c r="W36" s="690"/>
      <c r="X36" s="690"/>
      <c r="Y36" s="690"/>
      <c r="Z36" s="690"/>
      <c r="AA36" s="690"/>
      <c r="AB36" s="690"/>
      <c r="AC36" s="524"/>
      <c r="AD36" s="15"/>
    </row>
    <row r="37" spans="1:30" x14ac:dyDescent="0.2">
      <c r="A37" s="550" t="str">
        <f>'Return Summary'!A188</f>
        <v>Blackrock DJ UBS Commodities Fund B</v>
      </c>
      <c r="B37" s="678">
        <f>'Return Summary'!C188</f>
        <v>40543</v>
      </c>
      <c r="C37" s="1355">
        <f>'Return Summary'!D188</f>
        <v>35</v>
      </c>
      <c r="D37" s="1354">
        <f>'Return Summary'!E188</f>
        <v>6.8746279299999999</v>
      </c>
      <c r="E37" s="671">
        <f>'Return Summary'!F188</f>
        <v>-1.1520900000000001</v>
      </c>
      <c r="F37" s="667">
        <f>'Return Summary'!G188</f>
        <v>-5.5011297042114276</v>
      </c>
      <c r="G37" s="667">
        <f>'Return Summary'!H188</f>
        <v>0.21519627452122325</v>
      </c>
      <c r="H37" s="667">
        <f>'Return Summary'!I188</f>
        <v>-3.3720398348869196</v>
      </c>
      <c r="I37" s="667">
        <f>'Return Summary'!J188</f>
        <v>-7.0541098455041968</v>
      </c>
      <c r="J37" s="667">
        <f>'Return Summary'!K188</f>
        <v>-8.6371333450803061</v>
      </c>
      <c r="K37" s="667" t="str">
        <f>'Return Summary'!L188</f>
        <v>---</v>
      </c>
      <c r="L37" s="667" t="str">
        <f>'Return Summary'!M188</f>
        <v>---</v>
      </c>
      <c r="M37" s="667" t="str">
        <f>'Return Summary'!N188</f>
        <v>---</v>
      </c>
      <c r="N37" s="667" t="str">
        <f>'Return Summary'!O188</f>
        <v>---</v>
      </c>
      <c r="O37" s="667" t="str">
        <f>'Return Summary'!P188</f>
        <v>---</v>
      </c>
      <c r="P37" s="667">
        <f>'Return Summary'!Q188</f>
        <v>-6.7002370288520741</v>
      </c>
      <c r="Q37" s="686">
        <f>'Return Summary'!R188</f>
        <v>-10.695000000000011</v>
      </c>
      <c r="R37" s="1360">
        <f>'Return Summary'!S188</f>
        <v>-8.5223892868514284</v>
      </c>
      <c r="S37" s="1360">
        <f>'Return Summary'!T188</f>
        <v>-16.623740488186378</v>
      </c>
      <c r="T37" s="1360">
        <f>'Return Summary'!U188</f>
        <v>-44.735613532309593</v>
      </c>
      <c r="U37" s="1360">
        <f>'Return Summary'!V188</f>
        <v>-21.035573579839451</v>
      </c>
      <c r="V37" s="1360">
        <f>'Return Summary'!W188</f>
        <v>-33.908695614786133</v>
      </c>
      <c r="W37" s="1360" t="str">
        <f>'Return Summary'!X188</f>
        <v>---</v>
      </c>
      <c r="X37" s="1360" t="str">
        <f>'Return Summary'!Y188</f>
        <v>---</v>
      </c>
      <c r="Y37" s="1360" t="str">
        <f>'Return Summary'!Z188</f>
        <v>---</v>
      </c>
      <c r="Z37" s="1360" t="str">
        <f>'Return Summary'!AA188</f>
        <v>---</v>
      </c>
      <c r="AA37" s="1360" t="str">
        <f>'Return Summary'!AB188</f>
        <v>---</v>
      </c>
      <c r="AB37" s="1359">
        <f>'Return Summary'!AC188</f>
        <v>-31.695507817761648</v>
      </c>
      <c r="AC37" s="434"/>
      <c r="AD37" s="652"/>
    </row>
    <row r="38" spans="1:30" x14ac:dyDescent="0.2">
      <c r="A38" s="487" t="str">
        <f>'Return Summary'!A189</f>
        <v>DJ UBS Commodities Index TR</v>
      </c>
      <c r="B38" s="679"/>
      <c r="C38" s="249"/>
      <c r="D38" s="1352"/>
      <c r="E38" s="1356">
        <f>'Return Summary'!F189</f>
        <v>-1.04514</v>
      </c>
      <c r="F38" s="1456">
        <f>'Return Summary'!G189</f>
        <v>-5.4159058113429133</v>
      </c>
      <c r="G38" s="1357">
        <f>'Return Summary'!H189</f>
        <v>0.38143367940308703</v>
      </c>
      <c r="H38" s="1357">
        <f>'Return Summary'!I189</f>
        <v>-2.9246836995638237</v>
      </c>
      <c r="I38" s="1357">
        <f>'Return Summary'!J189</f>
        <v>-6.8437541097058023</v>
      </c>
      <c r="J38" s="1357">
        <f>'Return Summary'!K189</f>
        <v>-8.2980463889324447</v>
      </c>
      <c r="K38" s="1357">
        <f>'Return Summary'!L189</f>
        <v>-0.75078354097879441</v>
      </c>
      <c r="L38" s="1357" t="str">
        <f>'Return Summary'!M189</f>
        <v>---</v>
      </c>
      <c r="M38" s="1357" t="str">
        <f>'Return Summary'!N189</f>
        <v>---</v>
      </c>
      <c r="N38" s="1357" t="str">
        <f>'Return Summary'!O189</f>
        <v>---</v>
      </c>
      <c r="O38" s="1357" t="str">
        <f>'Return Summary'!P189</f>
        <v>---</v>
      </c>
      <c r="P38" s="1358" t="str">
        <f>'Return Summary'!Q189</f>
        <v>---</v>
      </c>
      <c r="Q38" s="687"/>
      <c r="R38" s="443"/>
      <c r="S38" s="443"/>
      <c r="T38" s="443"/>
      <c r="U38" s="443"/>
      <c r="V38" s="443"/>
      <c r="W38" s="443"/>
      <c r="X38" s="443"/>
      <c r="Y38" s="443"/>
      <c r="Z38" s="443"/>
      <c r="AA38" s="443"/>
      <c r="AB38" s="443"/>
      <c r="AC38" s="488"/>
      <c r="AD38" s="653"/>
    </row>
    <row r="39" spans="1:30" x14ac:dyDescent="0.2">
      <c r="A39" s="17"/>
      <c r="B39" s="680"/>
      <c r="C39" s="9"/>
      <c r="D39" s="1353"/>
      <c r="E39" s="669"/>
      <c r="F39" s="638"/>
      <c r="G39" s="668"/>
      <c r="H39" s="668"/>
      <c r="I39" s="668"/>
      <c r="J39" s="668"/>
      <c r="K39" s="668"/>
      <c r="L39" s="668"/>
      <c r="M39" s="668"/>
      <c r="N39" s="668"/>
      <c r="O39" s="668"/>
      <c r="P39" s="668"/>
      <c r="Q39" s="688"/>
      <c r="R39" s="689"/>
      <c r="S39" s="690"/>
      <c r="T39" s="690"/>
      <c r="U39" s="690"/>
      <c r="V39" s="690"/>
      <c r="W39" s="690"/>
      <c r="X39" s="690"/>
      <c r="Y39" s="690"/>
      <c r="Z39" s="690"/>
      <c r="AA39" s="690"/>
      <c r="AB39" s="690"/>
      <c r="AC39" s="524"/>
      <c r="AD39" s="15"/>
    </row>
    <row r="40" spans="1:30" ht="13.5" thickBot="1" x14ac:dyDescent="0.25">
      <c r="A40" s="691" t="str">
        <f>'Return Summary'!A191</f>
        <v>Total LTD</v>
      </c>
      <c r="B40" s="692"/>
      <c r="C40" s="693"/>
      <c r="D40" s="709">
        <f>'Return Summary'!E191</f>
        <v>262.56160855999997</v>
      </c>
      <c r="E40" s="694"/>
      <c r="F40" s="695"/>
      <c r="G40" s="695"/>
      <c r="H40" s="695"/>
      <c r="I40" s="695"/>
      <c r="J40" s="695"/>
      <c r="K40" s="695"/>
      <c r="L40" s="695"/>
      <c r="M40" s="695"/>
      <c r="N40" s="695"/>
      <c r="O40" s="695"/>
      <c r="P40" s="695"/>
      <c r="Q40" s="696"/>
      <c r="R40" s="697"/>
      <c r="S40" s="697"/>
      <c r="T40" s="697"/>
      <c r="U40" s="697"/>
      <c r="V40" s="697"/>
      <c r="W40" s="697"/>
      <c r="X40" s="697"/>
      <c r="Y40" s="697"/>
      <c r="Z40" s="697"/>
      <c r="AA40" s="697"/>
      <c r="AB40" s="698"/>
      <c r="AC40" s="654"/>
      <c r="AD40" s="655"/>
    </row>
    <row r="41" spans="1:30" x14ac:dyDescent="0.2">
      <c r="A41" s="16"/>
      <c r="B41" s="635"/>
      <c r="C41" s="9"/>
      <c r="D41" s="645"/>
      <c r="E41" s="668"/>
      <c r="F41" s="638"/>
      <c r="G41" s="668"/>
      <c r="H41" s="668"/>
      <c r="I41" s="668"/>
      <c r="J41" s="668"/>
      <c r="K41" s="668"/>
      <c r="L41" s="668"/>
      <c r="M41" s="668"/>
      <c r="N41" s="668"/>
      <c r="O41" s="668"/>
      <c r="P41" s="668"/>
      <c r="Q41" s="690"/>
      <c r="R41" s="690"/>
      <c r="S41" s="690"/>
      <c r="T41" s="690"/>
      <c r="U41" s="690"/>
      <c r="V41" s="690"/>
      <c r="W41" s="690"/>
      <c r="X41" s="690"/>
      <c r="Y41" s="690"/>
      <c r="Z41" s="690"/>
      <c r="AA41" s="690"/>
      <c r="AB41" s="690"/>
      <c r="AC41" s="15"/>
      <c r="AD41" s="15"/>
    </row>
    <row r="42" spans="1:30" x14ac:dyDescent="0.2">
      <c r="A42" s="378"/>
      <c r="B42" s="636"/>
      <c r="C42" s="489"/>
      <c r="D42" s="644"/>
      <c r="E42" s="637"/>
      <c r="F42" s="637"/>
      <c r="G42" s="637"/>
      <c r="H42" s="637"/>
      <c r="I42" s="637"/>
      <c r="J42" s="637"/>
      <c r="K42" s="637"/>
      <c r="L42" s="637"/>
      <c r="M42" s="637"/>
      <c r="N42" s="637"/>
      <c r="O42" s="637"/>
      <c r="P42" s="637"/>
      <c r="Q42" s="637"/>
      <c r="R42" s="637"/>
      <c r="S42" s="637"/>
      <c r="T42" s="637"/>
      <c r="U42" s="637"/>
      <c r="V42" s="637"/>
      <c r="W42" s="637"/>
      <c r="X42" s="637"/>
      <c r="Y42" s="378"/>
      <c r="Z42" s="378"/>
      <c r="AA42" s="378"/>
      <c r="AB42" s="378"/>
      <c r="AC42" s="15"/>
      <c r="AD42" s="15"/>
    </row>
    <row r="43" spans="1:30" x14ac:dyDescent="0.2">
      <c r="AC43" s="651"/>
      <c r="AD43" s="651"/>
    </row>
    <row r="44" spans="1:30" x14ac:dyDescent="0.2">
      <c r="B44" s="352"/>
    </row>
    <row r="51" spans="1:1" x14ac:dyDescent="0.2">
      <c r="A51" s="779"/>
    </row>
  </sheetData>
  <mergeCells count="4">
    <mergeCell ref="E4:P4"/>
    <mergeCell ref="Q4:AB4"/>
    <mergeCell ref="I5:P5"/>
    <mergeCell ref="U5:AB5"/>
  </mergeCells>
  <phoneticPr fontId="3" type="noConversion"/>
  <pageMargins left="0.75" right="0.75" top="1" bottom="1" header="0.5" footer="0.5"/>
  <pageSetup scale="59" orientation="landscape" r:id="rId1"/>
  <headerFooter alignWithMargins="0">
    <oddFooter>&amp;R5</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H488"/>
  <sheetViews>
    <sheetView workbookViewId="0">
      <pane xSplit="1" ySplit="2" topLeftCell="B454" activePane="bottomRight" state="frozen"/>
      <selection activeCell="E452" sqref="E452:E464"/>
      <selection pane="topRight" activeCell="E452" sqref="E452:E464"/>
      <selection pane="bottomLeft" activeCell="E452" sqref="E452:E464"/>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4" width="18.7109375" style="262" customWidth="1"/>
    <col min="5" max="5" width="9.140625" style="14"/>
    <col min="6" max="6" width="12.42578125" bestFit="1" customWidth="1"/>
    <col min="7" max="7" width="17.7109375" style="352" bestFit="1" customWidth="1"/>
    <col min="8" max="8" width="9.140625" style="352"/>
  </cols>
  <sheetData>
    <row r="1" spans="1:6" x14ac:dyDescent="0.2">
      <c r="A1" s="265" t="s">
        <v>8</v>
      </c>
      <c r="B1" s="321" t="s">
        <v>465</v>
      </c>
      <c r="C1" s="1381" t="s">
        <v>7</v>
      </c>
      <c r="D1" s="1370">
        <f>ASRS_E1!D1</f>
        <v>1</v>
      </c>
      <c r="F1" s="1416" t="s">
        <v>760</v>
      </c>
    </row>
    <row r="2" spans="1:6" x14ac:dyDescent="0.2">
      <c r="A2" s="3" t="s">
        <v>27</v>
      </c>
      <c r="B2" s="71" t="s">
        <v>91</v>
      </c>
      <c r="C2" s="226" t="s">
        <v>92</v>
      </c>
      <c r="D2" s="71" t="s">
        <v>90</v>
      </c>
      <c r="E2" s="734" t="s">
        <v>80</v>
      </c>
    </row>
    <row r="3" spans="1:6" x14ac:dyDescent="0.2">
      <c r="A3" s="345">
        <v>27606</v>
      </c>
      <c r="B3" s="71"/>
      <c r="C3" s="226"/>
      <c r="D3" s="71"/>
    </row>
    <row r="4" spans="1:6" x14ac:dyDescent="0.2">
      <c r="A4" s="345">
        <v>27637</v>
      </c>
      <c r="B4" s="71"/>
      <c r="C4" s="226"/>
      <c r="D4" s="71"/>
    </row>
    <row r="5" spans="1:6" x14ac:dyDescent="0.2">
      <c r="A5" s="345">
        <v>27667</v>
      </c>
      <c r="B5" s="71"/>
      <c r="C5" s="226"/>
      <c r="D5" s="71"/>
    </row>
    <row r="6" spans="1:6" x14ac:dyDescent="0.2">
      <c r="A6" s="345">
        <v>27698</v>
      </c>
      <c r="B6" s="71"/>
      <c r="C6" s="226"/>
      <c r="D6" s="71"/>
    </row>
    <row r="7" spans="1:6" x14ac:dyDescent="0.2">
      <c r="A7" s="345">
        <v>27728</v>
      </c>
      <c r="B7" s="71"/>
      <c r="C7" s="226"/>
      <c r="D7" s="71"/>
    </row>
    <row r="8" spans="1:6" x14ac:dyDescent="0.2">
      <c r="A8" s="345">
        <v>27759</v>
      </c>
      <c r="B8" s="71"/>
      <c r="C8" s="226"/>
      <c r="D8" s="71"/>
    </row>
    <row r="9" spans="1:6" x14ac:dyDescent="0.2">
      <c r="A9" s="345">
        <v>27790</v>
      </c>
      <c r="B9" s="71"/>
      <c r="C9" s="226"/>
      <c r="D9" s="71"/>
    </row>
    <row r="10" spans="1:6" x14ac:dyDescent="0.2">
      <c r="A10" s="345">
        <v>27819</v>
      </c>
      <c r="B10" s="71"/>
      <c r="C10" s="226"/>
      <c r="D10" s="71"/>
    </row>
    <row r="11" spans="1:6" x14ac:dyDescent="0.2">
      <c r="A11" s="345">
        <v>27850</v>
      </c>
      <c r="B11" s="71"/>
      <c r="C11" s="226"/>
      <c r="D11" s="71"/>
    </row>
    <row r="12" spans="1:6" x14ac:dyDescent="0.2">
      <c r="A12" s="345">
        <v>27880</v>
      </c>
      <c r="B12" s="71"/>
      <c r="C12" s="226"/>
      <c r="D12" s="71"/>
    </row>
    <row r="13" spans="1:6" x14ac:dyDescent="0.2">
      <c r="A13" s="345">
        <v>27911</v>
      </c>
      <c r="B13" s="71"/>
      <c r="C13" s="226"/>
      <c r="D13" s="71"/>
    </row>
    <row r="14" spans="1:6" x14ac:dyDescent="0.2">
      <c r="A14" s="345">
        <v>27941</v>
      </c>
      <c r="B14" s="71"/>
      <c r="C14" s="226"/>
      <c r="D14" s="71"/>
    </row>
    <row r="15" spans="1:6" x14ac:dyDescent="0.2">
      <c r="A15" s="345">
        <v>27972</v>
      </c>
      <c r="B15" s="71"/>
      <c r="C15" s="226"/>
      <c r="D15" s="71"/>
    </row>
    <row r="16" spans="1:6" x14ac:dyDescent="0.2">
      <c r="A16" s="345">
        <v>28003</v>
      </c>
      <c r="B16" s="71"/>
      <c r="C16" s="226"/>
      <c r="D16" s="71"/>
    </row>
    <row r="17" spans="1:4" x14ac:dyDescent="0.2">
      <c r="A17" s="345">
        <v>28033</v>
      </c>
      <c r="B17" s="71"/>
      <c r="C17" s="226"/>
      <c r="D17" s="71"/>
    </row>
    <row r="18" spans="1:4" x14ac:dyDescent="0.2">
      <c r="A18" s="345">
        <v>28064</v>
      </c>
      <c r="B18" s="71"/>
      <c r="C18" s="226"/>
      <c r="D18" s="71"/>
    </row>
    <row r="19" spans="1:4" x14ac:dyDescent="0.2">
      <c r="A19" s="345">
        <v>28094</v>
      </c>
      <c r="B19" s="71"/>
      <c r="C19" s="226"/>
      <c r="D19" s="71"/>
    </row>
    <row r="20" spans="1:4" x14ac:dyDescent="0.2">
      <c r="A20" s="345">
        <v>28125</v>
      </c>
      <c r="B20" s="71"/>
      <c r="C20" s="226"/>
      <c r="D20" s="71"/>
    </row>
    <row r="21" spans="1:4" x14ac:dyDescent="0.2">
      <c r="A21" s="345">
        <v>28156</v>
      </c>
      <c r="B21" s="71"/>
      <c r="C21" s="226"/>
      <c r="D21" s="71"/>
    </row>
    <row r="22" spans="1:4" x14ac:dyDescent="0.2">
      <c r="A22" s="345">
        <v>28184</v>
      </c>
      <c r="B22" s="71"/>
      <c r="C22" s="226"/>
      <c r="D22" s="71"/>
    </row>
    <row r="23" spans="1:4" x14ac:dyDescent="0.2">
      <c r="A23" s="345">
        <v>28215</v>
      </c>
      <c r="B23" s="71"/>
      <c r="C23" s="226"/>
      <c r="D23" s="71"/>
    </row>
    <row r="24" spans="1:4" x14ac:dyDescent="0.2">
      <c r="A24" s="345">
        <v>28245</v>
      </c>
      <c r="B24" s="71"/>
      <c r="C24" s="226"/>
      <c r="D24" s="71"/>
    </row>
    <row r="25" spans="1:4" x14ac:dyDescent="0.2">
      <c r="A25" s="345">
        <v>28276</v>
      </c>
      <c r="B25" s="71"/>
      <c r="C25" s="226"/>
      <c r="D25" s="71"/>
    </row>
    <row r="26" spans="1:4" x14ac:dyDescent="0.2">
      <c r="A26" s="345">
        <v>28306</v>
      </c>
      <c r="B26" s="71"/>
      <c r="C26" s="226"/>
      <c r="D26" s="71"/>
    </row>
    <row r="27" spans="1:4" x14ac:dyDescent="0.2">
      <c r="A27" s="345">
        <v>28337</v>
      </c>
      <c r="B27" s="71"/>
      <c r="C27" s="226"/>
      <c r="D27" s="71"/>
    </row>
    <row r="28" spans="1:4" x14ac:dyDescent="0.2">
      <c r="A28" s="345">
        <v>28368</v>
      </c>
      <c r="B28" s="71"/>
      <c r="C28" s="226"/>
      <c r="D28" s="71"/>
    </row>
    <row r="29" spans="1:4" x14ac:dyDescent="0.2">
      <c r="A29" s="345">
        <v>28398</v>
      </c>
      <c r="B29" s="71"/>
      <c r="C29" s="226"/>
      <c r="D29" s="71"/>
    </row>
    <row r="30" spans="1:4" x14ac:dyDescent="0.2">
      <c r="A30" s="345">
        <v>28429</v>
      </c>
      <c r="B30" s="71"/>
      <c r="C30" s="226"/>
      <c r="D30" s="71"/>
    </row>
    <row r="31" spans="1:4" x14ac:dyDescent="0.2">
      <c r="A31" s="345">
        <v>28459</v>
      </c>
      <c r="B31" s="71"/>
      <c r="C31" s="226"/>
      <c r="D31" s="71"/>
    </row>
    <row r="32" spans="1:4" x14ac:dyDescent="0.2">
      <c r="A32" s="345">
        <v>28490</v>
      </c>
      <c r="B32" s="71"/>
      <c r="C32" s="226"/>
      <c r="D32" s="71"/>
    </row>
    <row r="33" spans="1:4" x14ac:dyDescent="0.2">
      <c r="A33" s="345">
        <v>28521</v>
      </c>
      <c r="B33" s="71"/>
      <c r="C33" s="226"/>
      <c r="D33" s="71"/>
    </row>
    <row r="34" spans="1:4" x14ac:dyDescent="0.2">
      <c r="A34" s="345">
        <v>28549</v>
      </c>
      <c r="B34" s="71"/>
      <c r="C34" s="226"/>
      <c r="D34" s="71"/>
    </row>
    <row r="35" spans="1:4" x14ac:dyDescent="0.2">
      <c r="A35" s="345">
        <v>28580</v>
      </c>
      <c r="B35" s="71"/>
      <c r="C35" s="226"/>
      <c r="D35" s="71"/>
    </row>
    <row r="36" spans="1:4" x14ac:dyDescent="0.2">
      <c r="A36" s="345">
        <v>28610</v>
      </c>
      <c r="B36" s="71"/>
      <c r="C36" s="226"/>
      <c r="D36" s="71"/>
    </row>
    <row r="37" spans="1:4" x14ac:dyDescent="0.2">
      <c r="A37" s="345">
        <v>28641</v>
      </c>
      <c r="B37" s="71"/>
      <c r="C37" s="226"/>
      <c r="D37" s="71"/>
    </row>
    <row r="38" spans="1:4" x14ac:dyDescent="0.2">
      <c r="A38" s="345">
        <v>28671</v>
      </c>
      <c r="B38" s="71"/>
      <c r="C38" s="226"/>
      <c r="D38" s="71"/>
    </row>
    <row r="39" spans="1:4" x14ac:dyDescent="0.2">
      <c r="A39" s="345">
        <v>28702</v>
      </c>
      <c r="B39" s="71"/>
      <c r="C39" s="226"/>
      <c r="D39" s="71"/>
    </row>
    <row r="40" spans="1:4" x14ac:dyDescent="0.2">
      <c r="A40" s="345">
        <v>28733</v>
      </c>
      <c r="B40" s="71"/>
      <c r="C40" s="226"/>
      <c r="D40" s="71"/>
    </row>
    <row r="41" spans="1:4" x14ac:dyDescent="0.2">
      <c r="A41" s="345">
        <v>28763</v>
      </c>
      <c r="B41" s="71"/>
      <c r="C41" s="226"/>
      <c r="D41" s="71"/>
    </row>
    <row r="42" spans="1:4" x14ac:dyDescent="0.2">
      <c r="A42" s="345">
        <v>28794</v>
      </c>
      <c r="B42" s="71"/>
      <c r="C42" s="226"/>
      <c r="D42" s="71"/>
    </row>
    <row r="43" spans="1:4" x14ac:dyDescent="0.2">
      <c r="A43" s="345">
        <v>28824</v>
      </c>
      <c r="B43" s="71"/>
      <c r="C43" s="226"/>
      <c r="D43" s="71"/>
    </row>
    <row r="44" spans="1:4" x14ac:dyDescent="0.2">
      <c r="A44" s="345">
        <v>28855</v>
      </c>
      <c r="B44" s="71"/>
      <c r="C44" s="226"/>
      <c r="D44" s="71"/>
    </row>
    <row r="45" spans="1:4" x14ac:dyDescent="0.2">
      <c r="A45" s="345">
        <v>28886</v>
      </c>
      <c r="B45" s="71"/>
      <c r="C45" s="226"/>
      <c r="D45" s="71"/>
    </row>
    <row r="46" spans="1:4" x14ac:dyDescent="0.2">
      <c r="A46" s="345">
        <v>28914</v>
      </c>
      <c r="B46" s="71"/>
      <c r="C46" s="226"/>
      <c r="D46" s="71"/>
    </row>
    <row r="47" spans="1:4" x14ac:dyDescent="0.2">
      <c r="A47" s="345">
        <v>28945</v>
      </c>
      <c r="B47" s="71"/>
      <c r="C47" s="226"/>
      <c r="D47" s="71"/>
    </row>
    <row r="48" spans="1:4" x14ac:dyDescent="0.2">
      <c r="A48" s="345">
        <v>28975</v>
      </c>
      <c r="B48" s="71"/>
      <c r="C48" s="226"/>
      <c r="D48" s="71"/>
    </row>
    <row r="49" spans="1:4" x14ac:dyDescent="0.2">
      <c r="A49" s="345">
        <v>29006</v>
      </c>
      <c r="B49" s="71"/>
      <c r="C49" s="226"/>
      <c r="D49" s="71"/>
    </row>
    <row r="50" spans="1:4" x14ac:dyDescent="0.2">
      <c r="A50" s="345">
        <v>29036</v>
      </c>
      <c r="B50" s="71"/>
      <c r="C50" s="226"/>
      <c r="D50" s="71"/>
    </row>
    <row r="51" spans="1:4" x14ac:dyDescent="0.2">
      <c r="A51" s="345">
        <v>29067</v>
      </c>
      <c r="B51" s="71"/>
      <c r="C51" s="226"/>
      <c r="D51" s="71"/>
    </row>
    <row r="52" spans="1:4" x14ac:dyDescent="0.2">
      <c r="A52" s="345">
        <v>29098</v>
      </c>
      <c r="B52" s="71"/>
      <c r="C52" s="226"/>
      <c r="D52" s="71"/>
    </row>
    <row r="53" spans="1:4" x14ac:dyDescent="0.2">
      <c r="A53" s="345">
        <v>29128</v>
      </c>
      <c r="B53" s="71"/>
      <c r="C53" s="226"/>
      <c r="D53" s="71"/>
    </row>
    <row r="54" spans="1:4" x14ac:dyDescent="0.2">
      <c r="A54" s="345">
        <v>29159</v>
      </c>
      <c r="B54" s="71"/>
      <c r="C54" s="226"/>
      <c r="D54" s="71"/>
    </row>
    <row r="55" spans="1:4" x14ac:dyDescent="0.2">
      <c r="A55" s="345">
        <v>29189</v>
      </c>
      <c r="B55" s="71"/>
      <c r="C55" s="226"/>
      <c r="D55" s="71"/>
    </row>
    <row r="56" spans="1:4" x14ac:dyDescent="0.2">
      <c r="A56" s="345">
        <v>29220</v>
      </c>
      <c r="B56" s="71"/>
      <c r="C56" s="226"/>
      <c r="D56" s="71"/>
    </row>
    <row r="57" spans="1:4" x14ac:dyDescent="0.2">
      <c r="A57" s="345">
        <v>29251</v>
      </c>
      <c r="B57" s="71"/>
      <c r="C57" s="226"/>
      <c r="D57" s="71"/>
    </row>
    <row r="58" spans="1:4" x14ac:dyDescent="0.2">
      <c r="A58" s="345">
        <v>29280</v>
      </c>
      <c r="B58" s="71"/>
      <c r="C58" s="226"/>
      <c r="D58" s="71"/>
    </row>
    <row r="59" spans="1:4" x14ac:dyDescent="0.2">
      <c r="A59" s="345">
        <v>29311</v>
      </c>
      <c r="B59" s="71"/>
      <c r="C59" s="226"/>
      <c r="D59" s="71"/>
    </row>
    <row r="60" spans="1:4" x14ac:dyDescent="0.2">
      <c r="A60" s="345">
        <v>29341</v>
      </c>
      <c r="B60" s="71"/>
      <c r="C60" s="226"/>
      <c r="D60" s="71"/>
    </row>
    <row r="61" spans="1:4" x14ac:dyDescent="0.2">
      <c r="A61" s="345">
        <v>29372</v>
      </c>
      <c r="B61" s="71"/>
      <c r="C61" s="226"/>
      <c r="D61" s="71"/>
    </row>
    <row r="62" spans="1:4" x14ac:dyDescent="0.2">
      <c r="A62" s="345">
        <v>29402</v>
      </c>
      <c r="B62" s="71"/>
      <c r="C62" s="226"/>
      <c r="D62" s="71"/>
    </row>
    <row r="63" spans="1:4" x14ac:dyDescent="0.2">
      <c r="A63" s="345">
        <v>29433</v>
      </c>
      <c r="B63" s="71"/>
      <c r="C63" s="226"/>
      <c r="D63" s="71"/>
    </row>
    <row r="64" spans="1:4" x14ac:dyDescent="0.2">
      <c r="A64" s="345">
        <v>29464</v>
      </c>
      <c r="B64" s="71"/>
      <c r="C64" s="226"/>
      <c r="D64" s="71"/>
    </row>
    <row r="65" spans="1:4" x14ac:dyDescent="0.2">
      <c r="A65" s="345">
        <v>29494</v>
      </c>
      <c r="B65" s="71"/>
      <c r="C65" s="226"/>
      <c r="D65" s="71"/>
    </row>
    <row r="66" spans="1:4" x14ac:dyDescent="0.2">
      <c r="A66" s="345">
        <v>29525</v>
      </c>
      <c r="B66" s="71"/>
      <c r="C66" s="226"/>
      <c r="D66" s="71"/>
    </row>
    <row r="67" spans="1:4" x14ac:dyDescent="0.2">
      <c r="A67" s="345">
        <v>29555</v>
      </c>
      <c r="B67" s="71"/>
      <c r="C67" s="226"/>
      <c r="D67" s="71"/>
    </row>
    <row r="68" spans="1:4" x14ac:dyDescent="0.2">
      <c r="A68" s="345">
        <v>29586</v>
      </c>
      <c r="B68" s="71"/>
      <c r="C68" s="226"/>
      <c r="D68" s="71"/>
    </row>
    <row r="69" spans="1:4" x14ac:dyDescent="0.2">
      <c r="A69" s="345">
        <v>29617</v>
      </c>
      <c r="B69" s="71"/>
      <c r="C69" s="226"/>
      <c r="D69" s="71"/>
    </row>
    <row r="70" spans="1:4" x14ac:dyDescent="0.2">
      <c r="A70" s="345">
        <v>29645</v>
      </c>
      <c r="B70" s="71"/>
      <c r="C70" s="226"/>
      <c r="D70" s="71"/>
    </row>
    <row r="71" spans="1:4" x14ac:dyDescent="0.2">
      <c r="A71" s="345">
        <v>29676</v>
      </c>
      <c r="B71" s="71"/>
      <c r="C71" s="226"/>
      <c r="D71" s="71"/>
    </row>
    <row r="72" spans="1:4" x14ac:dyDescent="0.2">
      <c r="A72" s="345">
        <v>29706</v>
      </c>
      <c r="B72" s="71"/>
      <c r="C72" s="226"/>
      <c r="D72" s="71"/>
    </row>
    <row r="73" spans="1:4" x14ac:dyDescent="0.2">
      <c r="A73" s="345">
        <v>29737</v>
      </c>
      <c r="B73" s="71"/>
      <c r="C73" s="226"/>
      <c r="D73" s="71"/>
    </row>
    <row r="74" spans="1:4" x14ac:dyDescent="0.2">
      <c r="A74" s="345">
        <v>29767</v>
      </c>
      <c r="B74" s="71"/>
      <c r="C74" s="226"/>
      <c r="D74" s="71"/>
    </row>
    <row r="75" spans="1:4" x14ac:dyDescent="0.2">
      <c r="A75" s="345">
        <v>29798</v>
      </c>
      <c r="B75" s="71"/>
      <c r="C75" s="226"/>
      <c r="D75" s="71"/>
    </row>
    <row r="76" spans="1:4" x14ac:dyDescent="0.2">
      <c r="A76" s="345">
        <v>29829</v>
      </c>
      <c r="B76" s="71"/>
      <c r="C76" s="226"/>
      <c r="D76" s="71"/>
    </row>
    <row r="77" spans="1:4" x14ac:dyDescent="0.2">
      <c r="A77" s="345">
        <v>29859</v>
      </c>
      <c r="B77" s="71"/>
      <c r="C77" s="226"/>
      <c r="D77" s="71"/>
    </row>
    <row r="78" spans="1:4" x14ac:dyDescent="0.2">
      <c r="A78" s="345">
        <v>29890</v>
      </c>
      <c r="B78" s="71"/>
      <c r="C78" s="226"/>
      <c r="D78" s="71"/>
    </row>
    <row r="79" spans="1:4" x14ac:dyDescent="0.2">
      <c r="A79" s="345">
        <v>29920</v>
      </c>
      <c r="B79" s="71"/>
      <c r="C79" s="226"/>
      <c r="D79" s="71"/>
    </row>
    <row r="80" spans="1:4" x14ac:dyDescent="0.2">
      <c r="A80" s="345">
        <v>29951</v>
      </c>
      <c r="B80" s="71"/>
      <c r="C80" s="226"/>
      <c r="D80" s="71"/>
    </row>
    <row r="81" spans="1:4" x14ac:dyDescent="0.2">
      <c r="A81" s="345">
        <v>29982</v>
      </c>
      <c r="B81" s="71"/>
      <c r="C81" s="226"/>
      <c r="D81" s="71"/>
    </row>
    <row r="82" spans="1:4" x14ac:dyDescent="0.2">
      <c r="A82" s="345">
        <v>30010</v>
      </c>
      <c r="B82" s="71"/>
      <c r="C82" s="226"/>
      <c r="D82" s="71"/>
    </row>
    <row r="83" spans="1:4" x14ac:dyDescent="0.2">
      <c r="A83" s="345">
        <v>30041</v>
      </c>
      <c r="B83" s="71"/>
      <c r="C83" s="226"/>
      <c r="D83" s="71"/>
    </row>
    <row r="84" spans="1:4" x14ac:dyDescent="0.2">
      <c r="A84" s="345">
        <v>30071</v>
      </c>
      <c r="B84" s="71"/>
      <c r="C84" s="226"/>
      <c r="D84" s="71"/>
    </row>
    <row r="85" spans="1:4" x14ac:dyDescent="0.2">
      <c r="A85" s="345">
        <v>30102</v>
      </c>
      <c r="B85" s="71"/>
      <c r="C85" s="226"/>
      <c r="D85" s="71"/>
    </row>
    <row r="86" spans="1:4" x14ac:dyDescent="0.2">
      <c r="A86" s="345">
        <v>30132</v>
      </c>
      <c r="B86" s="71"/>
      <c r="C86" s="226"/>
      <c r="D86" s="71"/>
    </row>
    <row r="87" spans="1:4" x14ac:dyDescent="0.2">
      <c r="A87" s="345">
        <v>30163</v>
      </c>
      <c r="B87" s="71"/>
      <c r="C87" s="226"/>
      <c r="D87" s="71"/>
    </row>
    <row r="88" spans="1:4" x14ac:dyDescent="0.2">
      <c r="A88" s="345">
        <v>30194</v>
      </c>
      <c r="B88" s="71"/>
      <c r="C88" s="226"/>
      <c r="D88" s="71"/>
    </row>
    <row r="89" spans="1:4" x14ac:dyDescent="0.2">
      <c r="A89" s="345">
        <v>30224</v>
      </c>
      <c r="B89" s="71"/>
      <c r="C89" s="226"/>
      <c r="D89" s="71"/>
    </row>
    <row r="90" spans="1:4" x14ac:dyDescent="0.2">
      <c r="A90" s="345">
        <v>30255</v>
      </c>
      <c r="B90" s="71"/>
      <c r="C90" s="226"/>
      <c r="D90" s="71"/>
    </row>
    <row r="91" spans="1:4" x14ac:dyDescent="0.2">
      <c r="A91" s="345">
        <v>30285</v>
      </c>
      <c r="B91" s="71"/>
      <c r="C91" s="226"/>
      <c r="D91" s="71"/>
    </row>
    <row r="92" spans="1:4" x14ac:dyDescent="0.2">
      <c r="A92" s="345">
        <v>30316</v>
      </c>
      <c r="B92" s="71"/>
      <c r="C92" s="226"/>
      <c r="D92" s="71"/>
    </row>
    <row r="93" spans="1:4" x14ac:dyDescent="0.2">
      <c r="A93" s="345">
        <v>30347</v>
      </c>
      <c r="B93" s="71"/>
      <c r="C93" s="226"/>
      <c r="D93" s="71"/>
    </row>
    <row r="94" spans="1:4" x14ac:dyDescent="0.2">
      <c r="A94" s="345">
        <v>30375</v>
      </c>
      <c r="B94" s="71"/>
      <c r="C94" s="226"/>
      <c r="D94" s="71"/>
    </row>
    <row r="95" spans="1:4" x14ac:dyDescent="0.2">
      <c r="A95" s="345">
        <v>30406</v>
      </c>
      <c r="B95" s="71"/>
      <c r="C95" s="226"/>
      <c r="D95" s="71"/>
    </row>
    <row r="96" spans="1:4" x14ac:dyDescent="0.2">
      <c r="A96" s="345">
        <v>30436</v>
      </c>
      <c r="B96" s="71"/>
      <c r="C96" s="226"/>
      <c r="D96" s="71"/>
    </row>
    <row r="97" spans="1:4" x14ac:dyDescent="0.2">
      <c r="A97" s="345">
        <v>30467</v>
      </c>
      <c r="B97" s="71"/>
      <c r="C97" s="226"/>
      <c r="D97" s="71"/>
    </row>
    <row r="98" spans="1:4" x14ac:dyDescent="0.2">
      <c r="A98" s="345">
        <v>30497</v>
      </c>
      <c r="B98" s="71"/>
      <c r="C98" s="226"/>
      <c r="D98" s="71"/>
    </row>
    <row r="99" spans="1:4" x14ac:dyDescent="0.2">
      <c r="A99" s="345">
        <v>30528</v>
      </c>
      <c r="B99" s="71"/>
      <c r="C99" s="226"/>
      <c r="D99" s="71"/>
    </row>
    <row r="100" spans="1:4" x14ac:dyDescent="0.2">
      <c r="A100" s="345">
        <v>30559</v>
      </c>
      <c r="B100" s="71"/>
      <c r="C100" s="226"/>
      <c r="D100" s="71"/>
    </row>
    <row r="101" spans="1:4" x14ac:dyDescent="0.2">
      <c r="A101" s="345">
        <v>30589</v>
      </c>
      <c r="B101" s="71"/>
      <c r="C101" s="226"/>
      <c r="D101" s="71"/>
    </row>
    <row r="102" spans="1:4" x14ac:dyDescent="0.2">
      <c r="A102" s="345">
        <v>30620</v>
      </c>
      <c r="B102" s="71"/>
      <c r="C102" s="226"/>
      <c r="D102" s="71"/>
    </row>
    <row r="103" spans="1:4" x14ac:dyDescent="0.2">
      <c r="A103" s="345">
        <v>30650</v>
      </c>
      <c r="B103" s="71"/>
      <c r="C103" s="226"/>
      <c r="D103" s="71"/>
    </row>
    <row r="104" spans="1:4" x14ac:dyDescent="0.2">
      <c r="A104" s="345">
        <v>30681</v>
      </c>
      <c r="B104" s="71"/>
      <c r="C104" s="226"/>
      <c r="D104" s="71"/>
    </row>
    <row r="105" spans="1:4" x14ac:dyDescent="0.2">
      <c r="A105" s="345">
        <v>30712</v>
      </c>
      <c r="B105" s="71"/>
      <c r="C105" s="226"/>
      <c r="D105" s="71"/>
    </row>
    <row r="106" spans="1:4" x14ac:dyDescent="0.2">
      <c r="A106" s="345">
        <v>30741</v>
      </c>
      <c r="B106" s="71"/>
      <c r="C106" s="226"/>
      <c r="D106" s="71"/>
    </row>
    <row r="107" spans="1:4" x14ac:dyDescent="0.2">
      <c r="A107" s="345">
        <v>30772</v>
      </c>
      <c r="B107" s="71"/>
      <c r="C107" s="226"/>
      <c r="D107" s="71"/>
    </row>
    <row r="108" spans="1:4" x14ac:dyDescent="0.2">
      <c r="A108" s="345">
        <v>30802</v>
      </c>
      <c r="B108" s="71"/>
      <c r="C108" s="226"/>
      <c r="D108" s="71"/>
    </row>
    <row r="109" spans="1:4" x14ac:dyDescent="0.2">
      <c r="A109" s="345">
        <v>30833</v>
      </c>
      <c r="B109" s="71"/>
      <c r="C109" s="226"/>
      <c r="D109" s="71"/>
    </row>
    <row r="110" spans="1:4" x14ac:dyDescent="0.2">
      <c r="A110" s="345">
        <v>30863</v>
      </c>
      <c r="B110" s="71"/>
      <c r="C110" s="226"/>
      <c r="D110" s="71"/>
    </row>
    <row r="111" spans="1:4" x14ac:dyDescent="0.2">
      <c r="A111" s="345">
        <v>30894</v>
      </c>
      <c r="B111" s="71"/>
      <c r="C111" s="226"/>
      <c r="D111" s="71"/>
    </row>
    <row r="112" spans="1:4" x14ac:dyDescent="0.2">
      <c r="A112" s="345">
        <v>30925</v>
      </c>
      <c r="B112" s="71"/>
      <c r="C112" s="226"/>
      <c r="D112" s="71"/>
    </row>
    <row r="113" spans="1:4" x14ac:dyDescent="0.2">
      <c r="A113" s="345">
        <v>30955</v>
      </c>
      <c r="B113" s="71"/>
      <c r="C113" s="226"/>
      <c r="D113" s="71"/>
    </row>
    <row r="114" spans="1:4" x14ac:dyDescent="0.2">
      <c r="A114" s="345">
        <v>30986</v>
      </c>
      <c r="B114" s="71"/>
      <c r="C114" s="226"/>
      <c r="D114" s="71"/>
    </row>
    <row r="115" spans="1:4" x14ac:dyDescent="0.2">
      <c r="A115" s="345">
        <v>31016</v>
      </c>
      <c r="B115" s="71"/>
      <c r="C115" s="226"/>
      <c r="D115" s="71"/>
    </row>
    <row r="116" spans="1:4" x14ac:dyDescent="0.2">
      <c r="A116" s="345">
        <v>31047</v>
      </c>
      <c r="B116" s="71"/>
      <c r="C116" s="226"/>
      <c r="D116" s="71"/>
    </row>
    <row r="117" spans="1:4" x14ac:dyDescent="0.2">
      <c r="A117" s="345">
        <v>31078</v>
      </c>
      <c r="B117" s="71"/>
      <c r="C117" s="226"/>
      <c r="D117" s="71"/>
    </row>
    <row r="118" spans="1:4" x14ac:dyDescent="0.2">
      <c r="A118" s="345">
        <v>31106</v>
      </c>
      <c r="B118" s="71"/>
      <c r="C118" s="226"/>
      <c r="D118" s="71"/>
    </row>
    <row r="119" spans="1:4" x14ac:dyDescent="0.2">
      <c r="A119" s="345">
        <v>31137</v>
      </c>
      <c r="B119" s="71"/>
      <c r="C119" s="226"/>
      <c r="D119" s="71"/>
    </row>
    <row r="120" spans="1:4" x14ac:dyDescent="0.2">
      <c r="A120" s="345">
        <v>31167</v>
      </c>
      <c r="B120" s="71"/>
      <c r="C120" s="226"/>
      <c r="D120" s="71"/>
    </row>
    <row r="121" spans="1:4" x14ac:dyDescent="0.2">
      <c r="A121" s="345">
        <v>31198</v>
      </c>
      <c r="B121" s="71"/>
      <c r="C121" s="226"/>
      <c r="D121" s="71"/>
    </row>
    <row r="122" spans="1:4" x14ac:dyDescent="0.2">
      <c r="A122" s="345">
        <v>31228</v>
      </c>
      <c r="B122" s="71"/>
      <c r="C122" s="226"/>
      <c r="D122" s="71"/>
    </row>
    <row r="123" spans="1:4" x14ac:dyDescent="0.2">
      <c r="A123" s="345">
        <v>31259</v>
      </c>
      <c r="B123" s="71"/>
      <c r="C123" s="226"/>
      <c r="D123" s="71"/>
    </row>
    <row r="124" spans="1:4" x14ac:dyDescent="0.2">
      <c r="A124" s="345">
        <v>31290</v>
      </c>
      <c r="B124" s="71"/>
      <c r="C124" s="226"/>
      <c r="D124" s="71"/>
    </row>
    <row r="125" spans="1:4" x14ac:dyDescent="0.2">
      <c r="A125" s="345">
        <v>31320</v>
      </c>
      <c r="B125" s="71"/>
      <c r="C125" s="226"/>
      <c r="D125" s="71"/>
    </row>
    <row r="126" spans="1:4" x14ac:dyDescent="0.2">
      <c r="A126" s="345">
        <v>31351</v>
      </c>
      <c r="B126" s="71"/>
      <c r="C126" s="226"/>
      <c r="D126" s="71"/>
    </row>
    <row r="127" spans="1:4" x14ac:dyDescent="0.2">
      <c r="A127" s="345">
        <v>31381</v>
      </c>
      <c r="B127" s="71"/>
      <c r="C127" s="226"/>
      <c r="D127" s="71"/>
    </row>
    <row r="128" spans="1:4" x14ac:dyDescent="0.2">
      <c r="A128" s="345">
        <v>31412</v>
      </c>
      <c r="B128" s="71"/>
      <c r="C128" s="226"/>
      <c r="D128" s="71"/>
    </row>
    <row r="129" spans="1:4" x14ac:dyDescent="0.2">
      <c r="A129" s="345">
        <v>31443</v>
      </c>
      <c r="B129" s="71"/>
      <c r="C129" s="226"/>
      <c r="D129" s="71"/>
    </row>
    <row r="130" spans="1:4" x14ac:dyDescent="0.2">
      <c r="A130" s="345">
        <v>31471</v>
      </c>
      <c r="B130" s="71"/>
      <c r="C130" s="226"/>
      <c r="D130" s="71"/>
    </row>
    <row r="131" spans="1:4" x14ac:dyDescent="0.2">
      <c r="A131" s="345">
        <v>31502</v>
      </c>
      <c r="B131" s="71"/>
      <c r="C131" s="226"/>
      <c r="D131" s="71"/>
    </row>
    <row r="132" spans="1:4" x14ac:dyDescent="0.2">
      <c r="A132" s="345">
        <v>31532</v>
      </c>
      <c r="B132" s="71"/>
      <c r="C132" s="226"/>
      <c r="D132" s="71"/>
    </row>
    <row r="133" spans="1:4" x14ac:dyDescent="0.2">
      <c r="A133" s="345">
        <v>31563</v>
      </c>
      <c r="B133" s="71"/>
      <c r="C133" s="226"/>
      <c r="D133" s="71"/>
    </row>
    <row r="134" spans="1:4" x14ac:dyDescent="0.2">
      <c r="A134" s="345">
        <v>31593</v>
      </c>
      <c r="B134" s="71"/>
      <c r="C134" s="226"/>
      <c r="D134" s="71"/>
    </row>
    <row r="135" spans="1:4" x14ac:dyDescent="0.2">
      <c r="A135" s="345">
        <v>31624</v>
      </c>
      <c r="B135" s="71"/>
      <c r="C135" s="226"/>
      <c r="D135" s="71"/>
    </row>
    <row r="136" spans="1:4" x14ac:dyDescent="0.2">
      <c r="A136" s="345">
        <v>31655</v>
      </c>
      <c r="B136" s="71"/>
      <c r="C136" s="226"/>
      <c r="D136" s="71"/>
    </row>
    <row r="137" spans="1:4" x14ac:dyDescent="0.2">
      <c r="A137" s="345">
        <v>31685</v>
      </c>
      <c r="B137" s="71"/>
      <c r="C137" s="226"/>
      <c r="D137" s="71"/>
    </row>
    <row r="138" spans="1:4" x14ac:dyDescent="0.2">
      <c r="A138" s="345">
        <v>31716</v>
      </c>
      <c r="B138" s="71"/>
      <c r="C138" s="226"/>
      <c r="D138" s="71"/>
    </row>
    <row r="139" spans="1:4" x14ac:dyDescent="0.2">
      <c r="A139" s="345">
        <v>31746</v>
      </c>
      <c r="B139" s="71"/>
      <c r="C139" s="226"/>
      <c r="D139" s="71"/>
    </row>
    <row r="140" spans="1:4" x14ac:dyDescent="0.2">
      <c r="A140" s="345">
        <v>31777</v>
      </c>
      <c r="B140" s="71"/>
      <c r="C140" s="226"/>
      <c r="D140" s="71"/>
    </row>
    <row r="141" spans="1:4" x14ac:dyDescent="0.2">
      <c r="A141" s="345">
        <v>31808</v>
      </c>
      <c r="B141" s="73"/>
      <c r="C141" s="25"/>
      <c r="D141" s="79"/>
    </row>
    <row r="142" spans="1:4" x14ac:dyDescent="0.2">
      <c r="A142" s="345">
        <v>31836</v>
      </c>
      <c r="B142" s="73"/>
      <c r="C142" s="25"/>
      <c r="D142" s="79"/>
    </row>
    <row r="143" spans="1:4" x14ac:dyDescent="0.2">
      <c r="A143" s="345">
        <v>31867</v>
      </c>
      <c r="B143" s="73"/>
      <c r="C143" s="25"/>
      <c r="D143" s="79"/>
    </row>
    <row r="144" spans="1:4" x14ac:dyDescent="0.2">
      <c r="A144" s="345">
        <v>31897</v>
      </c>
      <c r="B144" s="73"/>
      <c r="C144" s="25"/>
      <c r="D144" s="79"/>
    </row>
    <row r="145" spans="1:4" x14ac:dyDescent="0.2">
      <c r="A145" s="345">
        <v>31928</v>
      </c>
      <c r="B145" s="73"/>
      <c r="C145" s="25"/>
      <c r="D145" s="79"/>
    </row>
    <row r="146" spans="1:4" x14ac:dyDescent="0.2">
      <c r="A146" s="345">
        <v>31958</v>
      </c>
      <c r="B146" s="73"/>
      <c r="C146" s="25"/>
      <c r="D146" s="79"/>
    </row>
    <row r="147" spans="1:4" x14ac:dyDescent="0.2">
      <c r="A147" s="345">
        <v>31989</v>
      </c>
      <c r="B147" s="73"/>
      <c r="C147" s="25"/>
      <c r="D147" s="79"/>
    </row>
    <row r="148" spans="1:4" x14ac:dyDescent="0.2">
      <c r="A148" s="345">
        <v>32020</v>
      </c>
      <c r="B148" s="73"/>
      <c r="C148" s="25"/>
      <c r="D148" s="79"/>
    </row>
    <row r="149" spans="1:4" x14ac:dyDescent="0.2">
      <c r="A149" s="345">
        <v>32050</v>
      </c>
      <c r="B149" s="73"/>
      <c r="C149" s="25"/>
      <c r="D149" s="79"/>
    </row>
    <row r="150" spans="1:4" x14ac:dyDescent="0.2">
      <c r="A150" s="345">
        <v>32081</v>
      </c>
      <c r="B150" s="73"/>
      <c r="C150" s="25"/>
      <c r="D150" s="79"/>
    </row>
    <row r="151" spans="1:4" x14ac:dyDescent="0.2">
      <c r="A151" s="345">
        <v>32111</v>
      </c>
      <c r="B151" s="73"/>
      <c r="C151" s="25"/>
      <c r="D151" s="79"/>
    </row>
    <row r="152" spans="1:4" x14ac:dyDescent="0.2">
      <c r="A152" s="345">
        <v>32142</v>
      </c>
      <c r="B152" s="73"/>
      <c r="C152" s="25"/>
      <c r="D152" s="79"/>
    </row>
    <row r="153" spans="1:4" x14ac:dyDescent="0.2">
      <c r="A153" s="345">
        <v>32173</v>
      </c>
      <c r="B153" s="73"/>
      <c r="C153" s="25"/>
      <c r="D153" s="79"/>
    </row>
    <row r="154" spans="1:4" x14ac:dyDescent="0.2">
      <c r="A154" s="345">
        <v>32202</v>
      </c>
      <c r="B154" s="73"/>
      <c r="C154" s="25"/>
      <c r="D154" s="79"/>
    </row>
    <row r="155" spans="1:4" x14ac:dyDescent="0.2">
      <c r="A155" s="345">
        <v>32233</v>
      </c>
      <c r="B155" s="73"/>
      <c r="C155" s="25"/>
      <c r="D155" s="79"/>
    </row>
    <row r="156" spans="1:4" x14ac:dyDescent="0.2">
      <c r="A156" s="345">
        <v>32263</v>
      </c>
      <c r="B156" s="73"/>
      <c r="C156" s="25"/>
      <c r="D156" s="79"/>
    </row>
    <row r="157" spans="1:4" x14ac:dyDescent="0.2">
      <c r="A157" s="345">
        <v>32294</v>
      </c>
      <c r="B157" s="73"/>
      <c r="C157" s="25"/>
      <c r="D157" s="79"/>
    </row>
    <row r="158" spans="1:4" x14ac:dyDescent="0.2">
      <c r="A158" s="345">
        <v>32324</v>
      </c>
      <c r="B158" s="73"/>
      <c r="C158" s="25"/>
      <c r="D158" s="79"/>
    </row>
    <row r="159" spans="1:4" x14ac:dyDescent="0.2">
      <c r="A159" s="345">
        <v>32355</v>
      </c>
      <c r="B159" s="73"/>
      <c r="C159" s="25"/>
      <c r="D159" s="79"/>
    </row>
    <row r="160" spans="1:4" x14ac:dyDescent="0.2">
      <c r="A160" s="345">
        <v>32386</v>
      </c>
      <c r="B160" s="73"/>
      <c r="C160" s="25"/>
      <c r="D160" s="79"/>
    </row>
    <row r="161" spans="1:4" x14ac:dyDescent="0.2">
      <c r="A161" s="345">
        <v>32416</v>
      </c>
      <c r="B161" s="73"/>
      <c r="C161" s="25"/>
      <c r="D161" s="79"/>
    </row>
    <row r="162" spans="1:4" x14ac:dyDescent="0.2">
      <c r="A162" s="345">
        <v>32447</v>
      </c>
      <c r="B162" s="73"/>
      <c r="C162" s="25"/>
      <c r="D162" s="79"/>
    </row>
    <row r="163" spans="1:4" x14ac:dyDescent="0.2">
      <c r="A163" s="345">
        <v>32477</v>
      </c>
      <c r="B163" s="73"/>
      <c r="C163" s="25"/>
      <c r="D163" s="79"/>
    </row>
    <row r="164" spans="1:4" x14ac:dyDescent="0.2">
      <c r="A164" s="345">
        <v>32508</v>
      </c>
      <c r="B164" s="73"/>
      <c r="C164" s="25"/>
      <c r="D164" s="79"/>
    </row>
    <row r="165" spans="1:4" x14ac:dyDescent="0.2">
      <c r="A165" s="345">
        <v>32539</v>
      </c>
      <c r="B165" s="73"/>
      <c r="C165" s="25"/>
      <c r="D165" s="79"/>
    </row>
    <row r="166" spans="1:4" x14ac:dyDescent="0.2">
      <c r="A166" s="345">
        <v>32567</v>
      </c>
      <c r="B166" s="73"/>
      <c r="C166" s="25"/>
      <c r="D166" s="79"/>
    </row>
    <row r="167" spans="1:4" x14ac:dyDescent="0.2">
      <c r="A167" s="345">
        <v>32598</v>
      </c>
      <c r="B167" s="73"/>
      <c r="C167" s="25"/>
      <c r="D167" s="79"/>
    </row>
    <row r="168" spans="1:4" x14ac:dyDescent="0.2">
      <c r="A168" s="345">
        <v>32628</v>
      </c>
      <c r="B168" s="73"/>
      <c r="C168" s="25"/>
      <c r="D168" s="79"/>
    </row>
    <row r="169" spans="1:4" x14ac:dyDescent="0.2">
      <c r="A169" s="345">
        <v>32659</v>
      </c>
      <c r="B169" s="73"/>
      <c r="C169" s="25"/>
      <c r="D169" s="79"/>
    </row>
    <row r="170" spans="1:4" x14ac:dyDescent="0.2">
      <c r="A170" s="345">
        <v>32689</v>
      </c>
      <c r="B170" s="73"/>
      <c r="C170" s="25"/>
      <c r="D170" s="79"/>
    </row>
    <row r="171" spans="1:4" x14ac:dyDescent="0.2">
      <c r="A171" s="345">
        <v>32720</v>
      </c>
      <c r="B171" s="73"/>
      <c r="C171" s="25"/>
      <c r="D171" s="79"/>
    </row>
    <row r="172" spans="1:4" x14ac:dyDescent="0.2">
      <c r="A172" s="345">
        <v>32751</v>
      </c>
      <c r="B172" s="73"/>
      <c r="C172" s="25"/>
      <c r="D172" s="79"/>
    </row>
    <row r="173" spans="1:4" x14ac:dyDescent="0.2">
      <c r="A173" s="345">
        <v>32781</v>
      </c>
      <c r="B173" s="73"/>
      <c r="C173" s="25"/>
      <c r="D173" s="79"/>
    </row>
    <row r="174" spans="1:4" x14ac:dyDescent="0.2">
      <c r="A174" s="345">
        <v>32812</v>
      </c>
      <c r="B174" s="73"/>
      <c r="C174" s="25"/>
      <c r="D174" s="79"/>
    </row>
    <row r="175" spans="1:4" x14ac:dyDescent="0.2">
      <c r="A175" s="345">
        <v>32842</v>
      </c>
      <c r="B175" s="73"/>
      <c r="C175" s="25"/>
      <c r="D175" s="79"/>
    </row>
    <row r="176" spans="1:4" x14ac:dyDescent="0.2">
      <c r="A176" s="345">
        <v>32873</v>
      </c>
      <c r="B176" s="73"/>
      <c r="C176" s="25"/>
      <c r="D176" s="79"/>
    </row>
    <row r="177" spans="1:4" x14ac:dyDescent="0.2">
      <c r="A177" s="345">
        <v>32904</v>
      </c>
      <c r="B177" s="73"/>
      <c r="C177" s="25"/>
      <c r="D177" s="79"/>
    </row>
    <row r="178" spans="1:4" x14ac:dyDescent="0.2">
      <c r="A178" s="345">
        <v>32932</v>
      </c>
      <c r="B178" s="73"/>
      <c r="C178" s="25"/>
      <c r="D178" s="79"/>
    </row>
    <row r="179" spans="1:4" x14ac:dyDescent="0.2">
      <c r="A179" s="345">
        <v>32963</v>
      </c>
      <c r="B179" s="73"/>
      <c r="C179" s="25"/>
      <c r="D179" s="79"/>
    </row>
    <row r="180" spans="1:4" x14ac:dyDescent="0.2">
      <c r="A180" s="345">
        <v>32993</v>
      </c>
      <c r="B180" s="73"/>
      <c r="C180" s="25"/>
      <c r="D180" s="79"/>
    </row>
    <row r="181" spans="1:4" x14ac:dyDescent="0.2">
      <c r="A181" s="345">
        <v>33024</v>
      </c>
      <c r="B181" s="73"/>
      <c r="C181" s="25"/>
      <c r="D181" s="79"/>
    </row>
    <row r="182" spans="1:4" x14ac:dyDescent="0.2">
      <c r="A182" s="345">
        <v>33054</v>
      </c>
      <c r="B182" s="73"/>
      <c r="C182" s="25"/>
      <c r="D182" s="79"/>
    </row>
    <row r="183" spans="1:4" x14ac:dyDescent="0.2">
      <c r="A183" s="345">
        <v>33085</v>
      </c>
      <c r="B183" s="73"/>
      <c r="C183" s="25"/>
      <c r="D183" s="79"/>
    </row>
    <row r="184" spans="1:4" x14ac:dyDescent="0.2">
      <c r="A184" s="345">
        <v>33116</v>
      </c>
      <c r="B184" s="73"/>
      <c r="C184" s="25"/>
      <c r="D184" s="79"/>
    </row>
    <row r="185" spans="1:4" x14ac:dyDescent="0.2">
      <c r="A185" s="345">
        <v>33146</v>
      </c>
      <c r="B185" s="73"/>
      <c r="C185" s="25"/>
      <c r="D185" s="79"/>
    </row>
    <row r="186" spans="1:4" x14ac:dyDescent="0.2">
      <c r="A186" s="345">
        <v>33177</v>
      </c>
      <c r="B186" s="73"/>
      <c r="C186" s="25"/>
      <c r="D186" s="79"/>
    </row>
    <row r="187" spans="1:4" x14ac:dyDescent="0.2">
      <c r="A187" s="345">
        <v>33207</v>
      </c>
      <c r="B187" s="73"/>
      <c r="C187" s="25"/>
      <c r="D187" s="79"/>
    </row>
    <row r="188" spans="1:4" x14ac:dyDescent="0.2">
      <c r="A188" s="345">
        <v>33238</v>
      </c>
      <c r="B188" s="73"/>
      <c r="C188" s="25"/>
      <c r="D188" s="79"/>
    </row>
    <row r="189" spans="1:4" x14ac:dyDescent="0.2">
      <c r="A189" s="345">
        <v>33269</v>
      </c>
      <c r="B189" s="73"/>
      <c r="C189" s="25"/>
      <c r="D189" s="79"/>
    </row>
    <row r="190" spans="1:4" x14ac:dyDescent="0.2">
      <c r="A190" s="345">
        <v>33297</v>
      </c>
      <c r="B190" s="73"/>
      <c r="C190" s="25"/>
      <c r="D190" s="79"/>
    </row>
    <row r="191" spans="1:4" x14ac:dyDescent="0.2">
      <c r="A191" s="345">
        <v>33328</v>
      </c>
      <c r="B191" s="73"/>
      <c r="C191" s="25"/>
      <c r="D191" s="79"/>
    </row>
    <row r="192" spans="1:4" x14ac:dyDescent="0.2">
      <c r="A192" s="345">
        <v>33358</v>
      </c>
      <c r="B192" s="73"/>
      <c r="C192" s="25"/>
      <c r="D192" s="79"/>
    </row>
    <row r="193" spans="1:4" x14ac:dyDescent="0.2">
      <c r="A193" s="345">
        <v>33389</v>
      </c>
      <c r="B193" s="73"/>
      <c r="C193" s="25"/>
      <c r="D193" s="79"/>
    </row>
    <row r="194" spans="1:4" x14ac:dyDescent="0.2">
      <c r="A194" s="345">
        <v>33419</v>
      </c>
      <c r="B194" s="73"/>
      <c r="C194" s="25"/>
      <c r="D194" s="79"/>
    </row>
    <row r="195" spans="1:4" x14ac:dyDescent="0.2">
      <c r="A195" s="345">
        <v>33450</v>
      </c>
      <c r="B195" s="73"/>
      <c r="C195" s="25"/>
      <c r="D195" s="79"/>
    </row>
    <row r="196" spans="1:4" x14ac:dyDescent="0.2">
      <c r="A196" s="345">
        <v>33481</v>
      </c>
      <c r="B196" s="73"/>
      <c r="C196" s="25"/>
      <c r="D196" s="79"/>
    </row>
    <row r="197" spans="1:4" x14ac:dyDescent="0.2">
      <c r="A197" s="345">
        <v>33511</v>
      </c>
      <c r="B197" s="73"/>
      <c r="C197" s="25"/>
      <c r="D197" s="79"/>
    </row>
    <row r="198" spans="1:4" x14ac:dyDescent="0.2">
      <c r="A198" s="345">
        <v>33542</v>
      </c>
      <c r="B198" s="73"/>
      <c r="C198" s="25"/>
      <c r="D198" s="79"/>
    </row>
    <row r="199" spans="1:4" x14ac:dyDescent="0.2">
      <c r="A199" s="345">
        <v>33572</v>
      </c>
      <c r="B199" s="73"/>
      <c r="C199" s="25"/>
      <c r="D199" s="79"/>
    </row>
    <row r="200" spans="1:4" x14ac:dyDescent="0.2">
      <c r="A200" s="345">
        <v>33603</v>
      </c>
      <c r="B200" s="73"/>
      <c r="C200" s="25"/>
      <c r="D200" s="79"/>
    </row>
    <row r="201" spans="1:4" x14ac:dyDescent="0.2">
      <c r="A201" s="345">
        <v>33634</v>
      </c>
      <c r="B201" s="73"/>
      <c r="C201" s="25"/>
      <c r="D201" s="79"/>
    </row>
    <row r="202" spans="1:4" x14ac:dyDescent="0.2">
      <c r="A202" s="345">
        <v>33663</v>
      </c>
      <c r="B202" s="73"/>
      <c r="C202" s="25"/>
      <c r="D202" s="79"/>
    </row>
    <row r="203" spans="1:4" x14ac:dyDescent="0.2">
      <c r="A203" s="345">
        <v>33694</v>
      </c>
      <c r="B203" s="73"/>
      <c r="C203" s="25"/>
      <c r="D203" s="79"/>
    </row>
    <row r="204" spans="1:4" x14ac:dyDescent="0.2">
      <c r="A204" s="345">
        <v>33724</v>
      </c>
      <c r="B204" s="73"/>
      <c r="C204" s="25"/>
      <c r="D204" s="79"/>
    </row>
    <row r="205" spans="1:4" x14ac:dyDescent="0.2">
      <c r="A205" s="345">
        <v>33755</v>
      </c>
      <c r="B205" s="73"/>
      <c r="C205" s="25"/>
      <c r="D205" s="79"/>
    </row>
    <row r="206" spans="1:4" x14ac:dyDescent="0.2">
      <c r="A206" s="345">
        <v>33785</v>
      </c>
      <c r="B206" s="73"/>
      <c r="C206" s="25"/>
      <c r="D206" s="79"/>
    </row>
    <row r="207" spans="1:4" x14ac:dyDescent="0.2">
      <c r="A207" s="345">
        <v>33816</v>
      </c>
      <c r="B207" s="73"/>
      <c r="C207" s="25"/>
      <c r="D207" s="79"/>
    </row>
    <row r="208" spans="1:4" x14ac:dyDescent="0.2">
      <c r="A208" s="345">
        <v>33847</v>
      </c>
      <c r="B208" s="73"/>
      <c r="C208" s="25"/>
      <c r="D208" s="79"/>
    </row>
    <row r="209" spans="1:4" x14ac:dyDescent="0.2">
      <c r="A209" s="345">
        <v>33877</v>
      </c>
      <c r="B209" s="73"/>
      <c r="C209" s="25"/>
      <c r="D209" s="79"/>
    </row>
    <row r="210" spans="1:4" x14ac:dyDescent="0.2">
      <c r="A210" s="345">
        <v>33908</v>
      </c>
      <c r="B210" s="73"/>
      <c r="C210" s="25"/>
      <c r="D210" s="79"/>
    </row>
    <row r="211" spans="1:4" x14ac:dyDescent="0.2">
      <c r="A211" s="345">
        <v>33938</v>
      </c>
      <c r="B211" s="73"/>
      <c r="C211" s="25"/>
      <c r="D211" s="79"/>
    </row>
    <row r="212" spans="1:4" x14ac:dyDescent="0.2">
      <c r="A212" s="345">
        <v>33969</v>
      </c>
      <c r="B212" s="73"/>
      <c r="C212" s="25"/>
      <c r="D212" s="79"/>
    </row>
    <row r="213" spans="1:4" x14ac:dyDescent="0.2">
      <c r="A213" s="345">
        <v>34000</v>
      </c>
      <c r="B213" s="73"/>
      <c r="C213" s="25"/>
      <c r="D213" s="79"/>
    </row>
    <row r="214" spans="1:4" x14ac:dyDescent="0.2">
      <c r="A214" s="345">
        <v>34028</v>
      </c>
      <c r="B214" s="73"/>
      <c r="C214" s="25"/>
      <c r="D214" s="79"/>
    </row>
    <row r="215" spans="1:4" x14ac:dyDescent="0.2">
      <c r="A215" s="345">
        <v>34059</v>
      </c>
      <c r="B215" s="73"/>
      <c r="C215" s="25"/>
      <c r="D215" s="79"/>
    </row>
    <row r="216" spans="1:4" x14ac:dyDescent="0.2">
      <c r="A216" s="345">
        <v>34089</v>
      </c>
      <c r="B216" s="73"/>
      <c r="C216" s="25"/>
      <c r="D216" s="79"/>
    </row>
    <row r="217" spans="1:4" x14ac:dyDescent="0.2">
      <c r="A217" s="345">
        <v>34120</v>
      </c>
      <c r="B217" s="73"/>
      <c r="C217" s="25"/>
      <c r="D217" s="79"/>
    </row>
    <row r="218" spans="1:4" x14ac:dyDescent="0.2">
      <c r="A218" s="345">
        <v>34150</v>
      </c>
      <c r="B218" s="73"/>
      <c r="C218" s="25"/>
      <c r="D218" s="79"/>
    </row>
    <row r="219" spans="1:4" x14ac:dyDescent="0.2">
      <c r="A219" s="345">
        <v>34181</v>
      </c>
      <c r="B219" s="73"/>
      <c r="C219" s="25"/>
      <c r="D219" s="79"/>
    </row>
    <row r="220" spans="1:4" x14ac:dyDescent="0.2">
      <c r="A220" s="345">
        <v>34212</v>
      </c>
      <c r="B220" s="73"/>
      <c r="C220" s="25"/>
      <c r="D220" s="79"/>
    </row>
    <row r="221" spans="1:4" x14ac:dyDescent="0.2">
      <c r="A221" s="345">
        <v>34242</v>
      </c>
      <c r="B221" s="73"/>
      <c r="C221" s="25"/>
      <c r="D221" s="79"/>
    </row>
    <row r="222" spans="1:4" x14ac:dyDescent="0.2">
      <c r="A222" s="345">
        <v>34273</v>
      </c>
      <c r="B222" s="73"/>
      <c r="C222" s="25"/>
      <c r="D222" s="79"/>
    </row>
    <row r="223" spans="1:4" x14ac:dyDescent="0.2">
      <c r="A223" s="345">
        <v>34303</v>
      </c>
      <c r="B223" s="73"/>
      <c r="C223" s="25"/>
      <c r="D223" s="79"/>
    </row>
    <row r="224" spans="1:4" x14ac:dyDescent="0.2">
      <c r="A224" s="345">
        <v>34334</v>
      </c>
      <c r="B224" s="73"/>
      <c r="C224" s="25"/>
      <c r="D224" s="79"/>
    </row>
    <row r="225" spans="1:4" x14ac:dyDescent="0.2">
      <c r="A225" s="345">
        <v>34365</v>
      </c>
      <c r="B225" s="73"/>
      <c r="C225" s="25"/>
      <c r="D225" s="79"/>
    </row>
    <row r="226" spans="1:4" x14ac:dyDescent="0.2">
      <c r="A226" s="345">
        <v>34393</v>
      </c>
      <c r="B226" s="73"/>
      <c r="C226" s="25"/>
      <c r="D226" s="79"/>
    </row>
    <row r="227" spans="1:4" x14ac:dyDescent="0.2">
      <c r="A227" s="345">
        <v>34424</v>
      </c>
      <c r="B227" s="73"/>
      <c r="C227" s="25"/>
      <c r="D227" s="79"/>
    </row>
    <row r="228" spans="1:4" x14ac:dyDescent="0.2">
      <c r="A228" s="345">
        <v>34454</v>
      </c>
      <c r="B228" s="73"/>
      <c r="C228" s="25"/>
      <c r="D228" s="79"/>
    </row>
    <row r="229" spans="1:4" x14ac:dyDescent="0.2">
      <c r="A229" s="345">
        <v>34485</v>
      </c>
      <c r="B229" s="73"/>
      <c r="C229" s="25"/>
      <c r="D229" s="79"/>
    </row>
    <row r="230" spans="1:4" x14ac:dyDescent="0.2">
      <c r="A230" s="345">
        <v>34515</v>
      </c>
      <c r="B230" s="73"/>
      <c r="C230" s="25"/>
      <c r="D230" s="79"/>
    </row>
    <row r="231" spans="1:4" x14ac:dyDescent="0.2">
      <c r="A231" s="345">
        <v>34546</v>
      </c>
      <c r="B231" s="73"/>
      <c r="C231" s="25"/>
      <c r="D231" s="79"/>
    </row>
    <row r="232" spans="1:4" x14ac:dyDescent="0.2">
      <c r="A232" s="345">
        <v>34577</v>
      </c>
      <c r="B232" s="73"/>
      <c r="C232" s="25"/>
      <c r="D232" s="79"/>
    </row>
    <row r="233" spans="1:4" x14ac:dyDescent="0.2">
      <c r="A233" s="345">
        <v>34607</v>
      </c>
      <c r="B233" s="73"/>
      <c r="C233" s="25"/>
      <c r="D233" s="79"/>
    </row>
    <row r="234" spans="1:4" x14ac:dyDescent="0.2">
      <c r="A234" s="345">
        <v>34638</v>
      </c>
      <c r="B234" s="73"/>
      <c r="C234" s="25"/>
      <c r="D234" s="79"/>
    </row>
    <row r="235" spans="1:4" x14ac:dyDescent="0.2">
      <c r="A235" s="345">
        <v>34668</v>
      </c>
      <c r="B235" s="73"/>
      <c r="C235" s="25"/>
      <c r="D235" s="79"/>
    </row>
    <row r="236" spans="1:4" x14ac:dyDescent="0.2">
      <c r="A236" s="345">
        <v>34699</v>
      </c>
      <c r="B236" s="73"/>
      <c r="C236" s="25"/>
      <c r="D236" s="79"/>
    </row>
    <row r="237" spans="1:4" x14ac:dyDescent="0.2">
      <c r="A237" s="345">
        <v>34730</v>
      </c>
      <c r="B237" s="73"/>
      <c r="C237" s="25"/>
      <c r="D237" s="79"/>
    </row>
    <row r="238" spans="1:4" x14ac:dyDescent="0.2">
      <c r="A238" s="345">
        <v>34758</v>
      </c>
      <c r="B238" s="73"/>
      <c r="C238" s="25"/>
      <c r="D238" s="79"/>
    </row>
    <row r="239" spans="1:4" x14ac:dyDescent="0.2">
      <c r="A239" s="345">
        <v>34789</v>
      </c>
      <c r="B239" s="73"/>
      <c r="C239" s="25"/>
      <c r="D239" s="79"/>
    </row>
    <row r="240" spans="1:4" x14ac:dyDescent="0.2">
      <c r="A240" s="345">
        <v>34819</v>
      </c>
      <c r="B240" s="73"/>
      <c r="C240" s="25"/>
      <c r="D240" s="79"/>
    </row>
    <row r="241" spans="1:4" x14ac:dyDescent="0.2">
      <c r="A241" s="345">
        <v>34850</v>
      </c>
      <c r="B241" s="73"/>
      <c r="C241" s="25"/>
      <c r="D241" s="79"/>
    </row>
    <row r="242" spans="1:4" x14ac:dyDescent="0.2">
      <c r="A242" s="345">
        <v>34880</v>
      </c>
      <c r="B242" s="73"/>
      <c r="C242" s="25"/>
      <c r="D242" s="79"/>
    </row>
    <row r="243" spans="1:4" x14ac:dyDescent="0.2">
      <c r="A243" s="345">
        <v>34911</v>
      </c>
      <c r="B243" s="73"/>
      <c r="C243" s="25"/>
      <c r="D243" s="79"/>
    </row>
    <row r="244" spans="1:4" x14ac:dyDescent="0.2">
      <c r="A244" s="345">
        <v>34942</v>
      </c>
      <c r="B244" s="73"/>
      <c r="C244" s="25"/>
      <c r="D244" s="79"/>
    </row>
    <row r="245" spans="1:4" x14ac:dyDescent="0.2">
      <c r="A245" s="345">
        <v>34972</v>
      </c>
      <c r="B245" s="73"/>
      <c r="C245" s="25"/>
      <c r="D245" s="79"/>
    </row>
    <row r="246" spans="1:4" x14ac:dyDescent="0.2">
      <c r="A246" s="345">
        <v>35003</v>
      </c>
      <c r="B246" s="73"/>
      <c r="C246" s="25"/>
      <c r="D246" s="79"/>
    </row>
    <row r="247" spans="1:4" x14ac:dyDescent="0.2">
      <c r="A247" s="345">
        <v>35033</v>
      </c>
      <c r="B247" s="73"/>
      <c r="C247" s="25"/>
      <c r="D247" s="79"/>
    </row>
    <row r="248" spans="1:4" x14ac:dyDescent="0.2">
      <c r="A248" s="345">
        <v>35064</v>
      </c>
      <c r="B248" s="73"/>
      <c r="C248" s="25"/>
      <c r="D248" s="79"/>
    </row>
    <row r="249" spans="1:4" x14ac:dyDescent="0.2">
      <c r="A249" s="345">
        <v>35095</v>
      </c>
      <c r="B249" s="73"/>
      <c r="C249" s="25"/>
      <c r="D249" s="79"/>
    </row>
    <row r="250" spans="1:4" x14ac:dyDescent="0.2">
      <c r="A250" s="345">
        <v>35124</v>
      </c>
      <c r="B250" s="73"/>
      <c r="C250" s="25"/>
      <c r="D250" s="79"/>
    </row>
    <row r="251" spans="1:4" x14ac:dyDescent="0.2">
      <c r="A251" s="345">
        <v>35155</v>
      </c>
      <c r="B251" s="73"/>
      <c r="C251" s="25"/>
      <c r="D251" s="79"/>
    </row>
    <row r="252" spans="1:4" x14ac:dyDescent="0.2">
      <c r="A252" s="345">
        <v>35185</v>
      </c>
      <c r="B252" s="73"/>
      <c r="C252" s="25"/>
      <c r="D252" s="79"/>
    </row>
    <row r="253" spans="1:4" x14ac:dyDescent="0.2">
      <c r="A253" s="345">
        <v>35216</v>
      </c>
      <c r="B253" s="73"/>
      <c r="C253" s="25"/>
      <c r="D253" s="79"/>
    </row>
    <row r="254" spans="1:4" x14ac:dyDescent="0.2">
      <c r="A254" s="345">
        <v>35246</v>
      </c>
      <c r="B254" s="73"/>
      <c r="C254" s="25"/>
      <c r="D254" s="79"/>
    </row>
    <row r="255" spans="1:4" x14ac:dyDescent="0.2">
      <c r="A255" s="345">
        <v>35277</v>
      </c>
      <c r="B255" s="73"/>
      <c r="C255" s="25"/>
      <c r="D255" s="79"/>
    </row>
    <row r="256" spans="1:4" x14ac:dyDescent="0.2">
      <c r="A256" s="345">
        <v>35308</v>
      </c>
      <c r="B256" s="73"/>
      <c r="C256" s="25"/>
      <c r="D256" s="79"/>
    </row>
    <row r="257" spans="1:5" x14ac:dyDescent="0.2">
      <c r="A257" s="345">
        <v>35338</v>
      </c>
      <c r="B257" s="73"/>
      <c r="C257" s="25"/>
      <c r="D257" s="79"/>
    </row>
    <row r="258" spans="1:5" x14ac:dyDescent="0.2">
      <c r="A258" s="345">
        <v>35369</v>
      </c>
      <c r="B258" s="73"/>
      <c r="C258" s="25"/>
      <c r="D258" s="79"/>
    </row>
    <row r="259" spans="1:5" x14ac:dyDescent="0.2">
      <c r="A259" s="345">
        <v>35399</v>
      </c>
      <c r="B259" s="73"/>
      <c r="C259" s="25"/>
      <c r="D259" s="79"/>
    </row>
    <row r="260" spans="1:5" x14ac:dyDescent="0.2">
      <c r="A260" s="345">
        <v>35430</v>
      </c>
      <c r="B260" s="73"/>
      <c r="C260" s="25"/>
      <c r="D260" s="79"/>
    </row>
    <row r="261" spans="1:5" x14ac:dyDescent="0.2">
      <c r="A261" s="345">
        <v>35461</v>
      </c>
      <c r="B261" s="73"/>
      <c r="C261" s="25"/>
      <c r="D261" s="79"/>
    </row>
    <row r="262" spans="1:5" x14ac:dyDescent="0.2">
      <c r="A262" s="345">
        <v>35489</v>
      </c>
      <c r="B262" s="73"/>
      <c r="C262" s="25"/>
      <c r="D262" s="79"/>
    </row>
    <row r="263" spans="1:5" x14ac:dyDescent="0.2">
      <c r="A263" s="345">
        <v>35520</v>
      </c>
      <c r="B263" s="73"/>
      <c r="C263" s="25"/>
      <c r="D263" s="79"/>
    </row>
    <row r="264" spans="1:5" x14ac:dyDescent="0.2">
      <c r="A264" s="345">
        <v>35550</v>
      </c>
      <c r="B264" s="1369">
        <v>6</v>
      </c>
      <c r="C264" s="35">
        <v>998267004.64999998</v>
      </c>
      <c r="D264" s="79"/>
    </row>
    <row r="265" spans="1:5" x14ac:dyDescent="0.2">
      <c r="A265" s="345">
        <v>35581</v>
      </c>
      <c r="B265" s="1369">
        <v>6.11</v>
      </c>
      <c r="C265" s="35">
        <v>1064955973.77</v>
      </c>
      <c r="D265" s="79"/>
    </row>
    <row r="266" spans="1:5" x14ac:dyDescent="0.2">
      <c r="A266" s="345">
        <v>35611</v>
      </c>
      <c r="B266" s="1369">
        <v>4.4400000000000004</v>
      </c>
      <c r="C266" s="35">
        <v>1112315483.4300001</v>
      </c>
      <c r="D266" s="79"/>
    </row>
    <row r="267" spans="1:5" x14ac:dyDescent="0.2">
      <c r="A267" s="345">
        <v>35642</v>
      </c>
      <c r="B267" s="1369">
        <v>7.95</v>
      </c>
      <c r="C267" s="35">
        <v>1200807567.24</v>
      </c>
      <c r="D267" s="79"/>
    </row>
    <row r="268" spans="1:5" x14ac:dyDescent="0.2">
      <c r="A268" s="345">
        <v>35673</v>
      </c>
      <c r="B268" s="1369">
        <v>-5.54</v>
      </c>
      <c r="C268" s="35">
        <v>1135147629.99</v>
      </c>
      <c r="D268" s="79"/>
    </row>
    <row r="269" spans="1:5" x14ac:dyDescent="0.2">
      <c r="A269" s="345">
        <v>35703</v>
      </c>
      <c r="B269" s="1369">
        <v>5.45</v>
      </c>
      <c r="C269" s="35">
        <v>1197587142.54</v>
      </c>
      <c r="D269" s="79"/>
    </row>
    <row r="270" spans="1:5" x14ac:dyDescent="0.2">
      <c r="A270" s="345">
        <v>35734</v>
      </c>
      <c r="B270" s="1369">
        <v>-3.28</v>
      </c>
      <c r="C270" s="35">
        <v>1158407010.1700001</v>
      </c>
      <c r="D270" s="79"/>
    </row>
    <row r="271" spans="1:5" x14ac:dyDescent="0.2">
      <c r="A271" s="345">
        <v>35764</v>
      </c>
      <c r="B271" s="1369">
        <v>4.6100000000000003</v>
      </c>
      <c r="C271" s="35">
        <v>1256714201.8099999</v>
      </c>
      <c r="D271" s="79"/>
    </row>
    <row r="272" spans="1:5" x14ac:dyDescent="0.2">
      <c r="A272" s="345">
        <v>35795</v>
      </c>
      <c r="B272" s="1369">
        <v>1.69</v>
      </c>
      <c r="C272" s="35">
        <v>1277931461.6199999</v>
      </c>
      <c r="D272" s="79"/>
      <c r="E272" s="14">
        <f>B272-Index_Returns!B272</f>
        <v>-2.7000000000000135E-2</v>
      </c>
    </row>
    <row r="273" spans="1:5" x14ac:dyDescent="0.2">
      <c r="A273" s="345">
        <v>35826</v>
      </c>
      <c r="B273" s="1369">
        <v>1.1599999999999999</v>
      </c>
      <c r="C273" s="35">
        <v>1294458710.1600001</v>
      </c>
      <c r="D273" s="79"/>
      <c r="E273" s="14">
        <f>B273-Index_Returns!B273</f>
        <v>5.3999999999999826E-2</v>
      </c>
    </row>
    <row r="274" spans="1:5" x14ac:dyDescent="0.2">
      <c r="A274" s="345">
        <v>35854</v>
      </c>
      <c r="B274" s="1369">
        <v>7.17</v>
      </c>
      <c r="C274" s="35">
        <v>1387201479.52</v>
      </c>
      <c r="D274" s="79"/>
      <c r="E274" s="14">
        <f>B274-Index_Returns!B274</f>
        <v>-4.1999999999999815E-2</v>
      </c>
    </row>
    <row r="275" spans="1:5" x14ac:dyDescent="0.2">
      <c r="A275" s="345">
        <v>35885</v>
      </c>
      <c r="B275" s="1369">
        <v>5.14</v>
      </c>
      <c r="C275" s="33">
        <v>2402568974.3800001</v>
      </c>
      <c r="D275" s="79"/>
      <c r="E275" s="14">
        <f>B275-Index_Returns!B275</f>
        <v>1.899999999999924E-2</v>
      </c>
    </row>
    <row r="276" spans="1:5" x14ac:dyDescent="0.2">
      <c r="A276" s="345">
        <v>35915</v>
      </c>
      <c r="B276" s="1369">
        <v>1.04</v>
      </c>
      <c r="C276" s="33">
        <v>2432799123.4699998</v>
      </c>
      <c r="D276" s="79"/>
      <c r="E276" s="14">
        <f>B276-Index_Returns!B276</f>
        <v>3.400000000000003E-2</v>
      </c>
    </row>
    <row r="277" spans="1:5" x14ac:dyDescent="0.2">
      <c r="A277" s="345">
        <v>35946</v>
      </c>
      <c r="B277" s="1369">
        <v>-1.73</v>
      </c>
      <c r="C277" s="33">
        <v>2390597918.3699999</v>
      </c>
      <c r="D277" s="79"/>
      <c r="E277" s="14">
        <f>B277-Index_Returns!B277</f>
        <v>-1.0999999999999899E-2</v>
      </c>
    </row>
    <row r="278" spans="1:5" x14ac:dyDescent="0.2">
      <c r="A278" s="345">
        <v>35976</v>
      </c>
      <c r="B278" s="1369">
        <v>4.07</v>
      </c>
      <c r="C278" s="33">
        <v>2487381917.1599998</v>
      </c>
      <c r="D278" s="79"/>
      <c r="E278" s="14">
        <f>B278-Index_Returns!B278</f>
        <v>8.0000000000000071E-3</v>
      </c>
    </row>
    <row r="279" spans="1:5" x14ac:dyDescent="0.2">
      <c r="A279" s="345">
        <v>36007</v>
      </c>
      <c r="B279" s="1369">
        <v>-1.05</v>
      </c>
      <c r="C279" s="33">
        <v>2468155612.02</v>
      </c>
      <c r="D279" s="79"/>
      <c r="E279" s="14">
        <f>B279-Index_Returns!B279</f>
        <v>1.4999999999999902E-2</v>
      </c>
    </row>
    <row r="280" spans="1:5" x14ac:dyDescent="0.2">
      <c r="A280" s="345">
        <v>36038</v>
      </c>
      <c r="B280" s="1369">
        <v>-14.42</v>
      </c>
      <c r="C280" s="33">
        <v>2120080959.79</v>
      </c>
      <c r="D280" s="79"/>
      <c r="E280" s="14">
        <f>B280-Index_Returns!B280</f>
        <v>3.8000000000000256E-2</v>
      </c>
    </row>
    <row r="281" spans="1:5" x14ac:dyDescent="0.2">
      <c r="A281" s="345">
        <v>36068</v>
      </c>
      <c r="B281" s="1369">
        <v>6.44</v>
      </c>
      <c r="C281" s="33">
        <v>2257148997.5300002</v>
      </c>
      <c r="D281" s="79"/>
      <c r="E281" s="14">
        <f>B281-Index_Returns!B281</f>
        <v>3.4000000000000696E-2</v>
      </c>
    </row>
    <row r="282" spans="1:5" x14ac:dyDescent="0.2">
      <c r="A282" s="345">
        <v>36099</v>
      </c>
      <c r="B282" s="1369">
        <v>8.16</v>
      </c>
      <c r="C282" s="33">
        <v>2441620732.71</v>
      </c>
      <c r="D282" s="79"/>
      <c r="E282" s="14">
        <f>B282-Index_Returns!B282</f>
        <v>2.5999999999999801E-2</v>
      </c>
    </row>
    <row r="283" spans="1:5" x14ac:dyDescent="0.2">
      <c r="A283" s="345">
        <v>36129</v>
      </c>
      <c r="B283" s="1369">
        <v>6.04</v>
      </c>
      <c r="C283" s="33">
        <v>2592120450.7600002</v>
      </c>
      <c r="D283" s="79"/>
      <c r="E283" s="14">
        <f>B283-Index_Returns!B283</f>
        <v>-1.9999999999999574E-2</v>
      </c>
    </row>
    <row r="284" spans="1:5" x14ac:dyDescent="0.2">
      <c r="A284" s="345">
        <v>36160</v>
      </c>
      <c r="B284" s="1369">
        <v>5.82</v>
      </c>
      <c r="C284" s="33">
        <v>2742935871.5500002</v>
      </c>
      <c r="D284" s="79"/>
      <c r="E284" s="14">
        <f>B284-Index_Returns!B284</f>
        <v>5.8000000000000718E-2</v>
      </c>
    </row>
    <row r="285" spans="1:5" x14ac:dyDescent="0.2">
      <c r="A285" s="345">
        <v>36191</v>
      </c>
      <c r="B285" s="1369">
        <v>4.2</v>
      </c>
      <c r="C285" s="33">
        <v>2860196791.2399998</v>
      </c>
      <c r="D285" s="79"/>
      <c r="E285" s="14">
        <f>B285-Index_Returns!B285</f>
        <v>1.7999999999999794E-2</v>
      </c>
    </row>
    <row r="286" spans="1:5" x14ac:dyDescent="0.2">
      <c r="A286" s="345">
        <v>36219</v>
      </c>
      <c r="B286" s="1369">
        <v>-3.1</v>
      </c>
      <c r="C286" s="33">
        <v>2771426595.25</v>
      </c>
      <c r="D286" s="79"/>
      <c r="E286" s="14">
        <f>B286-Index_Returns!B286</f>
        <v>8.0000000000000071E-3</v>
      </c>
    </row>
    <row r="287" spans="1:5" x14ac:dyDescent="0.2">
      <c r="A287" s="345">
        <v>36250</v>
      </c>
      <c r="B287" s="1369">
        <v>3.97</v>
      </c>
      <c r="C287" s="33">
        <v>2881874522.7800002</v>
      </c>
      <c r="D287" s="79"/>
      <c r="E287" s="14">
        <f>B287-Index_Returns!B287</f>
        <v>-3.1000000000000139E-2</v>
      </c>
    </row>
    <row r="288" spans="1:5" x14ac:dyDescent="0.2">
      <c r="A288" s="345">
        <v>36280</v>
      </c>
      <c r="B288" s="1369">
        <v>3.82</v>
      </c>
      <c r="C288" s="33">
        <v>2992088762.48</v>
      </c>
      <c r="D288" s="79"/>
      <c r="E288" s="14">
        <f>B288-Index_Returns!B288</f>
        <v>-5.300000000000038E-2</v>
      </c>
    </row>
    <row r="289" spans="1:5" x14ac:dyDescent="0.2">
      <c r="A289" s="345">
        <v>36311</v>
      </c>
      <c r="B289" s="1369">
        <v>-2.27</v>
      </c>
      <c r="C289" s="33">
        <v>2924294482.3499999</v>
      </c>
      <c r="D289" s="79"/>
      <c r="E289" s="14">
        <f>B289-Index_Returns!B289</f>
        <v>9.1000000000000192E-2</v>
      </c>
    </row>
    <row r="290" spans="1:5" x14ac:dyDescent="0.2">
      <c r="A290" s="345">
        <v>36341</v>
      </c>
      <c r="B290" s="1369">
        <v>5.45</v>
      </c>
      <c r="C290" s="33">
        <v>3083699286.3600001</v>
      </c>
      <c r="D290" s="79"/>
      <c r="E290" s="14">
        <f>B290-Index_Returns!B290</f>
        <v>-9.9999999999999645E-2</v>
      </c>
    </row>
    <row r="291" spans="1:5" x14ac:dyDescent="0.2">
      <c r="A291" s="345">
        <v>36372</v>
      </c>
      <c r="B291" s="1369">
        <v>-3.03</v>
      </c>
      <c r="C291" s="33">
        <v>2990331182.6399999</v>
      </c>
      <c r="D291" s="79"/>
      <c r="E291" s="14">
        <f>B291-Index_Returns!B291</f>
        <v>9.2000000000000082E-2</v>
      </c>
    </row>
    <row r="292" spans="1:5" x14ac:dyDescent="0.2">
      <c r="A292" s="345">
        <v>36403</v>
      </c>
      <c r="B292" s="1369">
        <v>-0.49</v>
      </c>
      <c r="C292" s="33">
        <v>2975681483.9699998</v>
      </c>
      <c r="D292" s="79"/>
      <c r="E292" s="14">
        <f>B292-Index_Returns!B292</f>
        <v>1.0000000000000009E-2</v>
      </c>
    </row>
    <row r="293" spans="1:5" x14ac:dyDescent="0.2">
      <c r="A293" s="345">
        <v>36433</v>
      </c>
      <c r="B293" s="1369">
        <v>-2.77</v>
      </c>
      <c r="C293" s="33">
        <v>2893440683.7800002</v>
      </c>
      <c r="D293" s="79"/>
      <c r="E293" s="14">
        <f>B293-Index_Returns!B293</f>
        <v>-2.9999999999999805E-2</v>
      </c>
    </row>
    <row r="294" spans="1:5" x14ac:dyDescent="0.2">
      <c r="A294" s="345">
        <v>36464</v>
      </c>
      <c r="B294" s="1369">
        <v>6.36</v>
      </c>
      <c r="C294" s="33">
        <v>3080411720.0300002</v>
      </c>
      <c r="D294" s="79"/>
      <c r="E294" s="14">
        <f>B294-Index_Returns!B294</f>
        <v>3.0000000000000249E-2</v>
      </c>
    </row>
    <row r="295" spans="1:5" x14ac:dyDescent="0.2">
      <c r="A295" s="345">
        <v>36494</v>
      </c>
      <c r="B295" s="1369">
        <v>2.06</v>
      </c>
      <c r="C295" s="33">
        <v>3143983416.8699999</v>
      </c>
      <c r="D295" s="79"/>
      <c r="E295" s="14">
        <f>B295-Index_Returns!B295</f>
        <v>3.0000000000000249E-2</v>
      </c>
    </row>
    <row r="296" spans="1:5" x14ac:dyDescent="0.2">
      <c r="A296" s="345">
        <v>36525</v>
      </c>
      <c r="B296" s="1369">
        <v>5.9</v>
      </c>
      <c r="C296" s="33">
        <v>3329572796.9699998</v>
      </c>
      <c r="D296" s="79"/>
      <c r="E296" s="14">
        <f>B296-Index_Returns!B296</f>
        <v>1.0000000000000675E-2</v>
      </c>
    </row>
    <row r="297" spans="1:5" x14ac:dyDescent="0.2">
      <c r="A297" s="345">
        <v>36556</v>
      </c>
      <c r="B297" s="1369">
        <v>-5.04</v>
      </c>
      <c r="C297" s="33">
        <v>3162772190.6799998</v>
      </c>
      <c r="D297" s="79"/>
      <c r="E297" s="14">
        <f>B297-Index_Returns!B297</f>
        <v>-1.6000000000000014E-2</v>
      </c>
    </row>
    <row r="298" spans="1:5" x14ac:dyDescent="0.2">
      <c r="A298" s="345">
        <v>36585</v>
      </c>
      <c r="B298" s="1369">
        <v>-1.94</v>
      </c>
      <c r="C298" s="33">
        <v>3101279868.48</v>
      </c>
      <c r="D298" s="79"/>
      <c r="E298" s="14">
        <f>B298-Index_Returns!B298</f>
        <v>-4.6999999999999931E-2</v>
      </c>
    </row>
    <row r="299" spans="1:5" x14ac:dyDescent="0.2">
      <c r="A299" s="345">
        <v>36616</v>
      </c>
      <c r="B299" s="1369">
        <v>10.029999999999999</v>
      </c>
      <c r="C299" s="33">
        <v>3412998136.0700002</v>
      </c>
      <c r="D299" s="79"/>
      <c r="E299" s="14">
        <f>B299-Index_Returns!B299</f>
        <v>0.24699999999999989</v>
      </c>
    </row>
    <row r="300" spans="1:5" x14ac:dyDescent="0.2">
      <c r="A300" s="345">
        <v>36646</v>
      </c>
      <c r="B300" s="1369">
        <v>-3.13</v>
      </c>
      <c r="C300" s="33">
        <v>3306154456.73</v>
      </c>
      <c r="D300" s="79"/>
      <c r="E300" s="14">
        <f>B300-Index_Returns!B300</f>
        <v>-0.121</v>
      </c>
    </row>
    <row r="301" spans="1:5" x14ac:dyDescent="0.2">
      <c r="A301" s="345">
        <v>36677</v>
      </c>
      <c r="B301" s="1369">
        <v>-2.0299999999999998</v>
      </c>
      <c r="C301" s="33">
        <v>3239205363.8699999</v>
      </c>
      <c r="D301" s="79"/>
      <c r="E301" s="14">
        <f>B301-Index_Returns!B301</f>
        <v>2.2000000000000242E-2</v>
      </c>
    </row>
    <row r="302" spans="1:5" x14ac:dyDescent="0.2">
      <c r="A302" s="345">
        <v>36707</v>
      </c>
      <c r="B302" s="1369">
        <v>2.39</v>
      </c>
      <c r="C302" s="33">
        <v>3319862817.1199999</v>
      </c>
      <c r="D302" s="79"/>
      <c r="E302" s="14">
        <f>B302-Index_Returns!B302</f>
        <v>-7.4999999999999734E-2</v>
      </c>
    </row>
    <row r="303" spans="1:5" x14ac:dyDescent="0.2">
      <c r="A303" s="345">
        <v>36738</v>
      </c>
      <c r="B303" s="1369">
        <v>-1.42</v>
      </c>
      <c r="C303" s="33">
        <v>3274161380.21</v>
      </c>
      <c r="D303" s="79"/>
      <c r="E303" s="14">
        <f>B303-Index_Returns!B303</f>
        <v>0.14300000000000002</v>
      </c>
    </row>
    <row r="304" spans="1:5" x14ac:dyDescent="0.2">
      <c r="A304" s="345">
        <v>36769</v>
      </c>
      <c r="B304" s="1369">
        <v>6.21</v>
      </c>
      <c r="C304" s="33">
        <v>3472756228.1300001</v>
      </c>
      <c r="D304" s="79"/>
      <c r="E304" s="14">
        <f>B304-Index_Returns!B304</f>
        <v>-1.000000000000334E-3</v>
      </c>
    </row>
    <row r="305" spans="1:5" x14ac:dyDescent="0.2">
      <c r="A305" s="345">
        <v>36799</v>
      </c>
      <c r="B305" s="1369">
        <v>-5.24</v>
      </c>
      <c r="C305" s="33">
        <v>3290830674.5700002</v>
      </c>
      <c r="D305" s="79"/>
      <c r="E305" s="14">
        <f>B305-Index_Returns!B305</f>
        <v>3.8999999999999702E-2</v>
      </c>
    </row>
    <row r="306" spans="1:5" x14ac:dyDescent="0.2">
      <c r="A306" s="345">
        <v>36830</v>
      </c>
      <c r="B306" s="1369">
        <v>-0.4</v>
      </c>
      <c r="C306" s="33">
        <v>3277547280.5100002</v>
      </c>
      <c r="D306" s="79"/>
      <c r="E306" s="14">
        <f>B306-Index_Returns!B306</f>
        <v>2.2999999999999965E-2</v>
      </c>
    </row>
    <row r="307" spans="1:5" x14ac:dyDescent="0.2">
      <c r="A307" s="345">
        <v>36860</v>
      </c>
      <c r="B307" s="1369">
        <v>-7.83</v>
      </c>
      <c r="C307" s="33">
        <v>3020822959.3099999</v>
      </c>
      <c r="D307" s="79"/>
      <c r="E307" s="14">
        <f>B307-Index_Returns!B307</f>
        <v>5.400000000000027E-2</v>
      </c>
    </row>
    <row r="308" spans="1:5" x14ac:dyDescent="0.2">
      <c r="A308" s="345">
        <v>36891</v>
      </c>
      <c r="B308" s="1369">
        <v>0.51</v>
      </c>
      <c r="C308" s="33">
        <v>3036201446.1900001</v>
      </c>
      <c r="D308" s="79"/>
      <c r="E308" s="14">
        <f>B308-Index_Returns!B308</f>
        <v>2.1000000000000019E-2</v>
      </c>
    </row>
    <row r="309" spans="1:5" x14ac:dyDescent="0.2">
      <c r="A309" s="345">
        <v>36922</v>
      </c>
      <c r="B309" s="1369">
        <v>3.6</v>
      </c>
      <c r="C309" s="33">
        <v>3145565703.0900002</v>
      </c>
      <c r="D309" s="79"/>
      <c r="E309" s="14">
        <f>B309-Index_Returns!B309</f>
        <v>5.0000000000000266E-2</v>
      </c>
    </row>
    <row r="310" spans="1:5" x14ac:dyDescent="0.2">
      <c r="A310" s="345">
        <v>36950</v>
      </c>
      <c r="B310" s="1369">
        <v>-9.15</v>
      </c>
      <c r="C310" s="33">
        <v>2857912248.71</v>
      </c>
      <c r="D310" s="79"/>
      <c r="E310" s="14">
        <f>B310-Index_Returns!B310</f>
        <v>-3.2000000000000028E-2</v>
      </c>
    </row>
    <row r="311" spans="1:5" x14ac:dyDescent="0.2">
      <c r="A311" s="345">
        <v>36981</v>
      </c>
      <c r="B311" s="1369">
        <v>-6.37</v>
      </c>
      <c r="C311" s="33">
        <v>2678610818.2199998</v>
      </c>
      <c r="D311" s="79"/>
      <c r="E311" s="14">
        <f>B311-Index_Returns!B311</f>
        <v>-3.5000000000000142E-2</v>
      </c>
    </row>
    <row r="312" spans="1:5" x14ac:dyDescent="0.2">
      <c r="A312" s="345">
        <v>37011</v>
      </c>
      <c r="B312" s="1369">
        <v>7.78</v>
      </c>
      <c r="C312" s="33">
        <v>2887098490.7800002</v>
      </c>
      <c r="D312" s="79"/>
      <c r="E312" s="14">
        <f>B312-Index_Returns!B312</f>
        <v>9.0000000000003411E-3</v>
      </c>
    </row>
    <row r="313" spans="1:5" x14ac:dyDescent="0.2">
      <c r="A313" s="345">
        <v>37042</v>
      </c>
      <c r="B313" s="1369">
        <v>0.67</v>
      </c>
      <c r="C313" s="33">
        <v>2906336310.7399998</v>
      </c>
      <c r="D313" s="79"/>
      <c r="E313" s="14">
        <f>B313-Index_Returns!B313</f>
        <v>0</v>
      </c>
    </row>
    <row r="314" spans="1:5" x14ac:dyDescent="0.2">
      <c r="A314" s="345">
        <v>37072</v>
      </c>
      <c r="B314" s="1369">
        <v>-2.44</v>
      </c>
      <c r="C314" s="33">
        <v>2835363969.4699998</v>
      </c>
      <c r="D314" s="79"/>
      <c r="E314" s="14">
        <f>B314-Index_Returns!B314</f>
        <v>-5.9999999999997833E-3</v>
      </c>
    </row>
    <row r="315" spans="1:5" x14ac:dyDescent="0.2">
      <c r="A315" s="345">
        <v>37103</v>
      </c>
      <c r="B315" s="1369">
        <v>-0.97</v>
      </c>
      <c r="C315" s="33">
        <v>2807910738.8600001</v>
      </c>
      <c r="D315" s="79"/>
      <c r="E315" s="14">
        <f>B315-Index_Returns!B315</f>
        <v>1.4000000000000012E-2</v>
      </c>
    </row>
    <row r="316" spans="1:5" x14ac:dyDescent="0.2">
      <c r="A316" s="345">
        <v>37134</v>
      </c>
      <c r="B316" s="1369">
        <v>-6.26</v>
      </c>
      <c r="C316" s="33">
        <v>2632309199.8299999</v>
      </c>
      <c r="D316" s="79"/>
      <c r="E316" s="14">
        <f>B316-Index_Returns!B316</f>
        <v>0</v>
      </c>
    </row>
    <row r="317" spans="1:5" x14ac:dyDescent="0.2">
      <c r="A317" s="345">
        <v>37164</v>
      </c>
      <c r="B317" s="1369">
        <v>-8.1199999999999992</v>
      </c>
      <c r="C317" s="33">
        <v>2418586483.1900001</v>
      </c>
      <c r="D317" s="79"/>
      <c r="E317" s="14">
        <f>B317-Index_Returns!B317</f>
        <v>-4.4999999999999929E-2</v>
      </c>
    </row>
    <row r="318" spans="1:5" x14ac:dyDescent="0.2">
      <c r="A318" s="345">
        <v>37195</v>
      </c>
      <c r="B318" s="1369">
        <v>1.95</v>
      </c>
      <c r="C318" s="33">
        <v>2465860803.8499999</v>
      </c>
      <c r="D318" s="79"/>
      <c r="E318" s="14">
        <f>B318-Index_Returns!B318</f>
        <v>4.2999999999999927E-2</v>
      </c>
    </row>
    <row r="319" spans="1:5" x14ac:dyDescent="0.2">
      <c r="A319" s="345">
        <v>37225</v>
      </c>
      <c r="B319" s="1369">
        <v>7.69</v>
      </c>
      <c r="C319" s="33">
        <v>2655595027.25</v>
      </c>
      <c r="D319" s="79"/>
      <c r="E319" s="14">
        <f>B319-Index_Returns!B319</f>
        <v>1.9000000000000128E-2</v>
      </c>
    </row>
    <row r="320" spans="1:5" x14ac:dyDescent="0.2">
      <c r="A320" s="345">
        <v>37256</v>
      </c>
      <c r="B320" s="1369">
        <v>0.87</v>
      </c>
      <c r="C320" s="33">
        <v>2688572470.73</v>
      </c>
      <c r="D320" s="79"/>
      <c r="E320" s="14">
        <f>B320-Index_Returns!B320</f>
        <v>-6.0000000000000053E-3</v>
      </c>
    </row>
    <row r="321" spans="1:5" x14ac:dyDescent="0.2">
      <c r="A321" s="345">
        <v>37287</v>
      </c>
      <c r="B321" s="1369">
        <v>-1.46</v>
      </c>
      <c r="C321" s="33">
        <v>2649218182.1500001</v>
      </c>
      <c r="D321" s="79"/>
      <c r="E321" s="14">
        <f>B321-Index_Returns!B321</f>
        <v>-9.9999999999988987E-4</v>
      </c>
    </row>
    <row r="322" spans="1:5" x14ac:dyDescent="0.2">
      <c r="A322" s="345">
        <v>37315</v>
      </c>
      <c r="B322" s="1369">
        <v>-1.93</v>
      </c>
      <c r="C322" s="33">
        <v>2598314384.0500002</v>
      </c>
      <c r="D322" s="79"/>
      <c r="E322" s="14">
        <f>B322-Index_Returns!B322</f>
        <v>-2.0000000000000018E-3</v>
      </c>
    </row>
    <row r="323" spans="1:5" x14ac:dyDescent="0.2">
      <c r="A323" s="345">
        <v>37346</v>
      </c>
      <c r="B323" s="1369">
        <v>3.77</v>
      </c>
      <c r="C323" s="33">
        <v>2696231066.1599998</v>
      </c>
      <c r="D323" s="79"/>
      <c r="E323" s="14">
        <f>B323-Index_Returns!B323</f>
        <v>8.999999999999897E-3</v>
      </c>
    </row>
    <row r="324" spans="1:5" x14ac:dyDescent="0.2">
      <c r="A324" s="345">
        <v>37376</v>
      </c>
      <c r="B324" s="1369">
        <v>-6.09</v>
      </c>
      <c r="C324" s="33">
        <v>2532014337.23</v>
      </c>
      <c r="D324" s="79"/>
      <c r="E324" s="14">
        <f>B324-Index_Returns!B324</f>
        <v>-2.7000000000000135E-2</v>
      </c>
    </row>
    <row r="325" spans="1:5" x14ac:dyDescent="0.2">
      <c r="A325" s="345">
        <v>37407</v>
      </c>
      <c r="B325" s="1369">
        <v>-0.72</v>
      </c>
      <c r="C325" s="33">
        <v>2513860175.0700002</v>
      </c>
      <c r="D325" s="79"/>
      <c r="E325" s="14">
        <f>B325-Index_Returns!B325</f>
        <v>1.7000000000000015E-2</v>
      </c>
    </row>
    <row r="326" spans="1:5" x14ac:dyDescent="0.2">
      <c r="A326" s="345">
        <v>37437</v>
      </c>
      <c r="B326" s="1369">
        <v>-7.13</v>
      </c>
      <c r="C326" s="33">
        <v>2334746033.5900002</v>
      </c>
      <c r="D326" s="79"/>
      <c r="E326" s="14">
        <f>B326-Index_Returns!B326</f>
        <v>-6.0000000000002274E-3</v>
      </c>
    </row>
    <row r="327" spans="1:5" x14ac:dyDescent="0.2">
      <c r="A327" s="345">
        <v>37468</v>
      </c>
      <c r="B327" s="1369">
        <v>-7.76</v>
      </c>
      <c r="C327" s="33">
        <v>2153589829.52</v>
      </c>
      <c r="D327" s="79"/>
      <c r="E327" s="14">
        <f>B327-Index_Returns!B327</f>
        <v>3.5000000000000142E-2</v>
      </c>
    </row>
    <row r="328" spans="1:5" x14ac:dyDescent="0.2">
      <c r="A328" s="345">
        <v>37499</v>
      </c>
      <c r="B328" s="1369">
        <v>0.69</v>
      </c>
      <c r="C328" s="33">
        <v>2168399886.5700002</v>
      </c>
      <c r="D328" s="79"/>
      <c r="E328" s="14">
        <f>B328-Index_Returns!B328</f>
        <v>3.2999999999999918E-2</v>
      </c>
    </row>
    <row r="329" spans="1:5" x14ac:dyDescent="0.2">
      <c r="A329" s="345">
        <v>37529</v>
      </c>
      <c r="B329" s="1369">
        <v>-10.85</v>
      </c>
      <c r="C329" s="33">
        <v>1933194570.77</v>
      </c>
      <c r="D329" s="79"/>
      <c r="E329" s="14">
        <f>B329-Index_Returns!B329</f>
        <v>1.8000000000000682E-2</v>
      </c>
    </row>
    <row r="330" spans="1:5" x14ac:dyDescent="0.2">
      <c r="A330" s="345">
        <v>37560</v>
      </c>
      <c r="B330" s="1369">
        <v>8.81</v>
      </c>
      <c r="C330" s="33">
        <v>2103486211.23</v>
      </c>
      <c r="D330" s="79"/>
      <c r="E330" s="14">
        <f>B330-Index_Returns!B330</f>
        <v>8.0000000000008953E-3</v>
      </c>
    </row>
    <row r="331" spans="1:5" x14ac:dyDescent="0.2">
      <c r="A331" s="345">
        <v>37590</v>
      </c>
      <c r="B331" s="1369">
        <v>5.86</v>
      </c>
      <c r="C331" s="33">
        <v>2226767248.4400001</v>
      </c>
      <c r="D331" s="79"/>
      <c r="E331" s="14">
        <f>B331-Index_Returns!B331</f>
        <v>-2.5999999999999801E-2</v>
      </c>
    </row>
    <row r="332" spans="1:5" x14ac:dyDescent="0.2">
      <c r="A332" s="345">
        <v>37621</v>
      </c>
      <c r="B332" s="1369">
        <v>-5.88</v>
      </c>
      <c r="C332" s="33">
        <v>2095992105.6500001</v>
      </c>
      <c r="D332" s="79"/>
      <c r="E332" s="14">
        <f>B332-Index_Returns!B332</f>
        <v>-4.9999999999998934E-3</v>
      </c>
    </row>
    <row r="333" spans="1:5" x14ac:dyDescent="0.2">
      <c r="A333" s="345">
        <v>37652</v>
      </c>
      <c r="B333" s="1369">
        <v>-2.61</v>
      </c>
      <c r="C333" s="33">
        <v>2041226941.98</v>
      </c>
      <c r="D333" s="79"/>
      <c r="E333" s="14">
        <f>B333-Index_Returns!B333</f>
        <v>1.0000000000000231E-2</v>
      </c>
    </row>
    <row r="334" spans="1:5" x14ac:dyDescent="0.2">
      <c r="A334" s="345">
        <v>37680</v>
      </c>
      <c r="B334" s="1369">
        <v>-1.49</v>
      </c>
      <c r="C334" s="33">
        <v>2010782931.3499999</v>
      </c>
      <c r="D334" s="79"/>
      <c r="E334" s="14">
        <f>B334-Index_Returns!B334</f>
        <v>1.0000000000000009E-2</v>
      </c>
    </row>
    <row r="335" spans="1:5" x14ac:dyDescent="0.2">
      <c r="A335" s="345">
        <v>37711</v>
      </c>
      <c r="B335" s="1369">
        <v>0.97</v>
      </c>
      <c r="C335" s="33">
        <v>2030286957.7</v>
      </c>
      <c r="D335" s="79"/>
      <c r="E335" s="14">
        <f>B335-Index_Returns!B335</f>
        <v>-1.0000000000000009E-3</v>
      </c>
    </row>
    <row r="336" spans="1:5" x14ac:dyDescent="0.2">
      <c r="A336" s="345">
        <v>37741</v>
      </c>
      <c r="B336" s="1369">
        <v>8.2899999999999991</v>
      </c>
      <c r="C336" s="33">
        <v>2198563715.4400001</v>
      </c>
      <c r="D336" s="79"/>
      <c r="E336" s="14">
        <f>B336-Index_Returns!B336</f>
        <v>5.2999999999999048E-2</v>
      </c>
    </row>
    <row r="337" spans="1:5" x14ac:dyDescent="0.2">
      <c r="A337" s="345">
        <v>37772</v>
      </c>
      <c r="B337" s="1369">
        <v>5.27</v>
      </c>
      <c r="C337" s="33">
        <v>2313316606.9400001</v>
      </c>
      <c r="D337" s="79"/>
      <c r="E337" s="14">
        <f>B337-Index_Returns!B337</f>
        <v>9.9999999999944578E-4</v>
      </c>
    </row>
    <row r="338" spans="1:5" x14ac:dyDescent="0.2">
      <c r="A338" s="345">
        <v>37802</v>
      </c>
      <c r="B338" s="1369">
        <v>1.27</v>
      </c>
      <c r="C338" s="33">
        <v>2343881917.77</v>
      </c>
      <c r="D338" s="79"/>
      <c r="E338" s="14">
        <f>B338-Index_Returns!B338</f>
        <v>-6.0000000000000053E-3</v>
      </c>
    </row>
    <row r="339" spans="1:5" x14ac:dyDescent="0.2">
      <c r="A339" s="345">
        <v>37833</v>
      </c>
      <c r="B339" s="1369">
        <v>1.77</v>
      </c>
      <c r="C339" s="33">
        <v>2385456334.1300001</v>
      </c>
      <c r="D339" s="79"/>
      <c r="E339" s="14">
        <f>B339-Index_Returns!B339</f>
        <v>7.0000000000001172E-3</v>
      </c>
    </row>
    <row r="340" spans="1:5" x14ac:dyDescent="0.2">
      <c r="A340" s="345">
        <v>37864</v>
      </c>
      <c r="B340" s="1369">
        <v>1.96</v>
      </c>
      <c r="C340" s="33">
        <v>2432218630.9200001</v>
      </c>
      <c r="D340" s="79"/>
      <c r="E340" s="14">
        <f>B340-Index_Returns!B340</f>
        <v>1.0000000000000009E-2</v>
      </c>
    </row>
    <row r="341" spans="1:5" x14ac:dyDescent="0.2">
      <c r="A341" s="345">
        <v>37894</v>
      </c>
      <c r="B341" s="1369">
        <v>-1.05</v>
      </c>
      <c r="C341" s="34">
        <v>2406659911.3600001</v>
      </c>
      <c r="D341" s="79"/>
      <c r="E341" s="14">
        <f>B341-Index_Returns!B341</f>
        <v>1.2000000000000011E-2</v>
      </c>
    </row>
    <row r="342" spans="1:5" x14ac:dyDescent="0.2">
      <c r="A342" s="345">
        <v>37925</v>
      </c>
      <c r="B342" s="1369">
        <v>5.62</v>
      </c>
      <c r="C342" s="34">
        <v>2541871232.0300002</v>
      </c>
      <c r="D342" s="79"/>
      <c r="E342" s="14">
        <f>B342-Index_Returns!B342</f>
        <v>-3.6999999999999922E-2</v>
      </c>
    </row>
    <row r="343" spans="1:5" x14ac:dyDescent="0.2">
      <c r="A343" s="345">
        <v>37955</v>
      </c>
      <c r="B343" s="1369">
        <v>0.94</v>
      </c>
      <c r="C343" s="34">
        <v>2565661173.6700001</v>
      </c>
      <c r="D343" s="79"/>
      <c r="E343" s="14">
        <f>B343-Index_Returns!B343</f>
        <v>5.9999999999999942E-2</v>
      </c>
    </row>
    <row r="344" spans="1:5" x14ac:dyDescent="0.2">
      <c r="A344" s="345">
        <v>37986</v>
      </c>
      <c r="B344" s="1369">
        <v>5.16</v>
      </c>
      <c r="C344" s="34">
        <v>2698208838.6599998</v>
      </c>
      <c r="D344" s="79"/>
      <c r="E344" s="14">
        <f>B344-Index_Returns!B344</f>
        <v>-8.3999999999999631E-2</v>
      </c>
    </row>
    <row r="345" spans="1:5" x14ac:dyDescent="0.2">
      <c r="A345" s="345">
        <v>38017</v>
      </c>
      <c r="B345" s="1369">
        <v>1.88</v>
      </c>
      <c r="C345" s="34">
        <v>2749031934.27</v>
      </c>
      <c r="D345" s="79"/>
      <c r="E345" s="14">
        <f>B345-Index_Returns!B345</f>
        <v>4.3999999999999817E-2</v>
      </c>
    </row>
    <row r="346" spans="1:5" x14ac:dyDescent="0.2">
      <c r="A346" s="345">
        <v>38046</v>
      </c>
      <c r="B346" s="1369">
        <v>1.38</v>
      </c>
      <c r="C346" s="34">
        <v>2787008609.5</v>
      </c>
      <c r="D346" s="79"/>
      <c r="E346" s="14">
        <f>B346-Index_Returns!B346</f>
        <v>-1.0000000000000009E-2</v>
      </c>
    </row>
    <row r="347" spans="1:5" x14ac:dyDescent="0.2">
      <c r="A347" s="345">
        <v>38077</v>
      </c>
      <c r="B347" s="1369">
        <v>-1.51</v>
      </c>
      <c r="C347" s="34">
        <v>2745054848.5999999</v>
      </c>
      <c r="D347" s="255"/>
      <c r="E347" s="14">
        <f>B347-Index_Returns!B347</f>
        <v>-1.0000000000001119E-3</v>
      </c>
    </row>
    <row r="348" spans="1:5" x14ac:dyDescent="0.2">
      <c r="A348" s="345">
        <v>38107</v>
      </c>
      <c r="B348" s="1369">
        <v>-1.51</v>
      </c>
      <c r="C348" s="34">
        <v>2703721717.3000002</v>
      </c>
      <c r="D348" s="253"/>
      <c r="E348" s="14">
        <f>B348-Index_Returns!B348</f>
        <v>6.0000000000000053E-2</v>
      </c>
    </row>
    <row r="349" spans="1:5" x14ac:dyDescent="0.2">
      <c r="A349" s="345">
        <v>38138</v>
      </c>
      <c r="B349" s="1369">
        <v>1.35</v>
      </c>
      <c r="C349" s="34">
        <v>2740304715.7199998</v>
      </c>
      <c r="D349" s="253"/>
      <c r="E349" s="14">
        <f>B349-Index_Returns!B349</f>
        <v>-2.200000000000002E-2</v>
      </c>
    </row>
    <row r="350" spans="1:5" x14ac:dyDescent="0.2">
      <c r="A350" s="345">
        <v>38168</v>
      </c>
      <c r="B350" s="1369">
        <v>1.94</v>
      </c>
      <c r="C350" s="34">
        <v>2793489803.4899998</v>
      </c>
      <c r="D350" s="253"/>
      <c r="E350" s="14">
        <f>B350-Index_Returns!B350</f>
        <v>-4.0000000000000036E-3</v>
      </c>
    </row>
    <row r="351" spans="1:5" x14ac:dyDescent="0.2">
      <c r="A351" s="345">
        <v>38199</v>
      </c>
      <c r="B351" s="1369">
        <v>-3.3</v>
      </c>
      <c r="C351" s="34">
        <v>2701184653.8200002</v>
      </c>
      <c r="D351" s="253"/>
      <c r="E351" s="14">
        <f>B351-Index_Returns!B351</f>
        <v>1.0000000000000231E-2</v>
      </c>
    </row>
    <row r="352" spans="1:5" x14ac:dyDescent="0.2">
      <c r="A352" s="345">
        <v>38230</v>
      </c>
      <c r="B352" s="1369">
        <v>0.39</v>
      </c>
      <c r="C352" s="34">
        <v>2711730133.3400002</v>
      </c>
      <c r="D352" s="253"/>
      <c r="E352" s="14">
        <f>B352-Index_Returns!B352</f>
        <v>-1.5000000000000013E-2</v>
      </c>
    </row>
    <row r="353" spans="1:5" x14ac:dyDescent="0.2">
      <c r="A353" s="345">
        <v>38260</v>
      </c>
      <c r="B353" s="1369">
        <v>1.07</v>
      </c>
      <c r="C353" s="34">
        <v>2740928513.3600001</v>
      </c>
      <c r="D353" s="253"/>
      <c r="E353" s="14">
        <f>B353-Index_Returns!B353</f>
        <v>-1.2999999999999901E-2</v>
      </c>
    </row>
    <row r="354" spans="1:5" x14ac:dyDescent="0.2">
      <c r="A354" s="345">
        <v>38291</v>
      </c>
      <c r="B354" s="1369">
        <v>1.53</v>
      </c>
      <c r="C354" s="34">
        <v>2782815350.5700002</v>
      </c>
      <c r="D354" s="253"/>
      <c r="E354" s="14">
        <f>B354-Index_Returns!B354</f>
        <v>2.0000000000000018E-3</v>
      </c>
    </row>
    <row r="355" spans="1:5" x14ac:dyDescent="0.2">
      <c r="A355" s="345">
        <v>38321</v>
      </c>
      <c r="B355" s="1369">
        <v>4.05</v>
      </c>
      <c r="C355" s="34">
        <v>2895550634.2399998</v>
      </c>
      <c r="D355" s="253"/>
      <c r="E355" s="14">
        <f>B355-Index_Returns!B355</f>
        <v>3.9999999999995595E-3</v>
      </c>
    </row>
    <row r="356" spans="1:5" x14ac:dyDescent="0.2">
      <c r="A356" s="345">
        <v>38352</v>
      </c>
      <c r="B356" s="1369">
        <v>3.4</v>
      </c>
      <c r="C356" s="256">
        <v>2994044177.9899998</v>
      </c>
      <c r="D356" s="253"/>
      <c r="E356" s="14">
        <f>B356-Index_Returns!B356</f>
        <v>-3.0000000000001137E-3</v>
      </c>
    </row>
    <row r="357" spans="1:5" x14ac:dyDescent="0.2">
      <c r="A357" s="345">
        <v>38383</v>
      </c>
      <c r="B357" s="1369">
        <v>-2.42</v>
      </c>
      <c r="C357" s="34">
        <v>2921730708.8899999</v>
      </c>
      <c r="D357" s="253"/>
      <c r="E357" s="14">
        <f>B357-Index_Returns!B357</f>
        <v>1.6999999999999904E-2</v>
      </c>
    </row>
    <row r="358" spans="1:5" x14ac:dyDescent="0.2">
      <c r="A358" s="345">
        <v>38411</v>
      </c>
      <c r="B358" s="1369">
        <v>2.1</v>
      </c>
      <c r="C358" s="34">
        <v>2983106298.0100002</v>
      </c>
      <c r="D358" s="253"/>
      <c r="E358" s="14">
        <f>B358-Index_Returns!B358</f>
        <v>-4.0000000000000036E-3</v>
      </c>
    </row>
    <row r="359" spans="1:5" x14ac:dyDescent="0.2">
      <c r="A359" s="345">
        <v>38442</v>
      </c>
      <c r="B359" s="1369">
        <v>-1.77</v>
      </c>
      <c r="C359" s="256">
        <v>2930309388.0599999</v>
      </c>
      <c r="D359" s="253"/>
      <c r="E359" s="14">
        <f>B359-Index_Returns!B359</f>
        <v>9.9999999999988987E-4</v>
      </c>
    </row>
    <row r="360" spans="1:5" x14ac:dyDescent="0.2">
      <c r="A360" s="345">
        <v>38472</v>
      </c>
      <c r="B360" s="1369">
        <v>-1.91</v>
      </c>
      <c r="C360" s="256">
        <v>2874349205.4000001</v>
      </c>
      <c r="D360" s="253"/>
      <c r="E360" s="14">
        <f>B360-Index_Returns!B360</f>
        <v>-1.2999999999999901E-2</v>
      </c>
    </row>
    <row r="361" spans="1:5" x14ac:dyDescent="0.2">
      <c r="A361" s="345">
        <v>38503</v>
      </c>
      <c r="B361" s="1369">
        <v>3.19</v>
      </c>
      <c r="C361" s="256">
        <v>2966009545.0300002</v>
      </c>
      <c r="D361" s="253"/>
      <c r="E361" s="14">
        <f>B361-Index_Returns!B361</f>
        <v>8.0000000000000071E-3</v>
      </c>
    </row>
    <row r="362" spans="1:5" x14ac:dyDescent="0.2">
      <c r="A362" s="345">
        <v>38533</v>
      </c>
      <c r="B362" s="1369">
        <v>0.13</v>
      </c>
      <c r="C362" s="256">
        <v>2969770348.5</v>
      </c>
      <c r="D362" s="253"/>
      <c r="E362" s="14">
        <f>B362-Index_Returns!B362</f>
        <v>-1.1999999999999983E-2</v>
      </c>
    </row>
    <row r="363" spans="1:5" x14ac:dyDescent="0.2">
      <c r="A363" s="345">
        <v>38564</v>
      </c>
      <c r="B363" s="1369">
        <v>3.71</v>
      </c>
      <c r="C363" s="256">
        <v>3079884478.3899999</v>
      </c>
      <c r="D363" s="253"/>
      <c r="E363" s="14">
        <f>B363-Index_Returns!B363</f>
        <v>-8.999999999999897E-3</v>
      </c>
    </row>
    <row r="364" spans="1:5" x14ac:dyDescent="0.2">
      <c r="A364" s="345">
        <v>38595</v>
      </c>
      <c r="B364" s="1369">
        <v>-0.96</v>
      </c>
      <c r="C364" s="256">
        <v>3050315778.52</v>
      </c>
      <c r="D364" s="253"/>
      <c r="E364" s="14">
        <f>B364-Index_Returns!B364</f>
        <v>-4.758999999999991E-2</v>
      </c>
    </row>
    <row r="365" spans="1:5" x14ac:dyDescent="0.2">
      <c r="A365" s="345">
        <v>38625</v>
      </c>
      <c r="B365" s="1369">
        <v>0.83</v>
      </c>
      <c r="C365" s="256">
        <v>3076229928.3200002</v>
      </c>
      <c r="D365" s="253"/>
      <c r="E365" s="14">
        <f>B365-Index_Returns!B365</f>
        <v>1.9999999999999907E-2</v>
      </c>
    </row>
    <row r="366" spans="1:5" x14ac:dyDescent="0.2">
      <c r="A366" s="345">
        <v>38656</v>
      </c>
      <c r="B366" s="1369">
        <v>-1.62</v>
      </c>
      <c r="C366" s="256">
        <v>3026358539.5700002</v>
      </c>
      <c r="D366" s="253"/>
      <c r="E366" s="14">
        <f>B366-Index_Returns!B366</f>
        <v>4.7089999999999854E-2</v>
      </c>
    </row>
    <row r="367" spans="1:5" x14ac:dyDescent="0.2">
      <c r="A367" s="345">
        <v>38686</v>
      </c>
      <c r="B367" s="1369">
        <v>3.81</v>
      </c>
      <c r="C367" s="256">
        <v>3141699606.5999999</v>
      </c>
      <c r="D367" s="253"/>
      <c r="E367" s="14">
        <f>B367-Index_Returns!B367</f>
        <v>2.776999999999985E-2</v>
      </c>
    </row>
    <row r="368" spans="1:5" x14ac:dyDescent="0.2">
      <c r="A368" s="345">
        <v>38717</v>
      </c>
      <c r="B368" s="1369">
        <v>0.01</v>
      </c>
      <c r="C368" s="256">
        <v>3142208655.71</v>
      </c>
      <c r="D368" s="253"/>
      <c r="E368" s="14">
        <f>B368-Index_Returns!B368</f>
        <v>-2.4279999999999996E-2</v>
      </c>
    </row>
    <row r="369" spans="1:6" x14ac:dyDescent="0.2">
      <c r="A369" s="345">
        <v>38748</v>
      </c>
      <c r="B369" s="1369">
        <v>2.68</v>
      </c>
      <c r="C369" s="256">
        <v>3226542699.52</v>
      </c>
      <c r="D369" s="253"/>
      <c r="E369" s="14">
        <f>B369-Index_Returns!B369</f>
        <v>3.1700000000000284E-2</v>
      </c>
    </row>
    <row r="370" spans="1:6" x14ac:dyDescent="0.2">
      <c r="A370" s="345">
        <v>38776</v>
      </c>
      <c r="B370" s="1369">
        <v>0.26</v>
      </c>
      <c r="C370" s="256">
        <v>3235020197.7800002</v>
      </c>
      <c r="D370" s="253"/>
      <c r="E370" s="14">
        <f>B370-Index_Returns!B370</f>
        <v>-1.1369999999999991E-2</v>
      </c>
    </row>
    <row r="371" spans="1:6" x14ac:dyDescent="0.2">
      <c r="A371" s="345">
        <v>38807</v>
      </c>
      <c r="B371" s="1369">
        <v>1.31</v>
      </c>
      <c r="C371" s="33">
        <v>3277352576.5</v>
      </c>
      <c r="D371" s="253"/>
      <c r="E371" s="14">
        <f>B371-Index_Returns!B371</f>
        <v>6.5239999999999965E-2</v>
      </c>
    </row>
    <row r="372" spans="1:6" x14ac:dyDescent="0.2">
      <c r="A372" s="345">
        <v>38837</v>
      </c>
      <c r="B372" s="1369">
        <v>1.31</v>
      </c>
      <c r="C372" s="33">
        <v>3320457787.9000001</v>
      </c>
      <c r="D372" s="253"/>
      <c r="E372" s="14">
        <f>B372-Index_Returns!B372</f>
        <v>-3.2750000000000057E-2</v>
      </c>
    </row>
    <row r="373" spans="1:6" x14ac:dyDescent="0.2">
      <c r="A373" s="345">
        <v>38868</v>
      </c>
      <c r="B373" s="1369">
        <v>-2.82</v>
      </c>
      <c r="C373" s="33">
        <v>3226668099.3600001</v>
      </c>
      <c r="D373" s="253"/>
      <c r="E373" s="14">
        <f>B373-Index_Returns!B373</f>
        <v>5.8130000000000237E-2</v>
      </c>
    </row>
    <row r="374" spans="1:6" x14ac:dyDescent="0.2">
      <c r="A374" s="345">
        <v>38898</v>
      </c>
      <c r="B374" s="1369">
        <v>0.19</v>
      </c>
      <c r="C374" s="354">
        <v>3232726557.0999999</v>
      </c>
      <c r="D374" s="253"/>
      <c r="E374" s="14">
        <f>B374-Index_Returns!B374</f>
        <v>5.4439999999999988E-2</v>
      </c>
    </row>
    <row r="375" spans="1:6" x14ac:dyDescent="0.2">
      <c r="A375" s="345">
        <v>38929</v>
      </c>
      <c r="B375" s="1369">
        <v>0.63</v>
      </c>
      <c r="C375" s="34">
        <v>3252947758.6799998</v>
      </c>
      <c r="D375" s="253"/>
      <c r="E375" s="14">
        <f>B375-Index_Returns!B375</f>
        <v>1.3149999999999995E-2</v>
      </c>
    </row>
    <row r="376" spans="1:6" x14ac:dyDescent="0.2">
      <c r="A376" s="345">
        <v>38960</v>
      </c>
      <c r="B376" s="1369">
        <v>2.42</v>
      </c>
      <c r="C376" s="34">
        <v>3331728178.8699999</v>
      </c>
      <c r="D376" s="253"/>
      <c r="E376" s="14">
        <f>B376-Index_Returns!B376</f>
        <v>4.0699999999999736E-2</v>
      </c>
    </row>
    <row r="377" spans="1:6" x14ac:dyDescent="0.2">
      <c r="A377" s="345">
        <v>38990</v>
      </c>
      <c r="B377" s="1369">
        <v>2.6</v>
      </c>
      <c r="C377" s="34">
        <v>3403188389.1700001</v>
      </c>
      <c r="D377" s="253"/>
      <c r="E377" s="14">
        <f>B377-Index_Returns!B377</f>
        <v>2.2969999999999935E-2</v>
      </c>
    </row>
    <row r="378" spans="1:6" x14ac:dyDescent="0.2">
      <c r="A378" s="345">
        <v>39021</v>
      </c>
      <c r="B378" s="1369">
        <v>3.27</v>
      </c>
      <c r="C378" s="34">
        <v>3529808283.1900001</v>
      </c>
      <c r="D378" s="253"/>
      <c r="E378" s="14">
        <f>B378-Index_Returns!B378</f>
        <v>1.1400000000000077E-2</v>
      </c>
      <c r="F378" s="352"/>
    </row>
    <row r="379" spans="1:6" x14ac:dyDescent="0.2">
      <c r="A379" s="345">
        <v>39051</v>
      </c>
      <c r="B379" s="1369">
        <v>1.92</v>
      </c>
      <c r="C379" s="34">
        <v>3597660650.5999999</v>
      </c>
      <c r="D379" s="253"/>
      <c r="E379" s="14">
        <f>B379-Index_Returns!B379</f>
        <v>1.8389999999999906E-2</v>
      </c>
      <c r="F379" s="352"/>
    </row>
    <row r="380" spans="1:6" x14ac:dyDescent="0.2">
      <c r="A380" s="345">
        <v>39082</v>
      </c>
      <c r="B380" s="1369">
        <v>1.37</v>
      </c>
      <c r="C380" s="34">
        <v>3646333367.3899999</v>
      </c>
      <c r="D380" s="253"/>
      <c r="E380" s="14">
        <f>B380-Index_Returns!B380</f>
        <v>-3.2769999999999966E-2</v>
      </c>
      <c r="F380" s="352"/>
    </row>
    <row r="381" spans="1:6" x14ac:dyDescent="0.2">
      <c r="A381" s="345">
        <v>39113</v>
      </c>
      <c r="B381" s="1369">
        <v>1.52</v>
      </c>
      <c r="C381" s="346">
        <v>3701737682.9200001</v>
      </c>
      <c r="D381" s="258"/>
      <c r="E381" s="14">
        <f>B381-Index_Returns!B381</f>
        <v>8.0000000000000071E-3</v>
      </c>
      <c r="F381" s="352"/>
    </row>
    <row r="382" spans="1:6" x14ac:dyDescent="0.2">
      <c r="A382" s="345">
        <v>39141</v>
      </c>
      <c r="B382" s="1369">
        <v>-1.94</v>
      </c>
      <c r="C382" s="346">
        <v>3629742272.3499999</v>
      </c>
      <c r="D382" s="258"/>
      <c r="E382" s="14">
        <f>B382-Index_Returns!B382</f>
        <v>1.5880000000000116E-2</v>
      </c>
      <c r="F382" s="352"/>
    </row>
    <row r="383" spans="1:6" x14ac:dyDescent="0.2">
      <c r="A383" s="345">
        <v>39172</v>
      </c>
      <c r="B383" s="1369">
        <v>1.1000000000000001</v>
      </c>
      <c r="C383" s="346">
        <v>3668633127.3899999</v>
      </c>
      <c r="D383" s="258"/>
      <c r="E383" s="14">
        <f>B383-Index_Returns!B383</f>
        <v>-1.8499999999999961E-2</v>
      </c>
    </row>
    <row r="384" spans="1:6" x14ac:dyDescent="0.2">
      <c r="A384" s="345">
        <v>39202</v>
      </c>
      <c r="B384" s="1369">
        <v>4.4400000000000004</v>
      </c>
      <c r="C384" s="346">
        <v>3830779067.9400001</v>
      </c>
      <c r="D384" s="258"/>
      <c r="E384" s="14">
        <f>B384-Index_Returns!B384</f>
        <v>1.0470000000000645E-2</v>
      </c>
    </row>
    <row r="385" spans="1:7" x14ac:dyDescent="0.2">
      <c r="A385" s="345">
        <v>39233</v>
      </c>
      <c r="B385" s="1369">
        <v>3.5</v>
      </c>
      <c r="C385" s="346">
        <v>3964856701.4400001</v>
      </c>
      <c r="D385" s="258"/>
      <c r="E385" s="14">
        <f>B385-Index_Returns!B385</f>
        <v>1.0489999999999888E-2</v>
      </c>
    </row>
    <row r="386" spans="1:7" x14ac:dyDescent="0.2">
      <c r="A386" s="345">
        <v>39263</v>
      </c>
      <c r="B386" s="1369">
        <v>-1.66</v>
      </c>
      <c r="C386" s="346">
        <v>3899135304.4299998</v>
      </c>
      <c r="D386" s="258"/>
      <c r="E386" s="14">
        <f>B386-Index_Returns!B386</f>
        <v>1.3199999999999878E-3</v>
      </c>
    </row>
    <row r="387" spans="1:7" x14ac:dyDescent="0.2">
      <c r="A387" s="345">
        <v>39294</v>
      </c>
      <c r="B387" s="1369">
        <v>-3.07</v>
      </c>
      <c r="C387" s="346">
        <v>3769718189.1100001</v>
      </c>
      <c r="D387" s="258"/>
      <c r="E387" s="14">
        <f>B387-Index_Returns!B387</f>
        <v>3.049000000000035E-2</v>
      </c>
    </row>
    <row r="388" spans="1:7" x14ac:dyDescent="0.2">
      <c r="A388" s="345">
        <v>39325</v>
      </c>
      <c r="B388" s="1369">
        <v>1.51</v>
      </c>
      <c r="C388" s="346">
        <v>3836559876.0599999</v>
      </c>
      <c r="D388" s="258"/>
      <c r="E388" s="14">
        <f>B388-Index_Returns!B388</f>
        <v>1.097999999999999E-2</v>
      </c>
    </row>
    <row r="389" spans="1:7" x14ac:dyDescent="0.2">
      <c r="A389" s="345">
        <v>39355</v>
      </c>
      <c r="B389" s="1369">
        <v>3.72</v>
      </c>
      <c r="C389" s="346">
        <v>3974268447.27</v>
      </c>
      <c r="D389" s="258"/>
      <c r="E389" s="14">
        <f>B389-Index_Returns!B389</f>
        <v>-1.9859999999999989E-2</v>
      </c>
    </row>
    <row r="390" spans="1:7" x14ac:dyDescent="0.2">
      <c r="A390" s="345">
        <v>39386</v>
      </c>
      <c r="B390" s="1369">
        <v>1.51</v>
      </c>
      <c r="C390" s="346">
        <v>4034447642.98</v>
      </c>
      <c r="D390" s="258"/>
      <c r="E390" s="14">
        <f>B390-Index_Returns!B390</f>
        <v>-8.0670000000000019E-2</v>
      </c>
    </row>
    <row r="391" spans="1:7" x14ac:dyDescent="0.2">
      <c r="A391" s="345">
        <v>39416</v>
      </c>
      <c r="B391" s="1369">
        <v>-4.18</v>
      </c>
      <c r="C391" s="346">
        <v>3865871462.7199998</v>
      </c>
      <c r="D391" s="258"/>
      <c r="E391" s="14">
        <f>B391-Index_Returns!B391</f>
        <v>6.5000000000026148E-4</v>
      </c>
    </row>
    <row r="392" spans="1:7" x14ac:dyDescent="0.2">
      <c r="A392" s="345">
        <v>39447</v>
      </c>
      <c r="B392" s="1369">
        <v>-0.7</v>
      </c>
      <c r="C392" s="346">
        <v>3776057116.29</v>
      </c>
      <c r="D392" s="258"/>
      <c r="E392" s="14">
        <f>B392-Index_Returns!B392</f>
        <v>-6.2200000000000033E-3</v>
      </c>
      <c r="G392" s="787"/>
    </row>
    <row r="393" spans="1:7" x14ac:dyDescent="0.2">
      <c r="A393" s="345">
        <v>39478</v>
      </c>
      <c r="B393" s="1369">
        <v>-6.11</v>
      </c>
      <c r="C393" s="346">
        <v>3520366465.4000001</v>
      </c>
      <c r="D393" s="258"/>
      <c r="E393" s="14">
        <f>B393-Index_Returns!B393</f>
        <v>-0.11186000000000007</v>
      </c>
    </row>
    <row r="394" spans="1:7" x14ac:dyDescent="0.2">
      <c r="A394" s="345">
        <v>39507</v>
      </c>
      <c r="B394" s="1369">
        <v>-3.06</v>
      </c>
      <c r="C394" s="346">
        <v>3352883138.3600001</v>
      </c>
      <c r="D394" s="258"/>
      <c r="E394" s="14">
        <f>B394-Index_Returns!B394</f>
        <v>0.18857999999999997</v>
      </c>
    </row>
    <row r="395" spans="1:7" x14ac:dyDescent="0.2">
      <c r="A395" s="345">
        <v>39538</v>
      </c>
      <c r="B395" s="1369">
        <v>-0.37</v>
      </c>
      <c r="C395" s="346">
        <v>4215815258.0300002</v>
      </c>
      <c r="D395" s="258"/>
      <c r="E395" s="14">
        <f>B395-Index_Returns!B395</f>
        <v>6.1800000000000022E-2</v>
      </c>
    </row>
    <row r="396" spans="1:7" x14ac:dyDescent="0.2">
      <c r="A396" s="345">
        <v>39568</v>
      </c>
      <c r="B396" s="1369">
        <v>4.8600000000000003</v>
      </c>
      <c r="C396" s="346">
        <v>4380976624.9200001</v>
      </c>
      <c r="D396" s="258"/>
      <c r="E396" s="14">
        <f>B396-Index_Returns!B396</f>
        <v>-1.033999999999935E-2</v>
      </c>
    </row>
    <row r="397" spans="1:7" x14ac:dyDescent="0.2">
      <c r="A397" s="345">
        <v>39599</v>
      </c>
      <c r="B397" s="1369">
        <v>1.3</v>
      </c>
      <c r="C397" s="346">
        <v>4407794887.2299995</v>
      </c>
      <c r="D397" s="258"/>
      <c r="E397" s="14">
        <f>B397-Index_Returns!B397</f>
        <v>4.7399999999999665E-3</v>
      </c>
    </row>
    <row r="398" spans="1:7" x14ac:dyDescent="0.2">
      <c r="A398" s="345">
        <v>39629</v>
      </c>
      <c r="B398" s="1369">
        <v>-8.4</v>
      </c>
      <c r="C398" s="346">
        <v>3988581579.1199999</v>
      </c>
      <c r="D398" s="258"/>
      <c r="E398" s="14">
        <f>B398-Index_Returns!B398</f>
        <v>3.0379999999999185E-2</v>
      </c>
    </row>
    <row r="399" spans="1:7" x14ac:dyDescent="0.2">
      <c r="A399" s="345">
        <v>39660</v>
      </c>
      <c r="B399" s="1369">
        <v>-0.79</v>
      </c>
      <c r="C399" s="33">
        <v>3805204716.6300001</v>
      </c>
      <c r="D399" s="258"/>
      <c r="E399" s="14">
        <f>B399-Index_Returns!B399</f>
        <v>5.0619999999999998E-2</v>
      </c>
    </row>
    <row r="400" spans="1:7" x14ac:dyDescent="0.2">
      <c r="A400" s="345">
        <v>39691</v>
      </c>
      <c r="B400" s="1369">
        <v>1.42</v>
      </c>
      <c r="C400" s="33">
        <v>3775051991.6799998</v>
      </c>
      <c r="D400" s="258"/>
      <c r="E400" s="14">
        <f>B400-Index_Returns!B400</f>
        <v>-2.6490000000000125E-2</v>
      </c>
    </row>
    <row r="401" spans="1:5" x14ac:dyDescent="0.2">
      <c r="A401" s="345">
        <v>39721</v>
      </c>
      <c r="B401" s="1369">
        <v>-8.9</v>
      </c>
      <c r="C401" s="33">
        <v>3433761261.46</v>
      </c>
      <c r="D401" s="258"/>
      <c r="E401" s="14">
        <f>B401-Index_Returns!B401</f>
        <v>1.0749999999999815E-2</v>
      </c>
    </row>
    <row r="402" spans="1:5" x14ac:dyDescent="0.2">
      <c r="A402" s="345">
        <v>39752</v>
      </c>
      <c r="B402" s="1369">
        <v>-16.93</v>
      </c>
      <c r="C402" s="346">
        <v>2845651028</v>
      </c>
      <c r="D402" s="258"/>
      <c r="E402" s="14">
        <f>B402-Index_Returns!B402</f>
        <v>-0.13523999999999958</v>
      </c>
    </row>
    <row r="403" spans="1:5" x14ac:dyDescent="0.2">
      <c r="A403" s="345">
        <v>39782</v>
      </c>
      <c r="B403" s="1369">
        <v>-7.12</v>
      </c>
      <c r="C403" s="346">
        <v>2643009630</v>
      </c>
      <c r="D403" s="258"/>
      <c r="E403" s="14">
        <f>B403-Index_Returns!B403</f>
        <v>5.5489999999999817E-2</v>
      </c>
    </row>
    <row r="404" spans="1:5" x14ac:dyDescent="0.2">
      <c r="A404" s="345">
        <v>39813</v>
      </c>
      <c r="B404" s="1369">
        <v>1.08</v>
      </c>
      <c r="C404" s="346">
        <v>2671560648</v>
      </c>
      <c r="D404" s="258"/>
      <c r="E404" s="14">
        <f>B404-Index_Returns!B404</f>
        <v>1.5990000000000171E-2</v>
      </c>
    </row>
    <row r="405" spans="1:5" x14ac:dyDescent="0.2">
      <c r="A405" s="345">
        <v>39844</v>
      </c>
      <c r="B405" s="1369">
        <v>-8.25</v>
      </c>
      <c r="C405" s="346">
        <v>2469697008.1199999</v>
      </c>
      <c r="D405" s="258">
        <v>-8.2522000000000002</v>
      </c>
      <c r="E405" s="14">
        <f>B405-Index_Returns!B405</f>
        <v>0.17861000000000082</v>
      </c>
    </row>
    <row r="406" spans="1:5" x14ac:dyDescent="0.2">
      <c r="A406" s="345">
        <v>39872</v>
      </c>
      <c r="B406" s="1369">
        <v>-10.56</v>
      </c>
      <c r="C406" s="346">
        <v>2222213780.6199999</v>
      </c>
      <c r="D406" s="258">
        <v>-10.559699999999999</v>
      </c>
      <c r="E406" s="14">
        <f>B406-Index_Returns!B406</f>
        <v>8.7779999999998637E-2</v>
      </c>
    </row>
    <row r="407" spans="1:5" x14ac:dyDescent="0.2">
      <c r="A407" s="345">
        <v>39903</v>
      </c>
      <c r="B407" s="1369">
        <v>8.68</v>
      </c>
      <c r="C407" s="346">
        <v>2415116891.3000002</v>
      </c>
      <c r="D407" s="258">
        <v>8.6806999999999999</v>
      </c>
      <c r="E407" s="14">
        <f>B407-Index_Returns!B407</f>
        <v>-7.9510000000000858E-2</v>
      </c>
    </row>
    <row r="408" spans="1:5" x14ac:dyDescent="0.2">
      <c r="A408" s="345">
        <v>39933</v>
      </c>
      <c r="B408" s="1369">
        <v>9.44</v>
      </c>
      <c r="C408" s="346">
        <v>2643194564.5900002</v>
      </c>
      <c r="D408" s="258"/>
      <c r="E408" s="14">
        <f>B408-Index_Returns!B408</f>
        <v>-0.13094000000000072</v>
      </c>
    </row>
    <row r="409" spans="1:5" x14ac:dyDescent="0.2">
      <c r="A409" s="345">
        <v>39964</v>
      </c>
      <c r="B409" s="1369">
        <v>5.55</v>
      </c>
      <c r="C409" s="346">
        <v>2821275270.8899999</v>
      </c>
      <c r="D409" s="258"/>
      <c r="E409" s="14">
        <f>B409-Index_Returns!B409</f>
        <v>-4.330999999999996E-2</v>
      </c>
    </row>
    <row r="410" spans="1:5" x14ac:dyDescent="0.2">
      <c r="A410" s="345">
        <v>39994</v>
      </c>
      <c r="B410" s="1369">
        <v>0.23</v>
      </c>
      <c r="C410" s="346">
        <v>2827675910.7199998</v>
      </c>
      <c r="D410" s="258"/>
      <c r="E410" s="14">
        <f>B410-Index_Returns!B410</f>
        <v>3.1600000000000017E-2</v>
      </c>
    </row>
    <row r="411" spans="1:5" x14ac:dyDescent="0.2">
      <c r="A411" s="345">
        <v>40025</v>
      </c>
      <c r="B411" s="1369">
        <v>7.61</v>
      </c>
      <c r="C411" s="346">
        <v>3042737362.79</v>
      </c>
      <c r="D411" s="258">
        <v>7.6055999999999999</v>
      </c>
      <c r="E411" s="14">
        <f>B411-Index_Returns!B411</f>
        <v>4.6310000000000073E-2</v>
      </c>
    </row>
    <row r="412" spans="1:5" x14ac:dyDescent="0.2">
      <c r="A412" s="345">
        <v>40056</v>
      </c>
      <c r="B412" s="1369">
        <v>3.65</v>
      </c>
      <c r="C412" s="346">
        <v>3151883819.6199999</v>
      </c>
      <c r="D412" s="258">
        <v>3.6539000000000001</v>
      </c>
      <c r="E412" s="14">
        <f>B412-Index_Returns!B412</f>
        <v>3.9590000000000014E-2</v>
      </c>
    </row>
    <row r="413" spans="1:5" x14ac:dyDescent="0.2">
      <c r="A413" s="345">
        <v>40086</v>
      </c>
      <c r="B413" s="1369">
        <v>3.72</v>
      </c>
      <c r="C413" s="346">
        <v>3269087403.2199998</v>
      </c>
      <c r="D413" s="258">
        <v>3.7185000000000001</v>
      </c>
      <c r="E413" s="14">
        <f>B413-Index_Returns!B413</f>
        <v>-1.1529999999999596E-2</v>
      </c>
    </row>
    <row r="414" spans="1:5" x14ac:dyDescent="0.2">
      <c r="A414" s="345">
        <v>40117</v>
      </c>
      <c r="B414" s="1369">
        <v>-1.87</v>
      </c>
      <c r="C414" s="346">
        <v>3208129705</v>
      </c>
      <c r="D414" s="262">
        <v>-1.87</v>
      </c>
      <c r="E414" s="14">
        <f>B414-Index_Returns!B414</f>
        <v>-1.2320000000000109E-2</v>
      </c>
    </row>
    <row r="415" spans="1:5" x14ac:dyDescent="0.2">
      <c r="A415" s="345">
        <v>40147</v>
      </c>
      <c r="B415" s="1369">
        <v>5.98</v>
      </c>
      <c r="C415" s="1333">
        <v>3400580935</v>
      </c>
      <c r="D415" s="1369">
        <v>5.9989999999999997</v>
      </c>
      <c r="E415" s="14">
        <f>B415-Index_Returns!B415</f>
        <v>-1.8349999999999866E-2</v>
      </c>
    </row>
    <row r="416" spans="1:5" x14ac:dyDescent="0.2">
      <c r="A416" s="345">
        <v>40178</v>
      </c>
      <c r="B416" s="1369">
        <v>1.95</v>
      </c>
      <c r="C416" s="346">
        <v>3466359250.29</v>
      </c>
      <c r="D416" s="262">
        <v>1.9518599999999999</v>
      </c>
      <c r="E416" s="14">
        <f>B416-Index_Returns!B416</f>
        <v>1.8489999999999895E-2</v>
      </c>
    </row>
    <row r="417" spans="1:5" x14ac:dyDescent="0.2">
      <c r="A417" s="345">
        <v>40209</v>
      </c>
      <c r="B417" s="253">
        <v>-3.59</v>
      </c>
      <c r="C417" s="346">
        <v>3343596808.71</v>
      </c>
      <c r="D417" s="262">
        <v>-3.5415399999999999</v>
      </c>
      <c r="E417" s="14">
        <f>B417-Index_Returns!B417</f>
        <v>7.3400000000001242E-3</v>
      </c>
    </row>
    <row r="418" spans="1:5" x14ac:dyDescent="0.2">
      <c r="A418" s="345">
        <v>40237</v>
      </c>
      <c r="B418" s="253">
        <v>3.11</v>
      </c>
      <c r="C418" s="346">
        <v>3446311174.4400001</v>
      </c>
      <c r="D418" s="262">
        <v>3.10724</v>
      </c>
      <c r="E418" s="14">
        <f>B418-Index_Returns!B418</f>
        <v>1.2280000000000069E-2</v>
      </c>
    </row>
    <row r="419" spans="1:5" x14ac:dyDescent="0.2">
      <c r="A419" s="345">
        <v>40268</v>
      </c>
      <c r="B419" s="253">
        <v>6.03</v>
      </c>
      <c r="C419" s="1334">
        <v>3653534665.9299998</v>
      </c>
      <c r="D419" s="1311">
        <v>6.0269399999999997</v>
      </c>
      <c r="E419" s="14">
        <f>B419-Index_Returns!B419</f>
        <v>-4.4599999999999085E-3</v>
      </c>
    </row>
    <row r="420" spans="1:5" x14ac:dyDescent="0.2">
      <c r="A420" s="345">
        <v>40298</v>
      </c>
      <c r="B420" s="253">
        <v>1.57</v>
      </c>
      <c r="C420" s="346">
        <v>3710842397.29</v>
      </c>
      <c r="D420" s="262">
        <v>1.56856</v>
      </c>
      <c r="E420" s="14">
        <f>B420-Index_Returns!B420</f>
        <v>-8.759999999999879E-3</v>
      </c>
    </row>
    <row r="421" spans="1:5" x14ac:dyDescent="0.2">
      <c r="A421" s="345">
        <v>40329</v>
      </c>
      <c r="B421" s="253">
        <v>-7.98</v>
      </c>
      <c r="C421" s="346">
        <v>3414703522.71</v>
      </c>
      <c r="D421" s="262">
        <v>-7.9803699999999997</v>
      </c>
      <c r="E421" s="14">
        <f>B421-Index_Returns!B421</f>
        <v>5.0099999999995148E-3</v>
      </c>
    </row>
    <row r="422" spans="1:5" x14ac:dyDescent="0.2">
      <c r="A422" s="345">
        <v>40359</v>
      </c>
      <c r="B422" s="253">
        <v>-5.23</v>
      </c>
      <c r="C422" s="346">
        <v>3230152984.6799998</v>
      </c>
      <c r="D422" s="262">
        <v>-5.2259599999999997</v>
      </c>
      <c r="E422" s="14">
        <f>B422-Index_Returns!B422</f>
        <v>4.9199999999993693E-3</v>
      </c>
    </row>
    <row r="423" spans="1:5" x14ac:dyDescent="0.2">
      <c r="A423" s="345">
        <v>40390</v>
      </c>
      <c r="B423" s="253">
        <v>7.0002700000000004</v>
      </c>
      <c r="C423" s="346">
        <v>3456272486.5799999</v>
      </c>
      <c r="D423" s="262">
        <v>7.0002700000000004</v>
      </c>
      <c r="E423" s="14">
        <f>B423-Index_Returns!B423</f>
        <v>-6.0799999999998633E-3</v>
      </c>
    </row>
    <row r="424" spans="1:5" x14ac:dyDescent="0.2">
      <c r="A424" s="345">
        <v>40421</v>
      </c>
      <c r="B424" s="253">
        <v>-4.5105199999999996</v>
      </c>
      <c r="C424" s="346">
        <v>3300376502.71</v>
      </c>
      <c r="D424" s="262">
        <v>-4.5105199999999996</v>
      </c>
      <c r="E424" s="14">
        <f>B424-Index_Returns!B424</f>
        <v>3.9100000000003021E-3</v>
      </c>
    </row>
    <row r="425" spans="1:5" x14ac:dyDescent="0.2">
      <c r="A425" s="345">
        <v>40451</v>
      </c>
      <c r="B425" s="253">
        <v>8.9325299999999999</v>
      </c>
      <c r="C425" s="346">
        <v>3586557176.7199998</v>
      </c>
      <c r="D425" s="262">
        <v>8.9325299999999999</v>
      </c>
      <c r="E425" s="14">
        <f>B425-Index_Returns!B425</f>
        <v>8.0899999999992644E-3</v>
      </c>
    </row>
    <row r="426" spans="1:5" x14ac:dyDescent="0.2">
      <c r="A426" s="345">
        <v>40482</v>
      </c>
      <c r="B426" s="253">
        <v>3.8041499999999999</v>
      </c>
      <c r="C426" s="346">
        <v>3722995216.2199998</v>
      </c>
      <c r="D426" s="262">
        <v>3.8041499999999999</v>
      </c>
      <c r="E426" s="14">
        <f>B426-Index_Returns!B426</f>
        <v>-7.7000000000015945E-4</v>
      </c>
    </row>
    <row r="427" spans="1:5" x14ac:dyDescent="0.2">
      <c r="A427" s="345">
        <v>40512</v>
      </c>
      <c r="B427" s="253">
        <f>D427</f>
        <v>1.451E-2</v>
      </c>
      <c r="C427" s="346">
        <v>3721235239.9299998</v>
      </c>
      <c r="D427" s="262">
        <v>1.451E-2</v>
      </c>
      <c r="E427" s="14">
        <f>B427-Index_Returns!B427</f>
        <v>1.6900000000000005E-3</v>
      </c>
    </row>
    <row r="428" spans="1:5" x14ac:dyDescent="0.2">
      <c r="A428" s="345">
        <v>40543</v>
      </c>
      <c r="B428" s="253">
        <v>6.69062</v>
      </c>
      <c r="C428" s="346">
        <v>3970209066.0900002</v>
      </c>
      <c r="D428" s="262">
        <v>6.69062</v>
      </c>
      <c r="E428" s="14">
        <f>B428-Index_Returns!B428</f>
        <v>7.4300000000002697E-3</v>
      </c>
    </row>
    <row r="429" spans="1:5" x14ac:dyDescent="0.2">
      <c r="A429" s="345">
        <v>40574</v>
      </c>
      <c r="B429" s="253">
        <f>D429</f>
        <v>2.3774199999999999</v>
      </c>
      <c r="C429" s="346">
        <v>4044638149.04</v>
      </c>
      <c r="D429" s="262">
        <v>2.3774199999999999</v>
      </c>
      <c r="E429" s="14">
        <f>B429-Index_Returns!B429</f>
        <v>7.2600000000000442E-3</v>
      </c>
    </row>
    <row r="430" spans="1:5" x14ac:dyDescent="0.2">
      <c r="A430" s="345">
        <v>40602</v>
      </c>
      <c r="B430" s="253">
        <v>3.4164300000000001</v>
      </c>
      <c r="C430" s="346">
        <v>4221450964.1799998</v>
      </c>
      <c r="D430" s="262">
        <v>3.4164300000000001</v>
      </c>
      <c r="E430" s="14">
        <f>B430-Index_Returns!B430</f>
        <v>-9.4599999999998019E-3</v>
      </c>
    </row>
    <row r="431" spans="1:5" x14ac:dyDescent="0.2">
      <c r="A431" s="345">
        <v>40633</v>
      </c>
      <c r="B431" s="253">
        <f>D431</f>
        <v>5.6779999999999997E-2</v>
      </c>
      <c r="C431" s="346">
        <v>4235484094.4499998</v>
      </c>
      <c r="D431" s="262">
        <v>5.6779999999999997E-2</v>
      </c>
      <c r="E431" s="14">
        <f>B431-Index_Returns!B431</f>
        <v>1.702E-2</v>
      </c>
    </row>
    <row r="432" spans="1:5" x14ac:dyDescent="0.2">
      <c r="A432" s="345">
        <v>40663</v>
      </c>
      <c r="B432" s="253">
        <f t="shared" ref="B432:B488" si="0">D432</f>
        <v>2.9378099999999998</v>
      </c>
      <c r="C432" s="346">
        <v>4360060024.25</v>
      </c>
      <c r="D432" s="262">
        <v>2.9378099999999998</v>
      </c>
      <c r="E432" s="14">
        <f>B432-Index_Returns!B432</f>
        <v>-2.3730000000000029E-2</v>
      </c>
    </row>
    <row r="433" spans="1:5" x14ac:dyDescent="0.2">
      <c r="A433" s="345">
        <v>40694</v>
      </c>
      <c r="B433" s="253">
        <f t="shared" si="0"/>
        <v>-1.1308199999999999</v>
      </c>
      <c r="C433" s="346">
        <v>4310755795.6099997</v>
      </c>
      <c r="D433" s="262">
        <v>-1.1308199999999999</v>
      </c>
      <c r="E433" s="14">
        <f>B433-Index_Returns!B433</f>
        <v>1.1300000000000754E-3</v>
      </c>
    </row>
    <row r="434" spans="1:5" x14ac:dyDescent="0.2">
      <c r="A434" s="345">
        <v>40724</v>
      </c>
      <c r="B434" s="253">
        <f t="shared" si="0"/>
        <v>-1.68076</v>
      </c>
      <c r="C434" s="346">
        <v>4238302437.77</v>
      </c>
      <c r="D434" s="262">
        <v>-1.68076</v>
      </c>
      <c r="E434" s="14">
        <f>B434-Index_Returns!B434</f>
        <v>-1.385000000000014E-2</v>
      </c>
    </row>
    <row r="435" spans="1:5" x14ac:dyDescent="0.2">
      <c r="A435" s="345">
        <v>40755</v>
      </c>
      <c r="B435" s="253">
        <f t="shared" si="0"/>
        <v>-2.0261300000000002</v>
      </c>
      <c r="C435" s="346">
        <v>4134320490.4200001</v>
      </c>
      <c r="D435" s="262">
        <v>-2.0261300000000002</v>
      </c>
      <c r="E435" s="14">
        <f>B435-Index_Returns!B435</f>
        <v>7.3599999999998111E-3</v>
      </c>
    </row>
    <row r="436" spans="1:5" x14ac:dyDescent="0.2">
      <c r="A436" s="345">
        <v>40786</v>
      </c>
      <c r="B436" s="253">
        <f t="shared" si="0"/>
        <v>-5.4327100000000002</v>
      </c>
      <c r="C436" s="346">
        <v>3906456905.6599998</v>
      </c>
      <c r="D436" s="262">
        <v>-5.4327100000000002</v>
      </c>
      <c r="E436" s="14">
        <f>B436-Index_Returns!B436</f>
        <v>-5.3000000000036351E-4</v>
      </c>
    </row>
    <row r="437" spans="1:5" x14ac:dyDescent="0.2">
      <c r="A437" s="345">
        <v>40816</v>
      </c>
      <c r="B437" s="253">
        <f t="shared" si="0"/>
        <v>-7.0241100000000003</v>
      </c>
      <c r="C437" s="346">
        <v>3632063102.1799998</v>
      </c>
      <c r="D437" s="262">
        <v>-7.0241100000000003</v>
      </c>
      <c r="E437" s="14">
        <f>B437-Index_Returns!B437</f>
        <v>5.7499999999999218E-3</v>
      </c>
    </row>
    <row r="438" spans="1:5" x14ac:dyDescent="0.2">
      <c r="A438" s="345">
        <v>40847</v>
      </c>
      <c r="B438" s="253">
        <f t="shared" si="0"/>
        <v>10.92304</v>
      </c>
      <c r="C438" s="346">
        <v>4028237795.9000001</v>
      </c>
      <c r="D438" s="262">
        <v>10.92304</v>
      </c>
      <c r="E438" s="14">
        <f>B438-Index_Returns!B438</f>
        <v>-6.2699999999988876E-3</v>
      </c>
    </row>
    <row r="439" spans="1:5" x14ac:dyDescent="0.2">
      <c r="A439" s="345">
        <v>40877</v>
      </c>
      <c r="B439" s="253">
        <f t="shared" si="0"/>
        <v>-0.21274999999999999</v>
      </c>
      <c r="C439" s="346">
        <v>4019667559.79</v>
      </c>
      <c r="D439" s="262">
        <v>-0.21274999999999999</v>
      </c>
      <c r="E439" s="14">
        <f>B439-Index_Returns!B439</f>
        <v>8.2800000000000096E-3</v>
      </c>
    </row>
    <row r="440" spans="1:5" x14ac:dyDescent="0.2">
      <c r="A440" s="345">
        <v>40908</v>
      </c>
      <c r="B440" s="253">
        <f t="shared" si="0"/>
        <v>1.0308200000000001</v>
      </c>
      <c r="C440" s="346">
        <v>4047969189.46</v>
      </c>
      <c r="D440" s="262">
        <v>1.0308200000000001</v>
      </c>
      <c r="E440" s="14">
        <f>B440-Index_Returns!B440</f>
        <v>7.8800000000001091E-3</v>
      </c>
    </row>
    <row r="441" spans="1:5" x14ac:dyDescent="0.2">
      <c r="A441" s="345">
        <v>40939</v>
      </c>
      <c r="B441" s="253">
        <f t="shared" si="0"/>
        <v>4.4782299999999999</v>
      </c>
      <c r="C441" s="346">
        <v>4229246396.1399999</v>
      </c>
      <c r="D441" s="262">
        <v>4.4782299999999999</v>
      </c>
      <c r="E441" s="14">
        <f>B441-Index_Returns!B441</f>
        <v>-3.2800000000001717E-3</v>
      </c>
    </row>
    <row r="442" spans="1:5" x14ac:dyDescent="0.2">
      <c r="A442" s="345">
        <v>40968</v>
      </c>
      <c r="B442" s="253">
        <f t="shared" si="0"/>
        <v>4.3292099999999998</v>
      </c>
      <c r="C442" s="346">
        <v>4412339387.2600002</v>
      </c>
      <c r="D442" s="262">
        <v>4.3292099999999998</v>
      </c>
      <c r="E442" s="14">
        <f>B442-Index_Returns!B442</f>
        <v>4.9899999999993838E-3</v>
      </c>
    </row>
    <row r="443" spans="1:5" x14ac:dyDescent="0.2">
      <c r="A443" s="345">
        <v>40999</v>
      </c>
      <c r="B443" s="253">
        <f t="shared" si="0"/>
        <v>3.2910499999999998</v>
      </c>
      <c r="C443" s="346">
        <v>4542882823.5100002</v>
      </c>
      <c r="D443" s="262">
        <v>3.2910499999999998</v>
      </c>
      <c r="E443" s="14">
        <f>B443-Index_Returns!B443</f>
        <v>1.2999999999996348E-4</v>
      </c>
    </row>
    <row r="444" spans="1:5" x14ac:dyDescent="0.2">
      <c r="A444" s="345">
        <v>41029</v>
      </c>
      <c r="B444" s="253">
        <f t="shared" si="0"/>
        <v>-0.63346999999999998</v>
      </c>
      <c r="C444" s="346">
        <v>4514105221.3100004</v>
      </c>
      <c r="D444" s="262">
        <v>-0.63346999999999998</v>
      </c>
      <c r="E444" s="14">
        <f>B444-Index_Returns!B444</f>
        <v>-5.7800000000000074E-3</v>
      </c>
    </row>
    <row r="445" spans="1:5" x14ac:dyDescent="0.2">
      <c r="A445" s="345">
        <v>41060</v>
      </c>
      <c r="B445" s="253">
        <f t="shared" si="0"/>
        <v>-6.0202</v>
      </c>
      <c r="C445" s="346">
        <v>4242347284.0100002</v>
      </c>
      <c r="D445" s="262">
        <v>-6.0202</v>
      </c>
      <c r="E445" s="14">
        <f>B445-Index_Returns!B445</f>
        <v>-1.0139999999999816E-2</v>
      </c>
    </row>
    <row r="446" spans="1:5" x14ac:dyDescent="0.2">
      <c r="A446" s="345">
        <v>41090</v>
      </c>
      <c r="B446" s="253">
        <f t="shared" si="0"/>
        <v>4.1136499999999998</v>
      </c>
      <c r="C446" s="346">
        <v>4416862421.4499998</v>
      </c>
      <c r="D446" s="262">
        <v>4.1136499999999998</v>
      </c>
      <c r="E446" s="14">
        <f>B446-Index_Returns!B446</f>
        <v>-6.5600000000003433E-3</v>
      </c>
    </row>
    <row r="447" spans="1:5" x14ac:dyDescent="0.2">
      <c r="A447" s="345">
        <v>41121</v>
      </c>
      <c r="B447" s="253">
        <f t="shared" si="0"/>
        <v>1.38585</v>
      </c>
      <c r="C447" s="346">
        <v>4478073472.8999996</v>
      </c>
      <c r="D447" s="262">
        <v>1.38585</v>
      </c>
      <c r="E447" s="14">
        <f>B447-Index_Returns!B447</f>
        <v>-3.0499999999999972E-3</v>
      </c>
    </row>
    <row r="448" spans="1:5" x14ac:dyDescent="0.2">
      <c r="A448" s="345">
        <v>41152</v>
      </c>
      <c r="B448" s="253">
        <f t="shared" si="0"/>
        <v>2.2377799999999999</v>
      </c>
      <c r="C448" s="346">
        <v>4419203609.9700003</v>
      </c>
      <c r="D448" s="262">
        <v>2.2377799999999999</v>
      </c>
      <c r="E448" s="14">
        <f>B448-Index_Returns!B448</f>
        <v>-1.448000000000027E-2</v>
      </c>
    </row>
    <row r="449" spans="1:5" x14ac:dyDescent="0.2">
      <c r="A449" s="345">
        <v>41182</v>
      </c>
      <c r="B449" s="253">
        <f t="shared" si="0"/>
        <v>2.5843799999999999</v>
      </c>
      <c r="C449" s="346">
        <v>4505808883.9799995</v>
      </c>
      <c r="D449" s="262">
        <v>2.5843799999999999</v>
      </c>
      <c r="E449" s="14">
        <f>B449-Index_Returns!B449</f>
        <v>1.8999999999991246E-4</v>
      </c>
    </row>
    <row r="450" spans="1:5" x14ac:dyDescent="0.2">
      <c r="A450" s="345">
        <v>41213</v>
      </c>
      <c r="B450" s="253">
        <f t="shared" si="0"/>
        <v>-1.8133300000000001</v>
      </c>
      <c r="C450" s="346">
        <v>4250992737.1999998</v>
      </c>
      <c r="D450" s="262">
        <v>-1.8133300000000001</v>
      </c>
      <c r="E450" s="14">
        <f>B450-Index_Returns!B450</f>
        <v>3.3109999999999973E-2</v>
      </c>
    </row>
    <row r="451" spans="1:5" x14ac:dyDescent="0.2">
      <c r="A451" s="345">
        <v>41243</v>
      </c>
      <c r="B451" s="253">
        <f t="shared" si="0"/>
        <v>0.58677999999999997</v>
      </c>
      <c r="C451" s="346">
        <v>4215655099.6300001</v>
      </c>
      <c r="D451" s="262">
        <v>0.58677999999999997</v>
      </c>
      <c r="E451" s="14">
        <f>B451-Index_Returns!B451</f>
        <v>6.6699999999999537E-3</v>
      </c>
    </row>
    <row r="452" spans="1:5" x14ac:dyDescent="0.2">
      <c r="A452" s="345">
        <v>41274</v>
      </c>
      <c r="B452" s="253">
        <f t="shared" si="0"/>
        <v>0.91585000000000005</v>
      </c>
      <c r="C452" s="346">
        <v>4223701503.98</v>
      </c>
      <c r="D452" s="262">
        <v>0.91585000000000005</v>
      </c>
      <c r="E452" s="14">
        <f>B452-Index_Returns!B452</f>
        <v>4.3800000000000505E-3</v>
      </c>
    </row>
    <row r="453" spans="1:5" x14ac:dyDescent="0.2">
      <c r="A453" s="345">
        <v>41305</v>
      </c>
      <c r="B453" s="253">
        <f t="shared" si="0"/>
        <v>5.2032299999999996</v>
      </c>
      <c r="C453" s="346">
        <v>4101725019.0700002</v>
      </c>
      <c r="D453" s="262">
        <v>5.2032299999999996</v>
      </c>
      <c r="E453" s="14">
        <f>B453-Index_Returns!B453</f>
        <v>2.3729999999999585E-2</v>
      </c>
    </row>
    <row r="454" spans="1:5" x14ac:dyDescent="0.2">
      <c r="A454" s="345">
        <v>41333</v>
      </c>
      <c r="B454" s="253">
        <f t="shared" si="0"/>
        <v>1.36378</v>
      </c>
      <c r="C454" s="346">
        <v>4123883500.5599999</v>
      </c>
      <c r="D454" s="262">
        <v>1.36378</v>
      </c>
      <c r="E454" s="14">
        <f>B454-Index_Returns!B454</f>
        <v>6.2899999999999068E-3</v>
      </c>
    </row>
    <row r="455" spans="1:5" x14ac:dyDescent="0.2">
      <c r="A455" s="345">
        <v>41364</v>
      </c>
      <c r="B455" s="253">
        <f t="shared" si="0"/>
        <v>3.7465899999999999</v>
      </c>
      <c r="C455" s="346">
        <v>4222243306.9000001</v>
      </c>
      <c r="D455" s="262">
        <v>3.7465899999999999</v>
      </c>
      <c r="E455" s="14">
        <f>B455-Index_Returns!B455</f>
        <v>-3.7400000000000766E-3</v>
      </c>
    </row>
    <row r="456" spans="1:5" x14ac:dyDescent="0.2">
      <c r="A456" s="345">
        <v>41394</v>
      </c>
      <c r="B456" s="253">
        <f t="shared" si="0"/>
        <v>1.9178200000000001</v>
      </c>
      <c r="C456" s="346">
        <v>4303220707.8699999</v>
      </c>
      <c r="D456" s="262">
        <v>1.9178200000000001</v>
      </c>
      <c r="E456" s="14">
        <f>B456-Index_Returns!B456</f>
        <v>-8.839999999999959E-3</v>
      </c>
    </row>
    <row r="457" spans="1:5" x14ac:dyDescent="0.2">
      <c r="A457" s="345">
        <v>41425</v>
      </c>
      <c r="B457" s="253">
        <f t="shared" si="0"/>
        <v>2.2665600000000001</v>
      </c>
      <c r="C457" s="346">
        <v>4400767790.96</v>
      </c>
      <c r="D457" s="262">
        <v>2.2665600000000001</v>
      </c>
      <c r="E457" s="14">
        <f>B457-Index_Returns!B457</f>
        <v>-7.262999999999975E-2</v>
      </c>
    </row>
    <row r="458" spans="1:5" x14ac:dyDescent="0.2">
      <c r="A458" s="345">
        <v>41455</v>
      </c>
      <c r="B458" s="253">
        <f t="shared" si="0"/>
        <v>-1.37754</v>
      </c>
      <c r="C458" s="1307">
        <v>4276830358.8899999</v>
      </c>
      <c r="D458" s="1417">
        <v>-1.37754</v>
      </c>
      <c r="E458" s="14">
        <f>B458-Index_Returns!B458</f>
        <v>-3.4640000000000004E-2</v>
      </c>
    </row>
    <row r="459" spans="1:5" x14ac:dyDescent="0.2">
      <c r="A459" s="345">
        <v>41486</v>
      </c>
      <c r="B459" s="253">
        <f t="shared" si="0"/>
        <v>5.0981699999999996</v>
      </c>
      <c r="C459" s="1307">
        <v>4470806009.8000002</v>
      </c>
      <c r="D459" s="1417">
        <v>5.0981699999999996</v>
      </c>
      <c r="E459" s="14">
        <f>B459-Index_Returns!B459</f>
        <v>9.7499999999994813E-3</v>
      </c>
    </row>
    <row r="460" spans="1:5" x14ac:dyDescent="0.2">
      <c r="A460" s="345">
        <v>41517</v>
      </c>
      <c r="B460" s="253">
        <f t="shared" si="0"/>
        <v>-2.91073</v>
      </c>
      <c r="C460" s="346">
        <v>4340673344.54</v>
      </c>
      <c r="D460" s="262">
        <v>-2.91073</v>
      </c>
      <c r="E460" s="14">
        <f>B460-Index_Returns!B460</f>
        <v>-1.4569999999999972E-2</v>
      </c>
    </row>
    <row r="461" spans="1:5" x14ac:dyDescent="0.2">
      <c r="A461" s="345">
        <v>41547</v>
      </c>
      <c r="B461" s="253">
        <f t="shared" si="0"/>
        <v>3.1383700000000001</v>
      </c>
      <c r="C461" s="346">
        <v>4456591632.0500002</v>
      </c>
      <c r="D461" s="262">
        <v>3.1383700000000001</v>
      </c>
      <c r="E461" s="14">
        <f>B461-Index_Returns!B461</f>
        <v>2.4200000000003108E-3</v>
      </c>
    </row>
    <row r="462" spans="1:5" x14ac:dyDescent="0.2">
      <c r="A462" s="345">
        <v>41578</v>
      </c>
      <c r="B462" s="253">
        <f t="shared" si="0"/>
        <v>4.5953299999999997</v>
      </c>
      <c r="C462" s="346">
        <v>4589170187</v>
      </c>
      <c r="D462" s="262">
        <v>4.5953299999999997</v>
      </c>
      <c r="E462" s="14">
        <f>B462-Index_Returns!B462</f>
        <v>-1.4500000000001734E-3</v>
      </c>
    </row>
    <row r="463" spans="1:5" x14ac:dyDescent="0.2">
      <c r="A463" s="345">
        <v>41608</v>
      </c>
      <c r="B463" s="253">
        <f t="shared" si="0"/>
        <v>3.05308</v>
      </c>
      <c r="C463" s="346">
        <v>4693757615.21</v>
      </c>
      <c r="D463" s="262">
        <v>3.05308</v>
      </c>
      <c r="E463" s="14">
        <f>B463-Index_Returns!B463</f>
        <v>5.6799999999999073E-3</v>
      </c>
    </row>
    <row r="464" spans="1:5" x14ac:dyDescent="0.2">
      <c r="A464" s="345">
        <v>41639</v>
      </c>
      <c r="B464" s="253">
        <f t="shared" si="0"/>
        <v>2.5305900000000001</v>
      </c>
      <c r="C464" s="346">
        <v>4781402540.3699999</v>
      </c>
      <c r="D464" s="262">
        <v>2.5305900000000001</v>
      </c>
      <c r="E464" s="14">
        <f>B464-Index_Returns!B464</f>
        <v>-1.0200000000000209E-3</v>
      </c>
    </row>
    <row r="465" spans="1:5" x14ac:dyDescent="0.2">
      <c r="A465" s="345">
        <v>41670</v>
      </c>
      <c r="B465" s="253">
        <f t="shared" si="0"/>
        <v>-3.46278</v>
      </c>
      <c r="C465" s="346">
        <v>4615833183.1499996</v>
      </c>
      <c r="D465" s="262">
        <v>-3.46278</v>
      </c>
      <c r="E465" s="14">
        <f>B465-Index_Returns!B465</f>
        <v>-5.3700000000000969E-3</v>
      </c>
    </row>
    <row r="466" spans="1:5" x14ac:dyDescent="0.2">
      <c r="A466" s="345">
        <v>41698</v>
      </c>
      <c r="B466" s="253">
        <f t="shared" si="0"/>
        <v>4.5699300000000003</v>
      </c>
      <c r="C466" s="346">
        <v>4806599036.1800003</v>
      </c>
      <c r="D466" s="262">
        <v>4.5699300000000003</v>
      </c>
      <c r="E466" s="14">
        <f>B466-Index_Returns!B466</f>
        <v>-4.4599999999999085E-3</v>
      </c>
    </row>
    <row r="467" spans="1:5" x14ac:dyDescent="0.2">
      <c r="A467" s="345">
        <v>41729</v>
      </c>
      <c r="B467" s="253">
        <f t="shared" si="0"/>
        <v>0.82828999999999997</v>
      </c>
      <c r="C467" s="346">
        <v>4763885344.5</v>
      </c>
      <c r="D467" s="262">
        <v>0.82828999999999997</v>
      </c>
      <c r="E467" s="14">
        <f>B467-Index_Returns!B467</f>
        <v>-1.2280000000000069E-2</v>
      </c>
    </row>
    <row r="468" spans="1:5" x14ac:dyDescent="0.2">
      <c r="A468" s="345">
        <v>41759</v>
      </c>
      <c r="B468" s="253">
        <f t="shared" si="0"/>
        <v>0.75473999999999997</v>
      </c>
      <c r="C468" s="346">
        <v>4799840471.6199999</v>
      </c>
      <c r="D468" s="262">
        <v>0.75473999999999997</v>
      </c>
      <c r="E468" s="14">
        <f>B468-Index_Returns!B468</f>
        <v>1.5539999999999998E-2</v>
      </c>
    </row>
    <row r="469" spans="1:5" x14ac:dyDescent="0.2">
      <c r="A469" s="345">
        <v>41790</v>
      </c>
      <c r="B469" s="253">
        <f t="shared" si="0"/>
        <v>2.3490000000000002</v>
      </c>
      <c r="C469" s="346">
        <v>4912588472.0200005</v>
      </c>
      <c r="D469" s="262">
        <v>2.3490000000000002</v>
      </c>
      <c r="E469" s="14">
        <f>B469-Index_Returns!B469</f>
        <v>1.5900000000002024E-3</v>
      </c>
    </row>
    <row r="470" spans="1:5" x14ac:dyDescent="0.2">
      <c r="A470" s="345">
        <v>41820</v>
      </c>
      <c r="B470" s="253">
        <f t="shared" si="0"/>
        <v>2.0714299999999999</v>
      </c>
      <c r="C470" s="346">
        <v>4980008102.4399996</v>
      </c>
      <c r="D470" s="262">
        <v>2.0714299999999999</v>
      </c>
      <c r="E470" s="14">
        <f>B470-Index_Returns!B470</f>
        <v>5.6799999999999073E-3</v>
      </c>
    </row>
    <row r="471" spans="1:5" x14ac:dyDescent="0.2">
      <c r="A471" s="345">
        <v>41851</v>
      </c>
      <c r="B471" s="253">
        <f t="shared" si="0"/>
        <v>-1.37687</v>
      </c>
      <c r="C471" s="346">
        <v>4911439766.3500004</v>
      </c>
      <c r="D471" s="262">
        <v>-1.37687</v>
      </c>
      <c r="E471" s="14">
        <f>B471-Index_Returns!B471</f>
        <v>2.2199999999998887E-3</v>
      </c>
    </row>
    <row r="472" spans="1:5" x14ac:dyDescent="0.2">
      <c r="A472" s="345">
        <v>41882</v>
      </c>
      <c r="B472" s="253">
        <f t="shared" si="0"/>
        <v>3.9583599999999999</v>
      </c>
      <c r="C472" s="346">
        <v>5023490218.5699997</v>
      </c>
      <c r="D472" s="262">
        <v>3.9583599999999999</v>
      </c>
      <c r="E472" s="14">
        <f>B472-Index_Returns!B472</f>
        <v>-4.2139999999999844E-2</v>
      </c>
    </row>
    <row r="473" spans="1:5" x14ac:dyDescent="0.2">
      <c r="A473" s="345">
        <v>41912</v>
      </c>
      <c r="B473" s="253">
        <f t="shared" si="0"/>
        <v>0</v>
      </c>
      <c r="E473" s="14">
        <f>B473-Index_Returns!B473</f>
        <v>0</v>
      </c>
    </row>
    <row r="474" spans="1:5" x14ac:dyDescent="0.2">
      <c r="A474" s="345">
        <v>41943</v>
      </c>
      <c r="B474" s="253">
        <f t="shared" si="0"/>
        <v>0</v>
      </c>
      <c r="E474" s="14">
        <f>B474-Index_Returns!B474</f>
        <v>0</v>
      </c>
    </row>
    <row r="475" spans="1:5" x14ac:dyDescent="0.2">
      <c r="A475" s="345">
        <v>41973</v>
      </c>
      <c r="B475" s="253">
        <f t="shared" si="0"/>
        <v>0</v>
      </c>
      <c r="E475" s="14">
        <f>B475-Index_Returns!B475</f>
        <v>0</v>
      </c>
    </row>
    <row r="476" spans="1:5" x14ac:dyDescent="0.2">
      <c r="A476" s="345">
        <v>42004</v>
      </c>
      <c r="B476" s="253">
        <f t="shared" si="0"/>
        <v>0</v>
      </c>
      <c r="E476" s="14">
        <f>B476-Index_Returns!B476</f>
        <v>0</v>
      </c>
    </row>
    <row r="477" spans="1:5" x14ac:dyDescent="0.2">
      <c r="A477" s="345">
        <v>42035</v>
      </c>
      <c r="B477" s="253">
        <f t="shared" si="0"/>
        <v>0</v>
      </c>
      <c r="E477" s="14">
        <f>B477-Index_Returns!B477</f>
        <v>0</v>
      </c>
    </row>
    <row r="478" spans="1:5" x14ac:dyDescent="0.2">
      <c r="A478" s="345">
        <v>42063</v>
      </c>
      <c r="B478" s="253">
        <f t="shared" si="0"/>
        <v>0</v>
      </c>
      <c r="E478" s="14">
        <f>B478-Index_Returns!B478</f>
        <v>0</v>
      </c>
    </row>
    <row r="479" spans="1:5" x14ac:dyDescent="0.2">
      <c r="A479" s="345">
        <v>42094</v>
      </c>
      <c r="B479" s="253">
        <f t="shared" si="0"/>
        <v>0</v>
      </c>
      <c r="E479" s="14">
        <f>B479-Index_Returns!B479</f>
        <v>0</v>
      </c>
    </row>
    <row r="480" spans="1:5" x14ac:dyDescent="0.2">
      <c r="A480" s="345">
        <v>42124</v>
      </c>
      <c r="B480" s="253">
        <f t="shared" si="0"/>
        <v>0</v>
      </c>
      <c r="E480" s="14">
        <f>B480-Index_Returns!B480</f>
        <v>0</v>
      </c>
    </row>
    <row r="481" spans="1:5" x14ac:dyDescent="0.2">
      <c r="A481" s="345">
        <v>42155</v>
      </c>
      <c r="B481" s="253">
        <f t="shared" si="0"/>
        <v>0</v>
      </c>
      <c r="E481" s="14">
        <f>B481-Index_Returns!B481</f>
        <v>0</v>
      </c>
    </row>
    <row r="482" spans="1:5" x14ac:dyDescent="0.2">
      <c r="A482" s="345">
        <v>42185</v>
      </c>
      <c r="B482" s="253">
        <f t="shared" si="0"/>
        <v>0</v>
      </c>
      <c r="E482" s="14">
        <f>B482-Index_Returns!B482</f>
        <v>0</v>
      </c>
    </row>
    <row r="483" spans="1:5" x14ac:dyDescent="0.2">
      <c r="A483" s="345">
        <v>42216</v>
      </c>
      <c r="B483" s="253">
        <f t="shared" si="0"/>
        <v>0</v>
      </c>
      <c r="E483" s="14">
        <f>B483-Index_Returns!B483</f>
        <v>0</v>
      </c>
    </row>
    <row r="484" spans="1:5" x14ac:dyDescent="0.2">
      <c r="A484" s="345">
        <v>42247</v>
      </c>
      <c r="B484" s="253">
        <f t="shared" si="0"/>
        <v>0</v>
      </c>
      <c r="E484" s="14">
        <f>B484-Index_Returns!B484</f>
        <v>0</v>
      </c>
    </row>
    <row r="485" spans="1:5" x14ac:dyDescent="0.2">
      <c r="A485" s="345">
        <v>42277</v>
      </c>
      <c r="B485" s="253">
        <f t="shared" si="0"/>
        <v>0</v>
      </c>
      <c r="E485" s="14">
        <f>B485-Index_Returns!B485</f>
        <v>0</v>
      </c>
    </row>
    <row r="486" spans="1:5" x14ac:dyDescent="0.2">
      <c r="A486" s="345">
        <v>42308</v>
      </c>
      <c r="B486" s="253">
        <f t="shared" si="0"/>
        <v>0</v>
      </c>
      <c r="E486" s="14">
        <f>B486-Index_Returns!B486</f>
        <v>0</v>
      </c>
    </row>
    <row r="487" spans="1:5" x14ac:dyDescent="0.2">
      <c r="A487" s="345">
        <v>42338</v>
      </c>
      <c r="B487" s="253">
        <f t="shared" si="0"/>
        <v>0</v>
      </c>
      <c r="E487" s="14">
        <f>B487-Index_Returns!B487</f>
        <v>0</v>
      </c>
    </row>
    <row r="488" spans="1:5" x14ac:dyDescent="0.2">
      <c r="A488" s="345">
        <v>42369</v>
      </c>
      <c r="B488" s="253">
        <f t="shared" si="0"/>
        <v>0</v>
      </c>
      <c r="E488" s="14">
        <f>B488-Index_Returns!B488</f>
        <v>0</v>
      </c>
    </row>
  </sheetData>
  <phoneticPr fontId="3" type="noConversion"/>
  <printOptions headings="1" gridLines="1"/>
  <pageMargins left="0.75" right="0.75" top="1" bottom="1" header="0.5" footer="0.5"/>
  <pageSetup scale="12" orientation="portrait" r:id="rId1"/>
  <headerFooter alignWithMargins="0">
    <oddHeader>&amp;L&amp;A</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pageSetUpPr fitToPage="1"/>
  </sheetPr>
  <dimension ref="A1:H489"/>
  <sheetViews>
    <sheetView workbookViewId="0">
      <pane xSplit="1" ySplit="2" topLeftCell="B439" activePane="bottomRight" state="frozen"/>
      <selection activeCell="E452" sqref="E452:E464"/>
      <selection pane="topRight" activeCell="E452" sqref="E452:E464"/>
      <selection pane="bottomLeft" activeCell="E452" sqref="E452:E464"/>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4" width="18.7109375" style="262" customWidth="1"/>
    <col min="5" max="5" width="9.140625" style="14"/>
    <col min="6" max="6" width="12.42578125" bestFit="1" customWidth="1"/>
    <col min="7" max="7" width="17.7109375" style="352" bestFit="1" customWidth="1"/>
    <col min="8" max="8" width="9.140625" style="352"/>
  </cols>
  <sheetData>
    <row r="1" spans="1:6" x14ac:dyDescent="0.2">
      <c r="A1" s="265" t="s">
        <v>888</v>
      </c>
      <c r="B1" s="321" t="s">
        <v>465</v>
      </c>
      <c r="C1" s="1381" t="s">
        <v>7</v>
      </c>
      <c r="D1" s="1370">
        <f>ASRS_E1!D1</f>
        <v>1</v>
      </c>
      <c r="F1" s="1451" t="s">
        <v>815</v>
      </c>
    </row>
    <row r="2" spans="1:6" x14ac:dyDescent="0.2">
      <c r="A2" s="3" t="s">
        <v>27</v>
      </c>
      <c r="B2" s="71" t="s">
        <v>91</v>
      </c>
      <c r="C2" s="226" t="s">
        <v>92</v>
      </c>
      <c r="D2" s="71" t="s">
        <v>90</v>
      </c>
      <c r="E2" s="734" t="s">
        <v>80</v>
      </c>
    </row>
    <row r="3" spans="1:6" x14ac:dyDescent="0.2">
      <c r="A3" s="345">
        <v>27606</v>
      </c>
      <c r="B3" s="71"/>
      <c r="C3" s="226"/>
      <c r="D3" s="71"/>
    </row>
    <row r="4" spans="1:6" x14ac:dyDescent="0.2">
      <c r="A4" s="345">
        <v>27637</v>
      </c>
      <c r="B4" s="71"/>
      <c r="C4" s="226"/>
      <c r="D4" s="71"/>
    </row>
    <row r="5" spans="1:6" x14ac:dyDescent="0.2">
      <c r="A5" s="345">
        <v>27667</v>
      </c>
      <c r="B5" s="71"/>
      <c r="C5" s="226"/>
      <c r="D5" s="71"/>
    </row>
    <row r="6" spans="1:6" x14ac:dyDescent="0.2">
      <c r="A6" s="345">
        <v>27698</v>
      </c>
      <c r="B6" s="71"/>
      <c r="C6" s="226"/>
      <c r="D6" s="71"/>
    </row>
    <row r="7" spans="1:6" x14ac:dyDescent="0.2">
      <c r="A7" s="345">
        <v>27728</v>
      </c>
      <c r="B7" s="71"/>
      <c r="C7" s="226"/>
      <c r="D7" s="71"/>
    </row>
    <row r="8" spans="1:6" x14ac:dyDescent="0.2">
      <c r="A8" s="345">
        <v>27759</v>
      </c>
      <c r="B8" s="71"/>
      <c r="C8" s="226"/>
      <c r="D8" s="71"/>
    </row>
    <row r="9" spans="1:6" x14ac:dyDescent="0.2">
      <c r="A9" s="345">
        <v>27790</v>
      </c>
      <c r="B9" s="71"/>
      <c r="C9" s="226"/>
      <c r="D9" s="71"/>
    </row>
    <row r="10" spans="1:6" x14ac:dyDescent="0.2">
      <c r="A10" s="345">
        <v>27819</v>
      </c>
      <c r="B10" s="71"/>
      <c r="C10" s="226"/>
      <c r="D10" s="71"/>
    </row>
    <row r="11" spans="1:6" x14ac:dyDescent="0.2">
      <c r="A11" s="345">
        <v>27850</v>
      </c>
      <c r="B11" s="71"/>
      <c r="C11" s="226"/>
      <c r="D11" s="71"/>
    </row>
    <row r="12" spans="1:6" x14ac:dyDescent="0.2">
      <c r="A12" s="345">
        <v>27880</v>
      </c>
      <c r="B12" s="71"/>
      <c r="C12" s="226"/>
      <c r="D12" s="71"/>
    </row>
    <row r="13" spans="1:6" x14ac:dyDescent="0.2">
      <c r="A13" s="345">
        <v>27911</v>
      </c>
      <c r="B13" s="71"/>
      <c r="C13" s="226"/>
      <c r="D13" s="71"/>
    </row>
    <row r="14" spans="1:6" x14ac:dyDescent="0.2">
      <c r="A14" s="345">
        <v>27941</v>
      </c>
      <c r="B14" s="71"/>
      <c r="C14" s="226"/>
      <c r="D14" s="71"/>
    </row>
    <row r="15" spans="1:6" x14ac:dyDescent="0.2">
      <c r="A15" s="345">
        <v>27972</v>
      </c>
      <c r="B15" s="71"/>
      <c r="C15" s="226"/>
      <c r="D15" s="71"/>
    </row>
    <row r="16" spans="1:6" x14ac:dyDescent="0.2">
      <c r="A16" s="345">
        <v>28003</v>
      </c>
      <c r="B16" s="71"/>
      <c r="C16" s="226"/>
      <c r="D16" s="71"/>
    </row>
    <row r="17" spans="1:4" x14ac:dyDescent="0.2">
      <c r="A17" s="345">
        <v>28033</v>
      </c>
      <c r="B17" s="71"/>
      <c r="C17" s="226"/>
      <c r="D17" s="71"/>
    </row>
    <row r="18" spans="1:4" x14ac:dyDescent="0.2">
      <c r="A18" s="345">
        <v>28064</v>
      </c>
      <c r="B18" s="71"/>
      <c r="C18" s="226"/>
      <c r="D18" s="71"/>
    </row>
    <row r="19" spans="1:4" x14ac:dyDescent="0.2">
      <c r="A19" s="345">
        <v>28094</v>
      </c>
      <c r="B19" s="71"/>
      <c r="C19" s="226"/>
      <c r="D19" s="71"/>
    </row>
    <row r="20" spans="1:4" x14ac:dyDescent="0.2">
      <c r="A20" s="345">
        <v>28125</v>
      </c>
      <c r="B20" s="71"/>
      <c r="C20" s="226"/>
      <c r="D20" s="71"/>
    </row>
    <row r="21" spans="1:4" x14ac:dyDescent="0.2">
      <c r="A21" s="345">
        <v>28156</v>
      </c>
      <c r="B21" s="71"/>
      <c r="C21" s="226"/>
      <c r="D21" s="71"/>
    </row>
    <row r="22" spans="1:4" x14ac:dyDescent="0.2">
      <c r="A22" s="345">
        <v>28184</v>
      </c>
      <c r="B22" s="71"/>
      <c r="C22" s="226"/>
      <c r="D22" s="71"/>
    </row>
    <row r="23" spans="1:4" x14ac:dyDescent="0.2">
      <c r="A23" s="345">
        <v>28215</v>
      </c>
      <c r="B23" s="71"/>
      <c r="C23" s="226"/>
      <c r="D23" s="71"/>
    </row>
    <row r="24" spans="1:4" x14ac:dyDescent="0.2">
      <c r="A24" s="345">
        <v>28245</v>
      </c>
      <c r="B24" s="71"/>
      <c r="C24" s="226"/>
      <c r="D24" s="71"/>
    </row>
    <row r="25" spans="1:4" x14ac:dyDescent="0.2">
      <c r="A25" s="345">
        <v>28276</v>
      </c>
      <c r="B25" s="71"/>
      <c r="C25" s="226"/>
      <c r="D25" s="71"/>
    </row>
    <row r="26" spans="1:4" x14ac:dyDescent="0.2">
      <c r="A26" s="345">
        <v>28306</v>
      </c>
      <c r="B26" s="71"/>
      <c r="C26" s="226"/>
      <c r="D26" s="71"/>
    </row>
    <row r="27" spans="1:4" x14ac:dyDescent="0.2">
      <c r="A27" s="345">
        <v>28337</v>
      </c>
      <c r="B27" s="71"/>
      <c r="C27" s="226"/>
      <c r="D27" s="71"/>
    </row>
    <row r="28" spans="1:4" x14ac:dyDescent="0.2">
      <c r="A28" s="345">
        <v>28368</v>
      </c>
      <c r="B28" s="71"/>
      <c r="C28" s="226"/>
      <c r="D28" s="71"/>
    </row>
    <row r="29" spans="1:4" x14ac:dyDescent="0.2">
      <c r="A29" s="345">
        <v>28398</v>
      </c>
      <c r="B29" s="71"/>
      <c r="C29" s="226"/>
      <c r="D29" s="71"/>
    </row>
    <row r="30" spans="1:4" x14ac:dyDescent="0.2">
      <c r="A30" s="345">
        <v>28429</v>
      </c>
      <c r="B30" s="71"/>
      <c r="C30" s="226"/>
      <c r="D30" s="71"/>
    </row>
    <row r="31" spans="1:4" x14ac:dyDescent="0.2">
      <c r="A31" s="345">
        <v>28459</v>
      </c>
      <c r="B31" s="71"/>
      <c r="C31" s="226"/>
      <c r="D31" s="71"/>
    </row>
    <row r="32" spans="1:4" x14ac:dyDescent="0.2">
      <c r="A32" s="345">
        <v>28490</v>
      </c>
      <c r="B32" s="71"/>
      <c r="C32" s="226"/>
      <c r="D32" s="71"/>
    </row>
    <row r="33" spans="1:4" x14ac:dyDescent="0.2">
      <c r="A33" s="345">
        <v>28521</v>
      </c>
      <c r="B33" s="71"/>
      <c r="C33" s="226"/>
      <c r="D33" s="71"/>
    </row>
    <row r="34" spans="1:4" x14ac:dyDescent="0.2">
      <c r="A34" s="345">
        <v>28549</v>
      </c>
      <c r="B34" s="71"/>
      <c r="C34" s="226"/>
      <c r="D34" s="71"/>
    </row>
    <row r="35" spans="1:4" x14ac:dyDescent="0.2">
      <c r="A35" s="345">
        <v>28580</v>
      </c>
      <c r="B35" s="71"/>
      <c r="C35" s="226"/>
      <c r="D35" s="71"/>
    </row>
    <row r="36" spans="1:4" x14ac:dyDescent="0.2">
      <c r="A36" s="345">
        <v>28610</v>
      </c>
      <c r="B36" s="71"/>
      <c r="C36" s="226"/>
      <c r="D36" s="71"/>
    </row>
    <row r="37" spans="1:4" x14ac:dyDescent="0.2">
      <c r="A37" s="345">
        <v>28641</v>
      </c>
      <c r="B37" s="71"/>
      <c r="C37" s="226"/>
      <c r="D37" s="71"/>
    </row>
    <row r="38" spans="1:4" x14ac:dyDescent="0.2">
      <c r="A38" s="345">
        <v>28671</v>
      </c>
      <c r="B38" s="71"/>
      <c r="C38" s="226"/>
      <c r="D38" s="71"/>
    </row>
    <row r="39" spans="1:4" x14ac:dyDescent="0.2">
      <c r="A39" s="345">
        <v>28702</v>
      </c>
      <c r="B39" s="71"/>
      <c r="C39" s="226"/>
      <c r="D39" s="71"/>
    </row>
    <row r="40" spans="1:4" x14ac:dyDescent="0.2">
      <c r="A40" s="345">
        <v>28733</v>
      </c>
      <c r="B40" s="71"/>
      <c r="C40" s="226"/>
      <c r="D40" s="71"/>
    </row>
    <row r="41" spans="1:4" x14ac:dyDescent="0.2">
      <c r="A41" s="345">
        <v>28763</v>
      </c>
      <c r="B41" s="71"/>
      <c r="C41" s="226"/>
      <c r="D41" s="71"/>
    </row>
    <row r="42" spans="1:4" x14ac:dyDescent="0.2">
      <c r="A42" s="345">
        <v>28794</v>
      </c>
      <c r="B42" s="71"/>
      <c r="C42" s="226"/>
      <c r="D42" s="71"/>
    </row>
    <row r="43" spans="1:4" x14ac:dyDescent="0.2">
      <c r="A43" s="345">
        <v>28824</v>
      </c>
      <c r="B43" s="71"/>
      <c r="C43" s="226"/>
      <c r="D43" s="71"/>
    </row>
    <row r="44" spans="1:4" x14ac:dyDescent="0.2">
      <c r="A44" s="345">
        <v>28855</v>
      </c>
      <c r="B44" s="71"/>
      <c r="C44" s="226"/>
      <c r="D44" s="71"/>
    </row>
    <row r="45" spans="1:4" x14ac:dyDescent="0.2">
      <c r="A45" s="345">
        <v>28886</v>
      </c>
      <c r="B45" s="71"/>
      <c r="C45" s="226"/>
      <c r="D45" s="71"/>
    </row>
    <row r="46" spans="1:4" x14ac:dyDescent="0.2">
      <c r="A46" s="345">
        <v>28914</v>
      </c>
      <c r="B46" s="71"/>
      <c r="C46" s="226"/>
      <c r="D46" s="71"/>
    </row>
    <row r="47" spans="1:4" x14ac:dyDescent="0.2">
      <c r="A47" s="345">
        <v>28945</v>
      </c>
      <c r="B47" s="71"/>
      <c r="C47" s="226"/>
      <c r="D47" s="71"/>
    </row>
    <row r="48" spans="1:4" x14ac:dyDescent="0.2">
      <c r="A48" s="345">
        <v>28975</v>
      </c>
      <c r="B48" s="71"/>
      <c r="C48" s="226"/>
      <c r="D48" s="71"/>
    </row>
    <row r="49" spans="1:4" x14ac:dyDescent="0.2">
      <c r="A49" s="345">
        <v>29006</v>
      </c>
      <c r="B49" s="71"/>
      <c r="C49" s="226"/>
      <c r="D49" s="71"/>
    </row>
    <row r="50" spans="1:4" x14ac:dyDescent="0.2">
      <c r="A50" s="345">
        <v>29036</v>
      </c>
      <c r="B50" s="71"/>
      <c r="C50" s="226"/>
      <c r="D50" s="71"/>
    </row>
    <row r="51" spans="1:4" x14ac:dyDescent="0.2">
      <c r="A51" s="345">
        <v>29067</v>
      </c>
      <c r="B51" s="71"/>
      <c r="C51" s="226"/>
      <c r="D51" s="71"/>
    </row>
    <row r="52" spans="1:4" x14ac:dyDescent="0.2">
      <c r="A52" s="345">
        <v>29098</v>
      </c>
      <c r="B52" s="71"/>
      <c r="C52" s="226"/>
      <c r="D52" s="71"/>
    </row>
    <row r="53" spans="1:4" x14ac:dyDescent="0.2">
      <c r="A53" s="345">
        <v>29128</v>
      </c>
      <c r="B53" s="71"/>
      <c r="C53" s="226"/>
      <c r="D53" s="71"/>
    </row>
    <row r="54" spans="1:4" x14ac:dyDescent="0.2">
      <c r="A54" s="345">
        <v>29159</v>
      </c>
      <c r="B54" s="71"/>
      <c r="C54" s="226"/>
      <c r="D54" s="71"/>
    </row>
    <row r="55" spans="1:4" x14ac:dyDescent="0.2">
      <c r="A55" s="345">
        <v>29189</v>
      </c>
      <c r="B55" s="71"/>
      <c r="C55" s="226"/>
      <c r="D55" s="71"/>
    </row>
    <row r="56" spans="1:4" x14ac:dyDescent="0.2">
      <c r="A56" s="345">
        <v>29220</v>
      </c>
      <c r="B56" s="71"/>
      <c r="C56" s="226"/>
      <c r="D56" s="71"/>
    </row>
    <row r="57" spans="1:4" x14ac:dyDescent="0.2">
      <c r="A57" s="345">
        <v>29251</v>
      </c>
      <c r="B57" s="71"/>
      <c r="C57" s="226"/>
      <c r="D57" s="71"/>
    </row>
    <row r="58" spans="1:4" x14ac:dyDescent="0.2">
      <c r="A58" s="345">
        <v>29280</v>
      </c>
      <c r="B58" s="71"/>
      <c r="C58" s="226"/>
      <c r="D58" s="71"/>
    </row>
    <row r="59" spans="1:4" x14ac:dyDescent="0.2">
      <c r="A59" s="345">
        <v>29311</v>
      </c>
      <c r="B59" s="71"/>
      <c r="C59" s="226"/>
      <c r="D59" s="71"/>
    </row>
    <row r="60" spans="1:4" x14ac:dyDescent="0.2">
      <c r="A60" s="345">
        <v>29341</v>
      </c>
      <c r="B60" s="71"/>
      <c r="C60" s="226"/>
      <c r="D60" s="71"/>
    </row>
    <row r="61" spans="1:4" x14ac:dyDescent="0.2">
      <c r="A61" s="345">
        <v>29372</v>
      </c>
      <c r="B61" s="71"/>
      <c r="C61" s="226"/>
      <c r="D61" s="71"/>
    </row>
    <row r="62" spans="1:4" x14ac:dyDescent="0.2">
      <c r="A62" s="345">
        <v>29402</v>
      </c>
      <c r="B62" s="71"/>
      <c r="C62" s="226"/>
      <c r="D62" s="71"/>
    </row>
    <row r="63" spans="1:4" x14ac:dyDescent="0.2">
      <c r="A63" s="345">
        <v>29433</v>
      </c>
      <c r="B63" s="71"/>
      <c r="C63" s="226"/>
      <c r="D63" s="71"/>
    </row>
    <row r="64" spans="1:4" x14ac:dyDescent="0.2">
      <c r="A64" s="345">
        <v>29464</v>
      </c>
      <c r="B64" s="71"/>
      <c r="C64" s="226"/>
      <c r="D64" s="71"/>
    </row>
    <row r="65" spans="1:4" x14ac:dyDescent="0.2">
      <c r="A65" s="345">
        <v>29494</v>
      </c>
      <c r="B65" s="71"/>
      <c r="C65" s="226"/>
      <c r="D65" s="71"/>
    </row>
    <row r="66" spans="1:4" x14ac:dyDescent="0.2">
      <c r="A66" s="345">
        <v>29525</v>
      </c>
      <c r="B66" s="71"/>
      <c r="C66" s="226"/>
      <c r="D66" s="71"/>
    </row>
    <row r="67" spans="1:4" x14ac:dyDescent="0.2">
      <c r="A67" s="345">
        <v>29555</v>
      </c>
      <c r="B67" s="71"/>
      <c r="C67" s="226"/>
      <c r="D67" s="71"/>
    </row>
    <row r="68" spans="1:4" x14ac:dyDescent="0.2">
      <c r="A68" s="345">
        <v>29586</v>
      </c>
      <c r="B68" s="71"/>
      <c r="C68" s="226"/>
      <c r="D68" s="71"/>
    </row>
    <row r="69" spans="1:4" x14ac:dyDescent="0.2">
      <c r="A69" s="345">
        <v>29617</v>
      </c>
      <c r="B69" s="71"/>
      <c r="C69" s="226"/>
      <c r="D69" s="71"/>
    </row>
    <row r="70" spans="1:4" x14ac:dyDescent="0.2">
      <c r="A70" s="345">
        <v>29645</v>
      </c>
      <c r="B70" s="71"/>
      <c r="C70" s="226"/>
      <c r="D70" s="71"/>
    </row>
    <row r="71" spans="1:4" x14ac:dyDescent="0.2">
      <c r="A71" s="345">
        <v>29676</v>
      </c>
      <c r="B71" s="71"/>
      <c r="C71" s="226"/>
      <c r="D71" s="71"/>
    </row>
    <row r="72" spans="1:4" x14ac:dyDescent="0.2">
      <c r="A72" s="345">
        <v>29706</v>
      </c>
      <c r="B72" s="71"/>
      <c r="C72" s="226"/>
      <c r="D72" s="71"/>
    </row>
    <row r="73" spans="1:4" x14ac:dyDescent="0.2">
      <c r="A73" s="345">
        <v>29737</v>
      </c>
      <c r="B73" s="71"/>
      <c r="C73" s="226"/>
      <c r="D73" s="71"/>
    </row>
    <row r="74" spans="1:4" x14ac:dyDescent="0.2">
      <c r="A74" s="345">
        <v>29767</v>
      </c>
      <c r="B74" s="71"/>
      <c r="C74" s="226"/>
      <c r="D74" s="71"/>
    </row>
    <row r="75" spans="1:4" x14ac:dyDescent="0.2">
      <c r="A75" s="345">
        <v>29798</v>
      </c>
      <c r="B75" s="71"/>
      <c r="C75" s="226"/>
      <c r="D75" s="71"/>
    </row>
    <row r="76" spans="1:4" x14ac:dyDescent="0.2">
      <c r="A76" s="345">
        <v>29829</v>
      </c>
      <c r="B76" s="71"/>
      <c r="C76" s="226"/>
      <c r="D76" s="71"/>
    </row>
    <row r="77" spans="1:4" x14ac:dyDescent="0.2">
      <c r="A77" s="345">
        <v>29859</v>
      </c>
      <c r="B77" s="71"/>
      <c r="C77" s="226"/>
      <c r="D77" s="71"/>
    </row>
    <row r="78" spans="1:4" x14ac:dyDescent="0.2">
      <c r="A78" s="345">
        <v>29890</v>
      </c>
      <c r="B78" s="71"/>
      <c r="C78" s="226"/>
      <c r="D78" s="71"/>
    </row>
    <row r="79" spans="1:4" x14ac:dyDescent="0.2">
      <c r="A79" s="345">
        <v>29920</v>
      </c>
      <c r="B79" s="71"/>
      <c r="C79" s="226"/>
      <c r="D79" s="71"/>
    </row>
    <row r="80" spans="1:4" x14ac:dyDescent="0.2">
      <c r="A80" s="345">
        <v>29951</v>
      </c>
      <c r="B80" s="71"/>
      <c r="C80" s="226"/>
      <c r="D80" s="71"/>
    </row>
    <row r="81" spans="1:4" x14ac:dyDescent="0.2">
      <c r="A81" s="345">
        <v>29982</v>
      </c>
      <c r="B81" s="71"/>
      <c r="C81" s="226"/>
      <c r="D81" s="71"/>
    </row>
    <row r="82" spans="1:4" x14ac:dyDescent="0.2">
      <c r="A82" s="345">
        <v>30010</v>
      </c>
      <c r="B82" s="71"/>
      <c r="C82" s="226"/>
      <c r="D82" s="71"/>
    </row>
    <row r="83" spans="1:4" x14ac:dyDescent="0.2">
      <c r="A83" s="345">
        <v>30041</v>
      </c>
      <c r="B83" s="71"/>
      <c r="C83" s="226"/>
      <c r="D83" s="71"/>
    </row>
    <row r="84" spans="1:4" x14ac:dyDescent="0.2">
      <c r="A84" s="345">
        <v>30071</v>
      </c>
      <c r="B84" s="71"/>
      <c r="C84" s="226"/>
      <c r="D84" s="71"/>
    </row>
    <row r="85" spans="1:4" x14ac:dyDescent="0.2">
      <c r="A85" s="345">
        <v>30102</v>
      </c>
      <c r="B85" s="71"/>
      <c r="C85" s="226"/>
      <c r="D85" s="71"/>
    </row>
    <row r="86" spans="1:4" x14ac:dyDescent="0.2">
      <c r="A86" s="345">
        <v>30132</v>
      </c>
      <c r="B86" s="71"/>
      <c r="C86" s="226"/>
      <c r="D86" s="71"/>
    </row>
    <row r="87" spans="1:4" x14ac:dyDescent="0.2">
      <c r="A87" s="345">
        <v>30163</v>
      </c>
      <c r="B87" s="71"/>
      <c r="C87" s="226"/>
      <c r="D87" s="71"/>
    </row>
    <row r="88" spans="1:4" x14ac:dyDescent="0.2">
      <c r="A88" s="345">
        <v>30194</v>
      </c>
      <c r="B88" s="71"/>
      <c r="C88" s="226"/>
      <c r="D88" s="71"/>
    </row>
    <row r="89" spans="1:4" x14ac:dyDescent="0.2">
      <c r="A89" s="345">
        <v>30224</v>
      </c>
      <c r="B89" s="71"/>
      <c r="C89" s="226"/>
      <c r="D89" s="71"/>
    </row>
    <row r="90" spans="1:4" x14ac:dyDescent="0.2">
      <c r="A90" s="345">
        <v>30255</v>
      </c>
      <c r="B90" s="71"/>
      <c r="C90" s="226"/>
      <c r="D90" s="71"/>
    </row>
    <row r="91" spans="1:4" x14ac:dyDescent="0.2">
      <c r="A91" s="345">
        <v>30285</v>
      </c>
      <c r="B91" s="71"/>
      <c r="C91" s="226"/>
      <c r="D91" s="71"/>
    </row>
    <row r="92" spans="1:4" x14ac:dyDescent="0.2">
      <c r="A92" s="345">
        <v>30316</v>
      </c>
      <c r="B92" s="71"/>
      <c r="C92" s="226"/>
      <c r="D92" s="71"/>
    </row>
    <row r="93" spans="1:4" x14ac:dyDescent="0.2">
      <c r="A93" s="345">
        <v>30347</v>
      </c>
      <c r="B93" s="71"/>
      <c r="C93" s="226"/>
      <c r="D93" s="71"/>
    </row>
    <row r="94" spans="1:4" x14ac:dyDescent="0.2">
      <c r="A94" s="345">
        <v>30375</v>
      </c>
      <c r="B94" s="71"/>
      <c r="C94" s="226"/>
      <c r="D94" s="71"/>
    </row>
    <row r="95" spans="1:4" x14ac:dyDescent="0.2">
      <c r="A95" s="345">
        <v>30406</v>
      </c>
      <c r="B95" s="71"/>
      <c r="C95" s="226"/>
      <c r="D95" s="71"/>
    </row>
    <row r="96" spans="1:4" x14ac:dyDescent="0.2">
      <c r="A96" s="345">
        <v>30436</v>
      </c>
      <c r="B96" s="71"/>
      <c r="C96" s="226"/>
      <c r="D96" s="71"/>
    </row>
    <row r="97" spans="1:4" x14ac:dyDescent="0.2">
      <c r="A97" s="345">
        <v>30467</v>
      </c>
      <c r="B97" s="71"/>
      <c r="C97" s="226"/>
      <c r="D97" s="71"/>
    </row>
    <row r="98" spans="1:4" x14ac:dyDescent="0.2">
      <c r="A98" s="345">
        <v>30497</v>
      </c>
      <c r="B98" s="71"/>
      <c r="C98" s="226"/>
      <c r="D98" s="71"/>
    </row>
    <row r="99" spans="1:4" x14ac:dyDescent="0.2">
      <c r="A99" s="345">
        <v>30528</v>
      </c>
      <c r="B99" s="71"/>
      <c r="C99" s="226"/>
      <c r="D99" s="71"/>
    </row>
    <row r="100" spans="1:4" x14ac:dyDescent="0.2">
      <c r="A100" s="345">
        <v>30559</v>
      </c>
      <c r="B100" s="71"/>
      <c r="C100" s="226"/>
      <c r="D100" s="71"/>
    </row>
    <row r="101" spans="1:4" x14ac:dyDescent="0.2">
      <c r="A101" s="345">
        <v>30589</v>
      </c>
      <c r="B101" s="71"/>
      <c r="C101" s="226"/>
      <c r="D101" s="71"/>
    </row>
    <row r="102" spans="1:4" x14ac:dyDescent="0.2">
      <c r="A102" s="345">
        <v>30620</v>
      </c>
      <c r="B102" s="71"/>
      <c r="C102" s="226"/>
      <c r="D102" s="71"/>
    </row>
    <row r="103" spans="1:4" x14ac:dyDescent="0.2">
      <c r="A103" s="345">
        <v>30650</v>
      </c>
      <c r="B103" s="71"/>
      <c r="C103" s="226"/>
      <c r="D103" s="71"/>
    </row>
    <row r="104" spans="1:4" x14ac:dyDescent="0.2">
      <c r="A104" s="345">
        <v>30681</v>
      </c>
      <c r="B104" s="71"/>
      <c r="C104" s="226"/>
      <c r="D104" s="71"/>
    </row>
    <row r="105" spans="1:4" x14ac:dyDescent="0.2">
      <c r="A105" s="345">
        <v>30712</v>
      </c>
      <c r="B105" s="71"/>
      <c r="C105" s="226"/>
      <c r="D105" s="71"/>
    </row>
    <row r="106" spans="1:4" x14ac:dyDescent="0.2">
      <c r="A106" s="345">
        <v>30741</v>
      </c>
      <c r="B106" s="71"/>
      <c r="C106" s="226"/>
      <c r="D106" s="71"/>
    </row>
    <row r="107" spans="1:4" x14ac:dyDescent="0.2">
      <c r="A107" s="345">
        <v>30772</v>
      </c>
      <c r="B107" s="71"/>
      <c r="C107" s="226"/>
      <c r="D107" s="71"/>
    </row>
    <row r="108" spans="1:4" x14ac:dyDescent="0.2">
      <c r="A108" s="345">
        <v>30802</v>
      </c>
      <c r="B108" s="71"/>
      <c r="C108" s="226"/>
      <c r="D108" s="71"/>
    </row>
    <row r="109" spans="1:4" x14ac:dyDescent="0.2">
      <c r="A109" s="345">
        <v>30833</v>
      </c>
      <c r="B109" s="71"/>
      <c r="C109" s="226"/>
      <c r="D109" s="71"/>
    </row>
    <row r="110" spans="1:4" x14ac:dyDescent="0.2">
      <c r="A110" s="345">
        <v>30863</v>
      </c>
      <c r="B110" s="71"/>
      <c r="C110" s="226"/>
      <c r="D110" s="71"/>
    </row>
    <row r="111" spans="1:4" x14ac:dyDescent="0.2">
      <c r="A111" s="345">
        <v>30894</v>
      </c>
      <c r="B111" s="71"/>
      <c r="C111" s="226"/>
      <c r="D111" s="71"/>
    </row>
    <row r="112" spans="1:4" x14ac:dyDescent="0.2">
      <c r="A112" s="345">
        <v>30925</v>
      </c>
      <c r="B112" s="71"/>
      <c r="C112" s="226"/>
      <c r="D112" s="71"/>
    </row>
    <row r="113" spans="1:4" x14ac:dyDescent="0.2">
      <c r="A113" s="345">
        <v>30955</v>
      </c>
      <c r="B113" s="71"/>
      <c r="C113" s="226"/>
      <c r="D113" s="71"/>
    </row>
    <row r="114" spans="1:4" x14ac:dyDescent="0.2">
      <c r="A114" s="345">
        <v>30986</v>
      </c>
      <c r="B114" s="71"/>
      <c r="C114" s="226"/>
      <c r="D114" s="71"/>
    </row>
    <row r="115" spans="1:4" x14ac:dyDescent="0.2">
      <c r="A115" s="345">
        <v>31016</v>
      </c>
      <c r="B115" s="71"/>
      <c r="C115" s="226"/>
      <c r="D115" s="71"/>
    </row>
    <row r="116" spans="1:4" x14ac:dyDescent="0.2">
      <c r="A116" s="345">
        <v>31047</v>
      </c>
      <c r="B116" s="71"/>
      <c r="C116" s="226"/>
      <c r="D116" s="71"/>
    </row>
    <row r="117" spans="1:4" x14ac:dyDescent="0.2">
      <c r="A117" s="345">
        <v>31078</v>
      </c>
      <c r="B117" s="71"/>
      <c r="C117" s="226"/>
      <c r="D117" s="71"/>
    </row>
    <row r="118" spans="1:4" x14ac:dyDescent="0.2">
      <c r="A118" s="345">
        <v>31106</v>
      </c>
      <c r="B118" s="71"/>
      <c r="C118" s="226"/>
      <c r="D118" s="71"/>
    </row>
    <row r="119" spans="1:4" x14ac:dyDescent="0.2">
      <c r="A119" s="345">
        <v>31137</v>
      </c>
      <c r="B119" s="71"/>
      <c r="C119" s="226"/>
      <c r="D119" s="71"/>
    </row>
    <row r="120" spans="1:4" x14ac:dyDescent="0.2">
      <c r="A120" s="345">
        <v>31167</v>
      </c>
      <c r="B120" s="71"/>
      <c r="C120" s="226"/>
      <c r="D120" s="71"/>
    </row>
    <row r="121" spans="1:4" x14ac:dyDescent="0.2">
      <c r="A121" s="345">
        <v>31198</v>
      </c>
      <c r="B121" s="71"/>
      <c r="C121" s="226"/>
      <c r="D121" s="71"/>
    </row>
    <row r="122" spans="1:4" x14ac:dyDescent="0.2">
      <c r="A122" s="345">
        <v>31228</v>
      </c>
      <c r="B122" s="71"/>
      <c r="C122" s="226"/>
      <c r="D122" s="71"/>
    </row>
    <row r="123" spans="1:4" x14ac:dyDescent="0.2">
      <c r="A123" s="345">
        <v>31259</v>
      </c>
      <c r="B123" s="71"/>
      <c r="C123" s="226"/>
      <c r="D123" s="71"/>
    </row>
    <row r="124" spans="1:4" x14ac:dyDescent="0.2">
      <c r="A124" s="345">
        <v>31290</v>
      </c>
      <c r="B124" s="71"/>
      <c r="C124" s="226"/>
      <c r="D124" s="71"/>
    </row>
    <row r="125" spans="1:4" x14ac:dyDescent="0.2">
      <c r="A125" s="345">
        <v>31320</v>
      </c>
      <c r="B125" s="71"/>
      <c r="C125" s="226"/>
      <c r="D125" s="71"/>
    </row>
    <row r="126" spans="1:4" x14ac:dyDescent="0.2">
      <c r="A126" s="345">
        <v>31351</v>
      </c>
      <c r="B126" s="71"/>
      <c r="C126" s="226"/>
      <c r="D126" s="71"/>
    </row>
    <row r="127" spans="1:4" x14ac:dyDescent="0.2">
      <c r="A127" s="345">
        <v>31381</v>
      </c>
      <c r="B127" s="71"/>
      <c r="C127" s="226"/>
      <c r="D127" s="71"/>
    </row>
    <row r="128" spans="1:4" x14ac:dyDescent="0.2">
      <c r="A128" s="345">
        <v>31412</v>
      </c>
      <c r="B128" s="71"/>
      <c r="C128" s="226"/>
      <c r="D128" s="71"/>
    </row>
    <row r="129" spans="1:4" x14ac:dyDescent="0.2">
      <c r="A129" s="345">
        <v>31443</v>
      </c>
      <c r="B129" s="71"/>
      <c r="C129" s="226"/>
      <c r="D129" s="71"/>
    </row>
    <row r="130" spans="1:4" x14ac:dyDescent="0.2">
      <c r="A130" s="345">
        <v>31471</v>
      </c>
      <c r="B130" s="71"/>
      <c r="C130" s="226"/>
      <c r="D130" s="71"/>
    </row>
    <row r="131" spans="1:4" x14ac:dyDescent="0.2">
      <c r="A131" s="345">
        <v>31502</v>
      </c>
      <c r="B131" s="71"/>
      <c r="C131" s="226"/>
      <c r="D131" s="71"/>
    </row>
    <row r="132" spans="1:4" x14ac:dyDescent="0.2">
      <c r="A132" s="345">
        <v>31532</v>
      </c>
      <c r="B132" s="71"/>
      <c r="C132" s="226"/>
      <c r="D132" s="71"/>
    </row>
    <row r="133" spans="1:4" x14ac:dyDescent="0.2">
      <c r="A133" s="345">
        <v>31563</v>
      </c>
      <c r="B133" s="71"/>
      <c r="C133" s="226"/>
      <c r="D133" s="71"/>
    </row>
    <row r="134" spans="1:4" x14ac:dyDescent="0.2">
      <c r="A134" s="345">
        <v>31593</v>
      </c>
      <c r="B134" s="71"/>
      <c r="C134" s="226"/>
      <c r="D134" s="71"/>
    </row>
    <row r="135" spans="1:4" x14ac:dyDescent="0.2">
      <c r="A135" s="345">
        <v>31624</v>
      </c>
      <c r="B135" s="71"/>
      <c r="C135" s="226"/>
      <c r="D135" s="71"/>
    </row>
    <row r="136" spans="1:4" x14ac:dyDescent="0.2">
      <c r="A136" s="345">
        <v>31655</v>
      </c>
      <c r="B136" s="71"/>
      <c r="C136" s="226"/>
      <c r="D136" s="71"/>
    </row>
    <row r="137" spans="1:4" x14ac:dyDescent="0.2">
      <c r="A137" s="345">
        <v>31685</v>
      </c>
      <c r="B137" s="71"/>
      <c r="C137" s="226"/>
      <c r="D137" s="71"/>
    </row>
    <row r="138" spans="1:4" x14ac:dyDescent="0.2">
      <c r="A138" s="345">
        <v>31716</v>
      </c>
      <c r="B138" s="71"/>
      <c r="C138" s="226"/>
      <c r="D138" s="71"/>
    </row>
    <row r="139" spans="1:4" x14ac:dyDescent="0.2">
      <c r="A139" s="345">
        <v>31746</v>
      </c>
      <c r="B139" s="71"/>
      <c r="C139" s="226"/>
      <c r="D139" s="71"/>
    </row>
    <row r="140" spans="1:4" x14ac:dyDescent="0.2">
      <c r="A140" s="345">
        <v>31777</v>
      </c>
      <c r="B140" s="71"/>
      <c r="C140" s="226"/>
      <c r="D140" s="71"/>
    </row>
    <row r="141" spans="1:4" x14ac:dyDescent="0.2">
      <c r="A141" s="345">
        <v>31808</v>
      </c>
      <c r="B141" s="73"/>
      <c r="C141" s="25"/>
      <c r="D141" s="79"/>
    </row>
    <row r="142" spans="1:4" x14ac:dyDescent="0.2">
      <c r="A142" s="345">
        <v>31836</v>
      </c>
      <c r="B142" s="73"/>
      <c r="C142" s="25"/>
      <c r="D142" s="79"/>
    </row>
    <row r="143" spans="1:4" x14ac:dyDescent="0.2">
      <c r="A143" s="345">
        <v>31867</v>
      </c>
      <c r="B143" s="73"/>
      <c r="C143" s="25"/>
      <c r="D143" s="79"/>
    </row>
    <row r="144" spans="1:4" x14ac:dyDescent="0.2">
      <c r="A144" s="345">
        <v>31897</v>
      </c>
      <c r="B144" s="73"/>
      <c r="C144" s="25"/>
      <c r="D144" s="79"/>
    </row>
    <row r="145" spans="1:4" x14ac:dyDescent="0.2">
      <c r="A145" s="345">
        <v>31928</v>
      </c>
      <c r="B145" s="73"/>
      <c r="C145" s="25"/>
      <c r="D145" s="79"/>
    </row>
    <row r="146" spans="1:4" x14ac:dyDescent="0.2">
      <c r="A146" s="345">
        <v>31958</v>
      </c>
      <c r="B146" s="73"/>
      <c r="C146" s="25"/>
      <c r="D146" s="79"/>
    </row>
    <row r="147" spans="1:4" x14ac:dyDescent="0.2">
      <c r="A147" s="345">
        <v>31989</v>
      </c>
      <c r="B147" s="73"/>
      <c r="C147" s="25"/>
      <c r="D147" s="79"/>
    </row>
    <row r="148" spans="1:4" x14ac:dyDescent="0.2">
      <c r="A148" s="345">
        <v>32020</v>
      </c>
      <c r="B148" s="73"/>
      <c r="C148" s="25"/>
      <c r="D148" s="79"/>
    </row>
    <row r="149" spans="1:4" x14ac:dyDescent="0.2">
      <c r="A149" s="345">
        <v>32050</v>
      </c>
      <c r="B149" s="73"/>
      <c r="C149" s="25"/>
      <c r="D149" s="79"/>
    </row>
    <row r="150" spans="1:4" x14ac:dyDescent="0.2">
      <c r="A150" s="345">
        <v>32081</v>
      </c>
      <c r="B150" s="73"/>
      <c r="C150" s="25"/>
      <c r="D150" s="79"/>
    </row>
    <row r="151" spans="1:4" x14ac:dyDescent="0.2">
      <c r="A151" s="345">
        <v>32111</v>
      </c>
      <c r="B151" s="73"/>
      <c r="C151" s="25"/>
      <c r="D151" s="79"/>
    </row>
    <row r="152" spans="1:4" x14ac:dyDescent="0.2">
      <c r="A152" s="345">
        <v>32142</v>
      </c>
      <c r="B152" s="73"/>
      <c r="C152" s="25"/>
      <c r="D152" s="79"/>
    </row>
    <row r="153" spans="1:4" x14ac:dyDescent="0.2">
      <c r="A153" s="345">
        <v>32173</v>
      </c>
      <c r="B153" s="73"/>
      <c r="C153" s="25"/>
      <c r="D153" s="79"/>
    </row>
    <row r="154" spans="1:4" x14ac:dyDescent="0.2">
      <c r="A154" s="345">
        <v>32202</v>
      </c>
      <c r="B154" s="73"/>
      <c r="C154" s="25"/>
      <c r="D154" s="79"/>
    </row>
    <row r="155" spans="1:4" x14ac:dyDescent="0.2">
      <c r="A155" s="345">
        <v>32233</v>
      </c>
      <c r="B155" s="73"/>
      <c r="C155" s="25"/>
      <c r="D155" s="79"/>
    </row>
    <row r="156" spans="1:4" x14ac:dyDescent="0.2">
      <c r="A156" s="345">
        <v>32263</v>
      </c>
      <c r="B156" s="73"/>
      <c r="C156" s="25"/>
      <c r="D156" s="79"/>
    </row>
    <row r="157" spans="1:4" x14ac:dyDescent="0.2">
      <c r="A157" s="345">
        <v>32294</v>
      </c>
      <c r="B157" s="73"/>
      <c r="C157" s="25"/>
      <c r="D157" s="79"/>
    </row>
    <row r="158" spans="1:4" x14ac:dyDescent="0.2">
      <c r="A158" s="345">
        <v>32324</v>
      </c>
      <c r="B158" s="73"/>
      <c r="C158" s="25"/>
      <c r="D158" s="79"/>
    </row>
    <row r="159" spans="1:4" x14ac:dyDescent="0.2">
      <c r="A159" s="345">
        <v>32355</v>
      </c>
      <c r="B159" s="73"/>
      <c r="C159" s="25"/>
      <c r="D159" s="79"/>
    </row>
    <row r="160" spans="1:4" x14ac:dyDescent="0.2">
      <c r="A160" s="345">
        <v>32386</v>
      </c>
      <c r="B160" s="73"/>
      <c r="C160" s="25"/>
      <c r="D160" s="79"/>
    </row>
    <row r="161" spans="1:4" x14ac:dyDescent="0.2">
      <c r="A161" s="345">
        <v>32416</v>
      </c>
      <c r="B161" s="73"/>
      <c r="C161" s="25"/>
      <c r="D161" s="79"/>
    </row>
    <row r="162" spans="1:4" x14ac:dyDescent="0.2">
      <c r="A162" s="345">
        <v>32447</v>
      </c>
      <c r="B162" s="73"/>
      <c r="C162" s="25"/>
      <c r="D162" s="79"/>
    </row>
    <row r="163" spans="1:4" x14ac:dyDescent="0.2">
      <c r="A163" s="345">
        <v>32477</v>
      </c>
      <c r="B163" s="73"/>
      <c r="C163" s="25"/>
      <c r="D163" s="79"/>
    </row>
    <row r="164" spans="1:4" x14ac:dyDescent="0.2">
      <c r="A164" s="345">
        <v>32508</v>
      </c>
      <c r="B164" s="73"/>
      <c r="C164" s="25"/>
      <c r="D164" s="79"/>
    </row>
    <row r="165" spans="1:4" x14ac:dyDescent="0.2">
      <c r="A165" s="345">
        <v>32539</v>
      </c>
      <c r="B165" s="73"/>
      <c r="C165" s="25"/>
      <c r="D165" s="79"/>
    </row>
    <row r="166" spans="1:4" x14ac:dyDescent="0.2">
      <c r="A166" s="345">
        <v>32567</v>
      </c>
      <c r="B166" s="73"/>
      <c r="C166" s="25"/>
      <c r="D166" s="79"/>
    </row>
    <row r="167" spans="1:4" x14ac:dyDescent="0.2">
      <c r="A167" s="345">
        <v>32598</v>
      </c>
      <c r="B167" s="73"/>
      <c r="C167" s="25"/>
      <c r="D167" s="79"/>
    </row>
    <row r="168" spans="1:4" x14ac:dyDescent="0.2">
      <c r="A168" s="345">
        <v>32628</v>
      </c>
      <c r="B168" s="73"/>
      <c r="C168" s="25"/>
      <c r="D168" s="79"/>
    </row>
    <row r="169" spans="1:4" x14ac:dyDescent="0.2">
      <c r="A169" s="345">
        <v>32659</v>
      </c>
      <c r="B169" s="73"/>
      <c r="C169" s="25"/>
      <c r="D169" s="79"/>
    </row>
    <row r="170" spans="1:4" x14ac:dyDescent="0.2">
      <c r="A170" s="345">
        <v>32689</v>
      </c>
      <c r="B170" s="73"/>
      <c r="C170" s="25"/>
      <c r="D170" s="79"/>
    </row>
    <row r="171" spans="1:4" x14ac:dyDescent="0.2">
      <c r="A171" s="345">
        <v>32720</v>
      </c>
      <c r="B171" s="73"/>
      <c r="C171" s="25"/>
      <c r="D171" s="79"/>
    </row>
    <row r="172" spans="1:4" x14ac:dyDescent="0.2">
      <c r="A172" s="345">
        <v>32751</v>
      </c>
      <c r="B172" s="73"/>
      <c r="C172" s="25"/>
      <c r="D172" s="79"/>
    </row>
    <row r="173" spans="1:4" x14ac:dyDescent="0.2">
      <c r="A173" s="345">
        <v>32781</v>
      </c>
      <c r="B173" s="73"/>
      <c r="C173" s="25"/>
      <c r="D173" s="79"/>
    </row>
    <row r="174" spans="1:4" x14ac:dyDescent="0.2">
      <c r="A174" s="345">
        <v>32812</v>
      </c>
      <c r="B174" s="73"/>
      <c r="C174" s="25"/>
      <c r="D174" s="79"/>
    </row>
    <row r="175" spans="1:4" x14ac:dyDescent="0.2">
      <c r="A175" s="345">
        <v>32842</v>
      </c>
      <c r="B175" s="73"/>
      <c r="C175" s="25"/>
      <c r="D175" s="79"/>
    </row>
    <row r="176" spans="1:4" x14ac:dyDescent="0.2">
      <c r="A176" s="345">
        <v>32873</v>
      </c>
      <c r="B176" s="73"/>
      <c r="C176" s="25"/>
      <c r="D176" s="79"/>
    </row>
    <row r="177" spans="1:4" x14ac:dyDescent="0.2">
      <c r="A177" s="345">
        <v>32904</v>
      </c>
      <c r="B177" s="73"/>
      <c r="C177" s="25"/>
      <c r="D177" s="79"/>
    </row>
    <row r="178" spans="1:4" x14ac:dyDescent="0.2">
      <c r="A178" s="345">
        <v>32932</v>
      </c>
      <c r="B178" s="73"/>
      <c r="C178" s="25"/>
      <c r="D178" s="79"/>
    </row>
    <row r="179" spans="1:4" x14ac:dyDescent="0.2">
      <c r="A179" s="345">
        <v>32963</v>
      </c>
      <c r="B179" s="73"/>
      <c r="C179" s="25"/>
      <c r="D179" s="79"/>
    </row>
    <row r="180" spans="1:4" x14ac:dyDescent="0.2">
      <c r="A180" s="345">
        <v>32993</v>
      </c>
      <c r="B180" s="73"/>
      <c r="C180" s="25"/>
      <c r="D180" s="79"/>
    </row>
    <row r="181" spans="1:4" x14ac:dyDescent="0.2">
      <c r="A181" s="345">
        <v>33024</v>
      </c>
      <c r="B181" s="73"/>
      <c r="C181" s="25"/>
      <c r="D181" s="79"/>
    </row>
    <row r="182" spans="1:4" x14ac:dyDescent="0.2">
      <c r="A182" s="345">
        <v>33054</v>
      </c>
      <c r="B182" s="73"/>
      <c r="C182" s="25"/>
      <c r="D182" s="79"/>
    </row>
    <row r="183" spans="1:4" x14ac:dyDescent="0.2">
      <c r="A183" s="345">
        <v>33085</v>
      </c>
      <c r="B183" s="73"/>
      <c r="C183" s="25"/>
      <c r="D183" s="79"/>
    </row>
    <row r="184" spans="1:4" x14ac:dyDescent="0.2">
      <c r="A184" s="345">
        <v>33116</v>
      </c>
      <c r="B184" s="73"/>
      <c r="C184" s="25"/>
      <c r="D184" s="79"/>
    </row>
    <row r="185" spans="1:4" x14ac:dyDescent="0.2">
      <c r="A185" s="345">
        <v>33146</v>
      </c>
      <c r="B185" s="73"/>
      <c r="C185" s="25"/>
      <c r="D185" s="79"/>
    </row>
    <row r="186" spans="1:4" x14ac:dyDescent="0.2">
      <c r="A186" s="345">
        <v>33177</v>
      </c>
      <c r="B186" s="73"/>
      <c r="C186" s="25"/>
      <c r="D186" s="79"/>
    </row>
    <row r="187" spans="1:4" x14ac:dyDescent="0.2">
      <c r="A187" s="345">
        <v>33207</v>
      </c>
      <c r="B187" s="73"/>
      <c r="C187" s="25"/>
      <c r="D187" s="79"/>
    </row>
    <row r="188" spans="1:4" x14ac:dyDescent="0.2">
      <c r="A188" s="345">
        <v>33238</v>
      </c>
      <c r="B188" s="73"/>
      <c r="C188" s="25"/>
      <c r="D188" s="79"/>
    </row>
    <row r="189" spans="1:4" x14ac:dyDescent="0.2">
      <c r="A189" s="345">
        <v>33269</v>
      </c>
      <c r="B189" s="73"/>
      <c r="C189" s="25"/>
      <c r="D189" s="79"/>
    </row>
    <row r="190" spans="1:4" x14ac:dyDescent="0.2">
      <c r="A190" s="345">
        <v>33297</v>
      </c>
      <c r="B190" s="73"/>
      <c r="C190" s="25"/>
      <c r="D190" s="79"/>
    </row>
    <row r="191" spans="1:4" x14ac:dyDescent="0.2">
      <c r="A191" s="345">
        <v>33328</v>
      </c>
      <c r="B191" s="73"/>
      <c r="C191" s="25"/>
      <c r="D191" s="79"/>
    </row>
    <row r="192" spans="1:4" x14ac:dyDescent="0.2">
      <c r="A192" s="345">
        <v>33358</v>
      </c>
      <c r="B192" s="73"/>
      <c r="C192" s="25"/>
      <c r="D192" s="79"/>
    </row>
    <row r="193" spans="1:4" x14ac:dyDescent="0.2">
      <c r="A193" s="345">
        <v>33389</v>
      </c>
      <c r="B193" s="73"/>
      <c r="C193" s="25"/>
      <c r="D193" s="79"/>
    </row>
    <row r="194" spans="1:4" x14ac:dyDescent="0.2">
      <c r="A194" s="345">
        <v>33419</v>
      </c>
      <c r="B194" s="73"/>
      <c r="C194" s="25"/>
      <c r="D194" s="79"/>
    </row>
    <row r="195" spans="1:4" x14ac:dyDescent="0.2">
      <c r="A195" s="345">
        <v>33450</v>
      </c>
      <c r="B195" s="73"/>
      <c r="C195" s="25"/>
      <c r="D195" s="79"/>
    </row>
    <row r="196" spans="1:4" x14ac:dyDescent="0.2">
      <c r="A196" s="345">
        <v>33481</v>
      </c>
      <c r="B196" s="73"/>
      <c r="C196" s="25"/>
      <c r="D196" s="79"/>
    </row>
    <row r="197" spans="1:4" x14ac:dyDescent="0.2">
      <c r="A197" s="345">
        <v>33511</v>
      </c>
      <c r="B197" s="73"/>
      <c r="C197" s="25"/>
      <c r="D197" s="79"/>
    </row>
    <row r="198" spans="1:4" x14ac:dyDescent="0.2">
      <c r="A198" s="345">
        <v>33542</v>
      </c>
      <c r="B198" s="73"/>
      <c r="C198" s="25"/>
      <c r="D198" s="79"/>
    </row>
    <row r="199" spans="1:4" x14ac:dyDescent="0.2">
      <c r="A199" s="345">
        <v>33572</v>
      </c>
      <c r="B199" s="73"/>
      <c r="C199" s="25"/>
      <c r="D199" s="79"/>
    </row>
    <row r="200" spans="1:4" x14ac:dyDescent="0.2">
      <c r="A200" s="345">
        <v>33603</v>
      </c>
      <c r="B200" s="73"/>
      <c r="C200" s="25"/>
      <c r="D200" s="79"/>
    </row>
    <row r="201" spans="1:4" x14ac:dyDescent="0.2">
      <c r="A201" s="345">
        <v>33634</v>
      </c>
      <c r="B201" s="73"/>
      <c r="C201" s="25"/>
      <c r="D201" s="79"/>
    </row>
    <row r="202" spans="1:4" x14ac:dyDescent="0.2">
      <c r="A202" s="345">
        <v>33663</v>
      </c>
      <c r="B202" s="73"/>
      <c r="C202" s="25"/>
      <c r="D202" s="79"/>
    </row>
    <row r="203" spans="1:4" x14ac:dyDescent="0.2">
      <c r="A203" s="345">
        <v>33694</v>
      </c>
      <c r="B203" s="73"/>
      <c r="C203" s="25"/>
      <c r="D203" s="79"/>
    </row>
    <row r="204" spans="1:4" x14ac:dyDescent="0.2">
      <c r="A204" s="345">
        <v>33724</v>
      </c>
      <c r="B204" s="73"/>
      <c r="C204" s="25"/>
      <c r="D204" s="79"/>
    </row>
    <row r="205" spans="1:4" x14ac:dyDescent="0.2">
      <c r="A205" s="345">
        <v>33755</v>
      </c>
      <c r="B205" s="73"/>
      <c r="C205" s="25"/>
      <c r="D205" s="79"/>
    </row>
    <row r="206" spans="1:4" x14ac:dyDescent="0.2">
      <c r="A206" s="345">
        <v>33785</v>
      </c>
      <c r="B206" s="73"/>
      <c r="C206" s="25"/>
      <c r="D206" s="79"/>
    </row>
    <row r="207" spans="1:4" x14ac:dyDescent="0.2">
      <c r="A207" s="345">
        <v>33816</v>
      </c>
      <c r="B207" s="73"/>
      <c r="C207" s="25"/>
      <c r="D207" s="79"/>
    </row>
    <row r="208" spans="1:4" x14ac:dyDescent="0.2">
      <c r="A208" s="345">
        <v>33847</v>
      </c>
      <c r="B208" s="73"/>
      <c r="C208" s="25"/>
      <c r="D208" s="79"/>
    </row>
    <row r="209" spans="1:4" x14ac:dyDescent="0.2">
      <c r="A209" s="345">
        <v>33877</v>
      </c>
      <c r="B209" s="73"/>
      <c r="C209" s="25"/>
      <c r="D209" s="79"/>
    </row>
    <row r="210" spans="1:4" x14ac:dyDescent="0.2">
      <c r="A210" s="345">
        <v>33908</v>
      </c>
      <c r="B210" s="73"/>
      <c r="C210" s="25"/>
      <c r="D210" s="79"/>
    </row>
    <row r="211" spans="1:4" x14ac:dyDescent="0.2">
      <c r="A211" s="345">
        <v>33938</v>
      </c>
      <c r="B211" s="73"/>
      <c r="C211" s="25"/>
      <c r="D211" s="79"/>
    </row>
    <row r="212" spans="1:4" x14ac:dyDescent="0.2">
      <c r="A212" s="345">
        <v>33969</v>
      </c>
      <c r="B212" s="73"/>
      <c r="C212" s="25"/>
      <c r="D212" s="79"/>
    </row>
    <row r="213" spans="1:4" x14ac:dyDescent="0.2">
      <c r="A213" s="345">
        <v>34000</v>
      </c>
      <c r="B213" s="73"/>
      <c r="C213" s="25"/>
      <c r="D213" s="79"/>
    </row>
    <row r="214" spans="1:4" x14ac:dyDescent="0.2">
      <c r="A214" s="345">
        <v>34028</v>
      </c>
      <c r="B214" s="73"/>
      <c r="C214" s="25"/>
      <c r="D214" s="79"/>
    </row>
    <row r="215" spans="1:4" x14ac:dyDescent="0.2">
      <c r="A215" s="345">
        <v>34059</v>
      </c>
      <c r="B215" s="73"/>
      <c r="C215" s="25"/>
      <c r="D215" s="79"/>
    </row>
    <row r="216" spans="1:4" x14ac:dyDescent="0.2">
      <c r="A216" s="345">
        <v>34089</v>
      </c>
      <c r="B216" s="73"/>
      <c r="C216" s="25"/>
      <c r="D216" s="79"/>
    </row>
    <row r="217" spans="1:4" x14ac:dyDescent="0.2">
      <c r="A217" s="345">
        <v>34120</v>
      </c>
      <c r="B217" s="73"/>
      <c r="C217" s="25"/>
      <c r="D217" s="79"/>
    </row>
    <row r="218" spans="1:4" x14ac:dyDescent="0.2">
      <c r="A218" s="345">
        <v>34150</v>
      </c>
      <c r="B218" s="73"/>
      <c r="C218" s="25"/>
      <c r="D218" s="79"/>
    </row>
    <row r="219" spans="1:4" x14ac:dyDescent="0.2">
      <c r="A219" s="345">
        <v>34181</v>
      </c>
      <c r="B219" s="73"/>
      <c r="C219" s="25"/>
      <c r="D219" s="79"/>
    </row>
    <row r="220" spans="1:4" x14ac:dyDescent="0.2">
      <c r="A220" s="345">
        <v>34212</v>
      </c>
      <c r="B220" s="73"/>
      <c r="C220" s="25"/>
      <c r="D220" s="79"/>
    </row>
    <row r="221" spans="1:4" x14ac:dyDescent="0.2">
      <c r="A221" s="345">
        <v>34242</v>
      </c>
      <c r="B221" s="73"/>
      <c r="C221" s="25"/>
      <c r="D221" s="79"/>
    </row>
    <row r="222" spans="1:4" x14ac:dyDescent="0.2">
      <c r="A222" s="345">
        <v>34273</v>
      </c>
      <c r="B222" s="73"/>
      <c r="C222" s="25"/>
      <c r="D222" s="79"/>
    </row>
    <row r="223" spans="1:4" x14ac:dyDescent="0.2">
      <c r="A223" s="345">
        <v>34303</v>
      </c>
      <c r="B223" s="73"/>
      <c r="C223" s="25"/>
      <c r="D223" s="79"/>
    </row>
    <row r="224" spans="1:4" x14ac:dyDescent="0.2">
      <c r="A224" s="345">
        <v>34334</v>
      </c>
      <c r="B224" s="73"/>
      <c r="C224" s="25"/>
      <c r="D224" s="79"/>
    </row>
    <row r="225" spans="1:4" x14ac:dyDescent="0.2">
      <c r="A225" s="345">
        <v>34365</v>
      </c>
      <c r="B225" s="73"/>
      <c r="C225" s="25"/>
      <c r="D225" s="79"/>
    </row>
    <row r="226" spans="1:4" x14ac:dyDescent="0.2">
      <c r="A226" s="345">
        <v>34393</v>
      </c>
      <c r="B226" s="73"/>
      <c r="C226" s="25"/>
      <c r="D226" s="79"/>
    </row>
    <row r="227" spans="1:4" x14ac:dyDescent="0.2">
      <c r="A227" s="345">
        <v>34424</v>
      </c>
      <c r="B227" s="73"/>
      <c r="C227" s="25"/>
      <c r="D227" s="79"/>
    </row>
    <row r="228" spans="1:4" x14ac:dyDescent="0.2">
      <c r="A228" s="345">
        <v>34454</v>
      </c>
      <c r="B228" s="73"/>
      <c r="C228" s="25"/>
      <c r="D228" s="79"/>
    </row>
    <row r="229" spans="1:4" x14ac:dyDescent="0.2">
      <c r="A229" s="345">
        <v>34485</v>
      </c>
      <c r="B229" s="73"/>
      <c r="C229" s="25"/>
      <c r="D229" s="79"/>
    </row>
    <row r="230" spans="1:4" x14ac:dyDescent="0.2">
      <c r="A230" s="345">
        <v>34515</v>
      </c>
      <c r="B230" s="73"/>
      <c r="C230" s="25"/>
      <c r="D230" s="79"/>
    </row>
    <row r="231" spans="1:4" x14ac:dyDescent="0.2">
      <c r="A231" s="345">
        <v>34546</v>
      </c>
      <c r="B231" s="73"/>
      <c r="C231" s="25"/>
      <c r="D231" s="79"/>
    </row>
    <row r="232" spans="1:4" x14ac:dyDescent="0.2">
      <c r="A232" s="345">
        <v>34577</v>
      </c>
      <c r="B232" s="73"/>
      <c r="C232" s="25"/>
      <c r="D232" s="79"/>
    </row>
    <row r="233" spans="1:4" x14ac:dyDescent="0.2">
      <c r="A233" s="345">
        <v>34607</v>
      </c>
      <c r="B233" s="73"/>
      <c r="C233" s="25"/>
      <c r="D233" s="79"/>
    </row>
    <row r="234" spans="1:4" x14ac:dyDescent="0.2">
      <c r="A234" s="345">
        <v>34638</v>
      </c>
      <c r="B234" s="73"/>
      <c r="C234" s="25"/>
      <c r="D234" s="79"/>
    </row>
    <row r="235" spans="1:4" x14ac:dyDescent="0.2">
      <c r="A235" s="345">
        <v>34668</v>
      </c>
      <c r="B235" s="73"/>
      <c r="C235" s="25"/>
      <c r="D235" s="79"/>
    </row>
    <row r="236" spans="1:4" x14ac:dyDescent="0.2">
      <c r="A236" s="345">
        <v>34699</v>
      </c>
      <c r="B236" s="73"/>
      <c r="C236" s="25"/>
      <c r="D236" s="79"/>
    </row>
    <row r="237" spans="1:4" x14ac:dyDescent="0.2">
      <c r="A237" s="345">
        <v>34730</v>
      </c>
      <c r="B237" s="73"/>
      <c r="C237" s="25"/>
      <c r="D237" s="79"/>
    </row>
    <row r="238" spans="1:4" x14ac:dyDescent="0.2">
      <c r="A238" s="345">
        <v>34758</v>
      </c>
      <c r="B238" s="73"/>
      <c r="C238" s="25"/>
      <c r="D238" s="79"/>
    </row>
    <row r="239" spans="1:4" x14ac:dyDescent="0.2">
      <c r="A239" s="345">
        <v>34789</v>
      </c>
      <c r="B239" s="73"/>
      <c r="C239" s="25"/>
      <c r="D239" s="79"/>
    </row>
    <row r="240" spans="1:4" x14ac:dyDescent="0.2">
      <c r="A240" s="345">
        <v>34819</v>
      </c>
      <c r="B240" s="73"/>
      <c r="C240" s="25"/>
      <c r="D240" s="79"/>
    </row>
    <row r="241" spans="1:4" x14ac:dyDescent="0.2">
      <c r="A241" s="345">
        <v>34850</v>
      </c>
      <c r="B241" s="73"/>
      <c r="C241" s="25"/>
      <c r="D241" s="79"/>
    </row>
    <row r="242" spans="1:4" x14ac:dyDescent="0.2">
      <c r="A242" s="345">
        <v>34880</v>
      </c>
      <c r="B242" s="73"/>
      <c r="C242" s="25"/>
      <c r="D242" s="79"/>
    </row>
    <row r="243" spans="1:4" x14ac:dyDescent="0.2">
      <c r="A243" s="345">
        <v>34911</v>
      </c>
      <c r="B243" s="73"/>
      <c r="C243" s="25"/>
      <c r="D243" s="79"/>
    </row>
    <row r="244" spans="1:4" x14ac:dyDescent="0.2">
      <c r="A244" s="345">
        <v>34942</v>
      </c>
      <c r="B244" s="73"/>
      <c r="C244" s="25"/>
      <c r="D244" s="79"/>
    </row>
    <row r="245" spans="1:4" x14ac:dyDescent="0.2">
      <c r="A245" s="345">
        <v>34972</v>
      </c>
      <c r="B245" s="73"/>
      <c r="C245" s="25"/>
      <c r="D245" s="79"/>
    </row>
    <row r="246" spans="1:4" x14ac:dyDescent="0.2">
      <c r="A246" s="345">
        <v>35003</v>
      </c>
      <c r="B246" s="73"/>
      <c r="C246" s="25"/>
      <c r="D246" s="79"/>
    </row>
    <row r="247" spans="1:4" x14ac:dyDescent="0.2">
      <c r="A247" s="345">
        <v>35033</v>
      </c>
      <c r="B247" s="73"/>
      <c r="C247" s="25"/>
      <c r="D247" s="79"/>
    </row>
    <row r="248" spans="1:4" x14ac:dyDescent="0.2">
      <c r="A248" s="345">
        <v>35064</v>
      </c>
      <c r="B248" s="73"/>
      <c r="C248" s="25"/>
      <c r="D248" s="79"/>
    </row>
    <row r="249" spans="1:4" x14ac:dyDescent="0.2">
      <c r="A249" s="345">
        <v>35095</v>
      </c>
      <c r="B249" s="73"/>
      <c r="C249" s="25"/>
      <c r="D249" s="79"/>
    </row>
    <row r="250" spans="1:4" x14ac:dyDescent="0.2">
      <c r="A250" s="345">
        <v>35124</v>
      </c>
      <c r="B250" s="73"/>
      <c r="C250" s="25"/>
      <c r="D250" s="79"/>
    </row>
    <row r="251" spans="1:4" x14ac:dyDescent="0.2">
      <c r="A251" s="345">
        <v>35155</v>
      </c>
      <c r="B251" s="73"/>
      <c r="C251" s="25"/>
      <c r="D251" s="79"/>
    </row>
    <row r="252" spans="1:4" x14ac:dyDescent="0.2">
      <c r="A252" s="345">
        <v>35185</v>
      </c>
      <c r="B252" s="73"/>
      <c r="C252" s="25"/>
      <c r="D252" s="79"/>
    </row>
    <row r="253" spans="1:4" x14ac:dyDescent="0.2">
      <c r="A253" s="345">
        <v>35216</v>
      </c>
      <c r="B253" s="73"/>
      <c r="C253" s="25"/>
      <c r="D253" s="79"/>
    </row>
    <row r="254" spans="1:4" x14ac:dyDescent="0.2">
      <c r="A254" s="345">
        <v>35246</v>
      </c>
      <c r="B254" s="73"/>
      <c r="C254" s="25"/>
      <c r="D254" s="79"/>
    </row>
    <row r="255" spans="1:4" x14ac:dyDescent="0.2">
      <c r="A255" s="345">
        <v>35277</v>
      </c>
      <c r="B255" s="73"/>
      <c r="C255" s="25"/>
      <c r="D255" s="79"/>
    </row>
    <row r="256" spans="1:4" x14ac:dyDescent="0.2">
      <c r="A256" s="345">
        <v>35308</v>
      </c>
      <c r="B256" s="73"/>
      <c r="C256" s="25"/>
      <c r="D256" s="79"/>
    </row>
    <row r="257" spans="1:4" x14ac:dyDescent="0.2">
      <c r="A257" s="345">
        <v>35338</v>
      </c>
      <c r="B257" s="73"/>
      <c r="C257" s="25"/>
      <c r="D257" s="79"/>
    </row>
    <row r="258" spans="1:4" x14ac:dyDescent="0.2">
      <c r="A258" s="345">
        <v>35369</v>
      </c>
      <c r="B258" s="73"/>
      <c r="C258" s="25"/>
      <c r="D258" s="79"/>
    </row>
    <row r="259" spans="1:4" x14ac:dyDescent="0.2">
      <c r="A259" s="345">
        <v>35399</v>
      </c>
      <c r="B259" s="73"/>
      <c r="C259" s="25"/>
      <c r="D259" s="79"/>
    </row>
    <row r="260" spans="1:4" x14ac:dyDescent="0.2">
      <c r="A260" s="345">
        <v>35430</v>
      </c>
      <c r="B260" s="73"/>
      <c r="C260" s="25"/>
      <c r="D260" s="79"/>
    </row>
    <row r="261" spans="1:4" x14ac:dyDescent="0.2">
      <c r="A261" s="345">
        <v>35461</v>
      </c>
      <c r="B261" s="73"/>
      <c r="C261" s="25"/>
      <c r="D261" s="79"/>
    </row>
    <row r="262" spans="1:4" x14ac:dyDescent="0.2">
      <c r="A262" s="345">
        <v>35489</v>
      </c>
      <c r="B262" s="73"/>
      <c r="C262" s="25"/>
      <c r="D262" s="79"/>
    </row>
    <row r="263" spans="1:4" x14ac:dyDescent="0.2">
      <c r="A263" s="345">
        <v>35520</v>
      </c>
      <c r="B263" s="73"/>
      <c r="C263" s="25"/>
      <c r="D263" s="79"/>
    </row>
    <row r="264" spans="1:4" x14ac:dyDescent="0.2">
      <c r="A264" s="345">
        <v>35550</v>
      </c>
      <c r="B264" s="1369"/>
      <c r="C264" s="35"/>
      <c r="D264" s="79"/>
    </row>
    <row r="265" spans="1:4" x14ac:dyDescent="0.2">
      <c r="A265" s="345">
        <v>35581</v>
      </c>
      <c r="B265" s="1369"/>
      <c r="C265" s="35"/>
      <c r="D265" s="79"/>
    </row>
    <row r="266" spans="1:4" x14ac:dyDescent="0.2">
      <c r="A266" s="345">
        <v>35611</v>
      </c>
      <c r="B266" s="1369"/>
      <c r="C266" s="35"/>
      <c r="D266" s="79"/>
    </row>
    <row r="267" spans="1:4" x14ac:dyDescent="0.2">
      <c r="A267" s="345">
        <v>35642</v>
      </c>
      <c r="B267" s="1369"/>
      <c r="C267" s="35"/>
      <c r="D267" s="79"/>
    </row>
    <row r="268" spans="1:4" x14ac:dyDescent="0.2">
      <c r="A268" s="345">
        <v>35673</v>
      </c>
      <c r="B268" s="1369"/>
      <c r="C268" s="35"/>
      <c r="D268" s="79"/>
    </row>
    <row r="269" spans="1:4" x14ac:dyDescent="0.2">
      <c r="A269" s="345">
        <v>35703</v>
      </c>
      <c r="B269" s="1369"/>
      <c r="C269" s="35"/>
      <c r="D269" s="79"/>
    </row>
    <row r="270" spans="1:4" x14ac:dyDescent="0.2">
      <c r="A270" s="345">
        <v>35734</v>
      </c>
      <c r="B270" s="1369"/>
      <c r="C270" s="35"/>
      <c r="D270" s="79"/>
    </row>
    <row r="271" spans="1:4" x14ac:dyDescent="0.2">
      <c r="A271" s="345">
        <v>35764</v>
      </c>
      <c r="B271" s="1369"/>
      <c r="C271" s="35"/>
      <c r="D271" s="79"/>
    </row>
    <row r="272" spans="1:4" x14ac:dyDescent="0.2">
      <c r="A272" s="345">
        <v>35795</v>
      </c>
      <c r="B272" s="1369"/>
      <c r="C272" s="35"/>
      <c r="D272" s="79"/>
    </row>
    <row r="273" spans="1:4" x14ac:dyDescent="0.2">
      <c r="A273" s="345">
        <v>35826</v>
      </c>
      <c r="B273" s="1369"/>
      <c r="C273" s="35"/>
      <c r="D273" s="79"/>
    </row>
    <row r="274" spans="1:4" x14ac:dyDescent="0.2">
      <c r="A274" s="345">
        <v>35854</v>
      </c>
      <c r="B274" s="1369"/>
      <c r="C274" s="35"/>
      <c r="D274" s="79"/>
    </row>
    <row r="275" spans="1:4" x14ac:dyDescent="0.2">
      <c r="A275" s="345">
        <v>35885</v>
      </c>
      <c r="B275" s="1369"/>
      <c r="C275" s="33"/>
      <c r="D275" s="79"/>
    </row>
    <row r="276" spans="1:4" x14ac:dyDescent="0.2">
      <c r="A276" s="345">
        <v>35915</v>
      </c>
      <c r="B276" s="1369"/>
      <c r="C276" s="33"/>
      <c r="D276" s="79"/>
    </row>
    <row r="277" spans="1:4" x14ac:dyDescent="0.2">
      <c r="A277" s="345">
        <v>35946</v>
      </c>
      <c r="B277" s="1369"/>
      <c r="C277" s="33"/>
      <c r="D277" s="79"/>
    </row>
    <row r="278" spans="1:4" x14ac:dyDescent="0.2">
      <c r="A278" s="345">
        <v>35976</v>
      </c>
      <c r="B278" s="1369"/>
      <c r="C278" s="33"/>
      <c r="D278" s="79"/>
    </row>
    <row r="279" spans="1:4" x14ac:dyDescent="0.2">
      <c r="A279" s="345">
        <v>36007</v>
      </c>
      <c r="B279" s="1369"/>
      <c r="C279" s="33"/>
      <c r="D279" s="79"/>
    </row>
    <row r="280" spans="1:4" x14ac:dyDescent="0.2">
      <c r="A280" s="345">
        <v>36038</v>
      </c>
      <c r="B280" s="1369"/>
      <c r="C280" s="33"/>
      <c r="D280" s="79"/>
    </row>
    <row r="281" spans="1:4" x14ac:dyDescent="0.2">
      <c r="A281" s="345">
        <v>36068</v>
      </c>
      <c r="B281" s="1369"/>
      <c r="C281" s="33"/>
      <c r="D281" s="79"/>
    </row>
    <row r="282" spans="1:4" x14ac:dyDescent="0.2">
      <c r="A282" s="345">
        <v>36099</v>
      </c>
      <c r="B282" s="1369"/>
      <c r="C282" s="33"/>
      <c r="D282" s="79"/>
    </row>
    <row r="283" spans="1:4" x14ac:dyDescent="0.2">
      <c r="A283" s="345">
        <v>36129</v>
      </c>
      <c r="B283" s="1369"/>
      <c r="C283" s="33"/>
      <c r="D283" s="79"/>
    </row>
    <row r="284" spans="1:4" x14ac:dyDescent="0.2">
      <c r="A284" s="345">
        <v>36160</v>
      </c>
      <c r="B284" s="1369"/>
      <c r="C284" s="33"/>
      <c r="D284" s="79"/>
    </row>
    <row r="285" spans="1:4" x14ac:dyDescent="0.2">
      <c r="A285" s="345">
        <v>36191</v>
      </c>
      <c r="B285" s="1369"/>
      <c r="C285" s="33"/>
      <c r="D285" s="79"/>
    </row>
    <row r="286" spans="1:4" x14ac:dyDescent="0.2">
      <c r="A286" s="345">
        <v>36219</v>
      </c>
      <c r="B286" s="1369"/>
      <c r="C286" s="33"/>
      <c r="D286" s="79"/>
    </row>
    <row r="287" spans="1:4" x14ac:dyDescent="0.2">
      <c r="A287" s="345">
        <v>36250</v>
      </c>
      <c r="B287" s="1369"/>
      <c r="C287" s="33"/>
      <c r="D287" s="79"/>
    </row>
    <row r="288" spans="1:4" x14ac:dyDescent="0.2">
      <c r="A288" s="345">
        <v>36280</v>
      </c>
      <c r="B288" s="1369"/>
      <c r="C288" s="33"/>
      <c r="D288" s="79"/>
    </row>
    <row r="289" spans="1:4" x14ac:dyDescent="0.2">
      <c r="A289" s="345">
        <v>36311</v>
      </c>
      <c r="B289" s="1369"/>
      <c r="C289" s="33"/>
      <c r="D289" s="79"/>
    </row>
    <row r="290" spans="1:4" x14ac:dyDescent="0.2">
      <c r="A290" s="345">
        <v>36341</v>
      </c>
      <c r="B290" s="1369"/>
      <c r="C290" s="33"/>
      <c r="D290" s="79"/>
    </row>
    <row r="291" spans="1:4" x14ac:dyDescent="0.2">
      <c r="A291" s="345">
        <v>36372</v>
      </c>
      <c r="B291" s="1369"/>
      <c r="C291" s="33"/>
      <c r="D291" s="79"/>
    </row>
    <row r="292" spans="1:4" x14ac:dyDescent="0.2">
      <c r="A292" s="345">
        <v>36403</v>
      </c>
      <c r="B292" s="1369"/>
      <c r="C292" s="33"/>
      <c r="D292" s="79"/>
    </row>
    <row r="293" spans="1:4" x14ac:dyDescent="0.2">
      <c r="A293" s="345">
        <v>36433</v>
      </c>
      <c r="B293" s="1369"/>
      <c r="C293" s="33"/>
      <c r="D293" s="79"/>
    </row>
    <row r="294" spans="1:4" x14ac:dyDescent="0.2">
      <c r="A294" s="345">
        <v>36464</v>
      </c>
      <c r="B294" s="1369"/>
      <c r="C294" s="33"/>
      <c r="D294" s="79"/>
    </row>
    <row r="295" spans="1:4" x14ac:dyDescent="0.2">
      <c r="A295" s="345">
        <v>36494</v>
      </c>
      <c r="B295" s="1369"/>
      <c r="C295" s="33"/>
      <c r="D295" s="79"/>
    </row>
    <row r="296" spans="1:4" x14ac:dyDescent="0.2">
      <c r="A296" s="345">
        <v>36525</v>
      </c>
      <c r="B296" s="1369"/>
      <c r="C296" s="33"/>
      <c r="D296" s="79"/>
    </row>
    <row r="297" spans="1:4" x14ac:dyDescent="0.2">
      <c r="A297" s="345">
        <v>36556</v>
      </c>
      <c r="B297" s="1369"/>
      <c r="C297" s="33"/>
      <c r="D297" s="79"/>
    </row>
    <row r="298" spans="1:4" x14ac:dyDescent="0.2">
      <c r="A298" s="345">
        <v>36585</v>
      </c>
      <c r="B298" s="1369"/>
      <c r="C298" s="33"/>
      <c r="D298" s="79"/>
    </row>
    <row r="299" spans="1:4" x14ac:dyDescent="0.2">
      <c r="A299" s="345">
        <v>36616</v>
      </c>
      <c r="B299" s="1369"/>
      <c r="C299" s="33"/>
      <c r="D299" s="79"/>
    </row>
    <row r="300" spans="1:4" x14ac:dyDescent="0.2">
      <c r="A300" s="345">
        <v>36646</v>
      </c>
      <c r="B300" s="1369"/>
      <c r="C300" s="33"/>
      <c r="D300" s="79"/>
    </row>
    <row r="301" spans="1:4" x14ac:dyDescent="0.2">
      <c r="A301" s="345">
        <v>36677</v>
      </c>
      <c r="B301" s="1369"/>
      <c r="C301" s="33"/>
      <c r="D301" s="79"/>
    </row>
    <row r="302" spans="1:4" x14ac:dyDescent="0.2">
      <c r="A302" s="345">
        <v>36707</v>
      </c>
      <c r="B302" s="1369"/>
      <c r="C302" s="33"/>
      <c r="D302" s="79"/>
    </row>
    <row r="303" spans="1:4" x14ac:dyDescent="0.2">
      <c r="A303" s="345">
        <v>36738</v>
      </c>
      <c r="B303" s="1369"/>
      <c r="C303" s="33"/>
      <c r="D303" s="79"/>
    </row>
    <row r="304" spans="1:4" x14ac:dyDescent="0.2">
      <c r="A304" s="345">
        <v>36769</v>
      </c>
      <c r="B304" s="1369"/>
      <c r="C304" s="33"/>
      <c r="D304" s="79"/>
    </row>
    <row r="305" spans="1:4" x14ac:dyDescent="0.2">
      <c r="A305" s="345">
        <v>36799</v>
      </c>
      <c r="B305" s="1369"/>
      <c r="C305" s="33"/>
      <c r="D305" s="79"/>
    </row>
    <row r="306" spans="1:4" x14ac:dyDescent="0.2">
      <c r="A306" s="345">
        <v>36830</v>
      </c>
      <c r="B306" s="1369"/>
      <c r="C306" s="33"/>
      <c r="D306" s="79"/>
    </row>
    <row r="307" spans="1:4" x14ac:dyDescent="0.2">
      <c r="A307" s="345">
        <v>36860</v>
      </c>
      <c r="B307" s="1369"/>
      <c r="C307" s="33"/>
      <c r="D307" s="79"/>
    </row>
    <row r="308" spans="1:4" x14ac:dyDescent="0.2">
      <c r="A308" s="345">
        <v>36891</v>
      </c>
      <c r="B308" s="1369"/>
      <c r="C308" s="33"/>
      <c r="D308" s="79"/>
    </row>
    <row r="309" spans="1:4" x14ac:dyDescent="0.2">
      <c r="A309" s="345">
        <v>36922</v>
      </c>
      <c r="B309" s="1369"/>
      <c r="C309" s="33"/>
      <c r="D309" s="79"/>
    </row>
    <row r="310" spans="1:4" x14ac:dyDescent="0.2">
      <c r="A310" s="345">
        <v>36950</v>
      </c>
      <c r="B310" s="1369"/>
      <c r="C310" s="33"/>
      <c r="D310" s="79"/>
    </row>
    <row r="311" spans="1:4" x14ac:dyDescent="0.2">
      <c r="A311" s="345">
        <v>36981</v>
      </c>
      <c r="B311" s="1369"/>
      <c r="C311" s="33"/>
      <c r="D311" s="79"/>
    </row>
    <row r="312" spans="1:4" x14ac:dyDescent="0.2">
      <c r="A312" s="345">
        <v>37011</v>
      </c>
      <c r="B312" s="1369"/>
      <c r="C312" s="33"/>
      <c r="D312" s="79"/>
    </row>
    <row r="313" spans="1:4" x14ac:dyDescent="0.2">
      <c r="A313" s="345">
        <v>37042</v>
      </c>
      <c r="B313" s="1369"/>
      <c r="C313" s="33"/>
      <c r="D313" s="79"/>
    </row>
    <row r="314" spans="1:4" x14ac:dyDescent="0.2">
      <c r="A314" s="345">
        <v>37072</v>
      </c>
      <c r="B314" s="1369"/>
      <c r="C314" s="33"/>
      <c r="D314" s="79"/>
    </row>
    <row r="315" spans="1:4" x14ac:dyDescent="0.2">
      <c r="A315" s="345">
        <v>37103</v>
      </c>
      <c r="B315" s="1369"/>
      <c r="C315" s="33"/>
      <c r="D315" s="79"/>
    </row>
    <row r="316" spans="1:4" x14ac:dyDescent="0.2">
      <c r="A316" s="345">
        <v>37134</v>
      </c>
      <c r="B316" s="1369"/>
      <c r="C316" s="33"/>
      <c r="D316" s="79"/>
    </row>
    <row r="317" spans="1:4" x14ac:dyDescent="0.2">
      <c r="A317" s="345">
        <v>37164</v>
      </c>
      <c r="B317" s="1369"/>
      <c r="C317" s="33"/>
      <c r="D317" s="79"/>
    </row>
    <row r="318" spans="1:4" x14ac:dyDescent="0.2">
      <c r="A318" s="345">
        <v>37195</v>
      </c>
      <c r="B318" s="1369"/>
      <c r="C318" s="33"/>
      <c r="D318" s="79"/>
    </row>
    <row r="319" spans="1:4" x14ac:dyDescent="0.2">
      <c r="A319" s="345">
        <v>37225</v>
      </c>
      <c r="B319" s="1369"/>
      <c r="C319" s="33"/>
      <c r="D319" s="79"/>
    </row>
    <row r="320" spans="1:4" x14ac:dyDescent="0.2">
      <c r="A320" s="345">
        <v>37256</v>
      </c>
      <c r="B320" s="1369"/>
      <c r="C320" s="33"/>
      <c r="D320" s="79"/>
    </row>
    <row r="321" spans="1:4" x14ac:dyDescent="0.2">
      <c r="A321" s="345">
        <v>37287</v>
      </c>
      <c r="B321" s="1369"/>
      <c r="C321" s="33"/>
      <c r="D321" s="79"/>
    </row>
    <row r="322" spans="1:4" x14ac:dyDescent="0.2">
      <c r="A322" s="345">
        <v>37315</v>
      </c>
      <c r="B322" s="1369"/>
      <c r="C322" s="33"/>
      <c r="D322" s="79"/>
    </row>
    <row r="323" spans="1:4" x14ac:dyDescent="0.2">
      <c r="A323" s="345">
        <v>37346</v>
      </c>
      <c r="B323" s="1369"/>
      <c r="C323" s="33"/>
      <c r="D323" s="79"/>
    </row>
    <row r="324" spans="1:4" x14ac:dyDescent="0.2">
      <c r="A324" s="345">
        <v>37376</v>
      </c>
      <c r="B324" s="1369"/>
      <c r="C324" s="33"/>
      <c r="D324" s="79"/>
    </row>
    <row r="325" spans="1:4" x14ac:dyDescent="0.2">
      <c r="A325" s="345">
        <v>37407</v>
      </c>
      <c r="B325" s="1369"/>
      <c r="C325" s="33"/>
      <c r="D325" s="79"/>
    </row>
    <row r="326" spans="1:4" x14ac:dyDescent="0.2">
      <c r="A326" s="345">
        <v>37437</v>
      </c>
      <c r="B326" s="1369"/>
      <c r="C326" s="33"/>
      <c r="D326" s="79"/>
    </row>
    <row r="327" spans="1:4" x14ac:dyDescent="0.2">
      <c r="A327" s="345">
        <v>37468</v>
      </c>
      <c r="B327" s="1369"/>
      <c r="C327" s="33"/>
      <c r="D327" s="79"/>
    </row>
    <row r="328" spans="1:4" x14ac:dyDescent="0.2">
      <c r="A328" s="345">
        <v>37499</v>
      </c>
      <c r="B328" s="1369"/>
      <c r="C328" s="33"/>
      <c r="D328" s="79"/>
    </row>
    <row r="329" spans="1:4" x14ac:dyDescent="0.2">
      <c r="A329" s="345">
        <v>37529</v>
      </c>
      <c r="B329" s="1369"/>
      <c r="C329" s="33"/>
      <c r="D329" s="79"/>
    </row>
    <row r="330" spans="1:4" x14ac:dyDescent="0.2">
      <c r="A330" s="345">
        <v>37560</v>
      </c>
      <c r="B330" s="1369"/>
      <c r="C330" s="33"/>
      <c r="D330" s="79"/>
    </row>
    <row r="331" spans="1:4" x14ac:dyDescent="0.2">
      <c r="A331" s="345">
        <v>37590</v>
      </c>
      <c r="B331" s="1369"/>
      <c r="C331" s="33"/>
      <c r="D331" s="79"/>
    </row>
    <row r="332" spans="1:4" x14ac:dyDescent="0.2">
      <c r="A332" s="345">
        <v>37621</v>
      </c>
      <c r="B332" s="1369"/>
      <c r="C332" s="33"/>
      <c r="D332" s="79"/>
    </row>
    <row r="333" spans="1:4" x14ac:dyDescent="0.2">
      <c r="A333" s="345">
        <v>37652</v>
      </c>
      <c r="B333" s="1369"/>
      <c r="C333" s="33"/>
      <c r="D333" s="79"/>
    </row>
    <row r="334" spans="1:4" x14ac:dyDescent="0.2">
      <c r="A334" s="345">
        <v>37680</v>
      </c>
      <c r="B334" s="1369"/>
      <c r="C334" s="33"/>
      <c r="D334" s="79"/>
    </row>
    <row r="335" spans="1:4" x14ac:dyDescent="0.2">
      <c r="A335" s="345">
        <v>37711</v>
      </c>
      <c r="B335" s="1369"/>
      <c r="C335" s="33"/>
      <c r="D335" s="79"/>
    </row>
    <row r="336" spans="1:4" x14ac:dyDescent="0.2">
      <c r="A336" s="345">
        <v>37741</v>
      </c>
      <c r="B336" s="1369"/>
      <c r="C336" s="33"/>
      <c r="D336" s="79"/>
    </row>
    <row r="337" spans="1:4" x14ac:dyDescent="0.2">
      <c r="A337" s="345">
        <v>37772</v>
      </c>
      <c r="B337" s="1369"/>
      <c r="C337" s="33"/>
      <c r="D337" s="79"/>
    </row>
    <row r="338" spans="1:4" x14ac:dyDescent="0.2">
      <c r="A338" s="345">
        <v>37802</v>
      </c>
      <c r="B338" s="1369"/>
      <c r="C338" s="33"/>
      <c r="D338" s="79"/>
    </row>
    <row r="339" spans="1:4" x14ac:dyDescent="0.2">
      <c r="A339" s="345">
        <v>37833</v>
      </c>
      <c r="B339" s="1369"/>
      <c r="C339" s="33"/>
      <c r="D339" s="79"/>
    </row>
    <row r="340" spans="1:4" x14ac:dyDescent="0.2">
      <c r="A340" s="345">
        <v>37864</v>
      </c>
      <c r="B340" s="1369"/>
      <c r="C340" s="33"/>
      <c r="D340" s="79"/>
    </row>
    <row r="341" spans="1:4" x14ac:dyDescent="0.2">
      <c r="A341" s="345">
        <v>37894</v>
      </c>
      <c r="B341" s="1369"/>
      <c r="C341" s="34"/>
      <c r="D341" s="79"/>
    </row>
    <row r="342" spans="1:4" x14ac:dyDescent="0.2">
      <c r="A342" s="345">
        <v>37925</v>
      </c>
      <c r="B342" s="1369"/>
      <c r="C342" s="34"/>
      <c r="D342" s="79"/>
    </row>
    <row r="343" spans="1:4" x14ac:dyDescent="0.2">
      <c r="A343" s="345">
        <v>37955</v>
      </c>
      <c r="B343" s="1369"/>
      <c r="C343" s="34"/>
      <c r="D343" s="79"/>
    </row>
    <row r="344" spans="1:4" x14ac:dyDescent="0.2">
      <c r="A344" s="345">
        <v>37986</v>
      </c>
      <c r="B344" s="1369"/>
      <c r="C344" s="34"/>
      <c r="D344" s="79"/>
    </row>
    <row r="345" spans="1:4" x14ac:dyDescent="0.2">
      <c r="A345" s="345">
        <v>38017</v>
      </c>
      <c r="B345" s="1369"/>
      <c r="C345" s="34"/>
      <c r="D345" s="79"/>
    </row>
    <row r="346" spans="1:4" x14ac:dyDescent="0.2">
      <c r="A346" s="345">
        <v>38046</v>
      </c>
      <c r="B346" s="1369"/>
      <c r="C346" s="34"/>
      <c r="D346" s="79"/>
    </row>
    <row r="347" spans="1:4" x14ac:dyDescent="0.2">
      <c r="A347" s="345">
        <v>38077</v>
      </c>
      <c r="B347" s="1369"/>
      <c r="C347" s="34"/>
      <c r="D347" s="255"/>
    </row>
    <row r="348" spans="1:4" x14ac:dyDescent="0.2">
      <c r="A348" s="345">
        <v>38107</v>
      </c>
      <c r="B348" s="1369"/>
      <c r="C348" s="34"/>
      <c r="D348" s="253"/>
    </row>
    <row r="349" spans="1:4" x14ac:dyDescent="0.2">
      <c r="A349" s="345">
        <v>38138</v>
      </c>
      <c r="B349" s="1369"/>
      <c r="C349" s="34"/>
      <c r="D349" s="253"/>
    </row>
    <row r="350" spans="1:4" x14ac:dyDescent="0.2">
      <c r="A350" s="345">
        <v>38168</v>
      </c>
      <c r="B350" s="1369"/>
      <c r="C350" s="34"/>
      <c r="D350" s="253"/>
    </row>
    <row r="351" spans="1:4" x14ac:dyDescent="0.2">
      <c r="A351" s="345">
        <v>38199</v>
      </c>
      <c r="B351" s="1369"/>
      <c r="C351" s="34"/>
      <c r="D351" s="253"/>
    </row>
    <row r="352" spans="1:4" x14ac:dyDescent="0.2">
      <c r="A352" s="345">
        <v>38230</v>
      </c>
      <c r="B352" s="1369"/>
      <c r="C352" s="34"/>
      <c r="D352" s="253"/>
    </row>
    <row r="353" spans="1:4" x14ac:dyDescent="0.2">
      <c r="A353" s="345">
        <v>38260</v>
      </c>
      <c r="B353" s="1369"/>
      <c r="C353" s="34"/>
      <c r="D353" s="253"/>
    </row>
    <row r="354" spans="1:4" x14ac:dyDescent="0.2">
      <c r="A354" s="345">
        <v>38291</v>
      </c>
      <c r="B354" s="1369"/>
      <c r="C354" s="34"/>
      <c r="D354" s="253"/>
    </row>
    <row r="355" spans="1:4" x14ac:dyDescent="0.2">
      <c r="A355" s="345">
        <v>38321</v>
      </c>
      <c r="B355" s="1369"/>
      <c r="C355" s="34"/>
      <c r="D355" s="253"/>
    </row>
    <row r="356" spans="1:4" x14ac:dyDescent="0.2">
      <c r="A356" s="345">
        <v>38352</v>
      </c>
      <c r="B356" s="1369"/>
      <c r="C356" s="256"/>
      <c r="D356" s="253"/>
    </row>
    <row r="357" spans="1:4" x14ac:dyDescent="0.2">
      <c r="A357" s="345">
        <v>38383</v>
      </c>
      <c r="B357" s="1369"/>
      <c r="C357" s="34"/>
      <c r="D357" s="253"/>
    </row>
    <row r="358" spans="1:4" x14ac:dyDescent="0.2">
      <c r="A358" s="345">
        <v>38411</v>
      </c>
      <c r="B358" s="1369"/>
      <c r="C358" s="34"/>
      <c r="D358" s="253"/>
    </row>
    <row r="359" spans="1:4" x14ac:dyDescent="0.2">
      <c r="A359" s="345">
        <v>38442</v>
      </c>
      <c r="B359" s="1369"/>
      <c r="C359" s="256"/>
      <c r="D359" s="253"/>
    </row>
    <row r="360" spans="1:4" x14ac:dyDescent="0.2">
      <c r="A360" s="345">
        <v>38472</v>
      </c>
      <c r="B360" s="1369"/>
      <c r="C360" s="256"/>
      <c r="D360" s="253"/>
    </row>
    <row r="361" spans="1:4" x14ac:dyDescent="0.2">
      <c r="A361" s="345">
        <v>38503</v>
      </c>
      <c r="B361" s="1369"/>
      <c r="C361" s="256"/>
      <c r="D361" s="253"/>
    </row>
    <row r="362" spans="1:4" x14ac:dyDescent="0.2">
      <c r="A362" s="345">
        <v>38533</v>
      </c>
      <c r="B362" s="1369"/>
      <c r="C362" s="256"/>
      <c r="D362" s="253"/>
    </row>
    <row r="363" spans="1:4" x14ac:dyDescent="0.2">
      <c r="A363" s="345">
        <v>38564</v>
      </c>
      <c r="B363" s="1369"/>
      <c r="C363" s="256"/>
      <c r="D363" s="253"/>
    </row>
    <row r="364" spans="1:4" x14ac:dyDescent="0.2">
      <c r="A364" s="345">
        <v>38595</v>
      </c>
      <c r="B364" s="1369"/>
      <c r="C364" s="256"/>
      <c r="D364" s="253"/>
    </row>
    <row r="365" spans="1:4" x14ac:dyDescent="0.2">
      <c r="A365" s="345">
        <v>38625</v>
      </c>
      <c r="B365" s="1369"/>
      <c r="C365" s="256"/>
      <c r="D365" s="253"/>
    </row>
    <row r="366" spans="1:4" x14ac:dyDescent="0.2">
      <c r="A366" s="345">
        <v>38656</v>
      </c>
      <c r="B366" s="1369"/>
      <c r="C366" s="256"/>
      <c r="D366" s="253"/>
    </row>
    <row r="367" spans="1:4" x14ac:dyDescent="0.2">
      <c r="A367" s="345">
        <v>38686</v>
      </c>
      <c r="B367" s="1369"/>
      <c r="C367" s="256"/>
      <c r="D367" s="253"/>
    </row>
    <row r="368" spans="1:4" x14ac:dyDescent="0.2">
      <c r="A368" s="345">
        <v>38717</v>
      </c>
      <c r="B368" s="1369"/>
      <c r="C368" s="256"/>
      <c r="D368" s="253"/>
    </row>
    <row r="369" spans="1:6" x14ac:dyDescent="0.2">
      <c r="A369" s="345">
        <v>38748</v>
      </c>
      <c r="B369" s="1369"/>
      <c r="C369" s="256"/>
      <c r="D369" s="253"/>
    </row>
    <row r="370" spans="1:6" x14ac:dyDescent="0.2">
      <c r="A370" s="345">
        <v>38776</v>
      </c>
      <c r="B370" s="1369"/>
      <c r="C370" s="256"/>
      <c r="D370" s="253"/>
    </row>
    <row r="371" spans="1:6" x14ac:dyDescent="0.2">
      <c r="A371" s="345">
        <v>38807</v>
      </c>
      <c r="B371" s="1369"/>
      <c r="C371" s="33"/>
      <c r="D371" s="253"/>
    </row>
    <row r="372" spans="1:6" x14ac:dyDescent="0.2">
      <c r="A372" s="345">
        <v>38837</v>
      </c>
      <c r="B372" s="1369"/>
      <c r="C372" s="33"/>
      <c r="D372" s="253"/>
    </row>
    <row r="373" spans="1:6" x14ac:dyDescent="0.2">
      <c r="A373" s="345">
        <v>38868</v>
      </c>
      <c r="B373" s="1369"/>
      <c r="C373" s="33"/>
      <c r="D373" s="253"/>
    </row>
    <row r="374" spans="1:6" x14ac:dyDescent="0.2">
      <c r="A374" s="345">
        <v>38898</v>
      </c>
      <c r="B374" s="1369"/>
      <c r="C374" s="354"/>
      <c r="D374" s="253"/>
    </row>
    <row r="375" spans="1:6" x14ac:dyDescent="0.2">
      <c r="A375" s="345">
        <v>38929</v>
      </c>
      <c r="B375" s="1369"/>
      <c r="C375" s="34"/>
      <c r="D375" s="253"/>
    </row>
    <row r="376" spans="1:6" x14ac:dyDescent="0.2">
      <c r="A376" s="345">
        <v>38960</v>
      </c>
      <c r="B376" s="1369"/>
      <c r="C376" s="34"/>
      <c r="D376" s="253"/>
    </row>
    <row r="377" spans="1:6" x14ac:dyDescent="0.2">
      <c r="A377" s="345">
        <v>38990</v>
      </c>
      <c r="B377" s="1369"/>
      <c r="C377" s="34"/>
      <c r="D377" s="253"/>
    </row>
    <row r="378" spans="1:6" x14ac:dyDescent="0.2">
      <c r="A378" s="345">
        <v>39021</v>
      </c>
      <c r="B378" s="1369"/>
      <c r="C378" s="34"/>
      <c r="D378" s="253"/>
      <c r="F378" s="352"/>
    </row>
    <row r="379" spans="1:6" x14ac:dyDescent="0.2">
      <c r="A379" s="345">
        <v>39051</v>
      </c>
      <c r="B379" s="1369"/>
      <c r="C379" s="34"/>
      <c r="D379" s="253"/>
      <c r="F379" s="352"/>
    </row>
    <row r="380" spans="1:6" x14ac:dyDescent="0.2">
      <c r="A380" s="345">
        <v>39082</v>
      </c>
      <c r="B380" s="1369"/>
      <c r="C380" s="34"/>
      <c r="D380" s="253"/>
      <c r="F380" s="352"/>
    </row>
    <row r="381" spans="1:6" x14ac:dyDescent="0.2">
      <c r="A381" s="345">
        <v>39113</v>
      </c>
      <c r="B381" s="1369"/>
      <c r="D381" s="258"/>
      <c r="F381" s="352"/>
    </row>
    <row r="382" spans="1:6" x14ac:dyDescent="0.2">
      <c r="A382" s="345">
        <v>39141</v>
      </c>
      <c r="B382" s="1369"/>
      <c r="D382" s="258"/>
      <c r="F382" s="352"/>
    </row>
    <row r="383" spans="1:6" x14ac:dyDescent="0.2">
      <c r="A383" s="345">
        <v>39172</v>
      </c>
      <c r="B383" s="1369"/>
      <c r="D383" s="258"/>
    </row>
    <row r="384" spans="1:6" x14ac:dyDescent="0.2">
      <c r="A384" s="345">
        <v>39202</v>
      </c>
      <c r="B384" s="1369"/>
      <c r="D384" s="258"/>
    </row>
    <row r="385" spans="1:7" x14ac:dyDescent="0.2">
      <c r="A385" s="345">
        <v>39233</v>
      </c>
      <c r="B385" s="1369"/>
      <c r="D385" s="258"/>
    </row>
    <row r="386" spans="1:7" x14ac:dyDescent="0.2">
      <c r="A386" s="345">
        <v>39263</v>
      </c>
      <c r="B386" s="1369"/>
      <c r="D386" s="258"/>
    </row>
    <row r="387" spans="1:7" x14ac:dyDescent="0.2">
      <c r="A387" s="345">
        <v>39294</v>
      </c>
      <c r="B387" s="1369"/>
      <c r="D387" s="258"/>
    </row>
    <row r="388" spans="1:7" x14ac:dyDescent="0.2">
      <c r="A388" s="345">
        <v>39325</v>
      </c>
      <c r="B388" s="1369"/>
      <c r="D388" s="258"/>
    </row>
    <row r="389" spans="1:7" x14ac:dyDescent="0.2">
      <c r="A389" s="345">
        <v>39355</v>
      </c>
      <c r="B389" s="1369"/>
      <c r="D389" s="258"/>
    </row>
    <row r="390" spans="1:7" x14ac:dyDescent="0.2">
      <c r="A390" s="345">
        <v>39386</v>
      </c>
      <c r="B390" s="1369"/>
      <c r="D390" s="258"/>
    </row>
    <row r="391" spans="1:7" x14ac:dyDescent="0.2">
      <c r="A391" s="345">
        <v>39416</v>
      </c>
      <c r="B391" s="1369"/>
      <c r="D391" s="258"/>
    </row>
    <row r="392" spans="1:7" x14ac:dyDescent="0.2">
      <c r="A392" s="345">
        <v>39447</v>
      </c>
      <c r="B392" s="1369"/>
      <c r="D392" s="258"/>
      <c r="G392" s="787"/>
    </row>
    <row r="393" spans="1:7" x14ac:dyDescent="0.2">
      <c r="A393" s="345">
        <v>39478</v>
      </c>
      <c r="B393" s="1369"/>
      <c r="D393" s="258"/>
    </row>
    <row r="394" spans="1:7" x14ac:dyDescent="0.2">
      <c r="A394" s="345">
        <v>39507</v>
      </c>
      <c r="B394" s="1369"/>
      <c r="D394" s="258"/>
    </row>
    <row r="395" spans="1:7" x14ac:dyDescent="0.2">
      <c r="A395" s="345">
        <v>39538</v>
      </c>
      <c r="B395" s="1369"/>
      <c r="D395" s="258"/>
    </row>
    <row r="396" spans="1:7" x14ac:dyDescent="0.2">
      <c r="A396" s="345">
        <v>39568</v>
      </c>
      <c r="B396" s="1369"/>
      <c r="D396" s="258"/>
    </row>
    <row r="397" spans="1:7" x14ac:dyDescent="0.2">
      <c r="A397" s="345">
        <v>39599</v>
      </c>
      <c r="B397" s="1369"/>
      <c r="D397" s="258"/>
    </row>
    <row r="398" spans="1:7" x14ac:dyDescent="0.2">
      <c r="A398" s="345">
        <v>39629</v>
      </c>
      <c r="B398" s="1369"/>
      <c r="D398" s="258"/>
    </row>
    <row r="399" spans="1:7" x14ac:dyDescent="0.2">
      <c r="A399" s="345">
        <v>39660</v>
      </c>
      <c r="B399" s="1369"/>
      <c r="C399" s="33"/>
      <c r="D399" s="258"/>
    </row>
    <row r="400" spans="1:7" x14ac:dyDescent="0.2">
      <c r="A400" s="345">
        <v>39691</v>
      </c>
      <c r="B400" s="1369"/>
      <c r="C400" s="33"/>
      <c r="D400" s="258"/>
    </row>
    <row r="401" spans="1:4" x14ac:dyDescent="0.2">
      <c r="A401" s="345">
        <v>39721</v>
      </c>
      <c r="B401" s="1369"/>
      <c r="C401" s="33"/>
      <c r="D401" s="258"/>
    </row>
    <row r="402" spans="1:4" x14ac:dyDescent="0.2">
      <c r="A402" s="345">
        <v>39752</v>
      </c>
      <c r="B402" s="1369"/>
      <c r="D402" s="258"/>
    </row>
    <row r="403" spans="1:4" x14ac:dyDescent="0.2">
      <c r="A403" s="345">
        <v>39782</v>
      </c>
      <c r="B403" s="1369"/>
      <c r="D403" s="258"/>
    </row>
    <row r="404" spans="1:4" x14ac:dyDescent="0.2">
      <c r="A404" s="345">
        <v>39813</v>
      </c>
      <c r="B404" s="1369"/>
      <c r="D404" s="258"/>
    </row>
    <row r="405" spans="1:4" x14ac:dyDescent="0.2">
      <c r="A405" s="345">
        <v>39844</v>
      </c>
      <c r="B405" s="1369"/>
      <c r="D405" s="258"/>
    </row>
    <row r="406" spans="1:4" x14ac:dyDescent="0.2">
      <c r="A406" s="345">
        <v>39872</v>
      </c>
      <c r="B406" s="1369"/>
      <c r="D406" s="258"/>
    </row>
    <row r="407" spans="1:4" x14ac:dyDescent="0.2">
      <c r="A407" s="345">
        <v>39903</v>
      </c>
      <c r="B407" s="1369"/>
      <c r="D407" s="258"/>
    </row>
    <row r="408" spans="1:4" x14ac:dyDescent="0.2">
      <c r="A408" s="345">
        <v>39933</v>
      </c>
      <c r="B408" s="1369"/>
      <c r="D408" s="258"/>
    </row>
    <row r="409" spans="1:4" x14ac:dyDescent="0.2">
      <c r="A409" s="345">
        <v>39964</v>
      </c>
      <c r="B409" s="1369"/>
      <c r="D409" s="258"/>
    </row>
    <row r="410" spans="1:4" x14ac:dyDescent="0.2">
      <c r="A410" s="345">
        <v>39994</v>
      </c>
      <c r="B410" s="1369"/>
      <c r="D410" s="258"/>
    </row>
    <row r="411" spans="1:4" x14ac:dyDescent="0.2">
      <c r="A411" s="345">
        <v>40025</v>
      </c>
      <c r="B411" s="1369"/>
      <c r="D411" s="258"/>
    </row>
    <row r="412" spans="1:4" x14ac:dyDescent="0.2">
      <c r="A412" s="345">
        <v>40056</v>
      </c>
      <c r="B412" s="1369"/>
      <c r="D412" s="258"/>
    </row>
    <row r="413" spans="1:4" x14ac:dyDescent="0.2">
      <c r="A413" s="345">
        <v>40086</v>
      </c>
      <c r="B413" s="1369"/>
      <c r="D413" s="258"/>
    </row>
    <row r="414" spans="1:4" x14ac:dyDescent="0.2">
      <c r="A414" s="345">
        <v>40117</v>
      </c>
      <c r="B414" s="1369"/>
    </row>
    <row r="415" spans="1:4" x14ac:dyDescent="0.2">
      <c r="A415" s="345">
        <v>40147</v>
      </c>
      <c r="B415" s="1369"/>
      <c r="C415" s="1333"/>
      <c r="D415" s="1369"/>
    </row>
    <row r="416" spans="1:4" x14ac:dyDescent="0.2">
      <c r="A416" s="345">
        <v>40178</v>
      </c>
      <c r="B416" s="1369"/>
    </row>
    <row r="417" spans="1:4" x14ac:dyDescent="0.2">
      <c r="A417" s="345">
        <v>40209</v>
      </c>
      <c r="B417" s="253"/>
    </row>
    <row r="418" spans="1:4" x14ac:dyDescent="0.2">
      <c r="A418" s="345">
        <v>40237</v>
      </c>
      <c r="B418" s="253"/>
    </row>
    <row r="419" spans="1:4" x14ac:dyDescent="0.2">
      <c r="A419" s="345">
        <v>40268</v>
      </c>
      <c r="B419" s="253"/>
      <c r="C419" s="1334"/>
      <c r="D419" s="1311"/>
    </row>
    <row r="420" spans="1:4" x14ac:dyDescent="0.2">
      <c r="A420" s="345">
        <v>40298</v>
      </c>
      <c r="B420" s="253"/>
    </row>
    <row r="421" spans="1:4" x14ac:dyDescent="0.2">
      <c r="A421" s="345">
        <v>40329</v>
      </c>
      <c r="B421" s="253"/>
    </row>
    <row r="422" spans="1:4" x14ac:dyDescent="0.2">
      <c r="A422" s="345">
        <v>40359</v>
      </c>
      <c r="B422" s="253"/>
    </row>
    <row r="423" spans="1:4" x14ac:dyDescent="0.2">
      <c r="A423" s="345">
        <v>40390</v>
      </c>
      <c r="B423" s="253"/>
    </row>
    <row r="424" spans="1:4" x14ac:dyDescent="0.2">
      <c r="A424" s="345">
        <v>40421</v>
      </c>
      <c r="B424" s="253"/>
    </row>
    <row r="425" spans="1:4" x14ac:dyDescent="0.2">
      <c r="A425" s="345">
        <v>40451</v>
      </c>
      <c r="B425" s="253"/>
    </row>
    <row r="426" spans="1:4" x14ac:dyDescent="0.2">
      <c r="A426" s="345">
        <v>40482</v>
      </c>
      <c r="B426" s="253"/>
    </row>
    <row r="427" spans="1:4" x14ac:dyDescent="0.2">
      <c r="A427" s="345">
        <v>40512</v>
      </c>
      <c r="B427" s="253"/>
    </row>
    <row r="428" spans="1:4" x14ac:dyDescent="0.2">
      <c r="A428" s="345">
        <v>40543</v>
      </c>
      <c r="B428" s="253"/>
    </row>
    <row r="429" spans="1:4" x14ac:dyDescent="0.2">
      <c r="A429" s="345">
        <v>40574</v>
      </c>
      <c r="B429" s="253"/>
    </row>
    <row r="430" spans="1:4" x14ac:dyDescent="0.2">
      <c r="A430" s="345">
        <v>40602</v>
      </c>
      <c r="B430" s="253"/>
    </row>
    <row r="431" spans="1:4" x14ac:dyDescent="0.2">
      <c r="A431" s="345">
        <v>40633</v>
      </c>
      <c r="B431" s="253"/>
    </row>
    <row r="432" spans="1:4" x14ac:dyDescent="0.2">
      <c r="A432" s="345">
        <v>40663</v>
      </c>
      <c r="B432" s="253"/>
    </row>
    <row r="433" spans="1:5" x14ac:dyDescent="0.2">
      <c r="A433" s="345">
        <v>40694</v>
      </c>
      <c r="B433" s="253"/>
    </row>
    <row r="434" spans="1:5" x14ac:dyDescent="0.2">
      <c r="A434" s="345">
        <v>40724</v>
      </c>
      <c r="B434" s="253"/>
    </row>
    <row r="435" spans="1:5" x14ac:dyDescent="0.2">
      <c r="A435" s="345">
        <v>40755</v>
      </c>
      <c r="B435" s="253"/>
    </row>
    <row r="436" spans="1:5" x14ac:dyDescent="0.2">
      <c r="A436" s="345">
        <v>40786</v>
      </c>
      <c r="B436" s="253"/>
    </row>
    <row r="437" spans="1:5" x14ac:dyDescent="0.2">
      <c r="A437" s="345">
        <v>40816</v>
      </c>
      <c r="B437" s="253"/>
    </row>
    <row r="438" spans="1:5" x14ac:dyDescent="0.2">
      <c r="A438" s="345">
        <v>40847</v>
      </c>
      <c r="B438" s="253"/>
    </row>
    <row r="439" spans="1:5" x14ac:dyDescent="0.2">
      <c r="A439" s="345">
        <v>40877</v>
      </c>
      <c r="B439" s="253"/>
    </row>
    <row r="440" spans="1:5" x14ac:dyDescent="0.2">
      <c r="A440" s="345">
        <v>40908</v>
      </c>
      <c r="B440" s="253"/>
    </row>
    <row r="441" spans="1:5" x14ac:dyDescent="0.2">
      <c r="A441" s="345">
        <v>40939</v>
      </c>
      <c r="B441" s="253"/>
    </row>
    <row r="442" spans="1:5" x14ac:dyDescent="0.2">
      <c r="A442" s="345">
        <v>40968</v>
      </c>
      <c r="B442" s="253"/>
    </row>
    <row r="443" spans="1:5" x14ac:dyDescent="0.2">
      <c r="A443" s="345">
        <v>40999</v>
      </c>
      <c r="B443" s="253"/>
    </row>
    <row r="444" spans="1:5" x14ac:dyDescent="0.2">
      <c r="A444" s="345">
        <v>41029</v>
      </c>
      <c r="B444" s="253"/>
    </row>
    <row r="445" spans="1:5" x14ac:dyDescent="0.2">
      <c r="A445" s="345">
        <v>41060</v>
      </c>
      <c r="B445" s="253"/>
    </row>
    <row r="446" spans="1:5" x14ac:dyDescent="0.2">
      <c r="A446" s="345">
        <v>41090</v>
      </c>
      <c r="B446" s="253"/>
    </row>
    <row r="447" spans="1:5" x14ac:dyDescent="0.2">
      <c r="A447" s="345">
        <v>41121</v>
      </c>
      <c r="B447" s="253"/>
    </row>
    <row r="448" spans="1:5" x14ac:dyDescent="0.2">
      <c r="A448" s="345">
        <v>41152</v>
      </c>
      <c r="B448" s="253">
        <f>D448</f>
        <v>0.48332000000000003</v>
      </c>
      <c r="C448" s="346">
        <v>856780279.36000001</v>
      </c>
      <c r="D448" s="262">
        <v>0.48332000000000003</v>
      </c>
      <c r="E448" s="14">
        <f>B448-Index_Returns!AQ448</f>
        <v>3.1340000000000034E-2</v>
      </c>
    </row>
    <row r="449" spans="1:5" x14ac:dyDescent="0.2">
      <c r="A449" s="345">
        <v>41182</v>
      </c>
      <c r="B449" s="253">
        <f>D449</f>
        <v>2.0443699999999998</v>
      </c>
      <c r="C449" s="346">
        <v>871206163.36000001</v>
      </c>
      <c r="D449" s="262">
        <v>2.0443699999999998</v>
      </c>
      <c r="E449" s="14">
        <f>B449-Index_Returns!AQ449</f>
        <v>1.9459999999999589E-2</v>
      </c>
    </row>
    <row r="450" spans="1:5" x14ac:dyDescent="0.2">
      <c r="A450" s="345">
        <v>41213</v>
      </c>
      <c r="B450" s="253">
        <f>D450</f>
        <v>-0.92571000000000003</v>
      </c>
      <c r="C450" s="346">
        <v>832298710.62</v>
      </c>
      <c r="D450" s="262">
        <v>-0.92571000000000003</v>
      </c>
      <c r="E450" s="14">
        <f>B450-Index_Returns!AQ450</f>
        <v>-4.4800000000000395E-3</v>
      </c>
    </row>
    <row r="451" spans="1:5" x14ac:dyDescent="0.2">
      <c r="A451" s="345">
        <v>41243</v>
      </c>
      <c r="B451" s="253">
        <f>D451</f>
        <v>-0.57577999999999996</v>
      </c>
      <c r="C451" s="346">
        <v>818966599.61000001</v>
      </c>
      <c r="D451" s="262">
        <v>-0.57577999999999996</v>
      </c>
      <c r="E451" s="14">
        <f>B451-Index_Returns!AQ451</f>
        <v>4.4500000000000095E-2</v>
      </c>
    </row>
    <row r="452" spans="1:5" x14ac:dyDescent="0.2">
      <c r="A452" s="345">
        <v>41274</v>
      </c>
      <c r="B452" s="253">
        <f>D452</f>
        <v>-0.25161</v>
      </c>
      <c r="C452" s="346">
        <v>805895154.94000006</v>
      </c>
      <c r="D452" s="262">
        <v>-0.25161</v>
      </c>
      <c r="E452" s="14">
        <f>B452-Index_Returns!AQ452</f>
        <v>-7.594999999999999E-2</v>
      </c>
    </row>
    <row r="453" spans="1:5" x14ac:dyDescent="0.2">
      <c r="A453" s="345">
        <v>41305</v>
      </c>
      <c r="B453" s="253">
        <f t="shared" ref="B453:B488" si="0">D453</f>
        <v>5.5022900000000003</v>
      </c>
      <c r="C453" s="346">
        <v>762866289.40999997</v>
      </c>
      <c r="D453" s="262">
        <v>5.5022900000000003</v>
      </c>
      <c r="E453" s="14">
        <f>B453-Index_Returns!AQ453</f>
        <v>3.049000000000035E-2</v>
      </c>
    </row>
    <row r="454" spans="1:5" x14ac:dyDescent="0.2">
      <c r="A454" s="345">
        <v>41333</v>
      </c>
      <c r="B454" s="253">
        <f t="shared" si="0"/>
        <v>2.2297500000000001</v>
      </c>
      <c r="C454" s="346">
        <v>774219909.80999994</v>
      </c>
      <c r="D454" s="262">
        <v>2.2297500000000001</v>
      </c>
      <c r="E454" s="14">
        <f>B454-Index_Returns!AQ454</f>
        <v>-1.5349999999999753E-2</v>
      </c>
    </row>
    <row r="455" spans="1:5" x14ac:dyDescent="0.2">
      <c r="A455" s="345">
        <v>41364</v>
      </c>
      <c r="B455" s="253">
        <f t="shared" si="0"/>
        <v>4.4279599999999997</v>
      </c>
      <c r="C455" s="346">
        <v>804444407.58000004</v>
      </c>
      <c r="D455" s="262">
        <v>4.4279599999999997</v>
      </c>
      <c r="E455" s="14">
        <f>B455-Index_Returns!AQ455</f>
        <v>-2.1819999999999951E-2</v>
      </c>
    </row>
    <row r="456" spans="1:5" x14ac:dyDescent="0.2">
      <c r="A456" s="345">
        <v>41394</v>
      </c>
      <c r="B456" s="253">
        <f t="shared" si="0"/>
        <v>2.7940100000000001</v>
      </c>
      <c r="C456" s="346">
        <v>826921214.21000004</v>
      </c>
      <c r="D456" s="262">
        <v>2.7940100000000001</v>
      </c>
      <c r="E456" s="14">
        <f>B456-Index_Returns!AQ456</f>
        <v>-1.5810000000000102E-2</v>
      </c>
    </row>
    <row r="457" spans="1:5" x14ac:dyDescent="0.2">
      <c r="A457" s="345">
        <v>41425</v>
      </c>
      <c r="B457" s="253">
        <f t="shared" si="0"/>
        <v>0.30798999999999999</v>
      </c>
      <c r="C457" s="346">
        <v>829468890.40999997</v>
      </c>
      <c r="D457" s="262">
        <v>0.30798999999999999</v>
      </c>
      <c r="E457" s="14">
        <f>B457-Index_Returns!AQ457</f>
        <v>0.26779999999999998</v>
      </c>
    </row>
    <row r="458" spans="1:5" x14ac:dyDescent="0.2">
      <c r="A458" s="345">
        <v>41455</v>
      </c>
      <c r="B458" s="253">
        <f t="shared" si="0"/>
        <v>-0.84289000000000003</v>
      </c>
      <c r="C458" s="1307">
        <v>803030700.53999996</v>
      </c>
      <c r="D458" s="1417">
        <v>-0.84289000000000003</v>
      </c>
      <c r="E458" s="14">
        <f>B458-Index_Returns!AQ458</f>
        <v>-3.239000000000003E-2</v>
      </c>
    </row>
    <row r="459" spans="1:5" x14ac:dyDescent="0.2">
      <c r="A459" s="345">
        <v>41486</v>
      </c>
      <c r="B459" s="253">
        <f t="shared" si="0"/>
        <v>4.3283500000000004</v>
      </c>
      <c r="C459" s="346">
        <v>834886255.88999999</v>
      </c>
      <c r="D459" s="262">
        <v>4.3283500000000004</v>
      </c>
      <c r="E459" s="14">
        <f>B459-Index_Returns!AQ459</f>
        <v>4.3239999999999945E-2</v>
      </c>
    </row>
    <row r="460" spans="1:5" x14ac:dyDescent="0.2">
      <c r="A460" s="345">
        <v>41517</v>
      </c>
      <c r="B460" s="253">
        <f t="shared" si="0"/>
        <v>-3.1156999999999999</v>
      </c>
      <c r="C460" s="346">
        <v>808873712.5</v>
      </c>
      <c r="D460" s="262">
        <v>-3.1156999999999999</v>
      </c>
      <c r="E460" s="14">
        <f>B460-Index_Returns!AQ460</f>
        <v>-9.4499999999997364E-3</v>
      </c>
    </row>
    <row r="461" spans="1:5" x14ac:dyDescent="0.2">
      <c r="A461" s="345">
        <v>41547</v>
      </c>
      <c r="B461" s="253">
        <f t="shared" si="0"/>
        <v>1.67963</v>
      </c>
      <c r="C461" s="346">
        <v>816663175.38</v>
      </c>
      <c r="D461" s="262">
        <v>1.67963</v>
      </c>
      <c r="E461" s="14">
        <f>B461-Index_Returns!AQ461</f>
        <v>2.7209999999999956E-2</v>
      </c>
    </row>
    <row r="462" spans="1:5" x14ac:dyDescent="0.2">
      <c r="A462" s="345">
        <v>41578</v>
      </c>
      <c r="B462" s="253">
        <f t="shared" si="0"/>
        <v>5.0850999999999997</v>
      </c>
      <c r="C462" s="346">
        <v>824183980.35000002</v>
      </c>
      <c r="D462" s="262">
        <v>5.0850999999999997</v>
      </c>
      <c r="E462" s="14">
        <f>B462-Index_Returns!AQ462</f>
        <v>-3.4089999999999954E-2</v>
      </c>
    </row>
    <row r="463" spans="1:5" x14ac:dyDescent="0.2">
      <c r="A463" s="345">
        <v>41608</v>
      </c>
      <c r="B463" s="253">
        <f t="shared" si="0"/>
        <v>2.3117200000000002</v>
      </c>
      <c r="C463" s="346">
        <v>829619883.74000001</v>
      </c>
      <c r="D463" s="262">
        <v>2.3117200000000002</v>
      </c>
      <c r="E463" s="14">
        <f>B463-Index_Returns!AQ463</f>
        <v>-1.8189999999999706E-2</v>
      </c>
    </row>
    <row r="464" spans="1:5" x14ac:dyDescent="0.2">
      <c r="A464" s="345">
        <v>41639</v>
      </c>
      <c r="B464" s="253">
        <f t="shared" si="0"/>
        <v>1.53145</v>
      </c>
      <c r="C464" s="346">
        <v>826959288.53999996</v>
      </c>
      <c r="D464" s="262">
        <v>1.53145</v>
      </c>
      <c r="E464" s="14">
        <f>B464-Index_Returns!AQ464</f>
        <v>2.0720000000000072E-2</v>
      </c>
    </row>
    <row r="465" spans="1:5" x14ac:dyDescent="0.2">
      <c r="A465" s="345">
        <v>41670</v>
      </c>
      <c r="B465" s="253">
        <f t="shared" si="0"/>
        <v>-4.1412199999999997</v>
      </c>
      <c r="C465" s="346">
        <v>792713073.70000005</v>
      </c>
      <c r="D465" s="262">
        <v>-4.1412199999999997</v>
      </c>
      <c r="E465" s="14">
        <f>B465-Index_Returns!AQ465</f>
        <v>1.4969999999999928E-2</v>
      </c>
    </row>
    <row r="466" spans="1:5" x14ac:dyDescent="0.2">
      <c r="A466" s="345">
        <v>41698</v>
      </c>
      <c r="B466" s="253">
        <f t="shared" si="0"/>
        <v>3.9697100000000001</v>
      </c>
      <c r="C466" s="346">
        <v>810312926.02999997</v>
      </c>
      <c r="D466" s="262">
        <v>3.9697100000000001</v>
      </c>
      <c r="E466" s="14">
        <f>B466-Index_Returns!AQ466</f>
        <v>-1.7000000000000348E-3</v>
      </c>
    </row>
    <row r="467" spans="1:5" x14ac:dyDescent="0.2">
      <c r="A467" s="345">
        <v>41729</v>
      </c>
      <c r="B467" s="253">
        <f t="shared" si="0"/>
        <v>2.66371</v>
      </c>
      <c r="C467" s="346">
        <v>760826632.27999997</v>
      </c>
      <c r="D467" s="262">
        <v>2.66371</v>
      </c>
      <c r="E467" s="14">
        <f>B467-Index_Returns!AQ467</f>
        <v>-5.0990000000000091E-2</v>
      </c>
    </row>
    <row r="468" spans="1:5" x14ac:dyDescent="0.2">
      <c r="A468" s="345">
        <v>41759</v>
      </c>
      <c r="B468" s="253">
        <f t="shared" si="0"/>
        <v>2.5479400000000001</v>
      </c>
      <c r="C468" s="346">
        <v>780212063.64999998</v>
      </c>
      <c r="D468" s="262">
        <v>2.5479400000000001</v>
      </c>
      <c r="E468" s="14">
        <f>B468-Index_Returns!AQ468</f>
        <v>-4.4849999999999834E-2</v>
      </c>
    </row>
    <row r="469" spans="1:5" x14ac:dyDescent="0.2">
      <c r="A469" s="345">
        <v>41790</v>
      </c>
      <c r="B469" s="253">
        <f t="shared" si="0"/>
        <v>1.39995</v>
      </c>
      <c r="C469" s="346">
        <v>791134613.75999999</v>
      </c>
      <c r="D469" s="262">
        <v>1.39995</v>
      </c>
      <c r="E469" s="14">
        <f>B469-Index_Returns!AQ469</f>
        <v>4.0739999999999998E-2</v>
      </c>
    </row>
    <row r="470" spans="1:5" x14ac:dyDescent="0.2">
      <c r="A470" s="345">
        <v>41820</v>
      </c>
      <c r="B470" s="253">
        <f t="shared" si="0"/>
        <v>1.77078</v>
      </c>
      <c r="C470" s="346">
        <v>793546378.70000005</v>
      </c>
      <c r="D470" s="262">
        <v>1.77078</v>
      </c>
      <c r="E470" s="14">
        <f>B470-Index_Returns!AQ470</f>
        <v>5.4099999999999149E-3</v>
      </c>
    </row>
    <row r="471" spans="1:5" x14ac:dyDescent="0.2">
      <c r="A471" s="345">
        <v>41851</v>
      </c>
      <c r="B471" s="253">
        <f t="shared" si="0"/>
        <v>-1.62375</v>
      </c>
      <c r="C471" s="346">
        <v>780661179.41600001</v>
      </c>
      <c r="D471" s="262">
        <v>-1.62375</v>
      </c>
      <c r="E471" s="14">
        <f>B471-Index_Returns!AQ471</f>
        <v>-5.5600000000000094E-3</v>
      </c>
    </row>
    <row r="472" spans="1:5" x14ac:dyDescent="0.2">
      <c r="A472" s="345">
        <v>41882</v>
      </c>
      <c r="B472" s="253">
        <f t="shared" si="0"/>
        <v>3.80457</v>
      </c>
      <c r="C472" s="346">
        <v>784656339.17999995</v>
      </c>
      <c r="D472" s="262">
        <v>3.80457</v>
      </c>
      <c r="E472" s="14">
        <f>B472-Index_Returns!AQ472</f>
        <v>5.0599999999998424E-3</v>
      </c>
    </row>
    <row r="473" spans="1:5" x14ac:dyDescent="0.2">
      <c r="A473" s="345">
        <v>41912</v>
      </c>
      <c r="B473" s="253">
        <f t="shared" si="0"/>
        <v>0</v>
      </c>
      <c r="E473" s="14">
        <f>B473-Index_Returns!AQ473</f>
        <v>0</v>
      </c>
    </row>
    <row r="474" spans="1:5" x14ac:dyDescent="0.2">
      <c r="A474" s="345">
        <v>41943</v>
      </c>
      <c r="B474" s="253">
        <f t="shared" si="0"/>
        <v>0</v>
      </c>
      <c r="E474" s="14">
        <f>B474-Index_Returns!AQ474</f>
        <v>0</v>
      </c>
    </row>
    <row r="475" spans="1:5" x14ac:dyDescent="0.2">
      <c r="A475" s="345">
        <v>41973</v>
      </c>
      <c r="B475" s="253">
        <f t="shared" si="0"/>
        <v>0</v>
      </c>
      <c r="E475" s="14">
        <f>B475-Index_Returns!AQ475</f>
        <v>0</v>
      </c>
    </row>
    <row r="476" spans="1:5" x14ac:dyDescent="0.2">
      <c r="A476" s="345">
        <v>42004</v>
      </c>
      <c r="B476" s="253">
        <f t="shared" si="0"/>
        <v>0</v>
      </c>
      <c r="E476" s="14">
        <f>B476-Index_Returns!AQ476</f>
        <v>0</v>
      </c>
    </row>
    <row r="477" spans="1:5" x14ac:dyDescent="0.2">
      <c r="A477" s="345">
        <v>42035</v>
      </c>
      <c r="B477" s="253">
        <f t="shared" si="0"/>
        <v>0</v>
      </c>
      <c r="E477" s="14">
        <f>B477-Index_Returns!AQ477</f>
        <v>0</v>
      </c>
    </row>
    <row r="478" spans="1:5" x14ac:dyDescent="0.2">
      <c r="A478" s="345">
        <v>42063</v>
      </c>
      <c r="B478" s="253">
        <f t="shared" si="0"/>
        <v>0</v>
      </c>
      <c r="E478" s="14">
        <f>B478-Index_Returns!AQ478</f>
        <v>0</v>
      </c>
    </row>
    <row r="479" spans="1:5" x14ac:dyDescent="0.2">
      <c r="A479" s="345">
        <v>42094</v>
      </c>
      <c r="B479" s="253">
        <f t="shared" si="0"/>
        <v>0</v>
      </c>
      <c r="E479" s="14">
        <f>B479-Index_Returns!AQ479</f>
        <v>0</v>
      </c>
    </row>
    <row r="480" spans="1:5" x14ac:dyDescent="0.2">
      <c r="A480" s="345">
        <v>42124</v>
      </c>
      <c r="B480" s="253">
        <f t="shared" si="0"/>
        <v>0</v>
      </c>
      <c r="E480" s="14">
        <f>B480-Index_Returns!AQ480</f>
        <v>0</v>
      </c>
    </row>
    <row r="481" spans="1:5" x14ac:dyDescent="0.2">
      <c r="A481" s="345">
        <v>42155</v>
      </c>
      <c r="B481" s="253">
        <f t="shared" si="0"/>
        <v>0</v>
      </c>
      <c r="E481" s="14">
        <f>B481-Index_Returns!AQ481</f>
        <v>0</v>
      </c>
    </row>
    <row r="482" spans="1:5" x14ac:dyDescent="0.2">
      <c r="A482" s="345">
        <v>42185</v>
      </c>
      <c r="B482" s="253">
        <f t="shared" si="0"/>
        <v>0</v>
      </c>
      <c r="E482" s="14">
        <f>B482-Index_Returns!AQ482</f>
        <v>0</v>
      </c>
    </row>
    <row r="483" spans="1:5" x14ac:dyDescent="0.2">
      <c r="A483" s="345">
        <v>42216</v>
      </c>
      <c r="B483" s="253">
        <f t="shared" si="0"/>
        <v>0</v>
      </c>
      <c r="E483" s="14">
        <f>B483-Index_Returns!AQ483</f>
        <v>0</v>
      </c>
    </row>
    <row r="484" spans="1:5" x14ac:dyDescent="0.2">
      <c r="A484" s="345">
        <v>42247</v>
      </c>
      <c r="B484" s="253">
        <f t="shared" si="0"/>
        <v>0</v>
      </c>
      <c r="E484" s="14">
        <f>B484-Index_Returns!AQ484</f>
        <v>0</v>
      </c>
    </row>
    <row r="485" spans="1:5" x14ac:dyDescent="0.2">
      <c r="A485" s="345">
        <v>42277</v>
      </c>
      <c r="B485" s="253">
        <f t="shared" si="0"/>
        <v>0</v>
      </c>
      <c r="E485" s="14">
        <f>B485-Index_Returns!AQ485</f>
        <v>0</v>
      </c>
    </row>
    <row r="486" spans="1:5" x14ac:dyDescent="0.2">
      <c r="A486" s="345">
        <v>42308</v>
      </c>
      <c r="B486" s="253">
        <f t="shared" si="0"/>
        <v>0</v>
      </c>
      <c r="E486" s="14">
        <f>B486-Index_Returns!AQ486</f>
        <v>0</v>
      </c>
    </row>
    <row r="487" spans="1:5" x14ac:dyDescent="0.2">
      <c r="A487" s="345">
        <v>42338</v>
      </c>
      <c r="B487" s="253">
        <f t="shared" si="0"/>
        <v>0</v>
      </c>
      <c r="E487" s="14">
        <f>B487-Index_Returns!AQ487</f>
        <v>0</v>
      </c>
    </row>
    <row r="488" spans="1:5" x14ac:dyDescent="0.2">
      <c r="A488" s="345">
        <v>42369</v>
      </c>
      <c r="B488" s="253">
        <f t="shared" si="0"/>
        <v>0</v>
      </c>
      <c r="E488" s="14">
        <f>B488-Index_Returns!AQ488</f>
        <v>0</v>
      </c>
    </row>
    <row r="489" spans="1:5" x14ac:dyDescent="0.2">
      <c r="A489" s="345"/>
    </row>
  </sheetData>
  <printOptions headings="1" gridLines="1"/>
  <pageMargins left="0.75" right="0.75" top="1" bottom="1" header="0.5" footer="0.5"/>
  <pageSetup scale="12" orientation="portrait" r:id="rId1"/>
  <headerFooter alignWithMargins="0">
    <oddHeader>&amp;L&amp;A</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pageSetUpPr fitToPage="1"/>
  </sheetPr>
  <dimension ref="A1:H490"/>
  <sheetViews>
    <sheetView workbookViewId="0">
      <pane xSplit="1" ySplit="2" topLeftCell="B451" activePane="bottomRight" state="frozen"/>
      <selection activeCell="E452" sqref="E452:E464"/>
      <selection pane="topRight" activeCell="E452" sqref="E452:E464"/>
      <selection pane="bottomLeft" activeCell="E452" sqref="E452:E464"/>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4" width="18.7109375" style="262" customWidth="1"/>
    <col min="5" max="5" width="9.140625" style="14"/>
    <col min="6" max="6" width="12.42578125" bestFit="1" customWidth="1"/>
    <col min="7" max="7" width="17.7109375" style="352" bestFit="1" customWidth="1"/>
    <col min="8" max="8" width="9.140625" style="352"/>
  </cols>
  <sheetData>
    <row r="1" spans="1:6" x14ac:dyDescent="0.2">
      <c r="A1" s="265" t="s">
        <v>889</v>
      </c>
      <c r="B1" s="321" t="s">
        <v>465</v>
      </c>
      <c r="C1" s="1381" t="s">
        <v>7</v>
      </c>
      <c r="D1" s="1370">
        <f>ASRS_E1!D1</f>
        <v>1</v>
      </c>
      <c r="F1" s="1452" t="s">
        <v>817</v>
      </c>
    </row>
    <row r="2" spans="1:6" x14ac:dyDescent="0.2">
      <c r="A2" s="3" t="s">
        <v>27</v>
      </c>
      <c r="B2" s="71" t="s">
        <v>91</v>
      </c>
      <c r="C2" s="226" t="s">
        <v>92</v>
      </c>
      <c r="D2" s="71" t="s">
        <v>90</v>
      </c>
      <c r="E2" s="734" t="s">
        <v>80</v>
      </c>
    </row>
    <row r="3" spans="1:6" x14ac:dyDescent="0.2">
      <c r="A3" s="345">
        <v>27606</v>
      </c>
      <c r="B3" s="71"/>
      <c r="C3" s="226"/>
      <c r="D3" s="71"/>
    </row>
    <row r="4" spans="1:6" x14ac:dyDescent="0.2">
      <c r="A4" s="345">
        <v>27637</v>
      </c>
      <c r="B4" s="71"/>
      <c r="C4" s="226"/>
      <c r="D4" s="71"/>
    </row>
    <row r="5" spans="1:6" x14ac:dyDescent="0.2">
      <c r="A5" s="345">
        <v>27667</v>
      </c>
      <c r="B5" s="71"/>
      <c r="C5" s="226"/>
      <c r="D5" s="71"/>
    </row>
    <row r="6" spans="1:6" x14ac:dyDescent="0.2">
      <c r="A6" s="345">
        <v>27698</v>
      </c>
      <c r="B6" s="71"/>
      <c r="C6" s="226"/>
      <c r="D6" s="71"/>
    </row>
    <row r="7" spans="1:6" x14ac:dyDescent="0.2">
      <c r="A7" s="345">
        <v>27728</v>
      </c>
      <c r="B7" s="71"/>
      <c r="C7" s="226"/>
      <c r="D7" s="71"/>
    </row>
    <row r="8" spans="1:6" x14ac:dyDescent="0.2">
      <c r="A8" s="345">
        <v>27759</v>
      </c>
      <c r="B8" s="71"/>
      <c r="C8" s="226"/>
      <c r="D8" s="71"/>
    </row>
    <row r="9" spans="1:6" x14ac:dyDescent="0.2">
      <c r="A9" s="345">
        <v>27790</v>
      </c>
      <c r="B9" s="71"/>
      <c r="C9" s="226"/>
      <c r="D9" s="71"/>
    </row>
    <row r="10" spans="1:6" x14ac:dyDescent="0.2">
      <c r="A10" s="345">
        <v>27819</v>
      </c>
      <c r="B10" s="71"/>
      <c r="C10" s="226"/>
      <c r="D10" s="71"/>
    </row>
    <row r="11" spans="1:6" x14ac:dyDescent="0.2">
      <c r="A11" s="345">
        <v>27850</v>
      </c>
      <c r="B11" s="71"/>
      <c r="C11" s="226"/>
      <c r="D11" s="71"/>
    </row>
    <row r="12" spans="1:6" x14ac:dyDescent="0.2">
      <c r="A12" s="345">
        <v>27880</v>
      </c>
      <c r="B12" s="71"/>
      <c r="C12" s="226"/>
      <c r="D12" s="71"/>
    </row>
    <row r="13" spans="1:6" x14ac:dyDescent="0.2">
      <c r="A13" s="345">
        <v>27911</v>
      </c>
      <c r="B13" s="71"/>
      <c r="C13" s="226"/>
      <c r="D13" s="71"/>
    </row>
    <row r="14" spans="1:6" x14ac:dyDescent="0.2">
      <c r="A14" s="345">
        <v>27941</v>
      </c>
      <c r="B14" s="71"/>
      <c r="C14" s="226"/>
      <c r="D14" s="71"/>
    </row>
    <row r="15" spans="1:6" x14ac:dyDescent="0.2">
      <c r="A15" s="345">
        <v>27972</v>
      </c>
      <c r="B15" s="71"/>
      <c r="C15" s="226"/>
      <c r="D15" s="71"/>
    </row>
    <row r="16" spans="1:6" x14ac:dyDescent="0.2">
      <c r="A16" s="345">
        <v>28003</v>
      </c>
      <c r="B16" s="71"/>
      <c r="C16" s="226"/>
      <c r="D16" s="71"/>
    </row>
    <row r="17" spans="1:4" x14ac:dyDescent="0.2">
      <c r="A17" s="345">
        <v>28033</v>
      </c>
      <c r="B17" s="71"/>
      <c r="C17" s="226"/>
      <c r="D17" s="71"/>
    </row>
    <row r="18" spans="1:4" x14ac:dyDescent="0.2">
      <c r="A18" s="345">
        <v>28064</v>
      </c>
      <c r="B18" s="71"/>
      <c r="C18" s="226"/>
      <c r="D18" s="71"/>
    </row>
    <row r="19" spans="1:4" x14ac:dyDescent="0.2">
      <c r="A19" s="345">
        <v>28094</v>
      </c>
      <c r="B19" s="71"/>
      <c r="C19" s="226"/>
      <c r="D19" s="71"/>
    </row>
    <row r="20" spans="1:4" x14ac:dyDescent="0.2">
      <c r="A20" s="345">
        <v>28125</v>
      </c>
      <c r="B20" s="71"/>
      <c r="C20" s="226"/>
      <c r="D20" s="71"/>
    </row>
    <row r="21" spans="1:4" x14ac:dyDescent="0.2">
      <c r="A21" s="345">
        <v>28156</v>
      </c>
      <c r="B21" s="71"/>
      <c r="C21" s="226"/>
      <c r="D21" s="71"/>
    </row>
    <row r="22" spans="1:4" x14ac:dyDescent="0.2">
      <c r="A22" s="345">
        <v>28184</v>
      </c>
      <c r="B22" s="71"/>
      <c r="C22" s="226"/>
      <c r="D22" s="71"/>
    </row>
    <row r="23" spans="1:4" x14ac:dyDescent="0.2">
      <c r="A23" s="345">
        <v>28215</v>
      </c>
      <c r="B23" s="71"/>
      <c r="C23" s="226"/>
      <c r="D23" s="71"/>
    </row>
    <row r="24" spans="1:4" x14ac:dyDescent="0.2">
      <c r="A24" s="345">
        <v>28245</v>
      </c>
      <c r="B24" s="71"/>
      <c r="C24" s="226"/>
      <c r="D24" s="71"/>
    </row>
    <row r="25" spans="1:4" x14ac:dyDescent="0.2">
      <c r="A25" s="345">
        <v>28276</v>
      </c>
      <c r="B25" s="71"/>
      <c r="C25" s="226"/>
      <c r="D25" s="71"/>
    </row>
    <row r="26" spans="1:4" x14ac:dyDescent="0.2">
      <c r="A26" s="345">
        <v>28306</v>
      </c>
      <c r="B26" s="71"/>
      <c r="C26" s="226"/>
      <c r="D26" s="71"/>
    </row>
    <row r="27" spans="1:4" x14ac:dyDescent="0.2">
      <c r="A27" s="345">
        <v>28337</v>
      </c>
      <c r="B27" s="71"/>
      <c r="C27" s="226"/>
      <c r="D27" s="71"/>
    </row>
    <row r="28" spans="1:4" x14ac:dyDescent="0.2">
      <c r="A28" s="345">
        <v>28368</v>
      </c>
      <c r="B28" s="71"/>
      <c r="C28" s="226"/>
      <c r="D28" s="71"/>
    </row>
    <row r="29" spans="1:4" x14ac:dyDescent="0.2">
      <c r="A29" s="345">
        <v>28398</v>
      </c>
      <c r="B29" s="71"/>
      <c r="C29" s="226"/>
      <c r="D29" s="71"/>
    </row>
    <row r="30" spans="1:4" x14ac:dyDescent="0.2">
      <c r="A30" s="345">
        <v>28429</v>
      </c>
      <c r="B30" s="71"/>
      <c r="C30" s="226"/>
      <c r="D30" s="71"/>
    </row>
    <row r="31" spans="1:4" x14ac:dyDescent="0.2">
      <c r="A31" s="345">
        <v>28459</v>
      </c>
      <c r="B31" s="71"/>
      <c r="C31" s="226"/>
      <c r="D31" s="71"/>
    </row>
    <row r="32" spans="1:4" x14ac:dyDescent="0.2">
      <c r="A32" s="345">
        <v>28490</v>
      </c>
      <c r="B32" s="71"/>
      <c r="C32" s="226"/>
      <c r="D32" s="71"/>
    </row>
    <row r="33" spans="1:4" x14ac:dyDescent="0.2">
      <c r="A33" s="345">
        <v>28521</v>
      </c>
      <c r="B33" s="71"/>
      <c r="C33" s="226"/>
      <c r="D33" s="71"/>
    </row>
    <row r="34" spans="1:4" x14ac:dyDescent="0.2">
      <c r="A34" s="345">
        <v>28549</v>
      </c>
      <c r="B34" s="71"/>
      <c r="C34" s="226"/>
      <c r="D34" s="71"/>
    </row>
    <row r="35" spans="1:4" x14ac:dyDescent="0.2">
      <c r="A35" s="345">
        <v>28580</v>
      </c>
      <c r="B35" s="71"/>
      <c r="C35" s="226"/>
      <c r="D35" s="71"/>
    </row>
    <row r="36" spans="1:4" x14ac:dyDescent="0.2">
      <c r="A36" s="345">
        <v>28610</v>
      </c>
      <c r="B36" s="71"/>
      <c r="C36" s="226"/>
      <c r="D36" s="71"/>
    </row>
    <row r="37" spans="1:4" x14ac:dyDescent="0.2">
      <c r="A37" s="345">
        <v>28641</v>
      </c>
      <c r="B37" s="71"/>
      <c r="C37" s="226"/>
      <c r="D37" s="71"/>
    </row>
    <row r="38" spans="1:4" x14ac:dyDescent="0.2">
      <c r="A38" s="345">
        <v>28671</v>
      </c>
      <c r="B38" s="71"/>
      <c r="C38" s="226"/>
      <c r="D38" s="71"/>
    </row>
    <row r="39" spans="1:4" x14ac:dyDescent="0.2">
      <c r="A39" s="345">
        <v>28702</v>
      </c>
      <c r="B39" s="71"/>
      <c r="C39" s="226"/>
      <c r="D39" s="71"/>
    </row>
    <row r="40" spans="1:4" x14ac:dyDescent="0.2">
      <c r="A40" s="345">
        <v>28733</v>
      </c>
      <c r="B40" s="71"/>
      <c r="C40" s="226"/>
      <c r="D40" s="71"/>
    </row>
    <row r="41" spans="1:4" x14ac:dyDescent="0.2">
      <c r="A41" s="345">
        <v>28763</v>
      </c>
      <c r="B41" s="71"/>
      <c r="C41" s="226"/>
      <c r="D41" s="71"/>
    </row>
    <row r="42" spans="1:4" x14ac:dyDescent="0.2">
      <c r="A42" s="345">
        <v>28794</v>
      </c>
      <c r="B42" s="71"/>
      <c r="C42" s="226"/>
      <c r="D42" s="71"/>
    </row>
    <row r="43" spans="1:4" x14ac:dyDescent="0.2">
      <c r="A43" s="345">
        <v>28824</v>
      </c>
      <c r="B43" s="71"/>
      <c r="C43" s="226"/>
      <c r="D43" s="71"/>
    </row>
    <row r="44" spans="1:4" x14ac:dyDescent="0.2">
      <c r="A44" s="345">
        <v>28855</v>
      </c>
      <c r="B44" s="71"/>
      <c r="C44" s="226"/>
      <c r="D44" s="71"/>
    </row>
    <row r="45" spans="1:4" x14ac:dyDescent="0.2">
      <c r="A45" s="345">
        <v>28886</v>
      </c>
      <c r="B45" s="71"/>
      <c r="C45" s="226"/>
      <c r="D45" s="71"/>
    </row>
    <row r="46" spans="1:4" x14ac:dyDescent="0.2">
      <c r="A46" s="345">
        <v>28914</v>
      </c>
      <c r="B46" s="71"/>
      <c r="C46" s="226"/>
      <c r="D46" s="71"/>
    </row>
    <row r="47" spans="1:4" x14ac:dyDescent="0.2">
      <c r="A47" s="345">
        <v>28945</v>
      </c>
      <c r="B47" s="71"/>
      <c r="C47" s="226"/>
      <c r="D47" s="71"/>
    </row>
    <row r="48" spans="1:4" x14ac:dyDescent="0.2">
      <c r="A48" s="345">
        <v>28975</v>
      </c>
      <c r="B48" s="71"/>
      <c r="C48" s="226"/>
      <c r="D48" s="71"/>
    </row>
    <row r="49" spans="1:4" x14ac:dyDescent="0.2">
      <c r="A49" s="345">
        <v>29006</v>
      </c>
      <c r="B49" s="71"/>
      <c r="C49" s="226"/>
      <c r="D49" s="71"/>
    </row>
    <row r="50" spans="1:4" x14ac:dyDescent="0.2">
      <c r="A50" s="345">
        <v>29036</v>
      </c>
      <c r="B50" s="71"/>
      <c r="C50" s="226"/>
      <c r="D50" s="71"/>
    </row>
    <row r="51" spans="1:4" x14ac:dyDescent="0.2">
      <c r="A51" s="345">
        <v>29067</v>
      </c>
      <c r="B51" s="71"/>
      <c r="C51" s="226"/>
      <c r="D51" s="71"/>
    </row>
    <row r="52" spans="1:4" x14ac:dyDescent="0.2">
      <c r="A52" s="345">
        <v>29098</v>
      </c>
      <c r="B52" s="71"/>
      <c r="C52" s="226"/>
      <c r="D52" s="71"/>
    </row>
    <row r="53" spans="1:4" x14ac:dyDescent="0.2">
      <c r="A53" s="345">
        <v>29128</v>
      </c>
      <c r="B53" s="71"/>
      <c r="C53" s="226"/>
      <c r="D53" s="71"/>
    </row>
    <row r="54" spans="1:4" x14ac:dyDescent="0.2">
      <c r="A54" s="345">
        <v>29159</v>
      </c>
      <c r="B54" s="71"/>
      <c r="C54" s="226"/>
      <c r="D54" s="71"/>
    </row>
    <row r="55" spans="1:4" x14ac:dyDescent="0.2">
      <c r="A55" s="345">
        <v>29189</v>
      </c>
      <c r="B55" s="71"/>
      <c r="C55" s="226"/>
      <c r="D55" s="71"/>
    </row>
    <row r="56" spans="1:4" x14ac:dyDescent="0.2">
      <c r="A56" s="345">
        <v>29220</v>
      </c>
      <c r="B56" s="71"/>
      <c r="C56" s="226"/>
      <c r="D56" s="71"/>
    </row>
    <row r="57" spans="1:4" x14ac:dyDescent="0.2">
      <c r="A57" s="345">
        <v>29251</v>
      </c>
      <c r="B57" s="71"/>
      <c r="C57" s="226"/>
      <c r="D57" s="71"/>
    </row>
    <row r="58" spans="1:4" x14ac:dyDescent="0.2">
      <c r="A58" s="345">
        <v>29280</v>
      </c>
      <c r="B58" s="71"/>
      <c r="C58" s="226"/>
      <c r="D58" s="71"/>
    </row>
    <row r="59" spans="1:4" x14ac:dyDescent="0.2">
      <c r="A59" s="345">
        <v>29311</v>
      </c>
      <c r="B59" s="71"/>
      <c r="C59" s="226"/>
      <c r="D59" s="71"/>
    </row>
    <row r="60" spans="1:4" x14ac:dyDescent="0.2">
      <c r="A60" s="345">
        <v>29341</v>
      </c>
      <c r="B60" s="71"/>
      <c r="C60" s="226"/>
      <c r="D60" s="71"/>
    </row>
    <row r="61" spans="1:4" x14ac:dyDescent="0.2">
      <c r="A61" s="345">
        <v>29372</v>
      </c>
      <c r="B61" s="71"/>
      <c r="C61" s="226"/>
      <c r="D61" s="71"/>
    </row>
    <row r="62" spans="1:4" x14ac:dyDescent="0.2">
      <c r="A62" s="345">
        <v>29402</v>
      </c>
      <c r="B62" s="71"/>
      <c r="C62" s="226"/>
      <c r="D62" s="71"/>
    </row>
    <row r="63" spans="1:4" x14ac:dyDescent="0.2">
      <c r="A63" s="345">
        <v>29433</v>
      </c>
      <c r="B63" s="71"/>
      <c r="C63" s="226"/>
      <c r="D63" s="71"/>
    </row>
    <row r="64" spans="1:4" x14ac:dyDescent="0.2">
      <c r="A64" s="345">
        <v>29464</v>
      </c>
      <c r="B64" s="71"/>
      <c r="C64" s="226"/>
      <c r="D64" s="71"/>
    </row>
    <row r="65" spans="1:4" x14ac:dyDescent="0.2">
      <c r="A65" s="345">
        <v>29494</v>
      </c>
      <c r="B65" s="71"/>
      <c r="C65" s="226"/>
      <c r="D65" s="71"/>
    </row>
    <row r="66" spans="1:4" x14ac:dyDescent="0.2">
      <c r="A66" s="345">
        <v>29525</v>
      </c>
      <c r="B66" s="71"/>
      <c r="C66" s="226"/>
      <c r="D66" s="71"/>
    </row>
    <row r="67" spans="1:4" x14ac:dyDescent="0.2">
      <c r="A67" s="345">
        <v>29555</v>
      </c>
      <c r="B67" s="71"/>
      <c r="C67" s="226"/>
      <c r="D67" s="71"/>
    </row>
    <row r="68" spans="1:4" x14ac:dyDescent="0.2">
      <c r="A68" s="345">
        <v>29586</v>
      </c>
      <c r="B68" s="71"/>
      <c r="C68" s="226"/>
      <c r="D68" s="71"/>
    </row>
    <row r="69" spans="1:4" x14ac:dyDescent="0.2">
      <c r="A69" s="345">
        <v>29617</v>
      </c>
      <c r="B69" s="71"/>
      <c r="C69" s="226"/>
      <c r="D69" s="71"/>
    </row>
    <row r="70" spans="1:4" x14ac:dyDescent="0.2">
      <c r="A70" s="345">
        <v>29645</v>
      </c>
      <c r="B70" s="71"/>
      <c r="C70" s="226"/>
      <c r="D70" s="71"/>
    </row>
    <row r="71" spans="1:4" x14ac:dyDescent="0.2">
      <c r="A71" s="345">
        <v>29676</v>
      </c>
      <c r="B71" s="71"/>
      <c r="C71" s="226"/>
      <c r="D71" s="71"/>
    </row>
    <row r="72" spans="1:4" x14ac:dyDescent="0.2">
      <c r="A72" s="345">
        <v>29706</v>
      </c>
      <c r="B72" s="71"/>
      <c r="C72" s="226"/>
      <c r="D72" s="71"/>
    </row>
    <row r="73" spans="1:4" x14ac:dyDescent="0.2">
      <c r="A73" s="345">
        <v>29737</v>
      </c>
      <c r="B73" s="71"/>
      <c r="C73" s="226"/>
      <c r="D73" s="71"/>
    </row>
    <row r="74" spans="1:4" x14ac:dyDescent="0.2">
      <c r="A74" s="345">
        <v>29767</v>
      </c>
      <c r="B74" s="71"/>
      <c r="C74" s="226"/>
      <c r="D74" s="71"/>
    </row>
    <row r="75" spans="1:4" x14ac:dyDescent="0.2">
      <c r="A75" s="345">
        <v>29798</v>
      </c>
      <c r="B75" s="71"/>
      <c r="C75" s="226"/>
      <c r="D75" s="71"/>
    </row>
    <row r="76" spans="1:4" x14ac:dyDescent="0.2">
      <c r="A76" s="345">
        <v>29829</v>
      </c>
      <c r="B76" s="71"/>
      <c r="C76" s="226"/>
      <c r="D76" s="71"/>
    </row>
    <row r="77" spans="1:4" x14ac:dyDescent="0.2">
      <c r="A77" s="345">
        <v>29859</v>
      </c>
      <c r="B77" s="71"/>
      <c r="C77" s="226"/>
      <c r="D77" s="71"/>
    </row>
    <row r="78" spans="1:4" x14ac:dyDescent="0.2">
      <c r="A78" s="345">
        <v>29890</v>
      </c>
      <c r="B78" s="71"/>
      <c r="C78" s="226"/>
      <c r="D78" s="71"/>
    </row>
    <row r="79" spans="1:4" x14ac:dyDescent="0.2">
      <c r="A79" s="345">
        <v>29920</v>
      </c>
      <c r="B79" s="71"/>
      <c r="C79" s="226"/>
      <c r="D79" s="71"/>
    </row>
    <row r="80" spans="1:4" x14ac:dyDescent="0.2">
      <c r="A80" s="345">
        <v>29951</v>
      </c>
      <c r="B80" s="71"/>
      <c r="C80" s="226"/>
      <c r="D80" s="71"/>
    </row>
    <row r="81" spans="1:4" x14ac:dyDescent="0.2">
      <c r="A81" s="345">
        <v>29982</v>
      </c>
      <c r="B81" s="71"/>
      <c r="C81" s="226"/>
      <c r="D81" s="71"/>
    </row>
    <row r="82" spans="1:4" x14ac:dyDescent="0.2">
      <c r="A82" s="345">
        <v>30010</v>
      </c>
      <c r="B82" s="71"/>
      <c r="C82" s="226"/>
      <c r="D82" s="71"/>
    </row>
    <row r="83" spans="1:4" x14ac:dyDescent="0.2">
      <c r="A83" s="345">
        <v>30041</v>
      </c>
      <c r="B83" s="71"/>
      <c r="C83" s="226"/>
      <c r="D83" s="71"/>
    </row>
    <row r="84" spans="1:4" x14ac:dyDescent="0.2">
      <c r="A84" s="345">
        <v>30071</v>
      </c>
      <c r="B84" s="71"/>
      <c r="C84" s="226"/>
      <c r="D84" s="71"/>
    </row>
    <row r="85" spans="1:4" x14ac:dyDescent="0.2">
      <c r="A85" s="345">
        <v>30102</v>
      </c>
      <c r="B85" s="71"/>
      <c r="C85" s="226"/>
      <c r="D85" s="71"/>
    </row>
    <row r="86" spans="1:4" x14ac:dyDescent="0.2">
      <c r="A86" s="345">
        <v>30132</v>
      </c>
      <c r="B86" s="71"/>
      <c r="C86" s="226"/>
      <c r="D86" s="71"/>
    </row>
    <row r="87" spans="1:4" x14ac:dyDescent="0.2">
      <c r="A87" s="345">
        <v>30163</v>
      </c>
      <c r="B87" s="71"/>
      <c r="C87" s="226"/>
      <c r="D87" s="71"/>
    </row>
    <row r="88" spans="1:4" x14ac:dyDescent="0.2">
      <c r="A88" s="345">
        <v>30194</v>
      </c>
      <c r="B88" s="71"/>
      <c r="C88" s="226"/>
      <c r="D88" s="71"/>
    </row>
    <row r="89" spans="1:4" x14ac:dyDescent="0.2">
      <c r="A89" s="345">
        <v>30224</v>
      </c>
      <c r="B89" s="71"/>
      <c r="C89" s="226"/>
      <c r="D89" s="71"/>
    </row>
    <row r="90" spans="1:4" x14ac:dyDescent="0.2">
      <c r="A90" s="345">
        <v>30255</v>
      </c>
      <c r="B90" s="71"/>
      <c r="C90" s="226"/>
      <c r="D90" s="71"/>
    </row>
    <row r="91" spans="1:4" x14ac:dyDescent="0.2">
      <c r="A91" s="345">
        <v>30285</v>
      </c>
      <c r="B91" s="71"/>
      <c r="C91" s="226"/>
      <c r="D91" s="71"/>
    </row>
    <row r="92" spans="1:4" x14ac:dyDescent="0.2">
      <c r="A92" s="345">
        <v>30316</v>
      </c>
      <c r="B92" s="71"/>
      <c r="C92" s="226"/>
      <c r="D92" s="71"/>
    </row>
    <row r="93" spans="1:4" x14ac:dyDescent="0.2">
      <c r="A93" s="345">
        <v>30347</v>
      </c>
      <c r="B93" s="71"/>
      <c r="C93" s="226"/>
      <c r="D93" s="71"/>
    </row>
    <row r="94" spans="1:4" x14ac:dyDescent="0.2">
      <c r="A94" s="345">
        <v>30375</v>
      </c>
      <c r="B94" s="71"/>
      <c r="C94" s="226"/>
      <c r="D94" s="71"/>
    </row>
    <row r="95" spans="1:4" x14ac:dyDescent="0.2">
      <c r="A95" s="345">
        <v>30406</v>
      </c>
      <c r="B95" s="71"/>
      <c r="C95" s="226"/>
      <c r="D95" s="71"/>
    </row>
    <row r="96" spans="1:4" x14ac:dyDescent="0.2">
      <c r="A96" s="345">
        <v>30436</v>
      </c>
      <c r="B96" s="71"/>
      <c r="C96" s="226"/>
      <c r="D96" s="71"/>
    </row>
    <row r="97" spans="1:4" x14ac:dyDescent="0.2">
      <c r="A97" s="345">
        <v>30467</v>
      </c>
      <c r="B97" s="71"/>
      <c r="C97" s="226"/>
      <c r="D97" s="71"/>
    </row>
    <row r="98" spans="1:4" x14ac:dyDescent="0.2">
      <c r="A98" s="345">
        <v>30497</v>
      </c>
      <c r="B98" s="71"/>
      <c r="C98" s="226"/>
      <c r="D98" s="71"/>
    </row>
    <row r="99" spans="1:4" x14ac:dyDescent="0.2">
      <c r="A99" s="345">
        <v>30528</v>
      </c>
      <c r="B99" s="71"/>
      <c r="C99" s="226"/>
      <c r="D99" s="71"/>
    </row>
    <row r="100" spans="1:4" x14ac:dyDescent="0.2">
      <c r="A100" s="345">
        <v>30559</v>
      </c>
      <c r="B100" s="71"/>
      <c r="C100" s="226"/>
      <c r="D100" s="71"/>
    </row>
    <row r="101" spans="1:4" x14ac:dyDescent="0.2">
      <c r="A101" s="345">
        <v>30589</v>
      </c>
      <c r="B101" s="71"/>
      <c r="C101" s="226"/>
      <c r="D101" s="71"/>
    </row>
    <row r="102" spans="1:4" x14ac:dyDescent="0.2">
      <c r="A102" s="345">
        <v>30620</v>
      </c>
      <c r="B102" s="71"/>
      <c r="C102" s="226"/>
      <c r="D102" s="71"/>
    </row>
    <row r="103" spans="1:4" x14ac:dyDescent="0.2">
      <c r="A103" s="345">
        <v>30650</v>
      </c>
      <c r="B103" s="71"/>
      <c r="C103" s="226"/>
      <c r="D103" s="71"/>
    </row>
    <row r="104" spans="1:4" x14ac:dyDescent="0.2">
      <c r="A104" s="345">
        <v>30681</v>
      </c>
      <c r="B104" s="71"/>
      <c r="C104" s="226"/>
      <c r="D104" s="71"/>
    </row>
    <row r="105" spans="1:4" x14ac:dyDescent="0.2">
      <c r="A105" s="345">
        <v>30712</v>
      </c>
      <c r="B105" s="71"/>
      <c r="C105" s="226"/>
      <c r="D105" s="71"/>
    </row>
    <row r="106" spans="1:4" x14ac:dyDescent="0.2">
      <c r="A106" s="345">
        <v>30741</v>
      </c>
      <c r="B106" s="71"/>
      <c r="C106" s="226"/>
      <c r="D106" s="71"/>
    </row>
    <row r="107" spans="1:4" x14ac:dyDescent="0.2">
      <c r="A107" s="345">
        <v>30772</v>
      </c>
      <c r="B107" s="71"/>
      <c r="C107" s="226"/>
      <c r="D107" s="71"/>
    </row>
    <row r="108" spans="1:4" x14ac:dyDescent="0.2">
      <c r="A108" s="345">
        <v>30802</v>
      </c>
      <c r="B108" s="71"/>
      <c r="C108" s="226"/>
      <c r="D108" s="71"/>
    </row>
    <row r="109" spans="1:4" x14ac:dyDescent="0.2">
      <c r="A109" s="345">
        <v>30833</v>
      </c>
      <c r="B109" s="71"/>
      <c r="C109" s="226"/>
      <c r="D109" s="71"/>
    </row>
    <row r="110" spans="1:4" x14ac:dyDescent="0.2">
      <c r="A110" s="345">
        <v>30863</v>
      </c>
      <c r="B110" s="71"/>
      <c r="C110" s="226"/>
      <c r="D110" s="71"/>
    </row>
    <row r="111" spans="1:4" x14ac:dyDescent="0.2">
      <c r="A111" s="345">
        <v>30894</v>
      </c>
      <c r="B111" s="71"/>
      <c r="C111" s="226"/>
      <c r="D111" s="71"/>
    </row>
    <row r="112" spans="1:4" x14ac:dyDescent="0.2">
      <c r="A112" s="345">
        <v>30925</v>
      </c>
      <c r="B112" s="71"/>
      <c r="C112" s="226"/>
      <c r="D112" s="71"/>
    </row>
    <row r="113" spans="1:4" x14ac:dyDescent="0.2">
      <c r="A113" s="345">
        <v>30955</v>
      </c>
      <c r="B113" s="71"/>
      <c r="C113" s="226"/>
      <c r="D113" s="71"/>
    </row>
    <row r="114" spans="1:4" x14ac:dyDescent="0.2">
      <c r="A114" s="345">
        <v>30986</v>
      </c>
      <c r="B114" s="71"/>
      <c r="C114" s="226"/>
      <c r="D114" s="71"/>
    </row>
    <row r="115" spans="1:4" x14ac:dyDescent="0.2">
      <c r="A115" s="345">
        <v>31016</v>
      </c>
      <c r="B115" s="71"/>
      <c r="C115" s="226"/>
      <c r="D115" s="71"/>
    </row>
    <row r="116" spans="1:4" x14ac:dyDescent="0.2">
      <c r="A116" s="345">
        <v>31047</v>
      </c>
      <c r="B116" s="71"/>
      <c r="C116" s="226"/>
      <c r="D116" s="71"/>
    </row>
    <row r="117" spans="1:4" x14ac:dyDescent="0.2">
      <c r="A117" s="345">
        <v>31078</v>
      </c>
      <c r="B117" s="71"/>
      <c r="C117" s="226"/>
      <c r="D117" s="71"/>
    </row>
    <row r="118" spans="1:4" x14ac:dyDescent="0.2">
      <c r="A118" s="345">
        <v>31106</v>
      </c>
      <c r="B118" s="71"/>
      <c r="C118" s="226"/>
      <c r="D118" s="71"/>
    </row>
    <row r="119" spans="1:4" x14ac:dyDescent="0.2">
      <c r="A119" s="345">
        <v>31137</v>
      </c>
      <c r="B119" s="71"/>
      <c r="C119" s="226"/>
      <c r="D119" s="71"/>
    </row>
    <row r="120" spans="1:4" x14ac:dyDescent="0.2">
      <c r="A120" s="345">
        <v>31167</v>
      </c>
      <c r="B120" s="71"/>
      <c r="C120" s="226"/>
      <c r="D120" s="71"/>
    </row>
    <row r="121" spans="1:4" x14ac:dyDescent="0.2">
      <c r="A121" s="345">
        <v>31198</v>
      </c>
      <c r="B121" s="71"/>
      <c r="C121" s="226"/>
      <c r="D121" s="71"/>
    </row>
    <row r="122" spans="1:4" x14ac:dyDescent="0.2">
      <c r="A122" s="345">
        <v>31228</v>
      </c>
      <c r="B122" s="71"/>
      <c r="C122" s="226"/>
      <c r="D122" s="71"/>
    </row>
    <row r="123" spans="1:4" x14ac:dyDescent="0.2">
      <c r="A123" s="345">
        <v>31259</v>
      </c>
      <c r="B123" s="71"/>
      <c r="C123" s="226"/>
      <c r="D123" s="71"/>
    </row>
    <row r="124" spans="1:4" x14ac:dyDescent="0.2">
      <c r="A124" s="345">
        <v>31290</v>
      </c>
      <c r="B124" s="71"/>
      <c r="C124" s="226"/>
      <c r="D124" s="71"/>
    </row>
    <row r="125" spans="1:4" x14ac:dyDescent="0.2">
      <c r="A125" s="345">
        <v>31320</v>
      </c>
      <c r="B125" s="71"/>
      <c r="C125" s="226"/>
      <c r="D125" s="71"/>
    </row>
    <row r="126" spans="1:4" x14ac:dyDescent="0.2">
      <c r="A126" s="345">
        <v>31351</v>
      </c>
      <c r="B126" s="71"/>
      <c r="C126" s="226"/>
      <c r="D126" s="71"/>
    </row>
    <row r="127" spans="1:4" x14ac:dyDescent="0.2">
      <c r="A127" s="345">
        <v>31381</v>
      </c>
      <c r="B127" s="71"/>
      <c r="C127" s="226"/>
      <c r="D127" s="71"/>
    </row>
    <row r="128" spans="1:4" x14ac:dyDescent="0.2">
      <c r="A128" s="345">
        <v>31412</v>
      </c>
      <c r="B128" s="71"/>
      <c r="C128" s="226"/>
      <c r="D128" s="71"/>
    </row>
    <row r="129" spans="1:4" x14ac:dyDescent="0.2">
      <c r="A129" s="345">
        <v>31443</v>
      </c>
      <c r="B129" s="71"/>
      <c r="C129" s="226"/>
      <c r="D129" s="71"/>
    </row>
    <row r="130" spans="1:4" x14ac:dyDescent="0.2">
      <c r="A130" s="345">
        <v>31471</v>
      </c>
      <c r="B130" s="71"/>
      <c r="C130" s="226"/>
      <c r="D130" s="71"/>
    </row>
    <row r="131" spans="1:4" x14ac:dyDescent="0.2">
      <c r="A131" s="345">
        <v>31502</v>
      </c>
      <c r="B131" s="71"/>
      <c r="C131" s="226"/>
      <c r="D131" s="71"/>
    </row>
    <row r="132" spans="1:4" x14ac:dyDescent="0.2">
      <c r="A132" s="345">
        <v>31532</v>
      </c>
      <c r="B132" s="71"/>
      <c r="C132" s="226"/>
      <c r="D132" s="71"/>
    </row>
    <row r="133" spans="1:4" x14ac:dyDescent="0.2">
      <c r="A133" s="345">
        <v>31563</v>
      </c>
      <c r="B133" s="71"/>
      <c r="C133" s="226"/>
      <c r="D133" s="71"/>
    </row>
    <row r="134" spans="1:4" x14ac:dyDescent="0.2">
      <c r="A134" s="345">
        <v>31593</v>
      </c>
      <c r="B134" s="71"/>
      <c r="C134" s="226"/>
      <c r="D134" s="71"/>
    </row>
    <row r="135" spans="1:4" x14ac:dyDescent="0.2">
      <c r="A135" s="345">
        <v>31624</v>
      </c>
      <c r="B135" s="71"/>
      <c r="C135" s="226"/>
      <c r="D135" s="71"/>
    </row>
    <row r="136" spans="1:4" x14ac:dyDescent="0.2">
      <c r="A136" s="345">
        <v>31655</v>
      </c>
      <c r="B136" s="71"/>
      <c r="C136" s="226"/>
      <c r="D136" s="71"/>
    </row>
    <row r="137" spans="1:4" x14ac:dyDescent="0.2">
      <c r="A137" s="345">
        <v>31685</v>
      </c>
      <c r="B137" s="71"/>
      <c r="C137" s="226"/>
      <c r="D137" s="71"/>
    </row>
    <row r="138" spans="1:4" x14ac:dyDescent="0.2">
      <c r="A138" s="345">
        <v>31716</v>
      </c>
      <c r="B138" s="71"/>
      <c r="C138" s="226"/>
      <c r="D138" s="71"/>
    </row>
    <row r="139" spans="1:4" x14ac:dyDescent="0.2">
      <c r="A139" s="345">
        <v>31746</v>
      </c>
      <c r="B139" s="71"/>
      <c r="C139" s="226"/>
      <c r="D139" s="71"/>
    </row>
    <row r="140" spans="1:4" x14ac:dyDescent="0.2">
      <c r="A140" s="345">
        <v>31777</v>
      </c>
      <c r="B140" s="71"/>
      <c r="C140" s="226"/>
      <c r="D140" s="71"/>
    </row>
    <row r="141" spans="1:4" x14ac:dyDescent="0.2">
      <c r="A141" s="345">
        <v>31808</v>
      </c>
      <c r="B141" s="73"/>
      <c r="C141" s="25"/>
      <c r="D141" s="79"/>
    </row>
    <row r="142" spans="1:4" x14ac:dyDescent="0.2">
      <c r="A142" s="345">
        <v>31836</v>
      </c>
      <c r="B142" s="73"/>
      <c r="C142" s="25"/>
      <c r="D142" s="79"/>
    </row>
    <row r="143" spans="1:4" x14ac:dyDescent="0.2">
      <c r="A143" s="345">
        <v>31867</v>
      </c>
      <c r="B143" s="73"/>
      <c r="C143" s="25"/>
      <c r="D143" s="79"/>
    </row>
    <row r="144" spans="1:4" x14ac:dyDescent="0.2">
      <c r="A144" s="345">
        <v>31897</v>
      </c>
      <c r="B144" s="73"/>
      <c r="C144" s="25"/>
      <c r="D144" s="79"/>
    </row>
    <row r="145" spans="1:4" x14ac:dyDescent="0.2">
      <c r="A145" s="345">
        <v>31928</v>
      </c>
      <c r="B145" s="73"/>
      <c r="C145" s="25"/>
      <c r="D145" s="79"/>
    </row>
    <row r="146" spans="1:4" x14ac:dyDescent="0.2">
      <c r="A146" s="345">
        <v>31958</v>
      </c>
      <c r="B146" s="73"/>
      <c r="C146" s="25"/>
      <c r="D146" s="79"/>
    </row>
    <row r="147" spans="1:4" x14ac:dyDescent="0.2">
      <c r="A147" s="345">
        <v>31989</v>
      </c>
      <c r="B147" s="73"/>
      <c r="C147" s="25"/>
      <c r="D147" s="79"/>
    </row>
    <row r="148" spans="1:4" x14ac:dyDescent="0.2">
      <c r="A148" s="345">
        <v>32020</v>
      </c>
      <c r="B148" s="73"/>
      <c r="C148" s="25"/>
      <c r="D148" s="79"/>
    </row>
    <row r="149" spans="1:4" x14ac:dyDescent="0.2">
      <c r="A149" s="345">
        <v>32050</v>
      </c>
      <c r="B149" s="73"/>
      <c r="C149" s="25"/>
      <c r="D149" s="79"/>
    </row>
    <row r="150" spans="1:4" x14ac:dyDescent="0.2">
      <c r="A150" s="345">
        <v>32081</v>
      </c>
      <c r="B150" s="73"/>
      <c r="C150" s="25"/>
      <c r="D150" s="79"/>
    </row>
    <row r="151" spans="1:4" x14ac:dyDescent="0.2">
      <c r="A151" s="345">
        <v>32111</v>
      </c>
      <c r="B151" s="73"/>
      <c r="C151" s="25"/>
      <c r="D151" s="79"/>
    </row>
    <row r="152" spans="1:4" x14ac:dyDescent="0.2">
      <c r="A152" s="345">
        <v>32142</v>
      </c>
      <c r="B152" s="73"/>
      <c r="C152" s="25"/>
      <c r="D152" s="79"/>
    </row>
    <row r="153" spans="1:4" x14ac:dyDescent="0.2">
      <c r="A153" s="345">
        <v>32173</v>
      </c>
      <c r="B153" s="73"/>
      <c r="C153" s="25"/>
      <c r="D153" s="79"/>
    </row>
    <row r="154" spans="1:4" x14ac:dyDescent="0.2">
      <c r="A154" s="345">
        <v>32202</v>
      </c>
      <c r="B154" s="73"/>
      <c r="C154" s="25"/>
      <c r="D154" s="79"/>
    </row>
    <row r="155" spans="1:4" x14ac:dyDescent="0.2">
      <c r="A155" s="345">
        <v>32233</v>
      </c>
      <c r="B155" s="73"/>
      <c r="C155" s="25"/>
      <c r="D155" s="79"/>
    </row>
    <row r="156" spans="1:4" x14ac:dyDescent="0.2">
      <c r="A156" s="345">
        <v>32263</v>
      </c>
      <c r="B156" s="73"/>
      <c r="C156" s="25"/>
      <c r="D156" s="79"/>
    </row>
    <row r="157" spans="1:4" x14ac:dyDescent="0.2">
      <c r="A157" s="345">
        <v>32294</v>
      </c>
      <c r="B157" s="73"/>
      <c r="C157" s="25"/>
      <c r="D157" s="79"/>
    </row>
    <row r="158" spans="1:4" x14ac:dyDescent="0.2">
      <c r="A158" s="345">
        <v>32324</v>
      </c>
      <c r="B158" s="73"/>
      <c r="C158" s="25"/>
      <c r="D158" s="79"/>
    </row>
    <row r="159" spans="1:4" x14ac:dyDescent="0.2">
      <c r="A159" s="345">
        <v>32355</v>
      </c>
      <c r="B159" s="73"/>
      <c r="C159" s="25"/>
      <c r="D159" s="79"/>
    </row>
    <row r="160" spans="1:4" x14ac:dyDescent="0.2">
      <c r="A160" s="345">
        <v>32386</v>
      </c>
      <c r="B160" s="73"/>
      <c r="C160" s="25"/>
      <c r="D160" s="79"/>
    </row>
    <row r="161" spans="1:4" x14ac:dyDescent="0.2">
      <c r="A161" s="345">
        <v>32416</v>
      </c>
      <c r="B161" s="73"/>
      <c r="C161" s="25"/>
      <c r="D161" s="79"/>
    </row>
    <row r="162" spans="1:4" x14ac:dyDescent="0.2">
      <c r="A162" s="345">
        <v>32447</v>
      </c>
      <c r="B162" s="73"/>
      <c r="C162" s="25"/>
      <c r="D162" s="79"/>
    </row>
    <row r="163" spans="1:4" x14ac:dyDescent="0.2">
      <c r="A163" s="345">
        <v>32477</v>
      </c>
      <c r="B163" s="73"/>
      <c r="C163" s="25"/>
      <c r="D163" s="79"/>
    </row>
    <row r="164" spans="1:4" x14ac:dyDescent="0.2">
      <c r="A164" s="345">
        <v>32508</v>
      </c>
      <c r="B164" s="73"/>
      <c r="C164" s="25"/>
      <c r="D164" s="79"/>
    </row>
    <row r="165" spans="1:4" x14ac:dyDescent="0.2">
      <c r="A165" s="345">
        <v>32539</v>
      </c>
      <c r="B165" s="73"/>
      <c r="C165" s="25"/>
      <c r="D165" s="79"/>
    </row>
    <row r="166" spans="1:4" x14ac:dyDescent="0.2">
      <c r="A166" s="345">
        <v>32567</v>
      </c>
      <c r="B166" s="73"/>
      <c r="C166" s="25"/>
      <c r="D166" s="79"/>
    </row>
    <row r="167" spans="1:4" x14ac:dyDescent="0.2">
      <c r="A167" s="345">
        <v>32598</v>
      </c>
      <c r="B167" s="73"/>
      <c r="C167" s="25"/>
      <c r="D167" s="79"/>
    </row>
    <row r="168" spans="1:4" x14ac:dyDescent="0.2">
      <c r="A168" s="345">
        <v>32628</v>
      </c>
      <c r="B168" s="73"/>
      <c r="C168" s="25"/>
      <c r="D168" s="79"/>
    </row>
    <row r="169" spans="1:4" x14ac:dyDescent="0.2">
      <c r="A169" s="345">
        <v>32659</v>
      </c>
      <c r="B169" s="73"/>
      <c r="C169" s="25"/>
      <c r="D169" s="79"/>
    </row>
    <row r="170" spans="1:4" x14ac:dyDescent="0.2">
      <c r="A170" s="345">
        <v>32689</v>
      </c>
      <c r="B170" s="73"/>
      <c r="C170" s="25"/>
      <c r="D170" s="79"/>
    </row>
    <row r="171" spans="1:4" x14ac:dyDescent="0.2">
      <c r="A171" s="345">
        <v>32720</v>
      </c>
      <c r="B171" s="73"/>
      <c r="C171" s="25"/>
      <c r="D171" s="79"/>
    </row>
    <row r="172" spans="1:4" x14ac:dyDescent="0.2">
      <c r="A172" s="345">
        <v>32751</v>
      </c>
      <c r="B172" s="73"/>
      <c r="C172" s="25"/>
      <c r="D172" s="79"/>
    </row>
    <row r="173" spans="1:4" x14ac:dyDescent="0.2">
      <c r="A173" s="345">
        <v>32781</v>
      </c>
      <c r="B173" s="73"/>
      <c r="C173" s="25"/>
      <c r="D173" s="79"/>
    </row>
    <row r="174" spans="1:4" x14ac:dyDescent="0.2">
      <c r="A174" s="345">
        <v>32812</v>
      </c>
      <c r="B174" s="73"/>
      <c r="C174" s="25"/>
      <c r="D174" s="79"/>
    </row>
    <row r="175" spans="1:4" x14ac:dyDescent="0.2">
      <c r="A175" s="345">
        <v>32842</v>
      </c>
      <c r="B175" s="73"/>
      <c r="C175" s="25"/>
      <c r="D175" s="79"/>
    </row>
    <row r="176" spans="1:4" x14ac:dyDescent="0.2">
      <c r="A176" s="345">
        <v>32873</v>
      </c>
      <c r="B176" s="73"/>
      <c r="C176" s="25"/>
      <c r="D176" s="79"/>
    </row>
    <row r="177" spans="1:4" x14ac:dyDescent="0.2">
      <c r="A177" s="345">
        <v>32904</v>
      </c>
      <c r="B177" s="73"/>
      <c r="C177" s="25"/>
      <c r="D177" s="79"/>
    </row>
    <row r="178" spans="1:4" x14ac:dyDescent="0.2">
      <c r="A178" s="345">
        <v>32932</v>
      </c>
      <c r="B178" s="73"/>
      <c r="C178" s="25"/>
      <c r="D178" s="79"/>
    </row>
    <row r="179" spans="1:4" x14ac:dyDescent="0.2">
      <c r="A179" s="345">
        <v>32963</v>
      </c>
      <c r="B179" s="73"/>
      <c r="C179" s="25"/>
      <c r="D179" s="79"/>
    </row>
    <row r="180" spans="1:4" x14ac:dyDescent="0.2">
      <c r="A180" s="345">
        <v>32993</v>
      </c>
      <c r="B180" s="73"/>
      <c r="C180" s="25"/>
      <c r="D180" s="79"/>
    </row>
    <row r="181" spans="1:4" x14ac:dyDescent="0.2">
      <c r="A181" s="345">
        <v>33024</v>
      </c>
      <c r="B181" s="73"/>
      <c r="C181" s="25"/>
      <c r="D181" s="79"/>
    </row>
    <row r="182" spans="1:4" x14ac:dyDescent="0.2">
      <c r="A182" s="345">
        <v>33054</v>
      </c>
      <c r="B182" s="73"/>
      <c r="C182" s="25"/>
      <c r="D182" s="79"/>
    </row>
    <row r="183" spans="1:4" x14ac:dyDescent="0.2">
      <c r="A183" s="345">
        <v>33085</v>
      </c>
      <c r="B183" s="73"/>
      <c r="C183" s="25"/>
      <c r="D183" s="79"/>
    </row>
    <row r="184" spans="1:4" x14ac:dyDescent="0.2">
      <c r="A184" s="345">
        <v>33116</v>
      </c>
      <c r="B184" s="73"/>
      <c r="C184" s="25"/>
      <c r="D184" s="79"/>
    </row>
    <row r="185" spans="1:4" x14ac:dyDescent="0.2">
      <c r="A185" s="345">
        <v>33146</v>
      </c>
      <c r="B185" s="73"/>
      <c r="C185" s="25"/>
      <c r="D185" s="79"/>
    </row>
    <row r="186" spans="1:4" x14ac:dyDescent="0.2">
      <c r="A186" s="345">
        <v>33177</v>
      </c>
      <c r="B186" s="73"/>
      <c r="C186" s="25"/>
      <c r="D186" s="79"/>
    </row>
    <row r="187" spans="1:4" x14ac:dyDescent="0.2">
      <c r="A187" s="345">
        <v>33207</v>
      </c>
      <c r="B187" s="73"/>
      <c r="C187" s="25"/>
      <c r="D187" s="79"/>
    </row>
    <row r="188" spans="1:4" x14ac:dyDescent="0.2">
      <c r="A188" s="345">
        <v>33238</v>
      </c>
      <c r="B188" s="73"/>
      <c r="C188" s="25"/>
      <c r="D188" s="79"/>
    </row>
    <row r="189" spans="1:4" x14ac:dyDescent="0.2">
      <c r="A189" s="345">
        <v>33269</v>
      </c>
      <c r="B189" s="73"/>
      <c r="C189" s="25"/>
      <c r="D189" s="79"/>
    </row>
    <row r="190" spans="1:4" x14ac:dyDescent="0.2">
      <c r="A190" s="345">
        <v>33297</v>
      </c>
      <c r="B190" s="73"/>
      <c r="C190" s="25"/>
      <c r="D190" s="79"/>
    </row>
    <row r="191" spans="1:4" x14ac:dyDescent="0.2">
      <c r="A191" s="345">
        <v>33328</v>
      </c>
      <c r="B191" s="73"/>
      <c r="C191" s="25"/>
      <c r="D191" s="79"/>
    </row>
    <row r="192" spans="1:4" x14ac:dyDescent="0.2">
      <c r="A192" s="345">
        <v>33358</v>
      </c>
      <c r="B192" s="73"/>
      <c r="C192" s="25"/>
      <c r="D192" s="79"/>
    </row>
    <row r="193" spans="1:4" x14ac:dyDescent="0.2">
      <c r="A193" s="345">
        <v>33389</v>
      </c>
      <c r="B193" s="73"/>
      <c r="C193" s="25"/>
      <c r="D193" s="79"/>
    </row>
    <row r="194" spans="1:4" x14ac:dyDescent="0.2">
      <c r="A194" s="345">
        <v>33419</v>
      </c>
      <c r="B194" s="73"/>
      <c r="C194" s="25"/>
      <c r="D194" s="79"/>
    </row>
    <row r="195" spans="1:4" x14ac:dyDescent="0.2">
      <c r="A195" s="345">
        <v>33450</v>
      </c>
      <c r="B195" s="73"/>
      <c r="C195" s="25"/>
      <c r="D195" s="79"/>
    </row>
    <row r="196" spans="1:4" x14ac:dyDescent="0.2">
      <c r="A196" s="345">
        <v>33481</v>
      </c>
      <c r="B196" s="73"/>
      <c r="C196" s="25"/>
      <c r="D196" s="79"/>
    </row>
    <row r="197" spans="1:4" x14ac:dyDescent="0.2">
      <c r="A197" s="345">
        <v>33511</v>
      </c>
      <c r="B197" s="73"/>
      <c r="C197" s="25"/>
      <c r="D197" s="79"/>
    </row>
    <row r="198" spans="1:4" x14ac:dyDescent="0.2">
      <c r="A198" s="345">
        <v>33542</v>
      </c>
      <c r="B198" s="73"/>
      <c r="C198" s="25"/>
      <c r="D198" s="79"/>
    </row>
    <row r="199" spans="1:4" x14ac:dyDescent="0.2">
      <c r="A199" s="345">
        <v>33572</v>
      </c>
      <c r="B199" s="73"/>
      <c r="C199" s="25"/>
      <c r="D199" s="79"/>
    </row>
    <row r="200" spans="1:4" x14ac:dyDescent="0.2">
      <c r="A200" s="345">
        <v>33603</v>
      </c>
      <c r="B200" s="73"/>
      <c r="C200" s="25"/>
      <c r="D200" s="79"/>
    </row>
    <row r="201" spans="1:4" x14ac:dyDescent="0.2">
      <c r="A201" s="345">
        <v>33634</v>
      </c>
      <c r="B201" s="73"/>
      <c r="C201" s="25"/>
      <c r="D201" s="79"/>
    </row>
    <row r="202" spans="1:4" x14ac:dyDescent="0.2">
      <c r="A202" s="345">
        <v>33663</v>
      </c>
      <c r="B202" s="73"/>
      <c r="C202" s="25"/>
      <c r="D202" s="79"/>
    </row>
    <row r="203" spans="1:4" x14ac:dyDescent="0.2">
      <c r="A203" s="345">
        <v>33694</v>
      </c>
      <c r="B203" s="73"/>
      <c r="C203" s="25"/>
      <c r="D203" s="79"/>
    </row>
    <row r="204" spans="1:4" x14ac:dyDescent="0.2">
      <c r="A204" s="345">
        <v>33724</v>
      </c>
      <c r="B204" s="73"/>
      <c r="C204" s="25"/>
      <c r="D204" s="79"/>
    </row>
    <row r="205" spans="1:4" x14ac:dyDescent="0.2">
      <c r="A205" s="345">
        <v>33755</v>
      </c>
      <c r="B205" s="73"/>
      <c r="C205" s="25"/>
      <c r="D205" s="79"/>
    </row>
    <row r="206" spans="1:4" x14ac:dyDescent="0.2">
      <c r="A206" s="345">
        <v>33785</v>
      </c>
      <c r="B206" s="73"/>
      <c r="C206" s="25"/>
      <c r="D206" s="79"/>
    </row>
    <row r="207" spans="1:4" x14ac:dyDescent="0.2">
      <c r="A207" s="345">
        <v>33816</v>
      </c>
      <c r="B207" s="73"/>
      <c r="C207" s="25"/>
      <c r="D207" s="79"/>
    </row>
    <row r="208" spans="1:4" x14ac:dyDescent="0.2">
      <c r="A208" s="345">
        <v>33847</v>
      </c>
      <c r="B208" s="73"/>
      <c r="C208" s="25"/>
      <c r="D208" s="79"/>
    </row>
    <row r="209" spans="1:4" x14ac:dyDescent="0.2">
      <c r="A209" s="345">
        <v>33877</v>
      </c>
      <c r="B209" s="73"/>
      <c r="C209" s="25"/>
      <c r="D209" s="79"/>
    </row>
    <row r="210" spans="1:4" x14ac:dyDescent="0.2">
      <c r="A210" s="345">
        <v>33908</v>
      </c>
      <c r="B210" s="73"/>
      <c r="C210" s="25"/>
      <c r="D210" s="79"/>
    </row>
    <row r="211" spans="1:4" x14ac:dyDescent="0.2">
      <c r="A211" s="345">
        <v>33938</v>
      </c>
      <c r="B211" s="73"/>
      <c r="C211" s="25"/>
      <c r="D211" s="79"/>
    </row>
    <row r="212" spans="1:4" x14ac:dyDescent="0.2">
      <c r="A212" s="345">
        <v>33969</v>
      </c>
      <c r="B212" s="73"/>
      <c r="C212" s="25"/>
      <c r="D212" s="79"/>
    </row>
    <row r="213" spans="1:4" x14ac:dyDescent="0.2">
      <c r="A213" s="345">
        <v>34000</v>
      </c>
      <c r="B213" s="73"/>
      <c r="C213" s="25"/>
      <c r="D213" s="79"/>
    </row>
    <row r="214" spans="1:4" x14ac:dyDescent="0.2">
      <c r="A214" s="345">
        <v>34028</v>
      </c>
      <c r="B214" s="73"/>
      <c r="C214" s="25"/>
      <c r="D214" s="79"/>
    </row>
    <row r="215" spans="1:4" x14ac:dyDescent="0.2">
      <c r="A215" s="345">
        <v>34059</v>
      </c>
      <c r="B215" s="73"/>
      <c r="C215" s="25"/>
      <c r="D215" s="79"/>
    </row>
    <row r="216" spans="1:4" x14ac:dyDescent="0.2">
      <c r="A216" s="345">
        <v>34089</v>
      </c>
      <c r="B216" s="73"/>
      <c r="C216" s="25"/>
      <c r="D216" s="79"/>
    </row>
    <row r="217" spans="1:4" x14ac:dyDescent="0.2">
      <c r="A217" s="345">
        <v>34120</v>
      </c>
      <c r="B217" s="73"/>
      <c r="C217" s="25"/>
      <c r="D217" s="79"/>
    </row>
    <row r="218" spans="1:4" x14ac:dyDescent="0.2">
      <c r="A218" s="345">
        <v>34150</v>
      </c>
      <c r="B218" s="73"/>
      <c r="C218" s="25"/>
      <c r="D218" s="79"/>
    </row>
    <row r="219" spans="1:4" x14ac:dyDescent="0.2">
      <c r="A219" s="345">
        <v>34181</v>
      </c>
      <c r="B219" s="73"/>
      <c r="C219" s="25"/>
      <c r="D219" s="79"/>
    </row>
    <row r="220" spans="1:4" x14ac:dyDescent="0.2">
      <c r="A220" s="345">
        <v>34212</v>
      </c>
      <c r="B220" s="73"/>
      <c r="C220" s="25"/>
      <c r="D220" s="79"/>
    </row>
    <row r="221" spans="1:4" x14ac:dyDescent="0.2">
      <c r="A221" s="345">
        <v>34242</v>
      </c>
      <c r="B221" s="73"/>
      <c r="C221" s="25"/>
      <c r="D221" s="79"/>
    </row>
    <row r="222" spans="1:4" x14ac:dyDescent="0.2">
      <c r="A222" s="345">
        <v>34273</v>
      </c>
      <c r="B222" s="73"/>
      <c r="C222" s="25"/>
      <c r="D222" s="79"/>
    </row>
    <row r="223" spans="1:4" x14ac:dyDescent="0.2">
      <c r="A223" s="345">
        <v>34303</v>
      </c>
      <c r="B223" s="73"/>
      <c r="C223" s="25"/>
      <c r="D223" s="79"/>
    </row>
    <row r="224" spans="1:4" x14ac:dyDescent="0.2">
      <c r="A224" s="345">
        <v>34334</v>
      </c>
      <c r="B224" s="73"/>
      <c r="C224" s="25"/>
      <c r="D224" s="79"/>
    </row>
    <row r="225" spans="1:4" x14ac:dyDescent="0.2">
      <c r="A225" s="345">
        <v>34365</v>
      </c>
      <c r="B225" s="73"/>
      <c r="C225" s="25"/>
      <c r="D225" s="79"/>
    </row>
    <row r="226" spans="1:4" x14ac:dyDescent="0.2">
      <c r="A226" s="345">
        <v>34393</v>
      </c>
      <c r="B226" s="73"/>
      <c r="C226" s="25"/>
      <c r="D226" s="79"/>
    </row>
    <row r="227" spans="1:4" x14ac:dyDescent="0.2">
      <c r="A227" s="345">
        <v>34424</v>
      </c>
      <c r="B227" s="73"/>
      <c r="C227" s="25"/>
      <c r="D227" s="79"/>
    </row>
    <row r="228" spans="1:4" x14ac:dyDescent="0.2">
      <c r="A228" s="345">
        <v>34454</v>
      </c>
      <c r="B228" s="73"/>
      <c r="C228" s="25"/>
      <c r="D228" s="79"/>
    </row>
    <row r="229" spans="1:4" x14ac:dyDescent="0.2">
      <c r="A229" s="345">
        <v>34485</v>
      </c>
      <c r="B229" s="73"/>
      <c r="C229" s="25"/>
      <c r="D229" s="79"/>
    </row>
    <row r="230" spans="1:4" x14ac:dyDescent="0.2">
      <c r="A230" s="345">
        <v>34515</v>
      </c>
      <c r="B230" s="73"/>
      <c r="C230" s="25"/>
      <c r="D230" s="79"/>
    </row>
    <row r="231" spans="1:4" x14ac:dyDescent="0.2">
      <c r="A231" s="345">
        <v>34546</v>
      </c>
      <c r="B231" s="73"/>
      <c r="C231" s="25"/>
      <c r="D231" s="79"/>
    </row>
    <row r="232" spans="1:4" x14ac:dyDescent="0.2">
      <c r="A232" s="345">
        <v>34577</v>
      </c>
      <c r="B232" s="73"/>
      <c r="C232" s="25"/>
      <c r="D232" s="79"/>
    </row>
    <row r="233" spans="1:4" x14ac:dyDescent="0.2">
      <c r="A233" s="345">
        <v>34607</v>
      </c>
      <c r="B233" s="73"/>
      <c r="C233" s="25"/>
      <c r="D233" s="79"/>
    </row>
    <row r="234" spans="1:4" x14ac:dyDescent="0.2">
      <c r="A234" s="345">
        <v>34638</v>
      </c>
      <c r="B234" s="73"/>
      <c r="C234" s="25"/>
      <c r="D234" s="79"/>
    </row>
    <row r="235" spans="1:4" x14ac:dyDescent="0.2">
      <c r="A235" s="345">
        <v>34668</v>
      </c>
      <c r="B235" s="73"/>
      <c r="C235" s="25"/>
      <c r="D235" s="79"/>
    </row>
    <row r="236" spans="1:4" x14ac:dyDescent="0.2">
      <c r="A236" s="345">
        <v>34699</v>
      </c>
      <c r="B236" s="73"/>
      <c r="C236" s="25"/>
      <c r="D236" s="79"/>
    </row>
    <row r="237" spans="1:4" x14ac:dyDescent="0.2">
      <c r="A237" s="345">
        <v>34730</v>
      </c>
      <c r="B237" s="73"/>
      <c r="C237" s="25"/>
      <c r="D237" s="79"/>
    </row>
    <row r="238" spans="1:4" x14ac:dyDescent="0.2">
      <c r="A238" s="345">
        <v>34758</v>
      </c>
      <c r="B238" s="73"/>
      <c r="C238" s="25"/>
      <c r="D238" s="79"/>
    </row>
    <row r="239" spans="1:4" x14ac:dyDescent="0.2">
      <c r="A239" s="345">
        <v>34789</v>
      </c>
      <c r="B239" s="73"/>
      <c r="C239" s="25"/>
      <c r="D239" s="79"/>
    </row>
    <row r="240" spans="1:4" x14ac:dyDescent="0.2">
      <c r="A240" s="345">
        <v>34819</v>
      </c>
      <c r="B240" s="73"/>
      <c r="C240" s="25"/>
      <c r="D240" s="79"/>
    </row>
    <row r="241" spans="1:4" x14ac:dyDescent="0.2">
      <c r="A241" s="345">
        <v>34850</v>
      </c>
      <c r="B241" s="73"/>
      <c r="C241" s="25"/>
      <c r="D241" s="79"/>
    </row>
    <row r="242" spans="1:4" x14ac:dyDescent="0.2">
      <c r="A242" s="345">
        <v>34880</v>
      </c>
      <c r="B242" s="73"/>
      <c r="C242" s="25"/>
      <c r="D242" s="79"/>
    </row>
    <row r="243" spans="1:4" x14ac:dyDescent="0.2">
      <c r="A243" s="345">
        <v>34911</v>
      </c>
      <c r="B243" s="73"/>
      <c r="C243" s="25"/>
      <c r="D243" s="79"/>
    </row>
    <row r="244" spans="1:4" x14ac:dyDescent="0.2">
      <c r="A244" s="345">
        <v>34942</v>
      </c>
      <c r="B244" s="73"/>
      <c r="C244" s="25"/>
      <c r="D244" s="79"/>
    </row>
    <row r="245" spans="1:4" x14ac:dyDescent="0.2">
      <c r="A245" s="345">
        <v>34972</v>
      </c>
      <c r="B245" s="73"/>
      <c r="C245" s="25"/>
      <c r="D245" s="79"/>
    </row>
    <row r="246" spans="1:4" x14ac:dyDescent="0.2">
      <c r="A246" s="345">
        <v>35003</v>
      </c>
      <c r="B246" s="73"/>
      <c r="C246" s="25"/>
      <c r="D246" s="79"/>
    </row>
    <row r="247" spans="1:4" x14ac:dyDescent="0.2">
      <c r="A247" s="345">
        <v>35033</v>
      </c>
      <c r="B247" s="73"/>
      <c r="C247" s="25"/>
      <c r="D247" s="79"/>
    </row>
    <row r="248" spans="1:4" x14ac:dyDescent="0.2">
      <c r="A248" s="345">
        <v>35064</v>
      </c>
      <c r="B248" s="73"/>
      <c r="C248" s="25"/>
      <c r="D248" s="79"/>
    </row>
    <row r="249" spans="1:4" x14ac:dyDescent="0.2">
      <c r="A249" s="345">
        <v>35095</v>
      </c>
      <c r="B249" s="73"/>
      <c r="C249" s="25"/>
      <c r="D249" s="79"/>
    </row>
    <row r="250" spans="1:4" x14ac:dyDescent="0.2">
      <c r="A250" s="345">
        <v>35124</v>
      </c>
      <c r="B250" s="73"/>
      <c r="C250" s="25"/>
      <c r="D250" s="79"/>
    </row>
    <row r="251" spans="1:4" x14ac:dyDescent="0.2">
      <c r="A251" s="345">
        <v>35155</v>
      </c>
      <c r="B251" s="73"/>
      <c r="C251" s="25"/>
      <c r="D251" s="79"/>
    </row>
    <row r="252" spans="1:4" x14ac:dyDescent="0.2">
      <c r="A252" s="345">
        <v>35185</v>
      </c>
      <c r="B252" s="73"/>
      <c r="C252" s="25"/>
      <c r="D252" s="79"/>
    </row>
    <row r="253" spans="1:4" x14ac:dyDescent="0.2">
      <c r="A253" s="345">
        <v>35216</v>
      </c>
      <c r="B253" s="73"/>
      <c r="C253" s="25"/>
      <c r="D253" s="79"/>
    </row>
    <row r="254" spans="1:4" x14ac:dyDescent="0.2">
      <c r="A254" s="345">
        <v>35246</v>
      </c>
      <c r="B254" s="73"/>
      <c r="C254" s="25"/>
      <c r="D254" s="79"/>
    </row>
    <row r="255" spans="1:4" x14ac:dyDescent="0.2">
      <c r="A255" s="345">
        <v>35277</v>
      </c>
      <c r="B255" s="73"/>
      <c r="C255" s="25"/>
      <c r="D255" s="79"/>
    </row>
    <row r="256" spans="1:4" x14ac:dyDescent="0.2">
      <c r="A256" s="345">
        <v>35308</v>
      </c>
      <c r="B256" s="73"/>
      <c r="C256" s="25"/>
      <c r="D256" s="79"/>
    </row>
    <row r="257" spans="1:4" x14ac:dyDescent="0.2">
      <c r="A257" s="345">
        <v>35338</v>
      </c>
      <c r="B257" s="73"/>
      <c r="C257" s="25"/>
      <c r="D257" s="79"/>
    </row>
    <row r="258" spans="1:4" x14ac:dyDescent="0.2">
      <c r="A258" s="345">
        <v>35369</v>
      </c>
      <c r="B258" s="73"/>
      <c r="C258" s="25"/>
      <c r="D258" s="79"/>
    </row>
    <row r="259" spans="1:4" x14ac:dyDescent="0.2">
      <c r="A259" s="345">
        <v>35399</v>
      </c>
      <c r="B259" s="73"/>
      <c r="C259" s="25"/>
      <c r="D259" s="79"/>
    </row>
    <row r="260" spans="1:4" x14ac:dyDescent="0.2">
      <c r="A260" s="345">
        <v>35430</v>
      </c>
      <c r="B260" s="73"/>
      <c r="C260" s="25"/>
      <c r="D260" s="79"/>
    </row>
    <row r="261" spans="1:4" x14ac:dyDescent="0.2">
      <c r="A261" s="345">
        <v>35461</v>
      </c>
      <c r="B261" s="73"/>
      <c r="C261" s="25"/>
      <c r="D261" s="79"/>
    </row>
    <row r="262" spans="1:4" x14ac:dyDescent="0.2">
      <c r="A262" s="345">
        <v>35489</v>
      </c>
      <c r="B262" s="73"/>
      <c r="C262" s="25"/>
      <c r="D262" s="79"/>
    </row>
    <row r="263" spans="1:4" x14ac:dyDescent="0.2">
      <c r="A263" s="345">
        <v>35520</v>
      </c>
      <c r="B263" s="73"/>
      <c r="C263" s="25"/>
      <c r="D263" s="79"/>
    </row>
    <row r="264" spans="1:4" x14ac:dyDescent="0.2">
      <c r="A264" s="345">
        <v>35550</v>
      </c>
      <c r="B264" s="1369"/>
      <c r="C264" s="35"/>
      <c r="D264" s="79"/>
    </row>
    <row r="265" spans="1:4" x14ac:dyDescent="0.2">
      <c r="A265" s="345">
        <v>35581</v>
      </c>
      <c r="B265" s="1369"/>
      <c r="C265" s="35"/>
      <c r="D265" s="79"/>
    </row>
    <row r="266" spans="1:4" x14ac:dyDescent="0.2">
      <c r="A266" s="345">
        <v>35611</v>
      </c>
      <c r="B266" s="1369"/>
      <c r="C266" s="35"/>
      <c r="D266" s="79"/>
    </row>
    <row r="267" spans="1:4" x14ac:dyDescent="0.2">
      <c r="A267" s="345">
        <v>35642</v>
      </c>
      <c r="B267" s="1369"/>
      <c r="C267" s="35"/>
      <c r="D267" s="79"/>
    </row>
    <row r="268" spans="1:4" x14ac:dyDescent="0.2">
      <c r="A268" s="345">
        <v>35673</v>
      </c>
      <c r="B268" s="1369"/>
      <c r="C268" s="35"/>
      <c r="D268" s="79"/>
    </row>
    <row r="269" spans="1:4" x14ac:dyDescent="0.2">
      <c r="A269" s="345">
        <v>35703</v>
      </c>
      <c r="B269" s="1369"/>
      <c r="C269" s="35"/>
      <c r="D269" s="79"/>
    </row>
    <row r="270" spans="1:4" x14ac:dyDescent="0.2">
      <c r="A270" s="345">
        <v>35734</v>
      </c>
      <c r="B270" s="1369"/>
      <c r="C270" s="35"/>
      <c r="D270" s="79"/>
    </row>
    <row r="271" spans="1:4" x14ac:dyDescent="0.2">
      <c r="A271" s="345">
        <v>35764</v>
      </c>
      <c r="B271" s="1369"/>
      <c r="C271" s="35"/>
      <c r="D271" s="79"/>
    </row>
    <row r="272" spans="1:4" x14ac:dyDescent="0.2">
      <c r="A272" s="345">
        <v>35795</v>
      </c>
      <c r="B272" s="1369"/>
      <c r="C272" s="35"/>
      <c r="D272" s="79"/>
    </row>
    <row r="273" spans="1:4" x14ac:dyDescent="0.2">
      <c r="A273" s="345">
        <v>35826</v>
      </c>
      <c r="B273" s="1369"/>
      <c r="C273" s="35"/>
      <c r="D273" s="79"/>
    </row>
    <row r="274" spans="1:4" x14ac:dyDescent="0.2">
      <c r="A274" s="345">
        <v>35854</v>
      </c>
      <c r="B274" s="1369"/>
      <c r="C274" s="35"/>
      <c r="D274" s="79"/>
    </row>
    <row r="275" spans="1:4" x14ac:dyDescent="0.2">
      <c r="A275" s="345">
        <v>35885</v>
      </c>
      <c r="B275" s="1369"/>
      <c r="C275" s="33"/>
      <c r="D275" s="79"/>
    </row>
    <row r="276" spans="1:4" x14ac:dyDescent="0.2">
      <c r="A276" s="345">
        <v>35915</v>
      </c>
      <c r="B276" s="1369"/>
      <c r="C276" s="33"/>
      <c r="D276" s="79"/>
    </row>
    <row r="277" spans="1:4" x14ac:dyDescent="0.2">
      <c r="A277" s="345">
        <v>35946</v>
      </c>
      <c r="B277" s="1369"/>
      <c r="C277" s="33"/>
      <c r="D277" s="79"/>
    </row>
    <row r="278" spans="1:4" x14ac:dyDescent="0.2">
      <c r="A278" s="345">
        <v>35976</v>
      </c>
      <c r="B278" s="1369"/>
      <c r="C278" s="33"/>
      <c r="D278" s="79"/>
    </row>
    <row r="279" spans="1:4" x14ac:dyDescent="0.2">
      <c r="A279" s="345">
        <v>36007</v>
      </c>
      <c r="B279" s="1369"/>
      <c r="C279" s="33"/>
      <c r="D279" s="79"/>
    </row>
    <row r="280" spans="1:4" x14ac:dyDescent="0.2">
      <c r="A280" s="345">
        <v>36038</v>
      </c>
      <c r="B280" s="1369"/>
      <c r="C280" s="33"/>
      <c r="D280" s="79"/>
    </row>
    <row r="281" spans="1:4" x14ac:dyDescent="0.2">
      <c r="A281" s="345">
        <v>36068</v>
      </c>
      <c r="B281" s="1369"/>
      <c r="C281" s="33"/>
      <c r="D281" s="79"/>
    </row>
    <row r="282" spans="1:4" x14ac:dyDescent="0.2">
      <c r="A282" s="345">
        <v>36099</v>
      </c>
      <c r="B282" s="1369"/>
      <c r="C282" s="33"/>
      <c r="D282" s="79"/>
    </row>
    <row r="283" spans="1:4" x14ac:dyDescent="0.2">
      <c r="A283" s="345">
        <v>36129</v>
      </c>
      <c r="B283" s="1369"/>
      <c r="C283" s="33"/>
      <c r="D283" s="79"/>
    </row>
    <row r="284" spans="1:4" x14ac:dyDescent="0.2">
      <c r="A284" s="345">
        <v>36160</v>
      </c>
      <c r="B284" s="1369"/>
      <c r="C284" s="33"/>
      <c r="D284" s="79"/>
    </row>
    <row r="285" spans="1:4" x14ac:dyDescent="0.2">
      <c r="A285" s="345">
        <v>36191</v>
      </c>
      <c r="B285" s="1369"/>
      <c r="C285" s="33"/>
      <c r="D285" s="79"/>
    </row>
    <row r="286" spans="1:4" x14ac:dyDescent="0.2">
      <c r="A286" s="345">
        <v>36219</v>
      </c>
      <c r="B286" s="1369"/>
      <c r="C286" s="33"/>
      <c r="D286" s="79"/>
    </row>
    <row r="287" spans="1:4" x14ac:dyDescent="0.2">
      <c r="A287" s="345">
        <v>36250</v>
      </c>
      <c r="B287" s="1369"/>
      <c r="C287" s="33"/>
      <c r="D287" s="79"/>
    </row>
    <row r="288" spans="1:4" x14ac:dyDescent="0.2">
      <c r="A288" s="345">
        <v>36280</v>
      </c>
      <c r="B288" s="1369"/>
      <c r="C288" s="33"/>
      <c r="D288" s="79"/>
    </row>
    <row r="289" spans="1:4" x14ac:dyDescent="0.2">
      <c r="A289" s="345">
        <v>36311</v>
      </c>
      <c r="B289" s="1369"/>
      <c r="C289" s="33"/>
      <c r="D289" s="79"/>
    </row>
    <row r="290" spans="1:4" x14ac:dyDescent="0.2">
      <c r="A290" s="345">
        <v>36341</v>
      </c>
      <c r="B290" s="1369"/>
      <c r="C290" s="33"/>
      <c r="D290" s="79"/>
    </row>
    <row r="291" spans="1:4" x14ac:dyDescent="0.2">
      <c r="A291" s="345">
        <v>36372</v>
      </c>
      <c r="B291" s="1369"/>
      <c r="C291" s="33"/>
      <c r="D291" s="79"/>
    </row>
    <row r="292" spans="1:4" x14ac:dyDescent="0.2">
      <c r="A292" s="345">
        <v>36403</v>
      </c>
      <c r="B292" s="1369"/>
      <c r="C292" s="33"/>
      <c r="D292" s="79"/>
    </row>
    <row r="293" spans="1:4" x14ac:dyDescent="0.2">
      <c r="A293" s="345">
        <v>36433</v>
      </c>
      <c r="B293" s="1369"/>
      <c r="C293" s="33"/>
      <c r="D293" s="79"/>
    </row>
    <row r="294" spans="1:4" x14ac:dyDescent="0.2">
      <c r="A294" s="345">
        <v>36464</v>
      </c>
      <c r="B294" s="1369"/>
      <c r="C294" s="33"/>
      <c r="D294" s="79"/>
    </row>
    <row r="295" spans="1:4" x14ac:dyDescent="0.2">
      <c r="A295" s="345">
        <v>36494</v>
      </c>
      <c r="B295" s="1369"/>
      <c r="C295" s="33"/>
      <c r="D295" s="79"/>
    </row>
    <row r="296" spans="1:4" x14ac:dyDescent="0.2">
      <c r="A296" s="345">
        <v>36525</v>
      </c>
      <c r="B296" s="1369"/>
      <c r="C296" s="33"/>
      <c r="D296" s="79"/>
    </row>
    <row r="297" spans="1:4" x14ac:dyDescent="0.2">
      <c r="A297" s="345">
        <v>36556</v>
      </c>
      <c r="B297" s="1369"/>
      <c r="C297" s="33"/>
      <c r="D297" s="79"/>
    </row>
    <row r="298" spans="1:4" x14ac:dyDescent="0.2">
      <c r="A298" s="345">
        <v>36585</v>
      </c>
      <c r="B298" s="1369"/>
      <c r="C298" s="33"/>
      <c r="D298" s="79"/>
    </row>
    <row r="299" spans="1:4" x14ac:dyDescent="0.2">
      <c r="A299" s="345">
        <v>36616</v>
      </c>
      <c r="B299" s="1369"/>
      <c r="C299" s="33"/>
      <c r="D299" s="79"/>
    </row>
    <row r="300" spans="1:4" x14ac:dyDescent="0.2">
      <c r="A300" s="345">
        <v>36646</v>
      </c>
      <c r="B300" s="1369"/>
      <c r="C300" s="33"/>
      <c r="D300" s="79"/>
    </row>
    <row r="301" spans="1:4" x14ac:dyDescent="0.2">
      <c r="A301" s="345">
        <v>36677</v>
      </c>
      <c r="B301" s="1369"/>
      <c r="C301" s="33"/>
      <c r="D301" s="79"/>
    </row>
    <row r="302" spans="1:4" x14ac:dyDescent="0.2">
      <c r="A302" s="345">
        <v>36707</v>
      </c>
      <c r="B302" s="1369"/>
      <c r="C302" s="33"/>
      <c r="D302" s="79"/>
    </row>
    <row r="303" spans="1:4" x14ac:dyDescent="0.2">
      <c r="A303" s="345">
        <v>36738</v>
      </c>
      <c r="B303" s="1369"/>
      <c r="C303" s="33"/>
      <c r="D303" s="79"/>
    </row>
    <row r="304" spans="1:4" x14ac:dyDescent="0.2">
      <c r="A304" s="345">
        <v>36769</v>
      </c>
      <c r="B304" s="1369"/>
      <c r="C304" s="33"/>
      <c r="D304" s="79"/>
    </row>
    <row r="305" spans="1:4" x14ac:dyDescent="0.2">
      <c r="A305" s="345">
        <v>36799</v>
      </c>
      <c r="B305" s="1369"/>
      <c r="C305" s="33"/>
      <c r="D305" s="79"/>
    </row>
    <row r="306" spans="1:4" x14ac:dyDescent="0.2">
      <c r="A306" s="345">
        <v>36830</v>
      </c>
      <c r="B306" s="1369"/>
      <c r="C306" s="33"/>
      <c r="D306" s="79"/>
    </row>
    <row r="307" spans="1:4" x14ac:dyDescent="0.2">
      <c r="A307" s="345">
        <v>36860</v>
      </c>
      <c r="B307" s="1369"/>
      <c r="C307" s="33"/>
      <c r="D307" s="79"/>
    </row>
    <row r="308" spans="1:4" x14ac:dyDescent="0.2">
      <c r="A308" s="345">
        <v>36891</v>
      </c>
      <c r="B308" s="1369"/>
      <c r="C308" s="33"/>
      <c r="D308" s="79"/>
    </row>
    <row r="309" spans="1:4" x14ac:dyDescent="0.2">
      <c r="A309" s="345">
        <v>36922</v>
      </c>
      <c r="B309" s="1369"/>
      <c r="C309" s="33"/>
      <c r="D309" s="79"/>
    </row>
    <row r="310" spans="1:4" x14ac:dyDescent="0.2">
      <c r="A310" s="345">
        <v>36950</v>
      </c>
      <c r="B310" s="1369"/>
      <c r="C310" s="33"/>
      <c r="D310" s="79"/>
    </row>
    <row r="311" spans="1:4" x14ac:dyDescent="0.2">
      <c r="A311" s="345">
        <v>36981</v>
      </c>
      <c r="B311" s="1369"/>
      <c r="C311" s="33"/>
      <c r="D311" s="79"/>
    </row>
    <row r="312" spans="1:4" x14ac:dyDescent="0.2">
      <c r="A312" s="345">
        <v>37011</v>
      </c>
      <c r="B312" s="1369"/>
      <c r="C312" s="33"/>
      <c r="D312" s="79"/>
    </row>
    <row r="313" spans="1:4" x14ac:dyDescent="0.2">
      <c r="A313" s="345">
        <v>37042</v>
      </c>
      <c r="B313" s="1369"/>
      <c r="C313" s="33"/>
      <c r="D313" s="79"/>
    </row>
    <row r="314" spans="1:4" x14ac:dyDescent="0.2">
      <c r="A314" s="345">
        <v>37072</v>
      </c>
      <c r="B314" s="1369"/>
      <c r="C314" s="33"/>
      <c r="D314" s="79"/>
    </row>
    <row r="315" spans="1:4" x14ac:dyDescent="0.2">
      <c r="A315" s="345">
        <v>37103</v>
      </c>
      <c r="B315" s="1369"/>
      <c r="C315" s="33"/>
      <c r="D315" s="79"/>
    </row>
    <row r="316" spans="1:4" x14ac:dyDescent="0.2">
      <c r="A316" s="345">
        <v>37134</v>
      </c>
      <c r="B316" s="1369"/>
      <c r="C316" s="33"/>
      <c r="D316" s="79"/>
    </row>
    <row r="317" spans="1:4" x14ac:dyDescent="0.2">
      <c r="A317" s="345">
        <v>37164</v>
      </c>
      <c r="B317" s="1369"/>
      <c r="C317" s="33"/>
      <c r="D317" s="79"/>
    </row>
    <row r="318" spans="1:4" x14ac:dyDescent="0.2">
      <c r="A318" s="345">
        <v>37195</v>
      </c>
      <c r="B318" s="1369"/>
      <c r="C318" s="33"/>
      <c r="D318" s="79"/>
    </row>
    <row r="319" spans="1:4" x14ac:dyDescent="0.2">
      <c r="A319" s="345">
        <v>37225</v>
      </c>
      <c r="B319" s="1369"/>
      <c r="C319" s="33"/>
      <c r="D319" s="79"/>
    </row>
    <row r="320" spans="1:4" x14ac:dyDescent="0.2">
      <c r="A320" s="345">
        <v>37256</v>
      </c>
      <c r="B320" s="1369"/>
      <c r="C320" s="33"/>
      <c r="D320" s="79"/>
    </row>
    <row r="321" spans="1:4" x14ac:dyDescent="0.2">
      <c r="A321" s="345">
        <v>37287</v>
      </c>
      <c r="B321" s="1369"/>
      <c r="C321" s="33"/>
      <c r="D321" s="79"/>
    </row>
    <row r="322" spans="1:4" x14ac:dyDescent="0.2">
      <c r="A322" s="345">
        <v>37315</v>
      </c>
      <c r="B322" s="1369"/>
      <c r="C322" s="33"/>
      <c r="D322" s="79"/>
    </row>
    <row r="323" spans="1:4" x14ac:dyDescent="0.2">
      <c r="A323" s="345">
        <v>37346</v>
      </c>
      <c r="B323" s="1369"/>
      <c r="C323" s="33"/>
      <c r="D323" s="79"/>
    </row>
    <row r="324" spans="1:4" x14ac:dyDescent="0.2">
      <c r="A324" s="345">
        <v>37376</v>
      </c>
      <c r="B324" s="1369"/>
      <c r="C324" s="33"/>
      <c r="D324" s="79"/>
    </row>
    <row r="325" spans="1:4" x14ac:dyDescent="0.2">
      <c r="A325" s="345">
        <v>37407</v>
      </c>
      <c r="B325" s="1369"/>
      <c r="C325" s="33"/>
      <c r="D325" s="79"/>
    </row>
    <row r="326" spans="1:4" x14ac:dyDescent="0.2">
      <c r="A326" s="345">
        <v>37437</v>
      </c>
      <c r="B326" s="1369"/>
      <c r="C326" s="33"/>
      <c r="D326" s="79"/>
    </row>
    <row r="327" spans="1:4" x14ac:dyDescent="0.2">
      <c r="A327" s="345">
        <v>37468</v>
      </c>
      <c r="B327" s="1369"/>
      <c r="C327" s="33"/>
      <c r="D327" s="79"/>
    </row>
    <row r="328" spans="1:4" x14ac:dyDescent="0.2">
      <c r="A328" s="345">
        <v>37499</v>
      </c>
      <c r="B328" s="1369"/>
      <c r="C328" s="33"/>
      <c r="D328" s="79"/>
    </row>
    <row r="329" spans="1:4" x14ac:dyDescent="0.2">
      <c r="A329" s="345">
        <v>37529</v>
      </c>
      <c r="B329" s="1369"/>
      <c r="C329" s="33"/>
      <c r="D329" s="79"/>
    </row>
    <row r="330" spans="1:4" x14ac:dyDescent="0.2">
      <c r="A330" s="345">
        <v>37560</v>
      </c>
      <c r="B330" s="1369"/>
      <c r="C330" s="33"/>
      <c r="D330" s="79"/>
    </row>
    <row r="331" spans="1:4" x14ac:dyDescent="0.2">
      <c r="A331" s="345">
        <v>37590</v>
      </c>
      <c r="B331" s="1369"/>
      <c r="C331" s="33"/>
      <c r="D331" s="79"/>
    </row>
    <row r="332" spans="1:4" x14ac:dyDescent="0.2">
      <c r="A332" s="345">
        <v>37621</v>
      </c>
      <c r="B332" s="1369"/>
      <c r="C332" s="33"/>
      <c r="D332" s="79"/>
    </row>
    <row r="333" spans="1:4" x14ac:dyDescent="0.2">
      <c r="A333" s="345">
        <v>37652</v>
      </c>
      <c r="B333" s="1369"/>
      <c r="C333" s="33"/>
      <c r="D333" s="79"/>
    </row>
    <row r="334" spans="1:4" x14ac:dyDescent="0.2">
      <c r="A334" s="345">
        <v>37680</v>
      </c>
      <c r="B334" s="1369"/>
      <c r="C334" s="33"/>
      <c r="D334" s="79"/>
    </row>
    <row r="335" spans="1:4" x14ac:dyDescent="0.2">
      <c r="A335" s="345">
        <v>37711</v>
      </c>
      <c r="B335" s="1369"/>
      <c r="C335" s="33"/>
      <c r="D335" s="79"/>
    </row>
    <row r="336" spans="1:4" x14ac:dyDescent="0.2">
      <c r="A336" s="345">
        <v>37741</v>
      </c>
      <c r="B336" s="1369"/>
      <c r="C336" s="33"/>
      <c r="D336" s="79"/>
    </row>
    <row r="337" spans="1:4" x14ac:dyDescent="0.2">
      <c r="A337" s="345">
        <v>37772</v>
      </c>
      <c r="B337" s="1369"/>
      <c r="C337" s="33"/>
      <c r="D337" s="79"/>
    </row>
    <row r="338" spans="1:4" x14ac:dyDescent="0.2">
      <c r="A338" s="345">
        <v>37802</v>
      </c>
      <c r="B338" s="1369"/>
      <c r="C338" s="33"/>
      <c r="D338" s="79"/>
    </row>
    <row r="339" spans="1:4" x14ac:dyDescent="0.2">
      <c r="A339" s="345">
        <v>37833</v>
      </c>
      <c r="B339" s="1369"/>
      <c r="C339" s="33"/>
      <c r="D339" s="79"/>
    </row>
    <row r="340" spans="1:4" x14ac:dyDescent="0.2">
      <c r="A340" s="345">
        <v>37864</v>
      </c>
      <c r="B340" s="1369"/>
      <c r="C340" s="33"/>
      <c r="D340" s="79"/>
    </row>
    <row r="341" spans="1:4" x14ac:dyDescent="0.2">
      <c r="A341" s="345">
        <v>37894</v>
      </c>
      <c r="B341" s="1369"/>
      <c r="C341" s="34"/>
      <c r="D341" s="79"/>
    </row>
    <row r="342" spans="1:4" x14ac:dyDescent="0.2">
      <c r="A342" s="345">
        <v>37925</v>
      </c>
      <c r="B342" s="1369"/>
      <c r="C342" s="34"/>
      <c r="D342" s="79"/>
    </row>
    <row r="343" spans="1:4" x14ac:dyDescent="0.2">
      <c r="A343" s="345">
        <v>37955</v>
      </c>
      <c r="B343" s="1369"/>
      <c r="C343" s="34"/>
      <c r="D343" s="79"/>
    </row>
    <row r="344" spans="1:4" x14ac:dyDescent="0.2">
      <c r="A344" s="345">
        <v>37986</v>
      </c>
      <c r="B344" s="1369"/>
      <c r="C344" s="34"/>
      <c r="D344" s="79"/>
    </row>
    <row r="345" spans="1:4" x14ac:dyDescent="0.2">
      <c r="A345" s="345">
        <v>38017</v>
      </c>
      <c r="B345" s="1369"/>
      <c r="C345" s="34"/>
      <c r="D345" s="79"/>
    </row>
    <row r="346" spans="1:4" x14ac:dyDescent="0.2">
      <c r="A346" s="345">
        <v>38046</v>
      </c>
      <c r="B346" s="1369"/>
      <c r="C346" s="34"/>
      <c r="D346" s="79"/>
    </row>
    <row r="347" spans="1:4" x14ac:dyDescent="0.2">
      <c r="A347" s="345">
        <v>38077</v>
      </c>
      <c r="B347" s="1369"/>
      <c r="C347" s="34"/>
      <c r="D347" s="255"/>
    </row>
    <row r="348" spans="1:4" x14ac:dyDescent="0.2">
      <c r="A348" s="345">
        <v>38107</v>
      </c>
      <c r="B348" s="1369"/>
      <c r="C348" s="34"/>
      <c r="D348" s="253"/>
    </row>
    <row r="349" spans="1:4" x14ac:dyDescent="0.2">
      <c r="A349" s="345">
        <v>38138</v>
      </c>
      <c r="B349" s="1369"/>
      <c r="C349" s="34"/>
      <c r="D349" s="253"/>
    </row>
    <row r="350" spans="1:4" x14ac:dyDescent="0.2">
      <c r="A350" s="345">
        <v>38168</v>
      </c>
      <c r="B350" s="1369"/>
      <c r="C350" s="34"/>
      <c r="D350" s="253"/>
    </row>
    <row r="351" spans="1:4" x14ac:dyDescent="0.2">
      <c r="A351" s="345">
        <v>38199</v>
      </c>
      <c r="B351" s="1369"/>
      <c r="C351" s="34"/>
      <c r="D351" s="253"/>
    </row>
    <row r="352" spans="1:4" x14ac:dyDescent="0.2">
      <c r="A352" s="345">
        <v>38230</v>
      </c>
      <c r="B352" s="1369"/>
      <c r="C352" s="34"/>
      <c r="D352" s="253"/>
    </row>
    <row r="353" spans="1:4" x14ac:dyDescent="0.2">
      <c r="A353" s="345">
        <v>38260</v>
      </c>
      <c r="B353" s="1369"/>
      <c r="C353" s="34"/>
      <c r="D353" s="253"/>
    </row>
    <row r="354" spans="1:4" x14ac:dyDescent="0.2">
      <c r="A354" s="345">
        <v>38291</v>
      </c>
      <c r="B354" s="1369"/>
      <c r="C354" s="34"/>
      <c r="D354" s="253"/>
    </row>
    <row r="355" spans="1:4" x14ac:dyDescent="0.2">
      <c r="A355" s="345">
        <v>38321</v>
      </c>
      <c r="B355" s="1369"/>
      <c r="C355" s="34"/>
      <c r="D355" s="253"/>
    </row>
    <row r="356" spans="1:4" x14ac:dyDescent="0.2">
      <c r="A356" s="345">
        <v>38352</v>
      </c>
      <c r="B356" s="1369"/>
      <c r="C356" s="256"/>
      <c r="D356" s="253"/>
    </row>
    <row r="357" spans="1:4" x14ac:dyDescent="0.2">
      <c r="A357" s="345">
        <v>38383</v>
      </c>
      <c r="B357" s="1369"/>
      <c r="C357" s="34"/>
      <c r="D357" s="253"/>
    </row>
    <row r="358" spans="1:4" x14ac:dyDescent="0.2">
      <c r="A358" s="345">
        <v>38411</v>
      </c>
      <c r="B358" s="1369"/>
      <c r="C358" s="34"/>
      <c r="D358" s="253"/>
    </row>
    <row r="359" spans="1:4" x14ac:dyDescent="0.2">
      <c r="A359" s="345">
        <v>38442</v>
      </c>
      <c r="B359" s="1369"/>
      <c r="C359" s="256"/>
      <c r="D359" s="253"/>
    </row>
    <row r="360" spans="1:4" x14ac:dyDescent="0.2">
      <c r="A360" s="345">
        <v>38472</v>
      </c>
      <c r="B360" s="1369"/>
      <c r="C360" s="256"/>
      <c r="D360" s="253"/>
    </row>
    <row r="361" spans="1:4" x14ac:dyDescent="0.2">
      <c r="A361" s="345">
        <v>38503</v>
      </c>
      <c r="B361" s="1369"/>
      <c r="C361" s="256"/>
      <c r="D361" s="253"/>
    </row>
    <row r="362" spans="1:4" x14ac:dyDescent="0.2">
      <c r="A362" s="345">
        <v>38533</v>
      </c>
      <c r="B362" s="1369"/>
      <c r="C362" s="256"/>
      <c r="D362" s="253"/>
    </row>
    <row r="363" spans="1:4" x14ac:dyDescent="0.2">
      <c r="A363" s="345">
        <v>38564</v>
      </c>
      <c r="B363" s="1369"/>
      <c r="C363" s="256"/>
      <c r="D363" s="253"/>
    </row>
    <row r="364" spans="1:4" x14ac:dyDescent="0.2">
      <c r="A364" s="345">
        <v>38595</v>
      </c>
      <c r="B364" s="1369"/>
      <c r="C364" s="256"/>
      <c r="D364" s="253"/>
    </row>
    <row r="365" spans="1:4" x14ac:dyDescent="0.2">
      <c r="A365" s="345">
        <v>38625</v>
      </c>
      <c r="B365" s="1369"/>
      <c r="C365" s="256"/>
      <c r="D365" s="253"/>
    </row>
    <row r="366" spans="1:4" x14ac:dyDescent="0.2">
      <c r="A366" s="345">
        <v>38656</v>
      </c>
      <c r="B366" s="1369"/>
      <c r="C366" s="256"/>
      <c r="D366" s="253"/>
    </row>
    <row r="367" spans="1:4" x14ac:dyDescent="0.2">
      <c r="A367" s="345">
        <v>38686</v>
      </c>
      <c r="B367" s="1369"/>
      <c r="C367" s="256"/>
      <c r="D367" s="253"/>
    </row>
    <row r="368" spans="1:4" x14ac:dyDescent="0.2">
      <c r="A368" s="345">
        <v>38717</v>
      </c>
      <c r="B368" s="1369"/>
      <c r="C368" s="256"/>
      <c r="D368" s="253"/>
    </row>
    <row r="369" spans="1:6" x14ac:dyDescent="0.2">
      <c r="A369" s="345">
        <v>38748</v>
      </c>
      <c r="B369" s="1369"/>
      <c r="C369" s="256"/>
      <c r="D369" s="253"/>
    </row>
    <row r="370" spans="1:6" x14ac:dyDescent="0.2">
      <c r="A370" s="345">
        <v>38776</v>
      </c>
      <c r="B370" s="1369"/>
      <c r="C370" s="256"/>
      <c r="D370" s="253"/>
    </row>
    <row r="371" spans="1:6" x14ac:dyDescent="0.2">
      <c r="A371" s="345">
        <v>38807</v>
      </c>
      <c r="B371" s="1369"/>
      <c r="C371" s="33"/>
      <c r="D371" s="253"/>
    </row>
    <row r="372" spans="1:6" x14ac:dyDescent="0.2">
      <c r="A372" s="345">
        <v>38837</v>
      </c>
      <c r="B372" s="1369"/>
      <c r="C372" s="33"/>
      <c r="D372" s="253"/>
    </row>
    <row r="373" spans="1:6" x14ac:dyDescent="0.2">
      <c r="A373" s="345">
        <v>38868</v>
      </c>
      <c r="B373" s="1369"/>
      <c r="C373" s="33"/>
      <c r="D373" s="253"/>
    </row>
    <row r="374" spans="1:6" x14ac:dyDescent="0.2">
      <c r="A374" s="345">
        <v>38898</v>
      </c>
      <c r="B374" s="1369"/>
      <c r="C374" s="354"/>
      <c r="D374" s="253"/>
    </row>
    <row r="375" spans="1:6" x14ac:dyDescent="0.2">
      <c r="A375" s="345">
        <v>38929</v>
      </c>
      <c r="B375" s="1369"/>
      <c r="C375" s="34"/>
      <c r="D375" s="253"/>
    </row>
    <row r="376" spans="1:6" x14ac:dyDescent="0.2">
      <c r="A376" s="345">
        <v>38960</v>
      </c>
      <c r="B376" s="1369"/>
      <c r="C376" s="34"/>
      <c r="D376" s="253"/>
    </row>
    <row r="377" spans="1:6" x14ac:dyDescent="0.2">
      <c r="A377" s="345">
        <v>38990</v>
      </c>
      <c r="B377" s="1369"/>
      <c r="C377" s="34"/>
      <c r="D377" s="253"/>
    </row>
    <row r="378" spans="1:6" x14ac:dyDescent="0.2">
      <c r="A378" s="345">
        <v>39021</v>
      </c>
      <c r="B378" s="1369"/>
      <c r="C378" s="34"/>
      <c r="D378" s="253"/>
      <c r="F378" s="352"/>
    </row>
    <row r="379" spans="1:6" x14ac:dyDescent="0.2">
      <c r="A379" s="345">
        <v>39051</v>
      </c>
      <c r="B379" s="1369"/>
      <c r="C379" s="34"/>
      <c r="D379" s="253"/>
      <c r="F379" s="352"/>
    </row>
    <row r="380" spans="1:6" x14ac:dyDescent="0.2">
      <c r="A380" s="345">
        <v>39082</v>
      </c>
      <c r="B380" s="1369"/>
      <c r="C380" s="34"/>
      <c r="D380" s="253"/>
      <c r="F380" s="352"/>
    </row>
    <row r="381" spans="1:6" x14ac:dyDescent="0.2">
      <c r="A381" s="345">
        <v>39113</v>
      </c>
      <c r="B381" s="1369"/>
      <c r="D381" s="258"/>
      <c r="F381" s="352"/>
    </row>
    <row r="382" spans="1:6" x14ac:dyDescent="0.2">
      <c r="A382" s="345">
        <v>39141</v>
      </c>
      <c r="B382" s="1369"/>
      <c r="D382" s="258"/>
      <c r="F382" s="352"/>
    </row>
    <row r="383" spans="1:6" x14ac:dyDescent="0.2">
      <c r="A383" s="345">
        <v>39172</v>
      </c>
      <c r="B383" s="1369"/>
      <c r="D383" s="258"/>
    </row>
    <row r="384" spans="1:6" x14ac:dyDescent="0.2">
      <c r="A384" s="345">
        <v>39202</v>
      </c>
      <c r="B384" s="1369"/>
      <c r="D384" s="258"/>
    </row>
    <row r="385" spans="1:7" x14ac:dyDescent="0.2">
      <c r="A385" s="345">
        <v>39233</v>
      </c>
      <c r="B385" s="1369"/>
      <c r="D385" s="258"/>
    </row>
    <row r="386" spans="1:7" x14ac:dyDescent="0.2">
      <c r="A386" s="345">
        <v>39263</v>
      </c>
      <c r="B386" s="1369"/>
      <c r="D386" s="258"/>
    </row>
    <row r="387" spans="1:7" x14ac:dyDescent="0.2">
      <c r="A387" s="345">
        <v>39294</v>
      </c>
      <c r="B387" s="1369"/>
      <c r="D387" s="258"/>
    </row>
    <row r="388" spans="1:7" x14ac:dyDescent="0.2">
      <c r="A388" s="345">
        <v>39325</v>
      </c>
      <c r="B388" s="1369"/>
      <c r="D388" s="258"/>
    </row>
    <row r="389" spans="1:7" x14ac:dyDescent="0.2">
      <c r="A389" s="345">
        <v>39355</v>
      </c>
      <c r="B389" s="1369"/>
      <c r="D389" s="258"/>
    </row>
    <row r="390" spans="1:7" x14ac:dyDescent="0.2">
      <c r="A390" s="345">
        <v>39386</v>
      </c>
      <c r="B390" s="1369"/>
      <c r="D390" s="258"/>
    </row>
    <row r="391" spans="1:7" x14ac:dyDescent="0.2">
      <c r="A391" s="345">
        <v>39416</v>
      </c>
      <c r="B391" s="1369"/>
      <c r="D391" s="258"/>
    </row>
    <row r="392" spans="1:7" x14ac:dyDescent="0.2">
      <c r="A392" s="345">
        <v>39447</v>
      </c>
      <c r="B392" s="1369"/>
      <c r="D392" s="258"/>
      <c r="G392" s="787"/>
    </row>
    <row r="393" spans="1:7" x14ac:dyDescent="0.2">
      <c r="A393" s="345">
        <v>39478</v>
      </c>
      <c r="B393" s="1369"/>
      <c r="D393" s="258"/>
    </row>
    <row r="394" spans="1:7" x14ac:dyDescent="0.2">
      <c r="A394" s="345">
        <v>39507</v>
      </c>
      <c r="B394" s="1369"/>
      <c r="D394" s="258"/>
    </row>
    <row r="395" spans="1:7" x14ac:dyDescent="0.2">
      <c r="A395" s="345">
        <v>39538</v>
      </c>
      <c r="B395" s="1369"/>
      <c r="D395" s="258"/>
    </row>
    <row r="396" spans="1:7" x14ac:dyDescent="0.2">
      <c r="A396" s="345">
        <v>39568</v>
      </c>
      <c r="B396" s="1369"/>
      <c r="D396" s="258"/>
    </row>
    <row r="397" spans="1:7" x14ac:dyDescent="0.2">
      <c r="A397" s="345">
        <v>39599</v>
      </c>
      <c r="B397" s="1369"/>
      <c r="D397" s="258"/>
    </row>
    <row r="398" spans="1:7" x14ac:dyDescent="0.2">
      <c r="A398" s="345">
        <v>39629</v>
      </c>
      <c r="B398" s="1369"/>
      <c r="D398" s="258"/>
    </row>
    <row r="399" spans="1:7" x14ac:dyDescent="0.2">
      <c r="A399" s="345">
        <v>39660</v>
      </c>
      <c r="B399" s="1369"/>
      <c r="C399" s="33"/>
      <c r="D399" s="258"/>
    </row>
    <row r="400" spans="1:7" x14ac:dyDescent="0.2">
      <c r="A400" s="345">
        <v>39691</v>
      </c>
      <c r="B400" s="1369"/>
      <c r="C400" s="33"/>
      <c r="D400" s="258"/>
    </row>
    <row r="401" spans="1:4" x14ac:dyDescent="0.2">
      <c r="A401" s="345">
        <v>39721</v>
      </c>
      <c r="B401" s="1369"/>
      <c r="C401" s="33"/>
      <c r="D401" s="258"/>
    </row>
    <row r="402" spans="1:4" x14ac:dyDescent="0.2">
      <c r="A402" s="345">
        <v>39752</v>
      </c>
      <c r="B402" s="1369"/>
      <c r="D402" s="258"/>
    </row>
    <row r="403" spans="1:4" x14ac:dyDescent="0.2">
      <c r="A403" s="345">
        <v>39782</v>
      </c>
      <c r="B403" s="1369"/>
      <c r="D403" s="258"/>
    </row>
    <row r="404" spans="1:4" x14ac:dyDescent="0.2">
      <c r="A404" s="345">
        <v>39813</v>
      </c>
      <c r="B404" s="1369"/>
      <c r="D404" s="258"/>
    </row>
    <row r="405" spans="1:4" x14ac:dyDescent="0.2">
      <c r="A405" s="345">
        <v>39844</v>
      </c>
      <c r="B405" s="1369"/>
      <c r="D405" s="258"/>
    </row>
    <row r="406" spans="1:4" x14ac:dyDescent="0.2">
      <c r="A406" s="345">
        <v>39872</v>
      </c>
      <c r="B406" s="1369"/>
      <c r="D406" s="258"/>
    </row>
    <row r="407" spans="1:4" x14ac:dyDescent="0.2">
      <c r="A407" s="345">
        <v>39903</v>
      </c>
      <c r="B407" s="1369"/>
      <c r="D407" s="258"/>
    </row>
    <row r="408" spans="1:4" x14ac:dyDescent="0.2">
      <c r="A408" s="345">
        <v>39933</v>
      </c>
      <c r="B408" s="1369"/>
      <c r="D408" s="258"/>
    </row>
    <row r="409" spans="1:4" x14ac:dyDescent="0.2">
      <c r="A409" s="345">
        <v>39964</v>
      </c>
      <c r="B409" s="1369"/>
      <c r="D409" s="258"/>
    </row>
    <row r="410" spans="1:4" x14ac:dyDescent="0.2">
      <c r="A410" s="345">
        <v>39994</v>
      </c>
      <c r="B410" s="1369"/>
      <c r="D410" s="258"/>
    </row>
    <row r="411" spans="1:4" x14ac:dyDescent="0.2">
      <c r="A411" s="345">
        <v>40025</v>
      </c>
      <c r="B411" s="1369"/>
      <c r="D411" s="258"/>
    </row>
    <row r="412" spans="1:4" x14ac:dyDescent="0.2">
      <c r="A412" s="345">
        <v>40056</v>
      </c>
      <c r="B412" s="1369"/>
      <c r="D412" s="258"/>
    </row>
    <row r="413" spans="1:4" x14ac:dyDescent="0.2">
      <c r="A413" s="345">
        <v>40086</v>
      </c>
      <c r="B413" s="1369"/>
      <c r="D413" s="258"/>
    </row>
    <row r="414" spans="1:4" x14ac:dyDescent="0.2">
      <c r="A414" s="345">
        <v>40117</v>
      </c>
      <c r="B414" s="1369"/>
    </row>
    <row r="415" spans="1:4" x14ac:dyDescent="0.2">
      <c r="A415" s="345">
        <v>40147</v>
      </c>
      <c r="B415" s="1369"/>
      <c r="C415" s="1333"/>
      <c r="D415" s="1369"/>
    </row>
    <row r="416" spans="1:4" x14ac:dyDescent="0.2">
      <c r="A416" s="345">
        <v>40178</v>
      </c>
      <c r="B416" s="1369"/>
    </row>
    <row r="417" spans="1:4" x14ac:dyDescent="0.2">
      <c r="A417" s="345">
        <v>40209</v>
      </c>
      <c r="B417" s="253"/>
    </row>
    <row r="418" spans="1:4" x14ac:dyDescent="0.2">
      <c r="A418" s="345">
        <v>40237</v>
      </c>
      <c r="B418" s="253"/>
    </row>
    <row r="419" spans="1:4" x14ac:dyDescent="0.2">
      <c r="A419" s="345">
        <v>40268</v>
      </c>
      <c r="B419" s="253"/>
      <c r="C419" s="1334"/>
      <c r="D419" s="1311"/>
    </row>
    <row r="420" spans="1:4" x14ac:dyDescent="0.2">
      <c r="A420" s="345">
        <v>40298</v>
      </c>
      <c r="B420" s="253"/>
    </row>
    <row r="421" spans="1:4" x14ac:dyDescent="0.2">
      <c r="A421" s="345">
        <v>40329</v>
      </c>
      <c r="B421" s="253"/>
    </row>
    <row r="422" spans="1:4" x14ac:dyDescent="0.2">
      <c r="A422" s="345">
        <v>40359</v>
      </c>
      <c r="B422" s="253"/>
    </row>
    <row r="423" spans="1:4" x14ac:dyDescent="0.2">
      <c r="A423" s="345">
        <v>40390</v>
      </c>
      <c r="B423" s="253"/>
    </row>
    <row r="424" spans="1:4" x14ac:dyDescent="0.2">
      <c r="A424" s="345">
        <v>40421</v>
      </c>
      <c r="B424" s="253"/>
    </row>
    <row r="425" spans="1:4" x14ac:dyDescent="0.2">
      <c r="A425" s="345">
        <v>40451</v>
      </c>
      <c r="B425" s="253"/>
    </row>
    <row r="426" spans="1:4" x14ac:dyDescent="0.2">
      <c r="A426" s="345">
        <v>40482</v>
      </c>
      <c r="B426" s="253"/>
    </row>
    <row r="427" spans="1:4" x14ac:dyDescent="0.2">
      <c r="A427" s="345">
        <v>40512</v>
      </c>
      <c r="B427" s="253"/>
    </row>
    <row r="428" spans="1:4" x14ac:dyDescent="0.2">
      <c r="A428" s="345">
        <v>40543</v>
      </c>
      <c r="B428" s="253"/>
    </row>
    <row r="429" spans="1:4" x14ac:dyDescent="0.2">
      <c r="A429" s="345">
        <v>40574</v>
      </c>
      <c r="B429" s="253"/>
    </row>
    <row r="430" spans="1:4" x14ac:dyDescent="0.2">
      <c r="A430" s="345">
        <v>40602</v>
      </c>
      <c r="B430" s="253"/>
    </row>
    <row r="431" spans="1:4" x14ac:dyDescent="0.2">
      <c r="A431" s="345">
        <v>40633</v>
      </c>
      <c r="B431" s="253"/>
    </row>
    <row r="432" spans="1:4" x14ac:dyDescent="0.2">
      <c r="A432" s="345">
        <v>40663</v>
      </c>
      <c r="B432" s="253"/>
    </row>
    <row r="433" spans="1:5" x14ac:dyDescent="0.2">
      <c r="A433" s="345">
        <v>40694</v>
      </c>
      <c r="B433" s="253"/>
    </row>
    <row r="434" spans="1:5" x14ac:dyDescent="0.2">
      <c r="A434" s="345">
        <v>40724</v>
      </c>
      <c r="B434" s="253"/>
    </row>
    <row r="435" spans="1:5" x14ac:dyDescent="0.2">
      <c r="A435" s="345">
        <v>40755</v>
      </c>
      <c r="B435" s="253"/>
    </row>
    <row r="436" spans="1:5" x14ac:dyDescent="0.2">
      <c r="A436" s="345">
        <v>40786</v>
      </c>
      <c r="B436" s="253"/>
    </row>
    <row r="437" spans="1:5" x14ac:dyDescent="0.2">
      <c r="A437" s="345">
        <v>40816</v>
      </c>
      <c r="B437" s="253"/>
    </row>
    <row r="438" spans="1:5" x14ac:dyDescent="0.2">
      <c r="A438" s="345">
        <v>40847</v>
      </c>
      <c r="B438" s="253"/>
    </row>
    <row r="439" spans="1:5" x14ac:dyDescent="0.2">
      <c r="A439" s="345">
        <v>40877</v>
      </c>
      <c r="B439" s="253"/>
    </row>
    <row r="440" spans="1:5" x14ac:dyDescent="0.2">
      <c r="A440" s="345">
        <v>40908</v>
      </c>
      <c r="B440" s="253"/>
    </row>
    <row r="441" spans="1:5" x14ac:dyDescent="0.2">
      <c r="A441" s="345">
        <v>40939</v>
      </c>
      <c r="B441" s="253"/>
    </row>
    <row r="442" spans="1:5" x14ac:dyDescent="0.2">
      <c r="A442" s="345">
        <v>40968</v>
      </c>
      <c r="B442" s="253"/>
    </row>
    <row r="443" spans="1:5" x14ac:dyDescent="0.2">
      <c r="A443" s="345">
        <v>40999</v>
      </c>
      <c r="B443" s="253"/>
    </row>
    <row r="444" spans="1:5" x14ac:dyDescent="0.2">
      <c r="A444" s="345">
        <v>41029</v>
      </c>
      <c r="B444" s="253"/>
    </row>
    <row r="445" spans="1:5" x14ac:dyDescent="0.2">
      <c r="A445" s="345">
        <v>41060</v>
      </c>
      <c r="B445" s="253"/>
    </row>
    <row r="446" spans="1:5" x14ac:dyDescent="0.2">
      <c r="A446" s="345">
        <v>41090</v>
      </c>
      <c r="B446" s="253"/>
    </row>
    <row r="447" spans="1:5" x14ac:dyDescent="0.2">
      <c r="A447" s="345">
        <v>41121</v>
      </c>
      <c r="B447" s="253"/>
    </row>
    <row r="448" spans="1:5" x14ac:dyDescent="0.2">
      <c r="A448" s="345">
        <v>41152</v>
      </c>
      <c r="B448" s="253">
        <f>D448</f>
        <v>1.4540000000000001E-2</v>
      </c>
      <c r="C448" s="346">
        <v>564042594.17999995</v>
      </c>
      <c r="D448" s="262">
        <v>1.4540000000000001E-2</v>
      </c>
      <c r="E448" s="14">
        <f>B448-Index_Returns!AR448</f>
        <v>6.6299999999999998E-2</v>
      </c>
    </row>
    <row r="449" spans="1:5" x14ac:dyDescent="0.2">
      <c r="A449" s="345">
        <v>41182</v>
      </c>
      <c r="B449" s="253">
        <f>D449</f>
        <v>1.59595</v>
      </c>
      <c r="C449" s="346">
        <v>565920473.38</v>
      </c>
      <c r="D449" s="262">
        <v>1.59595</v>
      </c>
      <c r="E449" s="14">
        <f>B449-Index_Returns!AR449</f>
        <v>5.1059999999999883E-2</v>
      </c>
    </row>
    <row r="450" spans="1:5" x14ac:dyDescent="0.2">
      <c r="A450" s="345">
        <v>41213</v>
      </c>
      <c r="B450" s="253">
        <f>D450</f>
        <v>-0.98678999999999994</v>
      </c>
      <c r="C450" s="346">
        <v>540387538.26999998</v>
      </c>
      <c r="D450" s="262">
        <v>-0.98678999999999994</v>
      </c>
      <c r="E450" s="14">
        <f>B450-Index_Returns!AR450</f>
        <v>-3.2199999999998896E-3</v>
      </c>
    </row>
    <row r="451" spans="1:5" x14ac:dyDescent="0.2">
      <c r="A451" s="345">
        <v>41243</v>
      </c>
      <c r="B451" s="253">
        <f>D451</f>
        <v>0.28488000000000002</v>
      </c>
      <c r="C451" s="346">
        <v>533888420.27999997</v>
      </c>
      <c r="D451" s="262">
        <v>0.28488000000000002</v>
      </c>
      <c r="E451" s="14">
        <f>B451-Index_Returns!AR451</f>
        <v>9.0370000000000034E-2</v>
      </c>
    </row>
    <row r="452" spans="1:5" x14ac:dyDescent="0.2">
      <c r="A452" s="345">
        <v>41274</v>
      </c>
      <c r="B452" s="253">
        <f>D452</f>
        <v>-0.45833000000000002</v>
      </c>
      <c r="C452" s="346">
        <v>523012547.33999997</v>
      </c>
      <c r="D452" s="262">
        <v>-0.45833000000000002</v>
      </c>
      <c r="E452" s="14">
        <f>B452-Index_Returns!AR452</f>
        <v>0.35458999999999996</v>
      </c>
    </row>
    <row r="453" spans="1:5" x14ac:dyDescent="0.2">
      <c r="A453" s="345">
        <v>41305</v>
      </c>
      <c r="B453" s="253">
        <f t="shared" ref="B453:B488" si="0">D453</f>
        <v>5.1645300000000001</v>
      </c>
      <c r="C453" s="346">
        <v>463090678.52999997</v>
      </c>
      <c r="D453" s="262">
        <v>5.1645300000000001</v>
      </c>
      <c r="E453" s="14">
        <f>B453-Index_Returns!AR453</f>
        <v>7.1390000000000065E-2</v>
      </c>
    </row>
    <row r="454" spans="1:5" x14ac:dyDescent="0.2">
      <c r="A454" s="345">
        <v>41333</v>
      </c>
      <c r="B454" s="253">
        <f t="shared" si="0"/>
        <v>2.6892200000000002</v>
      </c>
      <c r="C454" s="346">
        <v>471889595.97000003</v>
      </c>
      <c r="D454" s="262">
        <v>2.6892200000000002</v>
      </c>
      <c r="E454" s="14">
        <f>B454-Index_Returns!AR454</f>
        <v>-1.7959999999999976E-2</v>
      </c>
    </row>
    <row r="455" spans="1:5" x14ac:dyDescent="0.2">
      <c r="A455" s="345">
        <v>41364</v>
      </c>
      <c r="B455" s="253">
        <f t="shared" si="0"/>
        <v>5.0972099999999996</v>
      </c>
      <c r="C455" s="346">
        <v>492873581.58999997</v>
      </c>
      <c r="D455" s="262">
        <v>5.0972099999999996</v>
      </c>
      <c r="E455" s="14">
        <f>B455-Index_Returns!AR455</f>
        <v>-2.6340000000000252E-2</v>
      </c>
    </row>
    <row r="456" spans="1:5" x14ac:dyDescent="0.2">
      <c r="A456" s="345">
        <v>41394</v>
      </c>
      <c r="B456" s="253">
        <f t="shared" si="0"/>
        <v>2.71814</v>
      </c>
      <c r="C456" s="346">
        <v>506271015.31999999</v>
      </c>
      <c r="D456" s="262">
        <v>2.71814</v>
      </c>
      <c r="E456" s="14">
        <f>B456-Index_Returns!AR456</f>
        <v>-1.7020000000000035E-2</v>
      </c>
    </row>
    <row r="457" spans="1:5" x14ac:dyDescent="0.2">
      <c r="A457" s="345">
        <v>41425</v>
      </c>
      <c r="B457" s="253">
        <f t="shared" si="0"/>
        <v>-2.1468099999999999</v>
      </c>
      <c r="C457" s="346">
        <v>495403016.58999997</v>
      </c>
      <c r="D457" s="262">
        <v>-2.1468099999999999</v>
      </c>
      <c r="E457" s="14">
        <f>B457-Index_Returns!AR457</f>
        <v>0.29418000000000033</v>
      </c>
    </row>
    <row r="458" spans="1:5" x14ac:dyDescent="0.2">
      <c r="A458" s="345">
        <v>41455</v>
      </c>
      <c r="B458" s="253">
        <f t="shared" si="0"/>
        <v>-0.35494999999999999</v>
      </c>
      <c r="C458" s="1307">
        <v>493645568.56999999</v>
      </c>
      <c r="D458" s="1417">
        <v>-0.35494999999999999</v>
      </c>
      <c r="E458" s="14">
        <f>B458-Index_Returns!AR458</f>
        <v>-2.9150000000000009E-2</v>
      </c>
    </row>
    <row r="459" spans="1:5" x14ac:dyDescent="0.2">
      <c r="A459" s="345">
        <v>41486</v>
      </c>
      <c r="B459" s="253">
        <f t="shared" si="0"/>
        <v>3.6972499999999999</v>
      </c>
      <c r="C459" s="346">
        <v>508101621.75999999</v>
      </c>
      <c r="D459" s="262">
        <v>3.6972499999999999</v>
      </c>
      <c r="E459" s="14">
        <f>B459-Index_Returns!AR459</f>
        <v>4.9169999999999714E-2</v>
      </c>
    </row>
    <row r="460" spans="1:5" x14ac:dyDescent="0.2">
      <c r="A460" s="345">
        <v>41517</v>
      </c>
      <c r="B460" s="253">
        <f t="shared" si="0"/>
        <v>-3.2182599999999999</v>
      </c>
      <c r="C460" s="346">
        <v>491749874.45999998</v>
      </c>
      <c r="D460" s="262">
        <v>-3.2182599999999999</v>
      </c>
      <c r="E460" s="14">
        <f>B460-Index_Returns!AR460</f>
        <v>6.0000000000002274E-3</v>
      </c>
    </row>
    <row r="461" spans="1:5" x14ac:dyDescent="0.2">
      <c r="A461" s="345">
        <v>41547</v>
      </c>
      <c r="B461" s="253">
        <f t="shared" si="0"/>
        <v>2.5650499999999998</v>
      </c>
      <c r="C461" s="346">
        <v>500308768.19</v>
      </c>
      <c r="D461" s="262">
        <v>2.5650499999999998</v>
      </c>
      <c r="E461" s="14">
        <f>B461-Index_Returns!AR461</f>
        <v>-2.0900000000003693E-3</v>
      </c>
    </row>
    <row r="462" spans="1:5" x14ac:dyDescent="0.2">
      <c r="A462" s="345">
        <v>41578</v>
      </c>
      <c r="B462" s="253">
        <f t="shared" si="0"/>
        <v>4.7090300000000003</v>
      </c>
      <c r="C462" s="346">
        <v>514394986.5</v>
      </c>
      <c r="D462" s="262">
        <v>4.7090300000000003</v>
      </c>
      <c r="E462" s="14">
        <f>B462-Index_Returns!AR462</f>
        <v>-1.656000000000013E-2</v>
      </c>
    </row>
    <row r="463" spans="1:5" x14ac:dyDescent="0.2">
      <c r="A463" s="345">
        <v>41608</v>
      </c>
      <c r="B463" s="253">
        <f t="shared" si="0"/>
        <v>1.53949</v>
      </c>
      <c r="C463" s="346">
        <v>505660485.63999999</v>
      </c>
      <c r="D463" s="262">
        <v>1.53949</v>
      </c>
      <c r="E463" s="14">
        <f>B463-Index_Returns!AR463</f>
        <v>0.19975000000000009</v>
      </c>
    </row>
    <row r="464" spans="1:5" x14ac:dyDescent="0.2">
      <c r="A464" s="345">
        <v>41639</v>
      </c>
      <c r="B464" s="253">
        <f t="shared" si="0"/>
        <v>1.2762500000000001</v>
      </c>
      <c r="C464" s="346">
        <v>497513837.37</v>
      </c>
      <c r="D464" s="262">
        <v>1.2762500000000001</v>
      </c>
      <c r="E464" s="14">
        <f>B464-Index_Returns!AR464</f>
        <v>1.8710000000000004E-2</v>
      </c>
    </row>
    <row r="465" spans="1:5" x14ac:dyDescent="0.2">
      <c r="A465" s="345">
        <v>41670</v>
      </c>
      <c r="B465" s="253">
        <f t="shared" si="0"/>
        <v>-3.0115799999999999</v>
      </c>
      <c r="C465" s="346">
        <v>482530817.64999998</v>
      </c>
      <c r="D465" s="262">
        <v>-3.0115799999999999</v>
      </c>
      <c r="E465" s="14">
        <f>B465-Index_Returns!AR465</f>
        <v>-1.1330000000000062E-2</v>
      </c>
    </row>
    <row r="466" spans="1:5" x14ac:dyDescent="0.2">
      <c r="A466" s="345">
        <v>41698</v>
      </c>
      <c r="B466" s="253">
        <f t="shared" si="0"/>
        <v>4.35189</v>
      </c>
      <c r="C466" s="346">
        <v>491916901.88999999</v>
      </c>
      <c r="D466" s="262">
        <v>4.35189</v>
      </c>
      <c r="E466" s="14">
        <f>B466-Index_Returns!AR466</f>
        <v>-1.1429999999999829E-2</v>
      </c>
    </row>
    <row r="467" spans="1:5" x14ac:dyDescent="0.2">
      <c r="A467" s="345">
        <v>41729</v>
      </c>
      <c r="B467" s="253">
        <f t="shared" si="0"/>
        <v>0.83004999999999995</v>
      </c>
      <c r="C467" s="346">
        <v>496000052.51999998</v>
      </c>
      <c r="D467" s="262">
        <v>0.83004999999999995</v>
      </c>
      <c r="E467" s="14">
        <f>B467-Index_Returns!AR467</f>
        <v>-2.5000000000008349E-4</v>
      </c>
    </row>
    <row r="468" spans="1:5" x14ac:dyDescent="0.2">
      <c r="A468" s="345">
        <v>41759</v>
      </c>
      <c r="B468" s="253">
        <f t="shared" si="0"/>
        <v>1.3799300000000001</v>
      </c>
      <c r="C468" s="346">
        <v>502844480.42000002</v>
      </c>
      <c r="D468" s="262">
        <v>1.3799300000000001</v>
      </c>
      <c r="E468" s="14">
        <f>B468-Index_Returns!AR468</f>
        <v>-1.5059999999999851E-2</v>
      </c>
    </row>
    <row r="469" spans="1:5" x14ac:dyDescent="0.2">
      <c r="A469" s="345">
        <v>41790</v>
      </c>
      <c r="B469" s="253">
        <f t="shared" si="0"/>
        <v>1.3181700000000001</v>
      </c>
      <c r="C469" s="346">
        <v>509472811.58999997</v>
      </c>
      <c r="D469" s="262">
        <v>1.3181700000000001</v>
      </c>
      <c r="E469" s="14">
        <f>B469-Index_Returns!AR469</f>
        <v>0.16015000000000001</v>
      </c>
    </row>
    <row r="470" spans="1:5" x14ac:dyDescent="0.2">
      <c r="A470" s="345">
        <v>41820</v>
      </c>
      <c r="B470" s="253">
        <f t="shared" si="0"/>
        <v>1.3321400000000001</v>
      </c>
      <c r="C470" s="346">
        <v>510697051.33999997</v>
      </c>
      <c r="D470" s="262">
        <v>1.3321400000000001</v>
      </c>
      <c r="E470" s="14">
        <f>B470-Index_Returns!AR470</f>
        <v>1.9560000000000022E-2</v>
      </c>
    </row>
    <row r="471" spans="1:5" x14ac:dyDescent="0.2">
      <c r="A471" s="345">
        <v>41851</v>
      </c>
      <c r="B471" s="253">
        <f t="shared" si="0"/>
        <v>-1.5140400000000001</v>
      </c>
      <c r="C471" s="346">
        <v>502964888.34200001</v>
      </c>
      <c r="D471" s="262">
        <v>-1.5140400000000001</v>
      </c>
      <c r="E471" s="14">
        <f>B471-Index_Returns!AR471</f>
        <v>1.1299999999998533E-3</v>
      </c>
    </row>
    <row r="472" spans="1:5" x14ac:dyDescent="0.2">
      <c r="A472" s="345">
        <v>41882</v>
      </c>
      <c r="B472" s="253">
        <f t="shared" si="0"/>
        <v>4.0690299999999997</v>
      </c>
      <c r="C472" s="346">
        <v>507975596.14999998</v>
      </c>
      <c r="D472" s="262">
        <v>4.0690299999999997</v>
      </c>
      <c r="E472" s="14">
        <f>B472-Index_Returns!AR472</f>
        <v>1.1099999999997223E-3</v>
      </c>
    </row>
    <row r="473" spans="1:5" x14ac:dyDescent="0.2">
      <c r="A473" s="345">
        <v>41912</v>
      </c>
      <c r="B473" s="253">
        <f t="shared" si="0"/>
        <v>0</v>
      </c>
      <c r="E473" s="14">
        <f>B473-Index_Returns!AR473</f>
        <v>0</v>
      </c>
    </row>
    <row r="474" spans="1:5" x14ac:dyDescent="0.2">
      <c r="A474" s="345">
        <v>41943</v>
      </c>
      <c r="B474" s="253">
        <f t="shared" si="0"/>
        <v>0</v>
      </c>
      <c r="E474" s="14">
        <f>B474-Index_Returns!AR474</f>
        <v>0</v>
      </c>
    </row>
    <row r="475" spans="1:5" x14ac:dyDescent="0.2">
      <c r="A475" s="345">
        <v>41973</v>
      </c>
      <c r="B475" s="253">
        <f t="shared" si="0"/>
        <v>0</v>
      </c>
      <c r="E475" s="14">
        <f>B475-Index_Returns!AR475</f>
        <v>0</v>
      </c>
    </row>
    <row r="476" spans="1:5" x14ac:dyDescent="0.2">
      <c r="A476" s="345">
        <v>42004</v>
      </c>
      <c r="B476" s="253">
        <f t="shared" si="0"/>
        <v>0</v>
      </c>
      <c r="E476" s="14">
        <f>B476-Index_Returns!AR476</f>
        <v>0</v>
      </c>
    </row>
    <row r="477" spans="1:5" x14ac:dyDescent="0.2">
      <c r="A477" s="345">
        <v>42035</v>
      </c>
      <c r="B477" s="253">
        <f t="shared" si="0"/>
        <v>0</v>
      </c>
      <c r="E477" s="14">
        <f>B477-Index_Returns!AR477</f>
        <v>0</v>
      </c>
    </row>
    <row r="478" spans="1:5" x14ac:dyDescent="0.2">
      <c r="A478" s="345">
        <v>42063</v>
      </c>
      <c r="B478" s="253">
        <f t="shared" si="0"/>
        <v>0</v>
      </c>
      <c r="E478" s="14">
        <f>B478-Index_Returns!AR478</f>
        <v>0</v>
      </c>
    </row>
    <row r="479" spans="1:5" x14ac:dyDescent="0.2">
      <c r="A479" s="345">
        <v>42094</v>
      </c>
      <c r="B479" s="253">
        <f t="shared" si="0"/>
        <v>0</v>
      </c>
      <c r="E479" s="14">
        <f>B479-Index_Returns!AR479</f>
        <v>0</v>
      </c>
    </row>
    <row r="480" spans="1:5" x14ac:dyDescent="0.2">
      <c r="A480" s="345">
        <v>42124</v>
      </c>
      <c r="B480" s="253">
        <f t="shared" si="0"/>
        <v>0</v>
      </c>
      <c r="E480" s="14">
        <f>B480-Index_Returns!AR480</f>
        <v>0</v>
      </c>
    </row>
    <row r="481" spans="1:5" x14ac:dyDescent="0.2">
      <c r="A481" s="345">
        <v>42155</v>
      </c>
      <c r="B481" s="253">
        <f t="shared" si="0"/>
        <v>0</v>
      </c>
      <c r="E481" s="14">
        <f>B481-Index_Returns!AR481</f>
        <v>0</v>
      </c>
    </row>
    <row r="482" spans="1:5" x14ac:dyDescent="0.2">
      <c r="A482" s="345">
        <v>42185</v>
      </c>
      <c r="B482" s="253">
        <f t="shared" si="0"/>
        <v>0</v>
      </c>
      <c r="E482" s="14">
        <f>B482-Index_Returns!AR482</f>
        <v>0</v>
      </c>
    </row>
    <row r="483" spans="1:5" x14ac:dyDescent="0.2">
      <c r="A483" s="345">
        <v>42216</v>
      </c>
      <c r="B483" s="253">
        <f t="shared" si="0"/>
        <v>0</v>
      </c>
      <c r="E483" s="14">
        <f>B483-Index_Returns!AR483</f>
        <v>0</v>
      </c>
    </row>
    <row r="484" spans="1:5" x14ac:dyDescent="0.2">
      <c r="A484" s="345">
        <v>42247</v>
      </c>
      <c r="B484" s="253">
        <f t="shared" si="0"/>
        <v>0</v>
      </c>
      <c r="E484" s="14">
        <f>B484-Index_Returns!AR484</f>
        <v>0</v>
      </c>
    </row>
    <row r="485" spans="1:5" x14ac:dyDescent="0.2">
      <c r="A485" s="345">
        <v>42277</v>
      </c>
      <c r="B485" s="253">
        <f t="shared" si="0"/>
        <v>0</v>
      </c>
      <c r="E485" s="14">
        <f>B485-Index_Returns!AR485</f>
        <v>0</v>
      </c>
    </row>
    <row r="486" spans="1:5" x14ac:dyDescent="0.2">
      <c r="A486" s="345">
        <v>42308</v>
      </c>
      <c r="B486" s="253">
        <f t="shared" si="0"/>
        <v>0</v>
      </c>
      <c r="E486" s="14">
        <f>B486-Index_Returns!AR486</f>
        <v>0</v>
      </c>
    </row>
    <row r="487" spans="1:5" x14ac:dyDescent="0.2">
      <c r="A487" s="345">
        <v>42338</v>
      </c>
      <c r="B487" s="253">
        <f t="shared" si="0"/>
        <v>0</v>
      </c>
      <c r="E487" s="14">
        <f>B487-Index_Returns!AR487</f>
        <v>0</v>
      </c>
    </row>
    <row r="488" spans="1:5" x14ac:dyDescent="0.2">
      <c r="A488" s="345">
        <v>42369</v>
      </c>
      <c r="B488" s="253">
        <f t="shared" si="0"/>
        <v>0</v>
      </c>
      <c r="E488" s="14">
        <f>B488-Index_Returns!AR488</f>
        <v>0</v>
      </c>
    </row>
    <row r="489" spans="1:5" x14ac:dyDescent="0.2">
      <c r="A489" s="345"/>
    </row>
    <row r="490" spans="1:5" x14ac:dyDescent="0.2">
      <c r="A490" s="345"/>
    </row>
  </sheetData>
  <printOptions headings="1" gridLines="1"/>
  <pageMargins left="0.75" right="0.75" top="1" bottom="1" header="0.5" footer="0.5"/>
  <pageSetup scale="12" orientation="portrait" r:id="rId1"/>
  <headerFooter alignWithMargins="0">
    <oddHeader>&amp;L&amp;A</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H488"/>
  <sheetViews>
    <sheetView workbookViewId="0">
      <pane xSplit="1" ySplit="2" topLeftCell="B456" activePane="bottomRight" state="frozen"/>
      <selection pane="topRight" activeCell="B1" sqref="B1"/>
      <selection pane="bottomLeft" activeCell="A3" sqref="A3"/>
      <selection pane="bottomRight" activeCell="E472" sqref="E472"/>
    </sheetView>
  </sheetViews>
  <sheetFormatPr defaultRowHeight="12.75" x14ac:dyDescent="0.2"/>
  <cols>
    <col min="1" max="1" width="18.7109375" style="21" customWidth="1"/>
    <col min="2" max="2" width="18.7109375" style="257" customWidth="1"/>
    <col min="3" max="3" width="18.7109375" style="346" customWidth="1"/>
    <col min="4" max="4" width="18.7109375" style="262" customWidth="1"/>
    <col min="5" max="5" width="9.140625" style="14"/>
    <col min="6" max="6" width="12.42578125" bestFit="1" customWidth="1"/>
    <col min="7" max="7" width="17.7109375" style="352" bestFit="1" customWidth="1"/>
    <col min="8" max="8" width="9.140625" style="352"/>
  </cols>
  <sheetData>
    <row r="1" spans="1:7" x14ac:dyDescent="0.2">
      <c r="A1" s="265" t="s">
        <v>855</v>
      </c>
      <c r="B1" s="1416" t="s">
        <v>851</v>
      </c>
      <c r="C1" s="1386"/>
      <c r="D1" s="1370">
        <f>ASRS_E1!D1</f>
        <v>1</v>
      </c>
      <c r="F1" s="1452" t="s">
        <v>851</v>
      </c>
      <c r="G1" s="12" t="s">
        <v>858</v>
      </c>
    </row>
    <row r="2" spans="1:7" x14ac:dyDescent="0.2">
      <c r="A2" s="3" t="s">
        <v>27</v>
      </c>
      <c r="B2" s="71" t="s">
        <v>91</v>
      </c>
      <c r="C2" s="226" t="s">
        <v>92</v>
      </c>
      <c r="D2" s="71" t="s">
        <v>90</v>
      </c>
      <c r="E2" s="734" t="s">
        <v>80</v>
      </c>
    </row>
    <row r="3" spans="1:7" x14ac:dyDescent="0.2">
      <c r="A3" s="345">
        <v>27606</v>
      </c>
      <c r="B3" s="71"/>
      <c r="C3" s="226"/>
      <c r="D3" s="71"/>
    </row>
    <row r="4" spans="1:7" x14ac:dyDescent="0.2">
      <c r="A4" s="345">
        <v>27637</v>
      </c>
      <c r="B4" s="71"/>
      <c r="C4" s="226"/>
      <c r="D4" s="71"/>
    </row>
    <row r="5" spans="1:7" x14ac:dyDescent="0.2">
      <c r="A5" s="345">
        <v>27667</v>
      </c>
      <c r="B5" s="71"/>
      <c r="C5" s="226"/>
      <c r="D5" s="71"/>
    </row>
    <row r="6" spans="1:7" x14ac:dyDescent="0.2">
      <c r="A6" s="345">
        <v>27698</v>
      </c>
      <c r="B6" s="71"/>
      <c r="C6" s="226"/>
      <c r="D6" s="71"/>
    </row>
    <row r="7" spans="1:7" x14ac:dyDescent="0.2">
      <c r="A7" s="345">
        <v>27728</v>
      </c>
      <c r="B7" s="71"/>
      <c r="C7" s="226"/>
      <c r="D7" s="71"/>
    </row>
    <row r="8" spans="1:7" x14ac:dyDescent="0.2">
      <c r="A8" s="345">
        <v>27759</v>
      </c>
      <c r="B8" s="71"/>
      <c r="C8" s="226"/>
      <c r="D8" s="71"/>
    </row>
    <row r="9" spans="1:7" x14ac:dyDescent="0.2">
      <c r="A9" s="345">
        <v>27790</v>
      </c>
      <c r="B9" s="71"/>
      <c r="C9" s="226"/>
      <c r="D9" s="71"/>
    </row>
    <row r="10" spans="1:7" x14ac:dyDescent="0.2">
      <c r="A10" s="345">
        <v>27819</v>
      </c>
      <c r="B10" s="71"/>
      <c r="C10" s="226"/>
      <c r="D10" s="71"/>
    </row>
    <row r="11" spans="1:7" x14ac:dyDescent="0.2">
      <c r="A11" s="345">
        <v>27850</v>
      </c>
      <c r="B11" s="71"/>
      <c r="C11" s="226"/>
      <c r="D11" s="71"/>
    </row>
    <row r="12" spans="1:7" x14ac:dyDescent="0.2">
      <c r="A12" s="345">
        <v>27880</v>
      </c>
      <c r="B12" s="71"/>
      <c r="C12" s="226"/>
      <c r="D12" s="71"/>
    </row>
    <row r="13" spans="1:7" x14ac:dyDescent="0.2">
      <c r="A13" s="345">
        <v>27911</v>
      </c>
      <c r="B13" s="71"/>
      <c r="C13" s="226"/>
      <c r="D13" s="71"/>
    </row>
    <row r="14" spans="1:7" x14ac:dyDescent="0.2">
      <c r="A14" s="345">
        <v>27941</v>
      </c>
      <c r="B14" s="71"/>
      <c r="C14" s="226"/>
      <c r="D14" s="71"/>
    </row>
    <row r="15" spans="1:7" x14ac:dyDescent="0.2">
      <c r="A15" s="345">
        <v>27972</v>
      </c>
      <c r="B15" s="71"/>
      <c r="C15" s="226"/>
      <c r="D15" s="71"/>
    </row>
    <row r="16" spans="1:7" x14ac:dyDescent="0.2">
      <c r="A16" s="345">
        <v>28003</v>
      </c>
      <c r="B16" s="71"/>
      <c r="C16" s="226"/>
      <c r="D16" s="71"/>
    </row>
    <row r="17" spans="1:4" x14ac:dyDescent="0.2">
      <c r="A17" s="345">
        <v>28033</v>
      </c>
      <c r="B17" s="71"/>
      <c r="C17" s="226"/>
      <c r="D17" s="71"/>
    </row>
    <row r="18" spans="1:4" x14ac:dyDescent="0.2">
      <c r="A18" s="345">
        <v>28064</v>
      </c>
      <c r="B18" s="71"/>
      <c r="C18" s="226"/>
      <c r="D18" s="71"/>
    </row>
    <row r="19" spans="1:4" x14ac:dyDescent="0.2">
      <c r="A19" s="345">
        <v>28094</v>
      </c>
      <c r="B19" s="71"/>
      <c r="C19" s="226"/>
      <c r="D19" s="71"/>
    </row>
    <row r="20" spans="1:4" x14ac:dyDescent="0.2">
      <c r="A20" s="345">
        <v>28125</v>
      </c>
      <c r="B20" s="71"/>
      <c r="C20" s="226"/>
      <c r="D20" s="71"/>
    </row>
    <row r="21" spans="1:4" x14ac:dyDescent="0.2">
      <c r="A21" s="345">
        <v>28156</v>
      </c>
      <c r="B21" s="71"/>
      <c r="C21" s="226"/>
      <c r="D21" s="71"/>
    </row>
    <row r="22" spans="1:4" x14ac:dyDescent="0.2">
      <c r="A22" s="345">
        <v>28184</v>
      </c>
      <c r="B22" s="71"/>
      <c r="C22" s="226"/>
      <c r="D22" s="71"/>
    </row>
    <row r="23" spans="1:4" x14ac:dyDescent="0.2">
      <c r="A23" s="345">
        <v>28215</v>
      </c>
      <c r="B23" s="71"/>
      <c r="C23" s="226"/>
      <c r="D23" s="71"/>
    </row>
    <row r="24" spans="1:4" x14ac:dyDescent="0.2">
      <c r="A24" s="345">
        <v>28245</v>
      </c>
      <c r="B24" s="71"/>
      <c r="C24" s="226"/>
      <c r="D24" s="71"/>
    </row>
    <row r="25" spans="1:4" x14ac:dyDescent="0.2">
      <c r="A25" s="345">
        <v>28276</v>
      </c>
      <c r="B25" s="71"/>
      <c r="C25" s="226"/>
      <c r="D25" s="71"/>
    </row>
    <row r="26" spans="1:4" x14ac:dyDescent="0.2">
      <c r="A26" s="345">
        <v>28306</v>
      </c>
      <c r="B26" s="71"/>
      <c r="C26" s="226"/>
      <c r="D26" s="71"/>
    </row>
    <row r="27" spans="1:4" x14ac:dyDescent="0.2">
      <c r="A27" s="345">
        <v>28337</v>
      </c>
      <c r="B27" s="71"/>
      <c r="C27" s="226"/>
      <c r="D27" s="71"/>
    </row>
    <row r="28" spans="1:4" x14ac:dyDescent="0.2">
      <c r="A28" s="345">
        <v>28368</v>
      </c>
      <c r="B28" s="71"/>
      <c r="C28" s="226"/>
      <c r="D28" s="71"/>
    </row>
    <row r="29" spans="1:4" x14ac:dyDescent="0.2">
      <c r="A29" s="345">
        <v>28398</v>
      </c>
      <c r="B29" s="71"/>
      <c r="C29" s="226"/>
      <c r="D29" s="71"/>
    </row>
    <row r="30" spans="1:4" x14ac:dyDescent="0.2">
      <c r="A30" s="345">
        <v>28429</v>
      </c>
      <c r="B30" s="71"/>
      <c r="C30" s="226"/>
      <c r="D30" s="71"/>
    </row>
    <row r="31" spans="1:4" x14ac:dyDescent="0.2">
      <c r="A31" s="345">
        <v>28459</v>
      </c>
      <c r="B31" s="71"/>
      <c r="C31" s="226"/>
      <c r="D31" s="71"/>
    </row>
    <row r="32" spans="1:4" x14ac:dyDescent="0.2">
      <c r="A32" s="345">
        <v>28490</v>
      </c>
      <c r="B32" s="71"/>
      <c r="C32" s="226"/>
      <c r="D32" s="71"/>
    </row>
    <row r="33" spans="1:4" x14ac:dyDescent="0.2">
      <c r="A33" s="345">
        <v>28521</v>
      </c>
      <c r="B33" s="71"/>
      <c r="C33" s="226"/>
      <c r="D33" s="71"/>
    </row>
    <row r="34" spans="1:4" x14ac:dyDescent="0.2">
      <c r="A34" s="345">
        <v>28549</v>
      </c>
      <c r="B34" s="71"/>
      <c r="C34" s="226"/>
      <c r="D34" s="71"/>
    </row>
    <row r="35" spans="1:4" x14ac:dyDescent="0.2">
      <c r="A35" s="345">
        <v>28580</v>
      </c>
      <c r="B35" s="71"/>
      <c r="C35" s="226"/>
      <c r="D35" s="71"/>
    </row>
    <row r="36" spans="1:4" x14ac:dyDescent="0.2">
      <c r="A36" s="345">
        <v>28610</v>
      </c>
      <c r="B36" s="71"/>
      <c r="C36" s="226"/>
      <c r="D36" s="71"/>
    </row>
    <row r="37" spans="1:4" x14ac:dyDescent="0.2">
      <c r="A37" s="345">
        <v>28641</v>
      </c>
      <c r="B37" s="71"/>
      <c r="C37" s="226"/>
      <c r="D37" s="71"/>
    </row>
    <row r="38" spans="1:4" x14ac:dyDescent="0.2">
      <c r="A38" s="345">
        <v>28671</v>
      </c>
      <c r="B38" s="71"/>
      <c r="C38" s="226"/>
      <c r="D38" s="71"/>
    </row>
    <row r="39" spans="1:4" x14ac:dyDescent="0.2">
      <c r="A39" s="345">
        <v>28702</v>
      </c>
      <c r="B39" s="71"/>
      <c r="C39" s="226"/>
      <c r="D39" s="71"/>
    </row>
    <row r="40" spans="1:4" x14ac:dyDescent="0.2">
      <c r="A40" s="345">
        <v>28733</v>
      </c>
      <c r="B40" s="71"/>
      <c r="C40" s="226"/>
      <c r="D40" s="71"/>
    </row>
    <row r="41" spans="1:4" x14ac:dyDescent="0.2">
      <c r="A41" s="345">
        <v>28763</v>
      </c>
      <c r="B41" s="71"/>
      <c r="C41" s="226"/>
      <c r="D41" s="71"/>
    </row>
    <row r="42" spans="1:4" x14ac:dyDescent="0.2">
      <c r="A42" s="345">
        <v>28794</v>
      </c>
      <c r="B42" s="71"/>
      <c r="C42" s="226"/>
      <c r="D42" s="71"/>
    </row>
    <row r="43" spans="1:4" x14ac:dyDescent="0.2">
      <c r="A43" s="345">
        <v>28824</v>
      </c>
      <c r="B43" s="71"/>
      <c r="C43" s="226"/>
      <c r="D43" s="71"/>
    </row>
    <row r="44" spans="1:4" x14ac:dyDescent="0.2">
      <c r="A44" s="345">
        <v>28855</v>
      </c>
      <c r="B44" s="71"/>
      <c r="C44" s="226"/>
      <c r="D44" s="71"/>
    </row>
    <row r="45" spans="1:4" x14ac:dyDescent="0.2">
      <c r="A45" s="345">
        <v>28886</v>
      </c>
      <c r="B45" s="71"/>
      <c r="C45" s="226"/>
      <c r="D45" s="71"/>
    </row>
    <row r="46" spans="1:4" x14ac:dyDescent="0.2">
      <c r="A46" s="345">
        <v>28914</v>
      </c>
      <c r="B46" s="71"/>
      <c r="C46" s="226"/>
      <c r="D46" s="71"/>
    </row>
    <row r="47" spans="1:4" x14ac:dyDescent="0.2">
      <c r="A47" s="345">
        <v>28945</v>
      </c>
      <c r="B47" s="71"/>
      <c r="C47" s="226"/>
      <c r="D47" s="71"/>
    </row>
    <row r="48" spans="1:4" x14ac:dyDescent="0.2">
      <c r="A48" s="345">
        <v>28975</v>
      </c>
      <c r="B48" s="71"/>
      <c r="C48" s="226"/>
      <c r="D48" s="71"/>
    </row>
    <row r="49" spans="1:4" x14ac:dyDescent="0.2">
      <c r="A49" s="345">
        <v>29006</v>
      </c>
      <c r="B49" s="71"/>
      <c r="C49" s="226"/>
      <c r="D49" s="71"/>
    </row>
    <row r="50" spans="1:4" x14ac:dyDescent="0.2">
      <c r="A50" s="345">
        <v>29036</v>
      </c>
      <c r="B50" s="71"/>
      <c r="C50" s="226"/>
      <c r="D50" s="71"/>
    </row>
    <row r="51" spans="1:4" x14ac:dyDescent="0.2">
      <c r="A51" s="345">
        <v>29067</v>
      </c>
      <c r="B51" s="71"/>
      <c r="C51" s="226"/>
      <c r="D51" s="71"/>
    </row>
    <row r="52" spans="1:4" x14ac:dyDescent="0.2">
      <c r="A52" s="345">
        <v>29098</v>
      </c>
      <c r="B52" s="71"/>
      <c r="C52" s="226"/>
      <c r="D52" s="71"/>
    </row>
    <row r="53" spans="1:4" x14ac:dyDescent="0.2">
      <c r="A53" s="345">
        <v>29128</v>
      </c>
      <c r="B53" s="71"/>
      <c r="C53" s="226"/>
      <c r="D53" s="71"/>
    </row>
    <row r="54" spans="1:4" x14ac:dyDescent="0.2">
      <c r="A54" s="345">
        <v>29159</v>
      </c>
      <c r="B54" s="71"/>
      <c r="C54" s="226"/>
      <c r="D54" s="71"/>
    </row>
    <row r="55" spans="1:4" x14ac:dyDescent="0.2">
      <c r="A55" s="345">
        <v>29189</v>
      </c>
      <c r="B55" s="71"/>
      <c r="C55" s="226"/>
      <c r="D55" s="71"/>
    </row>
    <row r="56" spans="1:4" x14ac:dyDescent="0.2">
      <c r="A56" s="345">
        <v>29220</v>
      </c>
      <c r="B56" s="71"/>
      <c r="C56" s="226"/>
      <c r="D56" s="71"/>
    </row>
    <row r="57" spans="1:4" x14ac:dyDescent="0.2">
      <c r="A57" s="345">
        <v>29251</v>
      </c>
      <c r="B57" s="71"/>
      <c r="C57" s="226"/>
      <c r="D57" s="71"/>
    </row>
    <row r="58" spans="1:4" x14ac:dyDescent="0.2">
      <c r="A58" s="345">
        <v>29280</v>
      </c>
      <c r="B58" s="71"/>
      <c r="C58" s="226"/>
      <c r="D58" s="71"/>
    </row>
    <row r="59" spans="1:4" x14ac:dyDescent="0.2">
      <c r="A59" s="345">
        <v>29311</v>
      </c>
      <c r="B59" s="71"/>
      <c r="C59" s="226"/>
      <c r="D59" s="71"/>
    </row>
    <row r="60" spans="1:4" x14ac:dyDescent="0.2">
      <c r="A60" s="345">
        <v>29341</v>
      </c>
      <c r="B60" s="71"/>
      <c r="C60" s="226"/>
      <c r="D60" s="71"/>
    </row>
    <row r="61" spans="1:4" x14ac:dyDescent="0.2">
      <c r="A61" s="345">
        <v>29372</v>
      </c>
      <c r="B61" s="71"/>
      <c r="C61" s="226"/>
      <c r="D61" s="71"/>
    </row>
    <row r="62" spans="1:4" x14ac:dyDescent="0.2">
      <c r="A62" s="345">
        <v>29402</v>
      </c>
      <c r="B62" s="71"/>
      <c r="C62" s="226"/>
      <c r="D62" s="71"/>
    </row>
    <row r="63" spans="1:4" x14ac:dyDescent="0.2">
      <c r="A63" s="345">
        <v>29433</v>
      </c>
      <c r="B63" s="71"/>
      <c r="C63" s="226"/>
      <c r="D63" s="71"/>
    </row>
    <row r="64" spans="1:4" x14ac:dyDescent="0.2">
      <c r="A64" s="345">
        <v>29464</v>
      </c>
      <c r="B64" s="71"/>
      <c r="C64" s="226"/>
      <c r="D64" s="71"/>
    </row>
    <row r="65" spans="1:4" x14ac:dyDescent="0.2">
      <c r="A65" s="345">
        <v>29494</v>
      </c>
      <c r="B65" s="71"/>
      <c r="C65" s="226"/>
      <c r="D65" s="71"/>
    </row>
    <row r="66" spans="1:4" x14ac:dyDescent="0.2">
      <c r="A66" s="345">
        <v>29525</v>
      </c>
      <c r="B66" s="71"/>
      <c r="C66" s="226"/>
      <c r="D66" s="71"/>
    </row>
    <row r="67" spans="1:4" x14ac:dyDescent="0.2">
      <c r="A67" s="345">
        <v>29555</v>
      </c>
      <c r="B67" s="71"/>
      <c r="C67" s="226"/>
      <c r="D67" s="71"/>
    </row>
    <row r="68" spans="1:4" x14ac:dyDescent="0.2">
      <c r="A68" s="345">
        <v>29586</v>
      </c>
      <c r="B68" s="71"/>
      <c r="C68" s="226"/>
      <c r="D68" s="71"/>
    </row>
    <row r="69" spans="1:4" x14ac:dyDescent="0.2">
      <c r="A69" s="345">
        <v>29617</v>
      </c>
      <c r="B69" s="71"/>
      <c r="C69" s="226"/>
      <c r="D69" s="71"/>
    </row>
    <row r="70" spans="1:4" x14ac:dyDescent="0.2">
      <c r="A70" s="345">
        <v>29645</v>
      </c>
      <c r="B70" s="71"/>
      <c r="C70" s="226"/>
      <c r="D70" s="71"/>
    </row>
    <row r="71" spans="1:4" x14ac:dyDescent="0.2">
      <c r="A71" s="345">
        <v>29676</v>
      </c>
      <c r="B71" s="71"/>
      <c r="C71" s="226"/>
      <c r="D71" s="71"/>
    </row>
    <row r="72" spans="1:4" x14ac:dyDescent="0.2">
      <c r="A72" s="345">
        <v>29706</v>
      </c>
      <c r="B72" s="71"/>
      <c r="C72" s="226"/>
      <c r="D72" s="71"/>
    </row>
    <row r="73" spans="1:4" x14ac:dyDescent="0.2">
      <c r="A73" s="345">
        <v>29737</v>
      </c>
      <c r="B73" s="71"/>
      <c r="C73" s="226"/>
      <c r="D73" s="71"/>
    </row>
    <row r="74" spans="1:4" x14ac:dyDescent="0.2">
      <c r="A74" s="345">
        <v>29767</v>
      </c>
      <c r="B74" s="71"/>
      <c r="C74" s="226"/>
      <c r="D74" s="71"/>
    </row>
    <row r="75" spans="1:4" x14ac:dyDescent="0.2">
      <c r="A75" s="345">
        <v>29798</v>
      </c>
      <c r="B75" s="71"/>
      <c r="C75" s="226"/>
      <c r="D75" s="71"/>
    </row>
    <row r="76" spans="1:4" x14ac:dyDescent="0.2">
      <c r="A76" s="345">
        <v>29829</v>
      </c>
      <c r="B76" s="71"/>
      <c r="C76" s="226"/>
      <c r="D76" s="71"/>
    </row>
    <row r="77" spans="1:4" x14ac:dyDescent="0.2">
      <c r="A77" s="345">
        <v>29859</v>
      </c>
      <c r="B77" s="71"/>
      <c r="C77" s="226"/>
      <c r="D77" s="71"/>
    </row>
    <row r="78" spans="1:4" x14ac:dyDescent="0.2">
      <c r="A78" s="345">
        <v>29890</v>
      </c>
      <c r="B78" s="71"/>
      <c r="C78" s="226"/>
      <c r="D78" s="71"/>
    </row>
    <row r="79" spans="1:4" x14ac:dyDescent="0.2">
      <c r="A79" s="345">
        <v>29920</v>
      </c>
      <c r="B79" s="71"/>
      <c r="C79" s="226"/>
      <c r="D79" s="71"/>
    </row>
    <row r="80" spans="1:4" x14ac:dyDescent="0.2">
      <c r="A80" s="345">
        <v>29951</v>
      </c>
      <c r="B80" s="71"/>
      <c r="C80" s="226"/>
      <c r="D80" s="71"/>
    </row>
    <row r="81" spans="1:4" x14ac:dyDescent="0.2">
      <c r="A81" s="345">
        <v>29982</v>
      </c>
      <c r="B81" s="71"/>
      <c r="C81" s="226"/>
      <c r="D81" s="71"/>
    </row>
    <row r="82" spans="1:4" x14ac:dyDescent="0.2">
      <c r="A82" s="345">
        <v>30010</v>
      </c>
      <c r="B82" s="71"/>
      <c r="C82" s="226"/>
      <c r="D82" s="71"/>
    </row>
    <row r="83" spans="1:4" x14ac:dyDescent="0.2">
      <c r="A83" s="345">
        <v>30041</v>
      </c>
      <c r="B83" s="71"/>
      <c r="C83" s="226"/>
      <c r="D83" s="71"/>
    </row>
    <row r="84" spans="1:4" x14ac:dyDescent="0.2">
      <c r="A84" s="345">
        <v>30071</v>
      </c>
      <c r="B84" s="71"/>
      <c r="C84" s="226"/>
      <c r="D84" s="71"/>
    </row>
    <row r="85" spans="1:4" x14ac:dyDescent="0.2">
      <c r="A85" s="345">
        <v>30102</v>
      </c>
      <c r="B85" s="71"/>
      <c r="C85" s="226"/>
      <c r="D85" s="71"/>
    </row>
    <row r="86" spans="1:4" x14ac:dyDescent="0.2">
      <c r="A86" s="345">
        <v>30132</v>
      </c>
      <c r="B86" s="71"/>
      <c r="C86" s="226"/>
      <c r="D86" s="71"/>
    </row>
    <row r="87" spans="1:4" x14ac:dyDescent="0.2">
      <c r="A87" s="345">
        <v>30163</v>
      </c>
      <c r="B87" s="71"/>
      <c r="C87" s="226"/>
      <c r="D87" s="71"/>
    </row>
    <row r="88" spans="1:4" x14ac:dyDescent="0.2">
      <c r="A88" s="345">
        <v>30194</v>
      </c>
      <c r="B88" s="71"/>
      <c r="C88" s="226"/>
      <c r="D88" s="71"/>
    </row>
    <row r="89" spans="1:4" x14ac:dyDescent="0.2">
      <c r="A89" s="345">
        <v>30224</v>
      </c>
      <c r="B89" s="71"/>
      <c r="C89" s="226"/>
      <c r="D89" s="71"/>
    </row>
    <row r="90" spans="1:4" x14ac:dyDescent="0.2">
      <c r="A90" s="345">
        <v>30255</v>
      </c>
      <c r="B90" s="71"/>
      <c r="C90" s="226"/>
      <c r="D90" s="71"/>
    </row>
    <row r="91" spans="1:4" x14ac:dyDescent="0.2">
      <c r="A91" s="345">
        <v>30285</v>
      </c>
      <c r="B91" s="71"/>
      <c r="C91" s="226"/>
      <c r="D91" s="71"/>
    </row>
    <row r="92" spans="1:4" x14ac:dyDescent="0.2">
      <c r="A92" s="345">
        <v>30316</v>
      </c>
      <c r="B92" s="71"/>
      <c r="C92" s="226"/>
      <c r="D92" s="71"/>
    </row>
    <row r="93" spans="1:4" x14ac:dyDescent="0.2">
      <c r="A93" s="345">
        <v>30347</v>
      </c>
      <c r="B93" s="71"/>
      <c r="C93" s="226"/>
      <c r="D93" s="71"/>
    </row>
    <row r="94" spans="1:4" x14ac:dyDescent="0.2">
      <c r="A94" s="345">
        <v>30375</v>
      </c>
      <c r="B94" s="71"/>
      <c r="C94" s="226"/>
      <c r="D94" s="71"/>
    </row>
    <row r="95" spans="1:4" x14ac:dyDescent="0.2">
      <c r="A95" s="345">
        <v>30406</v>
      </c>
      <c r="B95" s="71"/>
      <c r="C95" s="226"/>
      <c r="D95" s="71"/>
    </row>
    <row r="96" spans="1:4" x14ac:dyDescent="0.2">
      <c r="A96" s="345">
        <v>30436</v>
      </c>
      <c r="B96" s="71"/>
      <c r="C96" s="226"/>
      <c r="D96" s="71"/>
    </row>
    <row r="97" spans="1:4" x14ac:dyDescent="0.2">
      <c r="A97" s="345">
        <v>30467</v>
      </c>
      <c r="B97" s="71"/>
      <c r="C97" s="226"/>
      <c r="D97" s="71"/>
    </row>
    <row r="98" spans="1:4" x14ac:dyDescent="0.2">
      <c r="A98" s="345">
        <v>30497</v>
      </c>
      <c r="B98" s="71"/>
      <c r="C98" s="226"/>
      <c r="D98" s="71"/>
    </row>
    <row r="99" spans="1:4" x14ac:dyDescent="0.2">
      <c r="A99" s="345">
        <v>30528</v>
      </c>
      <c r="B99" s="71"/>
      <c r="C99" s="226"/>
      <c r="D99" s="71"/>
    </row>
    <row r="100" spans="1:4" x14ac:dyDescent="0.2">
      <c r="A100" s="345">
        <v>30559</v>
      </c>
      <c r="B100" s="71"/>
      <c r="C100" s="226"/>
      <c r="D100" s="71"/>
    </row>
    <row r="101" spans="1:4" x14ac:dyDescent="0.2">
      <c r="A101" s="345">
        <v>30589</v>
      </c>
      <c r="B101" s="71"/>
      <c r="C101" s="226"/>
      <c r="D101" s="71"/>
    </row>
    <row r="102" spans="1:4" x14ac:dyDescent="0.2">
      <c r="A102" s="345">
        <v>30620</v>
      </c>
      <c r="B102" s="71"/>
      <c r="C102" s="226"/>
      <c r="D102" s="71"/>
    </row>
    <row r="103" spans="1:4" x14ac:dyDescent="0.2">
      <c r="A103" s="345">
        <v>30650</v>
      </c>
      <c r="B103" s="71"/>
      <c r="C103" s="226"/>
      <c r="D103" s="71"/>
    </row>
    <row r="104" spans="1:4" x14ac:dyDescent="0.2">
      <c r="A104" s="345">
        <v>30681</v>
      </c>
      <c r="B104" s="71"/>
      <c r="C104" s="226"/>
      <c r="D104" s="71"/>
    </row>
    <row r="105" spans="1:4" x14ac:dyDescent="0.2">
      <c r="A105" s="345">
        <v>30712</v>
      </c>
      <c r="B105" s="71"/>
      <c r="C105" s="226"/>
      <c r="D105" s="71"/>
    </row>
    <row r="106" spans="1:4" x14ac:dyDescent="0.2">
      <c r="A106" s="345">
        <v>30741</v>
      </c>
      <c r="B106" s="71"/>
      <c r="C106" s="226"/>
      <c r="D106" s="71"/>
    </row>
    <row r="107" spans="1:4" x14ac:dyDescent="0.2">
      <c r="A107" s="345">
        <v>30772</v>
      </c>
      <c r="B107" s="71"/>
      <c r="C107" s="226"/>
      <c r="D107" s="71"/>
    </row>
    <row r="108" spans="1:4" x14ac:dyDescent="0.2">
      <c r="A108" s="345">
        <v>30802</v>
      </c>
      <c r="B108" s="71"/>
      <c r="C108" s="226"/>
      <c r="D108" s="71"/>
    </row>
    <row r="109" spans="1:4" x14ac:dyDescent="0.2">
      <c r="A109" s="345">
        <v>30833</v>
      </c>
      <c r="B109" s="71"/>
      <c r="C109" s="226"/>
      <c r="D109" s="71"/>
    </row>
    <row r="110" spans="1:4" x14ac:dyDescent="0.2">
      <c r="A110" s="345">
        <v>30863</v>
      </c>
      <c r="B110" s="71"/>
      <c r="C110" s="226"/>
      <c r="D110" s="71"/>
    </row>
    <row r="111" spans="1:4" x14ac:dyDescent="0.2">
      <c r="A111" s="345">
        <v>30894</v>
      </c>
      <c r="B111" s="71"/>
      <c r="C111" s="226"/>
      <c r="D111" s="71"/>
    </row>
    <row r="112" spans="1:4" x14ac:dyDescent="0.2">
      <c r="A112" s="345">
        <v>30925</v>
      </c>
      <c r="B112" s="71"/>
      <c r="C112" s="226"/>
      <c r="D112" s="71"/>
    </row>
    <row r="113" spans="1:4" x14ac:dyDescent="0.2">
      <c r="A113" s="345">
        <v>30955</v>
      </c>
      <c r="B113" s="71"/>
      <c r="C113" s="226"/>
      <c r="D113" s="71"/>
    </row>
    <row r="114" spans="1:4" x14ac:dyDescent="0.2">
      <c r="A114" s="345">
        <v>30986</v>
      </c>
      <c r="B114" s="71"/>
      <c r="C114" s="226"/>
      <c r="D114" s="71"/>
    </row>
    <row r="115" spans="1:4" x14ac:dyDescent="0.2">
      <c r="A115" s="345">
        <v>31016</v>
      </c>
      <c r="B115" s="71"/>
      <c r="C115" s="226"/>
      <c r="D115" s="71"/>
    </row>
    <row r="116" spans="1:4" x14ac:dyDescent="0.2">
      <c r="A116" s="345">
        <v>31047</v>
      </c>
      <c r="B116" s="71"/>
      <c r="C116" s="226"/>
      <c r="D116" s="71"/>
    </row>
    <row r="117" spans="1:4" x14ac:dyDescent="0.2">
      <c r="A117" s="345">
        <v>31078</v>
      </c>
      <c r="B117" s="71"/>
      <c r="C117" s="226"/>
      <c r="D117" s="71"/>
    </row>
    <row r="118" spans="1:4" x14ac:dyDescent="0.2">
      <c r="A118" s="345">
        <v>31106</v>
      </c>
      <c r="B118" s="71"/>
      <c r="C118" s="226"/>
      <c r="D118" s="71"/>
    </row>
    <row r="119" spans="1:4" x14ac:dyDescent="0.2">
      <c r="A119" s="345">
        <v>31137</v>
      </c>
      <c r="B119" s="71"/>
      <c r="C119" s="226"/>
      <c r="D119" s="71"/>
    </row>
    <row r="120" spans="1:4" x14ac:dyDescent="0.2">
      <c r="A120" s="345">
        <v>31167</v>
      </c>
      <c r="B120" s="71"/>
      <c r="C120" s="226"/>
      <c r="D120" s="71"/>
    </row>
    <row r="121" spans="1:4" x14ac:dyDescent="0.2">
      <c r="A121" s="345">
        <v>31198</v>
      </c>
      <c r="B121" s="71"/>
      <c r="C121" s="226"/>
      <c r="D121" s="71"/>
    </row>
    <row r="122" spans="1:4" x14ac:dyDescent="0.2">
      <c r="A122" s="345">
        <v>31228</v>
      </c>
      <c r="B122" s="71"/>
      <c r="C122" s="226"/>
      <c r="D122" s="71"/>
    </row>
    <row r="123" spans="1:4" x14ac:dyDescent="0.2">
      <c r="A123" s="345">
        <v>31259</v>
      </c>
      <c r="B123" s="71"/>
      <c r="C123" s="226"/>
      <c r="D123" s="71"/>
    </row>
    <row r="124" spans="1:4" x14ac:dyDescent="0.2">
      <c r="A124" s="345">
        <v>31290</v>
      </c>
      <c r="B124" s="71"/>
      <c r="C124" s="226"/>
      <c r="D124" s="71"/>
    </row>
    <row r="125" spans="1:4" x14ac:dyDescent="0.2">
      <c r="A125" s="345">
        <v>31320</v>
      </c>
      <c r="B125" s="71"/>
      <c r="C125" s="226"/>
      <c r="D125" s="71"/>
    </row>
    <row r="126" spans="1:4" x14ac:dyDescent="0.2">
      <c r="A126" s="345">
        <v>31351</v>
      </c>
      <c r="B126" s="71"/>
      <c r="C126" s="226"/>
      <c r="D126" s="71"/>
    </row>
    <row r="127" spans="1:4" x14ac:dyDescent="0.2">
      <c r="A127" s="345">
        <v>31381</v>
      </c>
      <c r="B127" s="71"/>
      <c r="C127" s="226"/>
      <c r="D127" s="71"/>
    </row>
    <row r="128" spans="1:4" x14ac:dyDescent="0.2">
      <c r="A128" s="345">
        <v>31412</v>
      </c>
      <c r="B128" s="71"/>
      <c r="C128" s="226"/>
      <c r="D128" s="71"/>
    </row>
    <row r="129" spans="1:4" x14ac:dyDescent="0.2">
      <c r="A129" s="345">
        <v>31443</v>
      </c>
      <c r="B129" s="71"/>
      <c r="C129" s="226"/>
      <c r="D129" s="71"/>
    </row>
    <row r="130" spans="1:4" x14ac:dyDescent="0.2">
      <c r="A130" s="345">
        <v>31471</v>
      </c>
      <c r="B130" s="71"/>
      <c r="C130" s="226"/>
      <c r="D130" s="71"/>
    </row>
    <row r="131" spans="1:4" x14ac:dyDescent="0.2">
      <c r="A131" s="345">
        <v>31502</v>
      </c>
      <c r="B131" s="71"/>
      <c r="C131" s="226"/>
      <c r="D131" s="71"/>
    </row>
    <row r="132" spans="1:4" x14ac:dyDescent="0.2">
      <c r="A132" s="345">
        <v>31532</v>
      </c>
      <c r="B132" s="71"/>
      <c r="C132" s="226"/>
      <c r="D132" s="71"/>
    </row>
    <row r="133" spans="1:4" x14ac:dyDescent="0.2">
      <c r="A133" s="345">
        <v>31563</v>
      </c>
      <c r="B133" s="71"/>
      <c r="C133" s="226"/>
      <c r="D133" s="71"/>
    </row>
    <row r="134" spans="1:4" x14ac:dyDescent="0.2">
      <c r="A134" s="345">
        <v>31593</v>
      </c>
      <c r="B134" s="71"/>
      <c r="C134" s="226"/>
      <c r="D134" s="71"/>
    </row>
    <row r="135" spans="1:4" x14ac:dyDescent="0.2">
      <c r="A135" s="345">
        <v>31624</v>
      </c>
      <c r="B135" s="71"/>
      <c r="C135" s="226"/>
      <c r="D135" s="71"/>
    </row>
    <row r="136" spans="1:4" x14ac:dyDescent="0.2">
      <c r="A136" s="345">
        <v>31655</v>
      </c>
      <c r="B136" s="71"/>
      <c r="C136" s="226"/>
      <c r="D136" s="71"/>
    </row>
    <row r="137" spans="1:4" x14ac:dyDescent="0.2">
      <c r="A137" s="345">
        <v>31685</v>
      </c>
      <c r="B137" s="71"/>
      <c r="C137" s="226"/>
      <c r="D137" s="71"/>
    </row>
    <row r="138" spans="1:4" x14ac:dyDescent="0.2">
      <c r="A138" s="345">
        <v>31716</v>
      </c>
      <c r="B138" s="71"/>
      <c r="C138" s="226"/>
      <c r="D138" s="71"/>
    </row>
    <row r="139" spans="1:4" x14ac:dyDescent="0.2">
      <c r="A139" s="345">
        <v>31746</v>
      </c>
      <c r="B139" s="71"/>
      <c r="C139" s="226"/>
      <c r="D139" s="71"/>
    </row>
    <row r="140" spans="1:4" x14ac:dyDescent="0.2">
      <c r="A140" s="345">
        <v>31777</v>
      </c>
      <c r="B140" s="71"/>
      <c r="C140" s="226"/>
      <c r="D140" s="71"/>
    </row>
    <row r="141" spans="1:4" x14ac:dyDescent="0.2">
      <c r="A141" s="345">
        <v>31808</v>
      </c>
      <c r="B141" s="73"/>
      <c r="C141" s="25"/>
      <c r="D141" s="79"/>
    </row>
    <row r="142" spans="1:4" x14ac:dyDescent="0.2">
      <c r="A142" s="345">
        <v>31836</v>
      </c>
      <c r="B142" s="73"/>
      <c r="C142" s="25"/>
      <c r="D142" s="79"/>
    </row>
    <row r="143" spans="1:4" x14ac:dyDescent="0.2">
      <c r="A143" s="345">
        <v>31867</v>
      </c>
      <c r="B143" s="73"/>
      <c r="C143" s="25"/>
      <c r="D143" s="79"/>
    </row>
    <row r="144" spans="1:4" x14ac:dyDescent="0.2">
      <c r="A144" s="345">
        <v>31897</v>
      </c>
      <c r="B144" s="73"/>
      <c r="C144" s="25"/>
      <c r="D144" s="79"/>
    </row>
    <row r="145" spans="1:4" x14ac:dyDescent="0.2">
      <c r="A145" s="345">
        <v>31928</v>
      </c>
      <c r="B145" s="73"/>
      <c r="C145" s="25"/>
      <c r="D145" s="79"/>
    </row>
    <row r="146" spans="1:4" x14ac:dyDescent="0.2">
      <c r="A146" s="345">
        <v>31958</v>
      </c>
      <c r="B146" s="73"/>
      <c r="C146" s="25"/>
      <c r="D146" s="79"/>
    </row>
    <row r="147" spans="1:4" x14ac:dyDescent="0.2">
      <c r="A147" s="345">
        <v>31989</v>
      </c>
      <c r="B147" s="73"/>
      <c r="C147" s="25"/>
      <c r="D147" s="79"/>
    </row>
    <row r="148" spans="1:4" x14ac:dyDescent="0.2">
      <c r="A148" s="345">
        <v>32020</v>
      </c>
      <c r="B148" s="73"/>
      <c r="C148" s="25"/>
      <c r="D148" s="79"/>
    </row>
    <row r="149" spans="1:4" x14ac:dyDescent="0.2">
      <c r="A149" s="345">
        <v>32050</v>
      </c>
      <c r="B149" s="73"/>
      <c r="C149" s="25"/>
      <c r="D149" s="79"/>
    </row>
    <row r="150" spans="1:4" x14ac:dyDescent="0.2">
      <c r="A150" s="345">
        <v>32081</v>
      </c>
      <c r="B150" s="73"/>
      <c r="C150" s="25"/>
      <c r="D150" s="79"/>
    </row>
    <row r="151" spans="1:4" x14ac:dyDescent="0.2">
      <c r="A151" s="345">
        <v>32111</v>
      </c>
      <c r="B151" s="73"/>
      <c r="C151" s="25"/>
      <c r="D151" s="79"/>
    </row>
    <row r="152" spans="1:4" x14ac:dyDescent="0.2">
      <c r="A152" s="345">
        <v>32142</v>
      </c>
      <c r="B152" s="73"/>
      <c r="C152" s="25"/>
      <c r="D152" s="79"/>
    </row>
    <row r="153" spans="1:4" x14ac:dyDescent="0.2">
      <c r="A153" s="345">
        <v>32173</v>
      </c>
      <c r="B153" s="73"/>
      <c r="C153" s="25"/>
      <c r="D153" s="79"/>
    </row>
    <row r="154" spans="1:4" x14ac:dyDescent="0.2">
      <c r="A154" s="345">
        <v>32202</v>
      </c>
      <c r="B154" s="73"/>
      <c r="C154" s="25"/>
      <c r="D154" s="79"/>
    </row>
    <row r="155" spans="1:4" x14ac:dyDescent="0.2">
      <c r="A155" s="345">
        <v>32233</v>
      </c>
      <c r="B155" s="73"/>
      <c r="C155" s="25"/>
      <c r="D155" s="79"/>
    </row>
    <row r="156" spans="1:4" x14ac:dyDescent="0.2">
      <c r="A156" s="345">
        <v>32263</v>
      </c>
      <c r="B156" s="73"/>
      <c r="C156" s="25"/>
      <c r="D156" s="79"/>
    </row>
    <row r="157" spans="1:4" x14ac:dyDescent="0.2">
      <c r="A157" s="345">
        <v>32294</v>
      </c>
      <c r="B157" s="73"/>
      <c r="C157" s="25"/>
      <c r="D157" s="79"/>
    </row>
    <row r="158" spans="1:4" x14ac:dyDescent="0.2">
      <c r="A158" s="345">
        <v>32324</v>
      </c>
      <c r="B158" s="73"/>
      <c r="C158" s="25"/>
      <c r="D158" s="79"/>
    </row>
    <row r="159" spans="1:4" x14ac:dyDescent="0.2">
      <c r="A159" s="345">
        <v>32355</v>
      </c>
      <c r="B159" s="73"/>
      <c r="C159" s="25"/>
      <c r="D159" s="79"/>
    </row>
    <row r="160" spans="1:4" x14ac:dyDescent="0.2">
      <c r="A160" s="345">
        <v>32386</v>
      </c>
      <c r="B160" s="73"/>
      <c r="C160" s="25"/>
      <c r="D160" s="79"/>
    </row>
    <row r="161" spans="1:4" x14ac:dyDescent="0.2">
      <c r="A161" s="345">
        <v>32416</v>
      </c>
      <c r="B161" s="73"/>
      <c r="C161" s="25"/>
      <c r="D161" s="79"/>
    </row>
    <row r="162" spans="1:4" x14ac:dyDescent="0.2">
      <c r="A162" s="345">
        <v>32447</v>
      </c>
      <c r="B162" s="73"/>
      <c r="C162" s="25"/>
      <c r="D162" s="79"/>
    </row>
    <row r="163" spans="1:4" x14ac:dyDescent="0.2">
      <c r="A163" s="345">
        <v>32477</v>
      </c>
      <c r="B163" s="73"/>
      <c r="C163" s="25"/>
      <c r="D163" s="79"/>
    </row>
    <row r="164" spans="1:4" x14ac:dyDescent="0.2">
      <c r="A164" s="345">
        <v>32508</v>
      </c>
      <c r="B164" s="73"/>
      <c r="C164" s="25"/>
      <c r="D164" s="79"/>
    </row>
    <row r="165" spans="1:4" x14ac:dyDescent="0.2">
      <c r="A165" s="345">
        <v>32539</v>
      </c>
      <c r="B165" s="73"/>
      <c r="C165" s="25"/>
      <c r="D165" s="79"/>
    </row>
    <row r="166" spans="1:4" x14ac:dyDescent="0.2">
      <c r="A166" s="345">
        <v>32567</v>
      </c>
      <c r="B166" s="73"/>
      <c r="C166" s="25"/>
      <c r="D166" s="79"/>
    </row>
    <row r="167" spans="1:4" x14ac:dyDescent="0.2">
      <c r="A167" s="345">
        <v>32598</v>
      </c>
      <c r="B167" s="73"/>
      <c r="C167" s="25"/>
      <c r="D167" s="79"/>
    </row>
    <row r="168" spans="1:4" x14ac:dyDescent="0.2">
      <c r="A168" s="345">
        <v>32628</v>
      </c>
      <c r="B168" s="73"/>
      <c r="C168" s="25"/>
      <c r="D168" s="79"/>
    </row>
    <row r="169" spans="1:4" x14ac:dyDescent="0.2">
      <c r="A169" s="345">
        <v>32659</v>
      </c>
      <c r="B169" s="73"/>
      <c r="C169" s="25"/>
      <c r="D169" s="79"/>
    </row>
    <row r="170" spans="1:4" x14ac:dyDescent="0.2">
      <c r="A170" s="345">
        <v>32689</v>
      </c>
      <c r="B170" s="73"/>
      <c r="C170" s="25"/>
      <c r="D170" s="79"/>
    </row>
    <row r="171" spans="1:4" x14ac:dyDescent="0.2">
      <c r="A171" s="345">
        <v>32720</v>
      </c>
      <c r="B171" s="73"/>
      <c r="C171" s="25"/>
      <c r="D171" s="79"/>
    </row>
    <row r="172" spans="1:4" x14ac:dyDescent="0.2">
      <c r="A172" s="345">
        <v>32751</v>
      </c>
      <c r="B172" s="73"/>
      <c r="C172" s="25"/>
      <c r="D172" s="79"/>
    </row>
    <row r="173" spans="1:4" x14ac:dyDescent="0.2">
      <c r="A173" s="345">
        <v>32781</v>
      </c>
      <c r="B173" s="73"/>
      <c r="C173" s="25"/>
      <c r="D173" s="79"/>
    </row>
    <row r="174" spans="1:4" x14ac:dyDescent="0.2">
      <c r="A174" s="345">
        <v>32812</v>
      </c>
      <c r="B174" s="73"/>
      <c r="C174" s="25"/>
      <c r="D174" s="79"/>
    </row>
    <row r="175" spans="1:4" x14ac:dyDescent="0.2">
      <c r="A175" s="345">
        <v>32842</v>
      </c>
      <c r="B175" s="73"/>
      <c r="C175" s="25"/>
      <c r="D175" s="79"/>
    </row>
    <row r="176" spans="1:4" x14ac:dyDescent="0.2">
      <c r="A176" s="345">
        <v>32873</v>
      </c>
      <c r="B176" s="73"/>
      <c r="C176" s="25"/>
      <c r="D176" s="79"/>
    </row>
    <row r="177" spans="1:4" x14ac:dyDescent="0.2">
      <c r="A177" s="345">
        <v>32904</v>
      </c>
      <c r="B177" s="73"/>
      <c r="C177" s="25"/>
      <c r="D177" s="79"/>
    </row>
    <row r="178" spans="1:4" x14ac:dyDescent="0.2">
      <c r="A178" s="345">
        <v>32932</v>
      </c>
      <c r="B178" s="73"/>
      <c r="C178" s="25"/>
      <c r="D178" s="79"/>
    </row>
    <row r="179" spans="1:4" x14ac:dyDescent="0.2">
      <c r="A179" s="345">
        <v>32963</v>
      </c>
      <c r="B179" s="73"/>
      <c r="C179" s="25"/>
      <c r="D179" s="79"/>
    </row>
    <row r="180" spans="1:4" x14ac:dyDescent="0.2">
      <c r="A180" s="345">
        <v>32993</v>
      </c>
      <c r="B180" s="73"/>
      <c r="C180" s="25"/>
      <c r="D180" s="79"/>
    </row>
    <row r="181" spans="1:4" x14ac:dyDescent="0.2">
      <c r="A181" s="345">
        <v>33024</v>
      </c>
      <c r="B181" s="73"/>
      <c r="C181" s="25"/>
      <c r="D181" s="79"/>
    </row>
    <row r="182" spans="1:4" x14ac:dyDescent="0.2">
      <c r="A182" s="345">
        <v>33054</v>
      </c>
      <c r="B182" s="73"/>
      <c r="C182" s="25"/>
      <c r="D182" s="79"/>
    </row>
    <row r="183" spans="1:4" x14ac:dyDescent="0.2">
      <c r="A183" s="345">
        <v>33085</v>
      </c>
      <c r="B183" s="73"/>
      <c r="C183" s="25"/>
      <c r="D183" s="79"/>
    </row>
    <row r="184" spans="1:4" x14ac:dyDescent="0.2">
      <c r="A184" s="345">
        <v>33116</v>
      </c>
      <c r="B184" s="73"/>
      <c r="C184" s="25"/>
      <c r="D184" s="79"/>
    </row>
    <row r="185" spans="1:4" x14ac:dyDescent="0.2">
      <c r="A185" s="345">
        <v>33146</v>
      </c>
      <c r="B185" s="73"/>
      <c r="C185" s="25"/>
      <c r="D185" s="79"/>
    </row>
    <row r="186" spans="1:4" x14ac:dyDescent="0.2">
      <c r="A186" s="345">
        <v>33177</v>
      </c>
      <c r="B186" s="73"/>
      <c r="C186" s="25"/>
      <c r="D186" s="79"/>
    </row>
    <row r="187" spans="1:4" x14ac:dyDescent="0.2">
      <c r="A187" s="345">
        <v>33207</v>
      </c>
      <c r="B187" s="73"/>
      <c r="C187" s="25"/>
      <c r="D187" s="79"/>
    </row>
    <row r="188" spans="1:4" x14ac:dyDescent="0.2">
      <c r="A188" s="345">
        <v>33238</v>
      </c>
      <c r="B188" s="73"/>
      <c r="C188" s="25"/>
      <c r="D188" s="79"/>
    </row>
    <row r="189" spans="1:4" x14ac:dyDescent="0.2">
      <c r="A189" s="345">
        <v>33269</v>
      </c>
      <c r="B189" s="73"/>
      <c r="C189" s="25"/>
      <c r="D189" s="79"/>
    </row>
    <row r="190" spans="1:4" x14ac:dyDescent="0.2">
      <c r="A190" s="345">
        <v>33297</v>
      </c>
      <c r="B190" s="73"/>
      <c r="C190" s="25"/>
      <c r="D190" s="79"/>
    </row>
    <row r="191" spans="1:4" x14ac:dyDescent="0.2">
      <c r="A191" s="345">
        <v>33328</v>
      </c>
      <c r="B191" s="73"/>
      <c r="C191" s="25"/>
      <c r="D191" s="79"/>
    </row>
    <row r="192" spans="1:4" x14ac:dyDescent="0.2">
      <c r="A192" s="345">
        <v>33358</v>
      </c>
      <c r="B192" s="73"/>
      <c r="C192" s="25"/>
      <c r="D192" s="79"/>
    </row>
    <row r="193" spans="1:4" x14ac:dyDescent="0.2">
      <c r="A193" s="345">
        <v>33389</v>
      </c>
      <c r="B193" s="73"/>
      <c r="C193" s="25"/>
      <c r="D193" s="79"/>
    </row>
    <row r="194" spans="1:4" x14ac:dyDescent="0.2">
      <c r="A194" s="345">
        <v>33419</v>
      </c>
      <c r="B194" s="73"/>
      <c r="C194" s="25"/>
      <c r="D194" s="79"/>
    </row>
    <row r="195" spans="1:4" x14ac:dyDescent="0.2">
      <c r="A195" s="345">
        <v>33450</v>
      </c>
      <c r="B195" s="73"/>
      <c r="C195" s="25"/>
      <c r="D195" s="79"/>
    </row>
    <row r="196" spans="1:4" x14ac:dyDescent="0.2">
      <c r="A196" s="345">
        <v>33481</v>
      </c>
      <c r="B196" s="73"/>
      <c r="C196" s="25"/>
      <c r="D196" s="79"/>
    </row>
    <row r="197" spans="1:4" x14ac:dyDescent="0.2">
      <c r="A197" s="345">
        <v>33511</v>
      </c>
      <c r="B197" s="73"/>
      <c r="C197" s="25"/>
      <c r="D197" s="79"/>
    </row>
    <row r="198" spans="1:4" x14ac:dyDescent="0.2">
      <c r="A198" s="345">
        <v>33542</v>
      </c>
      <c r="B198" s="73"/>
      <c r="C198" s="25"/>
      <c r="D198" s="79"/>
    </row>
    <row r="199" spans="1:4" x14ac:dyDescent="0.2">
      <c r="A199" s="345">
        <v>33572</v>
      </c>
      <c r="B199" s="73"/>
      <c r="C199" s="25"/>
      <c r="D199" s="79"/>
    </row>
    <row r="200" spans="1:4" x14ac:dyDescent="0.2">
      <c r="A200" s="345">
        <v>33603</v>
      </c>
      <c r="B200" s="73"/>
      <c r="C200" s="25"/>
      <c r="D200" s="79"/>
    </row>
    <row r="201" spans="1:4" x14ac:dyDescent="0.2">
      <c r="A201" s="345">
        <v>33634</v>
      </c>
      <c r="B201" s="73"/>
      <c r="C201" s="25"/>
      <c r="D201" s="79"/>
    </row>
    <row r="202" spans="1:4" x14ac:dyDescent="0.2">
      <c r="A202" s="345">
        <v>33663</v>
      </c>
      <c r="B202" s="73"/>
      <c r="C202" s="25"/>
      <c r="D202" s="79"/>
    </row>
    <row r="203" spans="1:4" x14ac:dyDescent="0.2">
      <c r="A203" s="345">
        <v>33694</v>
      </c>
      <c r="B203" s="73"/>
      <c r="C203" s="25"/>
      <c r="D203" s="79"/>
    </row>
    <row r="204" spans="1:4" x14ac:dyDescent="0.2">
      <c r="A204" s="345">
        <v>33724</v>
      </c>
      <c r="B204" s="73"/>
      <c r="C204" s="25"/>
      <c r="D204" s="79"/>
    </row>
    <row r="205" spans="1:4" x14ac:dyDescent="0.2">
      <c r="A205" s="345">
        <v>33755</v>
      </c>
      <c r="B205" s="73"/>
      <c r="C205" s="25"/>
      <c r="D205" s="79"/>
    </row>
    <row r="206" spans="1:4" x14ac:dyDescent="0.2">
      <c r="A206" s="345">
        <v>33785</v>
      </c>
      <c r="B206" s="73"/>
      <c r="C206" s="25"/>
      <c r="D206" s="79"/>
    </row>
    <row r="207" spans="1:4" x14ac:dyDescent="0.2">
      <c r="A207" s="345">
        <v>33816</v>
      </c>
      <c r="B207" s="73"/>
      <c r="C207" s="25"/>
      <c r="D207" s="79"/>
    </row>
    <row r="208" spans="1:4" x14ac:dyDescent="0.2">
      <c r="A208" s="345">
        <v>33847</v>
      </c>
      <c r="B208" s="73"/>
      <c r="C208" s="25"/>
      <c r="D208" s="79"/>
    </row>
    <row r="209" spans="1:4" x14ac:dyDescent="0.2">
      <c r="A209" s="345">
        <v>33877</v>
      </c>
      <c r="B209" s="73"/>
      <c r="C209" s="25"/>
      <c r="D209" s="79"/>
    </row>
    <row r="210" spans="1:4" x14ac:dyDescent="0.2">
      <c r="A210" s="345">
        <v>33908</v>
      </c>
      <c r="B210" s="73"/>
      <c r="C210" s="25"/>
      <c r="D210" s="79"/>
    </row>
    <row r="211" spans="1:4" x14ac:dyDescent="0.2">
      <c r="A211" s="345">
        <v>33938</v>
      </c>
      <c r="B211" s="73"/>
      <c r="C211" s="25"/>
      <c r="D211" s="79"/>
    </row>
    <row r="212" spans="1:4" x14ac:dyDescent="0.2">
      <c r="A212" s="345">
        <v>33969</v>
      </c>
      <c r="B212" s="73"/>
      <c r="C212" s="25"/>
      <c r="D212" s="79"/>
    </row>
    <row r="213" spans="1:4" x14ac:dyDescent="0.2">
      <c r="A213" s="345">
        <v>34000</v>
      </c>
      <c r="B213" s="73"/>
      <c r="C213" s="25"/>
      <c r="D213" s="79"/>
    </row>
    <row r="214" spans="1:4" x14ac:dyDescent="0.2">
      <c r="A214" s="345">
        <v>34028</v>
      </c>
      <c r="B214" s="73"/>
      <c r="C214" s="25"/>
      <c r="D214" s="79"/>
    </row>
    <row r="215" spans="1:4" x14ac:dyDescent="0.2">
      <c r="A215" s="345">
        <v>34059</v>
      </c>
      <c r="B215" s="73"/>
      <c r="C215" s="25"/>
      <c r="D215" s="79"/>
    </row>
    <row r="216" spans="1:4" x14ac:dyDescent="0.2">
      <c r="A216" s="345">
        <v>34089</v>
      </c>
      <c r="B216" s="73"/>
      <c r="C216" s="25"/>
      <c r="D216" s="79"/>
    </row>
    <row r="217" spans="1:4" x14ac:dyDescent="0.2">
      <c r="A217" s="345">
        <v>34120</v>
      </c>
      <c r="B217" s="73"/>
      <c r="C217" s="25"/>
      <c r="D217" s="79"/>
    </row>
    <row r="218" spans="1:4" x14ac:dyDescent="0.2">
      <c r="A218" s="345">
        <v>34150</v>
      </c>
      <c r="B218" s="73"/>
      <c r="C218" s="25"/>
      <c r="D218" s="79"/>
    </row>
    <row r="219" spans="1:4" x14ac:dyDescent="0.2">
      <c r="A219" s="345">
        <v>34181</v>
      </c>
      <c r="B219" s="73"/>
      <c r="C219" s="25"/>
      <c r="D219" s="79"/>
    </row>
    <row r="220" spans="1:4" x14ac:dyDescent="0.2">
      <c r="A220" s="345">
        <v>34212</v>
      </c>
      <c r="B220" s="73"/>
      <c r="C220" s="25"/>
      <c r="D220" s="79"/>
    </row>
    <row r="221" spans="1:4" x14ac:dyDescent="0.2">
      <c r="A221" s="345">
        <v>34242</v>
      </c>
      <c r="B221" s="73"/>
      <c r="C221" s="25"/>
      <c r="D221" s="79"/>
    </row>
    <row r="222" spans="1:4" x14ac:dyDescent="0.2">
      <c r="A222" s="345">
        <v>34273</v>
      </c>
      <c r="B222" s="73"/>
      <c r="C222" s="25"/>
      <c r="D222" s="79"/>
    </row>
    <row r="223" spans="1:4" x14ac:dyDescent="0.2">
      <c r="A223" s="345">
        <v>34303</v>
      </c>
      <c r="B223" s="73"/>
      <c r="C223" s="25"/>
      <c r="D223" s="79"/>
    </row>
    <row r="224" spans="1:4" x14ac:dyDescent="0.2">
      <c r="A224" s="345">
        <v>34334</v>
      </c>
      <c r="B224" s="73"/>
      <c r="C224" s="25"/>
      <c r="D224" s="79"/>
    </row>
    <row r="225" spans="1:4" x14ac:dyDescent="0.2">
      <c r="A225" s="345">
        <v>34365</v>
      </c>
      <c r="B225" s="73"/>
      <c r="C225" s="25"/>
      <c r="D225" s="79"/>
    </row>
    <row r="226" spans="1:4" x14ac:dyDescent="0.2">
      <c r="A226" s="345">
        <v>34393</v>
      </c>
      <c r="B226" s="73"/>
      <c r="C226" s="25"/>
      <c r="D226" s="79"/>
    </row>
    <row r="227" spans="1:4" x14ac:dyDescent="0.2">
      <c r="A227" s="345">
        <v>34424</v>
      </c>
      <c r="B227" s="73"/>
      <c r="C227" s="25"/>
      <c r="D227" s="79"/>
    </row>
    <row r="228" spans="1:4" x14ac:dyDescent="0.2">
      <c r="A228" s="345">
        <v>34454</v>
      </c>
      <c r="B228" s="73"/>
      <c r="C228" s="25"/>
      <c r="D228" s="79"/>
    </row>
    <row r="229" spans="1:4" x14ac:dyDescent="0.2">
      <c r="A229" s="345">
        <v>34485</v>
      </c>
      <c r="B229" s="73"/>
      <c r="C229" s="25"/>
      <c r="D229" s="79"/>
    </row>
    <row r="230" spans="1:4" x14ac:dyDescent="0.2">
      <c r="A230" s="345">
        <v>34515</v>
      </c>
      <c r="B230" s="73"/>
      <c r="C230" s="25"/>
      <c r="D230" s="79"/>
    </row>
    <row r="231" spans="1:4" x14ac:dyDescent="0.2">
      <c r="A231" s="345">
        <v>34546</v>
      </c>
      <c r="B231" s="73"/>
      <c r="C231" s="25"/>
      <c r="D231" s="79"/>
    </row>
    <row r="232" spans="1:4" x14ac:dyDescent="0.2">
      <c r="A232" s="345">
        <v>34577</v>
      </c>
      <c r="B232" s="73"/>
      <c r="C232" s="25"/>
      <c r="D232" s="79"/>
    </row>
    <row r="233" spans="1:4" x14ac:dyDescent="0.2">
      <c r="A233" s="345">
        <v>34607</v>
      </c>
      <c r="B233" s="73"/>
      <c r="C233" s="25"/>
      <c r="D233" s="79"/>
    </row>
    <row r="234" spans="1:4" x14ac:dyDescent="0.2">
      <c r="A234" s="345">
        <v>34638</v>
      </c>
      <c r="B234" s="73"/>
      <c r="C234" s="25"/>
      <c r="D234" s="79"/>
    </row>
    <row r="235" spans="1:4" x14ac:dyDescent="0.2">
      <c r="A235" s="345">
        <v>34668</v>
      </c>
      <c r="B235" s="73"/>
      <c r="C235" s="25"/>
      <c r="D235" s="79"/>
    </row>
    <row r="236" spans="1:4" x14ac:dyDescent="0.2">
      <c r="A236" s="345">
        <v>34699</v>
      </c>
      <c r="B236" s="73"/>
      <c r="C236" s="25"/>
      <c r="D236" s="79"/>
    </row>
    <row r="237" spans="1:4" x14ac:dyDescent="0.2">
      <c r="A237" s="345">
        <v>34730</v>
      </c>
      <c r="B237" s="73"/>
      <c r="C237" s="25"/>
      <c r="D237" s="79"/>
    </row>
    <row r="238" spans="1:4" x14ac:dyDescent="0.2">
      <c r="A238" s="345">
        <v>34758</v>
      </c>
      <c r="B238" s="73"/>
      <c r="C238" s="25"/>
      <c r="D238" s="79"/>
    </row>
    <row r="239" spans="1:4" x14ac:dyDescent="0.2">
      <c r="A239" s="345">
        <v>34789</v>
      </c>
      <c r="B239" s="73"/>
      <c r="C239" s="25"/>
      <c r="D239" s="79"/>
    </row>
    <row r="240" spans="1:4" x14ac:dyDescent="0.2">
      <c r="A240" s="345">
        <v>34819</v>
      </c>
      <c r="B240" s="73"/>
      <c r="C240" s="25"/>
      <c r="D240" s="79"/>
    </row>
    <row r="241" spans="1:4" x14ac:dyDescent="0.2">
      <c r="A241" s="345">
        <v>34850</v>
      </c>
      <c r="B241" s="73"/>
      <c r="C241" s="25"/>
      <c r="D241" s="79"/>
    </row>
    <row r="242" spans="1:4" x14ac:dyDescent="0.2">
      <c r="A242" s="345">
        <v>34880</v>
      </c>
      <c r="B242" s="73"/>
      <c r="C242" s="25"/>
      <c r="D242" s="79"/>
    </row>
    <row r="243" spans="1:4" x14ac:dyDescent="0.2">
      <c r="A243" s="345">
        <v>34911</v>
      </c>
      <c r="B243" s="73"/>
      <c r="C243" s="25"/>
      <c r="D243" s="79"/>
    </row>
    <row r="244" spans="1:4" x14ac:dyDescent="0.2">
      <c r="A244" s="345">
        <v>34942</v>
      </c>
      <c r="B244" s="73"/>
      <c r="C244" s="25"/>
      <c r="D244" s="79"/>
    </row>
    <row r="245" spans="1:4" x14ac:dyDescent="0.2">
      <c r="A245" s="345">
        <v>34972</v>
      </c>
      <c r="B245" s="73"/>
      <c r="C245" s="25"/>
      <c r="D245" s="79"/>
    </row>
    <row r="246" spans="1:4" x14ac:dyDescent="0.2">
      <c r="A246" s="345">
        <v>35003</v>
      </c>
      <c r="B246" s="73"/>
      <c r="C246" s="25"/>
      <c r="D246" s="79"/>
    </row>
    <row r="247" spans="1:4" x14ac:dyDescent="0.2">
      <c r="A247" s="345">
        <v>35033</v>
      </c>
      <c r="B247" s="73"/>
      <c r="C247" s="25"/>
      <c r="D247" s="79"/>
    </row>
    <row r="248" spans="1:4" x14ac:dyDescent="0.2">
      <c r="A248" s="345">
        <v>35064</v>
      </c>
      <c r="B248" s="73"/>
      <c r="C248" s="25"/>
      <c r="D248" s="79"/>
    </row>
    <row r="249" spans="1:4" x14ac:dyDescent="0.2">
      <c r="A249" s="345">
        <v>35095</v>
      </c>
      <c r="B249" s="73"/>
      <c r="C249" s="25"/>
      <c r="D249" s="79"/>
    </row>
    <row r="250" spans="1:4" x14ac:dyDescent="0.2">
      <c r="A250" s="345">
        <v>35124</v>
      </c>
      <c r="B250" s="73"/>
      <c r="C250" s="25"/>
      <c r="D250" s="79"/>
    </row>
    <row r="251" spans="1:4" x14ac:dyDescent="0.2">
      <c r="A251" s="345">
        <v>35155</v>
      </c>
      <c r="B251" s="73"/>
      <c r="C251" s="25"/>
      <c r="D251" s="79"/>
    </row>
    <row r="252" spans="1:4" x14ac:dyDescent="0.2">
      <c r="A252" s="345">
        <v>35185</v>
      </c>
      <c r="B252" s="73"/>
      <c r="C252" s="25"/>
      <c r="D252" s="79"/>
    </row>
    <row r="253" spans="1:4" x14ac:dyDescent="0.2">
      <c r="A253" s="345">
        <v>35216</v>
      </c>
      <c r="B253" s="73"/>
      <c r="C253" s="25"/>
      <c r="D253" s="79"/>
    </row>
    <row r="254" spans="1:4" x14ac:dyDescent="0.2">
      <c r="A254" s="345">
        <v>35246</v>
      </c>
      <c r="B254" s="73"/>
      <c r="C254" s="25"/>
      <c r="D254" s="79"/>
    </row>
    <row r="255" spans="1:4" x14ac:dyDescent="0.2">
      <c r="A255" s="345">
        <v>35277</v>
      </c>
      <c r="B255" s="73"/>
      <c r="C255" s="25"/>
      <c r="D255" s="79"/>
    </row>
    <row r="256" spans="1:4" x14ac:dyDescent="0.2">
      <c r="A256" s="345">
        <v>35308</v>
      </c>
      <c r="B256" s="73"/>
      <c r="C256" s="25"/>
      <c r="D256" s="79"/>
    </row>
    <row r="257" spans="1:4" x14ac:dyDescent="0.2">
      <c r="A257" s="345">
        <v>35338</v>
      </c>
      <c r="B257" s="73"/>
      <c r="C257" s="25"/>
      <c r="D257" s="79"/>
    </row>
    <row r="258" spans="1:4" x14ac:dyDescent="0.2">
      <c r="A258" s="345">
        <v>35369</v>
      </c>
      <c r="B258" s="73"/>
      <c r="C258" s="25"/>
      <c r="D258" s="79"/>
    </row>
    <row r="259" spans="1:4" x14ac:dyDescent="0.2">
      <c r="A259" s="345">
        <v>35399</v>
      </c>
      <c r="B259" s="73"/>
      <c r="C259" s="25"/>
      <c r="D259" s="79"/>
    </row>
    <row r="260" spans="1:4" x14ac:dyDescent="0.2">
      <c r="A260" s="345">
        <v>35430</v>
      </c>
      <c r="B260" s="73"/>
      <c r="C260" s="25"/>
      <c r="D260" s="79"/>
    </row>
    <row r="261" spans="1:4" x14ac:dyDescent="0.2">
      <c r="A261" s="345">
        <v>35461</v>
      </c>
      <c r="B261" s="73"/>
      <c r="C261" s="25"/>
      <c r="D261" s="79"/>
    </row>
    <row r="262" spans="1:4" x14ac:dyDescent="0.2">
      <c r="A262" s="345">
        <v>35489</v>
      </c>
      <c r="B262" s="73"/>
      <c r="C262" s="25"/>
      <c r="D262" s="79"/>
    </row>
    <row r="263" spans="1:4" x14ac:dyDescent="0.2">
      <c r="A263" s="345">
        <v>35520</v>
      </c>
      <c r="B263" s="73"/>
      <c r="C263" s="25"/>
      <c r="D263" s="79"/>
    </row>
    <row r="264" spans="1:4" x14ac:dyDescent="0.2">
      <c r="A264" s="345">
        <v>35550</v>
      </c>
      <c r="B264" s="1369"/>
      <c r="C264" s="35"/>
      <c r="D264" s="79"/>
    </row>
    <row r="265" spans="1:4" x14ac:dyDescent="0.2">
      <c r="A265" s="345">
        <v>35581</v>
      </c>
      <c r="B265" s="1369"/>
      <c r="C265" s="35"/>
      <c r="D265" s="79"/>
    </row>
    <row r="266" spans="1:4" x14ac:dyDescent="0.2">
      <c r="A266" s="345">
        <v>35611</v>
      </c>
      <c r="B266" s="1369"/>
      <c r="C266" s="35"/>
      <c r="D266" s="79"/>
    </row>
    <row r="267" spans="1:4" x14ac:dyDescent="0.2">
      <c r="A267" s="345">
        <v>35642</v>
      </c>
      <c r="B267" s="1369"/>
      <c r="C267" s="35"/>
      <c r="D267" s="79"/>
    </row>
    <row r="268" spans="1:4" x14ac:dyDescent="0.2">
      <c r="A268" s="345">
        <v>35673</v>
      </c>
      <c r="B268" s="1369"/>
      <c r="C268" s="35"/>
      <c r="D268" s="79"/>
    </row>
    <row r="269" spans="1:4" x14ac:dyDescent="0.2">
      <c r="A269" s="345">
        <v>35703</v>
      </c>
      <c r="B269" s="1369"/>
      <c r="C269" s="35"/>
      <c r="D269" s="79"/>
    </row>
    <row r="270" spans="1:4" x14ac:dyDescent="0.2">
      <c r="A270" s="345">
        <v>35734</v>
      </c>
      <c r="B270" s="1369"/>
      <c r="C270" s="35"/>
      <c r="D270" s="79"/>
    </row>
    <row r="271" spans="1:4" x14ac:dyDescent="0.2">
      <c r="A271" s="345">
        <v>35764</v>
      </c>
      <c r="B271" s="1369"/>
      <c r="C271" s="35"/>
      <c r="D271" s="79"/>
    </row>
    <row r="272" spans="1:4" x14ac:dyDescent="0.2">
      <c r="A272" s="345">
        <v>35795</v>
      </c>
      <c r="B272" s="1369"/>
      <c r="C272" s="35"/>
      <c r="D272" s="79"/>
    </row>
    <row r="273" spans="1:4" x14ac:dyDescent="0.2">
      <c r="A273" s="345">
        <v>35826</v>
      </c>
      <c r="B273" s="1369"/>
      <c r="C273" s="35"/>
      <c r="D273" s="79"/>
    </row>
    <row r="274" spans="1:4" x14ac:dyDescent="0.2">
      <c r="A274" s="345">
        <v>35854</v>
      </c>
      <c r="B274" s="1369"/>
      <c r="C274" s="35"/>
      <c r="D274" s="79"/>
    </row>
    <row r="275" spans="1:4" x14ac:dyDescent="0.2">
      <c r="A275" s="345">
        <v>35885</v>
      </c>
      <c r="B275" s="1369"/>
      <c r="C275" s="33"/>
      <c r="D275" s="79"/>
    </row>
    <row r="276" spans="1:4" x14ac:dyDescent="0.2">
      <c r="A276" s="345">
        <v>35915</v>
      </c>
      <c r="B276" s="1369"/>
      <c r="C276" s="33"/>
      <c r="D276" s="79"/>
    </row>
    <row r="277" spans="1:4" x14ac:dyDescent="0.2">
      <c r="A277" s="345">
        <v>35946</v>
      </c>
      <c r="B277" s="1369"/>
      <c r="C277" s="33"/>
      <c r="D277" s="79"/>
    </row>
    <row r="278" spans="1:4" x14ac:dyDescent="0.2">
      <c r="A278" s="345">
        <v>35976</v>
      </c>
      <c r="B278" s="1369"/>
      <c r="C278" s="33"/>
      <c r="D278" s="79"/>
    </row>
    <row r="279" spans="1:4" x14ac:dyDescent="0.2">
      <c r="A279" s="345">
        <v>36007</v>
      </c>
      <c r="B279" s="1369"/>
      <c r="C279" s="33"/>
      <c r="D279" s="79"/>
    </row>
    <row r="280" spans="1:4" x14ac:dyDescent="0.2">
      <c r="A280" s="345">
        <v>36038</v>
      </c>
      <c r="B280" s="1369"/>
      <c r="C280" s="33"/>
      <c r="D280" s="79"/>
    </row>
    <row r="281" spans="1:4" x14ac:dyDescent="0.2">
      <c r="A281" s="345">
        <v>36068</v>
      </c>
      <c r="B281" s="1369"/>
      <c r="C281" s="33"/>
      <c r="D281" s="79"/>
    </row>
    <row r="282" spans="1:4" x14ac:dyDescent="0.2">
      <c r="A282" s="345">
        <v>36099</v>
      </c>
      <c r="B282" s="1369"/>
      <c r="C282" s="33"/>
      <c r="D282" s="79"/>
    </row>
    <row r="283" spans="1:4" x14ac:dyDescent="0.2">
      <c r="A283" s="345">
        <v>36129</v>
      </c>
      <c r="B283" s="1369"/>
      <c r="C283" s="33"/>
      <c r="D283" s="79"/>
    </row>
    <row r="284" spans="1:4" x14ac:dyDescent="0.2">
      <c r="A284" s="345">
        <v>36160</v>
      </c>
      <c r="B284" s="1369"/>
      <c r="C284" s="33"/>
      <c r="D284" s="79"/>
    </row>
    <row r="285" spans="1:4" x14ac:dyDescent="0.2">
      <c r="A285" s="345">
        <v>36191</v>
      </c>
      <c r="B285" s="1369"/>
      <c r="C285" s="33"/>
      <c r="D285" s="79"/>
    </row>
    <row r="286" spans="1:4" x14ac:dyDescent="0.2">
      <c r="A286" s="345">
        <v>36219</v>
      </c>
      <c r="B286" s="1369"/>
      <c r="C286" s="33"/>
      <c r="D286" s="79"/>
    </row>
    <row r="287" spans="1:4" x14ac:dyDescent="0.2">
      <c r="A287" s="345">
        <v>36250</v>
      </c>
      <c r="B287" s="1369"/>
      <c r="C287" s="33"/>
      <c r="D287" s="79"/>
    </row>
    <row r="288" spans="1:4" x14ac:dyDescent="0.2">
      <c r="A288" s="345">
        <v>36280</v>
      </c>
      <c r="B288" s="1369"/>
      <c r="C288" s="33"/>
      <c r="D288" s="79"/>
    </row>
    <row r="289" spans="1:4" x14ac:dyDescent="0.2">
      <c r="A289" s="345">
        <v>36311</v>
      </c>
      <c r="B289" s="1369"/>
      <c r="C289" s="33"/>
      <c r="D289" s="79"/>
    </row>
    <row r="290" spans="1:4" x14ac:dyDescent="0.2">
      <c r="A290" s="345">
        <v>36341</v>
      </c>
      <c r="B290" s="1369"/>
      <c r="C290" s="33"/>
      <c r="D290" s="79"/>
    </row>
    <row r="291" spans="1:4" x14ac:dyDescent="0.2">
      <c r="A291" s="345">
        <v>36372</v>
      </c>
      <c r="B291" s="1369"/>
      <c r="C291" s="33"/>
      <c r="D291" s="79"/>
    </row>
    <row r="292" spans="1:4" x14ac:dyDescent="0.2">
      <c r="A292" s="345">
        <v>36403</v>
      </c>
      <c r="B292" s="1369"/>
      <c r="C292" s="33"/>
      <c r="D292" s="79"/>
    </row>
    <row r="293" spans="1:4" x14ac:dyDescent="0.2">
      <c r="A293" s="345">
        <v>36433</v>
      </c>
      <c r="B293" s="1369"/>
      <c r="C293" s="33"/>
      <c r="D293" s="79"/>
    </row>
    <row r="294" spans="1:4" x14ac:dyDescent="0.2">
      <c r="A294" s="345">
        <v>36464</v>
      </c>
      <c r="B294" s="1369"/>
      <c r="C294" s="33"/>
      <c r="D294" s="79"/>
    </row>
    <row r="295" spans="1:4" x14ac:dyDescent="0.2">
      <c r="A295" s="345">
        <v>36494</v>
      </c>
      <c r="B295" s="1369"/>
      <c r="C295" s="33"/>
      <c r="D295" s="79"/>
    </row>
    <row r="296" spans="1:4" x14ac:dyDescent="0.2">
      <c r="A296" s="345">
        <v>36525</v>
      </c>
      <c r="B296" s="1369"/>
      <c r="C296" s="33"/>
      <c r="D296" s="79"/>
    </row>
    <row r="297" spans="1:4" x14ac:dyDescent="0.2">
      <c r="A297" s="345">
        <v>36556</v>
      </c>
      <c r="B297" s="1369"/>
      <c r="C297" s="33"/>
      <c r="D297" s="79"/>
    </row>
    <row r="298" spans="1:4" x14ac:dyDescent="0.2">
      <c r="A298" s="345">
        <v>36585</v>
      </c>
      <c r="B298" s="1369"/>
      <c r="C298" s="33"/>
      <c r="D298" s="79"/>
    </row>
    <row r="299" spans="1:4" x14ac:dyDescent="0.2">
      <c r="A299" s="345">
        <v>36616</v>
      </c>
      <c r="B299" s="1369"/>
      <c r="C299" s="33"/>
      <c r="D299" s="79"/>
    </row>
    <row r="300" spans="1:4" x14ac:dyDescent="0.2">
      <c r="A300" s="345">
        <v>36646</v>
      </c>
      <c r="B300" s="1369"/>
      <c r="C300" s="33"/>
      <c r="D300" s="79"/>
    </row>
    <row r="301" spans="1:4" x14ac:dyDescent="0.2">
      <c r="A301" s="345">
        <v>36677</v>
      </c>
      <c r="B301" s="1369"/>
      <c r="C301" s="33"/>
      <c r="D301" s="79"/>
    </row>
    <row r="302" spans="1:4" x14ac:dyDescent="0.2">
      <c r="A302" s="345">
        <v>36707</v>
      </c>
      <c r="B302" s="1369"/>
      <c r="C302" s="33"/>
      <c r="D302" s="79"/>
    </row>
    <row r="303" spans="1:4" x14ac:dyDescent="0.2">
      <c r="A303" s="345">
        <v>36738</v>
      </c>
      <c r="B303" s="1369"/>
      <c r="C303" s="33"/>
      <c r="D303" s="79"/>
    </row>
    <row r="304" spans="1:4" x14ac:dyDescent="0.2">
      <c r="A304" s="345">
        <v>36769</v>
      </c>
      <c r="B304" s="1369"/>
      <c r="C304" s="33"/>
      <c r="D304" s="79"/>
    </row>
    <row r="305" spans="1:4" x14ac:dyDescent="0.2">
      <c r="A305" s="345">
        <v>36799</v>
      </c>
      <c r="B305" s="1369"/>
      <c r="C305" s="33"/>
      <c r="D305" s="79"/>
    </row>
    <row r="306" spans="1:4" x14ac:dyDescent="0.2">
      <c r="A306" s="345">
        <v>36830</v>
      </c>
      <c r="B306" s="1369"/>
      <c r="C306" s="33"/>
      <c r="D306" s="79"/>
    </row>
    <row r="307" spans="1:4" x14ac:dyDescent="0.2">
      <c r="A307" s="345">
        <v>36860</v>
      </c>
      <c r="B307" s="1369"/>
      <c r="C307" s="33"/>
      <c r="D307" s="79"/>
    </row>
    <row r="308" spans="1:4" x14ac:dyDescent="0.2">
      <c r="A308" s="345">
        <v>36891</v>
      </c>
      <c r="B308" s="1369"/>
      <c r="C308" s="33"/>
      <c r="D308" s="79"/>
    </row>
    <row r="309" spans="1:4" x14ac:dyDescent="0.2">
      <c r="A309" s="345">
        <v>36922</v>
      </c>
      <c r="B309" s="1369"/>
      <c r="C309" s="33"/>
      <c r="D309" s="79"/>
    </row>
    <row r="310" spans="1:4" x14ac:dyDescent="0.2">
      <c r="A310" s="345">
        <v>36950</v>
      </c>
      <c r="B310" s="1369"/>
      <c r="C310" s="33"/>
      <c r="D310" s="79"/>
    </row>
    <row r="311" spans="1:4" x14ac:dyDescent="0.2">
      <c r="A311" s="345">
        <v>36981</v>
      </c>
      <c r="B311" s="1369"/>
      <c r="C311" s="33"/>
      <c r="D311" s="79"/>
    </row>
    <row r="312" spans="1:4" x14ac:dyDescent="0.2">
      <c r="A312" s="345">
        <v>37011</v>
      </c>
      <c r="B312" s="1369"/>
      <c r="C312" s="33"/>
      <c r="D312" s="79"/>
    </row>
    <row r="313" spans="1:4" x14ac:dyDescent="0.2">
      <c r="A313" s="345">
        <v>37042</v>
      </c>
      <c r="B313" s="1369"/>
      <c r="C313" s="33"/>
      <c r="D313" s="79"/>
    </row>
    <row r="314" spans="1:4" x14ac:dyDescent="0.2">
      <c r="A314" s="345">
        <v>37072</v>
      </c>
      <c r="B314" s="1369"/>
      <c r="C314" s="33"/>
      <c r="D314" s="79"/>
    </row>
    <row r="315" spans="1:4" x14ac:dyDescent="0.2">
      <c r="A315" s="345">
        <v>37103</v>
      </c>
      <c r="B315" s="1369"/>
      <c r="C315" s="33"/>
      <c r="D315" s="79"/>
    </row>
    <row r="316" spans="1:4" x14ac:dyDescent="0.2">
      <c r="A316" s="345">
        <v>37134</v>
      </c>
      <c r="B316" s="1369"/>
      <c r="C316" s="33"/>
      <c r="D316" s="79"/>
    </row>
    <row r="317" spans="1:4" x14ac:dyDescent="0.2">
      <c r="A317" s="345">
        <v>37164</v>
      </c>
      <c r="B317" s="1369"/>
      <c r="C317" s="33"/>
      <c r="D317" s="79"/>
    </row>
    <row r="318" spans="1:4" x14ac:dyDescent="0.2">
      <c r="A318" s="345">
        <v>37195</v>
      </c>
      <c r="B318" s="1369"/>
      <c r="C318" s="33"/>
      <c r="D318" s="79"/>
    </row>
    <row r="319" spans="1:4" x14ac:dyDescent="0.2">
      <c r="A319" s="345">
        <v>37225</v>
      </c>
      <c r="B319" s="1369"/>
      <c r="C319" s="33"/>
      <c r="D319" s="79"/>
    </row>
    <row r="320" spans="1:4" x14ac:dyDescent="0.2">
      <c r="A320" s="345">
        <v>37256</v>
      </c>
      <c r="B320" s="1369"/>
      <c r="C320" s="33"/>
      <c r="D320" s="79"/>
    </row>
    <row r="321" spans="1:4" x14ac:dyDescent="0.2">
      <c r="A321" s="345">
        <v>37287</v>
      </c>
      <c r="B321" s="1369"/>
      <c r="C321" s="33"/>
      <c r="D321" s="79"/>
    </row>
    <row r="322" spans="1:4" x14ac:dyDescent="0.2">
      <c r="A322" s="345">
        <v>37315</v>
      </c>
      <c r="B322" s="1369"/>
      <c r="C322" s="33"/>
      <c r="D322" s="79"/>
    </row>
    <row r="323" spans="1:4" x14ac:dyDescent="0.2">
      <c r="A323" s="345">
        <v>37346</v>
      </c>
      <c r="B323" s="1369"/>
      <c r="C323" s="33"/>
      <c r="D323" s="79"/>
    </row>
    <row r="324" spans="1:4" x14ac:dyDescent="0.2">
      <c r="A324" s="345">
        <v>37376</v>
      </c>
      <c r="B324" s="1369"/>
      <c r="C324" s="33"/>
      <c r="D324" s="79"/>
    </row>
    <row r="325" spans="1:4" x14ac:dyDescent="0.2">
      <c r="A325" s="345">
        <v>37407</v>
      </c>
      <c r="B325" s="1369"/>
      <c r="C325" s="33"/>
      <c r="D325" s="79"/>
    </row>
    <row r="326" spans="1:4" x14ac:dyDescent="0.2">
      <c r="A326" s="345">
        <v>37437</v>
      </c>
      <c r="B326" s="1369"/>
      <c r="C326" s="33"/>
      <c r="D326" s="79"/>
    </row>
    <row r="327" spans="1:4" x14ac:dyDescent="0.2">
      <c r="A327" s="345">
        <v>37468</v>
      </c>
      <c r="B327" s="1369"/>
      <c r="C327" s="33"/>
      <c r="D327" s="79"/>
    </row>
    <row r="328" spans="1:4" x14ac:dyDescent="0.2">
      <c r="A328" s="345">
        <v>37499</v>
      </c>
      <c r="B328" s="1369"/>
      <c r="C328" s="33"/>
      <c r="D328" s="79"/>
    </row>
    <row r="329" spans="1:4" x14ac:dyDescent="0.2">
      <c r="A329" s="345">
        <v>37529</v>
      </c>
      <c r="B329" s="1369"/>
      <c r="C329" s="33"/>
      <c r="D329" s="79"/>
    </row>
    <row r="330" spans="1:4" x14ac:dyDescent="0.2">
      <c r="A330" s="345">
        <v>37560</v>
      </c>
      <c r="B330" s="1369"/>
      <c r="C330" s="33"/>
      <c r="D330" s="79"/>
    </row>
    <row r="331" spans="1:4" x14ac:dyDescent="0.2">
      <c r="A331" s="345">
        <v>37590</v>
      </c>
      <c r="B331" s="1369"/>
      <c r="C331" s="33"/>
      <c r="D331" s="79"/>
    </row>
    <row r="332" spans="1:4" x14ac:dyDescent="0.2">
      <c r="A332" s="345">
        <v>37621</v>
      </c>
      <c r="B332" s="1369"/>
      <c r="C332" s="33"/>
      <c r="D332" s="79"/>
    </row>
    <row r="333" spans="1:4" x14ac:dyDescent="0.2">
      <c r="A333" s="345">
        <v>37652</v>
      </c>
      <c r="B333" s="1369"/>
      <c r="C333" s="33"/>
      <c r="D333" s="79"/>
    </row>
    <row r="334" spans="1:4" x14ac:dyDescent="0.2">
      <c r="A334" s="345">
        <v>37680</v>
      </c>
      <c r="B334" s="1369"/>
      <c r="C334" s="33"/>
      <c r="D334" s="79"/>
    </row>
    <row r="335" spans="1:4" x14ac:dyDescent="0.2">
      <c r="A335" s="345">
        <v>37711</v>
      </c>
      <c r="B335" s="1369"/>
      <c r="C335" s="33"/>
      <c r="D335" s="79"/>
    </row>
    <row r="336" spans="1:4" x14ac:dyDescent="0.2">
      <c r="A336" s="345">
        <v>37741</v>
      </c>
      <c r="B336" s="1369"/>
      <c r="C336" s="33"/>
      <c r="D336" s="79"/>
    </row>
    <row r="337" spans="1:4" x14ac:dyDescent="0.2">
      <c r="A337" s="345">
        <v>37772</v>
      </c>
      <c r="B337" s="1369"/>
      <c r="C337" s="33"/>
      <c r="D337" s="79"/>
    </row>
    <row r="338" spans="1:4" x14ac:dyDescent="0.2">
      <c r="A338" s="345">
        <v>37802</v>
      </c>
      <c r="B338" s="1369"/>
      <c r="C338" s="33"/>
      <c r="D338" s="79"/>
    </row>
    <row r="339" spans="1:4" x14ac:dyDescent="0.2">
      <c r="A339" s="345">
        <v>37833</v>
      </c>
      <c r="B339" s="1369"/>
      <c r="C339" s="33"/>
      <c r="D339" s="79"/>
    </row>
    <row r="340" spans="1:4" x14ac:dyDescent="0.2">
      <c r="A340" s="345">
        <v>37864</v>
      </c>
      <c r="B340" s="1369"/>
      <c r="C340" s="33"/>
      <c r="D340" s="79"/>
    </row>
    <row r="341" spans="1:4" x14ac:dyDescent="0.2">
      <c r="A341" s="345">
        <v>37894</v>
      </c>
      <c r="B341" s="1369"/>
      <c r="C341" s="34"/>
      <c r="D341" s="79"/>
    </row>
    <row r="342" spans="1:4" x14ac:dyDescent="0.2">
      <c r="A342" s="345">
        <v>37925</v>
      </c>
      <c r="B342" s="1369"/>
      <c r="C342" s="34"/>
      <c r="D342" s="79"/>
    </row>
    <row r="343" spans="1:4" x14ac:dyDescent="0.2">
      <c r="A343" s="345">
        <v>37955</v>
      </c>
      <c r="B343" s="1369"/>
      <c r="C343" s="34"/>
      <c r="D343" s="79"/>
    </row>
    <row r="344" spans="1:4" x14ac:dyDescent="0.2">
      <c r="A344" s="345">
        <v>37986</v>
      </c>
      <c r="B344" s="1369"/>
      <c r="C344" s="34"/>
      <c r="D344" s="79"/>
    </row>
    <row r="345" spans="1:4" x14ac:dyDescent="0.2">
      <c r="A345" s="345">
        <v>38017</v>
      </c>
      <c r="B345" s="1369"/>
      <c r="C345" s="34"/>
      <c r="D345" s="79"/>
    </row>
    <row r="346" spans="1:4" x14ac:dyDescent="0.2">
      <c r="A346" s="345">
        <v>38046</v>
      </c>
      <c r="B346" s="1369"/>
      <c r="C346" s="34"/>
      <c r="D346" s="79"/>
    </row>
    <row r="347" spans="1:4" x14ac:dyDescent="0.2">
      <c r="A347" s="345">
        <v>38077</v>
      </c>
      <c r="B347" s="1369"/>
      <c r="C347" s="34"/>
      <c r="D347" s="255"/>
    </row>
    <row r="348" spans="1:4" x14ac:dyDescent="0.2">
      <c r="A348" s="345">
        <v>38107</v>
      </c>
      <c r="B348" s="1369"/>
      <c r="C348" s="34"/>
      <c r="D348" s="253"/>
    </row>
    <row r="349" spans="1:4" x14ac:dyDescent="0.2">
      <c r="A349" s="345">
        <v>38138</v>
      </c>
      <c r="B349" s="1369"/>
      <c r="C349" s="34"/>
      <c r="D349" s="253"/>
    </row>
    <row r="350" spans="1:4" x14ac:dyDescent="0.2">
      <c r="A350" s="345">
        <v>38168</v>
      </c>
      <c r="B350" s="1369"/>
      <c r="C350" s="34"/>
      <c r="D350" s="253"/>
    </row>
    <row r="351" spans="1:4" x14ac:dyDescent="0.2">
      <c r="A351" s="345">
        <v>38199</v>
      </c>
      <c r="B351" s="1369"/>
      <c r="C351" s="34"/>
      <c r="D351" s="253"/>
    </row>
    <row r="352" spans="1:4" x14ac:dyDescent="0.2">
      <c r="A352" s="345">
        <v>38230</v>
      </c>
      <c r="B352" s="1369"/>
      <c r="C352" s="34"/>
      <c r="D352" s="253"/>
    </row>
    <row r="353" spans="1:4" x14ac:dyDescent="0.2">
      <c r="A353" s="345">
        <v>38260</v>
      </c>
      <c r="B353" s="1369"/>
      <c r="C353" s="34"/>
      <c r="D353" s="253"/>
    </row>
    <row r="354" spans="1:4" x14ac:dyDescent="0.2">
      <c r="A354" s="345">
        <v>38291</v>
      </c>
      <c r="B354" s="1369"/>
      <c r="C354" s="34"/>
      <c r="D354" s="253"/>
    </row>
    <row r="355" spans="1:4" x14ac:dyDescent="0.2">
      <c r="A355" s="345">
        <v>38321</v>
      </c>
      <c r="B355" s="1369"/>
      <c r="C355" s="34"/>
      <c r="D355" s="253"/>
    </row>
    <row r="356" spans="1:4" x14ac:dyDescent="0.2">
      <c r="A356" s="345">
        <v>38352</v>
      </c>
      <c r="B356" s="1369"/>
      <c r="C356" s="256"/>
      <c r="D356" s="253"/>
    </row>
    <row r="357" spans="1:4" x14ac:dyDescent="0.2">
      <c r="A357" s="345">
        <v>38383</v>
      </c>
      <c r="B357" s="1369"/>
      <c r="C357" s="34"/>
      <c r="D357" s="253"/>
    </row>
    <row r="358" spans="1:4" x14ac:dyDescent="0.2">
      <c r="A358" s="345">
        <v>38411</v>
      </c>
      <c r="B358" s="1369"/>
      <c r="C358" s="34"/>
      <c r="D358" s="253"/>
    </row>
    <row r="359" spans="1:4" x14ac:dyDescent="0.2">
      <c r="A359" s="345">
        <v>38442</v>
      </c>
      <c r="B359" s="1369"/>
      <c r="C359" s="256"/>
      <c r="D359" s="253"/>
    </row>
    <row r="360" spans="1:4" x14ac:dyDescent="0.2">
      <c r="A360" s="345">
        <v>38472</v>
      </c>
      <c r="B360" s="1369"/>
      <c r="C360" s="256"/>
      <c r="D360" s="253"/>
    </row>
    <row r="361" spans="1:4" x14ac:dyDescent="0.2">
      <c r="A361" s="345">
        <v>38503</v>
      </c>
      <c r="B361" s="1369"/>
      <c r="C361" s="256"/>
      <c r="D361" s="253"/>
    </row>
    <row r="362" spans="1:4" x14ac:dyDescent="0.2">
      <c r="A362" s="345">
        <v>38533</v>
      </c>
      <c r="B362" s="1369"/>
      <c r="C362" s="256"/>
      <c r="D362" s="253"/>
    </row>
    <row r="363" spans="1:4" x14ac:dyDescent="0.2">
      <c r="A363" s="345">
        <v>38564</v>
      </c>
      <c r="B363" s="1369"/>
      <c r="C363" s="256"/>
      <c r="D363" s="253"/>
    </row>
    <row r="364" spans="1:4" x14ac:dyDescent="0.2">
      <c r="A364" s="345">
        <v>38595</v>
      </c>
      <c r="B364" s="1369"/>
      <c r="C364" s="256"/>
      <c r="D364" s="253"/>
    </row>
    <row r="365" spans="1:4" x14ac:dyDescent="0.2">
      <c r="A365" s="345">
        <v>38625</v>
      </c>
      <c r="B365" s="1369"/>
      <c r="C365" s="256"/>
      <c r="D365" s="253"/>
    </row>
    <row r="366" spans="1:4" x14ac:dyDescent="0.2">
      <c r="A366" s="345">
        <v>38656</v>
      </c>
      <c r="B366" s="1369"/>
      <c r="C366" s="256"/>
      <c r="D366" s="253"/>
    </row>
    <row r="367" spans="1:4" x14ac:dyDescent="0.2">
      <c r="A367" s="345">
        <v>38686</v>
      </c>
      <c r="B367" s="1369"/>
      <c r="C367" s="256"/>
      <c r="D367" s="253"/>
    </row>
    <row r="368" spans="1:4" x14ac:dyDescent="0.2">
      <c r="A368" s="345">
        <v>38717</v>
      </c>
      <c r="B368" s="1369"/>
      <c r="C368" s="256"/>
      <c r="D368" s="253"/>
    </row>
    <row r="369" spans="1:6" x14ac:dyDescent="0.2">
      <c r="A369" s="345">
        <v>38748</v>
      </c>
      <c r="B369" s="1369"/>
      <c r="C369" s="256"/>
      <c r="D369" s="253"/>
    </row>
    <row r="370" spans="1:6" x14ac:dyDescent="0.2">
      <c r="A370" s="345">
        <v>38776</v>
      </c>
      <c r="B370" s="1369"/>
      <c r="C370" s="256"/>
      <c r="D370" s="253"/>
    </row>
    <row r="371" spans="1:6" x14ac:dyDescent="0.2">
      <c r="A371" s="345">
        <v>38807</v>
      </c>
      <c r="B371" s="1369"/>
      <c r="C371" s="33"/>
      <c r="D371" s="253"/>
    </row>
    <row r="372" spans="1:6" x14ac:dyDescent="0.2">
      <c r="A372" s="345">
        <v>38837</v>
      </c>
      <c r="B372" s="1369"/>
      <c r="C372" s="33"/>
      <c r="D372" s="253"/>
    </row>
    <row r="373" spans="1:6" x14ac:dyDescent="0.2">
      <c r="A373" s="345">
        <v>38868</v>
      </c>
      <c r="B373" s="1369"/>
      <c r="C373" s="33"/>
      <c r="D373" s="253"/>
    </row>
    <row r="374" spans="1:6" x14ac:dyDescent="0.2">
      <c r="A374" s="345">
        <v>38898</v>
      </c>
      <c r="B374" s="1369"/>
      <c r="C374" s="354"/>
      <c r="D374" s="253"/>
    </row>
    <row r="375" spans="1:6" x14ac:dyDescent="0.2">
      <c r="A375" s="345">
        <v>38929</v>
      </c>
      <c r="B375" s="1369"/>
      <c r="C375" s="34"/>
      <c r="D375" s="253"/>
    </row>
    <row r="376" spans="1:6" x14ac:dyDescent="0.2">
      <c r="A376" s="345">
        <v>38960</v>
      </c>
      <c r="B376" s="1369"/>
      <c r="C376" s="34"/>
      <c r="D376" s="253"/>
    </row>
    <row r="377" spans="1:6" x14ac:dyDescent="0.2">
      <c r="A377" s="345">
        <v>38990</v>
      </c>
      <c r="B377" s="1369"/>
      <c r="C377" s="34"/>
      <c r="D377" s="253"/>
    </row>
    <row r="378" spans="1:6" x14ac:dyDescent="0.2">
      <c r="A378" s="345">
        <v>39021</v>
      </c>
      <c r="B378" s="1369"/>
      <c r="C378" s="34"/>
      <c r="D378" s="253"/>
      <c r="F378" s="352"/>
    </row>
    <row r="379" spans="1:6" x14ac:dyDescent="0.2">
      <c r="A379" s="345">
        <v>39051</v>
      </c>
      <c r="B379" s="1369"/>
      <c r="C379" s="34"/>
      <c r="D379" s="253"/>
      <c r="F379" s="352"/>
    </row>
    <row r="380" spans="1:6" x14ac:dyDescent="0.2">
      <c r="A380" s="345">
        <v>39082</v>
      </c>
      <c r="B380" s="1369"/>
      <c r="C380" s="34"/>
      <c r="D380" s="253"/>
      <c r="F380" s="352"/>
    </row>
    <row r="381" spans="1:6" x14ac:dyDescent="0.2">
      <c r="A381" s="345">
        <v>39113</v>
      </c>
      <c r="B381" s="1369"/>
      <c r="D381" s="258"/>
      <c r="F381" s="352"/>
    </row>
    <row r="382" spans="1:6" x14ac:dyDescent="0.2">
      <c r="A382" s="345">
        <v>39141</v>
      </c>
      <c r="B382" s="1369"/>
      <c r="D382" s="258"/>
      <c r="F382" s="352"/>
    </row>
    <row r="383" spans="1:6" x14ac:dyDescent="0.2">
      <c r="A383" s="345">
        <v>39172</v>
      </c>
      <c r="B383" s="1369"/>
      <c r="D383" s="258"/>
    </row>
    <row r="384" spans="1:6" x14ac:dyDescent="0.2">
      <c r="A384" s="345">
        <v>39202</v>
      </c>
      <c r="B384" s="1369"/>
      <c r="D384" s="258"/>
    </row>
    <row r="385" spans="1:7" x14ac:dyDescent="0.2">
      <c r="A385" s="345">
        <v>39233</v>
      </c>
      <c r="B385" s="1369"/>
      <c r="D385" s="258"/>
    </row>
    <row r="386" spans="1:7" x14ac:dyDescent="0.2">
      <c r="A386" s="345">
        <v>39263</v>
      </c>
      <c r="B386" s="1369"/>
      <c r="D386" s="258"/>
    </row>
    <row r="387" spans="1:7" x14ac:dyDescent="0.2">
      <c r="A387" s="345">
        <v>39294</v>
      </c>
      <c r="B387" s="1369"/>
      <c r="D387" s="258"/>
    </row>
    <row r="388" spans="1:7" x14ac:dyDescent="0.2">
      <c r="A388" s="345">
        <v>39325</v>
      </c>
      <c r="B388" s="1369"/>
      <c r="D388" s="258"/>
    </row>
    <row r="389" spans="1:7" x14ac:dyDescent="0.2">
      <c r="A389" s="345">
        <v>39355</v>
      </c>
      <c r="B389" s="1369"/>
      <c r="D389" s="258"/>
    </row>
    <row r="390" spans="1:7" x14ac:dyDescent="0.2">
      <c r="A390" s="345">
        <v>39386</v>
      </c>
      <c r="B390" s="1369"/>
      <c r="D390" s="258"/>
    </row>
    <row r="391" spans="1:7" x14ac:dyDescent="0.2">
      <c r="A391" s="345">
        <v>39416</v>
      </c>
      <c r="B391" s="1369"/>
      <c r="D391" s="258"/>
    </row>
    <row r="392" spans="1:7" x14ac:dyDescent="0.2">
      <c r="A392" s="345">
        <v>39447</v>
      </c>
      <c r="B392" s="1369"/>
      <c r="D392" s="258"/>
      <c r="G392" s="787"/>
    </row>
    <row r="393" spans="1:7" x14ac:dyDescent="0.2">
      <c r="A393" s="345">
        <v>39478</v>
      </c>
      <c r="B393" s="1369"/>
      <c r="D393" s="258"/>
    </row>
    <row r="394" spans="1:7" x14ac:dyDescent="0.2">
      <c r="A394" s="345">
        <v>39507</v>
      </c>
      <c r="B394" s="1369"/>
      <c r="D394" s="258"/>
    </row>
    <row r="395" spans="1:7" x14ac:dyDescent="0.2">
      <c r="A395" s="345">
        <v>39538</v>
      </c>
      <c r="B395" s="1369"/>
      <c r="D395" s="258"/>
    </row>
    <row r="396" spans="1:7" x14ac:dyDescent="0.2">
      <c r="A396" s="345">
        <v>39568</v>
      </c>
      <c r="B396" s="1369"/>
      <c r="D396" s="258"/>
    </row>
    <row r="397" spans="1:7" x14ac:dyDescent="0.2">
      <c r="A397" s="345">
        <v>39599</v>
      </c>
      <c r="B397" s="1369"/>
      <c r="D397" s="258"/>
    </row>
    <row r="398" spans="1:7" x14ac:dyDescent="0.2">
      <c r="A398" s="345">
        <v>39629</v>
      </c>
      <c r="B398" s="1369"/>
      <c r="D398" s="258"/>
    </row>
    <row r="399" spans="1:7" x14ac:dyDescent="0.2">
      <c r="A399" s="345">
        <v>39660</v>
      </c>
      <c r="B399" s="1369"/>
      <c r="C399" s="33"/>
      <c r="D399" s="258"/>
    </row>
    <row r="400" spans="1:7" x14ac:dyDescent="0.2">
      <c r="A400" s="345">
        <v>39691</v>
      </c>
      <c r="B400" s="1369"/>
      <c r="C400" s="33"/>
      <c r="D400" s="258"/>
    </row>
    <row r="401" spans="1:4" x14ac:dyDescent="0.2">
      <c r="A401" s="345">
        <v>39721</v>
      </c>
      <c r="B401" s="1369"/>
      <c r="C401" s="33"/>
      <c r="D401" s="258"/>
    </row>
    <row r="402" spans="1:4" x14ac:dyDescent="0.2">
      <c r="A402" s="345">
        <v>39752</v>
      </c>
      <c r="B402" s="1369"/>
      <c r="D402" s="258"/>
    </row>
    <row r="403" spans="1:4" x14ac:dyDescent="0.2">
      <c r="A403" s="345">
        <v>39782</v>
      </c>
      <c r="B403" s="1369"/>
      <c r="D403" s="258"/>
    </row>
    <row r="404" spans="1:4" x14ac:dyDescent="0.2">
      <c r="A404" s="345">
        <v>39813</v>
      </c>
      <c r="B404" s="1369"/>
      <c r="D404" s="258"/>
    </row>
    <row r="405" spans="1:4" x14ac:dyDescent="0.2">
      <c r="A405" s="345">
        <v>39844</v>
      </c>
      <c r="B405" s="1369"/>
      <c r="D405" s="258"/>
    </row>
    <row r="406" spans="1:4" x14ac:dyDescent="0.2">
      <c r="A406" s="345">
        <v>39872</v>
      </c>
      <c r="B406" s="1369"/>
      <c r="D406" s="258"/>
    </row>
    <row r="407" spans="1:4" x14ac:dyDescent="0.2">
      <c r="A407" s="345">
        <v>39903</v>
      </c>
      <c r="B407" s="1369"/>
      <c r="D407" s="258"/>
    </row>
    <row r="408" spans="1:4" x14ac:dyDescent="0.2">
      <c r="A408" s="345">
        <v>39933</v>
      </c>
      <c r="B408" s="1369"/>
      <c r="D408" s="258"/>
    </row>
    <row r="409" spans="1:4" x14ac:dyDescent="0.2">
      <c r="A409" s="345">
        <v>39964</v>
      </c>
      <c r="B409" s="1369"/>
      <c r="D409" s="258"/>
    </row>
    <row r="410" spans="1:4" x14ac:dyDescent="0.2">
      <c r="A410" s="345">
        <v>39994</v>
      </c>
      <c r="B410" s="1369"/>
      <c r="D410" s="258"/>
    </row>
    <row r="411" spans="1:4" x14ac:dyDescent="0.2">
      <c r="A411" s="345">
        <v>40025</v>
      </c>
      <c r="B411" s="1369"/>
      <c r="D411" s="258"/>
    </row>
    <row r="412" spans="1:4" x14ac:dyDescent="0.2">
      <c r="A412" s="345">
        <v>40056</v>
      </c>
      <c r="B412" s="1369"/>
      <c r="D412" s="258"/>
    </row>
    <row r="413" spans="1:4" x14ac:dyDescent="0.2">
      <c r="A413" s="345">
        <v>40086</v>
      </c>
      <c r="B413" s="1369"/>
      <c r="D413" s="258"/>
    </row>
    <row r="414" spans="1:4" x14ac:dyDescent="0.2">
      <c r="A414" s="345">
        <v>40117</v>
      </c>
      <c r="B414" s="1369"/>
    </row>
    <row r="415" spans="1:4" x14ac:dyDescent="0.2">
      <c r="A415" s="345">
        <v>40147</v>
      </c>
      <c r="B415" s="1369"/>
      <c r="C415" s="1333"/>
      <c r="D415" s="1369"/>
    </row>
    <row r="416" spans="1:4" x14ac:dyDescent="0.2">
      <c r="A416" s="345">
        <v>40178</v>
      </c>
      <c r="B416" s="1369"/>
    </row>
    <row r="417" spans="1:4" x14ac:dyDescent="0.2">
      <c r="A417" s="345">
        <v>40209</v>
      </c>
      <c r="B417" s="253"/>
    </row>
    <row r="418" spans="1:4" x14ac:dyDescent="0.2">
      <c r="A418" s="345">
        <v>40237</v>
      </c>
      <c r="B418" s="253"/>
    </row>
    <row r="419" spans="1:4" x14ac:dyDescent="0.2">
      <c r="A419" s="345">
        <v>40268</v>
      </c>
      <c r="B419" s="253"/>
      <c r="C419" s="1334"/>
      <c r="D419" s="1311"/>
    </row>
    <row r="420" spans="1:4" x14ac:dyDescent="0.2">
      <c r="A420" s="345">
        <v>40298</v>
      </c>
      <c r="B420" s="253"/>
    </row>
    <row r="421" spans="1:4" x14ac:dyDescent="0.2">
      <c r="A421" s="345">
        <v>40329</v>
      </c>
      <c r="B421" s="253"/>
    </row>
    <row r="422" spans="1:4" x14ac:dyDescent="0.2">
      <c r="A422" s="345">
        <v>40359</v>
      </c>
      <c r="B422" s="253"/>
    </row>
    <row r="423" spans="1:4" x14ac:dyDescent="0.2">
      <c r="A423" s="345">
        <v>40390</v>
      </c>
      <c r="B423" s="253"/>
    </row>
    <row r="424" spans="1:4" x14ac:dyDescent="0.2">
      <c r="A424" s="345">
        <v>40421</v>
      </c>
      <c r="B424" s="253"/>
    </row>
    <row r="425" spans="1:4" x14ac:dyDescent="0.2">
      <c r="A425" s="345">
        <v>40451</v>
      </c>
      <c r="B425" s="253"/>
    </row>
    <row r="426" spans="1:4" x14ac:dyDescent="0.2">
      <c r="A426" s="345">
        <v>40482</v>
      </c>
      <c r="B426" s="253"/>
    </row>
    <row r="427" spans="1:4" x14ac:dyDescent="0.2">
      <c r="A427" s="345">
        <v>40512</v>
      </c>
      <c r="B427" s="253"/>
    </row>
    <row r="428" spans="1:4" x14ac:dyDescent="0.2">
      <c r="A428" s="345">
        <v>40543</v>
      </c>
      <c r="B428" s="253"/>
    </row>
    <row r="429" spans="1:4" x14ac:dyDescent="0.2">
      <c r="A429" s="345">
        <v>40574</v>
      </c>
      <c r="B429" s="253"/>
    </row>
    <row r="430" spans="1:4" x14ac:dyDescent="0.2">
      <c r="A430" s="345">
        <v>40602</v>
      </c>
      <c r="B430" s="253"/>
    </row>
    <row r="431" spans="1:4" x14ac:dyDescent="0.2">
      <c r="A431" s="345">
        <v>40633</v>
      </c>
      <c r="B431" s="253"/>
    </row>
    <row r="432" spans="1:4" x14ac:dyDescent="0.2">
      <c r="A432" s="345">
        <v>40663</v>
      </c>
      <c r="B432" s="253"/>
    </row>
    <row r="433" spans="1:2" x14ac:dyDescent="0.2">
      <c r="A433" s="345">
        <v>40694</v>
      </c>
      <c r="B433" s="253"/>
    </row>
    <row r="434" spans="1:2" x14ac:dyDescent="0.2">
      <c r="A434" s="345">
        <v>40724</v>
      </c>
      <c r="B434" s="253"/>
    </row>
    <row r="435" spans="1:2" x14ac:dyDescent="0.2">
      <c r="A435" s="345">
        <v>40755</v>
      </c>
      <c r="B435" s="253"/>
    </row>
    <row r="436" spans="1:2" x14ac:dyDescent="0.2">
      <c r="A436" s="345">
        <v>40786</v>
      </c>
      <c r="B436" s="253"/>
    </row>
    <row r="437" spans="1:2" x14ac:dyDescent="0.2">
      <c r="A437" s="345">
        <v>40816</v>
      </c>
      <c r="B437" s="253"/>
    </row>
    <row r="438" spans="1:2" x14ac:dyDescent="0.2">
      <c r="A438" s="345">
        <v>40847</v>
      </c>
      <c r="B438" s="253"/>
    </row>
    <row r="439" spans="1:2" x14ac:dyDescent="0.2">
      <c r="A439" s="345">
        <v>40877</v>
      </c>
      <c r="B439" s="253"/>
    </row>
    <row r="440" spans="1:2" x14ac:dyDescent="0.2">
      <c r="A440" s="345">
        <v>40908</v>
      </c>
      <c r="B440" s="253"/>
    </row>
    <row r="441" spans="1:2" x14ac:dyDescent="0.2">
      <c r="A441" s="345">
        <v>40939</v>
      </c>
      <c r="B441" s="253"/>
    </row>
    <row r="442" spans="1:2" x14ac:dyDescent="0.2">
      <c r="A442" s="345">
        <v>40968</v>
      </c>
      <c r="B442" s="253"/>
    </row>
    <row r="443" spans="1:2" x14ac:dyDescent="0.2">
      <c r="A443" s="345">
        <v>40999</v>
      </c>
      <c r="B443" s="253"/>
    </row>
    <row r="444" spans="1:2" x14ac:dyDescent="0.2">
      <c r="A444" s="345">
        <v>41029</v>
      </c>
      <c r="B444" s="253"/>
    </row>
    <row r="445" spans="1:2" x14ac:dyDescent="0.2">
      <c r="A445" s="345">
        <v>41060</v>
      </c>
      <c r="B445" s="253"/>
    </row>
    <row r="446" spans="1:2" x14ac:dyDescent="0.2">
      <c r="A446" s="345">
        <v>41090</v>
      </c>
      <c r="B446" s="253"/>
    </row>
    <row r="447" spans="1:2" x14ac:dyDescent="0.2">
      <c r="A447" s="345">
        <v>41121</v>
      </c>
      <c r="B447" s="253"/>
    </row>
    <row r="448" spans="1:2" x14ac:dyDescent="0.2">
      <c r="A448" s="345">
        <v>41152</v>
      </c>
      <c r="B448" s="253"/>
    </row>
    <row r="449" spans="1:5" x14ac:dyDescent="0.2">
      <c r="A449" s="345">
        <v>41182</v>
      </c>
      <c r="B449" s="253"/>
    </row>
    <row r="450" spans="1:5" x14ac:dyDescent="0.2">
      <c r="A450" s="345">
        <v>41213</v>
      </c>
      <c r="B450" s="253"/>
    </row>
    <row r="451" spans="1:5" x14ac:dyDescent="0.2">
      <c r="A451" s="345">
        <v>41243</v>
      </c>
      <c r="B451" s="253"/>
    </row>
    <row r="452" spans="1:5" x14ac:dyDescent="0.2">
      <c r="A452" s="345">
        <v>41274</v>
      </c>
      <c r="B452" s="253"/>
    </row>
    <row r="453" spans="1:5" x14ac:dyDescent="0.2">
      <c r="A453" s="345">
        <v>41305</v>
      </c>
      <c r="B453" s="253"/>
    </row>
    <row r="454" spans="1:5" x14ac:dyDescent="0.2">
      <c r="A454" s="345">
        <v>41333</v>
      </c>
      <c r="B454" s="253"/>
    </row>
    <row r="455" spans="1:5" x14ac:dyDescent="0.2">
      <c r="A455" s="345">
        <v>41364</v>
      </c>
      <c r="B455" s="253"/>
    </row>
    <row r="456" spans="1:5" x14ac:dyDescent="0.2">
      <c r="A456" s="345">
        <v>41394</v>
      </c>
      <c r="B456" s="253"/>
    </row>
    <row r="457" spans="1:5" x14ac:dyDescent="0.2">
      <c r="A457" s="345">
        <v>41425</v>
      </c>
      <c r="B457" s="253"/>
    </row>
    <row r="458" spans="1:5" x14ac:dyDescent="0.2">
      <c r="A458" s="345">
        <v>41455</v>
      </c>
      <c r="B458" s="253">
        <f t="shared" ref="B458:B488" si="0">D458</f>
        <v>-1.6825000000000001</v>
      </c>
      <c r="C458" s="1307">
        <v>310703148</v>
      </c>
      <c r="D458" s="262">
        <v>-1.6825000000000001</v>
      </c>
      <c r="E458" s="14">
        <f>B458-Index_Returns!AU458</f>
        <v>0.80580199999999991</v>
      </c>
    </row>
    <row r="459" spans="1:5" x14ac:dyDescent="0.2">
      <c r="A459" s="345">
        <v>41486</v>
      </c>
      <c r="B459" s="253">
        <f t="shared" si="0"/>
        <v>5.4433100000000003</v>
      </c>
      <c r="C459" s="346">
        <v>433698000</v>
      </c>
      <c r="D459" s="262">
        <v>5.4433100000000003</v>
      </c>
      <c r="E459" s="14">
        <f>B459-Index_Returns!AU459</f>
        <v>0.43733000000000022</v>
      </c>
    </row>
    <row r="460" spans="1:5" x14ac:dyDescent="0.2">
      <c r="A460" s="345">
        <v>41517</v>
      </c>
      <c r="B460" s="253">
        <f t="shared" si="0"/>
        <v>-2.97885</v>
      </c>
      <c r="C460" s="346">
        <v>420778800</v>
      </c>
      <c r="D460" s="262">
        <v>-2.97885</v>
      </c>
      <c r="E460" s="14">
        <f>B460-Index_Returns!AU460</f>
        <v>-0.71982500000000016</v>
      </c>
    </row>
    <row r="461" spans="1:5" x14ac:dyDescent="0.2">
      <c r="A461" s="345">
        <v>41547</v>
      </c>
      <c r="B461" s="253">
        <f t="shared" si="0"/>
        <v>3.1631499999999999</v>
      </c>
      <c r="C461" s="346">
        <v>434088669.30000001</v>
      </c>
      <c r="D461" s="262">
        <v>3.1631499999999999</v>
      </c>
      <c r="E461" s="14">
        <f>B461-Index_Returns!AU461</f>
        <v>-2.1743478999999999</v>
      </c>
    </row>
    <row r="462" spans="1:5" x14ac:dyDescent="0.2">
      <c r="A462" s="345">
        <v>41578</v>
      </c>
      <c r="B462" s="253">
        <f t="shared" si="0"/>
        <v>4.9415500000000003</v>
      </c>
      <c r="C462" s="346">
        <v>455539375.98000002</v>
      </c>
      <c r="D462" s="262">
        <v>4.9415500000000003</v>
      </c>
      <c r="E462" s="14">
        <f>B462-Index_Returns!AU462</f>
        <v>0.86855490000000124</v>
      </c>
    </row>
    <row r="463" spans="1:5" x14ac:dyDescent="0.2">
      <c r="A463" s="345">
        <v>41608</v>
      </c>
      <c r="B463" s="253">
        <f t="shared" si="0"/>
        <v>2.8463599999999998</v>
      </c>
      <c r="C463" s="346">
        <v>468505675.98000002</v>
      </c>
      <c r="D463" s="262">
        <v>2.8463599999999998</v>
      </c>
      <c r="E463" s="14">
        <f>B463-Index_Returns!AU463</f>
        <v>1.0153086000000002</v>
      </c>
    </row>
    <row r="464" spans="1:5" x14ac:dyDescent="0.2">
      <c r="A464" s="345">
        <v>41639</v>
      </c>
      <c r="B464" s="253">
        <f t="shared" si="0"/>
        <v>2.3789500000000001</v>
      </c>
      <c r="C464" s="346">
        <v>479651183.93000001</v>
      </c>
      <c r="D464" s="262">
        <v>2.3789500000000001</v>
      </c>
      <c r="E464" s="14">
        <f>B464-Index_Returns!AU464</f>
        <v>0.59509040000000035</v>
      </c>
    </row>
    <row r="465" spans="1:5" x14ac:dyDescent="0.2">
      <c r="A465" s="345">
        <v>41670</v>
      </c>
      <c r="B465" s="253">
        <f t="shared" si="0"/>
        <v>-2.99457</v>
      </c>
      <c r="C465" s="346">
        <v>465287683.93000001</v>
      </c>
      <c r="D465" s="262">
        <v>-2.99457</v>
      </c>
      <c r="E465" s="14">
        <f>B465-Index_Returns!AU465</f>
        <v>0.75892259999999956</v>
      </c>
    </row>
    <row r="466" spans="1:5" x14ac:dyDescent="0.2">
      <c r="A466" s="345">
        <v>41698</v>
      </c>
      <c r="B466" s="253">
        <f t="shared" si="0"/>
        <v>4.84518</v>
      </c>
      <c r="C466" s="346">
        <v>487831683.93000001</v>
      </c>
      <c r="D466" s="262">
        <v>4.84518</v>
      </c>
      <c r="E466" s="14">
        <f>B466-Index_Returns!AU466</f>
        <v>9.8647099999999988E-2</v>
      </c>
    </row>
    <row r="467" spans="1:5" x14ac:dyDescent="0.2">
      <c r="A467" s="345">
        <v>41729</v>
      </c>
      <c r="B467" s="253">
        <f t="shared" si="0"/>
        <v>-0.1613</v>
      </c>
      <c r="C467" s="346">
        <v>487044791.82999998</v>
      </c>
      <c r="D467" s="262">
        <v>-0.1613</v>
      </c>
      <c r="E467" s="14">
        <f>B467-Index_Returns!AU467</f>
        <v>-0.75399450000000001</v>
      </c>
    </row>
    <row r="468" spans="1:5" x14ac:dyDescent="0.2">
      <c r="A468" s="345">
        <v>41759</v>
      </c>
      <c r="B468" s="253">
        <f t="shared" si="0"/>
        <v>0.23530000000000001</v>
      </c>
      <c r="C468" s="346">
        <v>488190806.82999998</v>
      </c>
      <c r="D468" s="262">
        <v>0.23530000000000001</v>
      </c>
      <c r="E468" s="14">
        <f>B468-Index_Returns!AU468</f>
        <v>-3.3805699999999939E-2</v>
      </c>
    </row>
    <row r="469" spans="1:5" x14ac:dyDescent="0.2">
      <c r="A469" s="345">
        <v>41790</v>
      </c>
      <c r="B469" s="253">
        <f t="shared" si="0"/>
        <v>2.5480100000000001</v>
      </c>
      <c r="C469" s="346">
        <v>500629963.52999997</v>
      </c>
      <c r="D469" s="262">
        <v>2.5480100000000001</v>
      </c>
      <c r="E469" s="14">
        <f>B469-Index_Returns!AU469</f>
        <v>0.54152660000000052</v>
      </c>
    </row>
    <row r="470" spans="1:5" x14ac:dyDescent="0.2">
      <c r="A470" s="345">
        <v>41820</v>
      </c>
      <c r="B470" s="253">
        <f t="shared" si="0"/>
        <v>1.86032</v>
      </c>
      <c r="C470" s="346">
        <v>509943286.87</v>
      </c>
      <c r="D470" s="262">
        <v>1.86032</v>
      </c>
      <c r="E470" s="14">
        <f>B470-Index_Returns!AU470</f>
        <v>-0.39082860000000008</v>
      </c>
    </row>
    <row r="471" spans="1:5" x14ac:dyDescent="0.2">
      <c r="A471" s="345">
        <v>41851</v>
      </c>
      <c r="B471" s="253">
        <f t="shared" si="0"/>
        <v>-1.0984</v>
      </c>
      <c r="C471" s="346">
        <v>504342063.51999998</v>
      </c>
      <c r="D471" s="262">
        <v>-1.0984</v>
      </c>
      <c r="E471" s="14">
        <f>B471-Index_Returns!AU471</f>
        <v>0.74241549999999989</v>
      </c>
    </row>
    <row r="472" spans="1:5" x14ac:dyDescent="0.2">
      <c r="A472" s="345">
        <v>41882</v>
      </c>
      <c r="B472" s="253">
        <f t="shared" si="0"/>
        <v>3.8207300000000002</v>
      </c>
      <c r="C472" s="346">
        <v>523611600.37</v>
      </c>
      <c r="D472" s="262">
        <v>3.8207300000000002</v>
      </c>
      <c r="E472" s="14">
        <f>B472-Index_Returns!AU472</f>
        <v>1.1359231000000007</v>
      </c>
    </row>
    <row r="473" spans="1:5" x14ac:dyDescent="0.2">
      <c r="A473" s="345">
        <v>41912</v>
      </c>
      <c r="B473" s="253">
        <f t="shared" si="0"/>
        <v>0</v>
      </c>
    </row>
    <row r="474" spans="1:5" x14ac:dyDescent="0.2">
      <c r="A474" s="345">
        <v>41943</v>
      </c>
      <c r="B474" s="253">
        <f t="shared" si="0"/>
        <v>0</v>
      </c>
    </row>
    <row r="475" spans="1:5" x14ac:dyDescent="0.2">
      <c r="A475" s="345">
        <v>41973</v>
      </c>
      <c r="B475" s="253">
        <f t="shared" si="0"/>
        <v>0</v>
      </c>
    </row>
    <row r="476" spans="1:5" x14ac:dyDescent="0.2">
      <c r="A476" s="345">
        <v>42004</v>
      </c>
      <c r="B476" s="253">
        <f t="shared" si="0"/>
        <v>0</v>
      </c>
    </row>
    <row r="477" spans="1:5" x14ac:dyDescent="0.2">
      <c r="A477" s="345">
        <v>42035</v>
      </c>
      <c r="B477" s="253">
        <f t="shared" si="0"/>
        <v>0</v>
      </c>
    </row>
    <row r="478" spans="1:5" x14ac:dyDescent="0.2">
      <c r="A478" s="345">
        <v>42063</v>
      </c>
      <c r="B478" s="253">
        <f t="shared" si="0"/>
        <v>0</v>
      </c>
    </row>
    <row r="479" spans="1:5" x14ac:dyDescent="0.2">
      <c r="A479" s="345">
        <v>42094</v>
      </c>
      <c r="B479" s="253">
        <f t="shared" si="0"/>
        <v>0</v>
      </c>
    </row>
    <row r="480" spans="1:5" x14ac:dyDescent="0.2">
      <c r="A480" s="345">
        <v>42124</v>
      </c>
      <c r="B480" s="253">
        <f t="shared" si="0"/>
        <v>0</v>
      </c>
    </row>
    <row r="481" spans="1:2" x14ac:dyDescent="0.2">
      <c r="A481" s="345">
        <v>42155</v>
      </c>
      <c r="B481" s="253">
        <f t="shared" si="0"/>
        <v>0</v>
      </c>
    </row>
    <row r="482" spans="1:2" x14ac:dyDescent="0.2">
      <c r="A482" s="345">
        <v>42185</v>
      </c>
      <c r="B482" s="253">
        <f t="shared" si="0"/>
        <v>0</v>
      </c>
    </row>
    <row r="483" spans="1:2" x14ac:dyDescent="0.2">
      <c r="A483" s="345">
        <v>42216</v>
      </c>
      <c r="B483" s="253">
        <f t="shared" si="0"/>
        <v>0</v>
      </c>
    </row>
    <row r="484" spans="1:2" x14ac:dyDescent="0.2">
      <c r="A484" s="345">
        <v>42247</v>
      </c>
      <c r="B484" s="253">
        <f t="shared" si="0"/>
        <v>0</v>
      </c>
    </row>
    <row r="485" spans="1:2" x14ac:dyDescent="0.2">
      <c r="A485" s="345">
        <v>42277</v>
      </c>
      <c r="B485" s="253">
        <f t="shared" si="0"/>
        <v>0</v>
      </c>
    </row>
    <row r="486" spans="1:2" x14ac:dyDescent="0.2">
      <c r="A486" s="345">
        <v>42308</v>
      </c>
      <c r="B486" s="253">
        <f t="shared" si="0"/>
        <v>0</v>
      </c>
    </row>
    <row r="487" spans="1:2" x14ac:dyDescent="0.2">
      <c r="A487" s="345">
        <v>42338</v>
      </c>
      <c r="B487" s="253">
        <f t="shared" si="0"/>
        <v>0</v>
      </c>
    </row>
    <row r="488" spans="1:2" x14ac:dyDescent="0.2">
      <c r="A488" s="345">
        <v>42369</v>
      </c>
      <c r="B488" s="253">
        <f t="shared" si="0"/>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H489"/>
  <sheetViews>
    <sheetView workbookViewId="0">
      <pane xSplit="1" ySplit="2" topLeftCell="B448" activePane="bottomRight" state="frozen"/>
      <selection pane="topRight" activeCell="B1" sqref="B1"/>
      <selection pane="bottomLeft" activeCell="A3" sqref="A3"/>
      <selection pane="bottomRight" activeCell="C472" sqref="C472:D472"/>
    </sheetView>
  </sheetViews>
  <sheetFormatPr defaultRowHeight="12.75" x14ac:dyDescent="0.2"/>
  <cols>
    <col min="1" max="1" width="18.7109375" style="21" customWidth="1"/>
    <col min="2" max="2" width="18.7109375" style="257" customWidth="1"/>
    <col min="3" max="3" width="22" style="346" bestFit="1" customWidth="1"/>
    <col min="4" max="4" width="18.7109375" style="262" customWidth="1"/>
    <col min="5" max="5" width="9.140625" style="14"/>
    <col min="6" max="6" width="12.42578125" bestFit="1" customWidth="1"/>
    <col min="7" max="7" width="17.7109375" style="352" bestFit="1" customWidth="1"/>
    <col min="8" max="8" width="9.140625" style="352"/>
  </cols>
  <sheetData>
    <row r="1" spans="1:6" x14ac:dyDescent="0.2">
      <c r="A1" s="265" t="s">
        <v>856</v>
      </c>
      <c r="B1" s="1416" t="s">
        <v>852</v>
      </c>
      <c r="C1" s="1386" t="s">
        <v>857</v>
      </c>
      <c r="D1" s="1370">
        <f>ASRS_E1!D1</f>
        <v>1</v>
      </c>
      <c r="F1" s="1452" t="s">
        <v>852</v>
      </c>
    </row>
    <row r="2" spans="1:6" x14ac:dyDescent="0.2">
      <c r="A2" s="3" t="s">
        <v>27</v>
      </c>
      <c r="B2" s="71" t="s">
        <v>91</v>
      </c>
      <c r="C2" s="226" t="s">
        <v>92</v>
      </c>
      <c r="D2" s="71" t="s">
        <v>90</v>
      </c>
      <c r="E2" s="734" t="s">
        <v>80</v>
      </c>
    </row>
    <row r="3" spans="1:6" x14ac:dyDescent="0.2">
      <c r="A3" s="345">
        <v>27606</v>
      </c>
      <c r="B3" s="71"/>
      <c r="C3" s="226"/>
      <c r="D3" s="71"/>
    </row>
    <row r="4" spans="1:6" x14ac:dyDescent="0.2">
      <c r="A4" s="345">
        <v>27637</v>
      </c>
      <c r="B4" s="71"/>
      <c r="C4" s="226"/>
      <c r="D4" s="71"/>
    </row>
    <row r="5" spans="1:6" x14ac:dyDescent="0.2">
      <c r="A5" s="345">
        <v>27667</v>
      </c>
      <c r="B5" s="71"/>
      <c r="C5" s="226"/>
      <c r="D5" s="71"/>
    </row>
    <row r="6" spans="1:6" x14ac:dyDescent="0.2">
      <c r="A6" s="345">
        <v>27698</v>
      </c>
      <c r="B6" s="71"/>
      <c r="C6" s="226"/>
      <c r="D6" s="71"/>
    </row>
    <row r="7" spans="1:6" x14ac:dyDescent="0.2">
      <c r="A7" s="345">
        <v>27728</v>
      </c>
      <c r="B7" s="71"/>
      <c r="C7" s="226"/>
      <c r="D7" s="71"/>
    </row>
    <row r="8" spans="1:6" x14ac:dyDescent="0.2">
      <c r="A8" s="345">
        <v>27759</v>
      </c>
      <c r="B8" s="71"/>
      <c r="C8" s="226"/>
      <c r="D8" s="71"/>
    </row>
    <row r="9" spans="1:6" x14ac:dyDescent="0.2">
      <c r="A9" s="345">
        <v>27790</v>
      </c>
      <c r="B9" s="71"/>
      <c r="C9" s="226"/>
      <c r="D9" s="71"/>
    </row>
    <row r="10" spans="1:6" x14ac:dyDescent="0.2">
      <c r="A10" s="345">
        <v>27819</v>
      </c>
      <c r="B10" s="71"/>
      <c r="C10" s="226"/>
      <c r="D10" s="71"/>
    </row>
    <row r="11" spans="1:6" x14ac:dyDescent="0.2">
      <c r="A11" s="345">
        <v>27850</v>
      </c>
      <c r="B11" s="71"/>
      <c r="C11" s="226"/>
      <c r="D11" s="71"/>
    </row>
    <row r="12" spans="1:6" x14ac:dyDescent="0.2">
      <c r="A12" s="345">
        <v>27880</v>
      </c>
      <c r="B12" s="71"/>
      <c r="C12" s="226"/>
      <c r="D12" s="71"/>
    </row>
    <row r="13" spans="1:6" x14ac:dyDescent="0.2">
      <c r="A13" s="345">
        <v>27911</v>
      </c>
      <c r="B13" s="71"/>
      <c r="C13" s="226"/>
      <c r="D13" s="71"/>
    </row>
    <row r="14" spans="1:6" x14ac:dyDescent="0.2">
      <c r="A14" s="345">
        <v>27941</v>
      </c>
      <c r="B14" s="71"/>
      <c r="C14" s="226"/>
      <c r="D14" s="71"/>
    </row>
    <row r="15" spans="1:6" x14ac:dyDescent="0.2">
      <c r="A15" s="345">
        <v>27972</v>
      </c>
      <c r="B15" s="71"/>
      <c r="C15" s="226"/>
      <c r="D15" s="71"/>
    </row>
    <row r="16" spans="1:6" x14ac:dyDescent="0.2">
      <c r="A16" s="345">
        <v>28003</v>
      </c>
      <c r="B16" s="71"/>
      <c r="C16" s="226"/>
      <c r="D16" s="71"/>
    </row>
    <row r="17" spans="1:4" x14ac:dyDescent="0.2">
      <c r="A17" s="345">
        <v>28033</v>
      </c>
      <c r="B17" s="71"/>
      <c r="C17" s="226"/>
      <c r="D17" s="71"/>
    </row>
    <row r="18" spans="1:4" x14ac:dyDescent="0.2">
      <c r="A18" s="345">
        <v>28064</v>
      </c>
      <c r="B18" s="71"/>
      <c r="C18" s="226"/>
      <c r="D18" s="71"/>
    </row>
    <row r="19" spans="1:4" x14ac:dyDescent="0.2">
      <c r="A19" s="345">
        <v>28094</v>
      </c>
      <c r="B19" s="71"/>
      <c r="C19" s="226"/>
      <c r="D19" s="71"/>
    </row>
    <row r="20" spans="1:4" x14ac:dyDescent="0.2">
      <c r="A20" s="345">
        <v>28125</v>
      </c>
      <c r="B20" s="71"/>
      <c r="C20" s="226"/>
      <c r="D20" s="71"/>
    </row>
    <row r="21" spans="1:4" x14ac:dyDescent="0.2">
      <c r="A21" s="345">
        <v>28156</v>
      </c>
      <c r="B21" s="71"/>
      <c r="C21" s="226"/>
      <c r="D21" s="71"/>
    </row>
    <row r="22" spans="1:4" x14ac:dyDescent="0.2">
      <c r="A22" s="345">
        <v>28184</v>
      </c>
      <c r="B22" s="71"/>
      <c r="C22" s="226"/>
      <c r="D22" s="71"/>
    </row>
    <row r="23" spans="1:4" x14ac:dyDescent="0.2">
      <c r="A23" s="345">
        <v>28215</v>
      </c>
      <c r="B23" s="71"/>
      <c r="C23" s="226"/>
      <c r="D23" s="71"/>
    </row>
    <row r="24" spans="1:4" x14ac:dyDescent="0.2">
      <c r="A24" s="345">
        <v>28245</v>
      </c>
      <c r="B24" s="71"/>
      <c r="C24" s="226"/>
      <c r="D24" s="71"/>
    </row>
    <row r="25" spans="1:4" x14ac:dyDescent="0.2">
      <c r="A25" s="345">
        <v>28276</v>
      </c>
      <c r="B25" s="71"/>
      <c r="C25" s="226"/>
      <c r="D25" s="71"/>
    </row>
    <row r="26" spans="1:4" x14ac:dyDescent="0.2">
      <c r="A26" s="345">
        <v>28306</v>
      </c>
      <c r="B26" s="71"/>
      <c r="C26" s="226"/>
      <c r="D26" s="71"/>
    </row>
    <row r="27" spans="1:4" x14ac:dyDescent="0.2">
      <c r="A27" s="345">
        <v>28337</v>
      </c>
      <c r="B27" s="71"/>
      <c r="C27" s="226"/>
      <c r="D27" s="71"/>
    </row>
    <row r="28" spans="1:4" x14ac:dyDescent="0.2">
      <c r="A28" s="345">
        <v>28368</v>
      </c>
      <c r="B28" s="71"/>
      <c r="C28" s="226"/>
      <c r="D28" s="71"/>
    </row>
    <row r="29" spans="1:4" x14ac:dyDescent="0.2">
      <c r="A29" s="345">
        <v>28398</v>
      </c>
      <c r="B29" s="71"/>
      <c r="C29" s="226"/>
      <c r="D29" s="71"/>
    </row>
    <row r="30" spans="1:4" x14ac:dyDescent="0.2">
      <c r="A30" s="345">
        <v>28429</v>
      </c>
      <c r="B30" s="71"/>
      <c r="C30" s="226"/>
      <c r="D30" s="71"/>
    </row>
    <row r="31" spans="1:4" x14ac:dyDescent="0.2">
      <c r="A31" s="345">
        <v>28459</v>
      </c>
      <c r="B31" s="71"/>
      <c r="C31" s="226"/>
      <c r="D31" s="71"/>
    </row>
    <row r="32" spans="1:4" x14ac:dyDescent="0.2">
      <c r="A32" s="345">
        <v>28490</v>
      </c>
      <c r="B32" s="71"/>
      <c r="C32" s="226"/>
      <c r="D32" s="71"/>
    </row>
    <row r="33" spans="1:4" x14ac:dyDescent="0.2">
      <c r="A33" s="345">
        <v>28521</v>
      </c>
      <c r="B33" s="71"/>
      <c r="C33" s="226"/>
      <c r="D33" s="71"/>
    </row>
    <row r="34" spans="1:4" x14ac:dyDescent="0.2">
      <c r="A34" s="345">
        <v>28549</v>
      </c>
      <c r="B34" s="71"/>
      <c r="C34" s="226"/>
      <c r="D34" s="71"/>
    </row>
    <row r="35" spans="1:4" x14ac:dyDescent="0.2">
      <c r="A35" s="345">
        <v>28580</v>
      </c>
      <c r="B35" s="71"/>
      <c r="C35" s="226"/>
      <c r="D35" s="71"/>
    </row>
    <row r="36" spans="1:4" x14ac:dyDescent="0.2">
      <c r="A36" s="345">
        <v>28610</v>
      </c>
      <c r="B36" s="71"/>
      <c r="C36" s="226"/>
      <c r="D36" s="71"/>
    </row>
    <row r="37" spans="1:4" x14ac:dyDescent="0.2">
      <c r="A37" s="345">
        <v>28641</v>
      </c>
      <c r="B37" s="71"/>
      <c r="C37" s="226"/>
      <c r="D37" s="71"/>
    </row>
    <row r="38" spans="1:4" x14ac:dyDescent="0.2">
      <c r="A38" s="345">
        <v>28671</v>
      </c>
      <c r="B38" s="71"/>
      <c r="C38" s="226"/>
      <c r="D38" s="71"/>
    </row>
    <row r="39" spans="1:4" x14ac:dyDescent="0.2">
      <c r="A39" s="345">
        <v>28702</v>
      </c>
      <c r="B39" s="71"/>
      <c r="C39" s="226"/>
      <c r="D39" s="71"/>
    </row>
    <row r="40" spans="1:4" x14ac:dyDescent="0.2">
      <c r="A40" s="345">
        <v>28733</v>
      </c>
      <c r="B40" s="71"/>
      <c r="C40" s="226"/>
      <c r="D40" s="71"/>
    </row>
    <row r="41" spans="1:4" x14ac:dyDescent="0.2">
      <c r="A41" s="345">
        <v>28763</v>
      </c>
      <c r="B41" s="71"/>
      <c r="C41" s="226"/>
      <c r="D41" s="71"/>
    </row>
    <row r="42" spans="1:4" x14ac:dyDescent="0.2">
      <c r="A42" s="345">
        <v>28794</v>
      </c>
      <c r="B42" s="71"/>
      <c r="C42" s="226"/>
      <c r="D42" s="71"/>
    </row>
    <row r="43" spans="1:4" x14ac:dyDescent="0.2">
      <c r="A43" s="345">
        <v>28824</v>
      </c>
      <c r="B43" s="71"/>
      <c r="C43" s="226"/>
      <c r="D43" s="71"/>
    </row>
    <row r="44" spans="1:4" x14ac:dyDescent="0.2">
      <c r="A44" s="345">
        <v>28855</v>
      </c>
      <c r="B44" s="71"/>
      <c r="C44" s="226"/>
      <c r="D44" s="71"/>
    </row>
    <row r="45" spans="1:4" x14ac:dyDescent="0.2">
      <c r="A45" s="345">
        <v>28886</v>
      </c>
      <c r="B45" s="71"/>
      <c r="C45" s="226"/>
      <c r="D45" s="71"/>
    </row>
    <row r="46" spans="1:4" x14ac:dyDescent="0.2">
      <c r="A46" s="345">
        <v>28914</v>
      </c>
      <c r="B46" s="71"/>
      <c r="C46" s="226"/>
      <c r="D46" s="71"/>
    </row>
    <row r="47" spans="1:4" x14ac:dyDescent="0.2">
      <c r="A47" s="345">
        <v>28945</v>
      </c>
      <c r="B47" s="71"/>
      <c r="C47" s="226"/>
      <c r="D47" s="71"/>
    </row>
    <row r="48" spans="1:4" x14ac:dyDescent="0.2">
      <c r="A48" s="345">
        <v>28975</v>
      </c>
      <c r="B48" s="71"/>
      <c r="C48" s="226"/>
      <c r="D48" s="71"/>
    </row>
    <row r="49" spans="1:4" x14ac:dyDescent="0.2">
      <c r="A49" s="345">
        <v>29006</v>
      </c>
      <c r="B49" s="71"/>
      <c r="C49" s="226"/>
      <c r="D49" s="71"/>
    </row>
    <row r="50" spans="1:4" x14ac:dyDescent="0.2">
      <c r="A50" s="345">
        <v>29036</v>
      </c>
      <c r="B50" s="71"/>
      <c r="C50" s="226"/>
      <c r="D50" s="71"/>
    </row>
    <row r="51" spans="1:4" x14ac:dyDescent="0.2">
      <c r="A51" s="345">
        <v>29067</v>
      </c>
      <c r="B51" s="71"/>
      <c r="C51" s="226"/>
      <c r="D51" s="71"/>
    </row>
    <row r="52" spans="1:4" x14ac:dyDescent="0.2">
      <c r="A52" s="345">
        <v>29098</v>
      </c>
      <c r="B52" s="71"/>
      <c r="C52" s="226"/>
      <c r="D52" s="71"/>
    </row>
    <row r="53" spans="1:4" x14ac:dyDescent="0.2">
      <c r="A53" s="345">
        <v>29128</v>
      </c>
      <c r="B53" s="71"/>
      <c r="C53" s="226"/>
      <c r="D53" s="71"/>
    </row>
    <row r="54" spans="1:4" x14ac:dyDescent="0.2">
      <c r="A54" s="345">
        <v>29159</v>
      </c>
      <c r="B54" s="71"/>
      <c r="C54" s="226"/>
      <c r="D54" s="71"/>
    </row>
    <row r="55" spans="1:4" x14ac:dyDescent="0.2">
      <c r="A55" s="345">
        <v>29189</v>
      </c>
      <c r="B55" s="71"/>
      <c r="C55" s="226"/>
      <c r="D55" s="71"/>
    </row>
    <row r="56" spans="1:4" x14ac:dyDescent="0.2">
      <c r="A56" s="345">
        <v>29220</v>
      </c>
      <c r="B56" s="71"/>
      <c r="C56" s="226"/>
      <c r="D56" s="71"/>
    </row>
    <row r="57" spans="1:4" x14ac:dyDescent="0.2">
      <c r="A57" s="345">
        <v>29251</v>
      </c>
      <c r="B57" s="71"/>
      <c r="C57" s="226"/>
      <c r="D57" s="71"/>
    </row>
    <row r="58" spans="1:4" x14ac:dyDescent="0.2">
      <c r="A58" s="345">
        <v>29280</v>
      </c>
      <c r="B58" s="71"/>
      <c r="C58" s="226"/>
      <c r="D58" s="71"/>
    </row>
    <row r="59" spans="1:4" x14ac:dyDescent="0.2">
      <c r="A59" s="345">
        <v>29311</v>
      </c>
      <c r="B59" s="71"/>
      <c r="C59" s="226"/>
      <c r="D59" s="71"/>
    </row>
    <row r="60" spans="1:4" x14ac:dyDescent="0.2">
      <c r="A60" s="345">
        <v>29341</v>
      </c>
      <c r="B60" s="71"/>
      <c r="C60" s="226"/>
      <c r="D60" s="71"/>
    </row>
    <row r="61" spans="1:4" x14ac:dyDescent="0.2">
      <c r="A61" s="345">
        <v>29372</v>
      </c>
      <c r="B61" s="71"/>
      <c r="C61" s="226"/>
      <c r="D61" s="71"/>
    </row>
    <row r="62" spans="1:4" x14ac:dyDescent="0.2">
      <c r="A62" s="345">
        <v>29402</v>
      </c>
      <c r="B62" s="71"/>
      <c r="C62" s="226"/>
      <c r="D62" s="71"/>
    </row>
    <row r="63" spans="1:4" x14ac:dyDescent="0.2">
      <c r="A63" s="345">
        <v>29433</v>
      </c>
      <c r="B63" s="71"/>
      <c r="C63" s="226"/>
      <c r="D63" s="71"/>
    </row>
    <row r="64" spans="1:4" x14ac:dyDescent="0.2">
      <c r="A64" s="345">
        <v>29464</v>
      </c>
      <c r="B64" s="71"/>
      <c r="C64" s="226"/>
      <c r="D64" s="71"/>
    </row>
    <row r="65" spans="1:4" x14ac:dyDescent="0.2">
      <c r="A65" s="345">
        <v>29494</v>
      </c>
      <c r="B65" s="71"/>
      <c r="C65" s="226"/>
      <c r="D65" s="71"/>
    </row>
    <row r="66" spans="1:4" x14ac:dyDescent="0.2">
      <c r="A66" s="345">
        <v>29525</v>
      </c>
      <c r="B66" s="71"/>
      <c r="C66" s="226"/>
      <c r="D66" s="71"/>
    </row>
    <row r="67" spans="1:4" x14ac:dyDescent="0.2">
      <c r="A67" s="345">
        <v>29555</v>
      </c>
      <c r="B67" s="71"/>
      <c r="C67" s="226"/>
      <c r="D67" s="71"/>
    </row>
    <row r="68" spans="1:4" x14ac:dyDescent="0.2">
      <c r="A68" s="345">
        <v>29586</v>
      </c>
      <c r="B68" s="71"/>
      <c r="C68" s="226"/>
      <c r="D68" s="71"/>
    </row>
    <row r="69" spans="1:4" x14ac:dyDescent="0.2">
      <c r="A69" s="345">
        <v>29617</v>
      </c>
      <c r="B69" s="71"/>
      <c r="C69" s="226"/>
      <c r="D69" s="71"/>
    </row>
    <row r="70" spans="1:4" x14ac:dyDescent="0.2">
      <c r="A70" s="345">
        <v>29645</v>
      </c>
      <c r="B70" s="71"/>
      <c r="C70" s="226"/>
      <c r="D70" s="71"/>
    </row>
    <row r="71" spans="1:4" x14ac:dyDescent="0.2">
      <c r="A71" s="345">
        <v>29676</v>
      </c>
      <c r="B71" s="71"/>
      <c r="C71" s="226"/>
      <c r="D71" s="71"/>
    </row>
    <row r="72" spans="1:4" x14ac:dyDescent="0.2">
      <c r="A72" s="345">
        <v>29706</v>
      </c>
      <c r="B72" s="71"/>
      <c r="C72" s="226"/>
      <c r="D72" s="71"/>
    </row>
    <row r="73" spans="1:4" x14ac:dyDescent="0.2">
      <c r="A73" s="345">
        <v>29737</v>
      </c>
      <c r="B73" s="71"/>
      <c r="C73" s="226"/>
      <c r="D73" s="71"/>
    </row>
    <row r="74" spans="1:4" x14ac:dyDescent="0.2">
      <c r="A74" s="345">
        <v>29767</v>
      </c>
      <c r="B74" s="71"/>
      <c r="C74" s="226"/>
      <c r="D74" s="71"/>
    </row>
    <row r="75" spans="1:4" x14ac:dyDescent="0.2">
      <c r="A75" s="345">
        <v>29798</v>
      </c>
      <c r="B75" s="71"/>
      <c r="C75" s="226"/>
      <c r="D75" s="71"/>
    </row>
    <row r="76" spans="1:4" x14ac:dyDescent="0.2">
      <c r="A76" s="345">
        <v>29829</v>
      </c>
      <c r="B76" s="71"/>
      <c r="C76" s="226"/>
      <c r="D76" s="71"/>
    </row>
    <row r="77" spans="1:4" x14ac:dyDescent="0.2">
      <c r="A77" s="345">
        <v>29859</v>
      </c>
      <c r="B77" s="71"/>
      <c r="C77" s="226"/>
      <c r="D77" s="71"/>
    </row>
    <row r="78" spans="1:4" x14ac:dyDescent="0.2">
      <c r="A78" s="345">
        <v>29890</v>
      </c>
      <c r="B78" s="71"/>
      <c r="C78" s="226"/>
      <c r="D78" s="71"/>
    </row>
    <row r="79" spans="1:4" x14ac:dyDescent="0.2">
      <c r="A79" s="345">
        <v>29920</v>
      </c>
      <c r="B79" s="71"/>
      <c r="C79" s="226"/>
      <c r="D79" s="71"/>
    </row>
    <row r="80" spans="1:4" x14ac:dyDescent="0.2">
      <c r="A80" s="345">
        <v>29951</v>
      </c>
      <c r="B80" s="71"/>
      <c r="C80" s="226"/>
      <c r="D80" s="71"/>
    </row>
    <row r="81" spans="1:4" x14ac:dyDescent="0.2">
      <c r="A81" s="345">
        <v>29982</v>
      </c>
      <c r="B81" s="71"/>
      <c r="C81" s="226"/>
      <c r="D81" s="71"/>
    </row>
    <row r="82" spans="1:4" x14ac:dyDescent="0.2">
      <c r="A82" s="345">
        <v>30010</v>
      </c>
      <c r="B82" s="71"/>
      <c r="C82" s="226"/>
      <c r="D82" s="71"/>
    </row>
    <row r="83" spans="1:4" x14ac:dyDescent="0.2">
      <c r="A83" s="345">
        <v>30041</v>
      </c>
      <c r="B83" s="71"/>
      <c r="C83" s="226"/>
      <c r="D83" s="71"/>
    </row>
    <row r="84" spans="1:4" x14ac:dyDescent="0.2">
      <c r="A84" s="345">
        <v>30071</v>
      </c>
      <c r="B84" s="71"/>
      <c r="C84" s="226"/>
      <c r="D84" s="71"/>
    </row>
    <row r="85" spans="1:4" x14ac:dyDescent="0.2">
      <c r="A85" s="345">
        <v>30102</v>
      </c>
      <c r="B85" s="71"/>
      <c r="C85" s="226"/>
      <c r="D85" s="71"/>
    </row>
    <row r="86" spans="1:4" x14ac:dyDescent="0.2">
      <c r="A86" s="345">
        <v>30132</v>
      </c>
      <c r="B86" s="71"/>
      <c r="C86" s="226"/>
      <c r="D86" s="71"/>
    </row>
    <row r="87" spans="1:4" x14ac:dyDescent="0.2">
      <c r="A87" s="345">
        <v>30163</v>
      </c>
      <c r="B87" s="71"/>
      <c r="C87" s="226"/>
      <c r="D87" s="71"/>
    </row>
    <row r="88" spans="1:4" x14ac:dyDescent="0.2">
      <c r="A88" s="345">
        <v>30194</v>
      </c>
      <c r="B88" s="71"/>
      <c r="C88" s="226"/>
      <c r="D88" s="71"/>
    </row>
    <row r="89" spans="1:4" x14ac:dyDescent="0.2">
      <c r="A89" s="345">
        <v>30224</v>
      </c>
      <c r="B89" s="71"/>
      <c r="C89" s="226"/>
      <c r="D89" s="71"/>
    </row>
    <row r="90" spans="1:4" x14ac:dyDescent="0.2">
      <c r="A90" s="345">
        <v>30255</v>
      </c>
      <c r="B90" s="71"/>
      <c r="C90" s="226"/>
      <c r="D90" s="71"/>
    </row>
    <row r="91" spans="1:4" x14ac:dyDescent="0.2">
      <c r="A91" s="345">
        <v>30285</v>
      </c>
      <c r="B91" s="71"/>
      <c r="C91" s="226"/>
      <c r="D91" s="71"/>
    </row>
    <row r="92" spans="1:4" x14ac:dyDescent="0.2">
      <c r="A92" s="345">
        <v>30316</v>
      </c>
      <c r="B92" s="71"/>
      <c r="C92" s="226"/>
      <c r="D92" s="71"/>
    </row>
    <row r="93" spans="1:4" x14ac:dyDescent="0.2">
      <c r="A93" s="345">
        <v>30347</v>
      </c>
      <c r="B93" s="71"/>
      <c r="C93" s="226"/>
      <c r="D93" s="71"/>
    </row>
    <row r="94" spans="1:4" x14ac:dyDescent="0.2">
      <c r="A94" s="345">
        <v>30375</v>
      </c>
      <c r="B94" s="71"/>
      <c r="C94" s="226"/>
      <c r="D94" s="71"/>
    </row>
    <row r="95" spans="1:4" x14ac:dyDescent="0.2">
      <c r="A95" s="345">
        <v>30406</v>
      </c>
      <c r="B95" s="71"/>
      <c r="C95" s="226"/>
      <c r="D95" s="71"/>
    </row>
    <row r="96" spans="1:4" x14ac:dyDescent="0.2">
      <c r="A96" s="345">
        <v>30436</v>
      </c>
      <c r="B96" s="71"/>
      <c r="C96" s="226"/>
      <c r="D96" s="71"/>
    </row>
    <row r="97" spans="1:4" x14ac:dyDescent="0.2">
      <c r="A97" s="345">
        <v>30467</v>
      </c>
      <c r="B97" s="71"/>
      <c r="C97" s="226"/>
      <c r="D97" s="71"/>
    </row>
    <row r="98" spans="1:4" x14ac:dyDescent="0.2">
      <c r="A98" s="345">
        <v>30497</v>
      </c>
      <c r="B98" s="71"/>
      <c r="C98" s="226"/>
      <c r="D98" s="71"/>
    </row>
    <row r="99" spans="1:4" x14ac:dyDescent="0.2">
      <c r="A99" s="345">
        <v>30528</v>
      </c>
      <c r="B99" s="71"/>
      <c r="C99" s="226"/>
      <c r="D99" s="71"/>
    </row>
    <row r="100" spans="1:4" x14ac:dyDescent="0.2">
      <c r="A100" s="345">
        <v>30559</v>
      </c>
      <c r="B100" s="71"/>
      <c r="C100" s="226"/>
      <c r="D100" s="71"/>
    </row>
    <row r="101" spans="1:4" x14ac:dyDescent="0.2">
      <c r="A101" s="345">
        <v>30589</v>
      </c>
      <c r="B101" s="71"/>
      <c r="C101" s="226"/>
      <c r="D101" s="71"/>
    </row>
    <row r="102" spans="1:4" x14ac:dyDescent="0.2">
      <c r="A102" s="345">
        <v>30620</v>
      </c>
      <c r="B102" s="71"/>
      <c r="C102" s="226"/>
      <c r="D102" s="71"/>
    </row>
    <row r="103" spans="1:4" x14ac:dyDescent="0.2">
      <c r="A103" s="345">
        <v>30650</v>
      </c>
      <c r="B103" s="71"/>
      <c r="C103" s="226"/>
      <c r="D103" s="71"/>
    </row>
    <row r="104" spans="1:4" x14ac:dyDescent="0.2">
      <c r="A104" s="345">
        <v>30681</v>
      </c>
      <c r="B104" s="71"/>
      <c r="C104" s="226"/>
      <c r="D104" s="71"/>
    </row>
    <row r="105" spans="1:4" x14ac:dyDescent="0.2">
      <c r="A105" s="345">
        <v>30712</v>
      </c>
      <c r="B105" s="71"/>
      <c r="C105" s="226"/>
      <c r="D105" s="71"/>
    </row>
    <row r="106" spans="1:4" x14ac:dyDescent="0.2">
      <c r="A106" s="345">
        <v>30741</v>
      </c>
      <c r="B106" s="71"/>
      <c r="C106" s="226"/>
      <c r="D106" s="71"/>
    </row>
    <row r="107" spans="1:4" x14ac:dyDescent="0.2">
      <c r="A107" s="345">
        <v>30772</v>
      </c>
      <c r="B107" s="71"/>
      <c r="C107" s="226"/>
      <c r="D107" s="71"/>
    </row>
    <row r="108" spans="1:4" x14ac:dyDescent="0.2">
      <c r="A108" s="345">
        <v>30802</v>
      </c>
      <c r="B108" s="71"/>
      <c r="C108" s="226"/>
      <c r="D108" s="71"/>
    </row>
    <row r="109" spans="1:4" x14ac:dyDescent="0.2">
      <c r="A109" s="345">
        <v>30833</v>
      </c>
      <c r="B109" s="71"/>
      <c r="C109" s="226"/>
      <c r="D109" s="71"/>
    </row>
    <row r="110" spans="1:4" x14ac:dyDescent="0.2">
      <c r="A110" s="345">
        <v>30863</v>
      </c>
      <c r="B110" s="71"/>
      <c r="C110" s="226"/>
      <c r="D110" s="71"/>
    </row>
    <row r="111" spans="1:4" x14ac:dyDescent="0.2">
      <c r="A111" s="345">
        <v>30894</v>
      </c>
      <c r="B111" s="71"/>
      <c r="C111" s="226"/>
      <c r="D111" s="71"/>
    </row>
    <row r="112" spans="1:4" x14ac:dyDescent="0.2">
      <c r="A112" s="345">
        <v>30925</v>
      </c>
      <c r="B112" s="71"/>
      <c r="C112" s="226"/>
      <c r="D112" s="71"/>
    </row>
    <row r="113" spans="1:4" x14ac:dyDescent="0.2">
      <c r="A113" s="345">
        <v>30955</v>
      </c>
      <c r="B113" s="71"/>
      <c r="C113" s="226"/>
      <c r="D113" s="71"/>
    </row>
    <row r="114" spans="1:4" x14ac:dyDescent="0.2">
      <c r="A114" s="345">
        <v>30986</v>
      </c>
      <c r="B114" s="71"/>
      <c r="C114" s="226"/>
      <c r="D114" s="71"/>
    </row>
    <row r="115" spans="1:4" x14ac:dyDescent="0.2">
      <c r="A115" s="345">
        <v>31016</v>
      </c>
      <c r="B115" s="71"/>
      <c r="C115" s="226"/>
      <c r="D115" s="71"/>
    </row>
    <row r="116" spans="1:4" x14ac:dyDescent="0.2">
      <c r="A116" s="345">
        <v>31047</v>
      </c>
      <c r="B116" s="71"/>
      <c r="C116" s="226"/>
      <c r="D116" s="71"/>
    </row>
    <row r="117" spans="1:4" x14ac:dyDescent="0.2">
      <c r="A117" s="345">
        <v>31078</v>
      </c>
      <c r="B117" s="71"/>
      <c r="C117" s="226"/>
      <c r="D117" s="71"/>
    </row>
    <row r="118" spans="1:4" x14ac:dyDescent="0.2">
      <c r="A118" s="345">
        <v>31106</v>
      </c>
      <c r="B118" s="71"/>
      <c r="C118" s="226"/>
      <c r="D118" s="71"/>
    </row>
    <row r="119" spans="1:4" x14ac:dyDescent="0.2">
      <c r="A119" s="345">
        <v>31137</v>
      </c>
      <c r="B119" s="71"/>
      <c r="C119" s="226"/>
      <c r="D119" s="71"/>
    </row>
    <row r="120" spans="1:4" x14ac:dyDescent="0.2">
      <c r="A120" s="345">
        <v>31167</v>
      </c>
      <c r="B120" s="71"/>
      <c r="C120" s="226"/>
      <c r="D120" s="71"/>
    </row>
    <row r="121" spans="1:4" x14ac:dyDescent="0.2">
      <c r="A121" s="345">
        <v>31198</v>
      </c>
      <c r="B121" s="71"/>
      <c r="C121" s="226"/>
      <c r="D121" s="71"/>
    </row>
    <row r="122" spans="1:4" x14ac:dyDescent="0.2">
      <c r="A122" s="345">
        <v>31228</v>
      </c>
      <c r="B122" s="71"/>
      <c r="C122" s="226"/>
      <c r="D122" s="71"/>
    </row>
    <row r="123" spans="1:4" x14ac:dyDescent="0.2">
      <c r="A123" s="345">
        <v>31259</v>
      </c>
      <c r="B123" s="71"/>
      <c r="C123" s="226"/>
      <c r="D123" s="71"/>
    </row>
    <row r="124" spans="1:4" x14ac:dyDescent="0.2">
      <c r="A124" s="345">
        <v>31290</v>
      </c>
      <c r="B124" s="71"/>
      <c r="C124" s="226"/>
      <c r="D124" s="71"/>
    </row>
    <row r="125" spans="1:4" x14ac:dyDescent="0.2">
      <c r="A125" s="345">
        <v>31320</v>
      </c>
      <c r="B125" s="71"/>
      <c r="C125" s="226"/>
      <c r="D125" s="71"/>
    </row>
    <row r="126" spans="1:4" x14ac:dyDescent="0.2">
      <c r="A126" s="345">
        <v>31351</v>
      </c>
      <c r="B126" s="71"/>
      <c r="C126" s="226"/>
      <c r="D126" s="71"/>
    </row>
    <row r="127" spans="1:4" x14ac:dyDescent="0.2">
      <c r="A127" s="345">
        <v>31381</v>
      </c>
      <c r="B127" s="71"/>
      <c r="C127" s="226"/>
      <c r="D127" s="71"/>
    </row>
    <row r="128" spans="1:4" x14ac:dyDescent="0.2">
      <c r="A128" s="345">
        <v>31412</v>
      </c>
      <c r="B128" s="71"/>
      <c r="C128" s="226"/>
      <c r="D128" s="71"/>
    </row>
    <row r="129" spans="1:4" x14ac:dyDescent="0.2">
      <c r="A129" s="345">
        <v>31443</v>
      </c>
      <c r="B129" s="71"/>
      <c r="C129" s="226"/>
      <c r="D129" s="71"/>
    </row>
    <row r="130" spans="1:4" x14ac:dyDescent="0.2">
      <c r="A130" s="345">
        <v>31471</v>
      </c>
      <c r="B130" s="71"/>
      <c r="C130" s="226"/>
      <c r="D130" s="71"/>
    </row>
    <row r="131" spans="1:4" x14ac:dyDescent="0.2">
      <c r="A131" s="345">
        <v>31502</v>
      </c>
      <c r="B131" s="71"/>
      <c r="C131" s="226"/>
      <c r="D131" s="71"/>
    </row>
    <row r="132" spans="1:4" x14ac:dyDescent="0.2">
      <c r="A132" s="345">
        <v>31532</v>
      </c>
      <c r="B132" s="71"/>
      <c r="C132" s="226"/>
      <c r="D132" s="71"/>
    </row>
    <row r="133" spans="1:4" x14ac:dyDescent="0.2">
      <c r="A133" s="345">
        <v>31563</v>
      </c>
      <c r="B133" s="71"/>
      <c r="C133" s="226"/>
      <c r="D133" s="71"/>
    </row>
    <row r="134" spans="1:4" x14ac:dyDescent="0.2">
      <c r="A134" s="345">
        <v>31593</v>
      </c>
      <c r="B134" s="71"/>
      <c r="C134" s="226"/>
      <c r="D134" s="71"/>
    </row>
    <row r="135" spans="1:4" x14ac:dyDescent="0.2">
      <c r="A135" s="345">
        <v>31624</v>
      </c>
      <c r="B135" s="71"/>
      <c r="C135" s="226"/>
      <c r="D135" s="71"/>
    </row>
    <row r="136" spans="1:4" x14ac:dyDescent="0.2">
      <c r="A136" s="345">
        <v>31655</v>
      </c>
      <c r="B136" s="71"/>
      <c r="C136" s="226"/>
      <c r="D136" s="71"/>
    </row>
    <row r="137" spans="1:4" x14ac:dyDescent="0.2">
      <c r="A137" s="345">
        <v>31685</v>
      </c>
      <c r="B137" s="71"/>
      <c r="C137" s="226"/>
      <c r="D137" s="71"/>
    </row>
    <row r="138" spans="1:4" x14ac:dyDescent="0.2">
      <c r="A138" s="345">
        <v>31716</v>
      </c>
      <c r="B138" s="71"/>
      <c r="C138" s="226"/>
      <c r="D138" s="71"/>
    </row>
    <row r="139" spans="1:4" x14ac:dyDescent="0.2">
      <c r="A139" s="345">
        <v>31746</v>
      </c>
      <c r="B139" s="71"/>
      <c r="C139" s="226"/>
      <c r="D139" s="71"/>
    </row>
    <row r="140" spans="1:4" x14ac:dyDescent="0.2">
      <c r="A140" s="345">
        <v>31777</v>
      </c>
      <c r="B140" s="71"/>
      <c r="C140" s="226"/>
      <c r="D140" s="71"/>
    </row>
    <row r="141" spans="1:4" x14ac:dyDescent="0.2">
      <c r="A141" s="345">
        <v>31808</v>
      </c>
      <c r="B141" s="73"/>
      <c r="C141" s="25"/>
      <c r="D141" s="79"/>
    </row>
    <row r="142" spans="1:4" x14ac:dyDescent="0.2">
      <c r="A142" s="345">
        <v>31836</v>
      </c>
      <c r="B142" s="73"/>
      <c r="C142" s="25"/>
      <c r="D142" s="79"/>
    </row>
    <row r="143" spans="1:4" x14ac:dyDescent="0.2">
      <c r="A143" s="345">
        <v>31867</v>
      </c>
      <c r="B143" s="73"/>
      <c r="C143" s="25"/>
      <c r="D143" s="79"/>
    </row>
    <row r="144" spans="1:4" x14ac:dyDescent="0.2">
      <c r="A144" s="345">
        <v>31897</v>
      </c>
      <c r="B144" s="73"/>
      <c r="C144" s="25"/>
      <c r="D144" s="79"/>
    </row>
    <row r="145" spans="1:4" x14ac:dyDescent="0.2">
      <c r="A145" s="345">
        <v>31928</v>
      </c>
      <c r="B145" s="73"/>
      <c r="C145" s="25"/>
      <c r="D145" s="79"/>
    </row>
    <row r="146" spans="1:4" x14ac:dyDescent="0.2">
      <c r="A146" s="345">
        <v>31958</v>
      </c>
      <c r="B146" s="73"/>
      <c r="C146" s="25"/>
      <c r="D146" s="79"/>
    </row>
    <row r="147" spans="1:4" x14ac:dyDescent="0.2">
      <c r="A147" s="345">
        <v>31989</v>
      </c>
      <c r="B147" s="73"/>
      <c r="C147" s="25"/>
      <c r="D147" s="79"/>
    </row>
    <row r="148" spans="1:4" x14ac:dyDescent="0.2">
      <c r="A148" s="345">
        <v>32020</v>
      </c>
      <c r="B148" s="73"/>
      <c r="C148" s="25"/>
      <c r="D148" s="79"/>
    </row>
    <row r="149" spans="1:4" x14ac:dyDescent="0.2">
      <c r="A149" s="345">
        <v>32050</v>
      </c>
      <c r="B149" s="73"/>
      <c r="C149" s="25"/>
      <c r="D149" s="79"/>
    </row>
    <row r="150" spans="1:4" x14ac:dyDescent="0.2">
      <c r="A150" s="345">
        <v>32081</v>
      </c>
      <c r="B150" s="73"/>
      <c r="C150" s="25"/>
      <c r="D150" s="79"/>
    </row>
    <row r="151" spans="1:4" x14ac:dyDescent="0.2">
      <c r="A151" s="345">
        <v>32111</v>
      </c>
      <c r="B151" s="73"/>
      <c r="C151" s="25"/>
      <c r="D151" s="79"/>
    </row>
    <row r="152" spans="1:4" x14ac:dyDescent="0.2">
      <c r="A152" s="345">
        <v>32142</v>
      </c>
      <c r="B152" s="73"/>
      <c r="C152" s="25"/>
      <c r="D152" s="79"/>
    </row>
    <row r="153" spans="1:4" x14ac:dyDescent="0.2">
      <c r="A153" s="345">
        <v>32173</v>
      </c>
      <c r="B153" s="73"/>
      <c r="C153" s="25"/>
      <c r="D153" s="79"/>
    </row>
    <row r="154" spans="1:4" x14ac:dyDescent="0.2">
      <c r="A154" s="345">
        <v>32202</v>
      </c>
      <c r="B154" s="73"/>
      <c r="C154" s="25"/>
      <c r="D154" s="79"/>
    </row>
    <row r="155" spans="1:4" x14ac:dyDescent="0.2">
      <c r="A155" s="345">
        <v>32233</v>
      </c>
      <c r="B155" s="73"/>
      <c r="C155" s="25"/>
      <c r="D155" s="79"/>
    </row>
    <row r="156" spans="1:4" x14ac:dyDescent="0.2">
      <c r="A156" s="345">
        <v>32263</v>
      </c>
      <c r="B156" s="73"/>
      <c r="C156" s="25"/>
      <c r="D156" s="79"/>
    </row>
    <row r="157" spans="1:4" x14ac:dyDescent="0.2">
      <c r="A157" s="345">
        <v>32294</v>
      </c>
      <c r="B157" s="73"/>
      <c r="C157" s="25"/>
      <c r="D157" s="79"/>
    </row>
    <row r="158" spans="1:4" x14ac:dyDescent="0.2">
      <c r="A158" s="345">
        <v>32324</v>
      </c>
      <c r="B158" s="73"/>
      <c r="C158" s="25"/>
      <c r="D158" s="79"/>
    </row>
    <row r="159" spans="1:4" x14ac:dyDescent="0.2">
      <c r="A159" s="345">
        <v>32355</v>
      </c>
      <c r="B159" s="73"/>
      <c r="C159" s="25"/>
      <c r="D159" s="79"/>
    </row>
    <row r="160" spans="1:4" x14ac:dyDescent="0.2">
      <c r="A160" s="345">
        <v>32386</v>
      </c>
      <c r="B160" s="73"/>
      <c r="C160" s="25"/>
      <c r="D160" s="79"/>
    </row>
    <row r="161" spans="1:4" x14ac:dyDescent="0.2">
      <c r="A161" s="345">
        <v>32416</v>
      </c>
      <c r="B161" s="73"/>
      <c r="C161" s="25"/>
      <c r="D161" s="79"/>
    </row>
    <row r="162" spans="1:4" x14ac:dyDescent="0.2">
      <c r="A162" s="345">
        <v>32447</v>
      </c>
      <c r="B162" s="73"/>
      <c r="C162" s="25"/>
      <c r="D162" s="79"/>
    </row>
    <row r="163" spans="1:4" x14ac:dyDescent="0.2">
      <c r="A163" s="345">
        <v>32477</v>
      </c>
      <c r="B163" s="73"/>
      <c r="C163" s="25"/>
      <c r="D163" s="79"/>
    </row>
    <row r="164" spans="1:4" x14ac:dyDescent="0.2">
      <c r="A164" s="345">
        <v>32508</v>
      </c>
      <c r="B164" s="73"/>
      <c r="C164" s="25"/>
      <c r="D164" s="79"/>
    </row>
    <row r="165" spans="1:4" x14ac:dyDescent="0.2">
      <c r="A165" s="345">
        <v>32539</v>
      </c>
      <c r="B165" s="73"/>
      <c r="C165" s="25"/>
      <c r="D165" s="79"/>
    </row>
    <row r="166" spans="1:4" x14ac:dyDescent="0.2">
      <c r="A166" s="345">
        <v>32567</v>
      </c>
      <c r="B166" s="73"/>
      <c r="C166" s="25"/>
      <c r="D166" s="79"/>
    </row>
    <row r="167" spans="1:4" x14ac:dyDescent="0.2">
      <c r="A167" s="345">
        <v>32598</v>
      </c>
      <c r="B167" s="73"/>
      <c r="C167" s="25"/>
      <c r="D167" s="79"/>
    </row>
    <row r="168" spans="1:4" x14ac:dyDescent="0.2">
      <c r="A168" s="345">
        <v>32628</v>
      </c>
      <c r="B168" s="73"/>
      <c r="C168" s="25"/>
      <c r="D168" s="79"/>
    </row>
    <row r="169" spans="1:4" x14ac:dyDescent="0.2">
      <c r="A169" s="345">
        <v>32659</v>
      </c>
      <c r="B169" s="73"/>
      <c r="C169" s="25"/>
      <c r="D169" s="79"/>
    </row>
    <row r="170" spans="1:4" x14ac:dyDescent="0.2">
      <c r="A170" s="345">
        <v>32689</v>
      </c>
      <c r="B170" s="73"/>
      <c r="C170" s="25"/>
      <c r="D170" s="79"/>
    </row>
    <row r="171" spans="1:4" x14ac:dyDescent="0.2">
      <c r="A171" s="345">
        <v>32720</v>
      </c>
      <c r="B171" s="73"/>
      <c r="C171" s="25"/>
      <c r="D171" s="79"/>
    </row>
    <row r="172" spans="1:4" x14ac:dyDescent="0.2">
      <c r="A172" s="345">
        <v>32751</v>
      </c>
      <c r="B172" s="73"/>
      <c r="C172" s="25"/>
      <c r="D172" s="79"/>
    </row>
    <row r="173" spans="1:4" x14ac:dyDescent="0.2">
      <c r="A173" s="345">
        <v>32781</v>
      </c>
      <c r="B173" s="73"/>
      <c r="C173" s="25"/>
      <c r="D173" s="79"/>
    </row>
    <row r="174" spans="1:4" x14ac:dyDescent="0.2">
      <c r="A174" s="345">
        <v>32812</v>
      </c>
      <c r="B174" s="73"/>
      <c r="C174" s="25"/>
      <c r="D174" s="79"/>
    </row>
    <row r="175" spans="1:4" x14ac:dyDescent="0.2">
      <c r="A175" s="345">
        <v>32842</v>
      </c>
      <c r="B175" s="73"/>
      <c r="C175" s="25"/>
      <c r="D175" s="79"/>
    </row>
    <row r="176" spans="1:4" x14ac:dyDescent="0.2">
      <c r="A176" s="345">
        <v>32873</v>
      </c>
      <c r="B176" s="73"/>
      <c r="C176" s="25"/>
      <c r="D176" s="79"/>
    </row>
    <row r="177" spans="1:4" x14ac:dyDescent="0.2">
      <c r="A177" s="345">
        <v>32904</v>
      </c>
      <c r="B177" s="73"/>
      <c r="C177" s="25"/>
      <c r="D177" s="79"/>
    </row>
    <row r="178" spans="1:4" x14ac:dyDescent="0.2">
      <c r="A178" s="345">
        <v>32932</v>
      </c>
      <c r="B178" s="73"/>
      <c r="C178" s="25"/>
      <c r="D178" s="79"/>
    </row>
    <row r="179" spans="1:4" x14ac:dyDescent="0.2">
      <c r="A179" s="345">
        <v>32963</v>
      </c>
      <c r="B179" s="73"/>
      <c r="C179" s="25"/>
      <c r="D179" s="79"/>
    </row>
    <row r="180" spans="1:4" x14ac:dyDescent="0.2">
      <c r="A180" s="345">
        <v>32993</v>
      </c>
      <c r="B180" s="73"/>
      <c r="C180" s="25"/>
      <c r="D180" s="79"/>
    </row>
    <row r="181" spans="1:4" x14ac:dyDescent="0.2">
      <c r="A181" s="345">
        <v>33024</v>
      </c>
      <c r="B181" s="73"/>
      <c r="C181" s="25"/>
      <c r="D181" s="79"/>
    </row>
    <row r="182" spans="1:4" x14ac:dyDescent="0.2">
      <c r="A182" s="345">
        <v>33054</v>
      </c>
      <c r="B182" s="73"/>
      <c r="C182" s="25"/>
      <c r="D182" s="79"/>
    </row>
    <row r="183" spans="1:4" x14ac:dyDescent="0.2">
      <c r="A183" s="345">
        <v>33085</v>
      </c>
      <c r="B183" s="73"/>
      <c r="C183" s="25"/>
      <c r="D183" s="79"/>
    </row>
    <row r="184" spans="1:4" x14ac:dyDescent="0.2">
      <c r="A184" s="345">
        <v>33116</v>
      </c>
      <c r="B184" s="73"/>
      <c r="C184" s="25"/>
      <c r="D184" s="79"/>
    </row>
    <row r="185" spans="1:4" x14ac:dyDescent="0.2">
      <c r="A185" s="345">
        <v>33146</v>
      </c>
      <c r="B185" s="73"/>
      <c r="C185" s="25"/>
      <c r="D185" s="79"/>
    </row>
    <row r="186" spans="1:4" x14ac:dyDescent="0.2">
      <c r="A186" s="345">
        <v>33177</v>
      </c>
      <c r="B186" s="73"/>
      <c r="C186" s="25"/>
      <c r="D186" s="79"/>
    </row>
    <row r="187" spans="1:4" x14ac:dyDescent="0.2">
      <c r="A187" s="345">
        <v>33207</v>
      </c>
      <c r="B187" s="73"/>
      <c r="C187" s="25"/>
      <c r="D187" s="79"/>
    </row>
    <row r="188" spans="1:4" x14ac:dyDescent="0.2">
      <c r="A188" s="345">
        <v>33238</v>
      </c>
      <c r="B188" s="73"/>
      <c r="C188" s="25"/>
      <c r="D188" s="79"/>
    </row>
    <row r="189" spans="1:4" x14ac:dyDescent="0.2">
      <c r="A189" s="345">
        <v>33269</v>
      </c>
      <c r="B189" s="73"/>
      <c r="C189" s="25"/>
      <c r="D189" s="79"/>
    </row>
    <row r="190" spans="1:4" x14ac:dyDescent="0.2">
      <c r="A190" s="345">
        <v>33297</v>
      </c>
      <c r="B190" s="73"/>
      <c r="C190" s="25"/>
      <c r="D190" s="79"/>
    </row>
    <row r="191" spans="1:4" x14ac:dyDescent="0.2">
      <c r="A191" s="345">
        <v>33328</v>
      </c>
      <c r="B191" s="73"/>
      <c r="C191" s="25"/>
      <c r="D191" s="79"/>
    </row>
    <row r="192" spans="1:4" x14ac:dyDescent="0.2">
      <c r="A192" s="345">
        <v>33358</v>
      </c>
      <c r="B192" s="73"/>
      <c r="C192" s="25"/>
      <c r="D192" s="79"/>
    </row>
    <row r="193" spans="1:4" x14ac:dyDescent="0.2">
      <c r="A193" s="345">
        <v>33389</v>
      </c>
      <c r="B193" s="73"/>
      <c r="C193" s="25"/>
      <c r="D193" s="79"/>
    </row>
    <row r="194" spans="1:4" x14ac:dyDescent="0.2">
      <c r="A194" s="345">
        <v>33419</v>
      </c>
      <c r="B194" s="73"/>
      <c r="C194" s="25"/>
      <c r="D194" s="79"/>
    </row>
    <row r="195" spans="1:4" x14ac:dyDescent="0.2">
      <c r="A195" s="345">
        <v>33450</v>
      </c>
      <c r="B195" s="73"/>
      <c r="C195" s="25"/>
      <c r="D195" s="79"/>
    </row>
    <row r="196" spans="1:4" x14ac:dyDescent="0.2">
      <c r="A196" s="345">
        <v>33481</v>
      </c>
      <c r="B196" s="73"/>
      <c r="C196" s="25"/>
      <c r="D196" s="79"/>
    </row>
    <row r="197" spans="1:4" x14ac:dyDescent="0.2">
      <c r="A197" s="345">
        <v>33511</v>
      </c>
      <c r="B197" s="73"/>
      <c r="C197" s="25"/>
      <c r="D197" s="79"/>
    </row>
    <row r="198" spans="1:4" x14ac:dyDescent="0.2">
      <c r="A198" s="345">
        <v>33542</v>
      </c>
      <c r="B198" s="73"/>
      <c r="C198" s="25"/>
      <c r="D198" s="79"/>
    </row>
    <row r="199" spans="1:4" x14ac:dyDescent="0.2">
      <c r="A199" s="345">
        <v>33572</v>
      </c>
      <c r="B199" s="73"/>
      <c r="C199" s="25"/>
      <c r="D199" s="79"/>
    </row>
    <row r="200" spans="1:4" x14ac:dyDescent="0.2">
      <c r="A200" s="345">
        <v>33603</v>
      </c>
      <c r="B200" s="73"/>
      <c r="C200" s="25"/>
      <c r="D200" s="79"/>
    </row>
    <row r="201" spans="1:4" x14ac:dyDescent="0.2">
      <c r="A201" s="345">
        <v>33634</v>
      </c>
      <c r="B201" s="73"/>
      <c r="C201" s="25"/>
      <c r="D201" s="79"/>
    </row>
    <row r="202" spans="1:4" x14ac:dyDescent="0.2">
      <c r="A202" s="345">
        <v>33663</v>
      </c>
      <c r="B202" s="73"/>
      <c r="C202" s="25"/>
      <c r="D202" s="79"/>
    </row>
    <row r="203" spans="1:4" x14ac:dyDescent="0.2">
      <c r="A203" s="345">
        <v>33694</v>
      </c>
      <c r="B203" s="73"/>
      <c r="C203" s="25"/>
      <c r="D203" s="79"/>
    </row>
    <row r="204" spans="1:4" x14ac:dyDescent="0.2">
      <c r="A204" s="345">
        <v>33724</v>
      </c>
      <c r="B204" s="73"/>
      <c r="C204" s="25"/>
      <c r="D204" s="79"/>
    </row>
    <row r="205" spans="1:4" x14ac:dyDescent="0.2">
      <c r="A205" s="345">
        <v>33755</v>
      </c>
      <c r="B205" s="73"/>
      <c r="C205" s="25"/>
      <c r="D205" s="79"/>
    </row>
    <row r="206" spans="1:4" x14ac:dyDescent="0.2">
      <c r="A206" s="345">
        <v>33785</v>
      </c>
      <c r="B206" s="73"/>
      <c r="C206" s="25"/>
      <c r="D206" s="79"/>
    </row>
    <row r="207" spans="1:4" x14ac:dyDescent="0.2">
      <c r="A207" s="345">
        <v>33816</v>
      </c>
      <c r="B207" s="73"/>
      <c r="C207" s="25"/>
      <c r="D207" s="79"/>
    </row>
    <row r="208" spans="1:4" x14ac:dyDescent="0.2">
      <c r="A208" s="345">
        <v>33847</v>
      </c>
      <c r="B208" s="73"/>
      <c r="C208" s="25"/>
      <c r="D208" s="79"/>
    </row>
    <row r="209" spans="1:4" x14ac:dyDescent="0.2">
      <c r="A209" s="345">
        <v>33877</v>
      </c>
      <c r="B209" s="73"/>
      <c r="C209" s="25"/>
      <c r="D209" s="79"/>
    </row>
    <row r="210" spans="1:4" x14ac:dyDescent="0.2">
      <c r="A210" s="345">
        <v>33908</v>
      </c>
      <c r="B210" s="73"/>
      <c r="C210" s="25"/>
      <c r="D210" s="79"/>
    </row>
    <row r="211" spans="1:4" x14ac:dyDescent="0.2">
      <c r="A211" s="345">
        <v>33938</v>
      </c>
      <c r="B211" s="73"/>
      <c r="C211" s="25"/>
      <c r="D211" s="79"/>
    </row>
    <row r="212" spans="1:4" x14ac:dyDescent="0.2">
      <c r="A212" s="345">
        <v>33969</v>
      </c>
      <c r="B212" s="73"/>
      <c r="C212" s="25"/>
      <c r="D212" s="79"/>
    </row>
    <row r="213" spans="1:4" x14ac:dyDescent="0.2">
      <c r="A213" s="345">
        <v>34000</v>
      </c>
      <c r="B213" s="73"/>
      <c r="C213" s="25"/>
      <c r="D213" s="79"/>
    </row>
    <row r="214" spans="1:4" x14ac:dyDescent="0.2">
      <c r="A214" s="345">
        <v>34028</v>
      </c>
      <c r="B214" s="73"/>
      <c r="C214" s="25"/>
      <c r="D214" s="79"/>
    </row>
    <row r="215" spans="1:4" x14ac:dyDescent="0.2">
      <c r="A215" s="345">
        <v>34059</v>
      </c>
      <c r="B215" s="73"/>
      <c r="C215" s="25"/>
      <c r="D215" s="79"/>
    </row>
    <row r="216" spans="1:4" x14ac:dyDescent="0.2">
      <c r="A216" s="345">
        <v>34089</v>
      </c>
      <c r="B216" s="73"/>
      <c r="C216" s="25"/>
      <c r="D216" s="79"/>
    </row>
    <row r="217" spans="1:4" x14ac:dyDescent="0.2">
      <c r="A217" s="345">
        <v>34120</v>
      </c>
      <c r="B217" s="73"/>
      <c r="C217" s="25"/>
      <c r="D217" s="79"/>
    </row>
    <row r="218" spans="1:4" x14ac:dyDescent="0.2">
      <c r="A218" s="345">
        <v>34150</v>
      </c>
      <c r="B218" s="73"/>
      <c r="C218" s="25"/>
      <c r="D218" s="79"/>
    </row>
    <row r="219" spans="1:4" x14ac:dyDescent="0.2">
      <c r="A219" s="345">
        <v>34181</v>
      </c>
      <c r="B219" s="73"/>
      <c r="C219" s="25"/>
      <c r="D219" s="79"/>
    </row>
    <row r="220" spans="1:4" x14ac:dyDescent="0.2">
      <c r="A220" s="345">
        <v>34212</v>
      </c>
      <c r="B220" s="73"/>
      <c r="C220" s="25"/>
      <c r="D220" s="79"/>
    </row>
    <row r="221" spans="1:4" x14ac:dyDescent="0.2">
      <c r="A221" s="345">
        <v>34242</v>
      </c>
      <c r="B221" s="73"/>
      <c r="C221" s="25"/>
      <c r="D221" s="79"/>
    </row>
    <row r="222" spans="1:4" x14ac:dyDescent="0.2">
      <c r="A222" s="345">
        <v>34273</v>
      </c>
      <c r="B222" s="73"/>
      <c r="C222" s="25"/>
      <c r="D222" s="79"/>
    </row>
    <row r="223" spans="1:4" x14ac:dyDescent="0.2">
      <c r="A223" s="345">
        <v>34303</v>
      </c>
      <c r="B223" s="73"/>
      <c r="C223" s="25"/>
      <c r="D223" s="79"/>
    </row>
    <row r="224" spans="1:4" x14ac:dyDescent="0.2">
      <c r="A224" s="345">
        <v>34334</v>
      </c>
      <c r="B224" s="73"/>
      <c r="C224" s="25"/>
      <c r="D224" s="79"/>
    </row>
    <row r="225" spans="1:4" x14ac:dyDescent="0.2">
      <c r="A225" s="345">
        <v>34365</v>
      </c>
      <c r="B225" s="73"/>
      <c r="C225" s="25"/>
      <c r="D225" s="79"/>
    </row>
    <row r="226" spans="1:4" x14ac:dyDescent="0.2">
      <c r="A226" s="345">
        <v>34393</v>
      </c>
      <c r="B226" s="73"/>
      <c r="C226" s="25"/>
      <c r="D226" s="79"/>
    </row>
    <row r="227" spans="1:4" x14ac:dyDescent="0.2">
      <c r="A227" s="345">
        <v>34424</v>
      </c>
      <c r="B227" s="73"/>
      <c r="C227" s="25"/>
      <c r="D227" s="79"/>
    </row>
    <row r="228" spans="1:4" x14ac:dyDescent="0.2">
      <c r="A228" s="345">
        <v>34454</v>
      </c>
      <c r="B228" s="73"/>
      <c r="C228" s="25"/>
      <c r="D228" s="79"/>
    </row>
    <row r="229" spans="1:4" x14ac:dyDescent="0.2">
      <c r="A229" s="345">
        <v>34485</v>
      </c>
      <c r="B229" s="73"/>
      <c r="C229" s="25"/>
      <c r="D229" s="79"/>
    </row>
    <row r="230" spans="1:4" x14ac:dyDescent="0.2">
      <c r="A230" s="345">
        <v>34515</v>
      </c>
      <c r="B230" s="73"/>
      <c r="C230" s="25"/>
      <c r="D230" s="79"/>
    </row>
    <row r="231" spans="1:4" x14ac:dyDescent="0.2">
      <c r="A231" s="345">
        <v>34546</v>
      </c>
      <c r="B231" s="73"/>
      <c r="C231" s="25"/>
      <c r="D231" s="79"/>
    </row>
    <row r="232" spans="1:4" x14ac:dyDescent="0.2">
      <c r="A232" s="345">
        <v>34577</v>
      </c>
      <c r="B232" s="73"/>
      <c r="C232" s="25"/>
      <c r="D232" s="79"/>
    </row>
    <row r="233" spans="1:4" x14ac:dyDescent="0.2">
      <c r="A233" s="345">
        <v>34607</v>
      </c>
      <c r="B233" s="73"/>
      <c r="C233" s="25"/>
      <c r="D233" s="79"/>
    </row>
    <row r="234" spans="1:4" x14ac:dyDescent="0.2">
      <c r="A234" s="345">
        <v>34638</v>
      </c>
      <c r="B234" s="73"/>
      <c r="C234" s="25"/>
      <c r="D234" s="79"/>
    </row>
    <row r="235" spans="1:4" x14ac:dyDescent="0.2">
      <c r="A235" s="345">
        <v>34668</v>
      </c>
      <c r="B235" s="73"/>
      <c r="C235" s="25"/>
      <c r="D235" s="79"/>
    </row>
    <row r="236" spans="1:4" x14ac:dyDescent="0.2">
      <c r="A236" s="345">
        <v>34699</v>
      </c>
      <c r="B236" s="73"/>
      <c r="C236" s="25"/>
      <c r="D236" s="79"/>
    </row>
    <row r="237" spans="1:4" x14ac:dyDescent="0.2">
      <c r="A237" s="345">
        <v>34730</v>
      </c>
      <c r="B237" s="73"/>
      <c r="C237" s="25"/>
      <c r="D237" s="79"/>
    </row>
    <row r="238" spans="1:4" x14ac:dyDescent="0.2">
      <c r="A238" s="345">
        <v>34758</v>
      </c>
      <c r="B238" s="73"/>
      <c r="C238" s="25"/>
      <c r="D238" s="79"/>
    </row>
    <row r="239" spans="1:4" x14ac:dyDescent="0.2">
      <c r="A239" s="345">
        <v>34789</v>
      </c>
      <c r="B239" s="73"/>
      <c r="C239" s="25"/>
      <c r="D239" s="79"/>
    </row>
    <row r="240" spans="1:4" x14ac:dyDescent="0.2">
      <c r="A240" s="345">
        <v>34819</v>
      </c>
      <c r="B240" s="73"/>
      <c r="C240" s="25"/>
      <c r="D240" s="79"/>
    </row>
    <row r="241" spans="1:4" x14ac:dyDescent="0.2">
      <c r="A241" s="345">
        <v>34850</v>
      </c>
      <c r="B241" s="73"/>
      <c r="C241" s="25"/>
      <c r="D241" s="79"/>
    </row>
    <row r="242" spans="1:4" x14ac:dyDescent="0.2">
      <c r="A242" s="345">
        <v>34880</v>
      </c>
      <c r="B242" s="73"/>
      <c r="C242" s="25"/>
      <c r="D242" s="79"/>
    </row>
    <row r="243" spans="1:4" x14ac:dyDescent="0.2">
      <c r="A243" s="345">
        <v>34911</v>
      </c>
      <c r="B243" s="73"/>
      <c r="C243" s="25"/>
      <c r="D243" s="79"/>
    </row>
    <row r="244" spans="1:4" x14ac:dyDescent="0.2">
      <c r="A244" s="345">
        <v>34942</v>
      </c>
      <c r="B244" s="73"/>
      <c r="C244" s="25"/>
      <c r="D244" s="79"/>
    </row>
    <row r="245" spans="1:4" x14ac:dyDescent="0.2">
      <c r="A245" s="345">
        <v>34972</v>
      </c>
      <c r="B245" s="73"/>
      <c r="C245" s="25"/>
      <c r="D245" s="79"/>
    </row>
    <row r="246" spans="1:4" x14ac:dyDescent="0.2">
      <c r="A246" s="345">
        <v>35003</v>
      </c>
      <c r="B246" s="73"/>
      <c r="C246" s="25"/>
      <c r="D246" s="79"/>
    </row>
    <row r="247" spans="1:4" x14ac:dyDescent="0.2">
      <c r="A247" s="345">
        <v>35033</v>
      </c>
      <c r="B247" s="73"/>
      <c r="C247" s="25"/>
      <c r="D247" s="79"/>
    </row>
    <row r="248" spans="1:4" x14ac:dyDescent="0.2">
      <c r="A248" s="345">
        <v>35064</v>
      </c>
      <c r="B248" s="73"/>
      <c r="C248" s="25"/>
      <c r="D248" s="79"/>
    </row>
    <row r="249" spans="1:4" x14ac:dyDescent="0.2">
      <c r="A249" s="345">
        <v>35095</v>
      </c>
      <c r="B249" s="73"/>
      <c r="C249" s="25"/>
      <c r="D249" s="79"/>
    </row>
    <row r="250" spans="1:4" x14ac:dyDescent="0.2">
      <c r="A250" s="345">
        <v>35124</v>
      </c>
      <c r="B250" s="73"/>
      <c r="C250" s="25"/>
      <c r="D250" s="79"/>
    </row>
    <row r="251" spans="1:4" x14ac:dyDescent="0.2">
      <c r="A251" s="345">
        <v>35155</v>
      </c>
      <c r="B251" s="73"/>
      <c r="C251" s="25"/>
      <c r="D251" s="79"/>
    </row>
    <row r="252" spans="1:4" x14ac:dyDescent="0.2">
      <c r="A252" s="345">
        <v>35185</v>
      </c>
      <c r="B252" s="73"/>
      <c r="C252" s="25"/>
      <c r="D252" s="79"/>
    </row>
    <row r="253" spans="1:4" x14ac:dyDescent="0.2">
      <c r="A253" s="345">
        <v>35216</v>
      </c>
      <c r="B253" s="73"/>
      <c r="C253" s="25"/>
      <c r="D253" s="79"/>
    </row>
    <row r="254" spans="1:4" x14ac:dyDescent="0.2">
      <c r="A254" s="345">
        <v>35246</v>
      </c>
      <c r="B254" s="73"/>
      <c r="C254" s="25"/>
      <c r="D254" s="79"/>
    </row>
    <row r="255" spans="1:4" x14ac:dyDescent="0.2">
      <c r="A255" s="345">
        <v>35277</v>
      </c>
      <c r="B255" s="73"/>
      <c r="C255" s="25"/>
      <c r="D255" s="79"/>
    </row>
    <row r="256" spans="1:4" x14ac:dyDescent="0.2">
      <c r="A256" s="345">
        <v>35308</v>
      </c>
      <c r="B256" s="73"/>
      <c r="C256" s="25"/>
      <c r="D256" s="79"/>
    </row>
    <row r="257" spans="1:4" x14ac:dyDescent="0.2">
      <c r="A257" s="345">
        <v>35338</v>
      </c>
      <c r="B257" s="73"/>
      <c r="C257" s="25"/>
      <c r="D257" s="79"/>
    </row>
    <row r="258" spans="1:4" x14ac:dyDescent="0.2">
      <c r="A258" s="345">
        <v>35369</v>
      </c>
      <c r="B258" s="73"/>
      <c r="C258" s="25"/>
      <c r="D258" s="79"/>
    </row>
    <row r="259" spans="1:4" x14ac:dyDescent="0.2">
      <c r="A259" s="345">
        <v>35399</v>
      </c>
      <c r="B259" s="73"/>
      <c r="C259" s="25"/>
      <c r="D259" s="79"/>
    </row>
    <row r="260" spans="1:4" x14ac:dyDescent="0.2">
      <c r="A260" s="345">
        <v>35430</v>
      </c>
      <c r="B260" s="73"/>
      <c r="C260" s="25"/>
      <c r="D260" s="79"/>
    </row>
    <row r="261" spans="1:4" x14ac:dyDescent="0.2">
      <c r="A261" s="345">
        <v>35461</v>
      </c>
      <c r="B261" s="73"/>
      <c r="C261" s="25"/>
      <c r="D261" s="79"/>
    </row>
    <row r="262" spans="1:4" x14ac:dyDescent="0.2">
      <c r="A262" s="345">
        <v>35489</v>
      </c>
      <c r="B262" s="73"/>
      <c r="C262" s="25"/>
      <c r="D262" s="79"/>
    </row>
    <row r="263" spans="1:4" x14ac:dyDescent="0.2">
      <c r="A263" s="345">
        <v>35520</v>
      </c>
      <c r="B263" s="73"/>
      <c r="C263" s="25"/>
      <c r="D263" s="79"/>
    </row>
    <row r="264" spans="1:4" x14ac:dyDescent="0.2">
      <c r="A264" s="345">
        <v>35550</v>
      </c>
      <c r="B264" s="1369"/>
      <c r="C264" s="35"/>
      <c r="D264" s="79"/>
    </row>
    <row r="265" spans="1:4" x14ac:dyDescent="0.2">
      <c r="A265" s="345">
        <v>35581</v>
      </c>
      <c r="B265" s="1369"/>
      <c r="C265" s="35"/>
      <c r="D265" s="79"/>
    </row>
    <row r="266" spans="1:4" x14ac:dyDescent="0.2">
      <c r="A266" s="345">
        <v>35611</v>
      </c>
      <c r="B266" s="1369"/>
      <c r="C266" s="35"/>
      <c r="D266" s="79"/>
    </row>
    <row r="267" spans="1:4" x14ac:dyDescent="0.2">
      <c r="A267" s="345">
        <v>35642</v>
      </c>
      <c r="B267" s="1369"/>
      <c r="C267" s="35"/>
      <c r="D267" s="79"/>
    </row>
    <row r="268" spans="1:4" x14ac:dyDescent="0.2">
      <c r="A268" s="345">
        <v>35673</v>
      </c>
      <c r="B268" s="1369"/>
      <c r="C268" s="35"/>
      <c r="D268" s="79"/>
    </row>
    <row r="269" spans="1:4" x14ac:dyDescent="0.2">
      <c r="A269" s="345">
        <v>35703</v>
      </c>
      <c r="B269" s="1369"/>
      <c r="C269" s="35"/>
      <c r="D269" s="79"/>
    </row>
    <row r="270" spans="1:4" x14ac:dyDescent="0.2">
      <c r="A270" s="345">
        <v>35734</v>
      </c>
      <c r="B270" s="1369"/>
      <c r="C270" s="35"/>
      <c r="D270" s="79"/>
    </row>
    <row r="271" spans="1:4" x14ac:dyDescent="0.2">
      <c r="A271" s="345">
        <v>35764</v>
      </c>
      <c r="B271" s="1369"/>
      <c r="C271" s="35"/>
      <c r="D271" s="79"/>
    </row>
    <row r="272" spans="1:4" x14ac:dyDescent="0.2">
      <c r="A272" s="345">
        <v>35795</v>
      </c>
      <c r="B272" s="1369"/>
      <c r="C272" s="35"/>
      <c r="D272" s="79"/>
    </row>
    <row r="273" spans="1:4" x14ac:dyDescent="0.2">
      <c r="A273" s="345">
        <v>35826</v>
      </c>
      <c r="B273" s="1369"/>
      <c r="C273" s="35"/>
      <c r="D273" s="79"/>
    </row>
    <row r="274" spans="1:4" x14ac:dyDescent="0.2">
      <c r="A274" s="345">
        <v>35854</v>
      </c>
      <c r="B274" s="1369"/>
      <c r="C274" s="35"/>
      <c r="D274" s="79"/>
    </row>
    <row r="275" spans="1:4" x14ac:dyDescent="0.2">
      <c r="A275" s="345">
        <v>35885</v>
      </c>
      <c r="B275" s="1369"/>
      <c r="C275" s="33"/>
      <c r="D275" s="79"/>
    </row>
    <row r="276" spans="1:4" x14ac:dyDescent="0.2">
      <c r="A276" s="345">
        <v>35915</v>
      </c>
      <c r="B276" s="1369"/>
      <c r="C276" s="33"/>
      <c r="D276" s="79"/>
    </row>
    <row r="277" spans="1:4" x14ac:dyDescent="0.2">
      <c r="A277" s="345">
        <v>35946</v>
      </c>
      <c r="B277" s="1369"/>
      <c r="C277" s="33"/>
      <c r="D277" s="79"/>
    </row>
    <row r="278" spans="1:4" x14ac:dyDescent="0.2">
      <c r="A278" s="345">
        <v>35976</v>
      </c>
      <c r="B278" s="1369"/>
      <c r="C278" s="33"/>
      <c r="D278" s="79"/>
    </row>
    <row r="279" spans="1:4" x14ac:dyDescent="0.2">
      <c r="A279" s="345">
        <v>36007</v>
      </c>
      <c r="B279" s="1369"/>
      <c r="C279" s="33"/>
      <c r="D279" s="79"/>
    </row>
    <row r="280" spans="1:4" x14ac:dyDescent="0.2">
      <c r="A280" s="345">
        <v>36038</v>
      </c>
      <c r="B280" s="1369"/>
      <c r="C280" s="33"/>
      <c r="D280" s="79"/>
    </row>
    <row r="281" spans="1:4" x14ac:dyDescent="0.2">
      <c r="A281" s="345">
        <v>36068</v>
      </c>
      <c r="B281" s="1369"/>
      <c r="C281" s="33"/>
      <c r="D281" s="79"/>
    </row>
    <row r="282" spans="1:4" x14ac:dyDescent="0.2">
      <c r="A282" s="345">
        <v>36099</v>
      </c>
      <c r="B282" s="1369"/>
      <c r="C282" s="33"/>
      <c r="D282" s="79"/>
    </row>
    <row r="283" spans="1:4" x14ac:dyDescent="0.2">
      <c r="A283" s="345">
        <v>36129</v>
      </c>
      <c r="B283" s="1369"/>
      <c r="C283" s="33"/>
      <c r="D283" s="79"/>
    </row>
    <row r="284" spans="1:4" x14ac:dyDescent="0.2">
      <c r="A284" s="345">
        <v>36160</v>
      </c>
      <c r="B284" s="1369"/>
      <c r="C284" s="33"/>
      <c r="D284" s="79"/>
    </row>
    <row r="285" spans="1:4" x14ac:dyDescent="0.2">
      <c r="A285" s="345">
        <v>36191</v>
      </c>
      <c r="B285" s="1369"/>
      <c r="C285" s="33"/>
      <c r="D285" s="79"/>
    </row>
    <row r="286" spans="1:4" x14ac:dyDescent="0.2">
      <c r="A286" s="345">
        <v>36219</v>
      </c>
      <c r="B286" s="1369"/>
      <c r="C286" s="33"/>
      <c r="D286" s="79"/>
    </row>
    <row r="287" spans="1:4" x14ac:dyDescent="0.2">
      <c r="A287" s="345">
        <v>36250</v>
      </c>
      <c r="B287" s="1369"/>
      <c r="C287" s="33"/>
      <c r="D287" s="79"/>
    </row>
    <row r="288" spans="1:4" x14ac:dyDescent="0.2">
      <c r="A288" s="345">
        <v>36280</v>
      </c>
      <c r="B288" s="1369"/>
      <c r="C288" s="33"/>
      <c r="D288" s="79"/>
    </row>
    <row r="289" spans="1:4" x14ac:dyDescent="0.2">
      <c r="A289" s="345">
        <v>36311</v>
      </c>
      <c r="B289" s="1369"/>
      <c r="C289" s="33"/>
      <c r="D289" s="79"/>
    </row>
    <row r="290" spans="1:4" x14ac:dyDescent="0.2">
      <c r="A290" s="345">
        <v>36341</v>
      </c>
      <c r="B290" s="1369"/>
      <c r="C290" s="33"/>
      <c r="D290" s="79"/>
    </row>
    <row r="291" spans="1:4" x14ac:dyDescent="0.2">
      <c r="A291" s="345">
        <v>36372</v>
      </c>
      <c r="B291" s="1369"/>
      <c r="C291" s="33"/>
      <c r="D291" s="79"/>
    </row>
    <row r="292" spans="1:4" x14ac:dyDescent="0.2">
      <c r="A292" s="345">
        <v>36403</v>
      </c>
      <c r="B292" s="1369"/>
      <c r="C292" s="33"/>
      <c r="D292" s="79"/>
    </row>
    <row r="293" spans="1:4" x14ac:dyDescent="0.2">
      <c r="A293" s="345">
        <v>36433</v>
      </c>
      <c r="B293" s="1369"/>
      <c r="C293" s="33"/>
      <c r="D293" s="79"/>
    </row>
    <row r="294" spans="1:4" x14ac:dyDescent="0.2">
      <c r="A294" s="345">
        <v>36464</v>
      </c>
      <c r="B294" s="1369"/>
      <c r="C294" s="33"/>
      <c r="D294" s="79"/>
    </row>
    <row r="295" spans="1:4" x14ac:dyDescent="0.2">
      <c r="A295" s="345">
        <v>36494</v>
      </c>
      <c r="B295" s="1369"/>
      <c r="C295" s="33"/>
      <c r="D295" s="79"/>
    </row>
    <row r="296" spans="1:4" x14ac:dyDescent="0.2">
      <c r="A296" s="345">
        <v>36525</v>
      </c>
      <c r="B296" s="1369"/>
      <c r="C296" s="33"/>
      <c r="D296" s="79"/>
    </row>
    <row r="297" spans="1:4" x14ac:dyDescent="0.2">
      <c r="A297" s="345">
        <v>36556</v>
      </c>
      <c r="B297" s="1369"/>
      <c r="C297" s="33"/>
      <c r="D297" s="79"/>
    </row>
    <row r="298" spans="1:4" x14ac:dyDescent="0.2">
      <c r="A298" s="345">
        <v>36585</v>
      </c>
      <c r="B298" s="1369"/>
      <c r="C298" s="33"/>
      <c r="D298" s="79"/>
    </row>
    <row r="299" spans="1:4" x14ac:dyDescent="0.2">
      <c r="A299" s="345">
        <v>36616</v>
      </c>
      <c r="B299" s="1369"/>
      <c r="C299" s="33"/>
      <c r="D299" s="79"/>
    </row>
    <row r="300" spans="1:4" x14ac:dyDescent="0.2">
      <c r="A300" s="345">
        <v>36646</v>
      </c>
      <c r="B300" s="1369"/>
      <c r="C300" s="33"/>
      <c r="D300" s="79"/>
    </row>
    <row r="301" spans="1:4" x14ac:dyDescent="0.2">
      <c r="A301" s="345">
        <v>36677</v>
      </c>
      <c r="B301" s="1369"/>
      <c r="C301" s="33"/>
      <c r="D301" s="79"/>
    </row>
    <row r="302" spans="1:4" x14ac:dyDescent="0.2">
      <c r="A302" s="345">
        <v>36707</v>
      </c>
      <c r="B302" s="1369"/>
      <c r="C302" s="33"/>
      <c r="D302" s="79"/>
    </row>
    <row r="303" spans="1:4" x14ac:dyDescent="0.2">
      <c r="A303" s="345">
        <v>36738</v>
      </c>
      <c r="B303" s="1369"/>
      <c r="C303" s="33"/>
      <c r="D303" s="79"/>
    </row>
    <row r="304" spans="1:4" x14ac:dyDescent="0.2">
      <c r="A304" s="345">
        <v>36769</v>
      </c>
      <c r="B304" s="1369"/>
      <c r="C304" s="33"/>
      <c r="D304" s="79"/>
    </row>
    <row r="305" spans="1:4" x14ac:dyDescent="0.2">
      <c r="A305" s="345">
        <v>36799</v>
      </c>
      <c r="B305" s="1369"/>
      <c r="C305" s="33"/>
      <c r="D305" s="79"/>
    </row>
    <row r="306" spans="1:4" x14ac:dyDescent="0.2">
      <c r="A306" s="345">
        <v>36830</v>
      </c>
      <c r="B306" s="1369"/>
      <c r="C306" s="33"/>
      <c r="D306" s="79"/>
    </row>
    <row r="307" spans="1:4" x14ac:dyDescent="0.2">
      <c r="A307" s="345">
        <v>36860</v>
      </c>
      <c r="B307" s="1369"/>
      <c r="C307" s="33"/>
      <c r="D307" s="79"/>
    </row>
    <row r="308" spans="1:4" x14ac:dyDescent="0.2">
      <c r="A308" s="345">
        <v>36891</v>
      </c>
      <c r="B308" s="1369"/>
      <c r="C308" s="33"/>
      <c r="D308" s="79"/>
    </row>
    <row r="309" spans="1:4" x14ac:dyDescent="0.2">
      <c r="A309" s="345">
        <v>36922</v>
      </c>
      <c r="B309" s="1369"/>
      <c r="C309" s="33"/>
      <c r="D309" s="79"/>
    </row>
    <row r="310" spans="1:4" x14ac:dyDescent="0.2">
      <c r="A310" s="345">
        <v>36950</v>
      </c>
      <c r="B310" s="1369"/>
      <c r="C310" s="33"/>
      <c r="D310" s="79"/>
    </row>
    <row r="311" spans="1:4" x14ac:dyDescent="0.2">
      <c r="A311" s="345">
        <v>36981</v>
      </c>
      <c r="B311" s="1369"/>
      <c r="C311" s="33"/>
      <c r="D311" s="79"/>
    </row>
    <row r="312" spans="1:4" x14ac:dyDescent="0.2">
      <c r="A312" s="345">
        <v>37011</v>
      </c>
      <c r="B312" s="1369"/>
      <c r="C312" s="33"/>
      <c r="D312" s="79"/>
    </row>
    <row r="313" spans="1:4" x14ac:dyDescent="0.2">
      <c r="A313" s="345">
        <v>37042</v>
      </c>
      <c r="B313" s="1369"/>
      <c r="C313" s="33"/>
      <c r="D313" s="79"/>
    </row>
    <row r="314" spans="1:4" x14ac:dyDescent="0.2">
      <c r="A314" s="345">
        <v>37072</v>
      </c>
      <c r="B314" s="1369"/>
      <c r="C314" s="33"/>
      <c r="D314" s="79"/>
    </row>
    <row r="315" spans="1:4" x14ac:dyDescent="0.2">
      <c r="A315" s="345">
        <v>37103</v>
      </c>
      <c r="B315" s="1369"/>
      <c r="C315" s="33"/>
      <c r="D315" s="79"/>
    </row>
    <row r="316" spans="1:4" x14ac:dyDescent="0.2">
      <c r="A316" s="345">
        <v>37134</v>
      </c>
      <c r="B316" s="1369"/>
      <c r="C316" s="33"/>
      <c r="D316" s="79"/>
    </row>
    <row r="317" spans="1:4" x14ac:dyDescent="0.2">
      <c r="A317" s="345">
        <v>37164</v>
      </c>
      <c r="B317" s="1369"/>
      <c r="C317" s="33"/>
      <c r="D317" s="79"/>
    </row>
    <row r="318" spans="1:4" x14ac:dyDescent="0.2">
      <c r="A318" s="345">
        <v>37195</v>
      </c>
      <c r="B318" s="1369"/>
      <c r="C318" s="33"/>
      <c r="D318" s="79"/>
    </row>
    <row r="319" spans="1:4" x14ac:dyDescent="0.2">
      <c r="A319" s="345">
        <v>37225</v>
      </c>
      <c r="B319" s="1369"/>
      <c r="C319" s="33"/>
      <c r="D319" s="79"/>
    </row>
    <row r="320" spans="1:4" x14ac:dyDescent="0.2">
      <c r="A320" s="345">
        <v>37256</v>
      </c>
      <c r="B320" s="1369"/>
      <c r="C320" s="33"/>
      <c r="D320" s="79"/>
    </row>
    <row r="321" spans="1:4" x14ac:dyDescent="0.2">
      <c r="A321" s="345">
        <v>37287</v>
      </c>
      <c r="B321" s="1369"/>
      <c r="C321" s="33"/>
      <c r="D321" s="79"/>
    </row>
    <row r="322" spans="1:4" x14ac:dyDescent="0.2">
      <c r="A322" s="345">
        <v>37315</v>
      </c>
      <c r="B322" s="1369"/>
      <c r="C322" s="33"/>
      <c r="D322" s="79"/>
    </row>
    <row r="323" spans="1:4" x14ac:dyDescent="0.2">
      <c r="A323" s="345">
        <v>37346</v>
      </c>
      <c r="B323" s="1369"/>
      <c r="C323" s="33"/>
      <c r="D323" s="79"/>
    </row>
    <row r="324" spans="1:4" x14ac:dyDescent="0.2">
      <c r="A324" s="345">
        <v>37376</v>
      </c>
      <c r="B324" s="1369"/>
      <c r="C324" s="33"/>
      <c r="D324" s="79"/>
    </row>
    <row r="325" spans="1:4" x14ac:dyDescent="0.2">
      <c r="A325" s="345">
        <v>37407</v>
      </c>
      <c r="B325" s="1369"/>
      <c r="C325" s="33"/>
      <c r="D325" s="79"/>
    </row>
    <row r="326" spans="1:4" x14ac:dyDescent="0.2">
      <c r="A326" s="345">
        <v>37437</v>
      </c>
      <c r="B326" s="1369"/>
      <c r="C326" s="33"/>
      <c r="D326" s="79"/>
    </row>
    <row r="327" spans="1:4" x14ac:dyDescent="0.2">
      <c r="A327" s="345">
        <v>37468</v>
      </c>
      <c r="B327" s="1369"/>
      <c r="C327" s="33"/>
      <c r="D327" s="79"/>
    </row>
    <row r="328" spans="1:4" x14ac:dyDescent="0.2">
      <c r="A328" s="345">
        <v>37499</v>
      </c>
      <c r="B328" s="1369"/>
      <c r="C328" s="33"/>
      <c r="D328" s="79"/>
    </row>
    <row r="329" spans="1:4" x14ac:dyDescent="0.2">
      <c r="A329" s="345">
        <v>37529</v>
      </c>
      <c r="B329" s="1369"/>
      <c r="C329" s="33"/>
      <c r="D329" s="79"/>
    </row>
    <row r="330" spans="1:4" x14ac:dyDescent="0.2">
      <c r="A330" s="345">
        <v>37560</v>
      </c>
      <c r="B330" s="1369"/>
      <c r="C330" s="33"/>
      <c r="D330" s="79"/>
    </row>
    <row r="331" spans="1:4" x14ac:dyDescent="0.2">
      <c r="A331" s="345">
        <v>37590</v>
      </c>
      <c r="B331" s="1369"/>
      <c r="C331" s="33"/>
      <c r="D331" s="79"/>
    </row>
    <row r="332" spans="1:4" x14ac:dyDescent="0.2">
      <c r="A332" s="345">
        <v>37621</v>
      </c>
      <c r="B332" s="1369"/>
      <c r="C332" s="33"/>
      <c r="D332" s="79"/>
    </row>
    <row r="333" spans="1:4" x14ac:dyDescent="0.2">
      <c r="A333" s="345">
        <v>37652</v>
      </c>
      <c r="B333" s="1369"/>
      <c r="C333" s="33"/>
      <c r="D333" s="79"/>
    </row>
    <row r="334" spans="1:4" x14ac:dyDescent="0.2">
      <c r="A334" s="345">
        <v>37680</v>
      </c>
      <c r="B334" s="1369"/>
      <c r="C334" s="33"/>
      <c r="D334" s="79"/>
    </row>
    <row r="335" spans="1:4" x14ac:dyDescent="0.2">
      <c r="A335" s="345">
        <v>37711</v>
      </c>
      <c r="B335" s="1369"/>
      <c r="C335" s="33"/>
      <c r="D335" s="79"/>
    </row>
    <row r="336" spans="1:4" x14ac:dyDescent="0.2">
      <c r="A336" s="345">
        <v>37741</v>
      </c>
      <c r="B336" s="1369"/>
      <c r="C336" s="33"/>
      <c r="D336" s="79"/>
    </row>
    <row r="337" spans="1:4" x14ac:dyDescent="0.2">
      <c r="A337" s="345">
        <v>37772</v>
      </c>
      <c r="B337" s="1369"/>
      <c r="C337" s="33"/>
      <c r="D337" s="79"/>
    </row>
    <row r="338" spans="1:4" x14ac:dyDescent="0.2">
      <c r="A338" s="345">
        <v>37802</v>
      </c>
      <c r="B338" s="1369"/>
      <c r="C338" s="33"/>
      <c r="D338" s="79"/>
    </row>
    <row r="339" spans="1:4" x14ac:dyDescent="0.2">
      <c r="A339" s="345">
        <v>37833</v>
      </c>
      <c r="B339" s="1369"/>
      <c r="C339" s="33"/>
      <c r="D339" s="79"/>
    </row>
    <row r="340" spans="1:4" x14ac:dyDescent="0.2">
      <c r="A340" s="345">
        <v>37864</v>
      </c>
      <c r="B340" s="1369"/>
      <c r="C340" s="33"/>
      <c r="D340" s="79"/>
    </row>
    <row r="341" spans="1:4" x14ac:dyDescent="0.2">
      <c r="A341" s="345">
        <v>37894</v>
      </c>
      <c r="B341" s="1369"/>
      <c r="C341" s="34"/>
      <c r="D341" s="79"/>
    </row>
    <row r="342" spans="1:4" x14ac:dyDescent="0.2">
      <c r="A342" s="345">
        <v>37925</v>
      </c>
      <c r="B342" s="1369"/>
      <c r="C342" s="34"/>
      <c r="D342" s="79"/>
    </row>
    <row r="343" spans="1:4" x14ac:dyDescent="0.2">
      <c r="A343" s="345">
        <v>37955</v>
      </c>
      <c r="B343" s="1369"/>
      <c r="C343" s="34"/>
      <c r="D343" s="79"/>
    </row>
    <row r="344" spans="1:4" x14ac:dyDescent="0.2">
      <c r="A344" s="345">
        <v>37986</v>
      </c>
      <c r="B344" s="1369"/>
      <c r="C344" s="34"/>
      <c r="D344" s="79"/>
    </row>
    <row r="345" spans="1:4" x14ac:dyDescent="0.2">
      <c r="A345" s="345">
        <v>38017</v>
      </c>
      <c r="B345" s="1369"/>
      <c r="C345" s="34"/>
      <c r="D345" s="79"/>
    </row>
    <row r="346" spans="1:4" x14ac:dyDescent="0.2">
      <c r="A346" s="345">
        <v>38046</v>
      </c>
      <c r="B346" s="1369"/>
      <c r="C346" s="34"/>
      <c r="D346" s="79"/>
    </row>
    <row r="347" spans="1:4" x14ac:dyDescent="0.2">
      <c r="A347" s="345">
        <v>38077</v>
      </c>
      <c r="B347" s="1369"/>
      <c r="C347" s="34"/>
      <c r="D347" s="255"/>
    </row>
    <row r="348" spans="1:4" x14ac:dyDescent="0.2">
      <c r="A348" s="345">
        <v>38107</v>
      </c>
      <c r="B348" s="1369"/>
      <c r="C348" s="34"/>
      <c r="D348" s="253"/>
    </row>
    <row r="349" spans="1:4" x14ac:dyDescent="0.2">
      <c r="A349" s="345">
        <v>38138</v>
      </c>
      <c r="B349" s="1369"/>
      <c r="C349" s="34"/>
      <c r="D349" s="253"/>
    </row>
    <row r="350" spans="1:4" x14ac:dyDescent="0.2">
      <c r="A350" s="345">
        <v>38168</v>
      </c>
      <c r="B350" s="1369"/>
      <c r="C350" s="34"/>
      <c r="D350" s="253"/>
    </row>
    <row r="351" spans="1:4" x14ac:dyDescent="0.2">
      <c r="A351" s="345">
        <v>38199</v>
      </c>
      <c r="B351" s="1369"/>
      <c r="C351" s="34"/>
      <c r="D351" s="253"/>
    </row>
    <row r="352" spans="1:4" x14ac:dyDescent="0.2">
      <c r="A352" s="345">
        <v>38230</v>
      </c>
      <c r="B352" s="1369"/>
      <c r="C352" s="34"/>
      <c r="D352" s="253"/>
    </row>
    <row r="353" spans="1:4" x14ac:dyDescent="0.2">
      <c r="A353" s="345">
        <v>38260</v>
      </c>
      <c r="B353" s="1369"/>
      <c r="C353" s="34"/>
      <c r="D353" s="253"/>
    </row>
    <row r="354" spans="1:4" x14ac:dyDescent="0.2">
      <c r="A354" s="345">
        <v>38291</v>
      </c>
      <c r="B354" s="1369"/>
      <c r="C354" s="34"/>
      <c r="D354" s="253"/>
    </row>
    <row r="355" spans="1:4" x14ac:dyDescent="0.2">
      <c r="A355" s="345">
        <v>38321</v>
      </c>
      <c r="B355" s="1369"/>
      <c r="C355" s="34"/>
      <c r="D355" s="253"/>
    </row>
    <row r="356" spans="1:4" x14ac:dyDescent="0.2">
      <c r="A356" s="345">
        <v>38352</v>
      </c>
      <c r="B356" s="1369"/>
      <c r="C356" s="256"/>
      <c r="D356" s="253"/>
    </row>
    <row r="357" spans="1:4" x14ac:dyDescent="0.2">
      <c r="A357" s="345">
        <v>38383</v>
      </c>
      <c r="B357" s="1369"/>
      <c r="C357" s="34"/>
      <c r="D357" s="253"/>
    </row>
    <row r="358" spans="1:4" x14ac:dyDescent="0.2">
      <c r="A358" s="345">
        <v>38411</v>
      </c>
      <c r="B358" s="1369"/>
      <c r="C358" s="34"/>
      <c r="D358" s="253"/>
    </row>
    <row r="359" spans="1:4" x14ac:dyDescent="0.2">
      <c r="A359" s="345">
        <v>38442</v>
      </c>
      <c r="B359" s="1369"/>
      <c r="C359" s="256"/>
      <c r="D359" s="253"/>
    </row>
    <row r="360" spans="1:4" x14ac:dyDescent="0.2">
      <c r="A360" s="345">
        <v>38472</v>
      </c>
      <c r="B360" s="1369"/>
      <c r="C360" s="256"/>
      <c r="D360" s="253"/>
    </row>
    <row r="361" spans="1:4" x14ac:dyDescent="0.2">
      <c r="A361" s="345">
        <v>38503</v>
      </c>
      <c r="B361" s="1369"/>
      <c r="C361" s="256"/>
      <c r="D361" s="253"/>
    </row>
    <row r="362" spans="1:4" x14ac:dyDescent="0.2">
      <c r="A362" s="345">
        <v>38533</v>
      </c>
      <c r="B362" s="1369"/>
      <c r="C362" s="256"/>
      <c r="D362" s="253"/>
    </row>
    <row r="363" spans="1:4" x14ac:dyDescent="0.2">
      <c r="A363" s="345">
        <v>38564</v>
      </c>
      <c r="B363" s="1369"/>
      <c r="C363" s="256"/>
      <c r="D363" s="253"/>
    </row>
    <row r="364" spans="1:4" x14ac:dyDescent="0.2">
      <c r="A364" s="345">
        <v>38595</v>
      </c>
      <c r="B364" s="1369"/>
      <c r="C364" s="256"/>
      <c r="D364" s="253"/>
    </row>
    <row r="365" spans="1:4" x14ac:dyDescent="0.2">
      <c r="A365" s="345">
        <v>38625</v>
      </c>
      <c r="B365" s="1369"/>
      <c r="C365" s="256"/>
      <c r="D365" s="253"/>
    </row>
    <row r="366" spans="1:4" x14ac:dyDescent="0.2">
      <c r="A366" s="345">
        <v>38656</v>
      </c>
      <c r="B366" s="1369"/>
      <c r="C366" s="256"/>
      <c r="D366" s="253"/>
    </row>
    <row r="367" spans="1:4" x14ac:dyDescent="0.2">
      <c r="A367" s="345">
        <v>38686</v>
      </c>
      <c r="B367" s="1369"/>
      <c r="C367" s="256"/>
      <c r="D367" s="253"/>
    </row>
    <row r="368" spans="1:4" x14ac:dyDescent="0.2">
      <c r="A368" s="345">
        <v>38717</v>
      </c>
      <c r="B368" s="1369"/>
      <c r="C368" s="256"/>
      <c r="D368" s="253"/>
    </row>
    <row r="369" spans="1:6" x14ac:dyDescent="0.2">
      <c r="A369" s="345">
        <v>38748</v>
      </c>
      <c r="B369" s="1369"/>
      <c r="C369" s="256"/>
      <c r="D369" s="253"/>
    </row>
    <row r="370" spans="1:6" x14ac:dyDescent="0.2">
      <c r="A370" s="345">
        <v>38776</v>
      </c>
      <c r="B370" s="1369"/>
      <c r="C370" s="256"/>
      <c r="D370" s="253"/>
    </row>
    <row r="371" spans="1:6" x14ac:dyDescent="0.2">
      <c r="A371" s="345">
        <v>38807</v>
      </c>
      <c r="B371" s="1369"/>
      <c r="C371" s="33"/>
      <c r="D371" s="253"/>
    </row>
    <row r="372" spans="1:6" x14ac:dyDescent="0.2">
      <c r="A372" s="345">
        <v>38837</v>
      </c>
      <c r="B372" s="1369"/>
      <c r="C372" s="33"/>
      <c r="D372" s="253"/>
    </row>
    <row r="373" spans="1:6" x14ac:dyDescent="0.2">
      <c r="A373" s="345">
        <v>38868</v>
      </c>
      <c r="B373" s="1369"/>
      <c r="C373" s="33"/>
      <c r="D373" s="253"/>
    </row>
    <row r="374" spans="1:6" x14ac:dyDescent="0.2">
      <c r="A374" s="345">
        <v>38898</v>
      </c>
      <c r="B374" s="1369"/>
      <c r="C374" s="354"/>
      <c r="D374" s="253"/>
    </row>
    <row r="375" spans="1:6" x14ac:dyDescent="0.2">
      <c r="A375" s="345">
        <v>38929</v>
      </c>
      <c r="B375" s="1369"/>
      <c r="C375" s="34"/>
      <c r="D375" s="253"/>
    </row>
    <row r="376" spans="1:6" x14ac:dyDescent="0.2">
      <c r="A376" s="345">
        <v>38960</v>
      </c>
      <c r="B376" s="1369"/>
      <c r="C376" s="34"/>
      <c r="D376" s="253"/>
    </row>
    <row r="377" spans="1:6" x14ac:dyDescent="0.2">
      <c r="A377" s="345">
        <v>38990</v>
      </c>
      <c r="B377" s="1369"/>
      <c r="C377" s="34"/>
      <c r="D377" s="253"/>
    </row>
    <row r="378" spans="1:6" x14ac:dyDescent="0.2">
      <c r="A378" s="345">
        <v>39021</v>
      </c>
      <c r="B378" s="1369"/>
      <c r="C378" s="34"/>
      <c r="D378" s="253"/>
      <c r="F378" s="352"/>
    </row>
    <row r="379" spans="1:6" x14ac:dyDescent="0.2">
      <c r="A379" s="345">
        <v>39051</v>
      </c>
      <c r="B379" s="1369"/>
      <c r="C379" s="34"/>
      <c r="D379" s="253"/>
      <c r="F379" s="352"/>
    </row>
    <row r="380" spans="1:6" x14ac:dyDescent="0.2">
      <c r="A380" s="345">
        <v>39082</v>
      </c>
      <c r="B380" s="1369"/>
      <c r="C380" s="34"/>
      <c r="D380" s="253"/>
      <c r="F380" s="352"/>
    </row>
    <row r="381" spans="1:6" x14ac:dyDescent="0.2">
      <c r="A381" s="345">
        <v>39113</v>
      </c>
      <c r="B381" s="1369"/>
      <c r="D381" s="258"/>
      <c r="F381" s="352"/>
    </row>
    <row r="382" spans="1:6" x14ac:dyDescent="0.2">
      <c r="A382" s="345">
        <v>39141</v>
      </c>
      <c r="B382" s="1369"/>
      <c r="D382" s="258"/>
      <c r="F382" s="352"/>
    </row>
    <row r="383" spans="1:6" x14ac:dyDescent="0.2">
      <c r="A383" s="345">
        <v>39172</v>
      </c>
      <c r="B383" s="1369"/>
      <c r="D383" s="258"/>
    </row>
    <row r="384" spans="1:6" x14ac:dyDescent="0.2">
      <c r="A384" s="345">
        <v>39202</v>
      </c>
      <c r="B384" s="1369"/>
      <c r="D384" s="258"/>
    </row>
    <row r="385" spans="1:7" x14ac:dyDescent="0.2">
      <c r="A385" s="345">
        <v>39233</v>
      </c>
      <c r="B385" s="1369"/>
      <c r="D385" s="258"/>
    </row>
    <row r="386" spans="1:7" x14ac:dyDescent="0.2">
      <c r="A386" s="345">
        <v>39263</v>
      </c>
      <c r="B386" s="1369"/>
      <c r="D386" s="258"/>
    </row>
    <row r="387" spans="1:7" x14ac:dyDescent="0.2">
      <c r="A387" s="345">
        <v>39294</v>
      </c>
      <c r="B387" s="1369"/>
      <c r="D387" s="258"/>
    </row>
    <row r="388" spans="1:7" x14ac:dyDescent="0.2">
      <c r="A388" s="345">
        <v>39325</v>
      </c>
      <c r="B388" s="1369"/>
      <c r="D388" s="258"/>
    </row>
    <row r="389" spans="1:7" x14ac:dyDescent="0.2">
      <c r="A389" s="345">
        <v>39355</v>
      </c>
      <c r="B389" s="1369"/>
      <c r="D389" s="258"/>
    </row>
    <row r="390" spans="1:7" x14ac:dyDescent="0.2">
      <c r="A390" s="345">
        <v>39386</v>
      </c>
      <c r="B390" s="1369"/>
      <c r="D390" s="258"/>
    </row>
    <row r="391" spans="1:7" x14ac:dyDescent="0.2">
      <c r="A391" s="345">
        <v>39416</v>
      </c>
      <c r="B391" s="1369"/>
      <c r="D391" s="258"/>
    </row>
    <row r="392" spans="1:7" x14ac:dyDescent="0.2">
      <c r="A392" s="345">
        <v>39447</v>
      </c>
      <c r="B392" s="1369"/>
      <c r="D392" s="258"/>
      <c r="G392" s="787"/>
    </row>
    <row r="393" spans="1:7" x14ac:dyDescent="0.2">
      <c r="A393" s="345">
        <v>39478</v>
      </c>
      <c r="B393" s="1369"/>
      <c r="D393" s="258"/>
    </row>
    <row r="394" spans="1:7" x14ac:dyDescent="0.2">
      <c r="A394" s="345">
        <v>39507</v>
      </c>
      <c r="B394" s="1369"/>
      <c r="D394" s="258"/>
    </row>
    <row r="395" spans="1:7" x14ac:dyDescent="0.2">
      <c r="A395" s="345">
        <v>39538</v>
      </c>
      <c r="B395" s="1369"/>
      <c r="D395" s="258"/>
    </row>
    <row r="396" spans="1:7" x14ac:dyDescent="0.2">
      <c r="A396" s="345">
        <v>39568</v>
      </c>
      <c r="B396" s="1369"/>
      <c r="D396" s="258"/>
    </row>
    <row r="397" spans="1:7" x14ac:dyDescent="0.2">
      <c r="A397" s="345">
        <v>39599</v>
      </c>
      <c r="B397" s="1369"/>
      <c r="D397" s="258"/>
    </row>
    <row r="398" spans="1:7" x14ac:dyDescent="0.2">
      <c r="A398" s="345">
        <v>39629</v>
      </c>
      <c r="B398" s="1369"/>
      <c r="D398" s="258"/>
    </row>
    <row r="399" spans="1:7" x14ac:dyDescent="0.2">
      <c r="A399" s="345">
        <v>39660</v>
      </c>
      <c r="B399" s="1369"/>
      <c r="C399" s="33"/>
      <c r="D399" s="258"/>
    </row>
    <row r="400" spans="1:7" x14ac:dyDescent="0.2">
      <c r="A400" s="345">
        <v>39691</v>
      </c>
      <c r="B400" s="1369"/>
      <c r="C400" s="33"/>
      <c r="D400" s="258"/>
    </row>
    <row r="401" spans="1:4" x14ac:dyDescent="0.2">
      <c r="A401" s="345">
        <v>39721</v>
      </c>
      <c r="B401" s="1369"/>
      <c r="C401" s="33"/>
      <c r="D401" s="258"/>
    </row>
    <row r="402" spans="1:4" x14ac:dyDescent="0.2">
      <c r="A402" s="345">
        <v>39752</v>
      </c>
      <c r="B402" s="1369"/>
      <c r="D402" s="258"/>
    </row>
    <row r="403" spans="1:4" x14ac:dyDescent="0.2">
      <c r="A403" s="345">
        <v>39782</v>
      </c>
      <c r="B403" s="1369"/>
      <c r="D403" s="258"/>
    </row>
    <row r="404" spans="1:4" x14ac:dyDescent="0.2">
      <c r="A404" s="345">
        <v>39813</v>
      </c>
      <c r="B404" s="1369"/>
      <c r="D404" s="258"/>
    </row>
    <row r="405" spans="1:4" x14ac:dyDescent="0.2">
      <c r="A405" s="345">
        <v>39844</v>
      </c>
      <c r="B405" s="1369"/>
      <c r="D405" s="258"/>
    </row>
    <row r="406" spans="1:4" x14ac:dyDescent="0.2">
      <c r="A406" s="345">
        <v>39872</v>
      </c>
      <c r="B406" s="1369"/>
      <c r="D406" s="258"/>
    </row>
    <row r="407" spans="1:4" x14ac:dyDescent="0.2">
      <c r="A407" s="345">
        <v>39903</v>
      </c>
      <c r="B407" s="1369"/>
      <c r="D407" s="258"/>
    </row>
    <row r="408" spans="1:4" x14ac:dyDescent="0.2">
      <c r="A408" s="345">
        <v>39933</v>
      </c>
      <c r="B408" s="1369"/>
      <c r="D408" s="258"/>
    </row>
    <row r="409" spans="1:4" x14ac:dyDescent="0.2">
      <c r="A409" s="345">
        <v>39964</v>
      </c>
      <c r="B409" s="1369"/>
      <c r="D409" s="258"/>
    </row>
    <row r="410" spans="1:4" x14ac:dyDescent="0.2">
      <c r="A410" s="345">
        <v>39994</v>
      </c>
      <c r="B410" s="1369"/>
      <c r="D410" s="258"/>
    </row>
    <row r="411" spans="1:4" x14ac:dyDescent="0.2">
      <c r="A411" s="345">
        <v>40025</v>
      </c>
      <c r="B411" s="1369"/>
      <c r="D411" s="258"/>
    </row>
    <row r="412" spans="1:4" x14ac:dyDescent="0.2">
      <c r="A412" s="345">
        <v>40056</v>
      </c>
      <c r="B412" s="1369"/>
      <c r="D412" s="258"/>
    </row>
    <row r="413" spans="1:4" x14ac:dyDescent="0.2">
      <c r="A413" s="345">
        <v>40086</v>
      </c>
      <c r="B413" s="1369"/>
      <c r="D413" s="258"/>
    </row>
    <row r="414" spans="1:4" x14ac:dyDescent="0.2">
      <c r="A414" s="345">
        <v>40117</v>
      </c>
      <c r="B414" s="1369"/>
    </row>
    <row r="415" spans="1:4" x14ac:dyDescent="0.2">
      <c r="A415" s="345">
        <v>40147</v>
      </c>
      <c r="B415" s="1369"/>
      <c r="C415" s="1333"/>
      <c r="D415" s="1369"/>
    </row>
    <row r="416" spans="1:4" x14ac:dyDescent="0.2">
      <c r="A416" s="345">
        <v>40178</v>
      </c>
      <c r="B416" s="1369"/>
    </row>
    <row r="417" spans="1:4" x14ac:dyDescent="0.2">
      <c r="A417" s="345">
        <v>40209</v>
      </c>
      <c r="B417" s="253"/>
    </row>
    <row r="418" spans="1:4" x14ac:dyDescent="0.2">
      <c r="A418" s="345">
        <v>40237</v>
      </c>
      <c r="B418" s="253"/>
    </row>
    <row r="419" spans="1:4" x14ac:dyDescent="0.2">
      <c r="A419" s="345">
        <v>40268</v>
      </c>
      <c r="B419" s="253"/>
      <c r="C419" s="1334"/>
      <c r="D419" s="1311"/>
    </row>
    <row r="420" spans="1:4" x14ac:dyDescent="0.2">
      <c r="A420" s="345">
        <v>40298</v>
      </c>
      <c r="B420" s="253"/>
    </row>
    <row r="421" spans="1:4" x14ac:dyDescent="0.2">
      <c r="A421" s="345">
        <v>40329</v>
      </c>
      <c r="B421" s="253"/>
    </row>
    <row r="422" spans="1:4" x14ac:dyDescent="0.2">
      <c r="A422" s="345">
        <v>40359</v>
      </c>
      <c r="B422" s="253"/>
    </row>
    <row r="423" spans="1:4" x14ac:dyDescent="0.2">
      <c r="A423" s="345">
        <v>40390</v>
      </c>
      <c r="B423" s="253"/>
    </row>
    <row r="424" spans="1:4" x14ac:dyDescent="0.2">
      <c r="A424" s="345">
        <v>40421</v>
      </c>
      <c r="B424" s="253"/>
    </row>
    <row r="425" spans="1:4" x14ac:dyDescent="0.2">
      <c r="A425" s="345">
        <v>40451</v>
      </c>
      <c r="B425" s="253"/>
    </row>
    <row r="426" spans="1:4" x14ac:dyDescent="0.2">
      <c r="A426" s="345">
        <v>40482</v>
      </c>
      <c r="B426" s="253"/>
    </row>
    <row r="427" spans="1:4" x14ac:dyDescent="0.2">
      <c r="A427" s="345">
        <v>40512</v>
      </c>
      <c r="B427" s="253"/>
    </row>
    <row r="428" spans="1:4" x14ac:dyDescent="0.2">
      <c r="A428" s="345">
        <v>40543</v>
      </c>
      <c r="B428" s="253"/>
    </row>
    <row r="429" spans="1:4" x14ac:dyDescent="0.2">
      <c r="A429" s="345">
        <v>40574</v>
      </c>
      <c r="B429" s="253"/>
    </row>
    <row r="430" spans="1:4" x14ac:dyDescent="0.2">
      <c r="A430" s="345">
        <v>40602</v>
      </c>
      <c r="B430" s="253"/>
    </row>
    <row r="431" spans="1:4" x14ac:dyDescent="0.2">
      <c r="A431" s="345">
        <v>40633</v>
      </c>
      <c r="B431" s="253"/>
    </row>
    <row r="432" spans="1:4" x14ac:dyDescent="0.2">
      <c r="A432" s="345">
        <v>40663</v>
      </c>
      <c r="B432" s="253"/>
    </row>
    <row r="433" spans="1:2" x14ac:dyDescent="0.2">
      <c r="A433" s="345">
        <v>40694</v>
      </c>
      <c r="B433" s="253"/>
    </row>
    <row r="434" spans="1:2" x14ac:dyDescent="0.2">
      <c r="A434" s="345">
        <v>40724</v>
      </c>
      <c r="B434" s="253"/>
    </row>
    <row r="435" spans="1:2" x14ac:dyDescent="0.2">
      <c r="A435" s="345">
        <v>40755</v>
      </c>
      <c r="B435" s="253"/>
    </row>
    <row r="436" spans="1:2" x14ac:dyDescent="0.2">
      <c r="A436" s="345">
        <v>40786</v>
      </c>
      <c r="B436" s="253"/>
    </row>
    <row r="437" spans="1:2" x14ac:dyDescent="0.2">
      <c r="A437" s="345">
        <v>40816</v>
      </c>
      <c r="B437" s="253"/>
    </row>
    <row r="438" spans="1:2" x14ac:dyDescent="0.2">
      <c r="A438" s="345">
        <v>40847</v>
      </c>
      <c r="B438" s="253"/>
    </row>
    <row r="439" spans="1:2" x14ac:dyDescent="0.2">
      <c r="A439" s="345">
        <v>40877</v>
      </c>
      <c r="B439" s="253"/>
    </row>
    <row r="440" spans="1:2" x14ac:dyDescent="0.2">
      <c r="A440" s="345">
        <v>40908</v>
      </c>
      <c r="B440" s="253"/>
    </row>
    <row r="441" spans="1:2" x14ac:dyDescent="0.2">
      <c r="A441" s="345">
        <v>40939</v>
      </c>
      <c r="B441" s="253"/>
    </row>
    <row r="442" spans="1:2" x14ac:dyDescent="0.2">
      <c r="A442" s="345">
        <v>40968</v>
      </c>
      <c r="B442" s="253"/>
    </row>
    <row r="443" spans="1:2" x14ac:dyDescent="0.2">
      <c r="A443" s="345">
        <v>40999</v>
      </c>
      <c r="B443" s="253"/>
    </row>
    <row r="444" spans="1:2" x14ac:dyDescent="0.2">
      <c r="A444" s="345">
        <v>41029</v>
      </c>
      <c r="B444" s="253"/>
    </row>
    <row r="445" spans="1:2" x14ac:dyDescent="0.2">
      <c r="A445" s="345">
        <v>41060</v>
      </c>
      <c r="B445" s="253"/>
    </row>
    <row r="446" spans="1:2" x14ac:dyDescent="0.2">
      <c r="A446" s="345">
        <v>41090</v>
      </c>
      <c r="B446" s="253"/>
    </row>
    <row r="447" spans="1:2" x14ac:dyDescent="0.2">
      <c r="A447" s="345">
        <v>41121</v>
      </c>
      <c r="B447" s="253"/>
    </row>
    <row r="448" spans="1:2" x14ac:dyDescent="0.2">
      <c r="A448" s="345">
        <v>41152</v>
      </c>
      <c r="B448" s="253"/>
    </row>
    <row r="449" spans="1:5" x14ac:dyDescent="0.2">
      <c r="A449" s="345">
        <v>41182</v>
      </c>
      <c r="B449" s="253"/>
    </row>
    <row r="450" spans="1:5" x14ac:dyDescent="0.2">
      <c r="A450" s="345">
        <v>41213</v>
      </c>
      <c r="B450" s="253"/>
    </row>
    <row r="451" spans="1:5" x14ac:dyDescent="0.2">
      <c r="A451" s="345">
        <v>41243</v>
      </c>
      <c r="B451" s="253"/>
    </row>
    <row r="452" spans="1:5" x14ac:dyDescent="0.2">
      <c r="A452" s="345">
        <v>41274</v>
      </c>
      <c r="B452" s="253"/>
    </row>
    <row r="453" spans="1:5" x14ac:dyDescent="0.2">
      <c r="A453" s="345">
        <v>41305</v>
      </c>
      <c r="B453" s="253"/>
    </row>
    <row r="454" spans="1:5" x14ac:dyDescent="0.2">
      <c r="A454" s="345">
        <v>41333</v>
      </c>
      <c r="B454" s="253"/>
    </row>
    <row r="455" spans="1:5" x14ac:dyDescent="0.2">
      <c r="A455" s="345">
        <v>41364</v>
      </c>
      <c r="B455" s="253"/>
    </row>
    <row r="456" spans="1:5" x14ac:dyDescent="0.2">
      <c r="A456" s="345">
        <v>41394</v>
      </c>
      <c r="B456" s="253"/>
    </row>
    <row r="457" spans="1:5" x14ac:dyDescent="0.2">
      <c r="A457" s="345">
        <v>41425</v>
      </c>
      <c r="B457" s="253"/>
    </row>
    <row r="458" spans="1:5" x14ac:dyDescent="0.2">
      <c r="A458" s="345">
        <v>41455</v>
      </c>
      <c r="B458" s="253">
        <f t="shared" ref="B458:B488" si="0">D458</f>
        <v>-2.9285199999999998</v>
      </c>
      <c r="C458" s="1307">
        <v>140193719.00999999</v>
      </c>
      <c r="D458" s="262">
        <v>-2.9285199999999998</v>
      </c>
      <c r="E458" s="14">
        <f>B458-Index_Returns!V458</f>
        <v>0.69258000000000042</v>
      </c>
    </row>
    <row r="459" spans="1:5" x14ac:dyDescent="0.2">
      <c r="A459" s="345">
        <v>41486</v>
      </c>
      <c r="B459" s="253">
        <f t="shared" si="0"/>
        <v>6.5383800000000001</v>
      </c>
      <c r="C459" s="346">
        <v>149439991.78</v>
      </c>
      <c r="D459" s="262">
        <v>6.5383800000000001</v>
      </c>
      <c r="E459" s="14">
        <f>B459-Index_Returns!V459</f>
        <v>0.45610000000000017</v>
      </c>
    </row>
    <row r="460" spans="1:5" x14ac:dyDescent="0.2">
      <c r="A460" s="345">
        <v>41517</v>
      </c>
      <c r="B460" s="253">
        <f t="shared" si="0"/>
        <v>-0.95831</v>
      </c>
      <c r="C460" s="346">
        <v>148007890.68000001</v>
      </c>
      <c r="D460" s="262">
        <v>-0.95831</v>
      </c>
      <c r="E460" s="14">
        <f>B460-Index_Returns!V460</f>
        <v>-0.90859000000000001</v>
      </c>
    </row>
    <row r="461" spans="1:5" x14ac:dyDescent="0.2">
      <c r="A461" s="345">
        <v>41547</v>
      </c>
      <c r="B461" s="253">
        <f t="shared" si="0"/>
        <v>8.6253600000000006</v>
      </c>
      <c r="C461" s="346">
        <v>160774108.00999999</v>
      </c>
      <c r="D461" s="262">
        <v>8.6253600000000006</v>
      </c>
      <c r="E461" s="14">
        <f>B461-Index_Returns!V461</f>
        <v>-0.36599000000000004</v>
      </c>
    </row>
    <row r="462" spans="1:5" x14ac:dyDescent="0.2">
      <c r="A462" s="345">
        <v>41578</v>
      </c>
      <c r="B462" s="253">
        <f t="shared" si="0"/>
        <v>3.8262</v>
      </c>
      <c r="C462" s="346">
        <v>167199757.84</v>
      </c>
      <c r="D462" s="262">
        <v>3.8262</v>
      </c>
      <c r="E462" s="14">
        <f>B462-Index_Returns!V462</f>
        <v>0.78265999999999991</v>
      </c>
    </row>
    <row r="463" spans="1:5" x14ac:dyDescent="0.2">
      <c r="A463" s="345">
        <v>41608</v>
      </c>
      <c r="B463" s="253">
        <f t="shared" si="0"/>
        <v>0.85165000000000002</v>
      </c>
      <c r="C463" s="346">
        <v>168623711.59</v>
      </c>
      <c r="D463" s="262">
        <v>0.85165000000000002</v>
      </c>
      <c r="E463" s="14">
        <f>B463-Index_Returns!V463</f>
        <v>0.40667000000000003</v>
      </c>
    </row>
    <row r="464" spans="1:5" x14ac:dyDescent="0.2">
      <c r="A464" s="345">
        <v>41639</v>
      </c>
      <c r="B464" s="253">
        <f t="shared" si="0"/>
        <v>2.4133800000000001</v>
      </c>
      <c r="C464" s="346">
        <v>172693238.97999999</v>
      </c>
      <c r="D464" s="262">
        <v>2.4133800000000001</v>
      </c>
      <c r="E464" s="14">
        <f>B464-Index_Returns!V464</f>
        <v>5.7339999999999947E-2</v>
      </c>
    </row>
    <row r="465" spans="1:5" x14ac:dyDescent="0.2">
      <c r="A465" s="345">
        <v>41670</v>
      </c>
      <c r="B465" s="253">
        <f t="shared" si="0"/>
        <v>-1.2640499999999999</v>
      </c>
      <c r="C465" s="346">
        <v>170756859.40000001</v>
      </c>
      <c r="D465" s="262">
        <v>-1.2640499999999999</v>
      </c>
      <c r="E465" s="14">
        <f>B465-Index_Returns!V465</f>
        <v>0.2719100000000001</v>
      </c>
    </row>
    <row r="466" spans="1:5" x14ac:dyDescent="0.2">
      <c r="A466" s="345">
        <v>41698</v>
      </c>
      <c r="B466" s="253">
        <f t="shared" si="0"/>
        <v>5.1565200000000004</v>
      </c>
      <c r="C466" s="346">
        <v>179561977.33000001</v>
      </c>
      <c r="D466" s="262">
        <v>5.1565200000000004</v>
      </c>
      <c r="E466" s="14">
        <f>B466-Index_Returns!V466</f>
        <v>-0.36606999999999967</v>
      </c>
    </row>
    <row r="467" spans="1:5" x14ac:dyDescent="0.2">
      <c r="A467" s="345">
        <v>41729</v>
      </c>
      <c r="B467" s="253">
        <f t="shared" si="0"/>
        <v>-0.93879000000000001</v>
      </c>
      <c r="C467" s="346">
        <v>177876261.81999999</v>
      </c>
      <c r="D467" s="262">
        <v>-0.93879000000000001</v>
      </c>
      <c r="E467" s="14">
        <f>B467-Index_Returns!V467</f>
        <v>-0.41368000000000005</v>
      </c>
    </row>
    <row r="468" spans="1:5" x14ac:dyDescent="0.2">
      <c r="A468" s="345">
        <v>41759</v>
      </c>
      <c r="B468" s="253">
        <f t="shared" si="0"/>
        <v>-1.5593300000000001</v>
      </c>
      <c r="C468" s="346">
        <v>175102598.44999999</v>
      </c>
      <c r="D468" s="262">
        <v>-1.5593300000000001</v>
      </c>
      <c r="E468" s="14">
        <f>B468-Index_Returns!V468</f>
        <v>-0.75312000000000012</v>
      </c>
    </row>
    <row r="469" spans="1:5" x14ac:dyDescent="0.2">
      <c r="A469" s="345">
        <v>41790</v>
      </c>
      <c r="B469" s="253">
        <f t="shared" si="0"/>
        <v>1.5866100000000001</v>
      </c>
      <c r="C469" s="346">
        <v>178187620.44</v>
      </c>
      <c r="D469" s="262">
        <v>1.5866100000000001</v>
      </c>
      <c r="E469" s="14">
        <f>B469-Index_Returns!V469</f>
        <v>0.18687000000000009</v>
      </c>
    </row>
    <row r="470" spans="1:5" x14ac:dyDescent="0.2">
      <c r="A470" s="345">
        <v>41820</v>
      </c>
      <c r="B470" s="253">
        <f t="shared" si="0"/>
        <v>2.0394000000000001</v>
      </c>
      <c r="C470" s="346">
        <v>181821576.58000001</v>
      </c>
      <c r="D470" s="262">
        <v>2.0394000000000001</v>
      </c>
      <c r="E470" s="14">
        <f>B470-Index_Returns!V470</f>
        <v>0.55422000000000016</v>
      </c>
    </row>
    <row r="471" spans="1:5" x14ac:dyDescent="0.2">
      <c r="A471" s="345">
        <v>41851</v>
      </c>
      <c r="B471" s="253">
        <f t="shared" si="0"/>
        <v>-1.6959599999999999</v>
      </c>
      <c r="C471" s="346">
        <v>179040880.86000001</v>
      </c>
      <c r="D471" s="262">
        <v>-1.6959599999999999</v>
      </c>
      <c r="E471" s="14">
        <f>B471-Index_Returns!V471</f>
        <v>0.65515999999999996</v>
      </c>
    </row>
    <row r="472" spans="1:5" x14ac:dyDescent="0.2">
      <c r="A472" s="345">
        <v>41882</v>
      </c>
      <c r="B472" s="253">
        <f t="shared" si="0"/>
        <v>0.19122</v>
      </c>
      <c r="C472" s="346">
        <v>179383247.09</v>
      </c>
      <c r="D472" s="262">
        <v>0.19122</v>
      </c>
      <c r="E472" s="14">
        <f>B472-Index_Returns!V472</f>
        <v>0.36801</v>
      </c>
    </row>
    <row r="473" spans="1:5" x14ac:dyDescent="0.2">
      <c r="A473" s="345">
        <v>41912</v>
      </c>
      <c r="B473" s="253">
        <f t="shared" si="0"/>
        <v>0</v>
      </c>
      <c r="E473" s="14">
        <f>B473-Index_Returns!V473</f>
        <v>0</v>
      </c>
    </row>
    <row r="474" spans="1:5" x14ac:dyDescent="0.2">
      <c r="A474" s="345">
        <v>41943</v>
      </c>
      <c r="B474" s="253">
        <f t="shared" si="0"/>
        <v>0</v>
      </c>
      <c r="E474" s="14">
        <f>B474-Index_Returns!V474</f>
        <v>0</v>
      </c>
    </row>
    <row r="475" spans="1:5" x14ac:dyDescent="0.2">
      <c r="A475" s="345">
        <v>41973</v>
      </c>
      <c r="B475" s="253">
        <f t="shared" si="0"/>
        <v>0</v>
      </c>
      <c r="E475" s="14">
        <f>B475-Index_Returns!V475</f>
        <v>0</v>
      </c>
    </row>
    <row r="476" spans="1:5" x14ac:dyDescent="0.2">
      <c r="A476" s="345">
        <v>42004</v>
      </c>
      <c r="B476" s="253">
        <f t="shared" si="0"/>
        <v>0</v>
      </c>
      <c r="E476" s="14">
        <f>B476-Index_Returns!V476</f>
        <v>0</v>
      </c>
    </row>
    <row r="477" spans="1:5" x14ac:dyDescent="0.2">
      <c r="A477" s="345">
        <v>42035</v>
      </c>
      <c r="B477" s="253">
        <f t="shared" si="0"/>
        <v>0</v>
      </c>
      <c r="E477" s="14">
        <f>B477-Index_Returns!V477</f>
        <v>0</v>
      </c>
    </row>
    <row r="478" spans="1:5" x14ac:dyDescent="0.2">
      <c r="A478" s="345">
        <v>42063</v>
      </c>
      <c r="B478" s="253">
        <f t="shared" si="0"/>
        <v>0</v>
      </c>
      <c r="E478" s="14">
        <f>B478-Index_Returns!V478</f>
        <v>0</v>
      </c>
    </row>
    <row r="479" spans="1:5" x14ac:dyDescent="0.2">
      <c r="A479" s="345">
        <v>42094</v>
      </c>
      <c r="B479" s="253">
        <f t="shared" si="0"/>
        <v>0</v>
      </c>
      <c r="E479" s="14">
        <f>B479-Index_Returns!V479</f>
        <v>0</v>
      </c>
    </row>
    <row r="480" spans="1:5" x14ac:dyDescent="0.2">
      <c r="A480" s="345">
        <v>42124</v>
      </c>
      <c r="B480" s="253">
        <f t="shared" si="0"/>
        <v>0</v>
      </c>
      <c r="E480" s="14">
        <f>B480-Index_Returns!V480</f>
        <v>0</v>
      </c>
    </row>
    <row r="481" spans="1:5" x14ac:dyDescent="0.2">
      <c r="A481" s="345">
        <v>42155</v>
      </c>
      <c r="B481" s="253">
        <f t="shared" si="0"/>
        <v>0</v>
      </c>
      <c r="E481" s="14">
        <f>B481-Index_Returns!V481</f>
        <v>0</v>
      </c>
    </row>
    <row r="482" spans="1:5" x14ac:dyDescent="0.2">
      <c r="A482" s="345">
        <v>42185</v>
      </c>
      <c r="B482" s="253">
        <f t="shared" si="0"/>
        <v>0</v>
      </c>
      <c r="E482" s="14">
        <f>B482-Index_Returns!V482</f>
        <v>0</v>
      </c>
    </row>
    <row r="483" spans="1:5" x14ac:dyDescent="0.2">
      <c r="A483" s="345">
        <v>42216</v>
      </c>
      <c r="B483" s="253">
        <f t="shared" si="0"/>
        <v>0</v>
      </c>
      <c r="E483" s="14">
        <f>B483-Index_Returns!V483</f>
        <v>0</v>
      </c>
    </row>
    <row r="484" spans="1:5" x14ac:dyDescent="0.2">
      <c r="A484" s="345">
        <v>42247</v>
      </c>
      <c r="B484" s="253">
        <f t="shared" si="0"/>
        <v>0</v>
      </c>
      <c r="E484" s="14">
        <f>B484-Index_Returns!V484</f>
        <v>0</v>
      </c>
    </row>
    <row r="485" spans="1:5" x14ac:dyDescent="0.2">
      <c r="A485" s="345">
        <v>42277</v>
      </c>
      <c r="B485" s="253">
        <f t="shared" si="0"/>
        <v>0</v>
      </c>
      <c r="E485" s="14">
        <f>B485-Index_Returns!V485</f>
        <v>0</v>
      </c>
    </row>
    <row r="486" spans="1:5" x14ac:dyDescent="0.2">
      <c r="A486" s="345">
        <v>42308</v>
      </c>
      <c r="B486" s="253">
        <f t="shared" si="0"/>
        <v>0</v>
      </c>
      <c r="E486" s="14">
        <f>B486-Index_Returns!V486</f>
        <v>0</v>
      </c>
    </row>
    <row r="487" spans="1:5" x14ac:dyDescent="0.2">
      <c r="A487" s="345">
        <v>42338</v>
      </c>
      <c r="B487" s="253">
        <f t="shared" si="0"/>
        <v>0</v>
      </c>
      <c r="E487" s="14">
        <f>B487-Index_Returns!V487</f>
        <v>0</v>
      </c>
    </row>
    <row r="488" spans="1:5" x14ac:dyDescent="0.2">
      <c r="A488" s="345">
        <v>42369</v>
      </c>
      <c r="B488" s="253">
        <f t="shared" si="0"/>
        <v>0</v>
      </c>
      <c r="E488" s="14">
        <f>B488-Index_Returns!V488</f>
        <v>0</v>
      </c>
    </row>
    <row r="489" spans="1:5" x14ac:dyDescent="0.2">
      <c r="A489" s="345"/>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I488"/>
  <sheetViews>
    <sheetView workbookViewId="0">
      <pane xSplit="1" ySplit="2" topLeftCell="B448" activePane="bottomRight" state="frozen"/>
      <selection activeCell="E452" sqref="E452:E464"/>
      <selection pane="topRight" activeCell="E452" sqref="E452:E464"/>
      <selection pane="bottomLeft" activeCell="E452" sqref="E452:E464"/>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5" width="18.7109375" style="258" customWidth="1"/>
    <col min="6" max="6" width="14" bestFit="1" customWidth="1"/>
    <col min="7" max="7" width="11.5703125" style="352" bestFit="1" customWidth="1"/>
    <col min="8" max="8" width="9.140625" style="352"/>
  </cols>
  <sheetData>
    <row r="1" spans="1:6" x14ac:dyDescent="0.2">
      <c r="A1" s="265" t="s">
        <v>39</v>
      </c>
      <c r="B1" s="321" t="s">
        <v>461</v>
      </c>
      <c r="C1" s="1381" t="s">
        <v>10</v>
      </c>
      <c r="D1" s="1370">
        <f>Fees!F28</f>
        <v>38.338868334226035</v>
      </c>
      <c r="E1" s="74" t="s">
        <v>81</v>
      </c>
      <c r="F1" s="1452" t="s">
        <v>767</v>
      </c>
    </row>
    <row r="2" spans="1:6" x14ac:dyDescent="0.2">
      <c r="A2" s="3" t="s">
        <v>27</v>
      </c>
      <c r="B2" s="71" t="s">
        <v>91</v>
      </c>
      <c r="C2" s="226" t="s">
        <v>92</v>
      </c>
      <c r="D2" s="71" t="s">
        <v>90</v>
      </c>
      <c r="E2" s="71" t="s">
        <v>80</v>
      </c>
    </row>
    <row r="3" spans="1:6" x14ac:dyDescent="0.2">
      <c r="A3" s="345">
        <v>27606</v>
      </c>
      <c r="B3" s="71"/>
      <c r="C3" s="226"/>
      <c r="D3" s="71"/>
      <c r="E3" s="71"/>
    </row>
    <row r="4" spans="1:6" x14ac:dyDescent="0.2">
      <c r="A4" s="345">
        <v>27637</v>
      </c>
      <c r="B4" s="71"/>
      <c r="C4" s="226"/>
      <c r="D4" s="71"/>
      <c r="E4" s="71"/>
    </row>
    <row r="5" spans="1:6" x14ac:dyDescent="0.2">
      <c r="A5" s="345">
        <v>27667</v>
      </c>
      <c r="B5" s="71"/>
      <c r="C5" s="226"/>
      <c r="D5" s="71"/>
      <c r="E5" s="71"/>
    </row>
    <row r="6" spans="1:6" x14ac:dyDescent="0.2">
      <c r="A6" s="345">
        <v>27698</v>
      </c>
      <c r="B6" s="71"/>
      <c r="C6" s="226"/>
      <c r="D6" s="71"/>
      <c r="E6" s="71"/>
    </row>
    <row r="7" spans="1:6" x14ac:dyDescent="0.2">
      <c r="A7" s="345">
        <v>27728</v>
      </c>
      <c r="B7" s="71"/>
      <c r="C7" s="226"/>
      <c r="D7" s="71"/>
      <c r="E7" s="71"/>
    </row>
    <row r="8" spans="1:6" x14ac:dyDescent="0.2">
      <c r="A8" s="345">
        <v>27759</v>
      </c>
      <c r="B8" s="71"/>
      <c r="C8" s="226"/>
      <c r="D8" s="71"/>
      <c r="E8" s="71"/>
    </row>
    <row r="9" spans="1:6" x14ac:dyDescent="0.2">
      <c r="A9" s="345">
        <v>27790</v>
      </c>
      <c r="B9" s="71"/>
      <c r="C9" s="226"/>
      <c r="D9" s="71"/>
      <c r="E9" s="71"/>
    </row>
    <row r="10" spans="1:6" x14ac:dyDescent="0.2">
      <c r="A10" s="345">
        <v>27819</v>
      </c>
      <c r="B10" s="71"/>
      <c r="C10" s="226"/>
      <c r="D10" s="71"/>
      <c r="E10" s="71"/>
    </row>
    <row r="11" spans="1:6" x14ac:dyDescent="0.2">
      <c r="A11" s="345">
        <v>27850</v>
      </c>
      <c r="B11" s="71"/>
      <c r="C11" s="226"/>
      <c r="D11" s="71"/>
      <c r="E11" s="71"/>
    </row>
    <row r="12" spans="1:6" x14ac:dyDescent="0.2">
      <c r="A12" s="345">
        <v>27880</v>
      </c>
      <c r="B12" s="71"/>
      <c r="C12" s="226"/>
      <c r="D12" s="71"/>
      <c r="E12" s="71"/>
    </row>
    <row r="13" spans="1:6" x14ac:dyDescent="0.2">
      <c r="A13" s="345">
        <v>27911</v>
      </c>
      <c r="B13" s="71"/>
      <c r="C13" s="226"/>
      <c r="D13" s="71"/>
      <c r="E13" s="71"/>
    </row>
    <row r="14" spans="1:6" x14ac:dyDescent="0.2">
      <c r="A14" s="345">
        <v>27941</v>
      </c>
      <c r="B14" s="71"/>
      <c r="C14" s="226"/>
      <c r="D14" s="71"/>
      <c r="E14" s="71"/>
    </row>
    <row r="15" spans="1:6" x14ac:dyDescent="0.2">
      <c r="A15" s="345">
        <v>27972</v>
      </c>
      <c r="B15" s="71"/>
      <c r="C15" s="226"/>
      <c r="D15" s="71"/>
      <c r="E15" s="71"/>
    </row>
    <row r="16" spans="1:6"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3"/>
      <c r="C147" s="25"/>
      <c r="D147" s="73"/>
      <c r="E147" s="73"/>
    </row>
    <row r="148" spans="1:5" x14ac:dyDescent="0.2">
      <c r="A148" s="345">
        <v>32020</v>
      </c>
      <c r="B148" s="73"/>
      <c r="C148" s="25"/>
      <c r="D148" s="73"/>
      <c r="E148" s="73"/>
    </row>
    <row r="149" spans="1:5" x14ac:dyDescent="0.2">
      <c r="A149" s="345">
        <v>32050</v>
      </c>
      <c r="B149" s="73"/>
      <c r="C149" s="25"/>
      <c r="D149" s="73"/>
      <c r="E149" s="73"/>
    </row>
    <row r="150" spans="1:5" x14ac:dyDescent="0.2">
      <c r="A150" s="345">
        <v>32081</v>
      </c>
      <c r="B150" s="73"/>
      <c r="C150" s="25"/>
      <c r="D150" s="73"/>
      <c r="E150" s="73"/>
    </row>
    <row r="151" spans="1:5" x14ac:dyDescent="0.2">
      <c r="A151" s="345">
        <v>32111</v>
      </c>
      <c r="B151" s="73"/>
      <c r="C151" s="25"/>
      <c r="D151" s="73"/>
      <c r="E151" s="73"/>
    </row>
    <row r="152" spans="1:5" x14ac:dyDescent="0.2">
      <c r="A152" s="345">
        <v>32142</v>
      </c>
      <c r="B152" s="73"/>
      <c r="C152" s="25"/>
      <c r="D152" s="73"/>
      <c r="E152" s="73"/>
    </row>
    <row r="153" spans="1:5" x14ac:dyDescent="0.2">
      <c r="A153" s="345">
        <v>32173</v>
      </c>
      <c r="B153" s="73"/>
      <c r="C153" s="25"/>
      <c r="D153" s="73"/>
      <c r="E153" s="73"/>
    </row>
    <row r="154" spans="1:5" x14ac:dyDescent="0.2">
      <c r="A154" s="345">
        <v>32202</v>
      </c>
      <c r="B154" s="73"/>
      <c r="C154" s="25"/>
      <c r="D154" s="73"/>
      <c r="E154" s="73"/>
    </row>
    <row r="155" spans="1:5" x14ac:dyDescent="0.2">
      <c r="A155" s="345">
        <v>32233</v>
      </c>
      <c r="B155" s="73"/>
      <c r="C155" s="25"/>
      <c r="D155" s="73"/>
      <c r="E155" s="73"/>
    </row>
    <row r="156" spans="1:5" x14ac:dyDescent="0.2">
      <c r="A156" s="345">
        <v>32263</v>
      </c>
      <c r="B156" s="73"/>
      <c r="C156" s="25"/>
      <c r="D156" s="73"/>
      <c r="E156" s="73"/>
    </row>
    <row r="157" spans="1:5" x14ac:dyDescent="0.2">
      <c r="A157" s="345">
        <v>32294</v>
      </c>
      <c r="B157" s="73"/>
      <c r="C157" s="25"/>
      <c r="D157" s="73"/>
      <c r="E157" s="73"/>
    </row>
    <row r="158" spans="1:5" x14ac:dyDescent="0.2">
      <c r="A158" s="345">
        <v>32324</v>
      </c>
      <c r="B158" s="73"/>
      <c r="C158" s="25"/>
      <c r="D158" s="73"/>
      <c r="E158" s="73"/>
    </row>
    <row r="159" spans="1:5" x14ac:dyDescent="0.2">
      <c r="A159" s="345">
        <v>32355</v>
      </c>
      <c r="B159" s="73"/>
      <c r="C159" s="25"/>
      <c r="D159" s="73"/>
      <c r="E159" s="73"/>
    </row>
    <row r="160" spans="1:5" x14ac:dyDescent="0.2">
      <c r="A160" s="345">
        <v>32386</v>
      </c>
      <c r="B160" s="73"/>
      <c r="C160" s="25"/>
      <c r="D160" s="73"/>
      <c r="E160" s="73"/>
    </row>
    <row r="161" spans="1:5" x14ac:dyDescent="0.2">
      <c r="A161" s="345">
        <v>32416</v>
      </c>
      <c r="B161" s="73"/>
      <c r="C161" s="25"/>
      <c r="D161" s="73"/>
      <c r="E161" s="73"/>
    </row>
    <row r="162" spans="1:5" x14ac:dyDescent="0.2">
      <c r="A162" s="345">
        <v>32447</v>
      </c>
      <c r="B162" s="73"/>
      <c r="C162" s="25"/>
      <c r="D162" s="73"/>
      <c r="E162" s="73"/>
    </row>
    <row r="163" spans="1:5" x14ac:dyDescent="0.2">
      <c r="A163" s="345">
        <v>32477</v>
      </c>
      <c r="B163" s="73"/>
      <c r="C163" s="25"/>
      <c r="D163" s="73"/>
      <c r="E163" s="73"/>
    </row>
    <row r="164" spans="1:5" x14ac:dyDescent="0.2">
      <c r="A164" s="345">
        <v>32508</v>
      </c>
      <c r="B164" s="73"/>
      <c r="C164" s="25"/>
      <c r="D164" s="73"/>
      <c r="E164" s="73"/>
    </row>
    <row r="165" spans="1:5" x14ac:dyDescent="0.2">
      <c r="A165" s="345">
        <v>32539</v>
      </c>
      <c r="B165" s="73"/>
      <c r="C165" s="25"/>
      <c r="D165" s="73"/>
      <c r="E165" s="73"/>
    </row>
    <row r="166" spans="1:5" x14ac:dyDescent="0.2">
      <c r="A166" s="345">
        <v>32567</v>
      </c>
      <c r="B166" s="73"/>
      <c r="C166" s="25"/>
      <c r="D166" s="73"/>
      <c r="E166" s="73"/>
    </row>
    <row r="167" spans="1:5" x14ac:dyDescent="0.2">
      <c r="A167" s="345">
        <v>32598</v>
      </c>
      <c r="B167" s="73"/>
      <c r="C167" s="25"/>
      <c r="D167" s="73"/>
      <c r="E167" s="73"/>
    </row>
    <row r="168" spans="1:5" x14ac:dyDescent="0.2">
      <c r="A168" s="345">
        <v>32628</v>
      </c>
      <c r="B168" s="73"/>
      <c r="C168" s="25"/>
      <c r="D168" s="73"/>
      <c r="E168" s="73"/>
    </row>
    <row r="169" spans="1:5" x14ac:dyDescent="0.2">
      <c r="A169" s="345">
        <v>32659</v>
      </c>
      <c r="B169" s="73"/>
      <c r="C169" s="25"/>
      <c r="D169" s="73"/>
      <c r="E169" s="73"/>
    </row>
    <row r="170" spans="1:5" x14ac:dyDescent="0.2">
      <c r="A170" s="345">
        <v>32689</v>
      </c>
      <c r="B170" s="73"/>
      <c r="C170" s="25"/>
      <c r="D170" s="73"/>
      <c r="E170" s="73"/>
    </row>
    <row r="171" spans="1:5" x14ac:dyDescent="0.2">
      <c r="A171" s="345">
        <v>32720</v>
      </c>
      <c r="B171" s="73"/>
      <c r="C171" s="25"/>
      <c r="D171" s="73"/>
      <c r="E171" s="73"/>
    </row>
    <row r="172" spans="1:5" x14ac:dyDescent="0.2">
      <c r="A172" s="345">
        <v>32751</v>
      </c>
      <c r="B172" s="73"/>
      <c r="C172" s="25"/>
      <c r="D172" s="73"/>
      <c r="E172" s="73"/>
    </row>
    <row r="173" spans="1:5" x14ac:dyDescent="0.2">
      <c r="A173" s="345">
        <v>32781</v>
      </c>
      <c r="B173" s="73"/>
      <c r="C173" s="25"/>
      <c r="D173" s="73"/>
      <c r="E173" s="73"/>
    </row>
    <row r="174" spans="1:5" x14ac:dyDescent="0.2">
      <c r="A174" s="345">
        <v>32812</v>
      </c>
      <c r="B174" s="73"/>
      <c r="C174" s="25"/>
      <c r="D174" s="73"/>
      <c r="E174" s="73"/>
    </row>
    <row r="175" spans="1:5" x14ac:dyDescent="0.2">
      <c r="A175" s="345">
        <v>32842</v>
      </c>
      <c r="B175" s="73"/>
      <c r="C175" s="25"/>
      <c r="D175" s="73"/>
      <c r="E175" s="73"/>
    </row>
    <row r="176" spans="1:5" x14ac:dyDescent="0.2">
      <c r="A176" s="345">
        <v>32873</v>
      </c>
      <c r="B176" s="73"/>
      <c r="C176" s="25"/>
      <c r="D176" s="73"/>
      <c r="E176" s="73"/>
    </row>
    <row r="177" spans="1:5" x14ac:dyDescent="0.2">
      <c r="A177" s="345">
        <v>32904</v>
      </c>
      <c r="B177" s="73"/>
      <c r="C177" s="25"/>
      <c r="D177" s="73"/>
      <c r="E177" s="73"/>
    </row>
    <row r="178" spans="1:5" x14ac:dyDescent="0.2">
      <c r="A178" s="345">
        <v>32932</v>
      </c>
      <c r="B178" s="73"/>
      <c r="C178" s="25"/>
      <c r="D178" s="73"/>
      <c r="E178" s="73"/>
    </row>
    <row r="179" spans="1:5" x14ac:dyDescent="0.2">
      <c r="A179" s="345">
        <v>32963</v>
      </c>
      <c r="B179" s="73"/>
      <c r="C179" s="25"/>
      <c r="D179" s="73"/>
      <c r="E179" s="73"/>
    </row>
    <row r="180" spans="1:5" x14ac:dyDescent="0.2">
      <c r="A180" s="345">
        <v>32993</v>
      </c>
      <c r="B180" s="73"/>
      <c r="C180" s="25"/>
      <c r="D180" s="73"/>
      <c r="E180" s="73"/>
    </row>
    <row r="181" spans="1:5" x14ac:dyDescent="0.2">
      <c r="A181" s="345">
        <v>33024</v>
      </c>
      <c r="B181" s="73"/>
      <c r="C181" s="25"/>
      <c r="D181" s="73"/>
      <c r="E181" s="73"/>
    </row>
    <row r="182" spans="1:5" x14ac:dyDescent="0.2">
      <c r="A182" s="345">
        <v>33054</v>
      </c>
      <c r="B182" s="73"/>
      <c r="C182" s="25"/>
      <c r="D182" s="73"/>
      <c r="E182" s="73"/>
    </row>
    <row r="183" spans="1:5" x14ac:dyDescent="0.2">
      <c r="A183" s="345">
        <v>33085</v>
      </c>
      <c r="B183" s="73"/>
      <c r="C183" s="25"/>
      <c r="D183" s="73"/>
      <c r="E183" s="73"/>
    </row>
    <row r="184" spans="1:5" x14ac:dyDescent="0.2">
      <c r="A184" s="345">
        <v>33116</v>
      </c>
      <c r="B184" s="73"/>
      <c r="C184" s="25"/>
      <c r="D184" s="73"/>
      <c r="E184" s="73"/>
    </row>
    <row r="185" spans="1:5" x14ac:dyDescent="0.2">
      <c r="A185" s="345">
        <v>33146</v>
      </c>
      <c r="B185" s="73"/>
      <c r="C185" s="25"/>
      <c r="D185" s="73"/>
      <c r="E185" s="73"/>
    </row>
    <row r="186" spans="1:5" x14ac:dyDescent="0.2">
      <c r="A186" s="345">
        <v>33177</v>
      </c>
      <c r="B186" s="73"/>
      <c r="C186" s="25"/>
      <c r="D186" s="73"/>
      <c r="E186" s="73"/>
    </row>
    <row r="187" spans="1:5" x14ac:dyDescent="0.2">
      <c r="A187" s="345">
        <v>33207</v>
      </c>
      <c r="B187" s="73"/>
      <c r="C187" s="25"/>
      <c r="D187" s="73"/>
      <c r="E187" s="73"/>
    </row>
    <row r="188" spans="1:5" x14ac:dyDescent="0.2">
      <c r="A188" s="345">
        <v>33238</v>
      </c>
      <c r="B188" s="73"/>
      <c r="C188" s="25"/>
      <c r="D188" s="73"/>
      <c r="E188" s="73"/>
    </row>
    <row r="189" spans="1:5" x14ac:dyDescent="0.2">
      <c r="A189" s="345">
        <v>33269</v>
      </c>
      <c r="B189" s="73"/>
      <c r="C189" s="25"/>
      <c r="D189" s="73"/>
      <c r="E189" s="73"/>
    </row>
    <row r="190" spans="1:5" x14ac:dyDescent="0.2">
      <c r="A190" s="345">
        <v>33297</v>
      </c>
      <c r="B190" s="73"/>
      <c r="C190" s="25"/>
      <c r="D190" s="73"/>
      <c r="E190" s="73"/>
    </row>
    <row r="191" spans="1:5" x14ac:dyDescent="0.2">
      <c r="A191" s="345">
        <v>33328</v>
      </c>
      <c r="B191" s="73"/>
      <c r="C191" s="25"/>
      <c r="D191" s="73"/>
      <c r="E191" s="73"/>
    </row>
    <row r="192" spans="1:5" x14ac:dyDescent="0.2">
      <c r="A192" s="345">
        <v>33358</v>
      </c>
      <c r="B192" s="73"/>
      <c r="C192" s="25"/>
      <c r="D192" s="73"/>
      <c r="E192" s="73"/>
    </row>
    <row r="193" spans="1:5" x14ac:dyDescent="0.2">
      <c r="A193" s="345">
        <v>33389</v>
      </c>
      <c r="B193" s="73"/>
      <c r="C193" s="25"/>
      <c r="D193" s="73"/>
      <c r="E193" s="73"/>
    </row>
    <row r="194" spans="1:5" x14ac:dyDescent="0.2">
      <c r="A194" s="345">
        <v>33419</v>
      </c>
      <c r="B194" s="73"/>
      <c r="C194" s="25"/>
      <c r="D194" s="73"/>
      <c r="E194" s="73"/>
    </row>
    <row r="195" spans="1:5" x14ac:dyDescent="0.2">
      <c r="A195" s="345">
        <v>33450</v>
      </c>
      <c r="B195" s="73"/>
      <c r="C195" s="25"/>
      <c r="D195" s="73"/>
      <c r="E195" s="73"/>
    </row>
    <row r="196" spans="1:5" x14ac:dyDescent="0.2">
      <c r="A196" s="345">
        <v>33481</v>
      </c>
      <c r="B196" s="73"/>
      <c r="C196" s="25"/>
      <c r="D196" s="73"/>
      <c r="E196" s="73"/>
    </row>
    <row r="197" spans="1:5" x14ac:dyDescent="0.2">
      <c r="A197" s="345">
        <v>33511</v>
      </c>
      <c r="B197" s="73"/>
      <c r="C197" s="25"/>
      <c r="D197" s="73"/>
      <c r="E197" s="73"/>
    </row>
    <row r="198" spans="1:5" x14ac:dyDescent="0.2">
      <c r="A198" s="345">
        <v>33542</v>
      </c>
      <c r="B198" s="73"/>
      <c r="C198" s="25"/>
      <c r="D198" s="73"/>
      <c r="E198" s="73"/>
    </row>
    <row r="199" spans="1:5" x14ac:dyDescent="0.2">
      <c r="A199" s="345">
        <v>33572</v>
      </c>
      <c r="B199" s="73"/>
      <c r="C199" s="25"/>
      <c r="D199" s="73"/>
      <c r="E199" s="73"/>
    </row>
    <row r="200" spans="1:5" x14ac:dyDescent="0.2">
      <c r="A200" s="345">
        <v>33603</v>
      </c>
      <c r="B200" s="73"/>
      <c r="C200" s="25"/>
      <c r="D200" s="73"/>
      <c r="E200" s="73"/>
    </row>
    <row r="201" spans="1:5" x14ac:dyDescent="0.2">
      <c r="A201" s="345">
        <v>33634</v>
      </c>
      <c r="B201" s="73"/>
      <c r="C201" s="25"/>
      <c r="D201" s="73"/>
      <c r="E201" s="73"/>
    </row>
    <row r="202" spans="1:5" x14ac:dyDescent="0.2">
      <c r="A202" s="345">
        <v>33663</v>
      </c>
      <c r="B202" s="73"/>
      <c r="C202" s="25"/>
      <c r="D202" s="73"/>
      <c r="E202" s="73"/>
    </row>
    <row r="203" spans="1:5" x14ac:dyDescent="0.2">
      <c r="A203" s="345">
        <v>33694</v>
      </c>
      <c r="B203" s="73"/>
      <c r="C203" s="25"/>
      <c r="D203" s="73"/>
      <c r="E203" s="73"/>
    </row>
    <row r="204" spans="1:5" x14ac:dyDescent="0.2">
      <c r="A204" s="345">
        <v>33724</v>
      </c>
      <c r="B204" s="73"/>
      <c r="C204" s="25"/>
      <c r="D204" s="73"/>
      <c r="E204" s="73"/>
    </row>
    <row r="205" spans="1:5" x14ac:dyDescent="0.2">
      <c r="A205" s="345">
        <v>33755</v>
      </c>
      <c r="B205" s="73"/>
      <c r="C205" s="25"/>
      <c r="D205" s="73"/>
      <c r="E205" s="73"/>
    </row>
    <row r="206" spans="1:5" x14ac:dyDescent="0.2">
      <c r="A206" s="345">
        <v>33785</v>
      </c>
      <c r="B206" s="73"/>
      <c r="C206" s="25"/>
      <c r="D206" s="73"/>
      <c r="E206" s="73"/>
    </row>
    <row r="207" spans="1:5" x14ac:dyDescent="0.2">
      <c r="A207" s="345">
        <v>33816</v>
      </c>
      <c r="B207" s="73"/>
      <c r="C207" s="25"/>
      <c r="D207" s="73"/>
      <c r="E207" s="73"/>
    </row>
    <row r="208" spans="1:5" x14ac:dyDescent="0.2">
      <c r="A208" s="345">
        <v>33847</v>
      </c>
      <c r="B208" s="73"/>
      <c r="C208" s="25"/>
      <c r="D208" s="73"/>
      <c r="E208" s="73"/>
    </row>
    <row r="209" spans="1:5" x14ac:dyDescent="0.2">
      <c r="A209" s="345">
        <v>33877</v>
      </c>
      <c r="B209" s="73"/>
      <c r="C209" s="25"/>
      <c r="D209" s="73"/>
      <c r="E209" s="73"/>
    </row>
    <row r="210" spans="1:5" x14ac:dyDescent="0.2">
      <c r="A210" s="345">
        <v>33908</v>
      </c>
      <c r="B210" s="73"/>
      <c r="C210" s="25"/>
      <c r="D210" s="73"/>
      <c r="E210" s="73"/>
    </row>
    <row r="211" spans="1:5" x14ac:dyDescent="0.2">
      <c r="A211" s="345">
        <v>33938</v>
      </c>
      <c r="B211" s="73"/>
      <c r="C211" s="25"/>
      <c r="D211" s="73"/>
      <c r="E211" s="73"/>
    </row>
    <row r="212" spans="1:5" x14ac:dyDescent="0.2">
      <c r="A212" s="345">
        <v>33969</v>
      </c>
      <c r="B212" s="73"/>
      <c r="C212" s="25"/>
      <c r="D212" s="73"/>
      <c r="E212" s="73"/>
    </row>
    <row r="213" spans="1:5" x14ac:dyDescent="0.2">
      <c r="A213" s="345">
        <v>34000</v>
      </c>
      <c r="B213" s="73"/>
      <c r="C213" s="25"/>
      <c r="D213" s="73"/>
      <c r="E213" s="73"/>
    </row>
    <row r="214" spans="1:5" x14ac:dyDescent="0.2">
      <c r="A214" s="345">
        <v>34028</v>
      </c>
      <c r="B214" s="73"/>
      <c r="C214" s="25"/>
      <c r="D214" s="73"/>
      <c r="E214" s="73"/>
    </row>
    <row r="215" spans="1:5" x14ac:dyDescent="0.2">
      <c r="A215" s="345">
        <v>34059</v>
      </c>
      <c r="B215" s="73"/>
      <c r="C215" s="25"/>
      <c r="D215" s="73"/>
      <c r="E215" s="73"/>
    </row>
    <row r="216" spans="1:5" x14ac:dyDescent="0.2">
      <c r="A216" s="345">
        <v>34089</v>
      </c>
      <c r="B216" s="73"/>
      <c r="C216" s="25"/>
      <c r="D216" s="73"/>
      <c r="E216" s="73"/>
    </row>
    <row r="217" spans="1:5" x14ac:dyDescent="0.2">
      <c r="A217" s="345">
        <v>34120</v>
      </c>
      <c r="B217" s="73"/>
      <c r="C217" s="25"/>
      <c r="D217" s="73"/>
      <c r="E217" s="73"/>
    </row>
    <row r="218" spans="1:5" x14ac:dyDescent="0.2">
      <c r="A218" s="345">
        <v>34150</v>
      </c>
      <c r="B218" s="73"/>
      <c r="C218" s="25"/>
      <c r="D218" s="73"/>
      <c r="E218" s="73"/>
    </row>
    <row r="219" spans="1:5" x14ac:dyDescent="0.2">
      <c r="A219" s="345">
        <v>34181</v>
      </c>
      <c r="B219" s="73"/>
      <c r="C219" s="25"/>
      <c r="D219" s="73"/>
      <c r="E219" s="73"/>
    </row>
    <row r="220" spans="1:5" x14ac:dyDescent="0.2">
      <c r="A220" s="345">
        <v>34212</v>
      </c>
      <c r="B220" s="73"/>
      <c r="C220" s="25"/>
      <c r="D220" s="73"/>
      <c r="E220" s="73"/>
    </row>
    <row r="221" spans="1:5" x14ac:dyDescent="0.2">
      <c r="A221" s="345">
        <v>34242</v>
      </c>
      <c r="B221" s="73"/>
      <c r="C221" s="25"/>
      <c r="D221" s="73"/>
      <c r="E221" s="73"/>
    </row>
    <row r="222" spans="1:5" x14ac:dyDescent="0.2">
      <c r="A222" s="345">
        <v>34273</v>
      </c>
      <c r="B222" s="73"/>
      <c r="C222" s="25"/>
      <c r="D222" s="73"/>
      <c r="E222" s="73"/>
    </row>
    <row r="223" spans="1:5" x14ac:dyDescent="0.2">
      <c r="A223" s="345">
        <v>34303</v>
      </c>
      <c r="B223" s="73"/>
      <c r="C223" s="25"/>
      <c r="D223" s="73"/>
      <c r="E223" s="73"/>
    </row>
    <row r="224" spans="1:5" x14ac:dyDescent="0.2">
      <c r="A224" s="345">
        <v>34334</v>
      </c>
      <c r="B224" s="73"/>
      <c r="C224" s="25"/>
      <c r="D224" s="73"/>
      <c r="E224" s="73"/>
    </row>
    <row r="225" spans="1:5" x14ac:dyDescent="0.2">
      <c r="A225" s="345">
        <v>34365</v>
      </c>
      <c r="B225" s="73"/>
      <c r="C225" s="25"/>
      <c r="D225" s="73"/>
      <c r="E225" s="73"/>
    </row>
    <row r="226" spans="1:5" x14ac:dyDescent="0.2">
      <c r="A226" s="345">
        <v>34393</v>
      </c>
      <c r="B226" s="73"/>
      <c r="C226" s="25"/>
      <c r="D226" s="73"/>
      <c r="E226" s="73"/>
    </row>
    <row r="227" spans="1:5" x14ac:dyDescent="0.2">
      <c r="A227" s="345">
        <v>34424</v>
      </c>
      <c r="B227" s="73"/>
      <c r="C227" s="25"/>
      <c r="D227" s="73"/>
      <c r="E227" s="73"/>
    </row>
    <row r="228" spans="1:5" x14ac:dyDescent="0.2">
      <c r="A228" s="345">
        <v>34454</v>
      </c>
      <c r="B228" s="73"/>
      <c r="C228" s="25"/>
      <c r="D228" s="73"/>
      <c r="E228" s="73"/>
    </row>
    <row r="229" spans="1:5" x14ac:dyDescent="0.2">
      <c r="A229" s="345">
        <v>34485</v>
      </c>
      <c r="B229" s="73"/>
      <c r="C229" s="25"/>
      <c r="D229" s="73"/>
      <c r="E229" s="73"/>
    </row>
    <row r="230" spans="1:5" x14ac:dyDescent="0.2">
      <c r="A230" s="345">
        <v>34515</v>
      </c>
      <c r="B230" s="73"/>
      <c r="C230" s="25"/>
      <c r="D230" s="73"/>
      <c r="E230" s="73"/>
    </row>
    <row r="231" spans="1:5" x14ac:dyDescent="0.2">
      <c r="A231" s="345">
        <v>34546</v>
      </c>
      <c r="B231" s="73"/>
      <c r="C231" s="25"/>
      <c r="D231" s="73"/>
      <c r="E231" s="73"/>
    </row>
    <row r="232" spans="1:5" x14ac:dyDescent="0.2">
      <c r="A232" s="345">
        <v>34577</v>
      </c>
      <c r="B232" s="73"/>
      <c r="C232" s="25"/>
      <c r="D232" s="73"/>
      <c r="E232" s="73"/>
    </row>
    <row r="233" spans="1:5" x14ac:dyDescent="0.2">
      <c r="A233" s="345">
        <v>34607</v>
      </c>
      <c r="B233" s="73"/>
      <c r="C233" s="25"/>
      <c r="D233" s="73"/>
      <c r="E233" s="73"/>
    </row>
    <row r="234" spans="1:5" x14ac:dyDescent="0.2">
      <c r="A234" s="345">
        <v>34638</v>
      </c>
      <c r="B234" s="73"/>
      <c r="C234" s="25"/>
      <c r="D234" s="73"/>
      <c r="E234" s="73"/>
    </row>
    <row r="235" spans="1:5" x14ac:dyDescent="0.2">
      <c r="A235" s="345">
        <v>34668</v>
      </c>
      <c r="B235" s="73"/>
      <c r="C235" s="25"/>
      <c r="D235" s="73"/>
      <c r="E235" s="73"/>
    </row>
    <row r="236" spans="1:5" x14ac:dyDescent="0.2">
      <c r="A236" s="345">
        <v>34699</v>
      </c>
      <c r="B236" s="73"/>
      <c r="C236" s="25"/>
      <c r="D236" s="73"/>
      <c r="E236" s="73"/>
    </row>
    <row r="237" spans="1:5" x14ac:dyDescent="0.2">
      <c r="A237" s="345">
        <v>34730</v>
      </c>
      <c r="B237" s="73"/>
      <c r="C237" s="25"/>
      <c r="D237" s="73"/>
      <c r="E237" s="73"/>
    </row>
    <row r="238" spans="1:5" x14ac:dyDescent="0.2">
      <c r="A238" s="345">
        <v>34758</v>
      </c>
      <c r="B238" s="73"/>
      <c r="C238" s="25"/>
      <c r="D238" s="73"/>
      <c r="E238" s="73"/>
    </row>
    <row r="239" spans="1:5" x14ac:dyDescent="0.2">
      <c r="A239" s="345">
        <v>34789</v>
      </c>
      <c r="B239" s="73"/>
      <c r="C239" s="25"/>
      <c r="D239" s="73"/>
      <c r="E239" s="73"/>
    </row>
    <row r="240" spans="1:5" x14ac:dyDescent="0.2">
      <c r="A240" s="345">
        <v>34819</v>
      </c>
      <c r="B240" s="73"/>
      <c r="C240" s="25"/>
      <c r="D240" s="73"/>
      <c r="E240" s="73"/>
    </row>
    <row r="241" spans="1:5" x14ac:dyDescent="0.2">
      <c r="A241" s="345">
        <v>34850</v>
      </c>
      <c r="B241" s="73"/>
      <c r="C241" s="25"/>
      <c r="D241" s="73"/>
      <c r="E241" s="73"/>
    </row>
    <row r="242" spans="1:5" x14ac:dyDescent="0.2">
      <c r="A242" s="345">
        <v>34880</v>
      </c>
      <c r="B242" s="73"/>
      <c r="C242" s="25"/>
      <c r="D242" s="73"/>
      <c r="E242" s="73"/>
    </row>
    <row r="243" spans="1:5" x14ac:dyDescent="0.2">
      <c r="A243" s="345">
        <v>34911</v>
      </c>
      <c r="B243" s="73"/>
      <c r="C243" s="25"/>
      <c r="D243" s="73"/>
      <c r="E243" s="73"/>
    </row>
    <row r="244" spans="1:5" x14ac:dyDescent="0.2">
      <c r="A244" s="345">
        <v>34942</v>
      </c>
      <c r="B244" s="73"/>
      <c r="C244" s="25"/>
      <c r="D244" s="73"/>
      <c r="E244" s="73"/>
    </row>
    <row r="245" spans="1:5" x14ac:dyDescent="0.2">
      <c r="A245" s="345">
        <v>34972</v>
      </c>
      <c r="B245" s="73"/>
      <c r="C245" s="25"/>
      <c r="D245" s="73"/>
      <c r="E245" s="73"/>
    </row>
    <row r="246" spans="1:5" x14ac:dyDescent="0.2">
      <c r="A246" s="345">
        <v>35003</v>
      </c>
      <c r="B246" s="73"/>
      <c r="C246" s="25"/>
      <c r="D246" s="73"/>
      <c r="E246" s="73"/>
    </row>
    <row r="247" spans="1:5" x14ac:dyDescent="0.2">
      <c r="A247" s="345">
        <v>35033</v>
      </c>
      <c r="B247" s="73"/>
      <c r="C247" s="25"/>
      <c r="D247" s="73"/>
      <c r="E247" s="73"/>
    </row>
    <row r="248" spans="1:5" x14ac:dyDescent="0.2">
      <c r="A248" s="345">
        <v>35064</v>
      </c>
      <c r="B248" s="73"/>
      <c r="C248" s="25"/>
      <c r="D248" s="73"/>
      <c r="E248" s="73"/>
    </row>
    <row r="249" spans="1:5" x14ac:dyDescent="0.2">
      <c r="A249" s="345">
        <v>35095</v>
      </c>
      <c r="B249" s="73"/>
      <c r="C249" s="25"/>
      <c r="D249" s="73"/>
      <c r="E249" s="73"/>
    </row>
    <row r="250" spans="1:5" x14ac:dyDescent="0.2">
      <c r="A250" s="345">
        <v>35124</v>
      </c>
      <c r="B250" s="73"/>
      <c r="C250" s="25"/>
      <c r="D250" s="73"/>
      <c r="E250" s="73"/>
    </row>
    <row r="251" spans="1:5" x14ac:dyDescent="0.2">
      <c r="A251" s="345">
        <v>35155</v>
      </c>
      <c r="B251" s="73"/>
      <c r="C251" s="25"/>
      <c r="D251" s="73"/>
      <c r="E251" s="73"/>
    </row>
    <row r="252" spans="1:5" x14ac:dyDescent="0.2">
      <c r="A252" s="345">
        <v>35185</v>
      </c>
      <c r="B252" s="73"/>
      <c r="C252" s="25"/>
      <c r="D252" s="73"/>
      <c r="E252" s="73"/>
    </row>
    <row r="253" spans="1:5" x14ac:dyDescent="0.2">
      <c r="A253" s="345">
        <v>35216</v>
      </c>
      <c r="B253" s="73"/>
      <c r="C253" s="25"/>
      <c r="D253" s="73"/>
      <c r="E253" s="73"/>
    </row>
    <row r="254" spans="1:5" x14ac:dyDescent="0.2">
      <c r="A254" s="345">
        <v>35246</v>
      </c>
      <c r="B254" s="73"/>
      <c r="C254" s="25"/>
      <c r="D254" s="73"/>
      <c r="E254" s="73"/>
    </row>
    <row r="255" spans="1:5" x14ac:dyDescent="0.2">
      <c r="A255" s="345">
        <v>35277</v>
      </c>
      <c r="B255" s="73"/>
      <c r="C255" s="25"/>
      <c r="D255" s="73"/>
      <c r="E255" s="73"/>
    </row>
    <row r="256" spans="1:5" x14ac:dyDescent="0.2">
      <c r="A256" s="345">
        <v>35308</v>
      </c>
      <c r="B256" s="73"/>
      <c r="C256" s="25"/>
      <c r="D256" s="73"/>
      <c r="E256" s="73"/>
    </row>
    <row r="257" spans="1:5" x14ac:dyDescent="0.2">
      <c r="A257" s="345">
        <v>35338</v>
      </c>
      <c r="B257" s="73"/>
      <c r="C257" s="25"/>
      <c r="D257" s="73"/>
      <c r="E257" s="73"/>
    </row>
    <row r="258" spans="1:5" x14ac:dyDescent="0.2">
      <c r="A258" s="345">
        <v>35369</v>
      </c>
      <c r="B258" s="73"/>
      <c r="C258" s="25"/>
      <c r="D258" s="73"/>
      <c r="E258" s="73"/>
    </row>
    <row r="259" spans="1:5" x14ac:dyDescent="0.2">
      <c r="A259" s="345">
        <v>35399</v>
      </c>
      <c r="B259" s="73"/>
      <c r="C259" s="25"/>
      <c r="D259" s="73"/>
      <c r="E259" s="73"/>
    </row>
    <row r="260" spans="1:5" x14ac:dyDescent="0.2">
      <c r="A260" s="345">
        <v>35430</v>
      </c>
      <c r="B260" s="73"/>
      <c r="C260" s="25"/>
      <c r="D260" s="73"/>
      <c r="E260" s="73"/>
    </row>
    <row r="261" spans="1:5" x14ac:dyDescent="0.2">
      <c r="A261" s="345">
        <v>35461</v>
      </c>
      <c r="B261" s="73"/>
      <c r="C261" s="25"/>
      <c r="D261" s="73"/>
      <c r="E261" s="73"/>
    </row>
    <row r="262" spans="1:5" x14ac:dyDescent="0.2">
      <c r="A262" s="345">
        <v>35489</v>
      </c>
      <c r="B262" s="73"/>
      <c r="C262" s="25"/>
      <c r="D262" s="73"/>
      <c r="E262" s="73"/>
    </row>
    <row r="263" spans="1:5" x14ac:dyDescent="0.2">
      <c r="A263" s="345">
        <v>35520</v>
      </c>
      <c r="B263" s="73"/>
      <c r="C263" s="25"/>
      <c r="D263" s="73"/>
      <c r="E263" s="73"/>
    </row>
    <row r="264" spans="1:5" x14ac:dyDescent="0.2">
      <c r="A264" s="345">
        <v>35550</v>
      </c>
      <c r="B264" s="73"/>
      <c r="C264" s="25"/>
      <c r="D264" s="73"/>
      <c r="E264" s="73"/>
    </row>
    <row r="265" spans="1:5" x14ac:dyDescent="0.2">
      <c r="A265" s="345">
        <v>35581</v>
      </c>
      <c r="B265" s="73"/>
      <c r="C265" s="25"/>
      <c r="D265" s="73"/>
      <c r="E265" s="73"/>
    </row>
    <row r="266" spans="1:5" x14ac:dyDescent="0.2">
      <c r="A266" s="345">
        <v>35611</v>
      </c>
      <c r="B266" s="73"/>
      <c r="C266" s="25"/>
      <c r="D266" s="73"/>
      <c r="E266" s="73"/>
    </row>
    <row r="267" spans="1:5" x14ac:dyDescent="0.2">
      <c r="A267" s="345">
        <v>35642</v>
      </c>
      <c r="B267" s="73"/>
      <c r="C267" s="25"/>
      <c r="D267" s="73"/>
      <c r="E267" s="73"/>
    </row>
    <row r="268" spans="1:5" x14ac:dyDescent="0.2">
      <c r="A268" s="345">
        <v>35673</v>
      </c>
      <c r="B268" s="73"/>
      <c r="C268" s="25"/>
      <c r="D268" s="73"/>
      <c r="E268" s="73"/>
    </row>
    <row r="269" spans="1:5" x14ac:dyDescent="0.2">
      <c r="A269" s="345">
        <v>35703</v>
      </c>
      <c r="B269" s="73"/>
      <c r="C269" s="25"/>
      <c r="D269" s="73"/>
      <c r="E269" s="73"/>
    </row>
    <row r="270" spans="1:5" x14ac:dyDescent="0.2">
      <c r="A270" s="345">
        <v>35734</v>
      </c>
      <c r="B270" s="73"/>
      <c r="C270" s="25"/>
      <c r="D270" s="73"/>
      <c r="E270" s="73"/>
    </row>
    <row r="271" spans="1:5" x14ac:dyDescent="0.2">
      <c r="A271" s="345">
        <v>35764</v>
      </c>
      <c r="B271" s="73"/>
      <c r="C271" s="25"/>
      <c r="D271" s="73"/>
      <c r="E271" s="73"/>
    </row>
    <row r="272" spans="1:5" x14ac:dyDescent="0.2">
      <c r="A272" s="345">
        <v>35795</v>
      </c>
      <c r="B272" s="73"/>
      <c r="C272" s="25"/>
      <c r="D272" s="73"/>
      <c r="E272" s="73"/>
    </row>
    <row r="273" spans="1:5" x14ac:dyDescent="0.2">
      <c r="A273" s="345">
        <v>35826</v>
      </c>
      <c r="B273" s="73"/>
      <c r="C273" s="25"/>
      <c r="D273" s="73"/>
      <c r="E273" s="73"/>
    </row>
    <row r="274" spans="1:5" x14ac:dyDescent="0.2">
      <c r="A274" s="345">
        <v>35854</v>
      </c>
      <c r="B274" s="73"/>
      <c r="C274" s="32"/>
      <c r="D274" s="73"/>
      <c r="E274" s="73"/>
    </row>
    <row r="275" spans="1:5" x14ac:dyDescent="0.2">
      <c r="A275" s="345">
        <v>35885</v>
      </c>
      <c r="B275" s="73"/>
      <c r="C275" s="32"/>
      <c r="D275" s="73"/>
      <c r="E275" s="73"/>
    </row>
    <row r="276" spans="1:5" x14ac:dyDescent="0.2">
      <c r="A276" s="345">
        <v>35915</v>
      </c>
      <c r="B276" s="73"/>
      <c r="C276" s="32"/>
      <c r="D276" s="73"/>
      <c r="E276" s="73"/>
    </row>
    <row r="277" spans="1:5" x14ac:dyDescent="0.2">
      <c r="A277" s="345">
        <v>35946</v>
      </c>
      <c r="B277" s="73"/>
      <c r="C277" s="32"/>
      <c r="D277" s="73"/>
      <c r="E277" s="73"/>
    </row>
    <row r="278" spans="1:5" x14ac:dyDescent="0.2">
      <c r="A278" s="345">
        <v>35976</v>
      </c>
      <c r="B278" s="73"/>
      <c r="C278" s="32"/>
      <c r="D278" s="73"/>
      <c r="E278" s="73"/>
    </row>
    <row r="279" spans="1:5" x14ac:dyDescent="0.2">
      <c r="A279" s="345">
        <v>36007</v>
      </c>
      <c r="B279" s="73"/>
      <c r="C279" s="32"/>
      <c r="D279" s="73"/>
      <c r="E279" s="73"/>
    </row>
    <row r="280" spans="1:5" x14ac:dyDescent="0.2">
      <c r="A280" s="345">
        <v>36038</v>
      </c>
      <c r="B280" s="73"/>
      <c r="C280" s="32"/>
      <c r="D280" s="73"/>
      <c r="E280" s="73"/>
    </row>
    <row r="281" spans="1:5" x14ac:dyDescent="0.2">
      <c r="A281" s="345">
        <v>36068</v>
      </c>
      <c r="B281" s="73"/>
      <c r="C281" s="32"/>
      <c r="D281" s="73"/>
      <c r="E281" s="73"/>
    </row>
    <row r="282" spans="1:5" x14ac:dyDescent="0.2">
      <c r="A282" s="345">
        <v>36099</v>
      </c>
      <c r="B282" s="73"/>
      <c r="C282" s="32"/>
      <c r="D282" s="73"/>
      <c r="E282" s="73"/>
    </row>
    <row r="283" spans="1:5" x14ac:dyDescent="0.2">
      <c r="A283" s="345">
        <v>36129</v>
      </c>
      <c r="B283" s="73"/>
      <c r="C283" s="32"/>
      <c r="D283" s="73"/>
      <c r="E283" s="73"/>
    </row>
    <row r="284" spans="1:5" x14ac:dyDescent="0.2">
      <c r="A284" s="345">
        <v>36160</v>
      </c>
      <c r="B284" s="73"/>
      <c r="C284" s="32"/>
      <c r="D284" s="73"/>
      <c r="E284" s="73"/>
    </row>
    <row r="285" spans="1:5" x14ac:dyDescent="0.2">
      <c r="A285" s="345">
        <v>36191</v>
      </c>
      <c r="B285" s="73"/>
      <c r="C285" s="32"/>
      <c r="D285" s="73"/>
      <c r="E285" s="73"/>
    </row>
    <row r="286" spans="1:5" x14ac:dyDescent="0.2">
      <c r="A286" s="345">
        <v>36219</v>
      </c>
      <c r="B286" s="73"/>
      <c r="C286" s="32"/>
      <c r="D286" s="73"/>
      <c r="E286" s="73"/>
    </row>
    <row r="287" spans="1:5" x14ac:dyDescent="0.2">
      <c r="A287" s="345">
        <v>36250</v>
      </c>
      <c r="B287" s="73"/>
      <c r="C287" s="32"/>
      <c r="D287" s="73"/>
      <c r="E287" s="73"/>
    </row>
    <row r="288" spans="1:5" x14ac:dyDescent="0.2">
      <c r="A288" s="345">
        <v>36280</v>
      </c>
      <c r="B288" s="73"/>
      <c r="C288" s="32"/>
      <c r="D288" s="73"/>
      <c r="E288" s="73"/>
    </row>
    <row r="289" spans="1:5" x14ac:dyDescent="0.2">
      <c r="A289" s="345">
        <v>36311</v>
      </c>
      <c r="B289" s="73"/>
      <c r="C289" s="32"/>
      <c r="D289" s="73"/>
      <c r="E289" s="73"/>
    </row>
    <row r="290" spans="1:5" x14ac:dyDescent="0.2">
      <c r="A290" s="345">
        <v>36341</v>
      </c>
      <c r="B290" s="73"/>
      <c r="C290" s="32"/>
      <c r="D290" s="73"/>
      <c r="E290" s="73"/>
    </row>
    <row r="291" spans="1:5" x14ac:dyDescent="0.2">
      <c r="A291" s="345">
        <v>36372</v>
      </c>
      <c r="B291" s="73"/>
      <c r="C291" s="32"/>
      <c r="D291" s="73"/>
      <c r="E291" s="73"/>
    </row>
    <row r="292" spans="1:5" x14ac:dyDescent="0.2">
      <c r="A292" s="345">
        <v>36403</v>
      </c>
      <c r="B292" s="73"/>
      <c r="C292" s="32"/>
      <c r="D292" s="73"/>
      <c r="E292" s="73"/>
    </row>
    <row r="293" spans="1:5" x14ac:dyDescent="0.2">
      <c r="A293" s="345">
        <v>36433</v>
      </c>
      <c r="B293" s="73"/>
      <c r="C293" s="32"/>
      <c r="D293" s="73"/>
      <c r="E293" s="73"/>
    </row>
    <row r="294" spans="1:5" x14ac:dyDescent="0.2">
      <c r="A294" s="345">
        <v>36464</v>
      </c>
      <c r="B294" s="73"/>
      <c r="C294" s="32"/>
      <c r="D294" s="73"/>
      <c r="E294" s="73"/>
    </row>
    <row r="295" spans="1:5" x14ac:dyDescent="0.2">
      <c r="A295" s="345">
        <v>36494</v>
      </c>
      <c r="B295" s="73"/>
      <c r="C295" s="32"/>
      <c r="D295" s="73"/>
      <c r="E295" s="73"/>
    </row>
    <row r="296" spans="1:5" x14ac:dyDescent="0.2">
      <c r="A296" s="345">
        <v>36525</v>
      </c>
      <c r="B296" s="73"/>
      <c r="C296" s="32"/>
      <c r="D296" s="73"/>
      <c r="E296" s="73"/>
    </row>
    <row r="297" spans="1:5" x14ac:dyDescent="0.2">
      <c r="A297" s="345">
        <v>36556</v>
      </c>
      <c r="B297" s="73"/>
      <c r="C297" s="32"/>
      <c r="D297" s="73"/>
      <c r="E297" s="73"/>
    </row>
    <row r="298" spans="1:5" x14ac:dyDescent="0.2">
      <c r="A298" s="345">
        <v>36585</v>
      </c>
      <c r="B298" s="73"/>
      <c r="C298" s="32"/>
      <c r="D298" s="73"/>
      <c r="E298" s="73"/>
    </row>
    <row r="299" spans="1:5" x14ac:dyDescent="0.2">
      <c r="A299" s="345">
        <v>36616</v>
      </c>
      <c r="B299" s="73"/>
      <c r="C299" s="32"/>
      <c r="D299" s="73"/>
      <c r="E299" s="73"/>
    </row>
    <row r="300" spans="1:5" x14ac:dyDescent="0.2">
      <c r="A300" s="345">
        <v>36646</v>
      </c>
      <c r="B300" s="73"/>
      <c r="C300" s="32"/>
      <c r="D300" s="73"/>
      <c r="E300" s="73"/>
    </row>
    <row r="301" spans="1:5" x14ac:dyDescent="0.2">
      <c r="A301" s="345">
        <v>36677</v>
      </c>
      <c r="B301" s="73"/>
      <c r="C301" s="32"/>
      <c r="D301" s="73"/>
      <c r="E301" s="73"/>
    </row>
    <row r="302" spans="1:5" x14ac:dyDescent="0.2">
      <c r="A302" s="345">
        <v>36707</v>
      </c>
      <c r="B302" s="73"/>
      <c r="C302" s="32"/>
      <c r="D302" s="73"/>
      <c r="E302" s="73"/>
    </row>
    <row r="303" spans="1:5" x14ac:dyDescent="0.2">
      <c r="A303" s="345">
        <v>36738</v>
      </c>
      <c r="B303" s="73"/>
      <c r="C303" s="32"/>
      <c r="D303" s="73"/>
      <c r="E303" s="73"/>
    </row>
    <row r="304" spans="1:5" x14ac:dyDescent="0.2">
      <c r="A304" s="345">
        <v>36769</v>
      </c>
      <c r="B304" s="73"/>
      <c r="C304" s="32"/>
      <c r="D304" s="73"/>
      <c r="E304" s="73"/>
    </row>
    <row r="305" spans="1:5" x14ac:dyDescent="0.2">
      <c r="A305" s="345">
        <v>36799</v>
      </c>
      <c r="B305" s="73"/>
      <c r="C305" s="32"/>
      <c r="D305" s="73"/>
      <c r="E305" s="73"/>
    </row>
    <row r="306" spans="1:5" x14ac:dyDescent="0.2">
      <c r="A306" s="345">
        <v>36830</v>
      </c>
      <c r="B306" s="73"/>
      <c r="C306" s="32"/>
      <c r="D306" s="73"/>
      <c r="E306" s="73"/>
    </row>
    <row r="307" spans="1:5" x14ac:dyDescent="0.2">
      <c r="A307" s="345">
        <v>36860</v>
      </c>
      <c r="B307" s="73"/>
      <c r="C307" s="32"/>
      <c r="D307" s="73"/>
      <c r="E307" s="73"/>
    </row>
    <row r="308" spans="1:5" x14ac:dyDescent="0.2">
      <c r="A308" s="345">
        <v>36891</v>
      </c>
      <c r="B308" s="73"/>
      <c r="C308" s="32"/>
      <c r="D308" s="73"/>
      <c r="E308" s="73"/>
    </row>
    <row r="309" spans="1:5" x14ac:dyDescent="0.2">
      <c r="A309" s="345">
        <v>36922</v>
      </c>
      <c r="B309" s="73"/>
      <c r="C309" s="32"/>
      <c r="D309" s="73"/>
      <c r="E309" s="73"/>
    </row>
    <row r="310" spans="1:5" x14ac:dyDescent="0.2">
      <c r="A310" s="345">
        <v>36950</v>
      </c>
      <c r="B310" s="73"/>
      <c r="C310" s="32"/>
      <c r="D310" s="73"/>
      <c r="E310" s="73"/>
    </row>
    <row r="311" spans="1:5" x14ac:dyDescent="0.2">
      <c r="A311" s="345">
        <v>36981</v>
      </c>
      <c r="B311" s="73"/>
      <c r="C311" s="32"/>
      <c r="D311" s="73"/>
      <c r="E311" s="73"/>
    </row>
    <row r="312" spans="1:5" x14ac:dyDescent="0.2">
      <c r="A312" s="345">
        <v>37011</v>
      </c>
      <c r="B312" s="73"/>
      <c r="C312" s="32"/>
      <c r="D312" s="73"/>
      <c r="E312" s="73"/>
    </row>
    <row r="313" spans="1:5" x14ac:dyDescent="0.2">
      <c r="A313" s="345">
        <v>37042</v>
      </c>
      <c r="B313" s="73"/>
      <c r="C313" s="32"/>
      <c r="D313" s="73"/>
      <c r="E313" s="73"/>
    </row>
    <row r="314" spans="1:5" x14ac:dyDescent="0.2">
      <c r="A314" s="345">
        <v>37072</v>
      </c>
      <c r="B314" s="73"/>
      <c r="C314" s="32"/>
      <c r="D314" s="73"/>
      <c r="E314" s="73"/>
    </row>
    <row r="315" spans="1:5" x14ac:dyDescent="0.2">
      <c r="A315" s="345">
        <v>37103</v>
      </c>
      <c r="B315" s="73"/>
      <c r="C315" s="32"/>
      <c r="D315" s="73"/>
      <c r="E315" s="73"/>
    </row>
    <row r="316" spans="1:5" x14ac:dyDescent="0.2">
      <c r="A316" s="345">
        <v>37134</v>
      </c>
      <c r="B316" s="73"/>
      <c r="C316" s="32"/>
      <c r="D316" s="73"/>
      <c r="E316" s="73"/>
    </row>
    <row r="317" spans="1:5" x14ac:dyDescent="0.2">
      <c r="A317" s="345">
        <v>37164</v>
      </c>
      <c r="B317" s="73"/>
      <c r="C317" s="32"/>
      <c r="D317" s="73"/>
      <c r="E317" s="73"/>
    </row>
    <row r="318" spans="1:5" x14ac:dyDescent="0.2">
      <c r="A318" s="345">
        <v>37195</v>
      </c>
      <c r="B318" s="73"/>
      <c r="C318" s="32"/>
      <c r="D318" s="73"/>
      <c r="E318" s="73"/>
    </row>
    <row r="319" spans="1:5" x14ac:dyDescent="0.2">
      <c r="A319" s="345">
        <v>37225</v>
      </c>
      <c r="B319" s="73"/>
      <c r="C319" s="32"/>
      <c r="D319" s="73"/>
      <c r="E319" s="73"/>
    </row>
    <row r="320" spans="1:5" x14ac:dyDescent="0.2">
      <c r="A320" s="345">
        <v>37256</v>
      </c>
      <c r="B320" s="73"/>
      <c r="C320" s="32"/>
      <c r="D320" s="73"/>
      <c r="E320" s="73"/>
    </row>
    <row r="321" spans="1:5" x14ac:dyDescent="0.2">
      <c r="A321" s="345">
        <v>37287</v>
      </c>
      <c r="B321" s="73"/>
      <c r="C321" s="32"/>
      <c r="D321" s="73"/>
      <c r="E321" s="73"/>
    </row>
    <row r="322" spans="1:5" x14ac:dyDescent="0.2">
      <c r="A322" s="345">
        <v>37315</v>
      </c>
      <c r="B322" s="73"/>
      <c r="C322" s="32"/>
      <c r="D322" s="73"/>
      <c r="E322" s="73"/>
    </row>
    <row r="323" spans="1:5" x14ac:dyDescent="0.2">
      <c r="A323" s="345">
        <v>37346</v>
      </c>
      <c r="B323" s="73"/>
      <c r="C323" s="32"/>
      <c r="D323" s="73"/>
      <c r="E323" s="73"/>
    </row>
    <row r="324" spans="1:5" x14ac:dyDescent="0.2">
      <c r="A324" s="345">
        <v>37376</v>
      </c>
      <c r="B324" s="73"/>
      <c r="C324" s="32"/>
      <c r="D324" s="73"/>
      <c r="E324" s="73"/>
    </row>
    <row r="325" spans="1:5" x14ac:dyDescent="0.2">
      <c r="A325" s="345">
        <v>37407</v>
      </c>
      <c r="B325" s="73"/>
      <c r="C325" s="32"/>
      <c r="D325" s="73"/>
      <c r="E325" s="73"/>
    </row>
    <row r="326" spans="1:5" x14ac:dyDescent="0.2">
      <c r="A326" s="345">
        <v>37437</v>
      </c>
      <c r="B326" s="73"/>
      <c r="C326" s="32"/>
      <c r="D326" s="73"/>
      <c r="E326" s="73"/>
    </row>
    <row r="327" spans="1:5" x14ac:dyDescent="0.2">
      <c r="A327" s="345">
        <v>37468</v>
      </c>
      <c r="B327" s="73"/>
      <c r="C327" s="32"/>
      <c r="D327" s="73"/>
      <c r="E327" s="73"/>
    </row>
    <row r="328" spans="1:5" x14ac:dyDescent="0.2">
      <c r="A328" s="345">
        <v>37499</v>
      </c>
      <c r="B328" s="73"/>
      <c r="C328" s="32"/>
      <c r="D328" s="73"/>
      <c r="E328" s="73"/>
    </row>
    <row r="329" spans="1:5" x14ac:dyDescent="0.2">
      <c r="A329" s="345">
        <v>37529</v>
      </c>
      <c r="B329" s="73"/>
      <c r="C329" s="32"/>
      <c r="D329" s="73"/>
      <c r="E329" s="73"/>
    </row>
    <row r="330" spans="1:5" x14ac:dyDescent="0.2">
      <c r="A330" s="345">
        <v>37560</v>
      </c>
      <c r="B330" s="73"/>
      <c r="C330" s="32"/>
      <c r="D330" s="73"/>
      <c r="E330" s="73"/>
    </row>
    <row r="331" spans="1:5" x14ac:dyDescent="0.2">
      <c r="A331" s="345">
        <v>37590</v>
      </c>
      <c r="B331" s="73"/>
      <c r="C331" s="32"/>
      <c r="D331" s="73"/>
      <c r="E331" s="73"/>
    </row>
    <row r="332" spans="1:5" x14ac:dyDescent="0.2">
      <c r="A332" s="345">
        <v>37621</v>
      </c>
      <c r="B332" s="254"/>
      <c r="C332" s="33"/>
      <c r="D332" s="255"/>
      <c r="E332" s="255"/>
    </row>
    <row r="333" spans="1:5" x14ac:dyDescent="0.2">
      <c r="A333" s="345">
        <v>37652</v>
      </c>
      <c r="B333" s="1369">
        <v>-1.96</v>
      </c>
      <c r="C333" s="33">
        <v>144277628.53999999</v>
      </c>
      <c r="D333" s="255"/>
      <c r="E333" s="253">
        <f>B333-Index_Returns!C333</f>
        <v>0.5444</v>
      </c>
    </row>
    <row r="334" spans="1:5" x14ac:dyDescent="0.2">
      <c r="A334" s="345">
        <v>37680</v>
      </c>
      <c r="B334" s="1369">
        <v>-0.26</v>
      </c>
      <c r="C334" s="33">
        <v>143904845.5</v>
      </c>
      <c r="D334" s="255"/>
      <c r="E334" s="253">
        <f>B334-Index_Returns!C334</f>
        <v>3.7700000000000011E-2</v>
      </c>
    </row>
    <row r="335" spans="1:5" x14ac:dyDescent="0.2">
      <c r="A335" s="345">
        <v>37711</v>
      </c>
      <c r="B335" s="1369">
        <v>2.11</v>
      </c>
      <c r="C335" s="33">
        <v>147107905.91</v>
      </c>
      <c r="D335" s="255"/>
      <c r="E335" s="253">
        <f>B335-Index_Returns!C335</f>
        <v>8.4600000000000009E-2</v>
      </c>
    </row>
    <row r="336" spans="1:5" x14ac:dyDescent="0.2">
      <c r="A336" s="345">
        <v>37741</v>
      </c>
      <c r="B336" s="1369">
        <v>4.7</v>
      </c>
      <c r="C336" s="33">
        <v>154024907.15000001</v>
      </c>
      <c r="D336" s="255"/>
      <c r="E336" s="253">
        <f>B336-Index_Returns!C336</f>
        <v>-1.9946999999999999</v>
      </c>
    </row>
    <row r="337" spans="1:9" x14ac:dyDescent="0.2">
      <c r="A337" s="345">
        <v>37772</v>
      </c>
      <c r="B337" s="1369">
        <v>4.67</v>
      </c>
      <c r="C337" s="33">
        <v>161229239.59</v>
      </c>
      <c r="D337" s="255"/>
      <c r="E337" s="253">
        <f>B337-Index_Returns!C337</f>
        <v>1.4146999999999998</v>
      </c>
    </row>
    <row r="338" spans="1:9" x14ac:dyDescent="0.2">
      <c r="A338" s="345">
        <v>37802</v>
      </c>
      <c r="B338" s="1369">
        <v>2.2000000000000002</v>
      </c>
      <c r="C338" s="33">
        <v>164937201.88</v>
      </c>
      <c r="D338" s="255"/>
      <c r="E338" s="253">
        <f>B338-Index_Returns!C338</f>
        <v>0.3792000000000002</v>
      </c>
    </row>
    <row r="339" spans="1:9" x14ac:dyDescent="0.2">
      <c r="A339" s="345">
        <v>37833</v>
      </c>
      <c r="B339" s="1369">
        <v>0.78</v>
      </c>
      <c r="C339" s="33">
        <v>166262642.37</v>
      </c>
      <c r="D339" s="255"/>
      <c r="E339" s="253">
        <f>B339-Index_Returns!C339</f>
        <v>-0.52899999999999991</v>
      </c>
    </row>
    <row r="340" spans="1:9" x14ac:dyDescent="0.2">
      <c r="A340" s="345">
        <v>37864</v>
      </c>
      <c r="B340" s="1369">
        <v>1.8</v>
      </c>
      <c r="C340" s="33">
        <v>169255882.03999999</v>
      </c>
      <c r="D340" s="255"/>
      <c r="E340" s="253">
        <f>B340-Index_Returns!C340</f>
        <v>6.2699999999999978E-2</v>
      </c>
    </row>
    <row r="341" spans="1:9" x14ac:dyDescent="0.2">
      <c r="A341" s="345">
        <v>37894</v>
      </c>
      <c r="B341" s="1369">
        <v>0.62</v>
      </c>
      <c r="C341" s="34">
        <v>170494511.21000001</v>
      </c>
      <c r="D341" s="255"/>
      <c r="E341" s="253">
        <f>B341-Index_Returns!C341</f>
        <v>0.92830000000000001</v>
      </c>
    </row>
    <row r="342" spans="1:9" x14ac:dyDescent="0.2">
      <c r="A342" s="345">
        <v>37925</v>
      </c>
      <c r="B342" s="1369">
        <v>5.38</v>
      </c>
      <c r="C342" s="34">
        <v>179669937.72999999</v>
      </c>
      <c r="D342" s="255"/>
      <c r="E342" s="253">
        <f>B342-Index_Returns!C342</f>
        <v>0.88889999999999958</v>
      </c>
    </row>
    <row r="343" spans="1:9" x14ac:dyDescent="0.2">
      <c r="A343" s="345">
        <v>37955</v>
      </c>
      <c r="B343" s="1369">
        <v>2.19</v>
      </c>
      <c r="C343" s="34">
        <v>183602372.91999999</v>
      </c>
      <c r="D343" s="255"/>
      <c r="E343" s="253">
        <f>B343-Index_Returns!C343</f>
        <v>1.3295999999999999</v>
      </c>
    </row>
    <row r="344" spans="1:9" x14ac:dyDescent="0.2">
      <c r="A344" s="345">
        <v>37986</v>
      </c>
      <c r="B344" s="1369">
        <v>3.18</v>
      </c>
      <c r="C344" s="34">
        <v>189644884.27000001</v>
      </c>
      <c r="D344" s="255"/>
      <c r="E344" s="253">
        <f>B344-Index_Returns!C344</f>
        <v>-1.1264999999999996</v>
      </c>
    </row>
    <row r="345" spans="1:9" x14ac:dyDescent="0.2">
      <c r="A345" s="345">
        <v>38017</v>
      </c>
      <c r="B345" s="1369">
        <v>2.7</v>
      </c>
      <c r="C345" s="34">
        <v>194773339.66</v>
      </c>
      <c r="D345" s="255"/>
      <c r="E345" s="253">
        <f>B345-Index_Returns!C345</f>
        <v>0.79700000000000015</v>
      </c>
    </row>
    <row r="346" spans="1:9" x14ac:dyDescent="0.2">
      <c r="A346" s="345">
        <v>38046</v>
      </c>
      <c r="B346" s="1369">
        <v>2.34</v>
      </c>
      <c r="C346" s="34">
        <v>199338983.72999999</v>
      </c>
      <c r="D346" s="255"/>
      <c r="E346" s="253">
        <f>B346-Index_Returns!C346</f>
        <v>1.8271999999999999</v>
      </c>
    </row>
    <row r="347" spans="1:9" x14ac:dyDescent="0.2">
      <c r="A347" s="345">
        <v>38077</v>
      </c>
      <c r="B347" s="1369">
        <v>-0.14000000000000001</v>
      </c>
      <c r="C347" s="34">
        <v>199226017.12</v>
      </c>
      <c r="D347" s="255"/>
      <c r="E347" s="253">
        <f>B347-Index_Returns!C347</f>
        <v>2.2043999999999997</v>
      </c>
    </row>
    <row r="348" spans="1:9" x14ac:dyDescent="0.2">
      <c r="A348" s="345">
        <v>38107</v>
      </c>
      <c r="B348" s="1369">
        <v>-0.13</v>
      </c>
      <c r="C348" s="34">
        <v>198975952.41999999</v>
      </c>
      <c r="D348" s="253"/>
      <c r="E348" s="253">
        <f>B348-Index_Returns!C348</f>
        <v>0.49429999999999996</v>
      </c>
      <c r="I348" s="14"/>
    </row>
    <row r="349" spans="1:9" x14ac:dyDescent="0.2">
      <c r="A349" s="345">
        <v>38138</v>
      </c>
      <c r="B349" s="1369">
        <v>2.38</v>
      </c>
      <c r="C349" s="34">
        <v>203718972.41</v>
      </c>
      <c r="D349" s="253"/>
      <c r="E349" s="253">
        <f>B349-Index_Returns!C349</f>
        <v>0.78059999999999996</v>
      </c>
      <c r="I349" s="14"/>
    </row>
    <row r="350" spans="1:9" x14ac:dyDescent="0.2">
      <c r="A350" s="345">
        <v>38168</v>
      </c>
      <c r="B350" s="1369">
        <v>2.2400000000000002</v>
      </c>
      <c r="C350" s="34">
        <v>208522685.99000001</v>
      </c>
      <c r="D350" s="253"/>
      <c r="E350" s="253">
        <f>B350-Index_Returns!C350</f>
        <v>0.52770000000000028</v>
      </c>
      <c r="I350" s="14"/>
    </row>
    <row r="351" spans="1:9" x14ac:dyDescent="0.2">
      <c r="A351" s="345">
        <v>38199</v>
      </c>
      <c r="B351" s="1369">
        <v>-4.5999999999999996</v>
      </c>
      <c r="C351" s="34">
        <v>306686112.31999999</v>
      </c>
      <c r="D351" s="253"/>
      <c r="E351" s="253">
        <f>B351-Index_Returns!C351</f>
        <v>0.12630000000000052</v>
      </c>
    </row>
    <row r="352" spans="1:9" x14ac:dyDescent="0.2">
      <c r="A352" s="345">
        <v>38230</v>
      </c>
      <c r="B352" s="1369">
        <v>-0.24</v>
      </c>
      <c r="C352" s="34">
        <v>305962943.45999998</v>
      </c>
      <c r="D352" s="253"/>
      <c r="E352" s="253">
        <f>B352-Index_Returns!C352</f>
        <v>4.930000000000001E-2</v>
      </c>
    </row>
    <row r="353" spans="1:5" x14ac:dyDescent="0.2">
      <c r="A353" s="345">
        <v>38260</v>
      </c>
      <c r="B353" s="1369">
        <v>3.06</v>
      </c>
      <c r="C353" s="34">
        <v>315537131.00999999</v>
      </c>
      <c r="D353" s="253"/>
      <c r="E353" s="253">
        <f>B353-Index_Returns!C353</f>
        <v>2.8200000000000003</v>
      </c>
    </row>
    <row r="354" spans="1:5" x14ac:dyDescent="0.2">
      <c r="A354" s="345">
        <v>38291</v>
      </c>
      <c r="B354" s="1369">
        <v>0.66</v>
      </c>
      <c r="C354" s="34">
        <v>317631679.49000001</v>
      </c>
      <c r="D354" s="253"/>
      <c r="E354" s="253">
        <f>B354-Index_Returns!C354</f>
        <v>-0.88570000000000004</v>
      </c>
    </row>
    <row r="355" spans="1:5" x14ac:dyDescent="0.2">
      <c r="A355" s="345">
        <v>38321</v>
      </c>
      <c r="B355" s="1369">
        <v>3.5</v>
      </c>
      <c r="C355" s="34">
        <v>328761824.20999998</v>
      </c>
      <c r="D355" s="253"/>
      <c r="E355" s="253">
        <f>B355-Index_Returns!C355</f>
        <v>0.33570000000000011</v>
      </c>
    </row>
    <row r="356" spans="1:5" x14ac:dyDescent="0.2">
      <c r="A356" s="345">
        <v>38352</v>
      </c>
      <c r="B356" s="1369">
        <v>2.92</v>
      </c>
      <c r="C356" s="256">
        <v>338719948.57999998</v>
      </c>
      <c r="D356" s="253"/>
      <c r="E356" s="253">
        <f>B356-Index_Returns!C356</f>
        <v>-0.65779999999999994</v>
      </c>
    </row>
    <row r="357" spans="1:5" x14ac:dyDescent="0.2">
      <c r="A357" s="345">
        <v>38383</v>
      </c>
      <c r="B357" s="1369">
        <v>-1.8</v>
      </c>
      <c r="C357" s="34">
        <v>332635276.94</v>
      </c>
      <c r="D357" s="253"/>
      <c r="E357" s="253">
        <f>B357-Index_Returns!C357</f>
        <v>0.64529999999999998</v>
      </c>
    </row>
    <row r="358" spans="1:5" x14ac:dyDescent="0.2">
      <c r="A358" s="345">
        <v>38411</v>
      </c>
      <c r="B358" s="1369">
        <v>2.4</v>
      </c>
      <c r="C358" s="34">
        <v>340634839.62</v>
      </c>
      <c r="D358" s="253"/>
      <c r="E358" s="253">
        <f>B358-Index_Returns!C358</f>
        <v>0</v>
      </c>
    </row>
    <row r="359" spans="1:5" x14ac:dyDescent="0.2">
      <c r="A359" s="345">
        <v>38442</v>
      </c>
      <c r="B359" s="1369">
        <v>-1.48</v>
      </c>
      <c r="C359" s="256">
        <v>335990516.06</v>
      </c>
      <c r="D359" s="253"/>
      <c r="E359" s="253">
        <f>B359-Index_Returns!C359</f>
        <v>0.27960000000000007</v>
      </c>
    </row>
    <row r="360" spans="1:5" x14ac:dyDescent="0.2">
      <c r="A360" s="345">
        <v>38472</v>
      </c>
      <c r="B360" s="1369">
        <v>-1.79</v>
      </c>
      <c r="C360" s="256">
        <v>329976183.16000003</v>
      </c>
      <c r="D360" s="253"/>
      <c r="E360" s="253">
        <f>B360-Index_Returns!C360</f>
        <v>-4.1900000000000048E-2</v>
      </c>
    </row>
    <row r="361" spans="1:5" x14ac:dyDescent="0.2">
      <c r="A361" s="345">
        <v>38503</v>
      </c>
      <c r="B361" s="1369">
        <v>3.11</v>
      </c>
      <c r="C361" s="256">
        <v>340225236.35000002</v>
      </c>
      <c r="D361" s="253"/>
      <c r="E361" s="253">
        <f>B361-Index_Returns!C361</f>
        <v>-8.8500000000000245E-2</v>
      </c>
    </row>
    <row r="362" spans="1:5" x14ac:dyDescent="0.2">
      <c r="A362" s="345">
        <v>38533</v>
      </c>
      <c r="B362" s="1369">
        <v>-0.92</v>
      </c>
      <c r="C362" s="256">
        <v>653820934.72000003</v>
      </c>
      <c r="D362" s="253"/>
      <c r="E362" s="253">
        <f>B362-Index_Returns!C362</f>
        <v>0.32130000000000003</v>
      </c>
    </row>
    <row r="363" spans="1:5" x14ac:dyDescent="0.2">
      <c r="A363" s="345">
        <v>38564</v>
      </c>
      <c r="B363" s="1369">
        <v>3.68</v>
      </c>
      <c r="C363" s="256">
        <v>677864843.58000004</v>
      </c>
      <c r="D363" s="253"/>
      <c r="E363" s="253">
        <f>B363-Index_Returns!C363</f>
        <v>-0.62689999999999957</v>
      </c>
    </row>
    <row r="364" spans="1:5" x14ac:dyDescent="0.2">
      <c r="A364" s="345">
        <v>38595</v>
      </c>
      <c r="B364" s="1369">
        <v>-0.54</v>
      </c>
      <c r="C364" s="256">
        <v>674233069.89999998</v>
      </c>
      <c r="D364" s="253"/>
      <c r="E364" s="253">
        <f>B364-Index_Returns!C364</f>
        <v>0.53889999999999993</v>
      </c>
    </row>
    <row r="365" spans="1:5" x14ac:dyDescent="0.2">
      <c r="A365" s="345">
        <v>38625</v>
      </c>
      <c r="B365" s="1369">
        <v>1.34</v>
      </c>
      <c r="C365" s="256">
        <v>683826873.75</v>
      </c>
      <c r="D365" s="253"/>
      <c r="E365" s="253">
        <f>B365-Index_Returns!C365</f>
        <v>0.7602000000000001</v>
      </c>
    </row>
    <row r="366" spans="1:5" x14ac:dyDescent="0.2">
      <c r="A366" s="345">
        <v>38656</v>
      </c>
      <c r="B366" s="1369">
        <v>-1.07</v>
      </c>
      <c r="C366" s="256">
        <v>676492457.05999994</v>
      </c>
      <c r="D366" s="253"/>
      <c r="E366" s="253">
        <f>B366-Index_Returns!C366</f>
        <v>0.51419999999999999</v>
      </c>
    </row>
    <row r="367" spans="1:5" x14ac:dyDescent="0.2">
      <c r="A367" s="345">
        <v>38686</v>
      </c>
      <c r="B367" s="1369">
        <v>3.87</v>
      </c>
      <c r="C367" s="256">
        <v>702679358.66999996</v>
      </c>
      <c r="D367" s="253"/>
      <c r="E367" s="253">
        <f>B367-Index_Returns!C367</f>
        <v>4.4799999999999951E-2</v>
      </c>
    </row>
    <row r="368" spans="1:5" x14ac:dyDescent="0.2">
      <c r="A368" s="345">
        <v>38717</v>
      </c>
      <c r="B368" s="1369">
        <v>0.81</v>
      </c>
      <c r="C368" s="256">
        <v>708952305.90999997</v>
      </c>
      <c r="D368" s="253"/>
      <c r="E368" s="253">
        <f>B368-Index_Returns!C368</f>
        <v>1.01</v>
      </c>
    </row>
    <row r="369" spans="1:6" x14ac:dyDescent="0.2">
      <c r="A369" s="345">
        <v>38748</v>
      </c>
      <c r="B369" s="1369">
        <v>3.56</v>
      </c>
      <c r="C369" s="256">
        <v>734180790.01999998</v>
      </c>
      <c r="D369" s="253"/>
      <c r="E369" s="253">
        <f>B369-Index_Returns!C369</f>
        <v>1.2351000000000001</v>
      </c>
    </row>
    <row r="370" spans="1:6" x14ac:dyDescent="0.2">
      <c r="A370" s="345">
        <v>38776</v>
      </c>
      <c r="B370" s="1369">
        <v>-1.47</v>
      </c>
      <c r="C370" s="256">
        <v>723382266.04999995</v>
      </c>
      <c r="D370" s="253"/>
      <c r="E370" s="253">
        <f>B370-Index_Returns!C370</f>
        <v>-0.96150000000000002</v>
      </c>
    </row>
    <row r="371" spans="1:6" x14ac:dyDescent="0.2">
      <c r="A371" s="345">
        <v>38807</v>
      </c>
      <c r="B371" s="1369">
        <v>1.3</v>
      </c>
      <c r="C371" s="33">
        <v>733396596.45000005</v>
      </c>
      <c r="D371" s="253"/>
      <c r="E371" s="253">
        <f>B371-Index_Returns!C371</f>
        <v>0.505</v>
      </c>
    </row>
    <row r="372" spans="1:6" x14ac:dyDescent="0.2">
      <c r="A372" s="345">
        <v>38837</v>
      </c>
      <c r="B372" s="1369">
        <v>-0.91</v>
      </c>
      <c r="C372" s="33">
        <v>726755244.19000006</v>
      </c>
      <c r="D372" s="253"/>
      <c r="E372" s="253">
        <f>B372-Index_Returns!C372</f>
        <v>-0.82969999999999999</v>
      </c>
    </row>
    <row r="373" spans="1:6" x14ac:dyDescent="0.2">
      <c r="A373" s="345">
        <v>38868</v>
      </c>
      <c r="B373" s="1369">
        <v>-3.32</v>
      </c>
      <c r="C373" s="33">
        <v>702650704.54999995</v>
      </c>
      <c r="D373" s="253"/>
      <c r="E373" s="253">
        <f>B373-Index_Returns!C373</f>
        <v>-4.4999999999997264E-3</v>
      </c>
    </row>
    <row r="374" spans="1:6" x14ac:dyDescent="0.2">
      <c r="A374" s="345">
        <v>38898</v>
      </c>
      <c r="B374" s="1369">
        <v>-0.28999999999999998</v>
      </c>
      <c r="C374" s="354">
        <v>701257967.07000005</v>
      </c>
      <c r="D374" s="253"/>
      <c r="E374" s="253">
        <f>B374-Index_Returns!C374</f>
        <v>-0.2208</v>
      </c>
    </row>
    <row r="375" spans="1:6" x14ac:dyDescent="0.2">
      <c r="A375" s="345">
        <v>38929</v>
      </c>
      <c r="B375" s="1369">
        <v>0.46</v>
      </c>
      <c r="C375" s="34">
        <v>704475201.63999999</v>
      </c>
      <c r="D375" s="253"/>
      <c r="E375" s="253">
        <f>B375-Index_Returns!C375</f>
        <v>0.23780000000000001</v>
      </c>
    </row>
    <row r="376" spans="1:6" x14ac:dyDescent="0.2">
      <c r="A376" s="345">
        <v>38960</v>
      </c>
      <c r="B376" s="1369">
        <v>2.42</v>
      </c>
      <c r="C376" s="34">
        <v>721500262.62</v>
      </c>
      <c r="D376" s="253"/>
      <c r="E376" s="253">
        <f>B376-Index_Returns!C376</f>
        <v>-0.83870000000000022</v>
      </c>
    </row>
    <row r="377" spans="1:6" x14ac:dyDescent="0.2">
      <c r="A377" s="345">
        <v>38990</v>
      </c>
      <c r="B377" s="1369">
        <v>1.98</v>
      </c>
      <c r="C377" s="34">
        <v>736412906.30999994</v>
      </c>
      <c r="D377" s="253"/>
      <c r="E377" s="253">
        <f>B377-Index_Returns!C377</f>
        <v>-0.50979999999999981</v>
      </c>
    </row>
    <row r="378" spans="1:6" x14ac:dyDescent="0.2">
      <c r="A378" s="345">
        <v>39021</v>
      </c>
      <c r="B378" s="1369">
        <v>1.85</v>
      </c>
      <c r="C378" s="34">
        <v>750032847.46000004</v>
      </c>
      <c r="D378" s="253"/>
      <c r="E378" s="253">
        <f>B378-Index_Returns!C378</f>
        <v>-1.3304</v>
      </c>
      <c r="F378" s="352"/>
    </row>
    <row r="379" spans="1:6" x14ac:dyDescent="0.2">
      <c r="A379" s="345">
        <v>39051</v>
      </c>
      <c r="B379" s="1369">
        <v>1.17</v>
      </c>
      <c r="C379" s="34">
        <v>758784618.63999999</v>
      </c>
      <c r="D379" s="253"/>
      <c r="E379" s="253">
        <f>B379-Index_Returns!C379</f>
        <v>-0.84140000000000015</v>
      </c>
      <c r="F379" s="352"/>
    </row>
    <row r="380" spans="1:6" x14ac:dyDescent="0.2">
      <c r="A380" s="345">
        <v>39082</v>
      </c>
      <c r="B380" s="1369">
        <v>0.73</v>
      </c>
      <c r="C380" s="34">
        <v>764930045.24000001</v>
      </c>
      <c r="D380" s="253"/>
      <c r="E380" s="253">
        <f>B380-Index_Returns!C380</f>
        <v>0.35759999999999997</v>
      </c>
      <c r="F380" s="352"/>
    </row>
    <row r="381" spans="1:6" x14ac:dyDescent="0.2">
      <c r="A381" s="345">
        <v>39113</v>
      </c>
      <c r="B381" s="1369">
        <v>0.89</v>
      </c>
      <c r="C381" s="346">
        <v>771752548.72000003</v>
      </c>
      <c r="E381" s="253">
        <f>B381-Index_Returns!C381</f>
        <v>-0.3599</v>
      </c>
      <c r="F381" s="352"/>
    </row>
    <row r="382" spans="1:6" x14ac:dyDescent="0.2">
      <c r="A382" s="345">
        <v>39141</v>
      </c>
      <c r="B382" s="1369">
        <v>-2</v>
      </c>
      <c r="C382" s="346">
        <v>756279458.54999995</v>
      </c>
      <c r="E382" s="253">
        <f>B382-Index_Returns!C382</f>
        <v>0.23209999999999997</v>
      </c>
      <c r="F382" s="352"/>
    </row>
    <row r="383" spans="1:6" x14ac:dyDescent="0.2">
      <c r="A383" s="345">
        <v>39172</v>
      </c>
      <c r="B383" s="1369">
        <v>0.98</v>
      </c>
      <c r="C383" s="346">
        <v>764305145.16999996</v>
      </c>
      <c r="E383" s="253">
        <f>B383-Index_Returns!C383</f>
        <v>5.4100000000000037E-2</v>
      </c>
    </row>
    <row r="384" spans="1:6" x14ac:dyDescent="0.2">
      <c r="A384" s="345">
        <v>39202</v>
      </c>
      <c r="B384" s="1369">
        <v>3.52</v>
      </c>
      <c r="C384" s="346">
        <v>791224122.80999994</v>
      </c>
      <c r="E384" s="253">
        <f>B384-Index_Returns!C384</f>
        <v>-1.1603999999999997</v>
      </c>
    </row>
    <row r="385" spans="1:6" x14ac:dyDescent="0.2">
      <c r="A385" s="345">
        <v>39233</v>
      </c>
      <c r="B385" s="1369">
        <v>2.4</v>
      </c>
      <c r="C385" s="346">
        <v>810184956.95000005</v>
      </c>
      <c r="E385" s="253">
        <f>B385-Index_Returns!C385</f>
        <v>-0.73710000000000031</v>
      </c>
    </row>
    <row r="386" spans="1:6" x14ac:dyDescent="0.2">
      <c r="A386" s="345">
        <v>39263</v>
      </c>
      <c r="B386" s="1369">
        <v>-2.6</v>
      </c>
      <c r="C386" s="346">
        <v>789767152.49000001</v>
      </c>
      <c r="E386" s="253">
        <f>B386-Index_Returns!C386</f>
        <v>-1.3612000000000002</v>
      </c>
    </row>
    <row r="387" spans="1:6" x14ac:dyDescent="0.2">
      <c r="A387" s="345">
        <v>39294</v>
      </c>
      <c r="B387" s="1369">
        <v>-2.54</v>
      </c>
      <c r="C387" s="346">
        <v>769690078.10000002</v>
      </c>
      <c r="E387" s="253">
        <f>B387-Index_Returns!C387</f>
        <v>-0.31619999999999981</v>
      </c>
    </row>
    <row r="388" spans="1:6" x14ac:dyDescent="0.2">
      <c r="A388" s="345">
        <v>39325</v>
      </c>
      <c r="B388" s="1369">
        <v>1.3</v>
      </c>
      <c r="C388" s="346">
        <v>779694633.89999998</v>
      </c>
      <c r="E388" s="253">
        <f>B388-Index_Returns!C388</f>
        <v>-0.35499999999999998</v>
      </c>
    </row>
    <row r="389" spans="1:6" x14ac:dyDescent="0.2">
      <c r="A389" s="345">
        <v>39355</v>
      </c>
      <c r="B389" s="1369">
        <v>4.92</v>
      </c>
      <c r="C389" s="346">
        <v>818756635.90999997</v>
      </c>
      <c r="E389" s="253">
        <f>B389-Index_Returns!C389</f>
        <v>0.52289999999999992</v>
      </c>
    </row>
    <row r="390" spans="1:6" x14ac:dyDescent="0.2">
      <c r="A390" s="345">
        <v>39386</v>
      </c>
      <c r="B390" s="1369">
        <v>2.2799999999999998</v>
      </c>
      <c r="C390" s="346">
        <v>837431057.63</v>
      </c>
      <c r="E390" s="253">
        <f>B390-Index_Returns!C390</f>
        <v>0.14539999999999997</v>
      </c>
    </row>
    <row r="391" spans="1:6" x14ac:dyDescent="0.2">
      <c r="A391" s="345">
        <v>39416</v>
      </c>
      <c r="B391" s="1369">
        <v>-1.89</v>
      </c>
      <c r="C391" s="346">
        <v>821618361.22000003</v>
      </c>
      <c r="E391" s="253">
        <f>B391-Index_Returns!C391</f>
        <v>1.6142000000000001</v>
      </c>
    </row>
    <row r="392" spans="1:6" x14ac:dyDescent="0.2">
      <c r="A392" s="345">
        <v>39447</v>
      </c>
      <c r="B392" s="1369">
        <v>0.72</v>
      </c>
      <c r="C392" s="346">
        <v>828223660.77999997</v>
      </c>
      <c r="E392" s="253">
        <f>B392-Index_Returns!C392</f>
        <v>0.54949999999999999</v>
      </c>
      <c r="F392" s="779"/>
    </row>
    <row r="393" spans="1:6" x14ac:dyDescent="0.2">
      <c r="A393" s="345">
        <v>39478</v>
      </c>
      <c r="B393" s="1369">
        <v>-10.06</v>
      </c>
      <c r="C393" s="346">
        <v>744928488.38999999</v>
      </c>
      <c r="E393" s="253">
        <f>B393-Index_Returns!C393</f>
        <v>-1.6855000000000011</v>
      </c>
    </row>
    <row r="394" spans="1:6" x14ac:dyDescent="0.2">
      <c r="A394" s="345">
        <v>39507</v>
      </c>
      <c r="B394" s="1369">
        <v>-0.51</v>
      </c>
      <c r="C394" s="346">
        <v>741115114.88999999</v>
      </c>
      <c r="E394" s="253">
        <f>B394-Index_Returns!C394</f>
        <v>0.78649999999999998</v>
      </c>
    </row>
    <row r="395" spans="1:6" x14ac:dyDescent="0.2">
      <c r="A395" s="345">
        <v>39538</v>
      </c>
      <c r="B395" s="1369">
        <v>-0.56999999999999995</v>
      </c>
      <c r="C395" s="346">
        <v>737530875.75999999</v>
      </c>
      <c r="E395" s="253">
        <f>B395-Index_Returns!C395</f>
        <v>-0.17619999999999997</v>
      </c>
    </row>
    <row r="396" spans="1:6" x14ac:dyDescent="0.2">
      <c r="A396" s="345">
        <v>39568</v>
      </c>
      <c r="B396" s="1369">
        <v>6.52</v>
      </c>
      <c r="C396" s="346">
        <v>785628379.95000005</v>
      </c>
      <c r="E396" s="253">
        <f>B396-Index_Returns!C396</f>
        <v>0.57519999999999971</v>
      </c>
    </row>
    <row r="397" spans="1:6" x14ac:dyDescent="0.2">
      <c r="A397" s="345">
        <v>39599</v>
      </c>
      <c r="B397" s="1369">
        <v>2.44</v>
      </c>
      <c r="C397" s="346">
        <v>804834045.53999996</v>
      </c>
      <c r="E397" s="253">
        <f>B397-Index_Returns!C397</f>
        <v>5.4100000000000037E-2</v>
      </c>
    </row>
    <row r="398" spans="1:6" x14ac:dyDescent="0.2">
      <c r="A398" s="345">
        <v>39629</v>
      </c>
      <c r="B398" s="1369">
        <v>-5.44</v>
      </c>
      <c r="C398" s="346">
        <v>761656333.19000006</v>
      </c>
      <c r="E398" s="253">
        <f>B398-Index_Returns!C398</f>
        <v>0.47929999999999939</v>
      </c>
    </row>
    <row r="399" spans="1:6" x14ac:dyDescent="0.2">
      <c r="A399" s="345">
        <v>39660</v>
      </c>
      <c r="B399" s="1369">
        <v>-1.91</v>
      </c>
      <c r="C399" s="33">
        <v>747132283.99000001</v>
      </c>
      <c r="E399" s="253">
        <f>B399-Index_Returns!C399</f>
        <v>0.79900000000000015</v>
      </c>
    </row>
    <row r="400" spans="1:6" x14ac:dyDescent="0.2">
      <c r="A400" s="345">
        <v>39691</v>
      </c>
      <c r="B400" s="1369">
        <v>1.23</v>
      </c>
      <c r="C400" s="33">
        <v>756313994.45000005</v>
      </c>
      <c r="E400" s="253">
        <f>B400-Index_Returns!C400</f>
        <v>-0.31440000000000001</v>
      </c>
    </row>
    <row r="401" spans="1:8" x14ac:dyDescent="0.2">
      <c r="A401" s="345">
        <v>39721</v>
      </c>
      <c r="B401" s="1369">
        <v>-9.58</v>
      </c>
      <c r="C401" s="33">
        <v>684484153.53999996</v>
      </c>
      <c r="E401" s="253">
        <f>B401-Index_Returns!C401</f>
        <v>0.57489999999999952</v>
      </c>
    </row>
    <row r="402" spans="1:8" x14ac:dyDescent="0.2">
      <c r="A402" s="345">
        <v>39752</v>
      </c>
      <c r="B402" s="1369">
        <v>-15.28</v>
      </c>
      <c r="C402" s="346">
        <v>579925614</v>
      </c>
      <c r="E402" s="253">
        <f>B402-Index_Returns!C402</f>
        <v>1.2327999999999992</v>
      </c>
    </row>
    <row r="403" spans="1:8" x14ac:dyDescent="0.2">
      <c r="A403" s="345">
        <v>39782</v>
      </c>
      <c r="B403" s="1369">
        <v>-5.57</v>
      </c>
      <c r="C403" s="346">
        <v>547606556</v>
      </c>
      <c r="E403" s="253">
        <f>B403-Index_Returns!C403</f>
        <v>-9.1999999999998749E-3</v>
      </c>
    </row>
    <row r="404" spans="1:8" x14ac:dyDescent="0.2">
      <c r="A404" s="345">
        <v>39813</v>
      </c>
      <c r="B404" s="1369">
        <v>-0.18</v>
      </c>
      <c r="C404" s="346">
        <v>547232543</v>
      </c>
      <c r="E404" s="253">
        <f>B404-Index_Returns!C404</f>
        <v>-1.3354999999999999</v>
      </c>
    </row>
    <row r="405" spans="1:8" x14ac:dyDescent="0.2">
      <c r="A405" s="345">
        <v>39844</v>
      </c>
      <c r="B405" s="1369">
        <v>-3.33</v>
      </c>
      <c r="C405" s="346">
        <v>529020310.77999997</v>
      </c>
      <c r="D405" s="258">
        <v>-3.3281000000000001</v>
      </c>
      <c r="E405" s="253">
        <f>B405-Index_Returns!C405</f>
        <v>1.5617000000000001</v>
      </c>
      <c r="G405" s="1306"/>
      <c r="H405" s="14"/>
    </row>
    <row r="406" spans="1:8" x14ac:dyDescent="0.2">
      <c r="A406" s="345">
        <v>39872</v>
      </c>
      <c r="B406" s="1369">
        <v>-8.11</v>
      </c>
      <c r="C406" s="346">
        <v>486120649.77999997</v>
      </c>
      <c r="D406" s="258">
        <v>-8.1092999999999993</v>
      </c>
      <c r="E406" s="253">
        <f>B406-Index_Returns!C406</f>
        <v>0.41220000000000034</v>
      </c>
      <c r="G406" s="1306"/>
      <c r="H406" s="14"/>
    </row>
    <row r="407" spans="1:8" x14ac:dyDescent="0.2">
      <c r="A407" s="345">
        <v>39903</v>
      </c>
      <c r="B407" s="1369">
        <v>6.29</v>
      </c>
      <c r="C407" s="346">
        <v>517208598.73000002</v>
      </c>
      <c r="D407" s="258">
        <v>6.3951000000000002</v>
      </c>
      <c r="E407" s="253">
        <f>B407-Index_Returns!C407</f>
        <v>-1.5457999999999998</v>
      </c>
      <c r="G407" s="1306"/>
      <c r="H407" s="14"/>
    </row>
    <row r="408" spans="1:8" x14ac:dyDescent="0.2">
      <c r="A408" s="345">
        <v>39933</v>
      </c>
      <c r="B408" s="1369">
        <v>6.93</v>
      </c>
      <c r="C408" s="346">
        <v>553027497.82000005</v>
      </c>
      <c r="E408" s="253">
        <f>B408-Index_Returns!C408</f>
        <v>-1.3972999999999995</v>
      </c>
      <c r="G408" s="1266"/>
      <c r="H408" s="14"/>
    </row>
    <row r="409" spans="1:8" x14ac:dyDescent="0.2">
      <c r="A409" s="345">
        <v>39964</v>
      </c>
      <c r="B409" s="1369">
        <v>4.25</v>
      </c>
      <c r="C409" s="346">
        <v>576528780.38</v>
      </c>
      <c r="E409" s="253">
        <f>B409-Index_Returns!C409</f>
        <v>-0.6852999999999998</v>
      </c>
      <c r="G409" s="1266"/>
      <c r="H409" s="14"/>
    </row>
    <row r="410" spans="1:8" x14ac:dyDescent="0.2">
      <c r="A410" s="345">
        <v>39994</v>
      </c>
      <c r="B410" s="1369">
        <v>0.81</v>
      </c>
      <c r="C410" s="346">
        <v>581665620.26999998</v>
      </c>
      <c r="E410" s="253">
        <f>B410-Index_Returns!C410</f>
        <v>-7.0999999999999952E-3</v>
      </c>
      <c r="G410" s="1266"/>
      <c r="H410" s="14"/>
    </row>
    <row r="411" spans="1:8" x14ac:dyDescent="0.2">
      <c r="A411" s="345">
        <v>40025</v>
      </c>
      <c r="B411" s="1369">
        <v>6.16</v>
      </c>
      <c r="C411" s="346">
        <v>617512849.17999995</v>
      </c>
      <c r="D411" s="258">
        <v>6.1628999999999996</v>
      </c>
      <c r="E411" s="253">
        <f>B411-Index_Returns!C411</f>
        <v>-0.65169999999999995</v>
      </c>
      <c r="G411" s="1306"/>
      <c r="H411" s="14"/>
    </row>
    <row r="412" spans="1:8" x14ac:dyDescent="0.2">
      <c r="A412" s="345">
        <v>40056</v>
      </c>
      <c r="B412" s="1369">
        <v>1.3</v>
      </c>
      <c r="C412" s="346">
        <v>520490409</v>
      </c>
      <c r="D412" s="258">
        <v>1.2989999999999999</v>
      </c>
      <c r="E412" s="253">
        <f>B412-Index_Returns!C412</f>
        <v>-0.67159999999999997</v>
      </c>
      <c r="G412" s="1306"/>
      <c r="H412" s="14"/>
    </row>
    <row r="413" spans="1:8" x14ac:dyDescent="0.2">
      <c r="A413" s="345">
        <v>40086</v>
      </c>
      <c r="B413" s="1369">
        <v>3.58</v>
      </c>
      <c r="C413" s="346">
        <v>539676468.02999997</v>
      </c>
      <c r="D413" s="258">
        <v>3.6861999999999999</v>
      </c>
      <c r="E413" s="253">
        <f>B413-Index_Returns!C413</f>
        <v>-0.6802999999999999</v>
      </c>
      <c r="G413" s="1306"/>
      <c r="H413" s="14"/>
    </row>
    <row r="414" spans="1:8" x14ac:dyDescent="0.2">
      <c r="A414" s="345">
        <v>40117</v>
      </c>
      <c r="B414" s="1369">
        <v>-0.38</v>
      </c>
      <c r="C414" s="346">
        <v>537608994</v>
      </c>
      <c r="D414" s="258">
        <v>-0.38</v>
      </c>
      <c r="E414" s="253">
        <f>B414-Index_Returns!C414</f>
        <v>-0.14000000000000001</v>
      </c>
      <c r="G414" s="1418"/>
      <c r="H414" s="14"/>
    </row>
    <row r="415" spans="1:8" x14ac:dyDescent="0.2">
      <c r="A415" s="345">
        <v>40147</v>
      </c>
      <c r="B415" s="1369">
        <v>5.58</v>
      </c>
      <c r="C415" s="1333">
        <v>567622137</v>
      </c>
      <c r="D415" s="1369">
        <v>5.6790000000000003</v>
      </c>
      <c r="E415" s="253">
        <f>B415-Index_Returns!C415</f>
        <v>-0.18799999999999972</v>
      </c>
      <c r="G415" s="1418"/>
      <c r="H415" s="14"/>
    </row>
    <row r="416" spans="1:8" x14ac:dyDescent="0.2">
      <c r="A416" s="345">
        <v>40178</v>
      </c>
      <c r="B416" s="1369">
        <v>2.69</v>
      </c>
      <c r="C416" s="346">
        <v>582908355.28999996</v>
      </c>
      <c r="D416" s="258">
        <v>2.69367</v>
      </c>
      <c r="E416" s="253">
        <f>B416-Index_Returns!C416</f>
        <v>0.56318000000000001</v>
      </c>
      <c r="G416" s="1418"/>
      <c r="H416" s="14"/>
    </row>
    <row r="417" spans="1:8" x14ac:dyDescent="0.2">
      <c r="A417" s="345">
        <v>40209</v>
      </c>
      <c r="B417" s="253">
        <v>-5.75</v>
      </c>
      <c r="C417" s="346">
        <v>549363538.07000005</v>
      </c>
      <c r="D417" s="258">
        <v>-5.7547300000000003</v>
      </c>
      <c r="E417" s="253">
        <f>B417-Index_Returns!C417</f>
        <v>-0.60170999999999975</v>
      </c>
      <c r="G417" s="1418"/>
      <c r="H417" s="14"/>
    </row>
    <row r="418" spans="1:8" x14ac:dyDescent="0.2">
      <c r="A418" s="345">
        <v>40237</v>
      </c>
      <c r="B418" s="253">
        <v>3.99</v>
      </c>
      <c r="C418" s="346">
        <v>571257376.12</v>
      </c>
      <c r="D418" s="258">
        <v>3.9852099999999999</v>
      </c>
      <c r="E418" s="253">
        <f>B418-Index_Returns!C418</f>
        <v>0.54674000000000023</v>
      </c>
      <c r="G418" s="1418"/>
      <c r="H418" s="14"/>
    </row>
    <row r="419" spans="1:8" x14ac:dyDescent="0.2">
      <c r="A419" s="345">
        <v>40268</v>
      </c>
      <c r="B419" s="253">
        <v>6.13</v>
      </c>
      <c r="C419" s="346">
        <v>606242283.94000006</v>
      </c>
      <c r="D419" s="1311">
        <v>6.12439</v>
      </c>
      <c r="E419" s="253">
        <f>B419-Index_Returns!C419</f>
        <v>0.43224000000000018</v>
      </c>
      <c r="G419" s="1418"/>
      <c r="H419" s="14"/>
    </row>
    <row r="420" spans="1:8" x14ac:dyDescent="0.2">
      <c r="A420" s="345">
        <v>40298</v>
      </c>
      <c r="B420" s="253">
        <v>1.71</v>
      </c>
      <c r="C420" s="346">
        <v>616662165.50999999</v>
      </c>
      <c r="D420" s="258">
        <v>1.7094499999999999</v>
      </c>
      <c r="E420" s="253">
        <f>B420-Index_Returns!C420</f>
        <v>0.43951999999999991</v>
      </c>
      <c r="G420" s="1418"/>
      <c r="H420" s="14"/>
    </row>
    <row r="421" spans="1:8" x14ac:dyDescent="0.2">
      <c r="A421" s="345">
        <v>40329</v>
      </c>
      <c r="B421" s="253">
        <v>-6.86</v>
      </c>
      <c r="C421" s="346">
        <v>573605752.35000002</v>
      </c>
      <c r="D421" s="258">
        <v>-6.8556299999999997</v>
      </c>
      <c r="E421" s="253">
        <f>B421-Index_Returns!C421</f>
        <v>1.1887999999999996</v>
      </c>
      <c r="G421" s="1418"/>
      <c r="H421" s="14"/>
    </row>
    <row r="422" spans="1:8" x14ac:dyDescent="0.2">
      <c r="A422" s="345">
        <v>40359</v>
      </c>
      <c r="B422" s="253">
        <v>-4.66</v>
      </c>
      <c r="C422" s="346">
        <v>547637463.14999998</v>
      </c>
      <c r="D422" s="258">
        <v>-4.6569099999999999</v>
      </c>
      <c r="E422" s="253">
        <f>B422-Index_Returns!C422</f>
        <v>6.4879999999999605E-2</v>
      </c>
      <c r="G422" s="1418"/>
      <c r="H422" s="14"/>
    </row>
    <row r="423" spans="1:8" x14ac:dyDescent="0.2">
      <c r="A423" s="345">
        <v>40390</v>
      </c>
      <c r="B423" s="253">
        <v>5.9599700000000002</v>
      </c>
      <c r="C423" s="346">
        <v>580276475.91999996</v>
      </c>
      <c r="D423" s="258">
        <v>5.9599700000000002</v>
      </c>
      <c r="E423" s="253">
        <f>B423-Index_Returns!C423</f>
        <v>-0.9677699999999998</v>
      </c>
      <c r="G423" s="1418"/>
      <c r="H423" s="14"/>
    </row>
    <row r="424" spans="1:8" x14ac:dyDescent="0.2">
      <c r="A424" s="345">
        <v>40421</v>
      </c>
      <c r="B424" s="253">
        <v>-2.58392</v>
      </c>
      <c r="C424" s="346">
        <v>565282615.25</v>
      </c>
      <c r="D424" s="258">
        <v>-2.58392</v>
      </c>
      <c r="E424" s="253">
        <f>B424-Index_Returns!C424</f>
        <v>1.7657100000000003</v>
      </c>
      <c r="G424" s="1418"/>
      <c r="H424" s="14"/>
    </row>
    <row r="425" spans="1:8" x14ac:dyDescent="0.2">
      <c r="A425" s="345">
        <v>40451</v>
      </c>
      <c r="B425" s="258">
        <v>9.4578699999999998</v>
      </c>
      <c r="C425" s="346">
        <v>618746315.44000006</v>
      </c>
      <c r="D425" s="258">
        <v>9.4578699999999998</v>
      </c>
      <c r="E425" s="253">
        <f>B425-Index_Returns!C425</f>
        <v>-0.66516999999999982</v>
      </c>
      <c r="G425" s="1418"/>
      <c r="H425" s="14"/>
    </row>
    <row r="426" spans="1:8" x14ac:dyDescent="0.2">
      <c r="A426" s="345">
        <v>40482</v>
      </c>
      <c r="B426" s="253">
        <v>4.1102800000000004</v>
      </c>
      <c r="C426" s="346">
        <v>644178520.76999998</v>
      </c>
      <c r="D426" s="258">
        <v>4.1102800000000004</v>
      </c>
      <c r="E426" s="253">
        <f>B426-Index_Returns!C426</f>
        <v>-0.89961999999999964</v>
      </c>
      <c r="G426" s="1418"/>
      <c r="H426" s="14"/>
    </row>
    <row r="427" spans="1:8" x14ac:dyDescent="0.2">
      <c r="A427" s="345">
        <v>40512</v>
      </c>
      <c r="B427" s="253">
        <f>D427</f>
        <v>1.46692</v>
      </c>
      <c r="C427" s="346">
        <v>653628120.58000004</v>
      </c>
      <c r="D427" s="258">
        <v>1.46692</v>
      </c>
      <c r="E427" s="253">
        <f>B427-Index_Returns!C427</f>
        <v>0.99248999999999998</v>
      </c>
      <c r="G427" s="1418"/>
      <c r="H427" s="14"/>
    </row>
    <row r="428" spans="1:8" x14ac:dyDescent="0.2">
      <c r="A428" s="345">
        <v>40543</v>
      </c>
      <c r="B428" s="253">
        <v>4.3408699999999998</v>
      </c>
      <c r="C428" s="346">
        <v>682001253.98000002</v>
      </c>
      <c r="D428" s="258">
        <v>4.3408699999999998</v>
      </c>
      <c r="E428" s="253">
        <f>B428-Index_Returns!C428</f>
        <v>-0.88280000000000047</v>
      </c>
      <c r="G428" s="1418"/>
      <c r="H428" s="14"/>
    </row>
    <row r="429" spans="1:8" x14ac:dyDescent="0.2">
      <c r="A429" s="345">
        <v>40574</v>
      </c>
      <c r="B429" s="253">
        <f>D429</f>
        <v>1.0938300000000001</v>
      </c>
      <c r="C429" s="346">
        <v>689423400.75</v>
      </c>
      <c r="D429" s="258">
        <v>1.0938300000000001</v>
      </c>
      <c r="E429" s="253">
        <f>B429-Index_Returns!C429</f>
        <v>-0.44934999999999992</v>
      </c>
      <c r="G429" s="1418"/>
      <c r="H429" s="14"/>
    </row>
    <row r="430" spans="1:8" x14ac:dyDescent="0.2">
      <c r="A430" s="345">
        <v>40602</v>
      </c>
      <c r="B430" s="253">
        <v>3.1141700000000001</v>
      </c>
      <c r="C430" s="346">
        <v>710893196.92999995</v>
      </c>
      <c r="D430" s="258">
        <v>3.1141700000000001</v>
      </c>
      <c r="E430" s="253">
        <f>B430-Index_Returns!C430</f>
        <v>-5.6880000000000042E-2</v>
      </c>
      <c r="G430" s="1418"/>
      <c r="H430" s="14"/>
    </row>
    <row r="431" spans="1:8" x14ac:dyDescent="0.2">
      <c r="A431" s="345">
        <v>40633</v>
      </c>
      <c r="B431" s="253">
        <f>D431</f>
        <v>1.6600699999999999</v>
      </c>
      <c r="C431" s="346">
        <v>722697682.53999996</v>
      </c>
      <c r="D431" s="258">
        <v>1.6600699999999999</v>
      </c>
      <c r="E431" s="253">
        <f>B431-Index_Returns!C431</f>
        <v>1.36416</v>
      </c>
      <c r="G431" s="1418"/>
      <c r="H431" s="14"/>
    </row>
    <row r="432" spans="1:8" x14ac:dyDescent="0.2">
      <c r="A432" s="345">
        <v>40663</v>
      </c>
      <c r="B432" s="253">
        <f t="shared" ref="B432:B488" si="0">D432</f>
        <v>3.8069700000000002</v>
      </c>
      <c r="C432" s="346">
        <v>750586381.78999996</v>
      </c>
      <c r="D432" s="258">
        <v>3.8069700000000002</v>
      </c>
      <c r="E432" s="253">
        <f>B432-Index_Returns!C432</f>
        <v>0.42505000000000015</v>
      </c>
      <c r="G432" s="1418"/>
      <c r="H432" s="14"/>
    </row>
    <row r="433" spans="1:8" x14ac:dyDescent="0.2">
      <c r="A433" s="345">
        <v>40694</v>
      </c>
      <c r="B433" s="253">
        <f t="shared" si="0"/>
        <v>-0.24875</v>
      </c>
      <c r="C433" s="346">
        <v>748936833.62</v>
      </c>
      <c r="D433" s="258">
        <v>-0.24875</v>
      </c>
      <c r="E433" s="253">
        <f>B433-Index_Returns!C433</f>
        <v>0.20657</v>
      </c>
      <c r="G433" s="1418"/>
      <c r="H433" s="14"/>
    </row>
    <row r="434" spans="1:8" x14ac:dyDescent="0.2">
      <c r="A434" s="345">
        <v>40724</v>
      </c>
      <c r="B434" s="253">
        <f t="shared" si="0"/>
        <v>-1.07613</v>
      </c>
      <c r="C434" s="346">
        <v>740877284.39999998</v>
      </c>
      <c r="D434" s="258">
        <v>-1.07613</v>
      </c>
      <c r="E434" s="253">
        <f>B434-Index_Returns!C434</f>
        <v>0.16341000000000006</v>
      </c>
      <c r="G434" s="1418"/>
      <c r="H434" s="14"/>
    </row>
    <row r="435" spans="1:8" x14ac:dyDescent="0.2">
      <c r="A435" s="345">
        <v>40755</v>
      </c>
      <c r="B435" s="253">
        <f t="shared" si="0"/>
        <v>-1.6024799999999999</v>
      </c>
      <c r="C435" s="346">
        <v>729004907.19000006</v>
      </c>
      <c r="D435" s="258">
        <v>-1.6024799999999999</v>
      </c>
      <c r="E435" s="253">
        <f>B435-Index_Returns!C435</f>
        <v>-1.0175199999999998</v>
      </c>
      <c r="G435" s="1418"/>
      <c r="H435" s="14"/>
    </row>
    <row r="436" spans="1:8" x14ac:dyDescent="0.2">
      <c r="A436" s="345">
        <v>40786</v>
      </c>
      <c r="B436" s="253">
        <f t="shared" si="0"/>
        <v>-5.5271999999999997</v>
      </c>
      <c r="C436" s="346">
        <v>689305309.16999996</v>
      </c>
      <c r="D436" s="258">
        <v>-5.5271999999999997</v>
      </c>
      <c r="E436" s="253">
        <f>B436-Index_Returns!C436</f>
        <v>-0.7791699999999997</v>
      </c>
      <c r="G436" s="1418"/>
      <c r="H436" s="14"/>
    </row>
    <row r="437" spans="1:8" x14ac:dyDescent="0.2">
      <c r="A437" s="345">
        <v>40816</v>
      </c>
      <c r="B437" s="253">
        <f t="shared" si="0"/>
        <v>-8.2976399999999995</v>
      </c>
      <c r="C437" s="346">
        <v>632109220.09000003</v>
      </c>
      <c r="D437" s="258">
        <v>-8.2976399999999995</v>
      </c>
      <c r="E437" s="253">
        <f>B437-Index_Returns!C437</f>
        <v>-1.6902499999999998</v>
      </c>
      <c r="G437" s="1418"/>
      <c r="H437" s="14"/>
    </row>
    <row r="438" spans="1:8" x14ac:dyDescent="0.2">
      <c r="A438" s="345">
        <v>40847</v>
      </c>
      <c r="B438" s="253">
        <f t="shared" si="0"/>
        <v>10.70659</v>
      </c>
      <c r="C438" s="346">
        <v>699786536.39999998</v>
      </c>
      <c r="D438" s="258">
        <v>10.70659</v>
      </c>
      <c r="E438" s="253">
        <f>B438-Index_Returns!C438</f>
        <v>0.11438000000000059</v>
      </c>
      <c r="G438" s="1418"/>
      <c r="H438" s="14"/>
    </row>
    <row r="439" spans="1:8" x14ac:dyDescent="0.2">
      <c r="A439" s="345">
        <v>40877</v>
      </c>
      <c r="B439" s="253">
        <f t="shared" si="0"/>
        <v>-0.53286</v>
      </c>
      <c r="C439" s="346">
        <v>696705349.13</v>
      </c>
      <c r="D439" s="258">
        <v>-0.53286</v>
      </c>
      <c r="E439" s="253">
        <f>B439-Index_Returns!C439</f>
        <v>-0.39610999999999996</v>
      </c>
      <c r="G439" s="1418"/>
      <c r="H439" s="14"/>
    </row>
    <row r="440" spans="1:8" x14ac:dyDescent="0.2">
      <c r="A440" s="345">
        <v>40908</v>
      </c>
      <c r="B440" s="253">
        <f t="shared" si="0"/>
        <v>-6.2330000000000003E-2</v>
      </c>
      <c r="C440" s="346">
        <v>696271104.83000004</v>
      </c>
      <c r="D440" s="258">
        <v>-6.2330000000000003E-2</v>
      </c>
      <c r="E440" s="253">
        <f>B440-Index_Returns!C440</f>
        <v>-0.39732000000000001</v>
      </c>
      <c r="G440" s="1418"/>
      <c r="H440" s="14"/>
    </row>
    <row r="441" spans="1:8" x14ac:dyDescent="0.2">
      <c r="A441" s="345">
        <v>40939</v>
      </c>
      <c r="B441" s="253">
        <f t="shared" si="0"/>
        <v>3.4572400000000001</v>
      </c>
      <c r="C441" s="346">
        <v>720342866.5</v>
      </c>
      <c r="D441" s="258">
        <v>3.4572400000000001</v>
      </c>
      <c r="E441" s="253">
        <f>B441-Index_Returns!C441</f>
        <v>-0.66362000000000032</v>
      </c>
      <c r="G441" s="1418"/>
      <c r="H441" s="14"/>
    </row>
    <row r="442" spans="1:8" x14ac:dyDescent="0.2">
      <c r="A442" s="345">
        <v>40968</v>
      </c>
      <c r="B442" s="253">
        <f t="shared" si="0"/>
        <v>5.0876599999999996</v>
      </c>
      <c r="C442" s="346">
        <v>757572454.62</v>
      </c>
      <c r="D442" s="258">
        <v>5.0876599999999996</v>
      </c>
      <c r="E442" s="253">
        <f>B442-Index_Returns!C442</f>
        <v>0.63156999999999996</v>
      </c>
      <c r="G442" s="1418"/>
      <c r="H442" s="14"/>
    </row>
    <row r="443" spans="1:8" x14ac:dyDescent="0.2">
      <c r="A443" s="345">
        <v>40999</v>
      </c>
      <c r="B443" s="253">
        <f t="shared" si="0"/>
        <v>3.79515</v>
      </c>
      <c r="C443" s="346">
        <v>786323434.08000004</v>
      </c>
      <c r="D443" s="258">
        <v>3.79515</v>
      </c>
      <c r="E443" s="253">
        <f>B443-Index_Returns!C443</f>
        <v>0.57282000000000011</v>
      </c>
      <c r="G443" s="1418"/>
      <c r="H443" s="14"/>
    </row>
    <row r="444" spans="1:8" x14ac:dyDescent="0.2">
      <c r="A444" s="345">
        <v>41029</v>
      </c>
      <c r="B444" s="253">
        <f t="shared" si="0"/>
        <v>1.71888</v>
      </c>
      <c r="C444" s="346">
        <v>799839378.75999999</v>
      </c>
      <c r="D444" s="258">
        <v>1.71888</v>
      </c>
      <c r="E444" s="253">
        <f>B444-Index_Returns!C444</f>
        <v>1.7550999999999999</v>
      </c>
      <c r="G444" s="1418"/>
      <c r="H444" s="14"/>
    </row>
    <row r="445" spans="1:8" x14ac:dyDescent="0.2">
      <c r="A445" s="345">
        <v>41060</v>
      </c>
      <c r="B445" s="253">
        <f t="shared" si="0"/>
        <v>-4.9618700000000002</v>
      </c>
      <c r="C445" s="346">
        <v>760338661.69000006</v>
      </c>
      <c r="D445" s="258">
        <v>-4.9618700000000002</v>
      </c>
      <c r="E445" s="253">
        <f>B445-Index_Returns!C445</f>
        <v>0.49425000000000008</v>
      </c>
      <c r="G445" s="1418"/>
      <c r="H445" s="14"/>
    </row>
    <row r="446" spans="1:8" x14ac:dyDescent="0.2">
      <c r="A446" s="345">
        <v>41090</v>
      </c>
      <c r="B446" s="253">
        <f t="shared" si="0"/>
        <v>2.3450700000000002</v>
      </c>
      <c r="C446" s="346">
        <v>778553595.27999997</v>
      </c>
      <c r="D446" s="258">
        <v>2.3450700000000002</v>
      </c>
      <c r="E446" s="253">
        <f>B446-Index_Returns!C446</f>
        <v>-1.29677</v>
      </c>
      <c r="G446" s="1418"/>
      <c r="H446" s="14"/>
    </row>
    <row r="447" spans="1:8" x14ac:dyDescent="0.2">
      <c r="A447" s="345">
        <v>41121</v>
      </c>
      <c r="B447" s="253">
        <f t="shared" si="0"/>
        <v>1.5645500000000001</v>
      </c>
      <c r="C447" s="346">
        <v>755957782.91999996</v>
      </c>
      <c r="D447" s="258">
        <v>1.5645500000000001</v>
      </c>
      <c r="E447" s="253">
        <f>B447-Index_Returns!C447</f>
        <v>-0.26056999999999997</v>
      </c>
      <c r="G447" s="1418"/>
      <c r="H447" s="14"/>
    </row>
    <row r="448" spans="1:8" x14ac:dyDescent="0.2">
      <c r="A448" s="345">
        <v>41152</v>
      </c>
      <c r="B448" s="253">
        <f t="shared" si="0"/>
        <v>1.8897299999999999</v>
      </c>
      <c r="C448" s="346">
        <v>743830474.27999997</v>
      </c>
      <c r="D448" s="258">
        <v>1.8897299999999999</v>
      </c>
      <c r="E448" s="253">
        <f>B448-Index_Returns!C448</f>
        <v>-0.41568999999999989</v>
      </c>
      <c r="G448" s="1418"/>
      <c r="H448" s="14"/>
    </row>
    <row r="449" spans="1:8" x14ac:dyDescent="0.2">
      <c r="A449" s="345">
        <v>41182</v>
      </c>
      <c r="B449" s="253">
        <f t="shared" si="0"/>
        <v>1.83738</v>
      </c>
      <c r="C449" s="346">
        <v>757497479.69000006</v>
      </c>
      <c r="D449" s="258">
        <v>1.83738</v>
      </c>
      <c r="E449" s="253">
        <f>B449-Index_Returns!C449</f>
        <v>-0.29764999999999997</v>
      </c>
      <c r="G449" s="1418"/>
      <c r="H449" s="14"/>
    </row>
    <row r="450" spans="1:8" x14ac:dyDescent="0.2">
      <c r="A450" s="345">
        <v>41213</v>
      </c>
      <c r="B450" s="253">
        <f t="shared" si="0"/>
        <v>-3.12358</v>
      </c>
      <c r="C450" s="346">
        <v>706792958.09000003</v>
      </c>
      <c r="D450" s="258">
        <v>-3.12358</v>
      </c>
      <c r="E450" s="253">
        <f>B450-Index_Returns!C450</f>
        <v>-0.3065500000000001</v>
      </c>
      <c r="G450" s="1418"/>
      <c r="H450" s="14"/>
    </row>
    <row r="451" spans="1:8" x14ac:dyDescent="0.2">
      <c r="A451" s="345">
        <v>41243</v>
      </c>
      <c r="B451" s="253">
        <f t="shared" si="0"/>
        <v>2.1040000000000001</v>
      </c>
      <c r="C451" s="346">
        <v>721663882.48000002</v>
      </c>
      <c r="D451" s="258">
        <v>2.1040000000000001</v>
      </c>
      <c r="E451" s="253">
        <f>B451-Index_Returns!C451</f>
        <v>1.16987</v>
      </c>
      <c r="G451" s="1418"/>
      <c r="H451" s="14"/>
    </row>
    <row r="452" spans="1:8" x14ac:dyDescent="0.2">
      <c r="A452" s="345">
        <v>41274</v>
      </c>
      <c r="B452" s="253">
        <f t="shared" si="0"/>
        <v>-1.17906</v>
      </c>
      <c r="C452" s="346">
        <v>652538453.52999997</v>
      </c>
      <c r="D452" s="258">
        <v>-1.17906</v>
      </c>
      <c r="E452" s="253">
        <f>B452-Index_Returns!C452</f>
        <v>-1.0439799999999999</v>
      </c>
      <c r="G452" s="1418"/>
      <c r="H452" s="14"/>
    </row>
    <row r="453" spans="1:8" x14ac:dyDescent="0.2">
      <c r="A453" s="345">
        <v>41305</v>
      </c>
      <c r="B453" s="253">
        <f t="shared" si="0"/>
        <v>2.7525200000000001</v>
      </c>
      <c r="C453" s="346">
        <v>635608707.67999995</v>
      </c>
      <c r="D453" s="258">
        <v>2.7525200000000001</v>
      </c>
      <c r="E453" s="253">
        <f>B453-Index_Returns!C453</f>
        <v>-1.1925499999999998</v>
      </c>
      <c r="G453" s="1418"/>
      <c r="H453" s="14"/>
    </row>
    <row r="454" spans="1:8" x14ac:dyDescent="0.2">
      <c r="A454" s="345">
        <v>41333</v>
      </c>
      <c r="B454" s="253">
        <f t="shared" si="0"/>
        <v>1.63842</v>
      </c>
      <c r="C454" s="346">
        <v>646637299.52999997</v>
      </c>
      <c r="D454" s="258">
        <v>1.63842</v>
      </c>
      <c r="E454" s="253">
        <f>B454-Index_Returns!C454</f>
        <v>0.28339000000000003</v>
      </c>
      <c r="G454" s="1418"/>
      <c r="H454" s="14"/>
    </row>
    <row r="455" spans="1:8" x14ac:dyDescent="0.2">
      <c r="A455" s="345">
        <v>41364</v>
      </c>
      <c r="B455" s="253">
        <f t="shared" si="0"/>
        <v>4.9272499999999999</v>
      </c>
      <c r="C455" s="346">
        <v>664927470.91999996</v>
      </c>
      <c r="D455" s="258">
        <v>4.9272499999999999</v>
      </c>
      <c r="E455" s="253">
        <f>B455-Index_Returns!C455</f>
        <v>1.1523399999999997</v>
      </c>
      <c r="G455" s="1418"/>
      <c r="H455" s="14"/>
    </row>
    <row r="456" spans="1:8" x14ac:dyDescent="0.2">
      <c r="A456" s="345">
        <v>41394</v>
      </c>
      <c r="B456" s="253">
        <f t="shared" si="0"/>
        <v>2.19035</v>
      </c>
      <c r="C456" s="346">
        <v>682191703</v>
      </c>
      <c r="D456" s="258">
        <v>2.19035</v>
      </c>
      <c r="E456" s="253">
        <f>B456-Index_Returns!C456</f>
        <v>0.13244999999999996</v>
      </c>
      <c r="G456" s="1418"/>
      <c r="H456" s="14"/>
    </row>
    <row r="457" spans="1:8" x14ac:dyDescent="0.2">
      <c r="A457" s="345">
        <v>41425</v>
      </c>
      <c r="B457" s="253">
        <f t="shared" si="0"/>
        <v>1.6482000000000001</v>
      </c>
      <c r="C457" s="346">
        <v>691250831.51999998</v>
      </c>
      <c r="D457" s="258">
        <v>1.6482000000000001</v>
      </c>
      <c r="E457" s="253">
        <f>B457-Index_Returns!C457</f>
        <v>-0.55064000000000002</v>
      </c>
      <c r="G457" s="1418"/>
      <c r="H457" s="14"/>
    </row>
    <row r="458" spans="1:8" x14ac:dyDescent="0.2">
      <c r="A458" s="345">
        <v>41455</v>
      </c>
      <c r="B458" s="253">
        <f t="shared" si="0"/>
        <v>-2.0319199999999999</v>
      </c>
      <c r="C458" s="1307">
        <v>677205166.54999995</v>
      </c>
      <c r="D458" s="1418">
        <v>-2.0319199999999999</v>
      </c>
      <c r="E458" s="253">
        <f>B458-Index_Returns!C458</f>
        <v>-0.28542000000000001</v>
      </c>
      <c r="G458" s="1418"/>
      <c r="H458" s="14"/>
    </row>
    <row r="459" spans="1:8" x14ac:dyDescent="0.2">
      <c r="A459" s="345">
        <v>41486</v>
      </c>
      <c r="B459" s="253">
        <f t="shared" si="0"/>
        <v>5.2611499999999998</v>
      </c>
      <c r="C459" s="346">
        <v>583474020.22000003</v>
      </c>
      <c r="D459" s="258">
        <v>5.2611499999999998</v>
      </c>
      <c r="E459" s="253">
        <f>B459-Index_Returns!C459</f>
        <v>0.19090000000000007</v>
      </c>
    </row>
    <row r="460" spans="1:8" x14ac:dyDescent="0.2">
      <c r="A460" s="345">
        <v>41517</v>
      </c>
      <c r="B460" s="253">
        <f t="shared" si="0"/>
        <v>-2.57782</v>
      </c>
      <c r="C460" s="346">
        <v>568433095.88999999</v>
      </c>
      <c r="D460" s="258">
        <v>-2.57782</v>
      </c>
      <c r="E460" s="253">
        <f>B460-Index_Returns!C460</f>
        <v>-0.35087000000000002</v>
      </c>
    </row>
    <row r="461" spans="1:8" x14ac:dyDescent="0.2">
      <c r="A461" s="345">
        <v>41547</v>
      </c>
      <c r="B461" s="253">
        <f t="shared" si="0"/>
        <v>4.2485600000000003</v>
      </c>
      <c r="C461" s="346">
        <v>592583305.35000002</v>
      </c>
      <c r="D461" s="258">
        <v>4.2485600000000003</v>
      </c>
      <c r="E461" s="253">
        <f>B461-Index_Returns!C461</f>
        <v>0.48151000000000055</v>
      </c>
    </row>
    <row r="462" spans="1:8" x14ac:dyDescent="0.2">
      <c r="A462" s="345">
        <v>41578</v>
      </c>
      <c r="B462" s="253">
        <f t="shared" si="0"/>
        <v>5.19468</v>
      </c>
      <c r="C462" s="346">
        <v>623366107.42999995</v>
      </c>
      <c r="D462" s="258">
        <v>5.19468</v>
      </c>
      <c r="E462" s="253">
        <f>B462-Index_Returns!C462</f>
        <v>0.38861999999999952</v>
      </c>
    </row>
    <row r="463" spans="1:8" x14ac:dyDescent="0.2">
      <c r="A463" s="345">
        <v>41608</v>
      </c>
      <c r="B463" s="253">
        <f t="shared" si="0"/>
        <v>3.23705</v>
      </c>
      <c r="C463" s="346">
        <v>540965057.09000003</v>
      </c>
      <c r="D463" s="258">
        <v>3.23705</v>
      </c>
      <c r="E463" s="253">
        <f>B463-Index_Returns!C463</f>
        <v>-2.1739999999999871E-2</v>
      </c>
    </row>
    <row r="464" spans="1:8" x14ac:dyDescent="0.2">
      <c r="A464" s="345">
        <v>41639</v>
      </c>
      <c r="B464" s="253">
        <f t="shared" si="0"/>
        <v>3.3075700000000001</v>
      </c>
      <c r="C464" s="346">
        <v>523397276.79000002</v>
      </c>
      <c r="D464" s="258">
        <v>3.3075700000000001</v>
      </c>
      <c r="E464" s="253">
        <f>B464-Index_Returns!C464</f>
        <v>0.60247000000000028</v>
      </c>
    </row>
    <row r="465" spans="1:5" x14ac:dyDescent="0.2">
      <c r="A465" s="345">
        <v>41670</v>
      </c>
      <c r="B465" s="253">
        <f t="shared" si="0"/>
        <v>-2.8177400000000001</v>
      </c>
      <c r="C465" s="346">
        <v>508649322.47000003</v>
      </c>
      <c r="D465" s="258">
        <v>-2.8177400000000001</v>
      </c>
      <c r="E465" s="253">
        <f>B465-Index_Returns!C465</f>
        <v>0.13349999999999973</v>
      </c>
    </row>
    <row r="466" spans="1:5" x14ac:dyDescent="0.2">
      <c r="A466" s="345">
        <v>41698</v>
      </c>
      <c r="B466" s="253">
        <f t="shared" si="0"/>
        <v>5.3462500000000004</v>
      </c>
      <c r="C466" s="346">
        <v>526350463.11000001</v>
      </c>
      <c r="D466" s="258">
        <v>5.3462500000000004</v>
      </c>
      <c r="E466" s="253">
        <f>B466-Index_Returns!C466</f>
        <v>0.10187000000000079</v>
      </c>
    </row>
    <row r="467" spans="1:5" x14ac:dyDescent="0.2">
      <c r="A467" s="345">
        <v>41729</v>
      </c>
      <c r="B467" s="253">
        <f t="shared" si="0"/>
        <v>-2.2123200000000001</v>
      </c>
      <c r="C467" s="346">
        <v>514705907</v>
      </c>
      <c r="D467" s="258">
        <v>-2.2123200000000001</v>
      </c>
      <c r="E467" s="253">
        <f>B467-Index_Returns!C467</f>
        <v>-1.4843600000000001</v>
      </c>
    </row>
    <row r="468" spans="1:5" x14ac:dyDescent="0.2">
      <c r="A468" s="345">
        <v>41759</v>
      </c>
      <c r="B468" s="253">
        <f t="shared" si="0"/>
        <v>0.22817000000000001</v>
      </c>
      <c r="C468" s="346">
        <v>506454824.97000003</v>
      </c>
      <c r="D468" s="258">
        <v>0.22817000000000001</v>
      </c>
      <c r="E468" s="253">
        <f>B468-Index_Returns!C468</f>
        <v>-7.3369999999999963E-2</v>
      </c>
    </row>
    <row r="469" spans="1:5" x14ac:dyDescent="0.2">
      <c r="A469" s="345">
        <v>41790</v>
      </c>
      <c r="B469" s="253">
        <f t="shared" si="0"/>
        <v>3.5741299999999998</v>
      </c>
      <c r="C469" s="346">
        <v>524556148.13999999</v>
      </c>
      <c r="D469" s="258">
        <v>3.5741299999999998</v>
      </c>
      <c r="E469" s="253">
        <f>B469-Index_Returns!C469</f>
        <v>0.22140999999999966</v>
      </c>
    </row>
    <row r="470" spans="1:5" x14ac:dyDescent="0.2">
      <c r="A470" s="345">
        <v>41820</v>
      </c>
      <c r="B470" s="253">
        <f t="shared" si="0"/>
        <v>1.2750699999999999</v>
      </c>
      <c r="C470" s="346">
        <v>531244588.88999999</v>
      </c>
      <c r="D470" s="258">
        <v>1.2750699999999999</v>
      </c>
      <c r="E470" s="253">
        <f>B470-Index_Returns!C470</f>
        <v>-0.80330000000000013</v>
      </c>
    </row>
    <row r="471" spans="1:5" x14ac:dyDescent="0.2">
      <c r="A471" s="345">
        <v>41851</v>
      </c>
      <c r="B471" s="253">
        <f t="shared" si="0"/>
        <v>-1.11591</v>
      </c>
      <c r="C471" s="346">
        <v>525783063.88999999</v>
      </c>
      <c r="D471" s="258">
        <v>-1.11591</v>
      </c>
      <c r="E471" s="253">
        <f>B471-Index_Returns!C471</f>
        <v>0.12878999999999996</v>
      </c>
    </row>
    <row r="472" spans="1:5" x14ac:dyDescent="0.2">
      <c r="A472" s="345">
        <v>41882</v>
      </c>
      <c r="B472" s="253">
        <f t="shared" si="0"/>
        <v>3.4765100000000002</v>
      </c>
      <c r="C472" s="346">
        <v>473805298.47000003</v>
      </c>
      <c r="D472" s="258">
        <v>3.4765100000000002</v>
      </c>
      <c r="E472" s="253">
        <f>B472-Index_Returns!C472</f>
        <v>-0.87319000000000013</v>
      </c>
    </row>
    <row r="473" spans="1:5" x14ac:dyDescent="0.2">
      <c r="A473" s="345">
        <v>41912</v>
      </c>
      <c r="B473" s="253">
        <f t="shared" si="0"/>
        <v>0</v>
      </c>
      <c r="E473" s="253">
        <f>B473-Index_Returns!C473</f>
        <v>0</v>
      </c>
    </row>
    <row r="474" spans="1:5" x14ac:dyDescent="0.2">
      <c r="A474" s="345">
        <v>41943</v>
      </c>
      <c r="B474" s="253">
        <f t="shared" si="0"/>
        <v>0</v>
      </c>
      <c r="E474" s="253">
        <f>B474-Index_Returns!C474</f>
        <v>0</v>
      </c>
    </row>
    <row r="475" spans="1:5" x14ac:dyDescent="0.2">
      <c r="A475" s="345">
        <v>41973</v>
      </c>
      <c r="B475" s="253">
        <f t="shared" si="0"/>
        <v>0</v>
      </c>
      <c r="E475" s="253">
        <f>B475-Index_Returns!C475</f>
        <v>0</v>
      </c>
    </row>
    <row r="476" spans="1:5" x14ac:dyDescent="0.2">
      <c r="A476" s="345">
        <v>42004</v>
      </c>
      <c r="B476" s="253">
        <f t="shared" si="0"/>
        <v>0</v>
      </c>
      <c r="E476" s="253">
        <f>B476-Index_Returns!C476</f>
        <v>0</v>
      </c>
    </row>
    <row r="477" spans="1:5" x14ac:dyDescent="0.2">
      <c r="A477" s="345">
        <v>42035</v>
      </c>
      <c r="B477" s="253">
        <f t="shared" si="0"/>
        <v>0</v>
      </c>
      <c r="E477" s="253">
        <f>B477-Index_Returns!C477</f>
        <v>0</v>
      </c>
    </row>
    <row r="478" spans="1:5" x14ac:dyDescent="0.2">
      <c r="A478" s="345">
        <v>42063</v>
      </c>
      <c r="B478" s="253">
        <f t="shared" si="0"/>
        <v>0</v>
      </c>
      <c r="E478" s="253">
        <f>B478-Index_Returns!C478</f>
        <v>0</v>
      </c>
    </row>
    <row r="479" spans="1:5" x14ac:dyDescent="0.2">
      <c r="A479" s="345">
        <v>42094</v>
      </c>
      <c r="B479" s="253">
        <f t="shared" si="0"/>
        <v>0</v>
      </c>
      <c r="E479" s="253">
        <f>B479-Index_Returns!C479</f>
        <v>0</v>
      </c>
    </row>
    <row r="480" spans="1:5" x14ac:dyDescent="0.2">
      <c r="A480" s="345">
        <v>42124</v>
      </c>
      <c r="B480" s="253">
        <f t="shared" si="0"/>
        <v>0</v>
      </c>
      <c r="E480" s="253">
        <f>B480-Index_Returns!C480</f>
        <v>0</v>
      </c>
    </row>
    <row r="481" spans="1:5" x14ac:dyDescent="0.2">
      <c r="A481" s="345">
        <v>42155</v>
      </c>
      <c r="B481" s="253">
        <f t="shared" si="0"/>
        <v>0</v>
      </c>
      <c r="E481" s="253">
        <f>B481-Index_Returns!C481</f>
        <v>0</v>
      </c>
    </row>
    <row r="482" spans="1:5" x14ac:dyDescent="0.2">
      <c r="A482" s="345">
        <v>42185</v>
      </c>
      <c r="B482" s="253">
        <f t="shared" si="0"/>
        <v>0</v>
      </c>
      <c r="E482" s="253">
        <f>B482-Index_Returns!C482</f>
        <v>0</v>
      </c>
    </row>
    <row r="483" spans="1:5" x14ac:dyDescent="0.2">
      <c r="A483" s="345">
        <v>42216</v>
      </c>
      <c r="B483" s="253">
        <f t="shared" si="0"/>
        <v>0</v>
      </c>
      <c r="E483" s="253">
        <f>B483-Index_Returns!C483</f>
        <v>0</v>
      </c>
    </row>
    <row r="484" spans="1:5" x14ac:dyDescent="0.2">
      <c r="A484" s="345">
        <v>42247</v>
      </c>
      <c r="B484" s="253">
        <f t="shared" si="0"/>
        <v>0</v>
      </c>
      <c r="E484" s="253">
        <f>B484-Index_Returns!C484</f>
        <v>0</v>
      </c>
    </row>
    <row r="485" spans="1:5" x14ac:dyDescent="0.2">
      <c r="A485" s="345">
        <v>42277</v>
      </c>
      <c r="B485" s="253">
        <f t="shared" si="0"/>
        <v>0</v>
      </c>
      <c r="E485" s="253">
        <f>B485-Index_Returns!C485</f>
        <v>0</v>
      </c>
    </row>
    <row r="486" spans="1:5" x14ac:dyDescent="0.2">
      <c r="A486" s="345">
        <v>42308</v>
      </c>
      <c r="B486" s="253">
        <f t="shared" si="0"/>
        <v>0</v>
      </c>
      <c r="E486" s="253">
        <f>B486-Index_Returns!C486</f>
        <v>0</v>
      </c>
    </row>
    <row r="487" spans="1:5" x14ac:dyDescent="0.2">
      <c r="A487" s="345">
        <v>42338</v>
      </c>
      <c r="B487" s="253">
        <f t="shared" si="0"/>
        <v>0</v>
      </c>
      <c r="E487" s="253">
        <f>B487-Index_Returns!C487</f>
        <v>0</v>
      </c>
    </row>
    <row r="488" spans="1:5" x14ac:dyDescent="0.2">
      <c r="A488" s="345">
        <v>42369</v>
      </c>
      <c r="B488" s="253">
        <f t="shared" si="0"/>
        <v>0</v>
      </c>
      <c r="E488" s="253">
        <f>B488-Index_Returns!C488</f>
        <v>0</v>
      </c>
    </row>
  </sheetData>
  <phoneticPr fontId="3" type="noConversion"/>
  <printOptions headings="1" gridLines="1"/>
  <pageMargins left="0.78740157480314965" right="0.78740157480314965" top="0.78740157480314965" bottom="0.78740157480314965" header="0.39370078740157483" footer="0.39370078740157483"/>
  <pageSetup scale="13" orientation="portrait" r:id="rId1"/>
  <headerFooter alignWithMargins="0">
    <oddHeader>&amp;L&amp;A</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I488"/>
  <sheetViews>
    <sheetView workbookViewId="0">
      <pane xSplit="1" ySplit="2" topLeftCell="B455" activePane="bottomRight" state="frozen"/>
      <selection activeCell="E452" sqref="E452:E464"/>
      <selection pane="topRight" activeCell="E452" sqref="E452:E464"/>
      <selection pane="bottomLeft" activeCell="E452" sqref="E452:E464"/>
      <selection pane="bottomRight" activeCell="C472" sqref="C472:D472"/>
    </sheetView>
  </sheetViews>
  <sheetFormatPr defaultRowHeight="12.75" x14ac:dyDescent="0.2"/>
  <cols>
    <col min="1" max="1" width="18.7109375" style="21" customWidth="1"/>
    <col min="2" max="2" width="16.7109375" style="257" customWidth="1"/>
    <col min="3" max="3" width="16.7109375" style="346" customWidth="1"/>
    <col min="4" max="5" width="16.7109375" style="258" customWidth="1"/>
    <col min="6" max="6" width="16.7109375" customWidth="1"/>
    <col min="7" max="7" width="14" style="352" bestFit="1" customWidth="1"/>
    <col min="8" max="8" width="9.140625" style="352"/>
  </cols>
  <sheetData>
    <row r="1" spans="1:6" x14ac:dyDescent="0.2">
      <c r="A1" s="265" t="s">
        <v>12</v>
      </c>
      <c r="B1" s="321" t="s">
        <v>462</v>
      </c>
      <c r="C1" s="1381" t="s">
        <v>11</v>
      </c>
      <c r="D1" s="1370">
        <f>Fees!F39</f>
        <v>26.385498686047324</v>
      </c>
      <c r="E1" s="74" t="s">
        <v>81</v>
      </c>
      <c r="F1" s="1452" t="s">
        <v>759</v>
      </c>
    </row>
    <row r="2" spans="1:6" x14ac:dyDescent="0.2">
      <c r="A2" s="3" t="s">
        <v>27</v>
      </c>
      <c r="B2" s="71" t="s">
        <v>91</v>
      </c>
      <c r="C2" s="226" t="s">
        <v>92</v>
      </c>
      <c r="D2" s="71" t="s">
        <v>90</v>
      </c>
      <c r="E2" s="71" t="s">
        <v>80</v>
      </c>
    </row>
    <row r="3" spans="1:6" x14ac:dyDescent="0.2">
      <c r="A3" s="345">
        <v>27606</v>
      </c>
      <c r="B3" s="71"/>
      <c r="C3" s="226"/>
      <c r="D3" s="71"/>
      <c r="E3" s="71"/>
    </row>
    <row r="4" spans="1:6" x14ac:dyDescent="0.2">
      <c r="A4" s="345">
        <v>27637</v>
      </c>
      <c r="B4" s="71"/>
      <c r="C4" s="226"/>
      <c r="D4" s="71"/>
      <c r="E4" s="71"/>
    </row>
    <row r="5" spans="1:6" x14ac:dyDescent="0.2">
      <c r="A5" s="345">
        <v>27667</v>
      </c>
      <c r="B5" s="71"/>
      <c r="C5" s="226"/>
      <c r="D5" s="71"/>
      <c r="E5" s="71"/>
    </row>
    <row r="6" spans="1:6" x14ac:dyDescent="0.2">
      <c r="A6" s="345">
        <v>27698</v>
      </c>
      <c r="B6" s="71"/>
      <c r="C6" s="226"/>
      <c r="D6" s="71"/>
      <c r="E6" s="71"/>
    </row>
    <row r="7" spans="1:6" x14ac:dyDescent="0.2">
      <c r="A7" s="345">
        <v>27728</v>
      </c>
      <c r="B7" s="71"/>
      <c r="C7" s="226"/>
      <c r="D7" s="71"/>
      <c r="E7" s="71"/>
    </row>
    <row r="8" spans="1:6" x14ac:dyDescent="0.2">
      <c r="A8" s="345">
        <v>27759</v>
      </c>
      <c r="B8" s="71"/>
      <c r="C8" s="226"/>
      <c r="D8" s="71"/>
      <c r="E8" s="71"/>
    </row>
    <row r="9" spans="1:6" x14ac:dyDescent="0.2">
      <c r="A9" s="345">
        <v>27790</v>
      </c>
      <c r="B9" s="71"/>
      <c r="C9" s="226"/>
      <c r="D9" s="71"/>
      <c r="E9" s="71"/>
    </row>
    <row r="10" spans="1:6" x14ac:dyDescent="0.2">
      <c r="A10" s="345">
        <v>27819</v>
      </c>
      <c r="B10" s="71"/>
      <c r="C10" s="226"/>
      <c r="D10" s="71"/>
      <c r="E10" s="71"/>
    </row>
    <row r="11" spans="1:6" x14ac:dyDescent="0.2">
      <c r="A11" s="345">
        <v>27850</v>
      </c>
      <c r="B11" s="71"/>
      <c r="C11" s="226"/>
      <c r="D11" s="71"/>
      <c r="E11" s="71"/>
    </row>
    <row r="12" spans="1:6" x14ac:dyDescent="0.2">
      <c r="A12" s="345">
        <v>27880</v>
      </c>
      <c r="B12" s="71"/>
      <c r="C12" s="226"/>
      <c r="D12" s="71"/>
      <c r="E12" s="71"/>
    </row>
    <row r="13" spans="1:6" x14ac:dyDescent="0.2">
      <c r="A13" s="345">
        <v>27911</v>
      </c>
      <c r="B13" s="71"/>
      <c r="C13" s="226"/>
      <c r="D13" s="71"/>
      <c r="E13" s="71"/>
    </row>
    <row r="14" spans="1:6" x14ac:dyDescent="0.2">
      <c r="A14" s="345">
        <v>27941</v>
      </c>
      <c r="B14" s="71"/>
      <c r="C14" s="226"/>
      <c r="D14" s="71"/>
      <c r="E14" s="71"/>
    </row>
    <row r="15" spans="1:6" x14ac:dyDescent="0.2">
      <c r="A15" s="345">
        <v>27972</v>
      </c>
      <c r="B15" s="71"/>
      <c r="C15" s="226"/>
      <c r="D15" s="71"/>
      <c r="E15" s="71"/>
    </row>
    <row r="16" spans="1:6"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3"/>
      <c r="C147" s="25"/>
      <c r="D147" s="73"/>
      <c r="E147" s="73"/>
    </row>
    <row r="148" spans="1:5" x14ac:dyDescent="0.2">
      <c r="A148" s="345">
        <v>32020</v>
      </c>
      <c r="B148" s="73"/>
      <c r="C148" s="25"/>
      <c r="D148" s="73"/>
      <c r="E148" s="73"/>
    </row>
    <row r="149" spans="1:5" x14ac:dyDescent="0.2">
      <c r="A149" s="345">
        <v>32050</v>
      </c>
      <c r="B149" s="73"/>
      <c r="C149" s="25"/>
      <c r="D149" s="73"/>
      <c r="E149" s="73"/>
    </row>
    <row r="150" spans="1:5" x14ac:dyDescent="0.2">
      <c r="A150" s="345">
        <v>32081</v>
      </c>
      <c r="B150" s="73"/>
      <c r="C150" s="25"/>
      <c r="D150" s="73"/>
      <c r="E150" s="73"/>
    </row>
    <row r="151" spans="1:5" x14ac:dyDescent="0.2">
      <c r="A151" s="345">
        <v>32111</v>
      </c>
      <c r="B151" s="73"/>
      <c r="C151" s="25"/>
      <c r="D151" s="73"/>
      <c r="E151" s="73"/>
    </row>
    <row r="152" spans="1:5" x14ac:dyDescent="0.2">
      <c r="A152" s="345">
        <v>32142</v>
      </c>
      <c r="B152" s="73"/>
      <c r="C152" s="25"/>
      <c r="D152" s="73"/>
      <c r="E152" s="73"/>
    </row>
    <row r="153" spans="1:5" x14ac:dyDescent="0.2">
      <c r="A153" s="345">
        <v>32173</v>
      </c>
      <c r="B153" s="73"/>
      <c r="C153" s="25"/>
      <c r="D153" s="73"/>
      <c r="E153" s="73"/>
    </row>
    <row r="154" spans="1:5" x14ac:dyDescent="0.2">
      <c r="A154" s="345">
        <v>32202</v>
      </c>
      <c r="B154" s="73"/>
      <c r="C154" s="25"/>
      <c r="D154" s="73"/>
      <c r="E154" s="73"/>
    </row>
    <row r="155" spans="1:5" x14ac:dyDescent="0.2">
      <c r="A155" s="345">
        <v>32233</v>
      </c>
      <c r="B155" s="73"/>
      <c r="C155" s="25"/>
      <c r="D155" s="73"/>
      <c r="E155" s="73"/>
    </row>
    <row r="156" spans="1:5" x14ac:dyDescent="0.2">
      <c r="A156" s="345">
        <v>32263</v>
      </c>
      <c r="B156" s="73"/>
      <c r="C156" s="25"/>
      <c r="D156" s="73"/>
      <c r="E156" s="73"/>
    </row>
    <row r="157" spans="1:5" x14ac:dyDescent="0.2">
      <c r="A157" s="345">
        <v>32294</v>
      </c>
      <c r="B157" s="73"/>
      <c r="C157" s="25"/>
      <c r="D157" s="73"/>
      <c r="E157" s="73"/>
    </row>
    <row r="158" spans="1:5" x14ac:dyDescent="0.2">
      <c r="A158" s="345">
        <v>32324</v>
      </c>
      <c r="B158" s="73"/>
      <c r="C158" s="25"/>
      <c r="D158" s="73"/>
      <c r="E158" s="73"/>
    </row>
    <row r="159" spans="1:5" x14ac:dyDescent="0.2">
      <c r="A159" s="345">
        <v>32355</v>
      </c>
      <c r="B159" s="73"/>
      <c r="C159" s="25"/>
      <c r="D159" s="73"/>
      <c r="E159" s="73"/>
    </row>
    <row r="160" spans="1:5" x14ac:dyDescent="0.2">
      <c r="A160" s="345">
        <v>32386</v>
      </c>
      <c r="B160" s="73"/>
      <c r="C160" s="25"/>
      <c r="D160" s="73"/>
      <c r="E160" s="73"/>
    </row>
    <row r="161" spans="1:5" x14ac:dyDescent="0.2">
      <c r="A161" s="345">
        <v>32416</v>
      </c>
      <c r="B161" s="73"/>
      <c r="C161" s="25"/>
      <c r="D161" s="73"/>
      <c r="E161" s="73"/>
    </row>
    <row r="162" spans="1:5" x14ac:dyDescent="0.2">
      <c r="A162" s="345">
        <v>32447</v>
      </c>
      <c r="B162" s="73"/>
      <c r="C162" s="25"/>
      <c r="D162" s="73"/>
      <c r="E162" s="73"/>
    </row>
    <row r="163" spans="1:5" x14ac:dyDescent="0.2">
      <c r="A163" s="345">
        <v>32477</v>
      </c>
      <c r="B163" s="73"/>
      <c r="C163" s="25"/>
      <c r="D163" s="73"/>
      <c r="E163" s="73"/>
    </row>
    <row r="164" spans="1:5" x14ac:dyDescent="0.2">
      <c r="A164" s="345">
        <v>32508</v>
      </c>
      <c r="B164" s="73"/>
      <c r="C164" s="25"/>
      <c r="D164" s="73"/>
      <c r="E164" s="73"/>
    </row>
    <row r="165" spans="1:5" x14ac:dyDescent="0.2">
      <c r="A165" s="345">
        <v>32539</v>
      </c>
      <c r="B165" s="73"/>
      <c r="C165" s="25"/>
      <c r="D165" s="73"/>
      <c r="E165" s="73"/>
    </row>
    <row r="166" spans="1:5" x14ac:dyDescent="0.2">
      <c r="A166" s="345">
        <v>32567</v>
      </c>
      <c r="B166" s="73"/>
      <c r="C166" s="25"/>
      <c r="D166" s="73"/>
      <c r="E166" s="73"/>
    </row>
    <row r="167" spans="1:5" x14ac:dyDescent="0.2">
      <c r="A167" s="345">
        <v>32598</v>
      </c>
      <c r="B167" s="73"/>
      <c r="C167" s="25"/>
      <c r="D167" s="73"/>
      <c r="E167" s="73"/>
    </row>
    <row r="168" spans="1:5" x14ac:dyDescent="0.2">
      <c r="A168" s="345">
        <v>32628</v>
      </c>
      <c r="B168" s="73"/>
      <c r="C168" s="25"/>
      <c r="D168" s="73"/>
      <c r="E168" s="73"/>
    </row>
    <row r="169" spans="1:5" x14ac:dyDescent="0.2">
      <c r="A169" s="345">
        <v>32659</v>
      </c>
      <c r="B169" s="73"/>
      <c r="C169" s="25"/>
      <c r="D169" s="73"/>
      <c r="E169" s="73"/>
    </row>
    <row r="170" spans="1:5" x14ac:dyDescent="0.2">
      <c r="A170" s="345">
        <v>32689</v>
      </c>
      <c r="B170" s="73"/>
      <c r="C170" s="25"/>
      <c r="D170" s="73"/>
      <c r="E170" s="73"/>
    </row>
    <row r="171" spans="1:5" x14ac:dyDescent="0.2">
      <c r="A171" s="345">
        <v>32720</v>
      </c>
      <c r="B171" s="73"/>
      <c r="C171" s="25"/>
      <c r="D171" s="73"/>
      <c r="E171" s="73"/>
    </row>
    <row r="172" spans="1:5" x14ac:dyDescent="0.2">
      <c r="A172" s="345">
        <v>32751</v>
      </c>
      <c r="B172" s="73"/>
      <c r="C172" s="25"/>
      <c r="D172" s="73"/>
      <c r="E172" s="73"/>
    </row>
    <row r="173" spans="1:5" x14ac:dyDescent="0.2">
      <c r="A173" s="345">
        <v>32781</v>
      </c>
      <c r="B173" s="73"/>
      <c r="C173" s="25"/>
      <c r="D173" s="73"/>
      <c r="E173" s="73"/>
    </row>
    <row r="174" spans="1:5" x14ac:dyDescent="0.2">
      <c r="A174" s="345">
        <v>32812</v>
      </c>
      <c r="B174" s="73"/>
      <c r="C174" s="25"/>
      <c r="D174" s="73"/>
      <c r="E174" s="73"/>
    </row>
    <row r="175" spans="1:5" x14ac:dyDescent="0.2">
      <c r="A175" s="345">
        <v>32842</v>
      </c>
      <c r="B175" s="73"/>
      <c r="C175" s="25"/>
      <c r="D175" s="73"/>
      <c r="E175" s="73"/>
    </row>
    <row r="176" spans="1:5" x14ac:dyDescent="0.2">
      <c r="A176" s="345">
        <v>32873</v>
      </c>
      <c r="B176" s="73"/>
      <c r="C176" s="25"/>
      <c r="D176" s="73"/>
      <c r="E176" s="73"/>
    </row>
    <row r="177" spans="1:5" x14ac:dyDescent="0.2">
      <c r="A177" s="345">
        <v>32904</v>
      </c>
      <c r="B177" s="73"/>
      <c r="C177" s="25"/>
      <c r="D177" s="73"/>
      <c r="E177" s="73"/>
    </row>
    <row r="178" spans="1:5" x14ac:dyDescent="0.2">
      <c r="A178" s="345">
        <v>32932</v>
      </c>
      <c r="B178" s="73"/>
      <c r="C178" s="25"/>
      <c r="D178" s="73"/>
      <c r="E178" s="73"/>
    </row>
    <row r="179" spans="1:5" x14ac:dyDescent="0.2">
      <c r="A179" s="345">
        <v>32963</v>
      </c>
      <c r="B179" s="73"/>
      <c r="C179" s="25"/>
      <c r="D179" s="73"/>
      <c r="E179" s="73"/>
    </row>
    <row r="180" spans="1:5" x14ac:dyDescent="0.2">
      <c r="A180" s="345">
        <v>32993</v>
      </c>
      <c r="B180" s="73"/>
      <c r="C180" s="25"/>
      <c r="D180" s="73"/>
      <c r="E180" s="73"/>
    </row>
    <row r="181" spans="1:5" x14ac:dyDescent="0.2">
      <c r="A181" s="345">
        <v>33024</v>
      </c>
      <c r="B181" s="73"/>
      <c r="C181" s="25"/>
      <c r="D181" s="73"/>
      <c r="E181" s="73"/>
    </row>
    <row r="182" spans="1:5" x14ac:dyDescent="0.2">
      <c r="A182" s="345">
        <v>33054</v>
      </c>
      <c r="B182" s="73"/>
      <c r="C182" s="25"/>
      <c r="D182" s="73"/>
      <c r="E182" s="73"/>
    </row>
    <row r="183" spans="1:5" x14ac:dyDescent="0.2">
      <c r="A183" s="345">
        <v>33085</v>
      </c>
      <c r="B183" s="73"/>
      <c r="C183" s="25"/>
      <c r="D183" s="73"/>
      <c r="E183" s="73"/>
    </row>
    <row r="184" spans="1:5" x14ac:dyDescent="0.2">
      <c r="A184" s="345">
        <v>33116</v>
      </c>
      <c r="B184" s="73"/>
      <c r="C184" s="25"/>
      <c r="D184" s="73"/>
      <c r="E184" s="73"/>
    </row>
    <row r="185" spans="1:5" x14ac:dyDescent="0.2">
      <c r="A185" s="345">
        <v>33146</v>
      </c>
      <c r="B185" s="73"/>
      <c r="C185" s="25"/>
      <c r="D185" s="73"/>
      <c r="E185" s="73"/>
    </row>
    <row r="186" spans="1:5" x14ac:dyDescent="0.2">
      <c r="A186" s="345">
        <v>33177</v>
      </c>
      <c r="B186" s="73"/>
      <c r="C186" s="25"/>
      <c r="D186" s="73"/>
      <c r="E186" s="73"/>
    </row>
    <row r="187" spans="1:5" x14ac:dyDescent="0.2">
      <c r="A187" s="345">
        <v>33207</v>
      </c>
      <c r="B187" s="73"/>
      <c r="C187" s="25"/>
      <c r="D187" s="73"/>
      <c r="E187" s="73"/>
    </row>
    <row r="188" spans="1:5" x14ac:dyDescent="0.2">
      <c r="A188" s="345">
        <v>33238</v>
      </c>
      <c r="B188" s="73"/>
      <c r="C188" s="25"/>
      <c r="D188" s="73"/>
      <c r="E188" s="73"/>
    </row>
    <row r="189" spans="1:5" x14ac:dyDescent="0.2">
      <c r="A189" s="345">
        <v>33269</v>
      </c>
      <c r="B189" s="73"/>
      <c r="C189" s="25"/>
      <c r="D189" s="73"/>
      <c r="E189" s="73"/>
    </row>
    <row r="190" spans="1:5" x14ac:dyDescent="0.2">
      <c r="A190" s="345">
        <v>33297</v>
      </c>
      <c r="B190" s="73"/>
      <c r="C190" s="25"/>
      <c r="D190" s="73"/>
      <c r="E190" s="73"/>
    </row>
    <row r="191" spans="1:5" x14ac:dyDescent="0.2">
      <c r="A191" s="345">
        <v>33328</v>
      </c>
      <c r="B191" s="73"/>
      <c r="C191" s="25"/>
      <c r="D191" s="73"/>
      <c r="E191" s="73"/>
    </row>
    <row r="192" spans="1:5" x14ac:dyDescent="0.2">
      <c r="A192" s="345">
        <v>33358</v>
      </c>
      <c r="B192" s="73"/>
      <c r="C192" s="25"/>
      <c r="D192" s="73"/>
      <c r="E192" s="73"/>
    </row>
    <row r="193" spans="1:5" x14ac:dyDescent="0.2">
      <c r="A193" s="345">
        <v>33389</v>
      </c>
      <c r="B193" s="73"/>
      <c r="C193" s="25"/>
      <c r="D193" s="73"/>
      <c r="E193" s="73"/>
    </row>
    <row r="194" spans="1:5" x14ac:dyDescent="0.2">
      <c r="A194" s="345">
        <v>33419</v>
      </c>
      <c r="B194" s="73"/>
      <c r="C194" s="25"/>
      <c r="D194" s="73"/>
      <c r="E194" s="73"/>
    </row>
    <row r="195" spans="1:5" x14ac:dyDescent="0.2">
      <c r="A195" s="345">
        <v>33450</v>
      </c>
      <c r="B195" s="73"/>
      <c r="C195" s="25"/>
      <c r="D195" s="73"/>
      <c r="E195" s="73"/>
    </row>
    <row r="196" spans="1:5" x14ac:dyDescent="0.2">
      <c r="A196" s="345">
        <v>33481</v>
      </c>
      <c r="B196" s="73"/>
      <c r="C196" s="25"/>
      <c r="D196" s="73"/>
      <c r="E196" s="73"/>
    </row>
    <row r="197" spans="1:5" x14ac:dyDescent="0.2">
      <c r="A197" s="345">
        <v>33511</v>
      </c>
      <c r="B197" s="73"/>
      <c r="C197" s="25"/>
      <c r="D197" s="73"/>
      <c r="E197" s="73"/>
    </row>
    <row r="198" spans="1:5" x14ac:dyDescent="0.2">
      <c r="A198" s="345">
        <v>33542</v>
      </c>
      <c r="B198" s="73"/>
      <c r="C198" s="25"/>
      <c r="D198" s="73"/>
      <c r="E198" s="73"/>
    </row>
    <row r="199" spans="1:5" x14ac:dyDescent="0.2">
      <c r="A199" s="345">
        <v>33572</v>
      </c>
      <c r="B199" s="73"/>
      <c r="C199" s="25"/>
      <c r="D199" s="73"/>
      <c r="E199" s="73"/>
    </row>
    <row r="200" spans="1:5" x14ac:dyDescent="0.2">
      <c r="A200" s="345">
        <v>33603</v>
      </c>
      <c r="B200" s="73"/>
      <c r="C200" s="25"/>
      <c r="D200" s="73"/>
      <c r="E200" s="73"/>
    </row>
    <row r="201" spans="1:5" x14ac:dyDescent="0.2">
      <c r="A201" s="345">
        <v>33634</v>
      </c>
      <c r="B201" s="73"/>
      <c r="C201" s="25"/>
      <c r="D201" s="73"/>
      <c r="E201" s="73"/>
    </row>
    <row r="202" spans="1:5" x14ac:dyDescent="0.2">
      <c r="A202" s="345">
        <v>33663</v>
      </c>
      <c r="B202" s="73"/>
      <c r="C202" s="25"/>
      <c r="D202" s="73"/>
      <c r="E202" s="73"/>
    </row>
    <row r="203" spans="1:5" x14ac:dyDescent="0.2">
      <c r="A203" s="345">
        <v>33694</v>
      </c>
      <c r="B203" s="73"/>
      <c r="C203" s="25"/>
      <c r="D203" s="73"/>
      <c r="E203" s="73"/>
    </row>
    <row r="204" spans="1:5" x14ac:dyDescent="0.2">
      <c r="A204" s="345">
        <v>33724</v>
      </c>
      <c r="B204" s="73"/>
      <c r="C204" s="25"/>
      <c r="D204" s="73"/>
      <c r="E204" s="73"/>
    </row>
    <row r="205" spans="1:5" x14ac:dyDescent="0.2">
      <c r="A205" s="345">
        <v>33755</v>
      </c>
      <c r="B205" s="73"/>
      <c r="C205" s="25"/>
      <c r="D205" s="73"/>
      <c r="E205" s="73"/>
    </row>
    <row r="206" spans="1:5" x14ac:dyDescent="0.2">
      <c r="A206" s="345">
        <v>33785</v>
      </c>
      <c r="B206" s="73"/>
      <c r="C206" s="25"/>
      <c r="D206" s="73"/>
      <c r="E206" s="73"/>
    </row>
    <row r="207" spans="1:5" x14ac:dyDescent="0.2">
      <c r="A207" s="345">
        <v>33816</v>
      </c>
      <c r="B207" s="73"/>
      <c r="C207" s="25"/>
      <c r="D207" s="73"/>
      <c r="E207" s="73"/>
    </row>
    <row r="208" spans="1:5" x14ac:dyDescent="0.2">
      <c r="A208" s="345">
        <v>33847</v>
      </c>
      <c r="B208" s="73"/>
      <c r="C208" s="25"/>
      <c r="D208" s="73"/>
      <c r="E208" s="73"/>
    </row>
    <row r="209" spans="1:5" x14ac:dyDescent="0.2">
      <c r="A209" s="345">
        <v>33877</v>
      </c>
      <c r="B209" s="73"/>
      <c r="C209" s="25"/>
      <c r="D209" s="73"/>
      <c r="E209" s="73"/>
    </row>
    <row r="210" spans="1:5" x14ac:dyDescent="0.2">
      <c r="A210" s="345">
        <v>33908</v>
      </c>
      <c r="B210" s="73"/>
      <c r="C210" s="25"/>
      <c r="D210" s="73"/>
      <c r="E210" s="73"/>
    </row>
    <row r="211" spans="1:5" x14ac:dyDescent="0.2">
      <c r="A211" s="345">
        <v>33938</v>
      </c>
      <c r="B211" s="73"/>
      <c r="C211" s="25"/>
      <c r="D211" s="73"/>
      <c r="E211" s="73"/>
    </row>
    <row r="212" spans="1:5" x14ac:dyDescent="0.2">
      <c r="A212" s="345">
        <v>33969</v>
      </c>
      <c r="B212" s="73"/>
      <c r="C212" s="25"/>
      <c r="D212" s="73"/>
      <c r="E212" s="73"/>
    </row>
    <row r="213" spans="1:5" x14ac:dyDescent="0.2">
      <c r="A213" s="345">
        <v>34000</v>
      </c>
      <c r="B213" s="73"/>
      <c r="C213" s="25"/>
      <c r="D213" s="73"/>
      <c r="E213" s="73"/>
    </row>
    <row r="214" spans="1:5" x14ac:dyDescent="0.2">
      <c r="A214" s="345">
        <v>34028</v>
      </c>
      <c r="B214" s="73"/>
      <c r="C214" s="25"/>
      <c r="D214" s="73"/>
      <c r="E214" s="73"/>
    </row>
    <row r="215" spans="1:5" x14ac:dyDescent="0.2">
      <c r="A215" s="345">
        <v>34059</v>
      </c>
      <c r="B215" s="73"/>
      <c r="C215" s="25"/>
      <c r="D215" s="73"/>
      <c r="E215" s="73"/>
    </row>
    <row r="216" spans="1:5" x14ac:dyDescent="0.2">
      <c r="A216" s="345">
        <v>34089</v>
      </c>
      <c r="B216" s="73"/>
      <c r="C216" s="25"/>
      <c r="D216" s="73"/>
      <c r="E216" s="73"/>
    </row>
    <row r="217" spans="1:5" x14ac:dyDescent="0.2">
      <c r="A217" s="345">
        <v>34120</v>
      </c>
      <c r="B217" s="73"/>
      <c r="C217" s="25"/>
      <c r="D217" s="73"/>
      <c r="E217" s="73"/>
    </row>
    <row r="218" spans="1:5" x14ac:dyDescent="0.2">
      <c r="A218" s="345">
        <v>34150</v>
      </c>
      <c r="B218" s="73"/>
      <c r="C218" s="25"/>
      <c r="D218" s="73"/>
      <c r="E218" s="73"/>
    </row>
    <row r="219" spans="1:5" x14ac:dyDescent="0.2">
      <c r="A219" s="345">
        <v>34181</v>
      </c>
      <c r="B219" s="73"/>
      <c r="C219" s="25"/>
      <c r="D219" s="73"/>
      <c r="E219" s="73"/>
    </row>
    <row r="220" spans="1:5" x14ac:dyDescent="0.2">
      <c r="A220" s="345">
        <v>34212</v>
      </c>
      <c r="B220" s="73"/>
      <c r="C220" s="25"/>
      <c r="D220" s="73"/>
      <c r="E220" s="73"/>
    </row>
    <row r="221" spans="1:5" x14ac:dyDescent="0.2">
      <c r="A221" s="345">
        <v>34242</v>
      </c>
      <c r="B221" s="73"/>
      <c r="C221" s="25"/>
      <c r="D221" s="73"/>
      <c r="E221" s="73"/>
    </row>
    <row r="222" spans="1:5" x14ac:dyDescent="0.2">
      <c r="A222" s="345">
        <v>34273</v>
      </c>
      <c r="B222" s="73"/>
      <c r="C222" s="25"/>
      <c r="D222" s="73"/>
      <c r="E222" s="73"/>
    </row>
    <row r="223" spans="1:5" x14ac:dyDescent="0.2">
      <c r="A223" s="345">
        <v>34303</v>
      </c>
      <c r="B223" s="73"/>
      <c r="C223" s="25"/>
      <c r="D223" s="73"/>
      <c r="E223" s="73"/>
    </row>
    <row r="224" spans="1:5" x14ac:dyDescent="0.2">
      <c r="A224" s="345">
        <v>34334</v>
      </c>
      <c r="B224" s="73"/>
      <c r="C224" s="25"/>
      <c r="D224" s="73"/>
      <c r="E224" s="73"/>
    </row>
    <row r="225" spans="1:5" x14ac:dyDescent="0.2">
      <c r="A225" s="345">
        <v>34365</v>
      </c>
      <c r="B225" s="73"/>
      <c r="C225" s="25"/>
      <c r="D225" s="73"/>
      <c r="E225" s="73"/>
    </row>
    <row r="226" spans="1:5" x14ac:dyDescent="0.2">
      <c r="A226" s="345">
        <v>34393</v>
      </c>
      <c r="B226" s="73"/>
      <c r="C226" s="25"/>
      <c r="D226" s="73"/>
      <c r="E226" s="73"/>
    </row>
    <row r="227" spans="1:5" x14ac:dyDescent="0.2">
      <c r="A227" s="345">
        <v>34424</v>
      </c>
      <c r="B227" s="73"/>
      <c r="C227" s="25"/>
      <c r="D227" s="73"/>
      <c r="E227" s="73"/>
    </row>
    <row r="228" spans="1:5" x14ac:dyDescent="0.2">
      <c r="A228" s="345">
        <v>34454</v>
      </c>
      <c r="B228" s="73"/>
      <c r="C228" s="25"/>
      <c r="D228" s="73"/>
      <c r="E228" s="73"/>
    </row>
    <row r="229" spans="1:5" x14ac:dyDescent="0.2">
      <c r="A229" s="345">
        <v>34485</v>
      </c>
      <c r="B229" s="73"/>
      <c r="C229" s="25"/>
      <c r="D229" s="73"/>
      <c r="E229" s="73"/>
    </row>
    <row r="230" spans="1:5" x14ac:dyDescent="0.2">
      <c r="A230" s="345">
        <v>34515</v>
      </c>
      <c r="B230" s="73"/>
      <c r="C230" s="25"/>
      <c r="D230" s="73"/>
      <c r="E230" s="73"/>
    </row>
    <row r="231" spans="1:5" x14ac:dyDescent="0.2">
      <c r="A231" s="345">
        <v>34546</v>
      </c>
      <c r="B231" s="73"/>
      <c r="C231" s="25"/>
      <c r="D231" s="73"/>
      <c r="E231" s="73"/>
    </row>
    <row r="232" spans="1:5" x14ac:dyDescent="0.2">
      <c r="A232" s="345">
        <v>34577</v>
      </c>
      <c r="B232" s="73"/>
      <c r="C232" s="25"/>
      <c r="D232" s="73"/>
      <c r="E232" s="73"/>
    </row>
    <row r="233" spans="1:5" x14ac:dyDescent="0.2">
      <c r="A233" s="345">
        <v>34607</v>
      </c>
      <c r="B233" s="73"/>
      <c r="C233" s="25"/>
      <c r="D233" s="73"/>
      <c r="E233" s="73"/>
    </row>
    <row r="234" spans="1:5" x14ac:dyDescent="0.2">
      <c r="A234" s="345">
        <v>34638</v>
      </c>
      <c r="B234" s="73"/>
      <c r="C234" s="25"/>
      <c r="D234" s="73"/>
      <c r="E234" s="73"/>
    </row>
    <row r="235" spans="1:5" x14ac:dyDescent="0.2">
      <c r="A235" s="345">
        <v>34668</v>
      </c>
      <c r="B235" s="73"/>
      <c r="C235" s="25"/>
      <c r="D235" s="73"/>
      <c r="E235" s="73"/>
    </row>
    <row r="236" spans="1:5" x14ac:dyDescent="0.2">
      <c r="A236" s="345">
        <v>34699</v>
      </c>
      <c r="B236" s="73"/>
      <c r="C236" s="25"/>
      <c r="D236" s="73"/>
      <c r="E236" s="73"/>
    </row>
    <row r="237" spans="1:5" x14ac:dyDescent="0.2">
      <c r="A237" s="345">
        <v>34730</v>
      </c>
      <c r="B237" s="73"/>
      <c r="C237" s="25"/>
      <c r="D237" s="73"/>
      <c r="E237" s="73"/>
    </row>
    <row r="238" spans="1:5" x14ac:dyDescent="0.2">
      <c r="A238" s="345">
        <v>34758</v>
      </c>
      <c r="B238" s="73"/>
      <c r="C238" s="25"/>
      <c r="D238" s="73"/>
      <c r="E238" s="73"/>
    </row>
    <row r="239" spans="1:5" x14ac:dyDescent="0.2">
      <c r="A239" s="345">
        <v>34789</v>
      </c>
      <c r="B239" s="73"/>
      <c r="C239" s="25"/>
      <c r="D239" s="73"/>
      <c r="E239" s="73"/>
    </row>
    <row r="240" spans="1:5" x14ac:dyDescent="0.2">
      <c r="A240" s="345">
        <v>34819</v>
      </c>
      <c r="B240" s="73"/>
      <c r="C240" s="25"/>
      <c r="D240" s="73"/>
      <c r="E240" s="73"/>
    </row>
    <row r="241" spans="1:5" x14ac:dyDescent="0.2">
      <c r="A241" s="345">
        <v>34850</v>
      </c>
      <c r="B241" s="73"/>
      <c r="C241" s="25"/>
      <c r="D241" s="73"/>
      <c r="E241" s="73"/>
    </row>
    <row r="242" spans="1:5" x14ac:dyDescent="0.2">
      <c r="A242" s="345">
        <v>34880</v>
      </c>
      <c r="B242" s="73"/>
      <c r="C242" s="25"/>
      <c r="D242" s="73"/>
      <c r="E242" s="73"/>
    </row>
    <row r="243" spans="1:5" x14ac:dyDescent="0.2">
      <c r="A243" s="345">
        <v>34911</v>
      </c>
      <c r="B243" s="73"/>
      <c r="C243" s="25"/>
      <c r="D243" s="73"/>
      <c r="E243" s="73"/>
    </row>
    <row r="244" spans="1:5" x14ac:dyDescent="0.2">
      <c r="A244" s="345">
        <v>34942</v>
      </c>
      <c r="B244" s="73"/>
      <c r="C244" s="25"/>
      <c r="D244" s="73"/>
      <c r="E244" s="73"/>
    </row>
    <row r="245" spans="1:5" x14ac:dyDescent="0.2">
      <c r="A245" s="345">
        <v>34972</v>
      </c>
      <c r="B245" s="73"/>
      <c r="C245" s="25"/>
      <c r="D245" s="73"/>
      <c r="E245" s="73"/>
    </row>
    <row r="246" spans="1:5" x14ac:dyDescent="0.2">
      <c r="A246" s="345">
        <v>35003</v>
      </c>
      <c r="B246" s="73"/>
      <c r="C246" s="25"/>
      <c r="D246" s="73"/>
      <c r="E246" s="73"/>
    </row>
    <row r="247" spans="1:5" x14ac:dyDescent="0.2">
      <c r="A247" s="345">
        <v>35033</v>
      </c>
      <c r="B247" s="73"/>
      <c r="C247" s="25"/>
      <c r="D247" s="73"/>
      <c r="E247" s="73"/>
    </row>
    <row r="248" spans="1:5" x14ac:dyDescent="0.2">
      <c r="A248" s="345">
        <v>35064</v>
      </c>
      <c r="B248" s="73"/>
      <c r="C248" s="25"/>
      <c r="D248" s="73"/>
      <c r="E248" s="73"/>
    </row>
    <row r="249" spans="1:5" x14ac:dyDescent="0.2">
      <c r="A249" s="345">
        <v>35095</v>
      </c>
      <c r="B249" s="73"/>
      <c r="C249" s="25"/>
      <c r="D249" s="73"/>
      <c r="E249" s="73"/>
    </row>
    <row r="250" spans="1:5" x14ac:dyDescent="0.2">
      <c r="A250" s="345">
        <v>35124</v>
      </c>
      <c r="B250" s="73"/>
      <c r="C250" s="25"/>
      <c r="D250" s="73"/>
      <c r="E250" s="73"/>
    </row>
    <row r="251" spans="1:5" x14ac:dyDescent="0.2">
      <c r="A251" s="345">
        <v>35155</v>
      </c>
      <c r="B251" s="73"/>
      <c r="C251" s="25"/>
      <c r="D251" s="73"/>
      <c r="E251" s="73"/>
    </row>
    <row r="252" spans="1:5" x14ac:dyDescent="0.2">
      <c r="A252" s="345">
        <v>35185</v>
      </c>
      <c r="B252" s="73"/>
      <c r="C252" s="25"/>
      <c r="D252" s="73"/>
      <c r="E252" s="73"/>
    </row>
    <row r="253" spans="1:5" x14ac:dyDescent="0.2">
      <c r="A253" s="345">
        <v>35216</v>
      </c>
      <c r="B253" s="73"/>
      <c r="C253" s="25"/>
      <c r="D253" s="73"/>
      <c r="E253" s="73"/>
    </row>
    <row r="254" spans="1:5" x14ac:dyDescent="0.2">
      <c r="A254" s="345">
        <v>35246</v>
      </c>
      <c r="B254" s="73"/>
      <c r="C254" s="25"/>
      <c r="D254" s="73"/>
      <c r="E254" s="73"/>
    </row>
    <row r="255" spans="1:5" x14ac:dyDescent="0.2">
      <c r="A255" s="345">
        <v>35277</v>
      </c>
      <c r="B255" s="73"/>
      <c r="C255" s="25"/>
      <c r="D255" s="73"/>
      <c r="E255" s="73"/>
    </row>
    <row r="256" spans="1:5" x14ac:dyDescent="0.2">
      <c r="A256" s="345">
        <v>35308</v>
      </c>
      <c r="B256" s="73"/>
      <c r="C256" s="25"/>
      <c r="D256" s="73"/>
      <c r="E256" s="73"/>
    </row>
    <row r="257" spans="1:5" x14ac:dyDescent="0.2">
      <c r="A257" s="345">
        <v>35338</v>
      </c>
      <c r="B257" s="73"/>
      <c r="C257" s="25"/>
      <c r="D257" s="73"/>
      <c r="E257" s="73"/>
    </row>
    <row r="258" spans="1:5" x14ac:dyDescent="0.2">
      <c r="A258" s="345">
        <v>35369</v>
      </c>
      <c r="B258" s="73"/>
      <c r="C258" s="25"/>
      <c r="D258" s="73"/>
      <c r="E258" s="73"/>
    </row>
    <row r="259" spans="1:5" x14ac:dyDescent="0.2">
      <c r="A259" s="345">
        <v>35399</v>
      </c>
      <c r="B259" s="73"/>
      <c r="C259" s="25"/>
      <c r="D259" s="73"/>
      <c r="E259" s="73"/>
    </row>
    <row r="260" spans="1:5" x14ac:dyDescent="0.2">
      <c r="A260" s="345">
        <v>35430</v>
      </c>
      <c r="B260" s="73"/>
      <c r="C260" s="25"/>
      <c r="D260" s="73"/>
      <c r="E260" s="73"/>
    </row>
    <row r="261" spans="1:5" x14ac:dyDescent="0.2">
      <c r="A261" s="345">
        <v>35461</v>
      </c>
      <c r="B261" s="73"/>
      <c r="C261" s="25"/>
      <c r="D261" s="73"/>
      <c r="E261" s="73"/>
    </row>
    <row r="262" spans="1:5" x14ac:dyDescent="0.2">
      <c r="A262" s="345">
        <v>35489</v>
      </c>
      <c r="B262" s="73"/>
      <c r="C262" s="25"/>
      <c r="D262" s="73"/>
      <c r="E262" s="73"/>
    </row>
    <row r="263" spans="1:5" x14ac:dyDescent="0.2">
      <c r="A263" s="345">
        <v>35520</v>
      </c>
      <c r="B263" s="73"/>
      <c r="C263" s="25"/>
      <c r="D263" s="73"/>
      <c r="E263" s="73"/>
    </row>
    <row r="264" spans="1:5" x14ac:dyDescent="0.2">
      <c r="A264" s="345">
        <v>35550</v>
      </c>
      <c r="B264" s="73"/>
      <c r="C264" s="25"/>
      <c r="D264" s="73"/>
      <c r="E264" s="73"/>
    </row>
    <row r="265" spans="1:5" x14ac:dyDescent="0.2">
      <c r="A265" s="345">
        <v>35581</v>
      </c>
      <c r="B265" s="73"/>
      <c r="C265" s="25"/>
      <c r="D265" s="73"/>
      <c r="E265" s="73"/>
    </row>
    <row r="266" spans="1:5" x14ac:dyDescent="0.2">
      <c r="A266" s="345">
        <v>35611</v>
      </c>
      <c r="B266" s="73"/>
      <c r="C266" s="25"/>
      <c r="D266" s="73"/>
      <c r="E266" s="73"/>
    </row>
    <row r="267" spans="1:5" x14ac:dyDescent="0.2">
      <c r="A267" s="345">
        <v>35642</v>
      </c>
      <c r="B267" s="73"/>
      <c r="C267" s="25"/>
      <c r="D267" s="73"/>
      <c r="E267" s="73"/>
    </row>
    <row r="268" spans="1:5" x14ac:dyDescent="0.2">
      <c r="A268" s="345">
        <v>35673</v>
      </c>
      <c r="B268" s="73"/>
      <c r="C268" s="25"/>
      <c r="D268" s="73"/>
      <c r="E268" s="73"/>
    </row>
    <row r="269" spans="1:5" x14ac:dyDescent="0.2">
      <c r="A269" s="345">
        <v>35703</v>
      </c>
      <c r="B269" s="73"/>
      <c r="C269" s="25"/>
      <c r="D269" s="73"/>
      <c r="E269" s="73"/>
    </row>
    <row r="270" spans="1:5" x14ac:dyDescent="0.2">
      <c r="A270" s="345">
        <v>35734</v>
      </c>
      <c r="B270" s="73"/>
      <c r="C270" s="25"/>
      <c r="D270" s="73"/>
      <c r="E270" s="73"/>
    </row>
    <row r="271" spans="1:5" x14ac:dyDescent="0.2">
      <c r="A271" s="345">
        <v>35764</v>
      </c>
      <c r="B271" s="73"/>
      <c r="C271" s="25"/>
      <c r="D271" s="73"/>
      <c r="E271" s="73"/>
    </row>
    <row r="272" spans="1:5" x14ac:dyDescent="0.2">
      <c r="A272" s="345">
        <v>35795</v>
      </c>
      <c r="B272" s="73"/>
      <c r="C272" s="25"/>
      <c r="D272" s="73"/>
      <c r="E272" s="73"/>
    </row>
    <row r="273" spans="1:5" x14ac:dyDescent="0.2">
      <c r="A273" s="345">
        <v>35826</v>
      </c>
      <c r="B273" s="73"/>
      <c r="C273" s="25"/>
      <c r="D273" s="73"/>
      <c r="E273" s="73"/>
    </row>
    <row r="274" spans="1:5" x14ac:dyDescent="0.2">
      <c r="A274" s="345">
        <v>35854</v>
      </c>
      <c r="B274" s="73"/>
      <c r="C274" s="32"/>
      <c r="D274" s="73"/>
      <c r="E274" s="73"/>
    </row>
    <row r="275" spans="1:5" x14ac:dyDescent="0.2">
      <c r="A275" s="345">
        <v>35885</v>
      </c>
      <c r="B275" s="73"/>
      <c r="C275" s="32"/>
      <c r="D275" s="73"/>
      <c r="E275" s="73"/>
    </row>
    <row r="276" spans="1:5" x14ac:dyDescent="0.2">
      <c r="A276" s="345">
        <v>35915</v>
      </c>
      <c r="B276" s="73"/>
      <c r="C276" s="32"/>
      <c r="D276" s="73"/>
      <c r="E276" s="73"/>
    </row>
    <row r="277" spans="1:5" x14ac:dyDescent="0.2">
      <c r="A277" s="345">
        <v>35946</v>
      </c>
      <c r="B277" s="73"/>
      <c r="C277" s="32"/>
      <c r="D277" s="73"/>
      <c r="E277" s="73"/>
    </row>
    <row r="278" spans="1:5" x14ac:dyDescent="0.2">
      <c r="A278" s="345">
        <v>35976</v>
      </c>
      <c r="B278" s="73"/>
      <c r="C278" s="32"/>
      <c r="D278" s="73"/>
      <c r="E278" s="73"/>
    </row>
    <row r="279" spans="1:5" x14ac:dyDescent="0.2">
      <c r="A279" s="345">
        <v>36007</v>
      </c>
      <c r="B279" s="73"/>
      <c r="C279" s="32"/>
      <c r="D279" s="73"/>
      <c r="E279" s="73"/>
    </row>
    <row r="280" spans="1:5" x14ac:dyDescent="0.2">
      <c r="A280" s="345">
        <v>36038</v>
      </c>
      <c r="B280" s="73"/>
      <c r="C280" s="32"/>
      <c r="D280" s="73"/>
      <c r="E280" s="73"/>
    </row>
    <row r="281" spans="1:5" x14ac:dyDescent="0.2">
      <c r="A281" s="345">
        <v>36068</v>
      </c>
      <c r="B281" s="73"/>
      <c r="C281" s="32"/>
      <c r="D281" s="73"/>
      <c r="E281" s="73"/>
    </row>
    <row r="282" spans="1:5" x14ac:dyDescent="0.2">
      <c r="A282" s="345">
        <v>36099</v>
      </c>
      <c r="B282" s="73"/>
      <c r="C282" s="32"/>
      <c r="D282" s="73"/>
      <c r="E282" s="73"/>
    </row>
    <row r="283" spans="1:5" x14ac:dyDescent="0.2">
      <c r="A283" s="345">
        <v>36129</v>
      </c>
      <c r="B283" s="73"/>
      <c r="C283" s="32"/>
      <c r="D283" s="73"/>
      <c r="E283" s="73"/>
    </row>
    <row r="284" spans="1:5" x14ac:dyDescent="0.2">
      <c r="A284" s="345">
        <v>36160</v>
      </c>
      <c r="B284" s="73"/>
      <c r="C284" s="32"/>
      <c r="D284" s="73"/>
      <c r="E284" s="73"/>
    </row>
    <row r="285" spans="1:5" x14ac:dyDescent="0.2">
      <c r="A285" s="345">
        <v>36191</v>
      </c>
      <c r="B285" s="73"/>
      <c r="C285" s="32"/>
      <c r="D285" s="73"/>
      <c r="E285" s="73"/>
    </row>
    <row r="286" spans="1:5" x14ac:dyDescent="0.2">
      <c r="A286" s="345">
        <v>36219</v>
      </c>
      <c r="B286" s="73"/>
      <c r="C286" s="32"/>
      <c r="D286" s="73"/>
      <c r="E286" s="73"/>
    </row>
    <row r="287" spans="1:5" x14ac:dyDescent="0.2">
      <c r="A287" s="345">
        <v>36250</v>
      </c>
      <c r="B287" s="73"/>
      <c r="C287" s="32"/>
      <c r="D287" s="73"/>
      <c r="E287" s="73"/>
    </row>
    <row r="288" spans="1:5" x14ac:dyDescent="0.2">
      <c r="A288" s="345">
        <v>36280</v>
      </c>
      <c r="B288" s="73"/>
      <c r="C288" s="32"/>
      <c r="D288" s="73"/>
      <c r="E288" s="73"/>
    </row>
    <row r="289" spans="1:5" x14ac:dyDescent="0.2">
      <c r="A289" s="345">
        <v>36311</v>
      </c>
      <c r="B289" s="73"/>
      <c r="C289" s="32"/>
      <c r="D289" s="73"/>
      <c r="E289" s="73"/>
    </row>
    <row r="290" spans="1:5" x14ac:dyDescent="0.2">
      <c r="A290" s="345">
        <v>36341</v>
      </c>
      <c r="B290" s="73"/>
      <c r="C290" s="32"/>
      <c r="D290" s="73"/>
      <c r="E290" s="73"/>
    </row>
    <row r="291" spans="1:5" x14ac:dyDescent="0.2">
      <c r="A291" s="345">
        <v>36372</v>
      </c>
      <c r="B291" s="73"/>
      <c r="C291" s="32"/>
      <c r="D291" s="73"/>
      <c r="E291" s="73"/>
    </row>
    <row r="292" spans="1:5" x14ac:dyDescent="0.2">
      <c r="A292" s="345">
        <v>36403</v>
      </c>
      <c r="B292" s="73"/>
      <c r="C292" s="32"/>
      <c r="D292" s="73"/>
      <c r="E292" s="73"/>
    </row>
    <row r="293" spans="1:5" x14ac:dyDescent="0.2">
      <c r="A293" s="345">
        <v>36433</v>
      </c>
      <c r="B293" s="73"/>
      <c r="C293" s="32"/>
      <c r="D293" s="73"/>
      <c r="E293" s="73"/>
    </row>
    <row r="294" spans="1:5" x14ac:dyDescent="0.2">
      <c r="A294" s="345">
        <v>36464</v>
      </c>
      <c r="B294" s="73"/>
      <c r="C294" s="32"/>
      <c r="D294" s="73"/>
      <c r="E294" s="73"/>
    </row>
    <row r="295" spans="1:5" x14ac:dyDescent="0.2">
      <c r="A295" s="345">
        <v>36494</v>
      </c>
      <c r="B295" s="73"/>
      <c r="C295" s="32"/>
      <c r="D295" s="73"/>
      <c r="E295" s="73"/>
    </row>
    <row r="296" spans="1:5" x14ac:dyDescent="0.2">
      <c r="A296" s="345">
        <v>36525</v>
      </c>
      <c r="B296" s="73"/>
      <c r="C296" s="32"/>
      <c r="D296" s="73"/>
      <c r="E296" s="73"/>
    </row>
    <row r="297" spans="1:5" x14ac:dyDescent="0.2">
      <c r="A297" s="345">
        <v>36556</v>
      </c>
      <c r="B297" s="73"/>
      <c r="C297" s="32"/>
      <c r="D297" s="73"/>
      <c r="E297" s="73"/>
    </row>
    <row r="298" spans="1:5" x14ac:dyDescent="0.2">
      <c r="A298" s="345">
        <v>36585</v>
      </c>
      <c r="B298" s="73"/>
      <c r="C298" s="32"/>
      <c r="D298" s="73"/>
      <c r="E298" s="73"/>
    </row>
    <row r="299" spans="1:5" x14ac:dyDescent="0.2">
      <c r="A299" s="345">
        <v>36616</v>
      </c>
      <c r="B299" s="73"/>
      <c r="C299" s="32"/>
      <c r="D299" s="73"/>
      <c r="E299" s="73"/>
    </row>
    <row r="300" spans="1:5" x14ac:dyDescent="0.2">
      <c r="A300" s="345">
        <v>36646</v>
      </c>
      <c r="B300" s="73"/>
      <c r="C300" s="32"/>
      <c r="D300" s="73"/>
      <c r="E300" s="73"/>
    </row>
    <row r="301" spans="1:5" x14ac:dyDescent="0.2">
      <c r="A301" s="345">
        <v>36677</v>
      </c>
      <c r="B301" s="73"/>
      <c r="C301" s="32"/>
      <c r="D301" s="73"/>
      <c r="E301" s="73"/>
    </row>
    <row r="302" spans="1:5" x14ac:dyDescent="0.2">
      <c r="A302" s="345">
        <v>36707</v>
      </c>
      <c r="B302" s="73"/>
      <c r="C302" s="32"/>
      <c r="D302" s="73"/>
      <c r="E302" s="73"/>
    </row>
    <row r="303" spans="1:5" x14ac:dyDescent="0.2">
      <c r="A303" s="345">
        <v>36738</v>
      </c>
      <c r="B303" s="73"/>
      <c r="C303" s="32"/>
      <c r="D303" s="73"/>
      <c r="E303" s="73"/>
    </row>
    <row r="304" spans="1:5" x14ac:dyDescent="0.2">
      <c r="A304" s="345">
        <v>36769</v>
      </c>
      <c r="B304" s="73"/>
      <c r="C304" s="32"/>
      <c r="D304" s="73"/>
      <c r="E304" s="73"/>
    </row>
    <row r="305" spans="1:5" x14ac:dyDescent="0.2">
      <c r="A305" s="345">
        <v>36799</v>
      </c>
      <c r="B305" s="73"/>
      <c r="C305" s="32"/>
      <c r="D305" s="73"/>
      <c r="E305" s="73"/>
    </row>
    <row r="306" spans="1:5" x14ac:dyDescent="0.2">
      <c r="A306" s="345">
        <v>36830</v>
      </c>
      <c r="B306" s="73"/>
      <c r="C306" s="32"/>
      <c r="D306" s="73"/>
      <c r="E306" s="73"/>
    </row>
    <row r="307" spans="1:5" x14ac:dyDescent="0.2">
      <c r="A307" s="345">
        <v>36860</v>
      </c>
      <c r="B307" s="73"/>
      <c r="C307" s="32"/>
      <c r="D307" s="73"/>
      <c r="E307" s="73"/>
    </row>
    <row r="308" spans="1:5" x14ac:dyDescent="0.2">
      <c r="A308" s="345">
        <v>36891</v>
      </c>
      <c r="B308" s="73"/>
      <c r="C308" s="32"/>
      <c r="D308" s="73"/>
      <c r="E308" s="73"/>
    </row>
    <row r="309" spans="1:5" x14ac:dyDescent="0.2">
      <c r="A309" s="345">
        <v>36922</v>
      </c>
      <c r="B309" s="73"/>
      <c r="C309" s="32"/>
      <c r="D309" s="73"/>
      <c r="E309" s="73"/>
    </row>
    <row r="310" spans="1:5" x14ac:dyDescent="0.2">
      <c r="A310" s="345">
        <v>36950</v>
      </c>
      <c r="B310" s="73"/>
      <c r="C310" s="32"/>
      <c r="D310" s="73"/>
      <c r="E310" s="73"/>
    </row>
    <row r="311" spans="1:5" x14ac:dyDescent="0.2">
      <c r="A311" s="345">
        <v>36981</v>
      </c>
      <c r="B311" s="73"/>
      <c r="C311" s="32"/>
      <c r="D311" s="73"/>
      <c r="E311" s="73"/>
    </row>
    <row r="312" spans="1:5" x14ac:dyDescent="0.2">
      <c r="A312" s="345">
        <v>37011</v>
      </c>
      <c r="B312" s="73"/>
      <c r="C312" s="32"/>
      <c r="D312" s="73"/>
      <c r="E312" s="73"/>
    </row>
    <row r="313" spans="1:5" x14ac:dyDescent="0.2">
      <c r="A313" s="345">
        <v>37042</v>
      </c>
      <c r="B313" s="73"/>
      <c r="C313" s="32"/>
      <c r="D313" s="73"/>
      <c r="E313" s="73"/>
    </row>
    <row r="314" spans="1:5" x14ac:dyDescent="0.2">
      <c r="A314" s="345">
        <v>37072</v>
      </c>
      <c r="B314" s="73"/>
      <c r="C314" s="32"/>
      <c r="D314" s="73"/>
      <c r="E314" s="73"/>
    </row>
    <row r="315" spans="1:5" x14ac:dyDescent="0.2">
      <c r="A315" s="345">
        <v>37103</v>
      </c>
      <c r="B315" s="73"/>
      <c r="C315" s="32"/>
      <c r="D315" s="73"/>
      <c r="E315" s="73"/>
    </row>
    <row r="316" spans="1:5" x14ac:dyDescent="0.2">
      <c r="A316" s="345">
        <v>37134</v>
      </c>
      <c r="B316" s="73"/>
      <c r="C316" s="32"/>
      <c r="D316" s="73"/>
      <c r="E316" s="73"/>
    </row>
    <row r="317" spans="1:5" x14ac:dyDescent="0.2">
      <c r="A317" s="345">
        <v>37164</v>
      </c>
      <c r="B317" s="73"/>
      <c r="C317" s="32"/>
      <c r="D317" s="73"/>
      <c r="E317" s="73"/>
    </row>
    <row r="318" spans="1:5" x14ac:dyDescent="0.2">
      <c r="A318" s="345">
        <v>37195</v>
      </c>
      <c r="B318" s="73"/>
      <c r="C318" s="32"/>
      <c r="D318" s="73"/>
      <c r="E318" s="73"/>
    </row>
    <row r="319" spans="1:5" x14ac:dyDescent="0.2">
      <c r="A319" s="345">
        <v>37225</v>
      </c>
      <c r="B319" s="73"/>
      <c r="C319" s="32"/>
      <c r="D319" s="73"/>
      <c r="E319" s="73"/>
    </row>
    <row r="320" spans="1:5" x14ac:dyDescent="0.2">
      <c r="A320" s="345">
        <v>37256</v>
      </c>
      <c r="B320" s="73"/>
      <c r="C320" s="32"/>
      <c r="D320" s="73"/>
      <c r="E320" s="73"/>
    </row>
    <row r="321" spans="1:9" x14ac:dyDescent="0.2">
      <c r="A321" s="345">
        <v>37287</v>
      </c>
      <c r="B321" s="73"/>
      <c r="C321" s="32"/>
      <c r="D321" s="73"/>
      <c r="E321" s="73"/>
    </row>
    <row r="322" spans="1:9" x14ac:dyDescent="0.2">
      <c r="A322" s="345">
        <v>37315</v>
      </c>
      <c r="B322" s="73"/>
      <c r="C322" s="32"/>
      <c r="D322" s="73"/>
      <c r="E322" s="73"/>
    </row>
    <row r="323" spans="1:9" x14ac:dyDescent="0.2">
      <c r="A323" s="345">
        <v>37346</v>
      </c>
      <c r="B323" s="73"/>
      <c r="C323" s="32"/>
      <c r="D323" s="73"/>
      <c r="E323" s="73"/>
    </row>
    <row r="324" spans="1:9" x14ac:dyDescent="0.2">
      <c r="A324" s="345">
        <v>37376</v>
      </c>
      <c r="B324" s="73"/>
      <c r="C324" s="32"/>
      <c r="D324" s="73"/>
      <c r="E324" s="73"/>
    </row>
    <row r="325" spans="1:9" x14ac:dyDescent="0.2">
      <c r="A325" s="345">
        <v>37407</v>
      </c>
      <c r="B325" s="73"/>
      <c r="C325" s="32"/>
      <c r="D325" s="73"/>
      <c r="E325" s="73"/>
    </row>
    <row r="326" spans="1:9" x14ac:dyDescent="0.2">
      <c r="A326" s="345">
        <v>37437</v>
      </c>
      <c r="B326" s="73"/>
      <c r="C326" s="32"/>
      <c r="D326" s="73"/>
      <c r="E326" s="73"/>
    </row>
    <row r="327" spans="1:9" x14ac:dyDescent="0.2">
      <c r="A327" s="345">
        <v>37468</v>
      </c>
      <c r="B327" s="73"/>
      <c r="C327" s="32"/>
      <c r="D327" s="73"/>
      <c r="E327" s="73"/>
    </row>
    <row r="328" spans="1:9" x14ac:dyDescent="0.2">
      <c r="A328" s="345">
        <v>37499</v>
      </c>
      <c r="B328" s="73"/>
      <c r="C328" s="32"/>
      <c r="D328" s="73"/>
      <c r="E328" s="73"/>
    </row>
    <row r="329" spans="1:9" x14ac:dyDescent="0.2">
      <c r="A329" s="345">
        <v>37529</v>
      </c>
      <c r="B329" s="73"/>
      <c r="C329" s="32"/>
      <c r="D329" s="73"/>
      <c r="E329" s="73"/>
      <c r="H329" s="1493"/>
      <c r="I329" s="1493"/>
    </row>
    <row r="330" spans="1:9" x14ac:dyDescent="0.2">
      <c r="A330" s="345">
        <v>37560</v>
      </c>
      <c r="B330" s="73"/>
      <c r="C330" s="32"/>
      <c r="D330" s="73"/>
      <c r="E330" s="73"/>
      <c r="F330" s="787"/>
    </row>
    <row r="331" spans="1:9" x14ac:dyDescent="0.2">
      <c r="A331" s="345">
        <v>37590</v>
      </c>
      <c r="B331" s="79"/>
      <c r="C331" s="32"/>
      <c r="D331" s="73"/>
      <c r="E331" s="79"/>
      <c r="F331" s="21"/>
    </row>
    <row r="332" spans="1:9" x14ac:dyDescent="0.2">
      <c r="A332" s="345">
        <v>37621</v>
      </c>
      <c r="B332" s="254"/>
      <c r="C332" s="33"/>
      <c r="D332" s="255"/>
      <c r="E332" s="255"/>
      <c r="H332" s="349"/>
      <c r="I332" s="233"/>
    </row>
    <row r="333" spans="1:9" x14ac:dyDescent="0.2">
      <c r="A333" s="345">
        <v>37652</v>
      </c>
      <c r="B333" s="1369">
        <v>-2.72</v>
      </c>
      <c r="C333" s="26">
        <v>286102018.18000001</v>
      </c>
      <c r="D333" s="255"/>
      <c r="E333" s="255">
        <f>B333-Index_Returns!D333</f>
        <v>2.0000000000000018E-2</v>
      </c>
      <c r="F333" s="128"/>
      <c r="G333" s="1365"/>
      <c r="I333" s="14"/>
    </row>
    <row r="334" spans="1:9" x14ac:dyDescent="0.2">
      <c r="A334" s="345">
        <v>37680</v>
      </c>
      <c r="B334" s="1369">
        <v>-3.31</v>
      </c>
      <c r="C334" s="26">
        <v>276639344.01999998</v>
      </c>
      <c r="D334" s="255"/>
      <c r="E334" s="255">
        <f>B334-Index_Returns!D334</f>
        <v>-0.58999999999999986</v>
      </c>
      <c r="F334" s="128"/>
      <c r="G334" s="1365"/>
      <c r="I334" s="14"/>
    </row>
    <row r="335" spans="1:9" x14ac:dyDescent="0.2">
      <c r="A335" s="345">
        <v>37711</v>
      </c>
      <c r="B335" s="1369">
        <v>-0.06</v>
      </c>
      <c r="C335" s="26">
        <v>276686046.86000001</v>
      </c>
      <c r="D335" s="255"/>
      <c r="E335" s="255">
        <f>B335-Index_Returns!D335</f>
        <v>7.0000000000000007E-2</v>
      </c>
      <c r="F335" s="128"/>
      <c r="G335" s="1365"/>
      <c r="I335" s="14"/>
    </row>
    <row r="336" spans="1:9" x14ac:dyDescent="0.2">
      <c r="A336" s="345">
        <v>37741</v>
      </c>
      <c r="B336" s="1369">
        <v>8.61</v>
      </c>
      <c r="C336" s="26">
        <v>300508362.06</v>
      </c>
      <c r="D336" s="255"/>
      <c r="E336" s="255">
        <f>B336-Index_Returns!D336</f>
        <v>-1.2800000000000011</v>
      </c>
      <c r="F336" s="128"/>
      <c r="G336" s="1365"/>
      <c r="I336" s="14"/>
    </row>
    <row r="337" spans="1:9" x14ac:dyDescent="0.2">
      <c r="A337" s="345">
        <v>37772</v>
      </c>
      <c r="B337" s="1369">
        <v>8.2899999999999991</v>
      </c>
      <c r="C337" s="26">
        <v>325416177.00999999</v>
      </c>
      <c r="D337" s="255"/>
      <c r="E337" s="255">
        <f>B337-Index_Returns!D337</f>
        <v>0.92999999999999883</v>
      </c>
      <c r="F337" s="128"/>
      <c r="G337" s="1365"/>
      <c r="I337" s="14"/>
    </row>
    <row r="338" spans="1:9" x14ac:dyDescent="0.2">
      <c r="A338" s="345">
        <v>37802</v>
      </c>
      <c r="B338" s="1369">
        <v>0.54</v>
      </c>
      <c r="C338" s="26">
        <v>327387863.5</v>
      </c>
      <c r="D338" s="255"/>
      <c r="E338" s="255">
        <f>B338-Index_Returns!D338</f>
        <v>-0.18999999999999995</v>
      </c>
      <c r="F338" s="128"/>
      <c r="G338" s="1365"/>
      <c r="I338" s="14"/>
    </row>
    <row r="339" spans="1:9" x14ac:dyDescent="0.2">
      <c r="A339" s="345">
        <v>37833</v>
      </c>
      <c r="B339" s="1369">
        <v>1.22</v>
      </c>
      <c r="C339" s="26">
        <v>331387214.63</v>
      </c>
      <c r="D339" s="255"/>
      <c r="E339" s="255">
        <f>B339-Index_Returns!D339</f>
        <v>-1.0000000000000002</v>
      </c>
      <c r="F339" s="128"/>
      <c r="G339" s="1365"/>
      <c r="I339" s="14"/>
    </row>
    <row r="340" spans="1:9" x14ac:dyDescent="0.2">
      <c r="A340" s="345">
        <v>37864</v>
      </c>
      <c r="B340" s="1369">
        <v>3.11</v>
      </c>
      <c r="C340" s="26">
        <v>341686661.19</v>
      </c>
      <c r="D340" s="255"/>
      <c r="E340" s="255">
        <f>B340-Index_Returns!D340</f>
        <v>0.94999999999999973</v>
      </c>
      <c r="F340" s="128"/>
      <c r="G340" s="1365"/>
      <c r="I340" s="14"/>
    </row>
    <row r="341" spans="1:9" x14ac:dyDescent="0.2">
      <c r="A341" s="345">
        <v>37894</v>
      </c>
      <c r="B341" s="1369">
        <v>-0.28999999999999998</v>
      </c>
      <c r="C341" s="27">
        <v>340954178.63999999</v>
      </c>
      <c r="D341" s="255"/>
      <c r="E341" s="255">
        <f>B341-Index_Returns!D341</f>
        <v>1.52</v>
      </c>
      <c r="F341" s="128"/>
      <c r="G341" s="1365"/>
      <c r="I341" s="14"/>
    </row>
    <row r="342" spans="1:9" x14ac:dyDescent="0.2">
      <c r="A342" s="345">
        <v>37925</v>
      </c>
      <c r="B342" s="1369">
        <v>7.32</v>
      </c>
      <c r="C342" s="27">
        <v>365899288.20999998</v>
      </c>
      <c r="D342" s="255"/>
      <c r="E342" s="255">
        <f>B342-Index_Returns!D342</f>
        <v>0.48000000000000043</v>
      </c>
      <c r="F342" s="128"/>
      <c r="G342" s="1365"/>
      <c r="I342" s="14"/>
    </row>
    <row r="343" spans="1:9" x14ac:dyDescent="0.2">
      <c r="A343" s="345">
        <v>37955</v>
      </c>
      <c r="B343" s="1369">
        <v>1.43</v>
      </c>
      <c r="C343" s="27">
        <v>371113310.79000002</v>
      </c>
      <c r="D343" s="255"/>
      <c r="E343" s="255">
        <f>B343-Index_Returns!D343</f>
        <v>0.52999999999999992</v>
      </c>
      <c r="F343" s="128"/>
      <c r="G343" s="1365"/>
      <c r="I343" s="14"/>
    </row>
    <row r="344" spans="1:9" x14ac:dyDescent="0.2">
      <c r="A344" s="345">
        <v>37986</v>
      </c>
      <c r="B344" s="1369">
        <v>5.41</v>
      </c>
      <c r="C344" s="27">
        <v>391471468.11000001</v>
      </c>
      <c r="D344" s="255"/>
      <c r="E344" s="255">
        <f>B344-Index_Returns!D344</f>
        <v>-0.76999999999999957</v>
      </c>
      <c r="F344" s="128"/>
      <c r="G344" s="1365"/>
      <c r="I344" s="14"/>
    </row>
    <row r="345" spans="1:9" x14ac:dyDescent="0.2">
      <c r="A345" s="345">
        <v>38017</v>
      </c>
      <c r="B345" s="1369">
        <v>2.5299999999999998</v>
      </c>
      <c r="C345" s="27">
        <v>401365784.86000001</v>
      </c>
      <c r="D345" s="255"/>
      <c r="E345" s="255">
        <f>B345-Index_Returns!D345</f>
        <v>0.75999999999999979</v>
      </c>
      <c r="F345" s="128"/>
      <c r="G345" s="1365"/>
      <c r="I345" s="14"/>
    </row>
    <row r="346" spans="1:9" x14ac:dyDescent="0.2">
      <c r="A346" s="345">
        <v>38046</v>
      </c>
      <c r="B346" s="1369">
        <v>3.13</v>
      </c>
      <c r="C346" s="27">
        <v>413928582.91000003</v>
      </c>
      <c r="D346" s="255"/>
      <c r="E346" s="255">
        <f>B346-Index_Returns!D346</f>
        <v>0.87000000000000011</v>
      </c>
      <c r="F346" s="128"/>
      <c r="G346" s="1365"/>
      <c r="I346" s="14"/>
    </row>
    <row r="347" spans="1:9" x14ac:dyDescent="0.2">
      <c r="A347" s="345">
        <v>38077</v>
      </c>
      <c r="B347" s="1369">
        <v>0.68</v>
      </c>
      <c r="C347" s="27">
        <v>416998673.39999998</v>
      </c>
      <c r="D347" s="255"/>
      <c r="E347" s="255">
        <f>B347-Index_Returns!D347</f>
        <v>1.37</v>
      </c>
      <c r="F347" s="128"/>
      <c r="G347" s="1365"/>
      <c r="I347" s="14"/>
    </row>
    <row r="348" spans="1:9" x14ac:dyDescent="0.2">
      <c r="A348" s="345">
        <v>38107</v>
      </c>
      <c r="B348" s="1369">
        <v>-2.78</v>
      </c>
      <c r="C348" s="27">
        <v>405424548.14999998</v>
      </c>
      <c r="D348" s="253"/>
      <c r="E348" s="255">
        <f>B348-Index_Returns!D348</f>
        <v>-0.30999999999999961</v>
      </c>
      <c r="F348" s="128"/>
      <c r="G348" s="1365"/>
      <c r="I348" s="14"/>
    </row>
    <row r="349" spans="1:9" x14ac:dyDescent="0.2">
      <c r="A349" s="345">
        <v>38138</v>
      </c>
      <c r="B349" s="1369">
        <v>0.95</v>
      </c>
      <c r="C349" s="27">
        <v>409281103.44</v>
      </c>
      <c r="D349" s="253"/>
      <c r="E349" s="255">
        <f>B349-Index_Returns!D349</f>
        <v>-0.19999999999999996</v>
      </c>
      <c r="F349" s="128"/>
      <c r="G349" s="1365"/>
      <c r="I349" s="14"/>
    </row>
    <row r="350" spans="1:9" x14ac:dyDescent="0.2">
      <c r="A350" s="345">
        <v>38168</v>
      </c>
      <c r="B350" s="1369">
        <v>3.49</v>
      </c>
      <c r="C350" s="27">
        <v>423869420.43000001</v>
      </c>
      <c r="D350" s="253"/>
      <c r="E350" s="255">
        <f>B350-Index_Returns!D350</f>
        <v>1.3200000000000003</v>
      </c>
      <c r="F350" s="128"/>
      <c r="G350" s="1365"/>
      <c r="I350" s="14"/>
    </row>
    <row r="351" spans="1:9" x14ac:dyDescent="0.2">
      <c r="A351" s="345">
        <v>38199</v>
      </c>
      <c r="B351" s="1369">
        <v>-1.65</v>
      </c>
      <c r="C351" s="27">
        <v>416889193.44999999</v>
      </c>
      <c r="D351" s="253"/>
      <c r="E351" s="255">
        <f>B351-Index_Returns!D351</f>
        <v>0.25</v>
      </c>
      <c r="F351" s="128"/>
      <c r="G351" s="1365"/>
      <c r="I351" s="14"/>
    </row>
    <row r="352" spans="1:9" x14ac:dyDescent="0.2">
      <c r="A352" s="345">
        <v>38230</v>
      </c>
      <c r="B352" s="1369">
        <v>1.06</v>
      </c>
      <c r="C352" s="27">
        <v>421325055.36000001</v>
      </c>
      <c r="D352" s="253"/>
      <c r="E352" s="255">
        <f>B352-Index_Returns!D352</f>
        <v>-2.0000000000000018E-2</v>
      </c>
      <c r="F352" s="128"/>
      <c r="G352" s="1365"/>
      <c r="I352" s="14"/>
    </row>
    <row r="353" spans="1:9" x14ac:dyDescent="0.2">
      <c r="A353" s="345">
        <v>38260</v>
      </c>
      <c r="B353" s="1369">
        <v>3.26</v>
      </c>
      <c r="C353" s="27">
        <v>435384392.66000003</v>
      </c>
      <c r="D353" s="253"/>
      <c r="E353" s="255">
        <f>B353-Index_Returns!D353</f>
        <v>1.3599999999999999</v>
      </c>
      <c r="F353" s="128"/>
      <c r="G353" s="1365"/>
      <c r="I353" s="14"/>
    </row>
    <row r="354" spans="1:9" x14ac:dyDescent="0.2">
      <c r="A354" s="345">
        <v>38291</v>
      </c>
      <c r="B354" s="1369">
        <v>0.25</v>
      </c>
      <c r="C354" s="27">
        <v>436462197.07999998</v>
      </c>
      <c r="D354" s="253"/>
      <c r="E354" s="255">
        <f>B354-Index_Returns!D354</f>
        <v>-1.26</v>
      </c>
      <c r="F354" s="128"/>
      <c r="G354" s="1365"/>
      <c r="I354" s="14"/>
    </row>
    <row r="355" spans="1:9" x14ac:dyDescent="0.2">
      <c r="A355" s="345">
        <v>38321</v>
      </c>
      <c r="B355" s="1369">
        <v>5.51</v>
      </c>
      <c r="C355" s="27">
        <v>460523525.92000002</v>
      </c>
      <c r="D355" s="253"/>
      <c r="E355" s="255">
        <f>B355-Index_Returns!D355</f>
        <v>0.63009999999999966</v>
      </c>
      <c r="F355" s="128"/>
      <c r="G355" s="1365"/>
      <c r="I355" s="14"/>
    </row>
    <row r="356" spans="1:9" x14ac:dyDescent="0.2">
      <c r="A356" s="345">
        <v>38352</v>
      </c>
      <c r="B356" s="1369">
        <v>2.8</v>
      </c>
      <c r="C356" s="127">
        <v>473730986.31999999</v>
      </c>
      <c r="D356" s="253"/>
      <c r="E356" s="255">
        <f>B356-Index_Returns!D356</f>
        <v>-0.45789999999999997</v>
      </c>
      <c r="F356" s="128"/>
      <c r="G356" s="1365"/>
      <c r="I356" s="14"/>
    </row>
    <row r="357" spans="1:9" x14ac:dyDescent="0.2">
      <c r="A357" s="345">
        <v>38383</v>
      </c>
      <c r="B357" s="1369">
        <v>-1.84</v>
      </c>
      <c r="C357" s="27">
        <v>465010865.44</v>
      </c>
      <c r="D357" s="253"/>
      <c r="E357" s="255">
        <f>B357-Index_Returns!D357</f>
        <v>0.58960000000000012</v>
      </c>
      <c r="F357" s="128"/>
      <c r="G357" s="1365"/>
      <c r="I357" s="14"/>
    </row>
    <row r="358" spans="1:9" x14ac:dyDescent="0.2">
      <c r="A358" s="345">
        <v>38411</v>
      </c>
      <c r="B358" s="1369">
        <v>3.74</v>
      </c>
      <c r="C358" s="27">
        <v>482379041.87</v>
      </c>
      <c r="D358" s="253"/>
      <c r="E358" s="255">
        <f>B358-Index_Returns!D358</f>
        <v>1.9296000000000002</v>
      </c>
      <c r="F358" s="128"/>
      <c r="G358" s="1365"/>
      <c r="I358" s="14"/>
    </row>
    <row r="359" spans="1:9" x14ac:dyDescent="0.2">
      <c r="A359" s="345">
        <v>38442</v>
      </c>
      <c r="B359" s="1369">
        <v>-1.47</v>
      </c>
      <c r="C359" s="127">
        <v>475639203.56999999</v>
      </c>
      <c r="D359" s="253"/>
      <c r="E359" s="255">
        <f>B359-Index_Returns!D359</f>
        <v>0.30800000000000005</v>
      </c>
      <c r="F359" s="128"/>
      <c r="G359" s="1365"/>
      <c r="I359" s="14"/>
    </row>
    <row r="360" spans="1:9" x14ac:dyDescent="0.2">
      <c r="A360" s="345">
        <v>38472</v>
      </c>
      <c r="B360" s="1369">
        <v>-2.27</v>
      </c>
      <c r="C360" s="127">
        <v>464862351.64999998</v>
      </c>
      <c r="D360" s="253"/>
      <c r="E360" s="255">
        <f>B360-Index_Returns!D360</f>
        <v>-0.2275999999999998</v>
      </c>
      <c r="F360" s="128"/>
      <c r="G360" s="1365"/>
      <c r="I360" s="14"/>
    </row>
    <row r="361" spans="1:9" x14ac:dyDescent="0.2">
      <c r="A361" s="345">
        <v>38503</v>
      </c>
      <c r="B361" s="1369">
        <v>3.84</v>
      </c>
      <c r="C361" s="127">
        <v>482720556.89999998</v>
      </c>
      <c r="D361" s="253"/>
      <c r="E361" s="255">
        <f>B361-Index_Returns!D361</f>
        <v>0.67459999999999987</v>
      </c>
      <c r="F361" s="128"/>
      <c r="G361" s="1365"/>
      <c r="I361" s="14"/>
    </row>
    <row r="362" spans="1:9" x14ac:dyDescent="0.2">
      <c r="A362" s="345">
        <v>38533</v>
      </c>
      <c r="B362" s="1369">
        <v>2.21</v>
      </c>
      <c r="C362" s="127">
        <v>493744947.32999998</v>
      </c>
      <c r="D362" s="253"/>
      <c r="E362" s="255">
        <f>B362-Index_Returns!D362</f>
        <v>0.70059999999999989</v>
      </c>
      <c r="F362" s="128"/>
      <c r="G362" s="1365"/>
      <c r="I362" s="14"/>
    </row>
    <row r="363" spans="1:9" x14ac:dyDescent="0.2">
      <c r="A363" s="345">
        <v>38564</v>
      </c>
      <c r="B363" s="1369">
        <v>3.39</v>
      </c>
      <c r="C363" s="127">
        <v>510489544.61000001</v>
      </c>
      <c r="D363" s="253"/>
      <c r="E363" s="255">
        <f>B363-Index_Returns!D363</f>
        <v>0.23839999999999995</v>
      </c>
      <c r="F363" s="128"/>
      <c r="G363" s="1365"/>
      <c r="I363" s="14"/>
    </row>
    <row r="364" spans="1:9" x14ac:dyDescent="0.2">
      <c r="A364" s="345">
        <v>38595</v>
      </c>
      <c r="B364" s="1369">
        <v>-0.39</v>
      </c>
      <c r="C364" s="127">
        <v>508482167.55000001</v>
      </c>
      <c r="D364" s="253"/>
      <c r="E364" s="255">
        <f>B364-Index_Returns!D364</f>
        <v>0.36049999999999993</v>
      </c>
      <c r="F364" s="128"/>
      <c r="G364" s="1365"/>
      <c r="I364" s="14"/>
    </row>
    <row r="365" spans="1:9" x14ac:dyDescent="0.2">
      <c r="A365" s="345">
        <v>38625</v>
      </c>
      <c r="B365" s="1369">
        <v>0.95</v>
      </c>
      <c r="C365" s="334">
        <v>513670315.93000001</v>
      </c>
      <c r="D365" s="253"/>
      <c r="E365" s="255">
        <f>B365-Index_Returns!D365</f>
        <v>-8.78000000000001E-2</v>
      </c>
      <c r="F365" s="128"/>
      <c r="G365" s="1365"/>
      <c r="I365" s="14"/>
    </row>
    <row r="366" spans="1:9" x14ac:dyDescent="0.2">
      <c r="A366" s="345">
        <v>38656</v>
      </c>
      <c r="B366" s="1369">
        <v>-2.42</v>
      </c>
      <c r="C366" s="334">
        <v>501257881.54000002</v>
      </c>
      <c r="D366" s="253"/>
      <c r="E366" s="255">
        <f>B366-Index_Returns!D366</f>
        <v>-0.67489999999999983</v>
      </c>
      <c r="F366" s="128"/>
      <c r="G366" s="1365"/>
      <c r="I366" s="14"/>
    </row>
    <row r="367" spans="1:9" x14ac:dyDescent="0.2">
      <c r="A367" s="345">
        <v>38686</v>
      </c>
      <c r="B367" s="1369">
        <v>3.98</v>
      </c>
      <c r="C367" s="334">
        <v>521188633.32999998</v>
      </c>
      <c r="D367" s="253"/>
      <c r="E367" s="255">
        <f>B367-Index_Returns!D367</f>
        <v>0.23859999999999992</v>
      </c>
      <c r="F367" s="128"/>
      <c r="G367" s="1365"/>
      <c r="I367" s="14"/>
    </row>
    <row r="368" spans="1:9" x14ac:dyDescent="0.2">
      <c r="A368" s="345">
        <v>38717</v>
      </c>
      <c r="B368" s="1369">
        <v>1.34</v>
      </c>
      <c r="C368" s="256">
        <v>528548983.13</v>
      </c>
      <c r="D368" s="253"/>
      <c r="E368" s="255">
        <f>B368-Index_Returns!D368</f>
        <v>1.07</v>
      </c>
      <c r="F368" s="128"/>
      <c r="G368" s="1365"/>
      <c r="I368" s="14"/>
    </row>
    <row r="369" spans="1:9" x14ac:dyDescent="0.2">
      <c r="A369" s="345">
        <v>38748</v>
      </c>
      <c r="B369" s="1369">
        <v>4.6900000000000004</v>
      </c>
      <c r="C369" s="256">
        <v>553322229.45000005</v>
      </c>
      <c r="D369" s="76"/>
      <c r="E369" s="255">
        <f>B369-Index_Returns!D369</f>
        <v>1.7052000000000005</v>
      </c>
      <c r="F369" s="128"/>
      <c r="G369" s="1365"/>
    </row>
    <row r="370" spans="1:9" x14ac:dyDescent="0.2">
      <c r="A370" s="345">
        <v>38776</v>
      </c>
      <c r="B370" s="1369">
        <v>0.15</v>
      </c>
      <c r="C370" s="256">
        <v>554134507.08000004</v>
      </c>
      <c r="D370" s="76"/>
      <c r="E370" s="255">
        <f>B370-Index_Returns!D370</f>
        <v>-0.93010000000000004</v>
      </c>
      <c r="F370" s="128"/>
      <c r="G370" s="1365"/>
      <c r="I370" s="14"/>
    </row>
    <row r="371" spans="1:9" x14ac:dyDescent="0.2">
      <c r="A371" s="345">
        <v>38807</v>
      </c>
      <c r="B371" s="1369">
        <v>1.24</v>
      </c>
      <c r="C371" s="33">
        <v>561376258.94000006</v>
      </c>
      <c r="D371" s="253"/>
      <c r="E371" s="255">
        <f>B371-Index_Returns!D371</f>
        <v>-0.46490000000000009</v>
      </c>
      <c r="F371" s="128"/>
      <c r="G371" s="1365"/>
    </row>
    <row r="372" spans="1:9" x14ac:dyDescent="0.2">
      <c r="A372" s="345">
        <v>38837</v>
      </c>
      <c r="B372" s="1369">
        <v>2.56</v>
      </c>
      <c r="C372" s="33">
        <v>575751718.90999997</v>
      </c>
      <c r="D372" s="253"/>
      <c r="E372" s="255">
        <f>B372-Index_Returns!D372</f>
        <v>-0.22849999999999993</v>
      </c>
      <c r="F372" s="333"/>
      <c r="G372" s="1365"/>
    </row>
    <row r="373" spans="1:9" x14ac:dyDescent="0.2">
      <c r="A373" s="345">
        <v>38868</v>
      </c>
      <c r="B373" s="1369">
        <v>-2.94</v>
      </c>
      <c r="C373" s="33">
        <v>558838794.80999994</v>
      </c>
      <c r="D373" s="253"/>
      <c r="E373" s="255">
        <f>B373-Index_Returns!D373</f>
        <v>-0.49460000000000015</v>
      </c>
      <c r="F373" s="333"/>
      <c r="G373" s="1365"/>
    </row>
    <row r="374" spans="1:9" x14ac:dyDescent="0.2">
      <c r="A374" s="345">
        <v>38898</v>
      </c>
      <c r="B374" s="1369">
        <v>0.64</v>
      </c>
      <c r="C374" s="354">
        <v>562799957.25999999</v>
      </c>
      <c r="D374" s="253"/>
      <c r="E374" s="255">
        <f>B374-Index_Returns!D374</f>
        <v>0.3039</v>
      </c>
      <c r="F374" s="333"/>
      <c r="G374" s="1365"/>
    </row>
    <row r="375" spans="1:9" x14ac:dyDescent="0.2">
      <c r="A375" s="345">
        <v>38929</v>
      </c>
      <c r="B375" s="1369">
        <v>1.19</v>
      </c>
      <c r="C375" s="34">
        <v>569513633.26999998</v>
      </c>
      <c r="D375" s="253"/>
      <c r="E375" s="255">
        <f>B375-Index_Returns!D375</f>
        <v>0.18689999999999984</v>
      </c>
      <c r="F375" s="333"/>
      <c r="G375" s="1365"/>
    </row>
    <row r="376" spans="1:9" x14ac:dyDescent="0.2">
      <c r="A376" s="345">
        <v>38960</v>
      </c>
      <c r="B376" s="1369">
        <v>1.54</v>
      </c>
      <c r="C376" s="34">
        <v>578295693.95000005</v>
      </c>
      <c r="D376" s="253"/>
      <c r="E376" s="255">
        <f>B376-Index_Returns!D376</f>
        <v>1.3800000000000034E-2</v>
      </c>
      <c r="F376" s="333"/>
      <c r="G376" s="1365"/>
    </row>
    <row r="377" spans="1:9" x14ac:dyDescent="0.2">
      <c r="A377" s="345">
        <v>38990</v>
      </c>
      <c r="B377" s="1369">
        <v>1.97</v>
      </c>
      <c r="C377" s="34">
        <v>590083546.10000002</v>
      </c>
      <c r="D377" s="253"/>
      <c r="E377" s="255">
        <f>B377-Index_Returns!D377</f>
        <v>-0.69230000000000014</v>
      </c>
      <c r="F377" s="333"/>
      <c r="G377" s="1365"/>
    </row>
    <row r="378" spans="1:9" x14ac:dyDescent="0.2">
      <c r="A378" s="345">
        <v>39021</v>
      </c>
      <c r="B378" s="1369">
        <v>3.69</v>
      </c>
      <c r="C378" s="34">
        <v>611829952.25999999</v>
      </c>
      <c r="D378" s="253"/>
      <c r="E378" s="255">
        <f>B378-Index_Returns!D378</f>
        <v>0.35509999999999975</v>
      </c>
      <c r="F378" s="353"/>
      <c r="G378" s="1365"/>
    </row>
    <row r="379" spans="1:9" x14ac:dyDescent="0.2">
      <c r="A379" s="345">
        <v>39051</v>
      </c>
      <c r="B379" s="1369">
        <v>3.25</v>
      </c>
      <c r="C379" s="34">
        <v>631700113.55999994</v>
      </c>
      <c r="D379" s="253"/>
      <c r="E379" s="255">
        <f>B379-Index_Returns!D379</f>
        <v>1.4554</v>
      </c>
      <c r="F379" s="352"/>
      <c r="G379" s="1365"/>
    </row>
    <row r="380" spans="1:9" x14ac:dyDescent="0.2">
      <c r="A380" s="345">
        <v>39082</v>
      </c>
      <c r="B380" s="1369">
        <v>2.25</v>
      </c>
      <c r="C380" s="34">
        <v>646314450.92999995</v>
      </c>
      <c r="D380" s="253"/>
      <c r="E380" s="255">
        <f>B380-Index_Returns!D380</f>
        <v>-0.16009999999999991</v>
      </c>
      <c r="F380" s="352"/>
      <c r="G380" s="1365"/>
    </row>
    <row r="381" spans="1:9" x14ac:dyDescent="0.2">
      <c r="A381" s="345">
        <v>39113</v>
      </c>
      <c r="B381" s="1369">
        <v>2.41</v>
      </c>
      <c r="C381" s="346">
        <v>661878076.12</v>
      </c>
      <c r="E381" s="255">
        <f>B381-Index_Returns!D381</f>
        <v>0.6483000000000001</v>
      </c>
      <c r="F381" s="352"/>
      <c r="G381" s="1365"/>
    </row>
    <row r="382" spans="1:9" x14ac:dyDescent="0.2">
      <c r="A382" s="345">
        <v>39141</v>
      </c>
      <c r="B382" s="1369">
        <v>-1.44</v>
      </c>
      <c r="C382" s="346">
        <v>652345992.59000003</v>
      </c>
      <c r="E382" s="255">
        <f>B382-Index_Returns!D382</f>
        <v>0.25370000000000004</v>
      </c>
      <c r="F382" s="352"/>
      <c r="G382" s="1365"/>
    </row>
    <row r="383" spans="1:9" x14ac:dyDescent="0.2">
      <c r="A383" s="345">
        <v>39172</v>
      </c>
      <c r="B383" s="1369">
        <v>1.5</v>
      </c>
      <c r="C383" s="346">
        <v>662598682.5</v>
      </c>
      <c r="E383" s="255">
        <f>B383-Index_Returns!D383</f>
        <v>0.20009999999999994</v>
      </c>
      <c r="G383" s="1365"/>
    </row>
    <row r="384" spans="1:9" x14ac:dyDescent="0.2">
      <c r="A384" s="345">
        <v>39202</v>
      </c>
      <c r="B384" s="1369">
        <v>4.46</v>
      </c>
      <c r="C384" s="346">
        <v>692133808.98000002</v>
      </c>
      <c r="E384" s="255">
        <f>B384-Index_Returns!D384</f>
        <v>0.26349999999999962</v>
      </c>
      <c r="G384" s="1365"/>
    </row>
    <row r="385" spans="1:7" x14ac:dyDescent="0.2">
      <c r="A385" s="345">
        <v>39233</v>
      </c>
      <c r="B385" s="1369">
        <v>4.26</v>
      </c>
      <c r="C385" s="346">
        <v>721592458.90999997</v>
      </c>
      <c r="E385" s="255">
        <f>B385-Index_Returns!D385</f>
        <v>0.44129999999999958</v>
      </c>
      <c r="G385" s="1365"/>
    </row>
    <row r="386" spans="1:7" x14ac:dyDescent="0.2">
      <c r="A386" s="345">
        <v>39263</v>
      </c>
      <c r="B386" s="1369">
        <v>-2.39</v>
      </c>
      <c r="C386" s="346">
        <v>704802956.54999995</v>
      </c>
      <c r="E386" s="255">
        <f>B386-Index_Returns!D386</f>
        <v>-0.33499999999999996</v>
      </c>
      <c r="G386" s="1365"/>
    </row>
    <row r="387" spans="1:7" x14ac:dyDescent="0.2">
      <c r="A387" s="345">
        <v>39294</v>
      </c>
      <c r="B387" s="1369">
        <v>-4.4800000000000004</v>
      </c>
      <c r="C387" s="346">
        <v>673213744.37</v>
      </c>
      <c r="E387" s="255">
        <f>B387-Index_Returns!D387</f>
        <v>-0.5499000000000005</v>
      </c>
      <c r="G387" s="1365"/>
    </row>
    <row r="388" spans="1:7" x14ac:dyDescent="0.2">
      <c r="A388" s="345">
        <v>39325</v>
      </c>
      <c r="B388" s="1369">
        <v>0.93</v>
      </c>
      <c r="C388" s="346">
        <v>679452584.72000003</v>
      </c>
      <c r="E388" s="255">
        <f>B388-Index_Returns!D388</f>
        <v>-0.41709999999999992</v>
      </c>
      <c r="G388" s="1365"/>
    </row>
    <row r="389" spans="1:7" x14ac:dyDescent="0.2">
      <c r="A389" s="345">
        <v>39355</v>
      </c>
      <c r="B389" s="1369">
        <v>2.66</v>
      </c>
      <c r="C389" s="346">
        <v>698035046.30999994</v>
      </c>
      <c r="E389" s="255">
        <f>B389-Index_Returns!D389</f>
        <v>-0.44479999999999986</v>
      </c>
      <c r="G389" s="1365"/>
    </row>
    <row r="390" spans="1:7" x14ac:dyDescent="0.2">
      <c r="A390" s="345">
        <v>39386</v>
      </c>
      <c r="B390" s="1369">
        <v>0.57999999999999996</v>
      </c>
      <c r="C390" s="346">
        <v>702075432.32000005</v>
      </c>
      <c r="E390" s="255">
        <f>B390-Index_Returns!D390</f>
        <v>-0.47020000000000006</v>
      </c>
      <c r="G390" s="1365"/>
    </row>
    <row r="391" spans="1:7" x14ac:dyDescent="0.2">
      <c r="A391" s="345">
        <v>39416</v>
      </c>
      <c r="B391" s="1369">
        <v>-5.23</v>
      </c>
      <c r="C391" s="346">
        <v>665351286.99000001</v>
      </c>
      <c r="E391" s="255">
        <f>B391-Index_Returns!D391</f>
        <v>-0.37240000000000073</v>
      </c>
      <c r="G391" s="1365"/>
    </row>
    <row r="392" spans="1:7" x14ac:dyDescent="0.2">
      <c r="A392" s="345">
        <v>39447</v>
      </c>
      <c r="B392" s="1369">
        <v>-1</v>
      </c>
      <c r="C392" s="346">
        <v>659180546.73000002</v>
      </c>
      <c r="E392" s="255">
        <f>B392-Index_Returns!D392</f>
        <v>0.57679999999999998</v>
      </c>
      <c r="G392" s="1365"/>
    </row>
    <row r="393" spans="1:7" x14ac:dyDescent="0.2">
      <c r="A393" s="345">
        <v>39478</v>
      </c>
      <c r="B393" s="1369">
        <v>-4.22</v>
      </c>
      <c r="C393" s="346">
        <v>631388371.10000002</v>
      </c>
      <c r="E393" s="255">
        <f>B393-Index_Returns!D393</f>
        <v>-0.73299999999999965</v>
      </c>
      <c r="G393" s="1365"/>
    </row>
    <row r="394" spans="1:7" x14ac:dyDescent="0.2">
      <c r="A394" s="345">
        <v>39507</v>
      </c>
      <c r="B394" s="1369">
        <v>-4.59</v>
      </c>
      <c r="C394" s="346">
        <v>602417010.05999994</v>
      </c>
      <c r="E394" s="255">
        <f>B394-Index_Returns!D394</f>
        <v>0.62230000000000008</v>
      </c>
      <c r="G394" s="1365"/>
    </row>
    <row r="395" spans="1:7" x14ac:dyDescent="0.2">
      <c r="A395" s="345">
        <v>39538</v>
      </c>
      <c r="B395" s="1369">
        <v>-2.48</v>
      </c>
      <c r="C395" s="346">
        <v>587899576.46000004</v>
      </c>
      <c r="E395" s="255">
        <f>B395-Index_Returns!D395</f>
        <v>-2.0131999999999999</v>
      </c>
      <c r="G395" s="1365"/>
    </row>
    <row r="396" spans="1:7" x14ac:dyDescent="0.2">
      <c r="A396" s="345">
        <v>39568</v>
      </c>
      <c r="B396" s="1369">
        <v>5.49</v>
      </c>
      <c r="C396" s="346">
        <v>620181003.29999995</v>
      </c>
      <c r="E396" s="255">
        <f>B396-Index_Returns!D396</f>
        <v>1.7581000000000002</v>
      </c>
      <c r="G396" s="1365"/>
    </row>
    <row r="397" spans="1:7" x14ac:dyDescent="0.2">
      <c r="A397" s="345">
        <v>39599</v>
      </c>
      <c r="B397" s="1369">
        <v>-0.02</v>
      </c>
      <c r="C397" s="346">
        <v>620064344.03999996</v>
      </c>
      <c r="E397" s="255">
        <f>B397-Index_Returns!D397</f>
        <v>-0.13650000000000001</v>
      </c>
      <c r="G397" s="1365"/>
    </row>
    <row r="398" spans="1:7" x14ac:dyDescent="0.2">
      <c r="A398" s="345">
        <v>39629</v>
      </c>
      <c r="B398" s="1369">
        <v>-12.06</v>
      </c>
      <c r="C398" s="346">
        <v>545686497.15999997</v>
      </c>
      <c r="E398" s="255">
        <f>B398-Index_Returns!D398</f>
        <v>-0.84600000000000009</v>
      </c>
      <c r="G398" s="1365"/>
    </row>
    <row r="399" spans="1:7" x14ac:dyDescent="0.2">
      <c r="A399" s="345">
        <v>39660</v>
      </c>
      <c r="B399" s="1369">
        <v>0.74</v>
      </c>
      <c r="C399" s="33">
        <v>549725939</v>
      </c>
      <c r="E399" s="255">
        <f>B399-Index_Returns!D399</f>
        <v>-0.61810000000000009</v>
      </c>
      <c r="G399" s="1365"/>
    </row>
    <row r="400" spans="1:7" x14ac:dyDescent="0.2">
      <c r="A400" s="345">
        <v>39691</v>
      </c>
      <c r="B400" s="1369">
        <v>2.41</v>
      </c>
      <c r="C400" s="33">
        <v>562989971.42999995</v>
      </c>
      <c r="E400" s="255">
        <f>B400-Index_Returns!D400</f>
        <v>1.0710000000000002</v>
      </c>
      <c r="G400" s="1365"/>
    </row>
    <row r="401" spans="1:7" x14ac:dyDescent="0.2">
      <c r="A401" s="345">
        <v>39721</v>
      </c>
      <c r="B401" s="1369">
        <v>-8.61</v>
      </c>
      <c r="C401" s="33">
        <v>514856389.77999997</v>
      </c>
      <c r="E401" s="255">
        <f>B401-Index_Returns!D401</f>
        <v>-1.1270999999999995</v>
      </c>
      <c r="G401" s="1365"/>
    </row>
    <row r="402" spans="1:7" x14ac:dyDescent="0.2">
      <c r="A402" s="345">
        <v>39752</v>
      </c>
      <c r="B402" s="1369">
        <v>-19.72</v>
      </c>
      <c r="C402" s="346">
        <v>413345261</v>
      </c>
      <c r="E402" s="255">
        <f>B402-Index_Returns!D402</f>
        <v>-2.6128999999999998</v>
      </c>
      <c r="G402" s="1365"/>
    </row>
    <row r="403" spans="1:7" x14ac:dyDescent="0.2">
      <c r="A403" s="345">
        <v>39782</v>
      </c>
      <c r="B403" s="1369">
        <v>-8.42</v>
      </c>
      <c r="C403" s="346">
        <v>378534637</v>
      </c>
      <c r="E403" s="255">
        <f>B403-Index_Returns!D403</f>
        <v>0.55180000000000007</v>
      </c>
      <c r="G403" s="1365"/>
    </row>
    <row r="404" spans="1:7" x14ac:dyDescent="0.2">
      <c r="A404" s="345">
        <v>39813</v>
      </c>
      <c r="B404" s="1369">
        <v>3.89</v>
      </c>
      <c r="C404" s="346">
        <v>393616631</v>
      </c>
      <c r="E404" s="255">
        <f>B404-Index_Returns!D404</f>
        <v>2.9367000000000001</v>
      </c>
      <c r="G404" s="1365"/>
    </row>
    <row r="405" spans="1:7" x14ac:dyDescent="0.2">
      <c r="A405" s="345">
        <v>39844</v>
      </c>
      <c r="B405" s="1369">
        <v>-10.83</v>
      </c>
      <c r="C405" s="346">
        <v>350996616.11000001</v>
      </c>
      <c r="D405" s="258">
        <v>-10.8278</v>
      </c>
      <c r="E405" s="255">
        <f>B405-Index_Returns!D405</f>
        <v>1.3284000000000002</v>
      </c>
      <c r="G405" s="1365"/>
    </row>
    <row r="406" spans="1:7" x14ac:dyDescent="0.2">
      <c r="A406" s="345">
        <v>39872</v>
      </c>
      <c r="B406" s="1369">
        <v>-13.64</v>
      </c>
      <c r="C406" s="346">
        <v>303112711.69</v>
      </c>
      <c r="D406" s="258">
        <v>-13.642300000000001</v>
      </c>
      <c r="E406" s="255">
        <f>B406-Index_Returns!D406</f>
        <v>-0.56510000000000105</v>
      </c>
      <c r="G406" s="1365"/>
    </row>
    <row r="407" spans="1:7" x14ac:dyDescent="0.2">
      <c r="A407" s="345">
        <v>39903</v>
      </c>
      <c r="B407" s="1369">
        <v>11.41</v>
      </c>
      <c r="C407" s="346">
        <v>338002074.77999997</v>
      </c>
      <c r="D407" s="258">
        <v>11.510400000000001</v>
      </c>
      <c r="E407" s="255">
        <f>B407-Index_Returns!D407</f>
        <v>1.5387000000000004</v>
      </c>
      <c r="G407" s="1365"/>
    </row>
    <row r="408" spans="1:7" x14ac:dyDescent="0.2">
      <c r="A408" s="345">
        <v>39933</v>
      </c>
      <c r="B408" s="1369">
        <v>14.39</v>
      </c>
      <c r="C408" s="346">
        <v>386642201.44</v>
      </c>
      <c r="E408" s="255">
        <f>B408-Index_Returns!D408</f>
        <v>3.3503000000000007</v>
      </c>
      <c r="G408" s="1365"/>
    </row>
    <row r="409" spans="1:7" x14ac:dyDescent="0.2">
      <c r="A409" s="345">
        <v>39964</v>
      </c>
      <c r="B409" s="1369">
        <v>6.93</v>
      </c>
      <c r="C409" s="346">
        <v>413441793.26999998</v>
      </c>
      <c r="E409" s="255">
        <f>B409-Index_Returns!D409</f>
        <v>0.56939999999999991</v>
      </c>
      <c r="G409" s="1365"/>
    </row>
    <row r="410" spans="1:7" x14ac:dyDescent="0.2">
      <c r="A410" s="345">
        <v>39994</v>
      </c>
      <c r="B410" s="1369">
        <v>-0.77</v>
      </c>
      <c r="C410" s="346">
        <v>410062699.73000002</v>
      </c>
      <c r="E410" s="255">
        <f>B410-Index_Returns!D410</f>
        <v>-0.2707</v>
      </c>
      <c r="G410" s="1365"/>
    </row>
    <row r="411" spans="1:7" x14ac:dyDescent="0.2">
      <c r="A411" s="345">
        <v>40025</v>
      </c>
      <c r="B411" s="1369">
        <v>9.93</v>
      </c>
      <c r="C411" s="346">
        <v>451256304.66000003</v>
      </c>
      <c r="D411" s="258">
        <v>9.9258000000000006</v>
      </c>
      <c r="E411" s="255">
        <f>B411-Index_Returns!D411</f>
        <v>1.5086999999999993</v>
      </c>
      <c r="G411" s="1365"/>
    </row>
    <row r="412" spans="1:7" x14ac:dyDescent="0.2">
      <c r="A412" s="345">
        <v>40056</v>
      </c>
      <c r="B412" s="1369">
        <v>6.26</v>
      </c>
      <c r="C412" s="346">
        <v>479500635.10000002</v>
      </c>
      <c r="D412" s="258">
        <v>6.2590000000000003</v>
      </c>
      <c r="E412" s="255">
        <f>B412-Index_Returns!D412</f>
        <v>0.81159999999999943</v>
      </c>
      <c r="G412" s="1365"/>
    </row>
    <row r="413" spans="1:7" x14ac:dyDescent="0.2">
      <c r="A413" s="345">
        <v>40086</v>
      </c>
      <c r="B413" s="1369">
        <v>3.21</v>
      </c>
      <c r="C413" s="346">
        <v>495178252.43000001</v>
      </c>
      <c r="D413" s="258">
        <v>3.2696000000000001</v>
      </c>
      <c r="E413" s="255">
        <f>B413-Index_Returns!D413</f>
        <v>5.0499999999999989E-2</v>
      </c>
      <c r="G413" s="1365"/>
    </row>
    <row r="414" spans="1:7" x14ac:dyDescent="0.2">
      <c r="A414" s="345">
        <v>40117</v>
      </c>
      <c r="B414" s="1369">
        <v>-2.83026</v>
      </c>
      <c r="C414" s="346">
        <v>481163406</v>
      </c>
      <c r="D414" s="258">
        <v>-2.83</v>
      </c>
      <c r="E414" s="255">
        <f>B414-Index_Returns!D414</f>
        <v>0.78974000000000011</v>
      </c>
      <c r="G414" s="1365"/>
    </row>
    <row r="415" spans="1:7" x14ac:dyDescent="0.2">
      <c r="A415" s="345">
        <v>40147</v>
      </c>
      <c r="B415" s="1369">
        <v>5.6815800000000003</v>
      </c>
      <c r="C415" s="1333">
        <v>508501110</v>
      </c>
      <c r="D415" s="1369">
        <v>5.7430000000000003</v>
      </c>
      <c r="E415" s="255">
        <f>B415-Index_Returns!D415</f>
        <v>-0.57841999999999949</v>
      </c>
      <c r="G415" s="1365"/>
    </row>
    <row r="416" spans="1:7" x14ac:dyDescent="0.2">
      <c r="A416" s="345">
        <v>40178</v>
      </c>
      <c r="B416" s="1369">
        <v>2.1074000000000002</v>
      </c>
      <c r="C416" s="346">
        <v>519217247.63</v>
      </c>
      <c r="D416" s="258">
        <v>2.1074000000000002</v>
      </c>
      <c r="E416" s="255">
        <f>B416-Index_Returns!D416</f>
        <v>0.34320000000000017</v>
      </c>
      <c r="G416" s="1365"/>
    </row>
    <row r="417" spans="1:7" x14ac:dyDescent="0.2">
      <c r="A417" s="345">
        <v>40209</v>
      </c>
      <c r="B417" s="253">
        <v>-2.0699399999999999</v>
      </c>
      <c r="C417" s="346">
        <v>508469781.55000001</v>
      </c>
      <c r="D417" s="258">
        <v>-2.0699399999999999</v>
      </c>
      <c r="E417" s="255">
        <f>B417-Index_Returns!D417</f>
        <v>-5.2559999999999718E-2</v>
      </c>
      <c r="G417" s="1365"/>
    </row>
    <row r="418" spans="1:7" x14ac:dyDescent="0.2">
      <c r="A418" s="345">
        <v>40237</v>
      </c>
      <c r="B418" s="253">
        <v>3.8394900000000001</v>
      </c>
      <c r="C418" s="346">
        <v>527992430.85000002</v>
      </c>
      <c r="D418" s="258">
        <v>3.8394900000000001</v>
      </c>
      <c r="E418" s="255">
        <f>B418-Index_Returns!D418</f>
        <v>1.0844300000000002</v>
      </c>
      <c r="G418" s="1365"/>
    </row>
    <row r="419" spans="1:7" x14ac:dyDescent="0.2">
      <c r="A419" s="345">
        <v>40268</v>
      </c>
      <c r="B419" s="253">
        <v>6.2309299999999999</v>
      </c>
      <c r="C419" s="346">
        <v>560891261.77999997</v>
      </c>
      <c r="D419" s="1311">
        <v>6.2309299999999999</v>
      </c>
      <c r="E419" s="255">
        <f>B419-Index_Returns!D419</f>
        <v>-0.13640000000000008</v>
      </c>
      <c r="G419" s="1365"/>
    </row>
    <row r="420" spans="1:7" x14ac:dyDescent="0.2">
      <c r="A420" s="345">
        <v>40298</v>
      </c>
      <c r="B420" s="253">
        <v>2.1296499999999998</v>
      </c>
      <c r="C420" s="346">
        <v>572836282.91999996</v>
      </c>
      <c r="D420" s="258">
        <v>2.1296400000000002</v>
      </c>
      <c r="E420" s="255">
        <f>B420-Index_Returns!D420</f>
        <v>0.24797999999999987</v>
      </c>
      <c r="G420" s="1365"/>
    </row>
    <row r="421" spans="1:7" x14ac:dyDescent="0.2">
      <c r="A421" s="345">
        <v>40329</v>
      </c>
      <c r="B421" s="253">
        <v>-7.6120099999999997</v>
      </c>
      <c r="C421" s="346">
        <v>529231955.35000002</v>
      </c>
      <c r="D421" s="258">
        <v>-7.6120099999999997</v>
      </c>
      <c r="E421" s="255">
        <f>B421-Index_Returns!D421</f>
        <v>0.31073000000000039</v>
      </c>
      <c r="G421" s="1365"/>
    </row>
    <row r="422" spans="1:7" x14ac:dyDescent="0.2">
      <c r="A422" s="345">
        <v>40359</v>
      </c>
      <c r="B422" s="253">
        <v>-5.9281100000000002</v>
      </c>
      <c r="C422" s="346">
        <v>497858522.52999997</v>
      </c>
      <c r="D422" s="258">
        <v>-5.9558600000000004</v>
      </c>
      <c r="E422" s="255">
        <f>B422-Index_Returns!D422</f>
        <v>-0.19359000000000037</v>
      </c>
      <c r="G422" s="1365"/>
    </row>
    <row r="423" spans="1:7" x14ac:dyDescent="0.2">
      <c r="A423" s="345">
        <v>40390</v>
      </c>
      <c r="B423" s="253">
        <v>6.5744999999999996</v>
      </c>
      <c r="C423" s="346">
        <v>530590211.43000001</v>
      </c>
      <c r="D423" s="258">
        <v>6.5744999999999996</v>
      </c>
      <c r="E423" s="255">
        <f>B423-Index_Returns!D423</f>
        <v>-0.50888000000000044</v>
      </c>
      <c r="G423" s="1365"/>
    </row>
    <row r="424" spans="1:7" x14ac:dyDescent="0.2">
      <c r="A424" s="345">
        <v>40421</v>
      </c>
      <c r="B424" s="253">
        <v>-4.5793900000000001</v>
      </c>
      <c r="C424" s="346">
        <v>506292405.99000001</v>
      </c>
      <c r="D424" s="258">
        <v>-4.5793900000000001</v>
      </c>
      <c r="E424" s="255">
        <f>B424-Index_Returns!D424</f>
        <v>9.5930000000000071E-2</v>
      </c>
      <c r="G424" s="1365"/>
    </row>
    <row r="425" spans="1:7" x14ac:dyDescent="0.2">
      <c r="A425" s="345">
        <v>40451</v>
      </c>
      <c r="B425" s="253">
        <v>9.35548</v>
      </c>
      <c r="C425" s="346">
        <v>553658480.13999999</v>
      </c>
      <c r="D425" s="258">
        <v>9.35548</v>
      </c>
      <c r="E425" s="255">
        <f>B425-Index_Returns!D425</f>
        <v>1.6144499999999997</v>
      </c>
      <c r="G425" s="1365"/>
    </row>
    <row r="426" spans="1:7" x14ac:dyDescent="0.2">
      <c r="A426" s="345">
        <v>40482</v>
      </c>
      <c r="B426" s="253">
        <v>2.90341</v>
      </c>
      <c r="C426" s="346">
        <v>569733440.74000001</v>
      </c>
      <c r="D426" s="258">
        <v>2.90341</v>
      </c>
      <c r="E426" s="255">
        <f>B426-Index_Returns!D426</f>
        <v>0.31395000000000017</v>
      </c>
      <c r="G426" s="1365"/>
    </row>
    <row r="427" spans="1:7" x14ac:dyDescent="0.2">
      <c r="A427" s="345">
        <v>40512</v>
      </c>
      <c r="B427" s="253">
        <v>-1.0192699999999999</v>
      </c>
      <c r="C427" s="346">
        <v>563926329.24000001</v>
      </c>
      <c r="D427" s="258">
        <v>-1.0192699999999999</v>
      </c>
      <c r="E427" s="255">
        <f>B427-Index_Returns!D427</f>
        <v>-0.55602999999999991</v>
      </c>
      <c r="G427" s="1365"/>
    </row>
    <row r="428" spans="1:7" x14ac:dyDescent="0.2">
      <c r="A428" s="345">
        <v>40543</v>
      </c>
      <c r="B428" s="253">
        <v>7.5962199999999998</v>
      </c>
      <c r="C428" s="346">
        <v>606763430.95000005</v>
      </c>
      <c r="D428" s="258">
        <v>7.5962199999999998</v>
      </c>
      <c r="E428" s="255">
        <f>B428-Index_Returns!D428</f>
        <v>-0.62704000000000004</v>
      </c>
      <c r="G428" s="1365"/>
    </row>
    <row r="429" spans="1:7" x14ac:dyDescent="0.2">
      <c r="A429" s="345">
        <v>40574</v>
      </c>
      <c r="B429" s="253">
        <v>2.5973700000000002</v>
      </c>
      <c r="C429" s="346">
        <v>622523345.25</v>
      </c>
      <c r="D429" s="258">
        <v>2.5973700000000002</v>
      </c>
      <c r="E429" s="255">
        <f>B429-Index_Returns!D429</f>
        <v>-0.63617999999999997</v>
      </c>
      <c r="G429" s="1365"/>
    </row>
    <row r="430" spans="1:7" x14ac:dyDescent="0.2">
      <c r="A430" s="345">
        <v>40602</v>
      </c>
      <c r="B430" s="253">
        <v>3.9054799999999998</v>
      </c>
      <c r="C430" s="346">
        <v>646835892.92999995</v>
      </c>
      <c r="D430" s="258">
        <v>3.9054799999999998</v>
      </c>
      <c r="E430" s="255">
        <f>B430-Index_Returns!D430</f>
        <v>0.21735999999999978</v>
      </c>
      <c r="G430" s="1365"/>
    </row>
    <row r="431" spans="1:7" x14ac:dyDescent="0.2">
      <c r="A431" s="345">
        <v>40633</v>
      </c>
      <c r="B431" s="253">
        <f>D431</f>
        <v>1.68435</v>
      </c>
      <c r="C431" s="346">
        <v>657730884.15999997</v>
      </c>
      <c r="D431" s="258">
        <v>1.68435</v>
      </c>
      <c r="E431" s="255">
        <f>B431-Index_Returns!D431</f>
        <v>1.9050400000000001</v>
      </c>
      <c r="G431" s="1365"/>
    </row>
    <row r="432" spans="1:7" x14ac:dyDescent="0.2">
      <c r="A432" s="345">
        <v>40663</v>
      </c>
      <c r="B432" s="253">
        <f t="shared" ref="B432:B488" si="0">D432</f>
        <v>2.6457199999999998</v>
      </c>
      <c r="C432" s="346">
        <v>675540259.15999997</v>
      </c>
      <c r="D432" s="258">
        <v>2.6457199999999998</v>
      </c>
      <c r="E432" s="255">
        <f>B432-Index_Returns!D432</f>
        <v>0.11287000000000003</v>
      </c>
      <c r="G432" s="1365"/>
    </row>
    <row r="433" spans="1:7" x14ac:dyDescent="0.2">
      <c r="A433" s="345">
        <v>40694</v>
      </c>
      <c r="B433" s="253">
        <f t="shared" si="0"/>
        <v>-1.4627399999999999</v>
      </c>
      <c r="C433" s="346">
        <v>665630484.48000002</v>
      </c>
      <c r="D433" s="258">
        <v>-1.4627399999999999</v>
      </c>
      <c r="E433" s="255">
        <f>B433-Index_Returns!D433</f>
        <v>0.36665999999999999</v>
      </c>
      <c r="G433" s="1365"/>
    </row>
    <row r="434" spans="1:7" x14ac:dyDescent="0.2">
      <c r="A434" s="345">
        <v>40724</v>
      </c>
      <c r="B434" s="253">
        <f t="shared" si="0"/>
        <v>-2.2538299999999998</v>
      </c>
      <c r="C434" s="346">
        <v>650628329.92999995</v>
      </c>
      <c r="D434" s="258">
        <v>-2.2538299999999998</v>
      </c>
      <c r="E434" s="255">
        <f>B434-Index_Returns!D434</f>
        <v>-0.13963999999999999</v>
      </c>
      <c r="G434" s="1365"/>
    </row>
    <row r="435" spans="1:7" x14ac:dyDescent="0.2">
      <c r="A435" s="345">
        <v>40755</v>
      </c>
      <c r="B435" s="253">
        <f t="shared" si="0"/>
        <v>-4.0210800000000004</v>
      </c>
      <c r="C435" s="346">
        <v>624466032.03999996</v>
      </c>
      <c r="D435" s="258">
        <v>-4.0210800000000004</v>
      </c>
      <c r="E435" s="255">
        <f>B435-Index_Returns!D435</f>
        <v>-0.45625000000000027</v>
      </c>
      <c r="G435" s="1365"/>
    </row>
    <row r="436" spans="1:7" x14ac:dyDescent="0.2">
      <c r="A436" s="345">
        <v>40786</v>
      </c>
      <c r="B436" s="253">
        <f t="shared" si="0"/>
        <v>-7.8893000000000004</v>
      </c>
      <c r="C436" s="346">
        <v>576084244.76999998</v>
      </c>
      <c r="D436" s="258">
        <v>-7.8893000000000004</v>
      </c>
      <c r="E436" s="255">
        <f>B436-Index_Returns!D436</f>
        <v>-1.7113300000000002</v>
      </c>
      <c r="G436" s="1365"/>
    </row>
    <row r="437" spans="1:7" x14ac:dyDescent="0.2">
      <c r="A437" s="345">
        <v>40816</v>
      </c>
      <c r="B437" s="253">
        <f t="shared" si="0"/>
        <v>-9.0858299999999996</v>
      </c>
      <c r="C437" s="346">
        <v>523742222.37</v>
      </c>
      <c r="D437" s="258">
        <v>-9.0858299999999996</v>
      </c>
      <c r="E437" s="255">
        <f>B437-Index_Returns!D437</f>
        <v>-1.5934499999999998</v>
      </c>
      <c r="G437" s="1365"/>
    </row>
    <row r="438" spans="1:7" x14ac:dyDescent="0.2">
      <c r="A438" s="345">
        <v>40847</v>
      </c>
      <c r="B438" s="253">
        <f t="shared" si="0"/>
        <v>13.36828</v>
      </c>
      <c r="C438" s="346">
        <v>593757559.23000002</v>
      </c>
      <c r="D438" s="258">
        <v>13.36828</v>
      </c>
      <c r="E438" s="255">
        <f>B438-Index_Returns!D438</f>
        <v>2.0553100000000004</v>
      </c>
    </row>
    <row r="439" spans="1:7" x14ac:dyDescent="0.2">
      <c r="A439" s="345">
        <v>40877</v>
      </c>
      <c r="B439" s="253">
        <f t="shared" si="0"/>
        <v>-0.50043000000000004</v>
      </c>
      <c r="C439" s="346">
        <v>590786229.17999995</v>
      </c>
      <c r="D439" s="258">
        <v>-0.50043000000000004</v>
      </c>
      <c r="E439" s="255">
        <f>B439-Index_Returns!D439</f>
        <v>-0.18544000000000005</v>
      </c>
    </row>
    <row r="440" spans="1:7" x14ac:dyDescent="0.2">
      <c r="A440" s="345">
        <v>40908</v>
      </c>
      <c r="B440" s="253">
        <f t="shared" si="0"/>
        <v>1.9951099999999999</v>
      </c>
      <c r="C440" s="346">
        <v>603014066.79999995</v>
      </c>
      <c r="D440" s="258">
        <v>1.9951099999999999</v>
      </c>
      <c r="E440" s="255">
        <f>B440-Index_Returns!D440</f>
        <v>0.17303999999999986</v>
      </c>
    </row>
    <row r="441" spans="1:7" x14ac:dyDescent="0.2">
      <c r="A441" s="345">
        <v>40939</v>
      </c>
      <c r="B441" s="253">
        <f t="shared" si="0"/>
        <v>4.1868600000000002</v>
      </c>
      <c r="C441" s="346">
        <v>628261395.98000002</v>
      </c>
      <c r="D441" s="258">
        <v>4.1868600000000002</v>
      </c>
      <c r="E441" s="255">
        <f>B441-Index_Returns!D441</f>
        <v>-0.7236899999999995</v>
      </c>
    </row>
    <row r="442" spans="1:7" x14ac:dyDescent="0.2">
      <c r="A442" s="345">
        <v>40968</v>
      </c>
      <c r="B442" s="253">
        <f t="shared" si="0"/>
        <v>4.7180999999999997</v>
      </c>
      <c r="C442" s="346">
        <v>657903869.38</v>
      </c>
      <c r="D442" s="258">
        <v>4.7180999999999997</v>
      </c>
      <c r="E442" s="255">
        <f>B442-Index_Returns!D442</f>
        <v>0.54998999999999931</v>
      </c>
    </row>
    <row r="443" spans="1:7" x14ac:dyDescent="0.2">
      <c r="A443" s="345">
        <v>40999</v>
      </c>
      <c r="B443" s="253">
        <f t="shared" si="0"/>
        <v>2.7187700000000001</v>
      </c>
      <c r="C443" s="346">
        <v>675790748.87</v>
      </c>
      <c r="D443" s="258">
        <v>2.7187700000000001</v>
      </c>
      <c r="E443" s="255">
        <f>B443-Index_Returns!D443</f>
        <v>-0.65230999999999995</v>
      </c>
    </row>
    <row r="444" spans="1:7" x14ac:dyDescent="0.2">
      <c r="A444" s="345">
        <v>41029</v>
      </c>
      <c r="B444" s="253">
        <f t="shared" si="0"/>
        <v>-1.32172</v>
      </c>
      <c r="C444" s="346">
        <v>667630381.69000006</v>
      </c>
      <c r="D444" s="258">
        <v>-1.32172</v>
      </c>
      <c r="E444" s="255">
        <f>B444-Index_Returns!D444</f>
        <v>7.1099999999999497E-3</v>
      </c>
    </row>
    <row r="445" spans="1:7" x14ac:dyDescent="0.2">
      <c r="A445" s="345">
        <v>41060</v>
      </c>
      <c r="B445" s="253">
        <f t="shared" si="0"/>
        <v>-7.6675399999999998</v>
      </c>
      <c r="C445" s="346">
        <v>616439537.26999998</v>
      </c>
      <c r="D445" s="258">
        <v>-7.6675399999999998</v>
      </c>
      <c r="E445" s="255">
        <f>B445-Index_Returns!D445</f>
        <v>-0.99361999999999995</v>
      </c>
    </row>
    <row r="446" spans="1:7" x14ac:dyDescent="0.2">
      <c r="A446" s="345">
        <v>41090</v>
      </c>
      <c r="B446" s="253">
        <f t="shared" si="0"/>
        <v>4.5089399999999999</v>
      </c>
      <c r="C446" s="346">
        <v>644234436.5</v>
      </c>
      <c r="D446" s="258">
        <v>4.5089399999999999</v>
      </c>
      <c r="E446" s="255">
        <f>B446-Index_Returns!D446</f>
        <v>-0.19639999999999969</v>
      </c>
    </row>
    <row r="447" spans="1:7" x14ac:dyDescent="0.2">
      <c r="A447" s="345">
        <v>41121</v>
      </c>
      <c r="B447" s="253">
        <f t="shared" si="0"/>
        <v>0.78915000000000002</v>
      </c>
      <c r="C447" s="346">
        <v>624394742.82000005</v>
      </c>
      <c r="D447" s="258">
        <v>0.78915000000000002</v>
      </c>
      <c r="E447" s="255">
        <f>B447-Index_Returns!D447</f>
        <v>-7.240000000000002E-2</v>
      </c>
    </row>
    <row r="448" spans="1:7" x14ac:dyDescent="0.2">
      <c r="A448" s="345">
        <v>41152</v>
      </c>
      <c r="B448" s="253">
        <f t="shared" si="0"/>
        <v>3.5881500000000002</v>
      </c>
      <c r="C448" s="346">
        <v>624200852.25</v>
      </c>
      <c r="D448" s="258">
        <v>3.5881500000000002</v>
      </c>
      <c r="E448" s="255">
        <f>B448-Index_Returns!D448</f>
        <v>1.4003100000000002</v>
      </c>
    </row>
    <row r="449" spans="1:5" x14ac:dyDescent="0.2">
      <c r="A449" s="345">
        <v>41182</v>
      </c>
      <c r="B449" s="253">
        <f t="shared" si="0"/>
        <v>2.69815</v>
      </c>
      <c r="C449" s="346">
        <v>641300751.71000004</v>
      </c>
      <c r="D449" s="258">
        <v>2.69815</v>
      </c>
      <c r="E449" s="255">
        <f>B449-Index_Returns!D449</f>
        <v>-0.4333800000000001</v>
      </c>
    </row>
    <row r="450" spans="1:5" x14ac:dyDescent="0.2">
      <c r="A450" s="345">
        <v>41213</v>
      </c>
      <c r="B450" s="253">
        <f t="shared" si="0"/>
        <v>0.12573000000000001</v>
      </c>
      <c r="C450" s="346">
        <v>618732716.39999998</v>
      </c>
      <c r="D450" s="258">
        <v>0.12573000000000001</v>
      </c>
      <c r="E450" s="255">
        <f>B450-Index_Returns!D450</f>
        <v>0.80037000000000003</v>
      </c>
    </row>
    <row r="451" spans="1:5" x14ac:dyDescent="0.2">
      <c r="A451" s="345">
        <v>41243</v>
      </c>
      <c r="B451" s="253">
        <f t="shared" si="0"/>
        <v>0.61460999999999999</v>
      </c>
      <c r="C451" s="346">
        <v>622961098.92999995</v>
      </c>
      <c r="D451" s="258">
        <v>0.61460999999999999</v>
      </c>
      <c r="E451" s="255">
        <f>B451-Index_Returns!D451</f>
        <v>0.45304</v>
      </c>
    </row>
    <row r="452" spans="1:5" x14ac:dyDescent="0.2">
      <c r="A452" s="345">
        <v>41274</v>
      </c>
      <c r="B452" s="253">
        <f t="shared" si="0"/>
        <v>3.3146900000000001</v>
      </c>
      <c r="C452" s="346">
        <v>604299298.47000003</v>
      </c>
      <c r="D452" s="258">
        <v>3.3146900000000001</v>
      </c>
      <c r="E452" s="255">
        <f>B452-Index_Returns!D452</f>
        <v>1.14486</v>
      </c>
    </row>
    <row r="453" spans="1:5" x14ac:dyDescent="0.2">
      <c r="A453" s="345">
        <v>41305</v>
      </c>
      <c r="B453" s="253">
        <f t="shared" si="0"/>
        <v>6.26518</v>
      </c>
      <c r="C453" s="346">
        <v>611574657.10000002</v>
      </c>
      <c r="D453" s="258">
        <v>6.26518</v>
      </c>
      <c r="E453" s="255">
        <f>B453-Index_Returns!D453</f>
        <v>-0.23413000000000039</v>
      </c>
    </row>
    <row r="454" spans="1:5" x14ac:dyDescent="0.2">
      <c r="A454" s="345">
        <v>41333</v>
      </c>
      <c r="B454" s="253">
        <f t="shared" si="0"/>
        <v>1.2876799999999999</v>
      </c>
      <c r="C454" s="346">
        <v>619873815.63999999</v>
      </c>
      <c r="D454" s="258">
        <v>1.2876799999999999</v>
      </c>
      <c r="E454" s="255">
        <f>B454-Index_Returns!D454</f>
        <v>-7.2050000000000169E-2</v>
      </c>
    </row>
    <row r="455" spans="1:5" x14ac:dyDescent="0.2">
      <c r="A455" s="345">
        <v>41364</v>
      </c>
      <c r="B455" s="253">
        <f t="shared" si="0"/>
        <v>4.8102999999999998</v>
      </c>
      <c r="C455" s="346">
        <v>649691589.12</v>
      </c>
      <c r="D455" s="258">
        <v>4.8102999999999998</v>
      </c>
      <c r="E455" s="255">
        <f>B455-Index_Returns!D455</f>
        <v>1.0851299999999999</v>
      </c>
    </row>
    <row r="456" spans="1:5" x14ac:dyDescent="0.2">
      <c r="A456" s="345">
        <v>41394</v>
      </c>
      <c r="B456" s="253">
        <f t="shared" si="0"/>
        <v>1.99898</v>
      </c>
      <c r="C456" s="346">
        <v>662678760.10000002</v>
      </c>
      <c r="D456" s="258">
        <v>1.99898</v>
      </c>
      <c r="E456" s="255">
        <f>B456-Index_Returns!D456</f>
        <v>0.20957000000000003</v>
      </c>
    </row>
    <row r="457" spans="1:5" x14ac:dyDescent="0.2">
      <c r="A457" s="345">
        <v>41425</v>
      </c>
      <c r="B457" s="253">
        <f t="shared" si="0"/>
        <v>4.4049100000000001</v>
      </c>
      <c r="C457" s="346">
        <v>692282996.47000003</v>
      </c>
      <c r="D457" s="258">
        <v>4.4049100000000001</v>
      </c>
      <c r="E457" s="255">
        <f>B457-Index_Returns!D457</f>
        <v>1.9177</v>
      </c>
    </row>
    <row r="458" spans="1:5" x14ac:dyDescent="0.2">
      <c r="A458" s="345">
        <v>41455</v>
      </c>
      <c r="B458" s="253">
        <f t="shared" si="0"/>
        <v>-0.82054000000000005</v>
      </c>
      <c r="C458" s="1307">
        <v>686602529.83000004</v>
      </c>
      <c r="D458" s="1306">
        <v>-0.82054000000000005</v>
      </c>
      <c r="E458" s="255">
        <f>B458-Index_Returns!D458</f>
        <v>9.9059999999999926E-2</v>
      </c>
    </row>
    <row r="459" spans="1:5" x14ac:dyDescent="0.2">
      <c r="A459" s="345">
        <v>41486</v>
      </c>
      <c r="B459" s="253">
        <f t="shared" si="0"/>
        <v>6.4534200000000004</v>
      </c>
      <c r="C459" s="346">
        <v>701189493.50999999</v>
      </c>
      <c r="D459" s="258">
        <v>6.4534200000000004</v>
      </c>
      <c r="E459" s="255">
        <f>B459-Index_Returns!D459</f>
        <v>1.3463600000000007</v>
      </c>
    </row>
    <row r="460" spans="1:5" x14ac:dyDescent="0.2">
      <c r="A460" s="345">
        <v>41517</v>
      </c>
      <c r="B460" s="253">
        <f t="shared" si="0"/>
        <v>-3.5034100000000001</v>
      </c>
      <c r="C460" s="346">
        <v>676624065.85000002</v>
      </c>
      <c r="D460" s="258">
        <v>-3.5034100000000001</v>
      </c>
      <c r="E460" s="255">
        <f>B460-Index_Returns!D460</f>
        <v>8.6829999999999963E-2</v>
      </c>
    </row>
    <row r="461" spans="1:5" x14ac:dyDescent="0.2">
      <c r="A461" s="345">
        <v>41547</v>
      </c>
      <c r="B461" s="253">
        <f t="shared" si="0"/>
        <v>3.1896399999999998</v>
      </c>
      <c r="C461" s="346">
        <v>698205938.13999999</v>
      </c>
      <c r="D461" s="258">
        <v>3.1896399999999998</v>
      </c>
      <c r="E461" s="255">
        <f>B461-Index_Returns!D461</f>
        <v>0.71809999999999974</v>
      </c>
    </row>
    <row r="462" spans="1:5" x14ac:dyDescent="0.2">
      <c r="A462" s="345">
        <v>41578</v>
      </c>
      <c r="B462" s="253">
        <f t="shared" si="0"/>
        <v>4.3163400000000003</v>
      </c>
      <c r="C462" s="346">
        <v>728785536.14999998</v>
      </c>
      <c r="D462" s="258">
        <v>4.3163400000000003</v>
      </c>
      <c r="E462" s="255">
        <f>B462-Index_Returns!D462</f>
        <v>-5.6129999999999569E-2</v>
      </c>
    </row>
    <row r="463" spans="1:5" x14ac:dyDescent="0.2">
      <c r="A463" s="345">
        <v>41608</v>
      </c>
      <c r="B463" s="253">
        <f t="shared" si="0"/>
        <v>4.3231099999999998</v>
      </c>
      <c r="C463" s="346">
        <v>760291701.63</v>
      </c>
      <c r="D463" s="258">
        <v>4.3231099999999998</v>
      </c>
      <c r="E463" s="255">
        <f>B463-Index_Returns!D463</f>
        <v>1.5042799999999996</v>
      </c>
    </row>
    <row r="464" spans="1:5" x14ac:dyDescent="0.2">
      <c r="A464" s="345">
        <v>41639</v>
      </c>
      <c r="B464" s="253">
        <f t="shared" si="0"/>
        <v>2.6526999999999998</v>
      </c>
      <c r="C464" s="346">
        <v>770139508.04999995</v>
      </c>
      <c r="D464" s="258">
        <v>2.6526999999999998</v>
      </c>
      <c r="E464" s="255">
        <f>B464-Index_Returns!D464</f>
        <v>0.31035999999999975</v>
      </c>
    </row>
    <row r="465" spans="1:5" x14ac:dyDescent="0.2">
      <c r="A465" s="345">
        <v>41670</v>
      </c>
      <c r="B465" s="253">
        <f t="shared" si="0"/>
        <v>-4.0878199999999998</v>
      </c>
      <c r="C465" s="346">
        <v>739089236.42999995</v>
      </c>
      <c r="D465" s="258">
        <v>-4.0878199999999998</v>
      </c>
      <c r="E465" s="255">
        <f>B465-Index_Returns!D465</f>
        <v>-8.4859999999999935E-2</v>
      </c>
    </row>
    <row r="466" spans="1:5" x14ac:dyDescent="0.2">
      <c r="A466" s="345">
        <v>41698</v>
      </c>
      <c r="B466" s="253">
        <f t="shared" si="0"/>
        <v>4.1241099999999999</v>
      </c>
      <c r="C466" s="346">
        <v>759537587.30999994</v>
      </c>
      <c r="D466" s="258">
        <v>4.1241099999999999</v>
      </c>
      <c r="E466" s="255">
        <f>B466-Index_Returns!D466</f>
        <v>0.28107999999999977</v>
      </c>
    </row>
    <row r="467" spans="1:5" x14ac:dyDescent="0.2">
      <c r="A467" s="345">
        <v>41729</v>
      </c>
      <c r="B467" s="253">
        <f t="shared" si="0"/>
        <v>3.3388300000000002</v>
      </c>
      <c r="C467" s="346">
        <v>784897247.5</v>
      </c>
      <c r="D467" s="258">
        <v>3.3388300000000002</v>
      </c>
      <c r="E467" s="255">
        <f>B467-Index_Returns!D467</f>
        <v>0.75877000000000017</v>
      </c>
    </row>
    <row r="468" spans="1:5" x14ac:dyDescent="0.2">
      <c r="A468" s="345">
        <v>41759</v>
      </c>
      <c r="B468" s="253">
        <f t="shared" si="0"/>
        <v>0.42377999999999999</v>
      </c>
      <c r="C468" s="346">
        <v>773821728.34000003</v>
      </c>
      <c r="D468" s="258">
        <v>0.42377999999999999</v>
      </c>
      <c r="E468" s="255">
        <f>B468-Index_Returns!D468</f>
        <v>-0.78702000000000005</v>
      </c>
    </row>
    <row r="469" spans="1:5" x14ac:dyDescent="0.2">
      <c r="A469" s="345">
        <v>41790</v>
      </c>
      <c r="B469" s="253">
        <f t="shared" si="0"/>
        <v>1.61442</v>
      </c>
      <c r="C469" s="346">
        <v>786314464.85000002</v>
      </c>
      <c r="D469" s="258">
        <v>1.61442</v>
      </c>
      <c r="E469" s="255">
        <f>B469-Index_Returns!D469</f>
        <v>0.34267000000000003</v>
      </c>
    </row>
    <row r="470" spans="1:5" x14ac:dyDescent="0.2">
      <c r="A470" s="345">
        <v>41820</v>
      </c>
      <c r="B470" s="253">
        <f t="shared" si="0"/>
        <v>2.3069500000000001</v>
      </c>
      <c r="C470" s="346">
        <v>804454372.57000005</v>
      </c>
      <c r="D470" s="258">
        <v>2.3069500000000001</v>
      </c>
      <c r="E470" s="255">
        <f>B470-Index_Returns!D470</f>
        <v>0.25451000000000024</v>
      </c>
    </row>
    <row r="471" spans="1:5" x14ac:dyDescent="0.2">
      <c r="A471" s="345">
        <v>41851</v>
      </c>
      <c r="B471" s="253">
        <f t="shared" si="0"/>
        <v>-1.5645100000000001</v>
      </c>
      <c r="C471" s="346">
        <v>792345551.15999997</v>
      </c>
      <c r="D471" s="258">
        <v>-1.5645100000000001</v>
      </c>
      <c r="E471" s="255">
        <f>B471-Index_Returns!D471</f>
        <v>-3.8210000000000077E-2</v>
      </c>
    </row>
    <row r="472" spans="1:5" x14ac:dyDescent="0.2">
      <c r="A472" s="345">
        <v>41882</v>
      </c>
      <c r="B472" s="253">
        <f t="shared" si="0"/>
        <v>3.7647499999999998</v>
      </c>
      <c r="C472" s="346">
        <v>822175409.96000004</v>
      </c>
      <c r="D472" s="258">
        <v>3.7647499999999998</v>
      </c>
      <c r="E472" s="255">
        <f>B472-Index_Returns!D472</f>
        <v>0.14848999999999979</v>
      </c>
    </row>
    <row r="473" spans="1:5" x14ac:dyDescent="0.2">
      <c r="A473" s="345">
        <v>41912</v>
      </c>
      <c r="B473" s="253">
        <f t="shared" si="0"/>
        <v>0</v>
      </c>
      <c r="E473" s="255">
        <f>B473-Index_Returns!D473</f>
        <v>0</v>
      </c>
    </row>
    <row r="474" spans="1:5" x14ac:dyDescent="0.2">
      <c r="A474" s="345">
        <v>41943</v>
      </c>
      <c r="B474" s="253">
        <f t="shared" si="0"/>
        <v>0</v>
      </c>
      <c r="E474" s="255">
        <f>B474-Index_Returns!D474</f>
        <v>0</v>
      </c>
    </row>
    <row r="475" spans="1:5" x14ac:dyDescent="0.2">
      <c r="A475" s="345">
        <v>41973</v>
      </c>
      <c r="B475" s="253">
        <f t="shared" si="0"/>
        <v>0</v>
      </c>
      <c r="E475" s="255">
        <f>B475-Index_Returns!D475</f>
        <v>0</v>
      </c>
    </row>
    <row r="476" spans="1:5" x14ac:dyDescent="0.2">
      <c r="A476" s="345">
        <v>42004</v>
      </c>
      <c r="B476" s="253">
        <f t="shared" si="0"/>
        <v>0</v>
      </c>
      <c r="E476" s="255">
        <f>B476-Index_Returns!D476</f>
        <v>0</v>
      </c>
    </row>
    <row r="477" spans="1:5" x14ac:dyDescent="0.2">
      <c r="A477" s="345">
        <v>42035</v>
      </c>
      <c r="B477" s="253">
        <f t="shared" si="0"/>
        <v>0</v>
      </c>
      <c r="E477" s="255">
        <f>B477-Index_Returns!D477</f>
        <v>0</v>
      </c>
    </row>
    <row r="478" spans="1:5" x14ac:dyDescent="0.2">
      <c r="A478" s="345">
        <v>42063</v>
      </c>
      <c r="B478" s="253">
        <f t="shared" si="0"/>
        <v>0</v>
      </c>
      <c r="E478" s="255">
        <f>B478-Index_Returns!D478</f>
        <v>0</v>
      </c>
    </row>
    <row r="479" spans="1:5" x14ac:dyDescent="0.2">
      <c r="A479" s="345">
        <v>42094</v>
      </c>
      <c r="B479" s="253">
        <f t="shared" si="0"/>
        <v>0</v>
      </c>
      <c r="E479" s="255">
        <f>B479-Index_Returns!D479</f>
        <v>0</v>
      </c>
    </row>
    <row r="480" spans="1:5" x14ac:dyDescent="0.2">
      <c r="A480" s="345">
        <v>42124</v>
      </c>
      <c r="B480" s="253">
        <f t="shared" si="0"/>
        <v>0</v>
      </c>
      <c r="E480" s="255">
        <f>B480-Index_Returns!D480</f>
        <v>0</v>
      </c>
    </row>
    <row r="481" spans="1:5" x14ac:dyDescent="0.2">
      <c r="A481" s="345">
        <v>42155</v>
      </c>
      <c r="B481" s="253">
        <f t="shared" si="0"/>
        <v>0</v>
      </c>
      <c r="E481" s="255">
        <f>B481-Index_Returns!D481</f>
        <v>0</v>
      </c>
    </row>
    <row r="482" spans="1:5" x14ac:dyDescent="0.2">
      <c r="A482" s="345">
        <v>42185</v>
      </c>
      <c r="B482" s="253">
        <f t="shared" si="0"/>
        <v>0</v>
      </c>
      <c r="E482" s="255">
        <f>B482-Index_Returns!D482</f>
        <v>0</v>
      </c>
    </row>
    <row r="483" spans="1:5" x14ac:dyDescent="0.2">
      <c r="A483" s="345">
        <v>42216</v>
      </c>
      <c r="B483" s="253">
        <f t="shared" si="0"/>
        <v>0</v>
      </c>
      <c r="E483" s="255">
        <f>B483-Index_Returns!D483</f>
        <v>0</v>
      </c>
    </row>
    <row r="484" spans="1:5" x14ac:dyDescent="0.2">
      <c r="A484" s="345">
        <v>42247</v>
      </c>
      <c r="B484" s="253">
        <f t="shared" si="0"/>
        <v>0</v>
      </c>
      <c r="E484" s="255">
        <f>B484-Index_Returns!D484</f>
        <v>0</v>
      </c>
    </row>
    <row r="485" spans="1:5" x14ac:dyDescent="0.2">
      <c r="A485" s="345">
        <v>42277</v>
      </c>
      <c r="B485" s="253">
        <f t="shared" si="0"/>
        <v>0</v>
      </c>
      <c r="E485" s="255">
        <f>B485-Index_Returns!D485</f>
        <v>0</v>
      </c>
    </row>
    <row r="486" spans="1:5" x14ac:dyDescent="0.2">
      <c r="A486" s="345">
        <v>42308</v>
      </c>
      <c r="B486" s="253">
        <f t="shared" si="0"/>
        <v>0</v>
      </c>
      <c r="E486" s="255">
        <f>B486-Index_Returns!D486</f>
        <v>0</v>
      </c>
    </row>
    <row r="487" spans="1:5" x14ac:dyDescent="0.2">
      <c r="A487" s="345">
        <v>42338</v>
      </c>
      <c r="B487" s="253">
        <f t="shared" si="0"/>
        <v>0</v>
      </c>
      <c r="E487" s="255">
        <f>B487-Index_Returns!D487</f>
        <v>0</v>
      </c>
    </row>
    <row r="488" spans="1:5" x14ac:dyDescent="0.2">
      <c r="A488" s="345">
        <v>42369</v>
      </c>
      <c r="B488" s="253">
        <f t="shared" si="0"/>
        <v>0</v>
      </c>
      <c r="E488" s="255">
        <f>B488-Index_Returns!D488</f>
        <v>0</v>
      </c>
    </row>
  </sheetData>
  <mergeCells count="1">
    <mergeCell ref="H329:I329"/>
  </mergeCells>
  <phoneticPr fontId="3" type="noConversion"/>
  <printOptions headings="1" gridLines="1"/>
  <pageMargins left="0.78740157480314965" right="0.78740157480314965" top="0.78740157480314965" bottom="0.78740157480314965" header="0.39370078740157483" footer="0.39370078740157483"/>
  <pageSetup scale="13" orientation="portrait" r:id="rId1"/>
  <headerFooter alignWithMargins="0">
    <oddHeader>&amp;L&amp;A</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I488"/>
  <sheetViews>
    <sheetView workbookViewId="0">
      <pane xSplit="1" ySplit="2" topLeftCell="B451" activePane="bottomRight" state="frozen"/>
      <selection activeCell="E452" sqref="E452:E464"/>
      <selection pane="topRight" activeCell="E452" sqref="E452:E464"/>
      <selection pane="bottomLeft" activeCell="E452" sqref="E452:E464"/>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5" width="18.7109375" style="258" customWidth="1"/>
    <col min="6" max="6" width="12.42578125" bestFit="1" customWidth="1"/>
    <col min="7" max="7" width="14" style="14" bestFit="1" customWidth="1"/>
    <col min="8" max="8" width="9.140625" style="14"/>
  </cols>
  <sheetData>
    <row r="1" spans="1:6" x14ac:dyDescent="0.2">
      <c r="A1" s="265" t="s">
        <v>41</v>
      </c>
      <c r="B1" s="321" t="s">
        <v>471</v>
      </c>
      <c r="C1" s="1381" t="s">
        <v>13</v>
      </c>
      <c r="D1" s="1370">
        <f>Fees!F63</f>
        <v>52.393492547130137</v>
      </c>
      <c r="E1" s="74" t="s">
        <v>81</v>
      </c>
      <c r="F1" s="1452" t="s">
        <v>766</v>
      </c>
    </row>
    <row r="2" spans="1:6" x14ac:dyDescent="0.2">
      <c r="A2" s="3" t="s">
        <v>27</v>
      </c>
      <c r="B2" s="71" t="s">
        <v>91</v>
      </c>
      <c r="C2" s="226" t="s">
        <v>92</v>
      </c>
      <c r="D2" s="71" t="s">
        <v>90</v>
      </c>
      <c r="E2" s="71" t="s">
        <v>80</v>
      </c>
    </row>
    <row r="3" spans="1:6" x14ac:dyDescent="0.2">
      <c r="A3" s="345">
        <v>27606</v>
      </c>
      <c r="B3" s="71"/>
      <c r="C3" s="226"/>
      <c r="D3" s="71"/>
      <c r="E3" s="71"/>
    </row>
    <row r="4" spans="1:6" x14ac:dyDescent="0.2">
      <c r="A4" s="345">
        <v>27637</v>
      </c>
      <c r="B4" s="71"/>
      <c r="C4" s="226"/>
      <c r="D4" s="71"/>
      <c r="E4" s="71"/>
    </row>
    <row r="5" spans="1:6" x14ac:dyDescent="0.2">
      <c r="A5" s="345">
        <v>27667</v>
      </c>
      <c r="B5" s="71"/>
      <c r="C5" s="226"/>
      <c r="D5" s="71"/>
      <c r="E5" s="71"/>
    </row>
    <row r="6" spans="1:6" x14ac:dyDescent="0.2">
      <c r="A6" s="345">
        <v>27698</v>
      </c>
      <c r="B6" s="71"/>
      <c r="C6" s="226"/>
      <c r="D6" s="71"/>
      <c r="E6" s="71"/>
    </row>
    <row r="7" spans="1:6" x14ac:dyDescent="0.2">
      <c r="A7" s="345">
        <v>27728</v>
      </c>
      <c r="B7" s="71"/>
      <c r="C7" s="226"/>
      <c r="D7" s="71"/>
      <c r="E7" s="71"/>
    </row>
    <row r="8" spans="1:6" x14ac:dyDescent="0.2">
      <c r="A8" s="345">
        <v>27759</v>
      </c>
      <c r="B8" s="71"/>
      <c r="C8" s="226"/>
      <c r="D8" s="71"/>
      <c r="E8" s="71"/>
    </row>
    <row r="9" spans="1:6" x14ac:dyDescent="0.2">
      <c r="A9" s="345">
        <v>27790</v>
      </c>
      <c r="B9" s="71"/>
      <c r="C9" s="226"/>
      <c r="D9" s="71"/>
      <c r="E9" s="71"/>
    </row>
    <row r="10" spans="1:6" x14ac:dyDescent="0.2">
      <c r="A10" s="345">
        <v>27819</v>
      </c>
      <c r="B10" s="71"/>
      <c r="C10" s="226"/>
      <c r="D10" s="71"/>
      <c r="E10" s="71"/>
    </row>
    <row r="11" spans="1:6" x14ac:dyDescent="0.2">
      <c r="A11" s="345">
        <v>27850</v>
      </c>
      <c r="B11" s="71"/>
      <c r="C11" s="226"/>
      <c r="D11" s="71"/>
      <c r="E11" s="71"/>
    </row>
    <row r="12" spans="1:6" x14ac:dyDescent="0.2">
      <c r="A12" s="345">
        <v>27880</v>
      </c>
      <c r="B12" s="71"/>
      <c r="C12" s="226"/>
      <c r="D12" s="71"/>
      <c r="E12" s="71"/>
    </row>
    <row r="13" spans="1:6" x14ac:dyDescent="0.2">
      <c r="A13" s="345">
        <v>27911</v>
      </c>
      <c r="B13" s="71"/>
      <c r="C13" s="226"/>
      <c r="D13" s="71"/>
      <c r="E13" s="71"/>
    </row>
    <row r="14" spans="1:6" x14ac:dyDescent="0.2">
      <c r="A14" s="345">
        <v>27941</v>
      </c>
      <c r="B14" s="71"/>
      <c r="C14" s="226"/>
      <c r="D14" s="71"/>
      <c r="E14" s="71"/>
    </row>
    <row r="15" spans="1:6" x14ac:dyDescent="0.2">
      <c r="A15" s="345">
        <v>27972</v>
      </c>
      <c r="B15" s="71"/>
      <c r="C15" s="226"/>
      <c r="D15" s="71"/>
      <c r="E15" s="71"/>
    </row>
    <row r="16" spans="1:6"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3"/>
      <c r="C147" s="25"/>
      <c r="D147" s="73"/>
      <c r="E147" s="73"/>
    </row>
    <row r="148" spans="1:5" x14ac:dyDescent="0.2">
      <c r="A148" s="345">
        <v>32020</v>
      </c>
      <c r="B148" s="73"/>
      <c r="C148" s="25"/>
      <c r="D148" s="73"/>
      <c r="E148" s="73"/>
    </row>
    <row r="149" spans="1:5" x14ac:dyDescent="0.2">
      <c r="A149" s="345">
        <v>32050</v>
      </c>
      <c r="B149" s="73"/>
      <c r="C149" s="25"/>
      <c r="D149" s="73"/>
      <c r="E149" s="73"/>
    </row>
    <row r="150" spans="1:5" x14ac:dyDescent="0.2">
      <c r="A150" s="345">
        <v>32081</v>
      </c>
      <c r="B150" s="73"/>
      <c r="C150" s="25"/>
      <c r="D150" s="73"/>
      <c r="E150" s="73"/>
    </row>
    <row r="151" spans="1:5" x14ac:dyDescent="0.2">
      <c r="A151" s="345">
        <v>32111</v>
      </c>
      <c r="B151" s="73"/>
      <c r="C151" s="25"/>
      <c r="D151" s="73"/>
      <c r="E151" s="73"/>
    </row>
    <row r="152" spans="1:5" x14ac:dyDescent="0.2">
      <c r="A152" s="345">
        <v>32142</v>
      </c>
      <c r="B152" s="73"/>
      <c r="C152" s="25"/>
      <c r="D152" s="73"/>
      <c r="E152" s="73"/>
    </row>
    <row r="153" spans="1:5" x14ac:dyDescent="0.2">
      <c r="A153" s="345">
        <v>32173</v>
      </c>
      <c r="B153" s="73"/>
      <c r="C153" s="25"/>
      <c r="D153" s="73"/>
      <c r="E153" s="73"/>
    </row>
    <row r="154" spans="1:5" x14ac:dyDescent="0.2">
      <c r="A154" s="345">
        <v>32202</v>
      </c>
      <c r="B154" s="73"/>
      <c r="C154" s="25"/>
      <c r="D154" s="73"/>
      <c r="E154" s="73"/>
    </row>
    <row r="155" spans="1:5" x14ac:dyDescent="0.2">
      <c r="A155" s="345">
        <v>32233</v>
      </c>
      <c r="B155" s="73"/>
      <c r="C155" s="25"/>
      <c r="D155" s="73"/>
      <c r="E155" s="73"/>
    </row>
    <row r="156" spans="1:5" x14ac:dyDescent="0.2">
      <c r="A156" s="345">
        <v>32263</v>
      </c>
      <c r="B156" s="73"/>
      <c r="C156" s="25"/>
      <c r="D156" s="73"/>
      <c r="E156" s="73"/>
    </row>
    <row r="157" spans="1:5" x14ac:dyDescent="0.2">
      <c r="A157" s="345">
        <v>32294</v>
      </c>
      <c r="B157" s="73"/>
      <c r="C157" s="25"/>
      <c r="D157" s="73"/>
      <c r="E157" s="73"/>
    </row>
    <row r="158" spans="1:5" x14ac:dyDescent="0.2">
      <c r="A158" s="345">
        <v>32324</v>
      </c>
      <c r="B158" s="73"/>
      <c r="C158" s="25"/>
      <c r="D158" s="73"/>
      <c r="E158" s="73"/>
    </row>
    <row r="159" spans="1:5" x14ac:dyDescent="0.2">
      <c r="A159" s="345">
        <v>32355</v>
      </c>
      <c r="B159" s="73"/>
      <c r="C159" s="25"/>
      <c r="D159" s="73"/>
      <c r="E159" s="73"/>
    </row>
    <row r="160" spans="1:5" x14ac:dyDescent="0.2">
      <c r="A160" s="345">
        <v>32386</v>
      </c>
      <c r="B160" s="73"/>
      <c r="C160" s="25"/>
      <c r="D160" s="73"/>
      <c r="E160" s="73"/>
    </row>
    <row r="161" spans="1:5" x14ac:dyDescent="0.2">
      <c r="A161" s="345">
        <v>32416</v>
      </c>
      <c r="B161" s="73"/>
      <c r="C161" s="25"/>
      <c r="D161" s="73"/>
      <c r="E161" s="73"/>
    </row>
    <row r="162" spans="1:5" x14ac:dyDescent="0.2">
      <c r="A162" s="345">
        <v>32447</v>
      </c>
      <c r="B162" s="73"/>
      <c r="C162" s="25"/>
      <c r="D162" s="73"/>
      <c r="E162" s="73"/>
    </row>
    <row r="163" spans="1:5" x14ac:dyDescent="0.2">
      <c r="A163" s="345">
        <v>32477</v>
      </c>
      <c r="B163" s="73"/>
      <c r="C163" s="25"/>
      <c r="D163" s="73"/>
      <c r="E163" s="73"/>
    </row>
    <row r="164" spans="1:5" x14ac:dyDescent="0.2">
      <c r="A164" s="345">
        <v>32508</v>
      </c>
      <c r="B164" s="73"/>
      <c r="C164" s="25"/>
      <c r="D164" s="73"/>
      <c r="E164" s="73"/>
    </row>
    <row r="165" spans="1:5" x14ac:dyDescent="0.2">
      <c r="A165" s="345">
        <v>32539</v>
      </c>
      <c r="B165" s="73"/>
      <c r="C165" s="25"/>
      <c r="D165" s="73"/>
      <c r="E165" s="73"/>
    </row>
    <row r="166" spans="1:5" x14ac:dyDescent="0.2">
      <c r="A166" s="345">
        <v>32567</v>
      </c>
      <c r="B166" s="73"/>
      <c r="C166" s="25"/>
      <c r="D166" s="73"/>
      <c r="E166" s="73"/>
    </row>
    <row r="167" spans="1:5" x14ac:dyDescent="0.2">
      <c r="A167" s="345">
        <v>32598</v>
      </c>
      <c r="B167" s="73"/>
      <c r="C167" s="25"/>
      <c r="D167" s="73"/>
      <c r="E167" s="73"/>
    </row>
    <row r="168" spans="1:5" x14ac:dyDescent="0.2">
      <c r="A168" s="345">
        <v>32628</v>
      </c>
      <c r="B168" s="73"/>
      <c r="C168" s="25"/>
      <c r="D168" s="73"/>
      <c r="E168" s="73"/>
    </row>
    <row r="169" spans="1:5" x14ac:dyDescent="0.2">
      <c r="A169" s="345">
        <v>32659</v>
      </c>
      <c r="B169" s="73"/>
      <c r="C169" s="25"/>
      <c r="D169" s="73"/>
      <c r="E169" s="73"/>
    </row>
    <row r="170" spans="1:5" x14ac:dyDescent="0.2">
      <c r="A170" s="345">
        <v>32689</v>
      </c>
      <c r="B170" s="73"/>
      <c r="C170" s="25"/>
      <c r="D170" s="73"/>
      <c r="E170" s="73"/>
    </row>
    <row r="171" spans="1:5" x14ac:dyDescent="0.2">
      <c r="A171" s="345">
        <v>32720</v>
      </c>
      <c r="B171" s="73"/>
      <c r="C171" s="25"/>
      <c r="D171" s="73"/>
      <c r="E171" s="73"/>
    </row>
    <row r="172" spans="1:5" x14ac:dyDescent="0.2">
      <c r="A172" s="345">
        <v>32751</v>
      </c>
      <c r="B172" s="73"/>
      <c r="C172" s="25"/>
      <c r="D172" s="73"/>
      <c r="E172" s="73"/>
    </row>
    <row r="173" spans="1:5" x14ac:dyDescent="0.2">
      <c r="A173" s="345">
        <v>32781</v>
      </c>
      <c r="B173" s="73"/>
      <c r="C173" s="25"/>
      <c r="D173" s="73"/>
      <c r="E173" s="73"/>
    </row>
    <row r="174" spans="1:5" x14ac:dyDescent="0.2">
      <c r="A174" s="345">
        <v>32812</v>
      </c>
      <c r="B174" s="73"/>
      <c r="C174" s="25"/>
      <c r="D174" s="73"/>
      <c r="E174" s="73"/>
    </row>
    <row r="175" spans="1:5" x14ac:dyDescent="0.2">
      <c r="A175" s="345">
        <v>32842</v>
      </c>
      <c r="B175" s="73"/>
      <c r="C175" s="25"/>
      <c r="D175" s="73"/>
      <c r="E175" s="73"/>
    </row>
    <row r="176" spans="1:5" x14ac:dyDescent="0.2">
      <c r="A176" s="345">
        <v>32873</v>
      </c>
      <c r="B176" s="73"/>
      <c r="C176" s="25"/>
      <c r="D176" s="73"/>
      <c r="E176" s="73"/>
    </row>
    <row r="177" spans="1:5" x14ac:dyDescent="0.2">
      <c r="A177" s="345">
        <v>32904</v>
      </c>
      <c r="B177" s="73"/>
      <c r="C177" s="25"/>
      <c r="D177" s="73"/>
      <c r="E177" s="73"/>
    </row>
    <row r="178" spans="1:5" x14ac:dyDescent="0.2">
      <c r="A178" s="345">
        <v>32932</v>
      </c>
      <c r="B178" s="73"/>
      <c r="C178" s="25"/>
      <c r="D178" s="73"/>
      <c r="E178" s="73"/>
    </row>
    <row r="179" spans="1:5" x14ac:dyDescent="0.2">
      <c r="A179" s="345">
        <v>32963</v>
      </c>
      <c r="B179" s="73"/>
      <c r="C179" s="25"/>
      <c r="D179" s="73"/>
      <c r="E179" s="73"/>
    </row>
    <row r="180" spans="1:5" x14ac:dyDescent="0.2">
      <c r="A180" s="345">
        <v>32993</v>
      </c>
      <c r="B180" s="73"/>
      <c r="C180" s="25"/>
      <c r="D180" s="73"/>
      <c r="E180" s="73"/>
    </row>
    <row r="181" spans="1:5" x14ac:dyDescent="0.2">
      <c r="A181" s="345">
        <v>33024</v>
      </c>
      <c r="B181" s="73"/>
      <c r="C181" s="25"/>
      <c r="D181" s="73"/>
      <c r="E181" s="73"/>
    </row>
    <row r="182" spans="1:5" x14ac:dyDescent="0.2">
      <c r="A182" s="345">
        <v>33054</v>
      </c>
      <c r="B182" s="73"/>
      <c r="C182" s="25"/>
      <c r="D182" s="73"/>
      <c r="E182" s="73"/>
    </row>
    <row r="183" spans="1:5" x14ac:dyDescent="0.2">
      <c r="A183" s="345">
        <v>33085</v>
      </c>
      <c r="B183" s="73"/>
      <c r="C183" s="25"/>
      <c r="D183" s="73"/>
      <c r="E183" s="73"/>
    </row>
    <row r="184" spans="1:5" x14ac:dyDescent="0.2">
      <c r="A184" s="345">
        <v>33116</v>
      </c>
      <c r="B184" s="73"/>
      <c r="C184" s="25"/>
      <c r="D184" s="73"/>
      <c r="E184" s="73"/>
    </row>
    <row r="185" spans="1:5" x14ac:dyDescent="0.2">
      <c r="A185" s="345">
        <v>33146</v>
      </c>
      <c r="B185" s="73"/>
      <c r="C185" s="25"/>
      <c r="D185" s="73"/>
      <c r="E185" s="73"/>
    </row>
    <row r="186" spans="1:5" x14ac:dyDescent="0.2">
      <c r="A186" s="345">
        <v>33177</v>
      </c>
      <c r="B186" s="73"/>
      <c r="C186" s="25"/>
      <c r="D186" s="73"/>
      <c r="E186" s="73"/>
    </row>
    <row r="187" spans="1:5" x14ac:dyDescent="0.2">
      <c r="A187" s="345">
        <v>33207</v>
      </c>
      <c r="B187" s="73"/>
      <c r="C187" s="25"/>
      <c r="D187" s="73"/>
      <c r="E187" s="73"/>
    </row>
    <row r="188" spans="1:5" x14ac:dyDescent="0.2">
      <c r="A188" s="345">
        <v>33238</v>
      </c>
      <c r="B188" s="73"/>
      <c r="C188" s="25"/>
      <c r="D188" s="73"/>
      <c r="E188" s="73"/>
    </row>
    <row r="189" spans="1:5" x14ac:dyDescent="0.2">
      <c r="A189" s="345">
        <v>33269</v>
      </c>
      <c r="B189" s="73"/>
      <c r="C189" s="25"/>
      <c r="D189" s="73"/>
      <c r="E189" s="73"/>
    </row>
    <row r="190" spans="1:5" x14ac:dyDescent="0.2">
      <c r="A190" s="345">
        <v>33297</v>
      </c>
      <c r="B190" s="73"/>
      <c r="C190" s="25"/>
      <c r="D190" s="73"/>
      <c r="E190" s="73"/>
    </row>
    <row r="191" spans="1:5" x14ac:dyDescent="0.2">
      <c r="A191" s="345">
        <v>33328</v>
      </c>
      <c r="B191" s="73"/>
      <c r="C191" s="25"/>
      <c r="D191" s="73"/>
      <c r="E191" s="73"/>
    </row>
    <row r="192" spans="1:5" x14ac:dyDescent="0.2">
      <c r="A192" s="345">
        <v>33358</v>
      </c>
      <c r="B192" s="73"/>
      <c r="C192" s="25"/>
      <c r="D192" s="73"/>
      <c r="E192" s="73"/>
    </row>
    <row r="193" spans="1:5" x14ac:dyDescent="0.2">
      <c r="A193" s="345">
        <v>33389</v>
      </c>
      <c r="B193" s="73"/>
      <c r="C193" s="25"/>
      <c r="D193" s="73"/>
      <c r="E193" s="73"/>
    </row>
    <row r="194" spans="1:5" x14ac:dyDescent="0.2">
      <c r="A194" s="345">
        <v>33419</v>
      </c>
      <c r="B194" s="73"/>
      <c r="C194" s="25"/>
      <c r="D194" s="73"/>
      <c r="E194" s="73"/>
    </row>
    <row r="195" spans="1:5" x14ac:dyDescent="0.2">
      <c r="A195" s="345">
        <v>33450</v>
      </c>
      <c r="B195" s="73"/>
      <c r="C195" s="25"/>
      <c r="D195" s="73"/>
      <c r="E195" s="73"/>
    </row>
    <row r="196" spans="1:5" x14ac:dyDescent="0.2">
      <c r="A196" s="345">
        <v>33481</v>
      </c>
      <c r="B196" s="73"/>
      <c r="C196" s="25"/>
      <c r="D196" s="73"/>
      <c r="E196" s="73"/>
    </row>
    <row r="197" spans="1:5" x14ac:dyDescent="0.2">
      <c r="A197" s="345">
        <v>33511</v>
      </c>
      <c r="B197" s="73"/>
      <c r="C197" s="25"/>
      <c r="D197" s="73"/>
      <c r="E197" s="73"/>
    </row>
    <row r="198" spans="1:5" x14ac:dyDescent="0.2">
      <c r="A198" s="345">
        <v>33542</v>
      </c>
      <c r="B198" s="73"/>
      <c r="C198" s="25"/>
      <c r="D198" s="73"/>
      <c r="E198" s="73"/>
    </row>
    <row r="199" spans="1:5" x14ac:dyDescent="0.2">
      <c r="A199" s="345">
        <v>33572</v>
      </c>
      <c r="B199" s="73"/>
      <c r="C199" s="25"/>
      <c r="D199" s="73"/>
      <c r="E199" s="73"/>
    </row>
    <row r="200" spans="1:5" x14ac:dyDescent="0.2">
      <c r="A200" s="345">
        <v>33603</v>
      </c>
      <c r="B200" s="73"/>
      <c r="C200" s="25"/>
      <c r="D200" s="73"/>
      <c r="E200" s="73"/>
    </row>
    <row r="201" spans="1:5" x14ac:dyDescent="0.2">
      <c r="A201" s="345">
        <v>33634</v>
      </c>
      <c r="B201" s="73"/>
      <c r="C201" s="25"/>
      <c r="D201" s="73"/>
      <c r="E201" s="73"/>
    </row>
    <row r="202" spans="1:5" x14ac:dyDescent="0.2">
      <c r="A202" s="345">
        <v>33663</v>
      </c>
      <c r="B202" s="73"/>
      <c r="C202" s="25"/>
      <c r="D202" s="73"/>
      <c r="E202" s="73"/>
    </row>
    <row r="203" spans="1:5" x14ac:dyDescent="0.2">
      <c r="A203" s="345">
        <v>33694</v>
      </c>
      <c r="B203" s="73"/>
      <c r="C203" s="25"/>
      <c r="D203" s="73"/>
      <c r="E203" s="73"/>
    </row>
    <row r="204" spans="1:5" x14ac:dyDescent="0.2">
      <c r="A204" s="345">
        <v>33724</v>
      </c>
      <c r="B204" s="73"/>
      <c r="C204" s="25"/>
      <c r="D204" s="73"/>
      <c r="E204" s="73"/>
    </row>
    <row r="205" spans="1:5" x14ac:dyDescent="0.2">
      <c r="A205" s="345">
        <v>33755</v>
      </c>
      <c r="B205" s="73"/>
      <c r="C205" s="25"/>
      <c r="D205" s="73"/>
      <c r="E205" s="73"/>
    </row>
    <row r="206" spans="1:5" x14ac:dyDescent="0.2">
      <c r="A206" s="345">
        <v>33785</v>
      </c>
      <c r="B206" s="73"/>
      <c r="C206" s="25"/>
      <c r="D206" s="73"/>
      <c r="E206" s="73"/>
    </row>
    <row r="207" spans="1:5" x14ac:dyDescent="0.2">
      <c r="A207" s="345">
        <v>33816</v>
      </c>
      <c r="B207" s="73"/>
      <c r="C207" s="25"/>
      <c r="D207" s="73"/>
      <c r="E207" s="73"/>
    </row>
    <row r="208" spans="1:5" x14ac:dyDescent="0.2">
      <c r="A208" s="345">
        <v>33847</v>
      </c>
      <c r="B208" s="73"/>
      <c r="C208" s="25"/>
      <c r="D208" s="73"/>
      <c r="E208" s="73"/>
    </row>
    <row r="209" spans="1:5" x14ac:dyDescent="0.2">
      <c r="A209" s="345">
        <v>33877</v>
      </c>
      <c r="B209" s="73"/>
      <c r="C209" s="25"/>
      <c r="D209" s="73"/>
      <c r="E209" s="73"/>
    </row>
    <row r="210" spans="1:5" x14ac:dyDescent="0.2">
      <c r="A210" s="345">
        <v>33908</v>
      </c>
      <c r="B210" s="73"/>
      <c r="C210" s="25"/>
      <c r="D210" s="73"/>
      <c r="E210" s="73"/>
    </row>
    <row r="211" spans="1:5" x14ac:dyDescent="0.2">
      <c r="A211" s="345">
        <v>33938</v>
      </c>
      <c r="B211" s="73"/>
      <c r="C211" s="25"/>
      <c r="D211" s="73"/>
      <c r="E211" s="73"/>
    </row>
    <row r="212" spans="1:5" x14ac:dyDescent="0.2">
      <c r="A212" s="345">
        <v>33969</v>
      </c>
      <c r="B212" s="73"/>
      <c r="C212" s="25"/>
      <c r="D212" s="73"/>
      <c r="E212" s="73"/>
    </row>
    <row r="213" spans="1:5" x14ac:dyDescent="0.2">
      <c r="A213" s="345">
        <v>34000</v>
      </c>
      <c r="B213" s="73"/>
      <c r="C213" s="25"/>
      <c r="D213" s="73"/>
      <c r="E213" s="73"/>
    </row>
    <row r="214" spans="1:5" x14ac:dyDescent="0.2">
      <c r="A214" s="345">
        <v>34028</v>
      </c>
      <c r="B214" s="73"/>
      <c r="C214" s="25"/>
      <c r="D214" s="73"/>
      <c r="E214" s="73"/>
    </row>
    <row r="215" spans="1:5" x14ac:dyDescent="0.2">
      <c r="A215" s="345">
        <v>34059</v>
      </c>
      <c r="B215" s="73"/>
      <c r="C215" s="25"/>
      <c r="D215" s="73"/>
      <c r="E215" s="73"/>
    </row>
    <row r="216" spans="1:5" x14ac:dyDescent="0.2">
      <c r="A216" s="345">
        <v>34089</v>
      </c>
      <c r="B216" s="73"/>
      <c r="C216" s="25"/>
      <c r="D216" s="73"/>
      <c r="E216" s="73"/>
    </row>
    <row r="217" spans="1:5" x14ac:dyDescent="0.2">
      <c r="A217" s="345">
        <v>34120</v>
      </c>
      <c r="B217" s="73"/>
      <c r="C217" s="25"/>
      <c r="D217" s="73"/>
      <c r="E217" s="73"/>
    </row>
    <row r="218" spans="1:5" x14ac:dyDescent="0.2">
      <c r="A218" s="345">
        <v>34150</v>
      </c>
      <c r="B218" s="73"/>
      <c r="C218" s="25"/>
      <c r="D218" s="73"/>
      <c r="E218" s="73"/>
    </row>
    <row r="219" spans="1:5" x14ac:dyDescent="0.2">
      <c r="A219" s="345">
        <v>34181</v>
      </c>
      <c r="B219" s="73"/>
      <c r="C219" s="25"/>
      <c r="D219" s="73"/>
      <c r="E219" s="73"/>
    </row>
    <row r="220" spans="1:5" x14ac:dyDescent="0.2">
      <c r="A220" s="345">
        <v>34212</v>
      </c>
      <c r="B220" s="73"/>
      <c r="C220" s="25"/>
      <c r="D220" s="73"/>
      <c r="E220" s="73"/>
    </row>
    <row r="221" spans="1:5" x14ac:dyDescent="0.2">
      <c r="A221" s="345">
        <v>34242</v>
      </c>
      <c r="B221" s="73"/>
      <c r="C221" s="25"/>
      <c r="D221" s="73"/>
      <c r="E221" s="73"/>
    </row>
    <row r="222" spans="1:5" x14ac:dyDescent="0.2">
      <c r="A222" s="345">
        <v>34273</v>
      </c>
      <c r="B222" s="73"/>
      <c r="C222" s="25"/>
      <c r="D222" s="73"/>
      <c r="E222" s="73"/>
    </row>
    <row r="223" spans="1:5" x14ac:dyDescent="0.2">
      <c r="A223" s="345">
        <v>34303</v>
      </c>
      <c r="B223" s="73"/>
      <c r="C223" s="25"/>
      <c r="D223" s="73"/>
      <c r="E223" s="73"/>
    </row>
    <row r="224" spans="1:5" x14ac:dyDescent="0.2">
      <c r="A224" s="345">
        <v>34334</v>
      </c>
      <c r="B224" s="73"/>
      <c r="C224" s="25"/>
      <c r="D224" s="73"/>
      <c r="E224" s="73"/>
    </row>
    <row r="225" spans="1:5" x14ac:dyDescent="0.2">
      <c r="A225" s="345">
        <v>34365</v>
      </c>
      <c r="B225" s="73"/>
      <c r="C225" s="25"/>
      <c r="D225" s="73"/>
      <c r="E225" s="73"/>
    </row>
    <row r="226" spans="1:5" x14ac:dyDescent="0.2">
      <c r="A226" s="345">
        <v>34393</v>
      </c>
      <c r="B226" s="73"/>
      <c r="C226" s="25"/>
      <c r="D226" s="73"/>
      <c r="E226" s="73"/>
    </row>
    <row r="227" spans="1:5" x14ac:dyDescent="0.2">
      <c r="A227" s="345">
        <v>34424</v>
      </c>
      <c r="B227" s="73"/>
      <c r="C227" s="25"/>
      <c r="D227" s="73"/>
      <c r="E227" s="73"/>
    </row>
    <row r="228" spans="1:5" x14ac:dyDescent="0.2">
      <c r="A228" s="345">
        <v>34454</v>
      </c>
      <c r="B228" s="73"/>
      <c r="C228" s="25"/>
      <c r="D228" s="73"/>
      <c r="E228" s="73"/>
    </row>
    <row r="229" spans="1:5" x14ac:dyDescent="0.2">
      <c r="A229" s="345">
        <v>34485</v>
      </c>
      <c r="B229" s="73"/>
      <c r="C229" s="25"/>
      <c r="D229" s="73"/>
      <c r="E229" s="73"/>
    </row>
    <row r="230" spans="1:5" x14ac:dyDescent="0.2">
      <c r="A230" s="345">
        <v>34515</v>
      </c>
      <c r="B230" s="73"/>
      <c r="C230" s="25"/>
      <c r="D230" s="73"/>
      <c r="E230" s="73"/>
    </row>
    <row r="231" spans="1:5" x14ac:dyDescent="0.2">
      <c r="A231" s="345">
        <v>34546</v>
      </c>
      <c r="B231" s="73"/>
      <c r="C231" s="25"/>
      <c r="D231" s="73"/>
      <c r="E231" s="73"/>
    </row>
    <row r="232" spans="1:5" x14ac:dyDescent="0.2">
      <c r="A232" s="345">
        <v>34577</v>
      </c>
      <c r="B232" s="73"/>
      <c r="C232" s="25"/>
      <c r="D232" s="73"/>
      <c r="E232" s="73"/>
    </row>
    <row r="233" spans="1:5" x14ac:dyDescent="0.2">
      <c r="A233" s="345">
        <v>34607</v>
      </c>
      <c r="B233" s="73"/>
      <c r="C233" s="25"/>
      <c r="D233" s="73"/>
      <c r="E233" s="73"/>
    </row>
    <row r="234" spans="1:5" x14ac:dyDescent="0.2">
      <c r="A234" s="345">
        <v>34638</v>
      </c>
      <c r="B234" s="73"/>
      <c r="C234" s="25"/>
      <c r="D234" s="73"/>
      <c r="E234" s="73"/>
    </row>
    <row r="235" spans="1:5" x14ac:dyDescent="0.2">
      <c r="A235" s="345">
        <v>34668</v>
      </c>
      <c r="B235" s="73"/>
      <c r="C235" s="25"/>
      <c r="D235" s="73"/>
      <c r="E235" s="73"/>
    </row>
    <row r="236" spans="1:5" x14ac:dyDescent="0.2">
      <c r="A236" s="345">
        <v>34699</v>
      </c>
      <c r="B236" s="73"/>
      <c r="C236" s="25"/>
      <c r="D236" s="73"/>
      <c r="E236" s="73"/>
    </row>
    <row r="237" spans="1:5" x14ac:dyDescent="0.2">
      <c r="A237" s="345">
        <v>34730</v>
      </c>
      <c r="B237" s="73"/>
      <c r="C237" s="25"/>
      <c r="D237" s="73"/>
      <c r="E237" s="73"/>
    </row>
    <row r="238" spans="1:5" x14ac:dyDescent="0.2">
      <c r="A238" s="345">
        <v>34758</v>
      </c>
      <c r="B238" s="73"/>
      <c r="C238" s="25"/>
      <c r="D238" s="73"/>
      <c r="E238" s="73"/>
    </row>
    <row r="239" spans="1:5" x14ac:dyDescent="0.2">
      <c r="A239" s="345">
        <v>34789</v>
      </c>
      <c r="B239" s="73"/>
      <c r="C239" s="25"/>
      <c r="D239" s="73"/>
      <c r="E239" s="73"/>
    </row>
    <row r="240" spans="1:5" x14ac:dyDescent="0.2">
      <c r="A240" s="345">
        <v>34819</v>
      </c>
      <c r="B240" s="73"/>
      <c r="C240" s="25"/>
      <c r="D240" s="73"/>
      <c r="E240" s="73"/>
    </row>
    <row r="241" spans="1:5" x14ac:dyDescent="0.2">
      <c r="A241" s="345">
        <v>34850</v>
      </c>
      <c r="B241" s="73"/>
      <c r="C241" s="25"/>
      <c r="D241" s="73"/>
      <c r="E241" s="73"/>
    </row>
    <row r="242" spans="1:5" x14ac:dyDescent="0.2">
      <c r="A242" s="345">
        <v>34880</v>
      </c>
      <c r="B242" s="73"/>
      <c r="C242" s="25"/>
      <c r="D242" s="73"/>
      <c r="E242" s="73"/>
    </row>
    <row r="243" spans="1:5" x14ac:dyDescent="0.2">
      <c r="A243" s="345">
        <v>34911</v>
      </c>
      <c r="B243" s="73"/>
      <c r="C243" s="25"/>
      <c r="D243" s="73"/>
      <c r="E243" s="73"/>
    </row>
    <row r="244" spans="1:5" x14ac:dyDescent="0.2">
      <c r="A244" s="345">
        <v>34942</v>
      </c>
      <c r="B244" s="73"/>
      <c r="C244" s="25"/>
      <c r="D244" s="73"/>
      <c r="E244" s="73"/>
    </row>
    <row r="245" spans="1:5" x14ac:dyDescent="0.2">
      <c r="A245" s="345">
        <v>34972</v>
      </c>
      <c r="B245" s="73"/>
      <c r="C245" s="25"/>
      <c r="D245" s="73"/>
      <c r="E245" s="73"/>
    </row>
    <row r="246" spans="1:5" x14ac:dyDescent="0.2">
      <c r="A246" s="345">
        <v>35003</v>
      </c>
      <c r="B246" s="73"/>
      <c r="C246" s="25"/>
      <c r="D246" s="73"/>
      <c r="E246" s="73"/>
    </row>
    <row r="247" spans="1:5" x14ac:dyDescent="0.2">
      <c r="A247" s="345">
        <v>35033</v>
      </c>
      <c r="B247" s="73"/>
      <c r="C247" s="25"/>
      <c r="D247" s="73"/>
      <c r="E247" s="73"/>
    </row>
    <row r="248" spans="1:5" x14ac:dyDescent="0.2">
      <c r="A248" s="345">
        <v>35064</v>
      </c>
      <c r="B248" s="73"/>
      <c r="C248" s="25"/>
      <c r="D248" s="73"/>
      <c r="E248" s="73"/>
    </row>
    <row r="249" spans="1:5" x14ac:dyDescent="0.2">
      <c r="A249" s="345">
        <v>35095</v>
      </c>
      <c r="B249" s="73"/>
      <c r="C249" s="25"/>
      <c r="D249" s="73"/>
      <c r="E249" s="73"/>
    </row>
    <row r="250" spans="1:5" x14ac:dyDescent="0.2">
      <c r="A250" s="345">
        <v>35124</v>
      </c>
      <c r="B250" s="73"/>
      <c r="C250" s="25"/>
      <c r="D250" s="73"/>
      <c r="E250" s="73"/>
    </row>
    <row r="251" spans="1:5" x14ac:dyDescent="0.2">
      <c r="A251" s="345">
        <v>35155</v>
      </c>
      <c r="B251" s="73"/>
      <c r="C251" s="25"/>
      <c r="D251" s="73"/>
      <c r="E251" s="73"/>
    </row>
    <row r="252" spans="1:5" x14ac:dyDescent="0.2">
      <c r="A252" s="345">
        <v>35185</v>
      </c>
      <c r="B252" s="73"/>
      <c r="C252" s="25"/>
      <c r="D252" s="73"/>
      <c r="E252" s="73"/>
    </row>
    <row r="253" spans="1:5" x14ac:dyDescent="0.2">
      <c r="A253" s="345">
        <v>35216</v>
      </c>
      <c r="B253" s="73"/>
      <c r="C253" s="25"/>
      <c r="D253" s="73"/>
      <c r="E253" s="73"/>
    </row>
    <row r="254" spans="1:5" x14ac:dyDescent="0.2">
      <c r="A254" s="345">
        <v>35246</v>
      </c>
      <c r="B254" s="73"/>
      <c r="C254" s="25"/>
      <c r="D254" s="73"/>
      <c r="E254" s="73"/>
    </row>
    <row r="255" spans="1:5" x14ac:dyDescent="0.2">
      <c r="A255" s="345">
        <v>35277</v>
      </c>
      <c r="B255" s="73"/>
      <c r="C255" s="25"/>
      <c r="D255" s="73"/>
      <c r="E255" s="73"/>
    </row>
    <row r="256" spans="1:5" x14ac:dyDescent="0.2">
      <c r="A256" s="345">
        <v>35308</v>
      </c>
      <c r="B256" s="73"/>
      <c r="C256" s="25"/>
      <c r="D256" s="73"/>
      <c r="E256" s="73"/>
    </row>
    <row r="257" spans="1:5" x14ac:dyDescent="0.2">
      <c r="A257" s="345">
        <v>35338</v>
      </c>
      <c r="B257" s="73"/>
      <c r="C257" s="25"/>
      <c r="D257" s="73"/>
      <c r="E257" s="73"/>
    </row>
    <row r="258" spans="1:5" x14ac:dyDescent="0.2">
      <c r="A258" s="345">
        <v>35369</v>
      </c>
      <c r="B258" s="73"/>
      <c r="C258" s="25"/>
      <c r="D258" s="73"/>
      <c r="E258" s="73"/>
    </row>
    <row r="259" spans="1:5" x14ac:dyDescent="0.2">
      <c r="A259" s="345">
        <v>35399</v>
      </c>
      <c r="B259" s="73"/>
      <c r="C259" s="25"/>
      <c r="D259" s="73"/>
      <c r="E259" s="73"/>
    </row>
    <row r="260" spans="1:5" x14ac:dyDescent="0.2">
      <c r="A260" s="345">
        <v>35430</v>
      </c>
      <c r="B260" s="73"/>
      <c r="C260" s="25"/>
      <c r="D260" s="73"/>
      <c r="E260" s="73"/>
    </row>
    <row r="261" spans="1:5" x14ac:dyDescent="0.2">
      <c r="A261" s="345">
        <v>35461</v>
      </c>
      <c r="B261" s="73"/>
      <c r="C261" s="25"/>
      <c r="D261" s="73"/>
      <c r="E261" s="73"/>
    </row>
    <row r="262" spans="1:5" x14ac:dyDescent="0.2">
      <c r="A262" s="345">
        <v>35489</v>
      </c>
      <c r="B262" s="73"/>
      <c r="C262" s="25"/>
      <c r="D262" s="73"/>
      <c r="E262" s="73"/>
    </row>
    <row r="263" spans="1:5" x14ac:dyDescent="0.2">
      <c r="A263" s="345">
        <v>35520</v>
      </c>
      <c r="B263" s="73"/>
      <c r="C263" s="25"/>
      <c r="D263" s="73"/>
      <c r="E263" s="73"/>
    </row>
    <row r="264" spans="1:5" x14ac:dyDescent="0.2">
      <c r="A264" s="345">
        <v>35550</v>
      </c>
      <c r="B264" s="73"/>
      <c r="C264" s="25"/>
      <c r="D264" s="73"/>
      <c r="E264" s="73"/>
    </row>
    <row r="265" spans="1:5" x14ac:dyDescent="0.2">
      <c r="A265" s="345">
        <v>35581</v>
      </c>
      <c r="B265" s="73"/>
      <c r="C265" s="25"/>
      <c r="D265" s="73"/>
      <c r="E265" s="73"/>
    </row>
    <row r="266" spans="1:5" x14ac:dyDescent="0.2">
      <c r="A266" s="345">
        <v>35611</v>
      </c>
      <c r="B266" s="73"/>
      <c r="C266" s="25"/>
      <c r="D266" s="73"/>
      <c r="E266" s="73"/>
    </row>
    <row r="267" spans="1:5" x14ac:dyDescent="0.2">
      <c r="A267" s="345">
        <v>35642</v>
      </c>
      <c r="B267" s="73"/>
      <c r="C267" s="25"/>
      <c r="D267" s="73"/>
      <c r="E267" s="73"/>
    </row>
    <row r="268" spans="1:5" x14ac:dyDescent="0.2">
      <c r="A268" s="345">
        <v>35673</v>
      </c>
      <c r="B268" s="73"/>
      <c r="C268" s="25"/>
      <c r="D268" s="73"/>
      <c r="E268" s="73"/>
    </row>
    <row r="269" spans="1:5" x14ac:dyDescent="0.2">
      <c r="A269" s="345">
        <v>35703</v>
      </c>
      <c r="B269" s="73"/>
      <c r="C269" s="25"/>
      <c r="D269" s="73"/>
      <c r="E269" s="73"/>
    </row>
    <row r="270" spans="1:5" x14ac:dyDescent="0.2">
      <c r="A270" s="345">
        <v>35734</v>
      </c>
      <c r="B270" s="73"/>
      <c r="C270" s="25"/>
      <c r="D270" s="73"/>
      <c r="E270" s="73"/>
    </row>
    <row r="271" spans="1:5" x14ac:dyDescent="0.2">
      <c r="A271" s="345">
        <v>35764</v>
      </c>
      <c r="B271" s="73"/>
      <c r="C271" s="25"/>
      <c r="D271" s="73"/>
      <c r="E271" s="73"/>
    </row>
    <row r="272" spans="1:5" x14ac:dyDescent="0.2">
      <c r="A272" s="345">
        <v>35795</v>
      </c>
      <c r="B272" s="73"/>
      <c r="C272" s="25"/>
      <c r="D272" s="73"/>
      <c r="E272" s="73"/>
    </row>
    <row r="273" spans="1:5" x14ac:dyDescent="0.2">
      <c r="A273" s="345">
        <v>35826</v>
      </c>
      <c r="B273" s="73"/>
      <c r="C273" s="25"/>
      <c r="D273" s="73"/>
      <c r="E273" s="73"/>
    </row>
    <row r="274" spans="1:5" x14ac:dyDescent="0.2">
      <c r="A274" s="345">
        <v>35854</v>
      </c>
      <c r="B274" s="73"/>
      <c r="C274" s="32"/>
      <c r="D274" s="73"/>
      <c r="E274" s="73"/>
    </row>
    <row r="275" spans="1:5" x14ac:dyDescent="0.2">
      <c r="A275" s="345">
        <v>35885</v>
      </c>
      <c r="B275" s="73"/>
      <c r="C275" s="32"/>
      <c r="D275" s="73"/>
      <c r="E275" s="73"/>
    </row>
    <row r="276" spans="1:5" x14ac:dyDescent="0.2">
      <c r="A276" s="345">
        <v>35915</v>
      </c>
      <c r="B276" s="73"/>
      <c r="C276" s="32"/>
      <c r="D276" s="73"/>
      <c r="E276" s="73"/>
    </row>
    <row r="277" spans="1:5" x14ac:dyDescent="0.2">
      <c r="A277" s="345">
        <v>35946</v>
      </c>
      <c r="B277" s="73"/>
      <c r="C277" s="32"/>
      <c r="D277" s="73"/>
      <c r="E277" s="73"/>
    </row>
    <row r="278" spans="1:5" x14ac:dyDescent="0.2">
      <c r="A278" s="345">
        <v>35976</v>
      </c>
      <c r="B278" s="73"/>
      <c r="C278" s="32"/>
      <c r="D278" s="73"/>
      <c r="E278" s="73"/>
    </row>
    <row r="279" spans="1:5" x14ac:dyDescent="0.2">
      <c r="A279" s="345">
        <v>36007</v>
      </c>
      <c r="B279" s="73"/>
      <c r="C279" s="32"/>
      <c r="D279" s="73"/>
      <c r="E279" s="73"/>
    </row>
    <row r="280" spans="1:5" x14ac:dyDescent="0.2">
      <c r="A280" s="345">
        <v>36038</v>
      </c>
      <c r="B280" s="73"/>
      <c r="C280" s="32"/>
      <c r="D280" s="73"/>
      <c r="E280" s="73"/>
    </row>
    <row r="281" spans="1:5" x14ac:dyDescent="0.2">
      <c r="A281" s="345">
        <v>36068</v>
      </c>
      <c r="B281" s="73"/>
      <c r="C281" s="32"/>
      <c r="D281" s="73"/>
      <c r="E281" s="73"/>
    </row>
    <row r="282" spans="1:5" x14ac:dyDescent="0.2">
      <c r="A282" s="345">
        <v>36099</v>
      </c>
      <c r="B282" s="73"/>
      <c r="C282" s="32"/>
      <c r="D282" s="73"/>
      <c r="E282" s="73"/>
    </row>
    <row r="283" spans="1:5" x14ac:dyDescent="0.2">
      <c r="A283" s="345">
        <v>36129</v>
      </c>
      <c r="B283" s="73"/>
      <c r="C283" s="32"/>
      <c r="D283" s="73"/>
      <c r="E283" s="73"/>
    </row>
    <row r="284" spans="1:5" x14ac:dyDescent="0.2">
      <c r="A284" s="345">
        <v>36160</v>
      </c>
      <c r="B284" s="73"/>
      <c r="C284" s="32"/>
      <c r="D284" s="73"/>
      <c r="E284" s="73"/>
    </row>
    <row r="285" spans="1:5" x14ac:dyDescent="0.2">
      <c r="A285" s="345">
        <v>36191</v>
      </c>
      <c r="B285" s="73"/>
      <c r="C285" s="32"/>
      <c r="D285" s="73"/>
      <c r="E285" s="73"/>
    </row>
    <row r="286" spans="1:5" x14ac:dyDescent="0.2">
      <c r="A286" s="345">
        <v>36219</v>
      </c>
      <c r="B286" s="73"/>
      <c r="C286" s="32"/>
      <c r="D286" s="73"/>
      <c r="E286" s="73"/>
    </row>
    <row r="287" spans="1:5" x14ac:dyDescent="0.2">
      <c r="A287" s="345">
        <v>36250</v>
      </c>
      <c r="B287" s="73"/>
      <c r="C287" s="32"/>
      <c r="D287" s="73"/>
      <c r="E287" s="73"/>
    </row>
    <row r="288" spans="1:5" x14ac:dyDescent="0.2">
      <c r="A288" s="345">
        <v>36280</v>
      </c>
      <c r="B288" s="73"/>
      <c r="C288" s="32"/>
      <c r="D288" s="73"/>
      <c r="E288" s="73"/>
    </row>
    <row r="289" spans="1:5" x14ac:dyDescent="0.2">
      <c r="A289" s="345">
        <v>36311</v>
      </c>
      <c r="B289" s="73"/>
      <c r="C289" s="32"/>
      <c r="D289" s="73"/>
      <c r="E289" s="73"/>
    </row>
    <row r="290" spans="1:5" x14ac:dyDescent="0.2">
      <c r="A290" s="345">
        <v>36341</v>
      </c>
      <c r="B290" s="73"/>
      <c r="C290" s="32"/>
      <c r="D290" s="73"/>
      <c r="E290" s="73"/>
    </row>
    <row r="291" spans="1:5" x14ac:dyDescent="0.2">
      <c r="A291" s="345">
        <v>36372</v>
      </c>
      <c r="B291" s="73"/>
      <c r="C291" s="32"/>
      <c r="D291" s="73"/>
      <c r="E291" s="73"/>
    </row>
    <row r="292" spans="1:5" x14ac:dyDescent="0.2">
      <c r="A292" s="345">
        <v>36403</v>
      </c>
      <c r="B292" s="73"/>
      <c r="C292" s="32"/>
      <c r="D292" s="73"/>
      <c r="E292" s="73"/>
    </row>
    <row r="293" spans="1:5" x14ac:dyDescent="0.2">
      <c r="A293" s="345">
        <v>36433</v>
      </c>
      <c r="B293" s="73"/>
      <c r="C293" s="32"/>
      <c r="D293" s="73"/>
      <c r="E293" s="73"/>
    </row>
    <row r="294" spans="1:5" x14ac:dyDescent="0.2">
      <c r="A294" s="345">
        <v>36464</v>
      </c>
      <c r="B294" s="73"/>
      <c r="C294" s="32"/>
      <c r="D294" s="73"/>
      <c r="E294" s="73"/>
    </row>
    <row r="295" spans="1:5" x14ac:dyDescent="0.2">
      <c r="A295" s="345">
        <v>36494</v>
      </c>
      <c r="B295" s="73"/>
      <c r="C295" s="32"/>
      <c r="D295" s="73"/>
      <c r="E295" s="73"/>
    </row>
    <row r="296" spans="1:5" x14ac:dyDescent="0.2">
      <c r="A296" s="345">
        <v>36525</v>
      </c>
      <c r="B296" s="73"/>
      <c r="C296" s="32"/>
      <c r="D296" s="73"/>
      <c r="E296" s="73"/>
    </row>
    <row r="297" spans="1:5" x14ac:dyDescent="0.2">
      <c r="A297" s="345">
        <v>36556</v>
      </c>
      <c r="B297" s="73"/>
      <c r="C297" s="32"/>
      <c r="D297" s="73"/>
      <c r="E297" s="73"/>
    </row>
    <row r="298" spans="1:5" x14ac:dyDescent="0.2">
      <c r="A298" s="345">
        <v>36585</v>
      </c>
      <c r="B298" s="73"/>
      <c r="C298" s="32"/>
      <c r="D298" s="73"/>
      <c r="E298" s="73"/>
    </row>
    <row r="299" spans="1:5" x14ac:dyDescent="0.2">
      <c r="A299" s="345">
        <v>36616</v>
      </c>
      <c r="B299" s="73"/>
      <c r="C299" s="32"/>
      <c r="D299" s="73"/>
      <c r="E299" s="73"/>
    </row>
    <row r="300" spans="1:5" x14ac:dyDescent="0.2">
      <c r="A300" s="345">
        <v>36646</v>
      </c>
      <c r="B300" s="73"/>
      <c r="C300" s="32"/>
      <c r="D300" s="73"/>
      <c r="E300" s="73"/>
    </row>
    <row r="301" spans="1:5" x14ac:dyDescent="0.2">
      <c r="A301" s="345">
        <v>36677</v>
      </c>
      <c r="B301" s="73"/>
      <c r="C301" s="32"/>
      <c r="D301" s="73"/>
      <c r="E301" s="73"/>
    </row>
    <row r="302" spans="1:5" x14ac:dyDescent="0.2">
      <c r="A302" s="345">
        <v>36707</v>
      </c>
      <c r="B302" s="73"/>
      <c r="C302" s="32"/>
      <c r="D302" s="73"/>
      <c r="E302" s="73"/>
    </row>
    <row r="303" spans="1:5" x14ac:dyDescent="0.2">
      <c r="A303" s="345">
        <v>36738</v>
      </c>
      <c r="B303" s="73"/>
      <c r="C303" s="32"/>
      <c r="D303" s="73"/>
      <c r="E303" s="73"/>
    </row>
    <row r="304" spans="1:5" x14ac:dyDescent="0.2">
      <c r="A304" s="345">
        <v>36769</v>
      </c>
      <c r="B304" s="73"/>
      <c r="C304" s="32"/>
      <c r="D304" s="73"/>
      <c r="E304" s="73"/>
    </row>
    <row r="305" spans="1:5" x14ac:dyDescent="0.2">
      <c r="A305" s="345">
        <v>36799</v>
      </c>
      <c r="B305" s="73"/>
      <c r="C305" s="32"/>
      <c r="D305" s="73"/>
      <c r="E305" s="73"/>
    </row>
    <row r="306" spans="1:5" x14ac:dyDescent="0.2">
      <c r="A306" s="345">
        <v>36830</v>
      </c>
      <c r="B306" s="73"/>
      <c r="C306" s="32"/>
      <c r="D306" s="73"/>
      <c r="E306" s="73"/>
    </row>
    <row r="307" spans="1:5" x14ac:dyDescent="0.2">
      <c r="A307" s="345">
        <v>36860</v>
      </c>
      <c r="B307" s="73"/>
      <c r="C307" s="32"/>
      <c r="D307" s="73"/>
      <c r="E307" s="73"/>
    </row>
    <row r="308" spans="1:5" x14ac:dyDescent="0.2">
      <c r="A308" s="345">
        <v>36891</v>
      </c>
      <c r="B308" s="73"/>
      <c r="C308" s="32"/>
      <c r="D308" s="73"/>
      <c r="E308" s="73"/>
    </row>
    <row r="309" spans="1:5" x14ac:dyDescent="0.2">
      <c r="A309" s="345">
        <v>36922</v>
      </c>
      <c r="B309" s="73"/>
      <c r="C309" s="32"/>
      <c r="D309" s="73"/>
      <c r="E309" s="73"/>
    </row>
    <row r="310" spans="1:5" x14ac:dyDescent="0.2">
      <c r="A310" s="345">
        <v>36950</v>
      </c>
      <c r="B310" s="73"/>
      <c r="C310" s="32"/>
      <c r="D310" s="73"/>
      <c r="E310" s="73"/>
    </row>
    <row r="311" spans="1:5" x14ac:dyDescent="0.2">
      <c r="A311" s="345">
        <v>36981</v>
      </c>
      <c r="B311" s="73"/>
      <c r="C311" s="32"/>
      <c r="D311" s="73"/>
      <c r="E311" s="73"/>
    </row>
    <row r="312" spans="1:5" x14ac:dyDescent="0.2">
      <c r="A312" s="345">
        <v>37011</v>
      </c>
      <c r="B312" s="73"/>
      <c r="C312" s="32"/>
      <c r="D312" s="73"/>
      <c r="E312" s="73"/>
    </row>
    <row r="313" spans="1:5" x14ac:dyDescent="0.2">
      <c r="A313" s="345">
        <v>37042</v>
      </c>
      <c r="B313" s="73"/>
      <c r="C313" s="32"/>
      <c r="D313" s="73"/>
      <c r="E313" s="73"/>
    </row>
    <row r="314" spans="1:5" x14ac:dyDescent="0.2">
      <c r="A314" s="345">
        <v>37072</v>
      </c>
      <c r="B314" s="73"/>
      <c r="C314" s="32"/>
      <c r="D314" s="73"/>
      <c r="E314" s="73"/>
    </row>
    <row r="315" spans="1:5" x14ac:dyDescent="0.2">
      <c r="A315" s="345">
        <v>37103</v>
      </c>
      <c r="B315" s="73"/>
      <c r="C315" s="32"/>
      <c r="D315" s="73"/>
      <c r="E315" s="73"/>
    </row>
    <row r="316" spans="1:5" x14ac:dyDescent="0.2">
      <c r="A316" s="345">
        <v>37134</v>
      </c>
      <c r="B316" s="73"/>
      <c r="C316" s="32"/>
      <c r="D316" s="73"/>
      <c r="E316" s="73"/>
    </row>
    <row r="317" spans="1:5" x14ac:dyDescent="0.2">
      <c r="A317" s="345">
        <v>37164</v>
      </c>
      <c r="B317" s="73"/>
      <c r="C317" s="32"/>
      <c r="D317" s="73"/>
      <c r="E317" s="73"/>
    </row>
    <row r="318" spans="1:5" x14ac:dyDescent="0.2">
      <c r="A318" s="345">
        <v>37195</v>
      </c>
      <c r="B318" s="73"/>
      <c r="C318" s="32"/>
      <c r="D318" s="73"/>
      <c r="E318" s="73"/>
    </row>
    <row r="319" spans="1:5" x14ac:dyDescent="0.2">
      <c r="A319" s="345">
        <v>37225</v>
      </c>
      <c r="B319" s="73"/>
      <c r="C319" s="32"/>
      <c r="D319" s="73"/>
      <c r="E319" s="73"/>
    </row>
    <row r="320" spans="1:5" x14ac:dyDescent="0.2">
      <c r="A320" s="345">
        <v>37256</v>
      </c>
      <c r="B320" s="73"/>
      <c r="C320" s="32"/>
      <c r="D320" s="73"/>
      <c r="E320" s="73"/>
    </row>
    <row r="321" spans="1:7" x14ac:dyDescent="0.2">
      <c r="A321" s="345">
        <v>37287</v>
      </c>
      <c r="B321" s="73"/>
      <c r="C321" s="32"/>
      <c r="D321" s="73"/>
      <c r="E321" s="73"/>
    </row>
    <row r="322" spans="1:7" x14ac:dyDescent="0.2">
      <c r="A322" s="345">
        <v>37315</v>
      </c>
      <c r="B322" s="73"/>
      <c r="C322" s="32"/>
      <c r="D322" s="73"/>
      <c r="E322" s="73"/>
    </row>
    <row r="323" spans="1:7" x14ac:dyDescent="0.2">
      <c r="A323" s="345">
        <v>37346</v>
      </c>
      <c r="B323" s="73"/>
      <c r="C323" s="32"/>
      <c r="D323" s="73"/>
      <c r="E323" s="73"/>
    </row>
    <row r="324" spans="1:7" x14ac:dyDescent="0.2">
      <c r="A324" s="345">
        <v>37376</v>
      </c>
      <c r="B324" s="73"/>
      <c r="C324" s="32"/>
      <c r="D324" s="73"/>
      <c r="E324" s="73"/>
    </row>
    <row r="325" spans="1:7" x14ac:dyDescent="0.2">
      <c r="A325" s="345">
        <v>37407</v>
      </c>
      <c r="B325" s="73"/>
      <c r="C325" s="32"/>
      <c r="D325" s="73"/>
      <c r="E325" s="73"/>
    </row>
    <row r="326" spans="1:7" x14ac:dyDescent="0.2">
      <c r="A326" s="345">
        <v>37437</v>
      </c>
      <c r="B326" s="254"/>
      <c r="C326" s="33"/>
      <c r="D326" s="255"/>
      <c r="E326" s="255"/>
    </row>
    <row r="327" spans="1:7" x14ac:dyDescent="0.2">
      <c r="A327" s="345">
        <v>37468</v>
      </c>
      <c r="B327" s="1369">
        <v>-10.37</v>
      </c>
      <c r="C327" s="33">
        <v>81170687.420000002</v>
      </c>
      <c r="D327" s="255"/>
      <c r="E327" s="255">
        <f>B327-Index_Returns!E327</f>
        <v>-0.6833999999999989</v>
      </c>
      <c r="G327" s="1457"/>
    </row>
    <row r="328" spans="1:7" x14ac:dyDescent="0.2">
      <c r="A328" s="345">
        <v>37499</v>
      </c>
      <c r="B328" s="1369">
        <v>-0.64</v>
      </c>
      <c r="C328" s="33">
        <v>80649535.379999995</v>
      </c>
      <c r="D328" s="255"/>
      <c r="E328" s="255">
        <f>B328-Index_Returns!E328</f>
        <v>-1.1431</v>
      </c>
    </row>
    <row r="329" spans="1:7" x14ac:dyDescent="0.2">
      <c r="A329" s="345">
        <v>37529</v>
      </c>
      <c r="B329" s="1369">
        <v>-8.4</v>
      </c>
      <c r="C329" s="33">
        <v>73973842.299999997</v>
      </c>
      <c r="D329" s="255"/>
      <c r="E329" s="255">
        <f>B329-Index_Returns!E329</f>
        <v>-0.34350000000000058</v>
      </c>
    </row>
    <row r="330" spans="1:7" x14ac:dyDescent="0.2">
      <c r="A330" s="345">
        <v>37560</v>
      </c>
      <c r="B330" s="1369">
        <v>4.97</v>
      </c>
      <c r="C330" s="33">
        <v>77650911.609999999</v>
      </c>
      <c r="D330" s="255"/>
      <c r="E330" s="255">
        <f>B330-Index_Returns!E330</f>
        <v>0.6368999999999998</v>
      </c>
    </row>
    <row r="331" spans="1:7" x14ac:dyDescent="0.2">
      <c r="A331" s="345">
        <v>37590</v>
      </c>
      <c r="B331" s="1369">
        <v>9.1199999999999992</v>
      </c>
      <c r="C331" s="33">
        <v>84735659.670000002</v>
      </c>
      <c r="D331" s="255"/>
      <c r="E331" s="255">
        <f>B331-Index_Returns!E331</f>
        <v>3.3344999999999994</v>
      </c>
    </row>
    <row r="332" spans="1:7" x14ac:dyDescent="0.2">
      <c r="A332" s="345">
        <v>37621</v>
      </c>
      <c r="B332" s="1369">
        <v>-6.17</v>
      </c>
      <c r="C332" s="33">
        <v>79609799.140000001</v>
      </c>
      <c r="D332" s="255"/>
      <c r="E332" s="255">
        <f>B332-Index_Returns!E332</f>
        <v>-2.0606</v>
      </c>
    </row>
    <row r="333" spans="1:7" x14ac:dyDescent="0.2">
      <c r="A333" s="345">
        <v>37652</v>
      </c>
      <c r="B333" s="1369">
        <v>-1.6</v>
      </c>
      <c r="C333" s="33">
        <v>78337701.799999997</v>
      </c>
      <c r="D333" s="255"/>
      <c r="E333" s="255">
        <f>B333-Index_Returns!E333</f>
        <v>1.3224</v>
      </c>
    </row>
    <row r="334" spans="1:7" x14ac:dyDescent="0.2">
      <c r="A334" s="345">
        <v>37680</v>
      </c>
      <c r="B334" s="1369">
        <v>-0.88</v>
      </c>
      <c r="C334" s="33">
        <v>77648635.310000002</v>
      </c>
      <c r="D334" s="255"/>
      <c r="E334" s="255">
        <f>B334-Index_Returns!E334</f>
        <v>1.5014000000000003</v>
      </c>
    </row>
    <row r="335" spans="1:7" x14ac:dyDescent="0.2">
      <c r="A335" s="345">
        <v>37711</v>
      </c>
      <c r="B335" s="1369">
        <v>0.62</v>
      </c>
      <c r="C335" s="33">
        <v>78234490.060000002</v>
      </c>
      <c r="D335" s="255"/>
      <c r="E335" s="255">
        <f>B335-Index_Returns!E335</f>
        <v>-0.22289999999999999</v>
      </c>
    </row>
    <row r="336" spans="1:7" x14ac:dyDescent="0.2">
      <c r="A336" s="345">
        <v>37741</v>
      </c>
      <c r="B336" s="1369">
        <v>8.35</v>
      </c>
      <c r="C336" s="33">
        <v>84767815.840000004</v>
      </c>
      <c r="D336" s="255"/>
      <c r="E336" s="255">
        <f>B336-Index_Returns!E336</f>
        <v>1.0896999999999997</v>
      </c>
    </row>
    <row r="337" spans="1:9" x14ac:dyDescent="0.2">
      <c r="A337" s="345">
        <v>37772</v>
      </c>
      <c r="B337" s="1369">
        <v>8.31</v>
      </c>
      <c r="C337" s="33">
        <v>91808805.120000005</v>
      </c>
      <c r="D337" s="255"/>
      <c r="E337" s="255">
        <f>B337-Index_Returns!E337</f>
        <v>2.260000000000062E-2</v>
      </c>
    </row>
    <row r="338" spans="1:9" x14ac:dyDescent="0.2">
      <c r="A338" s="345">
        <v>37802</v>
      </c>
      <c r="B338" s="1369">
        <v>0.62</v>
      </c>
      <c r="C338" s="33">
        <v>92487455.5</v>
      </c>
      <c r="D338" s="255"/>
      <c r="E338" s="255">
        <f>B338-Index_Returns!E338</f>
        <v>-0.65459999999999996</v>
      </c>
    </row>
    <row r="339" spans="1:9" x14ac:dyDescent="0.2">
      <c r="A339" s="345">
        <v>37833</v>
      </c>
      <c r="B339" s="1369">
        <v>0.82</v>
      </c>
      <c r="C339" s="33">
        <v>93248231.640000001</v>
      </c>
      <c r="D339" s="255"/>
      <c r="E339" s="255">
        <f>B339-Index_Returns!E339</f>
        <v>-2.7282000000000002</v>
      </c>
    </row>
    <row r="340" spans="1:9" x14ac:dyDescent="0.2">
      <c r="A340" s="345">
        <v>37864</v>
      </c>
      <c r="B340" s="1369">
        <v>4.66</v>
      </c>
      <c r="C340" s="33">
        <v>97593750.959999993</v>
      </c>
      <c r="D340" s="255"/>
      <c r="E340" s="255">
        <f>B340-Index_Returns!E340</f>
        <v>0.1238999999999999</v>
      </c>
    </row>
    <row r="341" spans="1:9" x14ac:dyDescent="0.2">
      <c r="A341" s="345">
        <v>37894</v>
      </c>
      <c r="B341" s="1369">
        <v>-2.35</v>
      </c>
      <c r="C341" s="34">
        <v>95437372.340000004</v>
      </c>
      <c r="D341" s="255"/>
      <c r="E341" s="255">
        <f>B341-Index_Returns!E341</f>
        <v>-0.81900000000000017</v>
      </c>
    </row>
    <row r="342" spans="1:9" x14ac:dyDescent="0.2">
      <c r="A342" s="345">
        <v>37925</v>
      </c>
      <c r="B342" s="1369">
        <v>8.1300000000000008</v>
      </c>
      <c r="C342" s="34">
        <v>103197411.61</v>
      </c>
      <c r="D342" s="255"/>
      <c r="E342" s="255">
        <f>B342-Index_Returns!E342</f>
        <v>0.56870000000000065</v>
      </c>
    </row>
    <row r="343" spans="1:9" x14ac:dyDescent="0.2">
      <c r="A343" s="345">
        <v>37955</v>
      </c>
      <c r="B343" s="1369">
        <v>2.31</v>
      </c>
      <c r="C343" s="34">
        <v>105583200.34</v>
      </c>
      <c r="D343" s="255"/>
      <c r="E343" s="255">
        <f>B343-Index_Returns!E343</f>
        <v>-1.1739000000000002</v>
      </c>
    </row>
    <row r="344" spans="1:9" x14ac:dyDescent="0.2">
      <c r="A344" s="345">
        <v>37986</v>
      </c>
      <c r="B344" s="1369">
        <v>2.2200000000000002</v>
      </c>
      <c r="C344" s="34">
        <v>108074343.34999999</v>
      </c>
      <c r="D344" s="255"/>
      <c r="E344" s="255">
        <f>B344-Index_Returns!E344</f>
        <v>0.53260000000000018</v>
      </c>
    </row>
    <row r="345" spans="1:9" x14ac:dyDescent="0.2">
      <c r="A345" s="345">
        <v>38017</v>
      </c>
      <c r="B345" s="1369">
        <v>2.46</v>
      </c>
      <c r="C345" s="34">
        <v>110735345.67</v>
      </c>
      <c r="D345" s="255"/>
      <c r="E345" s="255">
        <f>B345-Index_Returns!E345</f>
        <v>0.29289999999999994</v>
      </c>
    </row>
    <row r="346" spans="1:9" x14ac:dyDescent="0.2">
      <c r="A346" s="345">
        <v>38046</v>
      </c>
      <c r="B346" s="1369">
        <v>0.5</v>
      </c>
      <c r="C346" s="34">
        <v>111289174.26000001</v>
      </c>
      <c r="D346" s="255"/>
      <c r="E346" s="255">
        <f>B346-Index_Returns!E346</f>
        <v>-1.9013</v>
      </c>
    </row>
    <row r="347" spans="1:9" x14ac:dyDescent="0.2">
      <c r="A347" s="345">
        <v>38077</v>
      </c>
      <c r="B347" s="1369">
        <v>-0.28999999999999998</v>
      </c>
      <c r="C347" s="34">
        <v>111122558.06999999</v>
      </c>
      <c r="D347" s="255"/>
      <c r="E347" s="255">
        <f>B347-Index_Returns!E347</f>
        <v>-0.7145999999999999</v>
      </c>
    </row>
    <row r="348" spans="1:9" x14ac:dyDescent="0.2">
      <c r="A348" s="345">
        <v>38107</v>
      </c>
      <c r="B348" s="1369">
        <v>-2.48</v>
      </c>
      <c r="C348" s="34">
        <v>108371781.15000001</v>
      </c>
      <c r="D348" s="253"/>
      <c r="E348" s="255">
        <f>B348-Index_Returns!E348</f>
        <v>0.8024</v>
      </c>
      <c r="I348" s="14"/>
    </row>
    <row r="349" spans="1:9" x14ac:dyDescent="0.2">
      <c r="A349" s="345">
        <v>38138</v>
      </c>
      <c r="B349" s="1369">
        <v>1.7</v>
      </c>
      <c r="C349" s="34">
        <v>110212725.20999999</v>
      </c>
      <c r="D349" s="253"/>
      <c r="E349" s="255">
        <f>B349-Index_Returns!E349</f>
        <v>-0.37430000000000008</v>
      </c>
      <c r="I349" s="14"/>
    </row>
    <row r="350" spans="1:9" x14ac:dyDescent="0.2">
      <c r="A350" s="345">
        <v>38168</v>
      </c>
      <c r="B350" s="1369">
        <v>2.0099999999999998</v>
      </c>
      <c r="C350" s="34">
        <v>112590644.89</v>
      </c>
      <c r="D350" s="253"/>
      <c r="E350" s="255">
        <f>B350-Index_Returns!E350</f>
        <v>-0.26600000000000001</v>
      </c>
      <c r="I350" s="14"/>
    </row>
    <row r="351" spans="1:9" x14ac:dyDescent="0.2">
      <c r="A351" s="345">
        <v>38199</v>
      </c>
      <c r="B351" s="1369">
        <v>-3.92</v>
      </c>
      <c r="C351" s="34">
        <v>108180821.02</v>
      </c>
      <c r="D351" s="253"/>
      <c r="E351" s="255">
        <f>B351-Index_Returns!E351</f>
        <v>0.74629999999999974</v>
      </c>
    </row>
    <row r="352" spans="1:9" x14ac:dyDescent="0.2">
      <c r="A352" s="345">
        <v>38230</v>
      </c>
      <c r="B352" s="1369">
        <v>-0.35</v>
      </c>
      <c r="C352" s="34">
        <v>107803466.27</v>
      </c>
      <c r="D352" s="253"/>
      <c r="E352" s="255">
        <f>B352-Index_Returns!E352</f>
        <v>-8.8200000000000001E-2</v>
      </c>
    </row>
    <row r="353" spans="1:5" x14ac:dyDescent="0.2">
      <c r="A353" s="345">
        <v>38260</v>
      </c>
      <c r="B353" s="1369">
        <v>4.74</v>
      </c>
      <c r="C353" s="34">
        <v>113076640.86</v>
      </c>
      <c r="D353" s="253"/>
      <c r="E353" s="255">
        <f>B353-Index_Returns!E353</f>
        <v>1.7785000000000002</v>
      </c>
    </row>
    <row r="354" spans="1:5" x14ac:dyDescent="0.2">
      <c r="A354" s="345">
        <v>38291</v>
      </c>
      <c r="B354" s="1369">
        <v>1.86</v>
      </c>
      <c r="C354" s="34">
        <v>115180002.67</v>
      </c>
      <c r="D354" s="253"/>
      <c r="E354" s="255">
        <f>B354-Index_Returns!E354</f>
        <v>0.2603000000000002</v>
      </c>
    </row>
    <row r="355" spans="1:5" x14ac:dyDescent="0.2">
      <c r="A355" s="345">
        <v>38321</v>
      </c>
      <c r="B355" s="1369">
        <v>7</v>
      </c>
      <c r="C355" s="34">
        <v>123246796.63</v>
      </c>
      <c r="D355" s="253"/>
      <c r="E355" s="255">
        <f>B355-Index_Returns!E355</f>
        <v>1.0449000000000002</v>
      </c>
    </row>
    <row r="356" spans="1:5" x14ac:dyDescent="0.2">
      <c r="A356" s="345">
        <v>38352</v>
      </c>
      <c r="B356" s="1369">
        <v>4.8099999999999996</v>
      </c>
      <c r="C356" s="256">
        <v>129345905.42</v>
      </c>
      <c r="D356" s="253"/>
      <c r="E356" s="255">
        <f>B356-Index_Returns!E356</f>
        <v>0.6227999999999998</v>
      </c>
    </row>
    <row r="357" spans="1:5" x14ac:dyDescent="0.2">
      <c r="A357" s="345">
        <v>38383</v>
      </c>
      <c r="B357" s="1369">
        <v>-1.59</v>
      </c>
      <c r="C357" s="34">
        <v>127294210.05</v>
      </c>
      <c r="D357" s="253"/>
      <c r="E357" s="255">
        <f>B357-Index_Returns!E357</f>
        <v>0.96239999999999992</v>
      </c>
    </row>
    <row r="358" spans="1:5" x14ac:dyDescent="0.2">
      <c r="A358" s="345">
        <v>38411</v>
      </c>
      <c r="B358" s="1369">
        <v>2.96</v>
      </c>
      <c r="C358" s="34">
        <v>131059637.27</v>
      </c>
      <c r="D358" s="253"/>
      <c r="E358" s="255">
        <f>B358-Index_Returns!E358</f>
        <v>-0.39460000000000006</v>
      </c>
    </row>
    <row r="359" spans="1:5" x14ac:dyDescent="0.2">
      <c r="A359" s="345">
        <v>38442</v>
      </c>
      <c r="B359" s="1369">
        <v>-1.28</v>
      </c>
      <c r="C359" s="256">
        <v>129560800.48999999</v>
      </c>
      <c r="D359" s="253"/>
      <c r="E359" s="255">
        <f>B359-Index_Returns!E359</f>
        <v>-0.17300000000000004</v>
      </c>
    </row>
    <row r="360" spans="1:5" x14ac:dyDescent="0.2">
      <c r="A360" s="345">
        <v>38472</v>
      </c>
      <c r="B360" s="1369">
        <v>-3.59</v>
      </c>
      <c r="C360" s="256">
        <v>124914192.69</v>
      </c>
      <c r="D360" s="253"/>
      <c r="E360" s="255">
        <f>B360-Index_Returns!E360</f>
        <v>0.29649999999999999</v>
      </c>
    </row>
    <row r="361" spans="1:5" x14ac:dyDescent="0.2">
      <c r="A361" s="345">
        <v>38503</v>
      </c>
      <c r="B361" s="1369">
        <v>5.2</v>
      </c>
      <c r="C361" s="256">
        <v>131403809.13</v>
      </c>
      <c r="D361" s="253"/>
      <c r="E361" s="255">
        <f>B361-Index_Returns!E361</f>
        <v>-0.82230000000000025</v>
      </c>
    </row>
    <row r="362" spans="1:5" x14ac:dyDescent="0.2">
      <c r="A362" s="345">
        <v>38533</v>
      </c>
      <c r="B362" s="1369">
        <v>3.42</v>
      </c>
      <c r="C362" s="256">
        <v>136083667.06</v>
      </c>
      <c r="D362" s="253"/>
      <c r="E362" s="255">
        <f>B362-Index_Returns!E362</f>
        <v>1.1015999999999999</v>
      </c>
    </row>
    <row r="363" spans="1:5" x14ac:dyDescent="0.2">
      <c r="A363" s="345">
        <v>38564</v>
      </c>
      <c r="B363" s="1369">
        <v>4.55</v>
      </c>
      <c r="C363" s="256">
        <v>142273755.50999999</v>
      </c>
      <c r="D363" s="253"/>
      <c r="E363" s="255">
        <f>B363-Index_Returns!E363</f>
        <v>-0.70239999999999991</v>
      </c>
    </row>
    <row r="364" spans="1:5" x14ac:dyDescent="0.2">
      <c r="A364" s="345">
        <v>38595</v>
      </c>
      <c r="B364" s="1369">
        <v>-1.28</v>
      </c>
      <c r="C364" s="256">
        <v>140451288.38</v>
      </c>
      <c r="D364" s="253"/>
      <c r="E364" s="255">
        <f>B364-Index_Returns!E364</f>
        <v>-0.16539999999999999</v>
      </c>
    </row>
    <row r="365" spans="1:5" x14ac:dyDescent="0.2">
      <c r="A365" s="345">
        <v>38625</v>
      </c>
      <c r="B365" s="1369">
        <v>1.54</v>
      </c>
      <c r="C365" s="256">
        <v>142807412.13</v>
      </c>
      <c r="D365" s="253"/>
      <c r="E365" s="255">
        <f>B365-Index_Returns!E365</f>
        <v>0.7712</v>
      </c>
    </row>
    <row r="366" spans="1:5" x14ac:dyDescent="0.2">
      <c r="A366" s="345">
        <v>38656</v>
      </c>
      <c r="B366" s="1369">
        <v>-1</v>
      </c>
      <c r="C366" s="256">
        <v>141379036.62</v>
      </c>
      <c r="D366" s="253"/>
      <c r="E366" s="255">
        <f>B366-Index_Returns!E366</f>
        <v>1.1488</v>
      </c>
    </row>
    <row r="367" spans="1:5" x14ac:dyDescent="0.2">
      <c r="A367" s="345">
        <v>38686</v>
      </c>
      <c r="B367" s="1369">
        <v>6.68</v>
      </c>
      <c r="C367" s="256">
        <v>150829048.63</v>
      </c>
      <c r="D367" s="253"/>
      <c r="E367" s="255">
        <f>B367-Index_Returns!E367</f>
        <v>1.7935999999999996</v>
      </c>
    </row>
    <row r="368" spans="1:5" x14ac:dyDescent="0.2">
      <c r="A368" s="345">
        <v>38717</v>
      </c>
      <c r="B368" s="1369">
        <v>1.37</v>
      </c>
      <c r="C368" s="256">
        <v>153101637.44999999</v>
      </c>
      <c r="D368" s="253"/>
      <c r="E368" s="255">
        <f>B368-Index_Returns!E368</f>
        <v>0.67890000000000006</v>
      </c>
    </row>
    <row r="369" spans="1:6" x14ac:dyDescent="0.2">
      <c r="A369" s="345">
        <v>38748</v>
      </c>
      <c r="B369" s="1369">
        <v>5.72</v>
      </c>
      <c r="C369" s="256">
        <v>161865862.46000001</v>
      </c>
      <c r="D369" s="253"/>
      <c r="E369" s="255">
        <f>B369-Index_Returns!E369</f>
        <v>-0.17189999999999994</v>
      </c>
    </row>
    <row r="370" spans="1:6" x14ac:dyDescent="0.2">
      <c r="A370" s="345">
        <v>38776</v>
      </c>
      <c r="B370" s="1369">
        <v>0.39</v>
      </c>
      <c r="C370" s="256">
        <v>162489450.59</v>
      </c>
      <c r="D370" s="253"/>
      <c r="E370" s="255">
        <f>B370-Index_Returns!E370</f>
        <v>1.2282999999999999</v>
      </c>
    </row>
    <row r="371" spans="1:6" x14ac:dyDescent="0.2">
      <c r="A371" s="345">
        <v>38807</v>
      </c>
      <c r="B371" s="1369">
        <v>2.25</v>
      </c>
      <c r="C371" s="33">
        <v>166362462.09</v>
      </c>
      <c r="D371" s="253"/>
      <c r="E371" s="255">
        <f>B371-Index_Returns!E371</f>
        <v>-0.2471000000000001</v>
      </c>
    </row>
    <row r="372" spans="1:6" x14ac:dyDescent="0.2">
      <c r="A372" s="345">
        <v>38837</v>
      </c>
      <c r="B372" s="1369">
        <v>1.02</v>
      </c>
      <c r="C372" s="33">
        <v>168055795.13999999</v>
      </c>
      <c r="D372" s="253"/>
      <c r="E372" s="255">
        <f>B372-Index_Returns!E372</f>
        <v>-0.38719999999999999</v>
      </c>
    </row>
    <row r="373" spans="1:6" x14ac:dyDescent="0.2">
      <c r="A373" s="345">
        <v>38868</v>
      </c>
      <c r="B373" s="1369">
        <v>-4.68</v>
      </c>
      <c r="C373" s="33">
        <v>160194902.02000001</v>
      </c>
      <c r="D373" s="253"/>
      <c r="E373" s="255">
        <f>B373-Index_Returns!E373</f>
        <v>-0.16969999999999974</v>
      </c>
    </row>
    <row r="374" spans="1:6" x14ac:dyDescent="0.2">
      <c r="A374" s="345">
        <v>38898</v>
      </c>
      <c r="B374" s="1369">
        <v>-1.68</v>
      </c>
      <c r="C374" s="354">
        <v>157734024.22</v>
      </c>
      <c r="D374" s="253"/>
      <c r="E374" s="255">
        <f>B374-Index_Returns!E374</f>
        <v>-1.7025999999999999</v>
      </c>
    </row>
    <row r="375" spans="1:6" x14ac:dyDescent="0.2">
      <c r="A375" s="345">
        <v>38929</v>
      </c>
      <c r="B375" s="1369">
        <v>-2.72</v>
      </c>
      <c r="C375" s="34">
        <v>153443233.91999999</v>
      </c>
      <c r="D375" s="253"/>
      <c r="E375" s="255">
        <f>B375-Index_Returns!E375</f>
        <v>0.13189999999999991</v>
      </c>
    </row>
    <row r="376" spans="1:6" x14ac:dyDescent="0.2">
      <c r="A376" s="345">
        <v>38960</v>
      </c>
      <c r="B376" s="1369">
        <v>1.96</v>
      </c>
      <c r="C376" s="34">
        <v>156446489.37</v>
      </c>
      <c r="D376" s="253"/>
      <c r="E376" s="255">
        <f>B376-Index_Returns!E376</f>
        <v>0.81709999999999994</v>
      </c>
    </row>
    <row r="377" spans="1:6" x14ac:dyDescent="0.2">
      <c r="A377" s="345">
        <v>38990</v>
      </c>
      <c r="B377" s="1369">
        <v>0.68</v>
      </c>
      <c r="C377" s="34">
        <v>157727323.93000001</v>
      </c>
      <c r="D377" s="253"/>
      <c r="E377" s="255">
        <f>B377-Index_Returns!E377</f>
        <v>7.0999999999999952E-3</v>
      </c>
    </row>
    <row r="378" spans="1:6" x14ac:dyDescent="0.2">
      <c r="A378" s="345">
        <v>39021</v>
      </c>
      <c r="B378" s="1369">
        <v>3.66</v>
      </c>
      <c r="C378" s="34">
        <v>163503638.71000001</v>
      </c>
      <c r="D378" s="253"/>
      <c r="E378" s="255">
        <f>B378-Index_Returns!E378</f>
        <v>-0.49699999999999989</v>
      </c>
      <c r="F378" s="352"/>
    </row>
    <row r="379" spans="1:6" x14ac:dyDescent="0.2">
      <c r="A379" s="345">
        <v>39051</v>
      </c>
      <c r="B379" s="1369">
        <v>3.72</v>
      </c>
      <c r="C379" s="34">
        <v>169583278.62</v>
      </c>
      <c r="D379" s="253"/>
      <c r="E379" s="255">
        <f>B379-Index_Returns!E379</f>
        <v>0.50250000000000039</v>
      </c>
      <c r="F379" s="352"/>
    </row>
    <row r="380" spans="1:6" x14ac:dyDescent="0.2">
      <c r="A380" s="345">
        <v>39082</v>
      </c>
      <c r="B380" s="1369">
        <v>-0.33</v>
      </c>
      <c r="C380" s="34">
        <v>169243677.44</v>
      </c>
      <c r="D380" s="253"/>
      <c r="E380" s="255">
        <f>B380-Index_Returns!E380</f>
        <v>0.15649999999999997</v>
      </c>
      <c r="F380" s="352"/>
    </row>
    <row r="381" spans="1:6" x14ac:dyDescent="0.2">
      <c r="A381" s="345">
        <v>39113</v>
      </c>
      <c r="B381" s="1369">
        <v>4.84</v>
      </c>
      <c r="C381" s="346">
        <v>342347458.85000002</v>
      </c>
      <c r="E381" s="255">
        <f>B381-Index_Returns!E381</f>
        <v>1.2063999999999999</v>
      </c>
      <c r="F381" s="352"/>
    </row>
    <row r="382" spans="1:6" x14ac:dyDescent="0.2">
      <c r="A382" s="345">
        <v>39141</v>
      </c>
      <c r="B382" s="1369">
        <v>0.26</v>
      </c>
      <c r="C382" s="346">
        <v>343233104.83999997</v>
      </c>
      <c r="E382" s="255">
        <f>B382-Index_Returns!E382</f>
        <v>-0.47309999999999997</v>
      </c>
      <c r="F382" s="352"/>
    </row>
    <row r="383" spans="1:6" x14ac:dyDescent="0.2">
      <c r="A383" s="345">
        <v>39172</v>
      </c>
      <c r="B383" s="1369">
        <v>1.27</v>
      </c>
      <c r="C383" s="346">
        <v>347831938.02999997</v>
      </c>
      <c r="E383" s="255">
        <f>B383-Index_Returns!E383</f>
        <v>-7.6000000000000068E-2</v>
      </c>
    </row>
    <row r="384" spans="1:6" x14ac:dyDescent="0.2">
      <c r="A384" s="345">
        <v>39202</v>
      </c>
      <c r="B384" s="1369">
        <v>4.96</v>
      </c>
      <c r="C384" s="346">
        <v>365094762.81</v>
      </c>
      <c r="E384" s="255">
        <f>B384-Index_Returns!E384</f>
        <v>1.9182000000000001</v>
      </c>
    </row>
    <row r="385" spans="1:5" x14ac:dyDescent="0.2">
      <c r="A385" s="345">
        <v>39233</v>
      </c>
      <c r="B385" s="1369">
        <v>6.93</v>
      </c>
      <c r="C385" s="346">
        <v>390413597.07999998</v>
      </c>
      <c r="E385" s="255">
        <f>B385-Index_Returns!E385</f>
        <v>1.9188999999999998</v>
      </c>
    </row>
    <row r="386" spans="1:5" x14ac:dyDescent="0.2">
      <c r="A386" s="345">
        <v>39263</v>
      </c>
      <c r="B386" s="1369">
        <v>-1.27</v>
      </c>
      <c r="C386" s="346">
        <v>385928152.30000001</v>
      </c>
      <c r="E386" s="255">
        <f>B386-Index_Returns!E386</f>
        <v>0.91429999999999989</v>
      </c>
    </row>
    <row r="387" spans="1:5" x14ac:dyDescent="0.2">
      <c r="A387" s="345">
        <v>39294</v>
      </c>
      <c r="B387" s="1369">
        <v>-1.99</v>
      </c>
      <c r="C387" s="346">
        <v>378249743.02999997</v>
      </c>
      <c r="E387" s="255">
        <f>B387-Index_Returns!E387</f>
        <v>2.3159000000000001</v>
      </c>
    </row>
    <row r="388" spans="1:5" x14ac:dyDescent="0.2">
      <c r="A388" s="345">
        <v>39325</v>
      </c>
      <c r="B388" s="1369">
        <v>0.3</v>
      </c>
      <c r="C388" s="346">
        <v>379396297.66000003</v>
      </c>
      <c r="E388" s="255">
        <f>B388-Index_Returns!E388</f>
        <v>-0.62119999999999997</v>
      </c>
    </row>
    <row r="389" spans="1:5" x14ac:dyDescent="0.2">
      <c r="A389" s="345">
        <v>39355</v>
      </c>
      <c r="B389" s="1369">
        <v>3.85</v>
      </c>
      <c r="C389" s="346">
        <v>394142301.35000002</v>
      </c>
      <c r="E389" s="255">
        <f>B389-Index_Returns!E389</f>
        <v>1.2046999999999999</v>
      </c>
    </row>
    <row r="390" spans="1:5" x14ac:dyDescent="0.2">
      <c r="A390" s="345">
        <v>39386</v>
      </c>
      <c r="B390" s="1369">
        <v>2.82</v>
      </c>
      <c r="C390" s="346">
        <v>405256209.88</v>
      </c>
      <c r="E390" s="255">
        <f>B390-Index_Returns!E390</f>
        <v>0.18859999999999966</v>
      </c>
    </row>
    <row r="391" spans="1:5" x14ac:dyDescent="0.2">
      <c r="A391" s="345">
        <v>39416</v>
      </c>
      <c r="B391" s="1369">
        <v>-3.74</v>
      </c>
      <c r="C391" s="346">
        <v>390086745.13999999</v>
      </c>
      <c r="E391" s="255">
        <f>B391-Index_Returns!E391</f>
        <v>1.2977999999999996</v>
      </c>
    </row>
    <row r="392" spans="1:5" x14ac:dyDescent="0.2">
      <c r="A392" s="345">
        <v>39447</v>
      </c>
      <c r="B392" s="1369">
        <v>0.43</v>
      </c>
      <c r="C392" s="346">
        <v>391923576.37</v>
      </c>
      <c r="E392" s="255">
        <f>B392-Index_Returns!E392</f>
        <v>0.62190000000000001</v>
      </c>
    </row>
    <row r="393" spans="1:5" x14ac:dyDescent="0.2">
      <c r="A393" s="345">
        <v>39478</v>
      </c>
      <c r="B393" s="1369">
        <v>-7.37</v>
      </c>
      <c r="C393" s="346">
        <v>363044644.64999998</v>
      </c>
      <c r="E393" s="255">
        <f>B393-Index_Returns!E393</f>
        <v>-1.2092000000000001</v>
      </c>
    </row>
    <row r="394" spans="1:5" x14ac:dyDescent="0.2">
      <c r="A394" s="345">
        <v>39507</v>
      </c>
      <c r="B394" s="1369">
        <v>-1.96</v>
      </c>
      <c r="C394" s="346">
        <v>355911018.56</v>
      </c>
      <c r="E394" s="255">
        <f>B394-Index_Returns!E394</f>
        <v>-9.9999999999999867E-2</v>
      </c>
    </row>
    <row r="395" spans="1:5" x14ac:dyDescent="0.2">
      <c r="A395" s="345">
        <v>39538</v>
      </c>
      <c r="B395" s="1369">
        <v>0.32</v>
      </c>
      <c r="C395" s="346">
        <v>357548576.52999997</v>
      </c>
      <c r="E395" s="255">
        <f>B395-Index_Returns!E395</f>
        <v>1.3444</v>
      </c>
    </row>
    <row r="396" spans="1:5" x14ac:dyDescent="0.2">
      <c r="A396" s="345">
        <v>39568</v>
      </c>
      <c r="B396" s="1369">
        <v>8.15</v>
      </c>
      <c r="C396" s="346">
        <v>386677037.38</v>
      </c>
      <c r="E396" s="255">
        <f>B396-Index_Returns!E396</f>
        <v>0.44390000000000018</v>
      </c>
    </row>
    <row r="397" spans="1:5" x14ac:dyDescent="0.2">
      <c r="A397" s="345">
        <v>39599</v>
      </c>
      <c r="B397" s="1369">
        <v>4.16</v>
      </c>
      <c r="C397" s="346">
        <v>402779207.12</v>
      </c>
      <c r="E397" s="255">
        <f>B397-Index_Returns!E397</f>
        <v>-1.1307999999999998</v>
      </c>
    </row>
    <row r="398" spans="1:5" x14ac:dyDescent="0.2">
      <c r="A398" s="345">
        <v>39629</v>
      </c>
      <c r="B398" s="1369">
        <v>-5.44</v>
      </c>
      <c r="C398" s="346">
        <v>381335194.02999997</v>
      </c>
      <c r="E398" s="255">
        <f>B398-Index_Returns!E398</f>
        <v>1.5941999999999998</v>
      </c>
    </row>
    <row r="399" spans="1:5" x14ac:dyDescent="0.2">
      <c r="A399" s="345">
        <v>39660</v>
      </c>
      <c r="B399" s="1369">
        <v>-2.3199999999999998</v>
      </c>
      <c r="C399" s="33">
        <v>372480911.83999997</v>
      </c>
      <c r="E399" s="255">
        <f>B399-Index_Returns!E399</f>
        <v>-0.46569999999999978</v>
      </c>
    </row>
    <row r="400" spans="1:5" x14ac:dyDescent="0.2">
      <c r="A400" s="345">
        <v>39691</v>
      </c>
      <c r="B400" s="1369">
        <v>1.02</v>
      </c>
      <c r="C400" s="33">
        <v>376278391.94999999</v>
      </c>
      <c r="E400" s="255">
        <f>B400-Index_Returns!E400</f>
        <v>-0.69229999999999992</v>
      </c>
    </row>
    <row r="401" spans="1:7" x14ac:dyDescent="0.2">
      <c r="A401" s="345">
        <v>39721</v>
      </c>
      <c r="B401" s="1369">
        <v>-10.74</v>
      </c>
      <c r="C401" s="33">
        <v>336345304.13</v>
      </c>
      <c r="E401" s="255">
        <f>B401-Index_Returns!E401</f>
        <v>-2.9099999999999682E-2</v>
      </c>
    </row>
    <row r="402" spans="1:7" x14ac:dyDescent="0.2">
      <c r="A402" s="345">
        <v>39752</v>
      </c>
      <c r="B402" s="1369">
        <v>-18.16</v>
      </c>
      <c r="C402" s="346">
        <v>275248015</v>
      </c>
      <c r="E402" s="255">
        <f>B402-Index_Returns!E402</f>
        <v>3.5789000000000009</v>
      </c>
    </row>
    <row r="403" spans="1:7" x14ac:dyDescent="0.2">
      <c r="A403" s="345">
        <v>39782</v>
      </c>
      <c r="B403" s="1369">
        <v>-9.17</v>
      </c>
      <c r="C403" s="346">
        <v>250014879</v>
      </c>
      <c r="E403" s="255">
        <f>B403-Index_Returns!E403</f>
        <v>9.9600000000000577E-2</v>
      </c>
    </row>
    <row r="404" spans="1:7" x14ac:dyDescent="0.2">
      <c r="A404" s="345">
        <v>39813</v>
      </c>
      <c r="B404" s="1369">
        <v>4.4800000000000004</v>
      </c>
      <c r="C404" s="346">
        <v>261662889</v>
      </c>
      <c r="E404" s="255">
        <f>B404-Index_Returns!E404</f>
        <v>-0.36739999999999995</v>
      </c>
    </row>
    <row r="405" spans="1:7" x14ac:dyDescent="0.2">
      <c r="A405" s="345">
        <v>39844</v>
      </c>
      <c r="B405" s="1369">
        <v>-4.8600000000000003</v>
      </c>
      <c r="C405" s="346">
        <v>248957852.58000001</v>
      </c>
      <c r="D405" s="258">
        <v>-4.8555000000000001</v>
      </c>
      <c r="E405" s="255">
        <f>B405-Index_Returns!E405</f>
        <v>2.3936999999999999</v>
      </c>
    </row>
    <row r="406" spans="1:7" x14ac:dyDescent="0.2">
      <c r="A406" s="345">
        <v>39872</v>
      </c>
      <c r="B406" s="1369">
        <v>-7.44</v>
      </c>
      <c r="C406" s="346">
        <v>230442036.84</v>
      </c>
      <c r="D406" s="258">
        <v>-7.4372999999999996</v>
      </c>
      <c r="E406" s="255">
        <f>B406-Index_Returns!E406</f>
        <v>2.2428999999999997</v>
      </c>
    </row>
    <row r="407" spans="1:7" x14ac:dyDescent="0.2">
      <c r="A407" s="345">
        <v>39903</v>
      </c>
      <c r="B407" s="1369">
        <v>7.34</v>
      </c>
      <c r="C407" s="346">
        <v>247721402.99000001</v>
      </c>
      <c r="D407" s="258">
        <v>7.4984000000000002</v>
      </c>
      <c r="E407" s="255">
        <f>B407-Index_Returns!E407</f>
        <v>-1.7078000000000007</v>
      </c>
    </row>
    <row r="408" spans="1:7" x14ac:dyDescent="0.2">
      <c r="A408" s="345">
        <v>39933</v>
      </c>
      <c r="B408" s="1369">
        <v>10.41</v>
      </c>
      <c r="C408" s="346">
        <v>273509021.56</v>
      </c>
      <c r="E408" s="255">
        <f>B408-Index_Returns!E408</f>
        <v>-4.4596</v>
      </c>
    </row>
    <row r="409" spans="1:7" x14ac:dyDescent="0.2">
      <c r="A409" s="345">
        <v>39964</v>
      </c>
      <c r="B409" s="1369">
        <v>2.31</v>
      </c>
      <c r="C409" s="346">
        <v>279820040.24000001</v>
      </c>
      <c r="E409" s="255">
        <f>B409-Index_Returns!E409</f>
        <v>-0.4262999999999999</v>
      </c>
    </row>
    <row r="410" spans="1:7" x14ac:dyDescent="0.2">
      <c r="A410" s="345">
        <v>39994</v>
      </c>
      <c r="B410" s="1369">
        <v>0.32</v>
      </c>
      <c r="C410" s="346">
        <v>281054555.49000001</v>
      </c>
      <c r="E410" s="255">
        <f>B410-Index_Returns!E410</f>
        <v>-0.30180000000000001</v>
      </c>
    </row>
    <row r="411" spans="1:7" x14ac:dyDescent="0.2">
      <c r="A411" s="345">
        <v>40025</v>
      </c>
      <c r="B411" s="1369">
        <v>6.93</v>
      </c>
      <c r="C411" s="346">
        <v>300528826.79000002</v>
      </c>
      <c r="D411" s="258">
        <v>6.9290000000000003</v>
      </c>
      <c r="E411" s="255">
        <f>B411-Index_Returns!E411</f>
        <v>-1.8092000000000006</v>
      </c>
    </row>
    <row r="412" spans="1:7" x14ac:dyDescent="0.2">
      <c r="A412" s="345">
        <v>40056</v>
      </c>
      <c r="B412" s="1369">
        <v>2.85</v>
      </c>
      <c r="C412" s="346">
        <v>309098089.93000001</v>
      </c>
      <c r="D412" s="258">
        <v>2.8513999999999999</v>
      </c>
      <c r="E412" s="255">
        <f>B412-Index_Returns!E412</f>
        <v>-1.5173999999999999</v>
      </c>
    </row>
    <row r="413" spans="1:7" x14ac:dyDescent="0.2">
      <c r="A413" s="345">
        <v>40086</v>
      </c>
      <c r="B413" s="1369">
        <v>4.7300000000000004</v>
      </c>
      <c r="C413" s="346">
        <v>324094063.44</v>
      </c>
      <c r="D413" s="258">
        <v>4.8514999999999997</v>
      </c>
      <c r="E413" s="255">
        <f>B413-Index_Returns!E413</f>
        <v>-0.99179999999999957</v>
      </c>
    </row>
    <row r="414" spans="1:7" x14ac:dyDescent="0.2">
      <c r="A414" s="345">
        <v>40117</v>
      </c>
      <c r="B414" s="1369">
        <v>-4.24</v>
      </c>
      <c r="C414" s="346">
        <v>310348733</v>
      </c>
      <c r="D414" s="1311">
        <v>-4.2411599999999998</v>
      </c>
      <c r="E414" s="255">
        <f>B414-Index_Returns!E414</f>
        <v>0.29999999999999982</v>
      </c>
      <c r="G414" s="1311"/>
    </row>
    <row r="415" spans="1:7" x14ac:dyDescent="0.2">
      <c r="A415" s="345">
        <v>40147</v>
      </c>
      <c r="B415" s="1369">
        <v>4.8899999999999997</v>
      </c>
      <c r="C415" s="1333">
        <v>325511400</v>
      </c>
      <c r="D415" s="1311">
        <v>4.8860599999999996</v>
      </c>
      <c r="E415" s="255">
        <f>B415-Index_Returns!E415</f>
        <v>0.83800000000000008</v>
      </c>
      <c r="G415" s="1311"/>
    </row>
    <row r="416" spans="1:7" x14ac:dyDescent="0.2">
      <c r="A416" s="345">
        <v>40178</v>
      </c>
      <c r="B416" s="1369">
        <v>5.3</v>
      </c>
      <c r="C416" s="346">
        <v>342771109.79000002</v>
      </c>
      <c r="D416" s="258">
        <v>5.3019600000000002</v>
      </c>
      <c r="E416" s="255">
        <f>B416-Index_Returns!E416</f>
        <v>-0.97507000000000055</v>
      </c>
      <c r="G416" s="1311"/>
    </row>
    <row r="417" spans="1:7" x14ac:dyDescent="0.2">
      <c r="A417" s="345">
        <v>40209</v>
      </c>
      <c r="B417" s="253">
        <v>-2.64</v>
      </c>
      <c r="C417" s="346">
        <v>333717151.43000001</v>
      </c>
      <c r="D417" s="1311">
        <v>-2.6402299999999999</v>
      </c>
      <c r="E417" s="255">
        <f>B417-Index_Returns!E417</f>
        <v>0.57519999999999971</v>
      </c>
      <c r="G417" s="1311"/>
    </row>
    <row r="418" spans="1:7" x14ac:dyDescent="0.2">
      <c r="A418" s="345">
        <v>40237</v>
      </c>
      <c r="B418" s="253">
        <v>4.92</v>
      </c>
      <c r="C418" s="346">
        <v>350154437.05000001</v>
      </c>
      <c r="D418" s="1311">
        <v>4.9245999999999999</v>
      </c>
      <c r="E418" s="255">
        <f>B418-Index_Returns!E418</f>
        <v>-0.29063000000000017</v>
      </c>
      <c r="G418" s="1311"/>
    </row>
    <row r="419" spans="1:7" x14ac:dyDescent="0.2">
      <c r="A419" s="345">
        <v>40268</v>
      </c>
      <c r="B419" s="253">
        <v>6.51</v>
      </c>
      <c r="C419" s="346">
        <v>372957972.51999998</v>
      </c>
      <c r="D419" s="1311">
        <v>6.5120699999999996</v>
      </c>
      <c r="E419" s="255">
        <f>B419-Index_Returns!E419</f>
        <v>-0.62501000000000051</v>
      </c>
      <c r="G419" s="1311"/>
    </row>
    <row r="420" spans="1:7" x14ac:dyDescent="0.2">
      <c r="A420" s="345">
        <v>40298</v>
      </c>
      <c r="B420" s="253">
        <v>3.46</v>
      </c>
      <c r="C420" s="346">
        <v>385844574.02999997</v>
      </c>
      <c r="D420" s="258">
        <v>3.4552399999999999</v>
      </c>
      <c r="E420" s="255">
        <f>B420-Index_Returns!E420</f>
        <v>-0.80229999999999979</v>
      </c>
      <c r="G420" s="1311"/>
    </row>
    <row r="421" spans="1:7" x14ac:dyDescent="0.2">
      <c r="A421" s="345">
        <v>40329</v>
      </c>
      <c r="B421" s="253">
        <v>-6.57</v>
      </c>
      <c r="C421" s="346">
        <v>360481295.61000001</v>
      </c>
      <c r="D421" s="258">
        <v>-6.5734399999999997</v>
      </c>
      <c r="E421" s="255">
        <f>B421-Index_Returns!E421</f>
        <v>0.62943000000000016</v>
      </c>
      <c r="G421" s="1311"/>
    </row>
    <row r="422" spans="1:7" x14ac:dyDescent="0.2">
      <c r="A422" s="345">
        <v>40359</v>
      </c>
      <c r="B422" s="253">
        <v>-5.52</v>
      </c>
      <c r="C422" s="346">
        <v>340565834.5</v>
      </c>
      <c r="D422" s="258">
        <v>-5.5246899999999997</v>
      </c>
      <c r="E422" s="255">
        <f>B422-Index_Returns!E422</f>
        <v>1.0336500000000006</v>
      </c>
      <c r="G422" s="1311"/>
    </row>
    <row r="423" spans="1:7" x14ac:dyDescent="0.2">
      <c r="A423" s="345">
        <v>40390</v>
      </c>
      <c r="B423" s="253">
        <v>5.2249800000000004</v>
      </c>
      <c r="C423" s="346">
        <v>358360321.31999999</v>
      </c>
      <c r="D423" s="258">
        <v>5.2249800000000004</v>
      </c>
      <c r="E423" s="255">
        <f>B423-Index_Returns!E423</f>
        <v>-1.6832799999999999</v>
      </c>
      <c r="G423" s="1311"/>
    </row>
    <row r="424" spans="1:7" x14ac:dyDescent="0.2">
      <c r="A424" s="345">
        <v>40421</v>
      </c>
      <c r="B424" s="253">
        <v>-5.0621099999999997</v>
      </c>
      <c r="C424" s="346">
        <v>340219738.07999998</v>
      </c>
      <c r="D424" s="258">
        <v>-5.0621099999999997</v>
      </c>
      <c r="E424" s="255">
        <f>B424-Index_Returns!E424</f>
        <v>-0.12212999999999941</v>
      </c>
      <c r="G424" s="1311"/>
    </row>
    <row r="425" spans="1:7" x14ac:dyDescent="0.2">
      <c r="A425" s="345">
        <v>40451</v>
      </c>
      <c r="B425" s="253">
        <v>10.611560000000001</v>
      </c>
      <c r="C425" s="346">
        <v>376322344.76999998</v>
      </c>
      <c r="D425" s="258">
        <v>10.611560000000001</v>
      </c>
      <c r="E425" s="255">
        <f>B425-Index_Returns!E425</f>
        <v>-0.69409999999999883</v>
      </c>
      <c r="G425" s="1311"/>
    </row>
    <row r="426" spans="1:7" x14ac:dyDescent="0.2">
      <c r="A426" s="345">
        <v>40482</v>
      </c>
      <c r="B426" s="258">
        <v>3.3763399999999999</v>
      </c>
      <c r="C426" s="346">
        <v>389028272.02999997</v>
      </c>
      <c r="D426" s="258">
        <v>3.3763399999999999</v>
      </c>
      <c r="E426" s="255">
        <f>B426-Index_Returns!E426</f>
        <v>-7.3100000000000165E-2</v>
      </c>
      <c r="G426" s="1311"/>
    </row>
    <row r="427" spans="1:7" x14ac:dyDescent="0.2">
      <c r="A427" s="345">
        <v>40512</v>
      </c>
      <c r="B427" s="253">
        <f>D427</f>
        <v>1.7635700000000001</v>
      </c>
      <c r="C427" s="346">
        <v>395889069.14999998</v>
      </c>
      <c r="D427" s="258">
        <v>1.7635700000000001</v>
      </c>
      <c r="E427" s="255">
        <f>B427-Index_Returns!E427</f>
        <v>-1.2061799999999998</v>
      </c>
      <c r="G427" s="1311"/>
    </row>
    <row r="428" spans="1:7" x14ac:dyDescent="0.2">
      <c r="A428" s="345">
        <v>40543</v>
      </c>
      <c r="B428" s="253">
        <v>6.859</v>
      </c>
      <c r="C428" s="346">
        <v>423061173.51999998</v>
      </c>
      <c r="D428" s="1311">
        <v>6.859</v>
      </c>
      <c r="E428" s="255">
        <f>B428-Index_Returns!E428</f>
        <v>0.30536999999999992</v>
      </c>
      <c r="G428" s="1311"/>
    </row>
    <row r="429" spans="1:7" x14ac:dyDescent="0.2">
      <c r="A429" s="345">
        <v>40574</v>
      </c>
      <c r="B429" s="253">
        <f>D429</f>
        <v>1.78331</v>
      </c>
      <c r="C429" s="346">
        <v>430587275.74000001</v>
      </c>
      <c r="D429" s="258">
        <v>1.78331</v>
      </c>
      <c r="E429" s="255">
        <f>B429-Index_Returns!E429</f>
        <v>-0.21511999999999998</v>
      </c>
      <c r="G429" s="1311"/>
    </row>
    <row r="430" spans="1:7" x14ac:dyDescent="0.2">
      <c r="A430" s="345">
        <v>40602</v>
      </c>
      <c r="B430" s="253">
        <v>4.1952100000000003</v>
      </c>
      <c r="C430" s="346">
        <v>448651299.91000003</v>
      </c>
      <c r="D430" s="1311">
        <v>4.1993200000000002</v>
      </c>
      <c r="E430" s="255">
        <f>B430-Index_Returns!E430</f>
        <v>-0.45899000000000001</v>
      </c>
      <c r="G430" s="1311"/>
    </row>
    <row r="431" spans="1:7" x14ac:dyDescent="0.2">
      <c r="A431" s="345">
        <v>40633</v>
      </c>
      <c r="B431" s="253">
        <f>D431</f>
        <v>1.59439</v>
      </c>
      <c r="C431" s="346">
        <v>455822546.12</v>
      </c>
      <c r="D431" s="258">
        <v>1.59439</v>
      </c>
      <c r="E431" s="255">
        <f>B431-Index_Returns!E431</f>
        <v>-0.85704999999999987</v>
      </c>
      <c r="G431" s="1311"/>
    </row>
    <row r="432" spans="1:7" x14ac:dyDescent="0.2">
      <c r="A432" s="345">
        <v>40663</v>
      </c>
      <c r="B432" s="253">
        <f t="shared" ref="B432:B488" si="0">D432</f>
        <v>2.3858999999999999</v>
      </c>
      <c r="C432" s="346">
        <v>466698017.26999998</v>
      </c>
      <c r="D432" s="258">
        <v>2.3858999999999999</v>
      </c>
      <c r="E432" s="255">
        <f>B432-Index_Returns!E432</f>
        <v>-0.32913000000000014</v>
      </c>
      <c r="G432" s="1311"/>
    </row>
    <row r="433" spans="1:7" x14ac:dyDescent="0.2">
      <c r="A433" s="345">
        <v>40694</v>
      </c>
      <c r="B433" s="253">
        <f t="shared" si="0"/>
        <v>-1.4336800000000001</v>
      </c>
      <c r="C433" s="346">
        <v>460601826.39999998</v>
      </c>
      <c r="D433" s="258">
        <v>-1.4336800000000001</v>
      </c>
      <c r="E433" s="255">
        <f>B433-Index_Returns!E433</f>
        <v>-8.6699999999999999E-2</v>
      </c>
      <c r="G433" s="1311"/>
    </row>
    <row r="434" spans="1:7" x14ac:dyDescent="0.2">
      <c r="A434" s="345">
        <v>40724</v>
      </c>
      <c r="B434" s="253">
        <f t="shared" si="0"/>
        <v>-2.1175999999999999</v>
      </c>
      <c r="C434" s="346">
        <v>450848136.99000001</v>
      </c>
      <c r="D434" s="258">
        <v>-2.1175999999999999</v>
      </c>
      <c r="E434" s="255">
        <f>B434-Index_Returns!E434</f>
        <v>-8.1909999999999705E-2</v>
      </c>
      <c r="G434" s="1311"/>
    </row>
    <row r="435" spans="1:7" x14ac:dyDescent="0.2">
      <c r="A435" s="345">
        <v>40755</v>
      </c>
      <c r="B435" s="253">
        <f t="shared" si="0"/>
        <v>-5.3682600000000003</v>
      </c>
      <c r="C435" s="346">
        <v>426645434.77999997</v>
      </c>
      <c r="D435" s="258">
        <v>-5.3682600000000003</v>
      </c>
      <c r="E435" s="255">
        <f>B435-Index_Returns!E435</f>
        <v>-1.8349800000000003</v>
      </c>
      <c r="G435" s="1311"/>
    </row>
    <row r="436" spans="1:7" x14ac:dyDescent="0.2">
      <c r="A436" s="345">
        <v>40786</v>
      </c>
      <c r="B436" s="253">
        <f t="shared" si="0"/>
        <v>-8.2278900000000004</v>
      </c>
      <c r="C436" s="346">
        <v>392141858.43000001</v>
      </c>
      <c r="D436" s="258">
        <v>-8.2278900000000004</v>
      </c>
      <c r="E436" s="255">
        <f>B436-Index_Returns!E436</f>
        <v>-1.1130900000000006</v>
      </c>
      <c r="G436" s="1311"/>
    </row>
    <row r="437" spans="1:7" x14ac:dyDescent="0.2">
      <c r="A437" s="345">
        <v>40816</v>
      </c>
      <c r="B437" s="253">
        <f t="shared" si="0"/>
        <v>-10.58309</v>
      </c>
      <c r="C437" s="346">
        <v>350641141.27999997</v>
      </c>
      <c r="D437" s="258">
        <v>-10.58309</v>
      </c>
      <c r="E437" s="255">
        <f>B437-Index_Returns!E437</f>
        <v>2.0799999999994156E-3</v>
      </c>
      <c r="G437" s="1311"/>
    </row>
    <row r="438" spans="1:7" x14ac:dyDescent="0.2">
      <c r="A438" s="345">
        <v>40847</v>
      </c>
      <c r="B438" s="253">
        <f t="shared" si="0"/>
        <v>14.20515</v>
      </c>
      <c r="C438" s="346">
        <v>400450244.58999997</v>
      </c>
      <c r="D438" s="258">
        <v>14.20515</v>
      </c>
      <c r="E438" s="255">
        <f>B438-Index_Returns!E438</f>
        <v>0.45875999999999983</v>
      </c>
      <c r="G438" s="1311"/>
    </row>
    <row r="439" spans="1:7" x14ac:dyDescent="0.2">
      <c r="A439" s="345">
        <v>40877</v>
      </c>
      <c r="B439" s="253">
        <f t="shared" si="0"/>
        <v>-1.4781899999999999</v>
      </c>
      <c r="C439" s="346">
        <v>395016585.94</v>
      </c>
      <c r="D439" s="258">
        <v>-1.4781899999999999</v>
      </c>
      <c r="E439" s="255">
        <f>B439-Index_Returns!E439</f>
        <v>-1.1766399999999999</v>
      </c>
      <c r="G439" s="1311"/>
    </row>
    <row r="440" spans="1:7" x14ac:dyDescent="0.2">
      <c r="A440" s="345">
        <v>40908</v>
      </c>
      <c r="B440" s="253">
        <f t="shared" si="0"/>
        <v>-1.0662100000000001</v>
      </c>
      <c r="C440" s="346">
        <v>390804872.97000003</v>
      </c>
      <c r="D440" s="258">
        <v>-1.0662100000000001</v>
      </c>
      <c r="E440" s="255">
        <f>B440-Index_Returns!E440</f>
        <v>-0.69209000000000009</v>
      </c>
      <c r="G440" s="1311"/>
    </row>
    <row r="441" spans="1:7" x14ac:dyDescent="0.2">
      <c r="A441" s="345">
        <v>40939</v>
      </c>
      <c r="B441" s="253">
        <f t="shared" si="0"/>
        <v>7.8581399999999997</v>
      </c>
      <c r="C441" s="346">
        <v>421514849.50999999</v>
      </c>
      <c r="D441" s="258">
        <v>7.8581399999999997</v>
      </c>
      <c r="E441" s="255">
        <f>B441-Index_Returns!E441</f>
        <v>1.2519</v>
      </c>
      <c r="G441" s="1311"/>
    </row>
    <row r="442" spans="1:7" x14ac:dyDescent="0.2">
      <c r="A442" s="345">
        <v>40968</v>
      </c>
      <c r="B442" s="253">
        <f t="shared" si="0"/>
        <v>4.4300800000000002</v>
      </c>
      <c r="C442" s="346">
        <v>440697216.79000002</v>
      </c>
      <c r="D442" s="258">
        <v>4.4300800000000002</v>
      </c>
      <c r="E442" s="255">
        <f>B442-Index_Returns!E442</f>
        <v>-6.8649999999999878E-2</v>
      </c>
      <c r="G442" s="1311"/>
    </row>
    <row r="443" spans="1:7" x14ac:dyDescent="0.2">
      <c r="A443" s="345">
        <v>40999</v>
      </c>
      <c r="B443" s="253">
        <f t="shared" si="0"/>
        <v>3.0988500000000001</v>
      </c>
      <c r="C443" s="346">
        <v>454353772.32999998</v>
      </c>
      <c r="D443" s="258">
        <v>3.0988500000000001</v>
      </c>
      <c r="E443" s="255">
        <f>B443-Index_Returns!E443</f>
        <v>1.2188100000000002</v>
      </c>
      <c r="G443" s="1311"/>
    </row>
    <row r="444" spans="1:7" x14ac:dyDescent="0.2">
      <c r="A444" s="345">
        <v>41029</v>
      </c>
      <c r="B444" s="253">
        <f t="shared" si="0"/>
        <v>-0.70691999999999999</v>
      </c>
      <c r="C444" s="346">
        <v>451141564.31</v>
      </c>
      <c r="D444" s="1311">
        <v>-0.70691999999999999</v>
      </c>
      <c r="E444" s="255">
        <f>B444-Index_Returns!E444</f>
        <v>-0.48187000000000002</v>
      </c>
      <c r="G444" s="1311"/>
    </row>
    <row r="445" spans="1:7" x14ac:dyDescent="0.2">
      <c r="A445" s="345">
        <v>41060</v>
      </c>
      <c r="B445" s="253">
        <f t="shared" si="0"/>
        <v>-6.9525899999999998</v>
      </c>
      <c r="C445" s="346">
        <v>420325572.12</v>
      </c>
      <c r="D445" s="258">
        <v>-6.9525899999999998</v>
      </c>
      <c r="E445" s="255">
        <f>B445-Index_Returns!E445</f>
        <v>-0.46936</v>
      </c>
      <c r="G445" s="1311"/>
    </row>
    <row r="446" spans="1:7" x14ac:dyDescent="0.2">
      <c r="A446" s="345">
        <v>41090</v>
      </c>
      <c r="B446" s="253">
        <f t="shared" si="0"/>
        <v>3.2222200000000001</v>
      </c>
      <c r="C446" s="346">
        <v>433869370.31</v>
      </c>
      <c r="D446" s="258">
        <v>3.2222200000000001</v>
      </c>
      <c r="E446" s="255">
        <f>B446-Index_Returns!E446</f>
        <v>1.3317600000000001</v>
      </c>
      <c r="G446" s="1311"/>
    </row>
    <row r="447" spans="1:7" x14ac:dyDescent="0.2">
      <c r="A447" s="345">
        <v>41121</v>
      </c>
      <c r="B447" s="253">
        <f t="shared" si="0"/>
        <v>1.08891</v>
      </c>
      <c r="C447" s="346">
        <v>408770362.32999998</v>
      </c>
      <c r="D447" s="258">
        <v>1.08891</v>
      </c>
      <c r="E447" s="255">
        <f>B447-Index_Returns!E447</f>
        <v>1.13348</v>
      </c>
      <c r="G447" s="1311"/>
    </row>
    <row r="448" spans="1:7" x14ac:dyDescent="0.2">
      <c r="A448" s="345">
        <v>41152</v>
      </c>
      <c r="B448" s="253">
        <f t="shared" si="0"/>
        <v>1.9294100000000001</v>
      </c>
      <c r="C448" s="346">
        <v>399233107.56</v>
      </c>
      <c r="D448" s="258">
        <v>1.9294100000000001</v>
      </c>
      <c r="E448" s="255">
        <f>B448-Index_Returns!E448</f>
        <v>-1.5516599999999998</v>
      </c>
      <c r="G448" s="1311"/>
    </row>
    <row r="449" spans="1:7" x14ac:dyDescent="0.2">
      <c r="A449" s="345">
        <v>41182</v>
      </c>
      <c r="B449" s="253">
        <f t="shared" si="0"/>
        <v>1.9638800000000001</v>
      </c>
      <c r="C449" s="346">
        <v>406674974.43000001</v>
      </c>
      <c r="D449" s="258">
        <v>1.9638800000000001</v>
      </c>
      <c r="E449" s="255">
        <f>B449-Index_Returns!E449</f>
        <v>2.4430000000000174E-2</v>
      </c>
      <c r="G449" s="1311"/>
    </row>
    <row r="450" spans="1:7" x14ac:dyDescent="0.2">
      <c r="A450" s="345">
        <v>41213</v>
      </c>
      <c r="B450" s="253">
        <f t="shared" si="0"/>
        <v>-0.14149</v>
      </c>
      <c r="C450" s="346">
        <v>388432194.68000001</v>
      </c>
      <c r="D450" s="258">
        <v>-0.14149</v>
      </c>
      <c r="E450" s="255">
        <f>B450-Index_Returns!E450</f>
        <v>0.65234000000000003</v>
      </c>
      <c r="G450" s="1311"/>
    </row>
    <row r="451" spans="1:7" x14ac:dyDescent="0.2">
      <c r="A451" s="345">
        <v>41243</v>
      </c>
      <c r="B451" s="253">
        <f t="shared" si="0"/>
        <v>0.93464999999999998</v>
      </c>
      <c r="C451" s="346">
        <v>393269004.23000002</v>
      </c>
      <c r="D451" s="258">
        <v>0.93464999999999998</v>
      </c>
      <c r="E451" s="255">
        <f>B451-Index_Returns!E451</f>
        <v>-1.2692899999999998</v>
      </c>
      <c r="G451" s="1311"/>
    </row>
    <row r="452" spans="1:7" x14ac:dyDescent="0.2">
      <c r="A452" s="345">
        <v>41274</v>
      </c>
      <c r="B452" s="253">
        <f t="shared" si="0"/>
        <v>1.4372100000000001</v>
      </c>
      <c r="C452" s="346">
        <v>377024783.12</v>
      </c>
      <c r="D452" s="1311">
        <v>1.4372100000000001</v>
      </c>
      <c r="E452" s="255">
        <f>B452-Index_Returns!E452</f>
        <v>-0.74834000000000001</v>
      </c>
      <c r="G452" s="1311"/>
    </row>
    <row r="453" spans="1:7" x14ac:dyDescent="0.2">
      <c r="A453" s="345">
        <v>41305</v>
      </c>
      <c r="B453" s="253">
        <f t="shared" si="0"/>
        <v>7.9120200000000001</v>
      </c>
      <c r="C453" s="346">
        <v>407103436.43000001</v>
      </c>
      <c r="D453" s="258">
        <v>7.9120200000000001</v>
      </c>
      <c r="E453" s="255">
        <f>B453-Index_Returns!E453</f>
        <v>0.69195999999999991</v>
      </c>
      <c r="G453" s="1311"/>
    </row>
    <row r="454" spans="1:7" x14ac:dyDescent="0.2">
      <c r="A454" s="345">
        <v>41333</v>
      </c>
      <c r="B454" s="253">
        <f t="shared" si="0"/>
        <v>0.54022999999999999</v>
      </c>
      <c r="C454" s="346">
        <v>409433908.82999998</v>
      </c>
      <c r="D454" s="258">
        <v>0.54022999999999999</v>
      </c>
      <c r="E454" s="255">
        <f>B454-Index_Returns!E454</f>
        <v>-0.44150999999999996</v>
      </c>
      <c r="G454" s="1311"/>
    </row>
    <row r="455" spans="1:7" x14ac:dyDescent="0.2">
      <c r="A455" s="345">
        <v>41364</v>
      </c>
      <c r="B455" s="253">
        <f t="shared" si="0"/>
        <v>5.0406700000000004</v>
      </c>
      <c r="C455" s="346">
        <v>419073507.05000001</v>
      </c>
      <c r="D455" s="258">
        <v>5.0406700000000004</v>
      </c>
      <c r="E455" s="255">
        <f>B455-Index_Returns!E455</f>
        <v>0.25743000000000027</v>
      </c>
      <c r="G455" s="1311"/>
    </row>
    <row r="456" spans="1:7" x14ac:dyDescent="0.2">
      <c r="A456" s="345">
        <v>41394</v>
      </c>
      <c r="B456" s="253">
        <f t="shared" si="0"/>
        <v>1.0348599999999999</v>
      </c>
      <c r="C456" s="346">
        <v>423560337.51999998</v>
      </c>
      <c r="D456" s="258">
        <v>1.0348599999999999</v>
      </c>
      <c r="E456" s="255">
        <f>B456-Index_Returns!E456</f>
        <v>0.40711999999999993</v>
      </c>
      <c r="G456" s="1311"/>
    </row>
    <row r="457" spans="1:7" x14ac:dyDescent="0.2">
      <c r="A457" s="345">
        <v>41425</v>
      </c>
      <c r="B457" s="253">
        <f t="shared" si="0"/>
        <v>3.7864300000000002</v>
      </c>
      <c r="C457" s="346">
        <v>439842460.31999999</v>
      </c>
      <c r="D457" s="258">
        <v>3.7864300000000002</v>
      </c>
      <c r="E457" s="255">
        <f>B457-Index_Returns!E457</f>
        <v>1.52705</v>
      </c>
      <c r="G457" s="1311"/>
    </row>
    <row r="458" spans="1:7" x14ac:dyDescent="0.2">
      <c r="A458" s="345">
        <v>41455</v>
      </c>
      <c r="B458" s="253">
        <f t="shared" si="0"/>
        <v>-1.7201900000000001</v>
      </c>
      <c r="C458" s="1307">
        <v>402685688.48000002</v>
      </c>
      <c r="D458" s="1311">
        <v>-1.7201900000000001</v>
      </c>
      <c r="E458" s="255">
        <f>B458-Index_Returns!E458</f>
        <v>0.12570999999999999</v>
      </c>
      <c r="G458" s="1311"/>
    </row>
    <row r="459" spans="1:7" x14ac:dyDescent="0.2">
      <c r="A459" s="345">
        <v>41486</v>
      </c>
      <c r="B459" s="253">
        <f t="shared" si="0"/>
        <v>6.8842299999999996</v>
      </c>
      <c r="C459" s="346">
        <v>410278782.38</v>
      </c>
      <c r="D459" s="258">
        <v>6.8842299999999996</v>
      </c>
      <c r="E459" s="255">
        <f>B459-Index_Returns!E459</f>
        <v>0.68872</v>
      </c>
      <c r="G459" s="1311"/>
    </row>
    <row r="460" spans="1:7" x14ac:dyDescent="0.2">
      <c r="A460" s="345">
        <v>41517</v>
      </c>
      <c r="B460" s="253">
        <f t="shared" si="0"/>
        <v>-2.6706400000000001</v>
      </c>
      <c r="C460" s="346">
        <v>399867342.76999998</v>
      </c>
      <c r="D460" s="258">
        <v>-2.6706400000000001</v>
      </c>
      <c r="E460" s="255">
        <f>B460-Index_Returns!E460</f>
        <v>1.0766299999999998</v>
      </c>
    </row>
    <row r="461" spans="1:7" x14ac:dyDescent="0.2">
      <c r="A461" s="345">
        <v>41547</v>
      </c>
      <c r="B461" s="253">
        <f t="shared" si="0"/>
        <v>4.8982099999999997</v>
      </c>
      <c r="C461" s="346">
        <v>419453669.86000001</v>
      </c>
      <c r="D461" s="258">
        <v>4.8982099999999997</v>
      </c>
      <c r="E461" s="255">
        <f>B461-Index_Returns!E461</f>
        <v>-0.31294999999999984</v>
      </c>
    </row>
    <row r="462" spans="1:7" x14ac:dyDescent="0.2">
      <c r="A462" s="345">
        <v>41578</v>
      </c>
      <c r="B462" s="253">
        <f t="shared" si="0"/>
        <v>2.7018</v>
      </c>
      <c r="C462" s="346">
        <v>430786459.72000003</v>
      </c>
      <c r="D462" s="258">
        <v>2.7018</v>
      </c>
      <c r="E462" s="255">
        <f>B462-Index_Returns!E462</f>
        <v>-1.0135399999999999</v>
      </c>
    </row>
    <row r="463" spans="1:7" x14ac:dyDescent="0.2">
      <c r="A463" s="345">
        <v>41608</v>
      </c>
      <c r="B463" s="253">
        <f t="shared" si="0"/>
        <v>2.8125300000000002</v>
      </c>
      <c r="C463" s="346">
        <v>422839518.63999999</v>
      </c>
      <c r="D463" s="258">
        <v>2.8125300000000002</v>
      </c>
      <c r="E463" s="255">
        <f>B463-Index_Returns!E463</f>
        <v>1.4897400000000003</v>
      </c>
    </row>
    <row r="464" spans="1:7" x14ac:dyDescent="0.2">
      <c r="A464" s="345">
        <v>41639</v>
      </c>
      <c r="B464" s="253">
        <f t="shared" si="0"/>
        <v>3.3531599999999999</v>
      </c>
      <c r="C464" s="346">
        <v>416252854.5</v>
      </c>
      <c r="D464" s="258">
        <v>3.3531599999999999</v>
      </c>
      <c r="E464" s="255">
        <f>B464-Index_Returns!E464</f>
        <v>0.26441999999999988</v>
      </c>
    </row>
    <row r="465" spans="1:5" x14ac:dyDescent="0.2">
      <c r="A465" s="345">
        <v>41670</v>
      </c>
      <c r="B465" s="253">
        <f t="shared" si="0"/>
        <v>-0.15093999999999999</v>
      </c>
      <c r="C465" s="346">
        <v>415624547.44</v>
      </c>
      <c r="D465" s="258">
        <v>-0.15093999999999999</v>
      </c>
      <c r="E465" s="255">
        <f>B465-Index_Returns!E465</f>
        <v>1.9724299999999999</v>
      </c>
    </row>
    <row r="466" spans="1:5" x14ac:dyDescent="0.2">
      <c r="A466" s="345">
        <v>41698</v>
      </c>
      <c r="B466" s="253">
        <f t="shared" si="0"/>
        <v>5.6178699999999999</v>
      </c>
      <c r="C466" s="346">
        <v>439519315.36000001</v>
      </c>
      <c r="D466" s="258">
        <v>5.6178699999999999</v>
      </c>
      <c r="E466" s="255">
        <f>B466-Index_Returns!E466</f>
        <v>0.73331000000000035</v>
      </c>
    </row>
    <row r="467" spans="1:5" x14ac:dyDescent="0.2">
      <c r="A467" s="345">
        <v>41729</v>
      </c>
      <c r="B467" s="253">
        <f t="shared" si="0"/>
        <v>-1.82897</v>
      </c>
      <c r="C467" s="346">
        <v>431480627.50999999</v>
      </c>
      <c r="D467" s="258">
        <v>-1.82897</v>
      </c>
      <c r="E467" s="255">
        <f>B467-Index_Returns!E467</f>
        <v>-2.1977500000000001</v>
      </c>
    </row>
    <row r="468" spans="1:5" x14ac:dyDescent="0.2">
      <c r="A468" s="345">
        <v>41759</v>
      </c>
      <c r="B468" s="253">
        <f t="shared" si="0"/>
        <v>-0.82289999999999996</v>
      </c>
      <c r="C468" s="346">
        <v>408231165.45999998</v>
      </c>
      <c r="D468" s="258">
        <v>-0.82289999999999996</v>
      </c>
      <c r="E468" s="255">
        <f>B468-Index_Returns!E468</f>
        <v>0.73951999999999996</v>
      </c>
    </row>
    <row r="469" spans="1:5" x14ac:dyDescent="0.2">
      <c r="A469" s="345">
        <v>41790</v>
      </c>
      <c r="B469" s="253">
        <f t="shared" si="0"/>
        <v>2.2742800000000001</v>
      </c>
      <c r="C469" s="346">
        <v>418088886.5</v>
      </c>
      <c r="D469" s="258">
        <v>2.2742800000000001</v>
      </c>
      <c r="E469" s="255">
        <f>B469-Index_Returns!E469</f>
        <v>0.49887000000000015</v>
      </c>
    </row>
    <row r="470" spans="1:5" x14ac:dyDescent="0.2">
      <c r="A470" s="345">
        <v>41820</v>
      </c>
      <c r="B470" s="253">
        <f t="shared" si="0"/>
        <v>5.2080599999999997</v>
      </c>
      <c r="C470" s="346">
        <v>439863192.94</v>
      </c>
      <c r="D470" s="258">
        <v>5.2080599999999997</v>
      </c>
      <c r="E470" s="255">
        <f>B470-Index_Returns!E470</f>
        <v>1.0713599999999994</v>
      </c>
    </row>
    <row r="471" spans="1:5" x14ac:dyDescent="0.2">
      <c r="A471" s="345">
        <v>41851</v>
      </c>
      <c r="B471" s="253">
        <f t="shared" si="0"/>
        <v>-4.78932</v>
      </c>
      <c r="C471" s="346">
        <v>418796749.19</v>
      </c>
      <c r="D471" s="258">
        <v>-4.78932</v>
      </c>
      <c r="E471" s="255">
        <f>B471-Index_Returns!E471</f>
        <v>-0.51506000000000007</v>
      </c>
    </row>
    <row r="472" spans="1:5" x14ac:dyDescent="0.2">
      <c r="A472" s="345">
        <v>41882</v>
      </c>
      <c r="B472" s="253">
        <f t="shared" si="0"/>
        <v>4.5641699999999998</v>
      </c>
      <c r="C472" s="346">
        <v>417799504.41000003</v>
      </c>
      <c r="D472" s="258">
        <v>4.5641699999999998</v>
      </c>
      <c r="E472" s="255">
        <f>B472-Index_Returns!E472</f>
        <v>-0.51873000000000058</v>
      </c>
    </row>
    <row r="473" spans="1:5" x14ac:dyDescent="0.2">
      <c r="A473" s="345">
        <v>41912</v>
      </c>
      <c r="B473" s="253">
        <f t="shared" si="0"/>
        <v>0</v>
      </c>
      <c r="E473" s="255">
        <f>B473-Index_Returns!E473</f>
        <v>0</v>
      </c>
    </row>
    <row r="474" spans="1:5" x14ac:dyDescent="0.2">
      <c r="A474" s="345">
        <v>41943</v>
      </c>
      <c r="B474" s="253">
        <f t="shared" si="0"/>
        <v>0</v>
      </c>
      <c r="E474" s="255">
        <f>B474-Index_Returns!E474</f>
        <v>0</v>
      </c>
    </row>
    <row r="475" spans="1:5" x14ac:dyDescent="0.2">
      <c r="A475" s="345">
        <v>41973</v>
      </c>
      <c r="B475" s="253">
        <f t="shared" si="0"/>
        <v>0</v>
      </c>
      <c r="E475" s="255">
        <f>B475-Index_Returns!E475</f>
        <v>0</v>
      </c>
    </row>
    <row r="476" spans="1:5" x14ac:dyDescent="0.2">
      <c r="A476" s="345">
        <v>42004</v>
      </c>
      <c r="B476" s="253">
        <f t="shared" si="0"/>
        <v>0</v>
      </c>
      <c r="E476" s="255">
        <f>B476-Index_Returns!E476</f>
        <v>0</v>
      </c>
    </row>
    <row r="477" spans="1:5" x14ac:dyDescent="0.2">
      <c r="A477" s="345">
        <v>42035</v>
      </c>
      <c r="B477" s="253">
        <f t="shared" si="0"/>
        <v>0</v>
      </c>
      <c r="E477" s="255">
        <f>B477-Index_Returns!E477</f>
        <v>0</v>
      </c>
    </row>
    <row r="478" spans="1:5" x14ac:dyDescent="0.2">
      <c r="A478" s="345">
        <v>42063</v>
      </c>
      <c r="B478" s="253">
        <f t="shared" si="0"/>
        <v>0</v>
      </c>
      <c r="E478" s="255">
        <f>B478-Index_Returns!E478</f>
        <v>0</v>
      </c>
    </row>
    <row r="479" spans="1:5" x14ac:dyDescent="0.2">
      <c r="A479" s="345">
        <v>42094</v>
      </c>
      <c r="B479" s="253">
        <f t="shared" si="0"/>
        <v>0</v>
      </c>
      <c r="E479" s="255">
        <f>B479-Index_Returns!E479</f>
        <v>0</v>
      </c>
    </row>
    <row r="480" spans="1:5" x14ac:dyDescent="0.2">
      <c r="A480" s="345">
        <v>42124</v>
      </c>
      <c r="B480" s="253">
        <f t="shared" si="0"/>
        <v>0</v>
      </c>
      <c r="E480" s="255">
        <f>B480-Index_Returns!E480</f>
        <v>0</v>
      </c>
    </row>
    <row r="481" spans="1:5" x14ac:dyDescent="0.2">
      <c r="A481" s="345">
        <v>42155</v>
      </c>
      <c r="B481" s="253">
        <f t="shared" si="0"/>
        <v>0</v>
      </c>
      <c r="E481" s="255">
        <f>B481-Index_Returns!E481</f>
        <v>0</v>
      </c>
    </row>
    <row r="482" spans="1:5" x14ac:dyDescent="0.2">
      <c r="A482" s="345">
        <v>42185</v>
      </c>
      <c r="B482" s="253">
        <f t="shared" si="0"/>
        <v>0</v>
      </c>
      <c r="E482" s="255">
        <f>B482-Index_Returns!E482</f>
        <v>0</v>
      </c>
    </row>
    <row r="483" spans="1:5" x14ac:dyDescent="0.2">
      <c r="A483" s="345">
        <v>42216</v>
      </c>
      <c r="B483" s="253">
        <f t="shared" si="0"/>
        <v>0</v>
      </c>
      <c r="E483" s="255">
        <f>B483-Index_Returns!E483</f>
        <v>0</v>
      </c>
    </row>
    <row r="484" spans="1:5" x14ac:dyDescent="0.2">
      <c r="A484" s="345">
        <v>42247</v>
      </c>
      <c r="B484" s="253">
        <f t="shared" si="0"/>
        <v>0</v>
      </c>
      <c r="E484" s="255">
        <f>B484-Index_Returns!E484</f>
        <v>0</v>
      </c>
    </row>
    <row r="485" spans="1:5" x14ac:dyDescent="0.2">
      <c r="A485" s="345">
        <v>42277</v>
      </c>
      <c r="B485" s="253">
        <f t="shared" si="0"/>
        <v>0</v>
      </c>
      <c r="E485" s="255">
        <f>B485-Index_Returns!E485</f>
        <v>0</v>
      </c>
    </row>
    <row r="486" spans="1:5" x14ac:dyDescent="0.2">
      <c r="A486" s="345">
        <v>42308</v>
      </c>
      <c r="B486" s="253">
        <f t="shared" si="0"/>
        <v>0</v>
      </c>
      <c r="E486" s="255">
        <f>B486-Index_Returns!E486</f>
        <v>0</v>
      </c>
    </row>
    <row r="487" spans="1:5" x14ac:dyDescent="0.2">
      <c r="A487" s="345">
        <v>42338</v>
      </c>
      <c r="B487" s="253">
        <f t="shared" si="0"/>
        <v>0</v>
      </c>
      <c r="E487" s="255">
        <f>B487-Index_Returns!E487</f>
        <v>0</v>
      </c>
    </row>
    <row r="488" spans="1:5" x14ac:dyDescent="0.2">
      <c r="A488" s="345">
        <v>42369</v>
      </c>
      <c r="B488" s="253">
        <f t="shared" si="0"/>
        <v>0</v>
      </c>
      <c r="E488" s="255">
        <f>B488-Index_Returns!E488</f>
        <v>0</v>
      </c>
    </row>
  </sheetData>
  <phoneticPr fontId="3" type="noConversion"/>
  <printOptions headings="1" gridLines="1"/>
  <pageMargins left="0.78740157480314965" right="0.78740157480314965" top="0.78740157480314965" bottom="0.78740157480314965" header="0.39370078740157483" footer="0.39370078740157483"/>
  <pageSetup scale="13" orientation="portrait" r:id="rId1"/>
  <headerFooter alignWithMargins="0">
    <oddHeader>&amp;L&amp;A</oddHead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I488"/>
  <sheetViews>
    <sheetView workbookViewId="0">
      <pane xSplit="1" ySplit="2" topLeftCell="B446" activePane="bottomRight" state="frozen"/>
      <selection activeCell="E452" sqref="E452:E464"/>
      <selection pane="topRight" activeCell="E452" sqref="E452:E464"/>
      <selection pane="bottomLeft" activeCell="E452" sqref="E452:E464"/>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5" width="18.7109375" style="258" customWidth="1"/>
    <col min="6" max="6" width="14" bestFit="1" customWidth="1"/>
    <col min="7" max="8" width="9.140625" style="352"/>
  </cols>
  <sheetData>
    <row r="1" spans="1:6" x14ac:dyDescent="0.2">
      <c r="A1" s="265" t="s">
        <v>65</v>
      </c>
      <c r="B1" s="321" t="s">
        <v>473</v>
      </c>
      <c r="C1" s="1381" t="s">
        <v>66</v>
      </c>
      <c r="D1" s="1370">
        <f>Fees!F98</f>
        <v>53.962228675291286</v>
      </c>
      <c r="E1" s="74" t="s">
        <v>81</v>
      </c>
      <c r="F1" s="1451" t="s">
        <v>768</v>
      </c>
    </row>
    <row r="2" spans="1:6" x14ac:dyDescent="0.2">
      <c r="A2" s="3" t="s">
        <v>27</v>
      </c>
      <c r="B2" s="71" t="s">
        <v>91</v>
      </c>
      <c r="C2" s="226" t="s">
        <v>92</v>
      </c>
      <c r="D2" s="71" t="s">
        <v>90</v>
      </c>
      <c r="E2" s="71" t="s">
        <v>80</v>
      </c>
    </row>
    <row r="3" spans="1:6" x14ac:dyDescent="0.2">
      <c r="A3" s="345">
        <v>27606</v>
      </c>
      <c r="B3" s="71"/>
      <c r="C3" s="226"/>
      <c r="D3" s="71"/>
      <c r="E3" s="71"/>
    </row>
    <row r="4" spans="1:6" x14ac:dyDescent="0.2">
      <c r="A4" s="345">
        <v>27637</v>
      </c>
      <c r="B4" s="71"/>
      <c r="C4" s="226"/>
      <c r="D4" s="71"/>
      <c r="E4" s="71"/>
    </row>
    <row r="5" spans="1:6" x14ac:dyDescent="0.2">
      <c r="A5" s="345">
        <v>27667</v>
      </c>
      <c r="B5" s="71"/>
      <c r="C5" s="226"/>
      <c r="D5" s="71"/>
      <c r="E5" s="71"/>
    </row>
    <row r="6" spans="1:6" x14ac:dyDescent="0.2">
      <c r="A6" s="345">
        <v>27698</v>
      </c>
      <c r="B6" s="71"/>
      <c r="C6" s="226"/>
      <c r="D6" s="71"/>
      <c r="E6" s="71"/>
    </row>
    <row r="7" spans="1:6" x14ac:dyDescent="0.2">
      <c r="A7" s="345">
        <v>27728</v>
      </c>
      <c r="B7" s="71"/>
      <c r="C7" s="226"/>
      <c r="D7" s="71"/>
      <c r="E7" s="71"/>
    </row>
    <row r="8" spans="1:6" x14ac:dyDescent="0.2">
      <c r="A8" s="345">
        <v>27759</v>
      </c>
      <c r="B8" s="71"/>
      <c r="C8" s="226"/>
      <c r="D8" s="71"/>
      <c r="E8" s="71"/>
    </row>
    <row r="9" spans="1:6" x14ac:dyDescent="0.2">
      <c r="A9" s="345">
        <v>27790</v>
      </c>
      <c r="B9" s="71"/>
      <c r="C9" s="226"/>
      <c r="D9" s="71"/>
      <c r="E9" s="71"/>
    </row>
    <row r="10" spans="1:6" x14ac:dyDescent="0.2">
      <c r="A10" s="345">
        <v>27819</v>
      </c>
      <c r="B10" s="71"/>
      <c r="C10" s="226"/>
      <c r="D10" s="71"/>
      <c r="E10" s="71"/>
    </row>
    <row r="11" spans="1:6" x14ac:dyDescent="0.2">
      <c r="A11" s="345">
        <v>27850</v>
      </c>
      <c r="B11" s="71"/>
      <c r="C11" s="226"/>
      <c r="D11" s="71"/>
      <c r="E11" s="71"/>
    </row>
    <row r="12" spans="1:6" x14ac:dyDescent="0.2">
      <c r="A12" s="345">
        <v>27880</v>
      </c>
      <c r="B12" s="71"/>
      <c r="C12" s="226"/>
      <c r="D12" s="71"/>
      <c r="E12" s="71"/>
    </row>
    <row r="13" spans="1:6" x14ac:dyDescent="0.2">
      <c r="A13" s="345">
        <v>27911</v>
      </c>
      <c r="B13" s="71"/>
      <c r="C13" s="226"/>
      <c r="D13" s="71"/>
      <c r="E13" s="71"/>
    </row>
    <row r="14" spans="1:6" x14ac:dyDescent="0.2">
      <c r="A14" s="345">
        <v>27941</v>
      </c>
      <c r="B14" s="71"/>
      <c r="C14" s="226"/>
      <c r="D14" s="71"/>
      <c r="E14" s="71"/>
    </row>
    <row r="15" spans="1:6" x14ac:dyDescent="0.2">
      <c r="A15" s="345">
        <v>27972</v>
      </c>
      <c r="B15" s="71"/>
      <c r="C15" s="226"/>
      <c r="D15" s="71"/>
      <c r="E15" s="71"/>
    </row>
    <row r="16" spans="1:6"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3"/>
      <c r="C147" s="25"/>
      <c r="D147" s="73"/>
      <c r="E147" s="73"/>
    </row>
    <row r="148" spans="1:5" x14ac:dyDescent="0.2">
      <c r="A148" s="345">
        <v>32020</v>
      </c>
      <c r="B148" s="73"/>
      <c r="C148" s="25"/>
      <c r="D148" s="73"/>
      <c r="E148" s="73"/>
    </row>
    <row r="149" spans="1:5" x14ac:dyDescent="0.2">
      <c r="A149" s="345">
        <v>32050</v>
      </c>
      <c r="B149" s="73"/>
      <c r="C149" s="25"/>
      <c r="D149" s="73"/>
      <c r="E149" s="73"/>
    </row>
    <row r="150" spans="1:5" x14ac:dyDescent="0.2">
      <c r="A150" s="345">
        <v>32081</v>
      </c>
      <c r="B150" s="73"/>
      <c r="C150" s="25"/>
      <c r="D150" s="73"/>
      <c r="E150" s="73"/>
    </row>
    <row r="151" spans="1:5" x14ac:dyDescent="0.2">
      <c r="A151" s="345">
        <v>32111</v>
      </c>
      <c r="B151" s="73"/>
      <c r="C151" s="25"/>
      <c r="D151" s="73"/>
      <c r="E151" s="73"/>
    </row>
    <row r="152" spans="1:5" x14ac:dyDescent="0.2">
      <c r="A152" s="345">
        <v>32142</v>
      </c>
      <c r="B152" s="73"/>
      <c r="C152" s="25"/>
      <c r="D152" s="73"/>
      <c r="E152" s="73"/>
    </row>
    <row r="153" spans="1:5" x14ac:dyDescent="0.2">
      <c r="A153" s="345">
        <v>32173</v>
      </c>
      <c r="B153" s="73"/>
      <c r="C153" s="25"/>
      <c r="D153" s="73"/>
      <c r="E153" s="73"/>
    </row>
    <row r="154" spans="1:5" x14ac:dyDescent="0.2">
      <c r="A154" s="345">
        <v>32202</v>
      </c>
      <c r="B154" s="73"/>
      <c r="C154" s="25"/>
      <c r="D154" s="73"/>
      <c r="E154" s="73"/>
    </row>
    <row r="155" spans="1:5" x14ac:dyDescent="0.2">
      <c r="A155" s="345">
        <v>32233</v>
      </c>
      <c r="B155" s="73"/>
      <c r="C155" s="25"/>
      <c r="D155" s="73"/>
      <c r="E155" s="73"/>
    </row>
    <row r="156" spans="1:5" x14ac:dyDescent="0.2">
      <c r="A156" s="345">
        <v>32263</v>
      </c>
      <c r="B156" s="73"/>
      <c r="C156" s="25"/>
      <c r="D156" s="73"/>
      <c r="E156" s="73"/>
    </row>
    <row r="157" spans="1:5" x14ac:dyDescent="0.2">
      <c r="A157" s="345">
        <v>32294</v>
      </c>
      <c r="B157" s="73"/>
      <c r="C157" s="25"/>
      <c r="D157" s="73"/>
      <c r="E157" s="73"/>
    </row>
    <row r="158" spans="1:5" x14ac:dyDescent="0.2">
      <c r="A158" s="345">
        <v>32324</v>
      </c>
      <c r="B158" s="73"/>
      <c r="C158" s="25"/>
      <c r="D158" s="73"/>
      <c r="E158" s="73"/>
    </row>
    <row r="159" spans="1:5" x14ac:dyDescent="0.2">
      <c r="A159" s="345">
        <v>32355</v>
      </c>
      <c r="B159" s="73"/>
      <c r="C159" s="25"/>
      <c r="D159" s="73"/>
      <c r="E159" s="73"/>
    </row>
    <row r="160" spans="1:5" x14ac:dyDescent="0.2">
      <c r="A160" s="345">
        <v>32386</v>
      </c>
      <c r="B160" s="73"/>
      <c r="C160" s="25"/>
      <c r="D160" s="73"/>
      <c r="E160" s="73"/>
    </row>
    <row r="161" spans="1:5" x14ac:dyDescent="0.2">
      <c r="A161" s="345">
        <v>32416</v>
      </c>
      <c r="B161" s="73"/>
      <c r="C161" s="25"/>
      <c r="D161" s="73"/>
      <c r="E161" s="73"/>
    </row>
    <row r="162" spans="1:5" x14ac:dyDescent="0.2">
      <c r="A162" s="345">
        <v>32447</v>
      </c>
      <c r="B162" s="73"/>
      <c r="C162" s="25"/>
      <c r="D162" s="73"/>
      <c r="E162" s="73"/>
    </row>
    <row r="163" spans="1:5" x14ac:dyDescent="0.2">
      <c r="A163" s="345">
        <v>32477</v>
      </c>
      <c r="B163" s="73"/>
      <c r="C163" s="25"/>
      <c r="D163" s="73"/>
      <c r="E163" s="73"/>
    </row>
    <row r="164" spans="1:5" x14ac:dyDescent="0.2">
      <c r="A164" s="345">
        <v>32508</v>
      </c>
      <c r="B164" s="73"/>
      <c r="C164" s="25"/>
      <c r="D164" s="73"/>
      <c r="E164" s="73"/>
    </row>
    <row r="165" spans="1:5" x14ac:dyDescent="0.2">
      <c r="A165" s="345">
        <v>32539</v>
      </c>
      <c r="B165" s="73"/>
      <c r="C165" s="25"/>
      <c r="D165" s="73"/>
      <c r="E165" s="73"/>
    </row>
    <row r="166" spans="1:5" x14ac:dyDescent="0.2">
      <c r="A166" s="345">
        <v>32567</v>
      </c>
      <c r="B166" s="73"/>
      <c r="C166" s="25"/>
      <c r="D166" s="73"/>
      <c r="E166" s="73"/>
    </row>
    <row r="167" spans="1:5" x14ac:dyDescent="0.2">
      <c r="A167" s="345">
        <v>32598</v>
      </c>
      <c r="B167" s="73"/>
      <c r="C167" s="25"/>
      <c r="D167" s="73"/>
      <c r="E167" s="73"/>
    </row>
    <row r="168" spans="1:5" x14ac:dyDescent="0.2">
      <c r="A168" s="345">
        <v>32628</v>
      </c>
      <c r="B168" s="73"/>
      <c r="C168" s="25"/>
      <c r="D168" s="73"/>
      <c r="E168" s="73"/>
    </row>
    <row r="169" spans="1:5" x14ac:dyDescent="0.2">
      <c r="A169" s="345">
        <v>32659</v>
      </c>
      <c r="B169" s="73"/>
      <c r="C169" s="25"/>
      <c r="D169" s="73"/>
      <c r="E169" s="73"/>
    </row>
    <row r="170" spans="1:5" x14ac:dyDescent="0.2">
      <c r="A170" s="345">
        <v>32689</v>
      </c>
      <c r="B170" s="73"/>
      <c r="C170" s="25"/>
      <c r="D170" s="73"/>
      <c r="E170" s="73"/>
    </row>
    <row r="171" spans="1:5" x14ac:dyDescent="0.2">
      <c r="A171" s="345">
        <v>32720</v>
      </c>
      <c r="B171" s="73"/>
      <c r="C171" s="25"/>
      <c r="D171" s="73"/>
      <c r="E171" s="73"/>
    </row>
    <row r="172" spans="1:5" x14ac:dyDescent="0.2">
      <c r="A172" s="345">
        <v>32751</v>
      </c>
      <c r="B172" s="73"/>
      <c r="C172" s="25"/>
      <c r="D172" s="73"/>
      <c r="E172" s="73"/>
    </row>
    <row r="173" spans="1:5" x14ac:dyDescent="0.2">
      <c r="A173" s="345">
        <v>32781</v>
      </c>
      <c r="B173" s="73"/>
      <c r="C173" s="25"/>
      <c r="D173" s="73"/>
      <c r="E173" s="73"/>
    </row>
    <row r="174" spans="1:5" x14ac:dyDescent="0.2">
      <c r="A174" s="345">
        <v>32812</v>
      </c>
      <c r="B174" s="73"/>
      <c r="C174" s="25"/>
      <c r="D174" s="73"/>
      <c r="E174" s="73"/>
    </row>
    <row r="175" spans="1:5" x14ac:dyDescent="0.2">
      <c r="A175" s="345">
        <v>32842</v>
      </c>
      <c r="B175" s="73"/>
      <c r="C175" s="25"/>
      <c r="D175" s="73"/>
      <c r="E175" s="73"/>
    </row>
    <row r="176" spans="1:5" x14ac:dyDescent="0.2">
      <c r="A176" s="345">
        <v>32873</v>
      </c>
      <c r="B176" s="73"/>
      <c r="C176" s="25"/>
      <c r="D176" s="73"/>
      <c r="E176" s="73"/>
    </row>
    <row r="177" spans="1:5" x14ac:dyDescent="0.2">
      <c r="A177" s="345">
        <v>32904</v>
      </c>
      <c r="B177" s="255"/>
      <c r="C177" s="259"/>
      <c r="D177" s="73"/>
      <c r="E177" s="73"/>
    </row>
    <row r="178" spans="1:5" x14ac:dyDescent="0.2">
      <c r="A178" s="345">
        <v>32932</v>
      </c>
      <c r="B178" s="255"/>
      <c r="C178" s="259"/>
      <c r="D178" s="73"/>
      <c r="E178" s="73"/>
    </row>
    <row r="179" spans="1:5" x14ac:dyDescent="0.2">
      <c r="A179" s="345">
        <v>32963</v>
      </c>
      <c r="B179" s="255"/>
      <c r="C179" s="259"/>
      <c r="D179" s="73"/>
      <c r="E179" s="73"/>
    </row>
    <row r="180" spans="1:5" x14ac:dyDescent="0.2">
      <c r="A180" s="345">
        <v>32993</v>
      </c>
      <c r="B180" s="255"/>
      <c r="C180" s="259"/>
      <c r="D180" s="73"/>
      <c r="E180" s="73"/>
    </row>
    <row r="181" spans="1:5" x14ac:dyDescent="0.2">
      <c r="A181" s="345">
        <v>33024</v>
      </c>
      <c r="B181" s="255"/>
      <c r="C181" s="259"/>
      <c r="D181" s="73"/>
      <c r="E181" s="73"/>
    </row>
    <row r="182" spans="1:5" x14ac:dyDescent="0.2">
      <c r="A182" s="345">
        <v>33054</v>
      </c>
      <c r="B182" s="255"/>
      <c r="C182" s="259"/>
      <c r="D182" s="73"/>
      <c r="E182" s="73"/>
    </row>
    <row r="183" spans="1:5" x14ac:dyDescent="0.2">
      <c r="A183" s="345">
        <v>33085</v>
      </c>
      <c r="B183" s="255"/>
      <c r="C183" s="259"/>
      <c r="D183" s="73"/>
      <c r="E183" s="73"/>
    </row>
    <row r="184" spans="1:5" x14ac:dyDescent="0.2">
      <c r="A184" s="345">
        <v>33116</v>
      </c>
      <c r="B184" s="255"/>
      <c r="C184" s="259"/>
      <c r="D184" s="73"/>
      <c r="E184" s="73"/>
    </row>
    <row r="185" spans="1:5" x14ac:dyDescent="0.2">
      <c r="A185" s="345">
        <v>33146</v>
      </c>
      <c r="B185" s="255"/>
      <c r="C185" s="259"/>
      <c r="D185" s="73"/>
      <c r="E185" s="73"/>
    </row>
    <row r="186" spans="1:5" x14ac:dyDescent="0.2">
      <c r="A186" s="345">
        <v>33177</v>
      </c>
      <c r="B186" s="255"/>
      <c r="C186" s="259"/>
      <c r="D186" s="73"/>
      <c r="E186" s="73"/>
    </row>
    <row r="187" spans="1:5" x14ac:dyDescent="0.2">
      <c r="A187" s="345">
        <v>33207</v>
      </c>
      <c r="B187" s="255"/>
      <c r="C187" s="259"/>
      <c r="D187" s="73"/>
      <c r="E187" s="73"/>
    </row>
    <row r="188" spans="1:5" x14ac:dyDescent="0.2">
      <c r="A188" s="345">
        <v>33238</v>
      </c>
      <c r="B188" s="255"/>
      <c r="C188" s="259"/>
      <c r="D188" s="73"/>
      <c r="E188" s="73"/>
    </row>
    <row r="189" spans="1:5" x14ac:dyDescent="0.2">
      <c r="A189" s="345">
        <v>33269</v>
      </c>
      <c r="B189" s="255"/>
      <c r="C189" s="259"/>
      <c r="D189" s="73"/>
      <c r="E189" s="73"/>
    </row>
    <row r="190" spans="1:5" x14ac:dyDescent="0.2">
      <c r="A190" s="345">
        <v>33297</v>
      </c>
      <c r="B190" s="255"/>
      <c r="C190" s="259"/>
      <c r="D190" s="73"/>
      <c r="E190" s="73"/>
    </row>
    <row r="191" spans="1:5" x14ac:dyDescent="0.2">
      <c r="A191" s="345">
        <v>33328</v>
      </c>
      <c r="B191" s="255"/>
      <c r="C191" s="259"/>
      <c r="D191" s="73"/>
      <c r="E191" s="73"/>
    </row>
    <row r="192" spans="1:5" x14ac:dyDescent="0.2">
      <c r="A192" s="345">
        <v>33358</v>
      </c>
      <c r="B192" s="255"/>
      <c r="C192" s="259"/>
      <c r="D192" s="73"/>
      <c r="E192" s="73"/>
    </row>
    <row r="193" spans="1:5" x14ac:dyDescent="0.2">
      <c r="A193" s="345">
        <v>33389</v>
      </c>
      <c r="B193" s="255"/>
      <c r="C193" s="259"/>
      <c r="D193" s="73"/>
      <c r="E193" s="73"/>
    </row>
    <row r="194" spans="1:5" x14ac:dyDescent="0.2">
      <c r="A194" s="345">
        <v>33419</v>
      </c>
      <c r="B194" s="255"/>
      <c r="C194" s="259"/>
      <c r="D194" s="73"/>
      <c r="E194" s="73"/>
    </row>
    <row r="195" spans="1:5" x14ac:dyDescent="0.2">
      <c r="A195" s="345">
        <v>33450</v>
      </c>
      <c r="B195" s="255"/>
      <c r="C195" s="259"/>
      <c r="D195" s="73"/>
      <c r="E195" s="73"/>
    </row>
    <row r="196" spans="1:5" x14ac:dyDescent="0.2">
      <c r="A196" s="345">
        <v>33481</v>
      </c>
      <c r="B196" s="255"/>
      <c r="C196" s="259"/>
      <c r="D196" s="73"/>
      <c r="E196" s="73"/>
    </row>
    <row r="197" spans="1:5" x14ac:dyDescent="0.2">
      <c r="A197" s="345">
        <v>33511</v>
      </c>
      <c r="B197" s="255"/>
      <c r="C197" s="259"/>
      <c r="D197" s="73"/>
      <c r="E197" s="73"/>
    </row>
    <row r="198" spans="1:5" x14ac:dyDescent="0.2">
      <c r="A198" s="345">
        <v>33542</v>
      </c>
      <c r="B198" s="255"/>
      <c r="C198" s="259"/>
      <c r="D198" s="73"/>
      <c r="E198" s="73"/>
    </row>
    <row r="199" spans="1:5" x14ac:dyDescent="0.2">
      <c r="A199" s="345">
        <v>33572</v>
      </c>
      <c r="B199" s="255"/>
      <c r="C199" s="259"/>
      <c r="D199" s="73"/>
      <c r="E199" s="73"/>
    </row>
    <row r="200" spans="1:5" x14ac:dyDescent="0.2">
      <c r="A200" s="345">
        <v>33603</v>
      </c>
      <c r="B200" s="255"/>
      <c r="C200" s="259"/>
      <c r="D200" s="73"/>
      <c r="E200" s="73"/>
    </row>
    <row r="201" spans="1:5" x14ac:dyDescent="0.2">
      <c r="A201" s="345">
        <v>33634</v>
      </c>
      <c r="B201" s="255"/>
      <c r="C201" s="259"/>
      <c r="D201" s="73"/>
      <c r="E201" s="73"/>
    </row>
    <row r="202" spans="1:5" x14ac:dyDescent="0.2">
      <c r="A202" s="345">
        <v>33663</v>
      </c>
      <c r="B202" s="255"/>
      <c r="C202" s="259"/>
      <c r="D202" s="73"/>
      <c r="E202" s="73"/>
    </row>
    <row r="203" spans="1:5" x14ac:dyDescent="0.2">
      <c r="A203" s="345">
        <v>33694</v>
      </c>
      <c r="B203" s="255"/>
      <c r="C203" s="259"/>
      <c r="D203" s="73"/>
      <c r="E203" s="73"/>
    </row>
    <row r="204" spans="1:5" x14ac:dyDescent="0.2">
      <c r="A204" s="345">
        <v>33724</v>
      </c>
      <c r="B204" s="255"/>
      <c r="C204" s="259"/>
      <c r="D204" s="73"/>
      <c r="E204" s="73"/>
    </row>
    <row r="205" spans="1:5" x14ac:dyDescent="0.2">
      <c r="A205" s="345">
        <v>33755</v>
      </c>
      <c r="B205" s="255"/>
      <c r="C205" s="259"/>
      <c r="D205" s="73"/>
      <c r="E205" s="73"/>
    </row>
    <row r="206" spans="1:5" x14ac:dyDescent="0.2">
      <c r="A206" s="345">
        <v>33785</v>
      </c>
      <c r="B206" s="255"/>
      <c r="C206" s="259"/>
      <c r="D206" s="73"/>
      <c r="E206" s="73"/>
    </row>
    <row r="207" spans="1:5" x14ac:dyDescent="0.2">
      <c r="A207" s="345">
        <v>33816</v>
      </c>
      <c r="B207" s="255"/>
      <c r="C207" s="259"/>
      <c r="D207" s="73"/>
      <c r="E207" s="73"/>
    </row>
    <row r="208" spans="1:5" x14ac:dyDescent="0.2">
      <c r="A208" s="345">
        <v>33847</v>
      </c>
      <c r="B208" s="255"/>
      <c r="C208" s="259"/>
      <c r="D208" s="73"/>
      <c r="E208" s="73"/>
    </row>
    <row r="209" spans="1:5" x14ac:dyDescent="0.2">
      <c r="A209" s="345">
        <v>33877</v>
      </c>
      <c r="B209" s="255"/>
      <c r="C209" s="259"/>
      <c r="D209" s="73"/>
      <c r="E209" s="73"/>
    </row>
    <row r="210" spans="1:5" x14ac:dyDescent="0.2">
      <c r="A210" s="345">
        <v>33908</v>
      </c>
      <c r="B210" s="255"/>
      <c r="C210" s="259"/>
      <c r="D210" s="73"/>
      <c r="E210" s="73"/>
    </row>
    <row r="211" spans="1:5" x14ac:dyDescent="0.2">
      <c r="A211" s="345">
        <v>33938</v>
      </c>
      <c r="B211" s="255"/>
      <c r="C211" s="259"/>
      <c r="D211" s="73"/>
      <c r="E211" s="73"/>
    </row>
    <row r="212" spans="1:5" x14ac:dyDescent="0.2">
      <c r="A212" s="345">
        <v>33969</v>
      </c>
      <c r="B212" s="255"/>
      <c r="C212" s="259"/>
      <c r="D212" s="73"/>
      <c r="E212" s="73"/>
    </row>
    <row r="213" spans="1:5" x14ac:dyDescent="0.2">
      <c r="A213" s="345">
        <v>34000</v>
      </c>
      <c r="B213" s="255"/>
      <c r="C213" s="259"/>
      <c r="D213" s="73"/>
      <c r="E213" s="73"/>
    </row>
    <row r="214" spans="1:5" x14ac:dyDescent="0.2">
      <c r="A214" s="345">
        <v>34028</v>
      </c>
      <c r="B214" s="255"/>
      <c r="C214" s="259"/>
      <c r="D214" s="73"/>
      <c r="E214" s="73"/>
    </row>
    <row r="215" spans="1:5" x14ac:dyDescent="0.2">
      <c r="A215" s="345">
        <v>34059</v>
      </c>
      <c r="B215" s="255"/>
      <c r="C215" s="259"/>
      <c r="D215" s="73"/>
      <c r="E215" s="73"/>
    </row>
    <row r="216" spans="1:5" x14ac:dyDescent="0.2">
      <c r="A216" s="345">
        <v>34089</v>
      </c>
      <c r="B216" s="255"/>
      <c r="C216" s="259"/>
      <c r="D216" s="73"/>
      <c r="E216" s="73"/>
    </row>
    <row r="217" spans="1:5" x14ac:dyDescent="0.2">
      <c r="A217" s="345">
        <v>34120</v>
      </c>
      <c r="B217" s="255"/>
      <c r="C217" s="259"/>
      <c r="D217" s="73"/>
      <c r="E217" s="73"/>
    </row>
    <row r="218" spans="1:5" x14ac:dyDescent="0.2">
      <c r="A218" s="345">
        <v>34150</v>
      </c>
      <c r="B218" s="255"/>
      <c r="C218" s="259"/>
      <c r="D218" s="73"/>
      <c r="E218" s="73"/>
    </row>
    <row r="219" spans="1:5" x14ac:dyDescent="0.2">
      <c r="A219" s="345">
        <v>34181</v>
      </c>
      <c r="B219" s="255"/>
      <c r="C219" s="259"/>
      <c r="D219" s="73"/>
      <c r="E219" s="73"/>
    </row>
    <row r="220" spans="1:5" x14ac:dyDescent="0.2">
      <c r="A220" s="345">
        <v>34212</v>
      </c>
      <c r="B220" s="255"/>
      <c r="C220" s="259"/>
      <c r="D220" s="73"/>
      <c r="E220" s="73"/>
    </row>
    <row r="221" spans="1:5" x14ac:dyDescent="0.2">
      <c r="A221" s="345">
        <v>34242</v>
      </c>
      <c r="B221" s="255"/>
      <c r="C221" s="259"/>
      <c r="D221" s="73"/>
      <c r="E221" s="73"/>
    </row>
    <row r="222" spans="1:5" x14ac:dyDescent="0.2">
      <c r="A222" s="345">
        <v>34273</v>
      </c>
      <c r="B222" s="255"/>
      <c r="C222" s="259"/>
      <c r="D222" s="73"/>
      <c r="E222" s="73"/>
    </row>
    <row r="223" spans="1:5" x14ac:dyDescent="0.2">
      <c r="A223" s="345">
        <v>34303</v>
      </c>
      <c r="B223" s="255"/>
      <c r="C223" s="259"/>
      <c r="D223" s="73"/>
      <c r="E223" s="73"/>
    </row>
    <row r="224" spans="1:5" x14ac:dyDescent="0.2">
      <c r="A224" s="345">
        <v>34334</v>
      </c>
      <c r="B224" s="255"/>
      <c r="C224" s="259"/>
      <c r="D224" s="73"/>
      <c r="E224" s="73"/>
    </row>
    <row r="225" spans="1:5" x14ac:dyDescent="0.2">
      <c r="A225" s="345">
        <v>34365</v>
      </c>
      <c r="B225" s="255"/>
      <c r="C225" s="259"/>
      <c r="D225" s="73"/>
      <c r="E225" s="73"/>
    </row>
    <row r="226" spans="1:5" x14ac:dyDescent="0.2">
      <c r="A226" s="345">
        <v>34393</v>
      </c>
      <c r="B226" s="255"/>
      <c r="C226" s="259"/>
      <c r="D226" s="73"/>
      <c r="E226" s="73"/>
    </row>
    <row r="227" spans="1:5" x14ac:dyDescent="0.2">
      <c r="A227" s="345">
        <v>34424</v>
      </c>
      <c r="B227" s="255"/>
      <c r="C227" s="259"/>
      <c r="D227" s="73"/>
      <c r="E227" s="73"/>
    </row>
    <row r="228" spans="1:5" x14ac:dyDescent="0.2">
      <c r="A228" s="345">
        <v>34454</v>
      </c>
      <c r="B228" s="255"/>
      <c r="C228" s="259"/>
      <c r="D228" s="73"/>
      <c r="E228" s="73"/>
    </row>
    <row r="229" spans="1:5" x14ac:dyDescent="0.2">
      <c r="A229" s="345">
        <v>34485</v>
      </c>
      <c r="B229" s="255"/>
      <c r="C229" s="259"/>
      <c r="D229" s="73"/>
      <c r="E229" s="73"/>
    </row>
    <row r="230" spans="1:5" x14ac:dyDescent="0.2">
      <c r="A230" s="345">
        <v>34515</v>
      </c>
      <c r="B230" s="255"/>
      <c r="C230" s="259"/>
      <c r="D230" s="73"/>
      <c r="E230" s="73"/>
    </row>
    <row r="231" spans="1:5" x14ac:dyDescent="0.2">
      <c r="A231" s="345">
        <v>34546</v>
      </c>
      <c r="B231" s="255"/>
      <c r="C231" s="259"/>
      <c r="D231" s="73"/>
      <c r="E231" s="73"/>
    </row>
    <row r="232" spans="1:5" x14ac:dyDescent="0.2">
      <c r="A232" s="345">
        <v>34577</v>
      </c>
      <c r="B232" s="255"/>
      <c r="C232" s="259"/>
      <c r="D232" s="73"/>
      <c r="E232" s="73"/>
    </row>
    <row r="233" spans="1:5" x14ac:dyDescent="0.2">
      <c r="A233" s="345">
        <v>34607</v>
      </c>
      <c r="B233" s="255"/>
      <c r="C233" s="259"/>
      <c r="D233" s="73"/>
      <c r="E233" s="73"/>
    </row>
    <row r="234" spans="1:5" x14ac:dyDescent="0.2">
      <c r="A234" s="345">
        <v>34638</v>
      </c>
      <c r="B234" s="255"/>
      <c r="C234" s="259"/>
      <c r="D234" s="73"/>
      <c r="E234" s="73"/>
    </row>
    <row r="235" spans="1:5" x14ac:dyDescent="0.2">
      <c r="A235" s="345">
        <v>34668</v>
      </c>
      <c r="B235" s="255"/>
      <c r="C235" s="259"/>
      <c r="D235" s="73"/>
      <c r="E235" s="73"/>
    </row>
    <row r="236" spans="1:5" x14ac:dyDescent="0.2">
      <c r="A236" s="345">
        <v>34699</v>
      </c>
      <c r="B236" s="255"/>
      <c r="C236" s="259"/>
      <c r="D236" s="73"/>
      <c r="E236" s="73"/>
    </row>
    <row r="237" spans="1:5" x14ac:dyDescent="0.2">
      <c r="A237" s="345">
        <v>34730</v>
      </c>
      <c r="B237" s="255"/>
      <c r="C237" s="259"/>
      <c r="D237" s="73"/>
      <c r="E237" s="73"/>
    </row>
    <row r="238" spans="1:5" x14ac:dyDescent="0.2">
      <c r="A238" s="345">
        <v>34758</v>
      </c>
      <c r="B238" s="255"/>
      <c r="C238" s="259"/>
      <c r="D238" s="73"/>
      <c r="E238" s="73"/>
    </row>
    <row r="239" spans="1:5" x14ac:dyDescent="0.2">
      <c r="A239" s="345">
        <v>34789</v>
      </c>
      <c r="B239" s="255"/>
      <c r="C239" s="259"/>
      <c r="D239" s="73"/>
      <c r="E239" s="73"/>
    </row>
    <row r="240" spans="1:5" x14ac:dyDescent="0.2">
      <c r="A240" s="345">
        <v>34819</v>
      </c>
      <c r="B240" s="255"/>
      <c r="C240" s="259"/>
      <c r="D240" s="73"/>
      <c r="E240" s="73"/>
    </row>
    <row r="241" spans="1:5" x14ac:dyDescent="0.2">
      <c r="A241" s="345">
        <v>34850</v>
      </c>
      <c r="B241" s="255"/>
      <c r="C241" s="259"/>
      <c r="D241" s="73"/>
      <c r="E241" s="73"/>
    </row>
    <row r="242" spans="1:5" x14ac:dyDescent="0.2">
      <c r="A242" s="345">
        <v>34880</v>
      </c>
      <c r="B242" s="255"/>
      <c r="C242" s="259"/>
      <c r="D242" s="77"/>
      <c r="E242" s="77"/>
    </row>
    <row r="243" spans="1:5" x14ac:dyDescent="0.2">
      <c r="A243" s="345">
        <v>34911</v>
      </c>
      <c r="B243" s="255"/>
      <c r="C243" s="259"/>
      <c r="D243" s="77"/>
      <c r="E243" s="77"/>
    </row>
    <row r="244" spans="1:5" x14ac:dyDescent="0.2">
      <c r="A244" s="345">
        <v>34942</v>
      </c>
      <c r="B244" s="255"/>
      <c r="C244" s="259"/>
      <c r="D244" s="77"/>
      <c r="E244" s="77"/>
    </row>
    <row r="245" spans="1:5" x14ac:dyDescent="0.2">
      <c r="A245" s="345">
        <v>34972</v>
      </c>
      <c r="B245" s="255"/>
      <c r="C245" s="259"/>
      <c r="D245" s="77"/>
      <c r="E245" s="77"/>
    </row>
    <row r="246" spans="1:5" x14ac:dyDescent="0.2">
      <c r="A246" s="345">
        <v>35003</v>
      </c>
      <c r="B246" s="255"/>
      <c r="C246" s="259"/>
      <c r="D246" s="77"/>
      <c r="E246" s="77"/>
    </row>
    <row r="247" spans="1:5" x14ac:dyDescent="0.2">
      <c r="A247" s="345">
        <v>35033</v>
      </c>
      <c r="B247" s="255"/>
      <c r="C247" s="259"/>
      <c r="D247" s="77"/>
      <c r="E247" s="77"/>
    </row>
    <row r="248" spans="1:5" x14ac:dyDescent="0.2">
      <c r="A248" s="345">
        <v>35064</v>
      </c>
      <c r="B248" s="255"/>
      <c r="C248" s="259"/>
      <c r="D248" s="77"/>
      <c r="E248" s="77"/>
    </row>
    <row r="249" spans="1:5" x14ac:dyDescent="0.2">
      <c r="A249" s="345">
        <v>35095</v>
      </c>
      <c r="B249" s="255"/>
      <c r="C249" s="259"/>
      <c r="D249" s="77"/>
      <c r="E249" s="77"/>
    </row>
    <row r="250" spans="1:5" x14ac:dyDescent="0.2">
      <c r="A250" s="345">
        <v>35124</v>
      </c>
      <c r="B250" s="255"/>
      <c r="C250" s="259"/>
      <c r="D250" s="77"/>
      <c r="E250" s="77"/>
    </row>
    <row r="251" spans="1:5" x14ac:dyDescent="0.2">
      <c r="A251" s="345">
        <v>35155</v>
      </c>
      <c r="B251" s="255"/>
      <c r="C251" s="259"/>
      <c r="D251" s="77"/>
      <c r="E251" s="77"/>
    </row>
    <row r="252" spans="1:5" x14ac:dyDescent="0.2">
      <c r="A252" s="345">
        <v>35185</v>
      </c>
      <c r="B252" s="253"/>
      <c r="C252" s="259"/>
      <c r="D252" s="77"/>
      <c r="E252" s="77"/>
    </row>
    <row r="253" spans="1:5" x14ac:dyDescent="0.2">
      <c r="A253" s="345">
        <v>35216</v>
      </c>
      <c r="B253" s="253"/>
      <c r="C253" s="259"/>
      <c r="D253" s="77"/>
      <c r="E253" s="77"/>
    </row>
    <row r="254" spans="1:5" x14ac:dyDescent="0.2">
      <c r="A254" s="345">
        <v>35246</v>
      </c>
      <c r="B254" s="253"/>
      <c r="C254" s="259"/>
      <c r="D254" s="77"/>
      <c r="E254" s="77"/>
    </row>
    <row r="255" spans="1:5" x14ac:dyDescent="0.2">
      <c r="A255" s="345">
        <v>35277</v>
      </c>
      <c r="B255" s="253"/>
      <c r="C255" s="259"/>
      <c r="D255" s="77"/>
      <c r="E255" s="77"/>
    </row>
    <row r="256" spans="1:5" x14ac:dyDescent="0.2">
      <c r="A256" s="345">
        <v>35308</v>
      </c>
      <c r="B256" s="253"/>
      <c r="C256" s="259"/>
      <c r="D256" s="77"/>
      <c r="E256" s="77"/>
    </row>
    <row r="257" spans="1:5" x14ac:dyDescent="0.2">
      <c r="A257" s="345">
        <v>35338</v>
      </c>
      <c r="B257" s="253"/>
      <c r="C257" s="259"/>
      <c r="D257" s="77"/>
      <c r="E257" s="77"/>
    </row>
    <row r="258" spans="1:5" x14ac:dyDescent="0.2">
      <c r="A258" s="345">
        <v>35369</v>
      </c>
      <c r="B258" s="253"/>
      <c r="C258" s="259"/>
      <c r="D258" s="77"/>
      <c r="E258" s="77"/>
    </row>
    <row r="259" spans="1:5" x14ac:dyDescent="0.2">
      <c r="A259" s="345">
        <v>35399</v>
      </c>
      <c r="B259" s="253"/>
      <c r="C259" s="259"/>
      <c r="D259" s="77"/>
      <c r="E259" s="77"/>
    </row>
    <row r="260" spans="1:5" x14ac:dyDescent="0.2">
      <c r="A260" s="345">
        <v>35430</v>
      </c>
      <c r="B260" s="253"/>
      <c r="C260" s="259"/>
      <c r="D260" s="77"/>
      <c r="E260" s="77"/>
    </row>
    <row r="261" spans="1:5" x14ac:dyDescent="0.2">
      <c r="A261" s="345">
        <v>35461</v>
      </c>
      <c r="B261" s="253"/>
      <c r="C261" s="259"/>
      <c r="D261" s="77"/>
      <c r="E261" s="77"/>
    </row>
    <row r="262" spans="1:5" x14ac:dyDescent="0.2">
      <c r="A262" s="345">
        <v>35489</v>
      </c>
      <c r="B262" s="253"/>
      <c r="C262" s="259"/>
      <c r="D262" s="77"/>
      <c r="E262" s="77"/>
    </row>
    <row r="263" spans="1:5" x14ac:dyDescent="0.2">
      <c r="A263" s="345">
        <v>35520</v>
      </c>
      <c r="B263" s="253"/>
      <c r="C263" s="259"/>
      <c r="D263" s="77"/>
      <c r="E263" s="77"/>
    </row>
    <row r="264" spans="1:5" x14ac:dyDescent="0.2">
      <c r="A264" s="345">
        <v>35550</v>
      </c>
      <c r="B264" s="253"/>
      <c r="C264" s="259"/>
      <c r="D264" s="77"/>
      <c r="E264" s="77"/>
    </row>
    <row r="265" spans="1:5" x14ac:dyDescent="0.2">
      <c r="A265" s="345">
        <v>35581</v>
      </c>
      <c r="B265" s="253"/>
      <c r="C265" s="259"/>
      <c r="D265" s="77"/>
      <c r="E265" s="77"/>
    </row>
    <row r="266" spans="1:5" x14ac:dyDescent="0.2">
      <c r="A266" s="345">
        <v>35611</v>
      </c>
      <c r="B266" s="253"/>
      <c r="C266" s="259"/>
      <c r="D266" s="77"/>
      <c r="E266" s="77"/>
    </row>
    <row r="267" spans="1:5" x14ac:dyDescent="0.2">
      <c r="A267" s="345">
        <v>35642</v>
      </c>
      <c r="B267" s="253"/>
      <c r="C267" s="259"/>
      <c r="D267" s="77"/>
      <c r="E267" s="77"/>
    </row>
    <row r="268" spans="1:5" x14ac:dyDescent="0.2">
      <c r="A268" s="345">
        <v>35673</v>
      </c>
      <c r="B268" s="253"/>
      <c r="C268" s="259"/>
      <c r="D268" s="77"/>
      <c r="E268" s="77"/>
    </row>
    <row r="269" spans="1:5" x14ac:dyDescent="0.2">
      <c r="A269" s="345">
        <v>35703</v>
      </c>
      <c r="B269" s="253"/>
      <c r="C269" s="259"/>
      <c r="D269" s="77"/>
      <c r="E269" s="77"/>
    </row>
    <row r="270" spans="1:5" x14ac:dyDescent="0.2">
      <c r="A270" s="345">
        <v>35734</v>
      </c>
      <c r="B270" s="253"/>
      <c r="C270" s="259"/>
      <c r="D270" s="77"/>
      <c r="E270" s="77"/>
    </row>
    <row r="271" spans="1:5" x14ac:dyDescent="0.2">
      <c r="A271" s="345">
        <v>35764</v>
      </c>
      <c r="B271" s="253"/>
      <c r="C271" s="259"/>
      <c r="D271" s="77"/>
      <c r="E271" s="77"/>
    </row>
    <row r="272" spans="1:5" x14ac:dyDescent="0.2">
      <c r="A272" s="345">
        <v>35795</v>
      </c>
      <c r="B272" s="253"/>
      <c r="C272" s="259"/>
      <c r="D272" s="77"/>
      <c r="E272" s="77"/>
    </row>
    <row r="273" spans="1:5" x14ac:dyDescent="0.2">
      <c r="A273" s="345">
        <v>35826</v>
      </c>
      <c r="B273" s="253"/>
      <c r="C273" s="259"/>
      <c r="D273" s="77"/>
      <c r="E273" s="77"/>
    </row>
    <row r="274" spans="1:5" x14ac:dyDescent="0.2">
      <c r="A274" s="345">
        <v>35854</v>
      </c>
      <c r="B274" s="253"/>
      <c r="C274" s="259"/>
      <c r="D274" s="77"/>
      <c r="E274" s="77"/>
    </row>
    <row r="275" spans="1:5" x14ac:dyDescent="0.2">
      <c r="A275" s="345">
        <v>35885</v>
      </c>
      <c r="B275" s="253"/>
      <c r="C275" s="259"/>
      <c r="D275" s="77"/>
      <c r="E275" s="77"/>
    </row>
    <row r="276" spans="1:5" x14ac:dyDescent="0.2">
      <c r="A276" s="345">
        <v>35915</v>
      </c>
      <c r="B276" s="253"/>
      <c r="C276" s="259"/>
      <c r="D276" s="77"/>
      <c r="E276" s="77"/>
    </row>
    <row r="277" spans="1:5" x14ac:dyDescent="0.2">
      <c r="A277" s="345">
        <v>35946</v>
      </c>
      <c r="B277" s="253"/>
      <c r="C277" s="259"/>
      <c r="D277" s="77"/>
      <c r="E277" s="77"/>
    </row>
    <row r="278" spans="1:5" x14ac:dyDescent="0.2">
      <c r="A278" s="345">
        <v>35976</v>
      </c>
      <c r="B278" s="253"/>
      <c r="C278" s="259"/>
      <c r="D278" s="77"/>
      <c r="E278" s="77"/>
    </row>
    <row r="279" spans="1:5" x14ac:dyDescent="0.2">
      <c r="A279" s="345">
        <v>36007</v>
      </c>
      <c r="B279" s="253"/>
      <c r="C279" s="259"/>
      <c r="D279" s="77"/>
      <c r="E279" s="77"/>
    </row>
    <row r="280" spans="1:5" x14ac:dyDescent="0.2">
      <c r="A280" s="345">
        <v>36038</v>
      </c>
      <c r="B280" s="253"/>
      <c r="C280" s="259"/>
      <c r="D280" s="77"/>
      <c r="E280" s="77"/>
    </row>
    <row r="281" spans="1:5" x14ac:dyDescent="0.2">
      <c r="A281" s="345">
        <v>36068</v>
      </c>
      <c r="B281" s="253"/>
      <c r="C281" s="259"/>
      <c r="D281" s="77"/>
      <c r="E281" s="77"/>
    </row>
    <row r="282" spans="1:5" x14ac:dyDescent="0.2">
      <c r="A282" s="345">
        <v>36099</v>
      </c>
      <c r="B282" s="253"/>
      <c r="C282" s="259"/>
      <c r="D282" s="77"/>
      <c r="E282" s="77"/>
    </row>
    <row r="283" spans="1:5" x14ac:dyDescent="0.2">
      <c r="A283" s="345">
        <v>36129</v>
      </c>
      <c r="B283" s="253"/>
      <c r="C283" s="259"/>
      <c r="D283" s="77"/>
      <c r="E283" s="77"/>
    </row>
    <row r="284" spans="1:5" x14ac:dyDescent="0.2">
      <c r="A284" s="345">
        <v>36160</v>
      </c>
      <c r="B284" s="253"/>
      <c r="C284" s="33"/>
      <c r="D284" s="253"/>
      <c r="E284" s="253"/>
    </row>
    <row r="285" spans="1:5" x14ac:dyDescent="0.2">
      <c r="A285" s="345">
        <v>36191</v>
      </c>
      <c r="B285" s="253"/>
      <c r="C285" s="33"/>
      <c r="D285" s="253"/>
      <c r="E285" s="253"/>
    </row>
    <row r="286" spans="1:5" x14ac:dyDescent="0.2">
      <c r="A286" s="345">
        <v>36219</v>
      </c>
      <c r="B286" s="253"/>
      <c r="C286" s="33"/>
      <c r="D286" s="253"/>
      <c r="E286" s="253"/>
    </row>
    <row r="287" spans="1:5" x14ac:dyDescent="0.2">
      <c r="A287" s="345">
        <v>36250</v>
      </c>
      <c r="B287" s="253"/>
      <c r="C287" s="33"/>
      <c r="D287" s="253"/>
      <c r="E287" s="253"/>
    </row>
    <row r="288" spans="1:5" x14ac:dyDescent="0.2">
      <c r="A288" s="345">
        <v>36280</v>
      </c>
      <c r="B288" s="253"/>
      <c r="C288" s="33"/>
      <c r="D288" s="253"/>
      <c r="E288" s="253"/>
    </row>
    <row r="289" spans="1:5" x14ac:dyDescent="0.2">
      <c r="A289" s="345">
        <v>36311</v>
      </c>
      <c r="B289" s="253"/>
      <c r="C289" s="33"/>
      <c r="D289" s="253"/>
      <c r="E289" s="253"/>
    </row>
    <row r="290" spans="1:5" x14ac:dyDescent="0.2">
      <c r="A290" s="345">
        <v>36341</v>
      </c>
      <c r="B290" s="253"/>
      <c r="C290" s="33"/>
      <c r="D290" s="253"/>
      <c r="E290" s="253"/>
    </row>
    <row r="291" spans="1:5" x14ac:dyDescent="0.2">
      <c r="A291" s="345">
        <v>36372</v>
      </c>
      <c r="B291" s="253"/>
      <c r="C291" s="33"/>
      <c r="D291" s="253"/>
      <c r="E291" s="253"/>
    </row>
    <row r="292" spans="1:5" x14ac:dyDescent="0.2">
      <c r="A292" s="345">
        <v>36403</v>
      </c>
      <c r="B292" s="253"/>
      <c r="C292" s="33"/>
      <c r="D292" s="253"/>
      <c r="E292" s="253"/>
    </row>
    <row r="293" spans="1:5" x14ac:dyDescent="0.2">
      <c r="A293" s="345">
        <v>36433</v>
      </c>
      <c r="B293" s="253"/>
      <c r="C293" s="33"/>
      <c r="D293" s="253"/>
      <c r="E293" s="253"/>
    </row>
    <row r="294" spans="1:5" x14ac:dyDescent="0.2">
      <c r="A294" s="345">
        <v>36464</v>
      </c>
      <c r="B294" s="253"/>
      <c r="C294" s="33"/>
      <c r="D294" s="253"/>
      <c r="E294" s="253"/>
    </row>
    <row r="295" spans="1:5" x14ac:dyDescent="0.2">
      <c r="A295" s="345">
        <v>36494</v>
      </c>
      <c r="B295" s="253"/>
      <c r="C295" s="33"/>
      <c r="D295" s="253"/>
      <c r="E295" s="253"/>
    </row>
    <row r="296" spans="1:5" x14ac:dyDescent="0.2">
      <c r="A296" s="345">
        <v>36525</v>
      </c>
      <c r="B296" s="253"/>
      <c r="C296" s="33"/>
      <c r="D296" s="253"/>
      <c r="E296" s="253"/>
    </row>
    <row r="297" spans="1:5" x14ac:dyDescent="0.2">
      <c r="A297" s="345">
        <v>36556</v>
      </c>
      <c r="B297" s="253"/>
      <c r="C297" s="33"/>
      <c r="D297" s="253"/>
      <c r="E297" s="253"/>
    </row>
    <row r="298" spans="1:5" x14ac:dyDescent="0.2">
      <c r="A298" s="345">
        <v>36585</v>
      </c>
      <c r="B298" s="253"/>
      <c r="C298" s="33"/>
      <c r="D298" s="253"/>
      <c r="E298" s="253"/>
    </row>
    <row r="299" spans="1:5" x14ac:dyDescent="0.2">
      <c r="A299" s="345">
        <v>36616</v>
      </c>
      <c r="B299" s="253"/>
      <c r="C299" s="33"/>
      <c r="D299" s="253"/>
      <c r="E299" s="253"/>
    </row>
    <row r="300" spans="1:5" x14ac:dyDescent="0.2">
      <c r="A300" s="345">
        <v>36646</v>
      </c>
      <c r="B300" s="253"/>
      <c r="C300" s="33"/>
      <c r="D300" s="253"/>
      <c r="E300" s="253"/>
    </row>
    <row r="301" spans="1:5" x14ac:dyDescent="0.2">
      <c r="A301" s="345">
        <v>36677</v>
      </c>
      <c r="B301" s="253"/>
      <c r="C301" s="33"/>
      <c r="D301" s="253"/>
      <c r="E301" s="253"/>
    </row>
    <row r="302" spans="1:5" x14ac:dyDescent="0.2">
      <c r="A302" s="345">
        <v>36707</v>
      </c>
      <c r="B302" s="253"/>
      <c r="C302" s="33"/>
      <c r="D302" s="253"/>
      <c r="E302" s="253"/>
    </row>
    <row r="303" spans="1:5" x14ac:dyDescent="0.2">
      <c r="A303" s="345">
        <v>36738</v>
      </c>
      <c r="B303" s="253"/>
      <c r="C303" s="33"/>
      <c r="D303" s="253"/>
      <c r="E303" s="253"/>
    </row>
    <row r="304" spans="1:5" x14ac:dyDescent="0.2">
      <c r="A304" s="345">
        <v>36769</v>
      </c>
      <c r="B304" s="253"/>
      <c r="C304" s="33"/>
      <c r="D304" s="253"/>
      <c r="E304" s="253"/>
    </row>
    <row r="305" spans="1:5" x14ac:dyDescent="0.2">
      <c r="A305" s="345">
        <v>36799</v>
      </c>
      <c r="B305" s="253"/>
      <c r="C305" s="33"/>
      <c r="D305" s="253"/>
      <c r="E305" s="253"/>
    </row>
    <row r="306" spans="1:5" x14ac:dyDescent="0.2">
      <c r="A306" s="345">
        <v>36830</v>
      </c>
      <c r="B306" s="253"/>
      <c r="C306" s="33"/>
      <c r="D306" s="253"/>
      <c r="E306" s="253"/>
    </row>
    <row r="307" spans="1:5" x14ac:dyDescent="0.2">
      <c r="A307" s="345">
        <v>36860</v>
      </c>
      <c r="B307" s="253"/>
      <c r="C307" s="33"/>
      <c r="D307" s="253"/>
      <c r="E307" s="253"/>
    </row>
    <row r="308" spans="1:5" x14ac:dyDescent="0.2">
      <c r="A308" s="345">
        <v>36891</v>
      </c>
      <c r="B308" s="253"/>
      <c r="C308" s="33"/>
      <c r="D308" s="253"/>
      <c r="E308" s="253"/>
    </row>
    <row r="309" spans="1:5" x14ac:dyDescent="0.2">
      <c r="A309" s="345">
        <v>36922</v>
      </c>
      <c r="B309" s="253"/>
      <c r="C309" s="33"/>
      <c r="D309" s="253"/>
      <c r="E309" s="253"/>
    </row>
    <row r="310" spans="1:5" x14ac:dyDescent="0.2">
      <c r="A310" s="345">
        <v>36950</v>
      </c>
      <c r="B310" s="253"/>
      <c r="C310" s="33"/>
      <c r="D310" s="253"/>
      <c r="E310" s="253"/>
    </row>
    <row r="311" spans="1:5" x14ac:dyDescent="0.2">
      <c r="A311" s="345">
        <v>36981</v>
      </c>
      <c r="B311" s="253"/>
      <c r="C311" s="33"/>
      <c r="D311" s="253"/>
      <c r="E311" s="253"/>
    </row>
    <row r="312" spans="1:5" x14ac:dyDescent="0.2">
      <c r="A312" s="345">
        <v>37011</v>
      </c>
      <c r="B312" s="253"/>
      <c r="C312" s="33"/>
      <c r="D312" s="253"/>
      <c r="E312" s="253"/>
    </row>
    <row r="313" spans="1:5" x14ac:dyDescent="0.2">
      <c r="A313" s="345">
        <v>37042</v>
      </c>
      <c r="B313" s="253"/>
      <c r="C313" s="33"/>
      <c r="D313" s="253"/>
      <c r="E313" s="253"/>
    </row>
    <row r="314" spans="1:5" x14ac:dyDescent="0.2">
      <c r="A314" s="345">
        <v>37072</v>
      </c>
      <c r="B314" s="253"/>
      <c r="C314" s="33"/>
      <c r="D314" s="253"/>
      <c r="E314" s="253"/>
    </row>
    <row r="315" spans="1:5" x14ac:dyDescent="0.2">
      <c r="A315" s="345">
        <v>37103</v>
      </c>
      <c r="B315" s="253"/>
      <c r="C315" s="33"/>
      <c r="D315" s="253"/>
      <c r="E315" s="253"/>
    </row>
    <row r="316" spans="1:5" x14ac:dyDescent="0.2">
      <c r="A316" s="345">
        <v>37134</v>
      </c>
      <c r="B316" s="253"/>
      <c r="C316" s="33"/>
      <c r="D316" s="253"/>
      <c r="E316" s="253"/>
    </row>
    <row r="317" spans="1:5" x14ac:dyDescent="0.2">
      <c r="A317" s="345">
        <v>37164</v>
      </c>
      <c r="B317" s="253"/>
      <c r="C317" s="33"/>
      <c r="D317" s="253"/>
      <c r="E317" s="253"/>
    </row>
    <row r="318" spans="1:5" x14ac:dyDescent="0.2">
      <c r="A318" s="345">
        <v>37195</v>
      </c>
      <c r="B318" s="253"/>
      <c r="C318" s="33"/>
      <c r="D318" s="253"/>
      <c r="E318" s="253"/>
    </row>
    <row r="319" spans="1:5" x14ac:dyDescent="0.2">
      <c r="A319" s="345">
        <v>37225</v>
      </c>
      <c r="B319" s="253"/>
      <c r="C319" s="33"/>
      <c r="D319" s="253"/>
      <c r="E319" s="253"/>
    </row>
    <row r="320" spans="1:5" x14ac:dyDescent="0.2">
      <c r="A320" s="345">
        <v>37256</v>
      </c>
      <c r="B320" s="253"/>
      <c r="C320" s="33"/>
      <c r="D320" s="253"/>
      <c r="E320" s="253"/>
    </row>
    <row r="321" spans="1:5" x14ac:dyDescent="0.2">
      <c r="A321" s="345">
        <v>37287</v>
      </c>
      <c r="B321" s="253"/>
      <c r="C321" s="33"/>
      <c r="D321" s="253"/>
      <c r="E321" s="253"/>
    </row>
    <row r="322" spans="1:5" x14ac:dyDescent="0.2">
      <c r="A322" s="345">
        <v>37315</v>
      </c>
      <c r="B322" s="253"/>
      <c r="C322" s="33"/>
      <c r="D322" s="253"/>
      <c r="E322" s="253"/>
    </row>
    <row r="323" spans="1:5" x14ac:dyDescent="0.2">
      <c r="A323" s="345">
        <v>37346</v>
      </c>
      <c r="B323" s="253"/>
      <c r="C323" s="33"/>
      <c r="D323" s="253"/>
      <c r="E323" s="253"/>
    </row>
    <row r="324" spans="1:5" x14ac:dyDescent="0.2">
      <c r="A324" s="345">
        <v>37376</v>
      </c>
      <c r="B324" s="253"/>
      <c r="C324" s="33"/>
      <c r="D324" s="253"/>
      <c r="E324" s="253"/>
    </row>
    <row r="325" spans="1:5" x14ac:dyDescent="0.2">
      <c r="A325" s="345">
        <v>37407</v>
      </c>
      <c r="B325" s="253"/>
      <c r="C325" s="33"/>
      <c r="D325" s="253"/>
      <c r="E325" s="253"/>
    </row>
    <row r="326" spans="1:5" x14ac:dyDescent="0.2">
      <c r="A326" s="345">
        <v>37437</v>
      </c>
      <c r="B326" s="253"/>
      <c r="C326" s="33"/>
      <c r="D326" s="253"/>
      <c r="E326" s="253"/>
    </row>
    <row r="327" spans="1:5" x14ac:dyDescent="0.2">
      <c r="A327" s="345">
        <v>37468</v>
      </c>
      <c r="B327" s="253"/>
      <c r="C327" s="33"/>
      <c r="D327" s="253"/>
      <c r="E327" s="253"/>
    </row>
    <row r="328" spans="1:5" x14ac:dyDescent="0.2">
      <c r="A328" s="345">
        <v>37499</v>
      </c>
      <c r="B328" s="253"/>
      <c r="C328" s="33"/>
      <c r="D328" s="253"/>
      <c r="E328" s="253"/>
    </row>
    <row r="329" spans="1:5" x14ac:dyDescent="0.2">
      <c r="A329" s="345">
        <v>37529</v>
      </c>
      <c r="B329" s="253"/>
      <c r="C329" s="33"/>
      <c r="D329" s="253"/>
      <c r="E329" s="253"/>
    </row>
    <row r="330" spans="1:5" x14ac:dyDescent="0.2">
      <c r="A330" s="345">
        <v>37560</v>
      </c>
      <c r="B330" s="253"/>
      <c r="C330" s="33"/>
      <c r="D330" s="253"/>
      <c r="E330" s="253"/>
    </row>
    <row r="331" spans="1:5" x14ac:dyDescent="0.2">
      <c r="A331" s="345">
        <v>37590</v>
      </c>
      <c r="B331" s="253"/>
      <c r="C331" s="33"/>
      <c r="D331" s="253"/>
      <c r="E331" s="253"/>
    </row>
    <row r="332" spans="1:5" x14ac:dyDescent="0.2">
      <c r="A332" s="345">
        <v>37621</v>
      </c>
      <c r="B332" s="253"/>
      <c r="C332" s="33"/>
      <c r="D332" s="253"/>
      <c r="E332" s="253"/>
    </row>
    <row r="333" spans="1:5" x14ac:dyDescent="0.2">
      <c r="A333" s="345">
        <v>37652</v>
      </c>
      <c r="B333" s="253"/>
      <c r="C333" s="33"/>
      <c r="D333" s="253"/>
      <c r="E333" s="253"/>
    </row>
    <row r="334" spans="1:5" x14ac:dyDescent="0.2">
      <c r="A334" s="345">
        <v>37680</v>
      </c>
      <c r="B334" s="253"/>
      <c r="C334" s="33"/>
      <c r="D334" s="253"/>
      <c r="E334" s="253"/>
    </row>
    <row r="335" spans="1:5" x14ac:dyDescent="0.2">
      <c r="A335" s="345">
        <v>37711</v>
      </c>
      <c r="B335" s="253"/>
      <c r="C335" s="33"/>
      <c r="D335" s="253"/>
      <c r="E335" s="253"/>
    </row>
    <row r="336" spans="1:5" x14ac:dyDescent="0.2">
      <c r="A336" s="345">
        <v>37741</v>
      </c>
      <c r="B336" s="253"/>
      <c r="C336" s="33"/>
      <c r="D336" s="253"/>
      <c r="E336" s="253"/>
    </row>
    <row r="337" spans="1:9" x14ac:dyDescent="0.2">
      <c r="A337" s="345">
        <v>37772</v>
      </c>
      <c r="B337" s="253"/>
      <c r="C337" s="33"/>
      <c r="D337" s="253"/>
      <c r="E337" s="253"/>
    </row>
    <row r="338" spans="1:9" x14ac:dyDescent="0.2">
      <c r="A338" s="345">
        <v>37802</v>
      </c>
      <c r="B338" s="253"/>
      <c r="C338" s="33"/>
      <c r="D338" s="253"/>
      <c r="E338" s="253"/>
    </row>
    <row r="339" spans="1:9" x14ac:dyDescent="0.2">
      <c r="A339" s="345">
        <v>37833</v>
      </c>
      <c r="B339" s="253"/>
      <c r="C339" s="33"/>
      <c r="D339" s="253"/>
      <c r="E339" s="253"/>
    </row>
    <row r="340" spans="1:9" x14ac:dyDescent="0.2">
      <c r="A340" s="345">
        <v>37864</v>
      </c>
      <c r="B340" s="253"/>
      <c r="C340" s="33"/>
      <c r="D340" s="253"/>
      <c r="E340" s="253"/>
    </row>
    <row r="341" spans="1:9" x14ac:dyDescent="0.2">
      <c r="A341" s="345">
        <v>37894</v>
      </c>
      <c r="B341" s="253"/>
      <c r="C341" s="34"/>
      <c r="D341" s="253"/>
      <c r="E341" s="253"/>
    </row>
    <row r="342" spans="1:9" x14ac:dyDescent="0.2">
      <c r="A342" s="345">
        <v>37925</v>
      </c>
      <c r="B342" s="253"/>
      <c r="C342" s="34"/>
      <c r="D342" s="253"/>
      <c r="E342" s="253"/>
    </row>
    <row r="343" spans="1:9" x14ac:dyDescent="0.2">
      <c r="A343" s="345">
        <v>37955</v>
      </c>
      <c r="B343" s="253"/>
      <c r="C343" s="34"/>
      <c r="D343" s="253"/>
      <c r="E343" s="253"/>
    </row>
    <row r="344" spans="1:9" x14ac:dyDescent="0.2">
      <c r="A344" s="345">
        <v>37986</v>
      </c>
      <c r="B344" s="253"/>
      <c r="C344" s="34">
        <v>77549170</v>
      </c>
      <c r="D344" s="253"/>
      <c r="E344" s="253"/>
    </row>
    <row r="345" spans="1:9" x14ac:dyDescent="0.2">
      <c r="A345" s="345">
        <v>38017</v>
      </c>
      <c r="B345" s="1369">
        <v>3.08</v>
      </c>
      <c r="C345" s="34">
        <v>79937157.510000005</v>
      </c>
      <c r="D345" s="253"/>
      <c r="E345" s="253">
        <f>B345-Index_Returns!G345</f>
        <v>0.45999999999999996</v>
      </c>
      <c r="F345" s="779"/>
      <c r="G345" s="14"/>
    </row>
    <row r="346" spans="1:9" x14ac:dyDescent="0.2">
      <c r="A346" s="345">
        <v>38046</v>
      </c>
      <c r="B346" s="1369">
        <v>2.64</v>
      </c>
      <c r="C346" s="34">
        <v>82048123.030000001</v>
      </c>
      <c r="D346" s="253"/>
      <c r="E346" s="253">
        <f>B346-Index_Returns!G346</f>
        <v>-9.9999999999997868E-3</v>
      </c>
      <c r="G346" s="14"/>
    </row>
    <row r="347" spans="1:9" x14ac:dyDescent="0.2">
      <c r="A347" s="345">
        <v>38077</v>
      </c>
      <c r="B347" s="1369">
        <v>0.86</v>
      </c>
      <c r="C347" s="34">
        <v>82873120.870000005</v>
      </c>
      <c r="D347" s="255"/>
      <c r="E347" s="253">
        <f>B347-Index_Returns!G347</f>
        <v>0.67999999999999994</v>
      </c>
      <c r="G347" s="14"/>
    </row>
    <row r="348" spans="1:9" x14ac:dyDescent="0.2">
      <c r="A348" s="345">
        <v>38107</v>
      </c>
      <c r="B348" s="1369">
        <v>-1.64</v>
      </c>
      <c r="C348" s="34">
        <v>81513518.890000001</v>
      </c>
      <c r="D348" s="253"/>
      <c r="E348" s="253">
        <f>B348-Index_Returns!G348</f>
        <v>2.2300000000000004</v>
      </c>
      <c r="G348" s="14"/>
      <c r="I348" s="14"/>
    </row>
    <row r="349" spans="1:9" x14ac:dyDescent="0.2">
      <c r="A349" s="345">
        <v>38138</v>
      </c>
      <c r="B349" s="1369">
        <v>1.9</v>
      </c>
      <c r="C349" s="34">
        <v>83065364.489999995</v>
      </c>
      <c r="D349" s="253"/>
      <c r="E349" s="253">
        <f>B349-Index_Returns!G349</f>
        <v>-0.18999999999999995</v>
      </c>
      <c r="G349" s="14"/>
      <c r="I349" s="14"/>
    </row>
    <row r="350" spans="1:9" x14ac:dyDescent="0.2">
      <c r="A350" s="345">
        <v>38168</v>
      </c>
      <c r="B350" s="1369">
        <v>3.35</v>
      </c>
      <c r="C350" s="34">
        <v>85970171.159999996</v>
      </c>
      <c r="D350" s="253"/>
      <c r="E350" s="253">
        <f>B350-Index_Returns!G350</f>
        <v>0.24000000000000021</v>
      </c>
      <c r="G350" s="14"/>
      <c r="I350" s="14"/>
    </row>
    <row r="351" spans="1:9" x14ac:dyDescent="0.2">
      <c r="A351" s="345">
        <v>38199</v>
      </c>
      <c r="B351" s="1369">
        <v>-4.59</v>
      </c>
      <c r="C351" s="34">
        <v>82024079.650000006</v>
      </c>
      <c r="D351" s="253"/>
      <c r="E351" s="253">
        <f>B351-Index_Returns!G351</f>
        <v>-0.25</v>
      </c>
      <c r="G351" s="14"/>
    </row>
    <row r="352" spans="1:9" x14ac:dyDescent="0.2">
      <c r="A352" s="345">
        <v>38230</v>
      </c>
      <c r="B352" s="1369">
        <v>0.8</v>
      </c>
      <c r="C352" s="34">
        <v>82677713.709999993</v>
      </c>
      <c r="D352" s="253"/>
      <c r="E352" s="253">
        <f>B352-Index_Returns!G352</f>
        <v>0.10000000000000009</v>
      </c>
      <c r="G352" s="14"/>
    </row>
    <row r="353" spans="1:7" x14ac:dyDescent="0.2">
      <c r="A353" s="345">
        <v>38260</v>
      </c>
      <c r="B353" s="1369">
        <v>2.91</v>
      </c>
      <c r="C353" s="34">
        <v>85209434.329999998</v>
      </c>
      <c r="D353" s="253"/>
      <c r="E353" s="253">
        <f>B353-Index_Returns!G353</f>
        <v>-8.9999999999999858E-2</v>
      </c>
      <c r="G353" s="14"/>
    </row>
    <row r="354" spans="1:7" x14ac:dyDescent="0.2">
      <c r="A354" s="345">
        <v>38291</v>
      </c>
      <c r="B354" s="1369">
        <v>4.3</v>
      </c>
      <c r="C354" s="34">
        <v>88873747.030000001</v>
      </c>
      <c r="D354" s="253"/>
      <c r="E354" s="253">
        <f>B354-Index_Returns!G354</f>
        <v>3.48</v>
      </c>
      <c r="G354" s="14"/>
    </row>
    <row r="355" spans="1:7" x14ac:dyDescent="0.2">
      <c r="A355" s="345">
        <v>38321</v>
      </c>
      <c r="B355" s="1369">
        <v>6.72</v>
      </c>
      <c r="C355" s="34">
        <v>94844083.939999998</v>
      </c>
      <c r="D355" s="253"/>
      <c r="E355" s="253">
        <f>B355-Index_Returns!G355</f>
        <v>-0.39160000000000039</v>
      </c>
      <c r="G355" s="14"/>
    </row>
    <row r="356" spans="1:7" x14ac:dyDescent="0.2">
      <c r="A356" s="345">
        <v>38352</v>
      </c>
      <c r="B356" s="1369">
        <v>3.2</v>
      </c>
      <c r="C356" s="256">
        <v>98005227.280000001</v>
      </c>
      <c r="D356" s="253"/>
      <c r="E356" s="253">
        <f>B356-Index_Returns!G356</f>
        <v>-0.74269999999999969</v>
      </c>
      <c r="G356" s="14"/>
    </row>
    <row r="357" spans="1:7" x14ac:dyDescent="0.2">
      <c r="A357" s="345">
        <v>38383</v>
      </c>
      <c r="B357" s="1369">
        <v>-1.69</v>
      </c>
      <c r="C357" s="34">
        <v>96347920.659999996</v>
      </c>
      <c r="D357" s="253"/>
      <c r="E357" s="253">
        <f>B357-Index_Returns!G357</f>
        <v>1.0788000000000002</v>
      </c>
      <c r="G357" s="14"/>
    </row>
    <row r="358" spans="1:7" x14ac:dyDescent="0.2">
      <c r="A358" s="345">
        <v>38411</v>
      </c>
      <c r="B358" s="1369">
        <v>2.04</v>
      </c>
      <c r="C358" s="34">
        <v>98310387.140000001</v>
      </c>
      <c r="D358" s="253"/>
      <c r="E358" s="253">
        <f>B358-Index_Returns!G358</f>
        <v>-1.0844999999999998</v>
      </c>
      <c r="G358" s="14"/>
    </row>
    <row r="359" spans="1:7" x14ac:dyDescent="0.2">
      <c r="A359" s="345">
        <v>38442</v>
      </c>
      <c r="B359" s="1369">
        <v>-0.37</v>
      </c>
      <c r="C359" s="256">
        <v>98080005.170000002</v>
      </c>
      <c r="D359" s="253"/>
      <c r="E359" s="253">
        <f>B359-Index_Returns!G359</f>
        <v>0.60199999999999998</v>
      </c>
      <c r="G359" s="14"/>
    </row>
    <row r="360" spans="1:7" x14ac:dyDescent="0.2">
      <c r="A360" s="345">
        <v>38472</v>
      </c>
      <c r="B360" s="1369">
        <v>-3.29</v>
      </c>
      <c r="C360" s="256">
        <v>94850459.150000006</v>
      </c>
      <c r="D360" s="253"/>
      <c r="E360" s="253">
        <f>B360-Index_Returns!G360</f>
        <v>0.46260000000000012</v>
      </c>
      <c r="G360" s="14"/>
    </row>
    <row r="361" spans="1:7" x14ac:dyDescent="0.2">
      <c r="A361" s="345">
        <v>38503</v>
      </c>
      <c r="B361" s="1369">
        <v>3.58</v>
      </c>
      <c r="C361" s="256">
        <v>98242665.090000004</v>
      </c>
      <c r="D361" s="253"/>
      <c r="E361" s="253">
        <f>B361-Index_Returns!G361</f>
        <v>-2.3712</v>
      </c>
      <c r="G361" s="14"/>
    </row>
    <row r="362" spans="1:7" x14ac:dyDescent="0.2">
      <c r="A362" s="345">
        <v>38533</v>
      </c>
      <c r="B362" s="1369">
        <v>2.08</v>
      </c>
      <c r="C362" s="256">
        <v>100425618.94</v>
      </c>
      <c r="D362" s="253"/>
      <c r="E362" s="253">
        <f>B362-Index_Returns!G362</f>
        <v>-0.75159999999999982</v>
      </c>
      <c r="G362" s="14"/>
    </row>
    <row r="363" spans="1:7" x14ac:dyDescent="0.2">
      <c r="A363" s="345">
        <v>38564</v>
      </c>
      <c r="B363" s="1369">
        <v>4.28</v>
      </c>
      <c r="C363" s="256">
        <v>104728688.63</v>
      </c>
      <c r="D363" s="253"/>
      <c r="E363" s="253">
        <f>B363-Index_Returns!G363</f>
        <v>-1.3426</v>
      </c>
      <c r="G363" s="14"/>
    </row>
    <row r="364" spans="1:7" x14ac:dyDescent="0.2">
      <c r="A364" s="345">
        <v>38595</v>
      </c>
      <c r="B364" s="1369">
        <v>-0.89</v>
      </c>
      <c r="C364" s="256">
        <v>103792471.06999999</v>
      </c>
      <c r="D364" s="253"/>
      <c r="E364" s="253">
        <f>B364-Index_Returns!G364</f>
        <v>0.24149999999999994</v>
      </c>
      <c r="G364" s="14"/>
    </row>
    <row r="365" spans="1:7" x14ac:dyDescent="0.2">
      <c r="A365" s="345">
        <v>38625</v>
      </c>
      <c r="B365" s="1369">
        <v>1.27</v>
      </c>
      <c r="C365" s="256">
        <v>105247925.83</v>
      </c>
      <c r="D365" s="253"/>
      <c r="E365" s="253">
        <f>B365-Index_Returns!G365</f>
        <v>0.32879999999999998</v>
      </c>
      <c r="G365" s="14"/>
    </row>
    <row r="366" spans="1:7" x14ac:dyDescent="0.2">
      <c r="A366" s="345">
        <v>38656</v>
      </c>
      <c r="B366" s="1369">
        <v>-3</v>
      </c>
      <c r="C366" s="256">
        <v>102085825.47</v>
      </c>
      <c r="D366" s="253"/>
      <c r="E366" s="253">
        <f>B366-Index_Returns!G366</f>
        <v>-7.1299999999999919E-2</v>
      </c>
      <c r="G366" s="14"/>
    </row>
    <row r="367" spans="1:7" x14ac:dyDescent="0.2">
      <c r="A367" s="345">
        <v>38686</v>
      </c>
      <c r="B367" s="1369">
        <v>4.2699999999999996</v>
      </c>
      <c r="C367" s="256">
        <v>106444407.59999999</v>
      </c>
      <c r="D367" s="253"/>
      <c r="E367" s="253">
        <f>B367-Index_Returns!G367</f>
        <v>0.13379999999999992</v>
      </c>
      <c r="G367" s="14"/>
    </row>
    <row r="368" spans="1:7" x14ac:dyDescent="0.2">
      <c r="A368" s="345">
        <v>38717</v>
      </c>
      <c r="B368" s="1369">
        <v>1.33</v>
      </c>
      <c r="C368" s="256">
        <v>108003506.25</v>
      </c>
      <c r="D368" s="253"/>
      <c r="E368" s="253">
        <f>B368-Index_Returns!G368</f>
        <v>0.85000000000000009</v>
      </c>
      <c r="G368" s="14"/>
    </row>
    <row r="369" spans="1:7" x14ac:dyDescent="0.2">
      <c r="A369" s="345">
        <v>38748</v>
      </c>
      <c r="B369" s="1369">
        <v>2.59</v>
      </c>
      <c r="C369" s="256">
        <v>110797987.28</v>
      </c>
      <c r="D369" s="253"/>
      <c r="E369" s="253">
        <f>B369-Index_Returns!G369</f>
        <v>-3.6509</v>
      </c>
      <c r="G369" s="14"/>
    </row>
    <row r="370" spans="1:7" x14ac:dyDescent="0.2">
      <c r="A370" s="345">
        <v>38776</v>
      </c>
      <c r="B370" s="1369">
        <v>2.84</v>
      </c>
      <c r="C370" s="256">
        <v>113947746.94</v>
      </c>
      <c r="D370" s="253"/>
      <c r="E370" s="253">
        <f>B370-Index_Returns!G370</f>
        <v>2.8377999999999997</v>
      </c>
      <c r="G370" s="14"/>
    </row>
    <row r="371" spans="1:7" x14ac:dyDescent="0.2">
      <c r="A371" s="345">
        <v>38807</v>
      </c>
      <c r="B371" s="1369">
        <v>2.39</v>
      </c>
      <c r="C371" s="33">
        <v>116818102.38</v>
      </c>
      <c r="D371" s="253"/>
      <c r="E371" s="253">
        <f>B371-Index_Returns!G371</f>
        <v>-0.27329999999999988</v>
      </c>
      <c r="G371" s="14"/>
    </row>
    <row r="372" spans="1:7" x14ac:dyDescent="0.2">
      <c r="A372" s="345">
        <v>38837</v>
      </c>
      <c r="B372" s="1369">
        <v>1.91</v>
      </c>
      <c r="C372" s="33">
        <v>119054737.86</v>
      </c>
      <c r="D372" s="253"/>
      <c r="E372" s="253">
        <f>B372-Index_Returns!G372</f>
        <v>-0.18859999999999988</v>
      </c>
      <c r="G372" s="14"/>
    </row>
    <row r="373" spans="1:7" x14ac:dyDescent="0.2">
      <c r="A373" s="345">
        <v>38868</v>
      </c>
      <c r="B373" s="1369">
        <v>-2.95</v>
      </c>
      <c r="C373" s="33">
        <v>115541794.93000001</v>
      </c>
      <c r="D373" s="253"/>
      <c r="E373" s="253">
        <f>B373-Index_Returns!G373</f>
        <v>1.0516999999999994</v>
      </c>
      <c r="G373" s="14"/>
    </row>
    <row r="374" spans="1:7" x14ac:dyDescent="0.2">
      <c r="A374" s="345">
        <v>38898</v>
      </c>
      <c r="B374" s="1369">
        <v>-1.08</v>
      </c>
      <c r="C374" s="354">
        <v>114442001.02</v>
      </c>
      <c r="D374" s="253"/>
      <c r="E374" s="253">
        <f>B374-Index_Returns!G374</f>
        <v>-1.0457000000000001</v>
      </c>
      <c r="G374" s="14"/>
    </row>
    <row r="375" spans="1:7" x14ac:dyDescent="0.2">
      <c r="A375" s="345">
        <v>38929</v>
      </c>
      <c r="B375" s="1369">
        <v>-1.01</v>
      </c>
      <c r="C375" s="34">
        <v>113288803.54000001</v>
      </c>
      <c r="D375" s="253"/>
      <c r="E375" s="253">
        <f>B375-Index_Returns!G375</f>
        <v>1.2236999999999998</v>
      </c>
      <c r="G375" s="14"/>
    </row>
    <row r="376" spans="1:7" x14ac:dyDescent="0.2">
      <c r="A376" s="345">
        <v>38960</v>
      </c>
      <c r="B376" s="1369">
        <v>2.84</v>
      </c>
      <c r="C376" s="34">
        <v>116508190.56999999</v>
      </c>
      <c r="D376" s="253"/>
      <c r="E376" s="253">
        <f>B376-Index_Returns!G376</f>
        <v>1.3554999999999999</v>
      </c>
      <c r="G376" s="14"/>
    </row>
    <row r="377" spans="1:7" x14ac:dyDescent="0.2">
      <c r="A377" s="345">
        <v>38990</v>
      </c>
      <c r="B377" s="1369">
        <v>1.37</v>
      </c>
      <c r="C377" s="34">
        <v>118146958.67</v>
      </c>
      <c r="D377" s="253"/>
      <c r="E377" s="253">
        <f>B377-Index_Returns!G377</f>
        <v>1.1574</v>
      </c>
      <c r="G377" s="14"/>
    </row>
    <row r="378" spans="1:7" x14ac:dyDescent="0.2">
      <c r="A378" s="345">
        <v>39021</v>
      </c>
      <c r="B378" s="1369">
        <v>3.99</v>
      </c>
      <c r="C378" s="34">
        <v>122862801.8</v>
      </c>
      <c r="D378" s="253"/>
      <c r="E378" s="253">
        <f>B378-Index_Returns!G378</f>
        <v>-0.5270999999999999</v>
      </c>
      <c r="F378" s="352"/>
      <c r="G378" s="14"/>
    </row>
    <row r="379" spans="1:7" x14ac:dyDescent="0.2">
      <c r="A379" s="345">
        <v>39051</v>
      </c>
      <c r="B379" s="1369">
        <v>3.54</v>
      </c>
      <c r="C379" s="34">
        <v>127207563.31</v>
      </c>
      <c r="D379" s="253"/>
      <c r="E379" s="253">
        <f>B379-Index_Returns!G379</f>
        <v>0.47699999999999987</v>
      </c>
      <c r="F379" s="352"/>
      <c r="G379" s="14"/>
    </row>
    <row r="380" spans="1:7" x14ac:dyDescent="0.2">
      <c r="A380" s="345">
        <v>39082</v>
      </c>
      <c r="B380" s="1369">
        <v>0.3</v>
      </c>
      <c r="C380" s="34">
        <v>127737040.58</v>
      </c>
      <c r="D380" s="253"/>
      <c r="E380" s="253">
        <f>B380-Index_Returns!G380</f>
        <v>0.16059999999999999</v>
      </c>
      <c r="F380" s="352"/>
      <c r="G380" s="14"/>
    </row>
    <row r="381" spans="1:7" x14ac:dyDescent="0.2">
      <c r="A381" s="345">
        <v>39113</v>
      </c>
      <c r="B381" s="1369">
        <v>2.5</v>
      </c>
      <c r="C381" s="346">
        <v>130927476.33</v>
      </c>
      <c r="E381" s="253">
        <f>B381-Index_Returns!G381</f>
        <v>-0.83070000000000022</v>
      </c>
      <c r="F381" s="352"/>
      <c r="G381" s="14"/>
    </row>
    <row r="382" spans="1:7" x14ac:dyDescent="0.2">
      <c r="A382" s="345">
        <v>39141</v>
      </c>
      <c r="B382" s="1369">
        <v>1.3</v>
      </c>
      <c r="C382" s="346">
        <v>132634828.76000001</v>
      </c>
      <c r="E382" s="253">
        <f>B382-Index_Returns!G382</f>
        <v>9.2799999999999994E-2</v>
      </c>
      <c r="F382" s="352"/>
      <c r="G382" s="14"/>
    </row>
    <row r="383" spans="1:7" x14ac:dyDescent="0.2">
      <c r="A383" s="345">
        <v>39172</v>
      </c>
      <c r="B383" s="1369">
        <v>1.51</v>
      </c>
      <c r="C383" s="346">
        <v>134807770.69</v>
      </c>
      <c r="E383" s="253">
        <f>B383-Index_Returns!G383</f>
        <v>0.46189999999999998</v>
      </c>
      <c r="G383" s="14"/>
    </row>
    <row r="384" spans="1:7" x14ac:dyDescent="0.2">
      <c r="A384" s="345">
        <v>39202</v>
      </c>
      <c r="B384" s="1369">
        <v>3.66</v>
      </c>
      <c r="C384" s="346">
        <v>139734941.81999999</v>
      </c>
      <c r="E384" s="253">
        <f>B384-Index_Returns!G384</f>
        <v>0.84160000000000013</v>
      </c>
      <c r="G384" s="14"/>
    </row>
    <row r="385" spans="1:7" x14ac:dyDescent="0.2">
      <c r="A385" s="345">
        <v>39233</v>
      </c>
      <c r="B385" s="1369">
        <v>4.66</v>
      </c>
      <c r="C385" s="346">
        <v>146242527.83000001</v>
      </c>
      <c r="E385" s="253">
        <f>B385-Index_Returns!G385</f>
        <v>0.29440000000000044</v>
      </c>
      <c r="G385" s="14"/>
    </row>
    <row r="386" spans="1:7" x14ac:dyDescent="0.2">
      <c r="A386" s="345">
        <v>39263</v>
      </c>
      <c r="B386" s="1369">
        <v>-1.2</v>
      </c>
      <c r="C386" s="346">
        <v>144659560.53</v>
      </c>
      <c r="E386" s="253">
        <f>B386-Index_Returns!G386</f>
        <v>1.4583999999999999</v>
      </c>
      <c r="G386" s="14"/>
    </row>
    <row r="387" spans="1:7" x14ac:dyDescent="0.2">
      <c r="A387" s="345">
        <v>39294</v>
      </c>
      <c r="B387" s="1369">
        <v>-3.8</v>
      </c>
      <c r="C387" s="346">
        <v>139163370.72999999</v>
      </c>
      <c r="E387" s="253">
        <f>B387-Index_Returns!G387</f>
        <v>1.0768000000000004</v>
      </c>
      <c r="G387" s="14"/>
    </row>
    <row r="388" spans="1:7" x14ac:dyDescent="0.2">
      <c r="A388" s="345">
        <v>39325</v>
      </c>
      <c r="B388" s="1369">
        <v>1.02</v>
      </c>
      <c r="C388" s="346">
        <v>140586187.91999999</v>
      </c>
      <c r="E388" s="253">
        <f>B388-Index_Returns!G388</f>
        <v>0.29449999999999998</v>
      </c>
      <c r="G388" s="14"/>
    </row>
    <row r="389" spans="1:7" x14ac:dyDescent="0.2">
      <c r="A389" s="345">
        <v>39355</v>
      </c>
      <c r="B389" s="1369">
        <v>2.65</v>
      </c>
      <c r="C389" s="346">
        <v>144491485.52000001</v>
      </c>
      <c r="E389" s="253">
        <f>B389-Index_Returns!G389</f>
        <v>0.9121999999999999</v>
      </c>
      <c r="G389" s="14"/>
    </row>
    <row r="390" spans="1:7" x14ac:dyDescent="0.2">
      <c r="A390" s="345">
        <v>39386</v>
      </c>
      <c r="B390" s="1369">
        <v>1.48</v>
      </c>
      <c r="C390" s="346">
        <v>146636466.11000001</v>
      </c>
      <c r="E390" s="253">
        <f>B390-Index_Returns!G390</f>
        <v>-0.24839999999999995</v>
      </c>
      <c r="G390" s="14"/>
    </row>
    <row r="391" spans="1:7" x14ac:dyDescent="0.2">
      <c r="A391" s="345">
        <v>39416</v>
      </c>
      <c r="B391" s="1369">
        <v>-4.28</v>
      </c>
      <c r="C391" s="346">
        <v>140362343.16</v>
      </c>
      <c r="E391" s="253">
        <f>B391-Index_Returns!G391</f>
        <v>1.4593999999999996</v>
      </c>
      <c r="G391" s="14"/>
    </row>
    <row r="392" spans="1:7" x14ac:dyDescent="0.2">
      <c r="A392" s="345">
        <v>39447</v>
      </c>
      <c r="B392" s="1369">
        <v>1.1100000000000001</v>
      </c>
      <c r="C392" s="346">
        <v>142100143.62</v>
      </c>
      <c r="E392" s="253">
        <f>B392-Index_Returns!G392</f>
        <v>1.6238000000000001</v>
      </c>
      <c r="G392" s="14"/>
    </row>
    <row r="393" spans="1:7" x14ac:dyDescent="0.2">
      <c r="A393" s="345">
        <v>39478</v>
      </c>
      <c r="B393" s="1369">
        <v>-5.4</v>
      </c>
      <c r="C393" s="346">
        <v>134419845.18000001</v>
      </c>
      <c r="E393" s="253">
        <f>B393-Index_Returns!G393</f>
        <v>-0.29660000000000064</v>
      </c>
      <c r="G393" s="14"/>
    </row>
    <row r="394" spans="1:7" x14ac:dyDescent="0.2">
      <c r="A394" s="345">
        <v>39507</v>
      </c>
      <c r="B394" s="1369">
        <v>-1.91</v>
      </c>
      <c r="C394" s="346">
        <v>131846928.36</v>
      </c>
      <c r="E394" s="253">
        <f>B394-Index_Returns!G394</f>
        <v>1.3030000000000002</v>
      </c>
      <c r="G394" s="14"/>
    </row>
    <row r="395" spans="1:7" x14ac:dyDescent="0.2">
      <c r="A395" s="345">
        <v>39538</v>
      </c>
      <c r="B395" s="1369">
        <v>-1.19</v>
      </c>
      <c r="C395" s="346">
        <v>130458687.03</v>
      </c>
      <c r="E395" s="253">
        <f>B395-Index_Returns!G395</f>
        <v>-0.66179999999999994</v>
      </c>
      <c r="G395" s="14"/>
    </row>
    <row r="396" spans="1:7" x14ac:dyDescent="0.2">
      <c r="A396" s="345">
        <v>39568</v>
      </c>
      <c r="B396" s="1369">
        <v>6</v>
      </c>
      <c r="C396" s="346">
        <v>138282432.97999999</v>
      </c>
      <c r="E396" s="253">
        <f>B396-Index_Returns!G396</f>
        <v>-1.3150000000000004</v>
      </c>
      <c r="G396" s="14"/>
    </row>
    <row r="397" spans="1:7" x14ac:dyDescent="0.2">
      <c r="A397" s="345">
        <v>39599</v>
      </c>
      <c r="B397" s="1369">
        <v>3.97</v>
      </c>
      <c r="C397" s="346">
        <v>143773275.19999999</v>
      </c>
      <c r="E397" s="253">
        <f>B397-Index_Returns!G397</f>
        <v>-0.65520000000000023</v>
      </c>
      <c r="G397" s="14"/>
    </row>
    <row r="398" spans="1:7" x14ac:dyDescent="0.2">
      <c r="A398" s="345">
        <v>39629</v>
      </c>
      <c r="B398" s="1369">
        <v>-9.09</v>
      </c>
      <c r="C398" s="346">
        <v>130855861.11</v>
      </c>
      <c r="E398" s="253">
        <f>B398-Index_Returns!G398</f>
        <v>-0.20609999999999928</v>
      </c>
      <c r="G398" s="14"/>
    </row>
    <row r="399" spans="1:7" x14ac:dyDescent="0.2">
      <c r="A399" s="345">
        <v>39660</v>
      </c>
      <c r="B399" s="1369">
        <v>-0.11</v>
      </c>
      <c r="C399" s="33">
        <v>130707346.56999999</v>
      </c>
      <c r="E399" s="253">
        <f>B399-Index_Returns!G399</f>
        <v>0.22360000000000002</v>
      </c>
      <c r="G399" s="14"/>
    </row>
    <row r="400" spans="1:7" x14ac:dyDescent="0.2">
      <c r="A400" s="345">
        <v>39691</v>
      </c>
      <c r="B400" s="1369">
        <v>2.54</v>
      </c>
      <c r="C400" s="33">
        <v>134022671.59</v>
      </c>
      <c r="E400" s="253">
        <f>B400-Index_Returns!G400</f>
        <v>0.44289999999999985</v>
      </c>
      <c r="G400" s="14"/>
    </row>
    <row r="401" spans="1:7" x14ac:dyDescent="0.2">
      <c r="A401" s="345">
        <v>39721</v>
      </c>
      <c r="B401" s="1369">
        <v>-10.56</v>
      </c>
      <c r="C401" s="33">
        <v>120020881.56</v>
      </c>
      <c r="E401" s="253">
        <f>B401-Index_Returns!G401</f>
        <v>-2.0200000000000014</v>
      </c>
      <c r="G401" s="14"/>
    </row>
    <row r="402" spans="1:7" x14ac:dyDescent="0.2">
      <c r="A402" s="345">
        <v>39752</v>
      </c>
      <c r="B402" s="1369">
        <v>-18.010000000000002</v>
      </c>
      <c r="C402" s="346">
        <v>98408370</v>
      </c>
      <c r="E402" s="253">
        <f>B402-Index_Returns!G402</f>
        <v>3.7650999999999968</v>
      </c>
      <c r="G402" s="14"/>
    </row>
    <row r="403" spans="1:7" x14ac:dyDescent="0.2">
      <c r="A403" s="345">
        <v>39782</v>
      </c>
      <c r="B403" s="1369">
        <v>-6.73</v>
      </c>
      <c r="C403" s="346">
        <v>91781096</v>
      </c>
      <c r="E403" s="253">
        <f>B403-Index_Returns!G403</f>
        <v>2.1221999999999994</v>
      </c>
      <c r="G403" s="14"/>
    </row>
    <row r="404" spans="1:7" x14ac:dyDescent="0.2">
      <c r="A404" s="345">
        <v>39813</v>
      </c>
      <c r="B404" s="1369">
        <v>1.84</v>
      </c>
      <c r="C404" s="346">
        <v>93628886</v>
      </c>
      <c r="E404" s="253">
        <f>B404-Index_Returns!G404</f>
        <v>-3.1639999999999997</v>
      </c>
      <c r="G404" s="14"/>
    </row>
    <row r="405" spans="1:7" x14ac:dyDescent="0.2">
      <c r="A405" s="345">
        <v>39844</v>
      </c>
      <c r="B405" s="1369">
        <v>-4.74</v>
      </c>
      <c r="C405" s="346">
        <v>89186588.780000001</v>
      </c>
      <c r="D405" s="258">
        <v>-4.7446000000000002</v>
      </c>
      <c r="E405" s="253">
        <f>B405-Index_Returns!G405</f>
        <v>3.8121999999999989</v>
      </c>
      <c r="G405" s="14"/>
    </row>
    <row r="406" spans="1:7" x14ac:dyDescent="0.2">
      <c r="A406" s="345">
        <v>39872</v>
      </c>
      <c r="B406" s="1369">
        <v>-6.98</v>
      </c>
      <c r="C406" s="346">
        <v>82965569</v>
      </c>
      <c r="D406" s="258">
        <v>-6.9752999999999998</v>
      </c>
      <c r="E406" s="253">
        <f>B406-Index_Returns!G406</f>
        <v>4.3281999999999989</v>
      </c>
      <c r="G406" s="14"/>
    </row>
    <row r="407" spans="1:7" x14ac:dyDescent="0.2">
      <c r="A407" s="345">
        <v>39903</v>
      </c>
      <c r="B407" s="1369">
        <v>6.31</v>
      </c>
      <c r="C407" s="346">
        <v>88331455.290000007</v>
      </c>
      <c r="D407" s="258">
        <v>6.4676</v>
      </c>
      <c r="E407" s="253">
        <f>B407-Index_Returns!G407</f>
        <v>-2.0560999999999998</v>
      </c>
      <c r="G407" s="14"/>
    </row>
    <row r="408" spans="1:7" x14ac:dyDescent="0.2">
      <c r="A408" s="345">
        <v>39933</v>
      </c>
      <c r="B408" s="1369">
        <v>9.1</v>
      </c>
      <c r="C408" s="346">
        <v>96373819.069999993</v>
      </c>
      <c r="E408" s="253">
        <f>B408-Index_Returns!G408</f>
        <v>-6.6272000000000002</v>
      </c>
      <c r="G408" s="14"/>
    </row>
    <row r="409" spans="1:7" x14ac:dyDescent="0.2">
      <c r="A409" s="345">
        <v>39964</v>
      </c>
      <c r="B409" s="1369">
        <v>4.2300000000000004</v>
      </c>
      <c r="C409" s="346">
        <v>100448425.95999999</v>
      </c>
      <c r="E409" s="253">
        <f>B409-Index_Returns!G409</f>
        <v>2.3112000000000004</v>
      </c>
      <c r="G409" s="14"/>
    </row>
    <row r="410" spans="1:7" x14ac:dyDescent="0.2">
      <c r="A410" s="345">
        <v>39994</v>
      </c>
      <c r="B410" s="1369">
        <v>1.02</v>
      </c>
      <c r="C410" s="346">
        <v>101594048.72</v>
      </c>
      <c r="E410" s="253">
        <f>B410-Index_Returns!G410</f>
        <v>0.3115</v>
      </c>
      <c r="G410" s="14"/>
    </row>
    <row r="411" spans="1:7" x14ac:dyDescent="0.2">
      <c r="A411" s="345">
        <v>40025</v>
      </c>
      <c r="B411" s="1369">
        <v>6.16</v>
      </c>
      <c r="C411" s="346">
        <v>107854193.8</v>
      </c>
      <c r="D411" s="258">
        <v>6.1619000000000002</v>
      </c>
      <c r="E411" s="253">
        <f>B411-Index_Returns!G411</f>
        <v>-3.2343999999999991</v>
      </c>
      <c r="G411" s="14"/>
    </row>
    <row r="412" spans="1:7" x14ac:dyDescent="0.2">
      <c r="A412" s="345">
        <v>40056</v>
      </c>
      <c r="B412" s="1369">
        <v>3.21</v>
      </c>
      <c r="C412" s="346">
        <v>111314436.97</v>
      </c>
      <c r="D412" s="258">
        <v>3.2082999999999999</v>
      </c>
      <c r="E412" s="253">
        <f>B412-Index_Returns!G412</f>
        <v>-2.218</v>
      </c>
      <c r="G412" s="14"/>
    </row>
    <row r="413" spans="1:7" x14ac:dyDescent="0.2">
      <c r="A413" s="345">
        <v>40086</v>
      </c>
      <c r="B413" s="1369">
        <v>3.13</v>
      </c>
      <c r="C413" s="346">
        <v>114933229.05</v>
      </c>
      <c r="D413" s="258">
        <v>3.2509999999999999</v>
      </c>
      <c r="E413" s="253">
        <f>B413-Index_Returns!G413</f>
        <v>-2.1852</v>
      </c>
      <c r="G413" s="14"/>
    </row>
    <row r="414" spans="1:7" x14ac:dyDescent="0.2">
      <c r="A414" s="345">
        <v>40117</v>
      </c>
      <c r="B414" s="1369">
        <v>-3.4132799999999999</v>
      </c>
      <c r="C414" s="346">
        <v>111010328</v>
      </c>
      <c r="D414" s="258">
        <v>-3.41</v>
      </c>
      <c r="E414" s="253">
        <f>B414-Index_Returns!G414</f>
        <v>2.2367200000000005</v>
      </c>
      <c r="G414" s="14"/>
    </row>
    <row r="415" spans="1:7" x14ac:dyDescent="0.2">
      <c r="A415" s="345">
        <v>40147</v>
      </c>
      <c r="B415" s="1369">
        <v>5.1005599999999998</v>
      </c>
      <c r="C415" s="1333">
        <v>116672384</v>
      </c>
      <c r="D415" s="1369">
        <v>5.2220000000000004</v>
      </c>
      <c r="E415" s="253">
        <f>B415-Index_Returns!G415</f>
        <v>0.63056000000000001</v>
      </c>
      <c r="G415" s="14"/>
    </row>
    <row r="416" spans="1:7" x14ac:dyDescent="0.2">
      <c r="A416" s="345">
        <v>40178</v>
      </c>
      <c r="B416" s="1369">
        <v>3.8155700000000001</v>
      </c>
      <c r="C416" s="346">
        <v>121124105.2</v>
      </c>
      <c r="D416" s="258">
        <v>3.8155700000000001</v>
      </c>
      <c r="E416" s="253">
        <f>B416-Index_Returns!G416</f>
        <v>-3.1736500000000003</v>
      </c>
      <c r="G416" s="14"/>
    </row>
    <row r="417" spans="1:7" x14ac:dyDescent="0.2">
      <c r="A417" s="345">
        <v>40209</v>
      </c>
      <c r="B417" s="253">
        <v>-3.0068999999999999</v>
      </c>
      <c r="C417" s="346">
        <v>117482023.22</v>
      </c>
      <c r="D417" s="258">
        <v>-3.0068999999999999</v>
      </c>
      <c r="E417" s="253">
        <f>B417-Index_Returns!G417</f>
        <v>-0.47358000000000011</v>
      </c>
      <c r="G417" s="14"/>
    </row>
    <row r="418" spans="1:7" x14ac:dyDescent="0.2">
      <c r="A418" s="345">
        <v>40237</v>
      </c>
      <c r="B418" s="253">
        <v>2.4718300000000002</v>
      </c>
      <c r="C418" s="346">
        <v>120385980.14</v>
      </c>
      <c r="D418" s="258">
        <v>2.4718300000000002</v>
      </c>
      <c r="E418" s="253">
        <f>B418-Index_Returns!G418</f>
        <v>-2.3845899999999998</v>
      </c>
      <c r="G418" s="14"/>
    </row>
    <row r="419" spans="1:7" x14ac:dyDescent="0.2">
      <c r="A419" s="345">
        <v>40268</v>
      </c>
      <c r="B419" s="253">
        <v>5.7005999999999997</v>
      </c>
      <c r="C419" s="1334">
        <v>127248697.06</v>
      </c>
      <c r="D419" s="1311">
        <v>5.7005999999999997</v>
      </c>
      <c r="E419" s="253">
        <f>B419-Index_Returns!G419</f>
        <v>-0.72597000000000023</v>
      </c>
      <c r="G419" s="14"/>
    </row>
    <row r="420" spans="1:7" x14ac:dyDescent="0.2">
      <c r="A420" s="345">
        <v>40298</v>
      </c>
      <c r="B420" s="253">
        <v>3.0775800000000002</v>
      </c>
      <c r="C420" s="346">
        <v>131164878.92</v>
      </c>
      <c r="D420" s="258">
        <v>3.0775800000000002</v>
      </c>
      <c r="E420" s="253">
        <f>B420-Index_Returns!G420</f>
        <v>-1.6579199999999998</v>
      </c>
      <c r="G420" s="14"/>
    </row>
    <row r="421" spans="1:7" x14ac:dyDescent="0.2">
      <c r="A421" s="345">
        <v>40329</v>
      </c>
      <c r="B421" s="253">
        <v>-9.0903799999999997</v>
      </c>
      <c r="C421" s="346">
        <v>119241487.93000001</v>
      </c>
      <c r="D421" s="258">
        <v>-9.0903799999999997</v>
      </c>
      <c r="E421" s="253">
        <f>B421-Index_Returns!G421</f>
        <v>-1.4230299999999998</v>
      </c>
      <c r="G421" s="14"/>
    </row>
    <row r="422" spans="1:7" x14ac:dyDescent="0.2">
      <c r="A422" s="345">
        <v>40359</v>
      </c>
      <c r="B422" s="253">
        <v>-5.6101299999999998</v>
      </c>
      <c r="C422" s="346">
        <v>112551886.14</v>
      </c>
      <c r="D422" s="258">
        <v>-5.6101299999999998</v>
      </c>
      <c r="E422" s="253">
        <f>B422-Index_Returns!G422</f>
        <v>1.2151199999999998</v>
      </c>
      <c r="G422" s="14"/>
    </row>
    <row r="423" spans="1:7" x14ac:dyDescent="0.2">
      <c r="A423" s="345">
        <v>40390</v>
      </c>
      <c r="B423" s="253">
        <v>7.2390800000000004</v>
      </c>
      <c r="C423" s="346">
        <v>120699611.75</v>
      </c>
      <c r="D423" s="258">
        <v>7.2390800000000004</v>
      </c>
      <c r="E423" s="253">
        <f>B423-Index_Returns!G423</f>
        <v>0.33712000000000053</v>
      </c>
      <c r="G423" s="14"/>
    </row>
    <row r="424" spans="1:7" x14ac:dyDescent="0.2">
      <c r="A424" s="345">
        <v>40421</v>
      </c>
      <c r="B424" s="253">
        <v>-4.3373299999999997</v>
      </c>
      <c r="C424" s="346">
        <v>115464472.98999999</v>
      </c>
      <c r="D424" s="258">
        <v>-4.3373299999999997</v>
      </c>
      <c r="E424" s="253">
        <f>B424-Index_Returns!G424</f>
        <v>1.05898</v>
      </c>
      <c r="G424" s="14"/>
    </row>
    <row r="425" spans="1:7" x14ac:dyDescent="0.2">
      <c r="A425" s="345">
        <v>40451</v>
      </c>
      <c r="B425" s="253">
        <v>10.956480000000001</v>
      </c>
      <c r="C425" s="346">
        <v>128115317.06999999</v>
      </c>
      <c r="D425" s="258">
        <v>10.956480000000001</v>
      </c>
      <c r="E425" s="253">
        <f>B425-Index_Returns!G425</f>
        <v>0.72782000000000124</v>
      </c>
      <c r="G425" s="14"/>
    </row>
    <row r="426" spans="1:7" x14ac:dyDescent="0.2">
      <c r="A426" s="345">
        <v>40482</v>
      </c>
      <c r="B426" s="258">
        <v>2.97756</v>
      </c>
      <c r="C426" s="346">
        <v>131930031.34</v>
      </c>
      <c r="D426" s="258">
        <v>2.97756</v>
      </c>
      <c r="E426" s="253">
        <f>B426-Index_Returns!G426</f>
        <v>-1.5589999999999993E-2</v>
      </c>
      <c r="G426" s="14"/>
    </row>
    <row r="427" spans="1:7" x14ac:dyDescent="0.2">
      <c r="A427" s="345">
        <v>40512</v>
      </c>
      <c r="B427" s="253">
        <v>0.61378999999999995</v>
      </c>
      <c r="C427" s="346">
        <v>132739797.78</v>
      </c>
      <c r="D427" s="258">
        <v>0.61378999999999995</v>
      </c>
      <c r="E427" s="253">
        <f>B427-Index_Returns!G427</f>
        <v>-0.75373000000000012</v>
      </c>
      <c r="G427" s="14"/>
    </row>
    <row r="428" spans="1:7" x14ac:dyDescent="0.2">
      <c r="A428" s="345">
        <v>40543</v>
      </c>
      <c r="B428" s="253">
        <v>8.6037099999999995</v>
      </c>
      <c r="C428" s="346">
        <v>144160339.63</v>
      </c>
      <c r="D428" s="258">
        <v>8.6037099999999995</v>
      </c>
      <c r="E428" s="253">
        <f>B428-Index_Returns!G428</f>
        <v>0.96277999999999953</v>
      </c>
      <c r="G428" s="14"/>
    </row>
    <row r="429" spans="1:7" x14ac:dyDescent="0.2">
      <c r="A429" s="345">
        <v>40574</v>
      </c>
      <c r="B429" s="253">
        <v>2.7494800000000001</v>
      </c>
      <c r="C429" s="346">
        <v>148123992.02000001</v>
      </c>
      <c r="D429" s="258">
        <v>2.7494800000000001</v>
      </c>
      <c r="E429" s="253">
        <f>B429-Index_Returns!G429</f>
        <v>0.11797000000000013</v>
      </c>
      <c r="G429" s="14"/>
    </row>
    <row r="430" spans="1:7" x14ac:dyDescent="0.2">
      <c r="A430" s="345">
        <v>40602</v>
      </c>
      <c r="B430" s="253">
        <v>3.6406800000000001</v>
      </c>
      <c r="C430" s="346">
        <v>153516708.41</v>
      </c>
      <c r="D430" s="258">
        <v>3.6406800000000001</v>
      </c>
      <c r="E430" s="253">
        <f>B430-Index_Returns!G430</f>
        <v>-0.53750999999999971</v>
      </c>
      <c r="G430" s="14"/>
    </row>
    <row r="431" spans="1:7" x14ac:dyDescent="0.2">
      <c r="A431" s="345">
        <v>40633</v>
      </c>
      <c r="B431" s="253">
        <f>D431</f>
        <v>0.82123999999999997</v>
      </c>
      <c r="C431" s="346">
        <v>154777452.11000001</v>
      </c>
      <c r="D431" s="258">
        <v>0.82123999999999997</v>
      </c>
      <c r="E431" s="253">
        <f>B431-Index_Returns!G431</f>
        <v>-1.0370699999999999</v>
      </c>
      <c r="G431" s="14"/>
    </row>
    <row r="432" spans="1:7" x14ac:dyDescent="0.2">
      <c r="A432" s="345">
        <v>40663</v>
      </c>
      <c r="B432" s="253">
        <f t="shared" ref="B432:B488" si="0">D432</f>
        <v>3.22512</v>
      </c>
      <c r="C432" s="346">
        <v>159769212.41</v>
      </c>
      <c r="D432" s="258">
        <v>3.22512</v>
      </c>
      <c r="E432" s="253">
        <f>B432-Index_Returns!G432</f>
        <v>1.25763</v>
      </c>
      <c r="G432" s="14"/>
    </row>
    <row r="433" spans="1:7" x14ac:dyDescent="0.2">
      <c r="A433" s="345">
        <v>40694</v>
      </c>
      <c r="B433" s="253">
        <f t="shared" si="0"/>
        <v>1.9740000000000001E-2</v>
      </c>
      <c r="C433" s="346">
        <v>159979760.11000001</v>
      </c>
      <c r="D433" s="258">
        <v>1.9740000000000001E-2</v>
      </c>
      <c r="E433" s="253">
        <f>B433-Index_Returns!G433</f>
        <v>1.6930200000000002</v>
      </c>
      <c r="G433" s="14"/>
    </row>
    <row r="434" spans="1:7" x14ac:dyDescent="0.2">
      <c r="A434" s="345">
        <v>40724</v>
      </c>
      <c r="B434" s="253">
        <f t="shared" si="0"/>
        <v>-2.3559899999999998</v>
      </c>
      <c r="C434" s="346">
        <v>156210650.93000001</v>
      </c>
      <c r="D434" s="258">
        <v>-2.3559899999999998</v>
      </c>
      <c r="E434" s="253">
        <f>B434-Index_Returns!G434</f>
        <v>9.7420000000000062E-2</v>
      </c>
      <c r="G434" s="14"/>
    </row>
    <row r="435" spans="1:7" x14ac:dyDescent="0.2">
      <c r="A435" s="345">
        <v>40755</v>
      </c>
      <c r="B435" s="253">
        <f t="shared" si="0"/>
        <v>-4.6485200000000004</v>
      </c>
      <c r="C435" s="346">
        <v>149132679.12</v>
      </c>
      <c r="D435" s="258">
        <v>-4.6485200000000004</v>
      </c>
      <c r="E435" s="253">
        <f>B435-Index_Returns!G435</f>
        <v>-0.66341000000000028</v>
      </c>
      <c r="G435" s="14"/>
    </row>
    <row r="436" spans="1:7" x14ac:dyDescent="0.2">
      <c r="A436" s="345">
        <v>40786</v>
      </c>
      <c r="B436" s="253">
        <f t="shared" si="0"/>
        <v>-8.26891</v>
      </c>
      <c r="C436" s="346">
        <v>136801032.53999999</v>
      </c>
      <c r="D436" s="258">
        <v>-8.26891</v>
      </c>
      <c r="E436" s="253">
        <f>B436-Index_Returns!G436</f>
        <v>-0.82594000000000012</v>
      </c>
      <c r="G436" s="14"/>
    </row>
    <row r="437" spans="1:7" x14ac:dyDescent="0.2">
      <c r="A437" s="345">
        <v>40816</v>
      </c>
      <c r="B437" s="253">
        <f t="shared" si="0"/>
        <v>-9.7585300000000004</v>
      </c>
      <c r="C437" s="346">
        <v>123451259.52</v>
      </c>
      <c r="D437" s="258">
        <v>-9.7585300000000004</v>
      </c>
      <c r="E437" s="253">
        <f>B437-Index_Returns!G437</f>
        <v>1.2867999999999995</v>
      </c>
      <c r="G437" s="14"/>
    </row>
    <row r="438" spans="1:7" x14ac:dyDescent="0.2">
      <c r="A438" s="345">
        <v>40847</v>
      </c>
      <c r="B438" s="253">
        <f t="shared" si="0"/>
        <v>11.26005</v>
      </c>
      <c r="C438" s="346">
        <v>137546947.33000001</v>
      </c>
      <c r="D438" s="258">
        <v>11.26005</v>
      </c>
      <c r="E438" s="253">
        <f>B438-Index_Returns!G438</f>
        <v>-2.9332600000000006</v>
      </c>
    </row>
    <row r="439" spans="1:7" x14ac:dyDescent="0.2">
      <c r="A439" s="345">
        <v>40877</v>
      </c>
      <c r="B439" s="253">
        <f t="shared" si="0"/>
        <v>-1.76999</v>
      </c>
      <c r="C439" s="346">
        <v>135112377.84999999</v>
      </c>
      <c r="D439" s="258">
        <v>-1.76999</v>
      </c>
      <c r="E439" s="253">
        <f>B439-Index_Returns!G439</f>
        <v>-2.27434</v>
      </c>
    </row>
    <row r="440" spans="1:7" x14ac:dyDescent="0.2">
      <c r="A440" s="345">
        <v>40908</v>
      </c>
      <c r="B440" s="253">
        <f t="shared" si="0"/>
        <v>0.13278999999999999</v>
      </c>
      <c r="C440" s="346">
        <v>135291794.52000001</v>
      </c>
      <c r="D440" s="258">
        <v>0.13278999999999999</v>
      </c>
      <c r="E440" s="253">
        <f>B440-Index_Returns!G440</f>
        <v>-0.83174000000000003</v>
      </c>
    </row>
    <row r="441" spans="1:7" x14ac:dyDescent="0.2">
      <c r="A441" s="345">
        <v>40939</v>
      </c>
      <c r="B441" s="253">
        <f t="shared" si="0"/>
        <v>6.2599900000000002</v>
      </c>
      <c r="C441" s="346">
        <v>143761042.30000001</v>
      </c>
      <c r="D441" s="258">
        <v>6.2599900000000002</v>
      </c>
      <c r="E441" s="253">
        <f>B441-Index_Returns!G441</f>
        <v>-7.7759999999999607E-2</v>
      </c>
    </row>
    <row r="442" spans="1:7" x14ac:dyDescent="0.2">
      <c r="A442" s="345">
        <v>40968</v>
      </c>
      <c r="B442" s="253">
        <f t="shared" si="0"/>
        <v>3.5558999999999998</v>
      </c>
      <c r="C442" s="346">
        <v>149035691.02000001</v>
      </c>
      <c r="D442" s="258">
        <v>3.5558999999999998</v>
      </c>
      <c r="E442" s="253">
        <f>B442-Index_Returns!G442</f>
        <v>-0.40297000000000027</v>
      </c>
    </row>
    <row r="443" spans="1:7" x14ac:dyDescent="0.2">
      <c r="A443" s="345">
        <v>40999</v>
      </c>
      <c r="B443" s="253">
        <f t="shared" si="0"/>
        <v>3.0186799999999998</v>
      </c>
      <c r="C443" s="346">
        <v>153534608.16</v>
      </c>
      <c r="D443" s="258">
        <v>3.0186799999999998</v>
      </c>
      <c r="E443" s="253">
        <f>B443-Index_Returns!G443</f>
        <v>0.9109799999999999</v>
      </c>
    </row>
    <row r="444" spans="1:7" x14ac:dyDescent="0.2">
      <c r="A444" s="345">
        <v>41029</v>
      </c>
      <c r="B444" s="253">
        <f t="shared" si="0"/>
        <v>-1.04087</v>
      </c>
      <c r="C444" s="346">
        <v>152110800.71000001</v>
      </c>
      <c r="D444" s="258">
        <v>-1.04087</v>
      </c>
      <c r="E444" s="253">
        <f>B444-Index_Returns!G444</f>
        <v>-0.6588099999999999</v>
      </c>
    </row>
    <row r="445" spans="1:7" x14ac:dyDescent="0.2">
      <c r="A445" s="345">
        <v>41060</v>
      </c>
      <c r="B445" s="253">
        <f t="shared" si="0"/>
        <v>-5.3522100000000004</v>
      </c>
      <c r="C445" s="346">
        <v>143794305.56999999</v>
      </c>
      <c r="D445" s="258">
        <v>-5.3522100000000004</v>
      </c>
      <c r="E445" s="253">
        <f>B445-Index_Returns!G445</f>
        <v>1.3319399999999995</v>
      </c>
    </row>
    <row r="446" spans="1:7" x14ac:dyDescent="0.2">
      <c r="A446" s="345">
        <v>41090</v>
      </c>
      <c r="B446" s="253">
        <f t="shared" si="0"/>
        <v>1.8099099999999999</v>
      </c>
      <c r="C446" s="346">
        <v>146575219.5</v>
      </c>
      <c r="D446" s="258">
        <v>1.8099099999999999</v>
      </c>
      <c r="E446" s="253">
        <f>B446-Index_Returns!G446</f>
        <v>-1.3282799999999999</v>
      </c>
    </row>
    <row r="447" spans="1:7" x14ac:dyDescent="0.2">
      <c r="A447" s="345">
        <v>41121</v>
      </c>
      <c r="B447" s="253">
        <f t="shared" si="0"/>
        <v>0.85414000000000001</v>
      </c>
      <c r="C447" s="346">
        <v>147827173.53999999</v>
      </c>
      <c r="D447" s="258">
        <v>0.85414000000000001</v>
      </c>
      <c r="E447" s="253">
        <f>B447-Index_Returns!G447</f>
        <v>1.08891</v>
      </c>
    </row>
    <row r="448" spans="1:7" x14ac:dyDescent="0.2">
      <c r="A448" s="345">
        <v>41152</v>
      </c>
      <c r="B448" s="253">
        <f t="shared" si="0"/>
        <v>1.9420900000000001</v>
      </c>
      <c r="C448" s="346">
        <v>144371068.02000001</v>
      </c>
      <c r="D448" s="258">
        <v>1.9420900000000001</v>
      </c>
      <c r="E448" s="253">
        <f>B448-Index_Returns!G448</f>
        <v>-0.86407000000000012</v>
      </c>
    </row>
    <row r="449" spans="1:5" x14ac:dyDescent="0.2">
      <c r="A449" s="345">
        <v>41182</v>
      </c>
      <c r="B449" s="253">
        <f t="shared" si="0"/>
        <v>2.3299699999999999</v>
      </c>
      <c r="C449" s="346">
        <v>147628977.11000001</v>
      </c>
      <c r="D449" s="258">
        <v>2.3299699999999999</v>
      </c>
      <c r="E449" s="253">
        <f>B449-Index_Returns!G449</f>
        <v>0.15302999999999978</v>
      </c>
    </row>
    <row r="450" spans="1:5" x14ac:dyDescent="0.2">
      <c r="A450" s="345">
        <v>41213</v>
      </c>
      <c r="B450" s="253">
        <f t="shared" si="0"/>
        <v>-0.73067000000000004</v>
      </c>
      <c r="C450" s="346">
        <v>139653609.16999999</v>
      </c>
      <c r="D450" s="258">
        <v>-0.73067000000000004</v>
      </c>
      <c r="E450" s="253">
        <f>B450-Index_Returns!G450</f>
        <v>-0.28647000000000006</v>
      </c>
    </row>
    <row r="451" spans="1:5" x14ac:dyDescent="0.2">
      <c r="A451" s="345">
        <v>41243</v>
      </c>
      <c r="B451" s="253">
        <f t="shared" si="0"/>
        <v>1.7906599999999999</v>
      </c>
      <c r="C451" s="346">
        <v>142407243.94999999</v>
      </c>
      <c r="D451" s="258">
        <v>1.7906599999999999</v>
      </c>
      <c r="E451" s="253">
        <f>B451-Index_Returns!G451</f>
        <v>-2.5079999999999991E-2</v>
      </c>
    </row>
    <row r="452" spans="1:5" x14ac:dyDescent="0.2">
      <c r="A452" s="345">
        <v>41274</v>
      </c>
      <c r="B452" s="253">
        <f t="shared" si="0"/>
        <v>2.7079499999999999</v>
      </c>
      <c r="C452" s="346">
        <v>132231705.91</v>
      </c>
      <c r="D452" s="258">
        <v>2.7079499999999999</v>
      </c>
      <c r="E452" s="253">
        <f>B452-Index_Returns!G452</f>
        <v>-0.39885999999999999</v>
      </c>
    </row>
    <row r="453" spans="1:5" x14ac:dyDescent="0.2">
      <c r="A453" s="345">
        <v>41305</v>
      </c>
      <c r="B453" s="253">
        <f t="shared" si="0"/>
        <v>5.53024</v>
      </c>
      <c r="C453" s="346">
        <v>139544432.5</v>
      </c>
      <c r="D453" s="258">
        <v>5.53024</v>
      </c>
      <c r="E453" s="253">
        <f>B453-Index_Returns!G453</f>
        <v>-1.9065700000000003</v>
      </c>
    </row>
    <row r="454" spans="1:5" x14ac:dyDescent="0.2">
      <c r="A454" s="345">
        <v>41333</v>
      </c>
      <c r="B454" s="253">
        <f t="shared" si="0"/>
        <v>1.2204900000000001</v>
      </c>
      <c r="C454" s="346">
        <v>141431564.08000001</v>
      </c>
      <c r="D454" s="258">
        <v>1.2204900000000001</v>
      </c>
      <c r="E454" s="253">
        <f>B454-Index_Returns!G454</f>
        <v>-0.43803999999999998</v>
      </c>
    </row>
    <row r="455" spans="1:5" x14ac:dyDescent="0.2">
      <c r="A455" s="345">
        <v>41364</v>
      </c>
      <c r="B455" s="253">
        <f t="shared" si="0"/>
        <v>3.06772</v>
      </c>
      <c r="C455" s="346">
        <v>136702199.71000001</v>
      </c>
      <c r="D455" s="258">
        <v>3.06772</v>
      </c>
      <c r="E455" s="253">
        <f>B455-Index_Returns!G455</f>
        <v>-2.0706399999999996</v>
      </c>
    </row>
    <row r="456" spans="1:5" x14ac:dyDescent="0.2">
      <c r="A456" s="345">
        <v>41394</v>
      </c>
      <c r="B456" s="253">
        <f t="shared" si="0"/>
        <v>0.19408</v>
      </c>
      <c r="C456" s="346">
        <v>136967510.03</v>
      </c>
      <c r="D456" s="258">
        <v>0.19408</v>
      </c>
      <c r="E456" s="253">
        <f>B456-Index_Returns!G456</f>
        <v>0.16467999999999999</v>
      </c>
    </row>
    <row r="457" spans="1:5" x14ac:dyDescent="0.2">
      <c r="A457" s="345">
        <v>41425</v>
      </c>
      <c r="B457" s="253">
        <f t="shared" si="0"/>
        <v>4.2208199999999998</v>
      </c>
      <c r="C457" s="346">
        <v>142921248.97999999</v>
      </c>
      <c r="D457" s="258">
        <v>4.2208199999999998</v>
      </c>
      <c r="E457" s="253">
        <f>B457-Index_Returns!G457</f>
        <v>1.9893199999999998</v>
      </c>
    </row>
    <row r="458" spans="1:5" x14ac:dyDescent="0.2">
      <c r="A458" s="345">
        <v>41455</v>
      </c>
      <c r="B458" s="253">
        <f t="shared" si="0"/>
        <v>-1.3721699999999999</v>
      </c>
      <c r="C458" s="1307">
        <v>131133030.29000001</v>
      </c>
      <c r="D458" s="1306">
        <v>-1.3721699999999999</v>
      </c>
      <c r="E458" s="253">
        <f>B458-Index_Returns!G458</f>
        <v>-0.13716999999999979</v>
      </c>
    </row>
    <row r="459" spans="1:5" x14ac:dyDescent="0.2">
      <c r="A459" s="345">
        <v>41486</v>
      </c>
      <c r="B459" s="253">
        <f t="shared" si="0"/>
        <v>5.9283799999999998</v>
      </c>
      <c r="C459" s="346">
        <v>129041539.08</v>
      </c>
      <c r="D459" s="258">
        <v>5.9283799999999998</v>
      </c>
      <c r="E459" s="253">
        <f>B459-Index_Returns!G459</f>
        <v>-0.37914000000000048</v>
      </c>
    </row>
    <row r="460" spans="1:5" x14ac:dyDescent="0.2">
      <c r="A460" s="345">
        <v>41517</v>
      </c>
      <c r="B460" s="253">
        <f t="shared" si="0"/>
        <v>-2.8559700000000001</v>
      </c>
      <c r="C460" s="346">
        <v>125356147.86</v>
      </c>
      <c r="D460" s="258">
        <v>-2.8559700000000001</v>
      </c>
      <c r="E460" s="253">
        <f>B460-Index_Returns!G460</f>
        <v>1.0273399999999997</v>
      </c>
    </row>
    <row r="461" spans="1:5" x14ac:dyDescent="0.2">
      <c r="A461" s="345">
        <v>41547</v>
      </c>
      <c r="B461" s="253">
        <f t="shared" si="0"/>
        <v>4.0153100000000004</v>
      </c>
      <c r="C461" s="346">
        <v>130389586.87</v>
      </c>
      <c r="D461" s="258">
        <v>4.0153100000000004</v>
      </c>
      <c r="E461" s="253">
        <f>B461-Index_Returns!G461</f>
        <v>-0.67134999999999945</v>
      </c>
    </row>
    <row r="462" spans="1:5" x14ac:dyDescent="0.2">
      <c r="A462" s="345">
        <v>41578</v>
      </c>
      <c r="B462" s="253">
        <f t="shared" si="0"/>
        <v>1.75675</v>
      </c>
      <c r="C462" s="346">
        <v>132846860.56999999</v>
      </c>
      <c r="D462" s="258">
        <v>1.75675</v>
      </c>
      <c r="E462" s="253">
        <f>B462-Index_Returns!G462</f>
        <v>-2.4264599999999996</v>
      </c>
    </row>
    <row r="463" spans="1:5" x14ac:dyDescent="0.2">
      <c r="A463" s="345">
        <v>41608</v>
      </c>
      <c r="B463" s="253">
        <f t="shared" si="0"/>
        <v>3.0666099999999998</v>
      </c>
      <c r="C463" s="346">
        <v>116230774.23</v>
      </c>
      <c r="D463" s="258">
        <v>3.0666099999999998</v>
      </c>
      <c r="E463" s="253">
        <f>B463-Index_Returns!G463</f>
        <v>2.1048399999999998</v>
      </c>
    </row>
    <row r="464" spans="1:5" x14ac:dyDescent="0.2">
      <c r="A464" s="345">
        <v>41639</v>
      </c>
      <c r="B464" s="253">
        <f t="shared" si="0"/>
        <v>4.8649500000000003</v>
      </c>
      <c r="C464" s="346">
        <v>106572700.58</v>
      </c>
      <c r="D464" s="258">
        <v>4.8649500000000003</v>
      </c>
      <c r="E464" s="253">
        <f>B464-Index_Returns!G464</f>
        <v>1.9827600000000003</v>
      </c>
    </row>
    <row r="465" spans="1:5" x14ac:dyDescent="0.2">
      <c r="A465" s="345">
        <v>41670</v>
      </c>
      <c r="B465" s="253">
        <f t="shared" si="0"/>
        <v>-3.2903699999999998</v>
      </c>
      <c r="C465" s="346">
        <v>103229642.36</v>
      </c>
      <c r="D465" s="258">
        <v>-3.2903699999999998</v>
      </c>
      <c r="E465" s="253">
        <f>B465-Index_Returns!G465</f>
        <v>-1.6372799999999998</v>
      </c>
    </row>
    <row r="466" spans="1:5" x14ac:dyDescent="0.2">
      <c r="A466" s="345">
        <v>41698</v>
      </c>
      <c r="B466" s="253">
        <f t="shared" si="0"/>
        <v>4.7475300000000002</v>
      </c>
      <c r="C466" s="346">
        <v>98101438.400000006</v>
      </c>
      <c r="D466" s="258">
        <v>4.7475300000000002</v>
      </c>
      <c r="E466" s="253">
        <f>B466-Index_Returns!G466</f>
        <v>0.31260000000000066</v>
      </c>
    </row>
    <row r="467" spans="1:5" x14ac:dyDescent="0.2">
      <c r="A467" s="345">
        <v>41729</v>
      </c>
      <c r="B467" s="253">
        <f t="shared" si="0"/>
        <v>-4.0039999999999999E-2</v>
      </c>
      <c r="C467" s="346">
        <v>98062156.329999998</v>
      </c>
      <c r="D467" s="258">
        <v>-4.0039999999999999E-2</v>
      </c>
      <c r="E467" s="253">
        <f>B467-Index_Returns!G467</f>
        <v>-1.28769</v>
      </c>
    </row>
    <row r="468" spans="1:5" x14ac:dyDescent="0.2">
      <c r="A468" s="345">
        <v>41759</v>
      </c>
      <c r="B468" s="253">
        <f t="shared" si="0"/>
        <v>-0.45696999999999999</v>
      </c>
      <c r="C468" s="346">
        <v>97614040.670000002</v>
      </c>
      <c r="D468" s="258">
        <v>-0.45696999999999999</v>
      </c>
      <c r="E468" s="253">
        <f>B468-Index_Returns!G468</f>
        <v>-0.21106</v>
      </c>
    </row>
    <row r="469" spans="1:5" x14ac:dyDescent="0.2">
      <c r="A469" s="345">
        <v>41790</v>
      </c>
      <c r="B469" s="253">
        <f t="shared" si="0"/>
        <v>1.3543799999999999</v>
      </c>
      <c r="C469" s="346">
        <v>99101325.730000004</v>
      </c>
      <c r="D469" s="258">
        <v>1.3543799999999999</v>
      </c>
      <c r="E469" s="253">
        <f>B469-Index_Returns!G469</f>
        <v>-0.32176000000000005</v>
      </c>
    </row>
    <row r="470" spans="1:5" x14ac:dyDescent="0.2">
      <c r="A470" s="345">
        <v>41820</v>
      </c>
      <c r="B470" s="253">
        <f t="shared" si="0"/>
        <v>2.48047</v>
      </c>
      <c r="C470" s="346">
        <v>101559505.59</v>
      </c>
      <c r="D470" s="258">
        <v>2.48047</v>
      </c>
      <c r="E470" s="253">
        <f>B470-Index_Returns!G470</f>
        <v>-1.8478800000000004</v>
      </c>
    </row>
    <row r="471" spans="1:5" x14ac:dyDescent="0.2">
      <c r="A471" s="345">
        <v>41851</v>
      </c>
      <c r="B471" s="253">
        <f t="shared" si="0"/>
        <v>-3.63266</v>
      </c>
      <c r="C471" s="346">
        <v>98006261.790000007</v>
      </c>
      <c r="D471" s="258">
        <v>-3.63266</v>
      </c>
      <c r="E471" s="253">
        <f>B471-Index_Returns!G471</f>
        <v>0.71188000000000029</v>
      </c>
    </row>
    <row r="472" spans="1:5" x14ac:dyDescent="0.2">
      <c r="A472" s="345">
        <v>41882</v>
      </c>
      <c r="B472" s="253">
        <f t="shared" si="0"/>
        <v>4.1372999999999998</v>
      </c>
      <c r="C472" s="346">
        <v>102061070.13</v>
      </c>
      <c r="D472" s="258">
        <v>4.1372999999999998</v>
      </c>
      <c r="E472" s="253">
        <f>B472-Index_Returns!G472</f>
        <v>-1.1379900000000003</v>
      </c>
    </row>
    <row r="473" spans="1:5" x14ac:dyDescent="0.2">
      <c r="A473" s="345">
        <v>41912</v>
      </c>
      <c r="B473" s="253">
        <f t="shared" si="0"/>
        <v>0</v>
      </c>
      <c r="E473" s="253">
        <f>B473-Index_Returns!G473</f>
        <v>0</v>
      </c>
    </row>
    <row r="474" spans="1:5" x14ac:dyDescent="0.2">
      <c r="A474" s="345">
        <v>41943</v>
      </c>
      <c r="B474" s="253">
        <f t="shared" si="0"/>
        <v>0</v>
      </c>
      <c r="E474" s="253">
        <f>B474-Index_Returns!G474</f>
        <v>0</v>
      </c>
    </row>
    <row r="475" spans="1:5" x14ac:dyDescent="0.2">
      <c r="A475" s="345">
        <v>41973</v>
      </c>
      <c r="B475" s="253">
        <f t="shared" si="0"/>
        <v>0</v>
      </c>
      <c r="E475" s="253">
        <f>B475-Index_Returns!G475</f>
        <v>0</v>
      </c>
    </row>
    <row r="476" spans="1:5" x14ac:dyDescent="0.2">
      <c r="A476" s="345">
        <v>42004</v>
      </c>
      <c r="B476" s="253">
        <f t="shared" si="0"/>
        <v>0</v>
      </c>
      <c r="E476" s="253">
        <f>B476-Index_Returns!G476</f>
        <v>0</v>
      </c>
    </row>
    <row r="477" spans="1:5" x14ac:dyDescent="0.2">
      <c r="A477" s="345">
        <v>42035</v>
      </c>
      <c r="B477" s="253">
        <f t="shared" si="0"/>
        <v>0</v>
      </c>
      <c r="E477" s="253">
        <f>B477-Index_Returns!G477</f>
        <v>0</v>
      </c>
    </row>
    <row r="478" spans="1:5" x14ac:dyDescent="0.2">
      <c r="A478" s="345">
        <v>42063</v>
      </c>
      <c r="B478" s="253">
        <f t="shared" si="0"/>
        <v>0</v>
      </c>
      <c r="E478" s="253">
        <f>B478-Index_Returns!G478</f>
        <v>0</v>
      </c>
    </row>
    <row r="479" spans="1:5" x14ac:dyDescent="0.2">
      <c r="A479" s="345">
        <v>42094</v>
      </c>
      <c r="B479" s="253">
        <f t="shared" si="0"/>
        <v>0</v>
      </c>
      <c r="E479" s="253">
        <f>B479-Index_Returns!G479</f>
        <v>0</v>
      </c>
    </row>
    <row r="480" spans="1:5" x14ac:dyDescent="0.2">
      <c r="A480" s="345">
        <v>42124</v>
      </c>
      <c r="B480" s="253">
        <f t="shared" si="0"/>
        <v>0</v>
      </c>
      <c r="E480" s="253">
        <f>B480-Index_Returns!G480</f>
        <v>0</v>
      </c>
    </row>
    <row r="481" spans="1:5" x14ac:dyDescent="0.2">
      <c r="A481" s="345">
        <v>42155</v>
      </c>
      <c r="B481" s="253">
        <f t="shared" si="0"/>
        <v>0</v>
      </c>
      <c r="E481" s="253">
        <f>B481-Index_Returns!G481</f>
        <v>0</v>
      </c>
    </row>
    <row r="482" spans="1:5" x14ac:dyDescent="0.2">
      <c r="A482" s="345">
        <v>42185</v>
      </c>
      <c r="B482" s="253">
        <f t="shared" si="0"/>
        <v>0</v>
      </c>
      <c r="E482" s="253">
        <f>B482-Index_Returns!G482</f>
        <v>0</v>
      </c>
    </row>
    <row r="483" spans="1:5" x14ac:dyDescent="0.2">
      <c r="A483" s="345">
        <v>42216</v>
      </c>
      <c r="B483" s="253">
        <f t="shared" si="0"/>
        <v>0</v>
      </c>
      <c r="E483" s="253">
        <f>B483-Index_Returns!G483</f>
        <v>0</v>
      </c>
    </row>
    <row r="484" spans="1:5" x14ac:dyDescent="0.2">
      <c r="A484" s="345">
        <v>42247</v>
      </c>
      <c r="B484" s="253">
        <f t="shared" si="0"/>
        <v>0</v>
      </c>
      <c r="E484" s="253">
        <f>B484-Index_Returns!G484</f>
        <v>0</v>
      </c>
    </row>
    <row r="485" spans="1:5" x14ac:dyDescent="0.2">
      <c r="A485" s="345">
        <v>42277</v>
      </c>
      <c r="B485" s="253">
        <f t="shared" si="0"/>
        <v>0</v>
      </c>
      <c r="E485" s="253">
        <f>B485-Index_Returns!G485</f>
        <v>0</v>
      </c>
    </row>
    <row r="486" spans="1:5" x14ac:dyDescent="0.2">
      <c r="A486" s="345">
        <v>42308</v>
      </c>
      <c r="B486" s="253">
        <f t="shared" si="0"/>
        <v>0</v>
      </c>
      <c r="E486" s="253">
        <f>B486-Index_Returns!G486</f>
        <v>0</v>
      </c>
    </row>
    <row r="487" spans="1:5" x14ac:dyDescent="0.2">
      <c r="A487" s="345">
        <v>42338</v>
      </c>
      <c r="B487" s="253">
        <f t="shared" si="0"/>
        <v>0</v>
      </c>
      <c r="E487" s="253">
        <f>B487-Index_Returns!G487</f>
        <v>0</v>
      </c>
    </row>
    <row r="488" spans="1:5" x14ac:dyDescent="0.2">
      <c r="A488" s="345">
        <v>42369</v>
      </c>
      <c r="B488" s="253">
        <f t="shared" si="0"/>
        <v>0</v>
      </c>
      <c r="E488" s="253">
        <f>B488-Index_Returns!G488</f>
        <v>0</v>
      </c>
    </row>
  </sheetData>
  <phoneticPr fontId="3" type="noConversion"/>
  <printOptions headings="1" gridLines="1"/>
  <pageMargins left="0.78740157480314965" right="0.78740157480314965" top="0.78740157480314965" bottom="0.78740157480314965" header="0.39370078740157483" footer="0.39370078740157483"/>
  <pageSetup scale="13" orientation="portrait" r:id="rId1"/>
  <headerFooter alignWithMargins="0">
    <oddHeader>&amp;L&amp;A</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J488"/>
  <sheetViews>
    <sheetView workbookViewId="0">
      <pane xSplit="1" ySplit="2" topLeftCell="B452" activePane="bottomRight" state="frozen"/>
      <selection activeCell="E452" sqref="E452:E464"/>
      <selection pane="topRight" activeCell="E452" sqref="E452:E464"/>
      <selection pane="bottomLeft" activeCell="E452" sqref="E452:E464"/>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4" width="18.7109375" style="258" customWidth="1"/>
    <col min="5" max="5" width="9.140625" style="14"/>
    <col min="6" max="6" width="12.85546875" bestFit="1" customWidth="1"/>
    <col min="7" max="8" width="9.140625" style="352"/>
  </cols>
  <sheetData>
    <row r="1" spans="1:6" x14ac:dyDescent="0.2">
      <c r="A1" s="265" t="s">
        <v>17</v>
      </c>
      <c r="B1" s="321" t="s">
        <v>476</v>
      </c>
      <c r="C1" s="1381" t="s">
        <v>16</v>
      </c>
      <c r="D1" s="1370">
        <f>ASRS_E1!D1</f>
        <v>1</v>
      </c>
      <c r="F1" s="1452" t="s">
        <v>764</v>
      </c>
    </row>
    <row r="2" spans="1:6" x14ac:dyDescent="0.2">
      <c r="A2" s="3" t="s">
        <v>27</v>
      </c>
      <c r="B2" s="71" t="s">
        <v>91</v>
      </c>
      <c r="C2" s="226" t="s">
        <v>92</v>
      </c>
      <c r="D2" s="71" t="s">
        <v>90</v>
      </c>
    </row>
    <row r="3" spans="1:6" x14ac:dyDescent="0.2">
      <c r="A3" s="345">
        <v>27606</v>
      </c>
      <c r="B3" s="71"/>
      <c r="C3" s="226"/>
      <c r="D3" s="71"/>
    </row>
    <row r="4" spans="1:6" x14ac:dyDescent="0.2">
      <c r="A4" s="345">
        <v>27637</v>
      </c>
      <c r="B4" s="71"/>
      <c r="C4" s="226"/>
      <c r="D4" s="71"/>
    </row>
    <row r="5" spans="1:6" x14ac:dyDescent="0.2">
      <c r="A5" s="345">
        <v>27667</v>
      </c>
      <c r="B5" s="71"/>
      <c r="C5" s="226"/>
      <c r="D5" s="71"/>
    </row>
    <row r="6" spans="1:6" x14ac:dyDescent="0.2">
      <c r="A6" s="345">
        <v>27698</v>
      </c>
      <c r="B6" s="71"/>
      <c r="C6" s="226"/>
      <c r="D6" s="71"/>
    </row>
    <row r="7" spans="1:6" x14ac:dyDescent="0.2">
      <c r="A7" s="345">
        <v>27728</v>
      </c>
      <c r="B7" s="71"/>
      <c r="C7" s="226"/>
      <c r="D7" s="71"/>
    </row>
    <row r="8" spans="1:6" x14ac:dyDescent="0.2">
      <c r="A8" s="345">
        <v>27759</v>
      </c>
      <c r="B8" s="71"/>
      <c r="C8" s="226"/>
      <c r="D8" s="71"/>
    </row>
    <row r="9" spans="1:6" x14ac:dyDescent="0.2">
      <c r="A9" s="345">
        <v>27790</v>
      </c>
      <c r="B9" s="71"/>
      <c r="C9" s="226"/>
      <c r="D9" s="71"/>
    </row>
    <row r="10" spans="1:6" x14ac:dyDescent="0.2">
      <c r="A10" s="345">
        <v>27819</v>
      </c>
      <c r="B10" s="71"/>
      <c r="C10" s="226"/>
      <c r="D10" s="71"/>
    </row>
    <row r="11" spans="1:6" x14ac:dyDescent="0.2">
      <c r="A11" s="345">
        <v>27850</v>
      </c>
      <c r="B11" s="71"/>
      <c r="C11" s="226"/>
      <c r="D11" s="71"/>
    </row>
    <row r="12" spans="1:6" x14ac:dyDescent="0.2">
      <c r="A12" s="345">
        <v>27880</v>
      </c>
      <c r="B12" s="71"/>
      <c r="C12" s="226"/>
      <c r="D12" s="71"/>
    </row>
    <row r="13" spans="1:6" x14ac:dyDescent="0.2">
      <c r="A13" s="345">
        <v>27911</v>
      </c>
      <c r="B13" s="71"/>
      <c r="C13" s="226"/>
      <c r="D13" s="71"/>
    </row>
    <row r="14" spans="1:6" x14ac:dyDescent="0.2">
      <c r="A14" s="345">
        <v>27941</v>
      </c>
      <c r="B14" s="71"/>
      <c r="C14" s="226"/>
      <c r="D14" s="71"/>
    </row>
    <row r="15" spans="1:6" x14ac:dyDescent="0.2">
      <c r="A15" s="345">
        <v>27972</v>
      </c>
      <c r="B15" s="71"/>
      <c r="C15" s="226"/>
      <c r="D15" s="71"/>
    </row>
    <row r="16" spans="1:6" x14ac:dyDescent="0.2">
      <c r="A16" s="345">
        <v>28003</v>
      </c>
      <c r="B16" s="71"/>
      <c r="C16" s="226"/>
      <c r="D16" s="71"/>
    </row>
    <row r="17" spans="1:4" x14ac:dyDescent="0.2">
      <c r="A17" s="345">
        <v>28033</v>
      </c>
      <c r="B17" s="71"/>
      <c r="C17" s="226"/>
      <c r="D17" s="71"/>
    </row>
    <row r="18" spans="1:4" x14ac:dyDescent="0.2">
      <c r="A18" s="345">
        <v>28064</v>
      </c>
      <c r="B18" s="71"/>
      <c r="C18" s="226"/>
      <c r="D18" s="71"/>
    </row>
    <row r="19" spans="1:4" x14ac:dyDescent="0.2">
      <c r="A19" s="345">
        <v>28094</v>
      </c>
      <c r="B19" s="71"/>
      <c r="C19" s="226"/>
      <c r="D19" s="71"/>
    </row>
    <row r="20" spans="1:4" x14ac:dyDescent="0.2">
      <c r="A20" s="345">
        <v>28125</v>
      </c>
      <c r="B20" s="71"/>
      <c r="C20" s="226"/>
      <c r="D20" s="71"/>
    </row>
    <row r="21" spans="1:4" x14ac:dyDescent="0.2">
      <c r="A21" s="345">
        <v>28156</v>
      </c>
      <c r="B21" s="71"/>
      <c r="C21" s="226"/>
      <c r="D21" s="71"/>
    </row>
    <row r="22" spans="1:4" x14ac:dyDescent="0.2">
      <c r="A22" s="345">
        <v>28184</v>
      </c>
      <c r="B22" s="71"/>
      <c r="C22" s="226"/>
      <c r="D22" s="71"/>
    </row>
    <row r="23" spans="1:4" x14ac:dyDescent="0.2">
      <c r="A23" s="345">
        <v>28215</v>
      </c>
      <c r="B23" s="71"/>
      <c r="C23" s="226"/>
      <c r="D23" s="71"/>
    </row>
    <row r="24" spans="1:4" x14ac:dyDescent="0.2">
      <c r="A24" s="345">
        <v>28245</v>
      </c>
      <c r="B24" s="71"/>
      <c r="C24" s="226"/>
      <c r="D24" s="71"/>
    </row>
    <row r="25" spans="1:4" x14ac:dyDescent="0.2">
      <c r="A25" s="345">
        <v>28276</v>
      </c>
      <c r="B25" s="71"/>
      <c r="C25" s="226"/>
      <c r="D25" s="71"/>
    </row>
    <row r="26" spans="1:4" x14ac:dyDescent="0.2">
      <c r="A26" s="345">
        <v>28306</v>
      </c>
      <c r="B26" s="71"/>
      <c r="C26" s="226"/>
      <c r="D26" s="71"/>
    </row>
    <row r="27" spans="1:4" x14ac:dyDescent="0.2">
      <c r="A27" s="345">
        <v>28337</v>
      </c>
      <c r="B27" s="71"/>
      <c r="C27" s="226"/>
      <c r="D27" s="71"/>
    </row>
    <row r="28" spans="1:4" x14ac:dyDescent="0.2">
      <c r="A28" s="345">
        <v>28368</v>
      </c>
      <c r="B28" s="71"/>
      <c r="C28" s="226"/>
      <c r="D28" s="71"/>
    </row>
    <row r="29" spans="1:4" x14ac:dyDescent="0.2">
      <c r="A29" s="345">
        <v>28398</v>
      </c>
      <c r="B29" s="71"/>
      <c r="C29" s="226"/>
      <c r="D29" s="71"/>
    </row>
    <row r="30" spans="1:4" x14ac:dyDescent="0.2">
      <c r="A30" s="345">
        <v>28429</v>
      </c>
      <c r="B30" s="71"/>
      <c r="C30" s="226"/>
      <c r="D30" s="71"/>
    </row>
    <row r="31" spans="1:4" x14ac:dyDescent="0.2">
      <c r="A31" s="345">
        <v>28459</v>
      </c>
      <c r="B31" s="71"/>
      <c r="C31" s="226"/>
      <c r="D31" s="71"/>
    </row>
    <row r="32" spans="1:4" x14ac:dyDescent="0.2">
      <c r="A32" s="345">
        <v>28490</v>
      </c>
      <c r="B32" s="71"/>
      <c r="C32" s="226"/>
      <c r="D32" s="71"/>
    </row>
    <row r="33" spans="1:4" x14ac:dyDescent="0.2">
      <c r="A33" s="345">
        <v>28521</v>
      </c>
      <c r="B33" s="71"/>
      <c r="C33" s="226"/>
      <c r="D33" s="71"/>
    </row>
    <row r="34" spans="1:4" x14ac:dyDescent="0.2">
      <c r="A34" s="345">
        <v>28549</v>
      </c>
      <c r="B34" s="71"/>
      <c r="C34" s="226"/>
      <c r="D34" s="71"/>
    </row>
    <row r="35" spans="1:4" x14ac:dyDescent="0.2">
      <c r="A35" s="345">
        <v>28580</v>
      </c>
      <c r="B35" s="71"/>
      <c r="C35" s="226"/>
      <c r="D35" s="71"/>
    </row>
    <row r="36" spans="1:4" x14ac:dyDescent="0.2">
      <c r="A36" s="345">
        <v>28610</v>
      </c>
      <c r="B36" s="71"/>
      <c r="C36" s="226"/>
      <c r="D36" s="71"/>
    </row>
    <row r="37" spans="1:4" x14ac:dyDescent="0.2">
      <c r="A37" s="345">
        <v>28641</v>
      </c>
      <c r="B37" s="71"/>
      <c r="C37" s="226"/>
      <c r="D37" s="71"/>
    </row>
    <row r="38" spans="1:4" x14ac:dyDescent="0.2">
      <c r="A38" s="345">
        <v>28671</v>
      </c>
      <c r="B38" s="71"/>
      <c r="C38" s="226"/>
      <c r="D38" s="71"/>
    </row>
    <row r="39" spans="1:4" x14ac:dyDescent="0.2">
      <c r="A39" s="345">
        <v>28702</v>
      </c>
      <c r="B39" s="71"/>
      <c r="C39" s="226"/>
      <c r="D39" s="71"/>
    </row>
    <row r="40" spans="1:4" x14ac:dyDescent="0.2">
      <c r="A40" s="345">
        <v>28733</v>
      </c>
      <c r="B40" s="71"/>
      <c r="C40" s="226"/>
      <c r="D40" s="71"/>
    </row>
    <row r="41" spans="1:4" x14ac:dyDescent="0.2">
      <c r="A41" s="345">
        <v>28763</v>
      </c>
      <c r="B41" s="71"/>
      <c r="C41" s="226"/>
      <c r="D41" s="71"/>
    </row>
    <row r="42" spans="1:4" x14ac:dyDescent="0.2">
      <c r="A42" s="345">
        <v>28794</v>
      </c>
      <c r="B42" s="71"/>
      <c r="C42" s="226"/>
      <c r="D42" s="71"/>
    </row>
    <row r="43" spans="1:4" x14ac:dyDescent="0.2">
      <c r="A43" s="345">
        <v>28824</v>
      </c>
      <c r="B43" s="71"/>
      <c r="C43" s="226"/>
      <c r="D43" s="71"/>
    </row>
    <row r="44" spans="1:4" x14ac:dyDescent="0.2">
      <c r="A44" s="345">
        <v>28855</v>
      </c>
      <c r="B44" s="71"/>
      <c r="C44" s="226"/>
      <c r="D44" s="71"/>
    </row>
    <row r="45" spans="1:4" x14ac:dyDescent="0.2">
      <c r="A45" s="345">
        <v>28886</v>
      </c>
      <c r="B45" s="71"/>
      <c r="C45" s="226"/>
      <c r="D45" s="71"/>
    </row>
    <row r="46" spans="1:4" x14ac:dyDescent="0.2">
      <c r="A46" s="345">
        <v>28914</v>
      </c>
      <c r="B46" s="71"/>
      <c r="C46" s="226"/>
      <c r="D46" s="71"/>
    </row>
    <row r="47" spans="1:4" x14ac:dyDescent="0.2">
      <c r="A47" s="345">
        <v>28945</v>
      </c>
      <c r="B47" s="71"/>
      <c r="C47" s="226"/>
      <c r="D47" s="71"/>
    </row>
    <row r="48" spans="1:4" x14ac:dyDescent="0.2">
      <c r="A48" s="345">
        <v>28975</v>
      </c>
      <c r="B48" s="71"/>
      <c r="C48" s="226"/>
      <c r="D48" s="71"/>
    </row>
    <row r="49" spans="1:4" x14ac:dyDescent="0.2">
      <c r="A49" s="345">
        <v>29006</v>
      </c>
      <c r="B49" s="71"/>
      <c r="C49" s="226"/>
      <c r="D49" s="71"/>
    </row>
    <row r="50" spans="1:4" x14ac:dyDescent="0.2">
      <c r="A50" s="345">
        <v>29036</v>
      </c>
      <c r="B50" s="71"/>
      <c r="C50" s="226"/>
      <c r="D50" s="71"/>
    </row>
    <row r="51" spans="1:4" x14ac:dyDescent="0.2">
      <c r="A51" s="345">
        <v>29067</v>
      </c>
      <c r="B51" s="71"/>
      <c r="C51" s="226"/>
      <c r="D51" s="71"/>
    </row>
    <row r="52" spans="1:4" x14ac:dyDescent="0.2">
      <c r="A52" s="345">
        <v>29098</v>
      </c>
      <c r="B52" s="71"/>
      <c r="C52" s="226"/>
      <c r="D52" s="71"/>
    </row>
    <row r="53" spans="1:4" x14ac:dyDescent="0.2">
      <c r="A53" s="345">
        <v>29128</v>
      </c>
      <c r="B53" s="71"/>
      <c r="C53" s="226"/>
      <c r="D53" s="71"/>
    </row>
    <row r="54" spans="1:4" x14ac:dyDescent="0.2">
      <c r="A54" s="345">
        <v>29159</v>
      </c>
      <c r="B54" s="71"/>
      <c r="C54" s="226"/>
      <c r="D54" s="71"/>
    </row>
    <row r="55" spans="1:4" x14ac:dyDescent="0.2">
      <c r="A55" s="345">
        <v>29189</v>
      </c>
      <c r="B55" s="71"/>
      <c r="C55" s="226"/>
      <c r="D55" s="71"/>
    </row>
    <row r="56" spans="1:4" x14ac:dyDescent="0.2">
      <c r="A56" s="345">
        <v>29220</v>
      </c>
      <c r="B56" s="71"/>
      <c r="C56" s="226"/>
      <c r="D56" s="71"/>
    </row>
    <row r="57" spans="1:4" x14ac:dyDescent="0.2">
      <c r="A57" s="345">
        <v>29251</v>
      </c>
      <c r="B57" s="71"/>
      <c r="C57" s="226"/>
      <c r="D57" s="71"/>
    </row>
    <row r="58" spans="1:4" x14ac:dyDescent="0.2">
      <c r="A58" s="345">
        <v>29280</v>
      </c>
      <c r="B58" s="71"/>
      <c r="C58" s="226"/>
      <c r="D58" s="71"/>
    </row>
    <row r="59" spans="1:4" x14ac:dyDescent="0.2">
      <c r="A59" s="345">
        <v>29311</v>
      </c>
      <c r="B59" s="71"/>
      <c r="C59" s="226"/>
      <c r="D59" s="71"/>
    </row>
    <row r="60" spans="1:4" x14ac:dyDescent="0.2">
      <c r="A60" s="345">
        <v>29341</v>
      </c>
      <c r="B60" s="71"/>
      <c r="C60" s="226"/>
      <c r="D60" s="71"/>
    </row>
    <row r="61" spans="1:4" x14ac:dyDescent="0.2">
      <c r="A61" s="345">
        <v>29372</v>
      </c>
      <c r="B61" s="71"/>
      <c r="C61" s="226"/>
      <c r="D61" s="71"/>
    </row>
    <row r="62" spans="1:4" x14ac:dyDescent="0.2">
      <c r="A62" s="345">
        <v>29402</v>
      </c>
      <c r="B62" s="71"/>
      <c r="C62" s="226"/>
      <c r="D62" s="71"/>
    </row>
    <row r="63" spans="1:4" x14ac:dyDescent="0.2">
      <c r="A63" s="345">
        <v>29433</v>
      </c>
      <c r="B63" s="71"/>
      <c r="C63" s="226"/>
      <c r="D63" s="71"/>
    </row>
    <row r="64" spans="1:4" x14ac:dyDescent="0.2">
      <c r="A64" s="345">
        <v>29464</v>
      </c>
      <c r="B64" s="71"/>
      <c r="C64" s="226"/>
      <c r="D64" s="71"/>
    </row>
    <row r="65" spans="1:4" x14ac:dyDescent="0.2">
      <c r="A65" s="345">
        <v>29494</v>
      </c>
      <c r="B65" s="71"/>
      <c r="C65" s="226"/>
      <c r="D65" s="71"/>
    </row>
    <row r="66" spans="1:4" x14ac:dyDescent="0.2">
      <c r="A66" s="345">
        <v>29525</v>
      </c>
      <c r="B66" s="71"/>
      <c r="C66" s="226"/>
      <c r="D66" s="71"/>
    </row>
    <row r="67" spans="1:4" x14ac:dyDescent="0.2">
      <c r="A67" s="345">
        <v>29555</v>
      </c>
      <c r="B67" s="71"/>
      <c r="C67" s="226"/>
      <c r="D67" s="71"/>
    </row>
    <row r="68" spans="1:4" x14ac:dyDescent="0.2">
      <c r="A68" s="345">
        <v>29586</v>
      </c>
      <c r="B68" s="71"/>
      <c r="C68" s="226"/>
      <c r="D68" s="71"/>
    </row>
    <row r="69" spans="1:4" x14ac:dyDescent="0.2">
      <c r="A69" s="345">
        <v>29617</v>
      </c>
      <c r="B69" s="71"/>
      <c r="C69" s="226"/>
      <c r="D69" s="71"/>
    </row>
    <row r="70" spans="1:4" x14ac:dyDescent="0.2">
      <c r="A70" s="345">
        <v>29645</v>
      </c>
      <c r="B70" s="71"/>
      <c r="C70" s="226"/>
      <c r="D70" s="71"/>
    </row>
    <row r="71" spans="1:4" x14ac:dyDescent="0.2">
      <c r="A71" s="345">
        <v>29676</v>
      </c>
      <c r="B71" s="71"/>
      <c r="C71" s="226"/>
      <c r="D71" s="71"/>
    </row>
    <row r="72" spans="1:4" x14ac:dyDescent="0.2">
      <c r="A72" s="345">
        <v>29706</v>
      </c>
      <c r="B72" s="71"/>
      <c r="C72" s="226"/>
      <c r="D72" s="71"/>
    </row>
    <row r="73" spans="1:4" x14ac:dyDescent="0.2">
      <c r="A73" s="345">
        <v>29737</v>
      </c>
      <c r="B73" s="71"/>
      <c r="C73" s="226"/>
      <c r="D73" s="71"/>
    </row>
    <row r="74" spans="1:4" x14ac:dyDescent="0.2">
      <c r="A74" s="345">
        <v>29767</v>
      </c>
      <c r="B74" s="71"/>
      <c r="C74" s="226"/>
      <c r="D74" s="71"/>
    </row>
    <row r="75" spans="1:4" x14ac:dyDescent="0.2">
      <c r="A75" s="345">
        <v>29798</v>
      </c>
      <c r="B75" s="71"/>
      <c r="C75" s="226"/>
      <c r="D75" s="71"/>
    </row>
    <row r="76" spans="1:4" x14ac:dyDescent="0.2">
      <c r="A76" s="345">
        <v>29829</v>
      </c>
      <c r="B76" s="71"/>
      <c r="C76" s="226"/>
      <c r="D76" s="71"/>
    </row>
    <row r="77" spans="1:4" x14ac:dyDescent="0.2">
      <c r="A77" s="345">
        <v>29859</v>
      </c>
      <c r="B77" s="71"/>
      <c r="C77" s="226"/>
      <c r="D77" s="71"/>
    </row>
    <row r="78" spans="1:4" x14ac:dyDescent="0.2">
      <c r="A78" s="345">
        <v>29890</v>
      </c>
      <c r="B78" s="71"/>
      <c r="C78" s="226"/>
      <c r="D78" s="71"/>
    </row>
    <row r="79" spans="1:4" x14ac:dyDescent="0.2">
      <c r="A79" s="345">
        <v>29920</v>
      </c>
      <c r="B79" s="71"/>
      <c r="C79" s="226"/>
      <c r="D79" s="71"/>
    </row>
    <row r="80" spans="1:4" x14ac:dyDescent="0.2">
      <c r="A80" s="345">
        <v>29951</v>
      </c>
      <c r="B80" s="71"/>
      <c r="C80" s="226"/>
      <c r="D80" s="71"/>
    </row>
    <row r="81" spans="1:4" x14ac:dyDescent="0.2">
      <c r="A81" s="345">
        <v>29982</v>
      </c>
      <c r="B81" s="71"/>
      <c r="C81" s="226"/>
      <c r="D81" s="71"/>
    </row>
    <row r="82" spans="1:4" x14ac:dyDescent="0.2">
      <c r="A82" s="345">
        <v>30010</v>
      </c>
      <c r="B82" s="71"/>
      <c r="C82" s="226"/>
      <c r="D82" s="71"/>
    </row>
    <row r="83" spans="1:4" x14ac:dyDescent="0.2">
      <c r="A83" s="345">
        <v>30041</v>
      </c>
      <c r="B83" s="71"/>
      <c r="C83" s="226"/>
      <c r="D83" s="71"/>
    </row>
    <row r="84" spans="1:4" x14ac:dyDescent="0.2">
      <c r="A84" s="345">
        <v>30071</v>
      </c>
      <c r="B84" s="71"/>
      <c r="C84" s="226"/>
      <c r="D84" s="71"/>
    </row>
    <row r="85" spans="1:4" x14ac:dyDescent="0.2">
      <c r="A85" s="345">
        <v>30102</v>
      </c>
      <c r="B85" s="71"/>
      <c r="C85" s="226"/>
      <c r="D85" s="71"/>
    </row>
    <row r="86" spans="1:4" x14ac:dyDescent="0.2">
      <c r="A86" s="345">
        <v>30132</v>
      </c>
      <c r="B86" s="71"/>
      <c r="C86" s="226"/>
      <c r="D86" s="71"/>
    </row>
    <row r="87" spans="1:4" x14ac:dyDescent="0.2">
      <c r="A87" s="345">
        <v>30163</v>
      </c>
      <c r="B87" s="71"/>
      <c r="C87" s="226"/>
      <c r="D87" s="71"/>
    </row>
    <row r="88" spans="1:4" x14ac:dyDescent="0.2">
      <c r="A88" s="345">
        <v>30194</v>
      </c>
      <c r="B88" s="71"/>
      <c r="C88" s="226"/>
      <c r="D88" s="71"/>
    </row>
    <row r="89" spans="1:4" x14ac:dyDescent="0.2">
      <c r="A89" s="345">
        <v>30224</v>
      </c>
      <c r="B89" s="71"/>
      <c r="C89" s="226"/>
      <c r="D89" s="71"/>
    </row>
    <row r="90" spans="1:4" x14ac:dyDescent="0.2">
      <c r="A90" s="345">
        <v>30255</v>
      </c>
      <c r="B90" s="71"/>
      <c r="C90" s="226"/>
      <c r="D90" s="71"/>
    </row>
    <row r="91" spans="1:4" x14ac:dyDescent="0.2">
      <c r="A91" s="345">
        <v>30285</v>
      </c>
      <c r="B91" s="71"/>
      <c r="C91" s="226"/>
      <c r="D91" s="71"/>
    </row>
    <row r="92" spans="1:4" x14ac:dyDescent="0.2">
      <c r="A92" s="345">
        <v>30316</v>
      </c>
      <c r="B92" s="71"/>
      <c r="C92" s="226"/>
      <c r="D92" s="71"/>
    </row>
    <row r="93" spans="1:4" x14ac:dyDescent="0.2">
      <c r="A93" s="345">
        <v>30347</v>
      </c>
      <c r="B93" s="71"/>
      <c r="C93" s="226"/>
      <c r="D93" s="71"/>
    </row>
    <row r="94" spans="1:4" x14ac:dyDescent="0.2">
      <c r="A94" s="345">
        <v>30375</v>
      </c>
      <c r="B94" s="71"/>
      <c r="C94" s="226"/>
      <c r="D94" s="71"/>
    </row>
    <row r="95" spans="1:4" x14ac:dyDescent="0.2">
      <c r="A95" s="345">
        <v>30406</v>
      </c>
      <c r="B95" s="71"/>
      <c r="C95" s="226"/>
      <c r="D95" s="71"/>
    </row>
    <row r="96" spans="1:4" x14ac:dyDescent="0.2">
      <c r="A96" s="345">
        <v>30436</v>
      </c>
      <c r="B96" s="71"/>
      <c r="C96" s="226"/>
      <c r="D96" s="71"/>
    </row>
    <row r="97" spans="1:4" x14ac:dyDescent="0.2">
      <c r="A97" s="345">
        <v>30467</v>
      </c>
      <c r="B97" s="71"/>
      <c r="C97" s="226"/>
      <c r="D97" s="71"/>
    </row>
    <row r="98" spans="1:4" x14ac:dyDescent="0.2">
      <c r="A98" s="345">
        <v>30497</v>
      </c>
      <c r="B98" s="71"/>
      <c r="C98" s="226"/>
      <c r="D98" s="71"/>
    </row>
    <row r="99" spans="1:4" x14ac:dyDescent="0.2">
      <c r="A99" s="345">
        <v>30528</v>
      </c>
      <c r="B99" s="71"/>
      <c r="C99" s="226"/>
      <c r="D99" s="71"/>
    </row>
    <row r="100" spans="1:4" x14ac:dyDescent="0.2">
      <c r="A100" s="345">
        <v>30559</v>
      </c>
      <c r="B100" s="71"/>
      <c r="C100" s="226"/>
      <c r="D100" s="71"/>
    </row>
    <row r="101" spans="1:4" x14ac:dyDescent="0.2">
      <c r="A101" s="345">
        <v>30589</v>
      </c>
      <c r="B101" s="71"/>
      <c r="C101" s="226"/>
      <c r="D101" s="71"/>
    </row>
    <row r="102" spans="1:4" x14ac:dyDescent="0.2">
      <c r="A102" s="345">
        <v>30620</v>
      </c>
      <c r="B102" s="71"/>
      <c r="C102" s="226"/>
      <c r="D102" s="71"/>
    </row>
    <row r="103" spans="1:4" x14ac:dyDescent="0.2">
      <c r="A103" s="345">
        <v>30650</v>
      </c>
      <c r="B103" s="71"/>
      <c r="C103" s="226"/>
      <c r="D103" s="71"/>
    </row>
    <row r="104" spans="1:4" x14ac:dyDescent="0.2">
      <c r="A104" s="345">
        <v>30681</v>
      </c>
      <c r="B104" s="71"/>
      <c r="C104" s="226"/>
      <c r="D104" s="71"/>
    </row>
    <row r="105" spans="1:4" x14ac:dyDescent="0.2">
      <c r="A105" s="345">
        <v>30712</v>
      </c>
      <c r="B105" s="71"/>
      <c r="C105" s="226"/>
      <c r="D105" s="71"/>
    </row>
    <row r="106" spans="1:4" x14ac:dyDescent="0.2">
      <c r="A106" s="345">
        <v>30741</v>
      </c>
      <c r="B106" s="71"/>
      <c r="C106" s="226"/>
      <c r="D106" s="71"/>
    </row>
    <row r="107" spans="1:4" x14ac:dyDescent="0.2">
      <c r="A107" s="345">
        <v>30772</v>
      </c>
      <c r="B107" s="71"/>
      <c r="C107" s="226"/>
      <c r="D107" s="71"/>
    </row>
    <row r="108" spans="1:4" x14ac:dyDescent="0.2">
      <c r="A108" s="345">
        <v>30802</v>
      </c>
      <c r="B108" s="71"/>
      <c r="C108" s="226"/>
      <c r="D108" s="71"/>
    </row>
    <row r="109" spans="1:4" x14ac:dyDescent="0.2">
      <c r="A109" s="345">
        <v>30833</v>
      </c>
      <c r="B109" s="71"/>
      <c r="C109" s="226"/>
      <c r="D109" s="71"/>
    </row>
    <row r="110" spans="1:4" x14ac:dyDescent="0.2">
      <c r="A110" s="345">
        <v>30863</v>
      </c>
      <c r="B110" s="71"/>
      <c r="C110" s="226"/>
      <c r="D110" s="71"/>
    </row>
    <row r="111" spans="1:4" x14ac:dyDescent="0.2">
      <c r="A111" s="345">
        <v>30894</v>
      </c>
      <c r="B111" s="71"/>
      <c r="C111" s="226"/>
      <c r="D111" s="71"/>
    </row>
    <row r="112" spans="1:4" x14ac:dyDescent="0.2">
      <c r="A112" s="345">
        <v>30925</v>
      </c>
      <c r="B112" s="71"/>
      <c r="C112" s="226"/>
      <c r="D112" s="71"/>
    </row>
    <row r="113" spans="1:4" x14ac:dyDescent="0.2">
      <c r="A113" s="345">
        <v>30955</v>
      </c>
      <c r="B113" s="71"/>
      <c r="C113" s="226"/>
      <c r="D113" s="71"/>
    </row>
    <row r="114" spans="1:4" x14ac:dyDescent="0.2">
      <c r="A114" s="345">
        <v>30986</v>
      </c>
      <c r="B114" s="71"/>
      <c r="C114" s="226"/>
      <c r="D114" s="71"/>
    </row>
    <row r="115" spans="1:4" x14ac:dyDescent="0.2">
      <c r="A115" s="345">
        <v>31016</v>
      </c>
      <c r="B115" s="71"/>
      <c r="C115" s="226"/>
      <c r="D115" s="71"/>
    </row>
    <row r="116" spans="1:4" x14ac:dyDescent="0.2">
      <c r="A116" s="345">
        <v>31047</v>
      </c>
      <c r="B116" s="71"/>
      <c r="C116" s="226"/>
      <c r="D116" s="71"/>
    </row>
    <row r="117" spans="1:4" x14ac:dyDescent="0.2">
      <c r="A117" s="345">
        <v>31078</v>
      </c>
      <c r="B117" s="71"/>
      <c r="C117" s="226"/>
      <c r="D117" s="71"/>
    </row>
    <row r="118" spans="1:4" x14ac:dyDescent="0.2">
      <c r="A118" s="345">
        <v>31106</v>
      </c>
      <c r="B118" s="71"/>
      <c r="C118" s="226"/>
      <c r="D118" s="71"/>
    </row>
    <row r="119" spans="1:4" x14ac:dyDescent="0.2">
      <c r="A119" s="345">
        <v>31137</v>
      </c>
      <c r="B119" s="71"/>
      <c r="C119" s="226"/>
      <c r="D119" s="71"/>
    </row>
    <row r="120" spans="1:4" x14ac:dyDescent="0.2">
      <c r="A120" s="345">
        <v>31167</v>
      </c>
      <c r="B120" s="71"/>
      <c r="C120" s="226"/>
      <c r="D120" s="71"/>
    </row>
    <row r="121" spans="1:4" x14ac:dyDescent="0.2">
      <c r="A121" s="345">
        <v>31198</v>
      </c>
      <c r="B121" s="71"/>
      <c r="C121" s="226"/>
      <c r="D121" s="71"/>
    </row>
    <row r="122" spans="1:4" x14ac:dyDescent="0.2">
      <c r="A122" s="345">
        <v>31228</v>
      </c>
      <c r="B122" s="71"/>
      <c r="C122" s="226"/>
      <c r="D122" s="71"/>
    </row>
    <row r="123" spans="1:4" x14ac:dyDescent="0.2">
      <c r="A123" s="345">
        <v>31259</v>
      </c>
      <c r="B123" s="71"/>
      <c r="C123" s="226"/>
      <c r="D123" s="71"/>
    </row>
    <row r="124" spans="1:4" x14ac:dyDescent="0.2">
      <c r="A124" s="345">
        <v>31290</v>
      </c>
      <c r="B124" s="71"/>
      <c r="C124" s="226"/>
      <c r="D124" s="71"/>
    </row>
    <row r="125" spans="1:4" x14ac:dyDescent="0.2">
      <c r="A125" s="345">
        <v>31320</v>
      </c>
      <c r="B125" s="71"/>
      <c r="C125" s="226"/>
      <c r="D125" s="71"/>
    </row>
    <row r="126" spans="1:4" x14ac:dyDescent="0.2">
      <c r="A126" s="345">
        <v>31351</v>
      </c>
      <c r="B126" s="71"/>
      <c r="C126" s="226"/>
      <c r="D126" s="71"/>
    </row>
    <row r="127" spans="1:4" x14ac:dyDescent="0.2">
      <c r="A127" s="345">
        <v>31381</v>
      </c>
      <c r="B127" s="71"/>
      <c r="C127" s="226"/>
      <c r="D127" s="71"/>
    </row>
    <row r="128" spans="1:4" x14ac:dyDescent="0.2">
      <c r="A128" s="345">
        <v>31412</v>
      </c>
      <c r="B128" s="71"/>
      <c r="C128" s="226"/>
      <c r="D128" s="71"/>
    </row>
    <row r="129" spans="1:4" x14ac:dyDescent="0.2">
      <c r="A129" s="345">
        <v>31443</v>
      </c>
      <c r="B129" s="71"/>
      <c r="C129" s="226"/>
      <c r="D129" s="71"/>
    </row>
    <row r="130" spans="1:4" x14ac:dyDescent="0.2">
      <c r="A130" s="345">
        <v>31471</v>
      </c>
      <c r="B130" s="71"/>
      <c r="C130" s="226"/>
      <c r="D130" s="71"/>
    </row>
    <row r="131" spans="1:4" x14ac:dyDescent="0.2">
      <c r="A131" s="345">
        <v>31502</v>
      </c>
      <c r="B131" s="71"/>
      <c r="C131" s="226"/>
      <c r="D131" s="71"/>
    </row>
    <row r="132" spans="1:4" x14ac:dyDescent="0.2">
      <c r="A132" s="345">
        <v>31532</v>
      </c>
      <c r="B132" s="71"/>
      <c r="C132" s="226"/>
      <c r="D132" s="71"/>
    </row>
    <row r="133" spans="1:4" x14ac:dyDescent="0.2">
      <c r="A133" s="345">
        <v>31563</v>
      </c>
      <c r="B133" s="71"/>
      <c r="C133" s="226"/>
      <c r="D133" s="71"/>
    </row>
    <row r="134" spans="1:4" x14ac:dyDescent="0.2">
      <c r="A134" s="345">
        <v>31593</v>
      </c>
      <c r="B134" s="71"/>
      <c r="C134" s="226"/>
      <c r="D134" s="71"/>
    </row>
    <row r="135" spans="1:4" x14ac:dyDescent="0.2">
      <c r="A135" s="345">
        <v>31624</v>
      </c>
      <c r="B135" s="71"/>
      <c r="C135" s="226"/>
      <c r="D135" s="71"/>
    </row>
    <row r="136" spans="1:4" x14ac:dyDescent="0.2">
      <c r="A136" s="345">
        <v>31655</v>
      </c>
      <c r="B136" s="71"/>
      <c r="C136" s="226"/>
      <c r="D136" s="71"/>
    </row>
    <row r="137" spans="1:4" x14ac:dyDescent="0.2">
      <c r="A137" s="345">
        <v>31685</v>
      </c>
      <c r="B137" s="71"/>
      <c r="C137" s="226"/>
      <c r="D137" s="71"/>
    </row>
    <row r="138" spans="1:4" x14ac:dyDescent="0.2">
      <c r="A138" s="345">
        <v>31716</v>
      </c>
      <c r="B138" s="71"/>
      <c r="C138" s="226"/>
      <c r="D138" s="71"/>
    </row>
    <row r="139" spans="1:4" x14ac:dyDescent="0.2">
      <c r="A139" s="345">
        <v>31746</v>
      </c>
      <c r="B139" s="71"/>
      <c r="C139" s="226"/>
      <c r="D139" s="71"/>
    </row>
    <row r="140" spans="1:4" x14ac:dyDescent="0.2">
      <c r="A140" s="345">
        <v>31777</v>
      </c>
      <c r="B140" s="71"/>
      <c r="C140" s="226"/>
      <c r="D140" s="71"/>
    </row>
    <row r="141" spans="1:4" x14ac:dyDescent="0.2">
      <c r="A141" s="345">
        <v>31808</v>
      </c>
      <c r="B141" s="73"/>
      <c r="C141" s="25"/>
      <c r="D141" s="73"/>
    </row>
    <row r="142" spans="1:4" x14ac:dyDescent="0.2">
      <c r="A142" s="345">
        <v>31836</v>
      </c>
      <c r="B142" s="73"/>
      <c r="C142" s="25"/>
      <c r="D142" s="73"/>
    </row>
    <row r="143" spans="1:4" x14ac:dyDescent="0.2">
      <c r="A143" s="345">
        <v>31867</v>
      </c>
      <c r="B143" s="73"/>
      <c r="C143" s="25"/>
      <c r="D143" s="73"/>
    </row>
    <row r="144" spans="1:4" x14ac:dyDescent="0.2">
      <c r="A144" s="345">
        <v>31897</v>
      </c>
      <c r="B144" s="73"/>
      <c r="C144" s="25"/>
      <c r="D144" s="73"/>
    </row>
    <row r="145" spans="1:4" x14ac:dyDescent="0.2">
      <c r="A145" s="345">
        <v>31928</v>
      </c>
      <c r="B145" s="73"/>
      <c r="C145" s="25"/>
      <c r="D145" s="73"/>
    </row>
    <row r="146" spans="1:4" x14ac:dyDescent="0.2">
      <c r="A146" s="345">
        <v>31958</v>
      </c>
      <c r="B146" s="73"/>
      <c r="C146" s="25"/>
      <c r="D146" s="73"/>
    </row>
    <row r="147" spans="1:4" x14ac:dyDescent="0.2">
      <c r="A147" s="345">
        <v>31989</v>
      </c>
      <c r="B147" s="73"/>
      <c r="C147" s="25"/>
      <c r="D147" s="73"/>
    </row>
    <row r="148" spans="1:4" x14ac:dyDescent="0.2">
      <c r="A148" s="345">
        <v>32020</v>
      </c>
      <c r="B148" s="73"/>
      <c r="C148" s="25"/>
      <c r="D148" s="73"/>
    </row>
    <row r="149" spans="1:4" x14ac:dyDescent="0.2">
      <c r="A149" s="345">
        <v>32050</v>
      </c>
      <c r="B149" s="73"/>
      <c r="C149" s="25"/>
      <c r="D149" s="73"/>
    </row>
    <row r="150" spans="1:4" x14ac:dyDescent="0.2">
      <c r="A150" s="345">
        <v>32081</v>
      </c>
      <c r="B150" s="73"/>
      <c r="C150" s="25"/>
      <c r="D150" s="73"/>
    </row>
    <row r="151" spans="1:4" x14ac:dyDescent="0.2">
      <c r="A151" s="345">
        <v>32111</v>
      </c>
      <c r="B151" s="73"/>
      <c r="C151" s="25"/>
      <c r="D151" s="73"/>
    </row>
    <row r="152" spans="1:4" x14ac:dyDescent="0.2">
      <c r="A152" s="345">
        <v>32142</v>
      </c>
      <c r="B152" s="73"/>
      <c r="C152" s="25"/>
      <c r="D152" s="73"/>
    </row>
    <row r="153" spans="1:4" x14ac:dyDescent="0.2">
      <c r="A153" s="345">
        <v>32173</v>
      </c>
      <c r="B153" s="73"/>
      <c r="C153" s="25"/>
      <c r="D153" s="73"/>
    </row>
    <row r="154" spans="1:4" x14ac:dyDescent="0.2">
      <c r="A154" s="345">
        <v>32202</v>
      </c>
      <c r="B154" s="73"/>
      <c r="C154" s="25"/>
      <c r="D154" s="73"/>
    </row>
    <row r="155" spans="1:4" x14ac:dyDescent="0.2">
      <c r="A155" s="345">
        <v>32233</v>
      </c>
      <c r="B155" s="73"/>
      <c r="C155" s="25"/>
      <c r="D155" s="73"/>
    </row>
    <row r="156" spans="1:4" x14ac:dyDescent="0.2">
      <c r="A156" s="345">
        <v>32263</v>
      </c>
      <c r="B156" s="73"/>
      <c r="C156" s="25"/>
      <c r="D156" s="73"/>
    </row>
    <row r="157" spans="1:4" x14ac:dyDescent="0.2">
      <c r="A157" s="345">
        <v>32294</v>
      </c>
      <c r="B157" s="73"/>
      <c r="C157" s="25"/>
      <c r="D157" s="73"/>
    </row>
    <row r="158" spans="1:4" x14ac:dyDescent="0.2">
      <c r="A158" s="345">
        <v>32324</v>
      </c>
      <c r="B158" s="73"/>
      <c r="C158" s="25"/>
      <c r="D158" s="73"/>
    </row>
    <row r="159" spans="1:4" x14ac:dyDescent="0.2">
      <c r="A159" s="345">
        <v>32355</v>
      </c>
      <c r="B159" s="73"/>
      <c r="C159" s="25"/>
      <c r="D159" s="73"/>
    </row>
    <row r="160" spans="1:4" x14ac:dyDescent="0.2">
      <c r="A160" s="345">
        <v>32386</v>
      </c>
      <c r="B160" s="73"/>
      <c r="C160" s="25"/>
      <c r="D160" s="73"/>
    </row>
    <row r="161" spans="1:4" x14ac:dyDescent="0.2">
      <c r="A161" s="345">
        <v>32416</v>
      </c>
      <c r="B161" s="73"/>
      <c r="C161" s="25"/>
      <c r="D161" s="73"/>
    </row>
    <row r="162" spans="1:4" x14ac:dyDescent="0.2">
      <c r="A162" s="345">
        <v>32447</v>
      </c>
      <c r="B162" s="73"/>
      <c r="C162" s="25"/>
      <c r="D162" s="73"/>
    </row>
    <row r="163" spans="1:4" x14ac:dyDescent="0.2">
      <c r="A163" s="345">
        <v>32477</v>
      </c>
      <c r="B163" s="73"/>
      <c r="C163" s="25"/>
      <c r="D163" s="73"/>
    </row>
    <row r="164" spans="1:4" x14ac:dyDescent="0.2">
      <c r="A164" s="345">
        <v>32508</v>
      </c>
      <c r="B164" s="73"/>
      <c r="C164" s="25"/>
      <c r="D164" s="73"/>
    </row>
    <row r="165" spans="1:4" x14ac:dyDescent="0.2">
      <c r="A165" s="345">
        <v>32539</v>
      </c>
      <c r="B165" s="73"/>
      <c r="C165" s="25"/>
      <c r="D165" s="73"/>
    </row>
    <row r="166" spans="1:4" x14ac:dyDescent="0.2">
      <c r="A166" s="345">
        <v>32567</v>
      </c>
      <c r="B166" s="73"/>
      <c r="C166" s="25"/>
      <c r="D166" s="73"/>
    </row>
    <row r="167" spans="1:4" x14ac:dyDescent="0.2">
      <c r="A167" s="345">
        <v>32598</v>
      </c>
      <c r="B167" s="73"/>
      <c r="C167" s="25"/>
      <c r="D167" s="73"/>
    </row>
    <row r="168" spans="1:4" x14ac:dyDescent="0.2">
      <c r="A168" s="345">
        <v>32628</v>
      </c>
      <c r="B168" s="73"/>
      <c r="C168" s="25"/>
      <c r="D168" s="73"/>
    </row>
    <row r="169" spans="1:4" x14ac:dyDescent="0.2">
      <c r="A169" s="345">
        <v>32659</v>
      </c>
      <c r="B169" s="73"/>
      <c r="C169" s="25"/>
      <c r="D169" s="73"/>
    </row>
    <row r="170" spans="1:4" x14ac:dyDescent="0.2">
      <c r="A170" s="345">
        <v>32689</v>
      </c>
      <c r="B170" s="73"/>
      <c r="C170" s="25"/>
      <c r="D170" s="73"/>
    </row>
    <row r="171" spans="1:4" x14ac:dyDescent="0.2">
      <c r="A171" s="345">
        <v>32720</v>
      </c>
      <c r="B171" s="73"/>
      <c r="C171" s="25"/>
      <c r="D171" s="73"/>
    </row>
    <row r="172" spans="1:4" x14ac:dyDescent="0.2">
      <c r="A172" s="345">
        <v>32751</v>
      </c>
      <c r="B172" s="73"/>
      <c r="C172" s="25"/>
      <c r="D172" s="73"/>
    </row>
    <row r="173" spans="1:4" x14ac:dyDescent="0.2">
      <c r="A173" s="345">
        <v>32781</v>
      </c>
      <c r="B173" s="73"/>
      <c r="C173" s="25"/>
      <c r="D173" s="73"/>
    </row>
    <row r="174" spans="1:4" x14ac:dyDescent="0.2">
      <c r="A174" s="345">
        <v>32812</v>
      </c>
      <c r="B174" s="73"/>
      <c r="C174" s="25"/>
      <c r="D174" s="73"/>
    </row>
    <row r="175" spans="1:4" x14ac:dyDescent="0.2">
      <c r="A175" s="345">
        <v>32842</v>
      </c>
      <c r="B175" s="73"/>
      <c r="C175" s="25"/>
      <c r="D175" s="73"/>
    </row>
    <row r="176" spans="1:4" x14ac:dyDescent="0.2">
      <c r="A176" s="345">
        <v>32873</v>
      </c>
      <c r="B176" s="73"/>
      <c r="C176" s="25"/>
      <c r="D176" s="73"/>
    </row>
    <row r="177" spans="1:4" x14ac:dyDescent="0.2">
      <c r="A177" s="345">
        <v>32904</v>
      </c>
      <c r="B177" s="73"/>
      <c r="C177" s="25"/>
      <c r="D177" s="73"/>
    </row>
    <row r="178" spans="1:4" x14ac:dyDescent="0.2">
      <c r="A178" s="345">
        <v>32932</v>
      </c>
      <c r="B178" s="73"/>
      <c r="C178" s="25"/>
      <c r="D178" s="73"/>
    </row>
    <row r="179" spans="1:4" x14ac:dyDescent="0.2">
      <c r="A179" s="345">
        <v>32963</v>
      </c>
      <c r="B179" s="73"/>
      <c r="C179" s="25"/>
      <c r="D179" s="73"/>
    </row>
    <row r="180" spans="1:4" x14ac:dyDescent="0.2">
      <c r="A180" s="345">
        <v>32993</v>
      </c>
      <c r="B180" s="73"/>
      <c r="C180" s="25"/>
      <c r="D180" s="73"/>
    </row>
    <row r="181" spans="1:4" x14ac:dyDescent="0.2">
      <c r="A181" s="345">
        <v>33024</v>
      </c>
      <c r="B181" s="73"/>
      <c r="C181" s="25"/>
      <c r="D181" s="73"/>
    </row>
    <row r="182" spans="1:4" x14ac:dyDescent="0.2">
      <c r="A182" s="345">
        <v>33054</v>
      </c>
      <c r="B182" s="73"/>
      <c r="C182" s="25"/>
      <c r="D182" s="73"/>
    </row>
    <row r="183" spans="1:4" x14ac:dyDescent="0.2">
      <c r="A183" s="345">
        <v>33085</v>
      </c>
      <c r="B183" s="73"/>
      <c r="C183" s="25"/>
      <c r="D183" s="73"/>
    </row>
    <row r="184" spans="1:4" x14ac:dyDescent="0.2">
      <c r="A184" s="345">
        <v>33116</v>
      </c>
      <c r="B184" s="73"/>
      <c r="C184" s="25"/>
      <c r="D184" s="73"/>
    </row>
    <row r="185" spans="1:4" x14ac:dyDescent="0.2">
      <c r="A185" s="345">
        <v>33146</v>
      </c>
      <c r="B185" s="73"/>
      <c r="C185" s="25"/>
      <c r="D185" s="73"/>
    </row>
    <row r="186" spans="1:4" x14ac:dyDescent="0.2">
      <c r="A186" s="345">
        <v>33177</v>
      </c>
      <c r="B186" s="73"/>
      <c r="C186" s="25"/>
      <c r="D186" s="73"/>
    </row>
    <row r="187" spans="1:4" x14ac:dyDescent="0.2">
      <c r="A187" s="345">
        <v>33207</v>
      </c>
      <c r="B187" s="73"/>
      <c r="C187" s="25"/>
      <c r="D187" s="73"/>
    </row>
    <row r="188" spans="1:4" x14ac:dyDescent="0.2">
      <c r="A188" s="345">
        <v>33238</v>
      </c>
      <c r="B188" s="73"/>
      <c r="C188" s="25"/>
      <c r="D188" s="73"/>
    </row>
    <row r="189" spans="1:4" x14ac:dyDescent="0.2">
      <c r="A189" s="345">
        <v>33269</v>
      </c>
      <c r="B189" s="73"/>
      <c r="C189" s="25"/>
      <c r="D189" s="73"/>
    </row>
    <row r="190" spans="1:4" x14ac:dyDescent="0.2">
      <c r="A190" s="345">
        <v>33297</v>
      </c>
      <c r="B190" s="73"/>
      <c r="C190" s="25"/>
      <c r="D190" s="73"/>
    </row>
    <row r="191" spans="1:4" x14ac:dyDescent="0.2">
      <c r="A191" s="345">
        <v>33328</v>
      </c>
      <c r="B191" s="73"/>
      <c r="C191" s="25"/>
      <c r="D191" s="73"/>
    </row>
    <row r="192" spans="1:4" x14ac:dyDescent="0.2">
      <c r="A192" s="345">
        <v>33358</v>
      </c>
      <c r="B192" s="73"/>
      <c r="C192" s="25"/>
      <c r="D192" s="73"/>
    </row>
    <row r="193" spans="1:4" x14ac:dyDescent="0.2">
      <c r="A193" s="345">
        <v>33389</v>
      </c>
      <c r="B193" s="73"/>
      <c r="C193" s="25"/>
      <c r="D193" s="73"/>
    </row>
    <row r="194" spans="1:4" x14ac:dyDescent="0.2">
      <c r="A194" s="345">
        <v>33419</v>
      </c>
      <c r="B194" s="73"/>
      <c r="C194" s="25"/>
      <c r="D194" s="73"/>
    </row>
    <row r="195" spans="1:4" x14ac:dyDescent="0.2">
      <c r="A195" s="345">
        <v>33450</v>
      </c>
      <c r="B195" s="73"/>
      <c r="C195" s="25"/>
      <c r="D195" s="73"/>
    </row>
    <row r="196" spans="1:4" x14ac:dyDescent="0.2">
      <c r="A196" s="345">
        <v>33481</v>
      </c>
      <c r="B196" s="73"/>
      <c r="C196" s="25"/>
      <c r="D196" s="73"/>
    </row>
    <row r="197" spans="1:4" x14ac:dyDescent="0.2">
      <c r="A197" s="345">
        <v>33511</v>
      </c>
      <c r="B197" s="73"/>
      <c r="C197" s="25"/>
      <c r="D197" s="73"/>
    </row>
    <row r="198" spans="1:4" x14ac:dyDescent="0.2">
      <c r="A198" s="345">
        <v>33542</v>
      </c>
      <c r="B198" s="73"/>
      <c r="C198" s="25"/>
      <c r="D198" s="73"/>
    </row>
    <row r="199" spans="1:4" x14ac:dyDescent="0.2">
      <c r="A199" s="345">
        <v>33572</v>
      </c>
      <c r="B199" s="73"/>
      <c r="C199" s="25"/>
      <c r="D199" s="73"/>
    </row>
    <row r="200" spans="1:4" x14ac:dyDescent="0.2">
      <c r="A200" s="345">
        <v>33603</v>
      </c>
      <c r="B200" s="73"/>
      <c r="C200" s="25"/>
      <c r="D200" s="73"/>
    </row>
    <row r="201" spans="1:4" x14ac:dyDescent="0.2">
      <c r="A201" s="345">
        <v>33634</v>
      </c>
      <c r="B201" s="73"/>
      <c r="C201" s="25"/>
      <c r="D201" s="73"/>
    </row>
    <row r="202" spans="1:4" x14ac:dyDescent="0.2">
      <c r="A202" s="345">
        <v>33663</v>
      </c>
      <c r="B202" s="73"/>
      <c r="C202" s="25"/>
      <c r="D202" s="73"/>
    </row>
    <row r="203" spans="1:4" x14ac:dyDescent="0.2">
      <c r="A203" s="345">
        <v>33694</v>
      </c>
      <c r="B203" s="73"/>
      <c r="C203" s="25"/>
      <c r="D203" s="73"/>
    </row>
    <row r="204" spans="1:4" x14ac:dyDescent="0.2">
      <c r="A204" s="345">
        <v>33724</v>
      </c>
      <c r="B204" s="73"/>
      <c r="C204" s="25"/>
      <c r="D204" s="73"/>
    </row>
    <row r="205" spans="1:4" x14ac:dyDescent="0.2">
      <c r="A205" s="345">
        <v>33755</v>
      </c>
      <c r="B205" s="73"/>
      <c r="C205" s="25"/>
      <c r="D205" s="73"/>
    </row>
    <row r="206" spans="1:4" x14ac:dyDescent="0.2">
      <c r="A206" s="345">
        <v>33785</v>
      </c>
      <c r="B206" s="73"/>
      <c r="C206" s="25"/>
      <c r="D206" s="73"/>
    </row>
    <row r="207" spans="1:4" x14ac:dyDescent="0.2">
      <c r="A207" s="345">
        <v>33816</v>
      </c>
      <c r="B207" s="73"/>
      <c r="C207" s="25"/>
      <c r="D207" s="73"/>
    </row>
    <row r="208" spans="1:4" x14ac:dyDescent="0.2">
      <c r="A208" s="345">
        <v>33847</v>
      </c>
      <c r="B208" s="73"/>
      <c r="C208" s="25"/>
      <c r="D208" s="73"/>
    </row>
    <row r="209" spans="1:4" x14ac:dyDescent="0.2">
      <c r="A209" s="345">
        <v>33877</v>
      </c>
      <c r="B209" s="73"/>
      <c r="C209" s="25"/>
      <c r="D209" s="73"/>
    </row>
    <row r="210" spans="1:4" x14ac:dyDescent="0.2">
      <c r="A210" s="345">
        <v>33908</v>
      </c>
      <c r="B210" s="73"/>
      <c r="C210" s="25"/>
      <c r="D210" s="73"/>
    </row>
    <row r="211" spans="1:4" x14ac:dyDescent="0.2">
      <c r="A211" s="345">
        <v>33938</v>
      </c>
      <c r="B211" s="73"/>
      <c r="C211" s="25"/>
      <c r="D211" s="73"/>
    </row>
    <row r="212" spans="1:4" x14ac:dyDescent="0.2">
      <c r="A212" s="345">
        <v>33969</v>
      </c>
      <c r="B212" s="73"/>
      <c r="C212" s="25"/>
      <c r="D212" s="73"/>
    </row>
    <row r="213" spans="1:4" x14ac:dyDescent="0.2">
      <c r="A213" s="345">
        <v>34000</v>
      </c>
      <c r="B213" s="73"/>
      <c r="C213" s="25"/>
      <c r="D213" s="73"/>
    </row>
    <row r="214" spans="1:4" x14ac:dyDescent="0.2">
      <c r="A214" s="345">
        <v>34028</v>
      </c>
      <c r="B214" s="73"/>
      <c r="C214" s="25"/>
      <c r="D214" s="73"/>
    </row>
    <row r="215" spans="1:4" x14ac:dyDescent="0.2">
      <c r="A215" s="345">
        <v>34059</v>
      </c>
      <c r="B215" s="73"/>
      <c r="C215" s="25"/>
      <c r="D215" s="73"/>
    </row>
    <row r="216" spans="1:4" x14ac:dyDescent="0.2">
      <c r="A216" s="345">
        <v>34089</v>
      </c>
      <c r="B216" s="73"/>
      <c r="C216" s="25"/>
      <c r="D216" s="73"/>
    </row>
    <row r="217" spans="1:4" x14ac:dyDescent="0.2">
      <c r="A217" s="345">
        <v>34120</v>
      </c>
      <c r="B217" s="73"/>
      <c r="C217" s="25"/>
      <c r="D217" s="73"/>
    </row>
    <row r="218" spans="1:4" x14ac:dyDescent="0.2">
      <c r="A218" s="345">
        <v>34150</v>
      </c>
      <c r="B218" s="73"/>
      <c r="C218" s="25"/>
      <c r="D218" s="73"/>
    </row>
    <row r="219" spans="1:4" x14ac:dyDescent="0.2">
      <c r="A219" s="345">
        <v>34181</v>
      </c>
      <c r="B219" s="73"/>
      <c r="C219" s="25"/>
      <c r="D219" s="73"/>
    </row>
    <row r="220" spans="1:4" x14ac:dyDescent="0.2">
      <c r="A220" s="345">
        <v>34212</v>
      </c>
      <c r="B220" s="73"/>
      <c r="C220" s="25"/>
      <c r="D220" s="73"/>
    </row>
    <row r="221" spans="1:4" x14ac:dyDescent="0.2">
      <c r="A221" s="345">
        <v>34242</v>
      </c>
      <c r="B221" s="73"/>
      <c r="C221" s="25"/>
      <c r="D221" s="73"/>
    </row>
    <row r="222" spans="1:4" x14ac:dyDescent="0.2">
      <c r="A222" s="345">
        <v>34273</v>
      </c>
      <c r="B222" s="73"/>
      <c r="C222" s="25"/>
      <c r="D222" s="73"/>
    </row>
    <row r="223" spans="1:4" x14ac:dyDescent="0.2">
      <c r="A223" s="345">
        <v>34303</v>
      </c>
      <c r="B223" s="73"/>
      <c r="C223" s="25"/>
      <c r="D223" s="73"/>
    </row>
    <row r="224" spans="1:4" x14ac:dyDescent="0.2">
      <c r="A224" s="345">
        <v>34334</v>
      </c>
      <c r="B224" s="73"/>
      <c r="C224" s="25"/>
      <c r="D224" s="73"/>
    </row>
    <row r="225" spans="1:4" x14ac:dyDescent="0.2">
      <c r="A225" s="345">
        <v>34365</v>
      </c>
      <c r="B225" s="73"/>
      <c r="C225" s="25"/>
      <c r="D225" s="73"/>
    </row>
    <row r="226" spans="1:4" x14ac:dyDescent="0.2">
      <c r="A226" s="345">
        <v>34393</v>
      </c>
      <c r="B226" s="73"/>
      <c r="C226" s="25"/>
      <c r="D226" s="73"/>
    </row>
    <row r="227" spans="1:4" x14ac:dyDescent="0.2">
      <c r="A227" s="345">
        <v>34424</v>
      </c>
      <c r="B227" s="73"/>
      <c r="C227" s="25"/>
      <c r="D227" s="73"/>
    </row>
    <row r="228" spans="1:4" x14ac:dyDescent="0.2">
      <c r="A228" s="345">
        <v>34454</v>
      </c>
      <c r="B228" s="73"/>
      <c r="C228" s="25"/>
      <c r="D228" s="73"/>
    </row>
    <row r="229" spans="1:4" x14ac:dyDescent="0.2">
      <c r="A229" s="345">
        <v>34485</v>
      </c>
      <c r="B229" s="73"/>
      <c r="C229" s="25"/>
      <c r="D229" s="73"/>
    </row>
    <row r="230" spans="1:4" x14ac:dyDescent="0.2">
      <c r="A230" s="345">
        <v>34515</v>
      </c>
      <c r="B230" s="73"/>
      <c r="C230" s="25"/>
      <c r="D230" s="73"/>
    </row>
    <row r="231" spans="1:4" x14ac:dyDescent="0.2">
      <c r="A231" s="345">
        <v>34546</v>
      </c>
      <c r="B231" s="73"/>
      <c r="C231" s="25"/>
      <c r="D231" s="73"/>
    </row>
    <row r="232" spans="1:4" x14ac:dyDescent="0.2">
      <c r="A232" s="345">
        <v>34577</v>
      </c>
      <c r="B232" s="73"/>
      <c r="C232" s="25"/>
      <c r="D232" s="73"/>
    </row>
    <row r="233" spans="1:4" x14ac:dyDescent="0.2">
      <c r="A233" s="345">
        <v>34607</v>
      </c>
      <c r="B233" s="73"/>
      <c r="C233" s="25"/>
      <c r="D233" s="73"/>
    </row>
    <row r="234" spans="1:4" x14ac:dyDescent="0.2">
      <c r="A234" s="345">
        <v>34638</v>
      </c>
      <c r="B234" s="73"/>
      <c r="C234" s="25"/>
      <c r="D234" s="73"/>
    </row>
    <row r="235" spans="1:4" x14ac:dyDescent="0.2">
      <c r="A235" s="345">
        <v>34668</v>
      </c>
      <c r="B235" s="73"/>
      <c r="C235" s="25"/>
      <c r="D235" s="73"/>
    </row>
    <row r="236" spans="1:4" x14ac:dyDescent="0.2">
      <c r="A236" s="345">
        <v>34699</v>
      </c>
      <c r="B236" s="73"/>
      <c r="C236" s="25"/>
      <c r="D236" s="73"/>
    </row>
    <row r="237" spans="1:4" x14ac:dyDescent="0.2">
      <c r="A237" s="345">
        <v>34730</v>
      </c>
      <c r="B237" s="73"/>
      <c r="C237" s="25"/>
      <c r="D237" s="73"/>
    </row>
    <row r="238" spans="1:4" x14ac:dyDescent="0.2">
      <c r="A238" s="345">
        <v>34758</v>
      </c>
      <c r="B238" s="73"/>
      <c r="C238" s="25"/>
      <c r="D238" s="73"/>
    </row>
    <row r="239" spans="1:4" x14ac:dyDescent="0.2">
      <c r="A239" s="345">
        <v>34789</v>
      </c>
      <c r="B239" s="73"/>
      <c r="C239" s="25"/>
      <c r="D239" s="73"/>
    </row>
    <row r="240" spans="1:4" x14ac:dyDescent="0.2">
      <c r="A240" s="345">
        <v>34819</v>
      </c>
      <c r="B240" s="73"/>
      <c r="C240" s="25"/>
      <c r="D240" s="73"/>
    </row>
    <row r="241" spans="1:4" x14ac:dyDescent="0.2">
      <c r="A241" s="345">
        <v>34850</v>
      </c>
      <c r="B241" s="73"/>
      <c r="C241" s="25"/>
      <c r="D241" s="73"/>
    </row>
    <row r="242" spans="1:4" x14ac:dyDescent="0.2">
      <c r="A242" s="345">
        <v>34880</v>
      </c>
      <c r="B242" s="73"/>
      <c r="C242" s="25"/>
      <c r="D242" s="73"/>
    </row>
    <row r="243" spans="1:4" x14ac:dyDescent="0.2">
      <c r="A243" s="345">
        <v>34911</v>
      </c>
      <c r="B243" s="73"/>
      <c r="C243" s="25"/>
      <c r="D243" s="73"/>
    </row>
    <row r="244" spans="1:4" x14ac:dyDescent="0.2">
      <c r="A244" s="345">
        <v>34942</v>
      </c>
      <c r="B244" s="73"/>
      <c r="C244" s="25"/>
      <c r="D244" s="73"/>
    </row>
    <row r="245" spans="1:4" x14ac:dyDescent="0.2">
      <c r="A245" s="345">
        <v>34972</v>
      </c>
      <c r="B245" s="73"/>
      <c r="C245" s="25"/>
      <c r="D245" s="73"/>
    </row>
    <row r="246" spans="1:4" x14ac:dyDescent="0.2">
      <c r="A246" s="345">
        <v>35003</v>
      </c>
      <c r="B246" s="73"/>
      <c r="C246" s="25"/>
      <c r="D246" s="73"/>
    </row>
    <row r="247" spans="1:4" x14ac:dyDescent="0.2">
      <c r="A247" s="345">
        <v>35033</v>
      </c>
      <c r="B247" s="73"/>
      <c r="C247" s="25"/>
      <c r="D247" s="73"/>
    </row>
    <row r="248" spans="1:4" x14ac:dyDescent="0.2">
      <c r="A248" s="345">
        <v>35064</v>
      </c>
      <c r="B248" s="73"/>
      <c r="C248" s="25"/>
      <c r="D248" s="73"/>
    </row>
    <row r="249" spans="1:4" x14ac:dyDescent="0.2">
      <c r="A249" s="345">
        <v>35095</v>
      </c>
      <c r="B249" s="73"/>
      <c r="C249" s="25"/>
      <c r="D249" s="73"/>
    </row>
    <row r="250" spans="1:4" x14ac:dyDescent="0.2">
      <c r="A250" s="345">
        <v>35124</v>
      </c>
      <c r="B250" s="73"/>
      <c r="C250" s="25"/>
      <c r="D250" s="73"/>
    </row>
    <row r="251" spans="1:4" x14ac:dyDescent="0.2">
      <c r="A251" s="345">
        <v>35155</v>
      </c>
      <c r="B251" s="73"/>
      <c r="C251" s="25"/>
      <c r="D251" s="73"/>
    </row>
    <row r="252" spans="1:4" x14ac:dyDescent="0.2">
      <c r="A252" s="345">
        <v>35185</v>
      </c>
      <c r="B252" s="73"/>
      <c r="C252" s="25"/>
      <c r="D252" s="73"/>
    </row>
    <row r="253" spans="1:4" x14ac:dyDescent="0.2">
      <c r="A253" s="345">
        <v>35216</v>
      </c>
      <c r="B253" s="73"/>
      <c r="C253" s="25"/>
      <c r="D253" s="73"/>
    </row>
    <row r="254" spans="1:4" x14ac:dyDescent="0.2">
      <c r="A254" s="345">
        <v>35246</v>
      </c>
      <c r="B254" s="73"/>
      <c r="C254" s="25"/>
      <c r="D254" s="73"/>
    </row>
    <row r="255" spans="1:4" x14ac:dyDescent="0.2">
      <c r="A255" s="345">
        <v>35277</v>
      </c>
      <c r="B255" s="73"/>
      <c r="C255" s="25"/>
      <c r="D255" s="73"/>
    </row>
    <row r="256" spans="1:4" x14ac:dyDescent="0.2">
      <c r="A256" s="345">
        <v>35308</v>
      </c>
      <c r="B256" s="73"/>
      <c r="C256" s="25"/>
      <c r="D256" s="73"/>
    </row>
    <row r="257" spans="1:4" x14ac:dyDescent="0.2">
      <c r="A257" s="345">
        <v>35338</v>
      </c>
      <c r="B257" s="73"/>
      <c r="C257" s="25"/>
      <c r="D257" s="73"/>
    </row>
    <row r="258" spans="1:4" x14ac:dyDescent="0.2">
      <c r="A258" s="345">
        <v>35369</v>
      </c>
      <c r="B258" s="73"/>
      <c r="C258" s="25"/>
      <c r="D258" s="73"/>
    </row>
    <row r="259" spans="1:4" x14ac:dyDescent="0.2">
      <c r="A259" s="345">
        <v>35399</v>
      </c>
      <c r="B259" s="73"/>
      <c r="C259" s="25"/>
      <c r="D259" s="73"/>
    </row>
    <row r="260" spans="1:4" x14ac:dyDescent="0.2">
      <c r="A260" s="345">
        <v>35430</v>
      </c>
      <c r="B260" s="73"/>
      <c r="C260" s="25"/>
      <c r="D260" s="73"/>
    </row>
    <row r="261" spans="1:4" x14ac:dyDescent="0.2">
      <c r="A261" s="345">
        <v>35461</v>
      </c>
      <c r="B261" s="73"/>
      <c r="C261" s="25"/>
      <c r="D261" s="73"/>
    </row>
    <row r="262" spans="1:4" x14ac:dyDescent="0.2">
      <c r="A262" s="345">
        <v>35489</v>
      </c>
      <c r="B262" s="73"/>
      <c r="C262" s="25"/>
      <c r="D262" s="73"/>
    </row>
    <row r="263" spans="1:4" x14ac:dyDescent="0.2">
      <c r="A263" s="345">
        <v>35520</v>
      </c>
      <c r="B263" s="73"/>
      <c r="C263" s="25"/>
      <c r="D263" s="73"/>
    </row>
    <row r="264" spans="1:4" x14ac:dyDescent="0.2">
      <c r="A264" s="345">
        <v>35550</v>
      </c>
      <c r="B264" s="73"/>
      <c r="C264" s="25"/>
      <c r="D264" s="73"/>
    </row>
    <row r="265" spans="1:4" x14ac:dyDescent="0.2">
      <c r="A265" s="345">
        <v>35581</v>
      </c>
      <c r="B265" s="73"/>
      <c r="C265" s="25"/>
      <c r="D265" s="73"/>
    </row>
    <row r="266" spans="1:4" x14ac:dyDescent="0.2">
      <c r="A266" s="345">
        <v>35611</v>
      </c>
      <c r="B266" s="73"/>
      <c r="C266" s="25"/>
      <c r="D266" s="73"/>
    </row>
    <row r="267" spans="1:4" x14ac:dyDescent="0.2">
      <c r="A267" s="345">
        <v>35642</v>
      </c>
      <c r="B267" s="73"/>
      <c r="C267" s="25"/>
      <c r="D267" s="73"/>
    </row>
    <row r="268" spans="1:4" x14ac:dyDescent="0.2">
      <c r="A268" s="345">
        <v>35673</v>
      </c>
      <c r="B268" s="73"/>
      <c r="C268" s="25"/>
      <c r="D268" s="73"/>
    </row>
    <row r="269" spans="1:4" x14ac:dyDescent="0.2">
      <c r="A269" s="345">
        <v>35703</v>
      </c>
      <c r="B269" s="73"/>
      <c r="C269" s="25"/>
      <c r="D269" s="73"/>
    </row>
    <row r="270" spans="1:4" x14ac:dyDescent="0.2">
      <c r="A270" s="345">
        <v>35734</v>
      </c>
      <c r="B270" s="73"/>
      <c r="C270" s="25"/>
      <c r="D270" s="73"/>
    </row>
    <row r="271" spans="1:4" x14ac:dyDescent="0.2">
      <c r="A271" s="345">
        <v>35764</v>
      </c>
      <c r="B271" s="73"/>
      <c r="C271" s="25"/>
      <c r="D271" s="73"/>
    </row>
    <row r="272" spans="1:4" x14ac:dyDescent="0.2">
      <c r="A272" s="345">
        <v>35795</v>
      </c>
      <c r="B272" s="73"/>
      <c r="C272" s="25"/>
      <c r="D272" s="73"/>
    </row>
    <row r="273" spans="1:4" x14ac:dyDescent="0.2">
      <c r="A273" s="345">
        <v>35826</v>
      </c>
      <c r="B273" s="73"/>
      <c r="C273" s="25"/>
      <c r="D273" s="73"/>
    </row>
    <row r="274" spans="1:4" x14ac:dyDescent="0.2">
      <c r="A274" s="345">
        <v>35854</v>
      </c>
      <c r="B274" s="78"/>
      <c r="C274" s="32"/>
      <c r="D274" s="73"/>
    </row>
    <row r="275" spans="1:4" x14ac:dyDescent="0.2">
      <c r="A275" s="345">
        <v>35885</v>
      </c>
      <c r="B275" s="78"/>
      <c r="C275" s="32"/>
      <c r="D275" s="73"/>
    </row>
    <row r="276" spans="1:4" x14ac:dyDescent="0.2">
      <c r="A276" s="345">
        <v>35915</v>
      </c>
      <c r="B276" s="78"/>
      <c r="C276" s="32"/>
      <c r="D276" s="73"/>
    </row>
    <row r="277" spans="1:4" x14ac:dyDescent="0.2">
      <c r="A277" s="345">
        <v>35946</v>
      </c>
      <c r="B277" s="78"/>
      <c r="C277" s="32"/>
      <c r="D277" s="73"/>
    </row>
    <row r="278" spans="1:4" x14ac:dyDescent="0.2">
      <c r="A278" s="345">
        <v>35976</v>
      </c>
      <c r="B278" s="78"/>
      <c r="C278" s="32"/>
      <c r="D278" s="73"/>
    </row>
    <row r="279" spans="1:4" x14ac:dyDescent="0.2">
      <c r="A279" s="345">
        <v>36007</v>
      </c>
      <c r="B279" s="78"/>
      <c r="C279" s="32"/>
      <c r="D279" s="73"/>
    </row>
    <row r="280" spans="1:4" x14ac:dyDescent="0.2">
      <c r="A280" s="345">
        <v>36038</v>
      </c>
      <c r="B280" s="78"/>
      <c r="C280" s="32"/>
      <c r="D280" s="73"/>
    </row>
    <row r="281" spans="1:4" x14ac:dyDescent="0.2">
      <c r="A281" s="345">
        <v>36068</v>
      </c>
      <c r="B281" s="78"/>
      <c r="C281" s="32"/>
      <c r="D281" s="73"/>
    </row>
    <row r="282" spans="1:4" x14ac:dyDescent="0.2">
      <c r="A282" s="345">
        <v>36099</v>
      </c>
      <c r="B282" s="78"/>
      <c r="C282" s="32"/>
      <c r="D282" s="73"/>
    </row>
    <row r="283" spans="1:4" x14ac:dyDescent="0.2">
      <c r="A283" s="345">
        <v>36129</v>
      </c>
      <c r="B283" s="78"/>
      <c r="C283" s="32"/>
      <c r="D283" s="73"/>
    </row>
    <row r="284" spans="1:4" x14ac:dyDescent="0.2">
      <c r="A284" s="345">
        <v>36160</v>
      </c>
      <c r="B284" s="78"/>
      <c r="C284" s="32"/>
      <c r="D284" s="73"/>
    </row>
    <row r="285" spans="1:4" x14ac:dyDescent="0.2">
      <c r="A285" s="345">
        <v>36191</v>
      </c>
      <c r="B285" s="78"/>
      <c r="C285" s="32"/>
      <c r="D285" s="73"/>
    </row>
    <row r="286" spans="1:4" x14ac:dyDescent="0.2">
      <c r="A286" s="345">
        <v>36219</v>
      </c>
      <c r="B286" s="78"/>
      <c r="C286" s="32"/>
      <c r="D286" s="73"/>
    </row>
    <row r="287" spans="1:4" x14ac:dyDescent="0.2">
      <c r="A287" s="345">
        <v>36250</v>
      </c>
      <c r="B287" s="78"/>
      <c r="C287" s="32"/>
      <c r="D287" s="73"/>
    </row>
    <row r="288" spans="1:4" x14ac:dyDescent="0.2">
      <c r="A288" s="345">
        <v>36280</v>
      </c>
      <c r="B288" s="78"/>
      <c r="C288" s="32"/>
      <c r="D288" s="73"/>
    </row>
    <row r="289" spans="1:4" x14ac:dyDescent="0.2">
      <c r="A289" s="345">
        <v>36311</v>
      </c>
      <c r="B289" s="78"/>
      <c r="C289" s="32"/>
      <c r="D289" s="73"/>
    </row>
    <row r="290" spans="1:4" x14ac:dyDescent="0.2">
      <c r="A290" s="345">
        <v>36341</v>
      </c>
      <c r="B290" s="78"/>
      <c r="C290" s="32"/>
      <c r="D290" s="73"/>
    </row>
    <row r="291" spans="1:4" x14ac:dyDescent="0.2">
      <c r="A291" s="345">
        <v>36372</v>
      </c>
      <c r="B291" s="78"/>
      <c r="C291" s="32"/>
      <c r="D291" s="73"/>
    </row>
    <row r="292" spans="1:4" x14ac:dyDescent="0.2">
      <c r="A292" s="345">
        <v>36403</v>
      </c>
      <c r="B292" s="78"/>
      <c r="C292" s="32"/>
      <c r="D292" s="73"/>
    </row>
    <row r="293" spans="1:4" x14ac:dyDescent="0.2">
      <c r="A293" s="345">
        <v>36433</v>
      </c>
      <c r="B293" s="78"/>
      <c r="C293" s="32"/>
      <c r="D293" s="73"/>
    </row>
    <row r="294" spans="1:4" x14ac:dyDescent="0.2">
      <c r="A294" s="345">
        <v>36464</v>
      </c>
      <c r="B294" s="78"/>
      <c r="C294" s="32"/>
      <c r="D294" s="73"/>
    </row>
    <row r="295" spans="1:4" x14ac:dyDescent="0.2">
      <c r="A295" s="345">
        <v>36494</v>
      </c>
      <c r="B295" s="78"/>
      <c r="C295" s="32"/>
      <c r="D295" s="73"/>
    </row>
    <row r="296" spans="1:4" x14ac:dyDescent="0.2">
      <c r="A296" s="345">
        <v>36525</v>
      </c>
      <c r="B296" s="78"/>
      <c r="C296" s="32"/>
      <c r="D296" s="73"/>
    </row>
    <row r="297" spans="1:4" x14ac:dyDescent="0.2">
      <c r="A297" s="345">
        <v>36556</v>
      </c>
      <c r="B297" s="78"/>
      <c r="C297" s="32"/>
      <c r="D297" s="73"/>
    </row>
    <row r="298" spans="1:4" x14ac:dyDescent="0.2">
      <c r="A298" s="345">
        <v>36585</v>
      </c>
      <c r="B298" s="78"/>
      <c r="C298" s="32"/>
      <c r="D298" s="73"/>
    </row>
    <row r="299" spans="1:4" x14ac:dyDescent="0.2">
      <c r="A299" s="345">
        <v>36616</v>
      </c>
      <c r="B299" s="78"/>
      <c r="C299" s="32"/>
      <c r="D299" s="73"/>
    </row>
    <row r="300" spans="1:4" x14ac:dyDescent="0.2">
      <c r="A300" s="345">
        <v>36646</v>
      </c>
      <c r="B300" s="78"/>
      <c r="C300" s="32"/>
      <c r="D300" s="73"/>
    </row>
    <row r="301" spans="1:4" x14ac:dyDescent="0.2">
      <c r="A301" s="345">
        <v>36677</v>
      </c>
      <c r="B301" s="78"/>
      <c r="C301" s="32"/>
      <c r="D301" s="73"/>
    </row>
    <row r="302" spans="1:4" x14ac:dyDescent="0.2">
      <c r="A302" s="345">
        <v>36707</v>
      </c>
      <c r="B302" s="78"/>
      <c r="C302" s="32"/>
      <c r="D302" s="73"/>
    </row>
    <row r="303" spans="1:4" x14ac:dyDescent="0.2">
      <c r="A303" s="345">
        <v>36738</v>
      </c>
      <c r="B303" s="78"/>
      <c r="C303" s="32"/>
      <c r="D303" s="73"/>
    </row>
    <row r="304" spans="1:4" x14ac:dyDescent="0.2">
      <c r="A304" s="345">
        <v>36769</v>
      </c>
      <c r="B304" s="78"/>
      <c r="C304" s="32"/>
      <c r="D304" s="73"/>
    </row>
    <row r="305" spans="1:10" x14ac:dyDescent="0.2">
      <c r="A305" s="345">
        <v>36799</v>
      </c>
      <c r="B305" s="78"/>
      <c r="C305" s="32"/>
      <c r="D305" s="73"/>
    </row>
    <row r="306" spans="1:10" x14ac:dyDescent="0.2">
      <c r="A306" s="345">
        <v>36830</v>
      </c>
      <c r="B306" s="78"/>
      <c r="C306" s="32"/>
      <c r="D306" s="73"/>
    </row>
    <row r="307" spans="1:10" x14ac:dyDescent="0.2">
      <c r="A307" s="345">
        <v>36860</v>
      </c>
      <c r="B307" s="78"/>
      <c r="C307" s="32"/>
      <c r="D307" s="73"/>
    </row>
    <row r="308" spans="1:10" x14ac:dyDescent="0.2">
      <c r="A308" s="345">
        <v>36891</v>
      </c>
      <c r="B308" s="1369">
        <v>5.34</v>
      </c>
      <c r="C308" s="33">
        <v>331391427.04000002</v>
      </c>
      <c r="D308" s="255"/>
      <c r="E308" s="14">
        <f>B308-Index_Returns!F308</f>
        <v>0.26649999999999974</v>
      </c>
      <c r="J308" s="14"/>
    </row>
    <row r="309" spans="1:10" x14ac:dyDescent="0.2">
      <c r="A309" s="345">
        <v>36922</v>
      </c>
      <c r="B309" s="1369">
        <v>0.02</v>
      </c>
      <c r="C309" s="33">
        <v>331957046.44999999</v>
      </c>
      <c r="D309" s="255"/>
      <c r="E309" s="14">
        <f>B309-Index_Returns!F309</f>
        <v>1.9300000000000001E-2</v>
      </c>
      <c r="J309" s="14"/>
    </row>
    <row r="310" spans="1:10" x14ac:dyDescent="0.2">
      <c r="A310" s="345">
        <v>36950</v>
      </c>
      <c r="B310" s="1369">
        <v>-8.14</v>
      </c>
      <c r="C310" s="33">
        <v>304942009.19</v>
      </c>
      <c r="D310" s="255"/>
      <c r="E310" s="14">
        <f>B310-Index_Returns!F310</f>
        <v>6.9899999999998741E-2</v>
      </c>
      <c r="J310" s="14"/>
    </row>
    <row r="311" spans="1:10" x14ac:dyDescent="0.2">
      <c r="A311" s="345">
        <v>36981</v>
      </c>
      <c r="B311" s="1369">
        <v>-10.73</v>
      </c>
      <c r="C311" s="33">
        <v>271791462.80000001</v>
      </c>
      <c r="D311" s="255"/>
      <c r="E311" s="14">
        <f>B311-Index_Returns!F311</f>
        <v>9.8099999999998744E-2</v>
      </c>
      <c r="J311" s="14"/>
    </row>
    <row r="312" spans="1:10" x14ac:dyDescent="0.2">
      <c r="A312" s="345">
        <v>37011</v>
      </c>
      <c r="B312" s="1369">
        <v>13.64</v>
      </c>
      <c r="C312" s="33">
        <v>308863626.63</v>
      </c>
      <c r="D312" s="255"/>
      <c r="E312" s="14">
        <f>B312-Index_Returns!F312</f>
        <v>0.1166999999999998</v>
      </c>
      <c r="J312" s="14"/>
    </row>
    <row r="313" spans="1:10" x14ac:dyDescent="0.2">
      <c r="A313" s="345">
        <v>37042</v>
      </c>
      <c r="B313" s="1369">
        <v>2.8</v>
      </c>
      <c r="C313" s="33">
        <v>317508965.19</v>
      </c>
      <c r="D313" s="255"/>
      <c r="E313" s="14">
        <f>B313-Index_Returns!F313</f>
        <v>4.6499999999999986E-2</v>
      </c>
      <c r="J313" s="14"/>
    </row>
    <row r="314" spans="1:10" x14ac:dyDescent="0.2">
      <c r="A314" s="345">
        <v>37072</v>
      </c>
      <c r="B314" s="1369">
        <v>-0.81</v>
      </c>
      <c r="C314" s="33">
        <v>314938838.61000001</v>
      </c>
      <c r="D314" s="255"/>
      <c r="E314" s="14">
        <f>B314-Index_Returns!F314</f>
        <v>0.12529999999999997</v>
      </c>
      <c r="J314" s="14"/>
    </row>
    <row r="315" spans="1:10" x14ac:dyDescent="0.2">
      <c r="A315" s="345">
        <v>37103</v>
      </c>
      <c r="B315" s="1369">
        <v>-2.92</v>
      </c>
      <c r="C315" s="33">
        <v>305732100.56</v>
      </c>
      <c r="D315" s="255"/>
      <c r="E315" s="14">
        <f>B315-Index_Returns!F315</f>
        <v>5.4300000000000015E-2</v>
      </c>
      <c r="J315" s="14"/>
    </row>
    <row r="316" spans="1:10" x14ac:dyDescent="0.2">
      <c r="A316" s="345">
        <v>37134</v>
      </c>
      <c r="B316" s="1369">
        <v>-4.55</v>
      </c>
      <c r="C316" s="33">
        <v>291824569.19</v>
      </c>
      <c r="D316" s="255"/>
      <c r="E316" s="14">
        <f>B316-Index_Returns!F316</f>
        <v>7.5000000000002842E-3</v>
      </c>
      <c r="J316" s="14"/>
    </row>
    <row r="317" spans="1:10" x14ac:dyDescent="0.2">
      <c r="A317" s="345">
        <v>37164</v>
      </c>
      <c r="B317" s="1369">
        <v>-13.75</v>
      </c>
      <c r="C317" s="33">
        <v>251692053.90000001</v>
      </c>
      <c r="D317" s="255"/>
      <c r="E317" s="14">
        <f>B317-Index_Returns!F317</f>
        <v>3.4399999999999764E-2</v>
      </c>
      <c r="J317" s="14"/>
    </row>
    <row r="318" spans="1:10" x14ac:dyDescent="0.2">
      <c r="A318" s="345">
        <v>37195</v>
      </c>
      <c r="B318" s="1369">
        <v>7.65</v>
      </c>
      <c r="C318" s="33">
        <v>270942916.79000002</v>
      </c>
      <c r="D318" s="255"/>
      <c r="E318" s="14">
        <f>B318-Index_Returns!F318</f>
        <v>-1.0999999999999233E-2</v>
      </c>
      <c r="J318" s="14"/>
    </row>
    <row r="319" spans="1:10" x14ac:dyDescent="0.2">
      <c r="A319" s="345">
        <v>37225</v>
      </c>
      <c r="B319" s="1369">
        <v>8.9499999999999993</v>
      </c>
      <c r="C319" s="33">
        <v>295193150.81999999</v>
      </c>
      <c r="D319" s="255"/>
      <c r="E319" s="14">
        <f>B319-Index_Returns!F319</f>
        <v>5.4100000000000037E-2</v>
      </c>
      <c r="J319" s="14"/>
    </row>
    <row r="320" spans="1:10" x14ac:dyDescent="0.2">
      <c r="A320" s="345">
        <v>37256</v>
      </c>
      <c r="B320" s="1369">
        <v>3.98</v>
      </c>
      <c r="C320" s="33">
        <v>306931995.23000002</v>
      </c>
      <c r="D320" s="255"/>
      <c r="E320" s="14">
        <f>B320-Index_Returns!F320</f>
        <v>3.1299999999999883E-2</v>
      </c>
      <c r="J320" s="14"/>
    </row>
    <row r="321" spans="1:10" x14ac:dyDescent="0.2">
      <c r="A321" s="345">
        <v>37287</v>
      </c>
      <c r="B321" s="1369">
        <v>-1.05</v>
      </c>
      <c r="C321" s="33">
        <v>303702112.74000001</v>
      </c>
      <c r="D321" s="255"/>
      <c r="E321" s="14">
        <f>B321-Index_Returns!F321</f>
        <v>-1.6699999999999937E-2</v>
      </c>
      <c r="J321" s="14"/>
    </row>
    <row r="322" spans="1:10" x14ac:dyDescent="0.2">
      <c r="A322" s="345">
        <v>37315</v>
      </c>
      <c r="B322" s="1369">
        <v>-2.19</v>
      </c>
      <c r="C322" s="33">
        <v>297052659.06999999</v>
      </c>
      <c r="D322" s="255"/>
      <c r="E322" s="14">
        <f>B322-Index_Returns!F322</f>
        <v>9.3999999999998529E-3</v>
      </c>
      <c r="J322" s="14"/>
    </row>
    <row r="323" spans="1:10" x14ac:dyDescent="0.2">
      <c r="A323" s="345">
        <v>37346</v>
      </c>
      <c r="B323" s="1369">
        <v>6.88</v>
      </c>
      <c r="C323" s="33">
        <v>317487550.49000001</v>
      </c>
      <c r="D323" s="255"/>
      <c r="E323" s="14">
        <f>B323-Index_Returns!F323</f>
        <v>-4.9000000000001265E-3</v>
      </c>
      <c r="J323" s="14"/>
    </row>
    <row r="324" spans="1:10" x14ac:dyDescent="0.2">
      <c r="A324" s="345">
        <v>37376</v>
      </c>
      <c r="B324" s="1369">
        <v>-2.56</v>
      </c>
      <c r="C324" s="33">
        <v>309358233.88999999</v>
      </c>
      <c r="D324" s="255"/>
      <c r="E324" s="14">
        <f>B324-Index_Returns!F324</f>
        <v>2.4499999999999744E-2</v>
      </c>
      <c r="J324" s="14"/>
    </row>
    <row r="325" spans="1:10" x14ac:dyDescent="0.2">
      <c r="A325" s="345">
        <v>37407</v>
      </c>
      <c r="B325" s="1369">
        <v>-1.6</v>
      </c>
      <c r="C325" s="33">
        <v>304401396.31999999</v>
      </c>
      <c r="D325" s="255"/>
      <c r="E325" s="14">
        <f>B325-Index_Returns!F325</f>
        <v>3.1699999999999839E-2</v>
      </c>
      <c r="J325" s="14"/>
    </row>
    <row r="326" spans="1:10" x14ac:dyDescent="0.2">
      <c r="A326" s="345">
        <v>37437</v>
      </c>
      <c r="B326" s="1369">
        <v>-8.3800000000000008</v>
      </c>
      <c r="C326" s="33">
        <v>111457854.47</v>
      </c>
      <c r="D326" s="255"/>
      <c r="E326" s="14">
        <f>B326-Index_Returns!F326</f>
        <v>0.8387999999999991</v>
      </c>
      <c r="J326" s="14"/>
    </row>
    <row r="327" spans="1:10" x14ac:dyDescent="0.2">
      <c r="A327" s="345">
        <v>37468</v>
      </c>
      <c r="B327" s="1369">
        <v>-8.9600000000000009</v>
      </c>
      <c r="C327" s="33">
        <v>101466678</v>
      </c>
      <c r="D327" s="255"/>
      <c r="E327" s="14">
        <f>B327-Index_Returns!F327</f>
        <v>2.3799999999999599E-2</v>
      </c>
      <c r="J327" s="14"/>
    </row>
    <row r="328" spans="1:10" x14ac:dyDescent="0.2">
      <c r="A328" s="345">
        <v>37499</v>
      </c>
      <c r="B328" s="1369">
        <v>0.17</v>
      </c>
      <c r="C328" s="33">
        <v>101639837.56</v>
      </c>
      <c r="D328" s="255"/>
      <c r="E328" s="14">
        <f>B328-Index_Returns!F328</f>
        <v>5.7800000000000018E-2</v>
      </c>
      <c r="J328" s="14"/>
    </row>
    <row r="329" spans="1:10" x14ac:dyDescent="0.2">
      <c r="A329" s="345">
        <v>37529</v>
      </c>
      <c r="B329" s="1369">
        <v>-6.25</v>
      </c>
      <c r="C329" s="33">
        <v>95293552.879999995</v>
      </c>
      <c r="D329" s="255"/>
      <c r="E329" s="14">
        <f>B329-Index_Returns!F329</f>
        <v>-1.7000000000000348E-2</v>
      </c>
      <c r="J329" s="14"/>
    </row>
    <row r="330" spans="1:10" x14ac:dyDescent="0.2">
      <c r="A330" s="345">
        <v>37560</v>
      </c>
      <c r="B330" s="1369">
        <v>4.5199999999999996</v>
      </c>
      <c r="C330" s="33">
        <v>99601357.260000005</v>
      </c>
      <c r="D330" s="255"/>
      <c r="E330" s="14">
        <f>B330-Index_Returns!F330</f>
        <v>-0.13430000000000053</v>
      </c>
      <c r="J330" s="14"/>
    </row>
    <row r="331" spans="1:10" x14ac:dyDescent="0.2">
      <c r="A331" s="345">
        <v>37590</v>
      </c>
      <c r="B331" s="1369">
        <v>5.2</v>
      </c>
      <c r="C331" s="33">
        <v>104783461.59999999</v>
      </c>
      <c r="D331" s="255"/>
      <c r="E331" s="14">
        <f>B331-Index_Returns!F331</f>
        <v>1.7000000000004789E-3</v>
      </c>
      <c r="J331" s="14"/>
    </row>
    <row r="332" spans="1:10" x14ac:dyDescent="0.2">
      <c r="A332" s="345">
        <v>37621</v>
      </c>
      <c r="B332" s="1369">
        <v>-4.54</v>
      </c>
      <c r="C332" s="33">
        <v>100029011.48999999</v>
      </c>
      <c r="D332" s="255"/>
      <c r="E332" s="14">
        <f>B332-Index_Returns!F332</f>
        <v>-2.2700000000000387E-2</v>
      </c>
      <c r="J332" s="14"/>
    </row>
    <row r="333" spans="1:10" x14ac:dyDescent="0.2">
      <c r="A333" s="345">
        <v>37652</v>
      </c>
      <c r="B333" s="1369">
        <v>-2.35</v>
      </c>
      <c r="C333" s="33">
        <v>97678852.409999996</v>
      </c>
      <c r="D333" s="255"/>
      <c r="E333" s="14">
        <f>B333-Index_Returns!F333</f>
        <v>9.7000000000000419E-3</v>
      </c>
      <c r="J333" s="14"/>
    </row>
    <row r="334" spans="1:10" x14ac:dyDescent="0.2">
      <c r="A334" s="345">
        <v>37680</v>
      </c>
      <c r="B334" s="1369">
        <v>-2.65</v>
      </c>
      <c r="C334" s="33">
        <v>95091261.980000004</v>
      </c>
      <c r="D334" s="255"/>
      <c r="E334" s="14">
        <f>B334-Index_Returns!F334</f>
        <v>1.5000000000000124E-2</v>
      </c>
      <c r="J334" s="14"/>
    </row>
    <row r="335" spans="1:10" x14ac:dyDescent="0.2">
      <c r="A335" s="345">
        <v>37711</v>
      </c>
      <c r="B335" s="1369">
        <v>2.02</v>
      </c>
      <c r="C335" s="33">
        <v>97010509.909999996</v>
      </c>
      <c r="D335" s="255"/>
      <c r="E335" s="14">
        <f>B335-Index_Returns!F335</f>
        <v>-2.8399999999999981E-2</v>
      </c>
      <c r="J335" s="14"/>
    </row>
    <row r="336" spans="1:10" x14ac:dyDescent="0.2">
      <c r="A336" s="345">
        <v>37741</v>
      </c>
      <c r="B336" s="1369">
        <v>6.37</v>
      </c>
      <c r="C336" s="33">
        <v>103194360.5</v>
      </c>
      <c r="D336" s="255"/>
      <c r="E336" s="14">
        <f>B336-Index_Returns!F336</f>
        <v>-8.099999999999774E-3</v>
      </c>
      <c r="J336" s="14"/>
    </row>
    <row r="337" spans="1:10" x14ac:dyDescent="0.2">
      <c r="A337" s="345">
        <v>37772</v>
      </c>
      <c r="B337" s="1369">
        <v>6.73</v>
      </c>
      <c r="C337" s="33">
        <v>110102204.08</v>
      </c>
      <c r="D337" s="255"/>
      <c r="E337" s="14">
        <f>B337-Index_Returns!F337</f>
        <v>-2.9299999999999216E-2</v>
      </c>
      <c r="J337" s="14"/>
    </row>
    <row r="338" spans="1:10" x14ac:dyDescent="0.2">
      <c r="A338" s="345">
        <v>37802</v>
      </c>
      <c r="B338" s="1369">
        <v>2.2400000000000002</v>
      </c>
      <c r="C338" s="33">
        <v>112623542.98</v>
      </c>
      <c r="D338" s="255"/>
      <c r="E338" s="14">
        <f>B338-Index_Returns!F338</f>
        <v>8.6699999999999999E-2</v>
      </c>
      <c r="J338" s="14"/>
    </row>
    <row r="339" spans="1:10" x14ac:dyDescent="0.2">
      <c r="A339" s="345">
        <v>37833</v>
      </c>
      <c r="B339" s="1369">
        <v>4.01</v>
      </c>
      <c r="C339" s="33">
        <v>117126597.22</v>
      </c>
      <c r="D339" s="255"/>
      <c r="E339" s="14">
        <f>B339-Index_Returns!F339</f>
        <v>-7.690000000000019E-2</v>
      </c>
      <c r="J339" s="14"/>
    </row>
    <row r="340" spans="1:10" x14ac:dyDescent="0.2">
      <c r="A340" s="345">
        <v>37864</v>
      </c>
      <c r="B340" s="1369">
        <v>3.96</v>
      </c>
      <c r="C340" s="33">
        <v>121760326.65000001</v>
      </c>
      <c r="D340" s="255"/>
      <c r="E340" s="14">
        <f>B340-Index_Returns!F340</f>
        <v>-2.0900000000000141E-2</v>
      </c>
      <c r="J340" s="14"/>
    </row>
    <row r="341" spans="1:10" x14ac:dyDescent="0.2">
      <c r="A341" s="345">
        <v>37894</v>
      </c>
      <c r="B341" s="1369">
        <v>-2.0299999999999998</v>
      </c>
      <c r="C341" s="34">
        <v>119291374.08</v>
      </c>
      <c r="D341" s="255"/>
      <c r="E341" s="14">
        <f>B341-Index_Returns!F341</f>
        <v>4.1000000000000369E-2</v>
      </c>
      <c r="J341" s="14"/>
    </row>
    <row r="342" spans="1:10" x14ac:dyDescent="0.2">
      <c r="A342" s="345">
        <v>37925</v>
      </c>
      <c r="B342" s="1369">
        <v>7.12</v>
      </c>
      <c r="C342" s="34">
        <v>127785399.59</v>
      </c>
      <c r="D342" s="255"/>
      <c r="E342" s="14">
        <f>B342-Index_Returns!F342</f>
        <v>0.19510000000000005</v>
      </c>
      <c r="J342" s="14"/>
    </row>
    <row r="343" spans="1:10" x14ac:dyDescent="0.2">
      <c r="A343" s="345">
        <v>37955</v>
      </c>
      <c r="B343" s="1369">
        <v>3.09</v>
      </c>
      <c r="C343" s="34">
        <v>131729293.11</v>
      </c>
      <c r="D343" s="255"/>
      <c r="E343" s="14">
        <f>B343-Index_Returns!F343</f>
        <v>8.2199999999999829E-2</v>
      </c>
      <c r="J343" s="14"/>
    </row>
    <row r="344" spans="1:10" x14ac:dyDescent="0.2">
      <c r="A344" s="345">
        <v>37986</v>
      </c>
      <c r="B344" s="1369">
        <v>-0.14000000000000001</v>
      </c>
      <c r="C344" s="34">
        <v>131548243.02</v>
      </c>
      <c r="D344" s="255"/>
      <c r="E344" s="14">
        <f>B344-Index_Returns!F344</f>
        <v>0.1613</v>
      </c>
      <c r="J344" s="14"/>
    </row>
    <row r="345" spans="1:10" x14ac:dyDescent="0.2">
      <c r="A345" s="345">
        <v>38017</v>
      </c>
      <c r="B345" s="1369">
        <v>1.65</v>
      </c>
      <c r="C345" s="34">
        <v>133725058.43000001</v>
      </c>
      <c r="D345" s="255"/>
      <c r="E345" s="14">
        <f>B345-Index_Returns!F345</f>
        <v>-4.1500000000000092E-2</v>
      </c>
      <c r="J345" s="14"/>
    </row>
    <row r="346" spans="1:10" x14ac:dyDescent="0.2">
      <c r="A346" s="345">
        <v>38046</v>
      </c>
      <c r="B346" s="1369">
        <v>2.27</v>
      </c>
      <c r="C346" s="34">
        <v>136766590.72999999</v>
      </c>
      <c r="D346" s="255"/>
      <c r="E346" s="14">
        <f>B346-Index_Returns!F346</f>
        <v>0.13339999999999996</v>
      </c>
      <c r="J346" s="14"/>
    </row>
    <row r="347" spans="1:10" x14ac:dyDescent="0.2">
      <c r="A347" s="345">
        <v>38077</v>
      </c>
      <c r="B347" s="1369">
        <v>0.59</v>
      </c>
      <c r="C347" s="34">
        <v>137576720.71000001</v>
      </c>
      <c r="D347" s="255"/>
      <c r="E347" s="14">
        <f>B347-Index_Returns!F347</f>
        <v>-7.8000000000000069E-2</v>
      </c>
      <c r="J347" s="14"/>
    </row>
    <row r="348" spans="1:10" x14ac:dyDescent="0.2">
      <c r="A348" s="345">
        <v>38107</v>
      </c>
      <c r="B348" s="1369">
        <v>-2.7</v>
      </c>
      <c r="C348" s="34">
        <v>133855620.38</v>
      </c>
      <c r="D348" s="253"/>
      <c r="E348" s="14">
        <f>B348-Index_Returns!F348</f>
        <v>-1.4000000000000234E-2</v>
      </c>
      <c r="J348" s="14"/>
    </row>
    <row r="349" spans="1:10" x14ac:dyDescent="0.2">
      <c r="A349" s="345">
        <v>38138</v>
      </c>
      <c r="B349" s="1369">
        <v>2.1</v>
      </c>
      <c r="C349" s="34">
        <v>136663639.41</v>
      </c>
      <c r="D349" s="253"/>
      <c r="E349" s="14">
        <f>B349-Index_Returns!F349</f>
        <v>3.2300000000000217E-2</v>
      </c>
      <c r="J349" s="14"/>
    </row>
    <row r="350" spans="1:10" x14ac:dyDescent="0.2">
      <c r="A350" s="345">
        <v>38168</v>
      </c>
      <c r="B350" s="1369">
        <v>1.46</v>
      </c>
      <c r="C350" s="34">
        <v>138666325</v>
      </c>
      <c r="D350" s="253"/>
      <c r="E350" s="14">
        <f>B350-Index_Returns!F350</f>
        <v>1.519999999999988E-2</v>
      </c>
      <c r="J350" s="14"/>
    </row>
    <row r="351" spans="1:10" x14ac:dyDescent="0.2">
      <c r="A351" s="345">
        <v>38199</v>
      </c>
      <c r="B351" s="1369">
        <v>-4.9800000000000004</v>
      </c>
      <c r="C351" s="34">
        <v>131759942.23</v>
      </c>
      <c r="D351" s="253"/>
      <c r="E351" s="14">
        <f>B351-Index_Returns!F351</f>
        <v>2.8999999999994586E-3</v>
      </c>
      <c r="J351" s="14"/>
    </row>
    <row r="352" spans="1:10" x14ac:dyDescent="0.2">
      <c r="A352" s="345">
        <v>38230</v>
      </c>
      <c r="B352" s="1369">
        <v>-1.22</v>
      </c>
      <c r="C352" s="34">
        <v>130153635.89</v>
      </c>
      <c r="D352" s="253"/>
      <c r="E352" s="14">
        <f>B352-Index_Returns!F352</f>
        <v>2.2199999999999998E-2</v>
      </c>
      <c r="J352" s="14"/>
    </row>
    <row r="353" spans="1:10" x14ac:dyDescent="0.2">
      <c r="A353" s="345">
        <v>38260</v>
      </c>
      <c r="B353" s="1369">
        <v>2.92</v>
      </c>
      <c r="C353" s="34">
        <v>133964412.73</v>
      </c>
      <c r="D353" s="253"/>
      <c r="E353" s="14">
        <f>B353-Index_Returns!F353</f>
        <v>1.7999999999998018E-3</v>
      </c>
      <c r="J353" s="14"/>
    </row>
    <row r="354" spans="1:10" x14ac:dyDescent="0.2">
      <c r="A354" s="345">
        <v>38291</v>
      </c>
      <c r="B354" s="1369">
        <v>2.37</v>
      </c>
      <c r="C354" s="34">
        <v>137145602.81</v>
      </c>
      <c r="D354" s="253"/>
      <c r="E354" s="14">
        <f>B354-Index_Returns!F354</f>
        <v>-5.4399999999999782E-2</v>
      </c>
      <c r="J354" s="14"/>
    </row>
    <row r="355" spans="1:10" x14ac:dyDescent="0.2">
      <c r="A355" s="345">
        <v>38321</v>
      </c>
      <c r="B355" s="1369">
        <v>4.84</v>
      </c>
      <c r="C355" s="34">
        <v>143783913.78</v>
      </c>
      <c r="D355" s="253"/>
      <c r="E355" s="14">
        <f>B355-Index_Returns!F355</f>
        <v>8.9599999999999902E-2</v>
      </c>
      <c r="J355" s="14"/>
    </row>
    <row r="356" spans="1:10" x14ac:dyDescent="0.2">
      <c r="A356" s="345">
        <v>38352</v>
      </c>
      <c r="B356" s="1369">
        <v>4.3499999999999996</v>
      </c>
      <c r="C356" s="256">
        <v>150037218.53999999</v>
      </c>
      <c r="D356" s="253"/>
      <c r="E356" s="14">
        <f>B356-Index_Returns!F356</f>
        <v>-8.4000000000000519E-2</v>
      </c>
      <c r="J356" s="14"/>
    </row>
    <row r="357" spans="1:10" x14ac:dyDescent="0.2">
      <c r="A357" s="345">
        <v>38383</v>
      </c>
      <c r="B357" s="1369">
        <v>-2.5099999999999998</v>
      </c>
      <c r="C357" s="34">
        <v>146266361.84</v>
      </c>
      <c r="D357" s="253"/>
      <c r="E357" s="14">
        <f>B357-Index_Returns!F357</f>
        <v>-0.1762999999999999</v>
      </c>
      <c r="J357" s="14"/>
    </row>
    <row r="358" spans="1:10" x14ac:dyDescent="0.2">
      <c r="A358" s="345">
        <v>38411</v>
      </c>
      <c r="B358" s="1369">
        <v>3.78</v>
      </c>
      <c r="C358" s="34">
        <v>151793405.03</v>
      </c>
      <c r="D358" s="253"/>
      <c r="E358" s="14">
        <f>B358-Index_Returns!F358</f>
        <v>0.19459999999999988</v>
      </c>
      <c r="J358" s="14"/>
    </row>
    <row r="359" spans="1:10" x14ac:dyDescent="0.2">
      <c r="A359" s="345">
        <v>38442</v>
      </c>
      <c r="B359" s="1369">
        <v>-1.22</v>
      </c>
      <c r="C359" s="256">
        <v>149948706.06</v>
      </c>
      <c r="D359" s="253"/>
      <c r="E359" s="14">
        <f>B359-Index_Returns!F359</f>
        <v>2.3000000000000131E-2</v>
      </c>
      <c r="J359" s="14"/>
    </row>
    <row r="360" spans="1:10" x14ac:dyDescent="0.2">
      <c r="A360" s="345">
        <v>38472</v>
      </c>
      <c r="B360" s="1369">
        <v>-4.07</v>
      </c>
      <c r="C360" s="256">
        <v>143838444.55000001</v>
      </c>
      <c r="D360" s="253"/>
      <c r="E360" s="14">
        <f>B360-Index_Returns!F360</f>
        <v>-4.1400000000000325E-2</v>
      </c>
      <c r="J360" s="14"/>
    </row>
    <row r="361" spans="1:10" x14ac:dyDescent="0.2">
      <c r="A361" s="345">
        <v>38503</v>
      </c>
      <c r="B361" s="1369">
        <v>6.06</v>
      </c>
      <c r="C361" s="256">
        <v>152550738.69999999</v>
      </c>
      <c r="D361" s="253"/>
      <c r="E361" s="14">
        <f>B361-Index_Returns!F361</f>
        <v>-3.3900000000000041E-2</v>
      </c>
      <c r="J361" s="14"/>
    </row>
    <row r="362" spans="1:10" x14ac:dyDescent="0.2">
      <c r="A362" s="345">
        <v>38533</v>
      </c>
      <c r="B362" s="1369">
        <v>1.91</v>
      </c>
      <c r="C362" s="256">
        <v>155466493.06</v>
      </c>
      <c r="D362" s="253"/>
      <c r="E362" s="14">
        <f>B362-Index_Returns!F362</f>
        <v>0.10219999999999985</v>
      </c>
      <c r="J362" s="14"/>
    </row>
    <row r="363" spans="1:10" x14ac:dyDescent="0.2">
      <c r="A363" s="345">
        <v>38564</v>
      </c>
      <c r="B363" s="1369">
        <v>4.91</v>
      </c>
      <c r="C363" s="256">
        <v>163094317.25</v>
      </c>
      <c r="D363" s="253"/>
      <c r="E363" s="14">
        <f>B363-Index_Returns!F363</f>
        <v>1.3700000000000045E-2</v>
      </c>
      <c r="J363" s="14"/>
    </row>
    <row r="364" spans="1:10" x14ac:dyDescent="0.2">
      <c r="A364" s="345">
        <v>38595</v>
      </c>
      <c r="B364" s="1369">
        <v>-1.07</v>
      </c>
      <c r="C364" s="256">
        <v>343158880.98000002</v>
      </c>
      <c r="D364" s="253"/>
      <c r="E364" s="14">
        <f>B364-Index_Returns!F364</f>
        <v>2.8299999999999992E-2</v>
      </c>
      <c r="J364" s="14"/>
    </row>
    <row r="365" spans="1:10" x14ac:dyDescent="0.2">
      <c r="A365" s="345">
        <v>38625</v>
      </c>
      <c r="B365" s="1369">
        <v>0.61</v>
      </c>
      <c r="C365" s="256">
        <v>345242552.91000003</v>
      </c>
      <c r="D365" s="253"/>
      <c r="E365" s="14">
        <f>B365-Index_Returns!F365</f>
        <v>-9.9999999999988987E-5</v>
      </c>
      <c r="J365" s="14"/>
    </row>
    <row r="366" spans="1:10" x14ac:dyDescent="0.2">
      <c r="A366" s="345">
        <v>38656</v>
      </c>
      <c r="B366" s="1369">
        <v>-1.39</v>
      </c>
      <c r="C366" s="256">
        <v>340454167.04000002</v>
      </c>
      <c r="D366" s="253"/>
      <c r="E366" s="14">
        <f>B366-Index_Returns!F366</f>
        <v>2.0500000000000185E-2</v>
      </c>
      <c r="J366" s="14"/>
    </row>
    <row r="367" spans="1:10" x14ac:dyDescent="0.2">
      <c r="A367" s="345">
        <v>38686</v>
      </c>
      <c r="B367" s="1369">
        <v>5.67</v>
      </c>
      <c r="C367" s="256">
        <v>242484417.36000001</v>
      </c>
      <c r="D367" s="253"/>
      <c r="E367" s="14">
        <f>B367-Index_Returns!F367</f>
        <v>7.6200000000000045E-2</v>
      </c>
      <c r="J367" s="14"/>
    </row>
    <row r="368" spans="1:10" x14ac:dyDescent="0.2">
      <c r="A368" s="345">
        <v>38717</v>
      </c>
      <c r="B368" s="1369">
        <v>0.96</v>
      </c>
      <c r="C368" s="256">
        <v>244814566.06999999</v>
      </c>
      <c r="D368" s="253"/>
      <c r="E368" s="14">
        <f>B368-Index_Returns!F368</f>
        <v>3.9999999999999925E-2</v>
      </c>
      <c r="J368" s="14"/>
    </row>
    <row r="369" spans="1:10" x14ac:dyDescent="0.2">
      <c r="A369" s="345">
        <v>38748</v>
      </c>
      <c r="B369" s="1369">
        <v>5.54</v>
      </c>
      <c r="C369" s="256">
        <v>258383077.96000001</v>
      </c>
      <c r="D369" s="253"/>
      <c r="E369" s="14">
        <f>B369-Index_Returns!F369</f>
        <v>-3.4999999999998366E-3</v>
      </c>
      <c r="J369" s="14"/>
    </row>
    <row r="370" spans="1:10" x14ac:dyDescent="0.2">
      <c r="A370" s="345">
        <v>38776</v>
      </c>
      <c r="B370" s="1369">
        <v>-1.6</v>
      </c>
      <c r="C370" s="256">
        <v>254249341.09999999</v>
      </c>
      <c r="D370" s="253"/>
      <c r="E370" s="14">
        <f>B370-Index_Returns!F370</f>
        <v>9.3099999999999961E-2</v>
      </c>
      <c r="J370" s="14"/>
    </row>
    <row r="371" spans="1:10" x14ac:dyDescent="0.2">
      <c r="A371" s="345">
        <v>38807</v>
      </c>
      <c r="B371" s="1369">
        <v>2.2000000000000002</v>
      </c>
      <c r="C371" s="33">
        <v>259841901.94</v>
      </c>
      <c r="D371" s="253"/>
      <c r="E371" s="14">
        <f>B371-Index_Returns!F371</f>
        <v>-0.12519999999999998</v>
      </c>
      <c r="J371" s="14"/>
    </row>
    <row r="372" spans="1:10" x14ac:dyDescent="0.2">
      <c r="A372" s="345">
        <v>38837</v>
      </c>
      <c r="B372" s="1369">
        <v>0.59</v>
      </c>
      <c r="C372" s="33">
        <v>261378951.40000001</v>
      </c>
      <c r="D372" s="253"/>
      <c r="E372" s="14">
        <f>B372-Index_Returns!F372</f>
        <v>-6.1900000000000066E-2</v>
      </c>
      <c r="J372" s="14"/>
    </row>
    <row r="373" spans="1:10" x14ac:dyDescent="0.2">
      <c r="A373" s="345">
        <v>38868</v>
      </c>
      <c r="B373" s="1369">
        <v>-5.18</v>
      </c>
      <c r="C373" s="33">
        <v>247833823.06</v>
      </c>
      <c r="D373" s="253"/>
      <c r="E373" s="14">
        <f>B373-Index_Returns!F373</f>
        <v>-0.10179999999999989</v>
      </c>
      <c r="J373" s="14"/>
    </row>
    <row r="374" spans="1:10" x14ac:dyDescent="0.2">
      <c r="A374" s="345">
        <v>38898</v>
      </c>
      <c r="B374" s="1369">
        <v>-0.12</v>
      </c>
      <c r="C374" s="354">
        <v>247535122.49000001</v>
      </c>
      <c r="D374" s="253"/>
      <c r="E374" s="14">
        <f>B374-Index_Returns!F374</f>
        <v>-0.21229999999999999</v>
      </c>
      <c r="J374" s="14"/>
    </row>
    <row r="375" spans="1:10" x14ac:dyDescent="0.2">
      <c r="A375" s="345">
        <v>38929</v>
      </c>
      <c r="B375" s="1369">
        <v>-3.58</v>
      </c>
      <c r="C375" s="34">
        <v>238685357.13999999</v>
      </c>
      <c r="D375" s="253"/>
      <c r="E375" s="14">
        <f>B375-Index_Returns!F375</f>
        <v>-7.9000000000002402E-3</v>
      </c>
      <c r="J375" s="14"/>
    </row>
    <row r="376" spans="1:10" x14ac:dyDescent="0.2">
      <c r="A376" s="345">
        <v>38960</v>
      </c>
      <c r="B376" s="1369">
        <v>0.79</v>
      </c>
      <c r="C376" s="34">
        <v>240567692.19999999</v>
      </c>
      <c r="D376" s="253"/>
      <c r="E376" s="14">
        <f>B376-Index_Returns!F376</f>
        <v>5.4000000000000048E-2</v>
      </c>
      <c r="J376" s="14"/>
    </row>
    <row r="377" spans="1:10" x14ac:dyDescent="0.2">
      <c r="A377" s="345">
        <v>38990</v>
      </c>
      <c r="B377" s="1369">
        <v>1.25</v>
      </c>
      <c r="C377" s="34">
        <v>243576885.13</v>
      </c>
      <c r="D377" s="253"/>
      <c r="E377" s="14">
        <f>B377-Index_Returns!F377</f>
        <v>1.980000000000004E-2</v>
      </c>
      <c r="J377" s="14"/>
    </row>
    <row r="378" spans="1:10" x14ac:dyDescent="0.2">
      <c r="A378" s="345">
        <v>39021</v>
      </c>
      <c r="B378" s="1369">
        <v>3.76</v>
      </c>
      <c r="C378" s="34">
        <v>252726230.75999999</v>
      </c>
      <c r="D378" s="253"/>
      <c r="E378" s="14">
        <f>B378-Index_Returns!F378</f>
        <v>3.3699999999999619E-2</v>
      </c>
      <c r="F378" s="352"/>
      <c r="J378" s="14"/>
    </row>
    <row r="379" spans="1:10" x14ac:dyDescent="0.2">
      <c r="A379" s="345">
        <v>39051</v>
      </c>
      <c r="B379" s="1369">
        <v>3.43</v>
      </c>
      <c r="C379" s="34">
        <v>261402684.41</v>
      </c>
      <c r="D379" s="253"/>
      <c r="E379" s="14">
        <f>B379-Index_Returns!F379</f>
        <v>2.3400000000000087E-2</v>
      </c>
      <c r="F379" s="352"/>
      <c r="J379" s="14"/>
    </row>
    <row r="380" spans="1:10" x14ac:dyDescent="0.2">
      <c r="A380" s="345">
        <v>39082</v>
      </c>
      <c r="B380" s="1369">
        <v>-1.1399999999999999</v>
      </c>
      <c r="C380" s="34">
        <v>258429780.13</v>
      </c>
      <c r="D380" s="253"/>
      <c r="E380" s="14">
        <f>B380-Index_Returns!F380</f>
        <v>5.1400000000000112E-2</v>
      </c>
      <c r="F380" s="352"/>
      <c r="J380" s="14"/>
    </row>
    <row r="381" spans="1:10" x14ac:dyDescent="0.2">
      <c r="A381" s="345">
        <v>39113</v>
      </c>
      <c r="B381" s="1369">
        <v>3.96</v>
      </c>
      <c r="C381" s="346">
        <v>268659923.29000002</v>
      </c>
      <c r="E381" s="14">
        <f>B381-Index_Returns!F381</f>
        <v>1.7300000000000093E-2</v>
      </c>
      <c r="F381" s="352"/>
      <c r="J381" s="14"/>
    </row>
    <row r="382" spans="1:10" x14ac:dyDescent="0.2">
      <c r="A382" s="345">
        <v>39141</v>
      </c>
      <c r="B382" s="1369">
        <v>0.28000000000000003</v>
      </c>
      <c r="C382" s="346">
        <v>269403683.56999999</v>
      </c>
      <c r="E382" s="14">
        <f>B382-Index_Returns!F382</f>
        <v>2.3100000000000009E-2</v>
      </c>
      <c r="F382" s="352"/>
      <c r="J382" s="14"/>
    </row>
    <row r="383" spans="1:10" x14ac:dyDescent="0.2">
      <c r="A383" s="345">
        <v>39172</v>
      </c>
      <c r="B383" s="1369">
        <v>1.54</v>
      </c>
      <c r="C383" s="346">
        <v>273551965.30000001</v>
      </c>
      <c r="E383" s="14">
        <f>B383-Index_Returns!F383</f>
        <v>-0.10759999999999992</v>
      </c>
      <c r="J383" s="14"/>
    </row>
    <row r="384" spans="1:10" x14ac:dyDescent="0.2">
      <c r="A384" s="345">
        <v>39202</v>
      </c>
      <c r="B384" s="1369">
        <v>3.32</v>
      </c>
      <c r="C384" s="346">
        <v>282626457.52999997</v>
      </c>
      <c r="E384" s="14">
        <f>B384-Index_Returns!F384</f>
        <v>5.3499999999999659E-2</v>
      </c>
      <c r="J384" s="14"/>
    </row>
    <row r="385" spans="1:10" x14ac:dyDescent="0.2">
      <c r="A385" s="345">
        <v>39233</v>
      </c>
      <c r="B385" s="1369">
        <v>5.68</v>
      </c>
      <c r="C385" s="346">
        <v>298670535.87</v>
      </c>
      <c r="E385" s="14">
        <f>B385-Index_Returns!F385</f>
        <v>2.5799999999999379E-2</v>
      </c>
      <c r="J385" s="14"/>
    </row>
    <row r="386" spans="1:10" x14ac:dyDescent="0.2">
      <c r="A386" s="345">
        <v>39263</v>
      </c>
      <c r="B386" s="1369">
        <v>-1.65</v>
      </c>
      <c r="C386" s="346">
        <v>293736577.31</v>
      </c>
      <c r="E386" s="14">
        <f>B386-Index_Returns!F386</f>
        <v>6.8100000000000049E-2</v>
      </c>
      <c r="J386" s="14"/>
    </row>
    <row r="387" spans="1:10" x14ac:dyDescent="0.2">
      <c r="A387" s="345">
        <v>39294</v>
      </c>
      <c r="B387" s="1369">
        <v>-3.67</v>
      </c>
      <c r="C387" s="346">
        <v>282965658.11000001</v>
      </c>
      <c r="E387" s="14">
        <f>B387-Index_Returns!F387</f>
        <v>7.4100000000000055E-2</v>
      </c>
      <c r="J387" s="14"/>
    </row>
    <row r="388" spans="1:10" x14ac:dyDescent="0.2">
      <c r="A388" s="345">
        <v>39325</v>
      </c>
      <c r="B388" s="1369">
        <v>1.02</v>
      </c>
      <c r="C388" s="346">
        <v>285839658.63</v>
      </c>
      <c r="E388" s="14">
        <f>B388-Index_Returns!F388</f>
        <v>-9.1499999999999915E-2</v>
      </c>
      <c r="J388" s="14"/>
    </row>
    <row r="389" spans="1:10" x14ac:dyDescent="0.2">
      <c r="A389" s="345">
        <v>39355</v>
      </c>
      <c r="B389" s="1369">
        <v>3.48</v>
      </c>
      <c r="C389" s="346">
        <v>295784544.30000001</v>
      </c>
      <c r="E389" s="14">
        <f>B389-Index_Returns!F389</f>
        <v>-4.610000000000003E-2</v>
      </c>
      <c r="J389" s="14"/>
    </row>
    <row r="390" spans="1:10" x14ac:dyDescent="0.2">
      <c r="A390" s="345">
        <v>39386</v>
      </c>
      <c r="B390" s="1369">
        <v>3.66</v>
      </c>
      <c r="C390" s="346">
        <v>306612112.41000003</v>
      </c>
      <c r="E390" s="14">
        <f>B390-Index_Returns!F390</f>
        <v>0.1384000000000003</v>
      </c>
      <c r="J390" s="14"/>
    </row>
    <row r="391" spans="1:10" x14ac:dyDescent="0.2">
      <c r="A391" s="345">
        <v>39416</v>
      </c>
      <c r="B391" s="1369">
        <v>-3.98</v>
      </c>
      <c r="C391" s="346">
        <v>294417608.38</v>
      </c>
      <c r="E391" s="14">
        <f>B391-Index_Returns!F391</f>
        <v>0.3472000000000004</v>
      </c>
      <c r="J391" s="14"/>
    </row>
    <row r="392" spans="1:10" x14ac:dyDescent="0.2">
      <c r="A392" s="345">
        <v>39447</v>
      </c>
      <c r="B392" s="1369">
        <v>0.09</v>
      </c>
      <c r="C392" s="346">
        <v>294698122.70999998</v>
      </c>
      <c r="E392" s="14">
        <f>B392-Index_Returns!F392</f>
        <v>-4.0500000000000008E-2</v>
      </c>
      <c r="F392" s="779"/>
      <c r="J392" s="14"/>
    </row>
    <row r="393" spans="1:10" x14ac:dyDescent="0.2">
      <c r="A393" s="345">
        <v>39478</v>
      </c>
      <c r="B393" s="1369">
        <v>-7.24</v>
      </c>
      <c r="C393" s="346">
        <v>273356869.13999999</v>
      </c>
      <c r="E393" s="14">
        <f>B393-Index_Returns!F393</f>
        <v>-7.8000000000004732E-3</v>
      </c>
      <c r="J393" s="14"/>
    </row>
    <row r="394" spans="1:10" x14ac:dyDescent="0.2">
      <c r="A394" s="345">
        <v>39507</v>
      </c>
      <c r="B394" s="1369">
        <v>-0.36</v>
      </c>
      <c r="C394" s="346">
        <v>272375111.16000003</v>
      </c>
      <c r="E394" s="14">
        <f>B394-Index_Returns!F394</f>
        <v>7.7800000000000036E-2</v>
      </c>
      <c r="J394" s="14"/>
    </row>
    <row r="395" spans="1:10" x14ac:dyDescent="0.2">
      <c r="A395" s="345">
        <v>39538</v>
      </c>
      <c r="B395" s="1369">
        <v>-1.47</v>
      </c>
      <c r="C395" s="346">
        <v>268378527.16999999</v>
      </c>
      <c r="E395" s="14">
        <f>B395-Index_Returns!F395</f>
        <v>5.8200000000000029E-2</v>
      </c>
      <c r="J395" s="14"/>
    </row>
    <row r="396" spans="1:10" x14ac:dyDescent="0.2">
      <c r="A396" s="345">
        <v>39568</v>
      </c>
      <c r="B396" s="1369">
        <v>8</v>
      </c>
      <c r="C396" s="346">
        <v>289847549.69999999</v>
      </c>
      <c r="E396" s="14">
        <f>B396-Index_Returns!F396</f>
        <v>-0.10629999999999917</v>
      </c>
      <c r="J396" s="14"/>
    </row>
    <row r="397" spans="1:10" x14ac:dyDescent="0.2">
      <c r="A397" s="345">
        <v>39599</v>
      </c>
      <c r="B397" s="1369">
        <v>6.06</v>
      </c>
      <c r="C397" s="346">
        <v>307403390.04000002</v>
      </c>
      <c r="E397" s="14">
        <f>B397-Index_Returns!F397</f>
        <v>8.8599999999999568E-2</v>
      </c>
      <c r="J397" s="14"/>
    </row>
    <row r="398" spans="1:10" x14ac:dyDescent="0.2">
      <c r="A398" s="345">
        <v>39629</v>
      </c>
      <c r="B398" s="1369">
        <v>-5.28</v>
      </c>
      <c r="C398" s="346">
        <v>291181489.61000001</v>
      </c>
      <c r="E398" s="14">
        <f>B398-Index_Returns!F398</f>
        <v>-0.17590000000000039</v>
      </c>
      <c r="J398" s="14"/>
    </row>
    <row r="399" spans="1:10" x14ac:dyDescent="0.2">
      <c r="A399" s="345">
        <v>39660</v>
      </c>
      <c r="B399" s="1369">
        <v>-3.4</v>
      </c>
      <c r="C399" s="33">
        <v>281284430</v>
      </c>
      <c r="E399" s="14">
        <f>B399-Index_Returns!F399</f>
        <v>-6.3800000000000079E-2</v>
      </c>
      <c r="J399" s="14"/>
    </row>
    <row r="400" spans="1:10" x14ac:dyDescent="0.2">
      <c r="A400" s="345">
        <v>39691</v>
      </c>
      <c r="B400" s="1369">
        <v>1.33</v>
      </c>
      <c r="C400" s="33">
        <v>277279778.82999998</v>
      </c>
      <c r="E400" s="14">
        <f>B400-Index_Returns!F400</f>
        <v>2.8000000000001357E-3</v>
      </c>
      <c r="J400" s="14"/>
    </row>
    <row r="401" spans="1:10" x14ac:dyDescent="0.2">
      <c r="A401" s="345">
        <v>39721</v>
      </c>
      <c r="B401" s="1369">
        <v>-12.54</v>
      </c>
      <c r="C401" s="33">
        <v>249219375.25999999</v>
      </c>
      <c r="E401" s="14">
        <f>B401-Index_Returns!F401</f>
        <v>0.38890000000000136</v>
      </c>
      <c r="J401" s="14"/>
    </row>
    <row r="402" spans="1:10" x14ac:dyDescent="0.2">
      <c r="A402" s="345">
        <v>39752</v>
      </c>
      <c r="B402" s="1369">
        <v>-20.34</v>
      </c>
      <c r="C402" s="346">
        <v>297309803</v>
      </c>
      <c r="E402" s="14">
        <f>B402-Index_Returns!F402</f>
        <v>1.3547000000000011</v>
      </c>
      <c r="J402" s="14"/>
    </row>
    <row r="403" spans="1:10" x14ac:dyDescent="0.2">
      <c r="A403" s="345">
        <v>39782</v>
      </c>
      <c r="B403" s="1369">
        <v>-9.9</v>
      </c>
      <c r="C403" s="346">
        <v>337988663</v>
      </c>
      <c r="E403" s="14">
        <f>B403-Index_Returns!F403</f>
        <v>-0.18200000000000038</v>
      </c>
      <c r="J403" s="14"/>
    </row>
    <row r="404" spans="1:10" x14ac:dyDescent="0.2">
      <c r="A404" s="345">
        <v>39813</v>
      </c>
      <c r="B404" s="1369">
        <v>4.49</v>
      </c>
      <c r="C404" s="346">
        <v>353168012</v>
      </c>
      <c r="E404" s="14">
        <f>B404-Index_Returns!F404</f>
        <v>-0.16489999999999938</v>
      </c>
      <c r="J404" s="14"/>
    </row>
    <row r="405" spans="1:10" x14ac:dyDescent="0.2">
      <c r="A405" s="345">
        <v>39844</v>
      </c>
      <c r="B405" s="1369">
        <v>-4.7699999999999996</v>
      </c>
      <c r="C405" s="346">
        <v>356345928.85000002</v>
      </c>
      <c r="D405" s="258">
        <v>-4.7670000000000003</v>
      </c>
      <c r="E405" s="14">
        <f>B405-Index_Returns!F405</f>
        <v>1.1300000000000008</v>
      </c>
      <c r="J405" s="14"/>
    </row>
    <row r="406" spans="1:10" x14ac:dyDescent="0.2">
      <c r="A406" s="345">
        <v>39872</v>
      </c>
      <c r="B406" s="1369">
        <v>-7.45</v>
      </c>
      <c r="C406" s="346">
        <v>333427552.67000002</v>
      </c>
      <c r="D406" s="258">
        <v>-7.4474999999999998</v>
      </c>
      <c r="E406" s="14">
        <f>B406-Index_Returns!F406</f>
        <v>0.62000000000000011</v>
      </c>
      <c r="J406" s="14"/>
    </row>
    <row r="407" spans="1:10" x14ac:dyDescent="0.2">
      <c r="A407" s="345">
        <v>39903</v>
      </c>
      <c r="B407" s="1369">
        <v>9.33</v>
      </c>
      <c r="C407" s="346">
        <v>364544208.12</v>
      </c>
      <c r="D407" s="258">
        <v>9.3323999999999998</v>
      </c>
      <c r="E407" s="14">
        <f>B407-Index_Returns!F407</f>
        <v>-0.36999999999999922</v>
      </c>
      <c r="J407" s="14"/>
    </row>
    <row r="408" spans="1:10" x14ac:dyDescent="0.2">
      <c r="A408" s="345">
        <v>39933</v>
      </c>
      <c r="B408" s="1369">
        <v>13.3</v>
      </c>
      <c r="C408" s="346">
        <v>475722087.31</v>
      </c>
      <c r="E408" s="14">
        <f>B408-Index_Returns!F408</f>
        <v>-0.75999999999999979</v>
      </c>
      <c r="J408" s="14"/>
    </row>
    <row r="409" spans="1:10" x14ac:dyDescent="0.2">
      <c r="A409" s="345">
        <v>39964</v>
      </c>
      <c r="B409" s="1369">
        <v>3.47</v>
      </c>
      <c r="C409" s="346">
        <v>492263331.01999998</v>
      </c>
      <c r="E409" s="14">
        <f>B409-Index_Returns!F409</f>
        <v>-5.9999999999999609E-2</v>
      </c>
      <c r="J409" s="14"/>
    </row>
    <row r="410" spans="1:10" x14ac:dyDescent="0.2">
      <c r="A410" s="345">
        <v>39994</v>
      </c>
      <c r="B410" s="1369">
        <v>0.48</v>
      </c>
      <c r="C410" s="346">
        <v>494636481.37</v>
      </c>
      <c r="E410" s="14">
        <f>B410-Index_Returns!F410</f>
        <v>-6.0000000000000053E-2</v>
      </c>
      <c r="J410" s="14"/>
    </row>
    <row r="411" spans="1:10" x14ac:dyDescent="0.2">
      <c r="A411" s="345">
        <v>40025</v>
      </c>
      <c r="B411" s="1369">
        <v>8.1300000000000008</v>
      </c>
      <c r="C411" s="346">
        <v>534879970.47000003</v>
      </c>
      <c r="D411" s="258">
        <v>8.1334999999999997</v>
      </c>
      <c r="E411" s="14">
        <f>B411-Index_Returns!F411</f>
        <v>2.6500000000000412E-2</v>
      </c>
      <c r="J411" s="14"/>
    </row>
    <row r="412" spans="1:10" x14ac:dyDescent="0.2">
      <c r="A412" s="345">
        <v>40056</v>
      </c>
      <c r="B412" s="1369">
        <v>3.35</v>
      </c>
      <c r="C412" s="346">
        <v>552802019.13</v>
      </c>
      <c r="D412" s="258">
        <v>3.3506999999999998</v>
      </c>
      <c r="E412" s="14">
        <f>B412-Index_Returns!F412</f>
        <v>2.784999999999993E-2</v>
      </c>
      <c r="J412" s="14"/>
    </row>
    <row r="413" spans="1:10" x14ac:dyDescent="0.2">
      <c r="A413" s="345">
        <v>40086</v>
      </c>
      <c r="B413" s="1369">
        <v>6.15</v>
      </c>
      <c r="C413" s="346">
        <v>586793219.35000002</v>
      </c>
      <c r="D413" s="258">
        <v>6.1489000000000003</v>
      </c>
      <c r="E413" s="14">
        <f>B413-Index_Returns!F413</f>
        <v>1.6460000000000363E-2</v>
      </c>
      <c r="J413" s="14"/>
    </row>
    <row r="414" spans="1:10" x14ac:dyDescent="0.2">
      <c r="A414" s="345">
        <v>40117</v>
      </c>
      <c r="B414" s="1369">
        <v>-3.3195100000000002</v>
      </c>
      <c r="C414" s="346">
        <v>481427773</v>
      </c>
      <c r="D414" s="258">
        <v>-3.32</v>
      </c>
      <c r="E414" s="14">
        <f>B414-Index_Returns!F414</f>
        <v>9.4629999999999992E-2</v>
      </c>
      <c r="J414" s="14"/>
    </row>
    <row r="415" spans="1:10" x14ac:dyDescent="0.2">
      <c r="A415" s="345">
        <v>40147</v>
      </c>
      <c r="B415" s="1369">
        <v>3.9839600000000002</v>
      </c>
      <c r="C415" s="1333">
        <v>500781759</v>
      </c>
      <c r="D415" s="1369">
        <v>4.0199999999999996</v>
      </c>
      <c r="E415" s="14">
        <f>B415-Index_Returns!F415</f>
        <v>0.35770000000000035</v>
      </c>
      <c r="J415" s="14"/>
    </row>
    <row r="416" spans="1:10" x14ac:dyDescent="0.2">
      <c r="A416" s="345">
        <v>40178</v>
      </c>
      <c r="B416" s="1369">
        <v>5.6691399999999996</v>
      </c>
      <c r="C416" s="346">
        <v>528987796.41000003</v>
      </c>
      <c r="D416" s="258">
        <v>5.6691399999999996</v>
      </c>
      <c r="E416" s="14">
        <f>B416-Index_Returns!F416</f>
        <v>0.13341999999999921</v>
      </c>
      <c r="J416" s="14"/>
    </row>
    <row r="417" spans="1:10" x14ac:dyDescent="0.2">
      <c r="A417" s="345">
        <v>40209</v>
      </c>
      <c r="B417" s="253">
        <v>-3.8944000000000001</v>
      </c>
      <c r="C417" s="346">
        <v>508386889.06999999</v>
      </c>
      <c r="D417" s="258">
        <v>-3.8944000000000001</v>
      </c>
      <c r="E417" s="14">
        <f>B417-Index_Returns!F417</f>
        <v>2.7900000000000702E-3</v>
      </c>
      <c r="J417" s="14"/>
    </row>
    <row r="418" spans="1:10" x14ac:dyDescent="0.2">
      <c r="A418" s="345">
        <v>40237</v>
      </c>
      <c r="B418" s="253">
        <v>5.60825</v>
      </c>
      <c r="C418" s="346">
        <v>537027267.96000004</v>
      </c>
      <c r="D418" s="258">
        <v>5.63117</v>
      </c>
      <c r="E418" s="14">
        <f>B418-Index_Returns!F418</f>
        <v>3.4239999999999604E-2</v>
      </c>
      <c r="J418" s="14"/>
    </row>
    <row r="419" spans="1:10" x14ac:dyDescent="0.2">
      <c r="A419" s="345">
        <v>40268</v>
      </c>
      <c r="B419" s="253">
        <v>7.8924799999999999</v>
      </c>
      <c r="C419" s="1334">
        <v>579273109.05999994</v>
      </c>
      <c r="D419" s="1311">
        <v>7.8924799999999999</v>
      </c>
      <c r="E419" s="14">
        <f>B419-Index_Returns!F419</f>
        <v>2.8839999999999755E-2</v>
      </c>
      <c r="J419" s="14"/>
    </row>
    <row r="420" spans="1:10" x14ac:dyDescent="0.2">
      <c r="A420" s="345">
        <v>40298</v>
      </c>
      <c r="B420" s="253">
        <v>3.8119800000000001</v>
      </c>
      <c r="C420" s="346">
        <v>601178075.77999997</v>
      </c>
      <c r="D420" s="258">
        <v>3.8119800000000001</v>
      </c>
      <c r="E420" s="14">
        <f>B420-Index_Returns!F420</f>
        <v>3.1649999999999956E-2</v>
      </c>
      <c r="J420" s="14"/>
    </row>
    <row r="421" spans="1:10" x14ac:dyDescent="0.2">
      <c r="A421" s="345">
        <v>40329</v>
      </c>
      <c r="B421" s="253">
        <v>-6.6767500000000002</v>
      </c>
      <c r="C421" s="346">
        <v>561038913.67999995</v>
      </c>
      <c r="D421" s="258">
        <v>-6.6767500000000002</v>
      </c>
      <c r="E421" s="14">
        <f>B421-Index_Returns!F421</f>
        <v>3.7110000000000198E-2</v>
      </c>
      <c r="J421" s="14"/>
    </row>
    <row r="422" spans="1:10" x14ac:dyDescent="0.2">
      <c r="A422" s="345">
        <v>40359</v>
      </c>
      <c r="B422" s="253">
        <v>-6.2150499999999997</v>
      </c>
      <c r="C422" s="346">
        <v>524130626.75999999</v>
      </c>
      <c r="D422" s="258">
        <v>-6.2150600000000003</v>
      </c>
      <c r="E422" s="14">
        <f>B422-Index_Returns!F422</f>
        <v>6.1920000000000641E-2</v>
      </c>
      <c r="J422" s="14"/>
    </row>
    <row r="423" spans="1:10" x14ac:dyDescent="0.2">
      <c r="A423" s="345">
        <v>40390</v>
      </c>
      <c r="B423" s="253">
        <v>7.0282200000000001</v>
      </c>
      <c r="C423" s="346">
        <v>560967667.79999995</v>
      </c>
      <c r="D423" s="258">
        <v>7.0282200000000001</v>
      </c>
      <c r="E423" s="14">
        <f>B423-Index_Returns!F423</f>
        <v>0.11453000000000024</v>
      </c>
      <c r="J423" s="14"/>
    </row>
    <row r="424" spans="1:10" x14ac:dyDescent="0.2">
      <c r="A424" s="345">
        <v>40421</v>
      </c>
      <c r="B424" s="253">
        <v>-4.4455600000000004</v>
      </c>
      <c r="C424" s="346">
        <v>486108625.5</v>
      </c>
      <c r="D424" s="258">
        <v>-4.4458599999999997</v>
      </c>
      <c r="E424" s="14">
        <f>B424-Index_Returns!F424</f>
        <v>2.5909999999999656E-2</v>
      </c>
      <c r="J424" s="14"/>
    </row>
    <row r="425" spans="1:10" x14ac:dyDescent="0.2">
      <c r="A425" s="345">
        <v>40451</v>
      </c>
      <c r="B425" s="253">
        <v>12.410299999999999</v>
      </c>
      <c r="C425" s="346">
        <v>545404518.34000003</v>
      </c>
      <c r="D425" s="258">
        <v>12.410299999999999</v>
      </c>
      <c r="E425" s="14">
        <f>B425-Index_Returns!F425</f>
        <v>1.8739999999999313E-2</v>
      </c>
      <c r="J425" s="14"/>
    </row>
    <row r="426" spans="1:10" x14ac:dyDescent="0.2">
      <c r="A426" s="345">
        <v>40482</v>
      </c>
      <c r="B426" s="258">
        <v>3.9597000000000002</v>
      </c>
      <c r="C426" s="346">
        <v>567000923.54999995</v>
      </c>
      <c r="D426" s="258">
        <v>3.9597000000000002</v>
      </c>
      <c r="E426" s="14">
        <f>B426-Index_Returns!F426</f>
        <v>6.266000000000016E-2</v>
      </c>
      <c r="J426" s="14"/>
    </row>
    <row r="427" spans="1:10" x14ac:dyDescent="0.2">
      <c r="A427" s="345">
        <v>40512</v>
      </c>
      <c r="B427" s="253">
        <v>4.4900799999999998</v>
      </c>
      <c r="C427" s="346">
        <v>592052204.34000003</v>
      </c>
      <c r="D427" s="258">
        <v>4.4900799999999998</v>
      </c>
      <c r="E427" s="14">
        <f>B427-Index_Returns!F427</f>
        <v>-2.2639999999999993E-2</v>
      </c>
      <c r="J427" s="14"/>
    </row>
    <row r="428" spans="1:10" x14ac:dyDescent="0.2">
      <c r="A428" s="345">
        <v>40543</v>
      </c>
      <c r="B428" s="253">
        <v>5.6222700000000003</v>
      </c>
      <c r="C428" s="346">
        <v>625367756.90999997</v>
      </c>
      <c r="D428" s="258">
        <v>5.6271300000000002</v>
      </c>
      <c r="E428" s="14">
        <f>B428-Index_Returns!F428</f>
        <v>0.13254000000000055</v>
      </c>
      <c r="J428" s="14"/>
    </row>
    <row r="429" spans="1:10" x14ac:dyDescent="0.2">
      <c r="A429" s="345">
        <v>40574</v>
      </c>
      <c r="B429" s="253">
        <v>1.3908799999999999</v>
      </c>
      <c r="C429" s="346">
        <v>629367205.36000001</v>
      </c>
      <c r="D429" s="258">
        <v>1.3861699999999999</v>
      </c>
      <c r="E429" s="14">
        <f>B429-Index_Returns!F429</f>
        <v>3.5059999999999869E-2</v>
      </c>
      <c r="J429" s="14"/>
    </row>
    <row r="430" spans="1:10" x14ac:dyDescent="0.2">
      <c r="A430" s="345">
        <v>40602</v>
      </c>
      <c r="B430" s="253">
        <v>5.2081</v>
      </c>
      <c r="C430" s="346">
        <v>660328603.19000006</v>
      </c>
      <c r="D430" s="258">
        <v>5.2034599999999998</v>
      </c>
      <c r="E430" s="14">
        <f>B430-Index_Returns!F430</f>
        <v>5.9960000000000235E-2</v>
      </c>
      <c r="J430" s="14"/>
    </row>
    <row r="431" spans="1:10" x14ac:dyDescent="0.2">
      <c r="A431" s="345">
        <v>40633</v>
      </c>
      <c r="B431" s="253">
        <v>3.2042899999999999</v>
      </c>
      <c r="C431" s="346">
        <v>631948567.82000005</v>
      </c>
      <c r="D431" s="258">
        <v>3.1964700000000001</v>
      </c>
      <c r="E431" s="14">
        <f>B431-Index_Returns!F431</f>
        <v>0.13825999999999983</v>
      </c>
      <c r="J431" s="14"/>
    </row>
    <row r="432" spans="1:10" x14ac:dyDescent="0.2">
      <c r="A432" s="345">
        <v>40663</v>
      </c>
      <c r="B432" s="253">
        <v>3.5291800000000002</v>
      </c>
      <c r="C432" s="346">
        <v>551311136.50999999</v>
      </c>
      <c r="D432" s="258">
        <v>3.5316900000000002</v>
      </c>
      <c r="E432" s="14">
        <f>B432-Index_Returns!F432</f>
        <v>4.255000000000031E-2</v>
      </c>
      <c r="J432" s="14"/>
    </row>
    <row r="433" spans="1:10" x14ac:dyDescent="0.2">
      <c r="A433" s="345">
        <v>40694</v>
      </c>
      <c r="B433" s="253">
        <v>-0.97792999999999997</v>
      </c>
      <c r="C433" s="346">
        <v>545968871.37</v>
      </c>
      <c r="D433" s="258">
        <v>-0.97792999999999997</v>
      </c>
      <c r="E433" s="14">
        <f>B433-Index_Returns!F433</f>
        <v>3.9339999999999931E-2</v>
      </c>
      <c r="J433" s="14"/>
    </row>
    <row r="434" spans="1:10" x14ac:dyDescent="0.2">
      <c r="A434" s="345">
        <v>40724</v>
      </c>
      <c r="B434" s="253">
        <v>-1.5104900000000001</v>
      </c>
      <c r="C434" s="346">
        <v>537658491.80999994</v>
      </c>
      <c r="D434" s="258">
        <v>-1.5104900000000001</v>
      </c>
      <c r="E434" s="14">
        <f>B434-Index_Returns!F434</f>
        <v>0.11261999999999994</v>
      </c>
      <c r="J434" s="14"/>
    </row>
    <row r="435" spans="1:10" x14ac:dyDescent="0.2">
      <c r="A435" s="345">
        <v>40755</v>
      </c>
      <c r="B435" s="253">
        <f t="shared" ref="B435:B488" si="0">D435</f>
        <v>-3.1206399999999999</v>
      </c>
      <c r="C435" s="346">
        <v>516505558.55000001</v>
      </c>
      <c r="D435" s="258">
        <v>-3.1206399999999999</v>
      </c>
      <c r="E435" s="14">
        <f>B435-Index_Returns!F435</f>
        <v>-3.1349999999999767E-2</v>
      </c>
    </row>
    <row r="436" spans="1:10" x14ac:dyDescent="0.2">
      <c r="A436" s="345">
        <v>40786</v>
      </c>
      <c r="B436" s="253">
        <f t="shared" si="0"/>
        <v>-6.8687500000000004</v>
      </c>
      <c r="C436" s="346">
        <v>481028074.99000001</v>
      </c>
      <c r="D436" s="258">
        <v>-6.8687500000000004</v>
      </c>
      <c r="E436" s="14">
        <f>B436-Index_Returns!F436</f>
        <v>-7.6100000000000279E-2</v>
      </c>
    </row>
    <row r="437" spans="1:10" x14ac:dyDescent="0.2">
      <c r="A437" s="345">
        <v>40816</v>
      </c>
      <c r="B437" s="253">
        <f t="shared" si="0"/>
        <v>-10.15512</v>
      </c>
      <c r="C437" s="346">
        <v>432179110.08999997</v>
      </c>
      <c r="D437" s="258">
        <v>-10.15512</v>
      </c>
      <c r="E437" s="14">
        <f>B437-Index_Returns!F437</f>
        <v>-1.5100000000000335E-2</v>
      </c>
    </row>
    <row r="438" spans="1:10" x14ac:dyDescent="0.2">
      <c r="A438" s="345">
        <v>40847</v>
      </c>
      <c r="B438" s="253">
        <f t="shared" si="0"/>
        <v>13.33724</v>
      </c>
      <c r="C438" s="346">
        <v>489819891.87</v>
      </c>
      <c r="D438" s="258">
        <v>13.33724</v>
      </c>
      <c r="E438" s="14">
        <f>B438-Index_Returns!F438</f>
        <v>1.9050000000000011E-2</v>
      </c>
    </row>
    <row r="439" spans="1:10" x14ac:dyDescent="0.2">
      <c r="A439" s="345">
        <v>40877</v>
      </c>
      <c r="B439" s="253">
        <f t="shared" si="0"/>
        <v>-1.0104200000000001</v>
      </c>
      <c r="C439" s="346">
        <v>484870657.81</v>
      </c>
      <c r="D439" s="258">
        <v>-1.0104200000000001</v>
      </c>
      <c r="E439" s="14">
        <f>B439-Index_Returns!F439</f>
        <v>7.1309999999999985E-2</v>
      </c>
    </row>
    <row r="440" spans="1:10" x14ac:dyDescent="0.2">
      <c r="A440" s="345">
        <v>40908</v>
      </c>
      <c r="B440" s="253">
        <f t="shared" si="0"/>
        <v>-1.4458599999999999</v>
      </c>
      <c r="C440" s="346">
        <v>476381776.25999999</v>
      </c>
      <c r="D440" s="258">
        <v>-1.4458599999999999</v>
      </c>
      <c r="E440" s="14">
        <f>B440-Index_Returns!F440</f>
        <v>0.19244000000000017</v>
      </c>
    </row>
    <row r="441" spans="1:10" x14ac:dyDescent="0.2">
      <c r="A441" s="345">
        <v>40939</v>
      </c>
      <c r="B441" s="253">
        <f t="shared" si="0"/>
        <v>6.8771100000000001</v>
      </c>
      <c r="C441" s="346">
        <v>509143085.58999997</v>
      </c>
      <c r="D441" s="258">
        <v>6.8771100000000001</v>
      </c>
      <c r="E441" s="14">
        <f>B441-Index_Returns!F441</f>
        <v>1.8699999999999939E-2</v>
      </c>
    </row>
    <row r="442" spans="1:10" x14ac:dyDescent="0.2">
      <c r="A442" s="345">
        <v>40968</v>
      </c>
      <c r="B442" s="253">
        <f t="shared" si="0"/>
        <v>5.0316200000000002</v>
      </c>
      <c r="C442" s="346">
        <v>536450682.95999998</v>
      </c>
      <c r="D442" s="258">
        <v>5.0316200000000002</v>
      </c>
      <c r="E442" s="14">
        <f>B442-Index_Returns!F442</f>
        <v>3.000999999999987E-2</v>
      </c>
    </row>
    <row r="443" spans="1:10" x14ac:dyDescent="0.2">
      <c r="A443" s="345">
        <v>40999</v>
      </c>
      <c r="B443" s="253">
        <f t="shared" si="0"/>
        <v>1.6627099999999999</v>
      </c>
      <c r="C443" s="346">
        <v>545370291.62</v>
      </c>
      <c r="D443" s="258">
        <v>1.6627099999999999</v>
      </c>
      <c r="E443" s="14">
        <f>B443-Index_Returns!F443</f>
        <v>-9.5600000000000129E-3</v>
      </c>
    </row>
    <row r="444" spans="1:10" x14ac:dyDescent="0.2">
      <c r="A444" s="345">
        <v>41029</v>
      </c>
      <c r="B444" s="253">
        <f t="shared" si="0"/>
        <v>-9.6750000000000003E-2</v>
      </c>
      <c r="C444" s="346">
        <v>544842643.38999999</v>
      </c>
      <c r="D444" s="258">
        <v>-9.6750000000000003E-2</v>
      </c>
      <c r="E444" s="14">
        <f>B444-Index_Returns!F444</f>
        <v>-1.4109999999999998E-2</v>
      </c>
    </row>
    <row r="445" spans="1:10" x14ac:dyDescent="0.2">
      <c r="A445" s="345">
        <v>41060</v>
      </c>
      <c r="B445" s="253">
        <f t="shared" si="0"/>
        <v>-6.3199699999999996</v>
      </c>
      <c r="C445" s="346">
        <v>510408777.45999998</v>
      </c>
      <c r="D445" s="258">
        <v>-6.3199699999999996</v>
      </c>
      <c r="E445" s="14">
        <f>B445-Index_Returns!F445</f>
        <v>-2.2949999999999804E-2</v>
      </c>
    </row>
    <row r="446" spans="1:10" x14ac:dyDescent="0.2">
      <c r="A446" s="345">
        <v>41090</v>
      </c>
      <c r="B446" s="253">
        <f t="shared" si="0"/>
        <v>0.93791000000000002</v>
      </c>
      <c r="C446" s="346">
        <v>515195930.77999997</v>
      </c>
      <c r="D446" s="258">
        <v>0.93791000000000002</v>
      </c>
      <c r="E446" s="14">
        <f>B446-Index_Returns!F446</f>
        <v>0.18737000000000004</v>
      </c>
    </row>
    <row r="447" spans="1:10" x14ac:dyDescent="0.2">
      <c r="A447" s="345">
        <v>41121</v>
      </c>
      <c r="B447" s="253">
        <f t="shared" si="0"/>
        <v>0.13095000000000001</v>
      </c>
      <c r="C447" s="346">
        <v>515866174.62</v>
      </c>
      <c r="D447" s="258">
        <v>0.13095000000000001</v>
      </c>
      <c r="E447" s="14">
        <f>B447-Index_Returns!F447</f>
        <v>-6.7599999999999882E-3</v>
      </c>
    </row>
    <row r="448" spans="1:10" x14ac:dyDescent="0.2">
      <c r="A448" s="345">
        <v>41152</v>
      </c>
      <c r="B448" s="253">
        <f t="shared" si="0"/>
        <v>4.1377499999999996</v>
      </c>
      <c r="C448" s="346">
        <v>513937242.48000002</v>
      </c>
      <c r="D448" s="258">
        <v>4.1377499999999996</v>
      </c>
      <c r="E448" s="14">
        <f>B448-Index_Returns!F448</f>
        <v>1.1379999999999946E-2</v>
      </c>
    </row>
    <row r="449" spans="1:5" x14ac:dyDescent="0.2">
      <c r="A449" s="345">
        <v>41182</v>
      </c>
      <c r="B449" s="253">
        <f t="shared" si="0"/>
        <v>1.7073499999999999</v>
      </c>
      <c r="C449" s="346">
        <v>517342505.12</v>
      </c>
      <c r="D449" s="258">
        <v>1.7073499999999999</v>
      </c>
      <c r="E449" s="14">
        <f>B449-Index_Returns!F449</f>
        <v>-6.0700000000000198E-3</v>
      </c>
    </row>
    <row r="450" spans="1:5" x14ac:dyDescent="0.2">
      <c r="A450" s="345">
        <v>41213</v>
      </c>
      <c r="B450" s="253">
        <f t="shared" si="0"/>
        <v>-1.10314</v>
      </c>
      <c r="C450" s="346">
        <v>488495922.13</v>
      </c>
      <c r="D450" s="258">
        <v>-1.10314</v>
      </c>
      <c r="E450" s="14">
        <f>B450-Index_Returns!F450</f>
        <v>1.8280000000000074E-2</v>
      </c>
    </row>
    <row r="451" spans="1:5" x14ac:dyDescent="0.2">
      <c r="A451" s="345">
        <v>41243</v>
      </c>
      <c r="B451" s="253">
        <f t="shared" si="0"/>
        <v>2.59029</v>
      </c>
      <c r="C451" s="346">
        <v>472983169.70999998</v>
      </c>
      <c r="D451" s="258">
        <v>2.59029</v>
      </c>
      <c r="E451" s="14">
        <f>B451-Index_Returns!F451</f>
        <v>1.5359999999999818E-2</v>
      </c>
    </row>
    <row r="452" spans="1:5" x14ac:dyDescent="0.2">
      <c r="A452" s="345">
        <v>41274</v>
      </c>
      <c r="B452" s="253">
        <f t="shared" si="0"/>
        <v>1.3033699999999999</v>
      </c>
      <c r="C452" s="346">
        <v>472885151.62</v>
      </c>
      <c r="D452" s="258">
        <v>1.3033699999999999</v>
      </c>
      <c r="E452" s="14">
        <f>B452-Index_Returns!F452</f>
        <v>-7.6600000000000001E-3</v>
      </c>
    </row>
    <row r="453" spans="1:5" x14ac:dyDescent="0.2">
      <c r="A453" s="345">
        <v>41305</v>
      </c>
      <c r="B453" s="253">
        <f t="shared" si="0"/>
        <v>7.0355499999999997</v>
      </c>
      <c r="C453" s="346">
        <v>506156061.81999999</v>
      </c>
      <c r="D453" s="258">
        <v>7.0355499999999997</v>
      </c>
      <c r="E453" s="14">
        <f>B453-Index_Returns!F453</f>
        <v>2.0049999999999457E-2</v>
      </c>
    </row>
    <row r="454" spans="1:5" x14ac:dyDescent="0.2">
      <c r="A454" s="345">
        <v>41333</v>
      </c>
      <c r="B454" s="253">
        <f t="shared" si="0"/>
        <v>0.36586999999999997</v>
      </c>
      <c r="C454" s="346">
        <v>505778801.93000001</v>
      </c>
      <c r="D454" s="258">
        <v>0.36586999999999997</v>
      </c>
      <c r="E454" s="14">
        <f>B454-Index_Returns!F454</f>
        <v>2.6389999999999969E-2</v>
      </c>
    </row>
    <row r="455" spans="1:5" x14ac:dyDescent="0.2">
      <c r="A455" s="345">
        <v>41364</v>
      </c>
      <c r="B455" s="253">
        <f t="shared" si="0"/>
        <v>4.4068199999999997</v>
      </c>
      <c r="C455" s="346">
        <v>517500349.32999998</v>
      </c>
      <c r="D455" s="258">
        <v>4.4068199999999997</v>
      </c>
      <c r="E455" s="14">
        <f>B455-Index_Returns!F455</f>
        <v>-2.7969999999999828E-2</v>
      </c>
    </row>
    <row r="456" spans="1:5" x14ac:dyDescent="0.2">
      <c r="A456" s="345">
        <v>41394</v>
      </c>
      <c r="B456" s="253">
        <f t="shared" si="0"/>
        <v>1.24698</v>
      </c>
      <c r="C456" s="346">
        <v>523953472.75999999</v>
      </c>
      <c r="D456" s="258">
        <v>1.24698</v>
      </c>
      <c r="E456" s="14">
        <f>B456-Index_Returns!F456</f>
        <v>2.8689999999999882E-2</v>
      </c>
    </row>
    <row r="457" spans="1:5" x14ac:dyDescent="0.2">
      <c r="A457" s="345">
        <v>41425</v>
      </c>
      <c r="B457" s="253">
        <f t="shared" si="0"/>
        <v>2.2974399999999999</v>
      </c>
      <c r="C457" s="346">
        <v>535998267.11000001</v>
      </c>
      <c r="D457" s="258">
        <v>2.2974399999999999</v>
      </c>
      <c r="E457" s="14">
        <f>B457-Index_Returns!F457</f>
        <v>9.9800000000000999E-3</v>
      </c>
    </row>
    <row r="458" spans="1:5" x14ac:dyDescent="0.2">
      <c r="A458" s="345">
        <v>41455</v>
      </c>
      <c r="B458" s="253">
        <f t="shared" si="0"/>
        <v>-2.4426100000000002</v>
      </c>
      <c r="C458" s="1307">
        <v>522905918.57999998</v>
      </c>
      <c r="D458" s="1306">
        <v>-2.4426100000000002</v>
      </c>
      <c r="E458" s="14">
        <f>B458-Index_Returns!F458</f>
        <v>1.1190000000000033E-2</v>
      </c>
    </row>
    <row r="459" spans="1:5" x14ac:dyDescent="0.2">
      <c r="A459" s="345">
        <v>41486</v>
      </c>
      <c r="B459" s="253">
        <f t="shared" si="0"/>
        <v>6.1217600000000001</v>
      </c>
      <c r="C459" s="346">
        <v>553000733.76999998</v>
      </c>
      <c r="D459" s="258">
        <v>6.1217600000000001</v>
      </c>
      <c r="E459" s="14">
        <f>B459-Index_Returns!F459</f>
        <v>3.8910000000000444E-2</v>
      </c>
    </row>
    <row r="460" spans="1:5" x14ac:dyDescent="0.2">
      <c r="A460" s="345">
        <v>41517</v>
      </c>
      <c r="B460" s="253">
        <f t="shared" si="0"/>
        <v>-3.61517</v>
      </c>
      <c r="C460" s="346">
        <v>533008842.54000002</v>
      </c>
      <c r="D460" s="258">
        <v>-3.61517</v>
      </c>
      <c r="E460" s="14">
        <f>B460-Index_Returns!F460</f>
        <v>-2.5100000000000122E-3</v>
      </c>
    </row>
    <row r="461" spans="1:5" x14ac:dyDescent="0.2">
      <c r="A461" s="345">
        <v>41547</v>
      </c>
      <c r="B461" s="253">
        <f t="shared" si="0"/>
        <v>5.7673800000000002</v>
      </c>
      <c r="C461" s="346">
        <v>563749475.25</v>
      </c>
      <c r="D461" s="258">
        <v>5.7673800000000002</v>
      </c>
      <c r="E461" s="14">
        <f>B461-Index_Returns!F461</f>
        <v>4.5850000000000612E-2</v>
      </c>
    </row>
    <row r="462" spans="1:5" x14ac:dyDescent="0.2">
      <c r="A462" s="345">
        <v>41578</v>
      </c>
      <c r="B462" s="253">
        <f t="shared" si="0"/>
        <v>3.1792699999999998</v>
      </c>
      <c r="C462" s="346">
        <v>561980480.45000005</v>
      </c>
      <c r="D462" s="258">
        <v>3.1792699999999998</v>
      </c>
      <c r="E462" s="14">
        <f>B462-Index_Returns!F462</f>
        <v>-6.4300000000000246E-2</v>
      </c>
    </row>
    <row r="463" spans="1:5" x14ac:dyDescent="0.2">
      <c r="A463" s="345">
        <v>41608</v>
      </c>
      <c r="B463" s="253">
        <f t="shared" si="0"/>
        <v>1.67659</v>
      </c>
      <c r="C463" s="346">
        <v>556113960.53999996</v>
      </c>
      <c r="D463" s="258">
        <v>1.67659</v>
      </c>
      <c r="E463" s="14">
        <f>B463-Index_Returns!F463</f>
        <v>-9.5300000000000384E-3</v>
      </c>
    </row>
    <row r="464" spans="1:5" x14ac:dyDescent="0.2">
      <c r="A464" s="345">
        <v>41639</v>
      </c>
      <c r="B464" s="253">
        <f t="shared" si="0"/>
        <v>3.3922400000000001</v>
      </c>
      <c r="C464" s="346">
        <v>559124678.50999999</v>
      </c>
      <c r="D464" s="258">
        <v>3.3922400000000001</v>
      </c>
      <c r="E464" s="14">
        <f>B464-Index_Returns!F464</f>
        <v>9.7570000000000157E-2</v>
      </c>
    </row>
    <row r="465" spans="1:5" x14ac:dyDescent="0.2">
      <c r="A465" s="345">
        <v>41670</v>
      </c>
      <c r="B465" s="253">
        <f t="shared" si="0"/>
        <v>-2.5193699999999999</v>
      </c>
      <c r="C465" s="346">
        <v>545038242.84000003</v>
      </c>
      <c r="D465" s="258">
        <v>-2.5193699999999999</v>
      </c>
      <c r="E465" s="14">
        <f>B465-Index_Returns!F465</f>
        <v>4.510000000000014E-2</v>
      </c>
    </row>
    <row r="466" spans="1:5" x14ac:dyDescent="0.2">
      <c r="A466" s="345">
        <v>41698</v>
      </c>
      <c r="B466" s="253">
        <f t="shared" si="0"/>
        <v>5.3318700000000003</v>
      </c>
      <c r="C466" s="346">
        <v>546960196.35000002</v>
      </c>
      <c r="D466" s="258">
        <v>5.3318700000000003</v>
      </c>
      <c r="E466" s="14">
        <f>B466-Index_Returns!F466</f>
        <v>2.1270000000000344E-2</v>
      </c>
    </row>
    <row r="467" spans="1:5" x14ac:dyDescent="0.2">
      <c r="A467" s="345">
        <v>41729</v>
      </c>
      <c r="B467" s="253">
        <f t="shared" si="0"/>
        <v>-0.50275999999999998</v>
      </c>
      <c r="C467" s="346">
        <v>514443476.69999999</v>
      </c>
      <c r="D467" s="258">
        <v>-0.50275999999999998</v>
      </c>
      <c r="E467" s="14">
        <f>B467-Index_Returns!F467</f>
        <v>-4.3549999999999978E-2</v>
      </c>
    </row>
    <row r="468" spans="1:5" x14ac:dyDescent="0.2">
      <c r="A468" s="345">
        <v>41759</v>
      </c>
      <c r="B468" s="253">
        <f t="shared" si="0"/>
        <v>-2.8412099999999998</v>
      </c>
      <c r="C468" s="346">
        <v>499827036.32999998</v>
      </c>
      <c r="D468" s="258">
        <v>-2.8412099999999998</v>
      </c>
      <c r="E468" s="14">
        <f>B468-Index_Returns!F468</f>
        <v>-9.9099999999996413E-3</v>
      </c>
    </row>
    <row r="469" spans="1:5" x14ac:dyDescent="0.2">
      <c r="A469" s="345">
        <v>41790</v>
      </c>
      <c r="B469" s="253">
        <f t="shared" si="0"/>
        <v>1.88296</v>
      </c>
      <c r="C469" s="346">
        <v>509238600.73000002</v>
      </c>
      <c r="D469" s="258">
        <v>1.88296</v>
      </c>
      <c r="E469" s="14">
        <f>B469-Index_Returns!F469</f>
        <v>9.9099999999998634E-3</v>
      </c>
    </row>
    <row r="470" spans="1:5" x14ac:dyDescent="0.2">
      <c r="A470" s="345">
        <v>41820</v>
      </c>
      <c r="B470" s="253">
        <f t="shared" si="0"/>
        <v>3.9357799999999998</v>
      </c>
      <c r="C470" s="346">
        <v>528371348.52999997</v>
      </c>
      <c r="D470" s="258">
        <v>3.9357799999999998</v>
      </c>
      <c r="E470" s="14">
        <f>B470-Index_Returns!F470</f>
        <v>-1.2190000000000367E-2</v>
      </c>
    </row>
    <row r="471" spans="1:5" x14ac:dyDescent="0.2">
      <c r="A471" s="345">
        <v>41851</v>
      </c>
      <c r="B471" s="253">
        <f t="shared" si="0"/>
        <v>-4.20608</v>
      </c>
      <c r="C471" s="346">
        <v>506147636.80000001</v>
      </c>
      <c r="D471" s="258">
        <v>-4.20608</v>
      </c>
      <c r="E471" s="14">
        <f>B471-Index_Returns!F471</f>
        <v>-4.9999999999972289E-4</v>
      </c>
    </row>
    <row r="472" spans="1:5" x14ac:dyDescent="0.2">
      <c r="A472" s="345">
        <v>41882</v>
      </c>
      <c r="B472" s="253">
        <f t="shared" si="0"/>
        <v>4.8990099999999996</v>
      </c>
      <c r="C472" s="346">
        <v>510208711.92000002</v>
      </c>
      <c r="D472" s="258">
        <v>4.8990099999999996</v>
      </c>
      <c r="E472" s="14">
        <f>B472-Index_Returns!F472</f>
        <v>6.6499999999996007E-3</v>
      </c>
    </row>
    <row r="473" spans="1:5" x14ac:dyDescent="0.2">
      <c r="A473" s="345">
        <v>41912</v>
      </c>
      <c r="B473" s="253">
        <f t="shared" si="0"/>
        <v>0</v>
      </c>
      <c r="E473" s="14">
        <f>B473-Index_Returns!F473</f>
        <v>0</v>
      </c>
    </row>
    <row r="474" spans="1:5" x14ac:dyDescent="0.2">
      <c r="A474" s="345">
        <v>41943</v>
      </c>
      <c r="B474" s="253">
        <f t="shared" si="0"/>
        <v>0</v>
      </c>
      <c r="E474" s="14">
        <f>B474-Index_Returns!F474</f>
        <v>0</v>
      </c>
    </row>
    <row r="475" spans="1:5" x14ac:dyDescent="0.2">
      <c r="A475" s="345">
        <v>41973</v>
      </c>
      <c r="B475" s="253">
        <f t="shared" si="0"/>
        <v>0</v>
      </c>
      <c r="E475" s="14">
        <f>B475-Index_Returns!F475</f>
        <v>0</v>
      </c>
    </row>
    <row r="476" spans="1:5" x14ac:dyDescent="0.2">
      <c r="A476" s="345">
        <v>42004</v>
      </c>
      <c r="B476" s="253">
        <f t="shared" si="0"/>
        <v>0</v>
      </c>
      <c r="E476" s="14">
        <f>B476-Index_Returns!F476</f>
        <v>0</v>
      </c>
    </row>
    <row r="477" spans="1:5" x14ac:dyDescent="0.2">
      <c r="A477" s="345">
        <v>42035</v>
      </c>
      <c r="B477" s="253">
        <f t="shared" si="0"/>
        <v>0</v>
      </c>
      <c r="E477" s="14">
        <f>B477-Index_Returns!F477</f>
        <v>0</v>
      </c>
    </row>
    <row r="478" spans="1:5" x14ac:dyDescent="0.2">
      <c r="A478" s="345">
        <v>42063</v>
      </c>
      <c r="B478" s="253">
        <f t="shared" si="0"/>
        <v>0</v>
      </c>
      <c r="E478" s="14">
        <f>B478-Index_Returns!F478</f>
        <v>0</v>
      </c>
    </row>
    <row r="479" spans="1:5" x14ac:dyDescent="0.2">
      <c r="A479" s="345">
        <v>42094</v>
      </c>
      <c r="B479" s="253">
        <f t="shared" si="0"/>
        <v>0</v>
      </c>
      <c r="E479" s="14">
        <f>B479-Index_Returns!F479</f>
        <v>0</v>
      </c>
    </row>
    <row r="480" spans="1:5" x14ac:dyDescent="0.2">
      <c r="A480" s="345">
        <v>42124</v>
      </c>
      <c r="B480" s="253">
        <f t="shared" si="0"/>
        <v>0</v>
      </c>
      <c r="E480" s="14">
        <f>B480-Index_Returns!F480</f>
        <v>0</v>
      </c>
    </row>
    <row r="481" spans="1:5" x14ac:dyDescent="0.2">
      <c r="A481" s="345">
        <v>42155</v>
      </c>
      <c r="B481" s="253">
        <f t="shared" si="0"/>
        <v>0</v>
      </c>
      <c r="E481" s="14">
        <f>B481-Index_Returns!F481</f>
        <v>0</v>
      </c>
    </row>
    <row r="482" spans="1:5" x14ac:dyDescent="0.2">
      <c r="A482" s="345">
        <v>42185</v>
      </c>
      <c r="B482" s="253">
        <f t="shared" si="0"/>
        <v>0</v>
      </c>
      <c r="E482" s="14">
        <f>B482-Index_Returns!F482</f>
        <v>0</v>
      </c>
    </row>
    <row r="483" spans="1:5" x14ac:dyDescent="0.2">
      <c r="A483" s="345">
        <v>42216</v>
      </c>
      <c r="B483" s="253">
        <f t="shared" si="0"/>
        <v>0</v>
      </c>
      <c r="E483" s="14">
        <f>B483-Index_Returns!F483</f>
        <v>0</v>
      </c>
    </row>
    <row r="484" spans="1:5" x14ac:dyDescent="0.2">
      <c r="A484" s="345">
        <v>42247</v>
      </c>
      <c r="B484" s="253">
        <f t="shared" si="0"/>
        <v>0</v>
      </c>
      <c r="E484" s="14">
        <f>B484-Index_Returns!F484</f>
        <v>0</v>
      </c>
    </row>
    <row r="485" spans="1:5" x14ac:dyDescent="0.2">
      <c r="A485" s="345">
        <v>42277</v>
      </c>
      <c r="B485" s="253">
        <f t="shared" si="0"/>
        <v>0</v>
      </c>
      <c r="E485" s="14">
        <f>B485-Index_Returns!F485</f>
        <v>0</v>
      </c>
    </row>
    <row r="486" spans="1:5" x14ac:dyDescent="0.2">
      <c r="A486" s="345">
        <v>42308</v>
      </c>
      <c r="B486" s="253">
        <f t="shared" si="0"/>
        <v>0</v>
      </c>
      <c r="E486" s="14">
        <f>B486-Index_Returns!F486</f>
        <v>0</v>
      </c>
    </row>
    <row r="487" spans="1:5" x14ac:dyDescent="0.2">
      <c r="A487" s="345">
        <v>42338</v>
      </c>
      <c r="B487" s="253">
        <f t="shared" si="0"/>
        <v>0</v>
      </c>
      <c r="E487" s="14">
        <f>B487-Index_Returns!F487</f>
        <v>0</v>
      </c>
    </row>
    <row r="488" spans="1:5" x14ac:dyDescent="0.2">
      <c r="A488" s="345">
        <v>42369</v>
      </c>
      <c r="B488" s="253">
        <f t="shared" si="0"/>
        <v>0</v>
      </c>
      <c r="E488" s="14">
        <f>B488-Index_Returns!F488</f>
        <v>0</v>
      </c>
    </row>
  </sheetData>
  <phoneticPr fontId="3" type="noConversion"/>
  <printOptions headings="1" gridLines="1"/>
  <pageMargins left="0.75" right="0.75" top="1" bottom="1" header="0.5" footer="0.5"/>
  <pageSetup scale="12" orientation="portrait" r:id="rId1"/>
  <headerFooter alignWithMargins="0">
    <oddHeader>&amp;L&amp;A</oddHead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I488"/>
  <sheetViews>
    <sheetView workbookViewId="0">
      <pane xSplit="1" ySplit="2" topLeftCell="B454" activePane="bottomRight" state="frozen"/>
      <selection activeCell="E452" sqref="E452:E464"/>
      <selection pane="topRight" activeCell="E452" sqref="E452:E464"/>
      <selection pane="bottomLeft" activeCell="E452" sqref="E452:E464"/>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4" width="18.7109375" style="258" customWidth="1"/>
    <col min="5" max="5" width="9.140625" style="14"/>
    <col min="6" max="6" width="12.42578125" bestFit="1" customWidth="1"/>
    <col min="7" max="7" width="9.140625" style="352"/>
    <col min="8" max="9" width="9.140625" style="14"/>
  </cols>
  <sheetData>
    <row r="1" spans="1:6" x14ac:dyDescent="0.2">
      <c r="A1" s="265" t="s">
        <v>19</v>
      </c>
      <c r="B1" s="321" t="s">
        <v>478</v>
      </c>
      <c r="C1" s="1381" t="s">
        <v>18</v>
      </c>
      <c r="D1" s="1370">
        <f>ASRS_E1!D1</f>
        <v>1</v>
      </c>
      <c r="F1" s="1452" t="s">
        <v>765</v>
      </c>
    </row>
    <row r="2" spans="1:6" x14ac:dyDescent="0.2">
      <c r="A2" s="3" t="s">
        <v>27</v>
      </c>
      <c r="B2" s="71" t="s">
        <v>91</v>
      </c>
      <c r="C2" s="226" t="s">
        <v>92</v>
      </c>
      <c r="D2" s="71" t="s">
        <v>90</v>
      </c>
      <c r="E2" s="734" t="s">
        <v>80</v>
      </c>
    </row>
    <row r="3" spans="1:6" x14ac:dyDescent="0.2">
      <c r="A3" s="345">
        <v>27606</v>
      </c>
      <c r="B3" s="71"/>
      <c r="C3" s="226"/>
      <c r="D3" s="71"/>
    </row>
    <row r="4" spans="1:6" x14ac:dyDescent="0.2">
      <c r="A4" s="345">
        <v>27637</v>
      </c>
      <c r="B4" s="71"/>
      <c r="C4" s="226"/>
      <c r="D4" s="71"/>
    </row>
    <row r="5" spans="1:6" x14ac:dyDescent="0.2">
      <c r="A5" s="345">
        <v>27667</v>
      </c>
      <c r="B5" s="71"/>
      <c r="C5" s="226"/>
      <c r="D5" s="71"/>
    </row>
    <row r="6" spans="1:6" x14ac:dyDescent="0.2">
      <c r="A6" s="345">
        <v>27698</v>
      </c>
      <c r="B6" s="71"/>
      <c r="C6" s="226"/>
      <c r="D6" s="71"/>
    </row>
    <row r="7" spans="1:6" x14ac:dyDescent="0.2">
      <c r="A7" s="345">
        <v>27728</v>
      </c>
      <c r="B7" s="71"/>
      <c r="C7" s="226"/>
      <c r="D7" s="71"/>
    </row>
    <row r="8" spans="1:6" x14ac:dyDescent="0.2">
      <c r="A8" s="345">
        <v>27759</v>
      </c>
      <c r="B8" s="71"/>
      <c r="C8" s="226"/>
      <c r="D8" s="71"/>
    </row>
    <row r="9" spans="1:6" x14ac:dyDescent="0.2">
      <c r="A9" s="345">
        <v>27790</v>
      </c>
      <c r="B9" s="71"/>
      <c r="C9" s="226"/>
      <c r="D9" s="71"/>
    </row>
    <row r="10" spans="1:6" x14ac:dyDescent="0.2">
      <c r="A10" s="345">
        <v>27819</v>
      </c>
      <c r="B10" s="71"/>
      <c r="C10" s="226"/>
      <c r="D10" s="71"/>
    </row>
    <row r="11" spans="1:6" x14ac:dyDescent="0.2">
      <c r="A11" s="345">
        <v>27850</v>
      </c>
      <c r="B11" s="71"/>
      <c r="C11" s="226"/>
      <c r="D11" s="71"/>
    </row>
    <row r="12" spans="1:6" x14ac:dyDescent="0.2">
      <c r="A12" s="345">
        <v>27880</v>
      </c>
      <c r="B12" s="71"/>
      <c r="C12" s="226"/>
      <c r="D12" s="71"/>
    </row>
    <row r="13" spans="1:6" x14ac:dyDescent="0.2">
      <c r="A13" s="345">
        <v>27911</v>
      </c>
      <c r="B13" s="71"/>
      <c r="C13" s="226"/>
      <c r="D13" s="71"/>
    </row>
    <row r="14" spans="1:6" x14ac:dyDescent="0.2">
      <c r="A14" s="345">
        <v>27941</v>
      </c>
      <c r="B14" s="71"/>
      <c r="C14" s="226"/>
      <c r="D14" s="71"/>
    </row>
    <row r="15" spans="1:6" x14ac:dyDescent="0.2">
      <c r="A15" s="345">
        <v>27972</v>
      </c>
      <c r="B15" s="71"/>
      <c r="C15" s="226"/>
      <c r="D15" s="71"/>
    </row>
    <row r="16" spans="1:6" x14ac:dyDescent="0.2">
      <c r="A16" s="345">
        <v>28003</v>
      </c>
      <c r="B16" s="71"/>
      <c r="C16" s="226"/>
      <c r="D16" s="71"/>
    </row>
    <row r="17" spans="1:4" x14ac:dyDescent="0.2">
      <c r="A17" s="345">
        <v>28033</v>
      </c>
      <c r="B17" s="71"/>
      <c r="C17" s="226"/>
      <c r="D17" s="71"/>
    </row>
    <row r="18" spans="1:4" x14ac:dyDescent="0.2">
      <c r="A18" s="345">
        <v>28064</v>
      </c>
      <c r="B18" s="71"/>
      <c r="C18" s="226"/>
      <c r="D18" s="71"/>
    </row>
    <row r="19" spans="1:4" x14ac:dyDescent="0.2">
      <c r="A19" s="345">
        <v>28094</v>
      </c>
      <c r="B19" s="71"/>
      <c r="C19" s="226"/>
      <c r="D19" s="71"/>
    </row>
    <row r="20" spans="1:4" x14ac:dyDescent="0.2">
      <c r="A20" s="345">
        <v>28125</v>
      </c>
      <c r="B20" s="71"/>
      <c r="C20" s="226"/>
      <c r="D20" s="71"/>
    </row>
    <row r="21" spans="1:4" x14ac:dyDescent="0.2">
      <c r="A21" s="345">
        <v>28156</v>
      </c>
      <c r="B21" s="71"/>
      <c r="C21" s="226"/>
      <c r="D21" s="71"/>
    </row>
    <row r="22" spans="1:4" x14ac:dyDescent="0.2">
      <c r="A22" s="345">
        <v>28184</v>
      </c>
      <c r="B22" s="71"/>
      <c r="C22" s="226"/>
      <c r="D22" s="71"/>
    </row>
    <row r="23" spans="1:4" x14ac:dyDescent="0.2">
      <c r="A23" s="345">
        <v>28215</v>
      </c>
      <c r="B23" s="71"/>
      <c r="C23" s="226"/>
      <c r="D23" s="71"/>
    </row>
    <row r="24" spans="1:4" x14ac:dyDescent="0.2">
      <c r="A24" s="345">
        <v>28245</v>
      </c>
      <c r="B24" s="71"/>
      <c r="C24" s="226"/>
      <c r="D24" s="71"/>
    </row>
    <row r="25" spans="1:4" x14ac:dyDescent="0.2">
      <c r="A25" s="345">
        <v>28276</v>
      </c>
      <c r="B25" s="71"/>
      <c r="C25" s="226"/>
      <c r="D25" s="71"/>
    </row>
    <row r="26" spans="1:4" x14ac:dyDescent="0.2">
      <c r="A26" s="345">
        <v>28306</v>
      </c>
      <c r="B26" s="71"/>
      <c r="C26" s="226"/>
      <c r="D26" s="71"/>
    </row>
    <row r="27" spans="1:4" x14ac:dyDescent="0.2">
      <c r="A27" s="345">
        <v>28337</v>
      </c>
      <c r="B27" s="71"/>
      <c r="C27" s="226"/>
      <c r="D27" s="71"/>
    </row>
    <row r="28" spans="1:4" x14ac:dyDescent="0.2">
      <c r="A28" s="345">
        <v>28368</v>
      </c>
      <c r="B28" s="71"/>
      <c r="C28" s="226"/>
      <c r="D28" s="71"/>
    </row>
    <row r="29" spans="1:4" x14ac:dyDescent="0.2">
      <c r="A29" s="345">
        <v>28398</v>
      </c>
      <c r="B29" s="71"/>
      <c r="C29" s="226"/>
      <c r="D29" s="71"/>
    </row>
    <row r="30" spans="1:4" x14ac:dyDescent="0.2">
      <c r="A30" s="345">
        <v>28429</v>
      </c>
      <c r="B30" s="71"/>
      <c r="C30" s="226"/>
      <c r="D30" s="71"/>
    </row>
    <row r="31" spans="1:4" x14ac:dyDescent="0.2">
      <c r="A31" s="345">
        <v>28459</v>
      </c>
      <c r="B31" s="71"/>
      <c r="C31" s="226"/>
      <c r="D31" s="71"/>
    </row>
    <row r="32" spans="1:4" x14ac:dyDescent="0.2">
      <c r="A32" s="345">
        <v>28490</v>
      </c>
      <c r="B32" s="71"/>
      <c r="C32" s="226"/>
      <c r="D32" s="71"/>
    </row>
    <row r="33" spans="1:4" x14ac:dyDescent="0.2">
      <c r="A33" s="345">
        <v>28521</v>
      </c>
      <c r="B33" s="71"/>
      <c r="C33" s="226"/>
      <c r="D33" s="71"/>
    </row>
    <row r="34" spans="1:4" x14ac:dyDescent="0.2">
      <c r="A34" s="345">
        <v>28549</v>
      </c>
      <c r="B34" s="71"/>
      <c r="C34" s="226"/>
      <c r="D34" s="71"/>
    </row>
    <row r="35" spans="1:4" x14ac:dyDescent="0.2">
      <c r="A35" s="345">
        <v>28580</v>
      </c>
      <c r="B35" s="71"/>
      <c r="C35" s="226"/>
      <c r="D35" s="71"/>
    </row>
    <row r="36" spans="1:4" x14ac:dyDescent="0.2">
      <c r="A36" s="345">
        <v>28610</v>
      </c>
      <c r="B36" s="71"/>
      <c r="C36" s="226"/>
      <c r="D36" s="71"/>
    </row>
    <row r="37" spans="1:4" x14ac:dyDescent="0.2">
      <c r="A37" s="345">
        <v>28641</v>
      </c>
      <c r="B37" s="71"/>
      <c r="C37" s="226"/>
      <c r="D37" s="71"/>
    </row>
    <row r="38" spans="1:4" x14ac:dyDescent="0.2">
      <c r="A38" s="345">
        <v>28671</v>
      </c>
      <c r="B38" s="71"/>
      <c r="C38" s="226"/>
      <c r="D38" s="71"/>
    </row>
    <row r="39" spans="1:4" x14ac:dyDescent="0.2">
      <c r="A39" s="345">
        <v>28702</v>
      </c>
      <c r="B39" s="71"/>
      <c r="C39" s="226"/>
      <c r="D39" s="71"/>
    </row>
    <row r="40" spans="1:4" x14ac:dyDescent="0.2">
      <c r="A40" s="345">
        <v>28733</v>
      </c>
      <c r="B40" s="71"/>
      <c r="C40" s="226"/>
      <c r="D40" s="71"/>
    </row>
    <row r="41" spans="1:4" x14ac:dyDescent="0.2">
      <c r="A41" s="345">
        <v>28763</v>
      </c>
      <c r="B41" s="71"/>
      <c r="C41" s="226"/>
      <c r="D41" s="71"/>
    </row>
    <row r="42" spans="1:4" x14ac:dyDescent="0.2">
      <c r="A42" s="345">
        <v>28794</v>
      </c>
      <c r="B42" s="71"/>
      <c r="C42" s="226"/>
      <c r="D42" s="71"/>
    </row>
    <row r="43" spans="1:4" x14ac:dyDescent="0.2">
      <c r="A43" s="345">
        <v>28824</v>
      </c>
      <c r="B43" s="71"/>
      <c r="C43" s="226"/>
      <c r="D43" s="71"/>
    </row>
    <row r="44" spans="1:4" x14ac:dyDescent="0.2">
      <c r="A44" s="345">
        <v>28855</v>
      </c>
      <c r="B44" s="71"/>
      <c r="C44" s="226"/>
      <c r="D44" s="71"/>
    </row>
    <row r="45" spans="1:4" x14ac:dyDescent="0.2">
      <c r="A45" s="345">
        <v>28886</v>
      </c>
      <c r="B45" s="71"/>
      <c r="C45" s="226"/>
      <c r="D45" s="71"/>
    </row>
    <row r="46" spans="1:4" x14ac:dyDescent="0.2">
      <c r="A46" s="345">
        <v>28914</v>
      </c>
      <c r="B46" s="71"/>
      <c r="C46" s="226"/>
      <c r="D46" s="71"/>
    </row>
    <row r="47" spans="1:4" x14ac:dyDescent="0.2">
      <c r="A47" s="345">
        <v>28945</v>
      </c>
      <c r="B47" s="71"/>
      <c r="C47" s="226"/>
      <c r="D47" s="71"/>
    </row>
    <row r="48" spans="1:4" x14ac:dyDescent="0.2">
      <c r="A48" s="345">
        <v>28975</v>
      </c>
      <c r="B48" s="71"/>
      <c r="C48" s="226"/>
      <c r="D48" s="71"/>
    </row>
    <row r="49" spans="1:4" x14ac:dyDescent="0.2">
      <c r="A49" s="345">
        <v>29006</v>
      </c>
      <c r="B49" s="71"/>
      <c r="C49" s="226"/>
      <c r="D49" s="71"/>
    </row>
    <row r="50" spans="1:4" x14ac:dyDescent="0.2">
      <c r="A50" s="345">
        <v>29036</v>
      </c>
      <c r="B50" s="71"/>
      <c r="C50" s="226"/>
      <c r="D50" s="71"/>
    </row>
    <row r="51" spans="1:4" x14ac:dyDescent="0.2">
      <c r="A51" s="345">
        <v>29067</v>
      </c>
      <c r="B51" s="71"/>
      <c r="C51" s="226"/>
      <c r="D51" s="71"/>
    </row>
    <row r="52" spans="1:4" x14ac:dyDescent="0.2">
      <c r="A52" s="345">
        <v>29098</v>
      </c>
      <c r="B52" s="71"/>
      <c r="C52" s="226"/>
      <c r="D52" s="71"/>
    </row>
    <row r="53" spans="1:4" x14ac:dyDescent="0.2">
      <c r="A53" s="345">
        <v>29128</v>
      </c>
      <c r="B53" s="71"/>
      <c r="C53" s="226"/>
      <c r="D53" s="71"/>
    </row>
    <row r="54" spans="1:4" x14ac:dyDescent="0.2">
      <c r="A54" s="345">
        <v>29159</v>
      </c>
      <c r="B54" s="71"/>
      <c r="C54" s="226"/>
      <c r="D54" s="71"/>
    </row>
    <row r="55" spans="1:4" x14ac:dyDescent="0.2">
      <c r="A55" s="345">
        <v>29189</v>
      </c>
      <c r="B55" s="71"/>
      <c r="C55" s="226"/>
      <c r="D55" s="71"/>
    </row>
    <row r="56" spans="1:4" x14ac:dyDescent="0.2">
      <c r="A56" s="345">
        <v>29220</v>
      </c>
      <c r="B56" s="71"/>
      <c r="C56" s="226"/>
      <c r="D56" s="71"/>
    </row>
    <row r="57" spans="1:4" x14ac:dyDescent="0.2">
      <c r="A57" s="345">
        <v>29251</v>
      </c>
      <c r="B57" s="71"/>
      <c r="C57" s="226"/>
      <c r="D57" s="71"/>
    </row>
    <row r="58" spans="1:4" x14ac:dyDescent="0.2">
      <c r="A58" s="345">
        <v>29280</v>
      </c>
      <c r="B58" s="71"/>
      <c r="C58" s="226"/>
      <c r="D58" s="71"/>
    </row>
    <row r="59" spans="1:4" x14ac:dyDescent="0.2">
      <c r="A59" s="345">
        <v>29311</v>
      </c>
      <c r="B59" s="71"/>
      <c r="C59" s="226"/>
      <c r="D59" s="71"/>
    </row>
    <row r="60" spans="1:4" x14ac:dyDescent="0.2">
      <c r="A60" s="345">
        <v>29341</v>
      </c>
      <c r="B60" s="71"/>
      <c r="C60" s="226"/>
      <c r="D60" s="71"/>
    </row>
    <row r="61" spans="1:4" x14ac:dyDescent="0.2">
      <c r="A61" s="345">
        <v>29372</v>
      </c>
      <c r="B61" s="71"/>
      <c r="C61" s="226"/>
      <c r="D61" s="71"/>
    </row>
    <row r="62" spans="1:4" x14ac:dyDescent="0.2">
      <c r="A62" s="345">
        <v>29402</v>
      </c>
      <c r="B62" s="71"/>
      <c r="C62" s="226"/>
      <c r="D62" s="71"/>
    </row>
    <row r="63" spans="1:4" x14ac:dyDescent="0.2">
      <c r="A63" s="345">
        <v>29433</v>
      </c>
      <c r="B63" s="71"/>
      <c r="C63" s="226"/>
      <c r="D63" s="71"/>
    </row>
    <row r="64" spans="1:4" x14ac:dyDescent="0.2">
      <c r="A64" s="345">
        <v>29464</v>
      </c>
      <c r="B64" s="71"/>
      <c r="C64" s="226"/>
      <c r="D64" s="71"/>
    </row>
    <row r="65" spans="1:4" x14ac:dyDescent="0.2">
      <c r="A65" s="345">
        <v>29494</v>
      </c>
      <c r="B65" s="71"/>
      <c r="C65" s="226"/>
      <c r="D65" s="71"/>
    </row>
    <row r="66" spans="1:4" x14ac:dyDescent="0.2">
      <c r="A66" s="345">
        <v>29525</v>
      </c>
      <c r="B66" s="71"/>
      <c r="C66" s="226"/>
      <c r="D66" s="71"/>
    </row>
    <row r="67" spans="1:4" x14ac:dyDescent="0.2">
      <c r="A67" s="345">
        <v>29555</v>
      </c>
      <c r="B67" s="71"/>
      <c r="C67" s="226"/>
      <c r="D67" s="71"/>
    </row>
    <row r="68" spans="1:4" x14ac:dyDescent="0.2">
      <c r="A68" s="345">
        <v>29586</v>
      </c>
      <c r="B68" s="71"/>
      <c r="C68" s="226"/>
      <c r="D68" s="71"/>
    </row>
    <row r="69" spans="1:4" x14ac:dyDescent="0.2">
      <c r="A69" s="345">
        <v>29617</v>
      </c>
      <c r="B69" s="71"/>
      <c r="C69" s="226"/>
      <c r="D69" s="71"/>
    </row>
    <row r="70" spans="1:4" x14ac:dyDescent="0.2">
      <c r="A70" s="345">
        <v>29645</v>
      </c>
      <c r="B70" s="71"/>
      <c r="C70" s="226"/>
      <c r="D70" s="71"/>
    </row>
    <row r="71" spans="1:4" x14ac:dyDescent="0.2">
      <c r="A71" s="345">
        <v>29676</v>
      </c>
      <c r="B71" s="71"/>
      <c r="C71" s="226"/>
      <c r="D71" s="71"/>
    </row>
    <row r="72" spans="1:4" x14ac:dyDescent="0.2">
      <c r="A72" s="345">
        <v>29706</v>
      </c>
      <c r="B72" s="71"/>
      <c r="C72" s="226"/>
      <c r="D72" s="71"/>
    </row>
    <row r="73" spans="1:4" x14ac:dyDescent="0.2">
      <c r="A73" s="345">
        <v>29737</v>
      </c>
      <c r="B73" s="71"/>
      <c r="C73" s="226"/>
      <c r="D73" s="71"/>
    </row>
    <row r="74" spans="1:4" x14ac:dyDescent="0.2">
      <c r="A74" s="345">
        <v>29767</v>
      </c>
      <c r="B74" s="71"/>
      <c r="C74" s="226"/>
      <c r="D74" s="71"/>
    </row>
    <row r="75" spans="1:4" x14ac:dyDescent="0.2">
      <c r="A75" s="345">
        <v>29798</v>
      </c>
      <c r="B75" s="71"/>
      <c r="C75" s="226"/>
      <c r="D75" s="71"/>
    </row>
    <row r="76" spans="1:4" x14ac:dyDescent="0.2">
      <c r="A76" s="345">
        <v>29829</v>
      </c>
      <c r="B76" s="71"/>
      <c r="C76" s="226"/>
      <c r="D76" s="71"/>
    </row>
    <row r="77" spans="1:4" x14ac:dyDescent="0.2">
      <c r="A77" s="345">
        <v>29859</v>
      </c>
      <c r="B77" s="71"/>
      <c r="C77" s="226"/>
      <c r="D77" s="71"/>
    </row>
    <row r="78" spans="1:4" x14ac:dyDescent="0.2">
      <c r="A78" s="345">
        <v>29890</v>
      </c>
      <c r="B78" s="71"/>
      <c r="C78" s="226"/>
      <c r="D78" s="71"/>
    </row>
    <row r="79" spans="1:4" x14ac:dyDescent="0.2">
      <c r="A79" s="345">
        <v>29920</v>
      </c>
      <c r="B79" s="71"/>
      <c r="C79" s="226"/>
      <c r="D79" s="71"/>
    </row>
    <row r="80" spans="1:4" x14ac:dyDescent="0.2">
      <c r="A80" s="345">
        <v>29951</v>
      </c>
      <c r="B80" s="71"/>
      <c r="C80" s="226"/>
      <c r="D80" s="71"/>
    </row>
    <row r="81" spans="1:4" x14ac:dyDescent="0.2">
      <c r="A81" s="345">
        <v>29982</v>
      </c>
      <c r="B81" s="71"/>
      <c r="C81" s="226"/>
      <c r="D81" s="71"/>
    </row>
    <row r="82" spans="1:4" x14ac:dyDescent="0.2">
      <c r="A82" s="345">
        <v>30010</v>
      </c>
      <c r="B82" s="71"/>
      <c r="C82" s="226"/>
      <c r="D82" s="71"/>
    </row>
    <row r="83" spans="1:4" x14ac:dyDescent="0.2">
      <c r="A83" s="345">
        <v>30041</v>
      </c>
      <c r="B83" s="71"/>
      <c r="C83" s="226"/>
      <c r="D83" s="71"/>
    </row>
    <row r="84" spans="1:4" x14ac:dyDescent="0.2">
      <c r="A84" s="345">
        <v>30071</v>
      </c>
      <c r="B84" s="71"/>
      <c r="C84" s="226"/>
      <c r="D84" s="71"/>
    </row>
    <row r="85" spans="1:4" x14ac:dyDescent="0.2">
      <c r="A85" s="345">
        <v>30102</v>
      </c>
      <c r="B85" s="71"/>
      <c r="C85" s="226"/>
      <c r="D85" s="71"/>
    </row>
    <row r="86" spans="1:4" x14ac:dyDescent="0.2">
      <c r="A86" s="345">
        <v>30132</v>
      </c>
      <c r="B86" s="71"/>
      <c r="C86" s="226"/>
      <c r="D86" s="71"/>
    </row>
    <row r="87" spans="1:4" x14ac:dyDescent="0.2">
      <c r="A87" s="345">
        <v>30163</v>
      </c>
      <c r="B87" s="71"/>
      <c r="C87" s="226"/>
      <c r="D87" s="71"/>
    </row>
    <row r="88" spans="1:4" x14ac:dyDescent="0.2">
      <c r="A88" s="345">
        <v>30194</v>
      </c>
      <c r="B88" s="71"/>
      <c r="C88" s="226"/>
      <c r="D88" s="71"/>
    </row>
    <row r="89" spans="1:4" x14ac:dyDescent="0.2">
      <c r="A89" s="345">
        <v>30224</v>
      </c>
      <c r="B89" s="71"/>
      <c r="C89" s="226"/>
      <c r="D89" s="71"/>
    </row>
    <row r="90" spans="1:4" x14ac:dyDescent="0.2">
      <c r="A90" s="345">
        <v>30255</v>
      </c>
      <c r="B90" s="71"/>
      <c r="C90" s="226"/>
      <c r="D90" s="71"/>
    </row>
    <row r="91" spans="1:4" x14ac:dyDescent="0.2">
      <c r="A91" s="345">
        <v>30285</v>
      </c>
      <c r="B91" s="71"/>
      <c r="C91" s="226"/>
      <c r="D91" s="71"/>
    </row>
    <row r="92" spans="1:4" x14ac:dyDescent="0.2">
      <c r="A92" s="345">
        <v>30316</v>
      </c>
      <c r="B92" s="71"/>
      <c r="C92" s="226"/>
      <c r="D92" s="71"/>
    </row>
    <row r="93" spans="1:4" x14ac:dyDescent="0.2">
      <c r="A93" s="345">
        <v>30347</v>
      </c>
      <c r="B93" s="71"/>
      <c r="C93" s="226"/>
      <c r="D93" s="71"/>
    </row>
    <row r="94" spans="1:4" x14ac:dyDescent="0.2">
      <c r="A94" s="345">
        <v>30375</v>
      </c>
      <c r="B94" s="71"/>
      <c r="C94" s="226"/>
      <c r="D94" s="71"/>
    </row>
    <row r="95" spans="1:4" x14ac:dyDescent="0.2">
      <c r="A95" s="345">
        <v>30406</v>
      </c>
      <c r="B95" s="71"/>
      <c r="C95" s="226"/>
      <c r="D95" s="71"/>
    </row>
    <row r="96" spans="1:4" x14ac:dyDescent="0.2">
      <c r="A96" s="345">
        <v>30436</v>
      </c>
      <c r="B96" s="71"/>
      <c r="C96" s="226"/>
      <c r="D96" s="71"/>
    </row>
    <row r="97" spans="1:4" x14ac:dyDescent="0.2">
      <c r="A97" s="345">
        <v>30467</v>
      </c>
      <c r="B97" s="71"/>
      <c r="C97" s="226"/>
      <c r="D97" s="71"/>
    </row>
    <row r="98" spans="1:4" x14ac:dyDescent="0.2">
      <c r="A98" s="345">
        <v>30497</v>
      </c>
      <c r="B98" s="71"/>
      <c r="C98" s="226"/>
      <c r="D98" s="71"/>
    </row>
    <row r="99" spans="1:4" x14ac:dyDescent="0.2">
      <c r="A99" s="345">
        <v>30528</v>
      </c>
      <c r="B99" s="71"/>
      <c r="C99" s="226"/>
      <c r="D99" s="71"/>
    </row>
    <row r="100" spans="1:4" x14ac:dyDescent="0.2">
      <c r="A100" s="345">
        <v>30559</v>
      </c>
      <c r="B100" s="71"/>
      <c r="C100" s="226"/>
      <c r="D100" s="71"/>
    </row>
    <row r="101" spans="1:4" x14ac:dyDescent="0.2">
      <c r="A101" s="345">
        <v>30589</v>
      </c>
      <c r="B101" s="71"/>
      <c r="C101" s="226"/>
      <c r="D101" s="71"/>
    </row>
    <row r="102" spans="1:4" x14ac:dyDescent="0.2">
      <c r="A102" s="345">
        <v>30620</v>
      </c>
      <c r="B102" s="71"/>
      <c r="C102" s="226"/>
      <c r="D102" s="71"/>
    </row>
    <row r="103" spans="1:4" x14ac:dyDescent="0.2">
      <c r="A103" s="345">
        <v>30650</v>
      </c>
      <c r="B103" s="71"/>
      <c r="C103" s="226"/>
      <c r="D103" s="71"/>
    </row>
    <row r="104" spans="1:4" x14ac:dyDescent="0.2">
      <c r="A104" s="345">
        <v>30681</v>
      </c>
      <c r="B104" s="71"/>
      <c r="C104" s="226"/>
      <c r="D104" s="71"/>
    </row>
    <row r="105" spans="1:4" x14ac:dyDescent="0.2">
      <c r="A105" s="345">
        <v>30712</v>
      </c>
      <c r="B105" s="71"/>
      <c r="C105" s="226"/>
      <c r="D105" s="71"/>
    </row>
    <row r="106" spans="1:4" x14ac:dyDescent="0.2">
      <c r="A106" s="345">
        <v>30741</v>
      </c>
      <c r="B106" s="71"/>
      <c r="C106" s="226"/>
      <c r="D106" s="71"/>
    </row>
    <row r="107" spans="1:4" x14ac:dyDescent="0.2">
      <c r="A107" s="345">
        <v>30772</v>
      </c>
      <c r="B107" s="71"/>
      <c r="C107" s="226"/>
      <c r="D107" s="71"/>
    </row>
    <row r="108" spans="1:4" x14ac:dyDescent="0.2">
      <c r="A108" s="345">
        <v>30802</v>
      </c>
      <c r="B108" s="71"/>
      <c r="C108" s="226"/>
      <c r="D108" s="71"/>
    </row>
    <row r="109" spans="1:4" x14ac:dyDescent="0.2">
      <c r="A109" s="345">
        <v>30833</v>
      </c>
      <c r="B109" s="71"/>
      <c r="C109" s="226"/>
      <c r="D109" s="71"/>
    </row>
    <row r="110" spans="1:4" x14ac:dyDescent="0.2">
      <c r="A110" s="345">
        <v>30863</v>
      </c>
      <c r="B110" s="71"/>
      <c r="C110" s="226"/>
      <c r="D110" s="71"/>
    </row>
    <row r="111" spans="1:4" x14ac:dyDescent="0.2">
      <c r="A111" s="345">
        <v>30894</v>
      </c>
      <c r="B111" s="71"/>
      <c r="C111" s="226"/>
      <c r="D111" s="71"/>
    </row>
    <row r="112" spans="1:4" x14ac:dyDescent="0.2">
      <c r="A112" s="345">
        <v>30925</v>
      </c>
      <c r="B112" s="71"/>
      <c r="C112" s="226"/>
      <c r="D112" s="71"/>
    </row>
    <row r="113" spans="1:4" x14ac:dyDescent="0.2">
      <c r="A113" s="345">
        <v>30955</v>
      </c>
      <c r="B113" s="71"/>
      <c r="C113" s="226"/>
      <c r="D113" s="71"/>
    </row>
    <row r="114" spans="1:4" x14ac:dyDescent="0.2">
      <c r="A114" s="345">
        <v>30986</v>
      </c>
      <c r="B114" s="71"/>
      <c r="C114" s="226"/>
      <c r="D114" s="71"/>
    </row>
    <row r="115" spans="1:4" x14ac:dyDescent="0.2">
      <c r="A115" s="345">
        <v>31016</v>
      </c>
      <c r="B115" s="71"/>
      <c r="C115" s="226"/>
      <c r="D115" s="71"/>
    </row>
    <row r="116" spans="1:4" x14ac:dyDescent="0.2">
      <c r="A116" s="345">
        <v>31047</v>
      </c>
      <c r="B116" s="71"/>
      <c r="C116" s="226"/>
      <c r="D116" s="71"/>
    </row>
    <row r="117" spans="1:4" x14ac:dyDescent="0.2">
      <c r="A117" s="345">
        <v>31078</v>
      </c>
      <c r="B117" s="71"/>
      <c r="C117" s="226"/>
      <c r="D117" s="71"/>
    </row>
    <row r="118" spans="1:4" x14ac:dyDescent="0.2">
      <c r="A118" s="345">
        <v>31106</v>
      </c>
      <c r="B118" s="71"/>
      <c r="C118" s="226"/>
      <c r="D118" s="71"/>
    </row>
    <row r="119" spans="1:4" x14ac:dyDescent="0.2">
      <c r="A119" s="345">
        <v>31137</v>
      </c>
      <c r="B119" s="71"/>
      <c r="C119" s="226"/>
      <c r="D119" s="71"/>
    </row>
    <row r="120" spans="1:4" x14ac:dyDescent="0.2">
      <c r="A120" s="345">
        <v>31167</v>
      </c>
      <c r="B120" s="71"/>
      <c r="C120" s="226"/>
      <c r="D120" s="71"/>
    </row>
    <row r="121" spans="1:4" x14ac:dyDescent="0.2">
      <c r="A121" s="345">
        <v>31198</v>
      </c>
      <c r="B121" s="71"/>
      <c r="C121" s="226"/>
      <c r="D121" s="71"/>
    </row>
    <row r="122" spans="1:4" x14ac:dyDescent="0.2">
      <c r="A122" s="345">
        <v>31228</v>
      </c>
      <c r="B122" s="71"/>
      <c r="C122" s="226"/>
      <c r="D122" s="71"/>
    </row>
    <row r="123" spans="1:4" x14ac:dyDescent="0.2">
      <c r="A123" s="345">
        <v>31259</v>
      </c>
      <c r="B123" s="71"/>
      <c r="C123" s="226"/>
      <c r="D123" s="71"/>
    </row>
    <row r="124" spans="1:4" x14ac:dyDescent="0.2">
      <c r="A124" s="345">
        <v>31290</v>
      </c>
      <c r="B124" s="71"/>
      <c r="C124" s="226"/>
      <c r="D124" s="71"/>
    </row>
    <row r="125" spans="1:4" x14ac:dyDescent="0.2">
      <c r="A125" s="345">
        <v>31320</v>
      </c>
      <c r="B125" s="71"/>
      <c r="C125" s="226"/>
      <c r="D125" s="71"/>
    </row>
    <row r="126" spans="1:4" x14ac:dyDescent="0.2">
      <c r="A126" s="345">
        <v>31351</v>
      </c>
      <c r="B126" s="71"/>
      <c r="C126" s="226"/>
      <c r="D126" s="71"/>
    </row>
    <row r="127" spans="1:4" x14ac:dyDescent="0.2">
      <c r="A127" s="345">
        <v>31381</v>
      </c>
      <c r="B127" s="71"/>
      <c r="C127" s="226"/>
      <c r="D127" s="71"/>
    </row>
    <row r="128" spans="1:4" x14ac:dyDescent="0.2">
      <c r="A128" s="345">
        <v>31412</v>
      </c>
      <c r="B128" s="71"/>
      <c r="C128" s="226"/>
      <c r="D128" s="71"/>
    </row>
    <row r="129" spans="1:4" x14ac:dyDescent="0.2">
      <c r="A129" s="345">
        <v>31443</v>
      </c>
      <c r="B129" s="71"/>
      <c r="C129" s="226"/>
      <c r="D129" s="71"/>
    </row>
    <row r="130" spans="1:4" x14ac:dyDescent="0.2">
      <c r="A130" s="345">
        <v>31471</v>
      </c>
      <c r="B130" s="71"/>
      <c r="C130" s="226"/>
      <c r="D130" s="71"/>
    </row>
    <row r="131" spans="1:4" x14ac:dyDescent="0.2">
      <c r="A131" s="345">
        <v>31502</v>
      </c>
      <c r="B131" s="71"/>
      <c r="C131" s="226"/>
      <c r="D131" s="71"/>
    </row>
    <row r="132" spans="1:4" x14ac:dyDescent="0.2">
      <c r="A132" s="345">
        <v>31532</v>
      </c>
      <c r="B132" s="71"/>
      <c r="C132" s="226"/>
      <c r="D132" s="71"/>
    </row>
    <row r="133" spans="1:4" x14ac:dyDescent="0.2">
      <c r="A133" s="345">
        <v>31563</v>
      </c>
      <c r="B133" s="71"/>
      <c r="C133" s="226"/>
      <c r="D133" s="71"/>
    </row>
    <row r="134" spans="1:4" x14ac:dyDescent="0.2">
      <c r="A134" s="345">
        <v>31593</v>
      </c>
      <c r="B134" s="71"/>
      <c r="C134" s="226"/>
      <c r="D134" s="71"/>
    </row>
    <row r="135" spans="1:4" x14ac:dyDescent="0.2">
      <c r="A135" s="345">
        <v>31624</v>
      </c>
      <c r="B135" s="71"/>
      <c r="C135" s="226"/>
      <c r="D135" s="71"/>
    </row>
    <row r="136" spans="1:4" x14ac:dyDescent="0.2">
      <c r="A136" s="345">
        <v>31655</v>
      </c>
      <c r="B136" s="71"/>
      <c r="C136" s="226"/>
      <c r="D136" s="71"/>
    </row>
    <row r="137" spans="1:4" x14ac:dyDescent="0.2">
      <c r="A137" s="345">
        <v>31685</v>
      </c>
      <c r="B137" s="71"/>
      <c r="C137" s="226"/>
      <c r="D137" s="71"/>
    </row>
    <row r="138" spans="1:4" x14ac:dyDescent="0.2">
      <c r="A138" s="345">
        <v>31716</v>
      </c>
      <c r="B138" s="71"/>
      <c r="C138" s="226"/>
      <c r="D138" s="71"/>
    </row>
    <row r="139" spans="1:4" x14ac:dyDescent="0.2">
      <c r="A139" s="345">
        <v>31746</v>
      </c>
      <c r="B139" s="71"/>
      <c r="C139" s="226"/>
      <c r="D139" s="71"/>
    </row>
    <row r="140" spans="1:4" x14ac:dyDescent="0.2">
      <c r="A140" s="345">
        <v>31777</v>
      </c>
      <c r="B140" s="71"/>
      <c r="C140" s="226"/>
      <c r="D140" s="71"/>
    </row>
    <row r="141" spans="1:4" x14ac:dyDescent="0.2">
      <c r="A141" s="345">
        <v>31808</v>
      </c>
      <c r="B141" s="73"/>
      <c r="C141" s="25"/>
      <c r="D141" s="73"/>
    </row>
    <row r="142" spans="1:4" x14ac:dyDescent="0.2">
      <c r="A142" s="345">
        <v>31836</v>
      </c>
      <c r="B142" s="73"/>
      <c r="C142" s="25"/>
      <c r="D142" s="73"/>
    </row>
    <row r="143" spans="1:4" x14ac:dyDescent="0.2">
      <c r="A143" s="345">
        <v>31867</v>
      </c>
      <c r="B143" s="73"/>
      <c r="C143" s="25"/>
      <c r="D143" s="73"/>
    </row>
    <row r="144" spans="1:4" x14ac:dyDescent="0.2">
      <c r="A144" s="345">
        <v>31897</v>
      </c>
      <c r="B144" s="73"/>
      <c r="C144" s="25"/>
      <c r="D144" s="73"/>
    </row>
    <row r="145" spans="1:4" x14ac:dyDescent="0.2">
      <c r="A145" s="345">
        <v>31928</v>
      </c>
      <c r="B145" s="73"/>
      <c r="C145" s="25"/>
      <c r="D145" s="73"/>
    </row>
    <row r="146" spans="1:4" x14ac:dyDescent="0.2">
      <c r="A146" s="345">
        <v>31958</v>
      </c>
      <c r="B146" s="73"/>
      <c r="C146" s="25"/>
      <c r="D146" s="73"/>
    </row>
    <row r="147" spans="1:4" x14ac:dyDescent="0.2">
      <c r="A147" s="345">
        <v>31989</v>
      </c>
      <c r="B147" s="73"/>
      <c r="C147" s="25"/>
      <c r="D147" s="73"/>
    </row>
    <row r="148" spans="1:4" x14ac:dyDescent="0.2">
      <c r="A148" s="345">
        <v>32020</v>
      </c>
      <c r="B148" s="73"/>
      <c r="C148" s="25"/>
      <c r="D148" s="73"/>
    </row>
    <row r="149" spans="1:4" x14ac:dyDescent="0.2">
      <c r="A149" s="345">
        <v>32050</v>
      </c>
      <c r="B149" s="73"/>
      <c r="C149" s="25"/>
      <c r="D149" s="73"/>
    </row>
    <row r="150" spans="1:4" x14ac:dyDescent="0.2">
      <c r="A150" s="345">
        <v>32081</v>
      </c>
      <c r="B150" s="73"/>
      <c r="C150" s="25"/>
      <c r="D150" s="73"/>
    </row>
    <row r="151" spans="1:4" x14ac:dyDescent="0.2">
      <c r="A151" s="345">
        <v>32111</v>
      </c>
      <c r="B151" s="73"/>
      <c r="C151" s="25"/>
      <c r="D151" s="73"/>
    </row>
    <row r="152" spans="1:4" x14ac:dyDescent="0.2">
      <c r="A152" s="345">
        <v>32142</v>
      </c>
      <c r="B152" s="73"/>
      <c r="C152" s="25"/>
      <c r="D152" s="73"/>
    </row>
    <row r="153" spans="1:4" x14ac:dyDescent="0.2">
      <c r="A153" s="345">
        <v>32173</v>
      </c>
      <c r="B153" s="73"/>
      <c r="C153" s="25"/>
      <c r="D153" s="73"/>
    </row>
    <row r="154" spans="1:4" x14ac:dyDescent="0.2">
      <c r="A154" s="345">
        <v>32202</v>
      </c>
      <c r="B154" s="73"/>
      <c r="C154" s="25"/>
      <c r="D154" s="73"/>
    </row>
    <row r="155" spans="1:4" x14ac:dyDescent="0.2">
      <c r="A155" s="345">
        <v>32233</v>
      </c>
      <c r="B155" s="73"/>
      <c r="C155" s="25"/>
      <c r="D155" s="73"/>
    </row>
    <row r="156" spans="1:4" x14ac:dyDescent="0.2">
      <c r="A156" s="345">
        <v>32263</v>
      </c>
      <c r="B156" s="73"/>
      <c r="C156" s="25"/>
      <c r="D156" s="73"/>
    </row>
    <row r="157" spans="1:4" x14ac:dyDescent="0.2">
      <c r="A157" s="345">
        <v>32294</v>
      </c>
      <c r="B157" s="73"/>
      <c r="C157" s="25"/>
      <c r="D157" s="73"/>
    </row>
    <row r="158" spans="1:4" x14ac:dyDescent="0.2">
      <c r="A158" s="345">
        <v>32324</v>
      </c>
      <c r="B158" s="73"/>
      <c r="C158" s="25"/>
      <c r="D158" s="73"/>
    </row>
    <row r="159" spans="1:4" x14ac:dyDescent="0.2">
      <c r="A159" s="345">
        <v>32355</v>
      </c>
      <c r="B159" s="73"/>
      <c r="C159" s="25"/>
      <c r="D159" s="73"/>
    </row>
    <row r="160" spans="1:4" x14ac:dyDescent="0.2">
      <c r="A160" s="345">
        <v>32386</v>
      </c>
      <c r="B160" s="73"/>
      <c r="C160" s="25"/>
      <c r="D160" s="73"/>
    </row>
    <row r="161" spans="1:4" x14ac:dyDescent="0.2">
      <c r="A161" s="345">
        <v>32416</v>
      </c>
      <c r="B161" s="73"/>
      <c r="C161" s="25"/>
      <c r="D161" s="73"/>
    </row>
    <row r="162" spans="1:4" x14ac:dyDescent="0.2">
      <c r="A162" s="345">
        <v>32447</v>
      </c>
      <c r="B162" s="73"/>
      <c r="C162" s="25"/>
      <c r="D162" s="73"/>
    </row>
    <row r="163" spans="1:4" x14ac:dyDescent="0.2">
      <c r="A163" s="345">
        <v>32477</v>
      </c>
      <c r="B163" s="73"/>
      <c r="C163" s="25"/>
      <c r="D163" s="73"/>
    </row>
    <row r="164" spans="1:4" x14ac:dyDescent="0.2">
      <c r="A164" s="345">
        <v>32508</v>
      </c>
      <c r="B164" s="73"/>
      <c r="C164" s="25"/>
      <c r="D164" s="73"/>
    </row>
    <row r="165" spans="1:4" x14ac:dyDescent="0.2">
      <c r="A165" s="345">
        <v>32539</v>
      </c>
      <c r="B165" s="73"/>
      <c r="C165" s="25"/>
      <c r="D165" s="73"/>
    </row>
    <row r="166" spans="1:4" x14ac:dyDescent="0.2">
      <c r="A166" s="345">
        <v>32567</v>
      </c>
      <c r="B166" s="73"/>
      <c r="C166" s="25"/>
      <c r="D166" s="73"/>
    </row>
    <row r="167" spans="1:4" x14ac:dyDescent="0.2">
      <c r="A167" s="345">
        <v>32598</v>
      </c>
      <c r="B167" s="73"/>
      <c r="C167" s="25"/>
      <c r="D167" s="73"/>
    </row>
    <row r="168" spans="1:4" x14ac:dyDescent="0.2">
      <c r="A168" s="345">
        <v>32628</v>
      </c>
      <c r="B168" s="73"/>
      <c r="C168" s="25"/>
      <c r="D168" s="73"/>
    </row>
    <row r="169" spans="1:4" x14ac:dyDescent="0.2">
      <c r="A169" s="345">
        <v>32659</v>
      </c>
      <c r="B169" s="73"/>
      <c r="C169" s="25"/>
      <c r="D169" s="73"/>
    </row>
    <row r="170" spans="1:4" x14ac:dyDescent="0.2">
      <c r="A170" s="345">
        <v>32689</v>
      </c>
      <c r="B170" s="73"/>
      <c r="C170" s="25"/>
      <c r="D170" s="73"/>
    </row>
    <row r="171" spans="1:4" x14ac:dyDescent="0.2">
      <c r="A171" s="345">
        <v>32720</v>
      </c>
      <c r="B171" s="73"/>
      <c r="C171" s="25"/>
      <c r="D171" s="73"/>
    </row>
    <row r="172" spans="1:4" x14ac:dyDescent="0.2">
      <c r="A172" s="345">
        <v>32751</v>
      </c>
      <c r="B172" s="73"/>
      <c r="C172" s="25"/>
      <c r="D172" s="73"/>
    </row>
    <row r="173" spans="1:4" x14ac:dyDescent="0.2">
      <c r="A173" s="345">
        <v>32781</v>
      </c>
      <c r="B173" s="73"/>
      <c r="C173" s="25"/>
      <c r="D173" s="73"/>
    </row>
    <row r="174" spans="1:4" x14ac:dyDescent="0.2">
      <c r="A174" s="345">
        <v>32812</v>
      </c>
      <c r="B174" s="73"/>
      <c r="C174" s="25"/>
      <c r="D174" s="73"/>
    </row>
    <row r="175" spans="1:4" x14ac:dyDescent="0.2">
      <c r="A175" s="345">
        <v>32842</v>
      </c>
      <c r="B175" s="73"/>
      <c r="C175" s="25"/>
      <c r="D175" s="73"/>
    </row>
    <row r="176" spans="1:4" x14ac:dyDescent="0.2">
      <c r="A176" s="345">
        <v>32873</v>
      </c>
      <c r="B176" s="73"/>
      <c r="C176" s="25"/>
      <c r="D176" s="73"/>
    </row>
    <row r="177" spans="1:4" x14ac:dyDescent="0.2">
      <c r="A177" s="345">
        <v>32904</v>
      </c>
      <c r="B177" s="73"/>
      <c r="C177" s="25"/>
      <c r="D177" s="73"/>
    </row>
    <row r="178" spans="1:4" x14ac:dyDescent="0.2">
      <c r="A178" s="345">
        <v>32932</v>
      </c>
      <c r="B178" s="73"/>
      <c r="C178" s="25"/>
      <c r="D178" s="73"/>
    </row>
    <row r="179" spans="1:4" x14ac:dyDescent="0.2">
      <c r="A179" s="345">
        <v>32963</v>
      </c>
      <c r="B179" s="73"/>
      <c r="C179" s="25"/>
      <c r="D179" s="73"/>
    </row>
    <row r="180" spans="1:4" x14ac:dyDescent="0.2">
      <c r="A180" s="345">
        <v>32993</v>
      </c>
      <c r="B180" s="73"/>
      <c r="C180" s="25"/>
      <c r="D180" s="73"/>
    </row>
    <row r="181" spans="1:4" x14ac:dyDescent="0.2">
      <c r="A181" s="345">
        <v>33024</v>
      </c>
      <c r="B181" s="73"/>
      <c r="C181" s="25"/>
      <c r="D181" s="73"/>
    </row>
    <row r="182" spans="1:4" x14ac:dyDescent="0.2">
      <c r="A182" s="345">
        <v>33054</v>
      </c>
      <c r="B182" s="73"/>
      <c r="C182" s="25"/>
      <c r="D182" s="73"/>
    </row>
    <row r="183" spans="1:4" x14ac:dyDescent="0.2">
      <c r="A183" s="345">
        <v>33085</v>
      </c>
      <c r="B183" s="73"/>
      <c r="C183" s="25"/>
      <c r="D183" s="73"/>
    </row>
    <row r="184" spans="1:4" x14ac:dyDescent="0.2">
      <c r="A184" s="345">
        <v>33116</v>
      </c>
      <c r="B184" s="73"/>
      <c r="C184" s="25"/>
      <c r="D184" s="73"/>
    </row>
    <row r="185" spans="1:4" x14ac:dyDescent="0.2">
      <c r="A185" s="345">
        <v>33146</v>
      </c>
      <c r="B185" s="73"/>
      <c r="C185" s="25"/>
      <c r="D185" s="73"/>
    </row>
    <row r="186" spans="1:4" x14ac:dyDescent="0.2">
      <c r="A186" s="345">
        <v>33177</v>
      </c>
      <c r="B186" s="73"/>
      <c r="C186" s="25"/>
      <c r="D186" s="73"/>
    </row>
    <row r="187" spans="1:4" x14ac:dyDescent="0.2">
      <c r="A187" s="345">
        <v>33207</v>
      </c>
      <c r="B187" s="73"/>
      <c r="C187" s="25"/>
      <c r="D187" s="73"/>
    </row>
    <row r="188" spans="1:4" x14ac:dyDescent="0.2">
      <c r="A188" s="345">
        <v>33238</v>
      </c>
      <c r="B188" s="73"/>
      <c r="C188" s="25"/>
      <c r="D188" s="73"/>
    </row>
    <row r="189" spans="1:4" x14ac:dyDescent="0.2">
      <c r="A189" s="345">
        <v>33269</v>
      </c>
      <c r="B189" s="73"/>
      <c r="C189" s="25"/>
      <c r="D189" s="73"/>
    </row>
    <row r="190" spans="1:4" x14ac:dyDescent="0.2">
      <c r="A190" s="345">
        <v>33297</v>
      </c>
      <c r="B190" s="73"/>
      <c r="C190" s="25"/>
      <c r="D190" s="73"/>
    </row>
    <row r="191" spans="1:4" x14ac:dyDescent="0.2">
      <c r="A191" s="345">
        <v>33328</v>
      </c>
      <c r="B191" s="73"/>
      <c r="C191" s="25"/>
      <c r="D191" s="73"/>
    </row>
    <row r="192" spans="1:4" x14ac:dyDescent="0.2">
      <c r="A192" s="345">
        <v>33358</v>
      </c>
      <c r="B192" s="73"/>
      <c r="C192" s="25"/>
      <c r="D192" s="73"/>
    </row>
    <row r="193" spans="1:4" x14ac:dyDescent="0.2">
      <c r="A193" s="345">
        <v>33389</v>
      </c>
      <c r="B193" s="73"/>
      <c r="C193" s="25"/>
      <c r="D193" s="73"/>
    </row>
    <row r="194" spans="1:4" x14ac:dyDescent="0.2">
      <c r="A194" s="345">
        <v>33419</v>
      </c>
      <c r="B194" s="73"/>
      <c r="C194" s="25"/>
      <c r="D194" s="73"/>
    </row>
    <row r="195" spans="1:4" x14ac:dyDescent="0.2">
      <c r="A195" s="345">
        <v>33450</v>
      </c>
      <c r="B195" s="73"/>
      <c r="C195" s="25"/>
      <c r="D195" s="73"/>
    </row>
    <row r="196" spans="1:4" x14ac:dyDescent="0.2">
      <c r="A196" s="345">
        <v>33481</v>
      </c>
      <c r="B196" s="73"/>
      <c r="C196" s="25"/>
      <c r="D196" s="73"/>
    </row>
    <row r="197" spans="1:4" x14ac:dyDescent="0.2">
      <c r="A197" s="345">
        <v>33511</v>
      </c>
      <c r="B197" s="73"/>
      <c r="C197" s="25"/>
      <c r="D197" s="73"/>
    </row>
    <row r="198" spans="1:4" x14ac:dyDescent="0.2">
      <c r="A198" s="345">
        <v>33542</v>
      </c>
      <c r="B198" s="73"/>
      <c r="C198" s="25"/>
      <c r="D198" s="73"/>
    </row>
    <row r="199" spans="1:4" x14ac:dyDescent="0.2">
      <c r="A199" s="345">
        <v>33572</v>
      </c>
      <c r="B199" s="73"/>
      <c r="C199" s="25"/>
      <c r="D199" s="73"/>
    </row>
    <row r="200" spans="1:4" x14ac:dyDescent="0.2">
      <c r="A200" s="345">
        <v>33603</v>
      </c>
      <c r="B200" s="73"/>
      <c r="C200" s="25"/>
      <c r="D200" s="73"/>
    </row>
    <row r="201" spans="1:4" x14ac:dyDescent="0.2">
      <c r="A201" s="345">
        <v>33634</v>
      </c>
      <c r="B201" s="73"/>
      <c r="C201" s="25"/>
      <c r="D201" s="73"/>
    </row>
    <row r="202" spans="1:4" x14ac:dyDescent="0.2">
      <c r="A202" s="345">
        <v>33663</v>
      </c>
      <c r="B202" s="73"/>
      <c r="C202" s="25"/>
      <c r="D202" s="73"/>
    </row>
    <row r="203" spans="1:4" x14ac:dyDescent="0.2">
      <c r="A203" s="345">
        <v>33694</v>
      </c>
      <c r="B203" s="73"/>
      <c r="C203" s="25"/>
      <c r="D203" s="73"/>
    </row>
    <row r="204" spans="1:4" x14ac:dyDescent="0.2">
      <c r="A204" s="345">
        <v>33724</v>
      </c>
      <c r="B204" s="73"/>
      <c r="C204" s="25"/>
      <c r="D204" s="73"/>
    </row>
    <row r="205" spans="1:4" x14ac:dyDescent="0.2">
      <c r="A205" s="345">
        <v>33755</v>
      </c>
      <c r="B205" s="73"/>
      <c r="C205" s="25"/>
      <c r="D205" s="73"/>
    </row>
    <row r="206" spans="1:4" x14ac:dyDescent="0.2">
      <c r="A206" s="345">
        <v>33785</v>
      </c>
      <c r="B206" s="73"/>
      <c r="C206" s="25"/>
      <c r="D206" s="73"/>
    </row>
    <row r="207" spans="1:4" x14ac:dyDescent="0.2">
      <c r="A207" s="345">
        <v>33816</v>
      </c>
      <c r="B207" s="73"/>
      <c r="C207" s="25"/>
      <c r="D207" s="73"/>
    </row>
    <row r="208" spans="1:4" x14ac:dyDescent="0.2">
      <c r="A208" s="345">
        <v>33847</v>
      </c>
      <c r="B208" s="73"/>
      <c r="C208" s="25"/>
      <c r="D208" s="73"/>
    </row>
    <row r="209" spans="1:4" x14ac:dyDescent="0.2">
      <c r="A209" s="345">
        <v>33877</v>
      </c>
      <c r="B209" s="73"/>
      <c r="C209" s="25"/>
      <c r="D209" s="73"/>
    </row>
    <row r="210" spans="1:4" x14ac:dyDescent="0.2">
      <c r="A210" s="345">
        <v>33908</v>
      </c>
      <c r="B210" s="73"/>
      <c r="C210" s="25"/>
      <c r="D210" s="73"/>
    </row>
    <row r="211" spans="1:4" x14ac:dyDescent="0.2">
      <c r="A211" s="345">
        <v>33938</v>
      </c>
      <c r="B211" s="73"/>
      <c r="C211" s="25"/>
      <c r="D211" s="73"/>
    </row>
    <row r="212" spans="1:4" x14ac:dyDescent="0.2">
      <c r="A212" s="345">
        <v>33969</v>
      </c>
      <c r="B212" s="73"/>
      <c r="C212" s="25"/>
      <c r="D212" s="73"/>
    </row>
    <row r="213" spans="1:4" x14ac:dyDescent="0.2">
      <c r="A213" s="345">
        <v>34000</v>
      </c>
      <c r="B213" s="73"/>
      <c r="C213" s="25"/>
      <c r="D213" s="73"/>
    </row>
    <row r="214" spans="1:4" x14ac:dyDescent="0.2">
      <c r="A214" s="345">
        <v>34028</v>
      </c>
      <c r="B214" s="73"/>
      <c r="C214" s="25"/>
      <c r="D214" s="73"/>
    </row>
    <row r="215" spans="1:4" x14ac:dyDescent="0.2">
      <c r="A215" s="345">
        <v>34059</v>
      </c>
      <c r="B215" s="73"/>
      <c r="C215" s="25"/>
      <c r="D215" s="73"/>
    </row>
    <row r="216" spans="1:4" x14ac:dyDescent="0.2">
      <c r="A216" s="345">
        <v>34089</v>
      </c>
      <c r="B216" s="73"/>
      <c r="C216" s="25"/>
      <c r="D216" s="73"/>
    </row>
    <row r="217" spans="1:4" x14ac:dyDescent="0.2">
      <c r="A217" s="345">
        <v>34120</v>
      </c>
      <c r="B217" s="73"/>
      <c r="C217" s="25"/>
      <c r="D217" s="73"/>
    </row>
    <row r="218" spans="1:4" x14ac:dyDescent="0.2">
      <c r="A218" s="345">
        <v>34150</v>
      </c>
      <c r="B218" s="73"/>
      <c r="C218" s="25"/>
      <c r="D218" s="73"/>
    </row>
    <row r="219" spans="1:4" x14ac:dyDescent="0.2">
      <c r="A219" s="345">
        <v>34181</v>
      </c>
      <c r="B219" s="73"/>
      <c r="C219" s="25"/>
      <c r="D219" s="73"/>
    </row>
    <row r="220" spans="1:4" x14ac:dyDescent="0.2">
      <c r="A220" s="345">
        <v>34212</v>
      </c>
      <c r="B220" s="73"/>
      <c r="C220" s="25"/>
      <c r="D220" s="73"/>
    </row>
    <row r="221" spans="1:4" x14ac:dyDescent="0.2">
      <c r="A221" s="345">
        <v>34242</v>
      </c>
      <c r="B221" s="73"/>
      <c r="C221" s="25"/>
      <c r="D221" s="73"/>
    </row>
    <row r="222" spans="1:4" x14ac:dyDescent="0.2">
      <c r="A222" s="345">
        <v>34273</v>
      </c>
      <c r="B222" s="73"/>
      <c r="C222" s="25"/>
      <c r="D222" s="73"/>
    </row>
    <row r="223" spans="1:4" x14ac:dyDescent="0.2">
      <c r="A223" s="345">
        <v>34303</v>
      </c>
      <c r="B223" s="73"/>
      <c r="C223" s="25"/>
      <c r="D223" s="73"/>
    </row>
    <row r="224" spans="1:4" x14ac:dyDescent="0.2">
      <c r="A224" s="345">
        <v>34334</v>
      </c>
      <c r="B224" s="73"/>
      <c r="C224" s="25"/>
      <c r="D224" s="73"/>
    </row>
    <row r="225" spans="1:4" x14ac:dyDescent="0.2">
      <c r="A225" s="345">
        <v>34365</v>
      </c>
      <c r="B225" s="73"/>
      <c r="C225" s="25"/>
      <c r="D225" s="73"/>
    </row>
    <row r="226" spans="1:4" x14ac:dyDescent="0.2">
      <c r="A226" s="345">
        <v>34393</v>
      </c>
      <c r="B226" s="73"/>
      <c r="C226" s="25"/>
      <c r="D226" s="73"/>
    </row>
    <row r="227" spans="1:4" x14ac:dyDescent="0.2">
      <c r="A227" s="345">
        <v>34424</v>
      </c>
      <c r="B227" s="73"/>
      <c r="C227" s="25"/>
      <c r="D227" s="73"/>
    </row>
    <row r="228" spans="1:4" x14ac:dyDescent="0.2">
      <c r="A228" s="345">
        <v>34454</v>
      </c>
      <c r="B228" s="73"/>
      <c r="C228" s="25"/>
      <c r="D228" s="73"/>
    </row>
    <row r="229" spans="1:4" x14ac:dyDescent="0.2">
      <c r="A229" s="345">
        <v>34485</v>
      </c>
      <c r="B229" s="73"/>
      <c r="C229" s="25"/>
      <c r="D229" s="73"/>
    </row>
    <row r="230" spans="1:4" x14ac:dyDescent="0.2">
      <c r="A230" s="345">
        <v>34515</v>
      </c>
      <c r="B230" s="73"/>
      <c r="C230" s="25"/>
      <c r="D230" s="73"/>
    </row>
    <row r="231" spans="1:4" x14ac:dyDescent="0.2">
      <c r="A231" s="345">
        <v>34546</v>
      </c>
      <c r="B231" s="73"/>
      <c r="C231" s="25"/>
      <c r="D231" s="73"/>
    </row>
    <row r="232" spans="1:4" x14ac:dyDescent="0.2">
      <c r="A232" s="345">
        <v>34577</v>
      </c>
      <c r="B232" s="73"/>
      <c r="C232" s="25"/>
      <c r="D232" s="73"/>
    </row>
    <row r="233" spans="1:4" x14ac:dyDescent="0.2">
      <c r="A233" s="345">
        <v>34607</v>
      </c>
      <c r="B233" s="73"/>
      <c r="C233" s="25"/>
      <c r="D233" s="73"/>
    </row>
    <row r="234" spans="1:4" x14ac:dyDescent="0.2">
      <c r="A234" s="345">
        <v>34638</v>
      </c>
      <c r="B234" s="73"/>
      <c r="C234" s="25"/>
      <c r="D234" s="73"/>
    </row>
    <row r="235" spans="1:4" x14ac:dyDescent="0.2">
      <c r="A235" s="345">
        <v>34668</v>
      </c>
      <c r="B235" s="73"/>
      <c r="C235" s="25"/>
      <c r="D235" s="73"/>
    </row>
    <row r="236" spans="1:4" x14ac:dyDescent="0.2">
      <c r="A236" s="345">
        <v>34699</v>
      </c>
      <c r="B236" s="73"/>
      <c r="C236" s="25"/>
      <c r="D236" s="73"/>
    </row>
    <row r="237" spans="1:4" x14ac:dyDescent="0.2">
      <c r="A237" s="345">
        <v>34730</v>
      </c>
      <c r="B237" s="73"/>
      <c r="C237" s="25"/>
      <c r="D237" s="73"/>
    </row>
    <row r="238" spans="1:4" x14ac:dyDescent="0.2">
      <c r="A238" s="345">
        <v>34758</v>
      </c>
      <c r="B238" s="73"/>
      <c r="C238" s="25"/>
      <c r="D238" s="73"/>
    </row>
    <row r="239" spans="1:4" x14ac:dyDescent="0.2">
      <c r="A239" s="345">
        <v>34789</v>
      </c>
      <c r="B239" s="73"/>
      <c r="C239" s="25"/>
      <c r="D239" s="73"/>
    </row>
    <row r="240" spans="1:4" x14ac:dyDescent="0.2">
      <c r="A240" s="345">
        <v>34819</v>
      </c>
      <c r="B240" s="73"/>
      <c r="C240" s="25"/>
      <c r="D240" s="73"/>
    </row>
    <row r="241" spans="1:4" x14ac:dyDescent="0.2">
      <c r="A241" s="345">
        <v>34850</v>
      </c>
      <c r="B241" s="73"/>
      <c r="C241" s="25"/>
      <c r="D241" s="73"/>
    </row>
    <row r="242" spans="1:4" x14ac:dyDescent="0.2">
      <c r="A242" s="345">
        <v>34880</v>
      </c>
      <c r="B242" s="73"/>
      <c r="C242" s="25"/>
      <c r="D242" s="73"/>
    </row>
    <row r="243" spans="1:4" x14ac:dyDescent="0.2">
      <c r="A243" s="345">
        <v>34911</v>
      </c>
      <c r="B243" s="73"/>
      <c r="C243" s="25"/>
      <c r="D243" s="73"/>
    </row>
    <row r="244" spans="1:4" x14ac:dyDescent="0.2">
      <c r="A244" s="345">
        <v>34942</v>
      </c>
      <c r="B244" s="73"/>
      <c r="C244" s="25"/>
      <c r="D244" s="73"/>
    </row>
    <row r="245" spans="1:4" x14ac:dyDescent="0.2">
      <c r="A245" s="345">
        <v>34972</v>
      </c>
      <c r="B245" s="73"/>
      <c r="C245" s="25"/>
      <c r="D245" s="73"/>
    </row>
    <row r="246" spans="1:4" x14ac:dyDescent="0.2">
      <c r="A246" s="345">
        <v>35003</v>
      </c>
      <c r="B246" s="73"/>
      <c r="C246" s="25"/>
      <c r="D246" s="73"/>
    </row>
    <row r="247" spans="1:4" x14ac:dyDescent="0.2">
      <c r="A247" s="345">
        <v>35033</v>
      </c>
      <c r="B247" s="73"/>
      <c r="C247" s="25"/>
      <c r="D247" s="73"/>
    </row>
    <row r="248" spans="1:4" x14ac:dyDescent="0.2">
      <c r="A248" s="345">
        <v>35064</v>
      </c>
      <c r="B248" s="73"/>
      <c r="C248" s="25"/>
      <c r="D248" s="73"/>
    </row>
    <row r="249" spans="1:4" x14ac:dyDescent="0.2">
      <c r="A249" s="345">
        <v>35095</v>
      </c>
      <c r="B249" s="73"/>
      <c r="C249" s="25"/>
      <c r="D249" s="73"/>
    </row>
    <row r="250" spans="1:4" x14ac:dyDescent="0.2">
      <c r="A250" s="345">
        <v>35124</v>
      </c>
      <c r="B250" s="73"/>
      <c r="C250" s="25"/>
      <c r="D250" s="73"/>
    </row>
    <row r="251" spans="1:4" x14ac:dyDescent="0.2">
      <c r="A251" s="345">
        <v>35155</v>
      </c>
      <c r="B251" s="73"/>
      <c r="C251" s="25"/>
      <c r="D251" s="73"/>
    </row>
    <row r="252" spans="1:4" x14ac:dyDescent="0.2">
      <c r="A252" s="345">
        <v>35185</v>
      </c>
      <c r="B252" s="73"/>
      <c r="C252" s="25"/>
      <c r="D252" s="73"/>
    </row>
    <row r="253" spans="1:4" x14ac:dyDescent="0.2">
      <c r="A253" s="345">
        <v>35216</v>
      </c>
      <c r="B253" s="73"/>
      <c r="C253" s="25"/>
      <c r="D253" s="73"/>
    </row>
    <row r="254" spans="1:4" x14ac:dyDescent="0.2">
      <c r="A254" s="345">
        <v>35246</v>
      </c>
      <c r="B254" s="73"/>
      <c r="C254" s="25"/>
      <c r="D254" s="73"/>
    </row>
    <row r="255" spans="1:4" x14ac:dyDescent="0.2">
      <c r="A255" s="345">
        <v>35277</v>
      </c>
      <c r="B255" s="73"/>
      <c r="C255" s="25"/>
      <c r="D255" s="73"/>
    </row>
    <row r="256" spans="1:4" x14ac:dyDescent="0.2">
      <c r="A256" s="345">
        <v>35308</v>
      </c>
      <c r="B256" s="73"/>
      <c r="C256" s="25"/>
      <c r="D256" s="73"/>
    </row>
    <row r="257" spans="1:4" x14ac:dyDescent="0.2">
      <c r="A257" s="345">
        <v>35338</v>
      </c>
      <c r="B257" s="73"/>
      <c r="C257" s="25"/>
      <c r="D257" s="73"/>
    </row>
    <row r="258" spans="1:4" x14ac:dyDescent="0.2">
      <c r="A258" s="345">
        <v>35369</v>
      </c>
      <c r="B258" s="73"/>
      <c r="C258" s="25"/>
      <c r="D258" s="73"/>
    </row>
    <row r="259" spans="1:4" x14ac:dyDescent="0.2">
      <c r="A259" s="345">
        <v>35399</v>
      </c>
      <c r="B259" s="73"/>
      <c r="C259" s="25"/>
      <c r="D259" s="73"/>
    </row>
    <row r="260" spans="1:4" x14ac:dyDescent="0.2">
      <c r="A260" s="345">
        <v>35430</v>
      </c>
      <c r="B260" s="73"/>
      <c r="C260" s="25"/>
      <c r="D260" s="73"/>
    </row>
    <row r="261" spans="1:4" x14ac:dyDescent="0.2">
      <c r="A261" s="345">
        <v>35461</v>
      </c>
      <c r="B261" s="73"/>
      <c r="C261" s="25"/>
      <c r="D261" s="73"/>
    </row>
    <row r="262" spans="1:4" x14ac:dyDescent="0.2">
      <c r="A262" s="345">
        <v>35489</v>
      </c>
      <c r="B262" s="73"/>
      <c r="C262" s="25"/>
      <c r="D262" s="73"/>
    </row>
    <row r="263" spans="1:4" x14ac:dyDescent="0.2">
      <c r="A263" s="345">
        <v>35520</v>
      </c>
      <c r="B263" s="73"/>
      <c r="C263" s="25"/>
      <c r="D263" s="73"/>
    </row>
    <row r="264" spans="1:4" x14ac:dyDescent="0.2">
      <c r="A264" s="345">
        <v>35550</v>
      </c>
      <c r="B264" s="73"/>
      <c r="C264" s="25"/>
      <c r="D264" s="73"/>
    </row>
    <row r="265" spans="1:4" x14ac:dyDescent="0.2">
      <c r="A265" s="345">
        <v>35581</v>
      </c>
      <c r="B265" s="73"/>
      <c r="C265" s="25"/>
      <c r="D265" s="73"/>
    </row>
    <row r="266" spans="1:4" x14ac:dyDescent="0.2">
      <c r="A266" s="345">
        <v>35611</v>
      </c>
      <c r="B266" s="73"/>
      <c r="C266" s="25"/>
      <c r="D266" s="73"/>
    </row>
    <row r="267" spans="1:4" x14ac:dyDescent="0.2">
      <c r="A267" s="345">
        <v>35642</v>
      </c>
      <c r="B267" s="73"/>
      <c r="C267" s="25"/>
      <c r="D267" s="73"/>
    </row>
    <row r="268" spans="1:4" x14ac:dyDescent="0.2">
      <c r="A268" s="345">
        <v>35673</v>
      </c>
      <c r="B268" s="73"/>
      <c r="C268" s="25"/>
      <c r="D268" s="73"/>
    </row>
    <row r="269" spans="1:4" x14ac:dyDescent="0.2">
      <c r="A269" s="345">
        <v>35703</v>
      </c>
      <c r="B269" s="73"/>
      <c r="C269" s="25"/>
      <c r="D269" s="73"/>
    </row>
    <row r="270" spans="1:4" x14ac:dyDescent="0.2">
      <c r="A270" s="345">
        <v>35734</v>
      </c>
      <c r="B270" s="73"/>
      <c r="C270" s="25"/>
      <c r="D270" s="73"/>
    </row>
    <row r="271" spans="1:4" x14ac:dyDescent="0.2">
      <c r="A271" s="345">
        <v>35764</v>
      </c>
      <c r="B271" s="73"/>
      <c r="C271" s="25"/>
      <c r="D271" s="73"/>
    </row>
    <row r="272" spans="1:4" x14ac:dyDescent="0.2">
      <c r="A272" s="345">
        <v>35795</v>
      </c>
      <c r="B272" s="73"/>
      <c r="C272" s="25"/>
      <c r="D272" s="73"/>
    </row>
    <row r="273" spans="1:4" x14ac:dyDescent="0.2">
      <c r="A273" s="345">
        <v>35826</v>
      </c>
      <c r="B273" s="73"/>
      <c r="C273" s="25"/>
      <c r="D273" s="73"/>
    </row>
    <row r="274" spans="1:4" x14ac:dyDescent="0.2">
      <c r="A274" s="345">
        <v>35854</v>
      </c>
      <c r="B274" s="78"/>
      <c r="C274" s="32"/>
      <c r="D274" s="73"/>
    </row>
    <row r="275" spans="1:4" x14ac:dyDescent="0.2">
      <c r="A275" s="345">
        <v>35885</v>
      </c>
      <c r="B275" s="78"/>
      <c r="C275" s="32"/>
      <c r="D275" s="73"/>
    </row>
    <row r="276" spans="1:4" x14ac:dyDescent="0.2">
      <c r="A276" s="345">
        <v>35915</v>
      </c>
      <c r="B276" s="78"/>
      <c r="C276" s="32"/>
      <c r="D276" s="73"/>
    </row>
    <row r="277" spans="1:4" x14ac:dyDescent="0.2">
      <c r="A277" s="345">
        <v>35946</v>
      </c>
      <c r="B277" s="78"/>
      <c r="C277" s="32"/>
      <c r="D277" s="73"/>
    </row>
    <row r="278" spans="1:4" x14ac:dyDescent="0.2">
      <c r="A278" s="345">
        <v>35976</v>
      </c>
      <c r="B278" s="78"/>
      <c r="C278" s="32"/>
      <c r="D278" s="73"/>
    </row>
    <row r="279" spans="1:4" x14ac:dyDescent="0.2">
      <c r="A279" s="345">
        <v>36007</v>
      </c>
      <c r="B279" s="78"/>
      <c r="C279" s="32"/>
      <c r="D279" s="73"/>
    </row>
    <row r="280" spans="1:4" x14ac:dyDescent="0.2">
      <c r="A280" s="345">
        <v>36038</v>
      </c>
      <c r="B280" s="78"/>
      <c r="C280" s="32"/>
      <c r="D280" s="73"/>
    </row>
    <row r="281" spans="1:4" x14ac:dyDescent="0.2">
      <c r="A281" s="345">
        <v>36068</v>
      </c>
      <c r="B281" s="78"/>
      <c r="C281" s="32"/>
      <c r="D281" s="73"/>
    </row>
    <row r="282" spans="1:4" x14ac:dyDescent="0.2">
      <c r="A282" s="345">
        <v>36099</v>
      </c>
      <c r="B282" s="78"/>
      <c r="C282" s="32"/>
      <c r="D282" s="73"/>
    </row>
    <row r="283" spans="1:4" x14ac:dyDescent="0.2">
      <c r="A283" s="345">
        <v>36129</v>
      </c>
      <c r="B283" s="78"/>
      <c r="C283" s="32"/>
      <c r="D283" s="73"/>
    </row>
    <row r="284" spans="1:4" x14ac:dyDescent="0.2">
      <c r="A284" s="345">
        <v>36160</v>
      </c>
      <c r="B284" s="78"/>
      <c r="C284" s="32"/>
      <c r="D284" s="73"/>
    </row>
    <row r="285" spans="1:4" x14ac:dyDescent="0.2">
      <c r="A285" s="345">
        <v>36191</v>
      </c>
      <c r="B285" s="78"/>
      <c r="C285" s="32"/>
      <c r="D285" s="73"/>
    </row>
    <row r="286" spans="1:4" x14ac:dyDescent="0.2">
      <c r="A286" s="345">
        <v>36219</v>
      </c>
      <c r="B286" s="78"/>
      <c r="C286" s="32"/>
      <c r="D286" s="73"/>
    </row>
    <row r="287" spans="1:4" x14ac:dyDescent="0.2">
      <c r="A287" s="345">
        <v>36250</v>
      </c>
      <c r="B287" s="78"/>
      <c r="C287" s="32"/>
      <c r="D287" s="73"/>
    </row>
    <row r="288" spans="1:4" x14ac:dyDescent="0.2">
      <c r="A288" s="345">
        <v>36280</v>
      </c>
      <c r="B288" s="78"/>
      <c r="C288" s="32"/>
      <c r="D288" s="73"/>
    </row>
    <row r="289" spans="1:4" x14ac:dyDescent="0.2">
      <c r="A289" s="345">
        <v>36311</v>
      </c>
      <c r="B289" s="78"/>
      <c r="C289" s="32"/>
      <c r="D289" s="73"/>
    </row>
    <row r="290" spans="1:4" x14ac:dyDescent="0.2">
      <c r="A290" s="345">
        <v>36341</v>
      </c>
      <c r="B290" s="78"/>
      <c r="C290" s="32"/>
      <c r="D290" s="73"/>
    </row>
    <row r="291" spans="1:4" x14ac:dyDescent="0.2">
      <c r="A291" s="345">
        <v>36372</v>
      </c>
      <c r="B291" s="78"/>
      <c r="C291" s="32"/>
      <c r="D291" s="73"/>
    </row>
    <row r="292" spans="1:4" x14ac:dyDescent="0.2">
      <c r="A292" s="345">
        <v>36403</v>
      </c>
      <c r="B292" s="78"/>
      <c r="C292" s="32"/>
      <c r="D292" s="73"/>
    </row>
    <row r="293" spans="1:4" x14ac:dyDescent="0.2">
      <c r="A293" s="345">
        <v>36433</v>
      </c>
      <c r="B293" s="78"/>
      <c r="C293" s="32"/>
      <c r="D293" s="73"/>
    </row>
    <row r="294" spans="1:4" x14ac:dyDescent="0.2">
      <c r="A294" s="345">
        <v>36464</v>
      </c>
      <c r="B294" s="78"/>
      <c r="C294" s="32"/>
      <c r="D294" s="73"/>
    </row>
    <row r="295" spans="1:4" x14ac:dyDescent="0.2">
      <c r="A295" s="345">
        <v>36494</v>
      </c>
      <c r="B295" s="78"/>
      <c r="C295" s="32"/>
      <c r="D295" s="73"/>
    </row>
    <row r="296" spans="1:4" x14ac:dyDescent="0.2">
      <c r="A296" s="345">
        <v>36525</v>
      </c>
      <c r="B296" s="78"/>
      <c r="C296" s="32"/>
      <c r="D296" s="73"/>
    </row>
    <row r="297" spans="1:4" x14ac:dyDescent="0.2">
      <c r="A297" s="345">
        <v>36556</v>
      </c>
      <c r="B297" s="78"/>
      <c r="C297" s="32"/>
      <c r="D297" s="73"/>
    </row>
    <row r="298" spans="1:4" x14ac:dyDescent="0.2">
      <c r="A298" s="345">
        <v>36585</v>
      </c>
      <c r="B298" s="78"/>
      <c r="C298" s="32"/>
      <c r="D298" s="73"/>
    </row>
    <row r="299" spans="1:4" x14ac:dyDescent="0.2">
      <c r="A299" s="345">
        <v>36616</v>
      </c>
      <c r="B299" s="78"/>
      <c r="C299" s="32"/>
      <c r="D299" s="73"/>
    </row>
    <row r="300" spans="1:4" x14ac:dyDescent="0.2">
      <c r="A300" s="345">
        <v>36646</v>
      </c>
      <c r="B300" s="78"/>
      <c r="C300" s="32"/>
      <c r="D300" s="73"/>
    </row>
    <row r="301" spans="1:4" x14ac:dyDescent="0.2">
      <c r="A301" s="345">
        <v>36677</v>
      </c>
      <c r="B301" s="78"/>
      <c r="C301" s="32"/>
      <c r="D301" s="73"/>
    </row>
    <row r="302" spans="1:4" x14ac:dyDescent="0.2">
      <c r="A302" s="345">
        <v>36707</v>
      </c>
      <c r="B302" s="78"/>
      <c r="C302" s="32"/>
      <c r="D302" s="73"/>
    </row>
    <row r="303" spans="1:4" x14ac:dyDescent="0.2">
      <c r="A303" s="345">
        <v>36738</v>
      </c>
      <c r="B303" s="78"/>
      <c r="C303" s="32"/>
      <c r="D303" s="73"/>
    </row>
    <row r="304" spans="1:4" x14ac:dyDescent="0.2">
      <c r="A304" s="345">
        <v>36769</v>
      </c>
      <c r="B304" s="78"/>
      <c r="C304" s="32"/>
      <c r="D304" s="73"/>
    </row>
    <row r="305" spans="1:4" x14ac:dyDescent="0.2">
      <c r="A305" s="345">
        <v>36799</v>
      </c>
      <c r="B305" s="78"/>
      <c r="C305" s="32"/>
      <c r="D305" s="73"/>
    </row>
    <row r="306" spans="1:4" x14ac:dyDescent="0.2">
      <c r="A306" s="345">
        <v>36830</v>
      </c>
      <c r="B306" s="78"/>
      <c r="C306" s="32"/>
      <c r="D306" s="73"/>
    </row>
    <row r="307" spans="1:4" x14ac:dyDescent="0.2">
      <c r="A307" s="345">
        <v>36860</v>
      </c>
      <c r="B307" s="78"/>
      <c r="C307" s="32"/>
      <c r="D307" s="73"/>
    </row>
    <row r="308" spans="1:4" x14ac:dyDescent="0.2">
      <c r="A308" s="345">
        <v>36891</v>
      </c>
      <c r="B308" s="78"/>
      <c r="C308" s="32"/>
      <c r="D308" s="73"/>
    </row>
    <row r="309" spans="1:4" x14ac:dyDescent="0.2">
      <c r="A309" s="345">
        <v>36922</v>
      </c>
      <c r="B309" s="78"/>
      <c r="C309" s="32"/>
      <c r="D309" s="73"/>
    </row>
    <row r="310" spans="1:4" x14ac:dyDescent="0.2">
      <c r="A310" s="345">
        <v>36950</v>
      </c>
      <c r="B310" s="78"/>
      <c r="C310" s="32"/>
      <c r="D310" s="73"/>
    </row>
    <row r="311" spans="1:4" x14ac:dyDescent="0.2">
      <c r="A311" s="345">
        <v>36981</v>
      </c>
      <c r="B311" s="78"/>
      <c r="C311" s="32"/>
      <c r="D311" s="73"/>
    </row>
    <row r="312" spans="1:4" x14ac:dyDescent="0.2">
      <c r="A312" s="345">
        <v>37011</v>
      </c>
      <c r="B312" s="78"/>
      <c r="C312" s="32"/>
      <c r="D312" s="73"/>
    </row>
    <row r="313" spans="1:4" x14ac:dyDescent="0.2">
      <c r="A313" s="345">
        <v>37042</v>
      </c>
      <c r="B313" s="78"/>
      <c r="C313" s="32"/>
      <c r="D313" s="73"/>
    </row>
    <row r="314" spans="1:4" x14ac:dyDescent="0.2">
      <c r="A314" s="345">
        <v>37072</v>
      </c>
      <c r="B314" s="78"/>
      <c r="C314" s="32"/>
      <c r="D314" s="73"/>
    </row>
    <row r="315" spans="1:4" x14ac:dyDescent="0.2">
      <c r="A315" s="345">
        <v>37103</v>
      </c>
      <c r="B315" s="78"/>
      <c r="C315" s="32"/>
      <c r="D315" s="73"/>
    </row>
    <row r="316" spans="1:4" x14ac:dyDescent="0.2">
      <c r="A316" s="345">
        <v>37134</v>
      </c>
      <c r="B316" s="78"/>
      <c r="C316" s="32"/>
      <c r="D316" s="73"/>
    </row>
    <row r="317" spans="1:4" x14ac:dyDescent="0.2">
      <c r="A317" s="345">
        <v>37164</v>
      </c>
      <c r="B317" s="78"/>
      <c r="C317" s="32"/>
      <c r="D317" s="73"/>
    </row>
    <row r="318" spans="1:4" x14ac:dyDescent="0.2">
      <c r="A318" s="345">
        <v>37195</v>
      </c>
      <c r="B318" s="78"/>
      <c r="C318" s="32"/>
      <c r="D318" s="73"/>
    </row>
    <row r="319" spans="1:4" x14ac:dyDescent="0.2">
      <c r="A319" s="345">
        <v>37225</v>
      </c>
      <c r="B319" s="78"/>
      <c r="C319" s="32"/>
      <c r="D319" s="73"/>
    </row>
    <row r="320" spans="1:4" x14ac:dyDescent="0.2">
      <c r="A320" s="345">
        <v>37256</v>
      </c>
      <c r="B320" s="78"/>
      <c r="C320" s="32"/>
      <c r="D320" s="73"/>
    </row>
    <row r="321" spans="1:5" x14ac:dyDescent="0.2">
      <c r="A321" s="345">
        <v>37287</v>
      </c>
      <c r="B321" s="78"/>
      <c r="C321" s="32"/>
      <c r="D321" s="73"/>
    </row>
    <row r="322" spans="1:5" x14ac:dyDescent="0.2">
      <c r="A322" s="345">
        <v>37315</v>
      </c>
      <c r="B322" s="78"/>
      <c r="C322" s="32"/>
      <c r="D322" s="73"/>
    </row>
    <row r="323" spans="1:5" x14ac:dyDescent="0.2">
      <c r="A323" s="345">
        <v>37346</v>
      </c>
      <c r="B323" s="78"/>
      <c r="C323" s="32"/>
      <c r="D323" s="73"/>
    </row>
    <row r="324" spans="1:5" x14ac:dyDescent="0.2">
      <c r="A324" s="345">
        <v>37376</v>
      </c>
      <c r="B324" s="78"/>
      <c r="C324" s="32"/>
      <c r="D324" s="73"/>
    </row>
    <row r="325" spans="1:5" x14ac:dyDescent="0.2">
      <c r="A325" s="345">
        <v>37407</v>
      </c>
      <c r="B325" s="78"/>
      <c r="C325" s="32"/>
      <c r="D325" s="73"/>
    </row>
    <row r="326" spans="1:5" x14ac:dyDescent="0.2">
      <c r="A326" s="345">
        <v>37437</v>
      </c>
      <c r="B326" s="253"/>
      <c r="C326" s="33"/>
      <c r="D326" s="255"/>
    </row>
    <row r="327" spans="1:5" x14ac:dyDescent="0.2">
      <c r="A327" s="345">
        <v>37468</v>
      </c>
      <c r="B327" s="1369">
        <v>-10.36</v>
      </c>
      <c r="C327" s="33">
        <v>226099277.41</v>
      </c>
      <c r="D327" s="255"/>
      <c r="E327" s="14">
        <f>B327-Index_Returns!G327</f>
        <v>9.9999999999997868E-3</v>
      </c>
    </row>
    <row r="328" spans="1:5" x14ac:dyDescent="0.2">
      <c r="A328" s="345">
        <v>37499</v>
      </c>
      <c r="B328" s="1369">
        <v>0.78</v>
      </c>
      <c r="C328" s="33">
        <v>227869665.12</v>
      </c>
      <c r="D328" s="255"/>
      <c r="E328" s="14">
        <f>B328-Index_Returns!G328</f>
        <v>-9.5999999999999974E-2</v>
      </c>
    </row>
    <row r="329" spans="1:5" x14ac:dyDescent="0.2">
      <c r="A329" s="345">
        <v>37529</v>
      </c>
      <c r="B329" s="1369">
        <v>-9.7200000000000006</v>
      </c>
      <c r="C329" s="33">
        <v>205719046.15000001</v>
      </c>
      <c r="D329" s="255"/>
      <c r="E329" s="14">
        <f>B329-Index_Returns!G329</f>
        <v>0.11500000000000021</v>
      </c>
    </row>
    <row r="330" spans="1:5" x14ac:dyDescent="0.2">
      <c r="A330" s="345">
        <v>37560</v>
      </c>
      <c r="B330" s="1369">
        <v>4.01</v>
      </c>
      <c r="C330" s="33">
        <v>213976061.80000001</v>
      </c>
      <c r="D330" s="255"/>
      <c r="E330" s="14">
        <f>B330-Index_Returns!G330</f>
        <v>1.2999999999999901E-2</v>
      </c>
    </row>
    <row r="331" spans="1:5" x14ac:dyDescent="0.2">
      <c r="A331" s="345">
        <v>37590</v>
      </c>
      <c r="B331" s="1369">
        <v>6.38</v>
      </c>
      <c r="C331" s="33">
        <v>227624321.75999999</v>
      </c>
      <c r="D331" s="255"/>
      <c r="E331" s="14">
        <f>B331-Index_Returns!G331</f>
        <v>-3.6000000000000476E-2</v>
      </c>
    </row>
    <row r="332" spans="1:5" x14ac:dyDescent="0.2">
      <c r="A332" s="345">
        <v>37621</v>
      </c>
      <c r="B332" s="1369">
        <v>-3.73</v>
      </c>
      <c r="C332" s="33">
        <v>219140480.87</v>
      </c>
      <c r="D332" s="255"/>
      <c r="E332" s="14">
        <f>B332-Index_Returns!G332</f>
        <v>-2.0000000000000018E-2</v>
      </c>
    </row>
    <row r="333" spans="1:5" x14ac:dyDescent="0.2">
      <c r="A333" s="345">
        <v>37652</v>
      </c>
      <c r="B333" s="1369">
        <v>-3.43</v>
      </c>
      <c r="C333" s="33">
        <v>211628374.15000001</v>
      </c>
      <c r="D333" s="255"/>
      <c r="E333" s="14">
        <f>B333-Index_Returns!G333</f>
        <v>2.9999999999999805E-2</v>
      </c>
    </row>
    <row r="334" spans="1:5" x14ac:dyDescent="0.2">
      <c r="A334" s="345">
        <v>37680</v>
      </c>
      <c r="B334" s="1369">
        <v>-2.13</v>
      </c>
      <c r="C334" s="33">
        <v>207111811.80000001</v>
      </c>
      <c r="D334" s="255"/>
      <c r="E334" s="14">
        <f>B334-Index_Returns!G334</f>
        <v>-2.0000000000000018E-2</v>
      </c>
    </row>
    <row r="335" spans="1:5" x14ac:dyDescent="0.2">
      <c r="A335" s="345">
        <v>37711</v>
      </c>
      <c r="B335" s="1369">
        <v>-0.3</v>
      </c>
      <c r="C335" s="33">
        <v>206499013.99000001</v>
      </c>
      <c r="D335" s="255"/>
      <c r="E335" s="14">
        <f>B335-Index_Returns!G335</f>
        <v>2.0000000000000018E-2</v>
      </c>
    </row>
    <row r="336" spans="1:5" x14ac:dyDescent="0.2">
      <c r="A336" s="345">
        <v>37741</v>
      </c>
      <c r="B336" s="1369">
        <v>8.15</v>
      </c>
      <c r="C336" s="33">
        <v>223319300.02000001</v>
      </c>
      <c r="D336" s="255"/>
      <c r="E336" s="14">
        <f>B336-Index_Returns!G336</f>
        <v>3.0000000000001137E-2</v>
      </c>
    </row>
    <row r="337" spans="1:5" x14ac:dyDescent="0.2">
      <c r="A337" s="345">
        <v>37772</v>
      </c>
      <c r="B337" s="1369">
        <v>9.75</v>
      </c>
      <c r="C337" s="33">
        <v>245002183.31999999</v>
      </c>
      <c r="D337" s="255"/>
      <c r="E337" s="14">
        <f>B337-Index_Returns!G337</f>
        <v>-1.9999999999999574E-2</v>
      </c>
    </row>
    <row r="338" spans="1:5" x14ac:dyDescent="0.2">
      <c r="A338" s="345">
        <v>37802</v>
      </c>
      <c r="B338" s="1369">
        <v>0.46</v>
      </c>
      <c r="C338" s="33">
        <v>246250663.11000001</v>
      </c>
      <c r="D338" s="255"/>
      <c r="E338" s="14">
        <f>B338-Index_Returns!G338</f>
        <v>4.0000000000000036E-2</v>
      </c>
    </row>
    <row r="339" spans="1:5" x14ac:dyDescent="0.2">
      <c r="A339" s="345">
        <v>37833</v>
      </c>
      <c r="B339" s="1369">
        <v>3.06</v>
      </c>
      <c r="C339" s="33">
        <v>253767601.21000001</v>
      </c>
      <c r="D339" s="255"/>
      <c r="E339" s="14">
        <f>B339-Index_Returns!G339</f>
        <v>5.0000000000000266E-2</v>
      </c>
    </row>
    <row r="340" spans="1:5" x14ac:dyDescent="0.2">
      <c r="A340" s="345">
        <v>37864</v>
      </c>
      <c r="B340" s="1369">
        <v>5.04</v>
      </c>
      <c r="C340" s="33">
        <v>266561926.63999999</v>
      </c>
      <c r="D340" s="255"/>
      <c r="E340" s="14">
        <f>B340-Index_Returns!G340</f>
        <v>-5.9999999999999609E-2</v>
      </c>
    </row>
    <row r="341" spans="1:5" x14ac:dyDescent="0.2">
      <c r="A341" s="345">
        <v>37894</v>
      </c>
      <c r="B341" s="1369">
        <v>-0.98</v>
      </c>
      <c r="C341" s="34">
        <v>263965474.84999999</v>
      </c>
      <c r="D341" s="255"/>
      <c r="E341" s="14">
        <f>B341-Index_Returns!G341</f>
        <v>0</v>
      </c>
    </row>
    <row r="342" spans="1:5" x14ac:dyDescent="0.2">
      <c r="A342" s="345">
        <v>37925</v>
      </c>
      <c r="B342" s="1369">
        <v>8.14</v>
      </c>
      <c r="C342" s="34">
        <v>285455381.56999999</v>
      </c>
      <c r="D342" s="255"/>
      <c r="E342" s="14">
        <f>B342-Index_Returns!G342</f>
        <v>-4.9999999999998934E-2</v>
      </c>
    </row>
    <row r="343" spans="1:5" x14ac:dyDescent="0.2">
      <c r="A343" s="345">
        <v>37955</v>
      </c>
      <c r="B343" s="1369">
        <v>3.94</v>
      </c>
      <c r="C343" s="34">
        <v>296697700.42000002</v>
      </c>
      <c r="D343" s="255"/>
      <c r="E343" s="14">
        <f>B343-Index_Returns!G343</f>
        <v>-1.0000000000000231E-2</v>
      </c>
    </row>
    <row r="344" spans="1:5" x14ac:dyDescent="0.2">
      <c r="A344" s="345">
        <v>37986</v>
      </c>
      <c r="B344" s="1369">
        <v>3.63</v>
      </c>
      <c r="C344" s="34">
        <v>229977636.68000001</v>
      </c>
      <c r="D344" s="255"/>
      <c r="E344" s="14">
        <f>B344-Index_Returns!G344</f>
        <v>4.0000000000000036E-2</v>
      </c>
    </row>
    <row r="345" spans="1:5" x14ac:dyDescent="0.2">
      <c r="A345" s="345">
        <v>38017</v>
      </c>
      <c r="B345" s="1369">
        <v>2.58</v>
      </c>
      <c r="C345" s="34">
        <v>235915024.34</v>
      </c>
      <c r="D345" s="255"/>
      <c r="E345" s="14">
        <f>B345-Index_Returns!G345</f>
        <v>-4.0000000000000036E-2</v>
      </c>
    </row>
    <row r="346" spans="1:5" x14ac:dyDescent="0.2">
      <c r="A346" s="345">
        <v>38046</v>
      </c>
      <c r="B346" s="1369">
        <v>2.61</v>
      </c>
      <c r="C346" s="34">
        <v>242076493.75</v>
      </c>
      <c r="D346" s="255"/>
      <c r="E346" s="14">
        <f>B346-Index_Returns!G346</f>
        <v>-4.0000000000000036E-2</v>
      </c>
    </row>
    <row r="347" spans="1:5" x14ac:dyDescent="0.2">
      <c r="A347" s="345">
        <v>38077</v>
      </c>
      <c r="B347" s="1369">
        <v>0.13</v>
      </c>
      <c r="C347" s="34">
        <v>242385989.88999999</v>
      </c>
      <c r="D347" s="255"/>
      <c r="E347" s="14">
        <f>B347-Index_Returns!G347</f>
        <v>-4.9999999999999989E-2</v>
      </c>
    </row>
    <row r="348" spans="1:5" x14ac:dyDescent="0.2">
      <c r="A348" s="345">
        <v>38107</v>
      </c>
      <c r="B348" s="1369">
        <v>-3.9</v>
      </c>
      <c r="C348" s="34">
        <v>232921856.37</v>
      </c>
      <c r="D348" s="253"/>
      <c r="E348" s="14">
        <f>B348-Index_Returns!G348</f>
        <v>-2.9999999999999805E-2</v>
      </c>
    </row>
    <row r="349" spans="1:5" x14ac:dyDescent="0.2">
      <c r="A349" s="345">
        <v>38138</v>
      </c>
      <c r="B349" s="1369">
        <v>2.11</v>
      </c>
      <c r="C349" s="34">
        <v>237841425.91999999</v>
      </c>
      <c r="D349" s="253"/>
      <c r="E349" s="14">
        <f>B349-Index_Returns!G349</f>
        <v>2.0000000000000018E-2</v>
      </c>
    </row>
    <row r="350" spans="1:5" x14ac:dyDescent="0.2">
      <c r="A350" s="345">
        <v>38168</v>
      </c>
      <c r="B350" s="1369">
        <v>3.1</v>
      </c>
      <c r="C350" s="34">
        <v>245213463.81</v>
      </c>
      <c r="D350" s="253"/>
      <c r="E350" s="14">
        <f>B350-Index_Returns!G350</f>
        <v>-9.9999999999997868E-3</v>
      </c>
    </row>
    <row r="351" spans="1:5" x14ac:dyDescent="0.2">
      <c r="A351" s="345">
        <v>38199</v>
      </c>
      <c r="B351" s="1369">
        <v>-4.34</v>
      </c>
      <c r="C351" s="34">
        <v>234582107.30000001</v>
      </c>
      <c r="D351" s="253"/>
      <c r="E351" s="14">
        <f>B351-Index_Returns!G351</f>
        <v>0</v>
      </c>
    </row>
    <row r="352" spans="1:5" x14ac:dyDescent="0.2">
      <c r="A352" s="345">
        <v>38230</v>
      </c>
      <c r="B352" s="1369">
        <v>0.66</v>
      </c>
      <c r="C352" s="34">
        <v>236131137.63999999</v>
      </c>
      <c r="D352" s="253"/>
      <c r="E352" s="14">
        <f>B352-Index_Returns!G352</f>
        <v>-3.9999999999999925E-2</v>
      </c>
    </row>
    <row r="353" spans="1:5" x14ac:dyDescent="0.2">
      <c r="A353" s="345">
        <v>38260</v>
      </c>
      <c r="B353" s="1369">
        <v>3</v>
      </c>
      <c r="C353" s="34">
        <v>243213670.99000001</v>
      </c>
      <c r="D353" s="253"/>
      <c r="E353" s="14">
        <f>B353-Index_Returns!G353</f>
        <v>0</v>
      </c>
    </row>
    <row r="354" spans="1:5" x14ac:dyDescent="0.2">
      <c r="A354" s="345">
        <v>38291</v>
      </c>
      <c r="B354" s="1369">
        <v>0.84</v>
      </c>
      <c r="C354" s="34">
        <v>245256646.28</v>
      </c>
      <c r="D354" s="253"/>
      <c r="E354" s="14">
        <f>B354-Index_Returns!G354</f>
        <v>2.0000000000000018E-2</v>
      </c>
    </row>
    <row r="355" spans="1:5" x14ac:dyDescent="0.2">
      <c r="A355" s="345">
        <v>38321</v>
      </c>
      <c r="B355" s="1369">
        <v>7.08</v>
      </c>
      <c r="C355" s="34">
        <v>262632667.59999999</v>
      </c>
      <c r="D355" s="253"/>
      <c r="E355" s="14">
        <f>B355-Index_Returns!G355</f>
        <v>-3.1600000000000072E-2</v>
      </c>
    </row>
    <row r="356" spans="1:5" x14ac:dyDescent="0.2">
      <c r="A356" s="345">
        <v>38352</v>
      </c>
      <c r="B356" s="1369">
        <v>3.93</v>
      </c>
      <c r="C356" s="256">
        <v>272957879.86000001</v>
      </c>
      <c r="D356" s="253"/>
      <c r="E356" s="14">
        <f>B356-Index_Returns!G356</f>
        <v>-1.2699999999999712E-2</v>
      </c>
    </row>
    <row r="357" spans="1:5" x14ac:dyDescent="0.2">
      <c r="A357" s="345">
        <v>38383</v>
      </c>
      <c r="B357" s="1369">
        <v>-2.75</v>
      </c>
      <c r="C357" s="34">
        <v>265458907.72999999</v>
      </c>
      <c r="D357" s="253"/>
      <c r="E357" s="14">
        <f>B357-Index_Returns!G357</f>
        <v>1.880000000000015E-2</v>
      </c>
    </row>
    <row r="358" spans="1:5" x14ac:dyDescent="0.2">
      <c r="A358" s="345">
        <v>38411</v>
      </c>
      <c r="B358" s="1369">
        <v>3.14</v>
      </c>
      <c r="C358" s="34">
        <v>273791933.81</v>
      </c>
      <c r="D358" s="253"/>
      <c r="E358" s="14">
        <f>B358-Index_Returns!G358</f>
        <v>1.5500000000000291E-2</v>
      </c>
    </row>
    <row r="359" spans="1:5" x14ac:dyDescent="0.2">
      <c r="A359" s="345">
        <v>38442</v>
      </c>
      <c r="B359" s="1369">
        <v>-0.99</v>
      </c>
      <c r="C359" s="256">
        <v>271097021.19999999</v>
      </c>
      <c r="D359" s="253"/>
      <c r="E359" s="14">
        <f>B359-Index_Returns!G359</f>
        <v>-1.8000000000000016E-2</v>
      </c>
    </row>
    <row r="360" spans="1:5" x14ac:dyDescent="0.2">
      <c r="A360" s="345">
        <v>38472</v>
      </c>
      <c r="B360" s="1369">
        <v>-3.72</v>
      </c>
      <c r="C360" s="256">
        <v>260999597.34</v>
      </c>
      <c r="D360" s="253"/>
      <c r="E360" s="14">
        <f>B360-Index_Returns!G360</f>
        <v>3.2599999999999962E-2</v>
      </c>
    </row>
    <row r="361" spans="1:5" x14ac:dyDescent="0.2">
      <c r="A361" s="345">
        <v>38503</v>
      </c>
      <c r="B361" s="1369">
        <v>5.96</v>
      </c>
      <c r="C361" s="256">
        <v>276543926.36000001</v>
      </c>
      <c r="D361" s="253"/>
      <c r="E361" s="14">
        <f>B361-Index_Returns!G361</f>
        <v>8.799999999999919E-3</v>
      </c>
    </row>
    <row r="362" spans="1:5" x14ac:dyDescent="0.2">
      <c r="A362" s="345">
        <v>38533</v>
      </c>
      <c r="B362" s="1369">
        <v>3.01</v>
      </c>
      <c r="C362" s="256">
        <v>284860817.19</v>
      </c>
      <c r="D362" s="253"/>
      <c r="E362" s="14">
        <f>B362-Index_Returns!G362</f>
        <v>0.17839999999999989</v>
      </c>
    </row>
    <row r="363" spans="1:5" x14ac:dyDescent="0.2">
      <c r="A363" s="345">
        <v>38564</v>
      </c>
      <c r="B363" s="1369">
        <v>5.62</v>
      </c>
      <c r="C363" s="256">
        <v>300876410.57999998</v>
      </c>
      <c r="D363" s="253"/>
      <c r="E363" s="14">
        <f>B363-Index_Returns!G363</f>
        <v>-2.6000000000001577E-3</v>
      </c>
    </row>
    <row r="364" spans="1:5" x14ac:dyDescent="0.2">
      <c r="A364" s="345">
        <v>38595</v>
      </c>
      <c r="B364" s="1369">
        <v>-1.1599999999999999</v>
      </c>
      <c r="C364" s="256">
        <v>297396367.19</v>
      </c>
      <c r="D364" s="253"/>
      <c r="E364" s="14">
        <f>B364-Index_Returns!G364</f>
        <v>-2.849999999999997E-2</v>
      </c>
    </row>
    <row r="365" spans="1:5" x14ac:dyDescent="0.2">
      <c r="A365" s="345">
        <v>38625</v>
      </c>
      <c r="B365" s="1369">
        <v>0.86</v>
      </c>
      <c r="C365" s="256">
        <v>299964236.75</v>
      </c>
      <c r="D365" s="253"/>
      <c r="E365" s="14">
        <f>B365-Index_Returns!G365</f>
        <v>-8.120000000000005E-2</v>
      </c>
    </row>
    <row r="366" spans="1:5" x14ac:dyDescent="0.2">
      <c r="A366" s="345">
        <v>38656</v>
      </c>
      <c r="B366" s="1369">
        <v>-2.96</v>
      </c>
      <c r="C366" s="256">
        <v>291072308.08999997</v>
      </c>
      <c r="D366" s="253"/>
      <c r="E366" s="14">
        <f>B366-Index_Returns!G366</f>
        <v>-3.1299999999999883E-2</v>
      </c>
    </row>
    <row r="367" spans="1:5" x14ac:dyDescent="0.2">
      <c r="A367" s="345">
        <v>38686</v>
      </c>
      <c r="B367" s="1369">
        <v>4.1500000000000004</v>
      </c>
      <c r="C367" s="256">
        <v>276601627.57999998</v>
      </c>
      <c r="D367" s="253"/>
      <c r="E367" s="14">
        <f>B367-Index_Returns!G367</f>
        <v>1.3800000000000701E-2</v>
      </c>
    </row>
    <row r="368" spans="1:5" x14ac:dyDescent="0.2">
      <c r="A368" s="345">
        <v>38717</v>
      </c>
      <c r="B368" s="1369">
        <v>0.46</v>
      </c>
      <c r="C368" s="256">
        <v>277890435.42000002</v>
      </c>
      <c r="D368" s="253"/>
      <c r="E368" s="14">
        <f>B368-Index_Returns!G368</f>
        <v>-1.9999999999999962E-2</v>
      </c>
    </row>
    <row r="369" spans="1:6" x14ac:dyDescent="0.2">
      <c r="A369" s="345">
        <v>38748</v>
      </c>
      <c r="B369" s="1369">
        <v>6.19</v>
      </c>
      <c r="C369" s="256">
        <v>295086725.07999998</v>
      </c>
      <c r="D369" s="253"/>
      <c r="E369" s="14">
        <f>B369-Index_Returns!G369</f>
        <v>-5.0899999999999501E-2</v>
      </c>
    </row>
    <row r="370" spans="1:6" x14ac:dyDescent="0.2">
      <c r="A370" s="345">
        <v>38776</v>
      </c>
      <c r="B370" s="1369">
        <v>-0.01</v>
      </c>
      <c r="C370" s="256">
        <v>295056414.74000001</v>
      </c>
      <c r="D370" s="253"/>
      <c r="E370" s="14">
        <f>B370-Index_Returns!G370</f>
        <v>-1.2200000000000001E-2</v>
      </c>
    </row>
    <row r="371" spans="1:6" x14ac:dyDescent="0.2">
      <c r="A371" s="345">
        <v>38807</v>
      </c>
      <c r="B371" s="1369">
        <v>2.65</v>
      </c>
      <c r="C371" s="33">
        <v>302891148.54000002</v>
      </c>
      <c r="D371" s="253"/>
      <c r="E371" s="14">
        <f>B371-Index_Returns!G371</f>
        <v>-1.330000000000009E-2</v>
      </c>
    </row>
    <row r="372" spans="1:6" x14ac:dyDescent="0.2">
      <c r="A372" s="345">
        <v>38837</v>
      </c>
      <c r="B372" s="1369">
        <v>2.02</v>
      </c>
      <c r="C372" s="33">
        <v>309022114.31999999</v>
      </c>
      <c r="D372" s="253"/>
      <c r="E372" s="14">
        <f>B372-Index_Returns!G372</f>
        <v>-7.8599999999999781E-2</v>
      </c>
    </row>
    <row r="373" spans="1:6" x14ac:dyDescent="0.2">
      <c r="A373" s="345">
        <v>38868</v>
      </c>
      <c r="B373" s="1369">
        <v>-3.99</v>
      </c>
      <c r="C373" s="33">
        <v>296702036.41000003</v>
      </c>
      <c r="D373" s="253"/>
      <c r="E373" s="14">
        <f>B373-Index_Returns!G373</f>
        <v>1.1699999999999378E-2</v>
      </c>
    </row>
    <row r="374" spans="1:6" x14ac:dyDescent="0.2">
      <c r="A374" s="345">
        <v>38898</v>
      </c>
      <c r="B374" s="1369">
        <v>-0.04</v>
      </c>
      <c r="C374" s="354">
        <v>296601594.50999999</v>
      </c>
      <c r="D374" s="253"/>
      <c r="E374" s="14">
        <f>B374-Index_Returns!G374</f>
        <v>-5.7000000000000037E-3</v>
      </c>
    </row>
    <row r="375" spans="1:6" x14ac:dyDescent="0.2">
      <c r="A375" s="345">
        <v>38929</v>
      </c>
      <c r="B375" s="1369">
        <v>-2.27</v>
      </c>
      <c r="C375" s="34">
        <v>289869367.20999998</v>
      </c>
      <c r="D375" s="253"/>
      <c r="E375" s="14">
        <f>B375-Index_Returns!G375</f>
        <v>-3.6300000000000221E-2</v>
      </c>
    </row>
    <row r="376" spans="1:6" x14ac:dyDescent="0.2">
      <c r="A376" s="345">
        <v>38960</v>
      </c>
      <c r="B376" s="1369">
        <v>1.49</v>
      </c>
      <c r="C376" s="34">
        <v>294181604.83999997</v>
      </c>
      <c r="D376" s="253"/>
      <c r="E376" s="14">
        <f>B376-Index_Returns!G376</f>
        <v>5.5000000000000604E-3</v>
      </c>
    </row>
    <row r="377" spans="1:6" x14ac:dyDescent="0.2">
      <c r="A377" s="345">
        <v>38990</v>
      </c>
      <c r="B377" s="1369">
        <v>0.22</v>
      </c>
      <c r="C377" s="34">
        <v>294824792.01999998</v>
      </c>
      <c r="D377" s="253"/>
      <c r="E377" s="14">
        <f>B377-Index_Returns!G377</f>
        <v>7.3999999999999899E-3</v>
      </c>
    </row>
    <row r="378" spans="1:6" x14ac:dyDescent="0.2">
      <c r="A378" s="345">
        <v>39021</v>
      </c>
      <c r="B378" s="1369">
        <v>4.5199999999999996</v>
      </c>
      <c r="C378" s="34">
        <v>308139194.44</v>
      </c>
      <c r="D378" s="253"/>
      <c r="E378" s="14">
        <f>B378-Index_Returns!G378</f>
        <v>2.8999999999994586E-3</v>
      </c>
      <c r="F378" s="352"/>
    </row>
    <row r="379" spans="1:6" x14ac:dyDescent="0.2">
      <c r="A379" s="345">
        <v>39051</v>
      </c>
      <c r="B379" s="1369">
        <v>3.29</v>
      </c>
      <c r="C379" s="34">
        <v>318271299.36000001</v>
      </c>
      <c r="D379" s="253"/>
      <c r="E379" s="14">
        <f>B379-Index_Returns!G379</f>
        <v>0.22699999999999987</v>
      </c>
      <c r="F379" s="352"/>
    </row>
    <row r="380" spans="1:6" x14ac:dyDescent="0.2">
      <c r="A380" s="345">
        <v>39082</v>
      </c>
      <c r="B380" s="1369">
        <v>0.06</v>
      </c>
      <c r="C380" s="34">
        <v>318480305.43000001</v>
      </c>
      <c r="D380" s="253"/>
      <c r="E380" s="14">
        <f>B380-Index_Returns!G380</f>
        <v>-7.9399999999999998E-2</v>
      </c>
      <c r="F380" s="352"/>
    </row>
    <row r="381" spans="1:6" x14ac:dyDescent="0.2">
      <c r="A381" s="345">
        <v>39113</v>
      </c>
      <c r="B381" s="1369">
        <v>3.36</v>
      </c>
      <c r="C381" s="346">
        <v>329187799.89999998</v>
      </c>
      <c r="E381" s="14">
        <f>B381-Index_Returns!G381</f>
        <v>2.929999999999966E-2</v>
      </c>
      <c r="F381" s="352"/>
    </row>
    <row r="382" spans="1:6" x14ac:dyDescent="0.2">
      <c r="A382" s="345">
        <v>39141</v>
      </c>
      <c r="B382" s="1369">
        <v>1.22</v>
      </c>
      <c r="C382" s="346">
        <v>333193086.42000002</v>
      </c>
      <c r="E382" s="14">
        <f>B382-Index_Returns!G382</f>
        <v>1.2799999999999923E-2</v>
      </c>
      <c r="F382" s="352"/>
    </row>
    <row r="383" spans="1:6" x14ac:dyDescent="0.2">
      <c r="A383" s="345">
        <v>39172</v>
      </c>
      <c r="B383" s="1369">
        <v>1.08</v>
      </c>
      <c r="C383" s="346">
        <v>336817076.56999999</v>
      </c>
      <c r="E383" s="14">
        <f>B383-Index_Returns!G383</f>
        <v>3.1900000000000039E-2</v>
      </c>
    </row>
    <row r="384" spans="1:6" x14ac:dyDescent="0.2">
      <c r="A384" s="345">
        <v>39202</v>
      </c>
      <c r="B384" s="1369">
        <v>2.84</v>
      </c>
      <c r="C384" s="346">
        <v>346392851.56</v>
      </c>
      <c r="E384" s="14">
        <f>B384-Index_Returns!G384</f>
        <v>2.1599999999999842E-2</v>
      </c>
    </row>
    <row r="385" spans="1:5" x14ac:dyDescent="0.2">
      <c r="A385" s="345">
        <v>39233</v>
      </c>
      <c r="B385" s="1369">
        <v>4.3099999999999996</v>
      </c>
      <c r="C385" s="346">
        <v>361324510.85000002</v>
      </c>
      <c r="E385" s="14">
        <f>B385-Index_Returns!G385</f>
        <v>-5.5600000000000094E-2</v>
      </c>
    </row>
    <row r="386" spans="1:5" x14ac:dyDescent="0.2">
      <c r="A386" s="345">
        <v>39263</v>
      </c>
      <c r="B386" s="1369">
        <v>-2.64</v>
      </c>
      <c r="C386" s="346">
        <v>351773241.42000002</v>
      </c>
      <c r="E386" s="14">
        <f>B386-Index_Returns!G386</f>
        <v>1.839999999999975E-2</v>
      </c>
    </row>
    <row r="387" spans="1:5" x14ac:dyDescent="0.2">
      <c r="A387" s="345">
        <v>39294</v>
      </c>
      <c r="B387" s="1369">
        <v>-4.82</v>
      </c>
      <c r="C387" s="346">
        <v>334816635.60000002</v>
      </c>
      <c r="E387" s="14">
        <f>B387-Index_Returns!G387</f>
        <v>5.6799999999999962E-2</v>
      </c>
    </row>
    <row r="388" spans="1:5" x14ac:dyDescent="0.2">
      <c r="A388" s="345">
        <v>39325</v>
      </c>
      <c r="B388" s="1369">
        <v>0.81</v>
      </c>
      <c r="C388" s="346">
        <v>337520999.51999998</v>
      </c>
      <c r="E388" s="14">
        <f>B388-Index_Returns!G388</f>
        <v>8.450000000000002E-2</v>
      </c>
    </row>
    <row r="389" spans="1:5" x14ac:dyDescent="0.2">
      <c r="A389" s="345">
        <v>39355</v>
      </c>
      <c r="B389" s="1369">
        <v>1.8</v>
      </c>
      <c r="C389" s="346">
        <v>343597917.44</v>
      </c>
      <c r="E389" s="14">
        <f>B389-Index_Returns!G389</f>
        <v>6.2200000000000033E-2</v>
      </c>
    </row>
    <row r="390" spans="1:5" x14ac:dyDescent="0.2">
      <c r="A390" s="345">
        <v>39386</v>
      </c>
      <c r="B390" s="1369">
        <v>1.71</v>
      </c>
      <c r="C390" s="346">
        <v>349484529.49000001</v>
      </c>
      <c r="E390" s="14">
        <f>B390-Index_Returns!G390</f>
        <v>-1.8399999999999972E-2</v>
      </c>
    </row>
    <row r="391" spans="1:5" x14ac:dyDescent="0.2">
      <c r="A391" s="345">
        <v>39416</v>
      </c>
      <c r="B391" s="1369">
        <v>-5.56</v>
      </c>
      <c r="C391" s="346">
        <v>330053247.72000003</v>
      </c>
      <c r="E391" s="14">
        <f>B391-Index_Returns!G391</f>
        <v>0.17940000000000023</v>
      </c>
    </row>
    <row r="392" spans="1:5" x14ac:dyDescent="0.2">
      <c r="A392" s="345">
        <v>39447</v>
      </c>
      <c r="B392" s="1369">
        <v>-0.55000000000000004</v>
      </c>
      <c r="C392" s="346">
        <v>328238507</v>
      </c>
      <c r="E392" s="14">
        <f>B392-Index_Returns!G392</f>
        <v>-3.620000000000001E-2</v>
      </c>
    </row>
    <row r="393" spans="1:5" x14ac:dyDescent="0.2">
      <c r="A393" s="345">
        <v>39478</v>
      </c>
      <c r="B393" s="1369">
        <v>-5.2</v>
      </c>
      <c r="C393" s="346">
        <v>311167112.33999997</v>
      </c>
      <c r="E393" s="14">
        <f>B393-Index_Returns!G393</f>
        <v>-9.6600000000000463E-2</v>
      </c>
    </row>
    <row r="394" spans="1:5" x14ac:dyDescent="0.2">
      <c r="A394" s="345">
        <v>39507</v>
      </c>
      <c r="B394" s="1369">
        <v>-3.12</v>
      </c>
      <c r="C394" s="346">
        <v>301456938.00999999</v>
      </c>
      <c r="E394" s="14">
        <f>B394-Index_Returns!G394</f>
        <v>9.2999999999999972E-2</v>
      </c>
    </row>
    <row r="395" spans="1:5" x14ac:dyDescent="0.2">
      <c r="A395" s="345">
        <v>39538</v>
      </c>
      <c r="B395" s="1369">
        <v>-0.51</v>
      </c>
      <c r="C395" s="346">
        <v>299913441.08999997</v>
      </c>
      <c r="E395" s="14">
        <f>B395-Index_Returns!G395</f>
        <v>1.8199999999999994E-2</v>
      </c>
    </row>
    <row r="396" spans="1:5" x14ac:dyDescent="0.2">
      <c r="A396" s="345">
        <v>39568</v>
      </c>
      <c r="B396" s="1369">
        <v>7.27</v>
      </c>
      <c r="C396" s="346">
        <v>321719503.75999999</v>
      </c>
      <c r="E396" s="14">
        <f>B396-Index_Returns!G396</f>
        <v>-4.5000000000000817E-2</v>
      </c>
    </row>
    <row r="397" spans="1:5" x14ac:dyDescent="0.2">
      <c r="A397" s="345">
        <v>39599</v>
      </c>
      <c r="B397" s="1369">
        <v>4.66</v>
      </c>
      <c r="C397" s="346">
        <v>336708983.13</v>
      </c>
      <c r="E397" s="14">
        <f>B397-Index_Returns!G397</f>
        <v>3.479999999999972E-2</v>
      </c>
    </row>
    <row r="398" spans="1:5" x14ac:dyDescent="0.2">
      <c r="A398" s="345">
        <v>39629</v>
      </c>
      <c r="B398" s="1369">
        <v>-8.8800000000000008</v>
      </c>
      <c r="C398" s="346">
        <v>306798384.72000003</v>
      </c>
      <c r="E398" s="14">
        <f>B398-Index_Returns!G398</f>
        <v>3.8999999999997925E-3</v>
      </c>
    </row>
    <row r="399" spans="1:5" x14ac:dyDescent="0.2">
      <c r="A399" s="345">
        <v>39660</v>
      </c>
      <c r="B399" s="1369">
        <v>-0.31</v>
      </c>
      <c r="C399" s="33">
        <v>305838264.63999999</v>
      </c>
      <c r="E399" s="14">
        <f>B399-Index_Returns!G399</f>
        <v>2.360000000000001E-2</v>
      </c>
    </row>
    <row r="400" spans="1:5" x14ac:dyDescent="0.2">
      <c r="A400" s="345">
        <v>39691</v>
      </c>
      <c r="B400" s="1369">
        <v>2.08</v>
      </c>
      <c r="C400" s="33">
        <v>312204906.50999999</v>
      </c>
      <c r="E400" s="14">
        <f>B400-Index_Returns!G400</f>
        <v>-1.7100000000000115E-2</v>
      </c>
    </row>
    <row r="401" spans="1:8" x14ac:dyDescent="0.2">
      <c r="A401" s="345">
        <v>39721</v>
      </c>
      <c r="B401" s="1369">
        <v>-8.5</v>
      </c>
      <c r="C401" s="33">
        <v>285670343.13</v>
      </c>
      <c r="E401" s="14">
        <f>B401-Index_Returns!G401</f>
        <v>3.9999999999999147E-2</v>
      </c>
    </row>
    <row r="402" spans="1:8" x14ac:dyDescent="0.2">
      <c r="A402" s="345">
        <v>39752</v>
      </c>
      <c r="B402" s="1369">
        <v>-20.23</v>
      </c>
      <c r="C402" s="346">
        <v>227381289</v>
      </c>
      <c r="E402" s="14">
        <f>B402-Index_Returns!G402</f>
        <v>1.5450999999999979</v>
      </c>
    </row>
    <row r="403" spans="1:8" x14ac:dyDescent="0.2">
      <c r="A403" s="345">
        <v>39782</v>
      </c>
      <c r="B403" s="1369">
        <v>-8.73</v>
      </c>
      <c r="C403" s="346">
        <v>277730950</v>
      </c>
      <c r="E403" s="14">
        <f>B403-Index_Returns!G403</f>
        <v>0.12219999999999942</v>
      </c>
    </row>
    <row r="404" spans="1:8" x14ac:dyDescent="0.2">
      <c r="A404" s="345">
        <v>39813</v>
      </c>
      <c r="B404" s="1369">
        <v>4.87</v>
      </c>
      <c r="C404" s="346">
        <v>291265063</v>
      </c>
      <c r="E404" s="14">
        <f>B404-Index_Returns!G404</f>
        <v>-0.13399999999999945</v>
      </c>
    </row>
    <row r="405" spans="1:8" x14ac:dyDescent="0.2">
      <c r="A405" s="345">
        <v>39844</v>
      </c>
      <c r="B405" s="1369">
        <v>-8.2200000000000006</v>
      </c>
      <c r="C405" s="346">
        <v>287173569.00999999</v>
      </c>
      <c r="D405" s="258">
        <v>-8.2100000000000009</v>
      </c>
      <c r="E405" s="14">
        <f>B405-Index_Returns!G405</f>
        <v>0.3321999999999985</v>
      </c>
    </row>
    <row r="406" spans="1:8" x14ac:dyDescent="0.2">
      <c r="A406" s="345">
        <v>39872</v>
      </c>
      <c r="B406" s="1369">
        <v>-11</v>
      </c>
      <c r="C406" s="346">
        <v>259135933.78999999</v>
      </c>
      <c r="D406" s="258">
        <v>-10.9956</v>
      </c>
      <c r="E406" s="14">
        <f>B406-Index_Returns!G406</f>
        <v>0.30819999999999936</v>
      </c>
    </row>
    <row r="407" spans="1:8" x14ac:dyDescent="0.2">
      <c r="A407" s="345">
        <v>39903</v>
      </c>
      <c r="B407" s="1369">
        <v>8.1300000000000008</v>
      </c>
      <c r="C407" s="346">
        <v>280214288.69</v>
      </c>
      <c r="D407" s="258">
        <v>8.1341000000000001</v>
      </c>
      <c r="E407" s="14">
        <f>B407-Index_Returns!G407</f>
        <v>-0.23609999999999864</v>
      </c>
    </row>
    <row r="408" spans="1:8" x14ac:dyDescent="0.2">
      <c r="A408" s="345">
        <v>39933</v>
      </c>
      <c r="B408" s="1369">
        <v>15.23</v>
      </c>
      <c r="C408" s="346">
        <v>376682538.35000002</v>
      </c>
      <c r="E408" s="14">
        <f>B408-Index_Returns!G408</f>
        <v>-0.49719999999999942</v>
      </c>
    </row>
    <row r="409" spans="1:8" x14ac:dyDescent="0.2">
      <c r="A409" s="345">
        <v>39964</v>
      </c>
      <c r="B409" s="1369">
        <v>2.06</v>
      </c>
      <c r="C409" s="346">
        <v>384474331.63</v>
      </c>
      <c r="E409" s="14">
        <f>B409-Index_Returns!G409</f>
        <v>0.14119999999999999</v>
      </c>
    </row>
    <row r="410" spans="1:8" x14ac:dyDescent="0.2">
      <c r="A410" s="345">
        <v>39994</v>
      </c>
      <c r="B410" s="1369">
        <v>0.67</v>
      </c>
      <c r="C410" s="346">
        <v>387053720.44</v>
      </c>
      <c r="E410" s="14">
        <f>B410-Index_Returns!G410</f>
        <v>-3.8499999999999979E-2</v>
      </c>
    </row>
    <row r="411" spans="1:8" x14ac:dyDescent="0.2">
      <c r="A411" s="345">
        <v>40025</v>
      </c>
      <c r="B411" s="1369">
        <v>9.41</v>
      </c>
      <c r="C411" s="346">
        <v>423468824.75</v>
      </c>
      <c r="D411" s="258">
        <v>9.4057999999999993</v>
      </c>
      <c r="E411" s="14">
        <f>B411-Index_Returns!G411</f>
        <v>1.5600000000000946E-2</v>
      </c>
    </row>
    <row r="412" spans="1:8" x14ac:dyDescent="0.2">
      <c r="A412" s="345">
        <v>40056</v>
      </c>
      <c r="B412" s="1369">
        <v>5.4</v>
      </c>
      <c r="C412" s="346">
        <v>446331975.29000002</v>
      </c>
      <c r="D412" s="258">
        <v>5.399</v>
      </c>
      <c r="E412" s="14">
        <f>B412-Index_Returns!G412</f>
        <v>-2.7999999999999581E-2</v>
      </c>
    </row>
    <row r="413" spans="1:8" x14ac:dyDescent="0.2">
      <c r="A413" s="345">
        <v>40086</v>
      </c>
      <c r="B413" s="1369">
        <v>5.36</v>
      </c>
      <c r="C413" s="346">
        <v>470264839.39999998</v>
      </c>
      <c r="D413" s="258">
        <v>5.3620999999999999</v>
      </c>
      <c r="E413" s="14">
        <f>B413-Index_Returns!G413</f>
        <v>4.4800000000000395E-2</v>
      </c>
    </row>
    <row r="414" spans="1:8" x14ac:dyDescent="0.2">
      <c r="A414" s="345">
        <v>40117</v>
      </c>
      <c r="B414" s="1369">
        <v>-5.46</v>
      </c>
      <c r="C414" s="346">
        <v>483042894</v>
      </c>
      <c r="D414" s="1311">
        <v>-5.4584400000000004</v>
      </c>
      <c r="E414" s="14">
        <f>B414-Index_Returns!G414</f>
        <v>0.19000000000000039</v>
      </c>
      <c r="H414" s="1311"/>
    </row>
    <row r="415" spans="1:8" x14ac:dyDescent="0.2">
      <c r="A415" s="345">
        <v>40147</v>
      </c>
      <c r="B415" s="1369">
        <v>4.47</v>
      </c>
      <c r="C415" s="1333">
        <v>504656087</v>
      </c>
      <c r="D415" s="1311">
        <v>4.47438</v>
      </c>
      <c r="E415" s="14">
        <f>B415-Index_Returns!G415</f>
        <v>0</v>
      </c>
      <c r="H415" s="1311"/>
    </row>
    <row r="416" spans="1:8" x14ac:dyDescent="0.2">
      <c r="A416" s="345">
        <v>40178</v>
      </c>
      <c r="B416" s="1369">
        <v>6.82</v>
      </c>
      <c r="C416" s="346">
        <v>539092507.33000004</v>
      </c>
      <c r="D416" s="258">
        <v>6.8237399999999999</v>
      </c>
      <c r="E416" s="14">
        <f>B416-Index_Returns!G416</f>
        <v>-0.16922000000000015</v>
      </c>
      <c r="H416" s="1311"/>
    </row>
    <row r="417" spans="1:8" x14ac:dyDescent="0.2">
      <c r="A417" s="345">
        <v>40209</v>
      </c>
      <c r="B417" s="253">
        <v>-2.54</v>
      </c>
      <c r="C417" s="346">
        <v>525344629.63</v>
      </c>
      <c r="D417" s="1311">
        <v>-2.5407000000000002</v>
      </c>
      <c r="E417" s="14">
        <f>B417-Index_Returns!G417</f>
        <v>-6.6800000000002413E-3</v>
      </c>
      <c r="H417" s="1311"/>
    </row>
    <row r="418" spans="1:8" x14ac:dyDescent="0.2">
      <c r="A418" s="345">
        <v>40237</v>
      </c>
      <c r="B418" s="253">
        <v>4.87</v>
      </c>
      <c r="C418" s="346">
        <v>550925254.16999996</v>
      </c>
      <c r="D418" s="1311">
        <v>4.86883</v>
      </c>
      <c r="E418" s="14">
        <f>B418-Index_Returns!G418</f>
        <v>1.3580000000000148E-2</v>
      </c>
      <c r="H418" s="1311"/>
    </row>
    <row r="419" spans="1:8" x14ac:dyDescent="0.2">
      <c r="A419" s="345">
        <v>40268</v>
      </c>
      <c r="B419" s="253">
        <v>6.46</v>
      </c>
      <c r="C419" s="1334">
        <v>586556625.42999995</v>
      </c>
      <c r="D419" s="1311">
        <v>6.4576599999999997</v>
      </c>
      <c r="E419" s="14">
        <f>B419-Index_Returns!G419</f>
        <v>3.3430000000000071E-2</v>
      </c>
      <c r="H419" s="1311"/>
    </row>
    <row r="420" spans="1:8" x14ac:dyDescent="0.2">
      <c r="A420" s="345">
        <v>40298</v>
      </c>
      <c r="B420" s="253">
        <v>4.7300000000000004</v>
      </c>
      <c r="C420" s="346">
        <v>613573353.14999998</v>
      </c>
      <c r="D420" s="258">
        <v>4.7254300000000002</v>
      </c>
      <c r="E420" s="14">
        <f>B420-Index_Returns!G420</f>
        <v>-5.4999999999996163E-3</v>
      </c>
      <c r="H420" s="1311"/>
    </row>
    <row r="421" spans="1:8" x14ac:dyDescent="0.2">
      <c r="A421" s="345">
        <v>40329</v>
      </c>
      <c r="B421" s="253">
        <v>-7.65</v>
      </c>
      <c r="C421" s="346">
        <v>566629002.90999997</v>
      </c>
      <c r="D421" s="258">
        <v>-7.6509799999999997</v>
      </c>
      <c r="E421" s="14">
        <f>B421-Index_Returns!G421</f>
        <v>1.7349999999999532E-2</v>
      </c>
      <c r="H421" s="1311"/>
    </row>
    <row r="422" spans="1:8" x14ac:dyDescent="0.2">
      <c r="A422" s="345">
        <v>40359</v>
      </c>
      <c r="B422" s="253">
        <v>-6.82</v>
      </c>
      <c r="C422" s="346">
        <v>526132668.22000003</v>
      </c>
      <c r="D422" s="258">
        <v>-6.8203500000000004</v>
      </c>
      <c r="E422" s="14">
        <f>B422-Index_Returns!G422</f>
        <v>5.2499999999993108E-3</v>
      </c>
      <c r="H422" s="1311"/>
    </row>
    <row r="423" spans="1:8" x14ac:dyDescent="0.2">
      <c r="A423" s="345">
        <v>40390</v>
      </c>
      <c r="B423" s="253">
        <v>6.9035399999999996</v>
      </c>
      <c r="C423" s="346">
        <v>562454465.13</v>
      </c>
      <c r="D423" s="258">
        <v>6.9035399999999996</v>
      </c>
      <c r="E423" s="14">
        <f>B423-Index_Returns!G423</f>
        <v>1.5799999999996928E-3</v>
      </c>
      <c r="H423" s="1311"/>
    </row>
    <row r="424" spans="1:8" x14ac:dyDescent="0.2">
      <c r="A424" s="345">
        <v>40421</v>
      </c>
      <c r="B424" s="253">
        <v>-5.3231200000000003</v>
      </c>
      <c r="C424" s="346">
        <v>482410113.42000002</v>
      </c>
      <c r="D424" s="1311">
        <v>-5.3231200000000003</v>
      </c>
      <c r="E424" s="14">
        <f>B424-Index_Returns!G424</f>
        <v>7.3189999999999422E-2</v>
      </c>
      <c r="H424" s="1311"/>
    </row>
    <row r="425" spans="1:8" x14ac:dyDescent="0.2">
      <c r="A425" s="345">
        <v>40451</v>
      </c>
      <c r="B425" s="253">
        <v>10.276960000000001</v>
      </c>
      <c r="C425" s="346">
        <v>528984683.58999997</v>
      </c>
      <c r="D425" s="258">
        <v>10.276960000000001</v>
      </c>
      <c r="E425" s="14">
        <f>B425-Index_Returns!G425</f>
        <v>4.830000000000112E-2</v>
      </c>
      <c r="H425" s="1311"/>
    </row>
    <row r="426" spans="1:8" x14ac:dyDescent="0.2">
      <c r="A426" s="345">
        <v>40482</v>
      </c>
      <c r="B426" s="258">
        <v>2.9952000000000001</v>
      </c>
      <c r="C426" s="346">
        <v>544828845.84000003</v>
      </c>
      <c r="D426" s="258">
        <v>2.9952000000000001</v>
      </c>
      <c r="E426" s="14">
        <f>B426-Index_Returns!G426</f>
        <v>2.0500000000001073E-3</v>
      </c>
      <c r="H426" s="1311"/>
    </row>
    <row r="427" spans="1:8" x14ac:dyDescent="0.2">
      <c r="A427" s="345">
        <v>40512</v>
      </c>
      <c r="B427" s="253">
        <f>D427</f>
        <v>1.3888</v>
      </c>
      <c r="C427" s="346">
        <v>551614729.14999998</v>
      </c>
      <c r="D427" s="1311">
        <v>1.3888</v>
      </c>
      <c r="E427" s="14">
        <f>B427-Index_Returns!G427</f>
        <v>2.1279999999999966E-2</v>
      </c>
      <c r="H427" s="1311"/>
    </row>
    <row r="428" spans="1:8" x14ac:dyDescent="0.2">
      <c r="A428" s="345">
        <v>40543</v>
      </c>
      <c r="B428" s="253">
        <v>7.50976</v>
      </c>
      <c r="C428" s="346">
        <v>593039686.10000002</v>
      </c>
      <c r="D428" s="258">
        <v>7.50976</v>
      </c>
      <c r="E428" s="14">
        <f>B428-Index_Returns!G428</f>
        <v>-0.13117000000000001</v>
      </c>
      <c r="H428" s="1311"/>
    </row>
    <row r="429" spans="1:8" x14ac:dyDescent="0.2">
      <c r="A429" s="345">
        <v>40574</v>
      </c>
      <c r="B429" s="253">
        <f>D429</f>
        <v>2.6237300000000001</v>
      </c>
      <c r="C429" s="346">
        <v>606988419</v>
      </c>
      <c r="D429" s="258">
        <v>2.6237300000000001</v>
      </c>
      <c r="E429" s="14">
        <f>B429-Index_Returns!G429</f>
        <v>-7.7799999999998981E-3</v>
      </c>
      <c r="H429" s="1311"/>
    </row>
    <row r="430" spans="1:8" x14ac:dyDescent="0.2">
      <c r="A430" s="345">
        <v>40602</v>
      </c>
      <c r="B430" s="253">
        <v>4.1390099999999999</v>
      </c>
      <c r="C430" s="346">
        <v>632046210.37</v>
      </c>
      <c r="D430" s="258">
        <v>4.1390099999999999</v>
      </c>
      <c r="E430" s="14">
        <f>B430-Index_Returns!G430</f>
        <v>-3.9179999999999993E-2</v>
      </c>
      <c r="H430" s="1311"/>
    </row>
    <row r="431" spans="1:8" x14ac:dyDescent="0.2">
      <c r="A431" s="345">
        <v>40633</v>
      </c>
      <c r="B431" s="253">
        <f>D431</f>
        <v>1.8442700000000001</v>
      </c>
      <c r="C431" s="346">
        <v>592659229.64999998</v>
      </c>
      <c r="D431" s="1311">
        <v>1.8442700000000001</v>
      </c>
      <c r="E431" s="14">
        <f>B431-Index_Returns!G431</f>
        <v>-1.403999999999983E-2</v>
      </c>
      <c r="H431" s="1311"/>
    </row>
    <row r="432" spans="1:8" x14ac:dyDescent="0.2">
      <c r="A432" s="345">
        <v>40663</v>
      </c>
      <c r="B432" s="253">
        <f t="shared" ref="B432:B488" si="0">D432</f>
        <v>1.9795199999999999</v>
      </c>
      <c r="C432" s="346">
        <v>556703112.35000002</v>
      </c>
      <c r="D432" s="1311">
        <v>1.9795199999999999</v>
      </c>
      <c r="E432" s="14">
        <f>B432-Index_Returns!G432</f>
        <v>1.2029999999999985E-2</v>
      </c>
      <c r="H432" s="1311"/>
    </row>
    <row r="433" spans="1:8" x14ac:dyDescent="0.2">
      <c r="A433" s="345">
        <v>40694</v>
      </c>
      <c r="B433" s="253">
        <f t="shared" si="0"/>
        <v>-1.59206</v>
      </c>
      <c r="C433" s="346">
        <v>547837843.63999999</v>
      </c>
      <c r="D433" s="1311">
        <v>-1.59206</v>
      </c>
      <c r="E433" s="14">
        <f>B433-Index_Returns!G433</f>
        <v>8.122000000000007E-2</v>
      </c>
      <c r="H433" s="1311"/>
    </row>
    <row r="434" spans="1:8" x14ac:dyDescent="0.2">
      <c r="A434" s="345">
        <v>40724</v>
      </c>
      <c r="B434" s="253">
        <f t="shared" si="0"/>
        <v>-2.2939400000000001</v>
      </c>
      <c r="C434" s="346">
        <v>535269497.73000002</v>
      </c>
      <c r="D434" s="258">
        <v>-2.2939400000000001</v>
      </c>
      <c r="E434" s="14">
        <f>B434-Index_Returns!G434</f>
        <v>0.15946999999999978</v>
      </c>
      <c r="H434" s="1311"/>
    </row>
    <row r="435" spans="1:8" x14ac:dyDescent="0.2">
      <c r="A435" s="345">
        <v>40755</v>
      </c>
      <c r="B435" s="253">
        <f t="shared" si="0"/>
        <v>-3.98807</v>
      </c>
      <c r="C435" s="346">
        <v>511028657.19</v>
      </c>
      <c r="D435" s="258">
        <v>-3.98807</v>
      </c>
      <c r="E435" s="14">
        <f>B435-Index_Returns!G435</f>
        <v>-2.9599999999998516E-3</v>
      </c>
      <c r="H435" s="1311"/>
    </row>
    <row r="436" spans="1:8" x14ac:dyDescent="0.2">
      <c r="A436" s="345">
        <v>40786</v>
      </c>
      <c r="B436" s="253">
        <f t="shared" si="0"/>
        <v>-7.5209099999999998</v>
      </c>
      <c r="C436" s="346">
        <v>472646426.33999997</v>
      </c>
      <c r="D436" s="258">
        <v>-7.5209099999999998</v>
      </c>
      <c r="E436" s="14">
        <f>B436-Index_Returns!G436</f>
        <v>-7.7939999999999898E-2</v>
      </c>
      <c r="H436" s="1311"/>
    </row>
    <row r="437" spans="1:8" x14ac:dyDescent="0.2">
      <c r="A437" s="345">
        <v>40816</v>
      </c>
      <c r="B437" s="253">
        <f t="shared" si="0"/>
        <v>-11.09995</v>
      </c>
      <c r="C437" s="346">
        <v>420182902.22000003</v>
      </c>
      <c r="D437" s="258">
        <v>-11.09995</v>
      </c>
      <c r="E437" s="14">
        <f>B437-Index_Returns!G437</f>
        <v>-5.4619999999999891E-2</v>
      </c>
      <c r="H437" s="1311"/>
    </row>
    <row r="438" spans="1:8" x14ac:dyDescent="0.2">
      <c r="A438" s="345">
        <v>40847</v>
      </c>
      <c r="B438" s="253">
        <f t="shared" si="0"/>
        <v>14.19956</v>
      </c>
      <c r="C438" s="346">
        <v>480994141.55000001</v>
      </c>
      <c r="D438" s="258">
        <v>14.19956</v>
      </c>
      <c r="E438" s="14">
        <f>B438-Index_Returns!G438</f>
        <v>6.2499999999996447E-3</v>
      </c>
      <c r="H438" s="1311"/>
    </row>
    <row r="439" spans="1:8" x14ac:dyDescent="0.2">
      <c r="A439" s="345">
        <v>40877</v>
      </c>
      <c r="B439" s="253">
        <f t="shared" si="0"/>
        <v>0.42379</v>
      </c>
      <c r="C439" s="346">
        <v>483032538.98000002</v>
      </c>
      <c r="D439" s="258">
        <v>0.42379</v>
      </c>
      <c r="E439" s="14">
        <f>B439-Index_Returns!G439</f>
        <v>-8.0559999999999965E-2</v>
      </c>
      <c r="H439" s="1311"/>
    </row>
    <row r="440" spans="1:8" x14ac:dyDescent="0.2">
      <c r="A440" s="345">
        <v>40908</v>
      </c>
      <c r="B440" s="253">
        <f t="shared" si="0"/>
        <v>0.72728999999999999</v>
      </c>
      <c r="C440" s="346">
        <v>485034659.18000001</v>
      </c>
      <c r="D440" s="258">
        <v>0.72728999999999999</v>
      </c>
      <c r="E440" s="14">
        <f>B440-Index_Returns!G440</f>
        <v>-0.23724000000000001</v>
      </c>
      <c r="H440" s="1311"/>
    </row>
    <row r="441" spans="1:8" x14ac:dyDescent="0.2">
      <c r="A441" s="345">
        <v>40939</v>
      </c>
      <c r="B441" s="253">
        <f t="shared" si="0"/>
        <v>6.4126799999999999</v>
      </c>
      <c r="C441" s="346">
        <v>516149697.64999998</v>
      </c>
      <c r="D441" s="1311">
        <v>6.4126799999999999</v>
      </c>
      <c r="E441" s="14">
        <f>B441-Index_Returns!G441</f>
        <v>7.4930000000000163E-2</v>
      </c>
      <c r="H441" s="1311"/>
    </row>
    <row r="442" spans="1:8" x14ac:dyDescent="0.2">
      <c r="A442" s="345">
        <v>40968</v>
      </c>
      <c r="B442" s="253">
        <f t="shared" si="0"/>
        <v>4.0347200000000001</v>
      </c>
      <c r="C442" s="346">
        <v>535273305.91000003</v>
      </c>
      <c r="D442" s="258">
        <v>4.0347200000000001</v>
      </c>
      <c r="E442" s="14">
        <f>B442-Index_Returns!G442</f>
        <v>7.5849999999999973E-2</v>
      </c>
      <c r="H442" s="1311"/>
    </row>
    <row r="443" spans="1:8" x14ac:dyDescent="0.2">
      <c r="A443" s="345">
        <v>40999</v>
      </c>
      <c r="B443" s="253">
        <f t="shared" si="0"/>
        <v>2.1014300000000001</v>
      </c>
      <c r="C443" s="346">
        <v>541463108.13</v>
      </c>
      <c r="D443" s="258">
        <v>2.1014300000000001</v>
      </c>
      <c r="E443" s="14">
        <f>B443-Index_Returns!G443</f>
        <v>-6.2699999999997758E-3</v>
      </c>
      <c r="H443" s="1311"/>
    </row>
    <row r="444" spans="1:8" x14ac:dyDescent="0.2">
      <c r="A444" s="345">
        <v>41029</v>
      </c>
      <c r="B444" s="253">
        <f t="shared" si="0"/>
        <v>-0.41858000000000001</v>
      </c>
      <c r="C444" s="346">
        <v>539196659.09000003</v>
      </c>
      <c r="D444" s="258">
        <v>-0.41858000000000001</v>
      </c>
      <c r="E444" s="14">
        <f>B444-Index_Returns!G444</f>
        <v>-3.6519999999999997E-2</v>
      </c>
      <c r="H444" s="1311"/>
    </row>
    <row r="445" spans="1:8" x14ac:dyDescent="0.2">
      <c r="A445" s="345">
        <v>41060</v>
      </c>
      <c r="B445" s="253">
        <f t="shared" si="0"/>
        <v>-6.7017100000000003</v>
      </c>
      <c r="C445" s="346">
        <v>503061264.00999999</v>
      </c>
      <c r="D445" s="258">
        <v>-6.7017100000000003</v>
      </c>
      <c r="E445" s="14">
        <f>B445-Index_Returns!G445</f>
        <v>-1.7560000000000464E-2</v>
      </c>
      <c r="H445" s="1311"/>
    </row>
    <row r="446" spans="1:8" x14ac:dyDescent="0.2">
      <c r="A446" s="345">
        <v>41090</v>
      </c>
      <c r="B446" s="253">
        <f t="shared" si="0"/>
        <v>3.09735</v>
      </c>
      <c r="C446" s="346">
        <v>518642850.89999998</v>
      </c>
      <c r="D446" s="258">
        <v>3.09735</v>
      </c>
      <c r="E446" s="14">
        <f>B446-Index_Returns!G446</f>
        <v>-4.0839999999999765E-2</v>
      </c>
      <c r="H446" s="1311"/>
    </row>
    <row r="447" spans="1:8" x14ac:dyDescent="0.2">
      <c r="A447" s="345">
        <v>41121</v>
      </c>
      <c r="B447" s="253">
        <f t="shared" si="0"/>
        <v>-0.19511999999999999</v>
      </c>
      <c r="C447" s="346">
        <v>517623389.97000003</v>
      </c>
      <c r="D447" s="258">
        <v>-0.19511999999999999</v>
      </c>
      <c r="E447" s="14">
        <f>B447-Index_Returns!G447</f>
        <v>3.9650000000000019E-2</v>
      </c>
      <c r="H447" s="1311"/>
    </row>
    <row r="448" spans="1:8" x14ac:dyDescent="0.2">
      <c r="A448" s="345">
        <v>41152</v>
      </c>
      <c r="B448" s="253">
        <f t="shared" si="0"/>
        <v>2.80749</v>
      </c>
      <c r="C448" s="346">
        <v>509023899.67000002</v>
      </c>
      <c r="D448" s="258">
        <v>2.80749</v>
      </c>
      <c r="E448" s="14">
        <f>B448-Index_Returns!G448</f>
        <v>1.3299999999998313E-3</v>
      </c>
      <c r="H448" s="1311"/>
    </row>
    <row r="449" spans="1:8" x14ac:dyDescent="0.2">
      <c r="A449" s="345">
        <v>41182</v>
      </c>
      <c r="B449" s="253">
        <f t="shared" si="0"/>
        <v>2.1375799999999998</v>
      </c>
      <c r="C449" s="346">
        <v>518108416.50999999</v>
      </c>
      <c r="D449" s="1311">
        <v>2.1375799999999998</v>
      </c>
      <c r="E449" s="14">
        <f>B449-Index_Returns!G449</f>
        <v>-3.9360000000000284E-2</v>
      </c>
      <c r="H449" s="1311"/>
    </row>
    <row r="450" spans="1:8" x14ac:dyDescent="0.2">
      <c r="A450" s="345">
        <v>41213</v>
      </c>
      <c r="B450" s="253">
        <f t="shared" si="0"/>
        <v>-0.42225000000000001</v>
      </c>
      <c r="C450" s="346">
        <v>492808002.31</v>
      </c>
      <c r="D450" s="258">
        <v>-0.42225000000000001</v>
      </c>
      <c r="E450" s="14">
        <f>B450-Index_Returns!G450</f>
        <v>2.194999999999997E-2</v>
      </c>
      <c r="H450" s="1311"/>
    </row>
    <row r="451" spans="1:8" x14ac:dyDescent="0.2">
      <c r="A451" s="345">
        <v>41243</v>
      </c>
      <c r="B451" s="253">
        <f t="shared" si="0"/>
        <v>1.83813</v>
      </c>
      <c r="C451" s="346">
        <v>478653137.01999998</v>
      </c>
      <c r="D451" s="258">
        <v>1.83813</v>
      </c>
      <c r="E451" s="14">
        <f>B451-Index_Returns!G451</f>
        <v>2.2390000000000132E-2</v>
      </c>
      <c r="H451" s="1311"/>
    </row>
    <row r="452" spans="1:8" x14ac:dyDescent="0.2">
      <c r="A452" s="345">
        <v>41274</v>
      </c>
      <c r="B452" s="253">
        <f t="shared" si="0"/>
        <v>3.0383300000000002</v>
      </c>
      <c r="C452" s="346">
        <v>480197790.44999999</v>
      </c>
      <c r="D452" s="258">
        <v>3.0383300000000002</v>
      </c>
      <c r="E452" s="14">
        <f>B452-Index_Returns!G452</f>
        <v>-6.8479999999999652E-2</v>
      </c>
      <c r="H452" s="1311"/>
    </row>
    <row r="453" spans="1:8" x14ac:dyDescent="0.2">
      <c r="A453" s="345">
        <v>41305</v>
      </c>
      <c r="B453" s="253">
        <f t="shared" si="0"/>
        <v>7.4225099999999999</v>
      </c>
      <c r="C453" s="346">
        <v>515840531.14999998</v>
      </c>
      <c r="D453" s="1311">
        <v>7.4225099999999999</v>
      </c>
      <c r="E453" s="14">
        <f>B453-Index_Returns!G453</f>
        <v>-1.4300000000000423E-2</v>
      </c>
      <c r="H453" s="1311"/>
    </row>
    <row r="454" spans="1:8" x14ac:dyDescent="0.2">
      <c r="A454" s="345">
        <v>41333</v>
      </c>
      <c r="B454" s="253">
        <f t="shared" si="0"/>
        <v>1.6449400000000001</v>
      </c>
      <c r="C454" s="346">
        <v>521511849.44999999</v>
      </c>
      <c r="D454" s="258">
        <v>1.6449400000000001</v>
      </c>
      <c r="E454" s="14">
        <f>B454-Index_Returns!G454</f>
        <v>-1.3589999999999991E-2</v>
      </c>
      <c r="H454" s="1311"/>
    </row>
    <row r="455" spans="1:8" x14ac:dyDescent="0.2">
      <c r="A455" s="345">
        <v>41364</v>
      </c>
      <c r="B455" s="253">
        <f t="shared" si="0"/>
        <v>5.1137899999999998</v>
      </c>
      <c r="C455" s="346">
        <v>538099425.38</v>
      </c>
      <c r="D455" s="1311">
        <v>5.1137899999999998</v>
      </c>
      <c r="E455" s="14">
        <f>B455-Index_Returns!G455</f>
        <v>-2.4569999999999759E-2</v>
      </c>
      <c r="H455" s="1311"/>
    </row>
    <row r="456" spans="1:8" x14ac:dyDescent="0.2">
      <c r="A456" s="345">
        <v>41394</v>
      </c>
      <c r="B456" s="253">
        <f t="shared" si="0"/>
        <v>4.4999999999999998E-2</v>
      </c>
      <c r="C456" s="346">
        <v>538341311.79999995</v>
      </c>
      <c r="D456" s="1311">
        <v>4.4999999999999998E-2</v>
      </c>
      <c r="E456" s="14">
        <f>B456-Index_Returns!G456</f>
        <v>1.5599999999999999E-2</v>
      </c>
      <c r="H456" s="1311"/>
    </row>
    <row r="457" spans="1:8" x14ac:dyDescent="0.2">
      <c r="A457" s="345">
        <v>41425</v>
      </c>
      <c r="B457" s="253">
        <f t="shared" si="0"/>
        <v>2.3554499999999998</v>
      </c>
      <c r="C457" s="346">
        <v>551021402.51999998</v>
      </c>
      <c r="D457" s="1311">
        <v>2.3554499999999998</v>
      </c>
      <c r="E457" s="14">
        <f>B457-Index_Returns!G457</f>
        <v>0.12394999999999978</v>
      </c>
      <c r="H457" s="1311"/>
    </row>
    <row r="458" spans="1:8" x14ac:dyDescent="0.2">
      <c r="A458" s="345">
        <v>41455</v>
      </c>
      <c r="B458" s="253">
        <f t="shared" si="0"/>
        <v>-1.2712399999999999</v>
      </c>
      <c r="C458" s="1307">
        <v>529309435.50999999</v>
      </c>
      <c r="D458" s="1306">
        <v>-1.2712399999999999</v>
      </c>
      <c r="E458" s="14">
        <f>B458-Index_Returns!G458</f>
        <v>-3.6239999999999828E-2</v>
      </c>
      <c r="H458" s="1311"/>
    </row>
    <row r="459" spans="1:8" x14ac:dyDescent="0.2">
      <c r="A459" s="345">
        <v>41486</v>
      </c>
      <c r="B459" s="253">
        <f t="shared" si="0"/>
        <v>6.3065800000000003</v>
      </c>
      <c r="C459" s="346">
        <v>560673144.51999998</v>
      </c>
      <c r="D459" s="258">
        <v>6.3065800000000003</v>
      </c>
      <c r="E459" s="14">
        <f>B459-Index_Returns!G459</f>
        <v>-9.3999999999994088E-4</v>
      </c>
      <c r="H459" s="1311"/>
    </row>
    <row r="460" spans="1:8" x14ac:dyDescent="0.2">
      <c r="A460" s="345">
        <v>41517</v>
      </c>
      <c r="B460" s="253">
        <f t="shared" si="0"/>
        <v>-3.89479</v>
      </c>
      <c r="C460" s="346">
        <v>538836130.53999996</v>
      </c>
      <c r="D460" s="258">
        <v>-3.89479</v>
      </c>
      <c r="E460" s="14">
        <f>B460-Index_Returns!G460</f>
        <v>-1.1480000000000157E-2</v>
      </c>
    </row>
    <row r="461" spans="1:8" x14ac:dyDescent="0.2">
      <c r="A461" s="345">
        <v>41547</v>
      </c>
      <c r="B461" s="253">
        <f t="shared" si="0"/>
        <v>4.6814900000000002</v>
      </c>
      <c r="C461" s="346">
        <v>564062000.27999997</v>
      </c>
      <c r="D461" s="258">
        <v>4.6814900000000002</v>
      </c>
      <c r="E461" s="14">
        <f>B461-Index_Returns!G461</f>
        <v>-5.1699999999996749E-3</v>
      </c>
    </row>
    <row r="462" spans="1:8" x14ac:dyDescent="0.2">
      <c r="A462" s="345">
        <v>41578</v>
      </c>
      <c r="B462" s="253">
        <f t="shared" si="0"/>
        <v>4.1480899999999998</v>
      </c>
      <c r="C462" s="346">
        <v>565018640.40999997</v>
      </c>
      <c r="D462" s="258">
        <v>4.1480899999999998</v>
      </c>
      <c r="E462" s="14">
        <f>B462-Index_Returns!G462</f>
        <v>-3.512000000000004E-2</v>
      </c>
    </row>
    <row r="463" spans="1:8" x14ac:dyDescent="0.2">
      <c r="A463" s="345">
        <v>41608</v>
      </c>
      <c r="B463" s="253">
        <f t="shared" si="0"/>
        <v>1.0195099999999999</v>
      </c>
      <c r="C463" s="346">
        <v>555627777.84000003</v>
      </c>
      <c r="D463" s="258">
        <v>1.0195099999999999</v>
      </c>
      <c r="E463" s="14">
        <f>B463-Index_Returns!G463</f>
        <v>5.7739999999999903E-2</v>
      </c>
    </row>
    <row r="464" spans="1:8" x14ac:dyDescent="0.2">
      <c r="A464" s="345">
        <v>41639</v>
      </c>
      <c r="B464" s="253">
        <f t="shared" si="0"/>
        <v>2.7997100000000001</v>
      </c>
      <c r="C464" s="346">
        <v>555490906.22000003</v>
      </c>
      <c r="D464" s="258">
        <v>2.7997100000000001</v>
      </c>
      <c r="E464" s="14">
        <f>B464-Index_Returns!G464</f>
        <v>-8.2479999999999887E-2</v>
      </c>
    </row>
    <row r="465" spans="1:5" x14ac:dyDescent="0.2">
      <c r="A465" s="345">
        <v>41670</v>
      </c>
      <c r="B465" s="253">
        <f t="shared" si="0"/>
        <v>-1.64975</v>
      </c>
      <c r="C465" s="346">
        <v>546326682.85000002</v>
      </c>
      <c r="D465" s="258">
        <v>-1.64975</v>
      </c>
      <c r="E465" s="14">
        <f>B465-Index_Returns!G465</f>
        <v>3.3399999999998986E-3</v>
      </c>
    </row>
    <row r="466" spans="1:5" x14ac:dyDescent="0.2">
      <c r="A466" s="345">
        <v>41698</v>
      </c>
      <c r="B466" s="253">
        <f t="shared" si="0"/>
        <v>4.4535099999999996</v>
      </c>
      <c r="C466" s="346">
        <v>544921391.09000003</v>
      </c>
      <c r="D466" s="258">
        <v>4.4535099999999996</v>
      </c>
      <c r="E466" s="14">
        <f>B466-Index_Returns!G466</f>
        <v>1.8580000000000041E-2</v>
      </c>
    </row>
    <row r="467" spans="1:5" x14ac:dyDescent="0.2">
      <c r="A467" s="345">
        <v>41729</v>
      </c>
      <c r="B467" s="253">
        <f t="shared" si="0"/>
        <v>1.20119</v>
      </c>
      <c r="C467" s="346">
        <v>518989283.5</v>
      </c>
      <c r="D467" s="258">
        <v>1.20119</v>
      </c>
      <c r="E467" s="14">
        <f>B467-Index_Returns!G467</f>
        <v>-4.6459999999999946E-2</v>
      </c>
    </row>
    <row r="468" spans="1:5" x14ac:dyDescent="0.2">
      <c r="A468" s="345">
        <v>41759</v>
      </c>
      <c r="B468" s="253">
        <f t="shared" si="0"/>
        <v>-0.31768999999999997</v>
      </c>
      <c r="C468" s="346">
        <v>517340496.23000002</v>
      </c>
      <c r="D468" s="258">
        <v>-0.31768999999999997</v>
      </c>
      <c r="E468" s="14">
        <f>B468-Index_Returns!G468</f>
        <v>-7.1779999999999983E-2</v>
      </c>
    </row>
    <row r="469" spans="1:5" x14ac:dyDescent="0.2">
      <c r="A469" s="345">
        <v>41790</v>
      </c>
      <c r="B469" s="253">
        <f t="shared" si="0"/>
        <v>1.7112499999999999</v>
      </c>
      <c r="C469" s="346">
        <v>526193494.04000002</v>
      </c>
      <c r="D469" s="258">
        <v>1.7112499999999999</v>
      </c>
      <c r="E469" s="14">
        <f>B469-Index_Returns!G469</f>
        <v>3.5109999999999975E-2</v>
      </c>
    </row>
    <row r="470" spans="1:5" x14ac:dyDescent="0.2">
      <c r="A470" s="345">
        <v>41820</v>
      </c>
      <c r="B470" s="253">
        <f t="shared" si="0"/>
        <v>4.3244100000000003</v>
      </c>
      <c r="C470" s="346">
        <v>547227364.25999999</v>
      </c>
      <c r="D470" s="258">
        <v>4.3244100000000003</v>
      </c>
      <c r="E470" s="14">
        <f>B470-Index_Returns!G470</f>
        <v>-3.9400000000000546E-3</v>
      </c>
    </row>
    <row r="471" spans="1:5" x14ac:dyDescent="0.2">
      <c r="A471" s="345">
        <v>41851</v>
      </c>
      <c r="B471" s="253">
        <f t="shared" si="0"/>
        <v>-4.34016</v>
      </c>
      <c r="C471" s="346">
        <v>523476834.88</v>
      </c>
      <c r="D471" s="258">
        <v>-4.34016</v>
      </c>
      <c r="E471" s="14">
        <f>B471-Index_Returns!G471</f>
        <v>4.3800000000002726E-3</v>
      </c>
    </row>
    <row r="472" spans="1:5" x14ac:dyDescent="0.2">
      <c r="A472" s="345">
        <v>41882</v>
      </c>
      <c r="B472" s="253">
        <f t="shared" si="0"/>
        <v>5.2541700000000002</v>
      </c>
      <c r="C472" s="346">
        <v>529242960.26999998</v>
      </c>
      <c r="D472" s="258">
        <v>5.2541700000000002</v>
      </c>
      <c r="E472" s="14">
        <f>B472-Index_Returns!G472</f>
        <v>-2.1119999999999806E-2</v>
      </c>
    </row>
    <row r="473" spans="1:5" x14ac:dyDescent="0.2">
      <c r="A473" s="345">
        <v>41912</v>
      </c>
      <c r="B473" s="253">
        <f t="shared" si="0"/>
        <v>0</v>
      </c>
      <c r="E473" s="14">
        <f>B473-Index_Returns!G473</f>
        <v>0</v>
      </c>
    </row>
    <row r="474" spans="1:5" x14ac:dyDescent="0.2">
      <c r="A474" s="345">
        <v>41943</v>
      </c>
      <c r="B474" s="253">
        <f t="shared" si="0"/>
        <v>0</v>
      </c>
      <c r="E474" s="14">
        <f>B474-Index_Returns!G474</f>
        <v>0</v>
      </c>
    </row>
    <row r="475" spans="1:5" x14ac:dyDescent="0.2">
      <c r="A475" s="345">
        <v>41973</v>
      </c>
      <c r="B475" s="253">
        <f t="shared" si="0"/>
        <v>0</v>
      </c>
      <c r="E475" s="14">
        <f>B475-Index_Returns!G475</f>
        <v>0</v>
      </c>
    </row>
    <row r="476" spans="1:5" x14ac:dyDescent="0.2">
      <c r="A476" s="345">
        <v>42004</v>
      </c>
      <c r="B476" s="253">
        <f t="shared" si="0"/>
        <v>0</v>
      </c>
      <c r="E476" s="14">
        <f>B476-Index_Returns!G476</f>
        <v>0</v>
      </c>
    </row>
    <row r="477" spans="1:5" x14ac:dyDescent="0.2">
      <c r="A477" s="345">
        <v>42035</v>
      </c>
      <c r="B477" s="253">
        <f t="shared" si="0"/>
        <v>0</v>
      </c>
      <c r="E477" s="14">
        <f>B477-Index_Returns!G477</f>
        <v>0</v>
      </c>
    </row>
    <row r="478" spans="1:5" x14ac:dyDescent="0.2">
      <c r="A478" s="345">
        <v>42063</v>
      </c>
      <c r="B478" s="253">
        <f t="shared" si="0"/>
        <v>0</v>
      </c>
      <c r="E478" s="14">
        <f>B478-Index_Returns!G478</f>
        <v>0</v>
      </c>
    </row>
    <row r="479" spans="1:5" x14ac:dyDescent="0.2">
      <c r="A479" s="345">
        <v>42094</v>
      </c>
      <c r="B479" s="253">
        <f t="shared" si="0"/>
        <v>0</v>
      </c>
      <c r="E479" s="14">
        <f>B479-Index_Returns!G479</f>
        <v>0</v>
      </c>
    </row>
    <row r="480" spans="1:5" x14ac:dyDescent="0.2">
      <c r="A480" s="345">
        <v>42124</v>
      </c>
      <c r="B480" s="253">
        <f t="shared" si="0"/>
        <v>0</v>
      </c>
      <c r="E480" s="14">
        <f>B480-Index_Returns!G480</f>
        <v>0</v>
      </c>
    </row>
    <row r="481" spans="1:5" x14ac:dyDescent="0.2">
      <c r="A481" s="345">
        <v>42155</v>
      </c>
      <c r="B481" s="253">
        <f t="shared" si="0"/>
        <v>0</v>
      </c>
      <c r="E481" s="14">
        <f>B481-Index_Returns!G481</f>
        <v>0</v>
      </c>
    </row>
    <row r="482" spans="1:5" x14ac:dyDescent="0.2">
      <c r="A482" s="345">
        <v>42185</v>
      </c>
      <c r="B482" s="253">
        <f t="shared" si="0"/>
        <v>0</v>
      </c>
      <c r="E482" s="14">
        <f>B482-Index_Returns!G482</f>
        <v>0</v>
      </c>
    </row>
    <row r="483" spans="1:5" x14ac:dyDescent="0.2">
      <c r="A483" s="345">
        <v>42216</v>
      </c>
      <c r="B483" s="253">
        <f t="shared" si="0"/>
        <v>0</v>
      </c>
      <c r="E483" s="14">
        <f>B483-Index_Returns!G483</f>
        <v>0</v>
      </c>
    </row>
    <row r="484" spans="1:5" x14ac:dyDescent="0.2">
      <c r="A484" s="345">
        <v>42247</v>
      </c>
      <c r="B484" s="253">
        <f t="shared" si="0"/>
        <v>0</v>
      </c>
      <c r="E484" s="14">
        <f>B484-Index_Returns!G484</f>
        <v>0</v>
      </c>
    </row>
    <row r="485" spans="1:5" x14ac:dyDescent="0.2">
      <c r="A485" s="345">
        <v>42277</v>
      </c>
      <c r="B485" s="253">
        <f t="shared" si="0"/>
        <v>0</v>
      </c>
      <c r="E485" s="14">
        <f>B485-Index_Returns!G485</f>
        <v>0</v>
      </c>
    </row>
    <row r="486" spans="1:5" x14ac:dyDescent="0.2">
      <c r="A486" s="345">
        <v>42308</v>
      </c>
      <c r="B486" s="253">
        <f t="shared" si="0"/>
        <v>0</v>
      </c>
      <c r="E486" s="14">
        <f>B486-Index_Returns!G486</f>
        <v>0</v>
      </c>
    </row>
    <row r="487" spans="1:5" x14ac:dyDescent="0.2">
      <c r="A487" s="345">
        <v>42338</v>
      </c>
      <c r="B487" s="253">
        <f t="shared" si="0"/>
        <v>0</v>
      </c>
      <c r="E487" s="14">
        <f>B487-Index_Returns!G487</f>
        <v>0</v>
      </c>
    </row>
    <row r="488" spans="1:5" x14ac:dyDescent="0.2">
      <c r="A488" s="345">
        <v>42369</v>
      </c>
      <c r="B488" s="253">
        <f t="shared" si="0"/>
        <v>0</v>
      </c>
      <c r="E488" s="14">
        <f>B488-Index_Returns!G488</f>
        <v>0</v>
      </c>
    </row>
  </sheetData>
  <phoneticPr fontId="3" type="noConversion"/>
  <printOptions headings="1" gridLines="1"/>
  <pageMargins left="0.75" right="0.75" top="1" bottom="1" header="0.5" footer="0.5"/>
  <pageSetup scale="12" orientation="portrait" r:id="rId1"/>
  <headerFooter alignWithMargins="0">
    <oddHeader>&amp;L&amp;A</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I488"/>
  <sheetViews>
    <sheetView workbookViewId="0">
      <pane xSplit="1" ySplit="2" topLeftCell="B448" activePane="bottomRight" state="frozen"/>
      <selection activeCell="E452" sqref="E452:E464"/>
      <selection pane="topRight" activeCell="E452" sqref="E452:E464"/>
      <selection pane="bottomLeft" activeCell="E452" sqref="E452:E464"/>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5" width="18.7109375" style="258" customWidth="1"/>
    <col min="6" max="6" width="14" bestFit="1" customWidth="1"/>
    <col min="7" max="8" width="9.140625" style="14"/>
  </cols>
  <sheetData>
    <row r="1" spans="1:6" x14ac:dyDescent="0.2">
      <c r="A1" s="265" t="s">
        <v>152</v>
      </c>
      <c r="B1" s="321" t="s">
        <v>484</v>
      </c>
      <c r="C1" s="1381" t="s">
        <v>141</v>
      </c>
      <c r="D1" s="1370">
        <f>Fees!F112</f>
        <v>81.585147729279058</v>
      </c>
      <c r="E1" s="74" t="s">
        <v>81</v>
      </c>
      <c r="F1" s="1452" t="s">
        <v>770</v>
      </c>
    </row>
    <row r="2" spans="1:6" x14ac:dyDescent="0.2">
      <c r="A2" s="3" t="s">
        <v>27</v>
      </c>
      <c r="B2" s="71" t="s">
        <v>91</v>
      </c>
      <c r="C2" s="226" t="s">
        <v>92</v>
      </c>
      <c r="D2" s="71" t="s">
        <v>90</v>
      </c>
      <c r="E2" s="71" t="s">
        <v>80</v>
      </c>
    </row>
    <row r="3" spans="1:6" x14ac:dyDescent="0.2">
      <c r="A3" s="345">
        <v>27606</v>
      </c>
      <c r="B3" s="71"/>
      <c r="C3" s="226"/>
      <c r="D3" s="71"/>
      <c r="E3" s="71"/>
    </row>
    <row r="4" spans="1:6" x14ac:dyDescent="0.2">
      <c r="A4" s="345">
        <v>27637</v>
      </c>
      <c r="B4" s="71"/>
      <c r="C4" s="226"/>
      <c r="D4" s="71"/>
      <c r="E4" s="71"/>
    </row>
    <row r="5" spans="1:6" x14ac:dyDescent="0.2">
      <c r="A5" s="345">
        <v>27667</v>
      </c>
      <c r="B5" s="71"/>
      <c r="C5" s="226"/>
      <c r="D5" s="71"/>
      <c r="E5" s="71"/>
    </row>
    <row r="6" spans="1:6" x14ac:dyDescent="0.2">
      <c r="A6" s="345">
        <v>27698</v>
      </c>
      <c r="B6" s="71"/>
      <c r="C6" s="226"/>
      <c r="D6" s="71"/>
      <c r="E6" s="71"/>
    </row>
    <row r="7" spans="1:6" x14ac:dyDescent="0.2">
      <c r="A7" s="345">
        <v>27728</v>
      </c>
      <c r="B7" s="71"/>
      <c r="C7" s="226"/>
      <c r="D7" s="71"/>
      <c r="E7" s="71"/>
    </row>
    <row r="8" spans="1:6" x14ac:dyDescent="0.2">
      <c r="A8" s="345">
        <v>27759</v>
      </c>
      <c r="B8" s="71"/>
      <c r="C8" s="226"/>
      <c r="D8" s="71"/>
      <c r="E8" s="71"/>
    </row>
    <row r="9" spans="1:6" x14ac:dyDescent="0.2">
      <c r="A9" s="345">
        <v>27790</v>
      </c>
      <c r="B9" s="71"/>
      <c r="C9" s="226"/>
      <c r="D9" s="71"/>
      <c r="E9" s="71"/>
    </row>
    <row r="10" spans="1:6" x14ac:dyDescent="0.2">
      <c r="A10" s="345">
        <v>27819</v>
      </c>
      <c r="B10" s="71"/>
      <c r="C10" s="226"/>
      <c r="D10" s="71"/>
      <c r="E10" s="71"/>
    </row>
    <row r="11" spans="1:6" x14ac:dyDescent="0.2">
      <c r="A11" s="345">
        <v>27850</v>
      </c>
      <c r="B11" s="71"/>
      <c r="C11" s="226"/>
      <c r="D11" s="71"/>
      <c r="E11" s="71"/>
    </row>
    <row r="12" spans="1:6" x14ac:dyDescent="0.2">
      <c r="A12" s="345">
        <v>27880</v>
      </c>
      <c r="B12" s="71"/>
      <c r="C12" s="226"/>
      <c r="D12" s="71"/>
      <c r="E12" s="71"/>
    </row>
    <row r="13" spans="1:6" x14ac:dyDescent="0.2">
      <c r="A13" s="345">
        <v>27911</v>
      </c>
      <c r="B13" s="71"/>
      <c r="C13" s="226"/>
      <c r="D13" s="71"/>
      <c r="E13" s="71"/>
    </row>
    <row r="14" spans="1:6" x14ac:dyDescent="0.2">
      <c r="A14" s="345">
        <v>27941</v>
      </c>
      <c r="B14" s="71"/>
      <c r="C14" s="226"/>
      <c r="D14" s="71"/>
      <c r="E14" s="71"/>
    </row>
    <row r="15" spans="1:6" x14ac:dyDescent="0.2">
      <c r="A15" s="345">
        <v>27972</v>
      </c>
      <c r="B15" s="71"/>
      <c r="C15" s="226"/>
      <c r="D15" s="71"/>
      <c r="E15" s="71"/>
    </row>
    <row r="16" spans="1:6"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3"/>
      <c r="C147" s="25"/>
      <c r="D147" s="73"/>
      <c r="E147" s="73"/>
    </row>
    <row r="148" spans="1:5" x14ac:dyDescent="0.2">
      <c r="A148" s="345">
        <v>32020</v>
      </c>
      <c r="B148" s="73"/>
      <c r="C148" s="25"/>
      <c r="D148" s="73"/>
      <c r="E148" s="73"/>
    </row>
    <row r="149" spans="1:5" x14ac:dyDescent="0.2">
      <c r="A149" s="345">
        <v>32050</v>
      </c>
      <c r="B149" s="73"/>
      <c r="C149" s="25"/>
      <c r="D149" s="73"/>
      <c r="E149" s="73"/>
    </row>
    <row r="150" spans="1:5" x14ac:dyDescent="0.2">
      <c r="A150" s="345">
        <v>32081</v>
      </c>
      <c r="B150" s="73"/>
      <c r="C150" s="25"/>
      <c r="D150" s="73"/>
      <c r="E150" s="73"/>
    </row>
    <row r="151" spans="1:5" x14ac:dyDescent="0.2">
      <c r="A151" s="345">
        <v>32111</v>
      </c>
      <c r="B151" s="73"/>
      <c r="C151" s="25"/>
      <c r="D151" s="73"/>
      <c r="E151" s="73"/>
    </row>
    <row r="152" spans="1:5" x14ac:dyDescent="0.2">
      <c r="A152" s="345">
        <v>32142</v>
      </c>
      <c r="B152" s="73"/>
      <c r="C152" s="25"/>
      <c r="D152" s="73"/>
      <c r="E152" s="73"/>
    </row>
    <row r="153" spans="1:5" x14ac:dyDescent="0.2">
      <c r="A153" s="345">
        <v>32173</v>
      </c>
      <c r="B153" s="73"/>
      <c r="C153" s="25"/>
      <c r="D153" s="73"/>
      <c r="E153" s="73"/>
    </row>
    <row r="154" spans="1:5" x14ac:dyDescent="0.2">
      <c r="A154" s="345">
        <v>32202</v>
      </c>
      <c r="B154" s="73"/>
      <c r="C154" s="25"/>
      <c r="D154" s="73"/>
      <c r="E154" s="73"/>
    </row>
    <row r="155" spans="1:5" x14ac:dyDescent="0.2">
      <c r="A155" s="345">
        <v>32233</v>
      </c>
      <c r="B155" s="73"/>
      <c r="C155" s="25"/>
      <c r="D155" s="73"/>
      <c r="E155" s="73"/>
    </row>
    <row r="156" spans="1:5" x14ac:dyDescent="0.2">
      <c r="A156" s="345">
        <v>32263</v>
      </c>
      <c r="B156" s="73"/>
      <c r="C156" s="25"/>
      <c r="D156" s="73"/>
      <c r="E156" s="73"/>
    </row>
    <row r="157" spans="1:5" x14ac:dyDescent="0.2">
      <c r="A157" s="345">
        <v>32294</v>
      </c>
      <c r="B157" s="73"/>
      <c r="C157" s="25"/>
      <c r="D157" s="73"/>
      <c r="E157" s="73"/>
    </row>
    <row r="158" spans="1:5" x14ac:dyDescent="0.2">
      <c r="A158" s="345">
        <v>32324</v>
      </c>
      <c r="B158" s="73"/>
      <c r="C158" s="25"/>
      <c r="D158" s="73"/>
      <c r="E158" s="73"/>
    </row>
    <row r="159" spans="1:5" x14ac:dyDescent="0.2">
      <c r="A159" s="345">
        <v>32355</v>
      </c>
      <c r="B159" s="73"/>
      <c r="C159" s="25"/>
      <c r="D159" s="73"/>
      <c r="E159" s="73"/>
    </row>
    <row r="160" spans="1:5" x14ac:dyDescent="0.2">
      <c r="A160" s="345">
        <v>32386</v>
      </c>
      <c r="B160" s="73"/>
      <c r="C160" s="25"/>
      <c r="D160" s="73"/>
      <c r="E160" s="73"/>
    </row>
    <row r="161" spans="1:5" x14ac:dyDescent="0.2">
      <c r="A161" s="345">
        <v>32416</v>
      </c>
      <c r="B161" s="73"/>
      <c r="C161" s="25"/>
      <c r="D161" s="73"/>
      <c r="E161" s="73"/>
    </row>
    <row r="162" spans="1:5" x14ac:dyDescent="0.2">
      <c r="A162" s="345">
        <v>32447</v>
      </c>
      <c r="B162" s="73"/>
      <c r="C162" s="25"/>
      <c r="D162" s="73"/>
      <c r="E162" s="73"/>
    </row>
    <row r="163" spans="1:5" x14ac:dyDescent="0.2">
      <c r="A163" s="345">
        <v>32477</v>
      </c>
      <c r="B163" s="73"/>
      <c r="C163" s="25"/>
      <c r="D163" s="73"/>
      <c r="E163" s="73"/>
    </row>
    <row r="164" spans="1:5" x14ac:dyDescent="0.2">
      <c r="A164" s="345">
        <v>32508</v>
      </c>
      <c r="B164" s="73"/>
      <c r="C164" s="25"/>
      <c r="D164" s="73"/>
      <c r="E164" s="73"/>
    </row>
    <row r="165" spans="1:5" x14ac:dyDescent="0.2">
      <c r="A165" s="345">
        <v>32539</v>
      </c>
      <c r="B165" s="73"/>
      <c r="C165" s="25"/>
      <c r="D165" s="73"/>
      <c r="E165" s="73"/>
    </row>
    <row r="166" spans="1:5" x14ac:dyDescent="0.2">
      <c r="A166" s="345">
        <v>32567</v>
      </c>
      <c r="B166" s="73"/>
      <c r="C166" s="25"/>
      <c r="D166" s="73"/>
      <c r="E166" s="73"/>
    </row>
    <row r="167" spans="1:5" x14ac:dyDescent="0.2">
      <c r="A167" s="345">
        <v>32598</v>
      </c>
      <c r="B167" s="73"/>
      <c r="C167" s="25"/>
      <c r="D167" s="73"/>
      <c r="E167" s="73"/>
    </row>
    <row r="168" spans="1:5" x14ac:dyDescent="0.2">
      <c r="A168" s="345">
        <v>32628</v>
      </c>
      <c r="B168" s="73"/>
      <c r="C168" s="25"/>
      <c r="D168" s="73"/>
      <c r="E168" s="73"/>
    </row>
    <row r="169" spans="1:5" x14ac:dyDescent="0.2">
      <c r="A169" s="345">
        <v>32659</v>
      </c>
      <c r="B169" s="73"/>
      <c r="C169" s="25"/>
      <c r="D169" s="73"/>
      <c r="E169" s="73"/>
    </row>
    <row r="170" spans="1:5" x14ac:dyDescent="0.2">
      <c r="A170" s="345">
        <v>32689</v>
      </c>
      <c r="B170" s="73"/>
      <c r="C170" s="25"/>
      <c r="D170" s="73"/>
      <c r="E170" s="73"/>
    </row>
    <row r="171" spans="1:5" x14ac:dyDescent="0.2">
      <c r="A171" s="345">
        <v>32720</v>
      </c>
      <c r="B171" s="73"/>
      <c r="C171" s="25"/>
      <c r="D171" s="73"/>
      <c r="E171" s="73"/>
    </row>
    <row r="172" spans="1:5" x14ac:dyDescent="0.2">
      <c r="A172" s="345">
        <v>32751</v>
      </c>
      <c r="B172" s="73"/>
      <c r="C172" s="25"/>
      <c r="D172" s="73"/>
      <c r="E172" s="73"/>
    </row>
    <row r="173" spans="1:5" x14ac:dyDescent="0.2">
      <c r="A173" s="345">
        <v>32781</v>
      </c>
      <c r="B173" s="73"/>
      <c r="C173" s="25"/>
      <c r="D173" s="73"/>
      <c r="E173" s="73"/>
    </row>
    <row r="174" spans="1:5" x14ac:dyDescent="0.2">
      <c r="A174" s="345">
        <v>32812</v>
      </c>
      <c r="B174" s="73"/>
      <c r="C174" s="25"/>
      <c r="D174" s="73"/>
      <c r="E174" s="73"/>
    </row>
    <row r="175" spans="1:5" x14ac:dyDescent="0.2">
      <c r="A175" s="345">
        <v>32842</v>
      </c>
      <c r="B175" s="73"/>
      <c r="C175" s="25"/>
      <c r="D175" s="73"/>
      <c r="E175" s="73"/>
    </row>
    <row r="176" spans="1:5" x14ac:dyDescent="0.2">
      <c r="A176" s="345">
        <v>32873</v>
      </c>
      <c r="B176" s="73"/>
      <c r="C176" s="25"/>
      <c r="D176" s="73"/>
      <c r="E176" s="73"/>
    </row>
    <row r="177" spans="1:5" x14ac:dyDescent="0.2">
      <c r="A177" s="345">
        <v>32904</v>
      </c>
      <c r="B177" s="73"/>
      <c r="C177" s="25"/>
      <c r="D177" s="73"/>
      <c r="E177" s="73"/>
    </row>
    <row r="178" spans="1:5" x14ac:dyDescent="0.2">
      <c r="A178" s="345">
        <v>32932</v>
      </c>
      <c r="B178" s="73"/>
      <c r="C178" s="25"/>
      <c r="D178" s="73"/>
      <c r="E178" s="73"/>
    </row>
    <row r="179" spans="1:5" x14ac:dyDescent="0.2">
      <c r="A179" s="345">
        <v>32963</v>
      </c>
      <c r="B179" s="73"/>
      <c r="C179" s="25"/>
      <c r="D179" s="73"/>
      <c r="E179" s="73"/>
    </row>
    <row r="180" spans="1:5" x14ac:dyDescent="0.2">
      <c r="A180" s="345">
        <v>32993</v>
      </c>
      <c r="B180" s="73"/>
      <c r="C180" s="25"/>
      <c r="D180" s="73"/>
      <c r="E180" s="73"/>
    </row>
    <row r="181" spans="1:5" x14ac:dyDescent="0.2">
      <c r="A181" s="345">
        <v>33024</v>
      </c>
      <c r="B181" s="73"/>
      <c r="C181" s="25"/>
      <c r="D181" s="73"/>
      <c r="E181" s="73"/>
    </row>
    <row r="182" spans="1:5" x14ac:dyDescent="0.2">
      <c r="A182" s="345">
        <v>33054</v>
      </c>
      <c r="B182" s="73"/>
      <c r="C182" s="25"/>
      <c r="D182" s="73"/>
      <c r="E182" s="73"/>
    </row>
    <row r="183" spans="1:5" x14ac:dyDescent="0.2">
      <c r="A183" s="345">
        <v>33085</v>
      </c>
      <c r="B183" s="73"/>
      <c r="C183" s="25"/>
      <c r="D183" s="73"/>
      <c r="E183" s="73"/>
    </row>
    <row r="184" spans="1:5" x14ac:dyDescent="0.2">
      <c r="A184" s="345">
        <v>33116</v>
      </c>
      <c r="B184" s="73"/>
      <c r="C184" s="25"/>
      <c r="D184" s="73"/>
      <c r="E184" s="73"/>
    </row>
    <row r="185" spans="1:5" x14ac:dyDescent="0.2">
      <c r="A185" s="345">
        <v>33146</v>
      </c>
      <c r="B185" s="73"/>
      <c r="C185" s="25"/>
      <c r="D185" s="73"/>
      <c r="E185" s="73"/>
    </row>
    <row r="186" spans="1:5" x14ac:dyDescent="0.2">
      <c r="A186" s="345">
        <v>33177</v>
      </c>
      <c r="B186" s="73"/>
      <c r="C186" s="25"/>
      <c r="D186" s="73"/>
      <c r="E186" s="73"/>
    </row>
    <row r="187" spans="1:5" x14ac:dyDescent="0.2">
      <c r="A187" s="345">
        <v>33207</v>
      </c>
      <c r="B187" s="73"/>
      <c r="C187" s="25"/>
      <c r="D187" s="73"/>
      <c r="E187" s="73"/>
    </row>
    <row r="188" spans="1:5" x14ac:dyDescent="0.2">
      <c r="A188" s="345">
        <v>33238</v>
      </c>
      <c r="B188" s="73"/>
      <c r="C188" s="25"/>
      <c r="D188" s="73"/>
      <c r="E188" s="73"/>
    </row>
    <row r="189" spans="1:5" x14ac:dyDescent="0.2">
      <c r="A189" s="345">
        <v>33269</v>
      </c>
      <c r="B189" s="73"/>
      <c r="C189" s="25"/>
      <c r="D189" s="73"/>
      <c r="E189" s="73"/>
    </row>
    <row r="190" spans="1:5" x14ac:dyDescent="0.2">
      <c r="A190" s="345">
        <v>33297</v>
      </c>
      <c r="B190" s="73"/>
      <c r="C190" s="25"/>
      <c r="D190" s="73"/>
      <c r="E190" s="73"/>
    </row>
    <row r="191" spans="1:5" x14ac:dyDescent="0.2">
      <c r="A191" s="345">
        <v>33328</v>
      </c>
      <c r="B191" s="73"/>
      <c r="C191" s="25"/>
      <c r="D191" s="73"/>
      <c r="E191" s="73"/>
    </row>
    <row r="192" spans="1:5" x14ac:dyDescent="0.2">
      <c r="A192" s="345">
        <v>33358</v>
      </c>
      <c r="B192" s="73"/>
      <c r="C192" s="25"/>
      <c r="D192" s="73"/>
      <c r="E192" s="73"/>
    </row>
    <row r="193" spans="1:5" x14ac:dyDescent="0.2">
      <c r="A193" s="345">
        <v>33389</v>
      </c>
      <c r="B193" s="73"/>
      <c r="C193" s="25"/>
      <c r="D193" s="73"/>
      <c r="E193" s="73"/>
    </row>
    <row r="194" spans="1:5" x14ac:dyDescent="0.2">
      <c r="A194" s="345">
        <v>33419</v>
      </c>
      <c r="B194" s="73"/>
      <c r="C194" s="25"/>
      <c r="D194" s="73"/>
      <c r="E194" s="73"/>
    </row>
    <row r="195" spans="1:5" x14ac:dyDescent="0.2">
      <c r="A195" s="345">
        <v>33450</v>
      </c>
      <c r="B195" s="73"/>
      <c r="C195" s="25"/>
      <c r="D195" s="73"/>
      <c r="E195" s="73"/>
    </row>
    <row r="196" spans="1:5" x14ac:dyDescent="0.2">
      <c r="A196" s="345">
        <v>33481</v>
      </c>
      <c r="B196" s="73"/>
      <c r="C196" s="25"/>
      <c r="D196" s="73"/>
      <c r="E196" s="73"/>
    </row>
    <row r="197" spans="1:5" x14ac:dyDescent="0.2">
      <c r="A197" s="345">
        <v>33511</v>
      </c>
      <c r="B197" s="73"/>
      <c r="C197" s="25"/>
      <c r="D197" s="73"/>
      <c r="E197" s="73"/>
    </row>
    <row r="198" spans="1:5" x14ac:dyDescent="0.2">
      <c r="A198" s="345">
        <v>33542</v>
      </c>
      <c r="B198" s="73"/>
      <c r="C198" s="25"/>
      <c r="D198" s="73"/>
      <c r="E198" s="73"/>
    </row>
    <row r="199" spans="1:5" x14ac:dyDescent="0.2">
      <c r="A199" s="345">
        <v>33572</v>
      </c>
      <c r="B199" s="73"/>
      <c r="C199" s="25"/>
      <c r="D199" s="73"/>
      <c r="E199" s="73"/>
    </row>
    <row r="200" spans="1:5" x14ac:dyDescent="0.2">
      <c r="A200" s="345">
        <v>33603</v>
      </c>
      <c r="B200" s="73"/>
      <c r="C200" s="25"/>
      <c r="D200" s="73"/>
      <c r="E200" s="73"/>
    </row>
    <row r="201" spans="1:5" x14ac:dyDescent="0.2">
      <c r="A201" s="345">
        <v>33634</v>
      </c>
      <c r="B201" s="73"/>
      <c r="C201" s="25"/>
      <c r="D201" s="73"/>
      <c r="E201" s="73"/>
    </row>
    <row r="202" spans="1:5" x14ac:dyDescent="0.2">
      <c r="A202" s="345">
        <v>33663</v>
      </c>
      <c r="B202" s="73"/>
      <c r="C202" s="25"/>
      <c r="D202" s="73"/>
      <c r="E202" s="73"/>
    </row>
    <row r="203" spans="1:5" x14ac:dyDescent="0.2">
      <c r="A203" s="345">
        <v>33694</v>
      </c>
      <c r="B203" s="73"/>
      <c r="C203" s="25"/>
      <c r="D203" s="73"/>
      <c r="E203" s="73"/>
    </row>
    <row r="204" spans="1:5" x14ac:dyDescent="0.2">
      <c r="A204" s="345">
        <v>33724</v>
      </c>
      <c r="B204" s="73"/>
      <c r="C204" s="25"/>
      <c r="D204" s="73"/>
      <c r="E204" s="73"/>
    </row>
    <row r="205" spans="1:5" x14ac:dyDescent="0.2">
      <c r="A205" s="345">
        <v>33755</v>
      </c>
      <c r="B205" s="73"/>
      <c r="C205" s="25"/>
      <c r="D205" s="73"/>
      <c r="E205" s="73"/>
    </row>
    <row r="206" spans="1:5" x14ac:dyDescent="0.2">
      <c r="A206" s="345">
        <v>33785</v>
      </c>
      <c r="B206" s="73"/>
      <c r="C206" s="25"/>
      <c r="D206" s="73"/>
      <c r="E206" s="73"/>
    </row>
    <row r="207" spans="1:5" x14ac:dyDescent="0.2">
      <c r="A207" s="345">
        <v>33816</v>
      </c>
      <c r="B207" s="73"/>
      <c r="C207" s="25"/>
      <c r="D207" s="73"/>
      <c r="E207" s="73"/>
    </row>
    <row r="208" spans="1:5" x14ac:dyDescent="0.2">
      <c r="A208" s="345">
        <v>33847</v>
      </c>
      <c r="B208" s="73"/>
      <c r="C208" s="25"/>
      <c r="D208" s="73"/>
      <c r="E208" s="73"/>
    </row>
    <row r="209" spans="1:5" x14ac:dyDescent="0.2">
      <c r="A209" s="345">
        <v>33877</v>
      </c>
      <c r="B209" s="73"/>
      <c r="C209" s="25"/>
      <c r="D209" s="73"/>
      <c r="E209" s="73"/>
    </row>
    <row r="210" spans="1:5" x14ac:dyDescent="0.2">
      <c r="A210" s="345">
        <v>33908</v>
      </c>
      <c r="B210" s="73"/>
      <c r="C210" s="25"/>
      <c r="D210" s="73"/>
      <c r="E210" s="73"/>
    </row>
    <row r="211" spans="1:5" x14ac:dyDescent="0.2">
      <c r="A211" s="345">
        <v>33938</v>
      </c>
      <c r="B211" s="73"/>
      <c r="C211" s="25"/>
      <c r="D211" s="73"/>
      <c r="E211" s="73"/>
    </row>
    <row r="212" spans="1:5" x14ac:dyDescent="0.2">
      <c r="A212" s="345">
        <v>33969</v>
      </c>
      <c r="B212" s="73"/>
      <c r="C212" s="25"/>
      <c r="D212" s="73"/>
      <c r="E212" s="73"/>
    </row>
    <row r="213" spans="1:5" x14ac:dyDescent="0.2">
      <c r="A213" s="345">
        <v>34000</v>
      </c>
      <c r="B213" s="73"/>
      <c r="C213" s="25"/>
      <c r="D213" s="73"/>
      <c r="E213" s="73"/>
    </row>
    <row r="214" spans="1:5" x14ac:dyDescent="0.2">
      <c r="A214" s="345">
        <v>34028</v>
      </c>
      <c r="B214" s="73"/>
      <c r="C214" s="25"/>
      <c r="D214" s="73"/>
      <c r="E214" s="73"/>
    </row>
    <row r="215" spans="1:5" x14ac:dyDescent="0.2">
      <c r="A215" s="345">
        <v>34059</v>
      </c>
      <c r="B215" s="73"/>
      <c r="C215" s="25"/>
      <c r="D215" s="73"/>
      <c r="E215" s="73"/>
    </row>
    <row r="216" spans="1:5" x14ac:dyDescent="0.2">
      <c r="A216" s="345">
        <v>34089</v>
      </c>
      <c r="B216" s="73"/>
      <c r="C216" s="25"/>
      <c r="D216" s="73"/>
      <c r="E216" s="73"/>
    </row>
    <row r="217" spans="1:5" x14ac:dyDescent="0.2">
      <c r="A217" s="345">
        <v>34120</v>
      </c>
      <c r="B217" s="73"/>
      <c r="C217" s="25"/>
      <c r="D217" s="73"/>
      <c r="E217" s="73"/>
    </row>
    <row r="218" spans="1:5" x14ac:dyDescent="0.2">
      <c r="A218" s="345">
        <v>34150</v>
      </c>
      <c r="B218" s="73"/>
      <c r="C218" s="25"/>
      <c r="D218" s="73"/>
      <c r="E218" s="73"/>
    </row>
    <row r="219" spans="1:5" x14ac:dyDescent="0.2">
      <c r="A219" s="345">
        <v>34181</v>
      </c>
      <c r="B219" s="73"/>
      <c r="C219" s="25"/>
      <c r="D219" s="73"/>
      <c r="E219" s="73"/>
    </row>
    <row r="220" spans="1:5" x14ac:dyDescent="0.2">
      <c r="A220" s="345">
        <v>34212</v>
      </c>
      <c r="B220" s="73"/>
      <c r="C220" s="25"/>
      <c r="D220" s="73"/>
      <c r="E220" s="73"/>
    </row>
    <row r="221" spans="1:5" x14ac:dyDescent="0.2">
      <c r="A221" s="345">
        <v>34242</v>
      </c>
      <c r="B221" s="73"/>
      <c r="C221" s="25"/>
      <c r="D221" s="73"/>
      <c r="E221" s="73"/>
    </row>
    <row r="222" spans="1:5" x14ac:dyDescent="0.2">
      <c r="A222" s="345">
        <v>34273</v>
      </c>
      <c r="B222" s="73"/>
      <c r="C222" s="25"/>
      <c r="D222" s="73"/>
      <c r="E222" s="73"/>
    </row>
    <row r="223" spans="1:5" x14ac:dyDescent="0.2">
      <c r="A223" s="345">
        <v>34303</v>
      </c>
      <c r="B223" s="73"/>
      <c r="C223" s="25"/>
      <c r="D223" s="73"/>
      <c r="E223" s="73"/>
    </row>
    <row r="224" spans="1:5" x14ac:dyDescent="0.2">
      <c r="A224" s="345">
        <v>34334</v>
      </c>
      <c r="B224" s="73"/>
      <c r="C224" s="25"/>
      <c r="D224" s="73"/>
      <c r="E224" s="73"/>
    </row>
    <row r="225" spans="1:5" x14ac:dyDescent="0.2">
      <c r="A225" s="345">
        <v>34365</v>
      </c>
      <c r="B225" s="73"/>
      <c r="C225" s="25"/>
      <c r="D225" s="73"/>
      <c r="E225" s="73"/>
    </row>
    <row r="226" spans="1:5" x14ac:dyDescent="0.2">
      <c r="A226" s="345">
        <v>34393</v>
      </c>
      <c r="B226" s="73"/>
      <c r="C226" s="25"/>
      <c r="D226" s="73"/>
      <c r="E226" s="73"/>
    </row>
    <row r="227" spans="1:5" x14ac:dyDescent="0.2">
      <c r="A227" s="345">
        <v>34424</v>
      </c>
      <c r="B227" s="73"/>
      <c r="C227" s="25"/>
      <c r="D227" s="73"/>
      <c r="E227" s="73"/>
    </row>
    <row r="228" spans="1:5" x14ac:dyDescent="0.2">
      <c r="A228" s="345">
        <v>34454</v>
      </c>
      <c r="B228" s="73"/>
      <c r="C228" s="25"/>
      <c r="D228" s="73"/>
      <c r="E228" s="73"/>
    </row>
    <row r="229" spans="1:5" x14ac:dyDescent="0.2">
      <c r="A229" s="345">
        <v>34485</v>
      </c>
      <c r="B229" s="73"/>
      <c r="C229" s="25"/>
      <c r="D229" s="73"/>
      <c r="E229" s="73"/>
    </row>
    <row r="230" spans="1:5" x14ac:dyDescent="0.2">
      <c r="A230" s="345">
        <v>34515</v>
      </c>
      <c r="B230" s="73"/>
      <c r="C230" s="25"/>
      <c r="D230" s="73"/>
      <c r="E230" s="73"/>
    </row>
    <row r="231" spans="1:5" x14ac:dyDescent="0.2">
      <c r="A231" s="345">
        <v>34546</v>
      </c>
      <c r="B231" s="73"/>
      <c r="C231" s="25"/>
      <c r="D231" s="73"/>
      <c r="E231" s="73"/>
    </row>
    <row r="232" spans="1:5" x14ac:dyDescent="0.2">
      <c r="A232" s="345">
        <v>34577</v>
      </c>
      <c r="B232" s="73"/>
      <c r="C232" s="25"/>
      <c r="D232" s="73"/>
      <c r="E232" s="73"/>
    </row>
    <row r="233" spans="1:5" x14ac:dyDescent="0.2">
      <c r="A233" s="345">
        <v>34607</v>
      </c>
      <c r="B233" s="73"/>
      <c r="C233" s="25"/>
      <c r="D233" s="73"/>
      <c r="E233" s="73"/>
    </row>
    <row r="234" spans="1:5" x14ac:dyDescent="0.2">
      <c r="A234" s="345">
        <v>34638</v>
      </c>
      <c r="B234" s="73"/>
      <c r="C234" s="25"/>
      <c r="D234" s="73"/>
      <c r="E234" s="73"/>
    </row>
    <row r="235" spans="1:5" x14ac:dyDescent="0.2">
      <c r="A235" s="345">
        <v>34668</v>
      </c>
      <c r="B235" s="73"/>
      <c r="C235" s="25"/>
      <c r="D235" s="73"/>
      <c r="E235" s="73"/>
    </row>
    <row r="236" spans="1:5" x14ac:dyDescent="0.2">
      <c r="A236" s="345">
        <v>34699</v>
      </c>
      <c r="B236" s="73"/>
      <c r="C236" s="25"/>
      <c r="D236" s="73"/>
      <c r="E236" s="73"/>
    </row>
    <row r="237" spans="1:5" x14ac:dyDescent="0.2">
      <c r="A237" s="345">
        <v>34730</v>
      </c>
      <c r="B237" s="73"/>
      <c r="C237" s="25"/>
      <c r="D237" s="73"/>
      <c r="E237" s="73"/>
    </row>
    <row r="238" spans="1:5" x14ac:dyDescent="0.2">
      <c r="A238" s="345">
        <v>34758</v>
      </c>
      <c r="B238" s="73"/>
      <c r="C238" s="25"/>
      <c r="D238" s="73"/>
      <c r="E238" s="73"/>
    </row>
    <row r="239" spans="1:5" x14ac:dyDescent="0.2">
      <c r="A239" s="345">
        <v>34789</v>
      </c>
      <c r="B239" s="73"/>
      <c r="C239" s="25"/>
      <c r="D239" s="73"/>
      <c r="E239" s="73"/>
    </row>
    <row r="240" spans="1:5" x14ac:dyDescent="0.2">
      <c r="A240" s="345">
        <v>34819</v>
      </c>
      <c r="B240" s="73"/>
      <c r="C240" s="25"/>
      <c r="D240" s="73"/>
      <c r="E240" s="73"/>
    </row>
    <row r="241" spans="1:5" x14ac:dyDescent="0.2">
      <c r="A241" s="345">
        <v>34850</v>
      </c>
      <c r="B241" s="73"/>
      <c r="C241" s="25"/>
      <c r="D241" s="73"/>
      <c r="E241" s="73"/>
    </row>
    <row r="242" spans="1:5" x14ac:dyDescent="0.2">
      <c r="A242" s="345">
        <v>34880</v>
      </c>
      <c r="B242" s="73"/>
      <c r="C242" s="25"/>
      <c r="D242" s="73"/>
      <c r="E242" s="73"/>
    </row>
    <row r="243" spans="1:5" x14ac:dyDescent="0.2">
      <c r="A243" s="345">
        <v>34911</v>
      </c>
      <c r="B243" s="73"/>
      <c r="C243" s="25"/>
      <c r="D243" s="73"/>
      <c r="E243" s="73"/>
    </row>
    <row r="244" spans="1:5" x14ac:dyDescent="0.2">
      <c r="A244" s="345">
        <v>34942</v>
      </c>
      <c r="B244" s="73"/>
      <c r="C244" s="25"/>
      <c r="D244" s="73"/>
      <c r="E244" s="73"/>
    </row>
    <row r="245" spans="1:5" x14ac:dyDescent="0.2">
      <c r="A245" s="345">
        <v>34972</v>
      </c>
      <c r="B245" s="73"/>
      <c r="C245" s="25"/>
      <c r="D245" s="73"/>
      <c r="E245" s="73"/>
    </row>
    <row r="246" spans="1:5" x14ac:dyDescent="0.2">
      <c r="A246" s="345">
        <v>35003</v>
      </c>
      <c r="B246" s="73"/>
      <c r="C246" s="25"/>
      <c r="D246" s="73"/>
      <c r="E246" s="73"/>
    </row>
    <row r="247" spans="1:5" x14ac:dyDescent="0.2">
      <c r="A247" s="345">
        <v>35033</v>
      </c>
      <c r="B247" s="73"/>
      <c r="C247" s="25"/>
      <c r="D247" s="73"/>
      <c r="E247" s="73"/>
    </row>
    <row r="248" spans="1:5" x14ac:dyDescent="0.2">
      <c r="A248" s="345">
        <v>35064</v>
      </c>
      <c r="B248" s="73"/>
      <c r="C248" s="25"/>
      <c r="D248" s="73"/>
      <c r="E248" s="73"/>
    </row>
    <row r="249" spans="1:5" x14ac:dyDescent="0.2">
      <c r="A249" s="345">
        <v>35095</v>
      </c>
      <c r="B249" s="73"/>
      <c r="C249" s="25"/>
      <c r="D249" s="73"/>
      <c r="E249" s="73"/>
    </row>
    <row r="250" spans="1:5" x14ac:dyDescent="0.2">
      <c r="A250" s="345">
        <v>35124</v>
      </c>
      <c r="B250" s="73"/>
      <c r="C250" s="25"/>
      <c r="D250" s="73"/>
      <c r="E250" s="73"/>
    </row>
    <row r="251" spans="1:5" x14ac:dyDescent="0.2">
      <c r="A251" s="345">
        <v>35155</v>
      </c>
      <c r="B251" s="73"/>
      <c r="C251" s="25"/>
      <c r="D251" s="73"/>
      <c r="E251" s="73"/>
    </row>
    <row r="252" spans="1:5" x14ac:dyDescent="0.2">
      <c r="A252" s="345">
        <v>35185</v>
      </c>
      <c r="B252" s="73"/>
      <c r="C252" s="25"/>
      <c r="D252" s="73"/>
      <c r="E252" s="73"/>
    </row>
    <row r="253" spans="1:5" x14ac:dyDescent="0.2">
      <c r="A253" s="345">
        <v>35216</v>
      </c>
      <c r="B253" s="73"/>
      <c r="C253" s="25"/>
      <c r="D253" s="73"/>
      <c r="E253" s="73"/>
    </row>
    <row r="254" spans="1:5" x14ac:dyDescent="0.2">
      <c r="A254" s="345">
        <v>35246</v>
      </c>
      <c r="B254" s="73"/>
      <c r="C254" s="25"/>
      <c r="D254" s="73"/>
      <c r="E254" s="73"/>
    </row>
    <row r="255" spans="1:5" x14ac:dyDescent="0.2">
      <c r="A255" s="345">
        <v>35277</v>
      </c>
      <c r="B255" s="73"/>
      <c r="C255" s="25"/>
      <c r="D255" s="73"/>
      <c r="E255" s="73"/>
    </row>
    <row r="256" spans="1:5" x14ac:dyDescent="0.2">
      <c r="A256" s="345">
        <v>35308</v>
      </c>
      <c r="B256" s="73"/>
      <c r="C256" s="25"/>
      <c r="D256" s="73"/>
      <c r="E256" s="73"/>
    </row>
    <row r="257" spans="1:5" x14ac:dyDescent="0.2">
      <c r="A257" s="345">
        <v>35338</v>
      </c>
      <c r="B257" s="73"/>
      <c r="C257" s="25"/>
      <c r="D257" s="73"/>
      <c r="E257" s="73"/>
    </row>
    <row r="258" spans="1:5" x14ac:dyDescent="0.2">
      <c r="A258" s="345">
        <v>35369</v>
      </c>
      <c r="B258" s="73"/>
      <c r="C258" s="25"/>
      <c r="D258" s="73"/>
      <c r="E258" s="73"/>
    </row>
    <row r="259" spans="1:5" x14ac:dyDescent="0.2">
      <c r="A259" s="345">
        <v>35399</v>
      </c>
      <c r="B259" s="73"/>
      <c r="C259" s="25"/>
      <c r="D259" s="73"/>
      <c r="E259" s="73"/>
    </row>
    <row r="260" spans="1:5" x14ac:dyDescent="0.2">
      <c r="A260" s="345">
        <v>35430</v>
      </c>
      <c r="B260" s="73"/>
      <c r="C260" s="25"/>
      <c r="D260" s="73"/>
      <c r="E260" s="73"/>
    </row>
    <row r="261" spans="1:5" x14ac:dyDescent="0.2">
      <c r="A261" s="345">
        <v>35461</v>
      </c>
      <c r="B261" s="73"/>
      <c r="C261" s="25"/>
      <c r="D261" s="73"/>
      <c r="E261" s="73"/>
    </row>
    <row r="262" spans="1:5" x14ac:dyDescent="0.2">
      <c r="A262" s="345">
        <v>35489</v>
      </c>
      <c r="B262" s="73"/>
      <c r="C262" s="25"/>
      <c r="D262" s="73"/>
      <c r="E262" s="73"/>
    </row>
    <row r="263" spans="1:5" x14ac:dyDescent="0.2">
      <c r="A263" s="345">
        <v>35520</v>
      </c>
      <c r="B263" s="73"/>
      <c r="C263" s="25"/>
      <c r="D263" s="73"/>
      <c r="E263" s="73"/>
    </row>
    <row r="264" spans="1:5" x14ac:dyDescent="0.2">
      <c r="A264" s="345">
        <v>35550</v>
      </c>
      <c r="B264" s="73"/>
      <c r="C264" s="25"/>
      <c r="D264" s="73"/>
      <c r="E264" s="73"/>
    </row>
    <row r="265" spans="1:5" x14ac:dyDescent="0.2">
      <c r="A265" s="345">
        <v>35581</v>
      </c>
      <c r="B265" s="73"/>
      <c r="C265" s="25"/>
      <c r="D265" s="73"/>
      <c r="E265" s="73"/>
    </row>
    <row r="266" spans="1:5" x14ac:dyDescent="0.2">
      <c r="A266" s="345">
        <v>35611</v>
      </c>
      <c r="B266" s="73"/>
      <c r="C266" s="25"/>
      <c r="D266" s="73"/>
      <c r="E266" s="73"/>
    </row>
    <row r="267" spans="1:5" x14ac:dyDescent="0.2">
      <c r="A267" s="345">
        <v>35642</v>
      </c>
      <c r="B267" s="73"/>
      <c r="C267" s="25"/>
      <c r="D267" s="73"/>
      <c r="E267" s="73"/>
    </row>
    <row r="268" spans="1:5" x14ac:dyDescent="0.2">
      <c r="A268" s="345">
        <v>35673</v>
      </c>
      <c r="B268" s="73"/>
      <c r="C268" s="25"/>
      <c r="D268" s="73"/>
      <c r="E268" s="73"/>
    </row>
    <row r="269" spans="1:5" x14ac:dyDescent="0.2">
      <c r="A269" s="345">
        <v>35703</v>
      </c>
      <c r="B269" s="73"/>
      <c r="C269" s="25"/>
      <c r="D269" s="73"/>
      <c r="E269" s="73"/>
    </row>
    <row r="270" spans="1:5" x14ac:dyDescent="0.2">
      <c r="A270" s="345">
        <v>35734</v>
      </c>
      <c r="B270" s="73"/>
      <c r="C270" s="25"/>
      <c r="D270" s="73"/>
      <c r="E270" s="73"/>
    </row>
    <row r="271" spans="1:5" x14ac:dyDescent="0.2">
      <c r="A271" s="345">
        <v>35764</v>
      </c>
      <c r="B271" s="73"/>
      <c r="C271" s="25"/>
      <c r="D271" s="73"/>
      <c r="E271" s="73"/>
    </row>
    <row r="272" spans="1:5" x14ac:dyDescent="0.2">
      <c r="A272" s="345">
        <v>35795</v>
      </c>
      <c r="B272" s="73"/>
      <c r="C272" s="25"/>
      <c r="D272" s="73"/>
      <c r="E272" s="73"/>
    </row>
    <row r="273" spans="1:5" x14ac:dyDescent="0.2">
      <c r="A273" s="345">
        <v>35826</v>
      </c>
      <c r="B273" s="73"/>
      <c r="C273" s="25"/>
      <c r="D273" s="73"/>
      <c r="E273" s="73"/>
    </row>
    <row r="274" spans="1:5" x14ac:dyDescent="0.2">
      <c r="A274" s="345">
        <v>35854</v>
      </c>
      <c r="B274" s="73"/>
      <c r="C274" s="32"/>
      <c r="D274" s="73"/>
      <c r="E274" s="73"/>
    </row>
    <row r="275" spans="1:5" x14ac:dyDescent="0.2">
      <c r="A275" s="345">
        <v>35885</v>
      </c>
      <c r="B275" s="73"/>
      <c r="C275" s="32"/>
      <c r="D275" s="73"/>
      <c r="E275" s="73"/>
    </row>
    <row r="276" spans="1:5" x14ac:dyDescent="0.2">
      <c r="A276" s="345">
        <v>35915</v>
      </c>
      <c r="B276" s="73"/>
      <c r="C276" s="32"/>
      <c r="D276" s="73"/>
      <c r="E276" s="73"/>
    </row>
    <row r="277" spans="1:5" x14ac:dyDescent="0.2">
      <c r="A277" s="345">
        <v>35946</v>
      </c>
      <c r="B277" s="73"/>
      <c r="C277" s="32"/>
      <c r="D277" s="73"/>
      <c r="E277" s="73"/>
    </row>
    <row r="278" spans="1:5" x14ac:dyDescent="0.2">
      <c r="A278" s="345">
        <v>35976</v>
      </c>
      <c r="B278" s="73"/>
      <c r="C278" s="32"/>
      <c r="D278" s="73"/>
      <c r="E278" s="73"/>
    </row>
    <row r="279" spans="1:5" x14ac:dyDescent="0.2">
      <c r="A279" s="345">
        <v>36007</v>
      </c>
      <c r="B279" s="73"/>
      <c r="C279" s="32"/>
      <c r="D279" s="73"/>
      <c r="E279" s="73"/>
    </row>
    <row r="280" spans="1:5" x14ac:dyDescent="0.2">
      <c r="A280" s="345">
        <v>36038</v>
      </c>
      <c r="B280" s="73"/>
      <c r="C280" s="31"/>
      <c r="D280" s="73"/>
      <c r="E280" s="73"/>
    </row>
    <row r="281" spans="1:5" x14ac:dyDescent="0.2">
      <c r="A281" s="345">
        <v>36068</v>
      </c>
      <c r="B281" s="253"/>
      <c r="C281" s="33"/>
      <c r="D281" s="253"/>
      <c r="E281" s="253"/>
    </row>
    <row r="282" spans="1:5" x14ac:dyDescent="0.2">
      <c r="A282" s="345">
        <v>36099</v>
      </c>
      <c r="B282" s="253"/>
      <c r="C282" s="33"/>
      <c r="D282" s="253"/>
      <c r="E282" s="253"/>
    </row>
    <row r="283" spans="1:5" x14ac:dyDescent="0.2">
      <c r="A283" s="345">
        <v>36129</v>
      </c>
      <c r="B283" s="253"/>
      <c r="C283" s="33"/>
      <c r="D283" s="253"/>
      <c r="E283" s="253"/>
    </row>
    <row r="284" spans="1:5" x14ac:dyDescent="0.2">
      <c r="A284" s="345">
        <v>36160</v>
      </c>
      <c r="B284" s="253"/>
      <c r="C284" s="33"/>
      <c r="D284" s="253"/>
      <c r="E284" s="253"/>
    </row>
    <row r="285" spans="1:5" x14ac:dyDescent="0.2">
      <c r="A285" s="345">
        <v>36191</v>
      </c>
      <c r="B285" s="253"/>
      <c r="C285" s="33"/>
      <c r="D285" s="253"/>
      <c r="E285" s="253"/>
    </row>
    <row r="286" spans="1:5" x14ac:dyDescent="0.2">
      <c r="A286" s="345">
        <v>36219</v>
      </c>
      <c r="B286" s="253"/>
      <c r="C286" s="33"/>
      <c r="D286" s="253"/>
      <c r="E286" s="253"/>
    </row>
    <row r="287" spans="1:5" x14ac:dyDescent="0.2">
      <c r="A287" s="345">
        <v>36250</v>
      </c>
      <c r="B287" s="253"/>
      <c r="C287" s="33"/>
      <c r="D287" s="253"/>
      <c r="E287" s="253"/>
    </row>
    <row r="288" spans="1:5" x14ac:dyDescent="0.2">
      <c r="A288" s="345">
        <v>36280</v>
      </c>
      <c r="B288" s="253"/>
      <c r="C288" s="33"/>
      <c r="D288" s="253"/>
      <c r="E288" s="253"/>
    </row>
    <row r="289" spans="1:5" x14ac:dyDescent="0.2">
      <c r="A289" s="345">
        <v>36311</v>
      </c>
      <c r="B289" s="253"/>
      <c r="C289" s="33"/>
      <c r="D289" s="253"/>
      <c r="E289" s="253"/>
    </row>
    <row r="290" spans="1:5" x14ac:dyDescent="0.2">
      <c r="A290" s="345">
        <v>36341</v>
      </c>
      <c r="B290" s="253"/>
      <c r="C290" s="33"/>
      <c r="D290" s="253"/>
      <c r="E290" s="253"/>
    </row>
    <row r="291" spans="1:5" x14ac:dyDescent="0.2">
      <c r="A291" s="345">
        <v>36372</v>
      </c>
      <c r="B291" s="253"/>
      <c r="C291" s="33"/>
      <c r="D291" s="253"/>
      <c r="E291" s="253"/>
    </row>
    <row r="292" spans="1:5" x14ac:dyDescent="0.2">
      <c r="A292" s="345">
        <v>36403</v>
      </c>
      <c r="B292" s="253"/>
      <c r="C292" s="33"/>
      <c r="D292" s="253"/>
      <c r="E292" s="253"/>
    </row>
    <row r="293" spans="1:5" x14ac:dyDescent="0.2">
      <c r="A293" s="345">
        <v>36433</v>
      </c>
      <c r="B293" s="253"/>
      <c r="C293" s="33"/>
      <c r="D293" s="253"/>
      <c r="E293" s="253"/>
    </row>
    <row r="294" spans="1:5" x14ac:dyDescent="0.2">
      <c r="A294" s="345">
        <v>36464</v>
      </c>
      <c r="B294" s="253"/>
      <c r="C294" s="33"/>
      <c r="D294" s="253"/>
      <c r="E294" s="253"/>
    </row>
    <row r="295" spans="1:5" x14ac:dyDescent="0.2">
      <c r="A295" s="345">
        <v>36494</v>
      </c>
      <c r="B295" s="253"/>
      <c r="C295" s="33"/>
      <c r="D295" s="253"/>
      <c r="E295" s="253"/>
    </row>
    <row r="296" spans="1:5" x14ac:dyDescent="0.2">
      <c r="A296" s="345">
        <v>36525</v>
      </c>
      <c r="B296" s="253"/>
      <c r="C296" s="33"/>
      <c r="D296" s="253"/>
      <c r="E296" s="253"/>
    </row>
    <row r="297" spans="1:5" x14ac:dyDescent="0.2">
      <c r="A297" s="345">
        <v>36556</v>
      </c>
      <c r="B297" s="253"/>
      <c r="C297" s="33"/>
      <c r="D297" s="253"/>
      <c r="E297" s="253"/>
    </row>
    <row r="298" spans="1:5" x14ac:dyDescent="0.2">
      <c r="A298" s="345">
        <v>36585</v>
      </c>
      <c r="B298" s="253"/>
      <c r="C298" s="33"/>
      <c r="D298" s="253"/>
      <c r="E298" s="253"/>
    </row>
    <row r="299" spans="1:5" x14ac:dyDescent="0.2">
      <c r="A299" s="345">
        <v>36616</v>
      </c>
      <c r="B299" s="253"/>
      <c r="C299" s="33"/>
      <c r="D299" s="253"/>
      <c r="E299" s="253"/>
    </row>
    <row r="300" spans="1:5" x14ac:dyDescent="0.2">
      <c r="A300" s="345">
        <v>36646</v>
      </c>
      <c r="B300" s="253"/>
      <c r="C300" s="33"/>
      <c r="D300" s="253"/>
      <c r="E300" s="253"/>
    </row>
    <row r="301" spans="1:5" x14ac:dyDescent="0.2">
      <c r="A301" s="345">
        <v>36677</v>
      </c>
      <c r="B301" s="253"/>
      <c r="C301" s="33"/>
      <c r="D301" s="253"/>
      <c r="E301" s="253"/>
    </row>
    <row r="302" spans="1:5" x14ac:dyDescent="0.2">
      <c r="A302" s="345">
        <v>36707</v>
      </c>
      <c r="B302" s="253"/>
      <c r="C302" s="33"/>
      <c r="D302" s="253"/>
      <c r="E302" s="253"/>
    </row>
    <row r="303" spans="1:5" x14ac:dyDescent="0.2">
      <c r="A303" s="345">
        <v>36738</v>
      </c>
      <c r="B303" s="253"/>
      <c r="C303" s="33"/>
      <c r="D303" s="253"/>
      <c r="E303" s="253"/>
    </row>
    <row r="304" spans="1:5" x14ac:dyDescent="0.2">
      <c r="A304" s="345">
        <v>36769</v>
      </c>
      <c r="B304" s="253"/>
      <c r="C304" s="33"/>
      <c r="D304" s="253"/>
      <c r="E304" s="253"/>
    </row>
    <row r="305" spans="1:5" x14ac:dyDescent="0.2">
      <c r="A305" s="345">
        <v>36799</v>
      </c>
      <c r="B305" s="253"/>
      <c r="C305" s="33"/>
      <c r="D305" s="253"/>
      <c r="E305" s="253"/>
    </row>
    <row r="306" spans="1:5" x14ac:dyDescent="0.2">
      <c r="A306" s="345">
        <v>36830</v>
      </c>
      <c r="B306" s="253"/>
      <c r="C306" s="33"/>
      <c r="D306" s="253"/>
      <c r="E306" s="253"/>
    </row>
    <row r="307" spans="1:5" x14ac:dyDescent="0.2">
      <c r="A307" s="345">
        <v>36860</v>
      </c>
      <c r="B307" s="253"/>
      <c r="C307" s="33"/>
      <c r="D307" s="253"/>
      <c r="E307" s="253"/>
    </row>
    <row r="308" spans="1:5" x14ac:dyDescent="0.2">
      <c r="A308" s="345">
        <v>36891</v>
      </c>
      <c r="B308" s="253"/>
      <c r="C308" s="33"/>
      <c r="D308" s="253"/>
      <c r="E308" s="253"/>
    </row>
    <row r="309" spans="1:5" x14ac:dyDescent="0.2">
      <c r="A309" s="345">
        <v>36922</v>
      </c>
      <c r="B309" s="253"/>
      <c r="C309" s="33"/>
      <c r="D309" s="253"/>
      <c r="E309" s="253"/>
    </row>
    <row r="310" spans="1:5" x14ac:dyDescent="0.2">
      <c r="A310" s="345">
        <v>36950</v>
      </c>
      <c r="B310" s="253"/>
      <c r="C310" s="33"/>
      <c r="D310" s="253"/>
      <c r="E310" s="253"/>
    </row>
    <row r="311" spans="1:5" x14ac:dyDescent="0.2">
      <c r="A311" s="345">
        <v>36981</v>
      </c>
      <c r="B311" s="253"/>
      <c r="C311" s="33"/>
      <c r="D311" s="253"/>
      <c r="E311" s="253"/>
    </row>
    <row r="312" spans="1:5" x14ac:dyDescent="0.2">
      <c r="A312" s="345">
        <v>37011</v>
      </c>
      <c r="B312" s="253"/>
      <c r="C312" s="33"/>
      <c r="D312" s="253"/>
      <c r="E312" s="253"/>
    </row>
    <row r="313" spans="1:5" x14ac:dyDescent="0.2">
      <c r="A313" s="345">
        <v>37042</v>
      </c>
      <c r="B313" s="253"/>
      <c r="C313" s="33"/>
      <c r="D313" s="253"/>
      <c r="E313" s="253"/>
    </row>
    <row r="314" spans="1:5" x14ac:dyDescent="0.2">
      <c r="A314" s="345">
        <v>37072</v>
      </c>
      <c r="B314" s="253"/>
      <c r="C314" s="33"/>
      <c r="D314" s="253"/>
      <c r="E314" s="253"/>
    </row>
    <row r="315" spans="1:5" x14ac:dyDescent="0.2">
      <c r="A315" s="345">
        <v>37103</v>
      </c>
      <c r="B315" s="253"/>
      <c r="C315" s="33"/>
      <c r="D315" s="253"/>
      <c r="E315" s="253"/>
    </row>
    <row r="316" spans="1:5" x14ac:dyDescent="0.2">
      <c r="A316" s="345">
        <v>37134</v>
      </c>
      <c r="B316" s="253"/>
      <c r="C316" s="33"/>
      <c r="D316" s="253"/>
      <c r="E316" s="253"/>
    </row>
    <row r="317" spans="1:5" x14ac:dyDescent="0.2">
      <c r="A317" s="345">
        <v>37164</v>
      </c>
      <c r="B317" s="253"/>
      <c r="C317" s="33"/>
      <c r="D317" s="253"/>
      <c r="E317" s="253"/>
    </row>
    <row r="318" spans="1:5" x14ac:dyDescent="0.2">
      <c r="A318" s="345">
        <v>37195</v>
      </c>
      <c r="B318" s="253"/>
      <c r="C318" s="33"/>
      <c r="D318" s="253"/>
      <c r="E318" s="253"/>
    </row>
    <row r="319" spans="1:5" x14ac:dyDescent="0.2">
      <c r="A319" s="345">
        <v>37225</v>
      </c>
      <c r="B319" s="253"/>
      <c r="C319" s="33"/>
      <c r="D319" s="253"/>
      <c r="E319" s="253"/>
    </row>
    <row r="320" spans="1:5" x14ac:dyDescent="0.2">
      <c r="A320" s="345">
        <v>37256</v>
      </c>
      <c r="B320" s="253"/>
      <c r="C320" s="33"/>
      <c r="D320" s="253"/>
      <c r="E320" s="253"/>
    </row>
    <row r="321" spans="1:5" x14ac:dyDescent="0.2">
      <c r="A321" s="345">
        <v>37287</v>
      </c>
      <c r="B321" s="253"/>
      <c r="C321" s="33"/>
      <c r="D321" s="253"/>
      <c r="E321" s="253"/>
    </row>
    <row r="322" spans="1:5" x14ac:dyDescent="0.2">
      <c r="A322" s="345">
        <v>37315</v>
      </c>
      <c r="B322" s="253"/>
      <c r="C322" s="33"/>
      <c r="D322" s="253"/>
      <c r="E322" s="253"/>
    </row>
    <row r="323" spans="1:5" x14ac:dyDescent="0.2">
      <c r="A323" s="345">
        <v>37346</v>
      </c>
      <c r="B323" s="253"/>
      <c r="C323" s="33"/>
      <c r="D323" s="253"/>
      <c r="E323" s="253"/>
    </row>
    <row r="324" spans="1:5" x14ac:dyDescent="0.2">
      <c r="A324" s="345">
        <v>37376</v>
      </c>
      <c r="B324" s="253"/>
      <c r="C324" s="33"/>
      <c r="D324" s="253"/>
      <c r="E324" s="253"/>
    </row>
    <row r="325" spans="1:5" x14ac:dyDescent="0.2">
      <c r="A325" s="345">
        <v>37407</v>
      </c>
      <c r="B325" s="253"/>
      <c r="C325" s="33"/>
      <c r="D325" s="253"/>
      <c r="E325" s="253"/>
    </row>
    <row r="326" spans="1:5" x14ac:dyDescent="0.2">
      <c r="A326" s="345">
        <v>37437</v>
      </c>
      <c r="B326" s="253"/>
      <c r="C326" s="33"/>
      <c r="D326" s="253"/>
      <c r="E326" s="253"/>
    </row>
    <row r="327" spans="1:5" x14ac:dyDescent="0.2">
      <c r="A327" s="345">
        <v>37468</v>
      </c>
      <c r="B327" s="253"/>
      <c r="C327" s="33"/>
      <c r="D327" s="253"/>
      <c r="E327" s="253"/>
    </row>
    <row r="328" spans="1:5" x14ac:dyDescent="0.2">
      <c r="A328" s="345">
        <v>37499</v>
      </c>
      <c r="B328" s="253"/>
      <c r="C328" s="33"/>
      <c r="D328" s="253"/>
      <c r="E328" s="253"/>
    </row>
    <row r="329" spans="1:5" x14ac:dyDescent="0.2">
      <c r="A329" s="345">
        <v>37529</v>
      </c>
      <c r="B329" s="253"/>
      <c r="C329" s="33"/>
      <c r="D329" s="253"/>
      <c r="E329" s="253"/>
    </row>
    <row r="330" spans="1:5" x14ac:dyDescent="0.2">
      <c r="A330" s="345">
        <v>37560</v>
      </c>
      <c r="B330" s="253"/>
      <c r="C330" s="33"/>
      <c r="D330" s="253"/>
      <c r="E330" s="253"/>
    </row>
    <row r="331" spans="1:5" x14ac:dyDescent="0.2">
      <c r="A331" s="345">
        <v>37590</v>
      </c>
      <c r="B331" s="253"/>
      <c r="C331" s="33"/>
      <c r="D331" s="253"/>
      <c r="E331" s="253"/>
    </row>
    <row r="332" spans="1:5" x14ac:dyDescent="0.2">
      <c r="A332" s="345">
        <v>37621</v>
      </c>
      <c r="B332" s="253"/>
      <c r="C332" s="33"/>
      <c r="D332" s="253"/>
      <c r="E332" s="253"/>
    </row>
    <row r="333" spans="1:5" x14ac:dyDescent="0.2">
      <c r="A333" s="345">
        <v>37652</v>
      </c>
      <c r="B333" s="253"/>
      <c r="C333" s="33"/>
      <c r="D333" s="253"/>
      <c r="E333" s="253"/>
    </row>
    <row r="334" spans="1:5" x14ac:dyDescent="0.2">
      <c r="A334" s="345">
        <v>37680</v>
      </c>
      <c r="B334" s="253"/>
      <c r="C334" s="33"/>
      <c r="D334" s="253"/>
      <c r="E334" s="253"/>
    </row>
    <row r="335" spans="1:5" x14ac:dyDescent="0.2">
      <c r="A335" s="345">
        <v>37711</v>
      </c>
      <c r="B335" s="253"/>
      <c r="C335" s="33"/>
      <c r="D335" s="253"/>
      <c r="E335" s="253"/>
    </row>
    <row r="336" spans="1:5" x14ac:dyDescent="0.2">
      <c r="A336" s="345">
        <v>37741</v>
      </c>
      <c r="B336" s="253"/>
      <c r="C336" s="33"/>
      <c r="D336" s="253"/>
      <c r="E336" s="253"/>
    </row>
    <row r="337" spans="1:9" x14ac:dyDescent="0.2">
      <c r="A337" s="345">
        <v>37772</v>
      </c>
      <c r="B337" s="253"/>
      <c r="C337" s="33"/>
      <c r="D337" s="253"/>
      <c r="E337" s="253"/>
    </row>
    <row r="338" spans="1:9" x14ac:dyDescent="0.2">
      <c r="A338" s="345">
        <v>37802</v>
      </c>
      <c r="B338" s="253"/>
      <c r="C338" s="33"/>
      <c r="D338" s="253"/>
      <c r="E338" s="253"/>
    </row>
    <row r="339" spans="1:9" x14ac:dyDescent="0.2">
      <c r="A339" s="345">
        <v>37833</v>
      </c>
      <c r="B339" s="253"/>
      <c r="C339" s="33"/>
      <c r="D339" s="253"/>
      <c r="E339" s="253"/>
    </row>
    <row r="340" spans="1:9" x14ac:dyDescent="0.2">
      <c r="A340" s="345">
        <v>37864</v>
      </c>
      <c r="B340" s="253"/>
      <c r="C340" s="33"/>
      <c r="D340" s="253"/>
      <c r="E340" s="253"/>
    </row>
    <row r="341" spans="1:9" x14ac:dyDescent="0.2">
      <c r="A341" s="345">
        <v>37894</v>
      </c>
      <c r="B341" s="253"/>
      <c r="C341" s="34"/>
      <c r="D341" s="253"/>
      <c r="E341" s="253"/>
    </row>
    <row r="342" spans="1:9" x14ac:dyDescent="0.2">
      <c r="A342" s="345">
        <v>37925</v>
      </c>
      <c r="B342" s="253"/>
      <c r="C342" s="34"/>
      <c r="D342" s="253"/>
      <c r="E342" s="253"/>
    </row>
    <row r="343" spans="1:9" x14ac:dyDescent="0.2">
      <c r="A343" s="345">
        <v>37955</v>
      </c>
      <c r="B343" s="253"/>
      <c r="C343" s="34"/>
      <c r="D343" s="253"/>
      <c r="E343" s="253"/>
    </row>
    <row r="344" spans="1:9" x14ac:dyDescent="0.2">
      <c r="A344" s="345">
        <v>37986</v>
      </c>
      <c r="B344" s="253"/>
      <c r="C344" s="34"/>
      <c r="D344" s="253"/>
      <c r="E344" s="253"/>
    </row>
    <row r="345" spans="1:9" x14ac:dyDescent="0.2">
      <c r="A345" s="345">
        <v>38017</v>
      </c>
      <c r="B345" s="253"/>
      <c r="C345" s="34"/>
      <c r="D345" s="253"/>
      <c r="E345" s="253"/>
    </row>
    <row r="346" spans="1:9" x14ac:dyDescent="0.2">
      <c r="A346" s="345">
        <v>38046</v>
      </c>
      <c r="B346" s="253"/>
      <c r="C346" s="34"/>
      <c r="D346" s="253"/>
      <c r="E346" s="253"/>
    </row>
    <row r="347" spans="1:9" x14ac:dyDescent="0.2">
      <c r="A347" s="345">
        <v>38077</v>
      </c>
      <c r="B347" s="253"/>
      <c r="C347" s="34"/>
      <c r="D347" s="255"/>
      <c r="E347" s="253"/>
    </row>
    <row r="348" spans="1:9" x14ac:dyDescent="0.2">
      <c r="A348" s="345">
        <v>38107</v>
      </c>
      <c r="B348" s="253"/>
      <c r="C348" s="34"/>
      <c r="D348" s="253"/>
      <c r="E348" s="253"/>
      <c r="I348" s="14"/>
    </row>
    <row r="349" spans="1:9" x14ac:dyDescent="0.2">
      <c r="A349" s="345">
        <v>38138</v>
      </c>
      <c r="B349" s="253"/>
      <c r="C349" s="34"/>
      <c r="D349" s="253"/>
      <c r="E349" s="253"/>
      <c r="I349" s="14"/>
    </row>
    <row r="350" spans="1:9" x14ac:dyDescent="0.2">
      <c r="A350" s="345">
        <v>38168</v>
      </c>
      <c r="B350" s="253"/>
      <c r="C350" s="34"/>
      <c r="D350" s="253"/>
      <c r="E350" s="253"/>
      <c r="I350" s="14"/>
    </row>
    <row r="351" spans="1:9" x14ac:dyDescent="0.2">
      <c r="A351" s="345">
        <v>38199</v>
      </c>
      <c r="B351" s="253"/>
      <c r="C351" s="34"/>
      <c r="D351" s="253"/>
      <c r="E351" s="253"/>
    </row>
    <row r="352" spans="1:9" x14ac:dyDescent="0.2">
      <c r="A352" s="345">
        <v>38230</v>
      </c>
      <c r="B352" s="253"/>
      <c r="C352" s="34"/>
      <c r="D352" s="253"/>
      <c r="E352" s="253"/>
    </row>
    <row r="353" spans="1:5" x14ac:dyDescent="0.2">
      <c r="A353" s="345">
        <v>38260</v>
      </c>
      <c r="B353" s="253"/>
      <c r="C353" s="34"/>
      <c r="D353" s="253"/>
      <c r="E353" s="253"/>
    </row>
    <row r="354" spans="1:5" x14ac:dyDescent="0.2">
      <c r="A354" s="345">
        <v>38291</v>
      </c>
      <c r="B354" s="253"/>
      <c r="C354" s="34"/>
      <c r="D354" s="253"/>
      <c r="E354" s="253"/>
    </row>
    <row r="355" spans="1:5" x14ac:dyDescent="0.2">
      <c r="A355" s="345">
        <v>38321</v>
      </c>
      <c r="B355" s="253"/>
      <c r="C355" s="34"/>
      <c r="D355" s="253"/>
      <c r="E355" s="253"/>
    </row>
    <row r="356" spans="1:5" x14ac:dyDescent="0.2">
      <c r="A356" s="345">
        <v>38352</v>
      </c>
      <c r="B356" s="253"/>
      <c r="C356" s="256"/>
      <c r="D356" s="253"/>
      <c r="E356" s="253"/>
    </row>
    <row r="357" spans="1:5" x14ac:dyDescent="0.2">
      <c r="A357" s="345">
        <v>38383</v>
      </c>
      <c r="B357" s="253"/>
      <c r="C357" s="34"/>
      <c r="D357" s="253"/>
      <c r="E357" s="253"/>
    </row>
    <row r="358" spans="1:5" x14ac:dyDescent="0.2">
      <c r="A358" s="345">
        <v>38411</v>
      </c>
      <c r="B358" s="253"/>
      <c r="C358" s="34"/>
      <c r="D358" s="253"/>
      <c r="E358" s="253"/>
    </row>
    <row r="359" spans="1:5" x14ac:dyDescent="0.2">
      <c r="A359" s="345">
        <v>38442</v>
      </c>
      <c r="B359" s="253"/>
      <c r="C359" s="256"/>
      <c r="D359" s="253"/>
      <c r="E359" s="253"/>
    </row>
    <row r="360" spans="1:5" x14ac:dyDescent="0.2">
      <c r="A360" s="345">
        <v>38472</v>
      </c>
      <c r="B360" s="1369">
        <v>-2.5499999999999998</v>
      </c>
      <c r="C360" s="256">
        <v>116266523.44</v>
      </c>
      <c r="D360" s="253"/>
      <c r="E360" s="253">
        <f>B360-Index_Returns!Q360</f>
        <v>2.8540000000000001</v>
      </c>
    </row>
    <row r="361" spans="1:5" x14ac:dyDescent="0.2">
      <c r="A361" s="345">
        <v>38503</v>
      </c>
      <c r="B361" s="1369">
        <v>5.61</v>
      </c>
      <c r="C361" s="256">
        <v>122789885.27</v>
      </c>
      <c r="D361" s="253"/>
      <c r="E361" s="253">
        <f>B361-Index_Returns!Q361</f>
        <v>-1.0509999999999993</v>
      </c>
    </row>
    <row r="362" spans="1:5" x14ac:dyDescent="0.2">
      <c r="A362" s="345">
        <v>38533</v>
      </c>
      <c r="B362" s="1369">
        <v>2.5</v>
      </c>
      <c r="C362" s="256">
        <v>125864112.62</v>
      </c>
      <c r="D362" s="253"/>
      <c r="E362" s="253">
        <f>B362-Index_Returns!Q362</f>
        <v>-0.13700000000000001</v>
      </c>
    </row>
    <row r="363" spans="1:5" x14ac:dyDescent="0.2">
      <c r="A363" s="345">
        <v>38564</v>
      </c>
      <c r="B363" s="1369">
        <v>5.3</v>
      </c>
      <c r="C363" s="256">
        <v>132537278.53</v>
      </c>
      <c r="D363" s="253"/>
      <c r="E363" s="253">
        <f>B363-Index_Returns!Q363</f>
        <v>-1.1917</v>
      </c>
    </row>
    <row r="364" spans="1:5" x14ac:dyDescent="0.2">
      <c r="A364" s="345">
        <v>38595</v>
      </c>
      <c r="B364" s="1369">
        <v>-0.46</v>
      </c>
      <c r="C364" s="256">
        <v>131922097.31999999</v>
      </c>
      <c r="D364" s="253"/>
      <c r="E364" s="253">
        <f>B364-Index_Returns!Q364</f>
        <v>0.68989999999999996</v>
      </c>
    </row>
    <row r="365" spans="1:5" x14ac:dyDescent="0.2">
      <c r="A365" s="345">
        <v>38625</v>
      </c>
      <c r="B365" s="1369">
        <v>1</v>
      </c>
      <c r="C365" s="256">
        <v>133511624.93000001</v>
      </c>
      <c r="D365" s="253"/>
      <c r="E365" s="253">
        <f>B365-Index_Returns!Q365</f>
        <v>2.7000000000000024E-2</v>
      </c>
    </row>
    <row r="366" spans="1:5" x14ac:dyDescent="0.2">
      <c r="A366" s="345">
        <v>38656</v>
      </c>
      <c r="B366" s="1369">
        <v>-2.2599999999999998</v>
      </c>
      <c r="C366" s="256">
        <v>130500482.94</v>
      </c>
      <c r="D366" s="253"/>
      <c r="E366" s="253">
        <f>B366-Index_Returns!Q366</f>
        <v>1.0070000000000001</v>
      </c>
    </row>
    <row r="367" spans="1:5" x14ac:dyDescent="0.2">
      <c r="A367" s="345">
        <v>38686</v>
      </c>
      <c r="B367" s="1369">
        <v>5.59</v>
      </c>
      <c r="C367" s="256">
        <v>137788978.15000001</v>
      </c>
      <c r="D367" s="253"/>
      <c r="E367" s="253">
        <f>B367-Index_Returns!Q367</f>
        <v>3.9999999999995595E-3</v>
      </c>
    </row>
    <row r="368" spans="1:5" x14ac:dyDescent="0.2">
      <c r="A368" s="345">
        <v>38717</v>
      </c>
      <c r="B368" s="1369">
        <v>-0.09</v>
      </c>
      <c r="C368" s="256">
        <v>137953622.47999999</v>
      </c>
      <c r="D368" s="253"/>
      <c r="E368" s="253">
        <f>B368-Index_Returns!Q368</f>
        <v>-0.66110000000000002</v>
      </c>
    </row>
    <row r="369" spans="1:6" x14ac:dyDescent="0.2">
      <c r="A369" s="345">
        <v>38748</v>
      </c>
      <c r="B369" s="1369">
        <v>6.16</v>
      </c>
      <c r="C369" s="256">
        <v>146456820.87</v>
      </c>
      <c r="D369" s="253"/>
      <c r="E369" s="253">
        <f>B369-Index_Returns!Q369</f>
        <v>-1.4112</v>
      </c>
    </row>
    <row r="370" spans="1:6" x14ac:dyDescent="0.2">
      <c r="A370" s="345">
        <v>38776</v>
      </c>
      <c r="B370" s="1369">
        <v>1.45</v>
      </c>
      <c r="C370" s="256">
        <v>148577721.52000001</v>
      </c>
      <c r="D370" s="253"/>
      <c r="E370" s="253">
        <f>B370-Index_Returns!Q370</f>
        <v>1.7503199999999999</v>
      </c>
    </row>
    <row r="371" spans="1:6" x14ac:dyDescent="0.2">
      <c r="A371" s="345">
        <v>38807</v>
      </c>
      <c r="B371" s="1369">
        <v>3.28</v>
      </c>
      <c r="C371" s="33">
        <v>153750242.77000001</v>
      </c>
      <c r="D371" s="253"/>
      <c r="E371" s="253">
        <f>B371-Index_Returns!Q371</f>
        <v>-0.98781000000000008</v>
      </c>
    </row>
    <row r="372" spans="1:6" x14ac:dyDescent="0.2">
      <c r="A372" s="345">
        <v>38837</v>
      </c>
      <c r="B372" s="1369">
        <v>1.41</v>
      </c>
      <c r="C372" s="33">
        <v>155916663.16</v>
      </c>
      <c r="D372" s="253"/>
      <c r="E372" s="253">
        <f>B372-Index_Returns!Q372</f>
        <v>1.1035999999999999</v>
      </c>
    </row>
    <row r="373" spans="1:6" x14ac:dyDescent="0.2">
      <c r="A373" s="345">
        <v>38868</v>
      </c>
      <c r="B373" s="1369">
        <v>-4.5999999999999996</v>
      </c>
      <c r="C373" s="33">
        <v>148746934.03</v>
      </c>
      <c r="D373" s="253"/>
      <c r="E373" s="253">
        <f>B373-Index_Returns!Q373</f>
        <v>1.3662000000000001</v>
      </c>
    </row>
    <row r="374" spans="1:6" x14ac:dyDescent="0.2">
      <c r="A374" s="345">
        <v>38898</v>
      </c>
      <c r="B374" s="1369">
        <v>-0.84</v>
      </c>
      <c r="C374" s="354">
        <v>147827645.87</v>
      </c>
      <c r="D374" s="253"/>
      <c r="E374" s="253">
        <f>B374-Index_Returns!Q374</f>
        <v>-0.36626999999999998</v>
      </c>
    </row>
    <row r="375" spans="1:6" x14ac:dyDescent="0.2">
      <c r="A375" s="345">
        <v>38929</v>
      </c>
      <c r="B375" s="1369">
        <v>-4.03</v>
      </c>
      <c r="C375" s="34">
        <v>141875451.88</v>
      </c>
      <c r="D375" s="253"/>
      <c r="E375" s="253">
        <f>B375-Index_Returns!Q375</f>
        <v>0.84330999999999978</v>
      </c>
    </row>
    <row r="376" spans="1:6" x14ac:dyDescent="0.2">
      <c r="A376" s="345">
        <v>38960</v>
      </c>
      <c r="B376" s="1369">
        <v>2.2400000000000002</v>
      </c>
      <c r="C376" s="34">
        <v>145046651.52000001</v>
      </c>
      <c r="D376" s="253"/>
      <c r="E376" s="253">
        <f>B376-Index_Returns!Q376</f>
        <v>-0.16442999999999985</v>
      </c>
    </row>
    <row r="377" spans="1:6" x14ac:dyDescent="0.2">
      <c r="A377" s="345">
        <v>38990</v>
      </c>
      <c r="B377" s="1369">
        <v>1.1399999999999999</v>
      </c>
      <c r="C377" s="34">
        <v>147011563.06</v>
      </c>
      <c r="D377" s="253"/>
      <c r="E377" s="253">
        <f>B377-Index_Returns!Q377</f>
        <v>-0.28001000000000009</v>
      </c>
    </row>
    <row r="378" spans="1:6" x14ac:dyDescent="0.2">
      <c r="A378" s="345">
        <v>39021</v>
      </c>
      <c r="B378" s="1369">
        <v>2.75</v>
      </c>
      <c r="C378" s="34">
        <v>151050694.77000001</v>
      </c>
      <c r="D378" s="253"/>
      <c r="E378" s="253">
        <f>B378-Index_Returns!Q378</f>
        <v>-2.1773300000000004</v>
      </c>
      <c r="F378" s="352"/>
    </row>
    <row r="379" spans="1:6" x14ac:dyDescent="0.2">
      <c r="A379" s="345">
        <v>39051</v>
      </c>
      <c r="B379" s="1369">
        <v>3.99</v>
      </c>
      <c r="C379" s="34">
        <v>157082665.27000001</v>
      </c>
      <c r="D379" s="253"/>
      <c r="E379" s="253">
        <f>B379-Index_Returns!Q379</f>
        <v>0.58745000000000003</v>
      </c>
      <c r="F379" s="352"/>
    </row>
    <row r="380" spans="1:6" x14ac:dyDescent="0.2">
      <c r="A380" s="345">
        <v>39082</v>
      </c>
      <c r="B380" s="1369">
        <v>0.08</v>
      </c>
      <c r="C380" s="34">
        <v>157519684.11000001</v>
      </c>
      <c r="D380" s="253"/>
      <c r="E380" s="253">
        <f>B380-Index_Returns!Q380</f>
        <v>0.31297000000000003</v>
      </c>
      <c r="F380" s="352"/>
    </row>
    <row r="381" spans="1:6" x14ac:dyDescent="0.2">
      <c r="A381" s="345">
        <v>39113</v>
      </c>
      <c r="B381" s="1369">
        <v>1.94</v>
      </c>
      <c r="C381" s="346">
        <v>262114563.49000001</v>
      </c>
      <c r="E381" s="253">
        <f>B381-Index_Returns!Q381</f>
        <v>-1.2382900000000001</v>
      </c>
      <c r="F381" s="352"/>
    </row>
    <row r="382" spans="1:6" x14ac:dyDescent="0.2">
      <c r="A382" s="345">
        <v>39141</v>
      </c>
      <c r="B382" s="1369">
        <v>-0.63</v>
      </c>
      <c r="C382" s="346">
        <v>260456560.72999999</v>
      </c>
      <c r="E382" s="253">
        <f>B382-Index_Returns!Q382</f>
        <v>-0.58408000000000004</v>
      </c>
      <c r="F382" s="352"/>
    </row>
    <row r="383" spans="1:6" x14ac:dyDescent="0.2">
      <c r="A383" s="345">
        <v>39172</v>
      </c>
      <c r="B383" s="1369">
        <v>1</v>
      </c>
      <c r="C383" s="346">
        <v>405705136.13</v>
      </c>
      <c r="E383" s="253">
        <f>B383-Index_Returns!Q383</f>
        <v>0.12419999999999998</v>
      </c>
    </row>
    <row r="384" spans="1:6" x14ac:dyDescent="0.2">
      <c r="A384" s="345">
        <v>39202</v>
      </c>
      <c r="B384" s="1369">
        <v>2.56</v>
      </c>
      <c r="C384" s="346">
        <v>416104097.86000001</v>
      </c>
      <c r="E384" s="253">
        <f>B384-Index_Returns!Q384</f>
        <v>-0.50999999999999979</v>
      </c>
    </row>
    <row r="385" spans="1:9" x14ac:dyDescent="0.2">
      <c r="A385" s="345">
        <v>39233</v>
      </c>
      <c r="B385" s="1369">
        <v>5.31</v>
      </c>
      <c r="C385" s="346">
        <v>438209809.82999998</v>
      </c>
      <c r="E385" s="253">
        <f>B385-Index_Returns!Q385</f>
        <v>0.50959999999999983</v>
      </c>
    </row>
    <row r="386" spans="1:9" x14ac:dyDescent="0.2">
      <c r="A386" s="345">
        <v>39263</v>
      </c>
      <c r="B386" s="1369">
        <v>0.04</v>
      </c>
      <c r="C386" s="346">
        <v>439184913.43000001</v>
      </c>
      <c r="E386" s="253">
        <f>B386-Index_Returns!Q386</f>
        <v>0.99134</v>
      </c>
    </row>
    <row r="387" spans="1:9" x14ac:dyDescent="0.2">
      <c r="A387" s="345">
        <v>39294</v>
      </c>
      <c r="B387" s="1369">
        <v>-4.07</v>
      </c>
      <c r="C387" s="346">
        <v>421288723.29000002</v>
      </c>
      <c r="E387" s="253">
        <f>B387-Index_Returns!Q387</f>
        <v>0.1221899999999998</v>
      </c>
    </row>
    <row r="388" spans="1:9" x14ac:dyDescent="0.2">
      <c r="A388" s="345">
        <v>39325</v>
      </c>
      <c r="B388" s="1369">
        <v>3.31</v>
      </c>
      <c r="C388" s="346">
        <v>435338087.93000001</v>
      </c>
      <c r="E388" s="253">
        <f>B388-Index_Returns!Q388</f>
        <v>1.7770000000000001</v>
      </c>
    </row>
    <row r="389" spans="1:9" x14ac:dyDescent="0.2">
      <c r="A389" s="345">
        <v>39355</v>
      </c>
      <c r="B389" s="1369">
        <v>3.68</v>
      </c>
      <c r="C389" s="346">
        <v>452277205.61000001</v>
      </c>
      <c r="E389" s="253">
        <f>B389-Index_Returns!Q389</f>
        <v>0.20640000000000036</v>
      </c>
    </row>
    <row r="390" spans="1:9" x14ac:dyDescent="0.2">
      <c r="A390" s="345">
        <v>39386</v>
      </c>
      <c r="B390" s="1369">
        <v>5.33</v>
      </c>
      <c r="C390" s="346">
        <v>476391726.25999999</v>
      </c>
      <c r="E390" s="253">
        <f>B390-Index_Returns!Q390</f>
        <v>1.1906800000000004</v>
      </c>
    </row>
    <row r="391" spans="1:9" x14ac:dyDescent="0.2">
      <c r="A391" s="345">
        <v>39416</v>
      </c>
      <c r="B391" s="1369">
        <v>-3.97</v>
      </c>
      <c r="C391" s="346">
        <v>457468864.70999998</v>
      </c>
      <c r="E391" s="253">
        <f>B391-Index_Returns!Q391</f>
        <v>1.9335799999999996</v>
      </c>
    </row>
    <row r="392" spans="1:9" x14ac:dyDescent="0.2">
      <c r="A392" s="345">
        <v>39447</v>
      </c>
      <c r="B392" s="1369">
        <v>0.83</v>
      </c>
      <c r="C392" s="346">
        <v>462175276.06</v>
      </c>
      <c r="E392" s="253">
        <f>B392-Index_Returns!Q392</f>
        <v>0.91552999999999995</v>
      </c>
    </row>
    <row r="393" spans="1:9" x14ac:dyDescent="0.2">
      <c r="A393" s="345">
        <v>39478</v>
      </c>
      <c r="B393" s="1369">
        <v>-7.22</v>
      </c>
      <c r="C393" s="346">
        <v>428787579.63</v>
      </c>
      <c r="E393" s="253">
        <f>B393-Index_Returns!Q393</f>
        <v>0.92776999999999976</v>
      </c>
    </row>
    <row r="394" spans="1:9" x14ac:dyDescent="0.2">
      <c r="A394" s="345">
        <v>39507</v>
      </c>
      <c r="B394" s="1369">
        <v>-0.54</v>
      </c>
      <c r="C394" s="346">
        <v>426491556.88</v>
      </c>
      <c r="E394" s="253">
        <f>B394-Index_Returns!Q394</f>
        <v>1.4698799999999999</v>
      </c>
    </row>
    <row r="395" spans="1:9" x14ac:dyDescent="0.2">
      <c r="A395" s="345">
        <v>39538</v>
      </c>
      <c r="B395" s="1369">
        <v>-1.85</v>
      </c>
      <c r="C395" s="346">
        <v>419517601.64999998</v>
      </c>
      <c r="E395" s="253">
        <f>B395-Index_Returns!Q395</f>
        <v>-0.63793000000000011</v>
      </c>
      <c r="F395" s="779"/>
      <c r="I395" s="352"/>
    </row>
    <row r="396" spans="1:9" x14ac:dyDescent="0.2">
      <c r="A396" s="345">
        <v>39568</v>
      </c>
      <c r="B396" s="1369">
        <v>6.75</v>
      </c>
      <c r="C396" s="346">
        <v>447822287.68000001</v>
      </c>
      <c r="E396" s="253">
        <f>B396-Index_Returns!Q396</f>
        <v>0.72273000000000032</v>
      </c>
    </row>
    <row r="397" spans="1:9" x14ac:dyDescent="0.2">
      <c r="A397" s="345">
        <v>39599</v>
      </c>
      <c r="B397" s="1369">
        <v>3.34</v>
      </c>
      <c r="C397" s="346">
        <v>462761629.56999999</v>
      </c>
      <c r="E397" s="253">
        <f>B397-Index_Returns!Q397</f>
        <v>-1.92706</v>
      </c>
    </row>
    <row r="398" spans="1:9" x14ac:dyDescent="0.2">
      <c r="A398" s="345">
        <v>39629</v>
      </c>
      <c r="B398" s="1369">
        <v>-6.33</v>
      </c>
      <c r="C398" s="346">
        <v>434288047.94</v>
      </c>
      <c r="E398" s="253">
        <f>B398-Index_Returns!Q398</f>
        <v>0.82852000000000015</v>
      </c>
    </row>
    <row r="399" spans="1:9" x14ac:dyDescent="0.2">
      <c r="A399" s="345">
        <v>39660</v>
      </c>
      <c r="B399" s="1369">
        <v>-1.1299999999999999</v>
      </c>
      <c r="C399" s="33">
        <v>429391452.83999997</v>
      </c>
      <c r="E399" s="253">
        <f>B399-Index_Returns!Q399</f>
        <v>-0.77507999999999988</v>
      </c>
    </row>
    <row r="400" spans="1:9" x14ac:dyDescent="0.2">
      <c r="A400" s="345">
        <v>39691</v>
      </c>
      <c r="B400" s="1369">
        <v>2.58</v>
      </c>
      <c r="C400" s="33">
        <v>440478100.54000002</v>
      </c>
      <c r="E400" s="253">
        <f>B400-Index_Returns!Q400</f>
        <v>0.90356999999999998</v>
      </c>
    </row>
    <row r="401" spans="1:7" x14ac:dyDescent="0.2">
      <c r="A401" s="345">
        <v>39721</v>
      </c>
      <c r="B401" s="1369">
        <v>-10.7</v>
      </c>
      <c r="C401" s="33">
        <v>394193697.95999998</v>
      </c>
      <c r="E401" s="253">
        <f>B401-Index_Returns!Q401</f>
        <v>2.5360800000000001</v>
      </c>
    </row>
    <row r="402" spans="1:7" x14ac:dyDescent="0.2">
      <c r="A402" s="345">
        <v>39752</v>
      </c>
      <c r="B402" s="1369">
        <v>-19.05</v>
      </c>
      <c r="C402" s="346">
        <v>319085146</v>
      </c>
      <c r="E402" s="253">
        <f>B402-Index_Returns!Q402</f>
        <v>3.4709099999999999</v>
      </c>
    </row>
    <row r="403" spans="1:7" x14ac:dyDescent="0.2">
      <c r="A403" s="345">
        <v>39782</v>
      </c>
      <c r="B403" s="1369">
        <v>-8.77</v>
      </c>
      <c r="C403" s="346">
        <v>291116413</v>
      </c>
      <c r="E403" s="253">
        <f>B403-Index_Returns!Q403</f>
        <v>2.5059400000000007</v>
      </c>
    </row>
    <row r="404" spans="1:7" x14ac:dyDescent="0.2">
      <c r="A404" s="345">
        <v>39813</v>
      </c>
      <c r="B404" s="1369">
        <v>3.98</v>
      </c>
      <c r="C404" s="346">
        <v>303510615</v>
      </c>
      <c r="E404" s="253">
        <f>B404-Index_Returns!Q404</f>
        <v>-1.0891199999999999</v>
      </c>
    </row>
    <row r="405" spans="1:7" x14ac:dyDescent="0.2">
      <c r="A405" s="345">
        <v>39844</v>
      </c>
      <c r="B405" s="1369">
        <v>-3.63</v>
      </c>
      <c r="C405" s="346">
        <v>292508298.56</v>
      </c>
      <c r="D405" s="258">
        <v>-3.625</v>
      </c>
      <c r="E405" s="253">
        <f>B405-Index_Returns!Q405</f>
        <v>2.3860900000000003</v>
      </c>
    </row>
    <row r="406" spans="1:7" x14ac:dyDescent="0.2">
      <c r="A406" s="345">
        <v>39872</v>
      </c>
      <c r="B406" s="1369">
        <v>-6.97</v>
      </c>
      <c r="C406" s="346">
        <v>272111548.97000003</v>
      </c>
      <c r="D406" s="258">
        <v>-6.9729999999999999</v>
      </c>
      <c r="E406" s="253">
        <f>B406-Index_Returns!Q406</f>
        <v>1.6855800000000007</v>
      </c>
    </row>
    <row r="407" spans="1:7" x14ac:dyDescent="0.2">
      <c r="A407" s="345">
        <v>39903</v>
      </c>
      <c r="B407" s="1369">
        <v>6.54</v>
      </c>
      <c r="C407" s="346">
        <v>290566228.30000001</v>
      </c>
      <c r="D407" s="258">
        <v>6.782</v>
      </c>
      <c r="E407" s="253">
        <f>B407-Index_Returns!Q407</f>
        <v>-2.9876200000000006</v>
      </c>
    </row>
    <row r="408" spans="1:7" x14ac:dyDescent="0.2">
      <c r="A408" s="345">
        <v>39933</v>
      </c>
      <c r="B408" s="1369">
        <v>10.7</v>
      </c>
      <c r="C408" s="346">
        <v>321643752.01999998</v>
      </c>
      <c r="E408" s="253">
        <f>B408-Index_Returns!Q408</f>
        <v>-4.1751000000000005</v>
      </c>
    </row>
    <row r="409" spans="1:7" x14ac:dyDescent="0.2">
      <c r="A409" s="345">
        <v>39964</v>
      </c>
      <c r="B409" s="1369">
        <v>4.12</v>
      </c>
      <c r="C409" s="346">
        <v>334886306.91000003</v>
      </c>
      <c r="E409" s="253">
        <f>B409-Index_Returns!Q409</f>
        <v>0.52507999999999999</v>
      </c>
    </row>
    <row r="410" spans="1:7" x14ac:dyDescent="0.2">
      <c r="A410" s="345">
        <v>39994</v>
      </c>
      <c r="B410" s="1369">
        <v>1.57</v>
      </c>
      <c r="C410" s="346">
        <v>340723657.20999998</v>
      </c>
      <c r="E410" s="253">
        <f>B410-Index_Returns!Q410</f>
        <v>-0.77241000000000004</v>
      </c>
    </row>
    <row r="411" spans="1:7" x14ac:dyDescent="0.2">
      <c r="A411" s="345">
        <v>40025</v>
      </c>
      <c r="B411" s="1369">
        <v>8.65</v>
      </c>
      <c r="C411" s="346">
        <v>370197768.81999999</v>
      </c>
      <c r="D411" s="258">
        <v>8.6503999999999994</v>
      </c>
      <c r="E411" s="253">
        <f>B411-Index_Returns!Q411</f>
        <v>0.88087000000000071</v>
      </c>
    </row>
    <row r="412" spans="1:7" x14ac:dyDescent="0.2">
      <c r="A412" s="345">
        <v>40056</v>
      </c>
      <c r="B412" s="1369">
        <v>3.13</v>
      </c>
      <c r="C412" s="346">
        <v>381796674.30000001</v>
      </c>
      <c r="D412" s="258">
        <v>3.1332</v>
      </c>
      <c r="E412" s="253">
        <f>B412-Index_Returns!Q412</f>
        <v>1.0922000000000001</v>
      </c>
    </row>
    <row r="413" spans="1:7" x14ac:dyDescent="0.2">
      <c r="A413" s="345">
        <v>40086</v>
      </c>
      <c r="B413" s="1369">
        <v>5.57</v>
      </c>
      <c r="C413" s="346">
        <v>403794567.23000002</v>
      </c>
      <c r="D413" s="258">
        <v>5.7617000000000003</v>
      </c>
      <c r="E413" s="253">
        <f>B413-Index_Returns!Q413</f>
        <v>-0.98203999999999958</v>
      </c>
      <c r="G413" s="1311"/>
    </row>
    <row r="414" spans="1:7" x14ac:dyDescent="0.2">
      <c r="A414" s="345">
        <v>40117</v>
      </c>
      <c r="B414" s="1369">
        <v>-3.37</v>
      </c>
      <c r="C414" s="346">
        <v>390179453</v>
      </c>
      <c r="D414" s="1311">
        <v>-3.3717899999999998</v>
      </c>
      <c r="E414" s="253">
        <f>B414-Index_Returns!Q414</f>
        <v>2.1261599999999996</v>
      </c>
      <c r="G414" s="1311"/>
    </row>
    <row r="415" spans="1:7" x14ac:dyDescent="0.2">
      <c r="A415" s="345">
        <v>40147</v>
      </c>
      <c r="B415" s="1369">
        <v>4.87</v>
      </c>
      <c r="C415" s="1333">
        <v>409200062</v>
      </c>
      <c r="D415" s="1311">
        <v>4.8748399999999998</v>
      </c>
      <c r="E415" s="253">
        <f>B415-Index_Returns!Q415</f>
        <v>1.16018</v>
      </c>
      <c r="G415" s="1311"/>
    </row>
    <row r="416" spans="1:7" x14ac:dyDescent="0.2">
      <c r="A416" s="345">
        <v>40178</v>
      </c>
      <c r="B416" s="1369">
        <v>6.89</v>
      </c>
      <c r="C416" s="346">
        <v>437397754.38</v>
      </c>
      <c r="D416" s="258">
        <v>6.89093</v>
      </c>
      <c r="E416" s="253">
        <f>B416-Index_Returns!Q416</f>
        <v>-0.8225100000000003</v>
      </c>
      <c r="G416" s="1311"/>
    </row>
    <row r="417" spans="1:7" x14ac:dyDescent="0.2">
      <c r="A417" s="345">
        <v>40209</v>
      </c>
      <c r="B417" s="253">
        <v>-3.71</v>
      </c>
      <c r="C417" s="346">
        <v>421152764.82999998</v>
      </c>
      <c r="D417" s="258">
        <v>-3.71401</v>
      </c>
      <c r="E417" s="253">
        <f>B417-Index_Returns!Q417</f>
        <v>0.41117999999999988</v>
      </c>
      <c r="G417" s="1311"/>
    </row>
    <row r="418" spans="1:7" x14ac:dyDescent="0.2">
      <c r="A418" s="345">
        <v>40237</v>
      </c>
      <c r="B418" s="253">
        <v>3.2</v>
      </c>
      <c r="C418" s="346">
        <v>434631583.39999998</v>
      </c>
      <c r="D418" s="258">
        <v>3.2004600000000001</v>
      </c>
      <c r="E418" s="253">
        <f>B418-Index_Returns!Q418</f>
        <v>-1.8922799999999995</v>
      </c>
      <c r="G418" s="1311"/>
    </row>
    <row r="419" spans="1:7" x14ac:dyDescent="0.2">
      <c r="A419" s="345">
        <v>40268</v>
      </c>
      <c r="B419" s="253">
        <v>6.1</v>
      </c>
      <c r="C419" s="1334">
        <v>461159733.75999999</v>
      </c>
      <c r="D419" s="1311">
        <v>6.1036000000000001</v>
      </c>
      <c r="E419" s="253">
        <f>B419-Index_Returns!Q419</f>
        <v>-1.8861500000000007</v>
      </c>
      <c r="G419" s="1311"/>
    </row>
    <row r="420" spans="1:7" x14ac:dyDescent="0.2">
      <c r="A420" s="345">
        <v>40298</v>
      </c>
      <c r="B420" s="253">
        <v>3.68</v>
      </c>
      <c r="C420" s="346">
        <v>478150936.27999997</v>
      </c>
      <c r="D420" s="258">
        <v>3.68445</v>
      </c>
      <c r="E420" s="253">
        <f>B420-Index_Returns!Q420</f>
        <v>0.17756000000000016</v>
      </c>
      <c r="G420" s="1311"/>
    </row>
    <row r="421" spans="1:7" x14ac:dyDescent="0.2">
      <c r="A421" s="345">
        <v>40329</v>
      </c>
      <c r="B421" s="253">
        <v>-6.95</v>
      </c>
      <c r="C421" s="346">
        <v>444907452.75</v>
      </c>
      <c r="D421" s="258">
        <v>-6.9525100000000002</v>
      </c>
      <c r="E421" s="253">
        <f>B421-Index_Returns!Q421</f>
        <v>-0.15732999999999997</v>
      </c>
      <c r="G421" s="1311"/>
    </row>
    <row r="422" spans="1:7" x14ac:dyDescent="0.2">
      <c r="A422" s="345">
        <v>40359</v>
      </c>
      <c r="B422" s="253">
        <v>-5.28</v>
      </c>
      <c r="C422" s="346">
        <v>421411146.52999997</v>
      </c>
      <c r="D422" s="258">
        <v>-5.2811700000000004</v>
      </c>
      <c r="E422" s="253">
        <f>B422-Index_Returns!Q422</f>
        <v>1.1891599999999993</v>
      </c>
      <c r="G422" s="1311"/>
    </row>
    <row r="423" spans="1:7" x14ac:dyDescent="0.2">
      <c r="A423" s="345">
        <v>40390</v>
      </c>
      <c r="B423" s="253">
        <v>5.0952500000000001</v>
      </c>
      <c r="C423" s="346">
        <v>442883093.51999998</v>
      </c>
      <c r="D423" s="258">
        <v>5.0952500000000001</v>
      </c>
      <c r="E423" s="253">
        <f>B423-Index_Returns!Q423</f>
        <v>-1.5783199999999997</v>
      </c>
      <c r="G423" s="1311"/>
    </row>
    <row r="424" spans="1:7" x14ac:dyDescent="0.2">
      <c r="A424" s="345">
        <v>40421</v>
      </c>
      <c r="B424" s="253">
        <v>-4.2742800000000001</v>
      </c>
      <c r="C424" s="346">
        <v>423953031.19999999</v>
      </c>
      <c r="D424" s="258">
        <v>-4.2742800000000001</v>
      </c>
      <c r="E424" s="253">
        <f>B424-Index_Returns!Q424</f>
        <v>2.0623800000000001</v>
      </c>
      <c r="G424" s="1311"/>
    </row>
    <row r="425" spans="1:7" x14ac:dyDescent="0.2">
      <c r="A425" s="345">
        <v>40451</v>
      </c>
      <c r="B425" s="253">
        <v>11.247170000000001</v>
      </c>
      <c r="C425" s="346">
        <v>471635729.31999999</v>
      </c>
      <c r="D425" s="258">
        <v>11.247170000000001</v>
      </c>
      <c r="E425" s="253">
        <f>B425-Index_Returns!Q425</f>
        <v>-1.9979699999999987</v>
      </c>
      <c r="G425" s="1311"/>
    </row>
    <row r="426" spans="1:7" x14ac:dyDescent="0.2">
      <c r="A426" s="345">
        <v>40482</v>
      </c>
      <c r="B426" s="258">
        <v>4.5573199999999998</v>
      </c>
      <c r="C426" s="346">
        <v>493129658.69999999</v>
      </c>
      <c r="D426" s="258">
        <v>4.5573199999999998</v>
      </c>
      <c r="E426" s="253">
        <f>B426-Index_Returns!Q426</f>
        <v>0.79684999999999961</v>
      </c>
      <c r="G426" s="1311"/>
    </row>
    <row r="427" spans="1:7" x14ac:dyDescent="0.2">
      <c r="A427" s="345">
        <v>40512</v>
      </c>
      <c r="B427" s="253">
        <f>D427</f>
        <v>2.47722</v>
      </c>
      <c r="C427" s="346">
        <v>505343758.52999997</v>
      </c>
      <c r="D427" s="258">
        <v>2.47722</v>
      </c>
      <c r="E427" s="253">
        <f>B427-Index_Returns!Q427</f>
        <v>-1.55227</v>
      </c>
      <c r="G427" s="1311"/>
    </row>
    <row r="428" spans="1:7" x14ac:dyDescent="0.2">
      <c r="A428" s="345">
        <v>40543</v>
      </c>
      <c r="B428" s="253">
        <v>6.9784100000000002</v>
      </c>
      <c r="C428" s="346">
        <v>540610676.76999998</v>
      </c>
      <c r="D428" s="258">
        <v>6.9784100000000002</v>
      </c>
      <c r="E428" s="253">
        <f>B428-Index_Returns!Q428</f>
        <v>-0.48777999999999988</v>
      </c>
      <c r="G428" s="1311"/>
    </row>
    <row r="429" spans="1:7" x14ac:dyDescent="0.2">
      <c r="A429" s="345">
        <v>40574</v>
      </c>
      <c r="B429" s="253">
        <f>D429</f>
        <v>2.3119700000000001</v>
      </c>
      <c r="C429" s="346">
        <v>553109411.08000004</v>
      </c>
      <c r="D429" s="258">
        <v>2.3119700000000001</v>
      </c>
      <c r="E429" s="253">
        <f>B429-Index_Returns!Q429</f>
        <v>1.17977</v>
      </c>
      <c r="G429" s="1311"/>
    </row>
    <row r="430" spans="1:7" x14ac:dyDescent="0.2">
      <c r="A430" s="345">
        <v>40602</v>
      </c>
      <c r="B430" s="253">
        <v>3.8527900000000002</v>
      </c>
      <c r="C430" s="346">
        <v>574419547.52999997</v>
      </c>
      <c r="D430" s="258">
        <v>3.8527900000000002</v>
      </c>
      <c r="E430" s="253">
        <f>B430-Index_Returns!Q430</f>
        <v>-1.6265100000000001</v>
      </c>
      <c r="G430" s="1311"/>
    </row>
    <row r="431" spans="1:7" x14ac:dyDescent="0.2">
      <c r="A431" s="345">
        <v>40633</v>
      </c>
      <c r="B431" s="253">
        <f>D431</f>
        <v>2.7392599999999998</v>
      </c>
      <c r="C431" s="346">
        <v>590154382.19000006</v>
      </c>
      <c r="D431" s="258">
        <v>2.7392599999999998</v>
      </c>
      <c r="E431" s="253">
        <f>B431-Index_Returns!Q431</f>
        <v>-0.22389999999999999</v>
      </c>
      <c r="G431" s="1311"/>
    </row>
    <row r="432" spans="1:7" x14ac:dyDescent="0.2">
      <c r="A432" s="345">
        <v>40663</v>
      </c>
      <c r="B432" s="253">
        <f t="shared" ref="B432:B488" si="0">D432</f>
        <v>2.4433099999999999</v>
      </c>
      <c r="C432" s="346">
        <v>605675990.67999995</v>
      </c>
      <c r="D432" s="258">
        <v>2.4433099999999999</v>
      </c>
      <c r="E432" s="253">
        <f>B432-Index_Returns!Q432</f>
        <v>-1.0503100000000001</v>
      </c>
      <c r="G432" s="1311"/>
    </row>
    <row r="433" spans="1:7" x14ac:dyDescent="0.2">
      <c r="A433" s="345">
        <v>40694</v>
      </c>
      <c r="B433" s="253">
        <f t="shared" si="0"/>
        <v>-1.15632</v>
      </c>
      <c r="C433" s="346">
        <v>517196112.06</v>
      </c>
      <c r="D433" s="258">
        <v>-1.15632</v>
      </c>
      <c r="E433" s="253">
        <f>B433-Index_Returns!Q433</f>
        <v>7.5269999999999948E-2</v>
      </c>
      <c r="G433" s="1311"/>
    </row>
    <row r="434" spans="1:7" x14ac:dyDescent="0.2">
      <c r="A434" s="345">
        <v>40724</v>
      </c>
      <c r="B434" s="253">
        <f t="shared" si="0"/>
        <v>-2.0780500000000002</v>
      </c>
      <c r="C434" s="346">
        <v>506448515.13999999</v>
      </c>
      <c r="D434" s="258">
        <v>-2.0780500000000002</v>
      </c>
      <c r="E434" s="253">
        <f>B434-Index_Returns!Q434</f>
        <v>-0.27860000000000018</v>
      </c>
      <c r="G434" s="1311"/>
    </row>
    <row r="435" spans="1:7" x14ac:dyDescent="0.2">
      <c r="A435" s="345">
        <v>40755</v>
      </c>
      <c r="B435" s="253">
        <f t="shared" si="0"/>
        <v>-4.0922999999999998</v>
      </c>
      <c r="C435" s="346">
        <v>486858482.85000002</v>
      </c>
      <c r="D435" s="258">
        <v>-4.0922999999999998</v>
      </c>
      <c r="E435" s="253">
        <f>B435-Index_Returns!Q435</f>
        <v>-0.21130999999999966</v>
      </c>
      <c r="G435" s="1311"/>
    </row>
    <row r="436" spans="1:7" x14ac:dyDescent="0.2">
      <c r="A436" s="345">
        <v>40786</v>
      </c>
      <c r="B436" s="253">
        <f t="shared" si="0"/>
        <v>-7.6717000000000004</v>
      </c>
      <c r="C436" s="346">
        <v>449508173.56</v>
      </c>
      <c r="D436" s="258">
        <v>-7.6717000000000004</v>
      </c>
      <c r="E436" s="253">
        <f>B436-Index_Returns!Q436</f>
        <v>0.51424000000000003</v>
      </c>
      <c r="G436" s="1311"/>
    </row>
    <row r="437" spans="1:7" x14ac:dyDescent="0.2">
      <c r="A437" s="345">
        <v>40816</v>
      </c>
      <c r="B437" s="253">
        <f t="shared" si="0"/>
        <v>-9.2513100000000001</v>
      </c>
      <c r="C437" s="346">
        <v>407922781.49000001</v>
      </c>
      <c r="D437" s="258">
        <v>-9.2513100000000001</v>
      </c>
      <c r="E437" s="253">
        <f>B437-Index_Returns!Q437</f>
        <v>1.6279699999999995</v>
      </c>
      <c r="G437" s="1311"/>
    </row>
    <row r="438" spans="1:7" x14ac:dyDescent="0.2">
      <c r="A438" s="345">
        <v>40847</v>
      </c>
      <c r="B438" s="253">
        <f t="shared" si="0"/>
        <v>16.302700000000002</v>
      </c>
      <c r="C438" s="346">
        <v>475557434.69</v>
      </c>
      <c r="D438" s="258">
        <v>16.302700000000002</v>
      </c>
      <c r="E438" s="253">
        <f>B438-Index_Returns!Q438</f>
        <v>0.85796000000000205</v>
      </c>
      <c r="G438" s="1311"/>
    </row>
    <row r="439" spans="1:7" x14ac:dyDescent="0.2">
      <c r="A439" s="345">
        <v>40877</v>
      </c>
      <c r="B439" s="253">
        <f t="shared" si="0"/>
        <v>1.16919</v>
      </c>
      <c r="C439" s="346">
        <v>481117614.04000002</v>
      </c>
      <c r="D439" s="258">
        <v>1.16919</v>
      </c>
      <c r="E439" s="253">
        <f>B439-Index_Returns!Q439</f>
        <v>1.6468699999999998</v>
      </c>
      <c r="G439" s="1311"/>
    </row>
    <row r="440" spans="1:7" x14ac:dyDescent="0.2">
      <c r="A440" s="345">
        <v>40908</v>
      </c>
      <c r="B440" s="253">
        <f t="shared" si="0"/>
        <v>-0.16445000000000001</v>
      </c>
      <c r="C440" s="346">
        <v>480326436.04000002</v>
      </c>
      <c r="D440" s="258">
        <v>-0.16445000000000001</v>
      </c>
      <c r="E440" s="253">
        <f>B440-Index_Returns!Q440</f>
        <v>1.03857</v>
      </c>
      <c r="G440" s="1311"/>
    </row>
    <row r="441" spans="1:7" x14ac:dyDescent="0.2">
      <c r="A441" s="345">
        <v>40939</v>
      </c>
      <c r="B441" s="253">
        <f t="shared" si="0"/>
        <v>5.9729900000000002</v>
      </c>
      <c r="C441" s="346">
        <v>509898269.43000001</v>
      </c>
      <c r="D441" s="258">
        <v>5.9729900000000002</v>
      </c>
      <c r="E441" s="253">
        <f>B441-Index_Returns!Q441</f>
        <v>-1.7334399999999999</v>
      </c>
      <c r="G441" s="1311"/>
    </row>
    <row r="442" spans="1:7" x14ac:dyDescent="0.2">
      <c r="A442" s="345">
        <v>40968</v>
      </c>
      <c r="B442" s="253">
        <f t="shared" si="0"/>
        <v>5.3246900000000004</v>
      </c>
      <c r="C442" s="346">
        <v>537048749.13</v>
      </c>
      <c r="D442" s="258">
        <v>5.3246900000000004</v>
      </c>
      <c r="E442" s="253">
        <f>B442-Index_Returns!Q442</f>
        <v>0.72843999999999998</v>
      </c>
      <c r="G442" s="1311"/>
    </row>
    <row r="443" spans="1:7" x14ac:dyDescent="0.2">
      <c r="A443" s="345">
        <v>40999</v>
      </c>
      <c r="B443" s="253">
        <f t="shared" si="0"/>
        <v>1.65381</v>
      </c>
      <c r="C443" s="346">
        <v>545930538.97000003</v>
      </c>
      <c r="D443" s="258">
        <v>1.65381</v>
      </c>
      <c r="E443" s="253">
        <f>B443-Index_Returns!Q443</f>
        <v>-7.399E-2</v>
      </c>
      <c r="G443" s="1311"/>
    </row>
    <row r="444" spans="1:7" x14ac:dyDescent="0.2">
      <c r="A444" s="345">
        <v>41029</v>
      </c>
      <c r="B444" s="253">
        <f t="shared" si="0"/>
        <v>1.2144999999999999</v>
      </c>
      <c r="C444" s="346">
        <v>553574584.95000005</v>
      </c>
      <c r="D444" s="258">
        <v>1.2144999999999999</v>
      </c>
      <c r="E444" s="253">
        <f>B444-Index_Returns!Q444</f>
        <v>2.0702699999999998</v>
      </c>
      <c r="G444" s="1311"/>
    </row>
    <row r="445" spans="1:7" x14ac:dyDescent="0.2">
      <c r="A445" s="345">
        <v>41060</v>
      </c>
      <c r="B445" s="253">
        <f t="shared" si="0"/>
        <v>-6.8471399999999996</v>
      </c>
      <c r="C445" s="346">
        <v>515670560.10000002</v>
      </c>
      <c r="D445" s="258">
        <v>-6.8471399999999996</v>
      </c>
      <c r="E445" s="253">
        <f>B445-Index_Returns!Q445</f>
        <v>0.68620000000000037</v>
      </c>
      <c r="G445" s="1311"/>
    </row>
    <row r="446" spans="1:7" x14ac:dyDescent="0.2">
      <c r="A446" s="345">
        <v>41090</v>
      </c>
      <c r="B446" s="253">
        <f t="shared" si="0"/>
        <v>3.3852099999999998</v>
      </c>
      <c r="C446" s="346">
        <v>533127107.11000001</v>
      </c>
      <c r="D446" s="258">
        <v>3.3852099999999998</v>
      </c>
      <c r="E446" s="253">
        <f>B446-Index_Returns!Q446</f>
        <v>0.16955999999999971</v>
      </c>
      <c r="G446" s="1311"/>
    </row>
    <row r="447" spans="1:7" x14ac:dyDescent="0.2">
      <c r="A447" s="345">
        <v>41121</v>
      </c>
      <c r="B447" s="253">
        <f t="shared" si="0"/>
        <v>-0.53208</v>
      </c>
      <c r="C447" s="346">
        <v>531410742.63999999</v>
      </c>
      <c r="D447" s="258">
        <v>-0.53208</v>
      </c>
      <c r="E447" s="253">
        <f>B447-Index_Returns!Q447</f>
        <v>0.46099999999999997</v>
      </c>
      <c r="G447" s="1311"/>
    </row>
    <row r="448" spans="1:7" x14ac:dyDescent="0.2">
      <c r="A448" s="345">
        <v>41152</v>
      </c>
      <c r="B448" s="253">
        <f t="shared" si="0"/>
        <v>3.84368</v>
      </c>
      <c r="C448" s="346">
        <v>528685648.30000001</v>
      </c>
      <c r="D448" s="258">
        <v>3.84368</v>
      </c>
      <c r="E448" s="253">
        <f>B448-Index_Returns!Q448</f>
        <v>-1.8369999999999997E-2</v>
      </c>
      <c r="G448" s="1311"/>
    </row>
    <row r="449" spans="1:7" x14ac:dyDescent="0.2">
      <c r="A449" s="345">
        <v>41182</v>
      </c>
      <c r="B449" s="253">
        <f t="shared" si="0"/>
        <v>2.7978399999999999</v>
      </c>
      <c r="C449" s="346">
        <v>543480147.17999995</v>
      </c>
      <c r="D449" s="1311">
        <v>2.7978399999999999</v>
      </c>
      <c r="E449" s="253">
        <f>B449-Index_Returns!Q449</f>
        <v>0.47436999999999996</v>
      </c>
      <c r="G449" s="1311"/>
    </row>
    <row r="450" spans="1:7" x14ac:dyDescent="0.2">
      <c r="A450" s="345">
        <v>41213</v>
      </c>
      <c r="B450" s="253">
        <f t="shared" si="0"/>
        <v>-0.34311000000000003</v>
      </c>
      <c r="C450" s="346">
        <v>519589384.44</v>
      </c>
      <c r="D450" s="1311">
        <v>-0.34311000000000003</v>
      </c>
      <c r="E450" s="253">
        <f>B450-Index_Returns!Q450</f>
        <v>1.5385199999999999</v>
      </c>
      <c r="G450" s="1311"/>
    </row>
    <row r="451" spans="1:7" x14ac:dyDescent="0.2">
      <c r="A451" s="345">
        <v>41243</v>
      </c>
      <c r="B451" s="253">
        <f t="shared" si="0"/>
        <v>2.2126800000000002</v>
      </c>
      <c r="C451" s="346">
        <v>532100169.11000001</v>
      </c>
      <c r="D451" s="258">
        <v>2.2126800000000002</v>
      </c>
      <c r="E451" s="253">
        <f>B451-Index_Returns!Q451</f>
        <v>0.4587300000000003</v>
      </c>
      <c r="G451" s="1311"/>
    </row>
    <row r="452" spans="1:7" x14ac:dyDescent="0.2">
      <c r="A452" s="345">
        <v>41274</v>
      </c>
      <c r="B452" s="253">
        <f t="shared" si="0"/>
        <v>1.6166100000000001</v>
      </c>
      <c r="C452" s="346">
        <v>510659065.44</v>
      </c>
      <c r="D452" s="1311">
        <v>1.6166100000000001</v>
      </c>
      <c r="E452" s="253">
        <f>B452-Index_Returns!Q452</f>
        <v>-0.32479999999999998</v>
      </c>
      <c r="G452" s="1311"/>
    </row>
    <row r="453" spans="1:7" x14ac:dyDescent="0.2">
      <c r="A453" s="345">
        <v>41305</v>
      </c>
      <c r="B453" s="253">
        <f t="shared" si="0"/>
        <v>6.3373499999999998</v>
      </c>
      <c r="C453" s="346">
        <v>544542131.21000004</v>
      </c>
      <c r="D453" s="258">
        <v>6.3373499999999998</v>
      </c>
      <c r="E453" s="253">
        <f>B453-Index_Returns!Q453</f>
        <v>-0.53047999999999984</v>
      </c>
      <c r="G453" s="1311"/>
    </row>
    <row r="454" spans="1:7" x14ac:dyDescent="0.2">
      <c r="A454" s="345">
        <v>41333</v>
      </c>
      <c r="B454" s="253">
        <f t="shared" si="0"/>
        <v>2.6080700000000001</v>
      </c>
      <c r="C454" s="346">
        <v>558376128.01999998</v>
      </c>
      <c r="D454" s="1311">
        <v>2.6080700000000001</v>
      </c>
      <c r="E454" s="253">
        <f>B454-Index_Returns!Q454</f>
        <v>1.98969</v>
      </c>
      <c r="G454" s="1311"/>
    </row>
    <row r="455" spans="1:7" x14ac:dyDescent="0.2">
      <c r="A455" s="345">
        <v>41364</v>
      </c>
      <c r="B455" s="253">
        <f t="shared" si="0"/>
        <v>3.8278500000000002</v>
      </c>
      <c r="C455" s="346">
        <v>572680954.24000001</v>
      </c>
      <c r="D455" s="258">
        <v>3.8278500000000002</v>
      </c>
      <c r="E455" s="253">
        <f>B455-Index_Returns!Q455</f>
        <v>-0.51488999999999985</v>
      </c>
      <c r="G455" s="1311"/>
    </row>
    <row r="456" spans="1:7" x14ac:dyDescent="0.2">
      <c r="A456" s="345">
        <v>41394</v>
      </c>
      <c r="B456" s="253">
        <f t="shared" si="0"/>
        <v>-1.23688</v>
      </c>
      <c r="C456" s="346">
        <v>512519303.99000001</v>
      </c>
      <c r="D456" s="258">
        <v>-1.23688</v>
      </c>
      <c r="E456" s="253">
        <f>B456-Index_Returns!Q456</f>
        <v>-1.58887</v>
      </c>
      <c r="G456" s="1311"/>
    </row>
    <row r="457" spans="1:7" x14ac:dyDescent="0.2">
      <c r="A457" s="345">
        <v>41425</v>
      </c>
      <c r="B457" s="253">
        <f t="shared" si="0"/>
        <v>3.75556</v>
      </c>
      <c r="C457" s="346">
        <v>531724761.60000002</v>
      </c>
      <c r="D457" s="258">
        <v>3.75556</v>
      </c>
      <c r="E457" s="253">
        <f>B457-Index_Returns!Q457</f>
        <v>-0.35261999999999993</v>
      </c>
      <c r="G457" s="1311"/>
    </row>
    <row r="458" spans="1:7" x14ac:dyDescent="0.2">
      <c r="A458" s="345">
        <v>41455</v>
      </c>
      <c r="B458" s="253">
        <f t="shared" si="0"/>
        <v>-0.73834</v>
      </c>
      <c r="C458" s="1307">
        <v>497875734.42000002</v>
      </c>
      <c r="D458" s="1306">
        <v>-0.73834</v>
      </c>
      <c r="E458" s="253">
        <f>B458-Index_Returns!Q458</f>
        <v>0.45726</v>
      </c>
      <c r="G458" s="1311"/>
    </row>
    <row r="459" spans="1:7" x14ac:dyDescent="0.2">
      <c r="A459" s="345">
        <v>41486</v>
      </c>
      <c r="B459" s="253">
        <f t="shared" si="0"/>
        <v>6.6298000000000004</v>
      </c>
      <c r="C459" s="346">
        <v>511927424.12</v>
      </c>
      <c r="D459" s="258">
        <v>6.6298000000000004</v>
      </c>
      <c r="E459" s="253">
        <f>B459-Index_Returns!Q459</f>
        <v>-0.77903999999999929</v>
      </c>
      <c r="G459" s="1311"/>
    </row>
    <row r="460" spans="1:7" x14ac:dyDescent="0.2">
      <c r="A460" s="345">
        <v>41517</v>
      </c>
      <c r="B460" s="253">
        <f t="shared" si="0"/>
        <v>-1.9483200000000001</v>
      </c>
      <c r="C460" s="346">
        <v>501953420.91000003</v>
      </c>
      <c r="D460" s="258">
        <v>-1.9483200000000001</v>
      </c>
      <c r="E460" s="253">
        <f>B460-Index_Returns!Q460</f>
        <v>0.10906999999999978</v>
      </c>
    </row>
    <row r="461" spans="1:7" x14ac:dyDescent="0.2">
      <c r="A461" s="345">
        <v>41547</v>
      </c>
      <c r="B461" s="253">
        <f t="shared" si="0"/>
        <v>5.89994</v>
      </c>
      <c r="C461" s="346">
        <v>531568352.44</v>
      </c>
      <c r="D461" s="258">
        <v>5.89994</v>
      </c>
      <c r="E461" s="253">
        <f>B461-Index_Returns!Q461</f>
        <v>-0.50949000000000044</v>
      </c>
    </row>
    <row r="462" spans="1:7" x14ac:dyDescent="0.2">
      <c r="A462" s="345">
        <v>41578</v>
      </c>
      <c r="B462" s="253">
        <f t="shared" si="0"/>
        <v>3.63151</v>
      </c>
      <c r="C462" s="346">
        <v>551995691.53999996</v>
      </c>
      <c r="D462" s="258">
        <v>3.63151</v>
      </c>
      <c r="E462" s="253">
        <f>B462-Index_Returns!Q462</f>
        <v>1.3102999999999998</v>
      </c>
    </row>
    <row r="463" spans="1:7" x14ac:dyDescent="0.2">
      <c r="A463" s="345">
        <v>41608</v>
      </c>
      <c r="B463" s="253">
        <f t="shared" si="0"/>
        <v>2.9574099999999999</v>
      </c>
      <c r="C463" s="346">
        <v>537371492.88</v>
      </c>
      <c r="D463" s="258">
        <v>2.9574099999999999</v>
      </c>
      <c r="E463" s="253">
        <f>B463-Index_Returns!Q463</f>
        <v>-0.3016700000000001</v>
      </c>
    </row>
    <row r="464" spans="1:7" x14ac:dyDescent="0.2">
      <c r="A464" s="345">
        <v>41639</v>
      </c>
      <c r="B464" s="253">
        <f t="shared" si="0"/>
        <v>3.8674599999999999</v>
      </c>
      <c r="C464" s="346">
        <v>537283565.32000005</v>
      </c>
      <c r="D464" s="258">
        <v>3.8674599999999999</v>
      </c>
      <c r="E464" s="253">
        <f>B464-Index_Returns!Q464</f>
        <v>1.1887499999999998</v>
      </c>
    </row>
    <row r="465" spans="1:5" x14ac:dyDescent="0.2">
      <c r="A465" s="345">
        <v>41670</v>
      </c>
      <c r="B465" s="253">
        <f t="shared" si="0"/>
        <v>-3.9904700000000002</v>
      </c>
      <c r="C465" s="346">
        <v>516905122.39999998</v>
      </c>
      <c r="D465" s="258">
        <v>-3.9904700000000002</v>
      </c>
      <c r="E465" s="253">
        <f>B465-Index_Returns!Q465</f>
        <v>-2.1018500000000002</v>
      </c>
    </row>
    <row r="466" spans="1:5" x14ac:dyDescent="0.2">
      <c r="A466" s="345">
        <v>41698</v>
      </c>
      <c r="B466" s="253">
        <f t="shared" si="0"/>
        <v>4.6192099999999998</v>
      </c>
      <c r="C466" s="346">
        <v>520815281.38999999</v>
      </c>
      <c r="D466" s="258">
        <v>4.6192099999999998</v>
      </c>
      <c r="E466" s="253">
        <f>B466-Index_Returns!Q466</f>
        <v>-0.59967000000000059</v>
      </c>
    </row>
    <row r="467" spans="1:5" x14ac:dyDescent="0.2">
      <c r="A467" s="345">
        <v>41729</v>
      </c>
      <c r="B467" s="253">
        <f t="shared" si="0"/>
        <v>-1.7993600000000001</v>
      </c>
      <c r="C467" s="346">
        <v>511443950.36000001</v>
      </c>
      <c r="D467" s="258">
        <v>-1.7993600000000001</v>
      </c>
      <c r="E467" s="253">
        <f>B467-Index_Returns!Q467</f>
        <v>0.32297999999999982</v>
      </c>
    </row>
    <row r="468" spans="1:5" x14ac:dyDescent="0.2">
      <c r="A468" s="345">
        <v>41759</v>
      </c>
      <c r="B468" s="253">
        <f t="shared" si="0"/>
        <v>-2.9431699999999998</v>
      </c>
      <c r="C468" s="346">
        <v>459021117.06999999</v>
      </c>
      <c r="D468" s="258">
        <v>-2.9431699999999998</v>
      </c>
      <c r="E468" s="253">
        <f>B468-Index_Returns!Q468</f>
        <v>0.5850200000000001</v>
      </c>
    </row>
    <row r="469" spans="1:5" x14ac:dyDescent="0.2">
      <c r="A469" s="345">
        <v>41790</v>
      </c>
      <c r="B469" s="253">
        <f t="shared" si="0"/>
        <v>0.59928000000000003</v>
      </c>
      <c r="C469" s="346">
        <v>461771908.24000001</v>
      </c>
      <c r="D469" s="258">
        <v>0.59928000000000003</v>
      </c>
      <c r="E469" s="253">
        <f>B469-Index_Returns!Q469</f>
        <v>-0.72411999999999987</v>
      </c>
    </row>
    <row r="470" spans="1:5" x14ac:dyDescent="0.2">
      <c r="A470" s="345">
        <v>41820</v>
      </c>
      <c r="B470" s="253">
        <f t="shared" si="0"/>
        <v>4.2463100000000003</v>
      </c>
      <c r="C470" s="346">
        <v>481380164.29000002</v>
      </c>
      <c r="D470" s="258">
        <v>4.2463100000000003</v>
      </c>
      <c r="E470" s="253">
        <f>B470-Index_Returns!Q470</f>
        <v>-1.0201099999999999</v>
      </c>
    </row>
    <row r="471" spans="1:5" x14ac:dyDescent="0.2">
      <c r="A471" s="345">
        <v>41851</v>
      </c>
      <c r="B471" s="253">
        <f t="shared" si="0"/>
        <v>-3.9669500000000002</v>
      </c>
      <c r="C471" s="346">
        <v>463323195.11000001</v>
      </c>
      <c r="D471" s="258">
        <v>-3.9669500000000002</v>
      </c>
      <c r="E471" s="253">
        <f>B471-Index_Returns!Q471</f>
        <v>1.0627400000000002</v>
      </c>
    </row>
    <row r="472" spans="1:5" x14ac:dyDescent="0.2">
      <c r="A472" s="345">
        <v>41882</v>
      </c>
      <c r="B472" s="253">
        <f t="shared" si="0"/>
        <v>4.5629999999999997</v>
      </c>
      <c r="C472" s="346">
        <v>454216340.02999997</v>
      </c>
      <c r="D472" s="258">
        <v>4.5629999999999997</v>
      </c>
      <c r="E472" s="253">
        <f>B472-Index_Returns!Q472</f>
        <v>-0.93184999999999985</v>
      </c>
    </row>
    <row r="473" spans="1:5" x14ac:dyDescent="0.2">
      <c r="A473" s="345">
        <v>41912</v>
      </c>
      <c r="B473" s="253">
        <f t="shared" si="0"/>
        <v>0</v>
      </c>
      <c r="E473" s="253">
        <f>B473-Index_Returns!Q473</f>
        <v>0</v>
      </c>
    </row>
    <row r="474" spans="1:5" x14ac:dyDescent="0.2">
      <c r="A474" s="345">
        <v>41943</v>
      </c>
      <c r="B474" s="253">
        <f t="shared" si="0"/>
        <v>0</v>
      </c>
      <c r="E474" s="253">
        <f>B474-Index_Returns!Q474</f>
        <v>0</v>
      </c>
    </row>
    <row r="475" spans="1:5" x14ac:dyDescent="0.2">
      <c r="A475" s="345">
        <v>41973</v>
      </c>
      <c r="B475" s="253">
        <f t="shared" si="0"/>
        <v>0</v>
      </c>
      <c r="E475" s="253">
        <f>B475-Index_Returns!Q475</f>
        <v>0</v>
      </c>
    </row>
    <row r="476" spans="1:5" x14ac:dyDescent="0.2">
      <c r="A476" s="345">
        <v>42004</v>
      </c>
      <c r="B476" s="253">
        <f t="shared" si="0"/>
        <v>0</v>
      </c>
      <c r="E476" s="253">
        <f>B476-Index_Returns!Q476</f>
        <v>0</v>
      </c>
    </row>
    <row r="477" spans="1:5" x14ac:dyDescent="0.2">
      <c r="A477" s="345">
        <v>42035</v>
      </c>
      <c r="B477" s="253">
        <f t="shared" si="0"/>
        <v>0</v>
      </c>
      <c r="E477" s="253">
        <f>B477-Index_Returns!Q477</f>
        <v>0</v>
      </c>
    </row>
    <row r="478" spans="1:5" x14ac:dyDescent="0.2">
      <c r="A478" s="345">
        <v>42063</v>
      </c>
      <c r="B478" s="253">
        <f t="shared" si="0"/>
        <v>0</v>
      </c>
      <c r="E478" s="253">
        <f>B478-Index_Returns!Q478</f>
        <v>0</v>
      </c>
    </row>
    <row r="479" spans="1:5" x14ac:dyDescent="0.2">
      <c r="A479" s="345">
        <v>42094</v>
      </c>
      <c r="B479" s="253">
        <f t="shared" si="0"/>
        <v>0</v>
      </c>
      <c r="E479" s="253">
        <f>B479-Index_Returns!Q479</f>
        <v>0</v>
      </c>
    </row>
    <row r="480" spans="1:5" x14ac:dyDescent="0.2">
      <c r="A480" s="345">
        <v>42124</v>
      </c>
      <c r="B480" s="253">
        <f t="shared" si="0"/>
        <v>0</v>
      </c>
      <c r="E480" s="253">
        <f>B480-Index_Returns!Q480</f>
        <v>0</v>
      </c>
    </row>
    <row r="481" spans="1:5" x14ac:dyDescent="0.2">
      <c r="A481" s="345">
        <v>42155</v>
      </c>
      <c r="B481" s="253">
        <f t="shared" si="0"/>
        <v>0</v>
      </c>
      <c r="E481" s="253">
        <f>B481-Index_Returns!Q481</f>
        <v>0</v>
      </c>
    </row>
    <row r="482" spans="1:5" x14ac:dyDescent="0.2">
      <c r="A482" s="345">
        <v>42185</v>
      </c>
      <c r="B482" s="253">
        <f t="shared" si="0"/>
        <v>0</v>
      </c>
      <c r="E482" s="253">
        <f>B482-Index_Returns!Q482</f>
        <v>0</v>
      </c>
    </row>
    <row r="483" spans="1:5" x14ac:dyDescent="0.2">
      <c r="A483" s="345">
        <v>42216</v>
      </c>
      <c r="B483" s="253">
        <f t="shared" si="0"/>
        <v>0</v>
      </c>
      <c r="E483" s="253">
        <f>B483-Index_Returns!Q483</f>
        <v>0</v>
      </c>
    </row>
    <row r="484" spans="1:5" x14ac:dyDescent="0.2">
      <c r="A484" s="345">
        <v>42247</v>
      </c>
      <c r="B484" s="253">
        <f t="shared" si="0"/>
        <v>0</v>
      </c>
      <c r="E484" s="253">
        <f>B484-Index_Returns!Q484</f>
        <v>0</v>
      </c>
    </row>
    <row r="485" spans="1:5" x14ac:dyDescent="0.2">
      <c r="A485" s="345">
        <v>42277</v>
      </c>
      <c r="B485" s="253">
        <f t="shared" si="0"/>
        <v>0</v>
      </c>
      <c r="E485" s="253">
        <f>B485-Index_Returns!Q485</f>
        <v>0</v>
      </c>
    </row>
    <row r="486" spans="1:5" x14ac:dyDescent="0.2">
      <c r="A486" s="345">
        <v>42308</v>
      </c>
      <c r="B486" s="253">
        <f t="shared" si="0"/>
        <v>0</v>
      </c>
      <c r="E486" s="253">
        <f>B486-Index_Returns!Q486</f>
        <v>0</v>
      </c>
    </row>
    <row r="487" spans="1:5" x14ac:dyDescent="0.2">
      <c r="A487" s="345">
        <v>42338</v>
      </c>
      <c r="B487" s="253">
        <f t="shared" si="0"/>
        <v>0</v>
      </c>
      <c r="E487" s="253">
        <f>B487-Index_Returns!Q487</f>
        <v>0</v>
      </c>
    </row>
    <row r="488" spans="1:5" x14ac:dyDescent="0.2">
      <c r="A488" s="345">
        <v>42369</v>
      </c>
      <c r="B488" s="253">
        <f t="shared" si="0"/>
        <v>0</v>
      </c>
      <c r="E488" s="253">
        <f>B488-Index_Returns!Q488</f>
        <v>0</v>
      </c>
    </row>
  </sheetData>
  <phoneticPr fontId="3" type="noConversion"/>
  <printOptions headings="1" gridLines="1"/>
  <pageMargins left="0.78740157480314965" right="0.78740157480314965" top="0.19685039370078741" bottom="0.19685039370078741" header="0.39370078740157483" footer="0.39370078740157483"/>
  <pageSetup scale="14"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I488"/>
  <sheetViews>
    <sheetView workbookViewId="0">
      <pane xSplit="1" ySplit="2" topLeftCell="B447" activePane="bottomRight" state="frozen"/>
      <selection activeCell="E452" sqref="E452:E464"/>
      <selection pane="topRight" activeCell="E452" sqref="E452:E464"/>
      <selection pane="bottomLeft" activeCell="E452" sqref="E452:E464"/>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5" width="18.7109375" style="258" customWidth="1"/>
    <col min="6" max="6" width="14" bestFit="1" customWidth="1"/>
    <col min="7" max="7" width="9.140625" style="352"/>
    <col min="8" max="9" width="9.140625" style="14"/>
  </cols>
  <sheetData>
    <row r="1" spans="1:6" x14ac:dyDescent="0.2">
      <c r="A1" s="265" t="s">
        <v>23</v>
      </c>
      <c r="B1" s="321" t="s">
        <v>488</v>
      </c>
      <c r="C1" s="1381" t="s">
        <v>22</v>
      </c>
      <c r="D1" s="1370">
        <f>Fees!F122</f>
        <v>21.849189172881996</v>
      </c>
      <c r="E1" s="74" t="s">
        <v>81</v>
      </c>
      <c r="F1" s="1452" t="s">
        <v>761</v>
      </c>
    </row>
    <row r="2" spans="1:6" x14ac:dyDescent="0.2">
      <c r="A2" s="3" t="s">
        <v>27</v>
      </c>
      <c r="B2" s="71" t="s">
        <v>91</v>
      </c>
      <c r="C2" s="226" t="s">
        <v>92</v>
      </c>
      <c r="D2" s="71" t="s">
        <v>90</v>
      </c>
      <c r="E2" s="71" t="s">
        <v>80</v>
      </c>
    </row>
    <row r="3" spans="1:6" x14ac:dyDescent="0.2">
      <c r="A3" s="345">
        <v>27606</v>
      </c>
      <c r="B3" s="71"/>
      <c r="C3" s="226"/>
      <c r="D3" s="71"/>
      <c r="E3" s="71"/>
    </row>
    <row r="4" spans="1:6" x14ac:dyDescent="0.2">
      <c r="A4" s="345">
        <v>27637</v>
      </c>
      <c r="B4" s="71"/>
      <c r="C4" s="226"/>
      <c r="D4" s="71"/>
      <c r="E4" s="71"/>
    </row>
    <row r="5" spans="1:6" x14ac:dyDescent="0.2">
      <c r="A5" s="345">
        <v>27667</v>
      </c>
      <c r="B5" s="71"/>
      <c r="C5" s="226"/>
      <c r="D5" s="71"/>
      <c r="E5" s="71"/>
    </row>
    <row r="6" spans="1:6" x14ac:dyDescent="0.2">
      <c r="A6" s="345">
        <v>27698</v>
      </c>
      <c r="B6" s="71"/>
      <c r="C6" s="226"/>
      <c r="D6" s="71"/>
      <c r="E6" s="71"/>
    </row>
    <row r="7" spans="1:6" x14ac:dyDescent="0.2">
      <c r="A7" s="345">
        <v>27728</v>
      </c>
      <c r="B7" s="71"/>
      <c r="C7" s="226"/>
      <c r="D7" s="71"/>
      <c r="E7" s="71"/>
    </row>
    <row r="8" spans="1:6" x14ac:dyDescent="0.2">
      <c r="A8" s="345">
        <v>27759</v>
      </c>
      <c r="B8" s="71"/>
      <c r="C8" s="226"/>
      <c r="D8" s="71"/>
      <c r="E8" s="71"/>
    </row>
    <row r="9" spans="1:6" x14ac:dyDescent="0.2">
      <c r="A9" s="345">
        <v>27790</v>
      </c>
      <c r="B9" s="71"/>
      <c r="C9" s="226"/>
      <c r="D9" s="71"/>
      <c r="E9" s="71"/>
    </row>
    <row r="10" spans="1:6" x14ac:dyDescent="0.2">
      <c r="A10" s="345">
        <v>27819</v>
      </c>
      <c r="B10" s="71"/>
      <c r="C10" s="226"/>
      <c r="D10" s="71"/>
      <c r="E10" s="71"/>
    </row>
    <row r="11" spans="1:6" x14ac:dyDescent="0.2">
      <c r="A11" s="345">
        <v>27850</v>
      </c>
      <c r="B11" s="71"/>
      <c r="C11" s="226"/>
      <c r="D11" s="71"/>
      <c r="E11" s="71"/>
    </row>
    <row r="12" spans="1:6" x14ac:dyDescent="0.2">
      <c r="A12" s="345">
        <v>27880</v>
      </c>
      <c r="B12" s="71"/>
      <c r="C12" s="226"/>
      <c r="D12" s="71"/>
      <c r="E12" s="71"/>
    </row>
    <row r="13" spans="1:6" x14ac:dyDescent="0.2">
      <c r="A13" s="345">
        <v>27911</v>
      </c>
      <c r="B13" s="71"/>
      <c r="C13" s="226"/>
      <c r="D13" s="71"/>
      <c r="E13" s="71"/>
    </row>
    <row r="14" spans="1:6" x14ac:dyDescent="0.2">
      <c r="A14" s="345">
        <v>27941</v>
      </c>
      <c r="B14" s="71"/>
      <c r="C14" s="226"/>
      <c r="D14" s="71"/>
      <c r="E14" s="71"/>
    </row>
    <row r="15" spans="1:6" x14ac:dyDescent="0.2">
      <c r="A15" s="345">
        <v>27972</v>
      </c>
      <c r="B15" s="71"/>
      <c r="C15" s="226"/>
      <c r="D15" s="71"/>
      <c r="E15" s="71"/>
    </row>
    <row r="16" spans="1:6"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3"/>
      <c r="C147" s="25"/>
      <c r="D147" s="73"/>
      <c r="E147" s="73"/>
    </row>
    <row r="148" spans="1:5" x14ac:dyDescent="0.2">
      <c r="A148" s="345">
        <v>32020</v>
      </c>
      <c r="B148" s="73"/>
      <c r="C148" s="25"/>
      <c r="D148" s="73"/>
      <c r="E148" s="73"/>
    </row>
    <row r="149" spans="1:5" x14ac:dyDescent="0.2">
      <c r="A149" s="345">
        <v>32050</v>
      </c>
      <c r="B149" s="73"/>
      <c r="C149" s="25"/>
      <c r="D149" s="73"/>
      <c r="E149" s="73"/>
    </row>
    <row r="150" spans="1:5" x14ac:dyDescent="0.2">
      <c r="A150" s="345">
        <v>32081</v>
      </c>
      <c r="B150" s="73"/>
      <c r="C150" s="25"/>
      <c r="D150" s="73"/>
      <c r="E150" s="73"/>
    </row>
    <row r="151" spans="1:5" x14ac:dyDescent="0.2">
      <c r="A151" s="345">
        <v>32111</v>
      </c>
      <c r="B151" s="73"/>
      <c r="C151" s="25"/>
      <c r="D151" s="73"/>
      <c r="E151" s="73"/>
    </row>
    <row r="152" spans="1:5" x14ac:dyDescent="0.2">
      <c r="A152" s="345">
        <v>32142</v>
      </c>
      <c r="B152" s="73"/>
      <c r="C152" s="25"/>
      <c r="D152" s="73"/>
      <c r="E152" s="73"/>
    </row>
    <row r="153" spans="1:5" x14ac:dyDescent="0.2">
      <c r="A153" s="345">
        <v>32173</v>
      </c>
      <c r="B153" s="73"/>
      <c r="C153" s="25"/>
      <c r="D153" s="73"/>
      <c r="E153" s="73"/>
    </row>
    <row r="154" spans="1:5" x14ac:dyDescent="0.2">
      <c r="A154" s="345">
        <v>32202</v>
      </c>
      <c r="B154" s="73"/>
      <c r="C154" s="25"/>
      <c r="D154" s="73"/>
      <c r="E154" s="73"/>
    </row>
    <row r="155" spans="1:5" x14ac:dyDescent="0.2">
      <c r="A155" s="345">
        <v>32233</v>
      </c>
      <c r="B155" s="73"/>
      <c r="C155" s="25"/>
      <c r="D155" s="73"/>
      <c r="E155" s="73"/>
    </row>
    <row r="156" spans="1:5" x14ac:dyDescent="0.2">
      <c r="A156" s="345">
        <v>32263</v>
      </c>
      <c r="B156" s="73"/>
      <c r="C156" s="25"/>
      <c r="D156" s="73"/>
      <c r="E156" s="73"/>
    </row>
    <row r="157" spans="1:5" x14ac:dyDescent="0.2">
      <c r="A157" s="345">
        <v>32294</v>
      </c>
      <c r="B157" s="73"/>
      <c r="C157" s="25"/>
      <c r="D157" s="73"/>
      <c r="E157" s="73"/>
    </row>
    <row r="158" spans="1:5" x14ac:dyDescent="0.2">
      <c r="A158" s="345">
        <v>32324</v>
      </c>
      <c r="B158" s="73"/>
      <c r="C158" s="25"/>
      <c r="D158" s="73"/>
      <c r="E158" s="73"/>
    </row>
    <row r="159" spans="1:5" x14ac:dyDescent="0.2">
      <c r="A159" s="345">
        <v>32355</v>
      </c>
      <c r="B159" s="73"/>
      <c r="C159" s="25"/>
      <c r="D159" s="73"/>
      <c r="E159" s="73"/>
    </row>
    <row r="160" spans="1:5" x14ac:dyDescent="0.2">
      <c r="A160" s="345">
        <v>32386</v>
      </c>
      <c r="B160" s="73"/>
      <c r="C160" s="25"/>
      <c r="D160" s="73"/>
      <c r="E160" s="73"/>
    </row>
    <row r="161" spans="1:5" x14ac:dyDescent="0.2">
      <c r="A161" s="345">
        <v>32416</v>
      </c>
      <c r="B161" s="73"/>
      <c r="C161" s="25"/>
      <c r="D161" s="73"/>
      <c r="E161" s="73"/>
    </row>
    <row r="162" spans="1:5" x14ac:dyDescent="0.2">
      <c r="A162" s="345">
        <v>32447</v>
      </c>
      <c r="B162" s="73"/>
      <c r="C162" s="25"/>
      <c r="D162" s="73"/>
      <c r="E162" s="73"/>
    </row>
    <row r="163" spans="1:5" x14ac:dyDescent="0.2">
      <c r="A163" s="345">
        <v>32477</v>
      </c>
      <c r="B163" s="73"/>
      <c r="C163" s="25"/>
      <c r="D163" s="73"/>
      <c r="E163" s="73"/>
    </row>
    <row r="164" spans="1:5" x14ac:dyDescent="0.2">
      <c r="A164" s="345">
        <v>32508</v>
      </c>
      <c r="B164" s="73"/>
      <c r="C164" s="25"/>
      <c r="D164" s="73"/>
      <c r="E164" s="73"/>
    </row>
    <row r="165" spans="1:5" x14ac:dyDescent="0.2">
      <c r="A165" s="345">
        <v>32539</v>
      </c>
      <c r="B165" s="73"/>
      <c r="C165" s="25"/>
      <c r="D165" s="73"/>
      <c r="E165" s="73"/>
    </row>
    <row r="166" spans="1:5" x14ac:dyDescent="0.2">
      <c r="A166" s="345">
        <v>32567</v>
      </c>
      <c r="B166" s="73"/>
      <c r="C166" s="25"/>
      <c r="D166" s="73"/>
      <c r="E166" s="73"/>
    </row>
    <row r="167" spans="1:5" x14ac:dyDescent="0.2">
      <c r="A167" s="345">
        <v>32598</v>
      </c>
      <c r="B167" s="73"/>
      <c r="C167" s="25"/>
      <c r="D167" s="73"/>
      <c r="E167" s="73"/>
    </row>
    <row r="168" spans="1:5" x14ac:dyDescent="0.2">
      <c r="A168" s="345">
        <v>32628</v>
      </c>
      <c r="B168" s="73"/>
      <c r="C168" s="25"/>
      <c r="D168" s="73"/>
      <c r="E168" s="73"/>
    </row>
    <row r="169" spans="1:5" x14ac:dyDescent="0.2">
      <c r="A169" s="345">
        <v>32659</v>
      </c>
      <c r="B169" s="73"/>
      <c r="C169" s="25"/>
      <c r="D169" s="73"/>
      <c r="E169" s="73"/>
    </row>
    <row r="170" spans="1:5" x14ac:dyDescent="0.2">
      <c r="A170" s="345">
        <v>32689</v>
      </c>
      <c r="B170" s="73"/>
      <c r="C170" s="25"/>
      <c r="D170" s="73"/>
      <c r="E170" s="73"/>
    </row>
    <row r="171" spans="1:5" x14ac:dyDescent="0.2">
      <c r="A171" s="345">
        <v>32720</v>
      </c>
      <c r="B171" s="73"/>
      <c r="C171" s="25"/>
      <c r="D171" s="73"/>
      <c r="E171" s="73"/>
    </row>
    <row r="172" spans="1:5" x14ac:dyDescent="0.2">
      <c r="A172" s="345">
        <v>32751</v>
      </c>
      <c r="B172" s="73"/>
      <c r="C172" s="25"/>
      <c r="D172" s="73"/>
      <c r="E172" s="73"/>
    </row>
    <row r="173" spans="1:5" x14ac:dyDescent="0.2">
      <c r="A173" s="345">
        <v>32781</v>
      </c>
      <c r="B173" s="73"/>
      <c r="C173" s="25"/>
      <c r="D173" s="73"/>
      <c r="E173" s="73"/>
    </row>
    <row r="174" spans="1:5" x14ac:dyDescent="0.2">
      <c r="A174" s="345">
        <v>32812</v>
      </c>
      <c r="B174" s="73"/>
      <c r="C174" s="25"/>
      <c r="D174" s="73"/>
      <c r="E174" s="73"/>
    </row>
    <row r="175" spans="1:5" x14ac:dyDescent="0.2">
      <c r="A175" s="345">
        <v>32842</v>
      </c>
      <c r="B175" s="73"/>
      <c r="C175" s="25"/>
      <c r="D175" s="73"/>
      <c r="E175" s="73"/>
    </row>
    <row r="176" spans="1:5" x14ac:dyDescent="0.2">
      <c r="A176" s="345">
        <v>32873</v>
      </c>
      <c r="B176" s="73"/>
      <c r="C176" s="25"/>
      <c r="D176" s="73"/>
      <c r="E176" s="73"/>
    </row>
    <row r="177" spans="1:5" x14ac:dyDescent="0.2">
      <c r="A177" s="345">
        <v>32904</v>
      </c>
      <c r="B177" s="73"/>
      <c r="C177" s="25"/>
      <c r="D177" s="73"/>
      <c r="E177" s="73"/>
    </row>
    <row r="178" spans="1:5" x14ac:dyDescent="0.2">
      <c r="A178" s="345">
        <v>32932</v>
      </c>
      <c r="B178" s="73"/>
      <c r="C178" s="25"/>
      <c r="D178" s="73"/>
      <c r="E178" s="73"/>
    </row>
    <row r="179" spans="1:5" x14ac:dyDescent="0.2">
      <c r="A179" s="345">
        <v>32963</v>
      </c>
      <c r="B179" s="73"/>
      <c r="C179" s="25"/>
      <c r="D179" s="73"/>
      <c r="E179" s="73"/>
    </row>
    <row r="180" spans="1:5" x14ac:dyDescent="0.2">
      <c r="A180" s="345">
        <v>32993</v>
      </c>
      <c r="B180" s="73"/>
      <c r="C180" s="25"/>
      <c r="D180" s="73"/>
      <c r="E180" s="73"/>
    </row>
    <row r="181" spans="1:5" x14ac:dyDescent="0.2">
      <c r="A181" s="345">
        <v>33024</v>
      </c>
      <c r="B181" s="73"/>
      <c r="C181" s="25"/>
      <c r="D181" s="73"/>
      <c r="E181" s="73"/>
    </row>
    <row r="182" spans="1:5" x14ac:dyDescent="0.2">
      <c r="A182" s="345">
        <v>33054</v>
      </c>
      <c r="B182" s="73"/>
      <c r="C182" s="25"/>
      <c r="D182" s="73"/>
      <c r="E182" s="73"/>
    </row>
    <row r="183" spans="1:5" x14ac:dyDescent="0.2">
      <c r="A183" s="345">
        <v>33085</v>
      </c>
      <c r="B183" s="73"/>
      <c r="C183" s="25"/>
      <c r="D183" s="73"/>
      <c r="E183" s="73"/>
    </row>
    <row r="184" spans="1:5" x14ac:dyDescent="0.2">
      <c r="A184" s="345">
        <v>33116</v>
      </c>
      <c r="B184" s="73"/>
      <c r="C184" s="25"/>
      <c r="D184" s="73"/>
      <c r="E184" s="73"/>
    </row>
    <row r="185" spans="1:5" x14ac:dyDescent="0.2">
      <c r="A185" s="345">
        <v>33146</v>
      </c>
      <c r="B185" s="73"/>
      <c r="C185" s="25"/>
      <c r="D185" s="73"/>
      <c r="E185" s="73"/>
    </row>
    <row r="186" spans="1:5" x14ac:dyDescent="0.2">
      <c r="A186" s="345">
        <v>33177</v>
      </c>
      <c r="B186" s="73"/>
      <c r="C186" s="25"/>
      <c r="D186" s="73"/>
      <c r="E186" s="73"/>
    </row>
    <row r="187" spans="1:5" x14ac:dyDescent="0.2">
      <c r="A187" s="345">
        <v>33207</v>
      </c>
      <c r="B187" s="73"/>
      <c r="C187" s="25"/>
      <c r="D187" s="73"/>
      <c r="E187" s="73"/>
    </row>
    <row r="188" spans="1:5" x14ac:dyDescent="0.2">
      <c r="A188" s="345">
        <v>33238</v>
      </c>
      <c r="B188" s="73"/>
      <c r="C188" s="25"/>
      <c r="D188" s="73"/>
      <c r="E188" s="73"/>
    </row>
    <row r="189" spans="1:5" x14ac:dyDescent="0.2">
      <c r="A189" s="345">
        <v>33269</v>
      </c>
      <c r="B189" s="73"/>
      <c r="C189" s="25"/>
      <c r="D189" s="73"/>
      <c r="E189" s="73"/>
    </row>
    <row r="190" spans="1:5" x14ac:dyDescent="0.2">
      <c r="A190" s="345">
        <v>33297</v>
      </c>
      <c r="B190" s="73"/>
      <c r="C190" s="25"/>
      <c r="D190" s="73"/>
      <c r="E190" s="73"/>
    </row>
    <row r="191" spans="1:5" x14ac:dyDescent="0.2">
      <c r="A191" s="345">
        <v>33328</v>
      </c>
      <c r="B191" s="73"/>
      <c r="C191" s="25"/>
      <c r="D191" s="73"/>
      <c r="E191" s="73"/>
    </row>
    <row r="192" spans="1:5" x14ac:dyDescent="0.2">
      <c r="A192" s="345">
        <v>33358</v>
      </c>
      <c r="B192" s="73"/>
      <c r="C192" s="25"/>
      <c r="D192" s="73"/>
      <c r="E192" s="73"/>
    </row>
    <row r="193" spans="1:5" x14ac:dyDescent="0.2">
      <c r="A193" s="345">
        <v>33389</v>
      </c>
      <c r="B193" s="73"/>
      <c r="C193" s="25"/>
      <c r="D193" s="73"/>
      <c r="E193" s="73"/>
    </row>
    <row r="194" spans="1:5" x14ac:dyDescent="0.2">
      <c r="A194" s="345">
        <v>33419</v>
      </c>
      <c r="B194" s="73"/>
      <c r="C194" s="25"/>
      <c r="D194" s="73"/>
      <c r="E194" s="73"/>
    </row>
    <row r="195" spans="1:5" x14ac:dyDescent="0.2">
      <c r="A195" s="345">
        <v>33450</v>
      </c>
      <c r="B195" s="73"/>
      <c r="C195" s="25"/>
      <c r="D195" s="73"/>
      <c r="E195" s="73"/>
    </row>
    <row r="196" spans="1:5" x14ac:dyDescent="0.2">
      <c r="A196" s="345">
        <v>33481</v>
      </c>
      <c r="B196" s="73"/>
      <c r="C196" s="25"/>
      <c r="D196" s="73"/>
      <c r="E196" s="73"/>
    </row>
    <row r="197" spans="1:5" x14ac:dyDescent="0.2">
      <c r="A197" s="345">
        <v>33511</v>
      </c>
      <c r="B197" s="73"/>
      <c r="C197" s="25"/>
      <c r="D197" s="73"/>
      <c r="E197" s="73"/>
    </row>
    <row r="198" spans="1:5" x14ac:dyDescent="0.2">
      <c r="A198" s="345">
        <v>33542</v>
      </c>
      <c r="B198" s="73"/>
      <c r="C198" s="25"/>
      <c r="D198" s="73"/>
      <c r="E198" s="73"/>
    </row>
    <row r="199" spans="1:5" x14ac:dyDescent="0.2">
      <c r="A199" s="345">
        <v>33572</v>
      </c>
      <c r="B199" s="73"/>
      <c r="C199" s="25"/>
      <c r="D199" s="73"/>
      <c r="E199" s="73"/>
    </row>
    <row r="200" spans="1:5" x14ac:dyDescent="0.2">
      <c r="A200" s="345">
        <v>33603</v>
      </c>
      <c r="B200" s="73"/>
      <c r="C200" s="25"/>
      <c r="D200" s="73"/>
      <c r="E200" s="73"/>
    </row>
    <row r="201" spans="1:5" x14ac:dyDescent="0.2">
      <c r="A201" s="345">
        <v>33634</v>
      </c>
      <c r="B201" s="73"/>
      <c r="C201" s="25"/>
      <c r="D201" s="73"/>
      <c r="E201" s="73"/>
    </row>
    <row r="202" spans="1:5" x14ac:dyDescent="0.2">
      <c r="A202" s="345">
        <v>33663</v>
      </c>
      <c r="B202" s="73"/>
      <c r="C202" s="25"/>
      <c r="D202" s="73"/>
      <c r="E202" s="73"/>
    </row>
    <row r="203" spans="1:5" x14ac:dyDescent="0.2">
      <c r="A203" s="345">
        <v>33694</v>
      </c>
      <c r="B203" s="73"/>
      <c r="C203" s="25"/>
      <c r="D203" s="73"/>
      <c r="E203" s="73"/>
    </row>
    <row r="204" spans="1:5" x14ac:dyDescent="0.2">
      <c r="A204" s="345">
        <v>33724</v>
      </c>
      <c r="B204" s="73"/>
      <c r="C204" s="25"/>
      <c r="D204" s="73"/>
      <c r="E204" s="73"/>
    </row>
    <row r="205" spans="1:5" x14ac:dyDescent="0.2">
      <c r="A205" s="345">
        <v>33755</v>
      </c>
      <c r="B205" s="73"/>
      <c r="C205" s="25"/>
      <c r="D205" s="73"/>
      <c r="E205" s="73"/>
    </row>
    <row r="206" spans="1:5" x14ac:dyDescent="0.2">
      <c r="A206" s="345">
        <v>33785</v>
      </c>
      <c r="B206" s="73"/>
      <c r="C206" s="25"/>
      <c r="D206" s="73"/>
      <c r="E206" s="73"/>
    </row>
    <row r="207" spans="1:5" x14ac:dyDescent="0.2">
      <c r="A207" s="345">
        <v>33816</v>
      </c>
      <c r="B207" s="73"/>
      <c r="C207" s="25"/>
      <c r="D207" s="73"/>
      <c r="E207" s="73"/>
    </row>
    <row r="208" spans="1:5" x14ac:dyDescent="0.2">
      <c r="A208" s="345">
        <v>33847</v>
      </c>
      <c r="B208" s="73"/>
      <c r="C208" s="25"/>
      <c r="D208" s="73"/>
      <c r="E208" s="73"/>
    </row>
    <row r="209" spans="1:5" x14ac:dyDescent="0.2">
      <c r="A209" s="345">
        <v>33877</v>
      </c>
      <c r="B209" s="73"/>
      <c r="C209" s="25"/>
      <c r="D209" s="73"/>
      <c r="E209" s="73"/>
    </row>
    <row r="210" spans="1:5" x14ac:dyDescent="0.2">
      <c r="A210" s="345">
        <v>33908</v>
      </c>
      <c r="B210" s="73"/>
      <c r="C210" s="25"/>
      <c r="D210" s="73"/>
      <c r="E210" s="73"/>
    </row>
    <row r="211" spans="1:5" x14ac:dyDescent="0.2">
      <c r="A211" s="345">
        <v>33938</v>
      </c>
      <c r="B211" s="73"/>
      <c r="C211" s="25"/>
      <c r="D211" s="73"/>
      <c r="E211" s="73"/>
    </row>
    <row r="212" spans="1:5" x14ac:dyDescent="0.2">
      <c r="A212" s="345">
        <v>33969</v>
      </c>
      <c r="B212" s="73"/>
      <c r="C212" s="25"/>
      <c r="D212" s="73"/>
      <c r="E212" s="73"/>
    </row>
    <row r="213" spans="1:5" x14ac:dyDescent="0.2">
      <c r="A213" s="345">
        <v>34000</v>
      </c>
      <c r="B213" s="73"/>
      <c r="C213" s="25"/>
      <c r="D213" s="73"/>
      <c r="E213" s="73"/>
    </row>
    <row r="214" spans="1:5" x14ac:dyDescent="0.2">
      <c r="A214" s="345">
        <v>34028</v>
      </c>
      <c r="B214" s="73"/>
      <c r="C214" s="25"/>
      <c r="D214" s="73"/>
      <c r="E214" s="73"/>
    </row>
    <row r="215" spans="1:5" x14ac:dyDescent="0.2">
      <c r="A215" s="345">
        <v>34059</v>
      </c>
      <c r="B215" s="73"/>
      <c r="C215" s="25"/>
      <c r="D215" s="73"/>
      <c r="E215" s="73"/>
    </row>
    <row r="216" spans="1:5" x14ac:dyDescent="0.2">
      <c r="A216" s="345">
        <v>34089</v>
      </c>
      <c r="B216" s="73"/>
      <c r="C216" s="25"/>
      <c r="D216" s="73"/>
      <c r="E216" s="73"/>
    </row>
    <row r="217" spans="1:5" x14ac:dyDescent="0.2">
      <c r="A217" s="345">
        <v>34120</v>
      </c>
      <c r="B217" s="73"/>
      <c r="C217" s="25"/>
      <c r="D217" s="73"/>
      <c r="E217" s="73"/>
    </row>
    <row r="218" spans="1:5" x14ac:dyDescent="0.2">
      <c r="A218" s="345">
        <v>34150</v>
      </c>
      <c r="B218" s="73"/>
      <c r="C218" s="25"/>
      <c r="D218" s="73"/>
      <c r="E218" s="73"/>
    </row>
    <row r="219" spans="1:5" x14ac:dyDescent="0.2">
      <c r="A219" s="345">
        <v>34181</v>
      </c>
      <c r="B219" s="73"/>
      <c r="C219" s="25"/>
      <c r="D219" s="73"/>
      <c r="E219" s="73"/>
    </row>
    <row r="220" spans="1:5" x14ac:dyDescent="0.2">
      <c r="A220" s="345">
        <v>34212</v>
      </c>
      <c r="B220" s="73"/>
      <c r="C220" s="25"/>
      <c r="D220" s="73"/>
      <c r="E220" s="73"/>
    </row>
    <row r="221" spans="1:5" x14ac:dyDescent="0.2">
      <c r="A221" s="345">
        <v>34242</v>
      </c>
      <c r="B221" s="73"/>
      <c r="C221" s="25"/>
      <c r="D221" s="73"/>
      <c r="E221" s="73"/>
    </row>
    <row r="222" spans="1:5" x14ac:dyDescent="0.2">
      <c r="A222" s="345">
        <v>34273</v>
      </c>
      <c r="B222" s="73"/>
      <c r="C222" s="25"/>
      <c r="D222" s="73"/>
      <c r="E222" s="73"/>
    </row>
    <row r="223" spans="1:5" x14ac:dyDescent="0.2">
      <c r="A223" s="345">
        <v>34303</v>
      </c>
      <c r="B223" s="73"/>
      <c r="C223" s="25"/>
      <c r="D223" s="73"/>
      <c r="E223" s="73"/>
    </row>
    <row r="224" spans="1:5" x14ac:dyDescent="0.2">
      <c r="A224" s="345">
        <v>34334</v>
      </c>
      <c r="B224" s="73"/>
      <c r="C224" s="25"/>
      <c r="D224" s="73"/>
      <c r="E224" s="73"/>
    </row>
    <row r="225" spans="1:5" x14ac:dyDescent="0.2">
      <c r="A225" s="345">
        <v>34365</v>
      </c>
      <c r="B225" s="73"/>
      <c r="C225" s="25"/>
      <c r="D225" s="73"/>
      <c r="E225" s="73"/>
    </row>
    <row r="226" spans="1:5" x14ac:dyDescent="0.2">
      <c r="A226" s="345">
        <v>34393</v>
      </c>
      <c r="B226" s="73"/>
      <c r="C226" s="25"/>
      <c r="D226" s="73"/>
      <c r="E226" s="73"/>
    </row>
    <row r="227" spans="1:5" x14ac:dyDescent="0.2">
      <c r="A227" s="345">
        <v>34424</v>
      </c>
      <c r="B227" s="73"/>
      <c r="C227" s="25"/>
      <c r="D227" s="73"/>
      <c r="E227" s="73"/>
    </row>
    <row r="228" spans="1:5" x14ac:dyDescent="0.2">
      <c r="A228" s="345">
        <v>34454</v>
      </c>
      <c r="B228" s="73"/>
      <c r="C228" s="25"/>
      <c r="D228" s="73"/>
      <c r="E228" s="73"/>
    </row>
    <row r="229" spans="1:5" x14ac:dyDescent="0.2">
      <c r="A229" s="345">
        <v>34485</v>
      </c>
      <c r="B229" s="73"/>
      <c r="C229" s="25"/>
      <c r="D229" s="73"/>
      <c r="E229" s="73"/>
    </row>
    <row r="230" spans="1:5" x14ac:dyDescent="0.2">
      <c r="A230" s="345">
        <v>34515</v>
      </c>
      <c r="B230" s="73"/>
      <c r="C230" s="25"/>
      <c r="D230" s="73"/>
      <c r="E230" s="73"/>
    </row>
    <row r="231" spans="1:5" x14ac:dyDescent="0.2">
      <c r="A231" s="345">
        <v>34546</v>
      </c>
      <c r="B231" s="73"/>
      <c r="C231" s="25"/>
      <c r="D231" s="73"/>
      <c r="E231" s="73"/>
    </row>
    <row r="232" spans="1:5" x14ac:dyDescent="0.2">
      <c r="A232" s="345">
        <v>34577</v>
      </c>
      <c r="B232" s="73"/>
      <c r="C232" s="25"/>
      <c r="D232" s="73"/>
      <c r="E232" s="73"/>
    </row>
    <row r="233" spans="1:5" x14ac:dyDescent="0.2">
      <c r="A233" s="345">
        <v>34607</v>
      </c>
      <c r="B233" s="73"/>
      <c r="C233" s="25"/>
      <c r="D233" s="73"/>
      <c r="E233" s="73"/>
    </row>
    <row r="234" spans="1:5" x14ac:dyDescent="0.2">
      <c r="A234" s="345">
        <v>34638</v>
      </c>
      <c r="B234" s="73"/>
      <c r="C234" s="25"/>
      <c r="D234" s="73"/>
      <c r="E234" s="73"/>
    </row>
    <row r="235" spans="1:5" x14ac:dyDescent="0.2">
      <c r="A235" s="345">
        <v>34668</v>
      </c>
      <c r="B235" s="73"/>
      <c r="C235" s="25"/>
      <c r="D235" s="73"/>
      <c r="E235" s="73"/>
    </row>
    <row r="236" spans="1:5" x14ac:dyDescent="0.2">
      <c r="A236" s="345">
        <v>34699</v>
      </c>
      <c r="B236" s="73"/>
      <c r="C236" s="25"/>
      <c r="D236" s="73"/>
      <c r="E236" s="73"/>
    </row>
    <row r="237" spans="1:5" x14ac:dyDescent="0.2">
      <c r="A237" s="345">
        <v>34730</v>
      </c>
      <c r="B237" s="73"/>
      <c r="C237" s="25"/>
      <c r="D237" s="73"/>
      <c r="E237" s="73"/>
    </row>
    <row r="238" spans="1:5" x14ac:dyDescent="0.2">
      <c r="A238" s="345">
        <v>34758</v>
      </c>
      <c r="B238" s="73"/>
      <c r="C238" s="25"/>
      <c r="D238" s="73"/>
      <c r="E238" s="73"/>
    </row>
    <row r="239" spans="1:5" x14ac:dyDescent="0.2">
      <c r="A239" s="345">
        <v>34789</v>
      </c>
      <c r="B239" s="73"/>
      <c r="C239" s="25"/>
      <c r="D239" s="73"/>
      <c r="E239" s="73"/>
    </row>
    <row r="240" spans="1:5" x14ac:dyDescent="0.2">
      <c r="A240" s="345">
        <v>34819</v>
      </c>
      <c r="B240" s="73"/>
      <c r="C240" s="25"/>
      <c r="D240" s="73"/>
      <c r="E240" s="73"/>
    </row>
    <row r="241" spans="1:5" x14ac:dyDescent="0.2">
      <c r="A241" s="345">
        <v>34850</v>
      </c>
      <c r="B241" s="73"/>
      <c r="C241" s="25"/>
      <c r="D241" s="73"/>
      <c r="E241" s="73"/>
    </row>
    <row r="242" spans="1:5" x14ac:dyDescent="0.2">
      <c r="A242" s="345">
        <v>34880</v>
      </c>
      <c r="B242" s="73"/>
      <c r="C242" s="25"/>
      <c r="D242" s="73"/>
      <c r="E242" s="73"/>
    </row>
    <row r="243" spans="1:5" x14ac:dyDescent="0.2">
      <c r="A243" s="345">
        <v>34911</v>
      </c>
      <c r="B243" s="73"/>
      <c r="C243" s="25"/>
      <c r="D243" s="73"/>
      <c r="E243" s="73"/>
    </row>
    <row r="244" spans="1:5" x14ac:dyDescent="0.2">
      <c r="A244" s="345">
        <v>34942</v>
      </c>
      <c r="B244" s="73"/>
      <c r="C244" s="25"/>
      <c r="D244" s="73"/>
      <c r="E244" s="73"/>
    </row>
    <row r="245" spans="1:5" x14ac:dyDescent="0.2">
      <c r="A245" s="345">
        <v>34972</v>
      </c>
      <c r="B245" s="73"/>
      <c r="C245" s="25"/>
      <c r="D245" s="73"/>
      <c r="E245" s="73"/>
    </row>
    <row r="246" spans="1:5" x14ac:dyDescent="0.2">
      <c r="A246" s="345">
        <v>35003</v>
      </c>
      <c r="B246" s="73"/>
      <c r="C246" s="25"/>
      <c r="D246" s="73"/>
      <c r="E246" s="73"/>
    </row>
    <row r="247" spans="1:5" x14ac:dyDescent="0.2">
      <c r="A247" s="345">
        <v>35033</v>
      </c>
      <c r="B247" s="73"/>
      <c r="C247" s="25"/>
      <c r="D247" s="73"/>
      <c r="E247" s="73"/>
    </row>
    <row r="248" spans="1:5" x14ac:dyDescent="0.2">
      <c r="A248" s="345">
        <v>35064</v>
      </c>
      <c r="B248" s="73"/>
      <c r="C248" s="25"/>
      <c r="D248" s="73"/>
      <c r="E248" s="73"/>
    </row>
    <row r="249" spans="1:5" x14ac:dyDescent="0.2">
      <c r="A249" s="345">
        <v>35095</v>
      </c>
      <c r="B249" s="73"/>
      <c r="C249" s="25"/>
      <c r="D249" s="73"/>
      <c r="E249" s="73"/>
    </row>
    <row r="250" spans="1:5" x14ac:dyDescent="0.2">
      <c r="A250" s="345">
        <v>35124</v>
      </c>
      <c r="B250" s="73"/>
      <c r="C250" s="25"/>
      <c r="D250" s="73"/>
      <c r="E250" s="73"/>
    </row>
    <row r="251" spans="1:5" x14ac:dyDescent="0.2">
      <c r="A251" s="345">
        <v>35155</v>
      </c>
      <c r="B251" s="73"/>
      <c r="C251" s="25"/>
      <c r="D251" s="73"/>
      <c r="E251" s="73"/>
    </row>
    <row r="252" spans="1:5" x14ac:dyDescent="0.2">
      <c r="A252" s="345">
        <v>35185</v>
      </c>
      <c r="B252" s="73"/>
      <c r="C252" s="25"/>
      <c r="D252" s="73"/>
      <c r="E252" s="73"/>
    </row>
    <row r="253" spans="1:5" x14ac:dyDescent="0.2">
      <c r="A253" s="345">
        <v>35216</v>
      </c>
      <c r="B253" s="73"/>
      <c r="C253" s="25"/>
      <c r="D253" s="73"/>
      <c r="E253" s="73"/>
    </row>
    <row r="254" spans="1:5" x14ac:dyDescent="0.2">
      <c r="A254" s="345">
        <v>35246</v>
      </c>
      <c r="B254" s="73"/>
      <c r="C254" s="25"/>
      <c r="D254" s="73"/>
      <c r="E254" s="73"/>
    </row>
    <row r="255" spans="1:5" x14ac:dyDescent="0.2">
      <c r="A255" s="345">
        <v>35277</v>
      </c>
      <c r="B255" s="73"/>
      <c r="C255" s="25"/>
      <c r="D255" s="73"/>
      <c r="E255" s="73"/>
    </row>
    <row r="256" spans="1:5" x14ac:dyDescent="0.2">
      <c r="A256" s="345">
        <v>35308</v>
      </c>
      <c r="B256" s="73"/>
      <c r="C256" s="25"/>
      <c r="D256" s="73"/>
      <c r="E256" s="73"/>
    </row>
    <row r="257" spans="1:5" x14ac:dyDescent="0.2">
      <c r="A257" s="345">
        <v>35338</v>
      </c>
      <c r="B257" s="73"/>
      <c r="C257" s="25"/>
      <c r="D257" s="73"/>
      <c r="E257" s="73"/>
    </row>
    <row r="258" spans="1:5" x14ac:dyDescent="0.2">
      <c r="A258" s="345">
        <v>35369</v>
      </c>
      <c r="B258" s="73"/>
      <c r="C258" s="25"/>
      <c r="D258" s="73"/>
      <c r="E258" s="73"/>
    </row>
    <row r="259" spans="1:5" x14ac:dyDescent="0.2">
      <c r="A259" s="345">
        <v>35399</v>
      </c>
      <c r="B259" s="73"/>
      <c r="C259" s="25"/>
      <c r="D259" s="73"/>
      <c r="E259" s="73"/>
    </row>
    <row r="260" spans="1:5" x14ac:dyDescent="0.2">
      <c r="A260" s="345">
        <v>35430</v>
      </c>
      <c r="B260" s="73"/>
      <c r="C260" s="25"/>
      <c r="D260" s="73"/>
      <c r="E260" s="73"/>
    </row>
    <row r="261" spans="1:5" x14ac:dyDescent="0.2">
      <c r="A261" s="345">
        <v>35461</v>
      </c>
      <c r="B261" s="73"/>
      <c r="C261" s="25"/>
      <c r="D261" s="73"/>
      <c r="E261" s="73"/>
    </row>
    <row r="262" spans="1:5" x14ac:dyDescent="0.2">
      <c r="A262" s="345">
        <v>35489</v>
      </c>
      <c r="B262" s="73"/>
      <c r="C262" s="25"/>
      <c r="D262" s="73"/>
      <c r="E262" s="73"/>
    </row>
    <row r="263" spans="1:5" x14ac:dyDescent="0.2">
      <c r="A263" s="345">
        <v>35520</v>
      </c>
      <c r="B263" s="73"/>
      <c r="C263" s="25"/>
      <c r="D263" s="73"/>
      <c r="E263" s="73"/>
    </row>
    <row r="264" spans="1:5" x14ac:dyDescent="0.2">
      <c r="A264" s="345">
        <v>35550</v>
      </c>
      <c r="B264" s="73"/>
      <c r="C264" s="25"/>
      <c r="D264" s="73"/>
      <c r="E264" s="73"/>
    </row>
    <row r="265" spans="1:5" x14ac:dyDescent="0.2">
      <c r="A265" s="345">
        <v>35581</v>
      </c>
      <c r="B265" s="73"/>
      <c r="C265" s="25"/>
      <c r="D265" s="73"/>
      <c r="E265" s="73"/>
    </row>
    <row r="266" spans="1:5" x14ac:dyDescent="0.2">
      <c r="A266" s="345">
        <v>35611</v>
      </c>
      <c r="B266" s="73"/>
      <c r="C266" s="25"/>
      <c r="D266" s="73"/>
      <c r="E266" s="73"/>
    </row>
    <row r="267" spans="1:5" x14ac:dyDescent="0.2">
      <c r="A267" s="345">
        <v>35642</v>
      </c>
      <c r="B267" s="73"/>
      <c r="C267" s="25"/>
      <c r="D267" s="73"/>
      <c r="E267" s="73"/>
    </row>
    <row r="268" spans="1:5" x14ac:dyDescent="0.2">
      <c r="A268" s="345">
        <v>35673</v>
      </c>
      <c r="B268" s="73"/>
      <c r="C268" s="25"/>
      <c r="D268" s="73"/>
      <c r="E268" s="73"/>
    </row>
    <row r="269" spans="1:5" x14ac:dyDescent="0.2">
      <c r="A269" s="345">
        <v>35703</v>
      </c>
      <c r="B269" s="73"/>
      <c r="C269" s="25"/>
      <c r="D269" s="73"/>
      <c r="E269" s="73"/>
    </row>
    <row r="270" spans="1:5" x14ac:dyDescent="0.2">
      <c r="A270" s="345">
        <v>35734</v>
      </c>
      <c r="B270" s="73"/>
      <c r="C270" s="25"/>
      <c r="D270" s="73"/>
      <c r="E270" s="73"/>
    </row>
    <row r="271" spans="1:5" x14ac:dyDescent="0.2">
      <c r="A271" s="345">
        <v>35764</v>
      </c>
      <c r="B271" s="73"/>
      <c r="C271" s="25"/>
      <c r="D271" s="73"/>
      <c r="E271" s="73"/>
    </row>
    <row r="272" spans="1:5" x14ac:dyDescent="0.2">
      <c r="A272" s="345">
        <v>35795</v>
      </c>
      <c r="B272" s="73"/>
      <c r="C272" s="25"/>
      <c r="D272" s="73"/>
      <c r="E272" s="73"/>
    </row>
    <row r="273" spans="1:7" x14ac:dyDescent="0.2">
      <c r="A273" s="345">
        <v>35826</v>
      </c>
      <c r="B273" s="73"/>
      <c r="C273" s="25"/>
      <c r="D273" s="73"/>
      <c r="E273" s="73"/>
    </row>
    <row r="274" spans="1:7" x14ac:dyDescent="0.2">
      <c r="A274" s="345">
        <v>35854</v>
      </c>
      <c r="B274" s="73"/>
      <c r="C274" s="32"/>
      <c r="D274" s="73"/>
      <c r="E274" s="73"/>
    </row>
    <row r="275" spans="1:7" x14ac:dyDescent="0.2">
      <c r="A275" s="345">
        <v>35885</v>
      </c>
      <c r="B275" s="73"/>
      <c r="C275" s="32"/>
      <c r="D275" s="73"/>
      <c r="E275" s="73"/>
    </row>
    <row r="276" spans="1:7" x14ac:dyDescent="0.2">
      <c r="A276" s="345">
        <v>35915</v>
      </c>
      <c r="B276" s="73"/>
      <c r="C276" s="32"/>
      <c r="D276" s="73"/>
      <c r="E276" s="73"/>
    </row>
    <row r="277" spans="1:7" x14ac:dyDescent="0.2">
      <c r="A277" s="345">
        <v>35946</v>
      </c>
      <c r="B277" s="73"/>
      <c r="C277" s="32"/>
      <c r="D277" s="73"/>
      <c r="E277" s="73"/>
    </row>
    <row r="278" spans="1:7" x14ac:dyDescent="0.2">
      <c r="A278" s="345">
        <v>35976</v>
      </c>
      <c r="B278" s="73"/>
      <c r="C278" s="32"/>
      <c r="D278" s="73"/>
      <c r="E278" s="73"/>
    </row>
    <row r="279" spans="1:7" x14ac:dyDescent="0.2">
      <c r="A279" s="345">
        <v>36007</v>
      </c>
      <c r="B279" s="73"/>
      <c r="C279" s="32"/>
      <c r="D279" s="73"/>
      <c r="E279" s="73"/>
    </row>
    <row r="280" spans="1:7" x14ac:dyDescent="0.2">
      <c r="A280" s="345">
        <v>36038</v>
      </c>
      <c r="B280" s="73"/>
      <c r="C280" s="31">
        <v>147169147.69999999</v>
      </c>
      <c r="D280" s="73"/>
      <c r="E280" s="73"/>
    </row>
    <row r="281" spans="1:7" x14ac:dyDescent="0.2">
      <c r="A281" s="345">
        <v>36068</v>
      </c>
      <c r="B281" s="1369">
        <v>4.21</v>
      </c>
      <c r="C281" s="33">
        <v>153392549.25</v>
      </c>
      <c r="D281" s="253"/>
      <c r="E281" s="253">
        <f>B281-Index_Returns!J281</f>
        <v>-1.4370000000000003</v>
      </c>
      <c r="G281" s="14"/>
    </row>
    <row r="282" spans="1:7" x14ac:dyDescent="0.2">
      <c r="A282" s="345">
        <v>36099</v>
      </c>
      <c r="B282" s="1369">
        <v>6.73</v>
      </c>
      <c r="C282" s="33">
        <v>163746123.50999999</v>
      </c>
      <c r="D282" s="253"/>
      <c r="E282" s="253">
        <f>B282-Index_Returns!J282</f>
        <v>3.7610000000000006</v>
      </c>
      <c r="F282" s="779"/>
      <c r="G282" s="14"/>
    </row>
    <row r="283" spans="1:7" x14ac:dyDescent="0.2">
      <c r="A283" s="345">
        <v>36129</v>
      </c>
      <c r="B283" s="1369">
        <v>1.87</v>
      </c>
      <c r="C283" s="33">
        <v>166836287.87</v>
      </c>
      <c r="D283" s="253"/>
      <c r="E283" s="253">
        <f>B283-Index_Returns!J283</f>
        <v>-0.83699999999999974</v>
      </c>
      <c r="G283" s="14"/>
    </row>
    <row r="284" spans="1:7" x14ac:dyDescent="0.2">
      <c r="A284" s="345">
        <v>36160</v>
      </c>
      <c r="B284" s="1369">
        <v>1.92</v>
      </c>
      <c r="C284" s="33">
        <v>170064981.34999999</v>
      </c>
      <c r="D284" s="253"/>
      <c r="E284" s="253">
        <f>B284-Index_Returns!J284</f>
        <v>-1.2160000000000002</v>
      </c>
      <c r="G284" s="14"/>
    </row>
    <row r="285" spans="1:7" x14ac:dyDescent="0.2">
      <c r="A285" s="345">
        <v>36191</v>
      </c>
      <c r="B285" s="1369">
        <v>-0.57999999999999996</v>
      </c>
      <c r="C285" s="33">
        <v>169159345.97</v>
      </c>
      <c r="D285" s="253"/>
      <c r="E285" s="253">
        <f>B285-Index_Returns!J285</f>
        <v>1.69</v>
      </c>
      <c r="G285" s="14"/>
    </row>
    <row r="286" spans="1:7" x14ac:dyDescent="0.2">
      <c r="A286" s="345">
        <v>36219</v>
      </c>
      <c r="B286" s="1369">
        <v>-7.35</v>
      </c>
      <c r="C286" s="33">
        <v>156764043.06</v>
      </c>
      <c r="D286" s="253"/>
      <c r="E286" s="253">
        <f>B286-Index_Returns!J286</f>
        <v>-0.52299999999999969</v>
      </c>
      <c r="G286" s="14"/>
    </row>
    <row r="287" spans="1:7" x14ac:dyDescent="0.2">
      <c r="A287" s="345">
        <v>36250</v>
      </c>
      <c r="B287" s="1369">
        <v>1.64</v>
      </c>
      <c r="C287" s="33">
        <v>159368969.59999999</v>
      </c>
      <c r="D287" s="253"/>
      <c r="E287" s="253">
        <f>B287-Index_Returns!J287</f>
        <v>2.4649999999999999</v>
      </c>
      <c r="G287" s="14"/>
    </row>
    <row r="288" spans="1:7" x14ac:dyDescent="0.2">
      <c r="A288" s="345">
        <v>36280</v>
      </c>
      <c r="B288" s="1369">
        <v>12.98</v>
      </c>
      <c r="C288" s="33">
        <v>180054389.19999999</v>
      </c>
      <c r="D288" s="253"/>
      <c r="E288" s="253">
        <f>B288-Index_Returns!J288</f>
        <v>3.8510000000000009</v>
      </c>
      <c r="G288" s="14"/>
    </row>
    <row r="289" spans="1:7" x14ac:dyDescent="0.2">
      <c r="A289" s="345">
        <v>36311</v>
      </c>
      <c r="B289" s="1369">
        <v>4.21</v>
      </c>
      <c r="C289" s="33">
        <v>187629397.47999999</v>
      </c>
      <c r="D289" s="253"/>
      <c r="E289" s="253">
        <f>B289-Index_Returns!J289</f>
        <v>1.1360000000000001</v>
      </c>
      <c r="G289" s="14"/>
    </row>
    <row r="290" spans="1:7" x14ac:dyDescent="0.2">
      <c r="A290" s="345">
        <v>36341</v>
      </c>
      <c r="B290" s="1369">
        <v>6.32</v>
      </c>
      <c r="C290" s="33">
        <v>199481680.21000001</v>
      </c>
      <c r="D290" s="253"/>
      <c r="E290" s="253">
        <f>B290-Index_Returns!J290</f>
        <v>2.6990000000000003</v>
      </c>
      <c r="G290" s="14"/>
    </row>
    <row r="291" spans="1:7" x14ac:dyDescent="0.2">
      <c r="A291" s="345">
        <v>36372</v>
      </c>
      <c r="B291" s="1369">
        <v>-1.71</v>
      </c>
      <c r="C291" s="33">
        <v>196115285.94999999</v>
      </c>
      <c r="D291" s="253"/>
      <c r="E291" s="253">
        <f>B291-Index_Returns!J291</f>
        <v>0.66300000000000026</v>
      </c>
      <c r="G291" s="14"/>
    </row>
    <row r="292" spans="1:7" x14ac:dyDescent="0.2">
      <c r="A292" s="345">
        <v>36403</v>
      </c>
      <c r="B292" s="1369">
        <v>-3.37</v>
      </c>
      <c r="C292" s="33">
        <v>189554510.94999999</v>
      </c>
      <c r="D292" s="253"/>
      <c r="E292" s="253">
        <f>B292-Index_Returns!J292</f>
        <v>0.2849999999999997</v>
      </c>
      <c r="G292" s="14"/>
    </row>
    <row r="293" spans="1:7" x14ac:dyDescent="0.2">
      <c r="A293" s="345">
        <v>36433</v>
      </c>
      <c r="B293" s="1369">
        <v>-2.54</v>
      </c>
      <c r="C293" s="33">
        <v>184782030.56999999</v>
      </c>
      <c r="D293" s="253"/>
      <c r="E293" s="253">
        <f>B293-Index_Returns!J293</f>
        <v>-0.54099999999999993</v>
      </c>
      <c r="G293" s="14"/>
    </row>
    <row r="294" spans="1:7" x14ac:dyDescent="0.2">
      <c r="A294" s="345">
        <v>36464</v>
      </c>
      <c r="B294" s="1369">
        <v>-2.4300000000000002</v>
      </c>
      <c r="C294" s="33">
        <v>180337821.22</v>
      </c>
      <c r="D294" s="253"/>
      <c r="E294" s="253">
        <f>B294-Index_Returns!J294</f>
        <v>-0.42900000000000027</v>
      </c>
      <c r="G294" s="14"/>
    </row>
    <row r="295" spans="1:7" x14ac:dyDescent="0.2">
      <c r="A295" s="345">
        <v>36494</v>
      </c>
      <c r="B295" s="1369">
        <v>1.0900000000000001</v>
      </c>
      <c r="C295" s="33">
        <v>182342154.41999999</v>
      </c>
      <c r="D295" s="253"/>
      <c r="E295" s="253">
        <f>B295-Index_Returns!J295</f>
        <v>0.57200000000000006</v>
      </c>
      <c r="G295" s="14"/>
    </row>
    <row r="296" spans="1:7" x14ac:dyDescent="0.2">
      <c r="A296" s="345">
        <v>36525</v>
      </c>
      <c r="B296" s="1369">
        <v>3.67</v>
      </c>
      <c r="C296" s="33">
        <v>189068458.66999999</v>
      </c>
      <c r="D296" s="253"/>
      <c r="E296" s="253">
        <f>B296-Index_Returns!J296</f>
        <v>0.59799999999999986</v>
      </c>
      <c r="G296" s="14"/>
    </row>
    <row r="297" spans="1:7" x14ac:dyDescent="0.2">
      <c r="A297" s="345">
        <v>36556</v>
      </c>
      <c r="B297" s="1369">
        <v>-6.53</v>
      </c>
      <c r="C297" s="33">
        <v>176759773.91999999</v>
      </c>
      <c r="D297" s="253"/>
      <c r="E297" s="253">
        <f>B297-Index_Returns!J297</f>
        <v>-3.915</v>
      </c>
      <c r="G297" s="14"/>
    </row>
    <row r="298" spans="1:7" x14ac:dyDescent="0.2">
      <c r="A298" s="345">
        <v>36585</v>
      </c>
      <c r="B298" s="1369">
        <v>-1.08</v>
      </c>
      <c r="C298" s="33">
        <v>174896160.22</v>
      </c>
      <c r="D298" s="253"/>
      <c r="E298" s="253">
        <f>B298-Index_Returns!J298</f>
        <v>-7.1920000000000002</v>
      </c>
      <c r="G298" s="14"/>
    </row>
    <row r="299" spans="1:7" x14ac:dyDescent="0.2">
      <c r="A299" s="345">
        <v>36616</v>
      </c>
      <c r="B299" s="1369">
        <v>10.53</v>
      </c>
      <c r="C299" s="33">
        <v>193354190.41999999</v>
      </c>
      <c r="D299" s="253"/>
      <c r="E299" s="253">
        <f>B299-Index_Returns!J299</f>
        <v>10.061</v>
      </c>
      <c r="G299" s="14"/>
    </row>
    <row r="300" spans="1:7" x14ac:dyDescent="0.2">
      <c r="A300" s="345">
        <v>36646</v>
      </c>
      <c r="B300" s="1369">
        <v>1.18</v>
      </c>
      <c r="C300" s="33">
        <v>195682341.63999999</v>
      </c>
      <c r="D300" s="253"/>
      <c r="E300" s="253">
        <f>B300-Index_Returns!J300</f>
        <v>0.58799999999999997</v>
      </c>
      <c r="G300" s="14"/>
    </row>
    <row r="301" spans="1:7" x14ac:dyDescent="0.2">
      <c r="A301" s="345">
        <v>36677</v>
      </c>
      <c r="B301" s="1369">
        <v>-1.08</v>
      </c>
      <c r="C301" s="33">
        <v>193618259.02000001</v>
      </c>
      <c r="D301" s="253"/>
      <c r="E301" s="253">
        <f>B301-Index_Returns!J301</f>
        <v>0.44599999999999995</v>
      </c>
      <c r="G301" s="14"/>
    </row>
    <row r="302" spans="1:7" x14ac:dyDescent="0.2">
      <c r="A302" s="345">
        <v>36707</v>
      </c>
      <c r="B302" s="1369">
        <v>-2.21</v>
      </c>
      <c r="C302" s="33">
        <v>189372677.55000001</v>
      </c>
      <c r="D302" s="253"/>
      <c r="E302" s="253">
        <f>B302-Index_Returns!J302</f>
        <v>-5.1319999999999997</v>
      </c>
      <c r="G302" s="14"/>
    </row>
    <row r="303" spans="1:7" x14ac:dyDescent="0.2">
      <c r="A303" s="345">
        <v>36738</v>
      </c>
      <c r="B303" s="1369">
        <v>2.54</v>
      </c>
      <c r="C303" s="33">
        <v>194254050.09999999</v>
      </c>
      <c r="D303" s="253"/>
      <c r="E303" s="253">
        <f>B303-Index_Returns!J303</f>
        <v>-0.79199999999999982</v>
      </c>
      <c r="G303" s="14"/>
    </row>
    <row r="304" spans="1:7" x14ac:dyDescent="0.2">
      <c r="A304" s="345">
        <v>36769</v>
      </c>
      <c r="B304" s="1369">
        <v>5.76</v>
      </c>
      <c r="C304" s="33">
        <v>205487548.16999999</v>
      </c>
      <c r="D304" s="253"/>
      <c r="E304" s="253">
        <f>B304-Index_Returns!J304</f>
        <v>1.2889999999999997</v>
      </c>
      <c r="G304" s="14"/>
    </row>
    <row r="305" spans="1:7" x14ac:dyDescent="0.2">
      <c r="A305" s="345">
        <v>36799</v>
      </c>
      <c r="B305" s="1369">
        <v>-1.26</v>
      </c>
      <c r="C305" s="33">
        <v>202929404.37</v>
      </c>
      <c r="D305" s="253"/>
      <c r="E305" s="253">
        <f>B305-Index_Returns!J305</f>
        <v>-0.69300000000000006</v>
      </c>
      <c r="G305" s="14"/>
    </row>
    <row r="306" spans="1:7" x14ac:dyDescent="0.2">
      <c r="A306" s="345">
        <v>36830</v>
      </c>
      <c r="B306" s="1369">
        <v>0.05</v>
      </c>
      <c r="C306" s="33">
        <v>203067110.94</v>
      </c>
      <c r="D306" s="253"/>
      <c r="E306" s="253">
        <f>B306-Index_Returns!J306</f>
        <v>0.40499999999999997</v>
      </c>
      <c r="G306" s="14"/>
    </row>
    <row r="307" spans="1:7" x14ac:dyDescent="0.2">
      <c r="A307" s="345">
        <v>36860</v>
      </c>
      <c r="B307" s="1369">
        <v>-3.16</v>
      </c>
      <c r="C307" s="33">
        <v>196686623.74000001</v>
      </c>
      <c r="D307" s="253"/>
      <c r="E307" s="253">
        <f>B307-Index_Returns!J307</f>
        <v>-1.1240000000000001</v>
      </c>
      <c r="G307" s="14"/>
    </row>
    <row r="308" spans="1:7" x14ac:dyDescent="0.2">
      <c r="A308" s="345">
        <v>36891</v>
      </c>
      <c r="B308" s="1369">
        <v>11.49</v>
      </c>
      <c r="C308" s="33">
        <v>219316315.59999999</v>
      </c>
      <c r="D308" s="253"/>
      <c r="E308" s="253">
        <f>B308-Index_Returns!J308</f>
        <v>0.74500000000000099</v>
      </c>
      <c r="G308" s="14"/>
    </row>
    <row r="309" spans="1:7" x14ac:dyDescent="0.2">
      <c r="A309" s="345">
        <v>36922</v>
      </c>
      <c r="B309" s="1369">
        <v>6.12</v>
      </c>
      <c r="C309" s="33">
        <v>232780867.19</v>
      </c>
      <c r="D309" s="253"/>
      <c r="E309" s="253">
        <f>B309-Index_Returns!J309</f>
        <v>3.3600000000000003</v>
      </c>
      <c r="G309" s="14"/>
    </row>
    <row r="310" spans="1:7" x14ac:dyDescent="0.2">
      <c r="A310" s="345">
        <v>36950</v>
      </c>
      <c r="B310" s="1369">
        <v>-0.26</v>
      </c>
      <c r="C310" s="33">
        <v>232229523.44999999</v>
      </c>
      <c r="D310" s="253"/>
      <c r="E310" s="253">
        <f>B310-Index_Returns!J310</f>
        <v>-0.122</v>
      </c>
      <c r="G310" s="14"/>
    </row>
    <row r="311" spans="1:7" x14ac:dyDescent="0.2">
      <c r="A311" s="345">
        <v>36981</v>
      </c>
      <c r="B311" s="1369">
        <v>-3.36</v>
      </c>
      <c r="C311" s="33">
        <v>224473679.38999999</v>
      </c>
      <c r="D311" s="253"/>
      <c r="E311" s="253">
        <f>B311-Index_Returns!J311</f>
        <v>-1.7559999999999998</v>
      </c>
      <c r="G311" s="14"/>
    </row>
    <row r="312" spans="1:7" x14ac:dyDescent="0.2">
      <c r="A312" s="345">
        <v>37011</v>
      </c>
      <c r="B312" s="1369">
        <v>6.39</v>
      </c>
      <c r="C312" s="33">
        <v>238864896.96000001</v>
      </c>
      <c r="D312" s="253"/>
      <c r="E312" s="253">
        <f>B312-Index_Returns!J312</f>
        <v>1.7610000000000001</v>
      </c>
      <c r="G312" s="14"/>
    </row>
    <row r="313" spans="1:7" x14ac:dyDescent="0.2">
      <c r="A313" s="345">
        <v>37042</v>
      </c>
      <c r="B313" s="1369">
        <v>3.22</v>
      </c>
      <c r="C313" s="33">
        <v>246597151.94</v>
      </c>
      <c r="D313" s="253"/>
      <c r="E313" s="253">
        <f>B313-Index_Returns!J313</f>
        <v>0.64900000000000002</v>
      </c>
      <c r="G313" s="14"/>
    </row>
    <row r="314" spans="1:7" x14ac:dyDescent="0.2">
      <c r="A314" s="345">
        <v>37072</v>
      </c>
      <c r="B314" s="1369">
        <v>2.42</v>
      </c>
      <c r="C314" s="33">
        <v>252620201.69999999</v>
      </c>
      <c r="D314" s="253"/>
      <c r="E314" s="253">
        <f>B314-Index_Returns!J314</f>
        <v>-1.6029999999999998</v>
      </c>
      <c r="G314" s="14"/>
    </row>
    <row r="315" spans="1:7" x14ac:dyDescent="0.2">
      <c r="A315" s="345">
        <v>37103</v>
      </c>
      <c r="B315" s="1369">
        <v>-0.47</v>
      </c>
      <c r="C315" s="33">
        <v>251469796.06999999</v>
      </c>
      <c r="D315" s="253"/>
      <c r="E315" s="253">
        <f>B315-Index_Returns!J315</f>
        <v>1.772</v>
      </c>
      <c r="G315" s="14"/>
    </row>
    <row r="316" spans="1:7" x14ac:dyDescent="0.2">
      <c r="A316" s="345">
        <v>37134</v>
      </c>
      <c r="B316" s="1369">
        <v>-1.52</v>
      </c>
      <c r="C316" s="33">
        <v>247708431.31999999</v>
      </c>
      <c r="D316" s="253"/>
      <c r="E316" s="253">
        <f>B316-Index_Returns!J316</f>
        <v>-1.1739999999999999</v>
      </c>
      <c r="G316" s="14"/>
    </row>
    <row r="317" spans="1:7" x14ac:dyDescent="0.2">
      <c r="A317" s="345">
        <v>37164</v>
      </c>
      <c r="B317" s="1369">
        <v>-15.17</v>
      </c>
      <c r="C317" s="33">
        <v>210188642.59</v>
      </c>
      <c r="D317" s="253"/>
      <c r="E317" s="253">
        <f>B317-Index_Returns!J317</f>
        <v>-4.1310000000000002</v>
      </c>
      <c r="G317" s="14"/>
    </row>
    <row r="318" spans="1:7" x14ac:dyDescent="0.2">
      <c r="A318" s="345">
        <v>37195</v>
      </c>
      <c r="B318" s="1369">
        <v>2.93</v>
      </c>
      <c r="C318" s="33">
        <v>216380361.06</v>
      </c>
      <c r="D318" s="253"/>
      <c r="E318" s="253">
        <f>B318-Index_Returns!J318</f>
        <v>0.31800000000000006</v>
      </c>
      <c r="G318" s="14"/>
    </row>
    <row r="319" spans="1:7" x14ac:dyDescent="0.2">
      <c r="A319" s="345">
        <v>37225</v>
      </c>
      <c r="B319" s="1369">
        <v>9.9600000000000009</v>
      </c>
      <c r="C319" s="33">
        <v>237965155.86000001</v>
      </c>
      <c r="D319" s="253"/>
      <c r="E319" s="253">
        <f>B319-Index_Returns!J319</f>
        <v>2.7740000000000009</v>
      </c>
      <c r="G319" s="14"/>
    </row>
    <row r="320" spans="1:7" x14ac:dyDescent="0.2">
      <c r="A320" s="345">
        <v>37256</v>
      </c>
      <c r="B320" s="1369">
        <v>6.71</v>
      </c>
      <c r="C320" s="33">
        <v>253974879.75999999</v>
      </c>
      <c r="D320" s="253"/>
      <c r="E320" s="253">
        <f>B320-Index_Returns!J320</f>
        <v>0.58699999999999974</v>
      </c>
      <c r="G320" s="14"/>
    </row>
    <row r="321" spans="1:7" x14ac:dyDescent="0.2">
      <c r="A321" s="345">
        <v>37287</v>
      </c>
      <c r="B321" s="1369">
        <v>-0.21</v>
      </c>
      <c r="C321" s="33">
        <v>253482662.36000001</v>
      </c>
      <c r="D321" s="253"/>
      <c r="E321" s="253">
        <f>B321-Index_Returns!J321</f>
        <v>-1.5369999999999999</v>
      </c>
      <c r="G321" s="14"/>
    </row>
    <row r="322" spans="1:7" x14ac:dyDescent="0.2">
      <c r="A322" s="345">
        <v>37315</v>
      </c>
      <c r="B322" s="1369">
        <v>1.84</v>
      </c>
      <c r="C322" s="33">
        <v>258199214.58000001</v>
      </c>
      <c r="D322" s="253"/>
      <c r="E322" s="253">
        <f>B322-Index_Returns!J322</f>
        <v>1.2310000000000001</v>
      </c>
      <c r="G322" s="14"/>
    </row>
    <row r="323" spans="1:7" x14ac:dyDescent="0.2">
      <c r="A323" s="345">
        <v>37346</v>
      </c>
      <c r="B323" s="1369">
        <v>8.4600000000000009</v>
      </c>
      <c r="C323" s="33">
        <v>280096979.25</v>
      </c>
      <c r="D323" s="253"/>
      <c r="E323" s="253">
        <f>B323-Index_Returns!J323</f>
        <v>0.97100000000000097</v>
      </c>
      <c r="G323" s="14"/>
    </row>
    <row r="324" spans="1:7" x14ac:dyDescent="0.2">
      <c r="A324" s="345">
        <v>37376</v>
      </c>
      <c r="B324" s="1369">
        <v>2.35</v>
      </c>
      <c r="C324" s="33">
        <v>286745048.07999998</v>
      </c>
      <c r="D324" s="253"/>
      <c r="E324" s="253">
        <f>B324-Index_Returns!J324</f>
        <v>-1.17</v>
      </c>
      <c r="G324" s="14"/>
    </row>
    <row r="325" spans="1:7" x14ac:dyDescent="0.2">
      <c r="A325" s="345">
        <v>37407</v>
      </c>
      <c r="B325" s="1369">
        <v>-3.71</v>
      </c>
      <c r="C325" s="33">
        <v>276151592.93000001</v>
      </c>
      <c r="D325" s="253"/>
      <c r="E325" s="253">
        <f>B325-Index_Returns!J325</f>
        <v>-0.40300000000000002</v>
      </c>
      <c r="G325" s="14"/>
    </row>
    <row r="326" spans="1:7" x14ac:dyDescent="0.2">
      <c r="A326" s="345">
        <v>37437</v>
      </c>
      <c r="B326" s="1369">
        <v>-4.8499999999999996</v>
      </c>
      <c r="C326" s="33">
        <v>262808476.05000001</v>
      </c>
      <c r="D326" s="253"/>
      <c r="E326" s="253">
        <f>B326-Index_Returns!J326</f>
        <v>-2.6359999999999997</v>
      </c>
      <c r="G326" s="14"/>
    </row>
    <row r="327" spans="1:7" x14ac:dyDescent="0.2">
      <c r="A327" s="345">
        <v>37468</v>
      </c>
      <c r="B327" s="1369">
        <v>-14.33</v>
      </c>
      <c r="C327" s="33">
        <v>225155684.72</v>
      </c>
      <c r="D327" s="253"/>
      <c r="E327" s="253">
        <f>B327-Index_Returns!J327</f>
        <v>0.52800000000000047</v>
      </c>
      <c r="G327" s="14"/>
    </row>
    <row r="328" spans="1:7" x14ac:dyDescent="0.2">
      <c r="A328" s="345">
        <v>37499</v>
      </c>
      <c r="B328" s="1369">
        <v>-0.21</v>
      </c>
      <c r="C328" s="33">
        <v>224684609</v>
      </c>
      <c r="D328" s="253"/>
      <c r="E328" s="253">
        <f>B328-Index_Returns!J328</f>
        <v>0.23400000000000001</v>
      </c>
      <c r="G328" s="14"/>
    </row>
    <row r="329" spans="1:7" x14ac:dyDescent="0.2">
      <c r="A329" s="345">
        <v>37529</v>
      </c>
      <c r="B329" s="1369">
        <v>-9.3699999999999992</v>
      </c>
      <c r="C329" s="33">
        <v>203799147.25</v>
      </c>
      <c r="D329" s="253"/>
      <c r="E329" s="253">
        <f>B329-Index_Returns!J329</f>
        <v>-2.2269999999999994</v>
      </c>
      <c r="G329" s="14"/>
    </row>
    <row r="330" spans="1:7" x14ac:dyDescent="0.2">
      <c r="A330" s="345">
        <v>37560</v>
      </c>
      <c r="B330" s="1369">
        <v>2.04</v>
      </c>
      <c r="C330" s="33">
        <v>207948798.09</v>
      </c>
      <c r="D330" s="253"/>
      <c r="E330" s="253">
        <f>B330-Index_Returns!J330</f>
        <v>0.53600000000000003</v>
      </c>
      <c r="G330" s="14"/>
    </row>
    <row r="331" spans="1:7" x14ac:dyDescent="0.2">
      <c r="A331" s="345">
        <v>37590</v>
      </c>
      <c r="B331" s="1369">
        <v>11.28</v>
      </c>
      <c r="C331" s="33">
        <v>231415375.97999999</v>
      </c>
      <c r="D331" s="253"/>
      <c r="E331" s="253">
        <f>B331-Index_Returns!J331</f>
        <v>3.2999999999999989</v>
      </c>
      <c r="G331" s="14"/>
    </row>
    <row r="332" spans="1:7" x14ac:dyDescent="0.2">
      <c r="A332" s="345">
        <v>37621</v>
      </c>
      <c r="B332" s="1369">
        <v>-5.48</v>
      </c>
      <c r="C332" s="33">
        <v>218837312.63999999</v>
      </c>
      <c r="D332" s="253"/>
      <c r="E332" s="253">
        <f>B332-Index_Returns!J332</f>
        <v>-1.2073</v>
      </c>
      <c r="G332" s="14"/>
    </row>
    <row r="333" spans="1:7" x14ac:dyDescent="0.2">
      <c r="A333" s="345">
        <v>37652</v>
      </c>
      <c r="B333" s="1369">
        <v>-4.4400000000000004</v>
      </c>
      <c r="C333" s="33">
        <v>209109965.78</v>
      </c>
      <c r="D333" s="253"/>
      <c r="E333" s="253">
        <f>B333-Index_Returns!J333</f>
        <v>-1.6245000000000003</v>
      </c>
      <c r="G333" s="14"/>
    </row>
    <row r="334" spans="1:7" x14ac:dyDescent="0.2">
      <c r="A334" s="345">
        <v>37680</v>
      </c>
      <c r="B334" s="1369">
        <v>-4.05</v>
      </c>
      <c r="C334" s="33">
        <v>200653378.86000001</v>
      </c>
      <c r="D334" s="253"/>
      <c r="E334" s="253">
        <f>B334-Index_Returns!J334</f>
        <v>-0.68829999999999991</v>
      </c>
      <c r="G334" s="14"/>
    </row>
    <row r="335" spans="1:7" x14ac:dyDescent="0.2">
      <c r="A335" s="345">
        <v>37711</v>
      </c>
      <c r="B335" s="1369">
        <v>-0.52</v>
      </c>
      <c r="C335" s="33">
        <v>199727809.19999999</v>
      </c>
      <c r="D335" s="253"/>
      <c r="E335" s="253">
        <f>B335-Index_Returns!J335</f>
        <v>-1.5880000000000001</v>
      </c>
      <c r="G335" s="14"/>
    </row>
    <row r="336" spans="1:7" x14ac:dyDescent="0.2">
      <c r="A336" s="345">
        <v>37741</v>
      </c>
      <c r="B336" s="1369">
        <v>12.22</v>
      </c>
      <c r="C336" s="33">
        <v>224134690.13</v>
      </c>
      <c r="D336" s="253"/>
      <c r="E336" s="253">
        <f>B336-Index_Returns!J336</f>
        <v>2.7215000000000007</v>
      </c>
      <c r="G336" s="14"/>
    </row>
    <row r="337" spans="1:7" x14ac:dyDescent="0.2">
      <c r="A337" s="345">
        <v>37772</v>
      </c>
      <c r="B337" s="1369">
        <v>11.7</v>
      </c>
      <c r="C337" s="33">
        <v>250365723.36000001</v>
      </c>
      <c r="D337" s="253"/>
      <c r="E337" s="253">
        <f>B337-Index_Returns!J337</f>
        <v>1.4894999999999996</v>
      </c>
      <c r="G337" s="14"/>
    </row>
    <row r="338" spans="1:7" x14ac:dyDescent="0.2">
      <c r="A338" s="345">
        <v>37802</v>
      </c>
      <c r="B338" s="1369">
        <v>2.1</v>
      </c>
      <c r="C338" s="33">
        <v>255744024.27000001</v>
      </c>
      <c r="D338" s="253"/>
      <c r="E338" s="253">
        <f>B338-Index_Returns!J338</f>
        <v>0.40560000000000018</v>
      </c>
      <c r="G338" s="14"/>
    </row>
    <row r="339" spans="1:7" x14ac:dyDescent="0.2">
      <c r="A339" s="345">
        <v>37833</v>
      </c>
      <c r="B339" s="1369">
        <v>5.94</v>
      </c>
      <c r="C339" s="33">
        <v>270942844.38</v>
      </c>
      <c r="D339" s="253"/>
      <c r="E339" s="253">
        <f>B339-Index_Returns!J339</f>
        <v>0.95310000000000006</v>
      </c>
      <c r="G339" s="14"/>
    </row>
    <row r="340" spans="1:7" x14ac:dyDescent="0.2">
      <c r="A340" s="345">
        <v>37864</v>
      </c>
      <c r="B340" s="1369">
        <v>6.19</v>
      </c>
      <c r="C340" s="33">
        <v>287706430.06999999</v>
      </c>
      <c r="D340" s="253"/>
      <c r="E340" s="253">
        <f>B340-Index_Returns!J340</f>
        <v>2.3915000000000002</v>
      </c>
      <c r="G340" s="14"/>
    </row>
    <row r="341" spans="1:7" x14ac:dyDescent="0.2">
      <c r="A341" s="345">
        <v>37894</v>
      </c>
      <c r="B341" s="1369">
        <v>-1.77</v>
      </c>
      <c r="C341" s="34">
        <v>282772448.93000001</v>
      </c>
      <c r="D341" s="253"/>
      <c r="E341" s="253">
        <f>B341-Index_Returns!J341</f>
        <v>-0.62290000000000001</v>
      </c>
      <c r="G341" s="14"/>
    </row>
    <row r="342" spans="1:7" x14ac:dyDescent="0.2">
      <c r="A342" s="345">
        <v>37925</v>
      </c>
      <c r="B342" s="1369">
        <v>9.92</v>
      </c>
      <c r="C342" s="34">
        <v>310830320.27999997</v>
      </c>
      <c r="D342" s="253"/>
      <c r="E342" s="253">
        <f>B342-Index_Returns!J342</f>
        <v>1.7658000000000005</v>
      </c>
      <c r="G342" s="14"/>
    </row>
    <row r="343" spans="1:7" x14ac:dyDescent="0.2">
      <c r="A343" s="345">
        <v>37955</v>
      </c>
      <c r="B343" s="1369">
        <v>4.41</v>
      </c>
      <c r="C343" s="34">
        <v>324534530.39999998</v>
      </c>
      <c r="D343" s="253"/>
      <c r="E343" s="253">
        <f>B343-Index_Returns!J343</f>
        <v>0.57140000000000013</v>
      </c>
      <c r="G343" s="14"/>
    </row>
    <row r="344" spans="1:7" x14ac:dyDescent="0.2">
      <c r="A344" s="345">
        <v>37986</v>
      </c>
      <c r="B344" s="1369">
        <v>5.36</v>
      </c>
      <c r="C344" s="34">
        <v>342093478.13</v>
      </c>
      <c r="D344" s="253"/>
      <c r="E344" s="253">
        <f>B344-Index_Returns!J344</f>
        <v>1.7435000000000005</v>
      </c>
      <c r="G344" s="14"/>
    </row>
    <row r="345" spans="1:7" x14ac:dyDescent="0.2">
      <c r="A345" s="345">
        <v>38017</v>
      </c>
      <c r="B345" s="1369">
        <v>4.57</v>
      </c>
      <c r="C345" s="34">
        <v>357733857.62</v>
      </c>
      <c r="D345" s="253"/>
      <c r="E345" s="253">
        <f>B345-Index_Returns!J345</f>
        <v>1.1124000000000005</v>
      </c>
      <c r="G345" s="14"/>
    </row>
    <row r="346" spans="1:7" x14ac:dyDescent="0.2">
      <c r="A346" s="345">
        <v>38046</v>
      </c>
      <c r="B346" s="1369">
        <v>1.84</v>
      </c>
      <c r="C346" s="34">
        <v>364328889.67000002</v>
      </c>
      <c r="D346" s="253"/>
      <c r="E346" s="253">
        <f>B346-Index_Returns!J346</f>
        <v>-9.6399999999999819E-2</v>
      </c>
      <c r="G346" s="14"/>
    </row>
    <row r="347" spans="1:7" x14ac:dyDescent="0.2">
      <c r="A347" s="345">
        <v>38077</v>
      </c>
      <c r="B347" s="1369">
        <v>0.78</v>
      </c>
      <c r="C347" s="34">
        <v>367346463.39999998</v>
      </c>
      <c r="D347" s="255"/>
      <c r="E347" s="253">
        <f>B347-Index_Returns!J347</f>
        <v>-0.60289999999999999</v>
      </c>
      <c r="G347" s="14"/>
    </row>
    <row r="348" spans="1:7" x14ac:dyDescent="0.2">
      <c r="A348" s="345">
        <v>38107</v>
      </c>
      <c r="B348" s="1369">
        <v>-3.81</v>
      </c>
      <c r="C348" s="34">
        <v>353382655.13999999</v>
      </c>
      <c r="D348" s="253"/>
      <c r="E348" s="253">
        <f>B348-Index_Returns!J348</f>
        <v>1.3614999999999999</v>
      </c>
      <c r="G348" s="14"/>
    </row>
    <row r="349" spans="1:7" x14ac:dyDescent="0.2">
      <c r="A349" s="345">
        <v>38138</v>
      </c>
      <c r="B349" s="1369">
        <v>1.78</v>
      </c>
      <c r="C349" s="34">
        <v>359669473.48000002</v>
      </c>
      <c r="D349" s="253"/>
      <c r="E349" s="253">
        <f>B349-Index_Returns!J349</f>
        <v>0.57289999999999996</v>
      </c>
      <c r="G349" s="14"/>
    </row>
    <row r="350" spans="1:7" x14ac:dyDescent="0.2">
      <c r="A350" s="345">
        <v>38168</v>
      </c>
      <c r="B350" s="1369">
        <v>5.53</v>
      </c>
      <c r="C350" s="34">
        <v>379779165.35000002</v>
      </c>
      <c r="D350" s="253"/>
      <c r="E350" s="253">
        <f>B350-Index_Returns!J350</f>
        <v>0.45110000000000028</v>
      </c>
      <c r="G350" s="14"/>
    </row>
    <row r="351" spans="1:7" x14ac:dyDescent="0.2">
      <c r="A351" s="345">
        <v>38199</v>
      </c>
      <c r="B351" s="1369">
        <v>-5.0199999999999996</v>
      </c>
      <c r="C351" s="34">
        <v>360720744.11000001</v>
      </c>
      <c r="D351" s="253"/>
      <c r="E351" s="253">
        <f>B351-Index_Returns!J351</f>
        <v>-0.42289999999999939</v>
      </c>
      <c r="G351" s="14"/>
    </row>
    <row r="352" spans="1:7" x14ac:dyDescent="0.2">
      <c r="A352" s="345">
        <v>38230</v>
      </c>
      <c r="B352" s="1369">
        <v>-0.75</v>
      </c>
      <c r="C352" s="34">
        <v>358030661.68000001</v>
      </c>
      <c r="D352" s="253"/>
      <c r="E352" s="253">
        <f>B352-Index_Returns!J352</f>
        <v>-1.7309000000000001</v>
      </c>
      <c r="G352" s="14"/>
    </row>
    <row r="353" spans="1:7" x14ac:dyDescent="0.2">
      <c r="A353" s="345">
        <v>38260</v>
      </c>
      <c r="B353" s="1369">
        <v>4.82</v>
      </c>
      <c r="C353" s="34">
        <v>375481160.81</v>
      </c>
      <c r="D353" s="253"/>
      <c r="E353" s="253">
        <f>B353-Index_Returns!J353</f>
        <v>0.86440000000000028</v>
      </c>
      <c r="G353" s="14"/>
    </row>
    <row r="354" spans="1:7" x14ac:dyDescent="0.2">
      <c r="A354" s="345">
        <v>38291</v>
      </c>
      <c r="B354" s="1369">
        <v>0.87</v>
      </c>
      <c r="C354" s="34">
        <v>378742997.51999998</v>
      </c>
      <c r="D354" s="253"/>
      <c r="E354" s="253">
        <f>B354-Index_Returns!J354</f>
        <v>-0.68350000000000011</v>
      </c>
      <c r="G354" s="14"/>
    </row>
    <row r="355" spans="1:7" x14ac:dyDescent="0.2">
      <c r="A355" s="345">
        <v>38321</v>
      </c>
      <c r="B355" s="1369">
        <v>9.17</v>
      </c>
      <c r="C355" s="34">
        <v>413485010.44</v>
      </c>
      <c r="D355" s="253"/>
      <c r="E355" s="253">
        <f>B355-Index_Returns!J355</f>
        <v>0.29630000000000045</v>
      </c>
      <c r="G355" s="14"/>
    </row>
    <row r="356" spans="1:7" x14ac:dyDescent="0.2">
      <c r="A356" s="345">
        <v>38352</v>
      </c>
      <c r="B356" s="1369">
        <v>2.93</v>
      </c>
      <c r="C356" s="256">
        <v>425760905.73000002</v>
      </c>
      <c r="D356" s="253"/>
      <c r="E356" s="253">
        <f>B356-Index_Returns!J356</f>
        <v>0.54310000000000036</v>
      </c>
      <c r="G356" s="14"/>
    </row>
    <row r="357" spans="1:7" x14ac:dyDescent="0.2">
      <c r="A357" s="345">
        <v>38383</v>
      </c>
      <c r="B357" s="1369">
        <v>-3.12</v>
      </c>
      <c r="C357" s="34">
        <v>412477049.74000001</v>
      </c>
      <c r="D357" s="253"/>
      <c r="E357" s="253">
        <f>B357-Index_Returns!J357</f>
        <v>0.74829999999999997</v>
      </c>
      <c r="G357" s="14"/>
    </row>
    <row r="358" spans="1:7" x14ac:dyDescent="0.2">
      <c r="A358" s="345">
        <v>38411</v>
      </c>
      <c r="B358" s="1369">
        <v>2.86</v>
      </c>
      <c r="C358" s="34">
        <v>424277320.81999999</v>
      </c>
      <c r="D358" s="253"/>
      <c r="E358" s="253">
        <f>B358-Index_Returns!J358</f>
        <v>0.87439999999999984</v>
      </c>
      <c r="G358" s="14"/>
    </row>
    <row r="359" spans="1:7" x14ac:dyDescent="0.2">
      <c r="A359" s="345">
        <v>38442</v>
      </c>
      <c r="B359" s="1369">
        <v>-1.33</v>
      </c>
      <c r="C359" s="256">
        <v>418841505.23000002</v>
      </c>
      <c r="D359" s="253"/>
      <c r="E359" s="253">
        <f>B359-Index_Returns!J359</f>
        <v>0.7286999999999999</v>
      </c>
      <c r="G359" s="14"/>
    </row>
    <row r="360" spans="1:7" x14ac:dyDescent="0.2">
      <c r="A360" s="345">
        <v>38472</v>
      </c>
      <c r="B360" s="1369">
        <v>-6.47</v>
      </c>
      <c r="C360" s="256">
        <v>391747542.75</v>
      </c>
      <c r="D360" s="253"/>
      <c r="E360" s="253">
        <f>B360-Index_Returns!J360</f>
        <v>-1.3115999999999994</v>
      </c>
      <c r="G360" s="14"/>
    </row>
    <row r="361" spans="1:7" x14ac:dyDescent="0.2">
      <c r="A361" s="345">
        <v>38503</v>
      </c>
      <c r="B361" s="1369">
        <v>6.49</v>
      </c>
      <c r="C361" s="256">
        <v>417179086.81</v>
      </c>
      <c r="D361" s="253"/>
      <c r="E361" s="253">
        <f>B361-Index_Returns!J361</f>
        <v>0.39080000000000048</v>
      </c>
      <c r="G361" s="14"/>
    </row>
    <row r="362" spans="1:7" x14ac:dyDescent="0.2">
      <c r="A362" s="345">
        <v>38533</v>
      </c>
      <c r="B362" s="1369">
        <v>3.7</v>
      </c>
      <c r="C362" s="256">
        <v>432830898.99000001</v>
      </c>
      <c r="D362" s="253"/>
      <c r="E362" s="253">
        <f>B362-Index_Returns!J362</f>
        <v>-0.72199999999999953</v>
      </c>
      <c r="G362" s="14"/>
    </row>
    <row r="363" spans="1:7" x14ac:dyDescent="0.2">
      <c r="A363" s="345">
        <v>38564</v>
      </c>
      <c r="B363" s="1369">
        <v>6.39</v>
      </c>
      <c r="C363" s="256">
        <v>460505871.72000003</v>
      </c>
      <c r="D363" s="253"/>
      <c r="E363" s="253">
        <f>B363-Index_Returns!J363</f>
        <v>0.69999999999999929</v>
      </c>
      <c r="G363" s="14"/>
    </row>
    <row r="364" spans="1:7" x14ac:dyDescent="0.2">
      <c r="A364" s="345">
        <v>38595</v>
      </c>
      <c r="B364" s="1369">
        <v>-1.6</v>
      </c>
      <c r="C364" s="256">
        <v>453129065.19999999</v>
      </c>
      <c r="D364" s="253"/>
      <c r="E364" s="253">
        <f>B364-Index_Returns!J364</f>
        <v>0.69589999999999996</v>
      </c>
      <c r="G364" s="14"/>
    </row>
    <row r="365" spans="1:7" x14ac:dyDescent="0.2">
      <c r="A365" s="345">
        <v>38625</v>
      </c>
      <c r="B365" s="1369">
        <v>0.16</v>
      </c>
      <c r="C365" s="256">
        <v>454067736.56999999</v>
      </c>
      <c r="D365" s="253"/>
      <c r="E365" s="253">
        <f>B365-Index_Returns!J365</f>
        <v>0.3251</v>
      </c>
      <c r="G365" s="14"/>
    </row>
    <row r="366" spans="1:7" x14ac:dyDescent="0.2">
      <c r="A366" s="345">
        <v>38656</v>
      </c>
      <c r="B366" s="1369">
        <v>-2.75</v>
      </c>
      <c r="C366" s="256">
        <v>441580813.86000001</v>
      </c>
      <c r="D366" s="253"/>
      <c r="E366" s="253">
        <f>B366-Index_Returns!J366</f>
        <v>-0.23819999999999997</v>
      </c>
      <c r="G366" s="14"/>
    </row>
    <row r="367" spans="1:7" x14ac:dyDescent="0.2">
      <c r="A367" s="345">
        <v>38686</v>
      </c>
      <c r="B367" s="1369">
        <v>4.79</v>
      </c>
      <c r="C367" s="256">
        <v>462737705.91000003</v>
      </c>
      <c r="D367" s="253"/>
      <c r="E367" s="253">
        <f>B367-Index_Returns!J367</f>
        <v>0.73339999999999961</v>
      </c>
      <c r="G367" s="14"/>
    </row>
    <row r="368" spans="1:7" x14ac:dyDescent="0.2">
      <c r="A368" s="345">
        <v>38717</v>
      </c>
      <c r="B368" s="1369">
        <v>0.45</v>
      </c>
      <c r="C368" s="256">
        <v>465010296.00999999</v>
      </c>
      <c r="D368" s="253"/>
      <c r="E368" s="253">
        <f>B368-Index_Returns!J368</f>
        <v>1.2177</v>
      </c>
      <c r="G368" s="14"/>
    </row>
    <row r="369" spans="1:7" x14ac:dyDescent="0.2">
      <c r="A369" s="345">
        <v>38748</v>
      </c>
      <c r="B369" s="1369">
        <v>8.1</v>
      </c>
      <c r="C369" s="256">
        <v>502666429.86000001</v>
      </c>
      <c r="D369" s="253"/>
      <c r="E369" s="253">
        <f>B369-Index_Returns!J369</f>
        <v>-0.16920000000000002</v>
      </c>
      <c r="G369" s="14"/>
    </row>
    <row r="370" spans="1:7" x14ac:dyDescent="0.2">
      <c r="A370" s="345">
        <v>38776</v>
      </c>
      <c r="B370" s="1369">
        <v>-0.78</v>
      </c>
      <c r="C370" s="256">
        <v>498747772.16000003</v>
      </c>
      <c r="D370" s="253"/>
      <c r="E370" s="253">
        <f>B370-Index_Returns!J370</f>
        <v>-0.7732</v>
      </c>
      <c r="G370" s="14"/>
    </row>
    <row r="371" spans="1:7" x14ac:dyDescent="0.2">
      <c r="A371" s="345">
        <v>38807</v>
      </c>
      <c r="B371" s="1369">
        <v>4.12</v>
      </c>
      <c r="C371" s="33">
        <v>519497874.99000001</v>
      </c>
      <c r="D371" s="253"/>
      <c r="E371" s="253">
        <f>B371-Index_Returns!J371</f>
        <v>-0.72349999999999959</v>
      </c>
      <c r="G371" s="14"/>
    </row>
    <row r="372" spans="1:7" x14ac:dyDescent="0.2">
      <c r="A372" s="345">
        <v>38837</v>
      </c>
      <c r="B372" s="1369">
        <v>1.43</v>
      </c>
      <c r="C372" s="33">
        <v>526919714.50999999</v>
      </c>
      <c r="D372" s="253"/>
      <c r="E372" s="253">
        <f>B372-Index_Returns!J372</f>
        <v>1.1625999999999999</v>
      </c>
      <c r="G372" s="14"/>
    </row>
    <row r="373" spans="1:7" x14ac:dyDescent="0.2">
      <c r="A373" s="345">
        <v>38868</v>
      </c>
      <c r="B373" s="1369">
        <v>-3.73</v>
      </c>
      <c r="C373" s="33">
        <v>507249024.44999999</v>
      </c>
      <c r="D373" s="253"/>
      <c r="E373" s="253">
        <f>B373-Index_Returns!J373</f>
        <v>0.41079999999999961</v>
      </c>
      <c r="G373" s="14"/>
    </row>
    <row r="374" spans="1:7" x14ac:dyDescent="0.2">
      <c r="A374" s="345">
        <v>38898</v>
      </c>
      <c r="B374" s="1369">
        <v>0.57999999999999996</v>
      </c>
      <c r="C374" s="354">
        <v>510445471.25</v>
      </c>
      <c r="D374" s="253"/>
      <c r="E374" s="253">
        <f>B374-Index_Returns!J374</f>
        <v>-0.64839999999999998</v>
      </c>
      <c r="G374" s="14"/>
    </row>
    <row r="375" spans="1:7" x14ac:dyDescent="0.2">
      <c r="A375" s="345">
        <v>38929</v>
      </c>
      <c r="B375" s="1369">
        <v>-3.34</v>
      </c>
      <c r="C375" s="34">
        <v>493412504.43000001</v>
      </c>
      <c r="D375" s="253"/>
      <c r="E375" s="253">
        <f>B375-Index_Returns!J375</f>
        <v>-1.9530999999999998</v>
      </c>
      <c r="G375" s="14"/>
    </row>
    <row r="376" spans="1:7" x14ac:dyDescent="0.2">
      <c r="A376" s="345">
        <v>38960</v>
      </c>
      <c r="B376" s="1369">
        <v>2.11</v>
      </c>
      <c r="C376" s="34">
        <v>503829956.44999999</v>
      </c>
      <c r="D376" s="253"/>
      <c r="E376" s="253">
        <f>B376-Index_Returns!J376</f>
        <v>-0.879</v>
      </c>
      <c r="G376" s="14"/>
    </row>
    <row r="377" spans="1:7" x14ac:dyDescent="0.2">
      <c r="A377" s="345">
        <v>38990</v>
      </c>
      <c r="B377" s="1369">
        <v>0.94</v>
      </c>
      <c r="C377" s="34">
        <v>508795884.51999998</v>
      </c>
      <c r="D377" s="253"/>
      <c r="E377" s="253">
        <f>B377-Index_Returns!J377</f>
        <v>-3.6100000000000021E-2</v>
      </c>
      <c r="G377" s="14"/>
    </row>
    <row r="378" spans="1:7" x14ac:dyDescent="0.2">
      <c r="A378" s="345">
        <v>39021</v>
      </c>
      <c r="B378" s="1369">
        <v>4.97</v>
      </c>
      <c r="C378" s="34">
        <v>534094967.70999998</v>
      </c>
      <c r="D378" s="253"/>
      <c r="E378" s="253">
        <f>B378-Index_Returns!J378</f>
        <v>-0.11969999999999992</v>
      </c>
      <c r="F378" s="352"/>
      <c r="G378" s="14"/>
    </row>
    <row r="379" spans="1:7" x14ac:dyDescent="0.2">
      <c r="A379" s="345">
        <v>39051</v>
      </c>
      <c r="B379" s="1369">
        <v>3.58</v>
      </c>
      <c r="C379" s="34">
        <v>553248405.19000006</v>
      </c>
      <c r="D379" s="253"/>
      <c r="E379" s="253">
        <f>B379-Index_Returns!J379</f>
        <v>0.72849999999999993</v>
      </c>
      <c r="F379" s="352"/>
      <c r="G379" s="14"/>
    </row>
    <row r="380" spans="1:7" x14ac:dyDescent="0.2">
      <c r="A380" s="345">
        <v>39082</v>
      </c>
      <c r="B380" s="1369">
        <v>0.55000000000000004</v>
      </c>
      <c r="C380" s="34">
        <v>556544489.42999995</v>
      </c>
      <c r="D380" s="253"/>
      <c r="E380" s="253">
        <f>B380-Index_Returns!J380</f>
        <v>-0.32119999999999993</v>
      </c>
      <c r="F380" s="352"/>
      <c r="G380" s="14"/>
    </row>
    <row r="381" spans="1:7" x14ac:dyDescent="0.2">
      <c r="A381" s="345">
        <v>39113</v>
      </c>
      <c r="B381" s="1369">
        <v>2.2000000000000002</v>
      </c>
      <c r="C381" s="346">
        <v>568780215.02999997</v>
      </c>
      <c r="E381" s="253">
        <f>B381-Index_Returns!J381</f>
        <v>0.70200000000000018</v>
      </c>
      <c r="F381" s="352"/>
      <c r="G381" s="14"/>
    </row>
    <row r="382" spans="1:7" x14ac:dyDescent="0.2">
      <c r="A382" s="345">
        <v>39141</v>
      </c>
      <c r="B382" s="1369">
        <v>-0.45</v>
      </c>
      <c r="C382" s="346">
        <v>566212728.21000004</v>
      </c>
      <c r="E382" s="253">
        <f>B382-Index_Returns!J382</f>
        <v>0.77810000000000001</v>
      </c>
      <c r="F382" s="352"/>
      <c r="G382" s="14"/>
    </row>
    <row r="383" spans="1:7" x14ac:dyDescent="0.2">
      <c r="A383" s="345">
        <v>39172</v>
      </c>
      <c r="B383" s="1369">
        <v>0.67</v>
      </c>
      <c r="C383" s="346">
        <v>570314572.55999994</v>
      </c>
      <c r="E383" s="253">
        <f>B383-Index_Returns!J383</f>
        <v>-0.53680000000000005</v>
      </c>
      <c r="G383" s="14"/>
    </row>
    <row r="384" spans="1:7" x14ac:dyDescent="0.2">
      <c r="A384" s="345">
        <v>39202</v>
      </c>
      <c r="B384" s="1369">
        <v>2.4300000000000002</v>
      </c>
      <c r="C384" s="346">
        <v>584191819.85000002</v>
      </c>
      <c r="E384" s="253">
        <f>B384-Index_Returns!J384</f>
        <v>1.3923000000000001</v>
      </c>
      <c r="G384" s="14"/>
    </row>
    <row r="385" spans="1:7" x14ac:dyDescent="0.2">
      <c r="A385" s="345">
        <v>39233</v>
      </c>
      <c r="B385" s="1369">
        <v>4.72</v>
      </c>
      <c r="C385" s="346">
        <v>611793751.15999997</v>
      </c>
      <c r="E385" s="253">
        <f>B385-Index_Returns!J385</f>
        <v>1.0533999999999999</v>
      </c>
      <c r="G385" s="14"/>
    </row>
    <row r="386" spans="1:7" x14ac:dyDescent="0.2">
      <c r="A386" s="345">
        <v>39263</v>
      </c>
      <c r="B386" s="1369">
        <v>-1.38</v>
      </c>
      <c r="C386" s="346">
        <v>603644311.25999999</v>
      </c>
      <c r="E386" s="253">
        <f>B386-Index_Returns!J386</f>
        <v>0.95080000000000009</v>
      </c>
      <c r="G386" s="14"/>
    </row>
    <row r="387" spans="1:7" x14ac:dyDescent="0.2">
      <c r="A387" s="345">
        <v>39294</v>
      </c>
      <c r="B387" s="1369">
        <v>-7.93</v>
      </c>
      <c r="C387" s="346">
        <v>555760376.10000002</v>
      </c>
      <c r="E387" s="253">
        <f>B387-Index_Returns!J387</f>
        <v>0.58130000000000059</v>
      </c>
      <c r="G387" s="14"/>
    </row>
    <row r="388" spans="1:7" x14ac:dyDescent="0.2">
      <c r="A388" s="345">
        <v>39325</v>
      </c>
      <c r="B388" s="1369">
        <v>-0.55000000000000004</v>
      </c>
      <c r="C388" s="346">
        <v>552705945.25</v>
      </c>
      <c r="E388" s="253">
        <f>B388-Index_Returns!J388</f>
        <v>-2.5536000000000003</v>
      </c>
      <c r="G388" s="14"/>
    </row>
    <row r="389" spans="1:7" x14ac:dyDescent="0.2">
      <c r="A389" s="345">
        <v>39355</v>
      </c>
      <c r="B389" s="1369">
        <v>0.12</v>
      </c>
      <c r="C389" s="346">
        <v>553529623.60000002</v>
      </c>
      <c r="E389" s="253">
        <f>B389-Index_Returns!J389</f>
        <v>-0.33150000000000002</v>
      </c>
      <c r="G389" s="14"/>
    </row>
    <row r="390" spans="1:7" x14ac:dyDescent="0.2">
      <c r="A390" s="345">
        <v>39386</v>
      </c>
      <c r="B390" s="1369">
        <v>0.49</v>
      </c>
      <c r="C390" s="346">
        <v>556224532.19000006</v>
      </c>
      <c r="E390" s="253">
        <f>B390-Index_Returns!J390</f>
        <v>-0.59909999999999997</v>
      </c>
      <c r="G390" s="14"/>
    </row>
    <row r="391" spans="1:7" x14ac:dyDescent="0.2">
      <c r="A391" s="345">
        <v>39416</v>
      </c>
      <c r="B391" s="1369">
        <v>-7.45</v>
      </c>
      <c r="C391" s="346">
        <v>514772353.83999997</v>
      </c>
      <c r="E391" s="253">
        <f>B391-Index_Returns!J391</f>
        <v>4.1999999999999815E-2</v>
      </c>
      <c r="G391" s="14"/>
    </row>
    <row r="392" spans="1:7" x14ac:dyDescent="0.2">
      <c r="A392" s="345">
        <v>39447</v>
      </c>
      <c r="B392" s="1369">
        <v>-1.33</v>
      </c>
      <c r="C392" s="346">
        <v>508128775.26999998</v>
      </c>
      <c r="E392" s="253">
        <f>B392-Index_Returns!J392</f>
        <v>-0.48460000000000003</v>
      </c>
      <c r="G392" s="14"/>
    </row>
    <row r="393" spans="1:7" x14ac:dyDescent="0.2">
      <c r="A393" s="345">
        <v>39478</v>
      </c>
      <c r="B393" s="1369">
        <v>-3.49</v>
      </c>
      <c r="C393" s="346">
        <v>490414357.22000003</v>
      </c>
      <c r="E393" s="253">
        <f>B393-Index_Returns!J393</f>
        <v>0.61359999999999992</v>
      </c>
      <c r="G393" s="14"/>
    </row>
    <row r="394" spans="1:7" x14ac:dyDescent="0.2">
      <c r="A394" s="345">
        <v>39507</v>
      </c>
      <c r="B394" s="1369">
        <v>-2.96</v>
      </c>
      <c r="C394" s="346">
        <v>475893571.88</v>
      </c>
      <c r="E394" s="253">
        <f>B394-Index_Returns!J394</f>
        <v>1.0143</v>
      </c>
      <c r="G394" s="14"/>
    </row>
    <row r="395" spans="1:7" x14ac:dyDescent="0.2">
      <c r="A395" s="345">
        <v>39538</v>
      </c>
      <c r="B395" s="1369">
        <v>0.94</v>
      </c>
      <c r="C395" s="346">
        <v>480618274.17000002</v>
      </c>
      <c r="E395" s="253">
        <f>B395-Index_Returns!J395</f>
        <v>-0.56740000000000013</v>
      </c>
      <c r="G395" s="14"/>
    </row>
    <row r="396" spans="1:7" x14ac:dyDescent="0.2">
      <c r="A396" s="345">
        <v>39568</v>
      </c>
      <c r="B396" s="1369">
        <v>4.2300000000000004</v>
      </c>
      <c r="C396" s="346">
        <v>500925526.04000002</v>
      </c>
      <c r="E396" s="253">
        <f>B396-Index_Returns!J396</f>
        <v>1.0659000000000005</v>
      </c>
      <c r="G396" s="14"/>
    </row>
    <row r="397" spans="1:7" x14ac:dyDescent="0.2">
      <c r="A397" s="345">
        <v>39599</v>
      </c>
      <c r="B397" s="1369">
        <v>4.24</v>
      </c>
      <c r="C397" s="346">
        <v>522154166.39999998</v>
      </c>
      <c r="E397" s="253">
        <f>B397-Index_Returns!J397</f>
        <v>0.82110000000000039</v>
      </c>
      <c r="G397" s="14"/>
    </row>
    <row r="398" spans="1:7" x14ac:dyDescent="0.2">
      <c r="A398" s="345">
        <v>39629</v>
      </c>
      <c r="B398" s="1369">
        <v>-11.51</v>
      </c>
      <c r="C398" s="346">
        <v>462306448.87</v>
      </c>
      <c r="E398" s="253">
        <f>B398-Index_Returns!J398</f>
        <v>-1.9149999999999991</v>
      </c>
      <c r="G398" s="14"/>
    </row>
    <row r="399" spans="1:7" x14ac:dyDescent="0.2">
      <c r="A399" s="345">
        <v>39660</v>
      </c>
      <c r="B399" s="1369">
        <v>1.96</v>
      </c>
      <c r="C399" s="33">
        <v>471361315.67000002</v>
      </c>
      <c r="E399" s="253">
        <f>B399-Index_Returns!J399</f>
        <v>-3.1662999999999997</v>
      </c>
      <c r="G399" s="14"/>
    </row>
    <row r="400" spans="1:7" x14ac:dyDescent="0.2">
      <c r="A400" s="345">
        <v>39691</v>
      </c>
      <c r="B400" s="1369">
        <v>4.0999999999999996</v>
      </c>
      <c r="C400" s="33">
        <v>490703940.23000002</v>
      </c>
      <c r="E400" s="253">
        <f>B400-Index_Returns!J400</f>
        <v>-0.6532</v>
      </c>
      <c r="G400" s="14"/>
    </row>
    <row r="401" spans="1:8" x14ac:dyDescent="0.2">
      <c r="A401" s="345">
        <v>39721</v>
      </c>
      <c r="B401" s="1369">
        <v>-7.23</v>
      </c>
      <c r="C401" s="33">
        <v>455476954.76999998</v>
      </c>
      <c r="E401" s="253">
        <f>B401-Index_Returns!J401</f>
        <v>-2.5425000000000004</v>
      </c>
      <c r="G401" s="14"/>
    </row>
    <row r="402" spans="1:8" x14ac:dyDescent="0.2">
      <c r="A402" s="345">
        <v>39752</v>
      </c>
      <c r="B402" s="1369">
        <v>-22.4</v>
      </c>
      <c r="C402" s="346">
        <v>353437457</v>
      </c>
      <c r="E402" s="253">
        <f>B402-Index_Returns!J402</f>
        <v>-2.4222999999999999</v>
      </c>
      <c r="G402" s="14"/>
    </row>
    <row r="403" spans="1:8" x14ac:dyDescent="0.2">
      <c r="A403" s="345">
        <v>39782</v>
      </c>
      <c r="B403" s="1369">
        <v>-11.45</v>
      </c>
      <c r="C403" s="346">
        <v>312955406</v>
      </c>
      <c r="E403" s="253">
        <f>B403-Index_Returns!J403</f>
        <v>0.13090000000000046</v>
      </c>
      <c r="G403" s="14"/>
    </row>
    <row r="404" spans="1:8" x14ac:dyDescent="0.2">
      <c r="A404" s="345">
        <v>39813</v>
      </c>
      <c r="B404" s="1369">
        <v>6.92</v>
      </c>
      <c r="C404" s="346">
        <v>334863197</v>
      </c>
      <c r="E404" s="253">
        <f>B404-Index_Returns!J404</f>
        <v>0.76839999999999975</v>
      </c>
      <c r="G404" s="14"/>
    </row>
    <row r="405" spans="1:8" x14ac:dyDescent="0.2">
      <c r="A405" s="345">
        <v>39844</v>
      </c>
      <c r="B405" s="1369">
        <v>-13.95</v>
      </c>
      <c r="C405" s="346">
        <v>288154849.70999998</v>
      </c>
      <c r="D405" s="258">
        <v>-13.948499999999999</v>
      </c>
      <c r="E405" s="253">
        <f>B405-Index_Returns!J405</f>
        <v>0.33490000000000109</v>
      </c>
      <c r="G405" s="14"/>
    </row>
    <row r="406" spans="1:8" x14ac:dyDescent="0.2">
      <c r="A406" s="345">
        <v>39872</v>
      </c>
      <c r="B406" s="1369">
        <v>-13.52</v>
      </c>
      <c r="C406" s="346">
        <v>249182737.02000001</v>
      </c>
      <c r="D406" s="258">
        <v>-13.524699999999999</v>
      </c>
      <c r="E406" s="253">
        <f>B406-Index_Returns!J406</f>
        <v>0.37010000000000076</v>
      </c>
      <c r="G406" s="14"/>
    </row>
    <row r="407" spans="1:8" x14ac:dyDescent="0.2">
      <c r="A407" s="345">
        <v>39903</v>
      </c>
      <c r="B407" s="1369">
        <v>10.7</v>
      </c>
      <c r="C407" s="346">
        <v>276035783.49000001</v>
      </c>
      <c r="D407" s="258">
        <v>10.776400000000001</v>
      </c>
      <c r="E407" s="253">
        <f>B407-Index_Returns!J407</f>
        <v>1.8214999999999986</v>
      </c>
      <c r="G407" s="14"/>
    </row>
    <row r="408" spans="1:8" x14ac:dyDescent="0.2">
      <c r="A408" s="345">
        <v>39933</v>
      </c>
      <c r="B408" s="1369">
        <v>20.29</v>
      </c>
      <c r="C408" s="346">
        <v>332054250.52999997</v>
      </c>
      <c r="E408" s="253">
        <f>B408-Index_Returns!J408</f>
        <v>4.4225999999999992</v>
      </c>
      <c r="G408" s="14"/>
    </row>
    <row r="409" spans="1:8" x14ac:dyDescent="0.2">
      <c r="A409" s="345">
        <v>39964</v>
      </c>
      <c r="B409" s="1369">
        <v>4.05</v>
      </c>
      <c r="C409" s="346">
        <v>345499482.54000002</v>
      </c>
      <c r="E409" s="253">
        <f>B409-Index_Returns!J409</f>
        <v>1.8876999999999997</v>
      </c>
      <c r="G409" s="14"/>
    </row>
    <row r="410" spans="1:8" x14ac:dyDescent="0.2">
      <c r="A410" s="345">
        <v>39994</v>
      </c>
      <c r="B410" s="1369">
        <v>-0.68</v>
      </c>
      <c r="C410" s="346">
        <v>343299325.33999997</v>
      </c>
      <c r="E410" s="253">
        <f>B410-Index_Returns!J410</f>
        <v>-0.36470000000000002</v>
      </c>
      <c r="G410" s="14"/>
    </row>
    <row r="411" spans="1:8" x14ac:dyDescent="0.2">
      <c r="A411" s="345">
        <v>40025</v>
      </c>
      <c r="B411" s="1369">
        <v>12.7</v>
      </c>
      <c r="C411" s="346">
        <v>386901068.06999999</v>
      </c>
      <c r="D411" s="258">
        <v>12.700799999999999</v>
      </c>
      <c r="E411" s="253">
        <f>B411-Index_Returns!J411</f>
        <v>1.1357999999999997</v>
      </c>
      <c r="G411" s="14"/>
      <c r="H411" s="1311"/>
    </row>
    <row r="412" spans="1:8" x14ac:dyDescent="0.2">
      <c r="A412" s="345">
        <v>40056</v>
      </c>
      <c r="B412" s="1369">
        <v>6.67</v>
      </c>
      <c r="C412" s="346">
        <v>412706661.74000001</v>
      </c>
      <c r="D412" s="258">
        <v>6.6698000000000004</v>
      </c>
      <c r="E412" s="253">
        <f>B412-Index_Returns!J412</f>
        <v>1.9370000000000003</v>
      </c>
      <c r="G412" s="14"/>
      <c r="H412" s="1311"/>
    </row>
    <row r="413" spans="1:8" x14ac:dyDescent="0.2">
      <c r="A413" s="345">
        <v>40086</v>
      </c>
      <c r="B413" s="1369">
        <v>6.34</v>
      </c>
      <c r="C413" s="346">
        <v>439078209.94999999</v>
      </c>
      <c r="D413" s="258">
        <v>6.3898999999999999</v>
      </c>
      <c r="E413" s="253">
        <f>B413-Index_Returns!J413</f>
        <v>1.3246000000000002</v>
      </c>
      <c r="G413" s="14"/>
      <c r="H413" s="1311"/>
    </row>
    <row r="414" spans="1:8" x14ac:dyDescent="0.2">
      <c r="A414" s="345">
        <v>40117</v>
      </c>
      <c r="B414" s="1369">
        <v>-6.9200200000000001</v>
      </c>
      <c r="C414" s="346">
        <v>408693905</v>
      </c>
      <c r="D414" s="258">
        <v>-6.92</v>
      </c>
      <c r="E414" s="253">
        <f>B414-Index_Returns!J414</f>
        <v>-0.28002000000000038</v>
      </c>
      <c r="G414" s="14"/>
      <c r="H414" s="1311"/>
    </row>
    <row r="415" spans="1:8" x14ac:dyDescent="0.2">
      <c r="A415" s="345">
        <v>40147</v>
      </c>
      <c r="B415" s="1369">
        <v>4.8087600000000004</v>
      </c>
      <c r="C415" s="1333">
        <v>428340123</v>
      </c>
      <c r="D415" s="1311">
        <v>4.8087600000000004</v>
      </c>
      <c r="E415" s="253">
        <f>B415-Index_Returns!J415</f>
        <v>1.6267600000000004</v>
      </c>
      <c r="G415" s="14"/>
      <c r="H415" s="1311"/>
    </row>
    <row r="416" spans="1:8" x14ac:dyDescent="0.2">
      <c r="A416" s="345">
        <v>40178</v>
      </c>
      <c r="B416" s="1369">
        <v>7.2193899999999998</v>
      </c>
      <c r="C416" s="346">
        <v>459271050.24000001</v>
      </c>
      <c r="D416" s="258">
        <v>7.2193899999999998</v>
      </c>
      <c r="E416" s="253">
        <f>B416-Index_Returns!J416</f>
        <v>-0.35467000000000048</v>
      </c>
      <c r="G416" s="14"/>
      <c r="H416" s="1311"/>
    </row>
    <row r="417" spans="1:8" x14ac:dyDescent="0.2">
      <c r="A417" s="345">
        <v>40209</v>
      </c>
      <c r="B417" s="253">
        <v>-2.2340499999999999</v>
      </c>
      <c r="C417" s="346">
        <v>449010709.50999999</v>
      </c>
      <c r="D417" s="1311">
        <v>-2.2340499999999999</v>
      </c>
      <c r="E417" s="253">
        <f>B417-Index_Returns!J417</f>
        <v>0.69696000000000025</v>
      </c>
      <c r="G417" s="14"/>
      <c r="H417" s="1311"/>
    </row>
    <row r="418" spans="1:8" x14ac:dyDescent="0.2">
      <c r="A418" s="345">
        <v>40237</v>
      </c>
      <c r="B418" s="253">
        <v>5.9889099999999997</v>
      </c>
      <c r="C418" s="346">
        <v>475901543.56999999</v>
      </c>
      <c r="D418" s="258">
        <v>5.9889099999999997</v>
      </c>
      <c r="E418" s="253">
        <f>B418-Index_Returns!J418</f>
        <v>1.3520300000000001</v>
      </c>
      <c r="G418" s="14"/>
      <c r="H418" s="1311"/>
    </row>
    <row r="419" spans="1:8" x14ac:dyDescent="0.2">
      <c r="A419" s="345">
        <v>40268</v>
      </c>
      <c r="B419" s="253">
        <v>7.7154600000000002</v>
      </c>
      <c r="C419" s="1334">
        <v>512588422.76999998</v>
      </c>
      <c r="D419" s="1311">
        <v>7.7154600000000002</v>
      </c>
      <c r="E419" s="253">
        <f>B419-Index_Returns!J419</f>
        <v>-0.60219999999999985</v>
      </c>
      <c r="G419" s="14"/>
      <c r="H419" s="1311"/>
    </row>
    <row r="420" spans="1:8" x14ac:dyDescent="0.2">
      <c r="A420" s="345">
        <v>40298</v>
      </c>
      <c r="B420" s="253">
        <v>7.1456299999999997</v>
      </c>
      <c r="C420" s="346">
        <v>549249452.85000002</v>
      </c>
      <c r="D420" s="258">
        <v>7.1456299999999997</v>
      </c>
      <c r="E420" s="253">
        <f>B420-Index_Returns!J420</f>
        <v>0.14871999999999996</v>
      </c>
      <c r="G420" s="14"/>
      <c r="H420" s="1311"/>
    </row>
    <row r="421" spans="1:8" x14ac:dyDescent="0.2">
      <c r="A421" s="345">
        <v>40329</v>
      </c>
      <c r="B421" s="253">
        <v>-9.1731800000000003</v>
      </c>
      <c r="C421" s="346">
        <v>498865790.64999998</v>
      </c>
      <c r="D421" s="258">
        <v>-9.1731800000000003</v>
      </c>
      <c r="E421" s="253">
        <f>B421-Index_Returns!J421</f>
        <v>-0.72332000000000107</v>
      </c>
      <c r="G421" s="14"/>
      <c r="H421" s="1311"/>
    </row>
    <row r="422" spans="1:8" x14ac:dyDescent="0.2">
      <c r="A422" s="345">
        <v>40359</v>
      </c>
      <c r="B422" s="253">
        <v>-9.5023300000000006</v>
      </c>
      <c r="C422" s="346">
        <v>451461915.70999998</v>
      </c>
      <c r="D422" s="258">
        <v>-9.5023300000000006</v>
      </c>
      <c r="E422" s="253">
        <f>B422-Index_Returns!J422</f>
        <v>-0.77287000000000106</v>
      </c>
      <c r="G422" s="14"/>
      <c r="H422" s="1311"/>
    </row>
    <row r="423" spans="1:8" x14ac:dyDescent="0.2">
      <c r="A423" s="345">
        <v>40390</v>
      </c>
      <c r="B423" s="253">
        <v>8.7446300000000008</v>
      </c>
      <c r="C423" s="346">
        <v>490940595.06999999</v>
      </c>
      <c r="D423" s="258">
        <v>8.7446300000000008</v>
      </c>
      <c r="E423" s="253">
        <f>B423-Index_Returns!J423</f>
        <v>1.6064300000000005</v>
      </c>
      <c r="G423" s="14"/>
      <c r="H423" s="1311"/>
    </row>
    <row r="424" spans="1:8" x14ac:dyDescent="0.2">
      <c r="A424" s="345">
        <v>40421</v>
      </c>
      <c r="B424" s="253">
        <v>-7.6940099999999996</v>
      </c>
      <c r="C424" s="346">
        <v>453167563.23000002</v>
      </c>
      <c r="D424" s="258">
        <v>-7.6940200000000001</v>
      </c>
      <c r="E424" s="253">
        <f>B424-Index_Returns!J424</f>
        <v>-0.17462999999999962</v>
      </c>
      <c r="G424" s="14"/>
      <c r="H424" s="1311"/>
    </row>
    <row r="425" spans="1:8" x14ac:dyDescent="0.2">
      <c r="A425" s="345">
        <v>40451</v>
      </c>
      <c r="B425" s="253">
        <v>12.23033</v>
      </c>
      <c r="C425" s="346">
        <v>508591459.43000001</v>
      </c>
      <c r="D425" s="258">
        <v>12.23033</v>
      </c>
      <c r="E425" s="253">
        <f>B425-Index_Returns!J425</f>
        <v>1.4934399999999997</v>
      </c>
      <c r="G425" s="14"/>
      <c r="H425" s="1311"/>
    </row>
    <row r="426" spans="1:8" x14ac:dyDescent="0.2">
      <c r="A426" s="345">
        <v>40482</v>
      </c>
      <c r="B426" s="258">
        <v>4.0879300000000001</v>
      </c>
      <c r="C426" s="346">
        <v>529382350.45999998</v>
      </c>
      <c r="D426" s="258">
        <v>4.0879300000000001</v>
      </c>
      <c r="E426" s="253">
        <f>B426-Index_Returns!J426</f>
        <v>0.21357999999999988</v>
      </c>
      <c r="G426" s="14"/>
      <c r="H426" s="1311"/>
    </row>
    <row r="427" spans="1:8" x14ac:dyDescent="0.2">
      <c r="A427" s="345">
        <v>40512</v>
      </c>
      <c r="B427" s="253">
        <f>D427</f>
        <v>3.9856799999999999</v>
      </c>
      <c r="C427" s="346">
        <v>550481827.84000003</v>
      </c>
      <c r="D427" s="258">
        <v>3.9856799999999999</v>
      </c>
      <c r="E427" s="253">
        <f>B427-Index_Returns!J427</f>
        <v>1.4441600000000001</v>
      </c>
      <c r="H427" s="1311"/>
    </row>
    <row r="428" spans="1:8" x14ac:dyDescent="0.2">
      <c r="A428" s="345">
        <v>40543</v>
      </c>
      <c r="B428" s="253">
        <v>8.5927699999999998</v>
      </c>
      <c r="C428" s="346">
        <v>597783678.29999995</v>
      </c>
      <c r="D428" s="258">
        <v>8.5927699999999998</v>
      </c>
      <c r="E428" s="253">
        <f>B428-Index_Returns!J428</f>
        <v>0.28433000000000064</v>
      </c>
      <c r="H428" s="1311"/>
    </row>
    <row r="429" spans="1:8" x14ac:dyDescent="0.2">
      <c r="A429" s="345">
        <v>40574</v>
      </c>
      <c r="B429" s="253">
        <f>D429</f>
        <v>1.34517</v>
      </c>
      <c r="C429" s="346">
        <v>605821421.10000002</v>
      </c>
      <c r="D429" s="1311">
        <v>1.34517</v>
      </c>
      <c r="E429" s="253">
        <f>B429-Index_Returns!J429</f>
        <v>1.2906199999999999</v>
      </c>
      <c r="H429" s="1311"/>
    </row>
    <row r="430" spans="1:8" x14ac:dyDescent="0.2">
      <c r="A430" s="345">
        <v>40602</v>
      </c>
      <c r="B430" s="253">
        <v>5.4415199999999997</v>
      </c>
      <c r="C430" s="346">
        <v>638790975.39999998</v>
      </c>
      <c r="D430" s="258">
        <v>5.4415199999999997</v>
      </c>
      <c r="E430" s="253">
        <f>B430-Index_Returns!J430</f>
        <v>0.36386999999999947</v>
      </c>
      <c r="H430" s="1311"/>
    </row>
    <row r="431" spans="1:8" x14ac:dyDescent="0.2">
      <c r="A431" s="345">
        <v>40633</v>
      </c>
      <c r="B431" s="253">
        <f>D431</f>
        <v>1.7488600000000001</v>
      </c>
      <c r="C431" s="346">
        <v>649962544.42999995</v>
      </c>
      <c r="D431" s="258">
        <v>1.7488600000000001</v>
      </c>
      <c r="E431" s="253">
        <f>B431-Index_Returns!J431</f>
        <v>0.35924</v>
      </c>
      <c r="H431" s="1311"/>
    </row>
    <row r="432" spans="1:8" x14ac:dyDescent="0.2">
      <c r="A432" s="345">
        <v>40663</v>
      </c>
      <c r="B432" s="253">
        <f t="shared" ref="B432:B463" si="0">D432</f>
        <v>1.43388</v>
      </c>
      <c r="C432" s="346">
        <v>659284406.55999994</v>
      </c>
      <c r="D432" s="1311">
        <v>1.43388</v>
      </c>
      <c r="E432" s="253">
        <f>B432-Index_Returns!J432</f>
        <v>-0.19093999999999989</v>
      </c>
      <c r="H432" s="1311"/>
    </row>
    <row r="433" spans="1:8" x14ac:dyDescent="0.2">
      <c r="A433" s="345">
        <v>40694</v>
      </c>
      <c r="B433" s="253">
        <f t="shared" si="0"/>
        <v>-2.7135500000000001</v>
      </c>
      <c r="C433" s="346">
        <v>529178085.5</v>
      </c>
      <c r="D433" s="258">
        <v>-2.7135500000000001</v>
      </c>
      <c r="E433" s="253">
        <f>B433-Index_Returns!J433</f>
        <v>-0.92219000000000007</v>
      </c>
      <c r="H433" s="1311"/>
    </row>
    <row r="434" spans="1:8" x14ac:dyDescent="0.2">
      <c r="A434" s="345">
        <v>40724</v>
      </c>
      <c r="B434" s="253">
        <f t="shared" si="0"/>
        <v>-2.0164</v>
      </c>
      <c r="C434" s="346">
        <v>518507764.20999998</v>
      </c>
      <c r="D434" s="258">
        <v>-2.0164</v>
      </c>
      <c r="E434" s="253">
        <f>B434-Index_Returns!J434</f>
        <v>0.44252000000000002</v>
      </c>
      <c r="H434" s="1311"/>
    </row>
    <row r="435" spans="1:8" x14ac:dyDescent="0.2">
      <c r="A435" s="345">
        <v>40755</v>
      </c>
      <c r="B435" s="253">
        <f t="shared" si="0"/>
        <v>-3.8748900000000002</v>
      </c>
      <c r="C435" s="346">
        <v>498416015.75</v>
      </c>
      <c r="D435" s="258">
        <v>-3.8748900000000002</v>
      </c>
      <c r="E435" s="253">
        <f>B435-Index_Returns!J435</f>
        <v>-0.56813000000000002</v>
      </c>
      <c r="H435" s="1311"/>
    </row>
    <row r="436" spans="1:8" x14ac:dyDescent="0.2">
      <c r="A436" s="345">
        <v>40786</v>
      </c>
      <c r="B436" s="253">
        <f t="shared" si="0"/>
        <v>-10.060359999999999</v>
      </c>
      <c r="C436" s="346">
        <v>448524149.50999999</v>
      </c>
      <c r="D436" s="258">
        <v>-10.060359999999999</v>
      </c>
      <c r="E436" s="253">
        <f>B436-Index_Returns!J436</f>
        <v>-1.2275700000000001</v>
      </c>
      <c r="H436" s="1311"/>
    </row>
    <row r="437" spans="1:8" x14ac:dyDescent="0.2">
      <c r="A437" s="345">
        <v>40816</v>
      </c>
      <c r="B437" s="253">
        <f t="shared" si="0"/>
        <v>-11.47052</v>
      </c>
      <c r="C437" s="346">
        <v>397076116.67000002</v>
      </c>
      <c r="D437" s="258">
        <v>-11.47052</v>
      </c>
      <c r="E437" s="253">
        <f>B437-Index_Returns!J437</f>
        <v>-0.54953000000000074</v>
      </c>
      <c r="H437" s="1311"/>
    </row>
    <row r="438" spans="1:8" x14ac:dyDescent="0.2">
      <c r="A438" s="345">
        <v>40847</v>
      </c>
      <c r="B438" s="253">
        <f t="shared" si="0"/>
        <v>14.77101</v>
      </c>
      <c r="C438" s="346">
        <v>455728292.00999999</v>
      </c>
      <c r="D438" s="1311">
        <v>14.77101</v>
      </c>
      <c r="E438" s="253">
        <f>B438-Index_Returns!J438</f>
        <v>0.3607200000000006</v>
      </c>
      <c r="H438" s="1311"/>
    </row>
    <row r="439" spans="1:8" x14ac:dyDescent="0.2">
      <c r="A439" s="345">
        <v>40877</v>
      </c>
      <c r="B439" s="253">
        <f t="shared" si="0"/>
        <v>3.4849999999999999E-2</v>
      </c>
      <c r="C439" s="346">
        <v>456138746.95999998</v>
      </c>
      <c r="D439" s="1311">
        <v>3.4849999999999999E-2</v>
      </c>
      <c r="E439" s="253">
        <f>B439-Index_Returns!J439</f>
        <v>0.23468</v>
      </c>
      <c r="H439" s="1311"/>
    </row>
    <row r="440" spans="1:8" x14ac:dyDescent="0.2">
      <c r="A440" s="345">
        <v>40908</v>
      </c>
      <c r="B440" s="253">
        <f t="shared" si="0"/>
        <v>1.1787399999999999</v>
      </c>
      <c r="C440" s="346">
        <v>461517177.98000002</v>
      </c>
      <c r="D440" s="1311">
        <v>1.1787399999999999</v>
      </c>
      <c r="E440" s="253">
        <f>B440-Index_Returns!J440</f>
        <v>-0.38635000000000019</v>
      </c>
      <c r="H440" s="1311"/>
    </row>
    <row r="441" spans="1:8" x14ac:dyDescent="0.2">
      <c r="A441" s="345">
        <v>40939</v>
      </c>
      <c r="B441" s="253">
        <f t="shared" si="0"/>
        <v>6.5473400000000002</v>
      </c>
      <c r="C441" s="346">
        <v>491716746.94</v>
      </c>
      <c r="D441" s="1311">
        <v>6.5473400000000002</v>
      </c>
      <c r="E441" s="253">
        <f>B441-Index_Returns!J441</f>
        <v>-9.9809999999999732E-2</v>
      </c>
      <c r="H441" s="1311"/>
    </row>
    <row r="442" spans="1:8" x14ac:dyDescent="0.2">
      <c r="A442" s="345">
        <v>40968</v>
      </c>
      <c r="B442" s="253">
        <f t="shared" si="0"/>
        <v>3.8679700000000001</v>
      </c>
      <c r="C442" s="346">
        <v>510935866.76999998</v>
      </c>
      <c r="D442" s="1311">
        <v>3.8679700000000001</v>
      </c>
      <c r="E442" s="253">
        <f>B442-Index_Returns!J442</f>
        <v>2.3803100000000001</v>
      </c>
      <c r="H442" s="1311"/>
    </row>
    <row r="443" spans="1:8" x14ac:dyDescent="0.2">
      <c r="A443" s="345">
        <v>40999</v>
      </c>
      <c r="B443" s="253">
        <f t="shared" si="0"/>
        <v>1.72068</v>
      </c>
      <c r="C443" s="346">
        <v>519726825.74000001</v>
      </c>
      <c r="D443" s="258">
        <v>1.72068</v>
      </c>
      <c r="E443" s="253">
        <f>B443-Index_Returns!J443</f>
        <v>-1.3807799999999999</v>
      </c>
      <c r="H443" s="1311"/>
    </row>
    <row r="444" spans="1:8" x14ac:dyDescent="0.2">
      <c r="A444" s="345">
        <v>41029</v>
      </c>
      <c r="B444" s="253">
        <f t="shared" si="0"/>
        <v>-1.6418299999999999</v>
      </c>
      <c r="C444" s="346">
        <v>511193663.91000003</v>
      </c>
      <c r="D444" s="258">
        <v>-1.6418299999999999</v>
      </c>
      <c r="E444" s="253">
        <f>B444-Index_Returns!J444</f>
        <v>-0.19489000000000001</v>
      </c>
      <c r="H444" s="1311"/>
    </row>
    <row r="445" spans="1:8" x14ac:dyDescent="0.2">
      <c r="A445" s="345">
        <v>41060</v>
      </c>
      <c r="B445" s="253">
        <f t="shared" si="0"/>
        <v>-7.5759499999999997</v>
      </c>
      <c r="C445" s="346">
        <v>472665622.88999999</v>
      </c>
      <c r="D445" s="258">
        <v>-7.5759499999999997</v>
      </c>
      <c r="E445" s="253">
        <f>B445-Index_Returns!J445</f>
        <v>-1.4651999999999994</v>
      </c>
      <c r="H445" s="1311"/>
    </row>
    <row r="446" spans="1:8" x14ac:dyDescent="0.2">
      <c r="A446" s="345">
        <v>41090</v>
      </c>
      <c r="B446" s="253">
        <f t="shared" si="0"/>
        <v>3.6663899999999998</v>
      </c>
      <c r="C446" s="346">
        <v>490002622.19</v>
      </c>
      <c r="D446" s="258">
        <v>3.6663899999999998</v>
      </c>
      <c r="E446" s="253">
        <f>B446-Index_Returns!J446</f>
        <v>-1.1549399999999999</v>
      </c>
      <c r="H446" s="1311"/>
    </row>
    <row r="447" spans="1:8" x14ac:dyDescent="0.2">
      <c r="A447" s="345">
        <v>41121</v>
      </c>
      <c r="B447" s="253">
        <f t="shared" si="0"/>
        <v>-0.72940000000000005</v>
      </c>
      <c r="C447" s="346">
        <v>456565122.25999999</v>
      </c>
      <c r="D447" s="258">
        <v>-0.72940000000000005</v>
      </c>
      <c r="E447" s="253">
        <f>B447-Index_Returns!J447</f>
        <v>0.29251000000000005</v>
      </c>
      <c r="H447" s="1311"/>
    </row>
    <row r="448" spans="1:8" x14ac:dyDescent="0.2">
      <c r="A448" s="345">
        <v>41152</v>
      </c>
      <c r="B448" s="253">
        <f t="shared" si="0"/>
        <v>4.2107400000000004</v>
      </c>
      <c r="C448" s="346">
        <v>455940535.14999998</v>
      </c>
      <c r="D448" s="258">
        <v>4.2107400000000004</v>
      </c>
      <c r="E448" s="253">
        <f>B448-Index_Returns!J448</f>
        <v>1.1257600000000005</v>
      </c>
      <c r="H448" s="1311"/>
    </row>
    <row r="449" spans="1:8" x14ac:dyDescent="0.2">
      <c r="A449" s="345">
        <v>41182</v>
      </c>
      <c r="B449" s="253">
        <f t="shared" si="0"/>
        <v>3.1137899999999998</v>
      </c>
      <c r="C449" s="346">
        <v>470137566.06999999</v>
      </c>
      <c r="D449" s="258">
        <v>3.1137899999999998</v>
      </c>
      <c r="E449" s="253">
        <f>B449-Index_Returns!J449</f>
        <v>-0.44880000000000031</v>
      </c>
      <c r="H449" s="1311"/>
    </row>
    <row r="450" spans="1:8" x14ac:dyDescent="0.2">
      <c r="A450" s="345">
        <v>41213</v>
      </c>
      <c r="B450" s="253">
        <f t="shared" si="0"/>
        <v>0.30254999999999999</v>
      </c>
      <c r="C450" s="346">
        <v>450969736.08999997</v>
      </c>
      <c r="D450" s="1311">
        <v>0.30254999999999999</v>
      </c>
      <c r="E450" s="253">
        <f>B450-Index_Returns!J450</f>
        <v>1.5566300000000002</v>
      </c>
      <c r="H450" s="1311"/>
    </row>
    <row r="451" spans="1:8" x14ac:dyDescent="0.2">
      <c r="A451" s="345">
        <v>41243</v>
      </c>
      <c r="B451" s="253">
        <f t="shared" si="0"/>
        <v>2.19869</v>
      </c>
      <c r="C451" s="346">
        <v>461331725.88</v>
      </c>
      <c r="D451" s="258">
        <v>2.19869</v>
      </c>
      <c r="E451" s="253">
        <f>B451-Index_Returns!J451</f>
        <v>1.8926099999999999</v>
      </c>
      <c r="H451" s="1311"/>
    </row>
    <row r="452" spans="1:8" x14ac:dyDescent="0.2">
      <c r="A452" s="345">
        <v>41274</v>
      </c>
      <c r="B452" s="253">
        <f t="shared" si="0"/>
        <v>3.6679300000000001</v>
      </c>
      <c r="C452" s="346">
        <v>447577224.38</v>
      </c>
      <c r="D452" s="1311">
        <v>3.6679300000000001</v>
      </c>
      <c r="E452" s="253">
        <f>B452-Index_Returns!J452</f>
        <v>-0.54535</v>
      </c>
      <c r="H452" s="1311"/>
    </row>
    <row r="453" spans="1:8" x14ac:dyDescent="0.2">
      <c r="A453" s="345">
        <v>41305</v>
      </c>
      <c r="B453" s="253">
        <f t="shared" si="0"/>
        <v>7.2525700000000004</v>
      </c>
      <c r="C453" s="346">
        <v>480046577.18000001</v>
      </c>
      <c r="D453" s="258">
        <v>7.2525700000000004</v>
      </c>
      <c r="E453" s="253">
        <f>B453-Index_Returns!J453</f>
        <v>1.2926900000000003</v>
      </c>
      <c r="H453" s="1311"/>
    </row>
    <row r="454" spans="1:8" x14ac:dyDescent="0.2">
      <c r="A454" s="345">
        <v>41333</v>
      </c>
      <c r="B454" s="253">
        <f t="shared" si="0"/>
        <v>1.8565499999999999</v>
      </c>
      <c r="C454" s="346">
        <v>488958872.00999999</v>
      </c>
      <c r="D454" s="258">
        <v>1.8565499999999999</v>
      </c>
      <c r="E454" s="253">
        <f>B454-Index_Returns!J454</f>
        <v>0.71517999999999993</v>
      </c>
      <c r="H454" s="1311"/>
    </row>
    <row r="455" spans="1:8" x14ac:dyDescent="0.2">
      <c r="A455" s="345">
        <v>41364</v>
      </c>
      <c r="B455" s="253">
        <f t="shared" si="0"/>
        <v>5.1299000000000001</v>
      </c>
      <c r="C455" s="346">
        <v>507247355.04000002</v>
      </c>
      <c r="D455" s="258">
        <v>5.1299000000000001</v>
      </c>
      <c r="E455" s="253">
        <f>B455-Index_Returns!J455</f>
        <v>0.96677999999999997</v>
      </c>
      <c r="H455" s="1311"/>
    </row>
    <row r="456" spans="1:8" x14ac:dyDescent="0.2">
      <c r="A456" s="345">
        <v>41394</v>
      </c>
      <c r="B456" s="253">
        <f t="shared" si="0"/>
        <v>-1.0561400000000001</v>
      </c>
      <c r="C456" s="346">
        <v>447452203.60000002</v>
      </c>
      <c r="D456" s="258">
        <v>-1.0561400000000001</v>
      </c>
      <c r="E456" s="253">
        <f>B456-Index_Returns!J456</f>
        <v>-0.95946000000000009</v>
      </c>
      <c r="H456" s="1311"/>
    </row>
    <row r="457" spans="1:8" x14ac:dyDescent="0.2">
      <c r="A457" s="345">
        <v>41425</v>
      </c>
      <c r="B457" s="253">
        <f t="shared" si="0"/>
        <v>5.40977</v>
      </c>
      <c r="C457" s="346">
        <v>471384713.60000002</v>
      </c>
      <c r="D457" s="258">
        <v>5.40977</v>
      </c>
      <c r="E457" s="253">
        <f>B457-Index_Returns!J457</f>
        <v>2.4222099999999998</v>
      </c>
      <c r="H457" s="1311"/>
    </row>
    <row r="458" spans="1:8" x14ac:dyDescent="0.2">
      <c r="A458" s="345">
        <v>41455</v>
      </c>
      <c r="B458" s="253">
        <f t="shared" si="0"/>
        <v>-0.79256000000000004</v>
      </c>
      <c r="C458" s="1307">
        <v>438526874.63</v>
      </c>
      <c r="D458" s="1311">
        <v>-0.79256000000000004</v>
      </c>
      <c r="E458" s="253">
        <f>B458-Index_Returns!J458</f>
        <v>-0.38736000000000004</v>
      </c>
      <c r="H458" s="1311"/>
    </row>
    <row r="459" spans="1:8" x14ac:dyDescent="0.2">
      <c r="A459" s="345">
        <v>41486</v>
      </c>
      <c r="B459" s="253">
        <f t="shared" si="0"/>
        <v>7.3664399999999999</v>
      </c>
      <c r="C459" s="346">
        <v>460789015.83999997</v>
      </c>
      <c r="D459" s="258">
        <v>7.3664399999999999</v>
      </c>
      <c r="E459" s="253">
        <f>B459-Index_Returns!J459</f>
        <v>0.94083999999999968</v>
      </c>
      <c r="H459" s="1311"/>
    </row>
    <row r="460" spans="1:8" x14ac:dyDescent="0.2">
      <c r="A460" s="345">
        <v>41517</v>
      </c>
      <c r="B460" s="253">
        <f t="shared" si="0"/>
        <v>-4.2150999999999996</v>
      </c>
      <c r="C460" s="346">
        <v>441571782.91000003</v>
      </c>
      <c r="D460" s="258">
        <v>-4.2150999999999996</v>
      </c>
      <c r="E460" s="253">
        <f>B460-Index_Returns!J460</f>
        <v>0.20713000000000026</v>
      </c>
    </row>
    <row r="461" spans="1:8" x14ac:dyDescent="0.2">
      <c r="A461" s="345">
        <v>41547</v>
      </c>
      <c r="B461" s="253">
        <f t="shared" si="0"/>
        <v>5.36266</v>
      </c>
      <c r="C461" s="346">
        <v>465251760.56999999</v>
      </c>
      <c r="D461" s="258">
        <v>5.36266</v>
      </c>
      <c r="E461" s="253">
        <f>B461-Index_Returns!J461</f>
        <v>-0.41073999999999966</v>
      </c>
    </row>
    <row r="462" spans="1:8" x14ac:dyDescent="0.2">
      <c r="A462" s="345">
        <v>41578</v>
      </c>
      <c r="B462" s="253">
        <f t="shared" si="0"/>
        <v>4.6622300000000001</v>
      </c>
      <c r="C462" s="346">
        <v>486942872.35000002</v>
      </c>
      <c r="D462" s="258">
        <v>4.6622300000000001</v>
      </c>
      <c r="E462" s="253">
        <f>B462-Index_Returns!J462</f>
        <v>1.41195</v>
      </c>
    </row>
    <row r="463" spans="1:8" x14ac:dyDescent="0.2">
      <c r="A463" s="345">
        <v>41608</v>
      </c>
      <c r="B463" s="253">
        <f t="shared" si="0"/>
        <v>4.2667000000000002</v>
      </c>
      <c r="C463" s="346">
        <v>467598394.10000002</v>
      </c>
      <c r="D463" s="258">
        <v>4.2667000000000002</v>
      </c>
      <c r="E463" s="253">
        <f>B463-Index_Returns!J463</f>
        <v>0.36463000000000001</v>
      </c>
    </row>
    <row r="464" spans="1:8" x14ac:dyDescent="0.2">
      <c r="A464" s="345">
        <v>41639</v>
      </c>
      <c r="B464" s="253">
        <f>D464</f>
        <v>2.4875099999999999</v>
      </c>
      <c r="C464" s="346">
        <v>458444506.19999999</v>
      </c>
      <c r="D464" s="258">
        <v>2.4875099999999999</v>
      </c>
      <c r="E464" s="253">
        <f>B464-Index_Returns!J464</f>
        <v>0.60257999999999989</v>
      </c>
    </row>
    <row r="465" spans="1:5" x14ac:dyDescent="0.2">
      <c r="A465" s="345">
        <v>41670</v>
      </c>
      <c r="B465" s="253">
        <f t="shared" ref="B465:B488" si="1">D465</f>
        <v>-4.69672</v>
      </c>
      <c r="C465" s="346">
        <v>436912674.79000002</v>
      </c>
      <c r="D465" s="258">
        <v>-4.69672</v>
      </c>
      <c r="E465" s="253">
        <f>B465-Index_Returns!J465</f>
        <v>-0.82845000000000013</v>
      </c>
    </row>
    <row r="466" spans="1:5" x14ac:dyDescent="0.2">
      <c r="A466" s="345">
        <v>41698</v>
      </c>
      <c r="B466" s="253">
        <f t="shared" si="1"/>
        <v>5.13931</v>
      </c>
      <c r="C466" s="346">
        <v>444444931.38999999</v>
      </c>
      <c r="D466" s="258">
        <v>5.13931</v>
      </c>
      <c r="E466" s="253">
        <f>B466-Index_Returns!J466</f>
        <v>0.56181999999999999</v>
      </c>
    </row>
    <row r="467" spans="1:5" x14ac:dyDescent="0.2">
      <c r="A467" s="345">
        <v>41729</v>
      </c>
      <c r="B467" s="253">
        <f t="shared" si="1"/>
        <v>1.6006100000000001</v>
      </c>
      <c r="C467" s="346">
        <v>451558762.20999998</v>
      </c>
      <c r="D467" s="258">
        <v>1.6006100000000001</v>
      </c>
      <c r="E467" s="253">
        <f>B467-Index_Returns!J467</f>
        <v>0.3623200000000002</v>
      </c>
    </row>
    <row r="468" spans="1:5" x14ac:dyDescent="0.2">
      <c r="A468" s="345">
        <v>41759</v>
      </c>
      <c r="B468" s="253">
        <f t="shared" si="1"/>
        <v>-1.6071500000000001</v>
      </c>
      <c r="C468" s="346">
        <v>405056642.56</v>
      </c>
      <c r="D468" s="258">
        <v>-1.6071500000000001</v>
      </c>
      <c r="E468" s="253">
        <f>B468-Index_Returns!J468</f>
        <v>0.96602999999999972</v>
      </c>
    </row>
    <row r="469" spans="1:5" x14ac:dyDescent="0.2">
      <c r="A469" s="345">
        <v>41790</v>
      </c>
      <c r="B469" s="253">
        <f t="shared" si="1"/>
        <v>0.99558999999999997</v>
      </c>
      <c r="C469" s="346">
        <v>409303526.19999999</v>
      </c>
      <c r="D469" s="258">
        <v>0.99558999999999997</v>
      </c>
      <c r="E469" s="253">
        <f>B469-Index_Returns!J469</f>
        <v>0.36102999999999996</v>
      </c>
    </row>
    <row r="470" spans="1:5" x14ac:dyDescent="0.2">
      <c r="A470" s="345">
        <v>41820</v>
      </c>
      <c r="B470" s="253">
        <f t="shared" si="1"/>
        <v>4.7216500000000003</v>
      </c>
      <c r="C470" s="346">
        <v>428629401.61000001</v>
      </c>
      <c r="D470" s="258">
        <v>4.7216500000000003</v>
      </c>
      <c r="E470" s="253">
        <f>B470-Index_Returns!J470</f>
        <v>0.29738000000000042</v>
      </c>
    </row>
    <row r="471" spans="1:5" x14ac:dyDescent="0.2">
      <c r="A471" s="345">
        <v>41851</v>
      </c>
      <c r="B471" s="253">
        <f t="shared" si="1"/>
        <v>-4.7650300000000003</v>
      </c>
      <c r="C471" s="346">
        <v>408205104.10000002</v>
      </c>
      <c r="D471" s="258">
        <v>-4.7650300000000003</v>
      </c>
      <c r="E471" s="253">
        <f>B471-Index_Returns!J471</f>
        <v>1.2824499999999999</v>
      </c>
    </row>
    <row r="472" spans="1:5" x14ac:dyDescent="0.2">
      <c r="A472" s="345">
        <v>41882</v>
      </c>
      <c r="B472" s="253">
        <f t="shared" si="1"/>
        <v>6.1657999999999999</v>
      </c>
      <c r="C472" s="346">
        <v>403082635.92000002</v>
      </c>
      <c r="D472" s="258">
        <v>6.1657999999999999</v>
      </c>
      <c r="E472" s="253">
        <f>B472-Index_Returns!J472</f>
        <v>1.8191199999999998</v>
      </c>
    </row>
    <row r="473" spans="1:5" x14ac:dyDescent="0.2">
      <c r="A473" s="345">
        <v>41912</v>
      </c>
      <c r="B473" s="253">
        <f t="shared" si="1"/>
        <v>0</v>
      </c>
      <c r="E473" s="253">
        <f>B473-Index_Returns!J473</f>
        <v>0</v>
      </c>
    </row>
    <row r="474" spans="1:5" x14ac:dyDescent="0.2">
      <c r="A474" s="345">
        <v>41943</v>
      </c>
      <c r="B474" s="253">
        <f t="shared" si="1"/>
        <v>0</v>
      </c>
      <c r="E474" s="253">
        <f>B474-Index_Returns!J474</f>
        <v>0</v>
      </c>
    </row>
    <row r="475" spans="1:5" x14ac:dyDescent="0.2">
      <c r="A475" s="345">
        <v>41973</v>
      </c>
      <c r="B475" s="253">
        <f t="shared" si="1"/>
        <v>0</v>
      </c>
      <c r="E475" s="253">
        <f>B475-Index_Returns!J475</f>
        <v>0</v>
      </c>
    </row>
    <row r="476" spans="1:5" x14ac:dyDescent="0.2">
      <c r="A476" s="345">
        <v>42004</v>
      </c>
      <c r="B476" s="253">
        <f t="shared" si="1"/>
        <v>0</v>
      </c>
      <c r="E476" s="253">
        <f>B476-Index_Returns!J476</f>
        <v>0</v>
      </c>
    </row>
    <row r="477" spans="1:5" x14ac:dyDescent="0.2">
      <c r="A477" s="345">
        <v>42035</v>
      </c>
      <c r="B477" s="253">
        <f t="shared" si="1"/>
        <v>0</v>
      </c>
      <c r="E477" s="253">
        <f>B477-Index_Returns!J477</f>
        <v>0</v>
      </c>
    </row>
    <row r="478" spans="1:5" x14ac:dyDescent="0.2">
      <c r="A478" s="345">
        <v>42063</v>
      </c>
      <c r="B478" s="253">
        <f t="shared" si="1"/>
        <v>0</v>
      </c>
      <c r="E478" s="253">
        <f>B478-Index_Returns!J478</f>
        <v>0</v>
      </c>
    </row>
    <row r="479" spans="1:5" x14ac:dyDescent="0.2">
      <c r="A479" s="345">
        <v>42094</v>
      </c>
      <c r="B479" s="253">
        <f t="shared" si="1"/>
        <v>0</v>
      </c>
      <c r="E479" s="253">
        <f>B479-Index_Returns!J479</f>
        <v>0</v>
      </c>
    </row>
    <row r="480" spans="1:5" x14ac:dyDescent="0.2">
      <c r="A480" s="345">
        <v>42124</v>
      </c>
      <c r="B480" s="253">
        <f t="shared" si="1"/>
        <v>0</v>
      </c>
      <c r="E480" s="253">
        <f>B480-Index_Returns!J480</f>
        <v>0</v>
      </c>
    </row>
    <row r="481" spans="1:5" x14ac:dyDescent="0.2">
      <c r="A481" s="345">
        <v>42155</v>
      </c>
      <c r="B481" s="253">
        <f t="shared" si="1"/>
        <v>0</v>
      </c>
      <c r="E481" s="253">
        <f>B481-Index_Returns!J481</f>
        <v>0</v>
      </c>
    </row>
    <row r="482" spans="1:5" x14ac:dyDescent="0.2">
      <c r="A482" s="345">
        <v>42185</v>
      </c>
      <c r="B482" s="253">
        <f t="shared" si="1"/>
        <v>0</v>
      </c>
      <c r="E482" s="253">
        <f>B482-Index_Returns!J482</f>
        <v>0</v>
      </c>
    </row>
    <row r="483" spans="1:5" x14ac:dyDescent="0.2">
      <c r="A483" s="345">
        <v>42216</v>
      </c>
      <c r="B483" s="253">
        <f t="shared" si="1"/>
        <v>0</v>
      </c>
      <c r="E483" s="253">
        <f>B483-Index_Returns!J483</f>
        <v>0</v>
      </c>
    </row>
    <row r="484" spans="1:5" x14ac:dyDescent="0.2">
      <c r="A484" s="345">
        <v>42247</v>
      </c>
      <c r="B484" s="253">
        <f t="shared" si="1"/>
        <v>0</v>
      </c>
      <c r="E484" s="253">
        <f>B484-Index_Returns!J484</f>
        <v>0</v>
      </c>
    </row>
    <row r="485" spans="1:5" x14ac:dyDescent="0.2">
      <c r="A485" s="345">
        <v>42277</v>
      </c>
      <c r="B485" s="253">
        <f t="shared" si="1"/>
        <v>0</v>
      </c>
      <c r="E485" s="253">
        <f>B485-Index_Returns!J485</f>
        <v>0</v>
      </c>
    </row>
    <row r="486" spans="1:5" x14ac:dyDescent="0.2">
      <c r="A486" s="345">
        <v>42308</v>
      </c>
      <c r="B486" s="253">
        <f t="shared" si="1"/>
        <v>0</v>
      </c>
      <c r="E486" s="253">
        <f>B486-Index_Returns!J486</f>
        <v>0</v>
      </c>
    </row>
    <row r="487" spans="1:5" x14ac:dyDescent="0.2">
      <c r="A487" s="345">
        <v>42338</v>
      </c>
      <c r="B487" s="253">
        <f t="shared" si="1"/>
        <v>0</v>
      </c>
      <c r="E487" s="253">
        <f>B487-Index_Returns!J487</f>
        <v>0</v>
      </c>
    </row>
    <row r="488" spans="1:5" x14ac:dyDescent="0.2">
      <c r="A488" s="345">
        <v>42369</v>
      </c>
      <c r="B488" s="253">
        <f t="shared" si="1"/>
        <v>0</v>
      </c>
      <c r="E488" s="253">
        <f>B488-Index_Returns!J488</f>
        <v>0</v>
      </c>
    </row>
  </sheetData>
  <phoneticPr fontId="3" type="noConversion"/>
  <printOptions headings="1" gridLines="1"/>
  <pageMargins left="0.78740157480314965" right="0.78740157480314965" top="0.19685039370078741" bottom="0.19685039370078741" header="0.39370078740157483" footer="0.39370078740157483"/>
  <pageSetup scale="14"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I720"/>
  <sheetViews>
    <sheetView workbookViewId="0">
      <pane xSplit="1" ySplit="2" topLeftCell="B451" activePane="bottomRight" state="frozen"/>
      <selection pane="topRight" activeCell="B1" sqref="B1"/>
      <selection pane="bottomLeft" activeCell="A3" sqref="A3"/>
      <selection pane="bottomRight" activeCell="C472" sqref="C472:D472"/>
    </sheetView>
  </sheetViews>
  <sheetFormatPr defaultRowHeight="12.75" x14ac:dyDescent="0.2"/>
  <cols>
    <col min="1" max="1" width="18" customWidth="1"/>
    <col min="2" max="2" width="18" style="14" customWidth="1"/>
    <col min="3" max="3" width="18" style="8" customWidth="1"/>
    <col min="4" max="5" width="18" style="14" customWidth="1"/>
    <col min="6" max="6" width="12.85546875" bestFit="1" customWidth="1"/>
    <col min="8" max="9" width="9.140625" style="14"/>
  </cols>
  <sheetData>
    <row r="1" spans="1:6" x14ac:dyDescent="0.2">
      <c r="A1" s="265" t="s">
        <v>335</v>
      </c>
      <c r="B1" s="321" t="s">
        <v>489</v>
      </c>
      <c r="C1" s="1381" t="s">
        <v>334</v>
      </c>
      <c r="D1" s="1370">
        <v>1</v>
      </c>
      <c r="E1" s="74" t="s">
        <v>81</v>
      </c>
      <c r="F1" s="1452" t="s">
        <v>773</v>
      </c>
    </row>
    <row r="2" spans="1:6" x14ac:dyDescent="0.2">
      <c r="A2" s="3" t="s">
        <v>27</v>
      </c>
      <c r="B2" s="71" t="s">
        <v>91</v>
      </c>
      <c r="C2" s="226" t="s">
        <v>92</v>
      </c>
      <c r="D2" s="71" t="s">
        <v>90</v>
      </c>
      <c r="E2" s="71" t="s">
        <v>80</v>
      </c>
    </row>
    <row r="3" spans="1:6" x14ac:dyDescent="0.2">
      <c r="A3" s="345">
        <v>27606</v>
      </c>
    </row>
    <row r="4" spans="1:6" x14ac:dyDescent="0.2">
      <c r="A4" s="345">
        <v>27637</v>
      </c>
    </row>
    <row r="5" spans="1:6" x14ac:dyDescent="0.2">
      <c r="A5" s="345">
        <v>27667</v>
      </c>
    </row>
    <row r="6" spans="1:6" x14ac:dyDescent="0.2">
      <c r="A6" s="345">
        <v>27698</v>
      </c>
    </row>
    <row r="7" spans="1:6" x14ac:dyDescent="0.2">
      <c r="A7" s="345">
        <v>27728</v>
      </c>
    </row>
    <row r="8" spans="1:6" x14ac:dyDescent="0.2">
      <c r="A8" s="345">
        <v>27759</v>
      </c>
    </row>
    <row r="9" spans="1:6" x14ac:dyDescent="0.2">
      <c r="A9" s="345">
        <v>27790</v>
      </c>
    </row>
    <row r="10" spans="1:6" x14ac:dyDescent="0.2">
      <c r="A10" s="345">
        <v>27819</v>
      </c>
    </row>
    <row r="11" spans="1:6" x14ac:dyDescent="0.2">
      <c r="A11" s="345">
        <v>27850</v>
      </c>
    </row>
    <row r="12" spans="1:6" x14ac:dyDescent="0.2">
      <c r="A12" s="345">
        <v>27880</v>
      </c>
    </row>
    <row r="13" spans="1:6" x14ac:dyDescent="0.2">
      <c r="A13" s="345">
        <v>27911</v>
      </c>
    </row>
    <row r="14" spans="1:6" x14ac:dyDescent="0.2">
      <c r="A14" s="345">
        <v>27941</v>
      </c>
    </row>
    <row r="15" spans="1:6" x14ac:dyDescent="0.2">
      <c r="A15" s="345">
        <v>27972</v>
      </c>
    </row>
    <row r="16" spans="1:6" x14ac:dyDescent="0.2">
      <c r="A16" s="345">
        <v>28003</v>
      </c>
    </row>
    <row r="17" spans="1:1" x14ac:dyDescent="0.2">
      <c r="A17" s="345">
        <v>28033</v>
      </c>
    </row>
    <row r="18" spans="1:1" x14ac:dyDescent="0.2">
      <c r="A18" s="345">
        <v>28064</v>
      </c>
    </row>
    <row r="19" spans="1:1" x14ac:dyDescent="0.2">
      <c r="A19" s="345">
        <v>28094</v>
      </c>
    </row>
    <row r="20" spans="1:1" x14ac:dyDescent="0.2">
      <c r="A20" s="345">
        <v>28125</v>
      </c>
    </row>
    <row r="21" spans="1:1" x14ac:dyDescent="0.2">
      <c r="A21" s="345">
        <v>28156</v>
      </c>
    </row>
    <row r="22" spans="1:1" x14ac:dyDescent="0.2">
      <c r="A22" s="345">
        <v>28184</v>
      </c>
    </row>
    <row r="23" spans="1:1" x14ac:dyDescent="0.2">
      <c r="A23" s="345">
        <v>28215</v>
      </c>
    </row>
    <row r="24" spans="1:1" x14ac:dyDescent="0.2">
      <c r="A24" s="345">
        <v>28245</v>
      </c>
    </row>
    <row r="25" spans="1:1" x14ac:dyDescent="0.2">
      <c r="A25" s="345">
        <v>28276</v>
      </c>
    </row>
    <row r="26" spans="1:1" x14ac:dyDescent="0.2">
      <c r="A26" s="345">
        <v>28306</v>
      </c>
    </row>
    <row r="27" spans="1:1" x14ac:dyDescent="0.2">
      <c r="A27" s="345">
        <v>28337</v>
      </c>
    </row>
    <row r="28" spans="1:1" x14ac:dyDescent="0.2">
      <c r="A28" s="345">
        <v>28368</v>
      </c>
    </row>
    <row r="29" spans="1:1" x14ac:dyDescent="0.2">
      <c r="A29" s="345">
        <v>28398</v>
      </c>
    </row>
    <row r="30" spans="1:1" x14ac:dyDescent="0.2">
      <c r="A30" s="345">
        <v>28429</v>
      </c>
    </row>
    <row r="31" spans="1:1" x14ac:dyDescent="0.2">
      <c r="A31" s="345">
        <v>28459</v>
      </c>
    </row>
    <row r="32" spans="1:1" x14ac:dyDescent="0.2">
      <c r="A32" s="345">
        <v>28490</v>
      </c>
    </row>
    <row r="33" spans="1:1" x14ac:dyDescent="0.2">
      <c r="A33" s="345">
        <v>28521</v>
      </c>
    </row>
    <row r="34" spans="1:1" x14ac:dyDescent="0.2">
      <c r="A34" s="345">
        <v>28549</v>
      </c>
    </row>
    <row r="35" spans="1:1" x14ac:dyDescent="0.2">
      <c r="A35" s="345">
        <v>28580</v>
      </c>
    </row>
    <row r="36" spans="1:1" x14ac:dyDescent="0.2">
      <c r="A36" s="345">
        <v>28610</v>
      </c>
    </row>
    <row r="37" spans="1:1" x14ac:dyDescent="0.2">
      <c r="A37" s="345">
        <v>28641</v>
      </c>
    </row>
    <row r="38" spans="1:1" x14ac:dyDescent="0.2">
      <c r="A38" s="345">
        <v>28671</v>
      </c>
    </row>
    <row r="39" spans="1:1" x14ac:dyDescent="0.2">
      <c r="A39" s="345">
        <v>28702</v>
      </c>
    </row>
    <row r="40" spans="1:1" x14ac:dyDescent="0.2">
      <c r="A40" s="345">
        <v>28733</v>
      </c>
    </row>
    <row r="41" spans="1:1" x14ac:dyDescent="0.2">
      <c r="A41" s="345">
        <v>28763</v>
      </c>
    </row>
    <row r="42" spans="1:1" x14ac:dyDescent="0.2">
      <c r="A42" s="345">
        <v>28794</v>
      </c>
    </row>
    <row r="43" spans="1:1" x14ac:dyDescent="0.2">
      <c r="A43" s="345">
        <v>28824</v>
      </c>
    </row>
    <row r="44" spans="1:1" x14ac:dyDescent="0.2">
      <c r="A44" s="345">
        <v>28855</v>
      </c>
    </row>
    <row r="45" spans="1:1" x14ac:dyDescent="0.2">
      <c r="A45" s="345">
        <v>28886</v>
      </c>
    </row>
    <row r="46" spans="1:1" x14ac:dyDescent="0.2">
      <c r="A46" s="345">
        <v>28914</v>
      </c>
    </row>
    <row r="47" spans="1:1" x14ac:dyDescent="0.2">
      <c r="A47" s="345">
        <v>28945</v>
      </c>
    </row>
    <row r="48" spans="1:1" x14ac:dyDescent="0.2">
      <c r="A48" s="345">
        <v>28975</v>
      </c>
    </row>
    <row r="49" spans="1:1" x14ac:dyDescent="0.2">
      <c r="A49" s="345">
        <v>29006</v>
      </c>
    </row>
    <row r="50" spans="1:1" x14ac:dyDescent="0.2">
      <c r="A50" s="345">
        <v>29036</v>
      </c>
    </row>
    <row r="51" spans="1:1" x14ac:dyDescent="0.2">
      <c r="A51" s="345">
        <v>29067</v>
      </c>
    </row>
    <row r="52" spans="1:1" x14ac:dyDescent="0.2">
      <c r="A52" s="345">
        <v>29098</v>
      </c>
    </row>
    <row r="53" spans="1:1" x14ac:dyDescent="0.2">
      <c r="A53" s="345">
        <v>29128</v>
      </c>
    </row>
    <row r="54" spans="1:1" x14ac:dyDescent="0.2">
      <c r="A54" s="345">
        <v>29159</v>
      </c>
    </row>
    <row r="55" spans="1:1" x14ac:dyDescent="0.2">
      <c r="A55" s="345">
        <v>29189</v>
      </c>
    </row>
    <row r="56" spans="1:1" x14ac:dyDescent="0.2">
      <c r="A56" s="345">
        <v>29220</v>
      </c>
    </row>
    <row r="57" spans="1:1" x14ac:dyDescent="0.2">
      <c r="A57" s="345">
        <v>29251</v>
      </c>
    </row>
    <row r="58" spans="1:1" x14ac:dyDescent="0.2">
      <c r="A58" s="345">
        <v>29280</v>
      </c>
    </row>
    <row r="59" spans="1:1" x14ac:dyDescent="0.2">
      <c r="A59" s="345">
        <v>29311</v>
      </c>
    </row>
    <row r="60" spans="1:1" x14ac:dyDescent="0.2">
      <c r="A60" s="345">
        <v>29341</v>
      </c>
    </row>
    <row r="61" spans="1:1" x14ac:dyDescent="0.2">
      <c r="A61" s="345">
        <v>29372</v>
      </c>
    </row>
    <row r="62" spans="1:1" x14ac:dyDescent="0.2">
      <c r="A62" s="345">
        <v>29402</v>
      </c>
    </row>
    <row r="63" spans="1:1" x14ac:dyDescent="0.2">
      <c r="A63" s="345">
        <v>29433</v>
      </c>
    </row>
    <row r="64" spans="1:1" x14ac:dyDescent="0.2">
      <c r="A64" s="345">
        <v>29464</v>
      </c>
    </row>
    <row r="65" spans="1:1" x14ac:dyDescent="0.2">
      <c r="A65" s="345">
        <v>29494</v>
      </c>
    </row>
    <row r="66" spans="1:1" x14ac:dyDescent="0.2">
      <c r="A66" s="345">
        <v>29525</v>
      </c>
    </row>
    <row r="67" spans="1:1" x14ac:dyDescent="0.2">
      <c r="A67" s="345">
        <v>29555</v>
      </c>
    </row>
    <row r="68" spans="1:1" x14ac:dyDescent="0.2">
      <c r="A68" s="345">
        <v>29586</v>
      </c>
    </row>
    <row r="69" spans="1:1" x14ac:dyDescent="0.2">
      <c r="A69" s="345">
        <v>29617</v>
      </c>
    </row>
    <row r="70" spans="1:1" x14ac:dyDescent="0.2">
      <c r="A70" s="345">
        <v>29645</v>
      </c>
    </row>
    <row r="71" spans="1:1" x14ac:dyDescent="0.2">
      <c r="A71" s="345">
        <v>29676</v>
      </c>
    </row>
    <row r="72" spans="1:1" x14ac:dyDescent="0.2">
      <c r="A72" s="345">
        <v>29706</v>
      </c>
    </row>
    <row r="73" spans="1:1" x14ac:dyDescent="0.2">
      <c r="A73" s="345">
        <v>29737</v>
      </c>
    </row>
    <row r="74" spans="1:1" x14ac:dyDescent="0.2">
      <c r="A74" s="345">
        <v>29767</v>
      </c>
    </row>
    <row r="75" spans="1:1" x14ac:dyDescent="0.2">
      <c r="A75" s="345">
        <v>29798</v>
      </c>
    </row>
    <row r="76" spans="1:1" x14ac:dyDescent="0.2">
      <c r="A76" s="345">
        <v>29829</v>
      </c>
    </row>
    <row r="77" spans="1:1" x14ac:dyDescent="0.2">
      <c r="A77" s="345">
        <v>29859</v>
      </c>
    </row>
    <row r="78" spans="1:1" x14ac:dyDescent="0.2">
      <c r="A78" s="345">
        <v>29890</v>
      </c>
    </row>
    <row r="79" spans="1:1" x14ac:dyDescent="0.2">
      <c r="A79" s="345">
        <v>29920</v>
      </c>
    </row>
    <row r="80" spans="1:1" x14ac:dyDescent="0.2">
      <c r="A80" s="345">
        <v>29951</v>
      </c>
    </row>
    <row r="81" spans="1:1" x14ac:dyDescent="0.2">
      <c r="A81" s="345">
        <v>29982</v>
      </c>
    </row>
    <row r="82" spans="1:1" x14ac:dyDescent="0.2">
      <c r="A82" s="345">
        <v>30010</v>
      </c>
    </row>
    <row r="83" spans="1:1" x14ac:dyDescent="0.2">
      <c r="A83" s="345">
        <v>30041</v>
      </c>
    </row>
    <row r="84" spans="1:1" x14ac:dyDescent="0.2">
      <c r="A84" s="345">
        <v>30071</v>
      </c>
    </row>
    <row r="85" spans="1:1" x14ac:dyDescent="0.2">
      <c r="A85" s="345">
        <v>30102</v>
      </c>
    </row>
    <row r="86" spans="1:1" x14ac:dyDescent="0.2">
      <c r="A86" s="345">
        <v>30132</v>
      </c>
    </row>
    <row r="87" spans="1:1" x14ac:dyDescent="0.2">
      <c r="A87" s="345">
        <v>30163</v>
      </c>
    </row>
    <row r="88" spans="1:1" x14ac:dyDescent="0.2">
      <c r="A88" s="345">
        <v>30194</v>
      </c>
    </row>
    <row r="89" spans="1:1" x14ac:dyDescent="0.2">
      <c r="A89" s="345">
        <v>30224</v>
      </c>
    </row>
    <row r="90" spans="1:1" x14ac:dyDescent="0.2">
      <c r="A90" s="345">
        <v>30255</v>
      </c>
    </row>
    <row r="91" spans="1:1" x14ac:dyDescent="0.2">
      <c r="A91" s="345">
        <v>30285</v>
      </c>
    </row>
    <row r="92" spans="1:1" x14ac:dyDescent="0.2">
      <c r="A92" s="345">
        <v>30316</v>
      </c>
    </row>
    <row r="93" spans="1:1" x14ac:dyDescent="0.2">
      <c r="A93" s="345">
        <v>30347</v>
      </c>
    </row>
    <row r="94" spans="1:1" x14ac:dyDescent="0.2">
      <c r="A94" s="345">
        <v>30375</v>
      </c>
    </row>
    <row r="95" spans="1:1" x14ac:dyDescent="0.2">
      <c r="A95" s="345">
        <v>30406</v>
      </c>
    </row>
    <row r="96" spans="1:1" x14ac:dyDescent="0.2">
      <c r="A96" s="345">
        <v>30436</v>
      </c>
    </row>
    <row r="97" spans="1:1" x14ac:dyDescent="0.2">
      <c r="A97" s="345">
        <v>30467</v>
      </c>
    </row>
    <row r="98" spans="1:1" x14ac:dyDescent="0.2">
      <c r="A98" s="345">
        <v>30497</v>
      </c>
    </row>
    <row r="99" spans="1:1" x14ac:dyDescent="0.2">
      <c r="A99" s="345">
        <v>30528</v>
      </c>
    </row>
    <row r="100" spans="1:1" x14ac:dyDescent="0.2">
      <c r="A100" s="345">
        <v>30559</v>
      </c>
    </row>
    <row r="101" spans="1:1" x14ac:dyDescent="0.2">
      <c r="A101" s="345">
        <v>30589</v>
      </c>
    </row>
    <row r="102" spans="1:1" x14ac:dyDescent="0.2">
      <c r="A102" s="345">
        <v>30620</v>
      </c>
    </row>
    <row r="103" spans="1:1" x14ac:dyDescent="0.2">
      <c r="A103" s="345">
        <v>30650</v>
      </c>
    </row>
    <row r="104" spans="1:1" x14ac:dyDescent="0.2">
      <c r="A104" s="345">
        <v>30681</v>
      </c>
    </row>
    <row r="105" spans="1:1" x14ac:dyDescent="0.2">
      <c r="A105" s="345">
        <v>30712</v>
      </c>
    </row>
    <row r="106" spans="1:1" x14ac:dyDescent="0.2">
      <c r="A106" s="345">
        <v>30741</v>
      </c>
    </row>
    <row r="107" spans="1:1" x14ac:dyDescent="0.2">
      <c r="A107" s="345">
        <v>30772</v>
      </c>
    </row>
    <row r="108" spans="1:1" x14ac:dyDescent="0.2">
      <c r="A108" s="345">
        <v>30802</v>
      </c>
    </row>
    <row r="109" spans="1:1" x14ac:dyDescent="0.2">
      <c r="A109" s="345">
        <v>30833</v>
      </c>
    </row>
    <row r="110" spans="1:1" x14ac:dyDescent="0.2">
      <c r="A110" s="345">
        <v>30863</v>
      </c>
    </row>
    <row r="111" spans="1:1" x14ac:dyDescent="0.2">
      <c r="A111" s="345">
        <v>30894</v>
      </c>
    </row>
    <row r="112" spans="1:1" x14ac:dyDescent="0.2">
      <c r="A112" s="345">
        <v>30925</v>
      </c>
    </row>
    <row r="113" spans="1:1" x14ac:dyDescent="0.2">
      <c r="A113" s="345">
        <v>30955</v>
      </c>
    </row>
    <row r="114" spans="1:1" x14ac:dyDescent="0.2">
      <c r="A114" s="345">
        <v>30986</v>
      </c>
    </row>
    <row r="115" spans="1:1" x14ac:dyDescent="0.2">
      <c r="A115" s="345">
        <v>31016</v>
      </c>
    </row>
    <row r="116" spans="1:1" x14ac:dyDescent="0.2">
      <c r="A116" s="345">
        <v>31047</v>
      </c>
    </row>
    <row r="117" spans="1:1" x14ac:dyDescent="0.2">
      <c r="A117" s="345">
        <v>31078</v>
      </c>
    </row>
    <row r="118" spans="1:1" x14ac:dyDescent="0.2">
      <c r="A118" s="345">
        <v>31106</v>
      </c>
    </row>
    <row r="119" spans="1:1" x14ac:dyDescent="0.2">
      <c r="A119" s="345">
        <v>31137</v>
      </c>
    </row>
    <row r="120" spans="1:1" x14ac:dyDescent="0.2">
      <c r="A120" s="345">
        <v>31167</v>
      </c>
    </row>
    <row r="121" spans="1:1" x14ac:dyDescent="0.2">
      <c r="A121" s="345">
        <v>31198</v>
      </c>
    </row>
    <row r="122" spans="1:1" x14ac:dyDescent="0.2">
      <c r="A122" s="345">
        <v>31228</v>
      </c>
    </row>
    <row r="123" spans="1:1" x14ac:dyDescent="0.2">
      <c r="A123" s="345">
        <v>31259</v>
      </c>
    </row>
    <row r="124" spans="1:1" x14ac:dyDescent="0.2">
      <c r="A124" s="345">
        <v>31290</v>
      </c>
    </row>
    <row r="125" spans="1:1" x14ac:dyDescent="0.2">
      <c r="A125" s="345">
        <v>31320</v>
      </c>
    </row>
    <row r="126" spans="1:1" x14ac:dyDescent="0.2">
      <c r="A126" s="345">
        <v>31351</v>
      </c>
    </row>
    <row r="127" spans="1:1" x14ac:dyDescent="0.2">
      <c r="A127" s="345">
        <v>31381</v>
      </c>
    </row>
    <row r="128" spans="1:1" x14ac:dyDescent="0.2">
      <c r="A128" s="345">
        <v>31412</v>
      </c>
    </row>
    <row r="129" spans="1:1" x14ac:dyDescent="0.2">
      <c r="A129" s="345">
        <v>31443</v>
      </c>
    </row>
    <row r="130" spans="1:1" x14ac:dyDescent="0.2">
      <c r="A130" s="345">
        <v>31471</v>
      </c>
    </row>
    <row r="131" spans="1:1" x14ac:dyDescent="0.2">
      <c r="A131" s="345">
        <v>31502</v>
      </c>
    </row>
    <row r="132" spans="1:1" x14ac:dyDescent="0.2">
      <c r="A132" s="345">
        <v>31532</v>
      </c>
    </row>
    <row r="133" spans="1:1" x14ac:dyDescent="0.2">
      <c r="A133" s="345">
        <v>31563</v>
      </c>
    </row>
    <row r="134" spans="1:1" x14ac:dyDescent="0.2">
      <c r="A134" s="345">
        <v>31593</v>
      </c>
    </row>
    <row r="135" spans="1:1" x14ac:dyDescent="0.2">
      <c r="A135" s="345">
        <v>31624</v>
      </c>
    </row>
    <row r="136" spans="1:1" x14ac:dyDescent="0.2">
      <c r="A136" s="345">
        <v>31655</v>
      </c>
    </row>
    <row r="137" spans="1:1" x14ac:dyDescent="0.2">
      <c r="A137" s="345">
        <v>31685</v>
      </c>
    </row>
    <row r="138" spans="1:1" x14ac:dyDescent="0.2">
      <c r="A138" s="345">
        <v>31716</v>
      </c>
    </row>
    <row r="139" spans="1:1" x14ac:dyDescent="0.2">
      <c r="A139" s="345">
        <v>31746</v>
      </c>
    </row>
    <row r="140" spans="1:1" x14ac:dyDescent="0.2">
      <c r="A140" s="345">
        <v>31777</v>
      </c>
    </row>
    <row r="141" spans="1:1" x14ac:dyDescent="0.2">
      <c r="A141" s="345">
        <v>31808</v>
      </c>
    </row>
    <row r="142" spans="1:1" x14ac:dyDescent="0.2">
      <c r="A142" s="345">
        <v>31836</v>
      </c>
    </row>
    <row r="143" spans="1:1" x14ac:dyDescent="0.2">
      <c r="A143" s="345">
        <v>31867</v>
      </c>
    </row>
    <row r="144" spans="1:1" x14ac:dyDescent="0.2">
      <c r="A144" s="345">
        <v>31897</v>
      </c>
    </row>
    <row r="145" spans="1:1" x14ac:dyDescent="0.2">
      <c r="A145" s="345">
        <v>31928</v>
      </c>
    </row>
    <row r="146" spans="1:1" x14ac:dyDescent="0.2">
      <c r="A146" s="345">
        <v>31958</v>
      </c>
    </row>
    <row r="147" spans="1:1" x14ac:dyDescent="0.2">
      <c r="A147" s="345">
        <v>31989</v>
      </c>
    </row>
    <row r="148" spans="1:1" x14ac:dyDescent="0.2">
      <c r="A148" s="345">
        <v>32020</v>
      </c>
    </row>
    <row r="149" spans="1:1" x14ac:dyDescent="0.2">
      <c r="A149" s="345">
        <v>32050</v>
      </c>
    </row>
    <row r="150" spans="1:1" x14ac:dyDescent="0.2">
      <c r="A150" s="345">
        <v>32081</v>
      </c>
    </row>
    <row r="151" spans="1:1" x14ac:dyDescent="0.2">
      <c r="A151" s="345">
        <v>32111</v>
      </c>
    </row>
    <row r="152" spans="1:1" x14ac:dyDescent="0.2">
      <c r="A152" s="345">
        <v>32142</v>
      </c>
    </row>
    <row r="153" spans="1:1" x14ac:dyDescent="0.2">
      <c r="A153" s="345">
        <v>32173</v>
      </c>
    </row>
    <row r="154" spans="1:1" x14ac:dyDescent="0.2">
      <c r="A154" s="345">
        <v>32202</v>
      </c>
    </row>
    <row r="155" spans="1:1" x14ac:dyDescent="0.2">
      <c r="A155" s="345">
        <v>32233</v>
      </c>
    </row>
    <row r="156" spans="1:1" x14ac:dyDescent="0.2">
      <c r="A156" s="345">
        <v>32263</v>
      </c>
    </row>
    <row r="157" spans="1:1" x14ac:dyDescent="0.2">
      <c r="A157" s="345">
        <v>32294</v>
      </c>
    </row>
    <row r="158" spans="1:1" x14ac:dyDescent="0.2">
      <c r="A158" s="345">
        <v>32324</v>
      </c>
    </row>
    <row r="159" spans="1:1" x14ac:dyDescent="0.2">
      <c r="A159" s="345">
        <v>32355</v>
      </c>
    </row>
    <row r="160" spans="1:1" x14ac:dyDescent="0.2">
      <c r="A160" s="345">
        <v>32386</v>
      </c>
    </row>
    <row r="161" spans="1:1" x14ac:dyDescent="0.2">
      <c r="A161" s="345">
        <v>32416</v>
      </c>
    </row>
    <row r="162" spans="1:1" x14ac:dyDescent="0.2">
      <c r="A162" s="345">
        <v>32447</v>
      </c>
    </row>
    <row r="163" spans="1:1" x14ac:dyDescent="0.2">
      <c r="A163" s="345">
        <v>32477</v>
      </c>
    </row>
    <row r="164" spans="1:1" x14ac:dyDescent="0.2">
      <c r="A164" s="345">
        <v>32508</v>
      </c>
    </row>
    <row r="165" spans="1:1" x14ac:dyDescent="0.2">
      <c r="A165" s="345">
        <v>32539</v>
      </c>
    </row>
    <row r="166" spans="1:1" x14ac:dyDescent="0.2">
      <c r="A166" s="345">
        <v>32567</v>
      </c>
    </row>
    <row r="167" spans="1:1" x14ac:dyDescent="0.2">
      <c r="A167" s="345">
        <v>32598</v>
      </c>
    </row>
    <row r="168" spans="1:1" x14ac:dyDescent="0.2">
      <c r="A168" s="345">
        <v>32628</v>
      </c>
    </row>
    <row r="169" spans="1:1" x14ac:dyDescent="0.2">
      <c r="A169" s="345">
        <v>32659</v>
      </c>
    </row>
    <row r="170" spans="1:1" x14ac:dyDescent="0.2">
      <c r="A170" s="345">
        <v>32689</v>
      </c>
    </row>
    <row r="171" spans="1:1" x14ac:dyDescent="0.2">
      <c r="A171" s="345">
        <v>32720</v>
      </c>
    </row>
    <row r="172" spans="1:1" x14ac:dyDescent="0.2">
      <c r="A172" s="345">
        <v>32751</v>
      </c>
    </row>
    <row r="173" spans="1:1" x14ac:dyDescent="0.2">
      <c r="A173" s="345">
        <v>32781</v>
      </c>
    </row>
    <row r="174" spans="1:1" x14ac:dyDescent="0.2">
      <c r="A174" s="345">
        <v>32812</v>
      </c>
    </row>
    <row r="175" spans="1:1" x14ac:dyDescent="0.2">
      <c r="A175" s="345">
        <v>32842</v>
      </c>
    </row>
    <row r="176" spans="1:1" x14ac:dyDescent="0.2">
      <c r="A176" s="345">
        <v>32873</v>
      </c>
    </row>
    <row r="177" spans="1:1" x14ac:dyDescent="0.2">
      <c r="A177" s="345">
        <v>32904</v>
      </c>
    </row>
    <row r="178" spans="1:1" x14ac:dyDescent="0.2">
      <c r="A178" s="345">
        <v>32932</v>
      </c>
    </row>
    <row r="179" spans="1:1" x14ac:dyDescent="0.2">
      <c r="A179" s="345">
        <v>32963</v>
      </c>
    </row>
    <row r="180" spans="1:1" x14ac:dyDescent="0.2">
      <c r="A180" s="345">
        <v>32993</v>
      </c>
    </row>
    <row r="181" spans="1:1" x14ac:dyDescent="0.2">
      <c r="A181" s="345">
        <v>33024</v>
      </c>
    </row>
    <row r="182" spans="1:1" x14ac:dyDescent="0.2">
      <c r="A182" s="345">
        <v>33054</v>
      </c>
    </row>
    <row r="183" spans="1:1" x14ac:dyDescent="0.2">
      <c r="A183" s="345">
        <v>33085</v>
      </c>
    </row>
    <row r="184" spans="1:1" x14ac:dyDescent="0.2">
      <c r="A184" s="345">
        <v>33116</v>
      </c>
    </row>
    <row r="185" spans="1:1" x14ac:dyDescent="0.2">
      <c r="A185" s="345">
        <v>33146</v>
      </c>
    </row>
    <row r="186" spans="1:1" x14ac:dyDescent="0.2">
      <c r="A186" s="345">
        <v>33177</v>
      </c>
    </row>
    <row r="187" spans="1:1" x14ac:dyDescent="0.2">
      <c r="A187" s="345">
        <v>33207</v>
      </c>
    </row>
    <row r="188" spans="1:1" x14ac:dyDescent="0.2">
      <c r="A188" s="345">
        <v>33238</v>
      </c>
    </row>
    <row r="189" spans="1:1" x14ac:dyDescent="0.2">
      <c r="A189" s="345">
        <v>33269</v>
      </c>
    </row>
    <row r="190" spans="1:1" x14ac:dyDescent="0.2">
      <c r="A190" s="345">
        <v>33297</v>
      </c>
    </row>
    <row r="191" spans="1:1" x14ac:dyDescent="0.2">
      <c r="A191" s="345">
        <v>33328</v>
      </c>
    </row>
    <row r="192" spans="1:1" x14ac:dyDescent="0.2">
      <c r="A192" s="345">
        <v>33358</v>
      </c>
    </row>
    <row r="193" spans="1:1" x14ac:dyDescent="0.2">
      <c r="A193" s="345">
        <v>33389</v>
      </c>
    </row>
    <row r="194" spans="1:1" x14ac:dyDescent="0.2">
      <c r="A194" s="345">
        <v>33419</v>
      </c>
    </row>
    <row r="195" spans="1:1" x14ac:dyDescent="0.2">
      <c r="A195" s="345">
        <v>33450</v>
      </c>
    </row>
    <row r="196" spans="1:1" x14ac:dyDescent="0.2">
      <c r="A196" s="345">
        <v>33481</v>
      </c>
    </row>
    <row r="197" spans="1:1" x14ac:dyDescent="0.2">
      <c r="A197" s="345">
        <v>33511</v>
      </c>
    </row>
    <row r="198" spans="1:1" x14ac:dyDescent="0.2">
      <c r="A198" s="345">
        <v>33542</v>
      </c>
    </row>
    <row r="199" spans="1:1" x14ac:dyDescent="0.2">
      <c r="A199" s="345">
        <v>33572</v>
      </c>
    </row>
    <row r="200" spans="1:1" x14ac:dyDescent="0.2">
      <c r="A200" s="345">
        <v>33603</v>
      </c>
    </row>
    <row r="201" spans="1:1" x14ac:dyDescent="0.2">
      <c r="A201" s="345">
        <v>33634</v>
      </c>
    </row>
    <row r="202" spans="1:1" x14ac:dyDescent="0.2">
      <c r="A202" s="345">
        <v>33663</v>
      </c>
    </row>
    <row r="203" spans="1:1" x14ac:dyDescent="0.2">
      <c r="A203" s="345">
        <v>33694</v>
      </c>
    </row>
    <row r="204" spans="1:1" x14ac:dyDescent="0.2">
      <c r="A204" s="345">
        <v>33724</v>
      </c>
    </row>
    <row r="205" spans="1:1" x14ac:dyDescent="0.2">
      <c r="A205" s="345">
        <v>33755</v>
      </c>
    </row>
    <row r="206" spans="1:1" x14ac:dyDescent="0.2">
      <c r="A206" s="345">
        <v>33785</v>
      </c>
    </row>
    <row r="207" spans="1:1" x14ac:dyDescent="0.2">
      <c r="A207" s="345">
        <v>33816</v>
      </c>
    </row>
    <row r="208" spans="1:1" x14ac:dyDescent="0.2">
      <c r="A208" s="345">
        <v>33847</v>
      </c>
    </row>
    <row r="209" spans="1:1" x14ac:dyDescent="0.2">
      <c r="A209" s="345">
        <v>33877</v>
      </c>
    </row>
    <row r="210" spans="1:1" x14ac:dyDescent="0.2">
      <c r="A210" s="345">
        <v>33908</v>
      </c>
    </row>
    <row r="211" spans="1:1" x14ac:dyDescent="0.2">
      <c r="A211" s="345">
        <v>33938</v>
      </c>
    </row>
    <row r="212" spans="1:1" x14ac:dyDescent="0.2">
      <c r="A212" s="345">
        <v>33969</v>
      </c>
    </row>
    <row r="213" spans="1:1" x14ac:dyDescent="0.2">
      <c r="A213" s="345">
        <v>34000</v>
      </c>
    </row>
    <row r="214" spans="1:1" x14ac:dyDescent="0.2">
      <c r="A214" s="345">
        <v>34028</v>
      </c>
    </row>
    <row r="215" spans="1:1" x14ac:dyDescent="0.2">
      <c r="A215" s="345">
        <v>34059</v>
      </c>
    </row>
    <row r="216" spans="1:1" x14ac:dyDescent="0.2">
      <c r="A216" s="345">
        <v>34089</v>
      </c>
    </row>
    <row r="217" spans="1:1" x14ac:dyDescent="0.2">
      <c r="A217" s="345">
        <v>34120</v>
      </c>
    </row>
    <row r="218" spans="1:1" x14ac:dyDescent="0.2">
      <c r="A218" s="345">
        <v>34150</v>
      </c>
    </row>
    <row r="219" spans="1:1" x14ac:dyDescent="0.2">
      <c r="A219" s="345">
        <v>34181</v>
      </c>
    </row>
    <row r="220" spans="1:1" x14ac:dyDescent="0.2">
      <c r="A220" s="345">
        <v>34212</v>
      </c>
    </row>
    <row r="221" spans="1:1" x14ac:dyDescent="0.2">
      <c r="A221" s="345">
        <v>34242</v>
      </c>
    </row>
    <row r="222" spans="1:1" x14ac:dyDescent="0.2">
      <c r="A222" s="345">
        <v>34273</v>
      </c>
    </row>
    <row r="223" spans="1:1" x14ac:dyDescent="0.2">
      <c r="A223" s="345">
        <v>34303</v>
      </c>
    </row>
    <row r="224" spans="1:1" x14ac:dyDescent="0.2">
      <c r="A224" s="345">
        <v>34334</v>
      </c>
    </row>
    <row r="225" spans="1:1" x14ac:dyDescent="0.2">
      <c r="A225" s="345">
        <v>34365</v>
      </c>
    </row>
    <row r="226" spans="1:1" x14ac:dyDescent="0.2">
      <c r="A226" s="345">
        <v>34393</v>
      </c>
    </row>
    <row r="227" spans="1:1" x14ac:dyDescent="0.2">
      <c r="A227" s="345">
        <v>34424</v>
      </c>
    </row>
    <row r="228" spans="1:1" x14ac:dyDescent="0.2">
      <c r="A228" s="345">
        <v>34454</v>
      </c>
    </row>
    <row r="229" spans="1:1" x14ac:dyDescent="0.2">
      <c r="A229" s="345">
        <v>34485</v>
      </c>
    </row>
    <row r="230" spans="1:1" x14ac:dyDescent="0.2">
      <c r="A230" s="345">
        <v>34515</v>
      </c>
    </row>
    <row r="231" spans="1:1" x14ac:dyDescent="0.2">
      <c r="A231" s="345">
        <v>34546</v>
      </c>
    </row>
    <row r="232" spans="1:1" x14ac:dyDescent="0.2">
      <c r="A232" s="345">
        <v>34577</v>
      </c>
    </row>
    <row r="233" spans="1:1" x14ac:dyDescent="0.2">
      <c r="A233" s="345">
        <v>34607</v>
      </c>
    </row>
    <row r="234" spans="1:1" x14ac:dyDescent="0.2">
      <c r="A234" s="345">
        <v>34638</v>
      </c>
    </row>
    <row r="235" spans="1:1" x14ac:dyDescent="0.2">
      <c r="A235" s="345">
        <v>34668</v>
      </c>
    </row>
    <row r="236" spans="1:1" x14ac:dyDescent="0.2">
      <c r="A236" s="345">
        <v>34699</v>
      </c>
    </row>
    <row r="237" spans="1:1" x14ac:dyDescent="0.2">
      <c r="A237" s="345">
        <v>34730</v>
      </c>
    </row>
    <row r="238" spans="1:1" x14ac:dyDescent="0.2">
      <c r="A238" s="345">
        <v>34758</v>
      </c>
    </row>
    <row r="239" spans="1:1" x14ac:dyDescent="0.2">
      <c r="A239" s="345">
        <v>34789</v>
      </c>
    </row>
    <row r="240" spans="1:1" x14ac:dyDescent="0.2">
      <c r="A240" s="345">
        <v>34819</v>
      </c>
    </row>
    <row r="241" spans="1:1" x14ac:dyDescent="0.2">
      <c r="A241" s="345">
        <v>34850</v>
      </c>
    </row>
    <row r="242" spans="1:1" x14ac:dyDescent="0.2">
      <c r="A242" s="345">
        <v>34880</v>
      </c>
    </row>
    <row r="243" spans="1:1" x14ac:dyDescent="0.2">
      <c r="A243" s="345">
        <v>34911</v>
      </c>
    </row>
    <row r="244" spans="1:1" x14ac:dyDescent="0.2">
      <c r="A244" s="345">
        <v>34942</v>
      </c>
    </row>
    <row r="245" spans="1:1" x14ac:dyDescent="0.2">
      <c r="A245" s="345">
        <v>34972</v>
      </c>
    </row>
    <row r="246" spans="1:1" x14ac:dyDescent="0.2">
      <c r="A246" s="345">
        <v>35003</v>
      </c>
    </row>
    <row r="247" spans="1:1" x14ac:dyDescent="0.2">
      <c r="A247" s="345">
        <v>35033</v>
      </c>
    </row>
    <row r="248" spans="1:1" x14ac:dyDescent="0.2">
      <c r="A248" s="345">
        <v>35064</v>
      </c>
    </row>
    <row r="249" spans="1:1" x14ac:dyDescent="0.2">
      <c r="A249" s="345">
        <v>35095</v>
      </c>
    </row>
    <row r="250" spans="1:1" x14ac:dyDescent="0.2">
      <c r="A250" s="345">
        <v>35124</v>
      </c>
    </row>
    <row r="251" spans="1:1" x14ac:dyDescent="0.2">
      <c r="A251" s="345">
        <v>35155</v>
      </c>
    </row>
    <row r="252" spans="1:1" x14ac:dyDescent="0.2">
      <c r="A252" s="345">
        <v>35185</v>
      </c>
    </row>
    <row r="253" spans="1:1" x14ac:dyDescent="0.2">
      <c r="A253" s="345">
        <v>35216</v>
      </c>
    </row>
    <row r="254" spans="1:1" x14ac:dyDescent="0.2">
      <c r="A254" s="345">
        <v>35246</v>
      </c>
    </row>
    <row r="255" spans="1:1" x14ac:dyDescent="0.2">
      <c r="A255" s="345">
        <v>35277</v>
      </c>
    </row>
    <row r="256" spans="1:1" x14ac:dyDescent="0.2">
      <c r="A256" s="345">
        <v>35308</v>
      </c>
    </row>
    <row r="257" spans="1:1" x14ac:dyDescent="0.2">
      <c r="A257" s="345">
        <v>35338</v>
      </c>
    </row>
    <row r="258" spans="1:1" x14ac:dyDescent="0.2">
      <c r="A258" s="345">
        <v>35369</v>
      </c>
    </row>
    <row r="259" spans="1:1" x14ac:dyDescent="0.2">
      <c r="A259" s="345">
        <v>35399</v>
      </c>
    </row>
    <row r="260" spans="1:1" x14ac:dyDescent="0.2">
      <c r="A260" s="345">
        <v>35430</v>
      </c>
    </row>
    <row r="261" spans="1:1" x14ac:dyDescent="0.2">
      <c r="A261" s="345">
        <v>35461</v>
      </c>
    </row>
    <row r="262" spans="1:1" x14ac:dyDescent="0.2">
      <c r="A262" s="345">
        <v>35489</v>
      </c>
    </row>
    <row r="263" spans="1:1" x14ac:dyDescent="0.2">
      <c r="A263" s="345">
        <v>35520</v>
      </c>
    </row>
    <row r="264" spans="1:1" x14ac:dyDescent="0.2">
      <c r="A264" s="345">
        <v>35550</v>
      </c>
    </row>
    <row r="265" spans="1:1" x14ac:dyDescent="0.2">
      <c r="A265" s="345">
        <v>35581</v>
      </c>
    </row>
    <row r="266" spans="1:1" x14ac:dyDescent="0.2">
      <c r="A266" s="345">
        <v>35611</v>
      </c>
    </row>
    <row r="267" spans="1:1" x14ac:dyDescent="0.2">
      <c r="A267" s="345">
        <v>35642</v>
      </c>
    </row>
    <row r="268" spans="1:1" x14ac:dyDescent="0.2">
      <c r="A268" s="345">
        <v>35673</v>
      </c>
    </row>
    <row r="269" spans="1:1" x14ac:dyDescent="0.2">
      <c r="A269" s="345">
        <v>35703</v>
      </c>
    </row>
    <row r="270" spans="1:1" x14ac:dyDescent="0.2">
      <c r="A270" s="345">
        <v>35734</v>
      </c>
    </row>
    <row r="271" spans="1:1" x14ac:dyDescent="0.2">
      <c r="A271" s="345">
        <v>35764</v>
      </c>
    </row>
    <row r="272" spans="1:1" x14ac:dyDescent="0.2">
      <c r="A272" s="345">
        <v>35795</v>
      </c>
    </row>
    <row r="273" spans="1:1" x14ac:dyDescent="0.2">
      <c r="A273" s="345">
        <v>35826</v>
      </c>
    </row>
    <row r="274" spans="1:1" x14ac:dyDescent="0.2">
      <c r="A274" s="345">
        <v>35854</v>
      </c>
    </row>
    <row r="275" spans="1:1" x14ac:dyDescent="0.2">
      <c r="A275" s="345">
        <v>35885</v>
      </c>
    </row>
    <row r="276" spans="1:1" x14ac:dyDescent="0.2">
      <c r="A276" s="345">
        <v>35915</v>
      </c>
    </row>
    <row r="277" spans="1:1" x14ac:dyDescent="0.2">
      <c r="A277" s="345">
        <v>35946</v>
      </c>
    </row>
    <row r="278" spans="1:1" x14ac:dyDescent="0.2">
      <c r="A278" s="345">
        <v>35976</v>
      </c>
    </row>
    <row r="279" spans="1:1" x14ac:dyDescent="0.2">
      <c r="A279" s="345">
        <v>36007</v>
      </c>
    </row>
    <row r="280" spans="1:1" x14ac:dyDescent="0.2">
      <c r="A280" s="345">
        <v>36038</v>
      </c>
    </row>
    <row r="281" spans="1:1" x14ac:dyDescent="0.2">
      <c r="A281" s="345">
        <v>36068</v>
      </c>
    </row>
    <row r="282" spans="1:1" x14ac:dyDescent="0.2">
      <c r="A282" s="345">
        <v>36099</v>
      </c>
    </row>
    <row r="283" spans="1:1" x14ac:dyDescent="0.2">
      <c r="A283" s="345">
        <v>36129</v>
      </c>
    </row>
    <row r="284" spans="1:1" x14ac:dyDescent="0.2">
      <c r="A284" s="345">
        <v>36160</v>
      </c>
    </row>
    <row r="285" spans="1:1" x14ac:dyDescent="0.2">
      <c r="A285" s="345">
        <v>36191</v>
      </c>
    </row>
    <row r="286" spans="1:1" x14ac:dyDescent="0.2">
      <c r="A286" s="345">
        <v>36219</v>
      </c>
    </row>
    <row r="287" spans="1:1" x14ac:dyDescent="0.2">
      <c r="A287" s="345">
        <v>36250</v>
      </c>
    </row>
    <row r="288" spans="1:1" x14ac:dyDescent="0.2">
      <c r="A288" s="345">
        <v>36280</v>
      </c>
    </row>
    <row r="289" spans="1:1" x14ac:dyDescent="0.2">
      <c r="A289" s="345">
        <v>36311</v>
      </c>
    </row>
    <row r="290" spans="1:1" x14ac:dyDescent="0.2">
      <c r="A290" s="345">
        <v>36341</v>
      </c>
    </row>
    <row r="291" spans="1:1" x14ac:dyDescent="0.2">
      <c r="A291" s="345">
        <v>36372</v>
      </c>
    </row>
    <row r="292" spans="1:1" x14ac:dyDescent="0.2">
      <c r="A292" s="345">
        <v>36403</v>
      </c>
    </row>
    <row r="293" spans="1:1" x14ac:dyDescent="0.2">
      <c r="A293" s="345">
        <v>36433</v>
      </c>
    </row>
    <row r="294" spans="1:1" x14ac:dyDescent="0.2">
      <c r="A294" s="345">
        <v>36464</v>
      </c>
    </row>
    <row r="295" spans="1:1" x14ac:dyDescent="0.2">
      <c r="A295" s="345">
        <v>36494</v>
      </c>
    </row>
    <row r="296" spans="1:1" x14ac:dyDescent="0.2">
      <c r="A296" s="345">
        <v>36525</v>
      </c>
    </row>
    <row r="297" spans="1:1" x14ac:dyDescent="0.2">
      <c r="A297" s="345">
        <v>36556</v>
      </c>
    </row>
    <row r="298" spans="1:1" x14ac:dyDescent="0.2">
      <c r="A298" s="345">
        <v>36585</v>
      </c>
    </row>
    <row r="299" spans="1:1" x14ac:dyDescent="0.2">
      <c r="A299" s="345">
        <v>36616</v>
      </c>
    </row>
    <row r="300" spans="1:1" x14ac:dyDescent="0.2">
      <c r="A300" s="345">
        <v>36646</v>
      </c>
    </row>
    <row r="301" spans="1:1" x14ac:dyDescent="0.2">
      <c r="A301" s="345">
        <v>36677</v>
      </c>
    </row>
    <row r="302" spans="1:1" x14ac:dyDescent="0.2">
      <c r="A302" s="345">
        <v>36707</v>
      </c>
    </row>
    <row r="303" spans="1:1" x14ac:dyDescent="0.2">
      <c r="A303" s="345">
        <v>36738</v>
      </c>
    </row>
    <row r="304" spans="1:1" x14ac:dyDescent="0.2">
      <c r="A304" s="345">
        <v>36769</v>
      </c>
    </row>
    <row r="305" spans="1:1" x14ac:dyDescent="0.2">
      <c r="A305" s="345">
        <v>36799</v>
      </c>
    </row>
    <row r="306" spans="1:1" x14ac:dyDescent="0.2">
      <c r="A306" s="345">
        <v>36830</v>
      </c>
    </row>
    <row r="307" spans="1:1" x14ac:dyDescent="0.2">
      <c r="A307" s="345">
        <v>36860</v>
      </c>
    </row>
    <row r="308" spans="1:1" x14ac:dyDescent="0.2">
      <c r="A308" s="345">
        <v>36891</v>
      </c>
    </row>
    <row r="309" spans="1:1" x14ac:dyDescent="0.2">
      <c r="A309" s="345">
        <v>36922</v>
      </c>
    </row>
    <row r="310" spans="1:1" x14ac:dyDescent="0.2">
      <c r="A310" s="345">
        <v>36950</v>
      </c>
    </row>
    <row r="311" spans="1:1" x14ac:dyDescent="0.2">
      <c r="A311" s="345">
        <v>36981</v>
      </c>
    </row>
    <row r="312" spans="1:1" x14ac:dyDescent="0.2">
      <c r="A312" s="345">
        <v>37011</v>
      </c>
    </row>
    <row r="313" spans="1:1" x14ac:dyDescent="0.2">
      <c r="A313" s="345">
        <v>37042</v>
      </c>
    </row>
    <row r="314" spans="1:1" x14ac:dyDescent="0.2">
      <c r="A314" s="345">
        <v>37072</v>
      </c>
    </row>
    <row r="315" spans="1:1" x14ac:dyDescent="0.2">
      <c r="A315" s="345">
        <v>37103</v>
      </c>
    </row>
    <row r="316" spans="1:1" x14ac:dyDescent="0.2">
      <c r="A316" s="345">
        <v>37134</v>
      </c>
    </row>
    <row r="317" spans="1:1" x14ac:dyDescent="0.2">
      <c r="A317" s="345">
        <v>37164</v>
      </c>
    </row>
    <row r="318" spans="1:1" x14ac:dyDescent="0.2">
      <c r="A318" s="345">
        <v>37195</v>
      </c>
    </row>
    <row r="319" spans="1:1" x14ac:dyDescent="0.2">
      <c r="A319" s="345">
        <v>37225</v>
      </c>
    </row>
    <row r="320" spans="1:1" x14ac:dyDescent="0.2">
      <c r="A320" s="345">
        <v>37256</v>
      </c>
    </row>
    <row r="321" spans="1:1" x14ac:dyDescent="0.2">
      <c r="A321" s="345">
        <v>37287</v>
      </c>
    </row>
    <row r="322" spans="1:1" x14ac:dyDescent="0.2">
      <c r="A322" s="345">
        <v>37315</v>
      </c>
    </row>
    <row r="323" spans="1:1" x14ac:dyDescent="0.2">
      <c r="A323" s="345">
        <v>37346</v>
      </c>
    </row>
    <row r="324" spans="1:1" x14ac:dyDescent="0.2">
      <c r="A324" s="345">
        <v>37376</v>
      </c>
    </row>
    <row r="325" spans="1:1" x14ac:dyDescent="0.2">
      <c r="A325" s="345">
        <v>37407</v>
      </c>
    </row>
    <row r="326" spans="1:1" x14ac:dyDescent="0.2">
      <c r="A326" s="345">
        <v>37437</v>
      </c>
    </row>
    <row r="327" spans="1:1" x14ac:dyDescent="0.2">
      <c r="A327" s="345">
        <v>37468</v>
      </c>
    </row>
    <row r="328" spans="1:1" x14ac:dyDescent="0.2">
      <c r="A328" s="345">
        <v>37499</v>
      </c>
    </row>
    <row r="329" spans="1:1" x14ac:dyDescent="0.2">
      <c r="A329" s="345">
        <v>37529</v>
      </c>
    </row>
    <row r="330" spans="1:1" x14ac:dyDescent="0.2">
      <c r="A330" s="345">
        <v>37560</v>
      </c>
    </row>
    <row r="331" spans="1:1" x14ac:dyDescent="0.2">
      <c r="A331" s="345">
        <v>37590</v>
      </c>
    </row>
    <row r="332" spans="1:1" x14ac:dyDescent="0.2">
      <c r="A332" s="345">
        <v>37621</v>
      </c>
    </row>
    <row r="333" spans="1:1" x14ac:dyDescent="0.2">
      <c r="A333" s="345">
        <v>37652</v>
      </c>
    </row>
    <row r="334" spans="1:1" x14ac:dyDescent="0.2">
      <c r="A334" s="345">
        <v>37680</v>
      </c>
    </row>
    <row r="335" spans="1:1" x14ac:dyDescent="0.2">
      <c r="A335" s="345">
        <v>37711</v>
      </c>
    </row>
    <row r="336" spans="1:1" x14ac:dyDescent="0.2">
      <c r="A336" s="345">
        <v>37741</v>
      </c>
    </row>
    <row r="337" spans="1:1" x14ac:dyDescent="0.2">
      <c r="A337" s="345">
        <v>37772</v>
      </c>
    </row>
    <row r="338" spans="1:1" x14ac:dyDescent="0.2">
      <c r="A338" s="345">
        <v>37802</v>
      </c>
    </row>
    <row r="339" spans="1:1" x14ac:dyDescent="0.2">
      <c r="A339" s="345">
        <v>37833</v>
      </c>
    </row>
    <row r="340" spans="1:1" x14ac:dyDescent="0.2">
      <c r="A340" s="345">
        <v>37864</v>
      </c>
    </row>
    <row r="341" spans="1:1" x14ac:dyDescent="0.2">
      <c r="A341" s="345">
        <v>37894</v>
      </c>
    </row>
    <row r="342" spans="1:1" x14ac:dyDescent="0.2">
      <c r="A342" s="345">
        <v>37925</v>
      </c>
    </row>
    <row r="343" spans="1:1" x14ac:dyDescent="0.2">
      <c r="A343" s="345">
        <v>37955</v>
      </c>
    </row>
    <row r="344" spans="1:1" x14ac:dyDescent="0.2">
      <c r="A344" s="345">
        <v>37986</v>
      </c>
    </row>
    <row r="345" spans="1:1" x14ac:dyDescent="0.2">
      <c r="A345" s="345">
        <v>38017</v>
      </c>
    </row>
    <row r="346" spans="1:1" x14ac:dyDescent="0.2">
      <c r="A346" s="345">
        <v>38046</v>
      </c>
    </row>
    <row r="347" spans="1:1" x14ac:dyDescent="0.2">
      <c r="A347" s="345">
        <v>38077</v>
      </c>
    </row>
    <row r="348" spans="1:1" x14ac:dyDescent="0.2">
      <c r="A348" s="345">
        <v>38107</v>
      </c>
    </row>
    <row r="349" spans="1:1" x14ac:dyDescent="0.2">
      <c r="A349" s="345">
        <v>38138</v>
      </c>
    </row>
    <row r="350" spans="1:1" x14ac:dyDescent="0.2">
      <c r="A350" s="345">
        <v>38168</v>
      </c>
    </row>
    <row r="351" spans="1:1" x14ac:dyDescent="0.2">
      <c r="A351" s="345">
        <v>38199</v>
      </c>
    </row>
    <row r="352" spans="1:1" x14ac:dyDescent="0.2">
      <c r="A352" s="345">
        <v>38230</v>
      </c>
    </row>
    <row r="353" spans="1:1" x14ac:dyDescent="0.2">
      <c r="A353" s="345">
        <v>38260</v>
      </c>
    </row>
    <row r="354" spans="1:1" x14ac:dyDescent="0.2">
      <c r="A354" s="345">
        <v>38291</v>
      </c>
    </row>
    <row r="355" spans="1:1" x14ac:dyDescent="0.2">
      <c r="A355" s="345">
        <v>38321</v>
      </c>
    </row>
    <row r="356" spans="1:1" x14ac:dyDescent="0.2">
      <c r="A356" s="345">
        <v>38352</v>
      </c>
    </row>
    <row r="357" spans="1:1" x14ac:dyDescent="0.2">
      <c r="A357" s="345">
        <v>38383</v>
      </c>
    </row>
    <row r="358" spans="1:1" x14ac:dyDescent="0.2">
      <c r="A358" s="345">
        <v>38411</v>
      </c>
    </row>
    <row r="359" spans="1:1" x14ac:dyDescent="0.2">
      <c r="A359" s="345">
        <v>38442</v>
      </c>
    </row>
    <row r="360" spans="1:1" x14ac:dyDescent="0.2">
      <c r="A360" s="345">
        <v>38472</v>
      </c>
    </row>
    <row r="361" spans="1:1" x14ac:dyDescent="0.2">
      <c r="A361" s="345">
        <v>38503</v>
      </c>
    </row>
    <row r="362" spans="1:1" x14ac:dyDescent="0.2">
      <c r="A362" s="345">
        <v>38533</v>
      </c>
    </row>
    <row r="363" spans="1:1" x14ac:dyDescent="0.2">
      <c r="A363" s="345">
        <v>38564</v>
      </c>
    </row>
    <row r="364" spans="1:1" x14ac:dyDescent="0.2">
      <c r="A364" s="345">
        <v>38595</v>
      </c>
    </row>
    <row r="365" spans="1:1" x14ac:dyDescent="0.2">
      <c r="A365" s="345">
        <v>38625</v>
      </c>
    </row>
    <row r="366" spans="1:1" x14ac:dyDescent="0.2">
      <c r="A366" s="345">
        <v>38656</v>
      </c>
    </row>
    <row r="367" spans="1:1" x14ac:dyDescent="0.2">
      <c r="A367" s="345">
        <v>38686</v>
      </c>
    </row>
    <row r="368" spans="1:1" x14ac:dyDescent="0.2">
      <c r="A368" s="345">
        <v>38717</v>
      </c>
    </row>
    <row r="369" spans="1:5" x14ac:dyDescent="0.2">
      <c r="A369" s="345">
        <v>38748</v>
      </c>
    </row>
    <row r="370" spans="1:5" x14ac:dyDescent="0.2">
      <c r="A370" s="345">
        <v>38776</v>
      </c>
    </row>
    <row r="371" spans="1:5" x14ac:dyDescent="0.2">
      <c r="A371" s="345">
        <v>38807</v>
      </c>
    </row>
    <row r="372" spans="1:5" x14ac:dyDescent="0.2">
      <c r="A372" s="345">
        <v>38837</v>
      </c>
    </row>
    <row r="373" spans="1:5" x14ac:dyDescent="0.2">
      <c r="A373" s="345">
        <v>38868</v>
      </c>
    </row>
    <row r="374" spans="1:5" x14ac:dyDescent="0.2">
      <c r="A374" s="345">
        <v>38898</v>
      </c>
    </row>
    <row r="375" spans="1:5" x14ac:dyDescent="0.2">
      <c r="A375" s="345">
        <v>38929</v>
      </c>
    </row>
    <row r="376" spans="1:5" x14ac:dyDescent="0.2">
      <c r="A376" s="345">
        <v>38960</v>
      </c>
    </row>
    <row r="377" spans="1:5" x14ac:dyDescent="0.2">
      <c r="A377" s="345">
        <v>38990</v>
      </c>
    </row>
    <row r="378" spans="1:5" x14ac:dyDescent="0.2">
      <c r="A378" s="345">
        <v>39021</v>
      </c>
    </row>
    <row r="379" spans="1:5" x14ac:dyDescent="0.2">
      <c r="A379" s="345">
        <v>39051</v>
      </c>
    </row>
    <row r="380" spans="1:5" x14ac:dyDescent="0.2">
      <c r="A380" s="345">
        <v>39082</v>
      </c>
      <c r="C380" s="34">
        <v>796221102</v>
      </c>
      <c r="D380" s="253">
        <v>0.65839999999999999</v>
      </c>
    </row>
    <row r="381" spans="1:5" x14ac:dyDescent="0.2">
      <c r="A381" s="345">
        <v>39113</v>
      </c>
      <c r="B381" s="14">
        <v>0</v>
      </c>
      <c r="C381" s="346">
        <v>0</v>
      </c>
      <c r="D381" s="258"/>
      <c r="E381" s="14">
        <v>0</v>
      </c>
    </row>
    <row r="382" spans="1:5" x14ac:dyDescent="0.2">
      <c r="A382" s="345">
        <v>39141</v>
      </c>
      <c r="B382" s="1369">
        <v>-0.48</v>
      </c>
      <c r="C382" s="346">
        <v>888318627.05999994</v>
      </c>
      <c r="D382" s="258"/>
      <c r="E382" s="14">
        <f>B382-Index_Returns!K382</f>
        <v>6.2799999999999967E-2</v>
      </c>
    </row>
    <row r="383" spans="1:5" x14ac:dyDescent="0.2">
      <c r="A383" s="345">
        <v>39172</v>
      </c>
      <c r="B383" s="1369">
        <v>1.74</v>
      </c>
      <c r="C383" s="346">
        <v>903752430.67999995</v>
      </c>
      <c r="D383" s="258"/>
      <c r="E383" s="14">
        <f>B383-Index_Returns!K383</f>
        <v>6.3399999999999901E-2</v>
      </c>
    </row>
    <row r="384" spans="1:5" x14ac:dyDescent="0.2">
      <c r="A384" s="345">
        <v>39202</v>
      </c>
      <c r="B384" s="1369">
        <v>2.33</v>
      </c>
      <c r="C384" s="346">
        <v>924805428.28999996</v>
      </c>
      <c r="D384" s="258"/>
      <c r="E384" s="14">
        <f>B384-Index_Returns!K384</f>
        <v>0.10090000000000021</v>
      </c>
    </row>
    <row r="385" spans="1:6" x14ac:dyDescent="0.2">
      <c r="A385" s="345">
        <v>39233</v>
      </c>
      <c r="B385" s="1369">
        <v>4.5599999999999996</v>
      </c>
      <c r="C385" s="346">
        <v>966947950.12</v>
      </c>
      <c r="D385" s="258"/>
      <c r="E385" s="14">
        <f>B385-Index_Returns!K385</f>
        <v>-4.3400000000000105E-2</v>
      </c>
    </row>
    <row r="386" spans="1:6" x14ac:dyDescent="0.2">
      <c r="A386" s="345">
        <v>39263</v>
      </c>
      <c r="B386" s="1369">
        <v>-1.74</v>
      </c>
      <c r="C386" s="346">
        <v>950084440.78999996</v>
      </c>
      <c r="D386" s="258"/>
      <c r="E386" s="14">
        <f>B386-Index_Returns!K386</f>
        <v>-0.10240000000000005</v>
      </c>
    </row>
    <row r="387" spans="1:6" x14ac:dyDescent="0.2">
      <c r="A387" s="345">
        <v>39294</v>
      </c>
      <c r="B387" s="1369">
        <v>-5.0199999999999996</v>
      </c>
      <c r="C387" s="346">
        <v>902343474.39999998</v>
      </c>
      <c r="D387" s="258"/>
      <c r="E387" s="14">
        <f>B387-Index_Returns!K387</f>
        <v>2.6400000000000645E-2</v>
      </c>
    </row>
    <row r="388" spans="1:6" x14ac:dyDescent="0.2">
      <c r="A388" s="345">
        <v>39325</v>
      </c>
      <c r="B388" s="1369">
        <v>1.97</v>
      </c>
      <c r="C388" s="346">
        <v>920130184.15999997</v>
      </c>
      <c r="D388" s="258"/>
      <c r="E388" s="14">
        <f>B388-Index_Returns!K388</f>
        <v>9.5699999999999896E-2</v>
      </c>
    </row>
    <row r="389" spans="1:6" x14ac:dyDescent="0.2">
      <c r="A389" s="345">
        <v>39355</v>
      </c>
      <c r="B389" s="1369">
        <v>1.39</v>
      </c>
      <c r="C389" s="346">
        <v>932958552.96000004</v>
      </c>
      <c r="D389" s="258"/>
      <c r="E389" s="14">
        <f>B389-Index_Returns!K389</f>
        <v>-0.10040000000000004</v>
      </c>
    </row>
    <row r="390" spans="1:6" x14ac:dyDescent="0.2">
      <c r="A390" s="345">
        <v>39386</v>
      </c>
      <c r="B390" s="1369">
        <v>1.87</v>
      </c>
      <c r="C390" s="346">
        <v>950406933.11000001</v>
      </c>
      <c r="D390" s="258"/>
      <c r="E390" s="14">
        <f>B390-Index_Returns!K390</f>
        <v>9.7000000000000419E-3</v>
      </c>
    </row>
    <row r="391" spans="1:6" x14ac:dyDescent="0.2">
      <c r="A391" s="345">
        <v>39416</v>
      </c>
      <c r="B391" s="1369">
        <v>-7.34</v>
      </c>
      <c r="C391" s="346">
        <v>880632524.90999997</v>
      </c>
      <c r="D391" s="258"/>
      <c r="E391" s="14">
        <f>B391-Index_Returns!K391</f>
        <v>8.170000000000055E-2</v>
      </c>
    </row>
    <row r="392" spans="1:6" x14ac:dyDescent="0.2">
      <c r="A392" s="345">
        <v>39447</v>
      </c>
      <c r="B392" s="1369">
        <v>-0.77</v>
      </c>
      <c r="C392" s="346">
        <v>484183274.04000002</v>
      </c>
      <c r="D392" s="258"/>
      <c r="E392" s="14">
        <f>B392-Index_Returns!K392</f>
        <v>2.4000000000000021E-2</v>
      </c>
      <c r="F392" s="779"/>
    </row>
    <row r="393" spans="1:6" x14ac:dyDescent="0.2">
      <c r="A393" s="345">
        <v>39478</v>
      </c>
      <c r="B393" s="1369">
        <v>-4.84</v>
      </c>
      <c r="C393" s="346">
        <v>537170062.5</v>
      </c>
      <c r="D393" s="258"/>
      <c r="E393" s="14">
        <f>B393-Index_Returns!K393</f>
        <v>5.06000000000002E-2</v>
      </c>
    </row>
    <row r="394" spans="1:6" x14ac:dyDescent="0.2">
      <c r="A394" s="345">
        <v>39507</v>
      </c>
      <c r="B394" s="1369">
        <v>-3.12</v>
      </c>
      <c r="C394" s="346">
        <v>520435829.30000001</v>
      </c>
      <c r="D394" s="258"/>
      <c r="E394" s="14">
        <f>B394-Index_Returns!K394</f>
        <v>-4.0399999999999991E-2</v>
      </c>
    </row>
    <row r="395" spans="1:6" x14ac:dyDescent="0.2">
      <c r="A395" s="345">
        <v>39538</v>
      </c>
      <c r="B395" s="1369">
        <v>0.36</v>
      </c>
      <c r="C395" s="346">
        <v>522339009.07999998</v>
      </c>
      <c r="D395" s="258"/>
      <c r="E395" s="14">
        <f>B395-Index_Returns!K395</f>
        <v>-2.7100000000000013E-2</v>
      </c>
    </row>
    <row r="396" spans="1:6" x14ac:dyDescent="0.2">
      <c r="A396" s="345">
        <v>39568</v>
      </c>
      <c r="B396" s="1369">
        <v>4.17</v>
      </c>
      <c r="C396" s="346">
        <v>544111064.53999996</v>
      </c>
      <c r="D396" s="258"/>
      <c r="E396" s="14">
        <f>B396-Index_Returns!K396</f>
        <v>0.15660000000000007</v>
      </c>
    </row>
    <row r="397" spans="1:6" x14ac:dyDescent="0.2">
      <c r="A397" s="345">
        <v>39599</v>
      </c>
      <c r="B397" s="1369">
        <v>4.43</v>
      </c>
      <c r="C397" s="346">
        <v>568144958.77999997</v>
      </c>
      <c r="D397" s="258"/>
      <c r="E397" s="14">
        <f>B397-Index_Returns!K397</f>
        <v>1.2799999999999478E-2</v>
      </c>
    </row>
    <row r="398" spans="1:6" x14ac:dyDescent="0.2">
      <c r="A398" s="345">
        <v>39629</v>
      </c>
      <c r="B398" s="1369">
        <v>-7.27</v>
      </c>
      <c r="C398" s="346">
        <v>526835437.69</v>
      </c>
      <c r="D398" s="258"/>
      <c r="E398" s="14">
        <f>B398-Index_Returns!K398</f>
        <v>0.28480000000000061</v>
      </c>
    </row>
    <row r="399" spans="1:6" x14ac:dyDescent="0.2">
      <c r="A399" s="345">
        <v>39660</v>
      </c>
      <c r="B399" s="1369">
        <v>1.78</v>
      </c>
      <c r="C399" s="1332">
        <v>536214158.92000002</v>
      </c>
      <c r="D399" s="258"/>
      <c r="E399" s="14">
        <f>B399-Index_Returns!K399</f>
        <v>-0.28429999999999978</v>
      </c>
    </row>
    <row r="400" spans="1:6" x14ac:dyDescent="0.2">
      <c r="A400" s="345">
        <v>39691</v>
      </c>
      <c r="B400" s="1369">
        <v>4.1399999999999997</v>
      </c>
      <c r="C400" s="1332">
        <v>558431666.20000005</v>
      </c>
      <c r="D400" s="258"/>
      <c r="E400" s="14">
        <f>B400-Index_Returns!K400</f>
        <v>-3.6999999999999922E-2</v>
      </c>
    </row>
    <row r="401" spans="1:8" x14ac:dyDescent="0.2">
      <c r="A401" s="345">
        <v>39721</v>
      </c>
      <c r="B401" s="1369">
        <v>-6.79</v>
      </c>
      <c r="C401" s="1332">
        <v>520472580.47000003</v>
      </c>
      <c r="D401" s="258"/>
      <c r="E401" s="14">
        <f>B401-Index_Returns!K401</f>
        <v>-3.5000000000000142E-2</v>
      </c>
    </row>
    <row r="402" spans="1:8" x14ac:dyDescent="0.2">
      <c r="A402" s="345">
        <v>39752</v>
      </c>
      <c r="B402" s="1369">
        <v>-19.850000000000001</v>
      </c>
      <c r="C402" s="346">
        <v>413356717</v>
      </c>
      <c r="D402" s="258"/>
      <c r="E402" s="14">
        <f>B402-Index_Returns!K402</f>
        <v>0.29720000000000013</v>
      </c>
    </row>
    <row r="403" spans="1:8" x14ac:dyDescent="0.2">
      <c r="A403" s="345">
        <v>39782</v>
      </c>
      <c r="B403" s="1369">
        <v>-9.92</v>
      </c>
      <c r="C403" s="346">
        <v>511180928</v>
      </c>
      <c r="D403" s="258"/>
      <c r="E403" s="14">
        <f>B403-Index_Returns!K403</f>
        <v>1.7634000000000007</v>
      </c>
    </row>
    <row r="404" spans="1:8" x14ac:dyDescent="0.2">
      <c r="A404" s="345">
        <v>39813</v>
      </c>
      <c r="B404" s="1369">
        <v>6.22</v>
      </c>
      <c r="C404" s="346">
        <v>542991852</v>
      </c>
      <c r="D404" s="258"/>
      <c r="E404" s="14">
        <f>B404-Index_Returns!K404</f>
        <v>0.11909999999999954</v>
      </c>
    </row>
    <row r="405" spans="1:8" x14ac:dyDescent="0.2">
      <c r="A405" s="345">
        <v>39844</v>
      </c>
      <c r="B405" s="1369">
        <v>-12.31</v>
      </c>
      <c r="C405" s="346">
        <v>485314710.94</v>
      </c>
      <c r="D405" s="258">
        <v>-12.305099999999999</v>
      </c>
      <c r="E405" s="14">
        <f>B405-Index_Returns!K405</f>
        <v>0.39039999999999964</v>
      </c>
    </row>
    <row r="406" spans="1:8" x14ac:dyDescent="0.2">
      <c r="A406" s="345">
        <v>39872</v>
      </c>
      <c r="B406" s="1369">
        <v>-11.82</v>
      </c>
      <c r="C406" s="346">
        <v>427951479.75999999</v>
      </c>
      <c r="D406" s="258">
        <v>-11.819800000000001</v>
      </c>
      <c r="E406" s="14">
        <f>B406-Index_Returns!K406</f>
        <v>0.15429999999999922</v>
      </c>
    </row>
    <row r="407" spans="1:8" x14ac:dyDescent="0.2">
      <c r="A407" s="345">
        <v>39903</v>
      </c>
      <c r="B407" s="1369">
        <v>8.34</v>
      </c>
      <c r="C407" s="346">
        <v>463632684.75</v>
      </c>
      <c r="D407" s="258">
        <v>8.3376999999999999</v>
      </c>
      <c r="E407" s="14">
        <f>B407-Index_Returns!K407</f>
        <v>0.12560000000000038</v>
      </c>
    </row>
    <row r="408" spans="1:8" x14ac:dyDescent="0.2">
      <c r="A408" s="345">
        <v>39933</v>
      </c>
      <c r="B408" s="1369">
        <v>17.079999999999998</v>
      </c>
      <c r="C408" s="346">
        <v>596479804.42999995</v>
      </c>
      <c r="D408" s="258"/>
      <c r="E408" s="14">
        <f>B408-Index_Returns!K408</f>
        <v>-0.37670000000000314</v>
      </c>
    </row>
    <row r="409" spans="1:8" x14ac:dyDescent="0.2">
      <c r="A409" s="345">
        <v>39964</v>
      </c>
      <c r="B409" s="1369">
        <v>1.64</v>
      </c>
      <c r="C409" s="346">
        <v>606305388.94000006</v>
      </c>
      <c r="D409" s="258"/>
      <c r="E409" s="14">
        <f>B409-Index_Returns!K409</f>
        <v>2.8399999999999981E-2</v>
      </c>
    </row>
    <row r="410" spans="1:8" x14ac:dyDescent="0.2">
      <c r="A410" s="345">
        <v>39994</v>
      </c>
      <c r="B410" s="1369">
        <v>1.44</v>
      </c>
      <c r="C410" s="346">
        <v>615035082.25999999</v>
      </c>
      <c r="D410" s="258"/>
      <c r="E410" s="14">
        <f>B410-Index_Returns!K410</f>
        <v>5.0999999999998824E-3</v>
      </c>
    </row>
    <row r="411" spans="1:8" x14ac:dyDescent="0.2">
      <c r="A411" s="345">
        <v>40025</v>
      </c>
      <c r="B411" s="1369">
        <v>10.34</v>
      </c>
      <c r="C411" s="346">
        <v>678656492.73000002</v>
      </c>
      <c r="D411" s="258">
        <v>10.3428</v>
      </c>
      <c r="E411" s="14">
        <f>B411-Index_Returns!K411</f>
        <v>1.4599999999999724E-2</v>
      </c>
    </row>
    <row r="412" spans="1:8" x14ac:dyDescent="0.2">
      <c r="A412" s="345">
        <v>40056</v>
      </c>
      <c r="B412" s="1369">
        <v>2.3199999999999998</v>
      </c>
      <c r="C412" s="346">
        <v>694386080.47000003</v>
      </c>
      <c r="D412" s="258">
        <v>2.3178000000000001</v>
      </c>
      <c r="E412" s="14">
        <f>B412-Index_Returns!K412</f>
        <v>3.180000000000005E-2</v>
      </c>
    </row>
    <row r="413" spans="1:8" x14ac:dyDescent="0.2">
      <c r="A413" s="345">
        <v>40086</v>
      </c>
      <c r="B413" s="1369">
        <v>5.14</v>
      </c>
      <c r="C413" s="346">
        <v>730059951.29999995</v>
      </c>
      <c r="D413" s="258">
        <v>5.1375000000000002</v>
      </c>
      <c r="E413" s="14">
        <f>B413-Index_Returns!K413</f>
        <v>-7.4000000000005173E-3</v>
      </c>
    </row>
    <row r="414" spans="1:8" x14ac:dyDescent="0.2">
      <c r="A414" s="345">
        <v>40117</v>
      </c>
      <c r="B414" s="1369">
        <v>-5.71</v>
      </c>
      <c r="C414" s="1280">
        <v>688409263</v>
      </c>
      <c r="D414" s="1311">
        <v>-5.7051100000000003</v>
      </c>
      <c r="E414" s="14">
        <f>B414-Index_Returns!K414</f>
        <v>-1.9999999999999574E-2</v>
      </c>
      <c r="H414" s="1311"/>
    </row>
    <row r="415" spans="1:8" x14ac:dyDescent="0.2">
      <c r="A415" s="345">
        <v>40147</v>
      </c>
      <c r="B415" s="1369">
        <v>2.6</v>
      </c>
      <c r="C415" s="1333">
        <v>706305024</v>
      </c>
      <c r="D415" s="1311">
        <v>2.59958</v>
      </c>
      <c r="E415" s="14">
        <f>B415-Index_Returns!K415</f>
        <v>-7.0000000000001172E-3</v>
      </c>
      <c r="H415" s="1311"/>
    </row>
    <row r="416" spans="1:8" x14ac:dyDescent="0.2">
      <c r="A416" s="345">
        <v>40178</v>
      </c>
      <c r="B416" s="1369">
        <v>8.5</v>
      </c>
      <c r="C416" s="8">
        <v>727337570.76999998</v>
      </c>
      <c r="D416" s="14">
        <v>8.4984699999999993</v>
      </c>
      <c r="E416" s="14">
        <f>B416-Index_Returns!K416</f>
        <v>-0.13321000000000005</v>
      </c>
      <c r="H416" s="1311"/>
    </row>
    <row r="417" spans="1:8" x14ac:dyDescent="0.2">
      <c r="A417" s="345">
        <v>40209</v>
      </c>
      <c r="B417" s="14">
        <v>-3.39</v>
      </c>
      <c r="C417" s="1280">
        <v>702934621.86000001</v>
      </c>
      <c r="D417" s="1311">
        <v>-3.3905599999999998</v>
      </c>
      <c r="E417" s="14">
        <f>B417-Index_Returns!K417</f>
        <v>-5.11000000000017E-3</v>
      </c>
      <c r="H417" s="1311"/>
    </row>
    <row r="418" spans="1:8" x14ac:dyDescent="0.2">
      <c r="A418" s="345">
        <v>40237</v>
      </c>
      <c r="B418" s="14">
        <v>4.3</v>
      </c>
      <c r="C418" s="8">
        <v>733047548.40999997</v>
      </c>
      <c r="D418" s="1311">
        <v>4.3042199999999999</v>
      </c>
      <c r="E418" s="14">
        <f>B418-Index_Returns!K418</f>
        <v>2.8299999999994441E-3</v>
      </c>
      <c r="H418" s="1311"/>
    </row>
    <row r="419" spans="1:8" x14ac:dyDescent="0.2">
      <c r="A419" s="345">
        <v>40268</v>
      </c>
      <c r="B419" s="14">
        <v>7.8</v>
      </c>
      <c r="C419" s="1334">
        <v>790117678.53999996</v>
      </c>
      <c r="D419" s="1311">
        <v>7.8038600000000002</v>
      </c>
      <c r="E419" s="14">
        <f>B419-Index_Returns!K419</f>
        <v>1.8410000000000259E-2</v>
      </c>
      <c r="H419" s="1311"/>
    </row>
    <row r="420" spans="1:8" x14ac:dyDescent="0.2">
      <c r="A420" s="345">
        <v>40298</v>
      </c>
      <c r="B420" s="14">
        <v>5.84</v>
      </c>
      <c r="C420" s="8">
        <v>835583288.64999998</v>
      </c>
      <c r="D420" s="14">
        <v>5.8409700000000004</v>
      </c>
      <c r="E420" s="14">
        <f>B420-Index_Returns!K420</f>
        <v>-8.0900000000001526E-3</v>
      </c>
      <c r="H420" s="1311"/>
    </row>
    <row r="421" spans="1:8" x14ac:dyDescent="0.2">
      <c r="A421" s="345">
        <v>40329</v>
      </c>
      <c r="B421" s="14">
        <v>-7.21</v>
      </c>
      <c r="C421" s="8">
        <v>775298535.88999999</v>
      </c>
      <c r="D421" s="14">
        <v>-7.21469</v>
      </c>
      <c r="E421" s="14">
        <f>B421-Index_Returns!K421</f>
        <v>1.065999999999967E-2</v>
      </c>
      <c r="H421" s="1311"/>
    </row>
    <row r="422" spans="1:8" x14ac:dyDescent="0.2">
      <c r="A422" s="345">
        <v>40359</v>
      </c>
      <c r="B422" s="14">
        <v>-7.09</v>
      </c>
      <c r="C422" s="8">
        <v>716696953.13</v>
      </c>
      <c r="D422" s="1311">
        <v>-7.0915900000000001</v>
      </c>
      <c r="E422" s="14">
        <f>B422-Index_Returns!K422</f>
        <v>-2.3909999999999876E-2</v>
      </c>
      <c r="H422" s="1311"/>
    </row>
    <row r="423" spans="1:8" x14ac:dyDescent="0.2">
      <c r="A423" s="345">
        <v>40390</v>
      </c>
      <c r="B423" s="14">
        <v>6.3589700000000002</v>
      </c>
      <c r="C423" s="8">
        <v>762262771.74000001</v>
      </c>
      <c r="D423" s="14">
        <v>6.3589700000000002</v>
      </c>
      <c r="E423" s="14">
        <f>B423-Index_Returns!K423</f>
        <v>1.6340000000000465E-2</v>
      </c>
      <c r="H423" s="1311"/>
    </row>
    <row r="424" spans="1:8" x14ac:dyDescent="0.2">
      <c r="A424" s="345">
        <v>40421</v>
      </c>
      <c r="B424" s="14">
        <v>-7.4576399999999996</v>
      </c>
      <c r="C424" s="8">
        <v>705415999.85000002</v>
      </c>
      <c r="D424" s="14">
        <v>-7.4576399999999996</v>
      </c>
      <c r="E424" s="14">
        <f>B424-Index_Returns!K424</f>
        <v>8.1900000000008077E-3</v>
      </c>
      <c r="H424" s="1311"/>
    </row>
    <row r="425" spans="1:8" x14ac:dyDescent="0.2">
      <c r="A425" s="345">
        <v>40451</v>
      </c>
      <c r="B425" s="14">
        <v>11.43261</v>
      </c>
      <c r="C425" s="8">
        <v>783882754.07000005</v>
      </c>
      <c r="D425" s="14">
        <v>11.43261</v>
      </c>
      <c r="E425" s="14">
        <f>B425-Index_Returns!K425</f>
        <v>3.1790000000000873E-2</v>
      </c>
      <c r="H425" s="1311"/>
    </row>
    <row r="426" spans="1:8" x14ac:dyDescent="0.2">
      <c r="A426" s="345">
        <v>40482</v>
      </c>
      <c r="B426" s="14">
        <v>4.2177699999999998</v>
      </c>
      <c r="C426" s="8">
        <v>816945144.51999998</v>
      </c>
      <c r="D426" s="14">
        <v>4.2177699999999998</v>
      </c>
      <c r="E426" s="14">
        <f>B426-Index_Returns!K426</f>
        <v>-3.5530000000000506E-2</v>
      </c>
      <c r="H426" s="1311"/>
    </row>
    <row r="427" spans="1:8" x14ac:dyDescent="0.2">
      <c r="A427" s="345">
        <v>40512</v>
      </c>
      <c r="B427" s="14">
        <f>D427</f>
        <v>3.5782500000000002</v>
      </c>
      <c r="C427" s="8">
        <v>845069203.49000001</v>
      </c>
      <c r="D427" s="14">
        <v>3.5782500000000002</v>
      </c>
      <c r="E427" s="14">
        <f>B427-Index_Returns!K427</f>
        <v>1.3580000000000148E-2</v>
      </c>
      <c r="H427" s="1311"/>
    </row>
    <row r="428" spans="1:8" x14ac:dyDescent="0.2">
      <c r="A428" s="345">
        <v>40543</v>
      </c>
      <c r="B428" s="14">
        <v>7.4896599999999998</v>
      </c>
      <c r="C428" s="8">
        <v>750039997.74000001</v>
      </c>
      <c r="D428" s="1311">
        <v>7.4868100000000002</v>
      </c>
      <c r="E428" s="14">
        <f>B428-Index_Returns!K428</f>
        <v>-0.17116000000000042</v>
      </c>
      <c r="H428" s="1311"/>
    </row>
    <row r="429" spans="1:8" x14ac:dyDescent="0.2">
      <c r="A429" s="345">
        <v>40574</v>
      </c>
      <c r="B429" s="14">
        <f>D429</f>
        <v>0.15869</v>
      </c>
      <c r="C429" s="8">
        <v>747606100.58000004</v>
      </c>
      <c r="D429" s="1311">
        <v>0.15869</v>
      </c>
      <c r="E429" s="14">
        <f>B429-Index_Returns!K429</f>
        <v>7.4200000000000099E-3</v>
      </c>
      <c r="H429" s="1311"/>
    </row>
    <row r="430" spans="1:8" x14ac:dyDescent="0.2">
      <c r="A430" s="345">
        <v>40602</v>
      </c>
      <c r="B430" s="14">
        <v>4.5103299999999997</v>
      </c>
      <c r="C430" s="8">
        <v>576519119.79999995</v>
      </c>
      <c r="D430" s="14">
        <v>4.5103299999999997</v>
      </c>
      <c r="E430" s="14">
        <f>B430-Index_Returns!K430</f>
        <v>0.10367000000000015</v>
      </c>
      <c r="H430" s="1311"/>
    </row>
    <row r="431" spans="1:8" x14ac:dyDescent="0.2">
      <c r="A431" s="345">
        <v>40633</v>
      </c>
      <c r="B431" s="14">
        <f>D431</f>
        <v>2.8583599999999998</v>
      </c>
      <c r="C431" s="8">
        <v>525070175.99000001</v>
      </c>
      <c r="D431" s="14">
        <v>2.8583599999999998</v>
      </c>
      <c r="E431" s="14">
        <f>B431-Index_Returns!K431</f>
        <v>-0.15026000000000028</v>
      </c>
      <c r="H431" s="1311"/>
    </row>
    <row r="432" spans="1:8" x14ac:dyDescent="0.2">
      <c r="A432" s="345">
        <v>40663</v>
      </c>
      <c r="B432" s="14">
        <f t="shared" ref="B432:B488" si="0">D432</f>
        <v>2.5468000000000002</v>
      </c>
      <c r="C432" s="8">
        <v>516362149.75</v>
      </c>
      <c r="D432" s="1311">
        <v>2.5468000000000002</v>
      </c>
      <c r="E432" s="14">
        <f>B432-Index_Returns!K432</f>
        <v>-5.3220000000000045E-2</v>
      </c>
      <c r="H432" s="1311"/>
    </row>
    <row r="433" spans="1:8" x14ac:dyDescent="0.2">
      <c r="A433" s="345">
        <v>40694</v>
      </c>
      <c r="B433" s="14">
        <f t="shared" si="0"/>
        <v>-0.95467999999999997</v>
      </c>
      <c r="C433" s="8">
        <v>511513475.76999998</v>
      </c>
      <c r="D433" s="14">
        <v>-0.95467999999999997</v>
      </c>
      <c r="E433" s="14">
        <f>B433-Index_Returns!K433</f>
        <v>-5.3860000000000019E-2</v>
      </c>
      <c r="H433" s="1311"/>
    </row>
    <row r="434" spans="1:8" x14ac:dyDescent="0.2">
      <c r="A434" s="345">
        <v>40724</v>
      </c>
      <c r="B434" s="14">
        <f t="shared" si="0"/>
        <v>-1.9052</v>
      </c>
      <c r="C434" s="8">
        <v>501673289.11000001</v>
      </c>
      <c r="D434" s="14">
        <v>-1.9052</v>
      </c>
      <c r="E434" s="14">
        <f>B434-Index_Returns!K434</f>
        <v>-9.6519999999999939E-2</v>
      </c>
      <c r="H434" s="1311"/>
    </row>
    <row r="435" spans="1:8" x14ac:dyDescent="0.2">
      <c r="A435" s="345">
        <v>40755</v>
      </c>
      <c r="B435" s="14">
        <f t="shared" si="0"/>
        <v>-3.23475</v>
      </c>
      <c r="C435" s="8">
        <v>482266107.37</v>
      </c>
      <c r="D435" s="14">
        <v>-3.23475</v>
      </c>
      <c r="E435" s="14">
        <f>B435-Index_Returns!K435</f>
        <v>-2.6209999999999845E-2</v>
      </c>
      <c r="H435" s="1311"/>
    </row>
    <row r="436" spans="1:8" x14ac:dyDescent="0.2">
      <c r="A436" s="345">
        <v>40786</v>
      </c>
      <c r="B436" s="14">
        <f t="shared" si="0"/>
        <v>-7.6680099999999998</v>
      </c>
      <c r="C436" s="8">
        <v>445373092.17000002</v>
      </c>
      <c r="D436" s="14">
        <v>-7.6680099999999998</v>
      </c>
      <c r="E436" s="14">
        <f>B436-Index_Returns!K436</f>
        <v>5.11000000000017E-3</v>
      </c>
      <c r="H436" s="1311"/>
    </row>
    <row r="437" spans="1:8" x14ac:dyDescent="0.2">
      <c r="A437" s="345">
        <v>40816</v>
      </c>
      <c r="B437" s="14">
        <f t="shared" si="0"/>
        <v>-10.35749</v>
      </c>
      <c r="C437" s="8">
        <v>399243611.99000001</v>
      </c>
      <c r="D437" s="14">
        <v>-10.35749</v>
      </c>
      <c r="E437" s="14">
        <f>B437-Index_Returns!K437</f>
        <v>-6.8410000000000082E-2</v>
      </c>
      <c r="H437" s="1311"/>
    </row>
    <row r="438" spans="1:8" x14ac:dyDescent="0.2">
      <c r="A438" s="345">
        <v>40847</v>
      </c>
      <c r="B438" s="14">
        <f t="shared" si="0"/>
        <v>15.00634</v>
      </c>
      <c r="C438" s="8">
        <v>459155468.05000001</v>
      </c>
      <c r="D438" s="14">
        <v>15.00634</v>
      </c>
      <c r="E438" s="14">
        <f>B438-Index_Returns!K438</f>
        <v>1.0489999999999E-2</v>
      </c>
      <c r="H438" s="1311"/>
    </row>
    <row r="439" spans="1:8" x14ac:dyDescent="0.2">
      <c r="A439" s="345">
        <v>40877</v>
      </c>
      <c r="B439" s="14">
        <f t="shared" si="0"/>
        <v>0.61367000000000005</v>
      </c>
      <c r="C439" s="8">
        <v>461973156.60000002</v>
      </c>
      <c r="D439" s="14">
        <v>0.61367000000000005</v>
      </c>
      <c r="E439" s="14">
        <f>B439-Index_Returns!K439</f>
        <v>-1.7269999999999897E-2</v>
      </c>
      <c r="H439" s="1311"/>
    </row>
    <row r="440" spans="1:8" x14ac:dyDescent="0.2">
      <c r="A440" s="345">
        <v>40908</v>
      </c>
      <c r="B440" s="14">
        <f t="shared" si="0"/>
        <v>1.2598499999999999</v>
      </c>
      <c r="C440" s="8">
        <v>467793343.67000002</v>
      </c>
      <c r="D440" s="14">
        <v>1.2598499999999999</v>
      </c>
      <c r="E440" s="14">
        <f>B440-Index_Returns!K440</f>
        <v>5.8799999999998853E-3</v>
      </c>
      <c r="H440" s="1311"/>
    </row>
    <row r="441" spans="1:8" x14ac:dyDescent="0.2">
      <c r="A441" s="345">
        <v>40939</v>
      </c>
      <c r="B441" s="14">
        <f t="shared" si="0"/>
        <v>6.6441499999999998</v>
      </c>
      <c r="C441" s="8">
        <v>498888567.43000001</v>
      </c>
      <c r="D441" s="1311">
        <v>6.6441499999999998</v>
      </c>
      <c r="E441" s="14">
        <f>B441-Index_Returns!K441</f>
        <v>6.7470000000000141E-2</v>
      </c>
      <c r="H441" s="1311"/>
    </row>
    <row r="442" spans="1:8" x14ac:dyDescent="0.2">
      <c r="A442" s="345">
        <v>40968</v>
      </c>
      <c r="B442" s="14">
        <f t="shared" si="0"/>
        <v>2.1133000000000002</v>
      </c>
      <c r="C442" s="8">
        <v>509416923.75</v>
      </c>
      <c r="D442" s="14">
        <v>2.1133000000000002</v>
      </c>
      <c r="E442" s="14">
        <f>B442-Index_Returns!K442</f>
        <v>-1.8799999999998818E-3</v>
      </c>
      <c r="H442" s="1311"/>
    </row>
    <row r="443" spans="1:8" x14ac:dyDescent="0.2">
      <c r="A443" s="345">
        <v>40999</v>
      </c>
      <c r="B443" s="14">
        <f t="shared" si="0"/>
        <v>2.8898100000000002</v>
      </c>
      <c r="C443" s="8">
        <v>523124318.99000001</v>
      </c>
      <c r="D443" s="14">
        <v>2.8898100000000002</v>
      </c>
      <c r="E443" s="14">
        <f>B443-Index_Returns!K443</f>
        <v>-9.1799999999997439E-3</v>
      </c>
      <c r="H443" s="1311"/>
    </row>
    <row r="444" spans="1:8" x14ac:dyDescent="0.2">
      <c r="A444" s="345">
        <v>41029</v>
      </c>
      <c r="B444" s="14">
        <f t="shared" si="0"/>
        <v>-1.2587699999999999</v>
      </c>
      <c r="C444" s="8">
        <v>516539380.92000002</v>
      </c>
      <c r="D444" s="14">
        <v>-1.2587699999999999</v>
      </c>
      <c r="E444" s="14">
        <f>B444-Index_Returns!K444</f>
        <v>3.1099999999999461E-3</v>
      </c>
      <c r="H444" s="1311"/>
    </row>
    <row r="445" spans="1:8" x14ac:dyDescent="0.2">
      <c r="A445" s="345">
        <v>41060</v>
      </c>
      <c r="B445" s="14">
        <f t="shared" si="0"/>
        <v>-6.2821800000000003</v>
      </c>
      <c r="C445" s="8">
        <v>484089435.92000002</v>
      </c>
      <c r="D445" s="14">
        <v>-6.2821800000000003</v>
      </c>
      <c r="E445" s="14">
        <f>B445-Index_Returns!K445</f>
        <v>-1.1740000000000528E-2</v>
      </c>
      <c r="H445" s="1311"/>
    </row>
    <row r="446" spans="1:8" x14ac:dyDescent="0.2">
      <c r="A446" s="345">
        <v>41090</v>
      </c>
      <c r="B446" s="14">
        <f t="shared" si="0"/>
        <v>4.1970299999999998</v>
      </c>
      <c r="C446" s="8">
        <v>504406815.14999998</v>
      </c>
      <c r="D446" s="14">
        <v>4.1970299999999998</v>
      </c>
      <c r="E446" s="14">
        <f>B446-Index_Returns!K446</f>
        <v>1.3429999999999609E-2</v>
      </c>
      <c r="H446" s="1311"/>
    </row>
    <row r="447" spans="1:8" x14ac:dyDescent="0.2">
      <c r="A447" s="345">
        <v>41121</v>
      </c>
      <c r="B447" s="14">
        <f t="shared" si="0"/>
        <v>-0.75982000000000005</v>
      </c>
      <c r="C447" s="8">
        <v>500574257.61000001</v>
      </c>
      <c r="D447" s="14">
        <v>-0.75982000000000005</v>
      </c>
      <c r="E447" s="14">
        <f>B447-Index_Returns!K447</f>
        <v>6.4199999999999813E-3</v>
      </c>
      <c r="H447" s="1311"/>
    </row>
    <row r="448" spans="1:8" x14ac:dyDescent="0.2">
      <c r="A448" s="345">
        <v>41152</v>
      </c>
      <c r="B448" s="14">
        <f t="shared" si="0"/>
        <v>3.7744399999999998</v>
      </c>
      <c r="C448" s="8">
        <v>497707502.32999998</v>
      </c>
      <c r="D448" s="1311">
        <v>3.7744399999999998</v>
      </c>
      <c r="E448" s="14">
        <f>B448-Index_Returns!K448</f>
        <v>-1.4350000000000307E-2</v>
      </c>
      <c r="H448" s="1311"/>
    </row>
    <row r="449" spans="1:8" x14ac:dyDescent="0.2">
      <c r="A449" s="345">
        <v>41182</v>
      </c>
      <c r="B449" s="14">
        <f t="shared" si="0"/>
        <v>2.24186</v>
      </c>
      <c r="C449" s="8">
        <v>504498542.66000003</v>
      </c>
      <c r="D449" s="1311">
        <v>2.24186</v>
      </c>
      <c r="E449" s="14">
        <f>B449-Index_Returns!K449</f>
        <v>-9.0500000000000025E-2</v>
      </c>
      <c r="H449" s="1311"/>
    </row>
    <row r="450" spans="1:8" x14ac:dyDescent="0.2">
      <c r="A450" s="345">
        <v>41213</v>
      </c>
      <c r="B450" s="14">
        <f t="shared" si="0"/>
        <v>-2.0062500000000001</v>
      </c>
      <c r="C450" s="8">
        <v>473373464.75999999</v>
      </c>
      <c r="D450" s="1311">
        <v>-2.0062500000000001</v>
      </c>
      <c r="E450" s="14">
        <f>B450-Index_Returns!K450</f>
        <v>2.3949999999999694E-2</v>
      </c>
      <c r="H450" s="1311"/>
    </row>
    <row r="451" spans="1:8" x14ac:dyDescent="0.2">
      <c r="A451" s="345">
        <v>41243</v>
      </c>
      <c r="B451" s="14">
        <f t="shared" si="0"/>
        <v>1.04396</v>
      </c>
      <c r="C451" s="8">
        <v>458142953.64999998</v>
      </c>
      <c r="D451" s="14">
        <v>1.04396</v>
      </c>
      <c r="E451" s="14">
        <f>B451-Index_Returns!K451</f>
        <v>4.5769999999999977E-2</v>
      </c>
      <c r="H451" s="1311"/>
    </row>
    <row r="452" spans="1:8" x14ac:dyDescent="0.2">
      <c r="A452" s="345">
        <v>41274</v>
      </c>
      <c r="B452" s="14">
        <f t="shared" si="0"/>
        <v>3.3098200000000002</v>
      </c>
      <c r="C452" s="8">
        <v>473304762.66000003</v>
      </c>
      <c r="D452" s="1311">
        <v>3.3098200000000002</v>
      </c>
      <c r="E452" s="14">
        <f>B452-Index_Returns!K452</f>
        <v>6.3100000000000378E-3</v>
      </c>
      <c r="H452" s="1311"/>
    </row>
    <row r="453" spans="1:8" x14ac:dyDescent="0.2">
      <c r="A453" s="345">
        <v>41305</v>
      </c>
      <c r="B453" s="14">
        <f t="shared" si="0"/>
        <v>5.7783699999999998</v>
      </c>
      <c r="C453" s="8">
        <v>500655345.68000001</v>
      </c>
      <c r="D453" s="1311">
        <v>5.7783699999999998</v>
      </c>
      <c r="E453" s="14">
        <f>B453-Index_Returns!K453</f>
        <v>-1.8999999999991246E-4</v>
      </c>
      <c r="H453" s="1311"/>
    </row>
    <row r="454" spans="1:8" x14ac:dyDescent="0.2">
      <c r="A454" s="345">
        <v>41333</v>
      </c>
      <c r="B454" s="14">
        <f t="shared" si="0"/>
        <v>1.3844700000000001</v>
      </c>
      <c r="C454" s="8">
        <v>505273092.60000002</v>
      </c>
      <c r="D454" s="1311">
        <v>1.3844700000000001</v>
      </c>
      <c r="E454" s="14">
        <f>B454-Index_Returns!K454</f>
        <v>-2.3139999999999938E-2</v>
      </c>
      <c r="H454" s="1311"/>
    </row>
    <row r="455" spans="1:8" x14ac:dyDescent="0.2">
      <c r="A455" s="345">
        <v>41364</v>
      </c>
      <c r="B455" s="14">
        <f t="shared" si="0"/>
        <v>4.2275700000000001</v>
      </c>
      <c r="C455" s="8">
        <v>513133820.06999999</v>
      </c>
      <c r="D455" s="1311">
        <v>4.2275700000000001</v>
      </c>
      <c r="E455" s="14">
        <f>B455-Index_Returns!K455</f>
        <v>-8.1899999999999196E-3</v>
      </c>
      <c r="H455" s="1311"/>
    </row>
    <row r="456" spans="1:8" x14ac:dyDescent="0.2">
      <c r="A456" s="345">
        <v>41394</v>
      </c>
      <c r="B456" s="14">
        <f t="shared" si="0"/>
        <v>-0.26905000000000001</v>
      </c>
      <c r="C456" s="8">
        <v>511752938.30000001</v>
      </c>
      <c r="D456" s="1311">
        <v>-0.26905000000000001</v>
      </c>
      <c r="E456" s="14">
        <f>B456-Index_Returns!K456</f>
        <v>-3.2099999999999906E-3</v>
      </c>
      <c r="H456" s="1311"/>
    </row>
    <row r="457" spans="1:8" x14ac:dyDescent="0.2">
      <c r="A457" s="345">
        <v>41425</v>
      </c>
      <c r="B457" s="14">
        <f t="shared" si="0"/>
        <v>4.3252499999999996</v>
      </c>
      <c r="C457" s="8">
        <v>533887283.57999998</v>
      </c>
      <c r="D457" s="1311">
        <v>4.3252499999999996</v>
      </c>
      <c r="E457" s="14">
        <f>B457-Index_Returns!K457</f>
        <v>-2.2460000000000591E-2</v>
      </c>
      <c r="H457" s="1311"/>
    </row>
    <row r="458" spans="1:8" x14ac:dyDescent="0.2">
      <c r="A458" s="345">
        <v>41455</v>
      </c>
      <c r="B458" s="14">
        <f t="shared" si="0"/>
        <v>-0.15656</v>
      </c>
      <c r="C458" s="1419">
        <v>533053332.94999999</v>
      </c>
      <c r="D458" s="1301">
        <v>-0.15656</v>
      </c>
      <c r="E458" s="14">
        <f>B458-Index_Returns!K458</f>
        <v>-1.0660000000000003E-2</v>
      </c>
      <c r="H458" s="1311"/>
    </row>
    <row r="459" spans="1:8" x14ac:dyDescent="0.2">
      <c r="A459" s="345">
        <v>41486</v>
      </c>
      <c r="B459" s="14">
        <f t="shared" si="0"/>
        <v>6.8277900000000002</v>
      </c>
      <c r="C459" s="8">
        <v>568245079.55999994</v>
      </c>
      <c r="D459" s="14">
        <v>6.8277900000000002</v>
      </c>
      <c r="E459" s="14">
        <f>B459-Index_Returns!K459</f>
        <v>-1.6840000000000188E-2</v>
      </c>
      <c r="H459" s="1311"/>
    </row>
    <row r="460" spans="1:8" x14ac:dyDescent="0.2">
      <c r="A460" s="345">
        <v>41517</v>
      </c>
      <c r="B460" s="14">
        <f t="shared" si="0"/>
        <v>-2.4474100000000001</v>
      </c>
      <c r="C460" s="8">
        <v>554337776.26999998</v>
      </c>
      <c r="D460" s="14">
        <v>-2.4474100000000001</v>
      </c>
      <c r="E460" s="14">
        <f>B460-Index_Returns!K460</f>
        <v>-1.1179999999999968E-2</v>
      </c>
    </row>
    <row r="461" spans="1:8" x14ac:dyDescent="0.2">
      <c r="A461" s="345">
        <v>41547</v>
      </c>
      <c r="B461" s="14">
        <f t="shared" si="0"/>
        <v>6.2469099999999997</v>
      </c>
      <c r="C461" s="8">
        <v>588966762.83000004</v>
      </c>
      <c r="D461" s="14">
        <v>6.2469099999999997</v>
      </c>
      <c r="E461" s="14">
        <f>B461-Index_Returns!K461</f>
        <v>2.0299999999999763E-2</v>
      </c>
    </row>
    <row r="462" spans="1:8" x14ac:dyDescent="0.2">
      <c r="A462" s="345">
        <v>41578</v>
      </c>
      <c r="B462" s="14">
        <f t="shared" si="0"/>
        <v>3.55416</v>
      </c>
      <c r="C462" s="8">
        <v>563456138.45000005</v>
      </c>
      <c r="D462" s="14">
        <v>3.55416</v>
      </c>
      <c r="E462" s="14">
        <f>B462-Index_Returns!K462</f>
        <v>-5.3389999999999826E-2</v>
      </c>
    </row>
    <row r="463" spans="1:8" x14ac:dyDescent="0.2">
      <c r="A463" s="345">
        <v>41608</v>
      </c>
      <c r="B463" s="14">
        <f t="shared" si="0"/>
        <v>4.47492</v>
      </c>
      <c r="C463" s="8">
        <v>588670325.74000001</v>
      </c>
      <c r="D463" s="14">
        <v>4.47492</v>
      </c>
      <c r="E463" s="14">
        <f>B463-Index_Returns!K463</f>
        <v>-2.0730000000000359E-2</v>
      </c>
    </row>
    <row r="464" spans="1:8" x14ac:dyDescent="0.2">
      <c r="A464" s="345">
        <v>41639</v>
      </c>
      <c r="B464" s="14">
        <f t="shared" si="0"/>
        <v>1.5291399999999999</v>
      </c>
      <c r="C464" s="8">
        <v>560619624.11000001</v>
      </c>
      <c r="D464" s="14">
        <v>1.5291399999999999</v>
      </c>
      <c r="E464" s="14">
        <f>B464-Index_Returns!K464</f>
        <v>8.1820000000000004E-2</v>
      </c>
    </row>
    <row r="465" spans="1:5" x14ac:dyDescent="0.2">
      <c r="A465" s="345">
        <v>41670</v>
      </c>
      <c r="B465" s="14">
        <f t="shared" si="0"/>
        <v>-3.8548900000000001</v>
      </c>
      <c r="C465" s="8">
        <v>539008379.89999998</v>
      </c>
      <c r="D465" s="14">
        <v>-3.8548900000000001</v>
      </c>
      <c r="E465" s="14">
        <f>B465-Index_Returns!K465</f>
        <v>1.9700000000000273E-3</v>
      </c>
    </row>
    <row r="466" spans="1:5" x14ac:dyDescent="0.2">
      <c r="A466" s="345">
        <v>41698</v>
      </c>
      <c r="B466" s="14">
        <f t="shared" si="0"/>
        <v>4.4323899999999998</v>
      </c>
      <c r="C466" s="8">
        <v>537077141.61000001</v>
      </c>
      <c r="D466" s="14">
        <v>4.4323899999999998</v>
      </c>
      <c r="E466" s="14">
        <f>B466-Index_Returns!K466</f>
        <v>-2.430000000000021E-2</v>
      </c>
    </row>
    <row r="467" spans="1:5" x14ac:dyDescent="0.2">
      <c r="A467" s="345">
        <v>41729</v>
      </c>
      <c r="B467" s="14">
        <f t="shared" si="0"/>
        <v>0.60209999999999997</v>
      </c>
      <c r="C467" s="8">
        <v>496208994.60000002</v>
      </c>
      <c r="D467" s="14">
        <v>0.60209999999999997</v>
      </c>
      <c r="E467" s="14">
        <f>B467-Index_Returns!K467</f>
        <v>-9.5899999999999985E-2</v>
      </c>
    </row>
    <row r="468" spans="1:5" x14ac:dyDescent="0.2">
      <c r="A468" s="345">
        <v>41759</v>
      </c>
      <c r="B468" s="14">
        <f t="shared" si="0"/>
        <v>-2.8028300000000002</v>
      </c>
      <c r="C468" s="8">
        <v>482301097.89999998</v>
      </c>
      <c r="D468" s="14">
        <v>-2.8028300000000002</v>
      </c>
      <c r="E468" s="14">
        <f>B468-Index_Returns!K468</f>
        <v>-1.1780000000000346E-2</v>
      </c>
    </row>
    <row r="469" spans="1:5" x14ac:dyDescent="0.2">
      <c r="A469" s="345">
        <v>41790</v>
      </c>
      <c r="B469" s="14">
        <f t="shared" si="0"/>
        <v>0.30043999999999998</v>
      </c>
      <c r="C469" s="8">
        <v>483750143.88999999</v>
      </c>
      <c r="D469" s="14">
        <v>0.30043999999999998</v>
      </c>
      <c r="E469" s="14">
        <f>B469-Index_Returns!K469</f>
        <v>3.0509999999999982E-2</v>
      </c>
    </row>
    <row r="470" spans="1:5" x14ac:dyDescent="0.2">
      <c r="A470" s="345">
        <v>41820</v>
      </c>
      <c r="B470" s="14">
        <f t="shared" si="0"/>
        <v>4.75481</v>
      </c>
      <c r="C470" s="8">
        <v>505131529.94999999</v>
      </c>
      <c r="D470" s="14">
        <v>4.75481</v>
      </c>
      <c r="E470" s="14">
        <f>B470-Index_Returns!K470</f>
        <v>4.0090000000000181E-2</v>
      </c>
    </row>
    <row r="471" spans="1:5" x14ac:dyDescent="0.2">
      <c r="A471" s="345">
        <v>41851</v>
      </c>
      <c r="B471" s="14">
        <f t="shared" si="0"/>
        <v>-5.5026999999999999</v>
      </c>
      <c r="C471" s="8">
        <v>477335660.43000001</v>
      </c>
      <c r="D471" s="14">
        <v>-5.5026999999999999</v>
      </c>
      <c r="E471" s="14">
        <f>B471-Index_Returns!K471</f>
        <v>-8.0400000000002692E-3</v>
      </c>
    </row>
    <row r="472" spans="1:5" x14ac:dyDescent="0.2">
      <c r="A472" s="345">
        <v>41882</v>
      </c>
      <c r="B472" s="14">
        <f t="shared" si="0"/>
        <v>4.3059500000000002</v>
      </c>
      <c r="C472" s="8">
        <v>477558967.30000001</v>
      </c>
      <c r="D472" s="14">
        <v>4.3059500000000002</v>
      </c>
      <c r="E472" s="14">
        <f>B472-Index_Returns!K472</f>
        <v>1.0970000000000368E-2</v>
      </c>
    </row>
    <row r="473" spans="1:5" x14ac:dyDescent="0.2">
      <c r="A473" s="345">
        <v>41912</v>
      </c>
      <c r="B473" s="14">
        <f t="shared" si="0"/>
        <v>0</v>
      </c>
      <c r="E473" s="14">
        <f>B473-Index_Returns!K473</f>
        <v>0</v>
      </c>
    </row>
    <row r="474" spans="1:5" x14ac:dyDescent="0.2">
      <c r="A474" s="345">
        <v>41943</v>
      </c>
      <c r="B474" s="14">
        <f t="shared" si="0"/>
        <v>0</v>
      </c>
      <c r="E474" s="14">
        <f>B474-Index_Returns!K474</f>
        <v>0</v>
      </c>
    </row>
    <row r="475" spans="1:5" x14ac:dyDescent="0.2">
      <c r="A475" s="345">
        <v>41973</v>
      </c>
      <c r="B475" s="14">
        <f t="shared" si="0"/>
        <v>0</v>
      </c>
      <c r="E475" s="14">
        <f>B475-Index_Returns!K475</f>
        <v>0</v>
      </c>
    </row>
    <row r="476" spans="1:5" x14ac:dyDescent="0.2">
      <c r="A476" s="345">
        <v>42004</v>
      </c>
      <c r="B476" s="14">
        <f t="shared" si="0"/>
        <v>0</v>
      </c>
      <c r="E476" s="14">
        <f>B476-Index_Returns!K476</f>
        <v>0</v>
      </c>
    </row>
    <row r="477" spans="1:5" x14ac:dyDescent="0.2">
      <c r="A477" s="345">
        <v>42035</v>
      </c>
      <c r="B477" s="14">
        <f t="shared" si="0"/>
        <v>0</v>
      </c>
      <c r="E477" s="14">
        <f>B477-Index_Returns!K477</f>
        <v>0</v>
      </c>
    </row>
    <row r="478" spans="1:5" x14ac:dyDescent="0.2">
      <c r="A478" s="345">
        <v>42063</v>
      </c>
      <c r="B478" s="14">
        <f t="shared" si="0"/>
        <v>0</v>
      </c>
      <c r="E478" s="14">
        <f>B478-Index_Returns!K478</f>
        <v>0</v>
      </c>
    </row>
    <row r="479" spans="1:5" x14ac:dyDescent="0.2">
      <c r="A479" s="345">
        <v>42094</v>
      </c>
      <c r="B479" s="14">
        <f t="shared" si="0"/>
        <v>0</v>
      </c>
      <c r="E479" s="14">
        <f>B479-Index_Returns!K479</f>
        <v>0</v>
      </c>
    </row>
    <row r="480" spans="1:5" x14ac:dyDescent="0.2">
      <c r="A480" s="345">
        <v>42124</v>
      </c>
      <c r="B480" s="14">
        <f t="shared" si="0"/>
        <v>0</v>
      </c>
      <c r="E480" s="14">
        <f>B480-Index_Returns!K480</f>
        <v>0</v>
      </c>
    </row>
    <row r="481" spans="1:5" x14ac:dyDescent="0.2">
      <c r="A481" s="345">
        <v>42155</v>
      </c>
      <c r="B481" s="14">
        <f t="shared" si="0"/>
        <v>0</v>
      </c>
      <c r="E481" s="14">
        <f>B481-Index_Returns!K481</f>
        <v>0</v>
      </c>
    </row>
    <row r="482" spans="1:5" x14ac:dyDescent="0.2">
      <c r="A482" s="345">
        <v>42185</v>
      </c>
      <c r="B482" s="14">
        <f t="shared" si="0"/>
        <v>0</v>
      </c>
      <c r="E482" s="14">
        <f>B482-Index_Returns!K482</f>
        <v>0</v>
      </c>
    </row>
    <row r="483" spans="1:5" x14ac:dyDescent="0.2">
      <c r="A483" s="345">
        <v>42216</v>
      </c>
      <c r="B483" s="14">
        <f t="shared" si="0"/>
        <v>0</v>
      </c>
      <c r="E483" s="14">
        <f>B483-Index_Returns!K483</f>
        <v>0</v>
      </c>
    </row>
    <row r="484" spans="1:5" x14ac:dyDescent="0.2">
      <c r="A484" s="345">
        <v>42247</v>
      </c>
      <c r="B484" s="14">
        <f t="shared" si="0"/>
        <v>0</v>
      </c>
      <c r="E484" s="14">
        <f>B484-Index_Returns!K484</f>
        <v>0</v>
      </c>
    </row>
    <row r="485" spans="1:5" x14ac:dyDescent="0.2">
      <c r="A485" s="345">
        <v>42277</v>
      </c>
      <c r="B485" s="14">
        <f t="shared" si="0"/>
        <v>0</v>
      </c>
      <c r="E485" s="14">
        <f>B485-Index_Returns!K485</f>
        <v>0</v>
      </c>
    </row>
    <row r="486" spans="1:5" x14ac:dyDescent="0.2">
      <c r="A486" s="345">
        <v>42308</v>
      </c>
      <c r="B486" s="14">
        <f t="shared" si="0"/>
        <v>0</v>
      </c>
      <c r="E486" s="14">
        <f>B486-Index_Returns!K486</f>
        <v>0</v>
      </c>
    </row>
    <row r="487" spans="1:5" x14ac:dyDescent="0.2">
      <c r="A487" s="345">
        <v>42338</v>
      </c>
      <c r="B487" s="14">
        <f t="shared" si="0"/>
        <v>0</v>
      </c>
      <c r="E487" s="14">
        <f>B487-Index_Returns!K487</f>
        <v>0</v>
      </c>
    </row>
    <row r="488" spans="1:5" x14ac:dyDescent="0.2">
      <c r="A488" s="345">
        <v>42369</v>
      </c>
      <c r="B488" s="14">
        <f t="shared" si="0"/>
        <v>0</v>
      </c>
      <c r="E488" s="14">
        <f>B488-Index_Returns!K488</f>
        <v>0</v>
      </c>
    </row>
    <row r="489" spans="1:5" x14ac:dyDescent="0.2">
      <c r="A489" s="21"/>
    </row>
    <row r="490" spans="1:5" x14ac:dyDescent="0.2">
      <c r="A490" s="21"/>
    </row>
    <row r="491" spans="1:5" x14ac:dyDescent="0.2">
      <c r="A491" s="21"/>
    </row>
    <row r="492" spans="1:5" x14ac:dyDescent="0.2">
      <c r="A492" s="21"/>
    </row>
    <row r="493" spans="1:5" x14ac:dyDescent="0.2">
      <c r="A493" s="21"/>
    </row>
    <row r="494" spans="1:5" x14ac:dyDescent="0.2">
      <c r="A494" s="21"/>
    </row>
    <row r="495" spans="1:5" x14ac:dyDescent="0.2">
      <c r="A495" s="21"/>
    </row>
    <row r="496" spans="1:5" x14ac:dyDescent="0.2">
      <c r="A496" s="21"/>
    </row>
    <row r="497" spans="1:1" x14ac:dyDescent="0.2">
      <c r="A497" s="21"/>
    </row>
    <row r="498" spans="1:1" x14ac:dyDescent="0.2">
      <c r="A498" s="21"/>
    </row>
    <row r="499" spans="1:1" x14ac:dyDescent="0.2">
      <c r="A499" s="21"/>
    </row>
    <row r="500" spans="1:1" x14ac:dyDescent="0.2">
      <c r="A500" s="21"/>
    </row>
    <row r="501" spans="1:1" x14ac:dyDescent="0.2">
      <c r="A501" s="21"/>
    </row>
    <row r="502" spans="1:1" x14ac:dyDescent="0.2">
      <c r="A502" s="21"/>
    </row>
    <row r="503" spans="1:1" x14ac:dyDescent="0.2">
      <c r="A503" s="21"/>
    </row>
    <row r="504" spans="1:1" x14ac:dyDescent="0.2">
      <c r="A504" s="21"/>
    </row>
    <row r="505" spans="1:1" x14ac:dyDescent="0.2">
      <c r="A505" s="21"/>
    </row>
    <row r="506" spans="1:1" x14ac:dyDescent="0.2">
      <c r="A506" s="21"/>
    </row>
    <row r="507" spans="1:1" x14ac:dyDescent="0.2">
      <c r="A507" s="21"/>
    </row>
    <row r="508" spans="1:1" x14ac:dyDescent="0.2">
      <c r="A508" s="21"/>
    </row>
    <row r="509" spans="1:1" x14ac:dyDescent="0.2">
      <c r="A509" s="21"/>
    </row>
    <row r="510" spans="1:1" x14ac:dyDescent="0.2">
      <c r="A510" s="21"/>
    </row>
    <row r="511" spans="1:1" x14ac:dyDescent="0.2">
      <c r="A511" s="21"/>
    </row>
    <row r="512" spans="1:1" x14ac:dyDescent="0.2">
      <c r="A512" s="21"/>
    </row>
    <row r="513" spans="1:1" x14ac:dyDescent="0.2">
      <c r="A513" s="21"/>
    </row>
    <row r="514" spans="1:1" x14ac:dyDescent="0.2">
      <c r="A514" s="21"/>
    </row>
    <row r="515" spans="1:1" x14ac:dyDescent="0.2">
      <c r="A515" s="21"/>
    </row>
    <row r="516" spans="1:1" x14ac:dyDescent="0.2">
      <c r="A516" s="21"/>
    </row>
    <row r="517" spans="1:1" x14ac:dyDescent="0.2">
      <c r="A517" s="21"/>
    </row>
    <row r="518" spans="1:1" x14ac:dyDescent="0.2">
      <c r="A518" s="21"/>
    </row>
    <row r="519" spans="1:1" x14ac:dyDescent="0.2">
      <c r="A519" s="21"/>
    </row>
    <row r="520" spans="1:1" x14ac:dyDescent="0.2">
      <c r="A520" s="21"/>
    </row>
    <row r="521" spans="1:1" x14ac:dyDescent="0.2">
      <c r="A521" s="21"/>
    </row>
    <row r="522" spans="1:1" x14ac:dyDescent="0.2">
      <c r="A522" s="21"/>
    </row>
    <row r="523" spans="1:1" x14ac:dyDescent="0.2">
      <c r="A523" s="21"/>
    </row>
    <row r="524" spans="1:1" x14ac:dyDescent="0.2">
      <c r="A524" s="21"/>
    </row>
    <row r="525" spans="1:1" x14ac:dyDescent="0.2">
      <c r="A525" s="21"/>
    </row>
    <row r="526" spans="1:1" x14ac:dyDescent="0.2">
      <c r="A526" s="21"/>
    </row>
    <row r="527" spans="1:1" x14ac:dyDescent="0.2">
      <c r="A527" s="21"/>
    </row>
    <row r="528" spans="1:1" x14ac:dyDescent="0.2">
      <c r="A528" s="21"/>
    </row>
    <row r="529" spans="1:1" x14ac:dyDescent="0.2">
      <c r="A529" s="21"/>
    </row>
    <row r="530" spans="1:1" x14ac:dyDescent="0.2">
      <c r="A530" s="21"/>
    </row>
    <row r="531" spans="1:1" x14ac:dyDescent="0.2">
      <c r="A531" s="21"/>
    </row>
    <row r="532" spans="1:1" x14ac:dyDescent="0.2">
      <c r="A532" s="21"/>
    </row>
    <row r="533" spans="1:1" x14ac:dyDescent="0.2">
      <c r="A533" s="21"/>
    </row>
    <row r="534" spans="1:1" x14ac:dyDescent="0.2">
      <c r="A534" s="21"/>
    </row>
    <row r="535" spans="1:1" x14ac:dyDescent="0.2">
      <c r="A535" s="21"/>
    </row>
    <row r="536" spans="1:1" x14ac:dyDescent="0.2">
      <c r="A536" s="21"/>
    </row>
    <row r="537" spans="1:1" x14ac:dyDescent="0.2">
      <c r="A537" s="21"/>
    </row>
    <row r="538" spans="1:1" x14ac:dyDescent="0.2">
      <c r="A538" s="21"/>
    </row>
    <row r="539" spans="1:1" x14ac:dyDescent="0.2">
      <c r="A539" s="21"/>
    </row>
    <row r="540" spans="1:1" x14ac:dyDescent="0.2">
      <c r="A540" s="21"/>
    </row>
    <row r="541" spans="1:1" x14ac:dyDescent="0.2">
      <c r="A541" s="21"/>
    </row>
    <row r="542" spans="1:1" x14ac:dyDescent="0.2">
      <c r="A542" s="21"/>
    </row>
    <row r="543" spans="1:1" x14ac:dyDescent="0.2">
      <c r="A543" s="21"/>
    </row>
    <row r="544" spans="1:1" x14ac:dyDescent="0.2">
      <c r="A544" s="21"/>
    </row>
    <row r="545" spans="1:1" x14ac:dyDescent="0.2">
      <c r="A545" s="21"/>
    </row>
    <row r="546" spans="1:1" x14ac:dyDescent="0.2">
      <c r="A546" s="21"/>
    </row>
    <row r="547" spans="1:1" x14ac:dyDescent="0.2">
      <c r="A547" s="21"/>
    </row>
    <row r="548" spans="1:1" x14ac:dyDescent="0.2">
      <c r="A548" s="21"/>
    </row>
    <row r="549" spans="1:1" x14ac:dyDescent="0.2">
      <c r="A549" s="21"/>
    </row>
    <row r="550" spans="1:1" x14ac:dyDescent="0.2">
      <c r="A550" s="21"/>
    </row>
    <row r="551" spans="1:1" x14ac:dyDescent="0.2">
      <c r="A551" s="21"/>
    </row>
    <row r="552" spans="1:1" x14ac:dyDescent="0.2">
      <c r="A552" s="21"/>
    </row>
    <row r="553" spans="1:1" x14ac:dyDescent="0.2">
      <c r="A553" s="21"/>
    </row>
    <row r="554" spans="1:1" x14ac:dyDescent="0.2">
      <c r="A554" s="21"/>
    </row>
    <row r="555" spans="1:1" x14ac:dyDescent="0.2">
      <c r="A555" s="21"/>
    </row>
    <row r="556" spans="1:1" x14ac:dyDescent="0.2">
      <c r="A556" s="21"/>
    </row>
    <row r="557" spans="1:1" x14ac:dyDescent="0.2">
      <c r="A557" s="21"/>
    </row>
    <row r="558" spans="1:1" x14ac:dyDescent="0.2">
      <c r="A558" s="21"/>
    </row>
    <row r="559" spans="1:1" x14ac:dyDescent="0.2">
      <c r="A559" s="21"/>
    </row>
    <row r="560" spans="1:1" x14ac:dyDescent="0.2">
      <c r="A560" s="21"/>
    </row>
    <row r="561" spans="1:1" x14ac:dyDescent="0.2">
      <c r="A561" s="21"/>
    </row>
    <row r="562" spans="1:1" x14ac:dyDescent="0.2">
      <c r="A562" s="21"/>
    </row>
    <row r="563" spans="1:1" x14ac:dyDescent="0.2">
      <c r="A563" s="21"/>
    </row>
    <row r="564" spans="1:1" x14ac:dyDescent="0.2">
      <c r="A564" s="21"/>
    </row>
    <row r="565" spans="1:1" x14ac:dyDescent="0.2">
      <c r="A565" s="21"/>
    </row>
    <row r="566" spans="1:1" x14ac:dyDescent="0.2">
      <c r="A566" s="21"/>
    </row>
    <row r="567" spans="1:1" x14ac:dyDescent="0.2">
      <c r="A567" s="21"/>
    </row>
    <row r="568" spans="1:1" x14ac:dyDescent="0.2">
      <c r="A568" s="21"/>
    </row>
    <row r="569" spans="1:1" x14ac:dyDescent="0.2">
      <c r="A569" s="21"/>
    </row>
    <row r="570" spans="1:1" x14ac:dyDescent="0.2">
      <c r="A570" s="21"/>
    </row>
    <row r="571" spans="1:1" x14ac:dyDescent="0.2">
      <c r="A571" s="21"/>
    </row>
    <row r="572" spans="1:1" x14ac:dyDescent="0.2">
      <c r="A572" s="21"/>
    </row>
    <row r="573" spans="1:1" x14ac:dyDescent="0.2">
      <c r="A573" s="21"/>
    </row>
    <row r="574" spans="1:1" x14ac:dyDescent="0.2">
      <c r="A574" s="21"/>
    </row>
    <row r="575" spans="1:1" x14ac:dyDescent="0.2">
      <c r="A575" s="21"/>
    </row>
    <row r="576" spans="1:1" x14ac:dyDescent="0.2">
      <c r="A576" s="21"/>
    </row>
    <row r="577" spans="1:1" x14ac:dyDescent="0.2">
      <c r="A577" s="21"/>
    </row>
    <row r="578" spans="1:1" x14ac:dyDescent="0.2">
      <c r="A578" s="21"/>
    </row>
    <row r="579" spans="1:1" x14ac:dyDescent="0.2">
      <c r="A579" s="21"/>
    </row>
    <row r="580" spans="1:1" x14ac:dyDescent="0.2">
      <c r="A580" s="21"/>
    </row>
    <row r="581" spans="1:1" x14ac:dyDescent="0.2">
      <c r="A581" s="21"/>
    </row>
    <row r="582" spans="1:1" x14ac:dyDescent="0.2">
      <c r="A582" s="21"/>
    </row>
    <row r="583" spans="1:1" x14ac:dyDescent="0.2">
      <c r="A583" s="21"/>
    </row>
    <row r="584" spans="1:1" x14ac:dyDescent="0.2">
      <c r="A584" s="21"/>
    </row>
    <row r="585" spans="1:1" x14ac:dyDescent="0.2">
      <c r="A585" s="21"/>
    </row>
    <row r="586" spans="1:1" x14ac:dyDescent="0.2">
      <c r="A586" s="21"/>
    </row>
    <row r="587" spans="1:1" x14ac:dyDescent="0.2">
      <c r="A587" s="21"/>
    </row>
    <row r="588" spans="1:1" x14ac:dyDescent="0.2">
      <c r="A588" s="21"/>
    </row>
    <row r="589" spans="1:1" x14ac:dyDescent="0.2">
      <c r="A589" s="21"/>
    </row>
    <row r="590" spans="1:1" x14ac:dyDescent="0.2">
      <c r="A590" s="21"/>
    </row>
    <row r="591" spans="1:1" x14ac:dyDescent="0.2">
      <c r="A591" s="21"/>
    </row>
    <row r="592" spans="1:1" x14ac:dyDescent="0.2">
      <c r="A592" s="21"/>
    </row>
    <row r="593" spans="1:1" x14ac:dyDescent="0.2">
      <c r="A593" s="21"/>
    </row>
    <row r="594" spans="1:1" x14ac:dyDescent="0.2">
      <c r="A594" s="21"/>
    </row>
    <row r="595" spans="1:1" x14ac:dyDescent="0.2">
      <c r="A595" s="21"/>
    </row>
    <row r="596" spans="1:1" x14ac:dyDescent="0.2">
      <c r="A596" s="21"/>
    </row>
    <row r="597" spans="1:1" x14ac:dyDescent="0.2">
      <c r="A597" s="21"/>
    </row>
    <row r="598" spans="1:1" x14ac:dyDescent="0.2">
      <c r="A598" s="21"/>
    </row>
    <row r="599" spans="1:1" x14ac:dyDescent="0.2">
      <c r="A599" s="21"/>
    </row>
    <row r="600" spans="1:1" x14ac:dyDescent="0.2">
      <c r="A600" s="21"/>
    </row>
    <row r="601" spans="1:1" x14ac:dyDescent="0.2">
      <c r="A601" s="21"/>
    </row>
    <row r="602" spans="1:1" x14ac:dyDescent="0.2">
      <c r="A602" s="21"/>
    </row>
    <row r="603" spans="1:1" x14ac:dyDescent="0.2">
      <c r="A603" s="21"/>
    </row>
    <row r="604" spans="1:1" x14ac:dyDescent="0.2">
      <c r="A604" s="21"/>
    </row>
    <row r="605" spans="1:1" x14ac:dyDescent="0.2">
      <c r="A605" s="21"/>
    </row>
    <row r="606" spans="1:1" x14ac:dyDescent="0.2">
      <c r="A606" s="21"/>
    </row>
    <row r="607" spans="1:1" x14ac:dyDescent="0.2">
      <c r="A607" s="21"/>
    </row>
    <row r="608" spans="1:1" x14ac:dyDescent="0.2">
      <c r="A608" s="21"/>
    </row>
    <row r="609" spans="1:1" x14ac:dyDescent="0.2">
      <c r="A609" s="21"/>
    </row>
    <row r="610" spans="1:1" x14ac:dyDescent="0.2">
      <c r="A610" s="21"/>
    </row>
    <row r="611" spans="1:1" x14ac:dyDescent="0.2">
      <c r="A611" s="21"/>
    </row>
    <row r="612" spans="1:1" x14ac:dyDescent="0.2">
      <c r="A612" s="21"/>
    </row>
    <row r="613" spans="1:1" x14ac:dyDescent="0.2">
      <c r="A613" s="21"/>
    </row>
    <row r="614" spans="1:1" x14ac:dyDescent="0.2">
      <c r="A614" s="21"/>
    </row>
    <row r="615" spans="1:1" x14ac:dyDescent="0.2">
      <c r="A615" s="21"/>
    </row>
    <row r="616" spans="1:1" x14ac:dyDescent="0.2">
      <c r="A616" s="21"/>
    </row>
    <row r="617" spans="1:1" x14ac:dyDescent="0.2">
      <c r="A617" s="21"/>
    </row>
    <row r="618" spans="1:1" x14ac:dyDescent="0.2">
      <c r="A618" s="21"/>
    </row>
    <row r="619" spans="1:1" x14ac:dyDescent="0.2">
      <c r="A619" s="21"/>
    </row>
    <row r="620" spans="1:1" x14ac:dyDescent="0.2">
      <c r="A620" s="21"/>
    </row>
    <row r="621" spans="1:1" x14ac:dyDescent="0.2">
      <c r="A621" s="21"/>
    </row>
    <row r="622" spans="1:1" x14ac:dyDescent="0.2">
      <c r="A622" s="21"/>
    </row>
    <row r="623" spans="1:1" x14ac:dyDescent="0.2">
      <c r="A623" s="21"/>
    </row>
    <row r="624" spans="1:1" x14ac:dyDescent="0.2">
      <c r="A624" s="21"/>
    </row>
    <row r="625" spans="1:1" x14ac:dyDescent="0.2">
      <c r="A625" s="21"/>
    </row>
    <row r="626" spans="1:1" x14ac:dyDescent="0.2">
      <c r="A626" s="21"/>
    </row>
    <row r="627" spans="1:1" x14ac:dyDescent="0.2">
      <c r="A627" s="21"/>
    </row>
    <row r="628" spans="1:1" x14ac:dyDescent="0.2">
      <c r="A628" s="21"/>
    </row>
    <row r="629" spans="1:1" x14ac:dyDescent="0.2">
      <c r="A629" s="21"/>
    </row>
    <row r="630" spans="1:1" x14ac:dyDescent="0.2">
      <c r="A630" s="21"/>
    </row>
    <row r="631" spans="1:1" x14ac:dyDescent="0.2">
      <c r="A631" s="21"/>
    </row>
    <row r="632" spans="1:1" x14ac:dyDescent="0.2">
      <c r="A632" s="21"/>
    </row>
    <row r="633" spans="1:1" x14ac:dyDescent="0.2">
      <c r="A633" s="21"/>
    </row>
    <row r="634" spans="1:1" x14ac:dyDescent="0.2">
      <c r="A634" s="21"/>
    </row>
    <row r="635" spans="1:1" x14ac:dyDescent="0.2">
      <c r="A635" s="21"/>
    </row>
    <row r="636" spans="1:1" x14ac:dyDescent="0.2">
      <c r="A636" s="21"/>
    </row>
    <row r="637" spans="1:1" x14ac:dyDescent="0.2">
      <c r="A637" s="21"/>
    </row>
    <row r="638" spans="1:1" x14ac:dyDescent="0.2">
      <c r="A638" s="21"/>
    </row>
    <row r="639" spans="1:1" x14ac:dyDescent="0.2">
      <c r="A639" s="21"/>
    </row>
    <row r="640" spans="1:1" x14ac:dyDescent="0.2">
      <c r="A640" s="21"/>
    </row>
    <row r="641" spans="1:1" x14ac:dyDescent="0.2">
      <c r="A641" s="21"/>
    </row>
    <row r="642" spans="1:1" x14ac:dyDescent="0.2">
      <c r="A642" s="21"/>
    </row>
    <row r="643" spans="1:1" x14ac:dyDescent="0.2">
      <c r="A643" s="21"/>
    </row>
    <row r="644" spans="1:1" x14ac:dyDescent="0.2">
      <c r="A644" s="21"/>
    </row>
    <row r="645" spans="1:1" x14ac:dyDescent="0.2">
      <c r="A645" s="21"/>
    </row>
    <row r="646" spans="1:1" x14ac:dyDescent="0.2">
      <c r="A646" s="21"/>
    </row>
    <row r="647" spans="1:1" x14ac:dyDescent="0.2">
      <c r="A647" s="21"/>
    </row>
    <row r="648" spans="1:1" x14ac:dyDescent="0.2">
      <c r="A648" s="21"/>
    </row>
    <row r="649" spans="1:1" x14ac:dyDescent="0.2">
      <c r="A649" s="21"/>
    </row>
    <row r="650" spans="1:1" x14ac:dyDescent="0.2">
      <c r="A650" s="21"/>
    </row>
    <row r="651" spans="1:1" x14ac:dyDescent="0.2">
      <c r="A651" s="21"/>
    </row>
    <row r="652" spans="1:1" x14ac:dyDescent="0.2">
      <c r="A652" s="21"/>
    </row>
    <row r="653" spans="1:1" x14ac:dyDescent="0.2">
      <c r="A653" s="21"/>
    </row>
    <row r="654" spans="1:1" x14ac:dyDescent="0.2">
      <c r="A654" s="21"/>
    </row>
    <row r="655" spans="1:1" x14ac:dyDescent="0.2">
      <c r="A655" s="21"/>
    </row>
    <row r="656" spans="1:1" x14ac:dyDescent="0.2">
      <c r="A656" s="21"/>
    </row>
    <row r="657" spans="1:1" x14ac:dyDescent="0.2">
      <c r="A657" s="21"/>
    </row>
    <row r="658" spans="1:1" x14ac:dyDescent="0.2">
      <c r="A658" s="21"/>
    </row>
    <row r="659" spans="1:1" x14ac:dyDescent="0.2">
      <c r="A659" s="21"/>
    </row>
    <row r="660" spans="1:1" x14ac:dyDescent="0.2">
      <c r="A660" s="21"/>
    </row>
    <row r="661" spans="1:1" x14ac:dyDescent="0.2">
      <c r="A661" s="21"/>
    </row>
    <row r="662" spans="1:1" x14ac:dyDescent="0.2">
      <c r="A662" s="21"/>
    </row>
    <row r="663" spans="1:1" x14ac:dyDescent="0.2">
      <c r="A663" s="21"/>
    </row>
    <row r="664" spans="1:1" x14ac:dyDescent="0.2">
      <c r="A664" s="21"/>
    </row>
    <row r="665" spans="1:1" x14ac:dyDescent="0.2">
      <c r="A665" s="21"/>
    </row>
    <row r="666" spans="1:1" x14ac:dyDescent="0.2">
      <c r="A666" s="21"/>
    </row>
    <row r="667" spans="1:1" x14ac:dyDescent="0.2">
      <c r="A667" s="21"/>
    </row>
    <row r="668" spans="1:1" x14ac:dyDescent="0.2">
      <c r="A668" s="21"/>
    </row>
    <row r="669" spans="1:1" x14ac:dyDescent="0.2">
      <c r="A669" s="21"/>
    </row>
    <row r="670" spans="1:1" x14ac:dyDescent="0.2">
      <c r="A670" s="21"/>
    </row>
    <row r="671" spans="1:1" x14ac:dyDescent="0.2">
      <c r="A671" s="21"/>
    </row>
    <row r="672" spans="1:1" x14ac:dyDescent="0.2">
      <c r="A672" s="21"/>
    </row>
    <row r="673" spans="1:1" x14ac:dyDescent="0.2">
      <c r="A673" s="21"/>
    </row>
    <row r="674" spans="1:1" x14ac:dyDescent="0.2">
      <c r="A674" s="21"/>
    </row>
    <row r="675" spans="1:1" x14ac:dyDescent="0.2">
      <c r="A675" s="21"/>
    </row>
    <row r="676" spans="1:1" x14ac:dyDescent="0.2">
      <c r="A676" s="21"/>
    </row>
    <row r="677" spans="1:1" x14ac:dyDescent="0.2">
      <c r="A677" s="21"/>
    </row>
    <row r="678" spans="1:1" x14ac:dyDescent="0.2">
      <c r="A678" s="21"/>
    </row>
    <row r="679" spans="1:1" x14ac:dyDescent="0.2">
      <c r="A679" s="21"/>
    </row>
    <row r="680" spans="1:1" x14ac:dyDescent="0.2">
      <c r="A680" s="21"/>
    </row>
    <row r="681" spans="1:1" x14ac:dyDescent="0.2">
      <c r="A681" s="21"/>
    </row>
    <row r="682" spans="1:1" x14ac:dyDescent="0.2">
      <c r="A682" s="21"/>
    </row>
    <row r="683" spans="1:1" x14ac:dyDescent="0.2">
      <c r="A683" s="21"/>
    </row>
    <row r="684" spans="1:1" x14ac:dyDescent="0.2">
      <c r="A684" s="21"/>
    </row>
    <row r="685" spans="1:1" x14ac:dyDescent="0.2">
      <c r="A685" s="21"/>
    </row>
    <row r="686" spans="1:1" x14ac:dyDescent="0.2">
      <c r="A686" s="21"/>
    </row>
    <row r="687" spans="1:1" x14ac:dyDescent="0.2">
      <c r="A687" s="21"/>
    </row>
    <row r="688" spans="1:1" x14ac:dyDescent="0.2">
      <c r="A688" s="21"/>
    </row>
    <row r="689" spans="1:1" x14ac:dyDescent="0.2">
      <c r="A689" s="21"/>
    </row>
    <row r="690" spans="1:1" x14ac:dyDescent="0.2">
      <c r="A690" s="21"/>
    </row>
    <row r="691" spans="1:1" x14ac:dyDescent="0.2">
      <c r="A691" s="21"/>
    </row>
    <row r="692" spans="1:1" x14ac:dyDescent="0.2">
      <c r="A692" s="21"/>
    </row>
    <row r="693" spans="1:1" x14ac:dyDescent="0.2">
      <c r="A693" s="21"/>
    </row>
    <row r="694" spans="1:1" x14ac:dyDescent="0.2">
      <c r="A694" s="21"/>
    </row>
    <row r="695" spans="1:1" x14ac:dyDescent="0.2">
      <c r="A695" s="21"/>
    </row>
    <row r="696" spans="1:1" x14ac:dyDescent="0.2">
      <c r="A696" s="21"/>
    </row>
    <row r="697" spans="1:1" x14ac:dyDescent="0.2">
      <c r="A697" s="21"/>
    </row>
    <row r="698" spans="1:1" x14ac:dyDescent="0.2">
      <c r="A698" s="21"/>
    </row>
    <row r="699" spans="1:1" x14ac:dyDescent="0.2">
      <c r="A699" s="21"/>
    </row>
    <row r="700" spans="1:1" x14ac:dyDescent="0.2">
      <c r="A700" s="21"/>
    </row>
    <row r="701" spans="1:1" x14ac:dyDescent="0.2">
      <c r="A701" s="21"/>
    </row>
    <row r="702" spans="1:1" x14ac:dyDescent="0.2">
      <c r="A702" s="21"/>
    </row>
    <row r="703" spans="1:1" x14ac:dyDescent="0.2">
      <c r="A703" s="21"/>
    </row>
    <row r="704" spans="1:1" x14ac:dyDescent="0.2">
      <c r="A704" s="21"/>
    </row>
    <row r="705" spans="1:1" x14ac:dyDescent="0.2">
      <c r="A705" s="21"/>
    </row>
    <row r="706" spans="1:1" x14ac:dyDescent="0.2">
      <c r="A706" s="21"/>
    </row>
    <row r="707" spans="1:1" x14ac:dyDescent="0.2">
      <c r="A707" s="21"/>
    </row>
    <row r="708" spans="1:1" x14ac:dyDescent="0.2">
      <c r="A708" s="21"/>
    </row>
    <row r="709" spans="1:1" x14ac:dyDescent="0.2">
      <c r="A709" s="21"/>
    </row>
    <row r="710" spans="1:1" x14ac:dyDescent="0.2">
      <c r="A710" s="21"/>
    </row>
    <row r="711" spans="1:1" x14ac:dyDescent="0.2">
      <c r="A711" s="21"/>
    </row>
    <row r="712" spans="1:1" x14ac:dyDescent="0.2">
      <c r="A712" s="21"/>
    </row>
    <row r="713" spans="1:1" x14ac:dyDescent="0.2">
      <c r="A713" s="21"/>
    </row>
    <row r="714" spans="1:1" x14ac:dyDescent="0.2">
      <c r="A714" s="21"/>
    </row>
    <row r="715" spans="1:1" x14ac:dyDescent="0.2">
      <c r="A715" s="21"/>
    </row>
    <row r="716" spans="1:1" x14ac:dyDescent="0.2">
      <c r="A716" s="21"/>
    </row>
    <row r="717" spans="1:1" x14ac:dyDescent="0.2">
      <c r="A717" s="21"/>
    </row>
    <row r="718" spans="1:1" x14ac:dyDescent="0.2">
      <c r="A718" s="21"/>
    </row>
    <row r="719" spans="1:1" x14ac:dyDescent="0.2">
      <c r="A719" s="21"/>
    </row>
    <row r="720" spans="1:1" x14ac:dyDescent="0.2">
      <c r="A720" s="21"/>
    </row>
  </sheetData>
  <phoneticPr fontId="3" type="noConversion"/>
  <pageMargins left="0.75" right="0.75" top="1" bottom="1" header="0.5" footer="0.5"/>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720"/>
  <sheetViews>
    <sheetView workbookViewId="0">
      <pane xSplit="1" ySplit="2" topLeftCell="B446" activePane="bottomRight" state="frozen"/>
      <selection pane="topRight" activeCell="B1" sqref="B1"/>
      <selection pane="bottomLeft" activeCell="A3" sqref="A3"/>
      <selection pane="bottomRight" activeCell="C472" sqref="C472:D472"/>
    </sheetView>
  </sheetViews>
  <sheetFormatPr defaultRowHeight="12.75" x14ac:dyDescent="0.2"/>
  <cols>
    <col min="1" max="1" width="18" customWidth="1"/>
    <col min="2" max="2" width="18" style="14" customWidth="1"/>
    <col min="3" max="3" width="18" style="8" customWidth="1"/>
    <col min="4" max="5" width="18" style="14" customWidth="1"/>
    <col min="7" max="7" width="15" bestFit="1" customWidth="1"/>
  </cols>
  <sheetData>
    <row r="1" spans="1:6" x14ac:dyDescent="0.2">
      <c r="A1" s="265" t="s">
        <v>352</v>
      </c>
      <c r="B1" s="321" t="s">
        <v>480</v>
      </c>
      <c r="C1" s="1381" t="s">
        <v>348</v>
      </c>
      <c r="D1" s="1370">
        <f>Fees!F144</f>
        <v>85</v>
      </c>
      <c r="E1" s="74" t="s">
        <v>81</v>
      </c>
      <c r="F1" s="1452" t="s">
        <v>758</v>
      </c>
    </row>
    <row r="2" spans="1:6" x14ac:dyDescent="0.2">
      <c r="A2" s="3" t="s">
        <v>27</v>
      </c>
      <c r="B2" s="71" t="s">
        <v>91</v>
      </c>
      <c r="C2" s="226" t="s">
        <v>92</v>
      </c>
      <c r="D2" s="71" t="s">
        <v>90</v>
      </c>
      <c r="E2" s="71" t="s">
        <v>80</v>
      </c>
    </row>
    <row r="3" spans="1:6" x14ac:dyDescent="0.2">
      <c r="A3" s="345">
        <v>27606</v>
      </c>
    </row>
    <row r="4" spans="1:6" x14ac:dyDescent="0.2">
      <c r="A4" s="345">
        <v>27637</v>
      </c>
    </row>
    <row r="5" spans="1:6" x14ac:dyDescent="0.2">
      <c r="A5" s="345">
        <v>27667</v>
      </c>
    </row>
    <row r="6" spans="1:6" x14ac:dyDescent="0.2">
      <c r="A6" s="345">
        <v>27698</v>
      </c>
    </row>
    <row r="7" spans="1:6" x14ac:dyDescent="0.2">
      <c r="A7" s="345">
        <v>27728</v>
      </c>
    </row>
    <row r="8" spans="1:6" x14ac:dyDescent="0.2">
      <c r="A8" s="345">
        <v>27759</v>
      </c>
    </row>
    <row r="9" spans="1:6" x14ac:dyDescent="0.2">
      <c r="A9" s="345">
        <v>27790</v>
      </c>
    </row>
    <row r="10" spans="1:6" x14ac:dyDescent="0.2">
      <c r="A10" s="345">
        <v>27819</v>
      </c>
    </row>
    <row r="11" spans="1:6" x14ac:dyDescent="0.2">
      <c r="A11" s="345">
        <v>27850</v>
      </c>
    </row>
    <row r="12" spans="1:6" x14ac:dyDescent="0.2">
      <c r="A12" s="345">
        <v>27880</v>
      </c>
    </row>
    <row r="13" spans="1:6" x14ac:dyDescent="0.2">
      <c r="A13" s="345">
        <v>27911</v>
      </c>
    </row>
    <row r="14" spans="1:6" x14ac:dyDescent="0.2">
      <c r="A14" s="345">
        <v>27941</v>
      </c>
    </row>
    <row r="15" spans="1:6" x14ac:dyDescent="0.2">
      <c r="A15" s="345">
        <v>27972</v>
      </c>
    </row>
    <row r="16" spans="1:6" x14ac:dyDescent="0.2">
      <c r="A16" s="345">
        <v>28003</v>
      </c>
    </row>
    <row r="17" spans="1:1" x14ac:dyDescent="0.2">
      <c r="A17" s="345">
        <v>28033</v>
      </c>
    </row>
    <row r="18" spans="1:1" x14ac:dyDescent="0.2">
      <c r="A18" s="345">
        <v>28064</v>
      </c>
    </row>
    <row r="19" spans="1:1" x14ac:dyDescent="0.2">
      <c r="A19" s="345">
        <v>28094</v>
      </c>
    </row>
    <row r="20" spans="1:1" x14ac:dyDescent="0.2">
      <c r="A20" s="345">
        <v>28125</v>
      </c>
    </row>
    <row r="21" spans="1:1" x14ac:dyDescent="0.2">
      <c r="A21" s="345">
        <v>28156</v>
      </c>
    </row>
    <row r="22" spans="1:1" x14ac:dyDescent="0.2">
      <c r="A22" s="345">
        <v>28184</v>
      </c>
    </row>
    <row r="23" spans="1:1" x14ac:dyDescent="0.2">
      <c r="A23" s="345">
        <v>28215</v>
      </c>
    </row>
    <row r="24" spans="1:1" x14ac:dyDescent="0.2">
      <c r="A24" s="345">
        <v>28245</v>
      </c>
    </row>
    <row r="25" spans="1:1" x14ac:dyDescent="0.2">
      <c r="A25" s="345">
        <v>28276</v>
      </c>
    </row>
    <row r="26" spans="1:1" x14ac:dyDescent="0.2">
      <c r="A26" s="345">
        <v>28306</v>
      </c>
    </row>
    <row r="27" spans="1:1" x14ac:dyDescent="0.2">
      <c r="A27" s="345">
        <v>28337</v>
      </c>
    </row>
    <row r="28" spans="1:1" x14ac:dyDescent="0.2">
      <c r="A28" s="345">
        <v>28368</v>
      </c>
    </row>
    <row r="29" spans="1:1" x14ac:dyDescent="0.2">
      <c r="A29" s="345">
        <v>28398</v>
      </c>
    </row>
    <row r="30" spans="1:1" x14ac:dyDescent="0.2">
      <c r="A30" s="345">
        <v>28429</v>
      </c>
    </row>
    <row r="31" spans="1:1" x14ac:dyDescent="0.2">
      <c r="A31" s="345">
        <v>28459</v>
      </c>
    </row>
    <row r="32" spans="1:1" x14ac:dyDescent="0.2">
      <c r="A32" s="345">
        <v>28490</v>
      </c>
    </row>
    <row r="33" spans="1:1" x14ac:dyDescent="0.2">
      <c r="A33" s="345">
        <v>28521</v>
      </c>
    </row>
    <row r="34" spans="1:1" x14ac:dyDescent="0.2">
      <c r="A34" s="345">
        <v>28549</v>
      </c>
    </row>
    <row r="35" spans="1:1" x14ac:dyDescent="0.2">
      <c r="A35" s="345">
        <v>28580</v>
      </c>
    </row>
    <row r="36" spans="1:1" x14ac:dyDescent="0.2">
      <c r="A36" s="345">
        <v>28610</v>
      </c>
    </row>
    <row r="37" spans="1:1" x14ac:dyDescent="0.2">
      <c r="A37" s="345">
        <v>28641</v>
      </c>
    </row>
    <row r="38" spans="1:1" x14ac:dyDescent="0.2">
      <c r="A38" s="345">
        <v>28671</v>
      </c>
    </row>
    <row r="39" spans="1:1" x14ac:dyDescent="0.2">
      <c r="A39" s="345">
        <v>28702</v>
      </c>
    </row>
    <row r="40" spans="1:1" x14ac:dyDescent="0.2">
      <c r="A40" s="345">
        <v>28733</v>
      </c>
    </row>
    <row r="41" spans="1:1" x14ac:dyDescent="0.2">
      <c r="A41" s="345">
        <v>28763</v>
      </c>
    </row>
    <row r="42" spans="1:1" x14ac:dyDescent="0.2">
      <c r="A42" s="345">
        <v>28794</v>
      </c>
    </row>
    <row r="43" spans="1:1" x14ac:dyDescent="0.2">
      <c r="A43" s="345">
        <v>28824</v>
      </c>
    </row>
    <row r="44" spans="1:1" x14ac:dyDescent="0.2">
      <c r="A44" s="345">
        <v>28855</v>
      </c>
    </row>
    <row r="45" spans="1:1" x14ac:dyDescent="0.2">
      <c r="A45" s="345">
        <v>28886</v>
      </c>
    </row>
    <row r="46" spans="1:1" x14ac:dyDescent="0.2">
      <c r="A46" s="345">
        <v>28914</v>
      </c>
    </row>
    <row r="47" spans="1:1" x14ac:dyDescent="0.2">
      <c r="A47" s="345">
        <v>28945</v>
      </c>
    </row>
    <row r="48" spans="1:1" x14ac:dyDescent="0.2">
      <c r="A48" s="345">
        <v>28975</v>
      </c>
    </row>
    <row r="49" spans="1:1" x14ac:dyDescent="0.2">
      <c r="A49" s="345">
        <v>29006</v>
      </c>
    </row>
    <row r="50" spans="1:1" x14ac:dyDescent="0.2">
      <c r="A50" s="345">
        <v>29036</v>
      </c>
    </row>
    <row r="51" spans="1:1" x14ac:dyDescent="0.2">
      <c r="A51" s="345">
        <v>29067</v>
      </c>
    </row>
    <row r="52" spans="1:1" x14ac:dyDescent="0.2">
      <c r="A52" s="345">
        <v>29098</v>
      </c>
    </row>
    <row r="53" spans="1:1" x14ac:dyDescent="0.2">
      <c r="A53" s="345">
        <v>29128</v>
      </c>
    </row>
    <row r="54" spans="1:1" x14ac:dyDescent="0.2">
      <c r="A54" s="345">
        <v>29159</v>
      </c>
    </row>
    <row r="55" spans="1:1" x14ac:dyDescent="0.2">
      <c r="A55" s="345">
        <v>29189</v>
      </c>
    </row>
    <row r="56" spans="1:1" x14ac:dyDescent="0.2">
      <c r="A56" s="345">
        <v>29220</v>
      </c>
    </row>
    <row r="57" spans="1:1" x14ac:dyDescent="0.2">
      <c r="A57" s="345">
        <v>29251</v>
      </c>
    </row>
    <row r="58" spans="1:1" x14ac:dyDescent="0.2">
      <c r="A58" s="345">
        <v>29280</v>
      </c>
    </row>
    <row r="59" spans="1:1" x14ac:dyDescent="0.2">
      <c r="A59" s="345">
        <v>29311</v>
      </c>
    </row>
    <row r="60" spans="1:1" x14ac:dyDescent="0.2">
      <c r="A60" s="345">
        <v>29341</v>
      </c>
    </row>
    <row r="61" spans="1:1" x14ac:dyDescent="0.2">
      <c r="A61" s="345">
        <v>29372</v>
      </c>
    </row>
    <row r="62" spans="1:1" x14ac:dyDescent="0.2">
      <c r="A62" s="345">
        <v>29402</v>
      </c>
    </row>
    <row r="63" spans="1:1" x14ac:dyDescent="0.2">
      <c r="A63" s="345">
        <v>29433</v>
      </c>
    </row>
    <row r="64" spans="1:1" x14ac:dyDescent="0.2">
      <c r="A64" s="345">
        <v>29464</v>
      </c>
    </row>
    <row r="65" spans="1:1" x14ac:dyDescent="0.2">
      <c r="A65" s="345">
        <v>29494</v>
      </c>
    </row>
    <row r="66" spans="1:1" x14ac:dyDescent="0.2">
      <c r="A66" s="345">
        <v>29525</v>
      </c>
    </row>
    <row r="67" spans="1:1" x14ac:dyDescent="0.2">
      <c r="A67" s="345">
        <v>29555</v>
      </c>
    </row>
    <row r="68" spans="1:1" x14ac:dyDescent="0.2">
      <c r="A68" s="345">
        <v>29586</v>
      </c>
    </row>
    <row r="69" spans="1:1" x14ac:dyDescent="0.2">
      <c r="A69" s="345">
        <v>29617</v>
      </c>
    </row>
    <row r="70" spans="1:1" x14ac:dyDescent="0.2">
      <c r="A70" s="345">
        <v>29645</v>
      </c>
    </row>
    <row r="71" spans="1:1" x14ac:dyDescent="0.2">
      <c r="A71" s="345">
        <v>29676</v>
      </c>
    </row>
    <row r="72" spans="1:1" x14ac:dyDescent="0.2">
      <c r="A72" s="345">
        <v>29706</v>
      </c>
    </row>
    <row r="73" spans="1:1" x14ac:dyDescent="0.2">
      <c r="A73" s="345">
        <v>29737</v>
      </c>
    </row>
    <row r="74" spans="1:1" x14ac:dyDescent="0.2">
      <c r="A74" s="345">
        <v>29767</v>
      </c>
    </row>
    <row r="75" spans="1:1" x14ac:dyDescent="0.2">
      <c r="A75" s="345">
        <v>29798</v>
      </c>
    </row>
    <row r="76" spans="1:1" x14ac:dyDescent="0.2">
      <c r="A76" s="345">
        <v>29829</v>
      </c>
    </row>
    <row r="77" spans="1:1" x14ac:dyDescent="0.2">
      <c r="A77" s="345">
        <v>29859</v>
      </c>
    </row>
    <row r="78" spans="1:1" x14ac:dyDescent="0.2">
      <c r="A78" s="345">
        <v>29890</v>
      </c>
    </row>
    <row r="79" spans="1:1" x14ac:dyDescent="0.2">
      <c r="A79" s="345">
        <v>29920</v>
      </c>
    </row>
    <row r="80" spans="1:1" x14ac:dyDescent="0.2">
      <c r="A80" s="345">
        <v>29951</v>
      </c>
    </row>
    <row r="81" spans="1:1" x14ac:dyDescent="0.2">
      <c r="A81" s="345">
        <v>29982</v>
      </c>
    </row>
    <row r="82" spans="1:1" x14ac:dyDescent="0.2">
      <c r="A82" s="345">
        <v>30010</v>
      </c>
    </row>
    <row r="83" spans="1:1" x14ac:dyDescent="0.2">
      <c r="A83" s="345">
        <v>30041</v>
      </c>
    </row>
    <row r="84" spans="1:1" x14ac:dyDescent="0.2">
      <c r="A84" s="345">
        <v>30071</v>
      </c>
    </row>
    <row r="85" spans="1:1" x14ac:dyDescent="0.2">
      <c r="A85" s="345">
        <v>30102</v>
      </c>
    </row>
    <row r="86" spans="1:1" x14ac:dyDescent="0.2">
      <c r="A86" s="345">
        <v>30132</v>
      </c>
    </row>
    <row r="87" spans="1:1" x14ac:dyDescent="0.2">
      <c r="A87" s="345">
        <v>30163</v>
      </c>
    </row>
    <row r="88" spans="1:1" x14ac:dyDescent="0.2">
      <c r="A88" s="345">
        <v>30194</v>
      </c>
    </row>
    <row r="89" spans="1:1" x14ac:dyDescent="0.2">
      <c r="A89" s="345">
        <v>30224</v>
      </c>
    </row>
    <row r="90" spans="1:1" x14ac:dyDescent="0.2">
      <c r="A90" s="345">
        <v>30255</v>
      </c>
    </row>
    <row r="91" spans="1:1" x14ac:dyDescent="0.2">
      <c r="A91" s="345">
        <v>30285</v>
      </c>
    </row>
    <row r="92" spans="1:1" x14ac:dyDescent="0.2">
      <c r="A92" s="345">
        <v>30316</v>
      </c>
    </row>
    <row r="93" spans="1:1" x14ac:dyDescent="0.2">
      <c r="A93" s="345">
        <v>30347</v>
      </c>
    </row>
    <row r="94" spans="1:1" x14ac:dyDescent="0.2">
      <c r="A94" s="345">
        <v>30375</v>
      </c>
    </row>
    <row r="95" spans="1:1" x14ac:dyDescent="0.2">
      <c r="A95" s="345">
        <v>30406</v>
      </c>
    </row>
    <row r="96" spans="1:1" x14ac:dyDescent="0.2">
      <c r="A96" s="345">
        <v>30436</v>
      </c>
    </row>
    <row r="97" spans="1:1" x14ac:dyDescent="0.2">
      <c r="A97" s="345">
        <v>30467</v>
      </c>
    </row>
    <row r="98" spans="1:1" x14ac:dyDescent="0.2">
      <c r="A98" s="345">
        <v>30497</v>
      </c>
    </row>
    <row r="99" spans="1:1" x14ac:dyDescent="0.2">
      <c r="A99" s="345">
        <v>30528</v>
      </c>
    </row>
    <row r="100" spans="1:1" x14ac:dyDescent="0.2">
      <c r="A100" s="345">
        <v>30559</v>
      </c>
    </row>
    <row r="101" spans="1:1" x14ac:dyDescent="0.2">
      <c r="A101" s="345">
        <v>30589</v>
      </c>
    </row>
    <row r="102" spans="1:1" x14ac:dyDescent="0.2">
      <c r="A102" s="345">
        <v>30620</v>
      </c>
    </row>
    <row r="103" spans="1:1" x14ac:dyDescent="0.2">
      <c r="A103" s="345">
        <v>30650</v>
      </c>
    </row>
    <row r="104" spans="1:1" x14ac:dyDescent="0.2">
      <c r="A104" s="345">
        <v>30681</v>
      </c>
    </row>
    <row r="105" spans="1:1" x14ac:dyDescent="0.2">
      <c r="A105" s="345">
        <v>30712</v>
      </c>
    </row>
    <row r="106" spans="1:1" x14ac:dyDescent="0.2">
      <c r="A106" s="345">
        <v>30741</v>
      </c>
    </row>
    <row r="107" spans="1:1" x14ac:dyDescent="0.2">
      <c r="A107" s="345">
        <v>30772</v>
      </c>
    </row>
    <row r="108" spans="1:1" x14ac:dyDescent="0.2">
      <c r="A108" s="345">
        <v>30802</v>
      </c>
    </row>
    <row r="109" spans="1:1" x14ac:dyDescent="0.2">
      <c r="A109" s="345">
        <v>30833</v>
      </c>
    </row>
    <row r="110" spans="1:1" x14ac:dyDescent="0.2">
      <c r="A110" s="345">
        <v>30863</v>
      </c>
    </row>
    <row r="111" spans="1:1" x14ac:dyDescent="0.2">
      <c r="A111" s="345">
        <v>30894</v>
      </c>
    </row>
    <row r="112" spans="1:1" x14ac:dyDescent="0.2">
      <c r="A112" s="345">
        <v>30925</v>
      </c>
    </row>
    <row r="113" spans="1:1" x14ac:dyDescent="0.2">
      <c r="A113" s="345">
        <v>30955</v>
      </c>
    </row>
    <row r="114" spans="1:1" x14ac:dyDescent="0.2">
      <c r="A114" s="345">
        <v>30986</v>
      </c>
    </row>
    <row r="115" spans="1:1" x14ac:dyDescent="0.2">
      <c r="A115" s="345">
        <v>31016</v>
      </c>
    </row>
    <row r="116" spans="1:1" x14ac:dyDescent="0.2">
      <c r="A116" s="345">
        <v>31047</v>
      </c>
    </row>
    <row r="117" spans="1:1" x14ac:dyDescent="0.2">
      <c r="A117" s="345">
        <v>31078</v>
      </c>
    </row>
    <row r="118" spans="1:1" x14ac:dyDescent="0.2">
      <c r="A118" s="345">
        <v>31106</v>
      </c>
    </row>
    <row r="119" spans="1:1" x14ac:dyDescent="0.2">
      <c r="A119" s="345">
        <v>31137</v>
      </c>
    </row>
    <row r="120" spans="1:1" x14ac:dyDescent="0.2">
      <c r="A120" s="345">
        <v>31167</v>
      </c>
    </row>
    <row r="121" spans="1:1" x14ac:dyDescent="0.2">
      <c r="A121" s="345">
        <v>31198</v>
      </c>
    </row>
    <row r="122" spans="1:1" x14ac:dyDescent="0.2">
      <c r="A122" s="345">
        <v>31228</v>
      </c>
    </row>
    <row r="123" spans="1:1" x14ac:dyDescent="0.2">
      <c r="A123" s="345">
        <v>31259</v>
      </c>
    </row>
    <row r="124" spans="1:1" x14ac:dyDescent="0.2">
      <c r="A124" s="345">
        <v>31290</v>
      </c>
    </row>
    <row r="125" spans="1:1" x14ac:dyDescent="0.2">
      <c r="A125" s="345">
        <v>31320</v>
      </c>
    </row>
    <row r="126" spans="1:1" x14ac:dyDescent="0.2">
      <c r="A126" s="345">
        <v>31351</v>
      </c>
    </row>
    <row r="127" spans="1:1" x14ac:dyDescent="0.2">
      <c r="A127" s="345">
        <v>31381</v>
      </c>
    </row>
    <row r="128" spans="1:1" x14ac:dyDescent="0.2">
      <c r="A128" s="345">
        <v>31412</v>
      </c>
    </row>
    <row r="129" spans="1:1" x14ac:dyDescent="0.2">
      <c r="A129" s="345">
        <v>31443</v>
      </c>
    </row>
    <row r="130" spans="1:1" x14ac:dyDescent="0.2">
      <c r="A130" s="345">
        <v>31471</v>
      </c>
    </row>
    <row r="131" spans="1:1" x14ac:dyDescent="0.2">
      <c r="A131" s="345">
        <v>31502</v>
      </c>
    </row>
    <row r="132" spans="1:1" x14ac:dyDescent="0.2">
      <c r="A132" s="345">
        <v>31532</v>
      </c>
    </row>
    <row r="133" spans="1:1" x14ac:dyDescent="0.2">
      <c r="A133" s="345">
        <v>31563</v>
      </c>
    </row>
    <row r="134" spans="1:1" x14ac:dyDescent="0.2">
      <c r="A134" s="345">
        <v>31593</v>
      </c>
    </row>
    <row r="135" spans="1:1" x14ac:dyDescent="0.2">
      <c r="A135" s="345">
        <v>31624</v>
      </c>
    </row>
    <row r="136" spans="1:1" x14ac:dyDescent="0.2">
      <c r="A136" s="345">
        <v>31655</v>
      </c>
    </row>
    <row r="137" spans="1:1" x14ac:dyDescent="0.2">
      <c r="A137" s="345">
        <v>31685</v>
      </c>
    </row>
    <row r="138" spans="1:1" x14ac:dyDescent="0.2">
      <c r="A138" s="345">
        <v>31716</v>
      </c>
    </row>
    <row r="139" spans="1:1" x14ac:dyDescent="0.2">
      <c r="A139" s="345">
        <v>31746</v>
      </c>
    </row>
    <row r="140" spans="1:1" x14ac:dyDescent="0.2">
      <c r="A140" s="345">
        <v>31777</v>
      </c>
    </row>
    <row r="141" spans="1:1" x14ac:dyDescent="0.2">
      <c r="A141" s="345">
        <v>31808</v>
      </c>
    </row>
    <row r="142" spans="1:1" x14ac:dyDescent="0.2">
      <c r="A142" s="345">
        <v>31836</v>
      </c>
    </row>
    <row r="143" spans="1:1" x14ac:dyDescent="0.2">
      <c r="A143" s="345">
        <v>31867</v>
      </c>
    </row>
    <row r="144" spans="1:1" x14ac:dyDescent="0.2">
      <c r="A144" s="345">
        <v>31897</v>
      </c>
    </row>
    <row r="145" spans="1:1" x14ac:dyDescent="0.2">
      <c r="A145" s="345">
        <v>31928</v>
      </c>
    </row>
    <row r="146" spans="1:1" x14ac:dyDescent="0.2">
      <c r="A146" s="345">
        <v>31958</v>
      </c>
    </row>
    <row r="147" spans="1:1" x14ac:dyDescent="0.2">
      <c r="A147" s="345">
        <v>31989</v>
      </c>
    </row>
    <row r="148" spans="1:1" x14ac:dyDescent="0.2">
      <c r="A148" s="345">
        <v>32020</v>
      </c>
    </row>
    <row r="149" spans="1:1" x14ac:dyDescent="0.2">
      <c r="A149" s="345">
        <v>32050</v>
      </c>
    </row>
    <row r="150" spans="1:1" x14ac:dyDescent="0.2">
      <c r="A150" s="345">
        <v>32081</v>
      </c>
    </row>
    <row r="151" spans="1:1" x14ac:dyDescent="0.2">
      <c r="A151" s="345">
        <v>32111</v>
      </c>
    </row>
    <row r="152" spans="1:1" x14ac:dyDescent="0.2">
      <c r="A152" s="345">
        <v>32142</v>
      </c>
    </row>
    <row r="153" spans="1:1" x14ac:dyDescent="0.2">
      <c r="A153" s="345">
        <v>32173</v>
      </c>
    </row>
    <row r="154" spans="1:1" x14ac:dyDescent="0.2">
      <c r="A154" s="345">
        <v>32202</v>
      </c>
    </row>
    <row r="155" spans="1:1" x14ac:dyDescent="0.2">
      <c r="A155" s="345">
        <v>32233</v>
      </c>
    </row>
    <row r="156" spans="1:1" x14ac:dyDescent="0.2">
      <c r="A156" s="345">
        <v>32263</v>
      </c>
    </row>
    <row r="157" spans="1:1" x14ac:dyDescent="0.2">
      <c r="A157" s="345">
        <v>32294</v>
      </c>
    </row>
    <row r="158" spans="1:1" x14ac:dyDescent="0.2">
      <c r="A158" s="345">
        <v>32324</v>
      </c>
    </row>
    <row r="159" spans="1:1" x14ac:dyDescent="0.2">
      <c r="A159" s="345">
        <v>32355</v>
      </c>
    </row>
    <row r="160" spans="1:1" x14ac:dyDescent="0.2">
      <c r="A160" s="345">
        <v>32386</v>
      </c>
    </row>
    <row r="161" spans="1:1" x14ac:dyDescent="0.2">
      <c r="A161" s="345">
        <v>32416</v>
      </c>
    </row>
    <row r="162" spans="1:1" x14ac:dyDescent="0.2">
      <c r="A162" s="345">
        <v>32447</v>
      </c>
    </row>
    <row r="163" spans="1:1" x14ac:dyDescent="0.2">
      <c r="A163" s="345">
        <v>32477</v>
      </c>
    </row>
    <row r="164" spans="1:1" x14ac:dyDescent="0.2">
      <c r="A164" s="345">
        <v>32508</v>
      </c>
    </row>
    <row r="165" spans="1:1" x14ac:dyDescent="0.2">
      <c r="A165" s="345">
        <v>32539</v>
      </c>
    </row>
    <row r="166" spans="1:1" x14ac:dyDescent="0.2">
      <c r="A166" s="345">
        <v>32567</v>
      </c>
    </row>
    <row r="167" spans="1:1" x14ac:dyDescent="0.2">
      <c r="A167" s="345">
        <v>32598</v>
      </c>
    </row>
    <row r="168" spans="1:1" x14ac:dyDescent="0.2">
      <c r="A168" s="345">
        <v>32628</v>
      </c>
    </row>
    <row r="169" spans="1:1" x14ac:dyDescent="0.2">
      <c r="A169" s="345">
        <v>32659</v>
      </c>
    </row>
    <row r="170" spans="1:1" x14ac:dyDescent="0.2">
      <c r="A170" s="345">
        <v>32689</v>
      </c>
    </row>
    <row r="171" spans="1:1" x14ac:dyDescent="0.2">
      <c r="A171" s="345">
        <v>32720</v>
      </c>
    </row>
    <row r="172" spans="1:1" x14ac:dyDescent="0.2">
      <c r="A172" s="345">
        <v>32751</v>
      </c>
    </row>
    <row r="173" spans="1:1" x14ac:dyDescent="0.2">
      <c r="A173" s="345">
        <v>32781</v>
      </c>
    </row>
    <row r="174" spans="1:1" x14ac:dyDescent="0.2">
      <c r="A174" s="345">
        <v>32812</v>
      </c>
    </row>
    <row r="175" spans="1:1" x14ac:dyDescent="0.2">
      <c r="A175" s="345">
        <v>32842</v>
      </c>
    </row>
    <row r="176" spans="1:1" x14ac:dyDescent="0.2">
      <c r="A176" s="345">
        <v>32873</v>
      </c>
    </row>
    <row r="177" spans="1:1" x14ac:dyDescent="0.2">
      <c r="A177" s="345">
        <v>32904</v>
      </c>
    </row>
    <row r="178" spans="1:1" x14ac:dyDescent="0.2">
      <c r="A178" s="345">
        <v>32932</v>
      </c>
    </row>
    <row r="179" spans="1:1" x14ac:dyDescent="0.2">
      <c r="A179" s="345">
        <v>32963</v>
      </c>
    </row>
    <row r="180" spans="1:1" x14ac:dyDescent="0.2">
      <c r="A180" s="345">
        <v>32993</v>
      </c>
    </row>
    <row r="181" spans="1:1" x14ac:dyDescent="0.2">
      <c r="A181" s="345">
        <v>33024</v>
      </c>
    </row>
    <row r="182" spans="1:1" x14ac:dyDescent="0.2">
      <c r="A182" s="345">
        <v>33054</v>
      </c>
    </row>
    <row r="183" spans="1:1" x14ac:dyDescent="0.2">
      <c r="A183" s="345">
        <v>33085</v>
      </c>
    </row>
    <row r="184" spans="1:1" x14ac:dyDescent="0.2">
      <c r="A184" s="345">
        <v>33116</v>
      </c>
    </row>
    <row r="185" spans="1:1" x14ac:dyDescent="0.2">
      <c r="A185" s="345">
        <v>33146</v>
      </c>
    </row>
    <row r="186" spans="1:1" x14ac:dyDescent="0.2">
      <c r="A186" s="345">
        <v>33177</v>
      </c>
    </row>
    <row r="187" spans="1:1" x14ac:dyDescent="0.2">
      <c r="A187" s="345">
        <v>33207</v>
      </c>
    </row>
    <row r="188" spans="1:1" x14ac:dyDescent="0.2">
      <c r="A188" s="345">
        <v>33238</v>
      </c>
    </row>
    <row r="189" spans="1:1" x14ac:dyDescent="0.2">
      <c r="A189" s="345">
        <v>33269</v>
      </c>
    </row>
    <row r="190" spans="1:1" x14ac:dyDescent="0.2">
      <c r="A190" s="345">
        <v>33297</v>
      </c>
    </row>
    <row r="191" spans="1:1" x14ac:dyDescent="0.2">
      <c r="A191" s="345">
        <v>33328</v>
      </c>
    </row>
    <row r="192" spans="1:1" x14ac:dyDescent="0.2">
      <c r="A192" s="345">
        <v>33358</v>
      </c>
    </row>
    <row r="193" spans="1:1" x14ac:dyDescent="0.2">
      <c r="A193" s="345">
        <v>33389</v>
      </c>
    </row>
    <row r="194" spans="1:1" x14ac:dyDescent="0.2">
      <c r="A194" s="345">
        <v>33419</v>
      </c>
    </row>
    <row r="195" spans="1:1" x14ac:dyDescent="0.2">
      <c r="A195" s="345">
        <v>33450</v>
      </c>
    </row>
    <row r="196" spans="1:1" x14ac:dyDescent="0.2">
      <c r="A196" s="345">
        <v>33481</v>
      </c>
    </row>
    <row r="197" spans="1:1" x14ac:dyDescent="0.2">
      <c r="A197" s="345">
        <v>33511</v>
      </c>
    </row>
    <row r="198" spans="1:1" x14ac:dyDescent="0.2">
      <c r="A198" s="345">
        <v>33542</v>
      </c>
    </row>
    <row r="199" spans="1:1" x14ac:dyDescent="0.2">
      <c r="A199" s="345">
        <v>33572</v>
      </c>
    </row>
    <row r="200" spans="1:1" x14ac:dyDescent="0.2">
      <c r="A200" s="345">
        <v>33603</v>
      </c>
    </row>
    <row r="201" spans="1:1" x14ac:dyDescent="0.2">
      <c r="A201" s="345">
        <v>33634</v>
      </c>
    </row>
    <row r="202" spans="1:1" x14ac:dyDescent="0.2">
      <c r="A202" s="345">
        <v>33663</v>
      </c>
    </row>
    <row r="203" spans="1:1" x14ac:dyDescent="0.2">
      <c r="A203" s="345">
        <v>33694</v>
      </c>
    </row>
    <row r="204" spans="1:1" x14ac:dyDescent="0.2">
      <c r="A204" s="345">
        <v>33724</v>
      </c>
    </row>
    <row r="205" spans="1:1" x14ac:dyDescent="0.2">
      <c r="A205" s="345">
        <v>33755</v>
      </c>
    </row>
    <row r="206" spans="1:1" x14ac:dyDescent="0.2">
      <c r="A206" s="345">
        <v>33785</v>
      </c>
    </row>
    <row r="207" spans="1:1" x14ac:dyDescent="0.2">
      <c r="A207" s="345">
        <v>33816</v>
      </c>
    </row>
    <row r="208" spans="1:1" x14ac:dyDescent="0.2">
      <c r="A208" s="345">
        <v>33847</v>
      </c>
    </row>
    <row r="209" spans="1:1" x14ac:dyDescent="0.2">
      <c r="A209" s="345">
        <v>33877</v>
      </c>
    </row>
    <row r="210" spans="1:1" x14ac:dyDescent="0.2">
      <c r="A210" s="345">
        <v>33908</v>
      </c>
    </row>
    <row r="211" spans="1:1" x14ac:dyDescent="0.2">
      <c r="A211" s="345">
        <v>33938</v>
      </c>
    </row>
    <row r="212" spans="1:1" x14ac:dyDescent="0.2">
      <c r="A212" s="345">
        <v>33969</v>
      </c>
    </row>
    <row r="213" spans="1:1" x14ac:dyDescent="0.2">
      <c r="A213" s="345">
        <v>34000</v>
      </c>
    </row>
    <row r="214" spans="1:1" x14ac:dyDescent="0.2">
      <c r="A214" s="345">
        <v>34028</v>
      </c>
    </row>
    <row r="215" spans="1:1" x14ac:dyDescent="0.2">
      <c r="A215" s="345">
        <v>34059</v>
      </c>
    </row>
    <row r="216" spans="1:1" x14ac:dyDescent="0.2">
      <c r="A216" s="345">
        <v>34089</v>
      </c>
    </row>
    <row r="217" spans="1:1" x14ac:dyDescent="0.2">
      <c r="A217" s="345">
        <v>34120</v>
      </c>
    </row>
    <row r="218" spans="1:1" x14ac:dyDescent="0.2">
      <c r="A218" s="345">
        <v>34150</v>
      </c>
    </row>
    <row r="219" spans="1:1" x14ac:dyDescent="0.2">
      <c r="A219" s="345">
        <v>34181</v>
      </c>
    </row>
    <row r="220" spans="1:1" x14ac:dyDescent="0.2">
      <c r="A220" s="345">
        <v>34212</v>
      </c>
    </row>
    <row r="221" spans="1:1" x14ac:dyDescent="0.2">
      <c r="A221" s="345">
        <v>34242</v>
      </c>
    </row>
    <row r="222" spans="1:1" x14ac:dyDescent="0.2">
      <c r="A222" s="345">
        <v>34273</v>
      </c>
    </row>
    <row r="223" spans="1:1" x14ac:dyDescent="0.2">
      <c r="A223" s="345">
        <v>34303</v>
      </c>
    </row>
    <row r="224" spans="1:1" x14ac:dyDescent="0.2">
      <c r="A224" s="345">
        <v>34334</v>
      </c>
    </row>
    <row r="225" spans="1:1" x14ac:dyDescent="0.2">
      <c r="A225" s="345">
        <v>34365</v>
      </c>
    </row>
    <row r="226" spans="1:1" x14ac:dyDescent="0.2">
      <c r="A226" s="345">
        <v>34393</v>
      </c>
    </row>
    <row r="227" spans="1:1" x14ac:dyDescent="0.2">
      <c r="A227" s="345">
        <v>34424</v>
      </c>
    </row>
    <row r="228" spans="1:1" x14ac:dyDescent="0.2">
      <c r="A228" s="345">
        <v>34454</v>
      </c>
    </row>
    <row r="229" spans="1:1" x14ac:dyDescent="0.2">
      <c r="A229" s="345">
        <v>34485</v>
      </c>
    </row>
    <row r="230" spans="1:1" x14ac:dyDescent="0.2">
      <c r="A230" s="345">
        <v>34515</v>
      </c>
    </row>
    <row r="231" spans="1:1" x14ac:dyDescent="0.2">
      <c r="A231" s="345">
        <v>34546</v>
      </c>
    </row>
    <row r="232" spans="1:1" x14ac:dyDescent="0.2">
      <c r="A232" s="345">
        <v>34577</v>
      </c>
    </row>
    <row r="233" spans="1:1" x14ac:dyDescent="0.2">
      <c r="A233" s="345">
        <v>34607</v>
      </c>
    </row>
    <row r="234" spans="1:1" x14ac:dyDescent="0.2">
      <c r="A234" s="345">
        <v>34638</v>
      </c>
    </row>
    <row r="235" spans="1:1" x14ac:dyDescent="0.2">
      <c r="A235" s="345">
        <v>34668</v>
      </c>
    </row>
    <row r="236" spans="1:1" x14ac:dyDescent="0.2">
      <c r="A236" s="345">
        <v>34699</v>
      </c>
    </row>
    <row r="237" spans="1:1" x14ac:dyDescent="0.2">
      <c r="A237" s="345">
        <v>34730</v>
      </c>
    </row>
    <row r="238" spans="1:1" x14ac:dyDescent="0.2">
      <c r="A238" s="345">
        <v>34758</v>
      </c>
    </row>
    <row r="239" spans="1:1" x14ac:dyDescent="0.2">
      <c r="A239" s="345">
        <v>34789</v>
      </c>
    </row>
    <row r="240" spans="1:1" x14ac:dyDescent="0.2">
      <c r="A240" s="345">
        <v>34819</v>
      </c>
    </row>
    <row r="241" spans="1:1" x14ac:dyDescent="0.2">
      <c r="A241" s="345">
        <v>34850</v>
      </c>
    </row>
    <row r="242" spans="1:1" x14ac:dyDescent="0.2">
      <c r="A242" s="345">
        <v>34880</v>
      </c>
    </row>
    <row r="243" spans="1:1" x14ac:dyDescent="0.2">
      <c r="A243" s="345">
        <v>34911</v>
      </c>
    </row>
    <row r="244" spans="1:1" x14ac:dyDescent="0.2">
      <c r="A244" s="345">
        <v>34942</v>
      </c>
    </row>
    <row r="245" spans="1:1" x14ac:dyDescent="0.2">
      <c r="A245" s="345">
        <v>34972</v>
      </c>
    </row>
    <row r="246" spans="1:1" x14ac:dyDescent="0.2">
      <c r="A246" s="345">
        <v>35003</v>
      </c>
    </row>
    <row r="247" spans="1:1" x14ac:dyDescent="0.2">
      <c r="A247" s="345">
        <v>35033</v>
      </c>
    </row>
    <row r="248" spans="1:1" x14ac:dyDescent="0.2">
      <c r="A248" s="345">
        <v>35064</v>
      </c>
    </row>
    <row r="249" spans="1:1" x14ac:dyDescent="0.2">
      <c r="A249" s="345">
        <v>35095</v>
      </c>
    </row>
    <row r="250" spans="1:1" x14ac:dyDescent="0.2">
      <c r="A250" s="345">
        <v>35124</v>
      </c>
    </row>
    <row r="251" spans="1:1" x14ac:dyDescent="0.2">
      <c r="A251" s="345">
        <v>35155</v>
      </c>
    </row>
    <row r="252" spans="1:1" x14ac:dyDescent="0.2">
      <c r="A252" s="345">
        <v>35185</v>
      </c>
    </row>
    <row r="253" spans="1:1" x14ac:dyDescent="0.2">
      <c r="A253" s="345">
        <v>35216</v>
      </c>
    </row>
    <row r="254" spans="1:1" x14ac:dyDescent="0.2">
      <c r="A254" s="345">
        <v>35246</v>
      </c>
    </row>
    <row r="255" spans="1:1" x14ac:dyDescent="0.2">
      <c r="A255" s="345">
        <v>35277</v>
      </c>
    </row>
    <row r="256" spans="1:1" x14ac:dyDescent="0.2">
      <c r="A256" s="345">
        <v>35308</v>
      </c>
    </row>
    <row r="257" spans="1:1" x14ac:dyDescent="0.2">
      <c r="A257" s="345">
        <v>35338</v>
      </c>
    </row>
    <row r="258" spans="1:1" x14ac:dyDescent="0.2">
      <c r="A258" s="345">
        <v>35369</v>
      </c>
    </row>
    <row r="259" spans="1:1" x14ac:dyDescent="0.2">
      <c r="A259" s="345">
        <v>35399</v>
      </c>
    </row>
    <row r="260" spans="1:1" x14ac:dyDescent="0.2">
      <c r="A260" s="345">
        <v>35430</v>
      </c>
    </row>
    <row r="261" spans="1:1" x14ac:dyDescent="0.2">
      <c r="A261" s="345">
        <v>35461</v>
      </c>
    </row>
    <row r="262" spans="1:1" x14ac:dyDescent="0.2">
      <c r="A262" s="345">
        <v>35489</v>
      </c>
    </row>
    <row r="263" spans="1:1" x14ac:dyDescent="0.2">
      <c r="A263" s="345">
        <v>35520</v>
      </c>
    </row>
    <row r="264" spans="1:1" x14ac:dyDescent="0.2">
      <c r="A264" s="345">
        <v>35550</v>
      </c>
    </row>
    <row r="265" spans="1:1" x14ac:dyDescent="0.2">
      <c r="A265" s="345">
        <v>35581</v>
      </c>
    </row>
    <row r="266" spans="1:1" x14ac:dyDescent="0.2">
      <c r="A266" s="345">
        <v>35611</v>
      </c>
    </row>
    <row r="267" spans="1:1" x14ac:dyDescent="0.2">
      <c r="A267" s="345">
        <v>35642</v>
      </c>
    </row>
    <row r="268" spans="1:1" x14ac:dyDescent="0.2">
      <c r="A268" s="345">
        <v>35673</v>
      </c>
    </row>
    <row r="269" spans="1:1" x14ac:dyDescent="0.2">
      <c r="A269" s="345">
        <v>35703</v>
      </c>
    </row>
    <row r="270" spans="1:1" x14ac:dyDescent="0.2">
      <c r="A270" s="345">
        <v>35734</v>
      </c>
    </row>
    <row r="271" spans="1:1" x14ac:dyDescent="0.2">
      <c r="A271" s="345">
        <v>35764</v>
      </c>
    </row>
    <row r="272" spans="1:1" x14ac:dyDescent="0.2">
      <c r="A272" s="345">
        <v>35795</v>
      </c>
    </row>
    <row r="273" spans="1:1" x14ac:dyDescent="0.2">
      <c r="A273" s="345">
        <v>35826</v>
      </c>
    </row>
    <row r="274" spans="1:1" x14ac:dyDescent="0.2">
      <c r="A274" s="345">
        <v>35854</v>
      </c>
    </row>
    <row r="275" spans="1:1" x14ac:dyDescent="0.2">
      <c r="A275" s="345">
        <v>35885</v>
      </c>
    </row>
    <row r="276" spans="1:1" x14ac:dyDescent="0.2">
      <c r="A276" s="345">
        <v>35915</v>
      </c>
    </row>
    <row r="277" spans="1:1" x14ac:dyDescent="0.2">
      <c r="A277" s="345">
        <v>35946</v>
      </c>
    </row>
    <row r="278" spans="1:1" x14ac:dyDescent="0.2">
      <c r="A278" s="345">
        <v>35976</v>
      </c>
    </row>
    <row r="279" spans="1:1" x14ac:dyDescent="0.2">
      <c r="A279" s="345">
        <v>36007</v>
      </c>
    </row>
    <row r="280" spans="1:1" x14ac:dyDescent="0.2">
      <c r="A280" s="345">
        <v>36038</v>
      </c>
    </row>
    <row r="281" spans="1:1" x14ac:dyDescent="0.2">
      <c r="A281" s="345">
        <v>36068</v>
      </c>
    </row>
    <row r="282" spans="1:1" x14ac:dyDescent="0.2">
      <c r="A282" s="345">
        <v>36099</v>
      </c>
    </row>
    <row r="283" spans="1:1" x14ac:dyDescent="0.2">
      <c r="A283" s="345">
        <v>36129</v>
      </c>
    </row>
    <row r="284" spans="1:1" x14ac:dyDescent="0.2">
      <c r="A284" s="345">
        <v>36160</v>
      </c>
    </row>
    <row r="285" spans="1:1" x14ac:dyDescent="0.2">
      <c r="A285" s="345">
        <v>36191</v>
      </c>
    </row>
    <row r="286" spans="1:1" x14ac:dyDescent="0.2">
      <c r="A286" s="345">
        <v>36219</v>
      </c>
    </row>
    <row r="287" spans="1:1" x14ac:dyDescent="0.2">
      <c r="A287" s="345">
        <v>36250</v>
      </c>
    </row>
    <row r="288" spans="1:1" x14ac:dyDescent="0.2">
      <c r="A288" s="345">
        <v>36280</v>
      </c>
    </row>
    <row r="289" spans="1:1" x14ac:dyDescent="0.2">
      <c r="A289" s="345">
        <v>36311</v>
      </c>
    </row>
    <row r="290" spans="1:1" x14ac:dyDescent="0.2">
      <c r="A290" s="345">
        <v>36341</v>
      </c>
    </row>
    <row r="291" spans="1:1" x14ac:dyDescent="0.2">
      <c r="A291" s="345">
        <v>36372</v>
      </c>
    </row>
    <row r="292" spans="1:1" x14ac:dyDescent="0.2">
      <c r="A292" s="345">
        <v>36403</v>
      </c>
    </row>
    <row r="293" spans="1:1" x14ac:dyDescent="0.2">
      <c r="A293" s="345">
        <v>36433</v>
      </c>
    </row>
    <row r="294" spans="1:1" x14ac:dyDescent="0.2">
      <c r="A294" s="345">
        <v>36464</v>
      </c>
    </row>
    <row r="295" spans="1:1" x14ac:dyDescent="0.2">
      <c r="A295" s="345">
        <v>36494</v>
      </c>
    </row>
    <row r="296" spans="1:1" x14ac:dyDescent="0.2">
      <c r="A296" s="345">
        <v>36525</v>
      </c>
    </row>
    <row r="297" spans="1:1" x14ac:dyDescent="0.2">
      <c r="A297" s="345">
        <v>36556</v>
      </c>
    </row>
    <row r="298" spans="1:1" x14ac:dyDescent="0.2">
      <c r="A298" s="345">
        <v>36585</v>
      </c>
    </row>
    <row r="299" spans="1:1" x14ac:dyDescent="0.2">
      <c r="A299" s="345">
        <v>36616</v>
      </c>
    </row>
    <row r="300" spans="1:1" x14ac:dyDescent="0.2">
      <c r="A300" s="345">
        <v>36646</v>
      </c>
    </row>
    <row r="301" spans="1:1" x14ac:dyDescent="0.2">
      <c r="A301" s="345">
        <v>36677</v>
      </c>
    </row>
    <row r="302" spans="1:1" x14ac:dyDescent="0.2">
      <c r="A302" s="345">
        <v>36707</v>
      </c>
    </row>
    <row r="303" spans="1:1" x14ac:dyDescent="0.2">
      <c r="A303" s="345">
        <v>36738</v>
      </c>
    </row>
    <row r="304" spans="1:1" x14ac:dyDescent="0.2">
      <c r="A304" s="345">
        <v>36769</v>
      </c>
    </row>
    <row r="305" spans="1:1" x14ac:dyDescent="0.2">
      <c r="A305" s="345">
        <v>36799</v>
      </c>
    </row>
    <row r="306" spans="1:1" x14ac:dyDescent="0.2">
      <c r="A306" s="345">
        <v>36830</v>
      </c>
    </row>
    <row r="307" spans="1:1" x14ac:dyDescent="0.2">
      <c r="A307" s="345">
        <v>36860</v>
      </c>
    </row>
    <row r="308" spans="1:1" x14ac:dyDescent="0.2">
      <c r="A308" s="345">
        <v>36891</v>
      </c>
    </row>
    <row r="309" spans="1:1" x14ac:dyDescent="0.2">
      <c r="A309" s="345">
        <v>36922</v>
      </c>
    </row>
    <row r="310" spans="1:1" x14ac:dyDescent="0.2">
      <c r="A310" s="345">
        <v>36950</v>
      </c>
    </row>
    <row r="311" spans="1:1" x14ac:dyDescent="0.2">
      <c r="A311" s="345">
        <v>36981</v>
      </c>
    </row>
    <row r="312" spans="1:1" x14ac:dyDescent="0.2">
      <c r="A312" s="345">
        <v>37011</v>
      </c>
    </row>
    <row r="313" spans="1:1" x14ac:dyDescent="0.2">
      <c r="A313" s="345">
        <v>37042</v>
      </c>
    </row>
    <row r="314" spans="1:1" x14ac:dyDescent="0.2">
      <c r="A314" s="345">
        <v>37072</v>
      </c>
    </row>
    <row r="315" spans="1:1" x14ac:dyDescent="0.2">
      <c r="A315" s="345">
        <v>37103</v>
      </c>
    </row>
    <row r="316" spans="1:1" x14ac:dyDescent="0.2">
      <c r="A316" s="345">
        <v>37134</v>
      </c>
    </row>
    <row r="317" spans="1:1" x14ac:dyDescent="0.2">
      <c r="A317" s="345">
        <v>37164</v>
      </c>
    </row>
    <row r="318" spans="1:1" x14ac:dyDescent="0.2">
      <c r="A318" s="345">
        <v>37195</v>
      </c>
    </row>
    <row r="319" spans="1:1" x14ac:dyDescent="0.2">
      <c r="A319" s="345">
        <v>37225</v>
      </c>
    </row>
    <row r="320" spans="1:1" x14ac:dyDescent="0.2">
      <c r="A320" s="345">
        <v>37256</v>
      </c>
    </row>
    <row r="321" spans="1:1" x14ac:dyDescent="0.2">
      <c r="A321" s="345">
        <v>37287</v>
      </c>
    </row>
    <row r="322" spans="1:1" x14ac:dyDescent="0.2">
      <c r="A322" s="345">
        <v>37315</v>
      </c>
    </row>
    <row r="323" spans="1:1" x14ac:dyDescent="0.2">
      <c r="A323" s="345">
        <v>37346</v>
      </c>
    </row>
    <row r="324" spans="1:1" x14ac:dyDescent="0.2">
      <c r="A324" s="345">
        <v>37376</v>
      </c>
    </row>
    <row r="325" spans="1:1" x14ac:dyDescent="0.2">
      <c r="A325" s="345">
        <v>37407</v>
      </c>
    </row>
    <row r="326" spans="1:1" x14ac:dyDescent="0.2">
      <c r="A326" s="345">
        <v>37437</v>
      </c>
    </row>
    <row r="327" spans="1:1" x14ac:dyDescent="0.2">
      <c r="A327" s="345">
        <v>37468</v>
      </c>
    </row>
    <row r="328" spans="1:1" x14ac:dyDescent="0.2">
      <c r="A328" s="345">
        <v>37499</v>
      </c>
    </row>
    <row r="329" spans="1:1" x14ac:dyDescent="0.2">
      <c r="A329" s="345">
        <v>37529</v>
      </c>
    </row>
    <row r="330" spans="1:1" x14ac:dyDescent="0.2">
      <c r="A330" s="345">
        <v>37560</v>
      </c>
    </row>
    <row r="331" spans="1:1" x14ac:dyDescent="0.2">
      <c r="A331" s="345">
        <v>37590</v>
      </c>
    </row>
    <row r="332" spans="1:1" x14ac:dyDescent="0.2">
      <c r="A332" s="345">
        <v>37621</v>
      </c>
    </row>
    <row r="333" spans="1:1" x14ac:dyDescent="0.2">
      <c r="A333" s="345">
        <v>37652</v>
      </c>
    </row>
    <row r="334" spans="1:1" x14ac:dyDescent="0.2">
      <c r="A334" s="345">
        <v>37680</v>
      </c>
    </row>
    <row r="335" spans="1:1" x14ac:dyDescent="0.2">
      <c r="A335" s="345">
        <v>37711</v>
      </c>
    </row>
    <row r="336" spans="1:1" x14ac:dyDescent="0.2">
      <c r="A336" s="345">
        <v>37741</v>
      </c>
    </row>
    <row r="337" spans="1:1" x14ac:dyDescent="0.2">
      <c r="A337" s="345">
        <v>37772</v>
      </c>
    </row>
    <row r="338" spans="1:1" x14ac:dyDescent="0.2">
      <c r="A338" s="345">
        <v>37802</v>
      </c>
    </row>
    <row r="339" spans="1:1" x14ac:dyDescent="0.2">
      <c r="A339" s="345">
        <v>37833</v>
      </c>
    </row>
    <row r="340" spans="1:1" x14ac:dyDescent="0.2">
      <c r="A340" s="345">
        <v>37864</v>
      </c>
    </row>
    <row r="341" spans="1:1" x14ac:dyDescent="0.2">
      <c r="A341" s="345">
        <v>37894</v>
      </c>
    </row>
    <row r="342" spans="1:1" x14ac:dyDescent="0.2">
      <c r="A342" s="345">
        <v>37925</v>
      </c>
    </row>
    <row r="343" spans="1:1" x14ac:dyDescent="0.2">
      <c r="A343" s="345">
        <v>37955</v>
      </c>
    </row>
    <row r="344" spans="1:1" x14ac:dyDescent="0.2">
      <c r="A344" s="345">
        <v>37986</v>
      </c>
    </row>
    <row r="345" spans="1:1" x14ac:dyDescent="0.2">
      <c r="A345" s="345">
        <v>38017</v>
      </c>
    </row>
    <row r="346" spans="1:1" x14ac:dyDescent="0.2">
      <c r="A346" s="345">
        <v>38046</v>
      </c>
    </row>
    <row r="347" spans="1:1" x14ac:dyDescent="0.2">
      <c r="A347" s="345">
        <v>38077</v>
      </c>
    </row>
    <row r="348" spans="1:1" x14ac:dyDescent="0.2">
      <c r="A348" s="345">
        <v>38107</v>
      </c>
    </row>
    <row r="349" spans="1:1" x14ac:dyDescent="0.2">
      <c r="A349" s="345">
        <v>38138</v>
      </c>
    </row>
    <row r="350" spans="1:1" x14ac:dyDescent="0.2">
      <c r="A350" s="345">
        <v>38168</v>
      </c>
    </row>
    <row r="351" spans="1:1" x14ac:dyDescent="0.2">
      <c r="A351" s="345">
        <v>38199</v>
      </c>
    </row>
    <row r="352" spans="1:1" x14ac:dyDescent="0.2">
      <c r="A352" s="345">
        <v>38230</v>
      </c>
    </row>
    <row r="353" spans="1:1" x14ac:dyDescent="0.2">
      <c r="A353" s="345">
        <v>38260</v>
      </c>
    </row>
    <row r="354" spans="1:1" x14ac:dyDescent="0.2">
      <c r="A354" s="345">
        <v>38291</v>
      </c>
    </row>
    <row r="355" spans="1:1" x14ac:dyDescent="0.2">
      <c r="A355" s="345">
        <v>38321</v>
      </c>
    </row>
    <row r="356" spans="1:1" x14ac:dyDescent="0.2">
      <c r="A356" s="345">
        <v>38352</v>
      </c>
    </row>
    <row r="357" spans="1:1" x14ac:dyDescent="0.2">
      <c r="A357" s="345">
        <v>38383</v>
      </c>
    </row>
    <row r="358" spans="1:1" x14ac:dyDescent="0.2">
      <c r="A358" s="345">
        <v>38411</v>
      </c>
    </row>
    <row r="359" spans="1:1" x14ac:dyDescent="0.2">
      <c r="A359" s="345">
        <v>38442</v>
      </c>
    </row>
    <row r="360" spans="1:1" x14ac:dyDescent="0.2">
      <c r="A360" s="345">
        <v>38472</v>
      </c>
    </row>
    <row r="361" spans="1:1" x14ac:dyDescent="0.2">
      <c r="A361" s="345">
        <v>38503</v>
      </c>
    </row>
    <row r="362" spans="1:1" x14ac:dyDescent="0.2">
      <c r="A362" s="345">
        <v>38533</v>
      </c>
    </row>
    <row r="363" spans="1:1" x14ac:dyDescent="0.2">
      <c r="A363" s="345">
        <v>38564</v>
      </c>
    </row>
    <row r="364" spans="1:1" x14ac:dyDescent="0.2">
      <c r="A364" s="345">
        <v>38595</v>
      </c>
    </row>
    <row r="365" spans="1:1" x14ac:dyDescent="0.2">
      <c r="A365" s="345">
        <v>38625</v>
      </c>
    </row>
    <row r="366" spans="1:1" x14ac:dyDescent="0.2">
      <c r="A366" s="345">
        <v>38656</v>
      </c>
    </row>
    <row r="367" spans="1:1" x14ac:dyDescent="0.2">
      <c r="A367" s="345">
        <v>38686</v>
      </c>
    </row>
    <row r="368" spans="1:1" x14ac:dyDescent="0.2">
      <c r="A368" s="345">
        <v>38717</v>
      </c>
    </row>
    <row r="369" spans="1:4" x14ac:dyDescent="0.2">
      <c r="A369" s="345">
        <v>38748</v>
      </c>
    </row>
    <row r="370" spans="1:4" x14ac:dyDescent="0.2">
      <c r="A370" s="345">
        <v>38776</v>
      </c>
    </row>
    <row r="371" spans="1:4" x14ac:dyDescent="0.2">
      <c r="A371" s="345">
        <v>38807</v>
      </c>
    </row>
    <row r="372" spans="1:4" x14ac:dyDescent="0.2">
      <c r="A372" s="345">
        <v>38837</v>
      </c>
    </row>
    <row r="373" spans="1:4" x14ac:dyDescent="0.2">
      <c r="A373" s="345">
        <v>38868</v>
      </c>
    </row>
    <row r="374" spans="1:4" x14ac:dyDescent="0.2">
      <c r="A374" s="345">
        <v>38898</v>
      </c>
    </row>
    <row r="375" spans="1:4" x14ac:dyDescent="0.2">
      <c r="A375" s="345">
        <v>38929</v>
      </c>
    </row>
    <row r="376" spans="1:4" x14ac:dyDescent="0.2">
      <c r="A376" s="345">
        <v>38960</v>
      </c>
    </row>
    <row r="377" spans="1:4" x14ac:dyDescent="0.2">
      <c r="A377" s="345">
        <v>38990</v>
      </c>
    </row>
    <row r="378" spans="1:4" x14ac:dyDescent="0.2">
      <c r="A378" s="345">
        <v>39021</v>
      </c>
    </row>
    <row r="379" spans="1:4" x14ac:dyDescent="0.2">
      <c r="A379" s="345">
        <v>39051</v>
      </c>
    </row>
    <row r="380" spans="1:4" x14ac:dyDescent="0.2">
      <c r="A380" s="345">
        <v>39082</v>
      </c>
      <c r="C380" s="34"/>
      <c r="D380" s="253"/>
    </row>
    <row r="381" spans="1:4" x14ac:dyDescent="0.2">
      <c r="A381" s="345">
        <v>39113</v>
      </c>
      <c r="C381" s="346"/>
      <c r="D381" s="258"/>
    </row>
    <row r="382" spans="1:4" x14ac:dyDescent="0.2">
      <c r="A382" s="345">
        <v>39141</v>
      </c>
      <c r="C382" s="346"/>
      <c r="D382" s="258"/>
    </row>
    <row r="383" spans="1:4" x14ac:dyDescent="0.2">
      <c r="A383" s="345">
        <v>39172</v>
      </c>
      <c r="C383" s="346"/>
      <c r="D383" s="258"/>
    </row>
    <row r="384" spans="1:4" x14ac:dyDescent="0.2">
      <c r="A384" s="345">
        <v>39202</v>
      </c>
      <c r="C384" s="346"/>
      <c r="D384" s="258"/>
    </row>
    <row r="385" spans="1:7" x14ac:dyDescent="0.2">
      <c r="A385" s="345">
        <v>39233</v>
      </c>
      <c r="C385" s="346"/>
      <c r="D385" s="258"/>
    </row>
    <row r="386" spans="1:7" x14ac:dyDescent="0.2">
      <c r="A386" s="345">
        <v>39263</v>
      </c>
      <c r="C386" s="346"/>
      <c r="D386" s="258"/>
    </row>
    <row r="387" spans="1:7" x14ac:dyDescent="0.2">
      <c r="A387" s="345">
        <v>39294</v>
      </c>
      <c r="C387" s="346"/>
      <c r="D387" s="258"/>
    </row>
    <row r="388" spans="1:7" x14ac:dyDescent="0.2">
      <c r="A388" s="345">
        <v>39325</v>
      </c>
      <c r="C388" s="346"/>
      <c r="D388" s="258"/>
    </row>
    <row r="389" spans="1:7" x14ac:dyDescent="0.2">
      <c r="A389" s="345">
        <v>39355</v>
      </c>
      <c r="C389" s="346"/>
      <c r="D389" s="258"/>
    </row>
    <row r="390" spans="1:7" x14ac:dyDescent="0.2">
      <c r="A390" s="345">
        <v>39386</v>
      </c>
      <c r="C390" s="346"/>
      <c r="D390" s="258"/>
    </row>
    <row r="391" spans="1:7" x14ac:dyDescent="0.2">
      <c r="A391" s="345">
        <v>39416</v>
      </c>
      <c r="C391" s="346"/>
      <c r="D391" s="258"/>
    </row>
    <row r="392" spans="1:7" x14ac:dyDescent="0.2">
      <c r="A392" s="345">
        <v>39447</v>
      </c>
      <c r="C392" s="346"/>
      <c r="D392" s="258"/>
    </row>
    <row r="393" spans="1:7" x14ac:dyDescent="0.2">
      <c r="A393" s="345">
        <v>39478</v>
      </c>
      <c r="B393" s="1369">
        <v>-5.67</v>
      </c>
      <c r="C393" s="346">
        <v>116166115</v>
      </c>
      <c r="D393" s="258"/>
      <c r="E393" s="14">
        <f>B393-Index_Returns!K393</f>
        <v>-0.77939999999999987</v>
      </c>
      <c r="G393" s="779"/>
    </row>
    <row r="394" spans="1:7" x14ac:dyDescent="0.2">
      <c r="A394" s="345">
        <v>39507</v>
      </c>
      <c r="B394" s="1369">
        <v>-3.13</v>
      </c>
      <c r="C394" s="346">
        <v>112532154</v>
      </c>
      <c r="D394" s="258"/>
      <c r="E394" s="14">
        <f>B394-Index_Returns!K394</f>
        <v>-5.0399999999999778E-2</v>
      </c>
    </row>
    <row r="395" spans="1:7" x14ac:dyDescent="0.2">
      <c r="A395" s="345">
        <v>39538</v>
      </c>
      <c r="B395" s="1369">
        <v>2.72</v>
      </c>
      <c r="C395" s="346">
        <v>115831999</v>
      </c>
      <c r="D395" s="258"/>
      <c r="E395" s="14">
        <f>B395-Index_Returns!K395</f>
        <v>2.3329000000000004</v>
      </c>
      <c r="G395" s="780"/>
    </row>
    <row r="396" spans="1:7" x14ac:dyDescent="0.2">
      <c r="A396" s="345">
        <v>39568</v>
      </c>
      <c r="B396" s="1369">
        <v>5.84</v>
      </c>
      <c r="C396" s="346">
        <v>122599484</v>
      </c>
      <c r="D396" s="258"/>
      <c r="E396" s="14">
        <f>B396-Index_Returns!K396</f>
        <v>1.8266</v>
      </c>
      <c r="G396" s="780"/>
    </row>
    <row r="397" spans="1:7" x14ac:dyDescent="0.2">
      <c r="A397" s="345">
        <v>39599</v>
      </c>
      <c r="B397" s="1369">
        <v>4.38</v>
      </c>
      <c r="C397" s="346">
        <v>127969549</v>
      </c>
      <c r="D397" s="258"/>
      <c r="E397" s="14">
        <f>B397-Index_Returns!K397</f>
        <v>-3.7200000000000344E-2</v>
      </c>
    </row>
    <row r="398" spans="1:7" x14ac:dyDescent="0.2">
      <c r="A398" s="345">
        <v>39629</v>
      </c>
      <c r="B398" s="1369">
        <v>-6.68</v>
      </c>
      <c r="C398" s="346">
        <v>119645891</v>
      </c>
      <c r="D398" s="258"/>
      <c r="E398" s="14">
        <f>B398-Index_Returns!K398</f>
        <v>0.87480000000000047</v>
      </c>
    </row>
    <row r="399" spans="1:7" x14ac:dyDescent="0.2">
      <c r="A399" s="345">
        <v>39660</v>
      </c>
      <c r="B399" s="1369">
        <v>3.89</v>
      </c>
      <c r="C399" s="1332">
        <v>124298945</v>
      </c>
      <c r="D399" s="258"/>
      <c r="E399" s="14">
        <f>B399-Index_Returns!K399</f>
        <v>1.8257000000000003</v>
      </c>
    </row>
    <row r="400" spans="1:7" x14ac:dyDescent="0.2">
      <c r="A400" s="345">
        <v>39691</v>
      </c>
      <c r="B400" s="1369">
        <v>4.8899999999999997</v>
      </c>
      <c r="C400" s="1332">
        <v>130373711</v>
      </c>
      <c r="D400" s="258"/>
      <c r="E400" s="14">
        <f>B400-Index_Returns!K400</f>
        <v>0.71300000000000008</v>
      </c>
    </row>
    <row r="401" spans="1:5" x14ac:dyDescent="0.2">
      <c r="A401" s="345">
        <v>39721</v>
      </c>
      <c r="B401" s="1369">
        <v>-5.69</v>
      </c>
      <c r="C401" s="1332">
        <v>123175836</v>
      </c>
      <c r="D401" s="258"/>
      <c r="E401" s="14">
        <f>B401-Index_Returns!K401</f>
        <v>1.0649999999999995</v>
      </c>
    </row>
    <row r="402" spans="1:5" x14ac:dyDescent="0.2">
      <c r="A402" s="345">
        <v>39752</v>
      </c>
      <c r="B402" s="1369">
        <v>-21.29</v>
      </c>
      <c r="C402" s="346">
        <v>96946462</v>
      </c>
      <c r="D402" s="258"/>
      <c r="E402" s="14">
        <f>B402-Index_Returns!K402</f>
        <v>-1.1427999999999976</v>
      </c>
    </row>
    <row r="403" spans="1:5" x14ac:dyDescent="0.2">
      <c r="A403" s="345">
        <v>39782</v>
      </c>
      <c r="B403" s="1369">
        <v>-9.1199999999999992</v>
      </c>
      <c r="C403" s="346">
        <v>88106721</v>
      </c>
      <c r="D403" s="258"/>
      <c r="E403" s="14">
        <f>B403-Index_Returns!K403</f>
        <v>2.5634000000000015</v>
      </c>
    </row>
    <row r="404" spans="1:5" x14ac:dyDescent="0.2">
      <c r="A404" s="345">
        <v>39813</v>
      </c>
      <c r="B404" s="1369">
        <v>6.17</v>
      </c>
      <c r="C404" s="346">
        <v>93777713</v>
      </c>
      <c r="D404" s="258"/>
      <c r="E404" s="14">
        <f>B404-Index_Returns!K404</f>
        <v>6.9099999999999717E-2</v>
      </c>
    </row>
    <row r="405" spans="1:5" x14ac:dyDescent="0.2">
      <c r="A405" s="345">
        <v>39844</v>
      </c>
      <c r="B405" s="1369">
        <v>-8.58</v>
      </c>
      <c r="C405" s="346">
        <v>85729236</v>
      </c>
      <c r="D405" s="258">
        <v>-8.5824999999999996</v>
      </c>
      <c r="E405" s="14">
        <f>B405-Index_Returns!K405</f>
        <v>4.1204000000000001</v>
      </c>
    </row>
    <row r="406" spans="1:5" x14ac:dyDescent="0.2">
      <c r="A406" s="345">
        <v>39872</v>
      </c>
      <c r="B406" s="1369">
        <v>-8.32</v>
      </c>
      <c r="C406" s="346">
        <v>78595203</v>
      </c>
      <c r="D406" s="258">
        <v>-8.3216000000000001</v>
      </c>
      <c r="E406" s="14">
        <f>B406-Index_Returns!K406</f>
        <v>3.6542999999999992</v>
      </c>
    </row>
    <row r="407" spans="1:5" x14ac:dyDescent="0.2">
      <c r="A407" s="345">
        <v>39903</v>
      </c>
      <c r="B407" s="1369">
        <v>6.57</v>
      </c>
      <c r="C407" s="346">
        <v>83965540</v>
      </c>
      <c r="D407" s="258">
        <v>6.8329000000000004</v>
      </c>
      <c r="E407" s="14">
        <f>B407-Index_Returns!K407</f>
        <v>-1.6443999999999992</v>
      </c>
    </row>
    <row r="408" spans="1:5" x14ac:dyDescent="0.2">
      <c r="A408" s="345">
        <v>39933</v>
      </c>
      <c r="B408" s="1369">
        <v>11.43</v>
      </c>
      <c r="C408" s="346">
        <v>93560265</v>
      </c>
      <c r="D408" s="258"/>
      <c r="E408" s="14">
        <f>B408-Index_Returns!K408</f>
        <v>-6.0267000000000017</v>
      </c>
    </row>
    <row r="409" spans="1:5" x14ac:dyDescent="0.2">
      <c r="A409" s="345">
        <v>39964</v>
      </c>
      <c r="B409" s="1369">
        <v>2.67</v>
      </c>
      <c r="C409" s="346">
        <v>96055776</v>
      </c>
      <c r="D409" s="258"/>
      <c r="E409" s="14">
        <f>B409-Index_Returns!K409</f>
        <v>1.0584</v>
      </c>
    </row>
    <row r="410" spans="1:5" x14ac:dyDescent="0.2">
      <c r="A410" s="345">
        <v>39994</v>
      </c>
      <c r="B410" s="1369">
        <v>3.39</v>
      </c>
      <c r="C410" s="346">
        <v>99498511</v>
      </c>
      <c r="D410" s="258"/>
      <c r="E410" s="14">
        <f>B410-Index_Returns!K410</f>
        <v>1.9551000000000001</v>
      </c>
    </row>
    <row r="411" spans="1:5" x14ac:dyDescent="0.2">
      <c r="A411" s="345">
        <v>40025</v>
      </c>
      <c r="B411" s="1369">
        <v>6.35</v>
      </c>
      <c r="C411" s="346">
        <v>105812485</v>
      </c>
      <c r="D411" s="258">
        <v>6.3457999999999997</v>
      </c>
      <c r="E411" s="14">
        <f>B411-Index_Returns!K411</f>
        <v>-3.9754000000000005</v>
      </c>
    </row>
    <row r="412" spans="1:5" x14ac:dyDescent="0.2">
      <c r="A412" s="345">
        <v>40056</v>
      </c>
      <c r="B412" s="1369">
        <v>2.27</v>
      </c>
      <c r="C412" s="346">
        <v>108216375</v>
      </c>
      <c r="D412" s="258">
        <v>2.2717999999999998</v>
      </c>
      <c r="E412" s="14">
        <f>B412-Index_Returns!K412</f>
        <v>-1.8199999999999772E-2</v>
      </c>
    </row>
    <row r="413" spans="1:5" x14ac:dyDescent="0.2">
      <c r="A413" s="345">
        <v>40086</v>
      </c>
      <c r="B413" s="1369">
        <v>5.0199999999999996</v>
      </c>
      <c r="C413" s="346">
        <v>113864216.73</v>
      </c>
      <c r="D413" s="258">
        <v>5.2190000000000003</v>
      </c>
      <c r="E413" s="14">
        <f>B413-Index_Returns!K413</f>
        <v>-0.12740000000000062</v>
      </c>
    </row>
    <row r="414" spans="1:5" x14ac:dyDescent="0.2">
      <c r="A414" s="345">
        <v>40117</v>
      </c>
      <c r="B414" s="1369">
        <v>-3.387</v>
      </c>
      <c r="C414" s="1280">
        <v>110007439.05</v>
      </c>
      <c r="D414" s="258">
        <v>-3.39</v>
      </c>
      <c r="E414" s="14">
        <f>B414-Index_Returns!K414</f>
        <v>2.3030000000000004</v>
      </c>
    </row>
    <row r="415" spans="1:5" x14ac:dyDescent="0.2">
      <c r="A415" s="345">
        <v>40147</v>
      </c>
      <c r="B415" s="1369">
        <v>1.99</v>
      </c>
      <c r="C415" s="1333">
        <v>112196472.20999999</v>
      </c>
      <c r="D415" s="1369">
        <v>2.1760000000000002</v>
      </c>
      <c r="E415" s="14">
        <f>B415-Index_Returns!K415</f>
        <v>-0.61700000000000021</v>
      </c>
    </row>
    <row r="416" spans="1:5" x14ac:dyDescent="0.2">
      <c r="A416" s="345">
        <v>40178</v>
      </c>
      <c r="B416" s="1369">
        <v>5.0549999999999997</v>
      </c>
      <c r="C416" s="8">
        <v>117867761.27</v>
      </c>
      <c r="D416" s="14">
        <v>5.0547800000000001</v>
      </c>
      <c r="E416" s="14">
        <f>B416-Index_Returns!K416</f>
        <v>-3.5782100000000003</v>
      </c>
    </row>
    <row r="417" spans="1:5" x14ac:dyDescent="0.2">
      <c r="A417" s="345">
        <v>40209</v>
      </c>
      <c r="B417" s="14">
        <v>-2.7930000000000001</v>
      </c>
      <c r="C417" s="1280">
        <v>114575921.81</v>
      </c>
      <c r="D417" s="258">
        <v>-2.7928199999999999</v>
      </c>
      <c r="E417" s="14">
        <f>B417-Index_Returns!K417</f>
        <v>0.59188999999999981</v>
      </c>
    </row>
    <row r="418" spans="1:5" x14ac:dyDescent="0.2">
      <c r="A418" s="345">
        <v>40237</v>
      </c>
      <c r="B418" s="14">
        <v>1.6180000000000001</v>
      </c>
      <c r="C418" s="8">
        <v>116429580.76000001</v>
      </c>
      <c r="D418" s="14">
        <v>1.6178399999999999</v>
      </c>
      <c r="E418" s="14">
        <f>B418-Index_Returns!K418</f>
        <v>-2.6791700000000001</v>
      </c>
    </row>
    <row r="419" spans="1:5" x14ac:dyDescent="0.2">
      <c r="A419" s="345">
        <v>40268</v>
      </c>
      <c r="B419" s="14">
        <v>5.6719999999999997</v>
      </c>
      <c r="C419" s="1334">
        <v>123034024.18000001</v>
      </c>
      <c r="D419" s="1311">
        <v>5.6724800000000002</v>
      </c>
      <c r="E419" s="14">
        <f>B419-Index_Returns!K419</f>
        <v>-2.1095899999999999</v>
      </c>
    </row>
    <row r="420" spans="1:5" x14ac:dyDescent="0.2">
      <c r="A420" s="345">
        <v>40298</v>
      </c>
      <c r="B420" s="14">
        <v>3.3319999999999999</v>
      </c>
      <c r="C420" s="8">
        <v>127133505.75</v>
      </c>
      <c r="D420" s="14">
        <v>3.3319899999999998</v>
      </c>
      <c r="E420" s="14">
        <f>B420-Index_Returns!K420</f>
        <v>-2.5160900000000002</v>
      </c>
    </row>
    <row r="421" spans="1:5" x14ac:dyDescent="0.2">
      <c r="A421" s="345">
        <v>40329</v>
      </c>
      <c r="B421" s="14">
        <v>-5.7610000000000001</v>
      </c>
      <c r="C421" s="8">
        <v>119808916.97</v>
      </c>
      <c r="D421" s="14">
        <v>-5.7613399999999997</v>
      </c>
      <c r="E421" s="14">
        <f>B421-Index_Returns!K421</f>
        <v>1.4596599999999995</v>
      </c>
    </row>
    <row r="422" spans="1:5" x14ac:dyDescent="0.2">
      <c r="A422" s="345">
        <v>40359</v>
      </c>
      <c r="B422" s="14">
        <v>-3.9580000000000002</v>
      </c>
      <c r="C422" s="8">
        <v>115066476.22</v>
      </c>
      <c r="D422" s="14">
        <v>-3.9583400000000002</v>
      </c>
      <c r="E422" s="14">
        <f>B422-Index_Returns!K422</f>
        <v>3.1080899999999998</v>
      </c>
    </row>
    <row r="423" spans="1:5" x14ac:dyDescent="0.2">
      <c r="A423" s="345">
        <v>40390</v>
      </c>
      <c r="B423" s="14">
        <v>5.2460000000000004</v>
      </c>
      <c r="C423" s="8">
        <v>121102430.81</v>
      </c>
      <c r="D423" s="14">
        <v>5.2456199999999997</v>
      </c>
      <c r="E423" s="14">
        <f>B423-Index_Returns!K423</f>
        <v>-1.0966299999999993</v>
      </c>
    </row>
    <row r="424" spans="1:5" x14ac:dyDescent="0.2">
      <c r="A424" s="345">
        <v>40421</v>
      </c>
      <c r="B424" s="14">
        <v>-5.0830000000000002</v>
      </c>
      <c r="C424" s="8">
        <v>114946754.04000001</v>
      </c>
      <c r="D424" s="14">
        <v>-5.0830299999999999</v>
      </c>
      <c r="E424" s="14">
        <f>B424-Index_Returns!K424</f>
        <v>2.3828300000000002</v>
      </c>
    </row>
    <row r="425" spans="1:5" x14ac:dyDescent="0.2">
      <c r="A425" s="345">
        <v>40451</v>
      </c>
      <c r="B425" s="14">
        <v>11.461</v>
      </c>
      <c r="C425" s="8">
        <v>128120603.55</v>
      </c>
      <c r="D425" s="14">
        <v>11.46083</v>
      </c>
      <c r="E425" s="14">
        <f>B425-Index_Returns!K425</f>
        <v>6.0180000000000788E-2</v>
      </c>
    </row>
    <row r="426" spans="1:5" x14ac:dyDescent="0.2">
      <c r="A426" s="345">
        <v>40482</v>
      </c>
      <c r="B426" s="14">
        <v>3.5182600000000002</v>
      </c>
      <c r="C426" s="8">
        <v>132628222.13</v>
      </c>
      <c r="D426" s="14">
        <v>3.5182600000000002</v>
      </c>
      <c r="E426" s="14">
        <f>B426-Index_Returns!K426</f>
        <v>-0.73504000000000014</v>
      </c>
    </row>
    <row r="427" spans="1:5" x14ac:dyDescent="0.2">
      <c r="A427" s="345">
        <v>40512</v>
      </c>
      <c r="B427" s="14">
        <f>D427</f>
        <v>3.1895600000000002</v>
      </c>
      <c r="C427" s="8">
        <v>136858474.52000001</v>
      </c>
      <c r="D427" s="14">
        <v>3.1895600000000002</v>
      </c>
      <c r="E427" s="14">
        <f>B427-Index_Returns!K427</f>
        <v>-0.37510999999999983</v>
      </c>
    </row>
    <row r="428" spans="1:5" x14ac:dyDescent="0.2">
      <c r="A428" s="345">
        <v>40543</v>
      </c>
      <c r="B428" s="14">
        <v>7.6777600000000001</v>
      </c>
      <c r="C428" s="8">
        <v>147366140.65000001</v>
      </c>
      <c r="D428" s="14">
        <v>7.6777600000000001</v>
      </c>
      <c r="E428" s="14">
        <f>B428-Index_Returns!K428</f>
        <v>1.6939999999999955E-2</v>
      </c>
    </row>
    <row r="429" spans="1:5" x14ac:dyDescent="0.2">
      <c r="A429" s="345">
        <v>40574</v>
      </c>
      <c r="B429" s="14">
        <f>D429</f>
        <v>0.38955000000000001</v>
      </c>
      <c r="C429" s="8">
        <v>147940204.13</v>
      </c>
      <c r="D429" s="14">
        <v>0.38955000000000001</v>
      </c>
      <c r="E429" s="14">
        <f>B429-Index_Returns!K429</f>
        <v>0.23828000000000002</v>
      </c>
    </row>
    <row r="430" spans="1:5" x14ac:dyDescent="0.2">
      <c r="A430" s="345">
        <v>40602</v>
      </c>
      <c r="B430" s="14">
        <v>4.8198499999999997</v>
      </c>
      <c r="C430" s="8">
        <v>155070701.16999999</v>
      </c>
      <c r="D430" s="14">
        <v>4.8198499999999997</v>
      </c>
      <c r="E430" s="14">
        <f>B430-Index_Returns!K430</f>
        <v>0.41319000000000017</v>
      </c>
    </row>
    <row r="431" spans="1:5" x14ac:dyDescent="0.2">
      <c r="A431" s="345">
        <v>40633</v>
      </c>
      <c r="B431" s="14">
        <f>D431</f>
        <v>3.3910800000000001</v>
      </c>
      <c r="C431" s="8">
        <v>160329278.49000001</v>
      </c>
      <c r="D431" s="14">
        <v>3.3910800000000001</v>
      </c>
      <c r="E431" s="14">
        <f>B431-Index_Returns!K431</f>
        <v>0.38246000000000002</v>
      </c>
    </row>
    <row r="432" spans="1:5" x14ac:dyDescent="0.2">
      <c r="A432" s="345">
        <v>40663</v>
      </c>
      <c r="B432" s="14">
        <f t="shared" ref="B432:B488" si="0">D432</f>
        <v>3.6825899999999998</v>
      </c>
      <c r="C432" s="8">
        <v>166542973.80000001</v>
      </c>
      <c r="D432" s="14">
        <v>3.6825899999999998</v>
      </c>
      <c r="E432" s="14">
        <f>B432-Index_Returns!K432</f>
        <v>1.0825699999999996</v>
      </c>
    </row>
    <row r="433" spans="1:5" x14ac:dyDescent="0.2">
      <c r="A433" s="345">
        <v>40694</v>
      </c>
      <c r="B433" s="14">
        <f t="shared" si="0"/>
        <v>-1.4556</v>
      </c>
      <c r="C433" s="8">
        <v>142294556.12</v>
      </c>
      <c r="D433" s="14">
        <v>-1.4556</v>
      </c>
      <c r="E433" s="14">
        <f>B433-Index_Returns!K433</f>
        <v>-0.55478000000000005</v>
      </c>
    </row>
    <row r="434" spans="1:5" x14ac:dyDescent="0.2">
      <c r="A434" s="345">
        <v>40724</v>
      </c>
      <c r="B434" s="14">
        <f t="shared" si="0"/>
        <v>-1.80362</v>
      </c>
      <c r="C434" s="8">
        <v>139728101.34</v>
      </c>
      <c r="D434" s="14">
        <v>-1.80362</v>
      </c>
      <c r="E434" s="14">
        <f>B434-Index_Returns!K434</f>
        <v>5.0600000000000644E-3</v>
      </c>
    </row>
    <row r="435" spans="1:5" x14ac:dyDescent="0.2">
      <c r="A435" s="345">
        <v>40755</v>
      </c>
      <c r="B435" s="14">
        <f t="shared" si="0"/>
        <v>-3.4160900000000001</v>
      </c>
      <c r="C435" s="8">
        <v>135236041.49000001</v>
      </c>
      <c r="D435" s="14">
        <v>-3.4160900000000001</v>
      </c>
      <c r="E435" s="14">
        <f>B435-Index_Returns!K435</f>
        <v>-0.2075499999999999</v>
      </c>
    </row>
    <row r="436" spans="1:5" x14ac:dyDescent="0.2">
      <c r="A436" s="345">
        <v>40786</v>
      </c>
      <c r="B436" s="14">
        <f t="shared" si="0"/>
        <v>-5.37216</v>
      </c>
      <c r="C436" s="8">
        <v>127970948.17</v>
      </c>
      <c r="D436" s="14">
        <v>-5.37216</v>
      </c>
      <c r="E436" s="14">
        <f>B436-Index_Returns!K436</f>
        <v>2.3009599999999999</v>
      </c>
    </row>
    <row r="437" spans="1:5" x14ac:dyDescent="0.2">
      <c r="A437" s="345">
        <v>40816</v>
      </c>
      <c r="B437" s="14">
        <f t="shared" si="0"/>
        <v>-8.0095600000000005</v>
      </c>
      <c r="C437" s="8">
        <v>117721042.79000001</v>
      </c>
      <c r="D437" s="14">
        <v>-8.0095600000000005</v>
      </c>
      <c r="E437" s="14">
        <f>B437-Index_Returns!K437</f>
        <v>2.2795199999999998</v>
      </c>
    </row>
    <row r="438" spans="1:5" x14ac:dyDescent="0.2">
      <c r="A438" s="345">
        <v>40847</v>
      </c>
      <c r="B438" s="14">
        <f t="shared" si="0"/>
        <v>12.33858</v>
      </c>
      <c r="C438" s="8">
        <v>132539794.48</v>
      </c>
      <c r="D438" s="14">
        <v>12.33858</v>
      </c>
      <c r="E438" s="14">
        <f>B438-Index_Returns!K438</f>
        <v>-2.6572700000000005</v>
      </c>
    </row>
    <row r="439" spans="1:5" x14ac:dyDescent="0.2">
      <c r="A439" s="345">
        <v>40877</v>
      </c>
      <c r="B439" s="14">
        <f t="shared" si="0"/>
        <v>1.4968600000000001</v>
      </c>
      <c r="C439" s="8">
        <v>134523723.46000001</v>
      </c>
      <c r="D439" s="14">
        <v>1.4968600000000001</v>
      </c>
      <c r="E439" s="14">
        <f>B439-Index_Returns!K439</f>
        <v>0.86592000000000013</v>
      </c>
    </row>
    <row r="440" spans="1:5" x14ac:dyDescent="0.2">
      <c r="A440" s="345">
        <v>40908</v>
      </c>
      <c r="B440" s="14">
        <f t="shared" si="0"/>
        <v>-0.36127999999999999</v>
      </c>
      <c r="C440" s="8">
        <v>134037717.28</v>
      </c>
      <c r="D440" s="14">
        <v>-0.36127999999999999</v>
      </c>
      <c r="E440" s="14">
        <f>B440-Index_Returns!K440</f>
        <v>-1.6152500000000001</v>
      </c>
    </row>
    <row r="441" spans="1:5" x14ac:dyDescent="0.2">
      <c r="A441" s="345">
        <v>40939</v>
      </c>
      <c r="B441" s="14">
        <f t="shared" si="0"/>
        <v>4.4901</v>
      </c>
      <c r="C441" s="8">
        <v>140056150.02000001</v>
      </c>
      <c r="D441" s="14">
        <v>4.4901</v>
      </c>
      <c r="E441" s="14">
        <f>B441-Index_Returns!K441</f>
        <v>-2.0865799999999997</v>
      </c>
    </row>
    <row r="442" spans="1:5" x14ac:dyDescent="0.2">
      <c r="A442" s="345">
        <v>40968</v>
      </c>
      <c r="B442" s="14">
        <f t="shared" si="0"/>
        <v>1.98705</v>
      </c>
      <c r="C442" s="8">
        <v>143085393.91</v>
      </c>
      <c r="D442" s="14">
        <v>1.98705</v>
      </c>
      <c r="E442" s="14">
        <f>B442-Index_Returns!K442</f>
        <v>-0.12813000000000008</v>
      </c>
    </row>
    <row r="443" spans="1:5" x14ac:dyDescent="0.2">
      <c r="A443" s="345">
        <v>40999</v>
      </c>
      <c r="B443" s="14">
        <f t="shared" si="0"/>
        <v>2.73428</v>
      </c>
      <c r="C443" s="8">
        <v>146997752.75</v>
      </c>
      <c r="D443" s="14">
        <v>2.73428</v>
      </c>
      <c r="E443" s="14">
        <f>B443-Index_Returns!K443</f>
        <v>-0.16470999999999991</v>
      </c>
    </row>
    <row r="444" spans="1:5" x14ac:dyDescent="0.2">
      <c r="A444" s="345">
        <v>41029</v>
      </c>
      <c r="B444" s="14">
        <f t="shared" si="0"/>
        <v>-0.43269999999999997</v>
      </c>
      <c r="C444" s="8">
        <v>146646117.87</v>
      </c>
      <c r="D444" s="14">
        <v>-0.43269999999999997</v>
      </c>
      <c r="E444" s="14">
        <f>B444-Index_Returns!K444</f>
        <v>0.82917999999999992</v>
      </c>
    </row>
    <row r="445" spans="1:5" x14ac:dyDescent="0.2">
      <c r="A445" s="345">
        <v>41060</v>
      </c>
      <c r="B445" s="14">
        <f t="shared" si="0"/>
        <v>-4.4149399999999996</v>
      </c>
      <c r="C445" s="8">
        <v>140171786.59999999</v>
      </c>
      <c r="D445" s="14">
        <v>-4.4149399999999996</v>
      </c>
      <c r="E445" s="14">
        <f>B445-Index_Returns!K445</f>
        <v>1.8555000000000001</v>
      </c>
    </row>
    <row r="446" spans="1:5" x14ac:dyDescent="0.2">
      <c r="A446" s="345">
        <v>41090</v>
      </c>
      <c r="B446" s="14">
        <f t="shared" si="0"/>
        <v>2.7024900000000001</v>
      </c>
      <c r="C446" s="8">
        <v>143959912.03999999</v>
      </c>
      <c r="D446" s="14">
        <v>2.7024900000000001</v>
      </c>
      <c r="E446" s="14">
        <f>B446-Index_Returns!K446</f>
        <v>-1.4811100000000001</v>
      </c>
    </row>
    <row r="447" spans="1:5" x14ac:dyDescent="0.2">
      <c r="A447" s="345">
        <v>41121</v>
      </c>
      <c r="B447" s="14">
        <f t="shared" si="0"/>
        <v>-3.6399400000000002</v>
      </c>
      <c r="C447" s="8">
        <v>138719854.13</v>
      </c>
      <c r="D447" s="14">
        <v>-3.6399400000000002</v>
      </c>
      <c r="E447" s="14">
        <f>B447-Index_Returns!K447</f>
        <v>-2.8737000000000004</v>
      </c>
    </row>
    <row r="448" spans="1:5" x14ac:dyDescent="0.2">
      <c r="A448" s="345">
        <v>41152</v>
      </c>
      <c r="B448" s="14">
        <f t="shared" si="0"/>
        <v>3.5022700000000002</v>
      </c>
      <c r="C448" s="8">
        <v>137827064.69999999</v>
      </c>
      <c r="D448" s="14">
        <v>3.5022700000000002</v>
      </c>
      <c r="E448" s="14">
        <f>B448-Index_Returns!K448</f>
        <v>-0.28651999999999989</v>
      </c>
    </row>
    <row r="449" spans="1:5" x14ac:dyDescent="0.2">
      <c r="A449" s="345">
        <v>41182</v>
      </c>
      <c r="B449" s="14">
        <f t="shared" si="0"/>
        <v>2.90726</v>
      </c>
      <c r="C449" s="8">
        <v>141834058.09999999</v>
      </c>
      <c r="D449" s="14">
        <v>2.90726</v>
      </c>
      <c r="E449" s="14">
        <f>B449-Index_Returns!K449</f>
        <v>0.57489999999999997</v>
      </c>
    </row>
    <row r="450" spans="1:5" x14ac:dyDescent="0.2">
      <c r="A450" s="345">
        <v>41213</v>
      </c>
      <c r="B450" s="14">
        <f t="shared" si="0"/>
        <v>-1.84728</v>
      </c>
      <c r="C450" s="8">
        <v>133553549.87</v>
      </c>
      <c r="D450" s="14">
        <v>-1.84728</v>
      </c>
      <c r="E450" s="14">
        <f>B450-Index_Returns!K450</f>
        <v>0.18291999999999975</v>
      </c>
    </row>
    <row r="451" spans="1:5" x14ac:dyDescent="0.2">
      <c r="A451" s="345">
        <v>41243</v>
      </c>
      <c r="B451" s="14">
        <f t="shared" si="0"/>
        <v>1.42431</v>
      </c>
      <c r="C451" s="8">
        <v>135399205.46000001</v>
      </c>
      <c r="D451" s="14">
        <v>1.42431</v>
      </c>
      <c r="E451" s="14">
        <f>B451-Index_Returns!K451</f>
        <v>0.42611999999999994</v>
      </c>
    </row>
    <row r="452" spans="1:5" x14ac:dyDescent="0.2">
      <c r="A452" s="345">
        <v>41274</v>
      </c>
      <c r="B452" s="14">
        <f t="shared" si="0"/>
        <v>1.78596</v>
      </c>
      <c r="C452" s="8">
        <v>122312283.42</v>
      </c>
      <c r="D452" s="14">
        <v>1.78596</v>
      </c>
      <c r="E452" s="14">
        <f>B452-Index_Returns!K452</f>
        <v>-1.5175500000000002</v>
      </c>
    </row>
    <row r="453" spans="1:5" x14ac:dyDescent="0.2">
      <c r="A453" s="345">
        <v>41305</v>
      </c>
      <c r="B453" s="14">
        <f t="shared" si="0"/>
        <v>5.6401300000000001</v>
      </c>
      <c r="C453" s="8">
        <v>129499638.20999999</v>
      </c>
      <c r="D453" s="14">
        <v>5.6401300000000001</v>
      </c>
      <c r="E453" s="14">
        <f>B453-Index_Returns!K453</f>
        <v>-0.13842999999999961</v>
      </c>
    </row>
    <row r="454" spans="1:5" x14ac:dyDescent="0.2">
      <c r="A454" s="345">
        <v>41333</v>
      </c>
      <c r="B454" s="14">
        <f t="shared" si="0"/>
        <v>2.1968299999999998</v>
      </c>
      <c r="C454" s="8">
        <v>132344524.91</v>
      </c>
      <c r="D454" s="14">
        <v>2.1968299999999998</v>
      </c>
      <c r="E454" s="14">
        <f>B454-Index_Returns!K454</f>
        <v>0.78921999999999981</v>
      </c>
    </row>
    <row r="455" spans="1:5" x14ac:dyDescent="0.2">
      <c r="A455" s="345">
        <v>41364</v>
      </c>
      <c r="B455" s="14">
        <f t="shared" si="0"/>
        <v>4.7892999999999999</v>
      </c>
      <c r="C455" s="8">
        <v>135672117.68000001</v>
      </c>
      <c r="D455" s="14">
        <v>4.7892999999999999</v>
      </c>
      <c r="E455" s="14">
        <f>B455-Index_Returns!K455</f>
        <v>0.55353999999999992</v>
      </c>
    </row>
    <row r="456" spans="1:5" x14ac:dyDescent="0.2">
      <c r="A456" s="345">
        <v>41394</v>
      </c>
      <c r="B456" s="14">
        <f t="shared" si="0"/>
        <v>-1.2362</v>
      </c>
      <c r="C456" s="8">
        <v>134255699.31999999</v>
      </c>
      <c r="D456" s="14">
        <v>-1.2362</v>
      </c>
      <c r="E456" s="14">
        <f>B456-Index_Returns!K456</f>
        <v>-0.97035999999999989</v>
      </c>
    </row>
    <row r="457" spans="1:5" x14ac:dyDescent="0.2">
      <c r="A457" s="345">
        <v>41425</v>
      </c>
      <c r="B457" s="14">
        <f t="shared" si="0"/>
        <v>4.0148299999999999</v>
      </c>
      <c r="C457" s="8">
        <v>139645836.30000001</v>
      </c>
      <c r="D457" s="14">
        <v>4.0148299999999999</v>
      </c>
      <c r="E457" s="14">
        <f>B457-Index_Returns!K457</f>
        <v>-0.33288000000000029</v>
      </c>
    </row>
    <row r="458" spans="1:5" x14ac:dyDescent="0.2">
      <c r="A458" s="345">
        <v>41455</v>
      </c>
      <c r="B458" s="14">
        <f t="shared" si="0"/>
        <v>0.40659000000000001</v>
      </c>
      <c r="C458" s="1419">
        <v>140213623.90000001</v>
      </c>
      <c r="D458" s="1301">
        <v>0.40659000000000001</v>
      </c>
      <c r="E458" s="14">
        <f>B458-Index_Returns!K458</f>
        <v>0.55249000000000004</v>
      </c>
    </row>
    <row r="459" spans="1:5" x14ac:dyDescent="0.2">
      <c r="A459" s="345">
        <v>41486</v>
      </c>
      <c r="B459" s="14">
        <f t="shared" si="0"/>
        <v>5.6742600000000003</v>
      </c>
      <c r="C459" s="8">
        <v>148447398.75999999</v>
      </c>
      <c r="D459" s="14">
        <v>5.6742600000000003</v>
      </c>
      <c r="E459" s="14">
        <f>B459-Index_Returns!K459</f>
        <v>-1.1703700000000001</v>
      </c>
    </row>
    <row r="460" spans="1:5" x14ac:dyDescent="0.2">
      <c r="A460" s="345">
        <v>41517</v>
      </c>
      <c r="B460" s="14">
        <f t="shared" si="0"/>
        <v>-2.1095299999999999</v>
      </c>
      <c r="C460" s="8">
        <v>145315855.22999999</v>
      </c>
      <c r="D460" s="14">
        <v>-2.1095299999999999</v>
      </c>
      <c r="E460" s="14">
        <f>B460-Index_Returns!K460</f>
        <v>0.32670000000000021</v>
      </c>
    </row>
    <row r="461" spans="1:5" x14ac:dyDescent="0.2">
      <c r="A461" s="345">
        <v>41547</v>
      </c>
      <c r="B461" s="14">
        <f t="shared" si="0"/>
        <v>5.0891400000000004</v>
      </c>
      <c r="C461" s="8">
        <v>152711174.78</v>
      </c>
      <c r="D461" s="14">
        <v>5.0891400000000004</v>
      </c>
      <c r="E461" s="14">
        <f>B461-Index_Returns!K461</f>
        <v>-1.1374699999999995</v>
      </c>
    </row>
    <row r="462" spans="1:5" x14ac:dyDescent="0.2">
      <c r="A462" s="345">
        <v>41578</v>
      </c>
      <c r="B462" s="14">
        <f t="shared" si="0"/>
        <v>2.8070499999999998</v>
      </c>
      <c r="C462" s="8">
        <v>157287782.81</v>
      </c>
      <c r="D462" s="14">
        <v>2.8070499999999998</v>
      </c>
      <c r="E462" s="14">
        <f>B462-Index_Returns!K462</f>
        <v>-0.80049999999999999</v>
      </c>
    </row>
    <row r="463" spans="1:5" x14ac:dyDescent="0.2">
      <c r="A463" s="345">
        <v>41608</v>
      </c>
      <c r="B463" s="14">
        <f t="shared" si="0"/>
        <v>3.4380000000000002</v>
      </c>
      <c r="C463" s="8">
        <v>152357736.52000001</v>
      </c>
      <c r="D463" s="14">
        <v>3.4380000000000002</v>
      </c>
      <c r="E463" s="14">
        <f>B463-Index_Returns!K463</f>
        <v>-1.0576500000000002</v>
      </c>
    </row>
    <row r="464" spans="1:5" x14ac:dyDescent="0.2">
      <c r="A464" s="345">
        <v>41639</v>
      </c>
      <c r="B464" s="14">
        <f t="shared" si="0"/>
        <v>1.2443900000000001</v>
      </c>
      <c r="C464" s="8">
        <v>133962698.56</v>
      </c>
      <c r="D464" s="14">
        <v>1.2443900000000001</v>
      </c>
      <c r="E464" s="14">
        <f>B464-Index_Returns!K464</f>
        <v>-0.20292999999999983</v>
      </c>
    </row>
    <row r="465" spans="1:5" x14ac:dyDescent="0.2">
      <c r="A465" s="345">
        <v>41670</v>
      </c>
      <c r="B465" s="14">
        <f t="shared" si="0"/>
        <v>-3.8150400000000002</v>
      </c>
      <c r="C465" s="8">
        <v>129152222.81</v>
      </c>
      <c r="D465" s="14">
        <v>-3.8150400000000002</v>
      </c>
      <c r="E465" s="14">
        <f>B465-Index_Returns!K465</f>
        <v>4.1819999999999968E-2</v>
      </c>
    </row>
    <row r="466" spans="1:5" x14ac:dyDescent="0.2">
      <c r="A466" s="345">
        <v>41698</v>
      </c>
      <c r="B466" s="14">
        <f t="shared" si="0"/>
        <v>1.2981199999999999</v>
      </c>
      <c r="C466" s="8">
        <v>113868430.87</v>
      </c>
      <c r="D466" s="14">
        <v>1.2981199999999999</v>
      </c>
      <c r="E466" s="14">
        <f>B466-Index_Returns!K466</f>
        <v>-3.1585700000000001</v>
      </c>
    </row>
    <row r="467" spans="1:5" x14ac:dyDescent="0.2">
      <c r="A467" s="345">
        <v>41729</v>
      </c>
      <c r="B467" s="14">
        <f t="shared" si="0"/>
        <v>0.72355999999999998</v>
      </c>
      <c r="C467" s="8">
        <v>114692336.42</v>
      </c>
      <c r="D467" s="14">
        <v>0.72355999999999998</v>
      </c>
      <c r="E467" s="14">
        <f>B467-Index_Returns!K467</f>
        <v>2.5560000000000027E-2</v>
      </c>
    </row>
    <row r="468" spans="1:5" x14ac:dyDescent="0.2">
      <c r="A468" s="345">
        <v>41759</v>
      </c>
      <c r="B468" s="14">
        <f t="shared" si="0"/>
        <v>-2.75373</v>
      </c>
      <c r="C468" s="8">
        <v>97341597.200000003</v>
      </c>
      <c r="D468" s="14">
        <v>-2.75373</v>
      </c>
      <c r="E468" s="14">
        <f>B468-Index_Returns!K468</f>
        <v>3.7319999999999798E-2</v>
      </c>
    </row>
    <row r="469" spans="1:5" x14ac:dyDescent="0.2">
      <c r="A469" s="345">
        <v>41790</v>
      </c>
      <c r="B469" s="14">
        <f t="shared" si="0"/>
        <v>0.17074</v>
      </c>
      <c r="C469" s="8">
        <v>97507801.900000006</v>
      </c>
      <c r="D469" s="14">
        <v>0.17074</v>
      </c>
      <c r="E469" s="14">
        <f>B469-Index_Returns!K469</f>
        <v>-9.919E-2</v>
      </c>
    </row>
    <row r="470" spans="1:5" x14ac:dyDescent="0.2">
      <c r="A470" s="345">
        <v>41820</v>
      </c>
      <c r="B470" s="14">
        <f t="shared" si="0"/>
        <v>5.1525999999999996</v>
      </c>
      <c r="C470" s="8">
        <v>102531990.78</v>
      </c>
      <c r="D470" s="14">
        <v>5.1525999999999996</v>
      </c>
      <c r="E470" s="14">
        <f>B470-Index_Returns!K470</f>
        <v>0.43787999999999982</v>
      </c>
    </row>
    <row r="471" spans="1:5" x14ac:dyDescent="0.2">
      <c r="A471" s="345">
        <v>41851</v>
      </c>
      <c r="B471" s="14">
        <f t="shared" si="0"/>
        <v>-5.1719200000000001</v>
      </c>
      <c r="C471" s="8">
        <v>97438010.340000004</v>
      </c>
      <c r="D471" s="14">
        <v>-5.1719200000000001</v>
      </c>
      <c r="E471" s="14">
        <f>B471-Index_Returns!K471</f>
        <v>0.32273999999999958</v>
      </c>
    </row>
    <row r="472" spans="1:5" x14ac:dyDescent="0.2">
      <c r="A472" s="345">
        <v>41882</v>
      </c>
      <c r="B472" s="14">
        <f t="shared" si="0"/>
        <v>3.11761</v>
      </c>
      <c r="C472" s="8">
        <v>90392461.980000004</v>
      </c>
      <c r="D472" s="14">
        <v>3.11761</v>
      </c>
      <c r="E472" s="14">
        <f>B472-Index_Returns!K472</f>
        <v>-1.1773699999999998</v>
      </c>
    </row>
    <row r="473" spans="1:5" x14ac:dyDescent="0.2">
      <c r="A473" s="345">
        <v>41912</v>
      </c>
      <c r="B473" s="14">
        <f t="shared" si="0"/>
        <v>0</v>
      </c>
      <c r="E473" s="14">
        <f>B473-Index_Returns!K473</f>
        <v>0</v>
      </c>
    </row>
    <row r="474" spans="1:5" x14ac:dyDescent="0.2">
      <c r="A474" s="345">
        <v>41943</v>
      </c>
      <c r="B474" s="14">
        <f t="shared" si="0"/>
        <v>0</v>
      </c>
      <c r="E474" s="14">
        <f>B474-Index_Returns!K474</f>
        <v>0</v>
      </c>
    </row>
    <row r="475" spans="1:5" x14ac:dyDescent="0.2">
      <c r="A475" s="345">
        <v>41973</v>
      </c>
      <c r="B475" s="14">
        <f t="shared" si="0"/>
        <v>0</v>
      </c>
      <c r="E475" s="14">
        <f>B475-Index_Returns!K475</f>
        <v>0</v>
      </c>
    </row>
    <row r="476" spans="1:5" x14ac:dyDescent="0.2">
      <c r="A476" s="345">
        <v>42004</v>
      </c>
      <c r="B476" s="14">
        <f t="shared" si="0"/>
        <v>0</v>
      </c>
      <c r="E476" s="14">
        <f>B476-Index_Returns!K476</f>
        <v>0</v>
      </c>
    </row>
    <row r="477" spans="1:5" x14ac:dyDescent="0.2">
      <c r="A477" s="345">
        <v>42035</v>
      </c>
      <c r="B477" s="14">
        <f t="shared" si="0"/>
        <v>0</v>
      </c>
      <c r="E477" s="14">
        <f>B477-Index_Returns!K477</f>
        <v>0</v>
      </c>
    </row>
    <row r="478" spans="1:5" x14ac:dyDescent="0.2">
      <c r="A478" s="345">
        <v>42063</v>
      </c>
      <c r="B478" s="14">
        <f t="shared" si="0"/>
        <v>0</v>
      </c>
      <c r="E478" s="14">
        <f>B478-Index_Returns!K478</f>
        <v>0</v>
      </c>
    </row>
    <row r="479" spans="1:5" x14ac:dyDescent="0.2">
      <c r="A479" s="345">
        <v>42094</v>
      </c>
      <c r="B479" s="14">
        <f t="shared" si="0"/>
        <v>0</v>
      </c>
      <c r="E479" s="14">
        <f>B479-Index_Returns!K479</f>
        <v>0</v>
      </c>
    </row>
    <row r="480" spans="1:5" x14ac:dyDescent="0.2">
      <c r="A480" s="345">
        <v>42124</v>
      </c>
      <c r="B480" s="14">
        <f t="shared" si="0"/>
        <v>0</v>
      </c>
      <c r="E480" s="14">
        <f>B480-Index_Returns!K480</f>
        <v>0</v>
      </c>
    </row>
    <row r="481" spans="1:5" x14ac:dyDescent="0.2">
      <c r="A481" s="345">
        <v>42155</v>
      </c>
      <c r="B481" s="14">
        <f t="shared" si="0"/>
        <v>0</v>
      </c>
      <c r="E481" s="14">
        <f>B481-Index_Returns!K481</f>
        <v>0</v>
      </c>
    </row>
    <row r="482" spans="1:5" x14ac:dyDescent="0.2">
      <c r="A482" s="345">
        <v>42185</v>
      </c>
      <c r="B482" s="14">
        <f t="shared" si="0"/>
        <v>0</v>
      </c>
      <c r="E482" s="14">
        <f>B482-Index_Returns!K482</f>
        <v>0</v>
      </c>
    </row>
    <row r="483" spans="1:5" x14ac:dyDescent="0.2">
      <c r="A483" s="345">
        <v>42216</v>
      </c>
      <c r="B483" s="14">
        <f t="shared" si="0"/>
        <v>0</v>
      </c>
      <c r="E483" s="14">
        <f>B483-Index_Returns!K483</f>
        <v>0</v>
      </c>
    </row>
    <row r="484" spans="1:5" x14ac:dyDescent="0.2">
      <c r="A484" s="345">
        <v>42247</v>
      </c>
      <c r="B484" s="14">
        <f t="shared" si="0"/>
        <v>0</v>
      </c>
      <c r="E484" s="14">
        <f>B484-Index_Returns!K484</f>
        <v>0</v>
      </c>
    </row>
    <row r="485" spans="1:5" x14ac:dyDescent="0.2">
      <c r="A485" s="345">
        <v>42277</v>
      </c>
      <c r="B485" s="14">
        <f t="shared" si="0"/>
        <v>0</v>
      </c>
      <c r="E485" s="14">
        <f>B485-Index_Returns!K485</f>
        <v>0</v>
      </c>
    </row>
    <row r="486" spans="1:5" x14ac:dyDescent="0.2">
      <c r="A486" s="345">
        <v>42308</v>
      </c>
      <c r="B486" s="14">
        <f t="shared" si="0"/>
        <v>0</v>
      </c>
      <c r="E486" s="14">
        <f>B486-Index_Returns!K486</f>
        <v>0</v>
      </c>
    </row>
    <row r="487" spans="1:5" x14ac:dyDescent="0.2">
      <c r="A487" s="345">
        <v>42338</v>
      </c>
      <c r="B487" s="14">
        <f t="shared" si="0"/>
        <v>0</v>
      </c>
      <c r="E487" s="14">
        <f>B487-Index_Returns!K487</f>
        <v>0</v>
      </c>
    </row>
    <row r="488" spans="1:5" x14ac:dyDescent="0.2">
      <c r="A488" s="345">
        <v>42369</v>
      </c>
      <c r="B488" s="14">
        <f t="shared" si="0"/>
        <v>0</v>
      </c>
      <c r="E488" s="14">
        <f>B488-Index_Returns!K488</f>
        <v>0</v>
      </c>
    </row>
    <row r="489" spans="1:5" x14ac:dyDescent="0.2">
      <c r="A489" s="21"/>
    </row>
    <row r="490" spans="1:5" x14ac:dyDescent="0.2">
      <c r="A490" s="21"/>
    </row>
    <row r="491" spans="1:5" x14ac:dyDescent="0.2">
      <c r="A491" s="21"/>
    </row>
    <row r="492" spans="1:5" x14ac:dyDescent="0.2">
      <c r="A492" s="21"/>
    </row>
    <row r="493" spans="1:5" x14ac:dyDescent="0.2">
      <c r="A493" s="21"/>
    </row>
    <row r="494" spans="1:5" x14ac:dyDescent="0.2">
      <c r="A494" s="21"/>
    </row>
    <row r="495" spans="1:5" x14ac:dyDescent="0.2">
      <c r="A495" s="21"/>
    </row>
    <row r="496" spans="1:5" x14ac:dyDescent="0.2">
      <c r="A496" s="21"/>
    </row>
    <row r="497" spans="1:1" x14ac:dyDescent="0.2">
      <c r="A497" s="21"/>
    </row>
    <row r="498" spans="1:1" x14ac:dyDescent="0.2">
      <c r="A498" s="21"/>
    </row>
    <row r="499" spans="1:1" x14ac:dyDescent="0.2">
      <c r="A499" s="21"/>
    </row>
    <row r="500" spans="1:1" x14ac:dyDescent="0.2">
      <c r="A500" s="21"/>
    </row>
    <row r="501" spans="1:1" x14ac:dyDescent="0.2">
      <c r="A501" s="21"/>
    </row>
    <row r="502" spans="1:1" x14ac:dyDescent="0.2">
      <c r="A502" s="21"/>
    </row>
    <row r="503" spans="1:1" x14ac:dyDescent="0.2">
      <c r="A503" s="21"/>
    </row>
    <row r="504" spans="1:1" x14ac:dyDescent="0.2">
      <c r="A504" s="21"/>
    </row>
    <row r="505" spans="1:1" x14ac:dyDescent="0.2">
      <c r="A505" s="21"/>
    </row>
    <row r="506" spans="1:1" x14ac:dyDescent="0.2">
      <c r="A506" s="21"/>
    </row>
    <row r="507" spans="1:1" x14ac:dyDescent="0.2">
      <c r="A507" s="21"/>
    </row>
    <row r="508" spans="1:1" x14ac:dyDescent="0.2">
      <c r="A508" s="21"/>
    </row>
    <row r="509" spans="1:1" x14ac:dyDescent="0.2">
      <c r="A509" s="21"/>
    </row>
    <row r="510" spans="1:1" x14ac:dyDescent="0.2">
      <c r="A510" s="21"/>
    </row>
    <row r="511" spans="1:1" x14ac:dyDescent="0.2">
      <c r="A511" s="21"/>
    </row>
    <row r="512" spans="1:1" x14ac:dyDescent="0.2">
      <c r="A512" s="21"/>
    </row>
    <row r="513" spans="1:1" x14ac:dyDescent="0.2">
      <c r="A513" s="21"/>
    </row>
    <row r="514" spans="1:1" x14ac:dyDescent="0.2">
      <c r="A514" s="21"/>
    </row>
    <row r="515" spans="1:1" x14ac:dyDescent="0.2">
      <c r="A515" s="21"/>
    </row>
    <row r="516" spans="1:1" x14ac:dyDescent="0.2">
      <c r="A516" s="21"/>
    </row>
    <row r="517" spans="1:1" x14ac:dyDescent="0.2">
      <c r="A517" s="21"/>
    </row>
    <row r="518" spans="1:1" x14ac:dyDescent="0.2">
      <c r="A518" s="21"/>
    </row>
    <row r="519" spans="1:1" x14ac:dyDescent="0.2">
      <c r="A519" s="21"/>
    </row>
    <row r="520" spans="1:1" x14ac:dyDescent="0.2">
      <c r="A520" s="21"/>
    </row>
    <row r="521" spans="1:1" x14ac:dyDescent="0.2">
      <c r="A521" s="21"/>
    </row>
    <row r="522" spans="1:1" x14ac:dyDescent="0.2">
      <c r="A522" s="21"/>
    </row>
    <row r="523" spans="1:1" x14ac:dyDescent="0.2">
      <c r="A523" s="21"/>
    </row>
    <row r="524" spans="1:1" x14ac:dyDescent="0.2">
      <c r="A524" s="21"/>
    </row>
    <row r="525" spans="1:1" x14ac:dyDescent="0.2">
      <c r="A525" s="21"/>
    </row>
    <row r="526" spans="1:1" x14ac:dyDescent="0.2">
      <c r="A526" s="21"/>
    </row>
    <row r="527" spans="1:1" x14ac:dyDescent="0.2">
      <c r="A527" s="21"/>
    </row>
    <row r="528" spans="1:1" x14ac:dyDescent="0.2">
      <c r="A528" s="21"/>
    </row>
    <row r="529" spans="1:1" x14ac:dyDescent="0.2">
      <c r="A529" s="21"/>
    </row>
    <row r="530" spans="1:1" x14ac:dyDescent="0.2">
      <c r="A530" s="21"/>
    </row>
    <row r="531" spans="1:1" x14ac:dyDescent="0.2">
      <c r="A531" s="21"/>
    </row>
    <row r="532" spans="1:1" x14ac:dyDescent="0.2">
      <c r="A532" s="21"/>
    </row>
    <row r="533" spans="1:1" x14ac:dyDescent="0.2">
      <c r="A533" s="21"/>
    </row>
    <row r="534" spans="1:1" x14ac:dyDescent="0.2">
      <c r="A534" s="21"/>
    </row>
    <row r="535" spans="1:1" x14ac:dyDescent="0.2">
      <c r="A535" s="21"/>
    </row>
    <row r="536" spans="1:1" x14ac:dyDescent="0.2">
      <c r="A536" s="21"/>
    </row>
    <row r="537" spans="1:1" x14ac:dyDescent="0.2">
      <c r="A537" s="21"/>
    </row>
    <row r="538" spans="1:1" x14ac:dyDescent="0.2">
      <c r="A538" s="21"/>
    </row>
    <row r="539" spans="1:1" x14ac:dyDescent="0.2">
      <c r="A539" s="21"/>
    </row>
    <row r="540" spans="1:1" x14ac:dyDescent="0.2">
      <c r="A540" s="21"/>
    </row>
    <row r="541" spans="1:1" x14ac:dyDescent="0.2">
      <c r="A541" s="21"/>
    </row>
    <row r="542" spans="1:1" x14ac:dyDescent="0.2">
      <c r="A542" s="21"/>
    </row>
    <row r="543" spans="1:1" x14ac:dyDescent="0.2">
      <c r="A543" s="21"/>
    </row>
    <row r="544" spans="1:1" x14ac:dyDescent="0.2">
      <c r="A544" s="21"/>
    </row>
    <row r="545" spans="1:1" x14ac:dyDescent="0.2">
      <c r="A545" s="21"/>
    </row>
    <row r="546" spans="1:1" x14ac:dyDescent="0.2">
      <c r="A546" s="21"/>
    </row>
    <row r="547" spans="1:1" x14ac:dyDescent="0.2">
      <c r="A547" s="21"/>
    </row>
    <row r="548" spans="1:1" x14ac:dyDescent="0.2">
      <c r="A548" s="21"/>
    </row>
    <row r="549" spans="1:1" x14ac:dyDescent="0.2">
      <c r="A549" s="21"/>
    </row>
    <row r="550" spans="1:1" x14ac:dyDescent="0.2">
      <c r="A550" s="21"/>
    </row>
    <row r="551" spans="1:1" x14ac:dyDescent="0.2">
      <c r="A551" s="21"/>
    </row>
    <row r="552" spans="1:1" x14ac:dyDescent="0.2">
      <c r="A552" s="21"/>
    </row>
    <row r="553" spans="1:1" x14ac:dyDescent="0.2">
      <c r="A553" s="21"/>
    </row>
    <row r="554" spans="1:1" x14ac:dyDescent="0.2">
      <c r="A554" s="21"/>
    </row>
    <row r="555" spans="1:1" x14ac:dyDescent="0.2">
      <c r="A555" s="21"/>
    </row>
    <row r="556" spans="1:1" x14ac:dyDescent="0.2">
      <c r="A556" s="21"/>
    </row>
    <row r="557" spans="1:1" x14ac:dyDescent="0.2">
      <c r="A557" s="21"/>
    </row>
    <row r="558" spans="1:1" x14ac:dyDescent="0.2">
      <c r="A558" s="21"/>
    </row>
    <row r="559" spans="1:1" x14ac:dyDescent="0.2">
      <c r="A559" s="21"/>
    </row>
    <row r="560" spans="1:1" x14ac:dyDescent="0.2">
      <c r="A560" s="21"/>
    </row>
    <row r="561" spans="1:1" x14ac:dyDescent="0.2">
      <c r="A561" s="21"/>
    </row>
    <row r="562" spans="1:1" x14ac:dyDescent="0.2">
      <c r="A562" s="21"/>
    </row>
    <row r="563" spans="1:1" x14ac:dyDescent="0.2">
      <c r="A563" s="21"/>
    </row>
    <row r="564" spans="1:1" x14ac:dyDescent="0.2">
      <c r="A564" s="21"/>
    </row>
    <row r="565" spans="1:1" x14ac:dyDescent="0.2">
      <c r="A565" s="21"/>
    </row>
    <row r="566" spans="1:1" x14ac:dyDescent="0.2">
      <c r="A566" s="21"/>
    </row>
    <row r="567" spans="1:1" x14ac:dyDescent="0.2">
      <c r="A567" s="21"/>
    </row>
    <row r="568" spans="1:1" x14ac:dyDescent="0.2">
      <c r="A568" s="21"/>
    </row>
    <row r="569" spans="1:1" x14ac:dyDescent="0.2">
      <c r="A569" s="21"/>
    </row>
    <row r="570" spans="1:1" x14ac:dyDescent="0.2">
      <c r="A570" s="21"/>
    </row>
    <row r="571" spans="1:1" x14ac:dyDescent="0.2">
      <c r="A571" s="21"/>
    </row>
    <row r="572" spans="1:1" x14ac:dyDescent="0.2">
      <c r="A572" s="21"/>
    </row>
    <row r="573" spans="1:1" x14ac:dyDescent="0.2">
      <c r="A573" s="21"/>
    </row>
    <row r="574" spans="1:1" x14ac:dyDescent="0.2">
      <c r="A574" s="21"/>
    </row>
    <row r="575" spans="1:1" x14ac:dyDescent="0.2">
      <c r="A575" s="21"/>
    </row>
    <row r="576" spans="1:1" x14ac:dyDescent="0.2">
      <c r="A576" s="21"/>
    </row>
    <row r="577" spans="1:1" x14ac:dyDescent="0.2">
      <c r="A577" s="21"/>
    </row>
    <row r="578" spans="1:1" x14ac:dyDescent="0.2">
      <c r="A578" s="21"/>
    </row>
    <row r="579" spans="1:1" x14ac:dyDescent="0.2">
      <c r="A579" s="21"/>
    </row>
    <row r="580" spans="1:1" x14ac:dyDescent="0.2">
      <c r="A580" s="21"/>
    </row>
    <row r="581" spans="1:1" x14ac:dyDescent="0.2">
      <c r="A581" s="21"/>
    </row>
    <row r="582" spans="1:1" x14ac:dyDescent="0.2">
      <c r="A582" s="21"/>
    </row>
    <row r="583" spans="1:1" x14ac:dyDescent="0.2">
      <c r="A583" s="21"/>
    </row>
    <row r="584" spans="1:1" x14ac:dyDescent="0.2">
      <c r="A584" s="21"/>
    </row>
    <row r="585" spans="1:1" x14ac:dyDescent="0.2">
      <c r="A585" s="21"/>
    </row>
    <row r="586" spans="1:1" x14ac:dyDescent="0.2">
      <c r="A586" s="21"/>
    </row>
    <row r="587" spans="1:1" x14ac:dyDescent="0.2">
      <c r="A587" s="21"/>
    </row>
    <row r="588" spans="1:1" x14ac:dyDescent="0.2">
      <c r="A588" s="21"/>
    </row>
    <row r="589" spans="1:1" x14ac:dyDescent="0.2">
      <c r="A589" s="21"/>
    </row>
    <row r="590" spans="1:1" x14ac:dyDescent="0.2">
      <c r="A590" s="21"/>
    </row>
    <row r="591" spans="1:1" x14ac:dyDescent="0.2">
      <c r="A591" s="21"/>
    </row>
    <row r="592" spans="1:1" x14ac:dyDescent="0.2">
      <c r="A592" s="21"/>
    </row>
    <row r="593" spans="1:1" x14ac:dyDescent="0.2">
      <c r="A593" s="21"/>
    </row>
    <row r="594" spans="1:1" x14ac:dyDescent="0.2">
      <c r="A594" s="21"/>
    </row>
    <row r="595" spans="1:1" x14ac:dyDescent="0.2">
      <c r="A595" s="21"/>
    </row>
    <row r="596" spans="1:1" x14ac:dyDescent="0.2">
      <c r="A596" s="21"/>
    </row>
    <row r="597" spans="1:1" x14ac:dyDescent="0.2">
      <c r="A597" s="21"/>
    </row>
    <row r="598" spans="1:1" x14ac:dyDescent="0.2">
      <c r="A598" s="21"/>
    </row>
    <row r="599" spans="1:1" x14ac:dyDescent="0.2">
      <c r="A599" s="21"/>
    </row>
    <row r="600" spans="1:1" x14ac:dyDescent="0.2">
      <c r="A600" s="21"/>
    </row>
    <row r="601" spans="1:1" x14ac:dyDescent="0.2">
      <c r="A601" s="21"/>
    </row>
    <row r="602" spans="1:1" x14ac:dyDescent="0.2">
      <c r="A602" s="21"/>
    </row>
    <row r="603" spans="1:1" x14ac:dyDescent="0.2">
      <c r="A603" s="21"/>
    </row>
    <row r="604" spans="1:1" x14ac:dyDescent="0.2">
      <c r="A604" s="21"/>
    </row>
    <row r="605" spans="1:1" x14ac:dyDescent="0.2">
      <c r="A605" s="21"/>
    </row>
    <row r="606" spans="1:1" x14ac:dyDescent="0.2">
      <c r="A606" s="21"/>
    </row>
    <row r="607" spans="1:1" x14ac:dyDescent="0.2">
      <c r="A607" s="21"/>
    </row>
    <row r="608" spans="1:1" x14ac:dyDescent="0.2">
      <c r="A608" s="21"/>
    </row>
    <row r="609" spans="1:1" x14ac:dyDescent="0.2">
      <c r="A609" s="21"/>
    </row>
    <row r="610" spans="1:1" x14ac:dyDescent="0.2">
      <c r="A610" s="21"/>
    </row>
    <row r="611" spans="1:1" x14ac:dyDescent="0.2">
      <c r="A611" s="21"/>
    </row>
    <row r="612" spans="1:1" x14ac:dyDescent="0.2">
      <c r="A612" s="21"/>
    </row>
    <row r="613" spans="1:1" x14ac:dyDescent="0.2">
      <c r="A613" s="21"/>
    </row>
    <row r="614" spans="1:1" x14ac:dyDescent="0.2">
      <c r="A614" s="21"/>
    </row>
    <row r="615" spans="1:1" x14ac:dyDescent="0.2">
      <c r="A615" s="21"/>
    </row>
    <row r="616" spans="1:1" x14ac:dyDescent="0.2">
      <c r="A616" s="21"/>
    </row>
    <row r="617" spans="1:1" x14ac:dyDescent="0.2">
      <c r="A617" s="21"/>
    </row>
    <row r="618" spans="1:1" x14ac:dyDescent="0.2">
      <c r="A618" s="21"/>
    </row>
    <row r="619" spans="1:1" x14ac:dyDescent="0.2">
      <c r="A619" s="21"/>
    </row>
    <row r="620" spans="1:1" x14ac:dyDescent="0.2">
      <c r="A620" s="21"/>
    </row>
    <row r="621" spans="1:1" x14ac:dyDescent="0.2">
      <c r="A621" s="21"/>
    </row>
    <row r="622" spans="1:1" x14ac:dyDescent="0.2">
      <c r="A622" s="21"/>
    </row>
    <row r="623" spans="1:1" x14ac:dyDescent="0.2">
      <c r="A623" s="21"/>
    </row>
    <row r="624" spans="1:1" x14ac:dyDescent="0.2">
      <c r="A624" s="21"/>
    </row>
    <row r="625" spans="1:1" x14ac:dyDescent="0.2">
      <c r="A625" s="21"/>
    </row>
    <row r="626" spans="1:1" x14ac:dyDescent="0.2">
      <c r="A626" s="21"/>
    </row>
    <row r="627" spans="1:1" x14ac:dyDescent="0.2">
      <c r="A627" s="21"/>
    </row>
    <row r="628" spans="1:1" x14ac:dyDescent="0.2">
      <c r="A628" s="21"/>
    </row>
    <row r="629" spans="1:1" x14ac:dyDescent="0.2">
      <c r="A629" s="21"/>
    </row>
    <row r="630" spans="1:1" x14ac:dyDescent="0.2">
      <c r="A630" s="21"/>
    </row>
    <row r="631" spans="1:1" x14ac:dyDescent="0.2">
      <c r="A631" s="21"/>
    </row>
    <row r="632" spans="1:1" x14ac:dyDescent="0.2">
      <c r="A632" s="21"/>
    </row>
    <row r="633" spans="1:1" x14ac:dyDescent="0.2">
      <c r="A633" s="21"/>
    </row>
    <row r="634" spans="1:1" x14ac:dyDescent="0.2">
      <c r="A634" s="21"/>
    </row>
    <row r="635" spans="1:1" x14ac:dyDescent="0.2">
      <c r="A635" s="21"/>
    </row>
    <row r="636" spans="1:1" x14ac:dyDescent="0.2">
      <c r="A636" s="21"/>
    </row>
    <row r="637" spans="1:1" x14ac:dyDescent="0.2">
      <c r="A637" s="21"/>
    </row>
    <row r="638" spans="1:1" x14ac:dyDescent="0.2">
      <c r="A638" s="21"/>
    </row>
    <row r="639" spans="1:1" x14ac:dyDescent="0.2">
      <c r="A639" s="21"/>
    </row>
    <row r="640" spans="1:1" x14ac:dyDescent="0.2">
      <c r="A640" s="21"/>
    </row>
    <row r="641" spans="1:1" x14ac:dyDescent="0.2">
      <c r="A641" s="21"/>
    </row>
    <row r="642" spans="1:1" x14ac:dyDescent="0.2">
      <c r="A642" s="21"/>
    </row>
    <row r="643" spans="1:1" x14ac:dyDescent="0.2">
      <c r="A643" s="21"/>
    </row>
    <row r="644" spans="1:1" x14ac:dyDescent="0.2">
      <c r="A644" s="21"/>
    </row>
    <row r="645" spans="1:1" x14ac:dyDescent="0.2">
      <c r="A645" s="21"/>
    </row>
    <row r="646" spans="1:1" x14ac:dyDescent="0.2">
      <c r="A646" s="21"/>
    </row>
    <row r="647" spans="1:1" x14ac:dyDescent="0.2">
      <c r="A647" s="21"/>
    </row>
    <row r="648" spans="1:1" x14ac:dyDescent="0.2">
      <c r="A648" s="21"/>
    </row>
    <row r="649" spans="1:1" x14ac:dyDescent="0.2">
      <c r="A649" s="21"/>
    </row>
    <row r="650" spans="1:1" x14ac:dyDescent="0.2">
      <c r="A650" s="21"/>
    </row>
    <row r="651" spans="1:1" x14ac:dyDescent="0.2">
      <c r="A651" s="21"/>
    </row>
    <row r="652" spans="1:1" x14ac:dyDescent="0.2">
      <c r="A652" s="21"/>
    </row>
    <row r="653" spans="1:1" x14ac:dyDescent="0.2">
      <c r="A653" s="21"/>
    </row>
    <row r="654" spans="1:1" x14ac:dyDescent="0.2">
      <c r="A654" s="21"/>
    </row>
    <row r="655" spans="1:1" x14ac:dyDescent="0.2">
      <c r="A655" s="21"/>
    </row>
    <row r="656" spans="1:1" x14ac:dyDescent="0.2">
      <c r="A656" s="21"/>
    </row>
    <row r="657" spans="1:1" x14ac:dyDescent="0.2">
      <c r="A657" s="21"/>
    </row>
    <row r="658" spans="1:1" x14ac:dyDescent="0.2">
      <c r="A658" s="21"/>
    </row>
    <row r="659" spans="1:1" x14ac:dyDescent="0.2">
      <c r="A659" s="21"/>
    </row>
    <row r="660" spans="1:1" x14ac:dyDescent="0.2">
      <c r="A660" s="21"/>
    </row>
    <row r="661" spans="1:1" x14ac:dyDescent="0.2">
      <c r="A661" s="21"/>
    </row>
    <row r="662" spans="1:1" x14ac:dyDescent="0.2">
      <c r="A662" s="21"/>
    </row>
    <row r="663" spans="1:1" x14ac:dyDescent="0.2">
      <c r="A663" s="21"/>
    </row>
    <row r="664" spans="1:1" x14ac:dyDescent="0.2">
      <c r="A664" s="21"/>
    </row>
    <row r="665" spans="1:1" x14ac:dyDescent="0.2">
      <c r="A665" s="21"/>
    </row>
    <row r="666" spans="1:1" x14ac:dyDescent="0.2">
      <c r="A666" s="21"/>
    </row>
    <row r="667" spans="1:1" x14ac:dyDescent="0.2">
      <c r="A667" s="21"/>
    </row>
    <row r="668" spans="1:1" x14ac:dyDescent="0.2">
      <c r="A668" s="21"/>
    </row>
    <row r="669" spans="1:1" x14ac:dyDescent="0.2">
      <c r="A669" s="21"/>
    </row>
    <row r="670" spans="1:1" x14ac:dyDescent="0.2">
      <c r="A670" s="21"/>
    </row>
    <row r="671" spans="1:1" x14ac:dyDescent="0.2">
      <c r="A671" s="21"/>
    </row>
    <row r="672" spans="1:1" x14ac:dyDescent="0.2">
      <c r="A672" s="21"/>
    </row>
    <row r="673" spans="1:1" x14ac:dyDescent="0.2">
      <c r="A673" s="21"/>
    </row>
    <row r="674" spans="1:1" x14ac:dyDescent="0.2">
      <c r="A674" s="21"/>
    </row>
    <row r="675" spans="1:1" x14ac:dyDescent="0.2">
      <c r="A675" s="21"/>
    </row>
    <row r="676" spans="1:1" x14ac:dyDescent="0.2">
      <c r="A676" s="21"/>
    </row>
    <row r="677" spans="1:1" x14ac:dyDescent="0.2">
      <c r="A677" s="21"/>
    </row>
    <row r="678" spans="1:1" x14ac:dyDescent="0.2">
      <c r="A678" s="21"/>
    </row>
    <row r="679" spans="1:1" x14ac:dyDescent="0.2">
      <c r="A679" s="21"/>
    </row>
    <row r="680" spans="1:1" x14ac:dyDescent="0.2">
      <c r="A680" s="21"/>
    </row>
    <row r="681" spans="1:1" x14ac:dyDescent="0.2">
      <c r="A681" s="21"/>
    </row>
    <row r="682" spans="1:1" x14ac:dyDescent="0.2">
      <c r="A682" s="21"/>
    </row>
    <row r="683" spans="1:1" x14ac:dyDescent="0.2">
      <c r="A683" s="21"/>
    </row>
    <row r="684" spans="1:1" x14ac:dyDescent="0.2">
      <c r="A684" s="21"/>
    </row>
    <row r="685" spans="1:1" x14ac:dyDescent="0.2">
      <c r="A685" s="21"/>
    </row>
    <row r="686" spans="1:1" x14ac:dyDescent="0.2">
      <c r="A686" s="21"/>
    </row>
    <row r="687" spans="1:1" x14ac:dyDescent="0.2">
      <c r="A687" s="21"/>
    </row>
    <row r="688" spans="1:1" x14ac:dyDescent="0.2">
      <c r="A688" s="21"/>
    </row>
    <row r="689" spans="1:1" x14ac:dyDescent="0.2">
      <c r="A689" s="21"/>
    </row>
    <row r="690" spans="1:1" x14ac:dyDescent="0.2">
      <c r="A690" s="21"/>
    </row>
    <row r="691" spans="1:1" x14ac:dyDescent="0.2">
      <c r="A691" s="21"/>
    </row>
    <row r="692" spans="1:1" x14ac:dyDescent="0.2">
      <c r="A692" s="21"/>
    </row>
    <row r="693" spans="1:1" x14ac:dyDescent="0.2">
      <c r="A693" s="21"/>
    </row>
    <row r="694" spans="1:1" x14ac:dyDescent="0.2">
      <c r="A694" s="21"/>
    </row>
    <row r="695" spans="1:1" x14ac:dyDescent="0.2">
      <c r="A695" s="21"/>
    </row>
    <row r="696" spans="1:1" x14ac:dyDescent="0.2">
      <c r="A696" s="21"/>
    </row>
    <row r="697" spans="1:1" x14ac:dyDescent="0.2">
      <c r="A697" s="21"/>
    </row>
    <row r="698" spans="1:1" x14ac:dyDescent="0.2">
      <c r="A698" s="21"/>
    </row>
    <row r="699" spans="1:1" x14ac:dyDescent="0.2">
      <c r="A699" s="21"/>
    </row>
    <row r="700" spans="1:1" x14ac:dyDescent="0.2">
      <c r="A700" s="21"/>
    </row>
    <row r="701" spans="1:1" x14ac:dyDescent="0.2">
      <c r="A701" s="21"/>
    </row>
    <row r="702" spans="1:1" x14ac:dyDescent="0.2">
      <c r="A702" s="21"/>
    </row>
    <row r="703" spans="1:1" x14ac:dyDescent="0.2">
      <c r="A703" s="21"/>
    </row>
    <row r="704" spans="1:1" x14ac:dyDescent="0.2">
      <c r="A704" s="21"/>
    </row>
    <row r="705" spans="1:1" x14ac:dyDescent="0.2">
      <c r="A705" s="21"/>
    </row>
    <row r="706" spans="1:1" x14ac:dyDescent="0.2">
      <c r="A706" s="21"/>
    </row>
    <row r="707" spans="1:1" x14ac:dyDescent="0.2">
      <c r="A707" s="21"/>
    </row>
    <row r="708" spans="1:1" x14ac:dyDescent="0.2">
      <c r="A708" s="21"/>
    </row>
    <row r="709" spans="1:1" x14ac:dyDescent="0.2">
      <c r="A709" s="21"/>
    </row>
    <row r="710" spans="1:1" x14ac:dyDescent="0.2">
      <c r="A710" s="21"/>
    </row>
    <row r="711" spans="1:1" x14ac:dyDescent="0.2">
      <c r="A711" s="21"/>
    </row>
    <row r="712" spans="1:1" x14ac:dyDescent="0.2">
      <c r="A712" s="21"/>
    </row>
    <row r="713" spans="1:1" x14ac:dyDescent="0.2">
      <c r="A713" s="21"/>
    </row>
    <row r="714" spans="1:1" x14ac:dyDescent="0.2">
      <c r="A714" s="21"/>
    </row>
    <row r="715" spans="1:1" x14ac:dyDescent="0.2">
      <c r="A715" s="21"/>
    </row>
    <row r="716" spans="1:1" x14ac:dyDescent="0.2">
      <c r="A716" s="21"/>
    </row>
    <row r="717" spans="1:1" x14ac:dyDescent="0.2">
      <c r="A717" s="21"/>
    </row>
    <row r="718" spans="1:1" x14ac:dyDescent="0.2">
      <c r="A718" s="21"/>
    </row>
    <row r="719" spans="1:1" x14ac:dyDescent="0.2">
      <c r="A719" s="21"/>
    </row>
    <row r="720" spans="1:1" x14ac:dyDescent="0.2">
      <c r="A720" s="21"/>
    </row>
  </sheetData>
  <phoneticPr fontId="3"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I488"/>
  <sheetViews>
    <sheetView workbookViewId="0">
      <pane xSplit="1" ySplit="2" topLeftCell="B447" activePane="bottomRight" state="frozen"/>
      <selection activeCell="E452" sqref="E452:E464"/>
      <selection pane="topRight" activeCell="E452" sqref="E452:E464"/>
      <selection pane="bottomLeft" activeCell="E452" sqref="E452:E464"/>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5" width="18.7109375" style="258" customWidth="1"/>
    <col min="6" max="6" width="12.42578125" bestFit="1" customWidth="1"/>
    <col min="7" max="8" width="9.140625" style="352"/>
  </cols>
  <sheetData>
    <row r="1" spans="1:6" x14ac:dyDescent="0.2">
      <c r="A1" s="265" t="s">
        <v>1</v>
      </c>
      <c r="B1" s="321" t="s">
        <v>493</v>
      </c>
      <c r="C1" s="1381" t="s">
        <v>24</v>
      </c>
      <c r="D1" s="1370">
        <f>Fees!F184</f>
        <v>39.193302762244841</v>
      </c>
      <c r="E1" s="74" t="s">
        <v>81</v>
      </c>
      <c r="F1" s="1452" t="s">
        <v>763</v>
      </c>
    </row>
    <row r="2" spans="1:6" x14ac:dyDescent="0.2">
      <c r="A2" s="3" t="s">
        <v>27</v>
      </c>
      <c r="B2" s="71" t="s">
        <v>91</v>
      </c>
      <c r="C2" s="226" t="s">
        <v>92</v>
      </c>
      <c r="D2" s="71" t="s">
        <v>90</v>
      </c>
      <c r="E2" s="71" t="s">
        <v>80</v>
      </c>
    </row>
    <row r="3" spans="1:6" x14ac:dyDescent="0.2">
      <c r="A3" s="345">
        <v>27606</v>
      </c>
      <c r="B3" s="71"/>
      <c r="C3" s="226"/>
      <c r="D3" s="71"/>
      <c r="E3" s="71"/>
    </row>
    <row r="4" spans="1:6" x14ac:dyDescent="0.2">
      <c r="A4" s="345">
        <v>27637</v>
      </c>
      <c r="B4" s="71"/>
      <c r="C4" s="226"/>
      <c r="D4" s="71"/>
      <c r="E4" s="71"/>
    </row>
    <row r="5" spans="1:6" x14ac:dyDescent="0.2">
      <c r="A5" s="345">
        <v>27667</v>
      </c>
      <c r="B5" s="71"/>
      <c r="C5" s="226"/>
      <c r="D5" s="71"/>
      <c r="E5" s="71"/>
    </row>
    <row r="6" spans="1:6" x14ac:dyDescent="0.2">
      <c r="A6" s="345">
        <v>27698</v>
      </c>
      <c r="B6" s="71"/>
      <c r="C6" s="226"/>
      <c r="D6" s="71"/>
      <c r="E6" s="71"/>
    </row>
    <row r="7" spans="1:6" x14ac:dyDescent="0.2">
      <c r="A7" s="345">
        <v>27728</v>
      </c>
      <c r="B7" s="71"/>
      <c r="C7" s="226"/>
      <c r="D7" s="71"/>
      <c r="E7" s="71"/>
    </row>
    <row r="8" spans="1:6" x14ac:dyDescent="0.2">
      <c r="A8" s="345">
        <v>27759</v>
      </c>
      <c r="B8" s="71"/>
      <c r="C8" s="226"/>
      <c r="D8" s="71"/>
      <c r="E8" s="71"/>
    </row>
    <row r="9" spans="1:6" x14ac:dyDescent="0.2">
      <c r="A9" s="345">
        <v>27790</v>
      </c>
      <c r="B9" s="71"/>
      <c r="C9" s="226"/>
      <c r="D9" s="71"/>
      <c r="E9" s="71"/>
    </row>
    <row r="10" spans="1:6" x14ac:dyDescent="0.2">
      <c r="A10" s="345">
        <v>27819</v>
      </c>
      <c r="B10" s="71"/>
      <c r="C10" s="226"/>
      <c r="D10" s="71"/>
      <c r="E10" s="71"/>
    </row>
    <row r="11" spans="1:6" x14ac:dyDescent="0.2">
      <c r="A11" s="345">
        <v>27850</v>
      </c>
      <c r="B11" s="71"/>
      <c r="C11" s="226"/>
      <c r="D11" s="71"/>
      <c r="E11" s="71"/>
    </row>
    <row r="12" spans="1:6" x14ac:dyDescent="0.2">
      <c r="A12" s="345">
        <v>27880</v>
      </c>
      <c r="B12" s="71"/>
      <c r="C12" s="226"/>
      <c r="D12" s="71"/>
      <c r="E12" s="71"/>
    </row>
    <row r="13" spans="1:6" x14ac:dyDescent="0.2">
      <c r="A13" s="345">
        <v>27911</v>
      </c>
      <c r="B13" s="71"/>
      <c r="C13" s="226"/>
      <c r="D13" s="71"/>
      <c r="E13" s="71"/>
    </row>
    <row r="14" spans="1:6" x14ac:dyDescent="0.2">
      <c r="A14" s="345">
        <v>27941</v>
      </c>
      <c r="B14" s="71"/>
      <c r="C14" s="226"/>
      <c r="D14" s="71"/>
      <c r="E14" s="71"/>
    </row>
    <row r="15" spans="1:6" x14ac:dyDescent="0.2">
      <c r="A15" s="345">
        <v>27972</v>
      </c>
      <c r="B15" s="71"/>
      <c r="C15" s="226"/>
      <c r="D15" s="71"/>
      <c r="E15" s="71"/>
    </row>
    <row r="16" spans="1:6"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3"/>
      <c r="C147" s="25"/>
      <c r="D147" s="73"/>
      <c r="E147" s="73"/>
    </row>
    <row r="148" spans="1:5" x14ac:dyDescent="0.2">
      <c r="A148" s="345">
        <v>32020</v>
      </c>
      <c r="B148" s="73"/>
      <c r="C148" s="25"/>
      <c r="D148" s="73"/>
      <c r="E148" s="73"/>
    </row>
    <row r="149" spans="1:5" x14ac:dyDescent="0.2">
      <c r="A149" s="345">
        <v>32050</v>
      </c>
      <c r="B149" s="73"/>
      <c r="C149" s="25"/>
      <c r="D149" s="73"/>
      <c r="E149" s="73"/>
    </row>
    <row r="150" spans="1:5" x14ac:dyDescent="0.2">
      <c r="A150" s="345">
        <v>32081</v>
      </c>
      <c r="B150" s="73"/>
      <c r="C150" s="25"/>
      <c r="D150" s="73"/>
      <c r="E150" s="73"/>
    </row>
    <row r="151" spans="1:5" x14ac:dyDescent="0.2">
      <c r="A151" s="345">
        <v>32111</v>
      </c>
      <c r="B151" s="73"/>
      <c r="C151" s="25"/>
      <c r="D151" s="73"/>
      <c r="E151" s="73"/>
    </row>
    <row r="152" spans="1:5" x14ac:dyDescent="0.2">
      <c r="A152" s="345">
        <v>32142</v>
      </c>
      <c r="B152" s="73"/>
      <c r="C152" s="25"/>
      <c r="D152" s="73"/>
      <c r="E152" s="73"/>
    </row>
    <row r="153" spans="1:5" x14ac:dyDescent="0.2">
      <c r="A153" s="345">
        <v>32173</v>
      </c>
      <c r="B153" s="73"/>
      <c r="C153" s="25"/>
      <c r="D153" s="73"/>
      <c r="E153" s="73"/>
    </row>
    <row r="154" spans="1:5" x14ac:dyDescent="0.2">
      <c r="A154" s="345">
        <v>32202</v>
      </c>
      <c r="B154" s="73"/>
      <c r="C154" s="25"/>
      <c r="D154" s="73"/>
      <c r="E154" s="73"/>
    </row>
    <row r="155" spans="1:5" x14ac:dyDescent="0.2">
      <c r="A155" s="345">
        <v>32233</v>
      </c>
      <c r="B155" s="73"/>
      <c r="C155" s="25"/>
      <c r="D155" s="73"/>
      <c r="E155" s="73"/>
    </row>
    <row r="156" spans="1:5" x14ac:dyDescent="0.2">
      <c r="A156" s="345">
        <v>32263</v>
      </c>
      <c r="B156" s="73"/>
      <c r="C156" s="25"/>
      <c r="D156" s="73"/>
      <c r="E156" s="73"/>
    </row>
    <row r="157" spans="1:5" x14ac:dyDescent="0.2">
      <c r="A157" s="345">
        <v>32294</v>
      </c>
      <c r="B157" s="73"/>
      <c r="C157" s="25"/>
      <c r="D157" s="73"/>
      <c r="E157" s="73"/>
    </row>
    <row r="158" spans="1:5" x14ac:dyDescent="0.2">
      <c r="A158" s="345">
        <v>32324</v>
      </c>
      <c r="B158" s="73"/>
      <c r="C158" s="25"/>
      <c r="D158" s="73"/>
      <c r="E158" s="73"/>
    </row>
    <row r="159" spans="1:5" x14ac:dyDescent="0.2">
      <c r="A159" s="345">
        <v>32355</v>
      </c>
      <c r="B159" s="73"/>
      <c r="C159" s="25"/>
      <c r="D159" s="73"/>
      <c r="E159" s="73"/>
    </row>
    <row r="160" spans="1:5" x14ac:dyDescent="0.2">
      <c r="A160" s="345">
        <v>32386</v>
      </c>
      <c r="B160" s="73"/>
      <c r="C160" s="25"/>
      <c r="D160" s="73"/>
      <c r="E160" s="73"/>
    </row>
    <row r="161" spans="1:5" x14ac:dyDescent="0.2">
      <c r="A161" s="345">
        <v>32416</v>
      </c>
      <c r="B161" s="73"/>
      <c r="C161" s="25"/>
      <c r="D161" s="73"/>
      <c r="E161" s="73"/>
    </row>
    <row r="162" spans="1:5" x14ac:dyDescent="0.2">
      <c r="A162" s="345">
        <v>32447</v>
      </c>
      <c r="B162" s="73"/>
      <c r="C162" s="25"/>
      <c r="D162" s="73"/>
      <c r="E162" s="73"/>
    </row>
    <row r="163" spans="1:5" x14ac:dyDescent="0.2">
      <c r="A163" s="345">
        <v>32477</v>
      </c>
      <c r="B163" s="73"/>
      <c r="C163" s="25"/>
      <c r="D163" s="73"/>
      <c r="E163" s="73"/>
    </row>
    <row r="164" spans="1:5" x14ac:dyDescent="0.2">
      <c r="A164" s="345">
        <v>32508</v>
      </c>
      <c r="B164" s="73"/>
      <c r="C164" s="25"/>
      <c r="D164" s="73"/>
      <c r="E164" s="73"/>
    </row>
    <row r="165" spans="1:5" x14ac:dyDescent="0.2">
      <c r="A165" s="345">
        <v>32539</v>
      </c>
      <c r="B165" s="73"/>
      <c r="C165" s="25"/>
      <c r="D165" s="73"/>
      <c r="E165" s="73"/>
    </row>
    <row r="166" spans="1:5" x14ac:dyDescent="0.2">
      <c r="A166" s="345">
        <v>32567</v>
      </c>
      <c r="B166" s="73"/>
      <c r="C166" s="25"/>
      <c r="D166" s="73"/>
      <c r="E166" s="73"/>
    </row>
    <row r="167" spans="1:5" x14ac:dyDescent="0.2">
      <c r="A167" s="345">
        <v>32598</v>
      </c>
      <c r="B167" s="73"/>
      <c r="C167" s="25"/>
      <c r="D167" s="73"/>
      <c r="E167" s="73"/>
    </row>
    <row r="168" spans="1:5" x14ac:dyDescent="0.2">
      <c r="A168" s="345">
        <v>32628</v>
      </c>
      <c r="B168" s="73"/>
      <c r="C168" s="25"/>
      <c r="D168" s="73"/>
      <c r="E168" s="73"/>
    </row>
    <row r="169" spans="1:5" x14ac:dyDescent="0.2">
      <c r="A169" s="345">
        <v>32659</v>
      </c>
      <c r="B169" s="73"/>
      <c r="C169" s="25"/>
      <c r="D169" s="73"/>
      <c r="E169" s="73"/>
    </row>
    <row r="170" spans="1:5" x14ac:dyDescent="0.2">
      <c r="A170" s="345">
        <v>32689</v>
      </c>
      <c r="B170" s="73"/>
      <c r="C170" s="25"/>
      <c r="D170" s="73"/>
      <c r="E170" s="73"/>
    </row>
    <row r="171" spans="1:5" x14ac:dyDescent="0.2">
      <c r="A171" s="345">
        <v>32720</v>
      </c>
      <c r="B171" s="73"/>
      <c r="C171" s="25"/>
      <c r="D171" s="73"/>
      <c r="E171" s="73"/>
    </row>
    <row r="172" spans="1:5" x14ac:dyDescent="0.2">
      <c r="A172" s="345">
        <v>32751</v>
      </c>
      <c r="B172" s="73"/>
      <c r="C172" s="25"/>
      <c r="D172" s="73"/>
      <c r="E172" s="73"/>
    </row>
    <row r="173" spans="1:5" x14ac:dyDescent="0.2">
      <c r="A173" s="345">
        <v>32781</v>
      </c>
      <c r="B173" s="73"/>
      <c r="C173" s="25"/>
      <c r="D173" s="73"/>
      <c r="E173" s="73"/>
    </row>
    <row r="174" spans="1:5" x14ac:dyDescent="0.2">
      <c r="A174" s="345">
        <v>32812</v>
      </c>
      <c r="B174" s="73"/>
      <c r="C174" s="25"/>
      <c r="D174" s="73"/>
      <c r="E174" s="73"/>
    </row>
    <row r="175" spans="1:5" x14ac:dyDescent="0.2">
      <c r="A175" s="345">
        <v>32842</v>
      </c>
      <c r="B175" s="73"/>
      <c r="C175" s="25"/>
      <c r="D175" s="73"/>
      <c r="E175" s="73"/>
    </row>
    <row r="176" spans="1:5" x14ac:dyDescent="0.2">
      <c r="A176" s="345">
        <v>32873</v>
      </c>
      <c r="B176" s="73"/>
      <c r="C176" s="25"/>
      <c r="D176" s="73"/>
      <c r="E176" s="73"/>
    </row>
    <row r="177" spans="1:5" x14ac:dyDescent="0.2">
      <c r="A177" s="345">
        <v>32904</v>
      </c>
      <c r="B177" s="73"/>
      <c r="C177" s="25"/>
      <c r="D177" s="73"/>
      <c r="E177" s="73"/>
    </row>
    <row r="178" spans="1:5" x14ac:dyDescent="0.2">
      <c r="A178" s="345">
        <v>32932</v>
      </c>
      <c r="B178" s="73"/>
      <c r="C178" s="25"/>
      <c r="D178" s="73"/>
      <c r="E178" s="73"/>
    </row>
    <row r="179" spans="1:5" x14ac:dyDescent="0.2">
      <c r="A179" s="345">
        <v>32963</v>
      </c>
      <c r="B179" s="73"/>
      <c r="C179" s="25"/>
      <c r="D179" s="73"/>
      <c r="E179" s="73"/>
    </row>
    <row r="180" spans="1:5" x14ac:dyDescent="0.2">
      <c r="A180" s="345">
        <v>32993</v>
      </c>
      <c r="B180" s="73"/>
      <c r="C180" s="25"/>
      <c r="D180" s="73"/>
      <c r="E180" s="73"/>
    </row>
    <row r="181" spans="1:5" x14ac:dyDescent="0.2">
      <c r="A181" s="345">
        <v>33024</v>
      </c>
      <c r="B181" s="73"/>
      <c r="C181" s="25"/>
      <c r="D181" s="73"/>
      <c r="E181" s="73"/>
    </row>
    <row r="182" spans="1:5" x14ac:dyDescent="0.2">
      <c r="A182" s="345">
        <v>33054</v>
      </c>
      <c r="B182" s="73"/>
      <c r="C182" s="25"/>
      <c r="D182" s="73"/>
      <c r="E182" s="73"/>
    </row>
    <row r="183" spans="1:5" x14ac:dyDescent="0.2">
      <c r="A183" s="345">
        <v>33085</v>
      </c>
      <c r="B183" s="73"/>
      <c r="C183" s="25"/>
      <c r="D183" s="73"/>
      <c r="E183" s="73"/>
    </row>
    <row r="184" spans="1:5" x14ac:dyDescent="0.2">
      <c r="A184" s="345">
        <v>33116</v>
      </c>
      <c r="B184" s="73"/>
      <c r="C184" s="25"/>
      <c r="D184" s="73"/>
      <c r="E184" s="73"/>
    </row>
    <row r="185" spans="1:5" x14ac:dyDescent="0.2">
      <c r="A185" s="345">
        <v>33146</v>
      </c>
      <c r="B185" s="73"/>
      <c r="C185" s="25"/>
      <c r="D185" s="73"/>
      <c r="E185" s="73"/>
    </row>
    <row r="186" spans="1:5" x14ac:dyDescent="0.2">
      <c r="A186" s="345">
        <v>33177</v>
      </c>
      <c r="B186" s="73"/>
      <c r="C186" s="25"/>
      <c r="D186" s="73"/>
      <c r="E186" s="73"/>
    </row>
    <row r="187" spans="1:5" x14ac:dyDescent="0.2">
      <c r="A187" s="345">
        <v>33207</v>
      </c>
      <c r="B187" s="73"/>
      <c r="C187" s="25"/>
      <c r="D187" s="73"/>
      <c r="E187" s="73"/>
    </row>
    <row r="188" spans="1:5" x14ac:dyDescent="0.2">
      <c r="A188" s="345">
        <v>33238</v>
      </c>
      <c r="B188" s="73"/>
      <c r="C188" s="25"/>
      <c r="D188" s="73"/>
      <c r="E188" s="73"/>
    </row>
    <row r="189" spans="1:5" x14ac:dyDescent="0.2">
      <c r="A189" s="345">
        <v>33269</v>
      </c>
      <c r="B189" s="73"/>
      <c r="C189" s="25"/>
      <c r="D189" s="73"/>
      <c r="E189" s="73"/>
    </row>
    <row r="190" spans="1:5" x14ac:dyDescent="0.2">
      <c r="A190" s="345">
        <v>33297</v>
      </c>
      <c r="B190" s="73"/>
      <c r="C190" s="25"/>
      <c r="D190" s="73"/>
      <c r="E190" s="73"/>
    </row>
    <row r="191" spans="1:5" x14ac:dyDescent="0.2">
      <c r="A191" s="345">
        <v>33328</v>
      </c>
      <c r="B191" s="73"/>
      <c r="C191" s="25"/>
      <c r="D191" s="73"/>
      <c r="E191" s="73"/>
    </row>
    <row r="192" spans="1:5" x14ac:dyDescent="0.2">
      <c r="A192" s="345">
        <v>33358</v>
      </c>
      <c r="B192" s="73"/>
      <c r="C192" s="25"/>
      <c r="D192" s="73"/>
      <c r="E192" s="73"/>
    </row>
    <row r="193" spans="1:5" x14ac:dyDescent="0.2">
      <c r="A193" s="345">
        <v>33389</v>
      </c>
      <c r="B193" s="73"/>
      <c r="C193" s="25"/>
      <c r="D193" s="73"/>
      <c r="E193" s="73"/>
    </row>
    <row r="194" spans="1:5" x14ac:dyDescent="0.2">
      <c r="A194" s="345">
        <v>33419</v>
      </c>
      <c r="B194" s="73"/>
      <c r="C194" s="25"/>
      <c r="D194" s="73"/>
      <c r="E194" s="73"/>
    </row>
    <row r="195" spans="1:5" x14ac:dyDescent="0.2">
      <c r="A195" s="345">
        <v>33450</v>
      </c>
      <c r="B195" s="73"/>
      <c r="C195" s="25"/>
      <c r="D195" s="73"/>
      <c r="E195" s="73"/>
    </row>
    <row r="196" spans="1:5" x14ac:dyDescent="0.2">
      <c r="A196" s="345">
        <v>33481</v>
      </c>
      <c r="B196" s="73"/>
      <c r="C196" s="25"/>
      <c r="D196" s="73"/>
      <c r="E196" s="73"/>
    </row>
    <row r="197" spans="1:5" x14ac:dyDescent="0.2">
      <c r="A197" s="345">
        <v>33511</v>
      </c>
      <c r="B197" s="73"/>
      <c r="C197" s="25"/>
      <c r="D197" s="73"/>
      <c r="E197" s="73"/>
    </row>
    <row r="198" spans="1:5" x14ac:dyDescent="0.2">
      <c r="A198" s="345">
        <v>33542</v>
      </c>
      <c r="B198" s="73"/>
      <c r="C198" s="25"/>
      <c r="D198" s="73"/>
      <c r="E198" s="73"/>
    </row>
    <row r="199" spans="1:5" x14ac:dyDescent="0.2">
      <c r="A199" s="345">
        <v>33572</v>
      </c>
      <c r="B199" s="73"/>
      <c r="C199" s="25"/>
      <c r="D199" s="73"/>
      <c r="E199" s="73"/>
    </row>
    <row r="200" spans="1:5" x14ac:dyDescent="0.2">
      <c r="A200" s="345">
        <v>33603</v>
      </c>
      <c r="B200" s="73"/>
      <c r="C200" s="25"/>
      <c r="D200" s="73"/>
      <c r="E200" s="73"/>
    </row>
    <row r="201" spans="1:5" x14ac:dyDescent="0.2">
      <c r="A201" s="345">
        <v>33634</v>
      </c>
      <c r="B201" s="73"/>
      <c r="C201" s="25"/>
      <c r="D201" s="73"/>
      <c r="E201" s="73"/>
    </row>
    <row r="202" spans="1:5" x14ac:dyDescent="0.2">
      <c r="A202" s="345">
        <v>33663</v>
      </c>
      <c r="B202" s="73"/>
      <c r="C202" s="25"/>
      <c r="D202" s="73"/>
      <c r="E202" s="73"/>
    </row>
    <row r="203" spans="1:5" x14ac:dyDescent="0.2">
      <c r="A203" s="345">
        <v>33694</v>
      </c>
      <c r="B203" s="73"/>
      <c r="C203" s="25"/>
      <c r="D203" s="73"/>
      <c r="E203" s="73"/>
    </row>
    <row r="204" spans="1:5" x14ac:dyDescent="0.2">
      <c r="A204" s="345">
        <v>33724</v>
      </c>
      <c r="B204" s="73"/>
      <c r="C204" s="25"/>
      <c r="D204" s="73"/>
      <c r="E204" s="73"/>
    </row>
    <row r="205" spans="1:5" x14ac:dyDescent="0.2">
      <c r="A205" s="345">
        <v>33755</v>
      </c>
      <c r="B205" s="73"/>
      <c r="C205" s="25"/>
      <c r="D205" s="73"/>
      <c r="E205" s="73"/>
    </row>
    <row r="206" spans="1:5" x14ac:dyDescent="0.2">
      <c r="A206" s="345">
        <v>33785</v>
      </c>
      <c r="B206" s="73"/>
      <c r="C206" s="25"/>
      <c r="D206" s="73"/>
      <c r="E206" s="73"/>
    </row>
    <row r="207" spans="1:5" x14ac:dyDescent="0.2">
      <c r="A207" s="345">
        <v>33816</v>
      </c>
      <c r="B207" s="73"/>
      <c r="C207" s="25"/>
      <c r="D207" s="73"/>
      <c r="E207" s="73"/>
    </row>
    <row r="208" spans="1:5" x14ac:dyDescent="0.2">
      <c r="A208" s="345">
        <v>33847</v>
      </c>
      <c r="B208" s="73"/>
      <c r="C208" s="25"/>
      <c r="D208" s="73"/>
      <c r="E208" s="73"/>
    </row>
    <row r="209" spans="1:5" x14ac:dyDescent="0.2">
      <c r="A209" s="345">
        <v>33877</v>
      </c>
      <c r="B209" s="73"/>
      <c r="C209" s="25"/>
      <c r="D209" s="73"/>
      <c r="E209" s="73"/>
    </row>
    <row r="210" spans="1:5" x14ac:dyDescent="0.2">
      <c r="A210" s="345">
        <v>33908</v>
      </c>
      <c r="B210" s="73"/>
      <c r="C210" s="25"/>
      <c r="D210" s="73"/>
      <c r="E210" s="73"/>
    </row>
    <row r="211" spans="1:5" x14ac:dyDescent="0.2">
      <c r="A211" s="345">
        <v>33938</v>
      </c>
      <c r="B211" s="73"/>
      <c r="C211" s="25"/>
      <c r="D211" s="73"/>
      <c r="E211" s="73"/>
    </row>
    <row r="212" spans="1:5" x14ac:dyDescent="0.2">
      <c r="A212" s="345">
        <v>33969</v>
      </c>
      <c r="B212" s="73"/>
      <c r="C212" s="25"/>
      <c r="D212" s="73"/>
      <c r="E212" s="73"/>
    </row>
    <row r="213" spans="1:5" x14ac:dyDescent="0.2">
      <c r="A213" s="345">
        <v>34000</v>
      </c>
      <c r="B213" s="73"/>
      <c r="C213" s="25"/>
      <c r="D213" s="73"/>
      <c r="E213" s="73"/>
    </row>
    <row r="214" spans="1:5" x14ac:dyDescent="0.2">
      <c r="A214" s="345">
        <v>34028</v>
      </c>
      <c r="B214" s="73"/>
      <c r="C214" s="25"/>
      <c r="D214" s="73"/>
      <c r="E214" s="73"/>
    </row>
    <row r="215" spans="1:5" x14ac:dyDescent="0.2">
      <c r="A215" s="345">
        <v>34059</v>
      </c>
      <c r="B215" s="73"/>
      <c r="C215" s="25"/>
      <c r="D215" s="73"/>
      <c r="E215" s="73"/>
    </row>
    <row r="216" spans="1:5" x14ac:dyDescent="0.2">
      <c r="A216" s="345">
        <v>34089</v>
      </c>
      <c r="B216" s="73"/>
      <c r="C216" s="25"/>
      <c r="D216" s="73"/>
      <c r="E216" s="73"/>
    </row>
    <row r="217" spans="1:5" x14ac:dyDescent="0.2">
      <c r="A217" s="345">
        <v>34120</v>
      </c>
      <c r="B217" s="73"/>
      <c r="C217" s="25"/>
      <c r="D217" s="73"/>
      <c r="E217" s="73"/>
    </row>
    <row r="218" spans="1:5" x14ac:dyDescent="0.2">
      <c r="A218" s="345">
        <v>34150</v>
      </c>
      <c r="B218" s="73"/>
      <c r="C218" s="25"/>
      <c r="D218" s="73"/>
      <c r="E218" s="73"/>
    </row>
    <row r="219" spans="1:5" x14ac:dyDescent="0.2">
      <c r="A219" s="345">
        <v>34181</v>
      </c>
      <c r="B219" s="73"/>
      <c r="C219" s="25"/>
      <c r="D219" s="73"/>
      <c r="E219" s="73"/>
    </row>
    <row r="220" spans="1:5" x14ac:dyDescent="0.2">
      <c r="A220" s="345">
        <v>34212</v>
      </c>
      <c r="B220" s="73"/>
      <c r="C220" s="25"/>
      <c r="D220" s="73"/>
      <c r="E220" s="73"/>
    </row>
    <row r="221" spans="1:5" x14ac:dyDescent="0.2">
      <c r="A221" s="345">
        <v>34242</v>
      </c>
      <c r="B221" s="73"/>
      <c r="C221" s="25"/>
      <c r="D221" s="73"/>
      <c r="E221" s="73"/>
    </row>
    <row r="222" spans="1:5" x14ac:dyDescent="0.2">
      <c r="A222" s="345">
        <v>34273</v>
      </c>
      <c r="B222" s="73"/>
      <c r="C222" s="25"/>
      <c r="D222" s="73"/>
      <c r="E222" s="73"/>
    </row>
    <row r="223" spans="1:5" x14ac:dyDescent="0.2">
      <c r="A223" s="345">
        <v>34303</v>
      </c>
      <c r="B223" s="73"/>
      <c r="C223" s="25"/>
      <c r="D223" s="73"/>
      <c r="E223" s="73"/>
    </row>
    <row r="224" spans="1:5" x14ac:dyDescent="0.2">
      <c r="A224" s="345">
        <v>34334</v>
      </c>
      <c r="B224" s="73"/>
      <c r="C224" s="25"/>
      <c r="D224" s="73"/>
      <c r="E224" s="73"/>
    </row>
    <row r="225" spans="1:5" x14ac:dyDescent="0.2">
      <c r="A225" s="345">
        <v>34365</v>
      </c>
      <c r="B225" s="73"/>
      <c r="C225" s="25"/>
      <c r="D225" s="73"/>
      <c r="E225" s="73"/>
    </row>
    <row r="226" spans="1:5" x14ac:dyDescent="0.2">
      <c r="A226" s="345">
        <v>34393</v>
      </c>
      <c r="B226" s="73"/>
      <c r="C226" s="25"/>
      <c r="D226" s="73"/>
      <c r="E226" s="73"/>
    </row>
    <row r="227" spans="1:5" x14ac:dyDescent="0.2">
      <c r="A227" s="345">
        <v>34424</v>
      </c>
      <c r="B227" s="73"/>
      <c r="C227" s="25"/>
      <c r="D227" s="73"/>
      <c r="E227" s="73"/>
    </row>
    <row r="228" spans="1:5" x14ac:dyDescent="0.2">
      <c r="A228" s="345">
        <v>34454</v>
      </c>
      <c r="B228" s="73"/>
      <c r="C228" s="25"/>
      <c r="D228" s="73"/>
      <c r="E228" s="73"/>
    </row>
    <row r="229" spans="1:5" x14ac:dyDescent="0.2">
      <c r="A229" s="345">
        <v>34485</v>
      </c>
      <c r="B229" s="73"/>
      <c r="C229" s="25"/>
      <c r="D229" s="73"/>
      <c r="E229" s="73"/>
    </row>
    <row r="230" spans="1:5" x14ac:dyDescent="0.2">
      <c r="A230" s="345">
        <v>34515</v>
      </c>
      <c r="B230" s="73"/>
      <c r="C230" s="25"/>
      <c r="D230" s="73"/>
      <c r="E230" s="73"/>
    </row>
    <row r="231" spans="1:5" x14ac:dyDescent="0.2">
      <c r="A231" s="345">
        <v>34546</v>
      </c>
      <c r="B231" s="73"/>
      <c r="C231" s="25"/>
      <c r="D231" s="73"/>
      <c r="E231" s="73"/>
    </row>
    <row r="232" spans="1:5" x14ac:dyDescent="0.2">
      <c r="A232" s="345">
        <v>34577</v>
      </c>
      <c r="B232" s="73"/>
      <c r="C232" s="25"/>
      <c r="D232" s="73"/>
      <c r="E232" s="73"/>
    </row>
    <row r="233" spans="1:5" x14ac:dyDescent="0.2">
      <c r="A233" s="345">
        <v>34607</v>
      </c>
      <c r="B233" s="73"/>
      <c r="C233" s="25"/>
      <c r="D233" s="73"/>
      <c r="E233" s="73"/>
    </row>
    <row r="234" spans="1:5" x14ac:dyDescent="0.2">
      <c r="A234" s="345">
        <v>34638</v>
      </c>
      <c r="B234" s="73"/>
      <c r="C234" s="25"/>
      <c r="D234" s="73"/>
      <c r="E234" s="73"/>
    </row>
    <row r="235" spans="1:5" x14ac:dyDescent="0.2">
      <c r="A235" s="345">
        <v>34668</v>
      </c>
      <c r="B235" s="73"/>
      <c r="C235" s="25"/>
      <c r="D235" s="73"/>
      <c r="E235" s="73"/>
    </row>
    <row r="236" spans="1:5" x14ac:dyDescent="0.2">
      <c r="A236" s="345">
        <v>34699</v>
      </c>
      <c r="B236" s="73"/>
      <c r="C236" s="25"/>
      <c r="D236" s="73"/>
      <c r="E236" s="73"/>
    </row>
    <row r="237" spans="1:5" x14ac:dyDescent="0.2">
      <c r="A237" s="345">
        <v>34730</v>
      </c>
      <c r="B237" s="73"/>
      <c r="C237" s="25"/>
      <c r="D237" s="73"/>
      <c r="E237" s="73"/>
    </row>
    <row r="238" spans="1:5" x14ac:dyDescent="0.2">
      <c r="A238" s="345">
        <v>34758</v>
      </c>
      <c r="B238" s="73"/>
      <c r="C238" s="25"/>
      <c r="D238" s="73"/>
      <c r="E238" s="73"/>
    </row>
    <row r="239" spans="1:5" x14ac:dyDescent="0.2">
      <c r="A239" s="345">
        <v>34789</v>
      </c>
      <c r="B239" s="73"/>
      <c r="C239" s="25"/>
      <c r="D239" s="73"/>
      <c r="E239" s="73"/>
    </row>
    <row r="240" spans="1:5" x14ac:dyDescent="0.2">
      <c r="A240" s="345">
        <v>34819</v>
      </c>
      <c r="B240" s="73"/>
      <c r="C240" s="25"/>
      <c r="D240" s="73"/>
      <c r="E240" s="73"/>
    </row>
    <row r="241" spans="1:5" x14ac:dyDescent="0.2">
      <c r="A241" s="345">
        <v>34850</v>
      </c>
      <c r="B241" s="73"/>
      <c r="C241" s="25"/>
      <c r="D241" s="73"/>
      <c r="E241" s="73"/>
    </row>
    <row r="242" spans="1:5" x14ac:dyDescent="0.2">
      <c r="A242" s="345">
        <v>34880</v>
      </c>
      <c r="B242" s="73"/>
      <c r="C242" s="25"/>
      <c r="D242" s="73"/>
      <c r="E242" s="73"/>
    </row>
    <row r="243" spans="1:5" x14ac:dyDescent="0.2">
      <c r="A243" s="345">
        <v>34911</v>
      </c>
      <c r="B243" s="73"/>
      <c r="C243" s="25"/>
      <c r="D243" s="73"/>
      <c r="E243" s="73"/>
    </row>
    <row r="244" spans="1:5" x14ac:dyDescent="0.2">
      <c r="A244" s="345">
        <v>34942</v>
      </c>
      <c r="B244" s="73"/>
      <c r="C244" s="25"/>
      <c r="D244" s="73"/>
      <c r="E244" s="73"/>
    </row>
    <row r="245" spans="1:5" x14ac:dyDescent="0.2">
      <c r="A245" s="345">
        <v>34972</v>
      </c>
      <c r="B245" s="73"/>
      <c r="C245" s="25"/>
      <c r="D245" s="73"/>
      <c r="E245" s="73"/>
    </row>
    <row r="246" spans="1:5" x14ac:dyDescent="0.2">
      <c r="A246" s="345">
        <v>35003</v>
      </c>
      <c r="B246" s="73"/>
      <c r="C246" s="25"/>
      <c r="D246" s="73"/>
      <c r="E246" s="73"/>
    </row>
    <row r="247" spans="1:5" x14ac:dyDescent="0.2">
      <c r="A247" s="345">
        <v>35033</v>
      </c>
      <c r="B247" s="73"/>
      <c r="C247" s="25"/>
      <c r="D247" s="73"/>
      <c r="E247" s="73"/>
    </row>
    <row r="248" spans="1:5" x14ac:dyDescent="0.2">
      <c r="A248" s="345">
        <v>35064</v>
      </c>
      <c r="B248" s="73"/>
      <c r="C248" s="25"/>
      <c r="D248" s="73"/>
      <c r="E248" s="73"/>
    </row>
    <row r="249" spans="1:5" x14ac:dyDescent="0.2">
      <c r="A249" s="345">
        <v>35095</v>
      </c>
      <c r="B249" s="73"/>
      <c r="C249" s="25"/>
      <c r="D249" s="73"/>
      <c r="E249" s="73"/>
    </row>
    <row r="250" spans="1:5" x14ac:dyDescent="0.2">
      <c r="A250" s="345">
        <v>35124</v>
      </c>
      <c r="B250" s="73"/>
      <c r="C250" s="25"/>
      <c r="D250" s="73"/>
      <c r="E250" s="73"/>
    </row>
    <row r="251" spans="1:5" x14ac:dyDescent="0.2">
      <c r="A251" s="345">
        <v>35155</v>
      </c>
      <c r="B251" s="73"/>
      <c r="C251" s="25"/>
      <c r="D251" s="73"/>
      <c r="E251" s="73"/>
    </row>
    <row r="252" spans="1:5" x14ac:dyDescent="0.2">
      <c r="A252" s="345">
        <v>35185</v>
      </c>
      <c r="B252" s="73"/>
      <c r="C252" s="25"/>
      <c r="D252" s="73"/>
      <c r="E252" s="73"/>
    </row>
    <row r="253" spans="1:5" x14ac:dyDescent="0.2">
      <c r="A253" s="345">
        <v>35216</v>
      </c>
      <c r="B253" s="73"/>
      <c r="C253" s="25"/>
      <c r="D253" s="73"/>
      <c r="E253" s="73"/>
    </row>
    <row r="254" spans="1:5" x14ac:dyDescent="0.2">
      <c r="A254" s="345">
        <v>35246</v>
      </c>
      <c r="B254" s="73"/>
      <c r="C254" s="25"/>
      <c r="D254" s="73"/>
      <c r="E254" s="73"/>
    </row>
    <row r="255" spans="1:5" x14ac:dyDescent="0.2">
      <c r="A255" s="345">
        <v>35277</v>
      </c>
      <c r="B255" s="73"/>
      <c r="C255" s="25"/>
      <c r="D255" s="73"/>
      <c r="E255" s="73"/>
    </row>
    <row r="256" spans="1:5" x14ac:dyDescent="0.2">
      <c r="A256" s="345">
        <v>35308</v>
      </c>
      <c r="B256" s="73"/>
      <c r="C256" s="25"/>
      <c r="D256" s="73"/>
      <c r="E256" s="73"/>
    </row>
    <row r="257" spans="1:5" x14ac:dyDescent="0.2">
      <c r="A257" s="345">
        <v>35338</v>
      </c>
      <c r="B257" s="73"/>
      <c r="C257" s="25"/>
      <c r="D257" s="73"/>
      <c r="E257" s="73"/>
    </row>
    <row r="258" spans="1:5" x14ac:dyDescent="0.2">
      <c r="A258" s="345">
        <v>35369</v>
      </c>
      <c r="B258" s="73"/>
      <c r="C258" s="25"/>
      <c r="D258" s="73"/>
      <c r="E258" s="73"/>
    </row>
    <row r="259" spans="1:5" x14ac:dyDescent="0.2">
      <c r="A259" s="345">
        <v>35399</v>
      </c>
      <c r="B259" s="73"/>
      <c r="C259" s="25"/>
      <c r="D259" s="73"/>
      <c r="E259" s="73"/>
    </row>
    <row r="260" spans="1:5" x14ac:dyDescent="0.2">
      <c r="A260" s="345">
        <v>35430</v>
      </c>
      <c r="B260" s="73"/>
      <c r="C260" s="25"/>
      <c r="D260" s="73"/>
      <c r="E260" s="73"/>
    </row>
    <row r="261" spans="1:5" x14ac:dyDescent="0.2">
      <c r="A261" s="345">
        <v>35461</v>
      </c>
      <c r="B261" s="73"/>
      <c r="C261" s="25"/>
      <c r="D261" s="73"/>
      <c r="E261" s="73"/>
    </row>
    <row r="262" spans="1:5" x14ac:dyDescent="0.2">
      <c r="A262" s="345">
        <v>35489</v>
      </c>
      <c r="B262" s="73"/>
      <c r="C262" s="25"/>
      <c r="D262" s="73"/>
      <c r="E262" s="73"/>
    </row>
    <row r="263" spans="1:5" x14ac:dyDescent="0.2">
      <c r="A263" s="345">
        <v>35520</v>
      </c>
      <c r="B263" s="73"/>
      <c r="C263" s="25"/>
      <c r="D263" s="73"/>
      <c r="E263" s="73"/>
    </row>
    <row r="264" spans="1:5" x14ac:dyDescent="0.2">
      <c r="A264" s="345">
        <v>35550</v>
      </c>
      <c r="B264" s="73"/>
      <c r="C264" s="25"/>
      <c r="D264" s="73"/>
      <c r="E264" s="73"/>
    </row>
    <row r="265" spans="1:5" x14ac:dyDescent="0.2">
      <c r="A265" s="345">
        <v>35581</v>
      </c>
      <c r="B265" s="73"/>
      <c r="C265" s="25"/>
      <c r="D265" s="73"/>
      <c r="E265" s="73"/>
    </row>
    <row r="266" spans="1:5" x14ac:dyDescent="0.2">
      <c r="A266" s="345">
        <v>35611</v>
      </c>
      <c r="B266" s="73"/>
      <c r="C266" s="25"/>
      <c r="D266" s="73"/>
      <c r="E266" s="73"/>
    </row>
    <row r="267" spans="1:5" x14ac:dyDescent="0.2">
      <c r="A267" s="345">
        <v>35642</v>
      </c>
      <c r="B267" s="73"/>
      <c r="C267" s="25"/>
      <c r="D267" s="73"/>
      <c r="E267" s="73"/>
    </row>
    <row r="268" spans="1:5" x14ac:dyDescent="0.2">
      <c r="A268" s="345">
        <v>35673</v>
      </c>
      <c r="B268" s="73"/>
      <c r="C268" s="25"/>
      <c r="D268" s="73"/>
      <c r="E268" s="73"/>
    </row>
    <row r="269" spans="1:5" x14ac:dyDescent="0.2">
      <c r="A269" s="345">
        <v>35703</v>
      </c>
      <c r="B269" s="73"/>
      <c r="C269" s="25"/>
      <c r="D269" s="73"/>
      <c r="E269" s="73"/>
    </row>
    <row r="270" spans="1:5" x14ac:dyDescent="0.2">
      <c r="A270" s="345">
        <v>35734</v>
      </c>
      <c r="B270" s="73"/>
      <c r="C270" s="25"/>
      <c r="D270" s="73"/>
      <c r="E270" s="73"/>
    </row>
    <row r="271" spans="1:5" x14ac:dyDescent="0.2">
      <c r="A271" s="345">
        <v>35764</v>
      </c>
      <c r="B271" s="73"/>
      <c r="C271" s="25"/>
      <c r="D271" s="73"/>
      <c r="E271" s="73"/>
    </row>
    <row r="272" spans="1:5" x14ac:dyDescent="0.2">
      <c r="A272" s="345">
        <v>35795</v>
      </c>
      <c r="B272" s="73"/>
      <c r="C272" s="25"/>
      <c r="D272" s="73"/>
      <c r="E272" s="73"/>
    </row>
    <row r="273" spans="1:7" x14ac:dyDescent="0.2">
      <c r="A273" s="345">
        <v>35826</v>
      </c>
      <c r="B273" s="73"/>
      <c r="C273" s="25"/>
      <c r="D273" s="73"/>
      <c r="E273" s="73"/>
    </row>
    <row r="274" spans="1:7" x14ac:dyDescent="0.2">
      <c r="A274" s="345">
        <v>35854</v>
      </c>
      <c r="B274" s="73"/>
      <c r="C274" s="32"/>
      <c r="D274" s="73"/>
      <c r="E274" s="73"/>
    </row>
    <row r="275" spans="1:7" x14ac:dyDescent="0.2">
      <c r="A275" s="345">
        <v>35885</v>
      </c>
      <c r="B275" s="73"/>
      <c r="C275" s="32"/>
      <c r="D275" s="73"/>
      <c r="E275" s="73"/>
    </row>
    <row r="276" spans="1:7" x14ac:dyDescent="0.2">
      <c r="A276" s="345">
        <v>35915</v>
      </c>
      <c r="B276" s="73"/>
      <c r="C276" s="32"/>
      <c r="D276" s="73"/>
      <c r="E276" s="73"/>
    </row>
    <row r="277" spans="1:7" x14ac:dyDescent="0.2">
      <c r="A277" s="345">
        <v>35946</v>
      </c>
      <c r="B277" s="73"/>
      <c r="C277" s="32"/>
      <c r="D277" s="73"/>
      <c r="E277" s="73"/>
    </row>
    <row r="278" spans="1:7" x14ac:dyDescent="0.2">
      <c r="A278" s="345">
        <v>35976</v>
      </c>
      <c r="B278" s="73"/>
      <c r="C278" s="32"/>
      <c r="D278" s="73"/>
      <c r="E278" s="73"/>
    </row>
    <row r="279" spans="1:7" x14ac:dyDescent="0.2">
      <c r="A279" s="345">
        <v>36007</v>
      </c>
      <c r="B279" s="73"/>
      <c r="C279" s="32"/>
      <c r="D279" s="73"/>
      <c r="E279" s="73"/>
    </row>
    <row r="280" spans="1:7" x14ac:dyDescent="0.2">
      <c r="A280" s="345">
        <v>36038</v>
      </c>
      <c r="B280" s="73"/>
      <c r="C280" s="32"/>
      <c r="D280" s="73"/>
      <c r="E280" s="73"/>
    </row>
    <row r="281" spans="1:7" x14ac:dyDescent="0.2">
      <c r="A281" s="345">
        <v>36068</v>
      </c>
      <c r="B281" s="77"/>
      <c r="C281" s="32"/>
      <c r="D281" s="73"/>
      <c r="E281" s="73"/>
    </row>
    <row r="282" spans="1:7" x14ac:dyDescent="0.2">
      <c r="A282" s="345">
        <v>36099</v>
      </c>
      <c r="B282" s="1369">
        <v>9.65</v>
      </c>
      <c r="C282" s="33">
        <v>493572803.58999997</v>
      </c>
      <c r="D282" s="253"/>
      <c r="E282" s="253">
        <f>B282-Index_Returns!AF282</f>
        <v>-0.8019999999999996</v>
      </c>
      <c r="F282" s="253"/>
      <c r="G282" s="14"/>
    </row>
    <row r="283" spans="1:7" x14ac:dyDescent="0.2">
      <c r="A283" s="345">
        <v>36129</v>
      </c>
      <c r="B283" s="1369">
        <v>3.88</v>
      </c>
      <c r="C283" s="33">
        <v>513483146.38</v>
      </c>
      <c r="D283" s="253"/>
      <c r="E283" s="253">
        <f>B283-Index_Returns!AF283</f>
        <v>-1.2679999999999998</v>
      </c>
      <c r="F283" s="253"/>
      <c r="G283" s="14"/>
    </row>
    <row r="284" spans="1:7" x14ac:dyDescent="0.2">
      <c r="A284" s="345">
        <v>36160</v>
      </c>
      <c r="B284" s="1369">
        <v>2.63</v>
      </c>
      <c r="C284" s="33">
        <v>524668539.14999998</v>
      </c>
      <c r="D284" s="253"/>
      <c r="E284" s="253">
        <f>B284-Index_Returns!AF284</f>
        <v>-1.339</v>
      </c>
      <c r="F284" s="253"/>
      <c r="G284" s="14"/>
    </row>
    <row r="285" spans="1:7" x14ac:dyDescent="0.2">
      <c r="A285" s="345">
        <v>36191</v>
      </c>
      <c r="B285" s="1369">
        <v>3.18</v>
      </c>
      <c r="C285" s="33">
        <v>541511846.63999999</v>
      </c>
      <c r="D285" s="253"/>
      <c r="E285" s="253">
        <f>B285-Index_Returns!AF285</f>
        <v>3.4530000000000003</v>
      </c>
      <c r="F285" s="253"/>
      <c r="G285" s="14"/>
    </row>
    <row r="286" spans="1:7" x14ac:dyDescent="0.2">
      <c r="A286" s="345">
        <v>36219</v>
      </c>
      <c r="B286" s="1369">
        <v>-2.36</v>
      </c>
      <c r="C286" s="33">
        <v>528890619.91000003</v>
      </c>
      <c r="D286" s="253"/>
      <c r="E286" s="253">
        <f>B286-Index_Returns!AF286</f>
        <v>1.2999999999996348E-4</v>
      </c>
      <c r="F286" s="253"/>
      <c r="G286" s="14"/>
    </row>
    <row r="287" spans="1:7" x14ac:dyDescent="0.2">
      <c r="A287" s="345">
        <v>36250</v>
      </c>
      <c r="B287" s="1369">
        <v>8.6</v>
      </c>
      <c r="C287" s="33">
        <v>574541242.33000004</v>
      </c>
      <c r="D287" s="253"/>
      <c r="E287" s="253">
        <f>B287-Index_Returns!AF287</f>
        <v>4.4019999999999992</v>
      </c>
      <c r="F287" s="253"/>
      <c r="G287" s="14"/>
    </row>
    <row r="288" spans="1:7" x14ac:dyDescent="0.2">
      <c r="A288" s="345">
        <v>36280</v>
      </c>
      <c r="B288" s="1369">
        <v>10.02</v>
      </c>
      <c r="C288" s="33">
        <v>632360232.86000001</v>
      </c>
      <c r="D288" s="253"/>
      <c r="E288" s="253">
        <f>B288-Index_Returns!AF288</f>
        <v>5.9499999999999993</v>
      </c>
      <c r="F288" s="253"/>
      <c r="G288" s="14"/>
    </row>
    <row r="289" spans="1:7" x14ac:dyDescent="0.2">
      <c r="A289" s="345">
        <v>36311</v>
      </c>
      <c r="B289" s="1369">
        <v>-4.4800000000000004</v>
      </c>
      <c r="C289" s="33">
        <v>604327392</v>
      </c>
      <c r="D289" s="253"/>
      <c r="E289" s="253">
        <f>B289-Index_Returns!AF289</f>
        <v>0.64799999999999969</v>
      </c>
      <c r="F289" s="253"/>
      <c r="G289" s="14"/>
    </row>
    <row r="290" spans="1:7" x14ac:dyDescent="0.2">
      <c r="A290" s="345">
        <v>36341</v>
      </c>
      <c r="B290" s="1369">
        <v>6.21</v>
      </c>
      <c r="C290" s="33">
        <v>642042156.54999995</v>
      </c>
      <c r="D290" s="253"/>
      <c r="E290" s="253">
        <f>B290-Index_Returns!AF290</f>
        <v>2.2879999999999998</v>
      </c>
      <c r="F290" s="253"/>
      <c r="G290" s="14"/>
    </row>
    <row r="291" spans="1:7" x14ac:dyDescent="0.2">
      <c r="A291" s="345">
        <v>36372</v>
      </c>
      <c r="B291" s="1369">
        <v>2.85</v>
      </c>
      <c r="C291" s="33">
        <v>660606228</v>
      </c>
      <c r="D291" s="253"/>
      <c r="E291" s="253">
        <f>B291-Index_Returns!AF291</f>
        <v>-0.14500000000000002</v>
      </c>
      <c r="F291" s="253"/>
      <c r="G291" s="14"/>
    </row>
    <row r="292" spans="1:7" x14ac:dyDescent="0.2">
      <c r="A292" s="345">
        <v>36403</v>
      </c>
      <c r="B292" s="1369">
        <v>0.62</v>
      </c>
      <c r="C292" s="33">
        <v>664929323.27999997</v>
      </c>
      <c r="D292" s="253"/>
      <c r="E292" s="253">
        <f>B292-Index_Returns!AF292</f>
        <v>0.23199999999999998</v>
      </c>
      <c r="F292" s="253"/>
      <c r="G292" s="14"/>
    </row>
    <row r="293" spans="1:7" x14ac:dyDescent="0.2">
      <c r="A293" s="345">
        <v>36433</v>
      </c>
      <c r="B293" s="1369">
        <v>-1.33</v>
      </c>
      <c r="C293" s="33">
        <v>656303164.88999999</v>
      </c>
      <c r="D293" s="253"/>
      <c r="E293" s="253">
        <f>B293-Index_Returns!AF293</f>
        <v>-2.359</v>
      </c>
      <c r="F293" s="253"/>
      <c r="G293" s="14"/>
    </row>
    <row r="294" spans="1:7" x14ac:dyDescent="0.2">
      <c r="A294" s="345">
        <v>36464</v>
      </c>
      <c r="B294" s="1369">
        <v>1.79</v>
      </c>
      <c r="C294" s="33">
        <v>668247391.19000006</v>
      </c>
      <c r="D294" s="253"/>
      <c r="E294" s="253">
        <f>B294-Index_Returns!AF294</f>
        <v>-1.9769999999999999</v>
      </c>
      <c r="F294" s="253"/>
      <c r="G294" s="14"/>
    </row>
    <row r="295" spans="1:7" x14ac:dyDescent="0.2">
      <c r="A295" s="345">
        <v>36494</v>
      </c>
      <c r="B295" s="1369">
        <v>6.43</v>
      </c>
      <c r="C295" s="33">
        <v>711430052.47000003</v>
      </c>
      <c r="D295" s="253"/>
      <c r="E295" s="253">
        <f>B295-Index_Returns!AF295</f>
        <v>2.9349299999999996</v>
      </c>
      <c r="F295" s="253"/>
      <c r="G295" s="14"/>
    </row>
    <row r="296" spans="1:7" x14ac:dyDescent="0.2">
      <c r="A296" s="345">
        <v>36525</v>
      </c>
      <c r="B296" s="1369">
        <v>13.15</v>
      </c>
      <c r="C296" s="33">
        <v>805212720.08000004</v>
      </c>
      <c r="D296" s="253"/>
      <c r="E296" s="253">
        <f>B296-Index_Returns!AF296</f>
        <v>4.1552400000000009</v>
      </c>
      <c r="F296" s="253"/>
      <c r="G296" s="14"/>
    </row>
    <row r="297" spans="1:7" x14ac:dyDescent="0.2">
      <c r="A297" s="345">
        <v>36556</v>
      </c>
      <c r="B297" s="1369">
        <v>-9.4600000000000009</v>
      </c>
      <c r="C297" s="33">
        <v>729304701.50999999</v>
      </c>
      <c r="D297" s="253"/>
      <c r="E297" s="253">
        <f>B297-Index_Returns!AF297</f>
        <v>-3.1235500000000007</v>
      </c>
      <c r="F297" s="253"/>
      <c r="G297" s="14"/>
    </row>
    <row r="298" spans="1:7" x14ac:dyDescent="0.2">
      <c r="A298" s="345">
        <v>36585</v>
      </c>
      <c r="B298" s="1369">
        <v>1.62</v>
      </c>
      <c r="C298" s="33">
        <v>741374969.60000002</v>
      </c>
      <c r="D298" s="253"/>
      <c r="E298" s="253">
        <f>B298-Index_Returns!AF298</f>
        <v>-1.0908799999999998</v>
      </c>
      <c r="F298" s="253"/>
      <c r="G298" s="14"/>
    </row>
    <row r="299" spans="1:7" x14ac:dyDescent="0.2">
      <c r="A299" s="345">
        <v>36616</v>
      </c>
      <c r="B299" s="1369">
        <v>5.46</v>
      </c>
      <c r="C299" s="33">
        <v>782103825.20000005</v>
      </c>
      <c r="D299" s="253"/>
      <c r="E299" s="253">
        <f>B299-Index_Returns!AF299</f>
        <v>1.5640000000000001</v>
      </c>
      <c r="F299" s="253"/>
      <c r="G299" s="14"/>
    </row>
    <row r="300" spans="1:7" x14ac:dyDescent="0.2">
      <c r="A300" s="345">
        <v>36646</v>
      </c>
      <c r="B300" s="1369">
        <v>-3.48</v>
      </c>
      <c r="C300" s="33">
        <v>755124812.12</v>
      </c>
      <c r="D300" s="253"/>
      <c r="E300" s="253">
        <f>B300-Index_Returns!AF300</f>
        <v>1.7643</v>
      </c>
      <c r="F300" s="253"/>
      <c r="G300" s="14"/>
    </row>
    <row r="301" spans="1:7" x14ac:dyDescent="0.2">
      <c r="A301" s="345">
        <v>36677</v>
      </c>
      <c r="B301" s="1369">
        <v>4.1100000000000003</v>
      </c>
      <c r="C301" s="33">
        <v>786533753.09000003</v>
      </c>
      <c r="D301" s="253"/>
      <c r="E301" s="253">
        <f>B301-Index_Returns!AF301</f>
        <v>6.5327300000000008</v>
      </c>
      <c r="F301" s="253"/>
      <c r="G301" s="14"/>
    </row>
    <row r="302" spans="1:7" x14ac:dyDescent="0.2">
      <c r="A302" s="345">
        <v>36707</v>
      </c>
      <c r="B302" s="1369">
        <v>7.35</v>
      </c>
      <c r="C302" s="33">
        <v>844573857.67999995</v>
      </c>
      <c r="D302" s="253"/>
      <c r="E302" s="253">
        <f>B302-Index_Returns!AF302</f>
        <v>3.4157899999999994</v>
      </c>
      <c r="F302" s="253"/>
      <c r="G302" s="14"/>
    </row>
    <row r="303" spans="1:7" x14ac:dyDescent="0.2">
      <c r="A303" s="345">
        <v>36738</v>
      </c>
      <c r="B303" s="1369">
        <v>-1.27</v>
      </c>
      <c r="C303" s="33">
        <v>834133048.65999997</v>
      </c>
      <c r="D303" s="253"/>
      <c r="E303" s="253">
        <f>B303-Index_Returns!AF303</f>
        <v>2.9029399999999996</v>
      </c>
      <c r="F303" s="253"/>
      <c r="G303" s="14"/>
    </row>
    <row r="304" spans="1:7" x14ac:dyDescent="0.2">
      <c r="A304" s="345">
        <v>36769</v>
      </c>
      <c r="B304" s="1369">
        <v>0.74</v>
      </c>
      <c r="C304" s="33">
        <v>840549333.78999996</v>
      </c>
      <c r="D304" s="253"/>
      <c r="E304" s="253">
        <f>B304-Index_Returns!AF304</f>
        <v>-0.14800000000000002</v>
      </c>
      <c r="F304" s="253"/>
      <c r="G304" s="14"/>
    </row>
    <row r="305" spans="1:7" x14ac:dyDescent="0.2">
      <c r="A305" s="345">
        <v>36799</v>
      </c>
      <c r="B305" s="1369">
        <v>-2.76</v>
      </c>
      <c r="C305" s="33">
        <v>817615596.45000005</v>
      </c>
      <c r="D305" s="253"/>
      <c r="E305" s="253">
        <f>B305-Index_Returns!AF305</f>
        <v>2.0893800000000002</v>
      </c>
      <c r="F305" s="253"/>
      <c r="G305" s="14"/>
    </row>
    <row r="306" spans="1:7" x14ac:dyDescent="0.2">
      <c r="A306" s="345">
        <v>36830</v>
      </c>
      <c r="B306" s="1369">
        <v>0.03</v>
      </c>
      <c r="C306" s="33">
        <v>818132652.39999998</v>
      </c>
      <c r="D306" s="253"/>
      <c r="E306" s="253">
        <f>B306-Index_Returns!AF306</f>
        <v>2.3719999999999999</v>
      </c>
      <c r="F306" s="253"/>
      <c r="G306" s="14"/>
    </row>
    <row r="307" spans="1:7" x14ac:dyDescent="0.2">
      <c r="A307" s="345">
        <v>36860</v>
      </c>
      <c r="B307" s="1369">
        <v>-0.68</v>
      </c>
      <c r="C307" s="33">
        <v>812777572.69000006</v>
      </c>
      <c r="D307" s="253"/>
      <c r="E307" s="253">
        <f>B307-Index_Returns!AF307</f>
        <v>3.0489999999999999</v>
      </c>
      <c r="F307" s="253"/>
      <c r="G307" s="14"/>
    </row>
    <row r="308" spans="1:7" x14ac:dyDescent="0.2">
      <c r="A308" s="345">
        <v>36891</v>
      </c>
      <c r="B308" s="1369">
        <v>5.47</v>
      </c>
      <c r="C308" s="33">
        <v>857506917.00999999</v>
      </c>
      <c r="D308" s="253"/>
      <c r="E308" s="253">
        <f>B308-Index_Returns!AF308</f>
        <v>1.8919999999999999</v>
      </c>
      <c r="F308" s="253"/>
      <c r="G308" s="14"/>
    </row>
    <row r="309" spans="1:7" x14ac:dyDescent="0.2">
      <c r="A309" s="345">
        <v>36922</v>
      </c>
      <c r="B309" s="1369">
        <v>1.21</v>
      </c>
      <c r="C309" s="33">
        <v>868121269.39999998</v>
      </c>
      <c r="D309" s="253"/>
      <c r="E309" s="253">
        <f>B309-Index_Returns!AF309</f>
        <v>1.26</v>
      </c>
      <c r="F309" s="253"/>
      <c r="G309" s="14"/>
    </row>
    <row r="310" spans="1:7" x14ac:dyDescent="0.2">
      <c r="A310" s="345">
        <v>36950</v>
      </c>
      <c r="B310" s="1369">
        <v>-5.01</v>
      </c>
      <c r="C310" s="33">
        <v>824947641.24000001</v>
      </c>
      <c r="D310" s="253"/>
      <c r="E310" s="253">
        <f>B310-Index_Returns!AF310</f>
        <v>2.4800000000000004</v>
      </c>
      <c r="F310" s="253"/>
      <c r="G310" s="14"/>
    </row>
    <row r="311" spans="1:7" x14ac:dyDescent="0.2">
      <c r="A311" s="345">
        <v>36981</v>
      </c>
      <c r="B311" s="1369">
        <v>-6.26</v>
      </c>
      <c r="C311" s="33">
        <v>773606028.74000001</v>
      </c>
      <c r="D311" s="253"/>
      <c r="E311" s="253">
        <f>B311-Index_Returns!AF311</f>
        <v>0.36110000000000042</v>
      </c>
      <c r="F311" s="253"/>
      <c r="G311" s="14"/>
    </row>
    <row r="312" spans="1:7" x14ac:dyDescent="0.2">
      <c r="A312" s="345">
        <v>37011</v>
      </c>
      <c r="B312" s="1369">
        <v>6.52</v>
      </c>
      <c r="C312" s="33">
        <v>824297262.92999995</v>
      </c>
      <c r="D312" s="253"/>
      <c r="E312" s="253">
        <f>B312-Index_Returns!AF312</f>
        <v>-0.49400000000000066</v>
      </c>
      <c r="F312" s="253"/>
      <c r="G312" s="14"/>
    </row>
    <row r="313" spans="1:7" x14ac:dyDescent="0.2">
      <c r="A313" s="345">
        <v>37042</v>
      </c>
      <c r="B313" s="1369">
        <v>-2.2400000000000002</v>
      </c>
      <c r="C313" s="33">
        <v>806078967.69000006</v>
      </c>
      <c r="D313" s="253"/>
      <c r="E313" s="253">
        <f>B313-Index_Returns!AF313</f>
        <v>1.21</v>
      </c>
      <c r="F313" s="253"/>
      <c r="G313" s="14"/>
    </row>
    <row r="314" spans="1:7" x14ac:dyDescent="0.2">
      <c r="A314" s="345">
        <v>37072</v>
      </c>
      <c r="B314" s="1369">
        <v>-3.4</v>
      </c>
      <c r="C314" s="33">
        <v>778960424.70000005</v>
      </c>
      <c r="D314" s="253"/>
      <c r="E314" s="253">
        <f>B314-Index_Returns!AF314</f>
        <v>0.65199999999999969</v>
      </c>
      <c r="F314" s="253"/>
      <c r="G314" s="14"/>
    </row>
    <row r="315" spans="1:7" x14ac:dyDescent="0.2">
      <c r="A315" s="345">
        <v>37103</v>
      </c>
      <c r="B315" s="1369">
        <v>-2.27</v>
      </c>
      <c r="C315" s="33">
        <v>761546182.29999995</v>
      </c>
      <c r="D315" s="253"/>
      <c r="E315" s="253">
        <f>B315-Index_Returns!AF315</f>
        <v>-0.45799999999999996</v>
      </c>
      <c r="F315" s="253"/>
      <c r="G315" s="14"/>
    </row>
    <row r="316" spans="1:7" x14ac:dyDescent="0.2">
      <c r="A316" s="345">
        <v>37134</v>
      </c>
      <c r="B316" s="1369">
        <v>0.5</v>
      </c>
      <c r="C316" s="33">
        <v>765554277.95000005</v>
      </c>
      <c r="D316" s="253"/>
      <c r="E316" s="253">
        <f>B316-Index_Returns!AF316</f>
        <v>3.012</v>
      </c>
      <c r="F316" s="253"/>
      <c r="G316" s="14"/>
    </row>
    <row r="317" spans="1:7" x14ac:dyDescent="0.2">
      <c r="A317" s="345">
        <v>37164</v>
      </c>
      <c r="B317" s="1369">
        <v>-12.15</v>
      </c>
      <c r="C317" s="33">
        <v>673029569.52999997</v>
      </c>
      <c r="D317" s="253"/>
      <c r="E317" s="253">
        <f>B317-Index_Returns!AF317</f>
        <v>-2.0440000000000005</v>
      </c>
      <c r="F317" s="253"/>
      <c r="G317" s="14"/>
    </row>
    <row r="318" spans="1:7" x14ac:dyDescent="0.2">
      <c r="A318" s="345">
        <v>37195</v>
      </c>
      <c r="B318" s="1369">
        <v>2.4500000000000002</v>
      </c>
      <c r="C318" s="33">
        <v>689703054</v>
      </c>
      <c r="D318" s="253"/>
      <c r="E318" s="253">
        <f>B318-Index_Returns!AF318</f>
        <v>-0.10709999999999997</v>
      </c>
      <c r="F318" s="253"/>
      <c r="G318" s="14"/>
    </row>
    <row r="319" spans="1:7" x14ac:dyDescent="0.2">
      <c r="A319" s="345">
        <v>37225</v>
      </c>
      <c r="B319" s="1369">
        <v>4.45</v>
      </c>
      <c r="C319" s="33">
        <v>720582441.54999995</v>
      </c>
      <c r="D319" s="253"/>
      <c r="E319" s="253">
        <f>B319-Index_Returns!AF319</f>
        <v>0.75700000000000012</v>
      </c>
      <c r="F319" s="253"/>
      <c r="G319" s="14"/>
    </row>
    <row r="320" spans="1:7" x14ac:dyDescent="0.2">
      <c r="A320" s="345">
        <v>37256</v>
      </c>
      <c r="B320" s="1369">
        <v>1.48</v>
      </c>
      <c r="C320" s="33">
        <v>731477554.63</v>
      </c>
      <c r="D320" s="253"/>
      <c r="E320" s="253">
        <f>B320-Index_Returns!AF320</f>
        <v>0.88386999999999993</v>
      </c>
      <c r="F320" s="253"/>
      <c r="G320" s="14"/>
    </row>
    <row r="321" spans="1:7" x14ac:dyDescent="0.2">
      <c r="A321" s="345">
        <v>37287</v>
      </c>
      <c r="B321" s="1369">
        <v>-3.03</v>
      </c>
      <c r="C321" s="33">
        <v>709328103.95000005</v>
      </c>
      <c r="D321" s="253"/>
      <c r="E321" s="253">
        <f>B321-Index_Returns!AF321</f>
        <v>2.2759000000000005</v>
      </c>
      <c r="F321" s="253"/>
      <c r="G321" s="14"/>
    </row>
    <row r="322" spans="1:7" x14ac:dyDescent="0.2">
      <c r="A322" s="345">
        <v>37315</v>
      </c>
      <c r="B322" s="1369">
        <v>1.41</v>
      </c>
      <c r="C322" s="33">
        <v>719590468.42999995</v>
      </c>
      <c r="D322" s="253"/>
      <c r="E322" s="253">
        <f>B322-Index_Returns!AF322</f>
        <v>0.70399999999999996</v>
      </c>
      <c r="F322" s="253"/>
      <c r="G322" s="14"/>
    </row>
    <row r="323" spans="1:7" x14ac:dyDescent="0.2">
      <c r="A323" s="345">
        <v>37346</v>
      </c>
      <c r="B323" s="1369">
        <v>6.21</v>
      </c>
      <c r="C323" s="33">
        <v>764485184.36000001</v>
      </c>
      <c r="D323" s="253"/>
      <c r="E323" s="253">
        <f>B323-Index_Returns!AF323</f>
        <v>0.75060000000000038</v>
      </c>
      <c r="F323" s="253"/>
      <c r="G323" s="14"/>
    </row>
    <row r="324" spans="1:7" x14ac:dyDescent="0.2">
      <c r="A324" s="345">
        <v>37376</v>
      </c>
      <c r="B324" s="1369">
        <v>0.69</v>
      </c>
      <c r="C324" s="33">
        <v>770013842.54999995</v>
      </c>
      <c r="D324" s="253"/>
      <c r="E324" s="253">
        <f>B324-Index_Returns!AF324</f>
        <v>-3.4200000000000008E-2</v>
      </c>
      <c r="F324" s="253"/>
      <c r="G324" s="14"/>
    </row>
    <row r="325" spans="1:7" x14ac:dyDescent="0.2">
      <c r="A325" s="345">
        <v>37407</v>
      </c>
      <c r="B325" s="1369">
        <v>3.16</v>
      </c>
      <c r="C325" s="33">
        <v>794564096.13</v>
      </c>
      <c r="D325" s="253"/>
      <c r="E325" s="253">
        <f>B325-Index_Returns!AF325</f>
        <v>1.8030000000000002</v>
      </c>
      <c r="F325" s="253"/>
      <c r="G325" s="14"/>
    </row>
    <row r="326" spans="1:7" x14ac:dyDescent="0.2">
      <c r="A326" s="345">
        <v>37437</v>
      </c>
      <c r="B326" s="1369">
        <v>-7.11</v>
      </c>
      <c r="C326" s="33">
        <v>738274195.86000001</v>
      </c>
      <c r="D326" s="253"/>
      <c r="E326" s="253">
        <f>B326-Index_Returns!AF326</f>
        <v>-3.1670000000000003</v>
      </c>
      <c r="F326" s="253"/>
      <c r="G326" s="14"/>
    </row>
    <row r="327" spans="1:7" x14ac:dyDescent="0.2">
      <c r="A327" s="345">
        <v>37468</v>
      </c>
      <c r="B327" s="1369">
        <v>-10.3</v>
      </c>
      <c r="C327" s="33">
        <v>662266356.67999995</v>
      </c>
      <c r="D327" s="253"/>
      <c r="E327" s="253">
        <f>B327-Index_Returns!AF327</f>
        <v>-0.43599999999999994</v>
      </c>
      <c r="F327" s="253"/>
      <c r="G327" s="14"/>
    </row>
    <row r="328" spans="1:7" x14ac:dyDescent="0.2">
      <c r="A328" s="345">
        <v>37499</v>
      </c>
      <c r="B328" s="1369">
        <v>0.6</v>
      </c>
      <c r="C328" s="33">
        <v>666210935.53999996</v>
      </c>
      <c r="D328" s="253"/>
      <c r="E328" s="253">
        <f>B328-Index_Returns!AF328</f>
        <v>0.80330000000000001</v>
      </c>
      <c r="F328" s="253"/>
      <c r="G328" s="14"/>
    </row>
    <row r="329" spans="1:7" x14ac:dyDescent="0.2">
      <c r="A329" s="345">
        <v>37529</v>
      </c>
      <c r="B329" s="1369">
        <v>-13.62</v>
      </c>
      <c r="C329" s="33">
        <v>576091876.92999995</v>
      </c>
      <c r="D329" s="253"/>
      <c r="E329" s="253">
        <f>B329-Index_Returns!AF329</f>
        <v>-2.9049999999999994</v>
      </c>
      <c r="F329" s="253"/>
      <c r="G329" s="14"/>
    </row>
    <row r="330" spans="1:7" x14ac:dyDescent="0.2">
      <c r="A330" s="345">
        <v>37560</v>
      </c>
      <c r="B330" s="1369">
        <v>6.61</v>
      </c>
      <c r="C330" s="33">
        <v>614157550</v>
      </c>
      <c r="D330" s="253"/>
      <c r="E330" s="253">
        <f>B330-Index_Returns!AF330</f>
        <v>1.2280000000000006</v>
      </c>
      <c r="F330" s="253"/>
      <c r="G330" s="14"/>
    </row>
    <row r="331" spans="1:7" x14ac:dyDescent="0.2">
      <c r="A331" s="345">
        <v>37590</v>
      </c>
      <c r="B331" s="1369">
        <v>4.91</v>
      </c>
      <c r="C331" s="33">
        <v>644309410.83000004</v>
      </c>
      <c r="D331" s="253"/>
      <c r="E331" s="253">
        <f>B331-Index_Returns!AF331</f>
        <v>0.35899999999999999</v>
      </c>
      <c r="F331" s="253"/>
      <c r="G331" s="14"/>
    </row>
    <row r="332" spans="1:7" x14ac:dyDescent="0.2">
      <c r="A332" s="345">
        <v>37621</v>
      </c>
      <c r="B332" s="1369">
        <v>-4.46</v>
      </c>
      <c r="C332" s="33">
        <v>616113765.13</v>
      </c>
      <c r="D332" s="253"/>
      <c r="E332" s="253">
        <f>B332-Index_Returns!AF332</f>
        <v>-1.105</v>
      </c>
      <c r="F332" s="253"/>
      <c r="G332" s="14"/>
    </row>
    <row r="333" spans="1:7" x14ac:dyDescent="0.2">
      <c r="A333" s="345">
        <v>37652</v>
      </c>
      <c r="B333" s="1369">
        <v>0.02</v>
      </c>
      <c r="C333" s="33">
        <v>616227634.62</v>
      </c>
      <c r="D333" s="253"/>
      <c r="E333" s="253">
        <f>B333-Index_Returns!AF333</f>
        <v>4.1871599999999995</v>
      </c>
      <c r="F333" s="253"/>
      <c r="G333" s="14"/>
    </row>
    <row r="334" spans="1:7" x14ac:dyDescent="0.2">
      <c r="A334" s="345">
        <v>37680</v>
      </c>
      <c r="B334" s="1369">
        <v>-5.95</v>
      </c>
      <c r="C334" s="33">
        <v>579587942.05999994</v>
      </c>
      <c r="D334" s="253"/>
      <c r="E334" s="253">
        <f>B334-Index_Returns!AF334</f>
        <v>-3.6640600000000001</v>
      </c>
      <c r="F334" s="253"/>
      <c r="G334" s="14"/>
    </row>
    <row r="335" spans="1:7" x14ac:dyDescent="0.2">
      <c r="A335" s="345">
        <v>37711</v>
      </c>
      <c r="B335" s="1369">
        <v>-4.4400000000000004</v>
      </c>
      <c r="C335" s="33">
        <v>554453442.52999997</v>
      </c>
      <c r="D335" s="253"/>
      <c r="E335" s="253">
        <f>B335-Index_Returns!AF335</f>
        <v>-2.5501500000000004</v>
      </c>
      <c r="F335" s="253"/>
      <c r="G335" s="14"/>
    </row>
    <row r="336" spans="1:7" x14ac:dyDescent="0.2">
      <c r="A336" s="345">
        <v>37741</v>
      </c>
      <c r="B336" s="1369">
        <v>12.91</v>
      </c>
      <c r="C336" s="33">
        <v>626012155.46000004</v>
      </c>
      <c r="D336" s="253"/>
      <c r="E336" s="253">
        <f>B336-Index_Returns!AF336</f>
        <v>2.9942299999999999</v>
      </c>
      <c r="F336" s="253"/>
      <c r="G336" s="14"/>
    </row>
    <row r="337" spans="1:9" x14ac:dyDescent="0.2">
      <c r="A337" s="345">
        <v>37772</v>
      </c>
      <c r="B337" s="1369">
        <v>7.89</v>
      </c>
      <c r="C337" s="33">
        <v>675397055.24000001</v>
      </c>
      <c r="D337" s="253"/>
      <c r="E337" s="253">
        <f>B337-Index_Returns!AF337</f>
        <v>1.7379599999999993</v>
      </c>
      <c r="F337" s="253"/>
      <c r="G337" s="14"/>
    </row>
    <row r="338" spans="1:9" x14ac:dyDescent="0.2">
      <c r="A338" s="345">
        <v>37802</v>
      </c>
      <c r="B338" s="1369">
        <v>3.67</v>
      </c>
      <c r="C338" s="33">
        <v>700912159.00999999</v>
      </c>
      <c r="D338" s="253"/>
      <c r="E338" s="253">
        <f>B338-Index_Returns!AF338</f>
        <v>1.19503</v>
      </c>
      <c r="F338" s="253"/>
      <c r="G338" s="14"/>
    </row>
    <row r="339" spans="1:9" x14ac:dyDescent="0.2">
      <c r="A339" s="345">
        <v>37833</v>
      </c>
      <c r="B339" s="1369">
        <v>5.64</v>
      </c>
      <c r="C339" s="33">
        <v>740390609.49000001</v>
      </c>
      <c r="D339" s="253"/>
      <c r="E339" s="253">
        <f>B339-Index_Returns!AF339</f>
        <v>3.2043699999999995</v>
      </c>
      <c r="F339" s="253"/>
      <c r="G339" s="14"/>
    </row>
    <row r="340" spans="1:9" x14ac:dyDescent="0.2">
      <c r="A340" s="345">
        <v>37864</v>
      </c>
      <c r="B340" s="1369">
        <v>5.44</v>
      </c>
      <c r="C340" s="33">
        <v>780701868.84000003</v>
      </c>
      <c r="D340" s="253"/>
      <c r="E340" s="253">
        <f>B340-Index_Returns!AF340</f>
        <v>3.0077000000000003</v>
      </c>
      <c r="F340" s="253"/>
      <c r="G340" s="14"/>
    </row>
    <row r="341" spans="1:9" x14ac:dyDescent="0.2">
      <c r="A341" s="345">
        <v>37894</v>
      </c>
      <c r="B341" s="1369">
        <v>0.82</v>
      </c>
      <c r="C341" s="34">
        <v>787789312.17999995</v>
      </c>
      <c r="D341" s="253"/>
      <c r="E341" s="253">
        <f>B341-Index_Returns!AF341</f>
        <v>-2.28254</v>
      </c>
      <c r="F341" s="253"/>
      <c r="G341" s="14"/>
    </row>
    <row r="342" spans="1:9" x14ac:dyDescent="0.2">
      <c r="A342" s="345">
        <v>37925</v>
      </c>
      <c r="B342" s="1369">
        <v>7.51</v>
      </c>
      <c r="C342" s="34">
        <v>846978671.01999998</v>
      </c>
      <c r="D342" s="253"/>
      <c r="E342" s="253">
        <f>B342-Index_Returns!AF342</f>
        <v>1.27074</v>
      </c>
      <c r="F342" s="253"/>
      <c r="G342" s="14"/>
    </row>
    <row r="343" spans="1:9" x14ac:dyDescent="0.2">
      <c r="A343" s="345">
        <v>37955</v>
      </c>
      <c r="B343" s="1369">
        <v>3.64</v>
      </c>
      <c r="C343" s="34">
        <v>877801496.64999998</v>
      </c>
      <c r="D343" s="253"/>
      <c r="E343" s="253">
        <f>B343-Index_Returns!AF343</f>
        <v>1.4024800000000002</v>
      </c>
      <c r="F343" s="253"/>
      <c r="G343" s="14"/>
    </row>
    <row r="344" spans="1:9" x14ac:dyDescent="0.2">
      <c r="A344" s="345">
        <v>37986</v>
      </c>
      <c r="B344" s="1369">
        <v>7.05</v>
      </c>
      <c r="C344" s="34">
        <v>940464925.95000005</v>
      </c>
      <c r="D344" s="253"/>
      <c r="E344" s="253">
        <f>B344-Index_Returns!AF344</f>
        <v>-0.76698999999999984</v>
      </c>
      <c r="F344" s="253"/>
      <c r="G344" s="14"/>
    </row>
    <row r="345" spans="1:9" x14ac:dyDescent="0.2">
      <c r="A345" s="345">
        <v>38017</v>
      </c>
      <c r="B345" s="1369">
        <v>3</v>
      </c>
      <c r="C345" s="34">
        <v>968709915.11000001</v>
      </c>
      <c r="D345" s="253"/>
      <c r="E345" s="253">
        <f>B345-Index_Returns!AF345</f>
        <v>1.5785100000000001</v>
      </c>
      <c r="F345" s="253"/>
      <c r="G345" s="14"/>
    </row>
    <row r="346" spans="1:9" x14ac:dyDescent="0.2">
      <c r="A346" s="345">
        <v>38046</v>
      </c>
      <c r="B346" s="1369">
        <v>2.57</v>
      </c>
      <c r="C346" s="34">
        <v>993595949.67999995</v>
      </c>
      <c r="D346" s="253"/>
      <c r="E346" s="253">
        <f>B346-Index_Returns!AF346</f>
        <v>0.24453999999999976</v>
      </c>
      <c r="F346" s="253"/>
      <c r="G346" s="14"/>
    </row>
    <row r="347" spans="1:9" x14ac:dyDescent="0.2">
      <c r="A347" s="345">
        <v>38077</v>
      </c>
      <c r="B347" s="1369">
        <v>1.46</v>
      </c>
      <c r="C347" s="34">
        <v>1009030164.47</v>
      </c>
      <c r="D347" s="255"/>
      <c r="E347" s="253">
        <f>B347-Index_Returns!AF347</f>
        <v>0.85810999999999993</v>
      </c>
      <c r="F347" s="253"/>
      <c r="G347" s="14"/>
    </row>
    <row r="348" spans="1:9" x14ac:dyDescent="0.2">
      <c r="A348" s="345">
        <v>38107</v>
      </c>
      <c r="B348" s="1369">
        <v>-2.2200000000000002</v>
      </c>
      <c r="C348" s="34">
        <v>986624419.52999997</v>
      </c>
      <c r="D348" s="253"/>
      <c r="E348" s="253">
        <f>B348-Index_Returns!AF348</f>
        <v>-4.2720000000000091E-2</v>
      </c>
      <c r="F348" s="253"/>
      <c r="G348" s="14"/>
      <c r="I348" s="14"/>
    </row>
    <row r="349" spans="1:9" x14ac:dyDescent="0.2">
      <c r="A349" s="345">
        <v>38138</v>
      </c>
      <c r="B349" s="1369">
        <v>0.81</v>
      </c>
      <c r="C349" s="34">
        <v>994614017.75</v>
      </c>
      <c r="D349" s="253"/>
      <c r="E349" s="253">
        <f>B349-Index_Returns!AF349</f>
        <v>0.37696000000000007</v>
      </c>
      <c r="F349" s="253"/>
      <c r="G349" s="14"/>
      <c r="I349" s="14"/>
    </row>
    <row r="350" spans="1:9" x14ac:dyDescent="0.2">
      <c r="A350" s="345">
        <v>38168</v>
      </c>
      <c r="B350" s="1369">
        <v>3.8</v>
      </c>
      <c r="C350" s="34">
        <v>1033383255.85</v>
      </c>
      <c r="D350" s="253"/>
      <c r="E350" s="253">
        <f>B350-Index_Returns!AF350</f>
        <v>1.5683099999999999</v>
      </c>
      <c r="F350" s="253"/>
      <c r="G350" s="14"/>
      <c r="I350" s="14"/>
    </row>
    <row r="351" spans="1:9" x14ac:dyDescent="0.2">
      <c r="A351" s="345">
        <v>38199</v>
      </c>
      <c r="B351" s="1369">
        <v>-2.5499999999999998</v>
      </c>
      <c r="C351" s="34">
        <v>1006999194.3099999</v>
      </c>
      <c r="D351" s="253"/>
      <c r="E351" s="253">
        <f>B351-Index_Returns!AF351</f>
        <v>0.6815500000000001</v>
      </c>
      <c r="F351" s="253"/>
      <c r="G351" s="14"/>
    </row>
    <row r="352" spans="1:9" x14ac:dyDescent="0.2">
      <c r="A352" s="345">
        <v>38230</v>
      </c>
      <c r="B352" s="1369">
        <v>-0.72</v>
      </c>
      <c r="C352" s="34">
        <v>999725279.79999995</v>
      </c>
      <c r="D352" s="253"/>
      <c r="E352" s="253">
        <f>B352-Index_Returns!AF352</f>
        <v>-1.18428</v>
      </c>
      <c r="F352" s="253"/>
      <c r="G352" s="14"/>
    </row>
    <row r="353" spans="1:7" x14ac:dyDescent="0.2">
      <c r="A353" s="345">
        <v>38260</v>
      </c>
      <c r="B353" s="1369">
        <v>2.4500000000000002</v>
      </c>
      <c r="C353" s="34">
        <v>1025155580.47</v>
      </c>
      <c r="D353" s="253"/>
      <c r="E353" s="253">
        <f>B353-Index_Returns!AF353</f>
        <v>-0.1782499999999998</v>
      </c>
      <c r="F353" s="253"/>
      <c r="G353" s="14"/>
    </row>
    <row r="354" spans="1:7" x14ac:dyDescent="0.2">
      <c r="A354" s="345">
        <v>38291</v>
      </c>
      <c r="B354" s="1369">
        <v>4.8899999999999997</v>
      </c>
      <c r="C354" s="34">
        <v>1075333093.6300001</v>
      </c>
      <c r="D354" s="253"/>
      <c r="E354" s="253">
        <f>B354-Index_Returns!AF354</f>
        <v>1.4739599999999995</v>
      </c>
      <c r="F354" s="253"/>
      <c r="G354" s="14"/>
    </row>
    <row r="355" spans="1:7" x14ac:dyDescent="0.2">
      <c r="A355" s="345">
        <v>38321</v>
      </c>
      <c r="B355" s="1369">
        <v>6.76</v>
      </c>
      <c r="C355" s="34">
        <v>1148044848.6800001</v>
      </c>
      <c r="D355" s="253"/>
      <c r="E355" s="253">
        <f>B355-Index_Returns!AF355</f>
        <v>-9.9000000000000199E-2</v>
      </c>
      <c r="F355" s="253"/>
      <c r="G355" s="14"/>
    </row>
    <row r="356" spans="1:7" x14ac:dyDescent="0.2">
      <c r="A356" s="345">
        <v>38352</v>
      </c>
      <c r="B356" s="1369">
        <v>4.05</v>
      </c>
      <c r="C356" s="256">
        <v>1195513288.8399999</v>
      </c>
      <c r="D356" s="253"/>
      <c r="E356" s="253">
        <f>B356-Index_Returns!AF356</f>
        <v>-0.34167000000000058</v>
      </c>
      <c r="F356" s="253"/>
      <c r="G356" s="14"/>
    </row>
    <row r="357" spans="1:7" x14ac:dyDescent="0.2">
      <c r="A357" s="345">
        <v>38383</v>
      </c>
      <c r="B357" s="1369">
        <v>-2.02</v>
      </c>
      <c r="C357" s="34">
        <v>1171415672.4000001</v>
      </c>
      <c r="D357" s="253"/>
      <c r="E357" s="253">
        <f>B357-Index_Returns!AF357</f>
        <v>-0.19272</v>
      </c>
      <c r="F357" s="253"/>
      <c r="G357" s="14"/>
    </row>
    <row r="358" spans="1:7" x14ac:dyDescent="0.2">
      <c r="A358" s="345">
        <v>38411</v>
      </c>
      <c r="B358" s="1369">
        <v>4.4000000000000004</v>
      </c>
      <c r="C358" s="34">
        <v>1223000250.78</v>
      </c>
      <c r="D358" s="253"/>
      <c r="E358" s="253">
        <f>B358-Index_Returns!AF358</f>
        <v>5.6290000000000617E-2</v>
      </c>
      <c r="F358" s="253"/>
      <c r="G358" s="14"/>
    </row>
    <row r="359" spans="1:7" x14ac:dyDescent="0.2">
      <c r="A359" s="345">
        <v>38442</v>
      </c>
      <c r="B359" s="1369">
        <v>-2.88</v>
      </c>
      <c r="C359" s="256">
        <v>1188898467.47</v>
      </c>
      <c r="D359" s="253"/>
      <c r="E359" s="253">
        <f>B359-Index_Returns!AF359</f>
        <v>-0.40649999999999986</v>
      </c>
      <c r="F359" s="253"/>
      <c r="G359" s="14"/>
    </row>
    <row r="360" spans="1:7" x14ac:dyDescent="0.2">
      <c r="A360" s="345">
        <v>38472</v>
      </c>
      <c r="B360" s="1369">
        <v>-2.76</v>
      </c>
      <c r="C360" s="256">
        <v>1156107462.8099999</v>
      </c>
      <c r="D360" s="253"/>
      <c r="E360" s="253">
        <f>B360-Index_Returns!AF360</f>
        <v>-0.52165999999999979</v>
      </c>
      <c r="F360" s="253"/>
      <c r="G360" s="14"/>
    </row>
    <row r="361" spans="1:7" x14ac:dyDescent="0.2">
      <c r="A361" s="345">
        <v>38503</v>
      </c>
      <c r="B361" s="1369">
        <v>0.61</v>
      </c>
      <c r="C361" s="256">
        <v>1163158505.48</v>
      </c>
      <c r="D361" s="253"/>
      <c r="E361" s="253">
        <f>B361-Index_Returns!AF361</f>
        <v>0.45701999999999998</v>
      </c>
      <c r="F361" s="253"/>
      <c r="G361" s="14"/>
    </row>
    <row r="362" spans="1:7" x14ac:dyDescent="0.2">
      <c r="A362" s="345">
        <v>38533</v>
      </c>
      <c r="B362" s="1369">
        <v>0.33</v>
      </c>
      <c r="C362" s="256">
        <v>1168131967.4000001</v>
      </c>
      <c r="D362" s="253"/>
      <c r="E362" s="253">
        <f>B362-Index_Returns!AF362</f>
        <v>-1.0369199999999998</v>
      </c>
      <c r="F362" s="253"/>
      <c r="G362" s="14"/>
    </row>
    <row r="363" spans="1:7" x14ac:dyDescent="0.2">
      <c r="A363" s="345">
        <v>38564</v>
      </c>
      <c r="B363" s="1369">
        <v>3.93</v>
      </c>
      <c r="C363" s="256">
        <v>1214016420.75</v>
      </c>
      <c r="D363" s="253"/>
      <c r="E363" s="253">
        <f>B363-Index_Returns!AF363</f>
        <v>0.85809000000000024</v>
      </c>
      <c r="F363" s="253"/>
      <c r="G363" s="14"/>
    </row>
    <row r="364" spans="1:7" x14ac:dyDescent="0.2">
      <c r="A364" s="345">
        <v>38595</v>
      </c>
      <c r="B364" s="1369">
        <v>1.6</v>
      </c>
      <c r="C364" s="256">
        <v>1233458187.3099999</v>
      </c>
      <c r="D364" s="253"/>
      <c r="E364" s="253">
        <f>B364-Index_Returns!AF364</f>
        <v>-0.95574000000000003</v>
      </c>
      <c r="F364" s="253"/>
      <c r="G364" s="14"/>
    </row>
    <row r="365" spans="1:7" x14ac:dyDescent="0.2">
      <c r="A365" s="345">
        <v>38625</v>
      </c>
      <c r="B365" s="1369">
        <v>5.0199999999999996</v>
      </c>
      <c r="C365" s="256">
        <v>1296448013.21</v>
      </c>
      <c r="D365" s="253"/>
      <c r="E365" s="253">
        <f>B365-Index_Returns!AF365</f>
        <v>0.54597999999999924</v>
      </c>
      <c r="F365" s="253"/>
      <c r="G365" s="14"/>
    </row>
    <row r="366" spans="1:7" x14ac:dyDescent="0.2">
      <c r="A366" s="345">
        <v>38656</v>
      </c>
      <c r="B366" s="1369">
        <v>-2.86</v>
      </c>
      <c r="C366" s="256">
        <v>1259413422.79</v>
      </c>
      <c r="D366" s="253"/>
      <c r="E366" s="253">
        <f>B366-Index_Returns!AF366</f>
        <v>0.78000000000000025</v>
      </c>
      <c r="F366" s="253"/>
      <c r="G366" s="14"/>
    </row>
    <row r="367" spans="1:7" x14ac:dyDescent="0.2">
      <c r="A367" s="345">
        <v>38686</v>
      </c>
      <c r="B367" s="1369">
        <v>2.29</v>
      </c>
      <c r="C367" s="256">
        <v>1288269004.1099999</v>
      </c>
      <c r="D367" s="253"/>
      <c r="E367" s="253">
        <f>B367-Index_Returns!AF367</f>
        <v>-1.0720000000000001</v>
      </c>
      <c r="F367" s="253"/>
      <c r="G367" s="14"/>
    </row>
    <row r="368" spans="1:7" x14ac:dyDescent="0.2">
      <c r="A368" s="345">
        <v>38717</v>
      </c>
      <c r="B368" s="1369">
        <v>3.49</v>
      </c>
      <c r="C368" s="256">
        <v>1334442614.0599999</v>
      </c>
      <c r="D368" s="253"/>
      <c r="E368" s="253">
        <f>B368-Index_Returns!AF368</f>
        <v>-1.3209999999999997</v>
      </c>
      <c r="F368" s="253"/>
      <c r="G368" s="14"/>
    </row>
    <row r="369" spans="1:7" x14ac:dyDescent="0.2">
      <c r="A369" s="345">
        <v>38748</v>
      </c>
      <c r="B369" s="1369">
        <v>4.05</v>
      </c>
      <c r="C369" s="256">
        <v>1388517543.96</v>
      </c>
      <c r="D369" s="253"/>
      <c r="E369" s="253">
        <f>B369-Index_Returns!AF369</f>
        <v>-2.9220000000000006</v>
      </c>
      <c r="F369" s="253"/>
      <c r="G369" s="14"/>
    </row>
    <row r="370" spans="1:7" x14ac:dyDescent="0.2">
      <c r="A370" s="345">
        <v>38776</v>
      </c>
      <c r="B370" s="1369">
        <v>1.67</v>
      </c>
      <c r="C370" s="256">
        <v>1411638836.8499999</v>
      </c>
      <c r="D370" s="253"/>
      <c r="E370" s="253">
        <f>B370-Index_Returns!AF370</f>
        <v>1.9589999999999999</v>
      </c>
      <c r="F370" s="253"/>
      <c r="G370" s="14"/>
    </row>
    <row r="371" spans="1:7" x14ac:dyDescent="0.2">
      <c r="A371" s="345">
        <v>38807</v>
      </c>
      <c r="B371" s="1369">
        <v>3.71</v>
      </c>
      <c r="C371" s="33">
        <v>1465299249.3399999</v>
      </c>
      <c r="D371" s="253"/>
      <c r="E371" s="253">
        <f>B371-Index_Returns!AF371</f>
        <v>0.80500000000000016</v>
      </c>
      <c r="F371" s="253"/>
      <c r="G371" s="14"/>
    </row>
    <row r="372" spans="1:7" x14ac:dyDescent="0.2">
      <c r="A372" s="345">
        <v>38837</v>
      </c>
      <c r="B372" s="1369">
        <v>5.0199999999999996</v>
      </c>
      <c r="C372" s="33">
        <v>1538906025.76</v>
      </c>
      <c r="D372" s="253"/>
      <c r="E372" s="253">
        <f>B372-Index_Returns!AF372</f>
        <v>-0.13600000000000012</v>
      </c>
      <c r="F372" s="253"/>
      <c r="G372" s="14"/>
    </row>
    <row r="373" spans="1:7" x14ac:dyDescent="0.2">
      <c r="A373" s="345">
        <v>38868</v>
      </c>
      <c r="B373" s="1369">
        <v>-3.97</v>
      </c>
      <c r="C373" s="33">
        <v>1477817768.3499999</v>
      </c>
      <c r="D373" s="253"/>
      <c r="E373" s="253">
        <f>B373-Index_Returns!AF373</f>
        <v>0.64000000000000012</v>
      </c>
      <c r="F373" s="253"/>
      <c r="G373" s="14"/>
    </row>
    <row r="374" spans="1:7" x14ac:dyDescent="0.2">
      <c r="A374" s="345">
        <v>38898</v>
      </c>
      <c r="B374" s="1369">
        <v>0.26</v>
      </c>
      <c r="C374" s="354">
        <v>1483057697.01</v>
      </c>
      <c r="D374" s="253"/>
      <c r="E374" s="253">
        <f>B374-Index_Returns!AF374</f>
        <v>0.36</v>
      </c>
      <c r="F374" s="253"/>
      <c r="G374" s="14"/>
    </row>
    <row r="375" spans="1:7" x14ac:dyDescent="0.2">
      <c r="A375" s="345">
        <v>38929</v>
      </c>
      <c r="B375" s="1369">
        <v>0.53</v>
      </c>
      <c r="C375" s="34">
        <v>1490944004.1600001</v>
      </c>
      <c r="D375" s="253"/>
      <c r="E375" s="253">
        <f>B375-Index_Returns!AF375</f>
        <v>-0.49299999999999988</v>
      </c>
      <c r="F375" s="253"/>
      <c r="G375" s="14"/>
    </row>
    <row r="376" spans="1:7" x14ac:dyDescent="0.2">
      <c r="A376" s="345">
        <v>38960</v>
      </c>
      <c r="B376" s="1369">
        <v>3.2</v>
      </c>
      <c r="C376" s="34">
        <v>1538614826.5599999</v>
      </c>
      <c r="D376" s="253"/>
      <c r="E376" s="253">
        <f>B376-Index_Returns!AF376</f>
        <v>0.3660000000000001</v>
      </c>
      <c r="F376" s="253"/>
      <c r="G376" s="14"/>
    </row>
    <row r="377" spans="1:7" x14ac:dyDescent="0.2">
      <c r="A377" s="345">
        <v>38990</v>
      </c>
      <c r="B377" s="1369">
        <v>1.5</v>
      </c>
      <c r="C377" s="34">
        <v>1563012419.9400001</v>
      </c>
      <c r="D377" s="253"/>
      <c r="E377" s="253">
        <f>B377-Index_Returns!AF377</f>
        <v>1.4350000000000001</v>
      </c>
      <c r="F377" s="253"/>
      <c r="G377" s="14"/>
    </row>
    <row r="378" spans="1:7" x14ac:dyDescent="0.2">
      <c r="A378" s="345">
        <v>39021</v>
      </c>
      <c r="B378" s="1369">
        <v>2.97</v>
      </c>
      <c r="C378" s="34">
        <v>1609400855.1199999</v>
      </c>
      <c r="D378" s="253"/>
      <c r="E378" s="253">
        <f>B378-Index_Returns!AF378</f>
        <v>-1.1019999999999999</v>
      </c>
      <c r="F378" s="700"/>
      <c r="G378" s="14"/>
    </row>
    <row r="379" spans="1:7" x14ac:dyDescent="0.2">
      <c r="A379" s="345">
        <v>39051</v>
      </c>
      <c r="B379" s="1369">
        <v>3.76</v>
      </c>
      <c r="C379" s="34">
        <v>1669902005.3800001</v>
      </c>
      <c r="D379" s="253"/>
      <c r="E379" s="253">
        <f>B379-Index_Returns!AF379</f>
        <v>0.129</v>
      </c>
      <c r="F379" s="700"/>
      <c r="G379" s="14"/>
    </row>
    <row r="380" spans="1:7" x14ac:dyDescent="0.2">
      <c r="A380" s="345">
        <v>39082</v>
      </c>
      <c r="B380" s="1369">
        <v>2.54</v>
      </c>
      <c r="C380" s="34">
        <v>1713800203.1099999</v>
      </c>
      <c r="D380" s="253"/>
      <c r="E380" s="253">
        <f>B380-Index_Returns!AF380</f>
        <v>-0.57600000000000007</v>
      </c>
      <c r="F380" s="700"/>
      <c r="G380" s="14"/>
    </row>
    <row r="381" spans="1:7" x14ac:dyDescent="0.2">
      <c r="A381" s="345">
        <v>39113</v>
      </c>
      <c r="B381" s="1369">
        <v>-0.17</v>
      </c>
      <c r="C381" s="346">
        <v>1710929120.3499999</v>
      </c>
      <c r="E381" s="253">
        <f>B381-Index_Returns!AF381</f>
        <v>-0.54300000000000004</v>
      </c>
      <c r="F381" s="352"/>
      <c r="G381" s="14"/>
    </row>
    <row r="382" spans="1:7" x14ac:dyDescent="0.2">
      <c r="A382" s="345">
        <v>39141</v>
      </c>
      <c r="B382" s="1369">
        <v>2.4900000000000002</v>
      </c>
      <c r="C382" s="346">
        <v>1753535869.6900001</v>
      </c>
      <c r="E382" s="253">
        <f>B382-Index_Returns!AF382</f>
        <v>1.8800000000000003</v>
      </c>
      <c r="F382" s="352"/>
      <c r="G382" s="14"/>
    </row>
    <row r="383" spans="1:7" x14ac:dyDescent="0.2">
      <c r="A383" s="345">
        <v>39172</v>
      </c>
      <c r="B383" s="1369">
        <v>2.41</v>
      </c>
      <c r="C383" s="346">
        <v>1797379856.75</v>
      </c>
      <c r="E383" s="253">
        <f>B383-Index_Returns!AF383</f>
        <v>-0.40700000000000003</v>
      </c>
      <c r="G383" s="14"/>
    </row>
    <row r="384" spans="1:7" x14ac:dyDescent="0.2">
      <c r="A384" s="345">
        <v>39202</v>
      </c>
      <c r="B384" s="1369">
        <v>4.03</v>
      </c>
      <c r="C384" s="346">
        <v>1869817239.01</v>
      </c>
      <c r="E384" s="253">
        <f>B384-Index_Returns!AF384</f>
        <v>-0.60699999999999932</v>
      </c>
      <c r="G384" s="14"/>
    </row>
    <row r="385" spans="1:7" x14ac:dyDescent="0.2">
      <c r="A385" s="345">
        <v>39233</v>
      </c>
      <c r="B385" s="1369">
        <v>2.08</v>
      </c>
      <c r="C385" s="346">
        <v>1908661937.5599999</v>
      </c>
      <c r="E385" s="253">
        <f>B385-Index_Returns!AF385</f>
        <v>-0.66100000000000003</v>
      </c>
      <c r="G385" s="14"/>
    </row>
    <row r="386" spans="1:7" x14ac:dyDescent="0.2">
      <c r="A386" s="345">
        <v>39263</v>
      </c>
      <c r="B386" s="1369">
        <v>-1.31</v>
      </c>
      <c r="C386" s="346">
        <v>1885199427.5599999</v>
      </c>
      <c r="E386" s="253">
        <f>B386-Index_Returns!AF386</f>
        <v>-2.161</v>
      </c>
      <c r="G386" s="14"/>
    </row>
    <row r="387" spans="1:7" x14ac:dyDescent="0.2">
      <c r="A387" s="345">
        <v>39294</v>
      </c>
      <c r="B387" s="1369">
        <v>-1.66</v>
      </c>
      <c r="C387" s="346">
        <v>1853847076.45</v>
      </c>
      <c r="E387" s="253">
        <f>B387-Index_Returns!AF387</f>
        <v>-1.375</v>
      </c>
      <c r="G387" s="14"/>
    </row>
    <row r="388" spans="1:7" x14ac:dyDescent="0.2">
      <c r="A388" s="345">
        <v>39325</v>
      </c>
      <c r="B388" s="1369">
        <v>-0.72</v>
      </c>
      <c r="C388" s="346">
        <v>1840557552.9400001</v>
      </c>
      <c r="E388" s="253">
        <f>B388-Index_Returns!AF388</f>
        <v>0.81499999999999995</v>
      </c>
      <c r="G388" s="14"/>
    </row>
    <row r="389" spans="1:7" x14ac:dyDescent="0.2">
      <c r="A389" s="345">
        <v>39355</v>
      </c>
      <c r="B389" s="1369">
        <v>2.19</v>
      </c>
      <c r="C389" s="346">
        <v>1882556995.8800001</v>
      </c>
      <c r="E389" s="253">
        <f>B389-Index_Returns!AF389</f>
        <v>-4.4320000000000004</v>
      </c>
      <c r="G389" s="14"/>
    </row>
    <row r="390" spans="1:7" x14ac:dyDescent="0.2">
      <c r="A390" s="345">
        <v>39386</v>
      </c>
      <c r="B390" s="1369">
        <v>3.01</v>
      </c>
      <c r="C390" s="346">
        <v>1939252532.1199999</v>
      </c>
      <c r="E390" s="253">
        <f>B390-Index_Returns!AF390</f>
        <v>-2.5720000000000001</v>
      </c>
      <c r="G390" s="14"/>
    </row>
    <row r="391" spans="1:7" x14ac:dyDescent="0.2">
      <c r="A391" s="345">
        <v>39416</v>
      </c>
      <c r="B391" s="1369">
        <v>-1.27</v>
      </c>
      <c r="C391" s="346">
        <v>1914632197.6199999</v>
      </c>
      <c r="E391" s="253">
        <f>B391-Index_Returns!AF391</f>
        <v>3.2230000000000003</v>
      </c>
      <c r="G391" s="14"/>
    </row>
    <row r="392" spans="1:7" x14ac:dyDescent="0.2">
      <c r="A392" s="345">
        <v>39447</v>
      </c>
      <c r="B392" s="1369">
        <v>-2.81</v>
      </c>
      <c r="C392" s="346">
        <v>1862574308.6900001</v>
      </c>
      <c r="E392" s="253">
        <f>B392-Index_Returns!AF392</f>
        <v>-1.365</v>
      </c>
      <c r="G392" s="14"/>
    </row>
    <row r="393" spans="1:7" x14ac:dyDescent="0.2">
      <c r="A393" s="345">
        <v>39478</v>
      </c>
      <c r="B393" s="1369">
        <v>-5.97</v>
      </c>
      <c r="C393" s="346">
        <v>1751392407.6800001</v>
      </c>
      <c r="E393" s="253">
        <f>B393-Index_Returns!AF393</f>
        <v>3.7060000000000004</v>
      </c>
      <c r="G393" s="14"/>
    </row>
    <row r="394" spans="1:7" x14ac:dyDescent="0.2">
      <c r="A394" s="345">
        <v>39507</v>
      </c>
      <c r="B394" s="1369">
        <v>-3.06</v>
      </c>
      <c r="C394" s="346">
        <v>1697747195.8900001</v>
      </c>
      <c r="E394" s="253">
        <f>B394-Index_Returns!AF394</f>
        <v>-5.9580000000000002</v>
      </c>
      <c r="G394" s="14"/>
    </row>
    <row r="395" spans="1:7" x14ac:dyDescent="0.2">
      <c r="A395" s="345">
        <v>39538</v>
      </c>
      <c r="B395" s="1369">
        <v>-3.34</v>
      </c>
      <c r="C395" s="346">
        <v>1642776664.1300001</v>
      </c>
      <c r="E395" s="253">
        <f>B395-Index_Returns!AF395</f>
        <v>-1.1839999999999997</v>
      </c>
      <c r="G395" s="14"/>
    </row>
    <row r="396" spans="1:7" x14ac:dyDescent="0.2">
      <c r="A396" s="345">
        <v>39568</v>
      </c>
      <c r="B396" s="1369">
        <v>7.51</v>
      </c>
      <c r="C396" s="346">
        <v>1766155332.23</v>
      </c>
      <c r="E396" s="253">
        <f>B396-Index_Returns!AF396</f>
        <v>1.3559999999999999</v>
      </c>
      <c r="G396" s="14"/>
    </row>
    <row r="397" spans="1:7" x14ac:dyDescent="0.2">
      <c r="A397" s="345">
        <v>39599</v>
      </c>
      <c r="B397" s="1369">
        <v>0.63</v>
      </c>
      <c r="C397" s="346">
        <v>1576123740.52</v>
      </c>
      <c r="E397" s="253">
        <f>B397-Index_Returns!AF397</f>
        <v>-1.1030000000000002</v>
      </c>
      <c r="G397" s="14"/>
    </row>
    <row r="398" spans="1:7" x14ac:dyDescent="0.2">
      <c r="A398" s="345">
        <v>39629</v>
      </c>
      <c r="B398" s="1369">
        <v>-9.69</v>
      </c>
      <c r="C398" s="346">
        <v>1424885032.4000001</v>
      </c>
      <c r="E398" s="253">
        <f>B398-Index_Returns!AF398</f>
        <v>-1.4930000000000003</v>
      </c>
      <c r="G398" s="14"/>
    </row>
    <row r="399" spans="1:7" x14ac:dyDescent="0.2">
      <c r="A399" s="345">
        <v>39660</v>
      </c>
      <c r="B399" s="1369">
        <v>-0.25</v>
      </c>
      <c r="C399" s="33">
        <v>1421389365.4400001</v>
      </c>
      <c r="E399" s="253">
        <f>B399-Index_Returns!AF399</f>
        <v>3.3260000000000001</v>
      </c>
      <c r="G399" s="14"/>
    </row>
    <row r="400" spans="1:7" x14ac:dyDescent="0.2">
      <c r="A400" s="345">
        <v>39691</v>
      </c>
      <c r="B400" s="1369">
        <v>-2.0499999999999998</v>
      </c>
      <c r="C400" s="33">
        <v>1392300708.0599999</v>
      </c>
      <c r="E400" s="253">
        <f>B400-Index_Returns!AF400</f>
        <v>2.601</v>
      </c>
      <c r="G400" s="14"/>
    </row>
    <row r="401" spans="1:7" x14ac:dyDescent="0.2">
      <c r="A401" s="345">
        <v>39721</v>
      </c>
      <c r="B401" s="1369">
        <v>-11.67</v>
      </c>
      <c r="C401" s="33">
        <v>1231000330.23</v>
      </c>
      <c r="E401" s="253">
        <f>B401-Index_Returns!AF401</f>
        <v>3.3200000000000003</v>
      </c>
      <c r="G401" s="14"/>
    </row>
    <row r="402" spans="1:7" x14ac:dyDescent="0.2">
      <c r="A402" s="345">
        <v>39752</v>
      </c>
      <c r="B402" s="1369">
        <v>-19.649999999999999</v>
      </c>
      <c r="C402" s="346">
        <v>989144916</v>
      </c>
      <c r="E402" s="253">
        <f>B402-Index_Returns!AF402</f>
        <v>2.3590000000000018</v>
      </c>
      <c r="G402" s="14"/>
    </row>
    <row r="403" spans="1:7" x14ac:dyDescent="0.2">
      <c r="A403" s="345">
        <v>39782</v>
      </c>
      <c r="B403" s="1369">
        <v>-4</v>
      </c>
      <c r="C403" s="346">
        <v>949611937</v>
      </c>
      <c r="E403" s="253">
        <f>B403-Index_Returns!AF403</f>
        <v>1.7439999999999998</v>
      </c>
      <c r="G403" s="14"/>
    </row>
    <row r="404" spans="1:7" x14ac:dyDescent="0.2">
      <c r="A404" s="345">
        <v>39813</v>
      </c>
      <c r="B404" s="1369">
        <v>8.6999999999999993</v>
      </c>
      <c r="C404" s="346">
        <v>1033323287</v>
      </c>
      <c r="E404" s="253">
        <f>B404-Index_Returns!AF404</f>
        <v>2.9829999999999997</v>
      </c>
      <c r="G404" s="14"/>
    </row>
    <row r="405" spans="1:7" x14ac:dyDescent="0.2">
      <c r="A405" s="345">
        <v>39844</v>
      </c>
      <c r="B405" s="1369">
        <v>-9.3000000000000007</v>
      </c>
      <c r="C405" s="346">
        <v>937200365.46000004</v>
      </c>
      <c r="D405" s="258">
        <v>-9.3023000000000007</v>
      </c>
      <c r="E405" s="253">
        <f>B405-Index_Returns!AF405</f>
        <v>-0.48600000000000065</v>
      </c>
      <c r="G405" s="14"/>
    </row>
    <row r="406" spans="1:7" x14ac:dyDescent="0.2">
      <c r="A406" s="345">
        <v>39872</v>
      </c>
      <c r="B406" s="1369">
        <v>-11.05</v>
      </c>
      <c r="C406" s="346">
        <v>775432517.86000001</v>
      </c>
      <c r="D406" s="258">
        <v>-11.121499999999999</v>
      </c>
      <c r="E406" s="253">
        <f>B406-Index_Returns!AF406</f>
        <v>-1.7480000000000011</v>
      </c>
      <c r="G406" s="14"/>
    </row>
    <row r="407" spans="1:7" x14ac:dyDescent="0.2">
      <c r="A407" s="345">
        <v>39903</v>
      </c>
      <c r="B407" s="1369">
        <v>5.33</v>
      </c>
      <c r="C407" s="346">
        <v>775247626.02999997</v>
      </c>
      <c r="D407" s="258">
        <v>5.4600999999999997</v>
      </c>
      <c r="E407" s="253">
        <f>B407-Index_Returns!AF407</f>
        <v>-2.7430000000000003</v>
      </c>
      <c r="G407" s="14"/>
    </row>
    <row r="408" spans="1:7" x14ac:dyDescent="0.2">
      <c r="A408" s="345">
        <v>39933</v>
      </c>
      <c r="B408" s="1369">
        <v>12.96</v>
      </c>
      <c r="C408" s="346">
        <v>875753711.16999996</v>
      </c>
      <c r="E408" s="253">
        <f>B408-Index_Returns!AF408</f>
        <v>-0.79299999999999926</v>
      </c>
      <c r="G408" s="14"/>
    </row>
    <row r="409" spans="1:7" x14ac:dyDescent="0.2">
      <c r="A409" s="345">
        <v>39964</v>
      </c>
      <c r="B409" s="1369">
        <v>10</v>
      </c>
      <c r="C409" s="346">
        <v>963369620.74000001</v>
      </c>
      <c r="E409" s="253">
        <f>B409-Index_Returns!AF409</f>
        <v>-3.6880000000000006</v>
      </c>
      <c r="G409" s="14"/>
    </row>
    <row r="410" spans="1:7" x14ac:dyDescent="0.2">
      <c r="A410" s="345">
        <v>39994</v>
      </c>
      <c r="B410" s="1369">
        <v>-0.14000000000000001</v>
      </c>
      <c r="C410" s="346">
        <v>962751480.09000003</v>
      </c>
      <c r="E410" s="253">
        <f>B410-Index_Returns!AF410</f>
        <v>0.93200000000000005</v>
      </c>
      <c r="G410" s="14"/>
    </row>
    <row r="411" spans="1:7" x14ac:dyDescent="0.2">
      <c r="A411" s="345">
        <v>40025</v>
      </c>
      <c r="B411" s="1369">
        <v>7.79</v>
      </c>
      <c r="C411" s="346">
        <v>1037793343.83</v>
      </c>
      <c r="D411" s="258">
        <v>7.7945000000000002</v>
      </c>
      <c r="E411" s="253">
        <f>B411-Index_Returns!AF411</f>
        <v>-2.0170000000000003</v>
      </c>
      <c r="G411" s="14"/>
    </row>
    <row r="412" spans="1:7" x14ac:dyDescent="0.2">
      <c r="A412" s="345">
        <v>40056</v>
      </c>
      <c r="B412" s="1369">
        <v>5.89</v>
      </c>
      <c r="C412" s="346">
        <v>1098924513.95</v>
      </c>
      <c r="D412" s="258">
        <v>5.8905000000000003</v>
      </c>
      <c r="E412" s="253">
        <f>B412-Index_Returns!AF412</f>
        <v>2.1689999999999996</v>
      </c>
      <c r="G412" s="14"/>
    </row>
    <row r="413" spans="1:7" x14ac:dyDescent="0.2">
      <c r="A413" s="345">
        <v>40086</v>
      </c>
      <c r="B413" s="1369">
        <v>2.59</v>
      </c>
      <c r="C413" s="346">
        <v>1128304896.27</v>
      </c>
      <c r="D413" s="258">
        <v>2.6736</v>
      </c>
      <c r="E413" s="253">
        <f>B413-Index_Returns!AF413</f>
        <v>-2.5680000000000005</v>
      </c>
      <c r="G413" s="14"/>
    </row>
    <row r="414" spans="1:7" x14ac:dyDescent="0.2">
      <c r="A414" s="345">
        <v>40117</v>
      </c>
      <c r="B414" s="1369">
        <v>-3.00637</v>
      </c>
      <c r="C414" s="346">
        <v>1094383897</v>
      </c>
      <c r="D414" s="258">
        <v>-3.01</v>
      </c>
      <c r="E414" s="253">
        <f>B414-Index_Returns!AF414</f>
        <v>-1.77637</v>
      </c>
      <c r="G414" s="14"/>
    </row>
    <row r="415" spans="1:7" x14ac:dyDescent="0.2">
      <c r="A415" s="345">
        <v>40147</v>
      </c>
      <c r="B415" s="1369">
        <v>2.4985499999999998</v>
      </c>
      <c r="C415" s="1333">
        <v>1121727583</v>
      </c>
      <c r="D415" s="1369">
        <v>2.5750000000000002</v>
      </c>
      <c r="E415" s="253">
        <f>B415-Index_Returns!AF415</f>
        <v>-0.39044999999999996</v>
      </c>
      <c r="G415" s="14"/>
    </row>
    <row r="416" spans="1:7" x14ac:dyDescent="0.2">
      <c r="A416" s="345">
        <v>40178</v>
      </c>
      <c r="B416" s="1369">
        <v>0.25169999999999998</v>
      </c>
      <c r="C416" s="346">
        <v>1124550968.1700001</v>
      </c>
      <c r="D416" s="258">
        <v>0.25169999999999998</v>
      </c>
      <c r="E416" s="253">
        <f>B416-Index_Returns!AF416</f>
        <v>-1.8773</v>
      </c>
      <c r="G416" s="14"/>
    </row>
    <row r="417" spans="1:7" x14ac:dyDescent="0.2">
      <c r="A417" s="345">
        <v>40209</v>
      </c>
      <c r="B417" s="253">
        <v>-2.51864</v>
      </c>
      <c r="C417" s="346">
        <v>1096227633.2</v>
      </c>
      <c r="D417" s="258">
        <v>-2.51864</v>
      </c>
      <c r="E417" s="253">
        <f>B417-Index_Returns!AF417</f>
        <v>2.35636</v>
      </c>
      <c r="G417" s="14"/>
    </row>
    <row r="418" spans="1:7" x14ac:dyDescent="0.2">
      <c r="A418" s="345">
        <v>40237</v>
      </c>
      <c r="B418" s="253">
        <v>-1.7048099999999999</v>
      </c>
      <c r="C418" s="346">
        <v>1077539033.5599999</v>
      </c>
      <c r="D418" s="258">
        <v>-1.7048099999999999</v>
      </c>
      <c r="E418" s="253">
        <f>B418-Index_Returns!AF418</f>
        <v>-1.7188099999999999</v>
      </c>
      <c r="G418" s="14"/>
    </row>
    <row r="419" spans="1:7" x14ac:dyDescent="0.2">
      <c r="A419" s="345">
        <v>40268</v>
      </c>
      <c r="B419" s="253">
        <v>5.8270400000000002</v>
      </c>
      <c r="C419" s="1334">
        <v>1140327606.0599999</v>
      </c>
      <c r="D419" s="1311">
        <v>5.9240000000000004</v>
      </c>
      <c r="E419" s="253">
        <f>B419-Index_Returns!AF419</f>
        <v>-1.0269599999999999</v>
      </c>
      <c r="G419" s="14"/>
    </row>
    <row r="420" spans="1:7" x14ac:dyDescent="0.2">
      <c r="A420" s="345">
        <v>40298</v>
      </c>
      <c r="B420" s="253">
        <v>-1.1184000000000001</v>
      </c>
      <c r="C420" s="346">
        <v>1127574176.8599999</v>
      </c>
      <c r="D420" s="258">
        <v>-1.1184000000000001</v>
      </c>
      <c r="E420" s="253">
        <f>B420-Index_Returns!AF420</f>
        <v>-0.30540000000000012</v>
      </c>
      <c r="G420" s="14"/>
    </row>
    <row r="421" spans="1:7" x14ac:dyDescent="0.2">
      <c r="A421" s="345">
        <v>40329</v>
      </c>
      <c r="B421" s="253">
        <v>-8.6966000000000001</v>
      </c>
      <c r="C421" s="346">
        <v>672570839.61000001</v>
      </c>
      <c r="D421" s="258">
        <v>-8.6966000000000001</v>
      </c>
      <c r="E421" s="253">
        <f>B421-Index_Returns!AF421</f>
        <v>1.7173999999999996</v>
      </c>
      <c r="G421" s="14"/>
    </row>
    <row r="422" spans="1:7" x14ac:dyDescent="0.2">
      <c r="A422" s="345">
        <v>40359</v>
      </c>
      <c r="B422" s="253">
        <v>-1.10812</v>
      </c>
      <c r="C422" s="346">
        <v>665117957.07000005</v>
      </c>
      <c r="D422" s="258">
        <v>-1.10812</v>
      </c>
      <c r="E422" s="253">
        <f>B422-Index_Returns!AF422</f>
        <v>0.1488799999999999</v>
      </c>
      <c r="G422" s="14"/>
    </row>
    <row r="423" spans="1:7" x14ac:dyDescent="0.2">
      <c r="A423" s="345">
        <v>40390</v>
      </c>
      <c r="B423" s="253">
        <v>8.5929900000000004</v>
      </c>
      <c r="C423" s="346">
        <v>722271460.55999994</v>
      </c>
      <c r="D423" s="258">
        <v>8.5929900000000004</v>
      </c>
      <c r="E423" s="253">
        <f>B423-Index_Returns!AF423</f>
        <v>-0.46500999999999948</v>
      </c>
      <c r="G423" s="14"/>
    </row>
    <row r="424" spans="1:7" x14ac:dyDescent="0.2">
      <c r="A424" s="345">
        <v>40421</v>
      </c>
      <c r="B424" s="253">
        <v>-3.2404500000000001</v>
      </c>
      <c r="C424" s="346">
        <v>698866644.10000002</v>
      </c>
      <c r="D424" s="258">
        <v>-3.2404500000000001</v>
      </c>
      <c r="E424" s="253">
        <f>B424-Index_Returns!AF424</f>
        <v>-0.51345000000000018</v>
      </c>
      <c r="G424" s="14"/>
    </row>
    <row r="425" spans="1:7" x14ac:dyDescent="0.2">
      <c r="A425" s="345">
        <v>40451</v>
      </c>
      <c r="B425" s="253">
        <v>8.0710599999999992</v>
      </c>
      <c r="C425" s="346">
        <v>755272534.91999996</v>
      </c>
      <c r="D425" s="258">
        <v>8.0710599999999992</v>
      </c>
      <c r="E425" s="253">
        <f>B425-Index_Returns!AF425</f>
        <v>-1.9009400000000003</v>
      </c>
      <c r="G425" s="14"/>
    </row>
    <row r="426" spans="1:7" x14ac:dyDescent="0.2">
      <c r="A426" s="345">
        <v>40482</v>
      </c>
      <c r="B426" s="258">
        <v>4.30389</v>
      </c>
      <c r="C426" s="346">
        <v>787778626.91999996</v>
      </c>
      <c r="D426" s="258">
        <v>4.30389</v>
      </c>
      <c r="E426" s="253">
        <f>B426-Index_Returns!AF426</f>
        <v>0.88761000000000001</v>
      </c>
      <c r="G426" s="14"/>
    </row>
    <row r="427" spans="1:7" x14ac:dyDescent="0.2">
      <c r="A427" s="345">
        <v>40512</v>
      </c>
      <c r="B427" s="253">
        <v>-6.6526100000000001</v>
      </c>
      <c r="C427" s="346">
        <v>735370756.38</v>
      </c>
      <c r="D427" s="258">
        <v>-6.6526100000000001</v>
      </c>
      <c r="E427" s="253">
        <f>B427-Index_Returns!AF427</f>
        <v>-2.8153300000000003</v>
      </c>
      <c r="G427" s="14"/>
    </row>
    <row r="428" spans="1:7" x14ac:dyDescent="0.2">
      <c r="A428" s="345">
        <v>40543</v>
      </c>
      <c r="B428" s="253">
        <v>6.4924299999999997</v>
      </c>
      <c r="C428" s="346">
        <v>783114192.91999996</v>
      </c>
      <c r="D428" s="258">
        <v>6.4924299999999997</v>
      </c>
      <c r="E428" s="253">
        <f>B428-Index_Returns!AF428</f>
        <v>-1.3531400000000007</v>
      </c>
      <c r="G428" s="14"/>
    </row>
    <row r="429" spans="1:7" x14ac:dyDescent="0.2">
      <c r="A429" s="345">
        <v>40574</v>
      </c>
      <c r="B429" s="253">
        <v>3.3867699999999998</v>
      </c>
      <c r="C429" s="346">
        <v>809599047.52999997</v>
      </c>
      <c r="D429" s="258">
        <v>3.3819900000000001</v>
      </c>
      <c r="E429" s="253">
        <f>B429-Index_Returns!AF429</f>
        <v>2.3854499999999996</v>
      </c>
      <c r="G429" s="14"/>
    </row>
    <row r="430" spans="1:7" x14ac:dyDescent="0.2">
      <c r="A430" s="345">
        <v>40602</v>
      </c>
      <c r="B430" s="253">
        <v>3.4911300000000001</v>
      </c>
      <c r="C430" s="346">
        <v>429907734.00999999</v>
      </c>
      <c r="D430" s="258">
        <v>3.4911300000000001</v>
      </c>
      <c r="E430" s="253">
        <f>B430-Index_Returns!AF430</f>
        <v>0.83555000000000001</v>
      </c>
      <c r="G430" s="14"/>
    </row>
    <row r="431" spans="1:7" x14ac:dyDescent="0.2">
      <c r="A431" s="345">
        <v>40633</v>
      </c>
      <c r="B431" s="253">
        <f>D431</f>
        <v>-3.43689</v>
      </c>
      <c r="C431" s="346">
        <v>415132288.80000001</v>
      </c>
      <c r="D431" s="258">
        <v>-3.43689</v>
      </c>
      <c r="E431" s="253">
        <f>B431-Index_Returns!AF431</f>
        <v>-3.2472500000000002</v>
      </c>
      <c r="G431" s="14"/>
    </row>
    <row r="432" spans="1:7" x14ac:dyDescent="0.2">
      <c r="A432" s="345">
        <v>40663</v>
      </c>
      <c r="B432" s="253">
        <f t="shared" ref="B432:B488" si="0">D432</f>
        <v>4.7047400000000001</v>
      </c>
      <c r="C432" s="346">
        <v>435025566.63999999</v>
      </c>
      <c r="D432" s="258">
        <v>4.7047400000000001</v>
      </c>
      <c r="E432" s="253">
        <f>B432-Index_Returns!AF432</f>
        <v>-0.25675000000000026</v>
      </c>
      <c r="G432" s="14"/>
    </row>
    <row r="433" spans="1:7" x14ac:dyDescent="0.2">
      <c r="A433" s="345">
        <v>40694</v>
      </c>
      <c r="B433" s="253">
        <f t="shared" si="0"/>
        <v>-2.2326800000000002</v>
      </c>
      <c r="C433" s="346">
        <v>425756745.5</v>
      </c>
      <c r="D433" s="258">
        <v>-2.2326800000000002</v>
      </c>
      <c r="E433" s="253">
        <f>B433-Index_Returns!AF433</f>
        <v>0.53724999999999978</v>
      </c>
      <c r="G433" s="14"/>
    </row>
    <row r="434" spans="1:7" x14ac:dyDescent="0.2">
      <c r="A434" s="345">
        <v>40724</v>
      </c>
      <c r="B434" s="253">
        <f t="shared" si="0"/>
        <v>-2.16655</v>
      </c>
      <c r="C434" s="346">
        <v>416792274.63999999</v>
      </c>
      <c r="D434" s="258">
        <v>-2.16655</v>
      </c>
      <c r="E434" s="253">
        <f>B434-Index_Returns!AF434</f>
        <v>-0.74804999999999988</v>
      </c>
      <c r="G434" s="14"/>
    </row>
    <row r="435" spans="1:7" x14ac:dyDescent="0.2">
      <c r="A435" s="345">
        <v>40755</v>
      </c>
      <c r="B435" s="253">
        <f t="shared" si="0"/>
        <v>-2.7241300000000002</v>
      </c>
      <c r="C435" s="346">
        <v>405440542.55000001</v>
      </c>
      <c r="D435" s="258">
        <v>-2.7241300000000002</v>
      </c>
      <c r="E435" s="253">
        <f>B435-Index_Returns!AF435</f>
        <v>-1.3912300000000002</v>
      </c>
      <c r="G435" s="14"/>
    </row>
    <row r="436" spans="1:7" x14ac:dyDescent="0.2">
      <c r="A436" s="345">
        <v>40786</v>
      </c>
      <c r="B436" s="253">
        <f t="shared" si="0"/>
        <v>-7.9118500000000003</v>
      </c>
      <c r="C436" s="346">
        <v>373914049.35000002</v>
      </c>
      <c r="D436" s="258">
        <v>-7.9118500000000003</v>
      </c>
      <c r="E436" s="253">
        <f>B436-Index_Returns!AF436</f>
        <v>0.6381799999999993</v>
      </c>
      <c r="G436" s="14"/>
    </row>
    <row r="437" spans="1:7" x14ac:dyDescent="0.2">
      <c r="A437" s="345">
        <v>40816</v>
      </c>
      <c r="B437" s="253">
        <f t="shared" si="0"/>
        <v>-6.7540800000000001</v>
      </c>
      <c r="C437" s="346">
        <v>348697429.20999998</v>
      </c>
      <c r="D437" s="258">
        <v>-6.7540800000000001</v>
      </c>
      <c r="E437" s="253">
        <f>B437-Index_Returns!AF437</f>
        <v>4.3397199999999998</v>
      </c>
      <c r="G437" s="14"/>
    </row>
    <row r="438" spans="1:7" x14ac:dyDescent="0.2">
      <c r="A438" s="345">
        <v>40847</v>
      </c>
      <c r="B438" s="253">
        <f t="shared" si="0"/>
        <v>8.5519200000000009</v>
      </c>
      <c r="C438" s="346">
        <v>378559802</v>
      </c>
      <c r="D438" s="258">
        <v>8.5519200000000009</v>
      </c>
      <c r="E438" s="253">
        <f>B438-Index_Returns!AF438</f>
        <v>-1.9929999999999986</v>
      </c>
    </row>
    <row r="439" spans="1:7" x14ac:dyDescent="0.2">
      <c r="A439" s="345">
        <v>40877</v>
      </c>
      <c r="B439" s="253">
        <f t="shared" si="0"/>
        <v>-4.7227499999999996</v>
      </c>
      <c r="C439" s="346">
        <v>361547390.47000003</v>
      </c>
      <c r="D439" s="258">
        <v>-4.7227499999999996</v>
      </c>
      <c r="E439" s="253">
        <f>B439-Index_Returns!AF439</f>
        <v>0.35795000000000066</v>
      </c>
    </row>
    <row r="440" spans="1:7" x14ac:dyDescent="0.2">
      <c r="A440" s="345">
        <v>40908</v>
      </c>
      <c r="B440" s="253">
        <f t="shared" si="0"/>
        <v>-0.62231999999999998</v>
      </c>
      <c r="C440" s="346">
        <v>358832879.24000001</v>
      </c>
      <c r="D440" s="258">
        <v>-0.62231999999999998</v>
      </c>
      <c r="E440" s="253">
        <f>B440-Index_Returns!AF440</f>
        <v>0.47792000000000012</v>
      </c>
    </row>
    <row r="441" spans="1:7" x14ac:dyDescent="0.2">
      <c r="A441" s="345">
        <v>40939</v>
      </c>
      <c r="B441" s="253">
        <f t="shared" si="0"/>
        <v>4.0424300000000004</v>
      </c>
      <c r="C441" s="346">
        <v>373338460.88999999</v>
      </c>
      <c r="D441" s="258">
        <v>4.0424300000000004</v>
      </c>
      <c r="E441" s="253">
        <f>B441-Index_Returns!AF441</f>
        <v>-2.7639699999999996</v>
      </c>
    </row>
    <row r="442" spans="1:7" x14ac:dyDescent="0.2">
      <c r="A442" s="345">
        <v>40968</v>
      </c>
      <c r="B442" s="253">
        <f t="shared" si="0"/>
        <v>5.3136900000000002</v>
      </c>
      <c r="C442" s="346">
        <v>393533227.66000003</v>
      </c>
      <c r="D442" s="258">
        <v>5.3136900000000002</v>
      </c>
      <c r="E442" s="253">
        <f>B442-Index_Returns!AF442</f>
        <v>-0.33228999999999953</v>
      </c>
    </row>
    <row r="443" spans="1:7" x14ac:dyDescent="0.2">
      <c r="A443" s="345">
        <v>40999</v>
      </c>
      <c r="B443" s="253">
        <f t="shared" si="0"/>
        <v>0.37245</v>
      </c>
      <c r="C443" s="346">
        <v>394997782.77999997</v>
      </c>
      <c r="D443" s="258">
        <v>0.37245</v>
      </c>
      <c r="E443" s="253">
        <f>B443-Index_Returns!AF443</f>
        <v>1.6950699999999999</v>
      </c>
    </row>
    <row r="444" spans="1:7" x14ac:dyDescent="0.2">
      <c r="A444" s="345">
        <v>41029</v>
      </c>
      <c r="B444" s="253">
        <f t="shared" si="0"/>
        <v>-4.8949400000000001</v>
      </c>
      <c r="C444" s="346">
        <v>374910874.82999998</v>
      </c>
      <c r="D444" s="258">
        <v>-4.8949400000000001</v>
      </c>
      <c r="E444" s="253">
        <f>B444-Index_Returns!AF444</f>
        <v>-3.4050799999999999</v>
      </c>
    </row>
    <row r="445" spans="1:7" x14ac:dyDescent="0.2">
      <c r="A445" s="345">
        <v>41060</v>
      </c>
      <c r="B445" s="253">
        <f t="shared" si="0"/>
        <v>-10.52631</v>
      </c>
      <c r="C445" s="346">
        <v>336436412.45999998</v>
      </c>
      <c r="D445" s="258">
        <v>-10.52631</v>
      </c>
      <c r="E445" s="253">
        <f>B445-Index_Returns!AF445</f>
        <v>0.72611000000000026</v>
      </c>
    </row>
    <row r="446" spans="1:7" x14ac:dyDescent="0.2">
      <c r="A446" s="345">
        <v>41090</v>
      </c>
      <c r="B446" s="253">
        <f t="shared" si="0"/>
        <v>7.8588800000000001</v>
      </c>
      <c r="C446" s="346">
        <v>362878949.60000002</v>
      </c>
      <c r="D446" s="258">
        <v>7.8588800000000001</v>
      </c>
      <c r="E446" s="253">
        <f>B446-Index_Returns!AF446</f>
        <v>1.91622</v>
      </c>
    </row>
    <row r="447" spans="1:7" x14ac:dyDescent="0.2">
      <c r="A447" s="345">
        <v>41121</v>
      </c>
      <c r="B447" s="253">
        <f t="shared" si="0"/>
        <v>-0.46122000000000002</v>
      </c>
      <c r="C447" s="346">
        <v>361204530.22000003</v>
      </c>
      <c r="D447" s="258">
        <v>-0.46122000000000002</v>
      </c>
      <c r="E447" s="253">
        <f>B447-Index_Returns!AF447</f>
        <v>-1.9045399999999999</v>
      </c>
    </row>
    <row r="448" spans="1:7" x14ac:dyDescent="0.2">
      <c r="A448" s="345">
        <v>41152</v>
      </c>
      <c r="B448" s="253">
        <f t="shared" si="0"/>
        <v>3.2771300000000001</v>
      </c>
      <c r="C448" s="346">
        <v>373424785.12</v>
      </c>
      <c r="D448" s="258">
        <v>3.2771300000000001</v>
      </c>
      <c r="E448" s="253">
        <f>B448-Index_Returns!AF448</f>
        <v>1.16391</v>
      </c>
    </row>
    <row r="449" spans="1:5" x14ac:dyDescent="0.2">
      <c r="A449" s="345">
        <v>41182</v>
      </c>
      <c r="B449" s="253">
        <f t="shared" si="0"/>
        <v>2.3478699999999999</v>
      </c>
      <c r="C449" s="346">
        <v>382191748.58999997</v>
      </c>
      <c r="D449" s="258">
        <v>2.3478699999999999</v>
      </c>
      <c r="E449" s="253">
        <f>B449-Index_Returns!AF449</f>
        <v>-1.4231700000000003</v>
      </c>
    </row>
    <row r="450" spans="1:5" x14ac:dyDescent="0.2">
      <c r="A450" s="345">
        <v>41213</v>
      </c>
      <c r="B450" s="253">
        <f t="shared" si="0"/>
        <v>8.0869999999999997E-2</v>
      </c>
      <c r="C450" s="346">
        <v>382499146.55000001</v>
      </c>
      <c r="D450" s="258">
        <v>8.0869999999999997E-2</v>
      </c>
      <c r="E450" s="253">
        <f>B450-Index_Returns!AF450</f>
        <v>-0.32019999999999998</v>
      </c>
    </row>
    <row r="451" spans="1:5" x14ac:dyDescent="0.2">
      <c r="A451" s="345">
        <v>41243</v>
      </c>
      <c r="B451" s="253">
        <f t="shared" si="0"/>
        <v>0.61931000000000003</v>
      </c>
      <c r="C451" s="346">
        <v>385222696.38999999</v>
      </c>
      <c r="D451" s="258">
        <v>0.61931000000000003</v>
      </c>
      <c r="E451" s="253">
        <f>B451-Index_Returns!AF451</f>
        <v>-1.2990999999999999</v>
      </c>
    </row>
    <row r="452" spans="1:5" x14ac:dyDescent="0.2">
      <c r="A452" s="345">
        <v>41274</v>
      </c>
      <c r="B452" s="253">
        <f t="shared" si="0"/>
        <v>3.8734099999999998</v>
      </c>
      <c r="C452" s="346">
        <v>400143977.85000002</v>
      </c>
      <c r="D452" s="258">
        <v>3.8734099999999998</v>
      </c>
      <c r="E452" s="253">
        <f>B452-Index_Returns!AF452</f>
        <v>0.38827999999999996</v>
      </c>
    </row>
    <row r="453" spans="1:5" x14ac:dyDescent="0.2">
      <c r="A453" s="345">
        <v>41305</v>
      </c>
      <c r="B453" s="253">
        <f t="shared" si="0"/>
        <v>5.7302900000000001</v>
      </c>
      <c r="C453" s="346">
        <v>423108649.32999998</v>
      </c>
      <c r="D453" s="258">
        <v>5.7302900000000001</v>
      </c>
      <c r="E453" s="253">
        <f>B453-Index_Returns!AF453</f>
        <v>1.6445800000000004</v>
      </c>
    </row>
    <row r="454" spans="1:5" x14ac:dyDescent="0.2">
      <c r="A454" s="345">
        <v>41333</v>
      </c>
      <c r="B454" s="253">
        <f t="shared" si="0"/>
        <v>-2.81942</v>
      </c>
      <c r="C454" s="346">
        <v>411546559.31999999</v>
      </c>
      <c r="D454" s="258">
        <v>-2.81942</v>
      </c>
      <c r="E454" s="253">
        <f>B454-Index_Returns!AF454</f>
        <v>-1.7856000000000001</v>
      </c>
    </row>
    <row r="455" spans="1:5" x14ac:dyDescent="0.2">
      <c r="A455" s="345">
        <v>41364</v>
      </c>
      <c r="B455" s="253">
        <f t="shared" si="0"/>
        <v>2.3906999999999998</v>
      </c>
      <c r="C455" s="346">
        <v>421387477.94</v>
      </c>
      <c r="D455" s="258">
        <v>2.3906999999999998</v>
      </c>
      <c r="E455" s="253">
        <f>B455-Index_Returns!AF455</f>
        <v>2.1420199999999996</v>
      </c>
    </row>
    <row r="456" spans="1:5" x14ac:dyDescent="0.2">
      <c r="A456" s="345">
        <v>41394</v>
      </c>
      <c r="B456" s="253">
        <f t="shared" si="0"/>
        <v>6.8943599999999998</v>
      </c>
      <c r="C456" s="346">
        <v>450443071.26999998</v>
      </c>
      <c r="D456" s="258">
        <v>6.8943599999999998</v>
      </c>
      <c r="E456" s="253">
        <f>B456-Index_Returns!AF456</f>
        <v>3.1204799999999997</v>
      </c>
    </row>
    <row r="457" spans="1:5" x14ac:dyDescent="0.2">
      <c r="A457" s="345">
        <v>41425</v>
      </c>
      <c r="B457" s="253">
        <f t="shared" si="0"/>
        <v>-1.43764</v>
      </c>
      <c r="C457" s="346">
        <v>444773276.30000001</v>
      </c>
      <c r="D457" s="258">
        <v>-1.43764</v>
      </c>
      <c r="E457" s="253">
        <f>B457-Index_Returns!AF457</f>
        <v>-1.43764</v>
      </c>
    </row>
    <row r="458" spans="1:5" x14ac:dyDescent="0.2">
      <c r="A458" s="345">
        <v>41455</v>
      </c>
      <c r="B458" s="253">
        <f t="shared" si="0"/>
        <v>-3.0248599999999999</v>
      </c>
      <c r="C458" s="1307">
        <v>430910904.49000001</v>
      </c>
      <c r="D458" s="1306">
        <v>-3.0248599999999999</v>
      </c>
      <c r="E458" s="253">
        <f>B458-Index_Returns!AF458</f>
        <v>1.27894</v>
      </c>
    </row>
    <row r="459" spans="1:5" x14ac:dyDescent="0.2">
      <c r="A459" s="345">
        <v>41486</v>
      </c>
      <c r="B459" s="253">
        <f t="shared" si="0"/>
        <v>5.0459399999999999</v>
      </c>
      <c r="C459" s="346">
        <v>453043733.24000001</v>
      </c>
      <c r="D459" s="258">
        <v>5.0459399999999999</v>
      </c>
      <c r="E459" s="253">
        <f>B459-Index_Returns!AF459</f>
        <v>5.0459399999999999</v>
      </c>
    </row>
    <row r="460" spans="1:5" x14ac:dyDescent="0.2">
      <c r="A460" s="345">
        <v>41517</v>
      </c>
      <c r="B460" s="253">
        <f t="shared" si="0"/>
        <v>-0.21201999999999999</v>
      </c>
      <c r="C460" s="346">
        <v>452083183.91000003</v>
      </c>
      <c r="D460" s="258">
        <v>-0.21201999999999999</v>
      </c>
      <c r="E460" s="253">
        <f>B460-Index_Returns!AF460</f>
        <v>-0.21201999999999999</v>
      </c>
    </row>
    <row r="461" spans="1:5" x14ac:dyDescent="0.2">
      <c r="A461" s="345">
        <v>41547</v>
      </c>
      <c r="B461" s="253">
        <f t="shared" si="0"/>
        <v>7.9586199999999998</v>
      </c>
      <c r="C461" s="346">
        <v>488062744.48000002</v>
      </c>
      <c r="D461" s="258">
        <v>7.9586199999999998</v>
      </c>
      <c r="E461" s="253">
        <f>B461-Index_Returns!AF461</f>
        <v>7.9586199999999998</v>
      </c>
    </row>
    <row r="462" spans="1:5" x14ac:dyDescent="0.2">
      <c r="A462" s="345">
        <v>41578</v>
      </c>
      <c r="B462" s="253">
        <f t="shared" si="0"/>
        <v>4.3709499999999997</v>
      </c>
      <c r="C462" s="346">
        <v>509804562.07999998</v>
      </c>
      <c r="D462" s="258">
        <v>4.3709499999999997</v>
      </c>
      <c r="E462" s="253">
        <f>B462-Index_Returns!AF462</f>
        <v>1.3860099999999997</v>
      </c>
    </row>
    <row r="463" spans="1:5" x14ac:dyDescent="0.2">
      <c r="A463" s="345">
        <v>41608</v>
      </c>
      <c r="B463" s="253">
        <f t="shared" si="0"/>
        <v>0.78715999999999997</v>
      </c>
      <c r="C463" s="346">
        <v>513817529.72000003</v>
      </c>
      <c r="D463" s="258">
        <v>0.78715999999999997</v>
      </c>
      <c r="E463" s="253">
        <f>B463-Index_Returns!AF463</f>
        <v>-0.58216999999999997</v>
      </c>
    </row>
    <row r="464" spans="1:5" x14ac:dyDescent="0.2">
      <c r="A464" s="345">
        <v>41639</v>
      </c>
      <c r="B464" s="253">
        <f t="shared" si="0"/>
        <v>0.42443999999999998</v>
      </c>
      <c r="C464" s="346">
        <v>515998393.91000003</v>
      </c>
      <c r="D464" s="258">
        <v>0.42443999999999998</v>
      </c>
      <c r="E464" s="253">
        <f>B464-Index_Returns!AF464</f>
        <v>-0.9335</v>
      </c>
    </row>
    <row r="465" spans="1:5" x14ac:dyDescent="0.2">
      <c r="A465" s="345">
        <v>41670</v>
      </c>
      <c r="B465" s="253">
        <f t="shared" si="0"/>
        <v>-3.11497</v>
      </c>
      <c r="C465" s="346">
        <v>500383397.06</v>
      </c>
      <c r="D465" s="258">
        <v>-3.11497</v>
      </c>
      <c r="E465" s="253">
        <f>B465-Index_Returns!AF465</f>
        <v>-1.0472600000000001</v>
      </c>
    </row>
    <row r="466" spans="1:5" x14ac:dyDescent="0.2">
      <c r="A466" s="345">
        <v>41698</v>
      </c>
      <c r="B466" s="253">
        <f t="shared" si="0"/>
        <v>4.98895</v>
      </c>
      <c r="C466" s="346">
        <v>525347274.63999999</v>
      </c>
      <c r="D466" s="258">
        <v>4.98895</v>
      </c>
      <c r="E466" s="253">
        <f>B466-Index_Returns!AF466</f>
        <v>1.23394</v>
      </c>
    </row>
    <row r="467" spans="1:5" x14ac:dyDescent="0.2">
      <c r="A467" s="345">
        <v>41729</v>
      </c>
      <c r="B467" s="253">
        <f t="shared" si="0"/>
        <v>0.86751999999999996</v>
      </c>
      <c r="C467" s="346">
        <v>529904759.66000003</v>
      </c>
      <c r="D467" s="258">
        <v>0.86751999999999996</v>
      </c>
      <c r="E467" s="253">
        <f>B467-Index_Returns!AF467</f>
        <v>0.69665999999999995</v>
      </c>
    </row>
    <row r="468" spans="1:5" x14ac:dyDescent="0.2">
      <c r="A468" s="345">
        <v>41759</v>
      </c>
      <c r="B468" s="253">
        <f t="shared" si="0"/>
        <v>1.6690700000000001</v>
      </c>
      <c r="C468" s="346">
        <v>538749226.66999996</v>
      </c>
      <c r="D468" s="258">
        <v>1.6690700000000001</v>
      </c>
      <c r="E468" s="253">
        <f>B468-Index_Returns!AF468</f>
        <v>0.65602000000000005</v>
      </c>
    </row>
    <row r="469" spans="1:5" x14ac:dyDescent="0.2">
      <c r="A469" s="345">
        <v>41790</v>
      </c>
      <c r="B469" s="253">
        <f t="shared" si="0"/>
        <v>1.82182</v>
      </c>
      <c r="C469" s="346">
        <v>549053460.35000002</v>
      </c>
      <c r="D469" s="258">
        <v>1.82182</v>
      </c>
      <c r="E469" s="253">
        <f>IFERROR(B469-Index_Returns!AF469,0)</f>
        <v>0.2027000000000001</v>
      </c>
    </row>
    <row r="470" spans="1:5" x14ac:dyDescent="0.2">
      <c r="A470" s="345">
        <v>41820</v>
      </c>
      <c r="B470" s="253">
        <f t="shared" si="0"/>
        <v>1.09568</v>
      </c>
      <c r="C470" s="346">
        <v>610435570.20000005</v>
      </c>
      <c r="D470" s="258">
        <v>1.09568</v>
      </c>
      <c r="E470" s="253">
        <f>IFERROR(B470-Index_Returns!AF470,0)</f>
        <v>-7.1960000000000024E-2</v>
      </c>
    </row>
    <row r="471" spans="1:5" x14ac:dyDescent="0.2">
      <c r="A471" s="345">
        <v>41851</v>
      </c>
      <c r="B471" s="253">
        <f t="shared" si="0"/>
        <v>-2.2603399999999998</v>
      </c>
      <c r="C471" s="346">
        <v>597123052.51999998</v>
      </c>
      <c r="D471" s="258">
        <v>-2.2603399999999998</v>
      </c>
      <c r="E471" s="253">
        <f>IFERROR(B471-Index_Returns!AF471,0)</f>
        <v>-0.90641999999999978</v>
      </c>
    </row>
    <row r="472" spans="1:5" x14ac:dyDescent="0.2">
      <c r="A472" s="345">
        <v>41882</v>
      </c>
      <c r="B472" s="253">
        <f t="shared" si="0"/>
        <v>-0.15647</v>
      </c>
      <c r="C472" s="346">
        <v>596188766.16999996</v>
      </c>
      <c r="D472" s="258">
        <v>-0.15647</v>
      </c>
      <c r="E472" s="253">
        <f>IFERROR(B472-Index_Returns!AF472,0)</f>
        <v>-2.10555</v>
      </c>
    </row>
    <row r="473" spans="1:5" x14ac:dyDescent="0.2">
      <c r="A473" s="345">
        <v>41912</v>
      </c>
      <c r="B473" s="253">
        <f t="shared" si="0"/>
        <v>0</v>
      </c>
      <c r="E473" s="253">
        <f>IFERROR(B473-Index_Returns!AF473,0)</f>
        <v>0</v>
      </c>
    </row>
    <row r="474" spans="1:5" x14ac:dyDescent="0.2">
      <c r="A474" s="345">
        <v>41943</v>
      </c>
      <c r="B474" s="253">
        <f t="shared" si="0"/>
        <v>0</v>
      </c>
      <c r="E474" s="253">
        <f>IFERROR(B474-Index_Returns!AF474,0)</f>
        <v>0</v>
      </c>
    </row>
    <row r="475" spans="1:5" x14ac:dyDescent="0.2">
      <c r="A475" s="345">
        <v>41973</v>
      </c>
      <c r="B475" s="253">
        <f t="shared" si="0"/>
        <v>0</v>
      </c>
      <c r="E475" s="253">
        <f>IFERROR(B475-Index_Returns!AF475,0)</f>
        <v>0</v>
      </c>
    </row>
    <row r="476" spans="1:5" x14ac:dyDescent="0.2">
      <c r="A476" s="345">
        <v>42004</v>
      </c>
      <c r="B476" s="253">
        <f t="shared" si="0"/>
        <v>0</v>
      </c>
      <c r="E476" s="253">
        <f>IFERROR(B476-Index_Returns!AF476,0)</f>
        <v>0</v>
      </c>
    </row>
    <row r="477" spans="1:5" x14ac:dyDescent="0.2">
      <c r="A477" s="345">
        <v>42035</v>
      </c>
      <c r="B477" s="253">
        <f t="shared" si="0"/>
        <v>0</v>
      </c>
      <c r="E477" s="253">
        <f>IFERROR(B477-Index_Returns!AF477,0)</f>
        <v>0</v>
      </c>
    </row>
    <row r="478" spans="1:5" x14ac:dyDescent="0.2">
      <c r="A478" s="345">
        <v>42063</v>
      </c>
      <c r="B478" s="253">
        <f t="shared" si="0"/>
        <v>0</v>
      </c>
      <c r="E478" s="253">
        <f>IFERROR(B478-Index_Returns!AF478,0)</f>
        <v>0</v>
      </c>
    </row>
    <row r="479" spans="1:5" x14ac:dyDescent="0.2">
      <c r="A479" s="345">
        <v>42094</v>
      </c>
      <c r="B479" s="253">
        <f t="shared" si="0"/>
        <v>0</v>
      </c>
      <c r="E479" s="253">
        <f>IFERROR(B479-Index_Returns!AF479,0)</f>
        <v>0</v>
      </c>
    </row>
    <row r="480" spans="1:5" x14ac:dyDescent="0.2">
      <c r="A480" s="345">
        <v>42124</v>
      </c>
      <c r="B480" s="253">
        <f t="shared" si="0"/>
        <v>0</v>
      </c>
      <c r="E480" s="253">
        <f>IFERROR(B480-Index_Returns!AF480,0)</f>
        <v>0</v>
      </c>
    </row>
    <row r="481" spans="1:5" x14ac:dyDescent="0.2">
      <c r="A481" s="345">
        <v>42155</v>
      </c>
      <c r="B481" s="253">
        <f t="shared" si="0"/>
        <v>0</v>
      </c>
      <c r="E481" s="253">
        <f>IFERROR(B481-Index_Returns!AF481,0)</f>
        <v>0</v>
      </c>
    </row>
    <row r="482" spans="1:5" x14ac:dyDescent="0.2">
      <c r="A482" s="345">
        <v>42185</v>
      </c>
      <c r="B482" s="253">
        <f t="shared" si="0"/>
        <v>0</v>
      </c>
      <c r="E482" s="253">
        <f>IFERROR(B482-Index_Returns!AF482,0)</f>
        <v>0</v>
      </c>
    </row>
    <row r="483" spans="1:5" x14ac:dyDescent="0.2">
      <c r="A483" s="345">
        <v>42216</v>
      </c>
      <c r="B483" s="253">
        <f t="shared" si="0"/>
        <v>0</v>
      </c>
      <c r="E483" s="253">
        <f>IFERROR(B483-Index_Returns!AF483,0)</f>
        <v>0</v>
      </c>
    </row>
    <row r="484" spans="1:5" x14ac:dyDescent="0.2">
      <c r="A484" s="345">
        <v>42247</v>
      </c>
      <c r="B484" s="253">
        <f t="shared" si="0"/>
        <v>0</v>
      </c>
      <c r="E484" s="253">
        <f>IFERROR(B484-Index_Returns!AF484,0)</f>
        <v>0</v>
      </c>
    </row>
    <row r="485" spans="1:5" x14ac:dyDescent="0.2">
      <c r="A485" s="345">
        <v>42277</v>
      </c>
      <c r="B485" s="253">
        <f t="shared" si="0"/>
        <v>0</v>
      </c>
      <c r="E485" s="253">
        <f>IFERROR(B485-Index_Returns!AF485,0)</f>
        <v>0</v>
      </c>
    </row>
    <row r="486" spans="1:5" x14ac:dyDescent="0.2">
      <c r="A486" s="345">
        <v>42308</v>
      </c>
      <c r="B486" s="253">
        <f t="shared" si="0"/>
        <v>0</v>
      </c>
      <c r="E486" s="253">
        <f>IFERROR(B486-Index_Returns!AF486,0)</f>
        <v>0</v>
      </c>
    </row>
    <row r="487" spans="1:5" x14ac:dyDescent="0.2">
      <c r="A487" s="345">
        <v>42338</v>
      </c>
      <c r="B487" s="253">
        <f t="shared" si="0"/>
        <v>0</v>
      </c>
      <c r="E487" s="253">
        <f>IFERROR(B487-Index_Returns!AF487,0)</f>
        <v>0</v>
      </c>
    </row>
    <row r="488" spans="1:5" x14ac:dyDescent="0.2">
      <c r="A488" s="345">
        <v>42369</v>
      </c>
      <c r="B488" s="253">
        <f t="shared" si="0"/>
        <v>0</v>
      </c>
      <c r="E488" s="253">
        <f>IFERROR(B488-Index_Returns!AF488,0)</f>
        <v>0</v>
      </c>
    </row>
  </sheetData>
  <phoneticPr fontId="3" type="noConversion"/>
  <printOptions headings="1" gridLines="1"/>
  <pageMargins left="0.78740157480314965" right="0.78740157480314965" top="0.78740157480314965" bottom="0.78740157480314965" header="0.39370078740157483" footer="0.39370078740157483"/>
  <pageSetup scale="13" orientation="portrait" r:id="rId1"/>
  <headerFooter alignWithMargins="0">
    <oddHeader>&amp;L&amp;A</oddHead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H489"/>
  <sheetViews>
    <sheetView workbookViewId="0">
      <pane xSplit="1" ySplit="2" topLeftCell="B448" activePane="bottomRight" state="frozen"/>
      <selection pane="topRight"/>
      <selection pane="bottomLeft"/>
      <selection pane="bottomRight" activeCell="C472" sqref="C472:D472"/>
    </sheetView>
  </sheetViews>
  <sheetFormatPr defaultRowHeight="12.75" x14ac:dyDescent="0.2"/>
  <cols>
    <col min="1" max="1" width="18.7109375" style="21" customWidth="1"/>
    <col min="2" max="2" width="18.7109375" style="257" customWidth="1"/>
    <col min="3" max="3" width="22" style="346" bestFit="1" customWidth="1"/>
    <col min="4" max="4" width="18.7109375" style="262" customWidth="1"/>
    <col min="5" max="5" width="9.140625" style="14"/>
    <col min="6" max="6" width="12.42578125" bestFit="1" customWidth="1"/>
    <col min="7" max="7" width="17.7109375" style="352" bestFit="1" customWidth="1"/>
    <col min="8" max="8" width="9.140625" style="352"/>
  </cols>
  <sheetData>
    <row r="1" spans="1:6" x14ac:dyDescent="0.2">
      <c r="A1" s="1284" t="s">
        <v>946</v>
      </c>
      <c r="B1" s="1416"/>
      <c r="C1" s="1469" t="s">
        <v>950</v>
      </c>
      <c r="D1" s="1370">
        <f>ASRS_E1!D1</f>
        <v>1</v>
      </c>
      <c r="F1" s="1284" t="str">
        <f>"A1TR"</f>
        <v>A1TR</v>
      </c>
    </row>
    <row r="2" spans="1:6" x14ac:dyDescent="0.2">
      <c r="A2" s="3" t="s">
        <v>27</v>
      </c>
      <c r="B2" s="71" t="s">
        <v>91</v>
      </c>
      <c r="C2" s="226" t="s">
        <v>92</v>
      </c>
      <c r="D2" s="71" t="s">
        <v>90</v>
      </c>
      <c r="E2" s="734" t="s">
        <v>80</v>
      </c>
    </row>
    <row r="3" spans="1:6" x14ac:dyDescent="0.2">
      <c r="A3" s="345">
        <v>27606</v>
      </c>
      <c r="B3" s="71"/>
      <c r="C3" s="226"/>
      <c r="D3" s="71"/>
    </row>
    <row r="4" spans="1:6" x14ac:dyDescent="0.2">
      <c r="A4" s="345">
        <v>27637</v>
      </c>
      <c r="B4" s="71"/>
      <c r="C4" s="226"/>
      <c r="D4" s="71"/>
    </row>
    <row r="5" spans="1:6" x14ac:dyDescent="0.2">
      <c r="A5" s="345">
        <v>27667</v>
      </c>
      <c r="B5" s="71"/>
      <c r="C5" s="226"/>
      <c r="D5" s="71"/>
    </row>
    <row r="6" spans="1:6" x14ac:dyDescent="0.2">
      <c r="A6" s="345">
        <v>27698</v>
      </c>
      <c r="B6" s="71"/>
      <c r="C6" s="226"/>
      <c r="D6" s="71"/>
    </row>
    <row r="7" spans="1:6" x14ac:dyDescent="0.2">
      <c r="A7" s="345">
        <v>27728</v>
      </c>
      <c r="B7" s="71"/>
      <c r="C7" s="226"/>
      <c r="D7" s="71"/>
    </row>
    <row r="8" spans="1:6" x14ac:dyDescent="0.2">
      <c r="A8" s="345">
        <v>27759</v>
      </c>
      <c r="B8" s="71"/>
      <c r="C8" s="226"/>
      <c r="D8" s="71"/>
    </row>
    <row r="9" spans="1:6" x14ac:dyDescent="0.2">
      <c r="A9" s="345">
        <v>27790</v>
      </c>
      <c r="B9" s="71"/>
      <c r="C9" s="226"/>
      <c r="D9" s="71"/>
    </row>
    <row r="10" spans="1:6" x14ac:dyDescent="0.2">
      <c r="A10" s="345">
        <v>27819</v>
      </c>
      <c r="B10" s="71"/>
      <c r="C10" s="226"/>
      <c r="D10" s="71"/>
    </row>
    <row r="11" spans="1:6" x14ac:dyDescent="0.2">
      <c r="A11" s="345">
        <v>27850</v>
      </c>
      <c r="B11" s="71"/>
      <c r="C11" s="226"/>
      <c r="D11" s="71"/>
    </row>
    <row r="12" spans="1:6" x14ac:dyDescent="0.2">
      <c r="A12" s="345">
        <v>27880</v>
      </c>
      <c r="B12" s="71"/>
      <c r="C12" s="226"/>
      <c r="D12" s="71"/>
    </row>
    <row r="13" spans="1:6" x14ac:dyDescent="0.2">
      <c r="A13" s="345">
        <v>27911</v>
      </c>
      <c r="B13" s="71"/>
      <c r="C13" s="226"/>
      <c r="D13" s="71"/>
    </row>
    <row r="14" spans="1:6" x14ac:dyDescent="0.2">
      <c r="A14" s="345">
        <v>27941</v>
      </c>
      <c r="B14" s="71"/>
      <c r="C14" s="226"/>
      <c r="D14" s="71"/>
    </row>
    <row r="15" spans="1:6" x14ac:dyDescent="0.2">
      <c r="A15" s="345">
        <v>27972</v>
      </c>
      <c r="B15" s="71"/>
      <c r="C15" s="226"/>
      <c r="D15" s="71"/>
    </row>
    <row r="16" spans="1:6" x14ac:dyDescent="0.2">
      <c r="A16" s="345">
        <v>28003</v>
      </c>
      <c r="B16" s="71"/>
      <c r="C16" s="226"/>
      <c r="D16" s="71"/>
    </row>
    <row r="17" spans="1:4" x14ac:dyDescent="0.2">
      <c r="A17" s="345">
        <v>28033</v>
      </c>
      <c r="B17" s="71"/>
      <c r="C17" s="226"/>
      <c r="D17" s="71"/>
    </row>
    <row r="18" spans="1:4" x14ac:dyDescent="0.2">
      <c r="A18" s="345">
        <v>28064</v>
      </c>
      <c r="B18" s="71"/>
      <c r="C18" s="226"/>
      <c r="D18" s="71"/>
    </row>
    <row r="19" spans="1:4" x14ac:dyDescent="0.2">
      <c r="A19" s="345">
        <v>28094</v>
      </c>
      <c r="B19" s="71"/>
      <c r="C19" s="226"/>
      <c r="D19" s="71"/>
    </row>
    <row r="20" spans="1:4" x14ac:dyDescent="0.2">
      <c r="A20" s="345">
        <v>28125</v>
      </c>
      <c r="B20" s="71"/>
      <c r="C20" s="226"/>
      <c r="D20" s="71"/>
    </row>
    <row r="21" spans="1:4" x14ac:dyDescent="0.2">
      <c r="A21" s="345">
        <v>28156</v>
      </c>
      <c r="B21" s="71"/>
      <c r="C21" s="226"/>
      <c r="D21" s="71"/>
    </row>
    <row r="22" spans="1:4" x14ac:dyDescent="0.2">
      <c r="A22" s="345">
        <v>28184</v>
      </c>
      <c r="B22" s="71"/>
      <c r="C22" s="226"/>
      <c r="D22" s="71"/>
    </row>
    <row r="23" spans="1:4" x14ac:dyDescent="0.2">
      <c r="A23" s="345">
        <v>28215</v>
      </c>
      <c r="B23" s="71"/>
      <c r="C23" s="226"/>
      <c r="D23" s="71"/>
    </row>
    <row r="24" spans="1:4" x14ac:dyDescent="0.2">
      <c r="A24" s="345">
        <v>28245</v>
      </c>
      <c r="B24" s="71"/>
      <c r="C24" s="226"/>
      <c r="D24" s="71"/>
    </row>
    <row r="25" spans="1:4" x14ac:dyDescent="0.2">
      <c r="A25" s="345">
        <v>28276</v>
      </c>
      <c r="B25" s="71"/>
      <c r="C25" s="226"/>
      <c r="D25" s="71"/>
    </row>
    <row r="26" spans="1:4" x14ac:dyDescent="0.2">
      <c r="A26" s="345">
        <v>28306</v>
      </c>
      <c r="B26" s="71"/>
      <c r="C26" s="226"/>
      <c r="D26" s="71"/>
    </row>
    <row r="27" spans="1:4" x14ac:dyDescent="0.2">
      <c r="A27" s="345">
        <v>28337</v>
      </c>
      <c r="B27" s="71"/>
      <c r="C27" s="226"/>
      <c r="D27" s="71"/>
    </row>
    <row r="28" spans="1:4" x14ac:dyDescent="0.2">
      <c r="A28" s="345">
        <v>28368</v>
      </c>
      <c r="B28" s="71"/>
      <c r="C28" s="226"/>
      <c r="D28" s="71"/>
    </row>
    <row r="29" spans="1:4" x14ac:dyDescent="0.2">
      <c r="A29" s="345">
        <v>28398</v>
      </c>
      <c r="B29" s="71"/>
      <c r="C29" s="226"/>
      <c r="D29" s="71"/>
    </row>
    <row r="30" spans="1:4" x14ac:dyDescent="0.2">
      <c r="A30" s="345">
        <v>28429</v>
      </c>
      <c r="B30" s="71"/>
      <c r="C30" s="226"/>
      <c r="D30" s="71"/>
    </row>
    <row r="31" spans="1:4" x14ac:dyDescent="0.2">
      <c r="A31" s="345">
        <v>28459</v>
      </c>
      <c r="B31" s="71"/>
      <c r="C31" s="226"/>
      <c r="D31" s="71"/>
    </row>
    <row r="32" spans="1:4" x14ac:dyDescent="0.2">
      <c r="A32" s="345">
        <v>28490</v>
      </c>
      <c r="B32" s="71"/>
      <c r="C32" s="226"/>
      <c r="D32" s="71"/>
    </row>
    <row r="33" spans="1:4" x14ac:dyDescent="0.2">
      <c r="A33" s="345">
        <v>28521</v>
      </c>
      <c r="B33" s="71"/>
      <c r="C33" s="226"/>
      <c r="D33" s="71"/>
    </row>
    <row r="34" spans="1:4" x14ac:dyDescent="0.2">
      <c r="A34" s="345">
        <v>28549</v>
      </c>
      <c r="B34" s="71"/>
      <c r="C34" s="226"/>
      <c r="D34" s="71"/>
    </row>
    <row r="35" spans="1:4" x14ac:dyDescent="0.2">
      <c r="A35" s="345">
        <v>28580</v>
      </c>
      <c r="B35" s="71"/>
      <c r="C35" s="226"/>
      <c r="D35" s="71"/>
    </row>
    <row r="36" spans="1:4" x14ac:dyDescent="0.2">
      <c r="A36" s="345">
        <v>28610</v>
      </c>
      <c r="B36" s="71"/>
      <c r="C36" s="226"/>
      <c r="D36" s="71"/>
    </row>
    <row r="37" spans="1:4" x14ac:dyDescent="0.2">
      <c r="A37" s="345">
        <v>28641</v>
      </c>
      <c r="B37" s="71"/>
      <c r="C37" s="226"/>
      <c r="D37" s="71"/>
    </row>
    <row r="38" spans="1:4" x14ac:dyDescent="0.2">
      <c r="A38" s="345">
        <v>28671</v>
      </c>
      <c r="B38" s="71"/>
      <c r="C38" s="226"/>
      <c r="D38" s="71"/>
    </row>
    <row r="39" spans="1:4" x14ac:dyDescent="0.2">
      <c r="A39" s="345">
        <v>28702</v>
      </c>
      <c r="B39" s="71"/>
      <c r="C39" s="226"/>
      <c r="D39" s="71"/>
    </row>
    <row r="40" spans="1:4" x14ac:dyDescent="0.2">
      <c r="A40" s="345">
        <v>28733</v>
      </c>
      <c r="B40" s="71"/>
      <c r="C40" s="226"/>
      <c r="D40" s="71"/>
    </row>
    <row r="41" spans="1:4" x14ac:dyDescent="0.2">
      <c r="A41" s="345">
        <v>28763</v>
      </c>
      <c r="B41" s="71"/>
      <c r="C41" s="226"/>
      <c r="D41" s="71"/>
    </row>
    <row r="42" spans="1:4" x14ac:dyDescent="0.2">
      <c r="A42" s="345">
        <v>28794</v>
      </c>
      <c r="B42" s="71"/>
      <c r="C42" s="226"/>
      <c r="D42" s="71"/>
    </row>
    <row r="43" spans="1:4" x14ac:dyDescent="0.2">
      <c r="A43" s="345">
        <v>28824</v>
      </c>
      <c r="B43" s="71"/>
      <c r="C43" s="226"/>
      <c r="D43" s="71"/>
    </row>
    <row r="44" spans="1:4" x14ac:dyDescent="0.2">
      <c r="A44" s="345">
        <v>28855</v>
      </c>
      <c r="B44" s="71"/>
      <c r="C44" s="226"/>
      <c r="D44" s="71"/>
    </row>
    <row r="45" spans="1:4" x14ac:dyDescent="0.2">
      <c r="A45" s="345">
        <v>28886</v>
      </c>
      <c r="B45" s="71"/>
      <c r="C45" s="226"/>
      <c r="D45" s="71"/>
    </row>
    <row r="46" spans="1:4" x14ac:dyDescent="0.2">
      <c r="A46" s="345">
        <v>28914</v>
      </c>
      <c r="B46" s="71"/>
      <c r="C46" s="226"/>
      <c r="D46" s="71"/>
    </row>
    <row r="47" spans="1:4" x14ac:dyDescent="0.2">
      <c r="A47" s="345">
        <v>28945</v>
      </c>
      <c r="B47" s="71"/>
      <c r="C47" s="226"/>
      <c r="D47" s="71"/>
    </row>
    <row r="48" spans="1:4" x14ac:dyDescent="0.2">
      <c r="A48" s="345">
        <v>28975</v>
      </c>
      <c r="B48" s="71"/>
      <c r="C48" s="226"/>
      <c r="D48" s="71"/>
    </row>
    <row r="49" spans="1:4" x14ac:dyDescent="0.2">
      <c r="A49" s="345">
        <v>29006</v>
      </c>
      <c r="B49" s="71"/>
      <c r="C49" s="226"/>
      <c r="D49" s="71"/>
    </row>
    <row r="50" spans="1:4" x14ac:dyDescent="0.2">
      <c r="A50" s="345">
        <v>29036</v>
      </c>
      <c r="B50" s="71"/>
      <c r="C50" s="226"/>
      <c r="D50" s="71"/>
    </row>
    <row r="51" spans="1:4" x14ac:dyDescent="0.2">
      <c r="A51" s="345">
        <v>29067</v>
      </c>
      <c r="B51" s="71"/>
      <c r="C51" s="226"/>
      <c r="D51" s="71"/>
    </row>
    <row r="52" spans="1:4" x14ac:dyDescent="0.2">
      <c r="A52" s="345">
        <v>29098</v>
      </c>
      <c r="B52" s="71"/>
      <c r="C52" s="226"/>
      <c r="D52" s="71"/>
    </row>
    <row r="53" spans="1:4" x14ac:dyDescent="0.2">
      <c r="A53" s="345">
        <v>29128</v>
      </c>
      <c r="B53" s="71"/>
      <c r="C53" s="226"/>
      <c r="D53" s="71"/>
    </row>
    <row r="54" spans="1:4" x14ac:dyDescent="0.2">
      <c r="A54" s="345">
        <v>29159</v>
      </c>
      <c r="B54" s="71"/>
      <c r="C54" s="226"/>
      <c r="D54" s="71"/>
    </row>
    <row r="55" spans="1:4" x14ac:dyDescent="0.2">
      <c r="A55" s="345">
        <v>29189</v>
      </c>
      <c r="B55" s="71"/>
      <c r="C55" s="226"/>
      <c r="D55" s="71"/>
    </row>
    <row r="56" spans="1:4" x14ac:dyDescent="0.2">
      <c r="A56" s="345">
        <v>29220</v>
      </c>
      <c r="B56" s="71"/>
      <c r="C56" s="226"/>
      <c r="D56" s="71"/>
    </row>
    <row r="57" spans="1:4" x14ac:dyDescent="0.2">
      <c r="A57" s="345">
        <v>29251</v>
      </c>
      <c r="B57" s="71"/>
      <c r="C57" s="226"/>
      <c r="D57" s="71"/>
    </row>
    <row r="58" spans="1:4" x14ac:dyDescent="0.2">
      <c r="A58" s="345">
        <v>29280</v>
      </c>
      <c r="B58" s="71"/>
      <c r="C58" s="226"/>
      <c r="D58" s="71"/>
    </row>
    <row r="59" spans="1:4" x14ac:dyDescent="0.2">
      <c r="A59" s="345">
        <v>29311</v>
      </c>
      <c r="B59" s="71"/>
      <c r="C59" s="226"/>
      <c r="D59" s="71"/>
    </row>
    <row r="60" spans="1:4" x14ac:dyDescent="0.2">
      <c r="A60" s="345">
        <v>29341</v>
      </c>
      <c r="B60" s="71"/>
      <c r="C60" s="226"/>
      <c r="D60" s="71"/>
    </row>
    <row r="61" spans="1:4" x14ac:dyDescent="0.2">
      <c r="A61" s="345">
        <v>29372</v>
      </c>
      <c r="B61" s="71"/>
      <c r="C61" s="226"/>
      <c r="D61" s="71"/>
    </row>
    <row r="62" spans="1:4" x14ac:dyDescent="0.2">
      <c r="A62" s="345">
        <v>29402</v>
      </c>
      <c r="B62" s="71"/>
      <c r="C62" s="226"/>
      <c r="D62" s="71"/>
    </row>
    <row r="63" spans="1:4" x14ac:dyDescent="0.2">
      <c r="A63" s="345">
        <v>29433</v>
      </c>
      <c r="B63" s="71"/>
      <c r="C63" s="226"/>
      <c r="D63" s="71"/>
    </row>
    <row r="64" spans="1:4" x14ac:dyDescent="0.2">
      <c r="A64" s="345">
        <v>29464</v>
      </c>
      <c r="B64" s="71"/>
      <c r="C64" s="226"/>
      <c r="D64" s="71"/>
    </row>
    <row r="65" spans="1:4" x14ac:dyDescent="0.2">
      <c r="A65" s="345">
        <v>29494</v>
      </c>
      <c r="B65" s="71"/>
      <c r="C65" s="226"/>
      <c r="D65" s="71"/>
    </row>
    <row r="66" spans="1:4" x14ac:dyDescent="0.2">
      <c r="A66" s="345">
        <v>29525</v>
      </c>
      <c r="B66" s="71"/>
      <c r="C66" s="226"/>
      <c r="D66" s="71"/>
    </row>
    <row r="67" spans="1:4" x14ac:dyDescent="0.2">
      <c r="A67" s="345">
        <v>29555</v>
      </c>
      <c r="B67" s="71"/>
      <c r="C67" s="226"/>
      <c r="D67" s="71"/>
    </row>
    <row r="68" spans="1:4" x14ac:dyDescent="0.2">
      <c r="A68" s="345">
        <v>29586</v>
      </c>
      <c r="B68" s="71"/>
      <c r="C68" s="226"/>
      <c r="D68" s="71"/>
    </row>
    <row r="69" spans="1:4" x14ac:dyDescent="0.2">
      <c r="A69" s="345">
        <v>29617</v>
      </c>
      <c r="B69" s="71"/>
      <c r="C69" s="226"/>
      <c r="D69" s="71"/>
    </row>
    <row r="70" spans="1:4" x14ac:dyDescent="0.2">
      <c r="A70" s="345">
        <v>29645</v>
      </c>
      <c r="B70" s="71"/>
      <c r="C70" s="226"/>
      <c r="D70" s="71"/>
    </row>
    <row r="71" spans="1:4" x14ac:dyDescent="0.2">
      <c r="A71" s="345">
        <v>29676</v>
      </c>
      <c r="B71" s="71"/>
      <c r="C71" s="226"/>
      <c r="D71" s="71"/>
    </row>
    <row r="72" spans="1:4" x14ac:dyDescent="0.2">
      <c r="A72" s="345">
        <v>29706</v>
      </c>
      <c r="B72" s="71"/>
      <c r="C72" s="226"/>
      <c r="D72" s="71"/>
    </row>
    <row r="73" spans="1:4" x14ac:dyDescent="0.2">
      <c r="A73" s="345">
        <v>29737</v>
      </c>
      <c r="B73" s="71"/>
      <c r="C73" s="226"/>
      <c r="D73" s="71"/>
    </row>
    <row r="74" spans="1:4" x14ac:dyDescent="0.2">
      <c r="A74" s="345">
        <v>29767</v>
      </c>
      <c r="B74" s="71"/>
      <c r="C74" s="226"/>
      <c r="D74" s="71"/>
    </row>
    <row r="75" spans="1:4" x14ac:dyDescent="0.2">
      <c r="A75" s="345">
        <v>29798</v>
      </c>
      <c r="B75" s="71"/>
      <c r="C75" s="226"/>
      <c r="D75" s="71"/>
    </row>
    <row r="76" spans="1:4" x14ac:dyDescent="0.2">
      <c r="A76" s="345">
        <v>29829</v>
      </c>
      <c r="B76" s="71"/>
      <c r="C76" s="226"/>
      <c r="D76" s="71"/>
    </row>
    <row r="77" spans="1:4" x14ac:dyDescent="0.2">
      <c r="A77" s="345">
        <v>29859</v>
      </c>
      <c r="B77" s="71"/>
      <c r="C77" s="226"/>
      <c r="D77" s="71"/>
    </row>
    <row r="78" spans="1:4" x14ac:dyDescent="0.2">
      <c r="A78" s="345">
        <v>29890</v>
      </c>
      <c r="B78" s="71"/>
      <c r="C78" s="226"/>
      <c r="D78" s="71"/>
    </row>
    <row r="79" spans="1:4" x14ac:dyDescent="0.2">
      <c r="A79" s="345">
        <v>29920</v>
      </c>
      <c r="B79" s="71"/>
      <c r="C79" s="226"/>
      <c r="D79" s="71"/>
    </row>
    <row r="80" spans="1:4" x14ac:dyDescent="0.2">
      <c r="A80" s="345">
        <v>29951</v>
      </c>
      <c r="B80" s="71"/>
      <c r="C80" s="226"/>
      <c r="D80" s="71"/>
    </row>
    <row r="81" spans="1:4" x14ac:dyDescent="0.2">
      <c r="A81" s="345">
        <v>29982</v>
      </c>
      <c r="B81" s="71"/>
      <c r="C81" s="226"/>
      <c r="D81" s="71"/>
    </row>
    <row r="82" spans="1:4" x14ac:dyDescent="0.2">
      <c r="A82" s="345">
        <v>30010</v>
      </c>
      <c r="B82" s="71"/>
      <c r="C82" s="226"/>
      <c r="D82" s="71"/>
    </row>
    <row r="83" spans="1:4" x14ac:dyDescent="0.2">
      <c r="A83" s="345">
        <v>30041</v>
      </c>
      <c r="B83" s="71"/>
      <c r="C83" s="226"/>
      <c r="D83" s="71"/>
    </row>
    <row r="84" spans="1:4" x14ac:dyDescent="0.2">
      <c r="A84" s="345">
        <v>30071</v>
      </c>
      <c r="B84" s="71"/>
      <c r="C84" s="226"/>
      <c r="D84" s="71"/>
    </row>
    <row r="85" spans="1:4" x14ac:dyDescent="0.2">
      <c r="A85" s="345">
        <v>30102</v>
      </c>
      <c r="B85" s="71"/>
      <c r="C85" s="226"/>
      <c r="D85" s="71"/>
    </row>
    <row r="86" spans="1:4" x14ac:dyDescent="0.2">
      <c r="A86" s="345">
        <v>30132</v>
      </c>
      <c r="B86" s="71"/>
      <c r="C86" s="226"/>
      <c r="D86" s="71"/>
    </row>
    <row r="87" spans="1:4" x14ac:dyDescent="0.2">
      <c r="A87" s="345">
        <v>30163</v>
      </c>
      <c r="B87" s="71"/>
      <c r="C87" s="226"/>
      <c r="D87" s="71"/>
    </row>
    <row r="88" spans="1:4" x14ac:dyDescent="0.2">
      <c r="A88" s="345">
        <v>30194</v>
      </c>
      <c r="B88" s="71"/>
      <c r="C88" s="226"/>
      <c r="D88" s="71"/>
    </row>
    <row r="89" spans="1:4" x14ac:dyDescent="0.2">
      <c r="A89" s="345">
        <v>30224</v>
      </c>
      <c r="B89" s="71"/>
      <c r="C89" s="226"/>
      <c r="D89" s="71"/>
    </row>
    <row r="90" spans="1:4" x14ac:dyDescent="0.2">
      <c r="A90" s="345">
        <v>30255</v>
      </c>
      <c r="B90" s="71"/>
      <c r="C90" s="226"/>
      <c r="D90" s="71"/>
    </row>
    <row r="91" spans="1:4" x14ac:dyDescent="0.2">
      <c r="A91" s="345">
        <v>30285</v>
      </c>
      <c r="B91" s="71"/>
      <c r="C91" s="226"/>
      <c r="D91" s="71"/>
    </row>
    <row r="92" spans="1:4" x14ac:dyDescent="0.2">
      <c r="A92" s="345">
        <v>30316</v>
      </c>
      <c r="B92" s="71"/>
      <c r="C92" s="226"/>
      <c r="D92" s="71"/>
    </row>
    <row r="93" spans="1:4" x14ac:dyDescent="0.2">
      <c r="A93" s="345">
        <v>30347</v>
      </c>
      <c r="B93" s="71"/>
      <c r="C93" s="226"/>
      <c r="D93" s="71"/>
    </row>
    <row r="94" spans="1:4" x14ac:dyDescent="0.2">
      <c r="A94" s="345">
        <v>30375</v>
      </c>
      <c r="B94" s="71"/>
      <c r="C94" s="226"/>
      <c r="D94" s="71"/>
    </row>
    <row r="95" spans="1:4" x14ac:dyDescent="0.2">
      <c r="A95" s="345">
        <v>30406</v>
      </c>
      <c r="B95" s="71"/>
      <c r="C95" s="226"/>
      <c r="D95" s="71"/>
    </row>
    <row r="96" spans="1:4" x14ac:dyDescent="0.2">
      <c r="A96" s="345">
        <v>30436</v>
      </c>
      <c r="B96" s="71"/>
      <c r="C96" s="226"/>
      <c r="D96" s="71"/>
    </row>
    <row r="97" spans="1:4" x14ac:dyDescent="0.2">
      <c r="A97" s="345">
        <v>30467</v>
      </c>
      <c r="B97" s="71"/>
      <c r="C97" s="226"/>
      <c r="D97" s="71"/>
    </row>
    <row r="98" spans="1:4" x14ac:dyDescent="0.2">
      <c r="A98" s="345">
        <v>30497</v>
      </c>
      <c r="B98" s="71"/>
      <c r="C98" s="226"/>
      <c r="D98" s="71"/>
    </row>
    <row r="99" spans="1:4" x14ac:dyDescent="0.2">
      <c r="A99" s="345">
        <v>30528</v>
      </c>
      <c r="B99" s="71"/>
      <c r="C99" s="226"/>
      <c r="D99" s="71"/>
    </row>
    <row r="100" spans="1:4" x14ac:dyDescent="0.2">
      <c r="A100" s="345">
        <v>30559</v>
      </c>
      <c r="B100" s="71"/>
      <c r="C100" s="226"/>
      <c r="D100" s="71"/>
    </row>
    <row r="101" spans="1:4" x14ac:dyDescent="0.2">
      <c r="A101" s="345">
        <v>30589</v>
      </c>
      <c r="B101" s="71"/>
      <c r="C101" s="226"/>
      <c r="D101" s="71"/>
    </row>
    <row r="102" spans="1:4" x14ac:dyDescent="0.2">
      <c r="A102" s="345">
        <v>30620</v>
      </c>
      <c r="B102" s="71"/>
      <c r="C102" s="226"/>
      <c r="D102" s="71"/>
    </row>
    <row r="103" spans="1:4" x14ac:dyDescent="0.2">
      <c r="A103" s="345">
        <v>30650</v>
      </c>
      <c r="B103" s="71"/>
      <c r="C103" s="226"/>
      <c r="D103" s="71"/>
    </row>
    <row r="104" spans="1:4" x14ac:dyDescent="0.2">
      <c r="A104" s="345">
        <v>30681</v>
      </c>
      <c r="B104" s="71"/>
      <c r="C104" s="226"/>
      <c r="D104" s="71"/>
    </row>
    <row r="105" spans="1:4" x14ac:dyDescent="0.2">
      <c r="A105" s="345">
        <v>30712</v>
      </c>
      <c r="B105" s="71"/>
      <c r="C105" s="226"/>
      <c r="D105" s="71"/>
    </row>
    <row r="106" spans="1:4" x14ac:dyDescent="0.2">
      <c r="A106" s="345">
        <v>30741</v>
      </c>
      <c r="B106" s="71"/>
      <c r="C106" s="226"/>
      <c r="D106" s="71"/>
    </row>
    <row r="107" spans="1:4" x14ac:dyDescent="0.2">
      <c r="A107" s="345">
        <v>30772</v>
      </c>
      <c r="B107" s="71"/>
      <c r="C107" s="226"/>
      <c r="D107" s="71"/>
    </row>
    <row r="108" spans="1:4" x14ac:dyDescent="0.2">
      <c r="A108" s="345">
        <v>30802</v>
      </c>
      <c r="B108" s="71"/>
      <c r="C108" s="226"/>
      <c r="D108" s="71"/>
    </row>
    <row r="109" spans="1:4" x14ac:dyDescent="0.2">
      <c r="A109" s="345">
        <v>30833</v>
      </c>
      <c r="B109" s="71"/>
      <c r="C109" s="226"/>
      <c r="D109" s="71"/>
    </row>
    <row r="110" spans="1:4" x14ac:dyDescent="0.2">
      <c r="A110" s="345">
        <v>30863</v>
      </c>
      <c r="B110" s="71"/>
      <c r="C110" s="226"/>
      <c r="D110" s="71"/>
    </row>
    <row r="111" spans="1:4" x14ac:dyDescent="0.2">
      <c r="A111" s="345">
        <v>30894</v>
      </c>
      <c r="B111" s="71"/>
      <c r="C111" s="226"/>
      <c r="D111" s="71"/>
    </row>
    <row r="112" spans="1:4" x14ac:dyDescent="0.2">
      <c r="A112" s="345">
        <v>30925</v>
      </c>
      <c r="B112" s="71"/>
      <c r="C112" s="226"/>
      <c r="D112" s="71"/>
    </row>
    <row r="113" spans="1:4" x14ac:dyDescent="0.2">
      <c r="A113" s="345">
        <v>30955</v>
      </c>
      <c r="B113" s="71"/>
      <c r="C113" s="226"/>
      <c r="D113" s="71"/>
    </row>
    <row r="114" spans="1:4" x14ac:dyDescent="0.2">
      <c r="A114" s="345">
        <v>30986</v>
      </c>
      <c r="B114" s="71"/>
      <c r="C114" s="226"/>
      <c r="D114" s="71"/>
    </row>
    <row r="115" spans="1:4" x14ac:dyDescent="0.2">
      <c r="A115" s="345">
        <v>31016</v>
      </c>
      <c r="B115" s="71"/>
      <c r="C115" s="226"/>
      <c r="D115" s="71"/>
    </row>
    <row r="116" spans="1:4" x14ac:dyDescent="0.2">
      <c r="A116" s="345">
        <v>31047</v>
      </c>
      <c r="B116" s="71"/>
      <c r="C116" s="226"/>
      <c r="D116" s="71"/>
    </row>
    <row r="117" spans="1:4" x14ac:dyDescent="0.2">
      <c r="A117" s="345">
        <v>31078</v>
      </c>
      <c r="B117" s="71"/>
      <c r="C117" s="226"/>
      <c r="D117" s="71"/>
    </row>
    <row r="118" spans="1:4" x14ac:dyDescent="0.2">
      <c r="A118" s="345">
        <v>31106</v>
      </c>
      <c r="B118" s="71"/>
      <c r="C118" s="226"/>
      <c r="D118" s="71"/>
    </row>
    <row r="119" spans="1:4" x14ac:dyDescent="0.2">
      <c r="A119" s="345">
        <v>31137</v>
      </c>
      <c r="B119" s="71"/>
      <c r="C119" s="226"/>
      <c r="D119" s="71"/>
    </row>
    <row r="120" spans="1:4" x14ac:dyDescent="0.2">
      <c r="A120" s="345">
        <v>31167</v>
      </c>
      <c r="B120" s="71"/>
      <c r="C120" s="226"/>
      <c r="D120" s="71"/>
    </row>
    <row r="121" spans="1:4" x14ac:dyDescent="0.2">
      <c r="A121" s="345">
        <v>31198</v>
      </c>
      <c r="B121" s="71"/>
      <c r="C121" s="226"/>
      <c r="D121" s="71"/>
    </row>
    <row r="122" spans="1:4" x14ac:dyDescent="0.2">
      <c r="A122" s="345">
        <v>31228</v>
      </c>
      <c r="B122" s="71"/>
      <c r="C122" s="226"/>
      <c r="D122" s="71"/>
    </row>
    <row r="123" spans="1:4" x14ac:dyDescent="0.2">
      <c r="A123" s="345">
        <v>31259</v>
      </c>
      <c r="B123" s="71"/>
      <c r="C123" s="226"/>
      <c r="D123" s="71"/>
    </row>
    <row r="124" spans="1:4" x14ac:dyDescent="0.2">
      <c r="A124" s="345">
        <v>31290</v>
      </c>
      <c r="B124" s="71"/>
      <c r="C124" s="226"/>
      <c r="D124" s="71"/>
    </row>
    <row r="125" spans="1:4" x14ac:dyDescent="0.2">
      <c r="A125" s="345">
        <v>31320</v>
      </c>
      <c r="B125" s="71"/>
      <c r="C125" s="226"/>
      <c r="D125" s="71"/>
    </row>
    <row r="126" spans="1:4" x14ac:dyDescent="0.2">
      <c r="A126" s="345">
        <v>31351</v>
      </c>
      <c r="B126" s="71"/>
      <c r="C126" s="226"/>
      <c r="D126" s="71"/>
    </row>
    <row r="127" spans="1:4" x14ac:dyDescent="0.2">
      <c r="A127" s="345">
        <v>31381</v>
      </c>
      <c r="B127" s="71"/>
      <c r="C127" s="226"/>
      <c r="D127" s="71"/>
    </row>
    <row r="128" spans="1:4" x14ac:dyDescent="0.2">
      <c r="A128" s="345">
        <v>31412</v>
      </c>
      <c r="B128" s="71"/>
      <c r="C128" s="226"/>
      <c r="D128" s="71"/>
    </row>
    <row r="129" spans="1:4" x14ac:dyDescent="0.2">
      <c r="A129" s="345">
        <v>31443</v>
      </c>
      <c r="B129" s="71"/>
      <c r="C129" s="226"/>
      <c r="D129" s="71"/>
    </row>
    <row r="130" spans="1:4" x14ac:dyDescent="0.2">
      <c r="A130" s="345">
        <v>31471</v>
      </c>
      <c r="B130" s="71"/>
      <c r="C130" s="226"/>
      <c r="D130" s="71"/>
    </row>
    <row r="131" spans="1:4" x14ac:dyDescent="0.2">
      <c r="A131" s="345">
        <v>31502</v>
      </c>
      <c r="B131" s="71"/>
      <c r="C131" s="226"/>
      <c r="D131" s="71"/>
    </row>
    <row r="132" spans="1:4" x14ac:dyDescent="0.2">
      <c r="A132" s="345">
        <v>31532</v>
      </c>
      <c r="B132" s="71"/>
      <c r="C132" s="226"/>
      <c r="D132" s="71"/>
    </row>
    <row r="133" spans="1:4" x14ac:dyDescent="0.2">
      <c r="A133" s="345">
        <v>31563</v>
      </c>
      <c r="B133" s="71"/>
      <c r="C133" s="226"/>
      <c r="D133" s="71"/>
    </row>
    <row r="134" spans="1:4" x14ac:dyDescent="0.2">
      <c r="A134" s="345">
        <v>31593</v>
      </c>
      <c r="B134" s="71"/>
      <c r="C134" s="226"/>
      <c r="D134" s="71"/>
    </row>
    <row r="135" spans="1:4" x14ac:dyDescent="0.2">
      <c r="A135" s="345">
        <v>31624</v>
      </c>
      <c r="B135" s="71"/>
      <c r="C135" s="226"/>
      <c r="D135" s="71"/>
    </row>
    <row r="136" spans="1:4" x14ac:dyDescent="0.2">
      <c r="A136" s="345">
        <v>31655</v>
      </c>
      <c r="B136" s="71"/>
      <c r="C136" s="226"/>
      <c r="D136" s="71"/>
    </row>
    <row r="137" spans="1:4" x14ac:dyDescent="0.2">
      <c r="A137" s="345">
        <v>31685</v>
      </c>
      <c r="B137" s="71"/>
      <c r="C137" s="226"/>
      <c r="D137" s="71"/>
    </row>
    <row r="138" spans="1:4" x14ac:dyDescent="0.2">
      <c r="A138" s="345">
        <v>31716</v>
      </c>
      <c r="B138" s="71"/>
      <c r="C138" s="226"/>
      <c r="D138" s="71"/>
    </row>
    <row r="139" spans="1:4" x14ac:dyDescent="0.2">
      <c r="A139" s="345">
        <v>31746</v>
      </c>
      <c r="B139" s="71"/>
      <c r="C139" s="226"/>
      <c r="D139" s="71"/>
    </row>
    <row r="140" spans="1:4" x14ac:dyDescent="0.2">
      <c r="A140" s="345">
        <v>31777</v>
      </c>
      <c r="B140" s="71"/>
      <c r="C140" s="226"/>
      <c r="D140" s="71"/>
    </row>
    <row r="141" spans="1:4" x14ac:dyDescent="0.2">
      <c r="A141" s="345">
        <v>31808</v>
      </c>
      <c r="B141" s="73"/>
      <c r="C141" s="25"/>
      <c r="D141" s="79"/>
    </row>
    <row r="142" spans="1:4" x14ac:dyDescent="0.2">
      <c r="A142" s="345">
        <v>31836</v>
      </c>
      <c r="B142" s="73"/>
      <c r="C142" s="25"/>
      <c r="D142" s="79"/>
    </row>
    <row r="143" spans="1:4" x14ac:dyDescent="0.2">
      <c r="A143" s="345">
        <v>31867</v>
      </c>
      <c r="B143" s="73"/>
      <c r="C143" s="25"/>
      <c r="D143" s="79"/>
    </row>
    <row r="144" spans="1:4" x14ac:dyDescent="0.2">
      <c r="A144" s="345">
        <v>31897</v>
      </c>
      <c r="B144" s="73"/>
      <c r="C144" s="25"/>
      <c r="D144" s="79"/>
    </row>
    <row r="145" spans="1:4" x14ac:dyDescent="0.2">
      <c r="A145" s="345">
        <v>31928</v>
      </c>
      <c r="B145" s="73"/>
      <c r="C145" s="25"/>
      <c r="D145" s="79"/>
    </row>
    <row r="146" spans="1:4" x14ac:dyDescent="0.2">
      <c r="A146" s="345">
        <v>31958</v>
      </c>
      <c r="B146" s="73"/>
      <c r="C146" s="25"/>
      <c r="D146" s="79"/>
    </row>
    <row r="147" spans="1:4" x14ac:dyDescent="0.2">
      <c r="A147" s="345">
        <v>31989</v>
      </c>
      <c r="B147" s="73"/>
      <c r="C147" s="25"/>
      <c r="D147" s="79"/>
    </row>
    <row r="148" spans="1:4" x14ac:dyDescent="0.2">
      <c r="A148" s="345">
        <v>32020</v>
      </c>
      <c r="B148" s="73"/>
      <c r="C148" s="25"/>
      <c r="D148" s="79"/>
    </row>
    <row r="149" spans="1:4" x14ac:dyDescent="0.2">
      <c r="A149" s="345">
        <v>32050</v>
      </c>
      <c r="B149" s="73"/>
      <c r="C149" s="25"/>
      <c r="D149" s="79"/>
    </row>
    <row r="150" spans="1:4" x14ac:dyDescent="0.2">
      <c r="A150" s="345">
        <v>32081</v>
      </c>
      <c r="B150" s="73"/>
      <c r="C150" s="25"/>
      <c r="D150" s="79"/>
    </row>
    <row r="151" spans="1:4" x14ac:dyDescent="0.2">
      <c r="A151" s="345">
        <v>32111</v>
      </c>
      <c r="B151" s="73"/>
      <c r="C151" s="25"/>
      <c r="D151" s="79"/>
    </row>
    <row r="152" spans="1:4" x14ac:dyDescent="0.2">
      <c r="A152" s="345">
        <v>32142</v>
      </c>
      <c r="B152" s="73"/>
      <c r="C152" s="25"/>
      <c r="D152" s="79"/>
    </row>
    <row r="153" spans="1:4" x14ac:dyDescent="0.2">
      <c r="A153" s="345">
        <v>32173</v>
      </c>
      <c r="B153" s="73"/>
      <c r="C153" s="25"/>
      <c r="D153" s="79"/>
    </row>
    <row r="154" spans="1:4" x14ac:dyDescent="0.2">
      <c r="A154" s="345">
        <v>32202</v>
      </c>
      <c r="B154" s="73"/>
      <c r="C154" s="25"/>
      <c r="D154" s="79"/>
    </row>
    <row r="155" spans="1:4" x14ac:dyDescent="0.2">
      <c r="A155" s="345">
        <v>32233</v>
      </c>
      <c r="B155" s="73"/>
      <c r="C155" s="25"/>
      <c r="D155" s="79"/>
    </row>
    <row r="156" spans="1:4" x14ac:dyDescent="0.2">
      <c r="A156" s="345">
        <v>32263</v>
      </c>
      <c r="B156" s="73"/>
      <c r="C156" s="25"/>
      <c r="D156" s="79"/>
    </row>
    <row r="157" spans="1:4" x14ac:dyDescent="0.2">
      <c r="A157" s="345">
        <v>32294</v>
      </c>
      <c r="B157" s="73"/>
      <c r="C157" s="25"/>
      <c r="D157" s="79"/>
    </row>
    <row r="158" spans="1:4" x14ac:dyDescent="0.2">
      <c r="A158" s="345">
        <v>32324</v>
      </c>
      <c r="B158" s="73"/>
      <c r="C158" s="25"/>
      <c r="D158" s="79"/>
    </row>
    <row r="159" spans="1:4" x14ac:dyDescent="0.2">
      <c r="A159" s="345">
        <v>32355</v>
      </c>
      <c r="B159" s="73"/>
      <c r="C159" s="25"/>
      <c r="D159" s="79"/>
    </row>
    <row r="160" spans="1:4" x14ac:dyDescent="0.2">
      <c r="A160" s="345">
        <v>32386</v>
      </c>
      <c r="B160" s="73"/>
      <c r="C160" s="25"/>
      <c r="D160" s="79"/>
    </row>
    <row r="161" spans="1:4" x14ac:dyDescent="0.2">
      <c r="A161" s="345">
        <v>32416</v>
      </c>
      <c r="B161" s="73"/>
      <c r="C161" s="25"/>
      <c r="D161" s="79"/>
    </row>
    <row r="162" spans="1:4" x14ac:dyDescent="0.2">
      <c r="A162" s="345">
        <v>32447</v>
      </c>
      <c r="B162" s="73"/>
      <c r="C162" s="25"/>
      <c r="D162" s="79"/>
    </row>
    <row r="163" spans="1:4" x14ac:dyDescent="0.2">
      <c r="A163" s="345">
        <v>32477</v>
      </c>
      <c r="B163" s="73"/>
      <c r="C163" s="25"/>
      <c r="D163" s="79"/>
    </row>
    <row r="164" spans="1:4" x14ac:dyDescent="0.2">
      <c r="A164" s="345">
        <v>32508</v>
      </c>
      <c r="B164" s="73"/>
      <c r="C164" s="25"/>
      <c r="D164" s="79"/>
    </row>
    <row r="165" spans="1:4" x14ac:dyDescent="0.2">
      <c r="A165" s="345">
        <v>32539</v>
      </c>
      <c r="B165" s="73"/>
      <c r="C165" s="25"/>
      <c r="D165" s="79"/>
    </row>
    <row r="166" spans="1:4" x14ac:dyDescent="0.2">
      <c r="A166" s="345">
        <v>32567</v>
      </c>
      <c r="B166" s="73"/>
      <c r="C166" s="25"/>
      <c r="D166" s="79"/>
    </row>
    <row r="167" spans="1:4" x14ac:dyDescent="0.2">
      <c r="A167" s="345">
        <v>32598</v>
      </c>
      <c r="B167" s="73"/>
      <c r="C167" s="25"/>
      <c r="D167" s="79"/>
    </row>
    <row r="168" spans="1:4" x14ac:dyDescent="0.2">
      <c r="A168" s="345">
        <v>32628</v>
      </c>
      <c r="B168" s="73"/>
      <c r="C168" s="25"/>
      <c r="D168" s="79"/>
    </row>
    <row r="169" spans="1:4" x14ac:dyDescent="0.2">
      <c r="A169" s="345">
        <v>32659</v>
      </c>
      <c r="B169" s="73"/>
      <c r="C169" s="25"/>
      <c r="D169" s="79"/>
    </row>
    <row r="170" spans="1:4" x14ac:dyDescent="0.2">
      <c r="A170" s="345">
        <v>32689</v>
      </c>
      <c r="B170" s="73"/>
      <c r="C170" s="25"/>
      <c r="D170" s="79"/>
    </row>
    <row r="171" spans="1:4" x14ac:dyDescent="0.2">
      <c r="A171" s="345">
        <v>32720</v>
      </c>
      <c r="B171" s="73"/>
      <c r="C171" s="25"/>
      <c r="D171" s="79"/>
    </row>
    <row r="172" spans="1:4" x14ac:dyDescent="0.2">
      <c r="A172" s="345">
        <v>32751</v>
      </c>
      <c r="B172" s="73"/>
      <c r="C172" s="25"/>
      <c r="D172" s="79"/>
    </row>
    <row r="173" spans="1:4" x14ac:dyDescent="0.2">
      <c r="A173" s="345">
        <v>32781</v>
      </c>
      <c r="B173" s="73"/>
      <c r="C173" s="25"/>
      <c r="D173" s="79"/>
    </row>
    <row r="174" spans="1:4" x14ac:dyDescent="0.2">
      <c r="A174" s="345">
        <v>32812</v>
      </c>
      <c r="B174" s="73"/>
      <c r="C174" s="25"/>
      <c r="D174" s="79"/>
    </row>
    <row r="175" spans="1:4" x14ac:dyDescent="0.2">
      <c r="A175" s="345">
        <v>32842</v>
      </c>
      <c r="B175" s="73"/>
      <c r="C175" s="25"/>
      <c r="D175" s="79"/>
    </row>
    <row r="176" spans="1:4" x14ac:dyDescent="0.2">
      <c r="A176" s="345">
        <v>32873</v>
      </c>
      <c r="B176" s="73"/>
      <c r="C176" s="25"/>
      <c r="D176" s="79"/>
    </row>
    <row r="177" spans="1:4" x14ac:dyDescent="0.2">
      <c r="A177" s="345">
        <v>32904</v>
      </c>
      <c r="B177" s="73"/>
      <c r="C177" s="25"/>
      <c r="D177" s="79"/>
    </row>
    <row r="178" spans="1:4" x14ac:dyDescent="0.2">
      <c r="A178" s="345">
        <v>32932</v>
      </c>
      <c r="B178" s="73"/>
      <c r="C178" s="25"/>
      <c r="D178" s="79"/>
    </row>
    <row r="179" spans="1:4" x14ac:dyDescent="0.2">
      <c r="A179" s="345">
        <v>32963</v>
      </c>
      <c r="B179" s="73"/>
      <c r="C179" s="25"/>
      <c r="D179" s="79"/>
    </row>
    <row r="180" spans="1:4" x14ac:dyDescent="0.2">
      <c r="A180" s="345">
        <v>32993</v>
      </c>
      <c r="B180" s="73"/>
      <c r="C180" s="25"/>
      <c r="D180" s="79"/>
    </row>
    <row r="181" spans="1:4" x14ac:dyDescent="0.2">
      <c r="A181" s="345">
        <v>33024</v>
      </c>
      <c r="B181" s="73"/>
      <c r="C181" s="25"/>
      <c r="D181" s="79"/>
    </row>
    <row r="182" spans="1:4" x14ac:dyDescent="0.2">
      <c r="A182" s="345">
        <v>33054</v>
      </c>
      <c r="B182" s="73"/>
      <c r="C182" s="25"/>
      <c r="D182" s="79"/>
    </row>
    <row r="183" spans="1:4" x14ac:dyDescent="0.2">
      <c r="A183" s="345">
        <v>33085</v>
      </c>
      <c r="B183" s="73"/>
      <c r="C183" s="25"/>
      <c r="D183" s="79"/>
    </row>
    <row r="184" spans="1:4" x14ac:dyDescent="0.2">
      <c r="A184" s="345">
        <v>33116</v>
      </c>
      <c r="B184" s="73"/>
      <c r="C184" s="25"/>
      <c r="D184" s="79"/>
    </row>
    <row r="185" spans="1:4" x14ac:dyDescent="0.2">
      <c r="A185" s="345">
        <v>33146</v>
      </c>
      <c r="B185" s="73"/>
      <c r="C185" s="25"/>
      <c r="D185" s="79"/>
    </row>
    <row r="186" spans="1:4" x14ac:dyDescent="0.2">
      <c r="A186" s="345">
        <v>33177</v>
      </c>
      <c r="B186" s="73"/>
      <c r="C186" s="25"/>
      <c r="D186" s="79"/>
    </row>
    <row r="187" spans="1:4" x14ac:dyDescent="0.2">
      <c r="A187" s="345">
        <v>33207</v>
      </c>
      <c r="B187" s="73"/>
      <c r="C187" s="25"/>
      <c r="D187" s="79"/>
    </row>
    <row r="188" spans="1:4" x14ac:dyDescent="0.2">
      <c r="A188" s="345">
        <v>33238</v>
      </c>
      <c r="B188" s="73"/>
      <c r="C188" s="25"/>
      <c r="D188" s="79"/>
    </row>
    <row r="189" spans="1:4" x14ac:dyDescent="0.2">
      <c r="A189" s="345">
        <v>33269</v>
      </c>
      <c r="B189" s="73"/>
      <c r="C189" s="25"/>
      <c r="D189" s="79"/>
    </row>
    <row r="190" spans="1:4" x14ac:dyDescent="0.2">
      <c r="A190" s="345">
        <v>33297</v>
      </c>
      <c r="B190" s="73"/>
      <c r="C190" s="25"/>
      <c r="D190" s="79"/>
    </row>
    <row r="191" spans="1:4" x14ac:dyDescent="0.2">
      <c r="A191" s="345">
        <v>33328</v>
      </c>
      <c r="B191" s="73"/>
      <c r="C191" s="25"/>
      <c r="D191" s="79"/>
    </row>
    <row r="192" spans="1:4" x14ac:dyDescent="0.2">
      <c r="A192" s="345">
        <v>33358</v>
      </c>
      <c r="B192" s="73"/>
      <c r="C192" s="25"/>
      <c r="D192" s="79"/>
    </row>
    <row r="193" spans="1:4" x14ac:dyDescent="0.2">
      <c r="A193" s="345">
        <v>33389</v>
      </c>
      <c r="B193" s="73"/>
      <c r="C193" s="25"/>
      <c r="D193" s="79"/>
    </row>
    <row r="194" spans="1:4" x14ac:dyDescent="0.2">
      <c r="A194" s="345">
        <v>33419</v>
      </c>
      <c r="B194" s="73"/>
      <c r="C194" s="25"/>
      <c r="D194" s="79"/>
    </row>
    <row r="195" spans="1:4" x14ac:dyDescent="0.2">
      <c r="A195" s="345">
        <v>33450</v>
      </c>
      <c r="B195" s="73"/>
      <c r="C195" s="25"/>
      <c r="D195" s="79"/>
    </row>
    <row r="196" spans="1:4" x14ac:dyDescent="0.2">
      <c r="A196" s="345">
        <v>33481</v>
      </c>
      <c r="B196" s="73"/>
      <c r="C196" s="25"/>
      <c r="D196" s="79"/>
    </row>
    <row r="197" spans="1:4" x14ac:dyDescent="0.2">
      <c r="A197" s="345">
        <v>33511</v>
      </c>
      <c r="B197" s="73"/>
      <c r="C197" s="25"/>
      <c r="D197" s="79"/>
    </row>
    <row r="198" spans="1:4" x14ac:dyDescent="0.2">
      <c r="A198" s="345">
        <v>33542</v>
      </c>
      <c r="B198" s="73"/>
      <c r="C198" s="25"/>
      <c r="D198" s="79"/>
    </row>
    <row r="199" spans="1:4" x14ac:dyDescent="0.2">
      <c r="A199" s="345">
        <v>33572</v>
      </c>
      <c r="B199" s="73"/>
      <c r="C199" s="25"/>
      <c r="D199" s="79"/>
    </row>
    <row r="200" spans="1:4" x14ac:dyDescent="0.2">
      <c r="A200" s="345">
        <v>33603</v>
      </c>
      <c r="B200" s="73"/>
      <c r="C200" s="25"/>
      <c r="D200" s="79"/>
    </row>
    <row r="201" spans="1:4" x14ac:dyDescent="0.2">
      <c r="A201" s="345">
        <v>33634</v>
      </c>
      <c r="B201" s="73"/>
      <c r="C201" s="25"/>
      <c r="D201" s="79"/>
    </row>
    <row r="202" spans="1:4" x14ac:dyDescent="0.2">
      <c r="A202" s="345">
        <v>33663</v>
      </c>
      <c r="B202" s="73"/>
      <c r="C202" s="25"/>
      <c r="D202" s="79"/>
    </row>
    <row r="203" spans="1:4" x14ac:dyDescent="0.2">
      <c r="A203" s="345">
        <v>33694</v>
      </c>
      <c r="B203" s="73"/>
      <c r="C203" s="25"/>
      <c r="D203" s="79"/>
    </row>
    <row r="204" spans="1:4" x14ac:dyDescent="0.2">
      <c r="A204" s="345">
        <v>33724</v>
      </c>
      <c r="B204" s="73"/>
      <c r="C204" s="25"/>
      <c r="D204" s="79"/>
    </row>
    <row r="205" spans="1:4" x14ac:dyDescent="0.2">
      <c r="A205" s="345">
        <v>33755</v>
      </c>
      <c r="B205" s="73"/>
      <c r="C205" s="25"/>
      <c r="D205" s="79"/>
    </row>
    <row r="206" spans="1:4" x14ac:dyDescent="0.2">
      <c r="A206" s="345">
        <v>33785</v>
      </c>
      <c r="B206" s="73"/>
      <c r="C206" s="25"/>
      <c r="D206" s="79"/>
    </row>
    <row r="207" spans="1:4" x14ac:dyDescent="0.2">
      <c r="A207" s="345">
        <v>33816</v>
      </c>
      <c r="B207" s="73"/>
      <c r="C207" s="25"/>
      <c r="D207" s="79"/>
    </row>
    <row r="208" spans="1:4" x14ac:dyDescent="0.2">
      <c r="A208" s="345">
        <v>33847</v>
      </c>
      <c r="B208" s="73"/>
      <c r="C208" s="25"/>
      <c r="D208" s="79"/>
    </row>
    <row r="209" spans="1:4" x14ac:dyDescent="0.2">
      <c r="A209" s="345">
        <v>33877</v>
      </c>
      <c r="B209" s="73"/>
      <c r="C209" s="25"/>
      <c r="D209" s="79"/>
    </row>
    <row r="210" spans="1:4" x14ac:dyDescent="0.2">
      <c r="A210" s="345">
        <v>33908</v>
      </c>
      <c r="B210" s="73"/>
      <c r="C210" s="25"/>
      <c r="D210" s="79"/>
    </row>
    <row r="211" spans="1:4" x14ac:dyDescent="0.2">
      <c r="A211" s="345">
        <v>33938</v>
      </c>
      <c r="B211" s="73"/>
      <c r="C211" s="25"/>
      <c r="D211" s="79"/>
    </row>
    <row r="212" spans="1:4" x14ac:dyDescent="0.2">
      <c r="A212" s="345">
        <v>33969</v>
      </c>
      <c r="B212" s="73"/>
      <c r="C212" s="25"/>
      <c r="D212" s="79"/>
    </row>
    <row r="213" spans="1:4" x14ac:dyDescent="0.2">
      <c r="A213" s="345">
        <v>34000</v>
      </c>
      <c r="B213" s="73"/>
      <c r="C213" s="25"/>
      <c r="D213" s="79"/>
    </row>
    <row r="214" spans="1:4" x14ac:dyDescent="0.2">
      <c r="A214" s="345">
        <v>34028</v>
      </c>
      <c r="B214" s="73"/>
      <c r="C214" s="25"/>
      <c r="D214" s="79"/>
    </row>
    <row r="215" spans="1:4" x14ac:dyDescent="0.2">
      <c r="A215" s="345">
        <v>34059</v>
      </c>
      <c r="B215" s="73"/>
      <c r="C215" s="25"/>
      <c r="D215" s="79"/>
    </row>
    <row r="216" spans="1:4" x14ac:dyDescent="0.2">
      <c r="A216" s="345">
        <v>34089</v>
      </c>
      <c r="B216" s="73"/>
      <c r="C216" s="25"/>
      <c r="D216" s="79"/>
    </row>
    <row r="217" spans="1:4" x14ac:dyDescent="0.2">
      <c r="A217" s="345">
        <v>34120</v>
      </c>
      <c r="B217" s="73"/>
      <c r="C217" s="25"/>
      <c r="D217" s="79"/>
    </row>
    <row r="218" spans="1:4" x14ac:dyDescent="0.2">
      <c r="A218" s="345">
        <v>34150</v>
      </c>
      <c r="B218" s="73"/>
      <c r="C218" s="25"/>
      <c r="D218" s="79"/>
    </row>
    <row r="219" spans="1:4" x14ac:dyDescent="0.2">
      <c r="A219" s="345">
        <v>34181</v>
      </c>
      <c r="B219" s="73"/>
      <c r="C219" s="25"/>
      <c r="D219" s="79"/>
    </row>
    <row r="220" spans="1:4" x14ac:dyDescent="0.2">
      <c r="A220" s="345">
        <v>34212</v>
      </c>
      <c r="B220" s="73"/>
      <c r="C220" s="25"/>
      <c r="D220" s="79"/>
    </row>
    <row r="221" spans="1:4" x14ac:dyDescent="0.2">
      <c r="A221" s="345">
        <v>34242</v>
      </c>
      <c r="B221" s="73"/>
      <c r="C221" s="25"/>
      <c r="D221" s="79"/>
    </row>
    <row r="222" spans="1:4" x14ac:dyDescent="0.2">
      <c r="A222" s="345">
        <v>34273</v>
      </c>
      <c r="B222" s="73"/>
      <c r="C222" s="25"/>
      <c r="D222" s="79"/>
    </row>
    <row r="223" spans="1:4" x14ac:dyDescent="0.2">
      <c r="A223" s="345">
        <v>34303</v>
      </c>
      <c r="B223" s="73"/>
      <c r="C223" s="25"/>
      <c r="D223" s="79"/>
    </row>
    <row r="224" spans="1:4" x14ac:dyDescent="0.2">
      <c r="A224" s="345">
        <v>34334</v>
      </c>
      <c r="B224" s="73"/>
      <c r="C224" s="25"/>
      <c r="D224" s="79"/>
    </row>
    <row r="225" spans="1:4" x14ac:dyDescent="0.2">
      <c r="A225" s="345">
        <v>34365</v>
      </c>
      <c r="B225" s="73"/>
      <c r="C225" s="25"/>
      <c r="D225" s="79"/>
    </row>
    <row r="226" spans="1:4" x14ac:dyDescent="0.2">
      <c r="A226" s="345">
        <v>34393</v>
      </c>
      <c r="B226" s="73"/>
      <c r="C226" s="25"/>
      <c r="D226" s="79"/>
    </row>
    <row r="227" spans="1:4" x14ac:dyDescent="0.2">
      <c r="A227" s="345">
        <v>34424</v>
      </c>
      <c r="B227" s="73"/>
      <c r="C227" s="25"/>
      <c r="D227" s="79"/>
    </row>
    <row r="228" spans="1:4" x14ac:dyDescent="0.2">
      <c r="A228" s="345">
        <v>34454</v>
      </c>
      <c r="B228" s="73"/>
      <c r="C228" s="25"/>
      <c r="D228" s="79"/>
    </row>
    <row r="229" spans="1:4" x14ac:dyDescent="0.2">
      <c r="A229" s="345">
        <v>34485</v>
      </c>
      <c r="B229" s="73"/>
      <c r="C229" s="25"/>
      <c r="D229" s="79"/>
    </row>
    <row r="230" spans="1:4" x14ac:dyDescent="0.2">
      <c r="A230" s="345">
        <v>34515</v>
      </c>
      <c r="B230" s="73"/>
      <c r="C230" s="25"/>
      <c r="D230" s="79"/>
    </row>
    <row r="231" spans="1:4" x14ac:dyDescent="0.2">
      <c r="A231" s="345">
        <v>34546</v>
      </c>
      <c r="B231" s="73"/>
      <c r="C231" s="25"/>
      <c r="D231" s="79"/>
    </row>
    <row r="232" spans="1:4" x14ac:dyDescent="0.2">
      <c r="A232" s="345">
        <v>34577</v>
      </c>
      <c r="B232" s="73"/>
      <c r="C232" s="25"/>
      <c r="D232" s="79"/>
    </row>
    <row r="233" spans="1:4" x14ac:dyDescent="0.2">
      <c r="A233" s="345">
        <v>34607</v>
      </c>
      <c r="B233" s="73"/>
      <c r="C233" s="25"/>
      <c r="D233" s="79"/>
    </row>
    <row r="234" spans="1:4" x14ac:dyDescent="0.2">
      <c r="A234" s="345">
        <v>34638</v>
      </c>
      <c r="B234" s="73"/>
      <c r="C234" s="25"/>
      <c r="D234" s="79"/>
    </row>
    <row r="235" spans="1:4" x14ac:dyDescent="0.2">
      <c r="A235" s="345">
        <v>34668</v>
      </c>
      <c r="B235" s="73"/>
      <c r="C235" s="25"/>
      <c r="D235" s="79"/>
    </row>
    <row r="236" spans="1:4" x14ac:dyDescent="0.2">
      <c r="A236" s="345">
        <v>34699</v>
      </c>
      <c r="B236" s="73"/>
      <c r="C236" s="25"/>
      <c r="D236" s="79"/>
    </row>
    <row r="237" spans="1:4" x14ac:dyDescent="0.2">
      <c r="A237" s="345">
        <v>34730</v>
      </c>
      <c r="B237" s="73"/>
      <c r="C237" s="25"/>
      <c r="D237" s="79"/>
    </row>
    <row r="238" spans="1:4" x14ac:dyDescent="0.2">
      <c r="A238" s="345">
        <v>34758</v>
      </c>
      <c r="B238" s="73"/>
      <c r="C238" s="25"/>
      <c r="D238" s="79"/>
    </row>
    <row r="239" spans="1:4" x14ac:dyDescent="0.2">
      <c r="A239" s="345">
        <v>34789</v>
      </c>
      <c r="B239" s="73"/>
      <c r="C239" s="25"/>
      <c r="D239" s="79"/>
    </row>
    <row r="240" spans="1:4" x14ac:dyDescent="0.2">
      <c r="A240" s="345">
        <v>34819</v>
      </c>
      <c r="B240" s="73"/>
      <c r="C240" s="25"/>
      <c r="D240" s="79"/>
    </row>
    <row r="241" spans="1:4" x14ac:dyDescent="0.2">
      <c r="A241" s="345">
        <v>34850</v>
      </c>
      <c r="B241" s="73"/>
      <c r="C241" s="25"/>
      <c r="D241" s="79"/>
    </row>
    <row r="242" spans="1:4" x14ac:dyDescent="0.2">
      <c r="A242" s="345">
        <v>34880</v>
      </c>
      <c r="B242" s="73"/>
      <c r="C242" s="25"/>
      <c r="D242" s="79"/>
    </row>
    <row r="243" spans="1:4" x14ac:dyDescent="0.2">
      <c r="A243" s="345">
        <v>34911</v>
      </c>
      <c r="B243" s="73"/>
      <c r="C243" s="25"/>
      <c r="D243" s="79"/>
    </row>
    <row r="244" spans="1:4" x14ac:dyDescent="0.2">
      <c r="A244" s="345">
        <v>34942</v>
      </c>
      <c r="B244" s="73"/>
      <c r="C244" s="25"/>
      <c r="D244" s="79"/>
    </row>
    <row r="245" spans="1:4" x14ac:dyDescent="0.2">
      <c r="A245" s="345">
        <v>34972</v>
      </c>
      <c r="B245" s="73"/>
      <c r="C245" s="25"/>
      <c r="D245" s="79"/>
    </row>
    <row r="246" spans="1:4" x14ac:dyDescent="0.2">
      <c r="A246" s="345">
        <v>35003</v>
      </c>
      <c r="B246" s="73"/>
      <c r="C246" s="25"/>
      <c r="D246" s="79"/>
    </row>
    <row r="247" spans="1:4" x14ac:dyDescent="0.2">
      <c r="A247" s="345">
        <v>35033</v>
      </c>
      <c r="B247" s="73"/>
      <c r="C247" s="25"/>
      <c r="D247" s="79"/>
    </row>
    <row r="248" spans="1:4" x14ac:dyDescent="0.2">
      <c r="A248" s="345">
        <v>35064</v>
      </c>
      <c r="B248" s="73"/>
      <c r="C248" s="25"/>
      <c r="D248" s="79"/>
    </row>
    <row r="249" spans="1:4" x14ac:dyDescent="0.2">
      <c r="A249" s="345">
        <v>35095</v>
      </c>
      <c r="B249" s="73"/>
      <c r="C249" s="25"/>
      <c r="D249" s="79"/>
    </row>
    <row r="250" spans="1:4" x14ac:dyDescent="0.2">
      <c r="A250" s="345">
        <v>35124</v>
      </c>
      <c r="B250" s="73"/>
      <c r="C250" s="25"/>
      <c r="D250" s="79"/>
    </row>
    <row r="251" spans="1:4" x14ac:dyDescent="0.2">
      <c r="A251" s="345">
        <v>35155</v>
      </c>
      <c r="B251" s="73"/>
      <c r="C251" s="25"/>
      <c r="D251" s="79"/>
    </row>
    <row r="252" spans="1:4" x14ac:dyDescent="0.2">
      <c r="A252" s="345">
        <v>35185</v>
      </c>
      <c r="B252" s="73"/>
      <c r="C252" s="25"/>
      <c r="D252" s="79"/>
    </row>
    <row r="253" spans="1:4" x14ac:dyDescent="0.2">
      <c r="A253" s="345">
        <v>35216</v>
      </c>
      <c r="B253" s="73"/>
      <c r="C253" s="25"/>
      <c r="D253" s="79"/>
    </row>
    <row r="254" spans="1:4" x14ac:dyDescent="0.2">
      <c r="A254" s="345">
        <v>35246</v>
      </c>
      <c r="B254" s="73"/>
      <c r="C254" s="25"/>
      <c r="D254" s="79"/>
    </row>
    <row r="255" spans="1:4" x14ac:dyDescent="0.2">
      <c r="A255" s="345">
        <v>35277</v>
      </c>
      <c r="B255" s="73"/>
      <c r="C255" s="25"/>
      <c r="D255" s="79"/>
    </row>
    <row r="256" spans="1:4" x14ac:dyDescent="0.2">
      <c r="A256" s="345">
        <v>35308</v>
      </c>
      <c r="B256" s="73"/>
      <c r="C256" s="25"/>
      <c r="D256" s="79"/>
    </row>
    <row r="257" spans="1:4" x14ac:dyDescent="0.2">
      <c r="A257" s="345">
        <v>35338</v>
      </c>
      <c r="B257" s="73"/>
      <c r="C257" s="25"/>
      <c r="D257" s="79"/>
    </row>
    <row r="258" spans="1:4" x14ac:dyDescent="0.2">
      <c r="A258" s="345">
        <v>35369</v>
      </c>
      <c r="B258" s="73"/>
      <c r="C258" s="25"/>
      <c r="D258" s="79"/>
    </row>
    <row r="259" spans="1:4" x14ac:dyDescent="0.2">
      <c r="A259" s="345">
        <v>35399</v>
      </c>
      <c r="B259" s="73"/>
      <c r="C259" s="25"/>
      <c r="D259" s="79"/>
    </row>
    <row r="260" spans="1:4" x14ac:dyDescent="0.2">
      <c r="A260" s="345">
        <v>35430</v>
      </c>
      <c r="B260" s="73"/>
      <c r="C260" s="25"/>
      <c r="D260" s="79"/>
    </row>
    <row r="261" spans="1:4" x14ac:dyDescent="0.2">
      <c r="A261" s="345">
        <v>35461</v>
      </c>
      <c r="B261" s="73"/>
      <c r="C261" s="25"/>
      <c r="D261" s="79"/>
    </row>
    <row r="262" spans="1:4" x14ac:dyDescent="0.2">
      <c r="A262" s="345">
        <v>35489</v>
      </c>
      <c r="B262" s="73"/>
      <c r="C262" s="25"/>
      <c r="D262" s="79"/>
    </row>
    <row r="263" spans="1:4" x14ac:dyDescent="0.2">
      <c r="A263" s="345">
        <v>35520</v>
      </c>
      <c r="B263" s="73"/>
      <c r="C263" s="25"/>
      <c r="D263" s="79"/>
    </row>
    <row r="264" spans="1:4" x14ac:dyDescent="0.2">
      <c r="A264" s="345">
        <v>35550</v>
      </c>
      <c r="B264" s="1369"/>
      <c r="C264" s="35"/>
      <c r="D264" s="79"/>
    </row>
    <row r="265" spans="1:4" x14ac:dyDescent="0.2">
      <c r="A265" s="345">
        <v>35581</v>
      </c>
      <c r="B265" s="1369"/>
      <c r="C265" s="35"/>
      <c r="D265" s="79"/>
    </row>
    <row r="266" spans="1:4" x14ac:dyDescent="0.2">
      <c r="A266" s="345">
        <v>35611</v>
      </c>
      <c r="B266" s="1369"/>
      <c r="C266" s="35"/>
      <c r="D266" s="79"/>
    </row>
    <row r="267" spans="1:4" x14ac:dyDescent="0.2">
      <c r="A267" s="345">
        <v>35642</v>
      </c>
      <c r="B267" s="1369"/>
      <c r="C267" s="35"/>
      <c r="D267" s="79"/>
    </row>
    <row r="268" spans="1:4" x14ac:dyDescent="0.2">
      <c r="A268" s="345">
        <v>35673</v>
      </c>
      <c r="B268" s="1369"/>
      <c r="C268" s="35"/>
      <c r="D268" s="79"/>
    </row>
    <row r="269" spans="1:4" x14ac:dyDescent="0.2">
      <c r="A269" s="345">
        <v>35703</v>
      </c>
      <c r="B269" s="1369"/>
      <c r="C269" s="35"/>
      <c r="D269" s="79"/>
    </row>
    <row r="270" spans="1:4" x14ac:dyDescent="0.2">
      <c r="A270" s="345">
        <v>35734</v>
      </c>
      <c r="B270" s="1369"/>
      <c r="C270" s="35"/>
      <c r="D270" s="79"/>
    </row>
    <row r="271" spans="1:4" x14ac:dyDescent="0.2">
      <c r="A271" s="345">
        <v>35764</v>
      </c>
      <c r="B271" s="1369"/>
      <c r="C271" s="35"/>
      <c r="D271" s="79"/>
    </row>
    <row r="272" spans="1:4" x14ac:dyDescent="0.2">
      <c r="A272" s="345">
        <v>35795</v>
      </c>
      <c r="B272" s="1369"/>
      <c r="C272" s="35"/>
      <c r="D272" s="79"/>
    </row>
    <row r="273" spans="1:4" x14ac:dyDescent="0.2">
      <c r="A273" s="345">
        <v>35826</v>
      </c>
      <c r="B273" s="1369"/>
      <c r="C273" s="35"/>
      <c r="D273" s="79"/>
    </row>
    <row r="274" spans="1:4" x14ac:dyDescent="0.2">
      <c r="A274" s="345">
        <v>35854</v>
      </c>
      <c r="B274" s="1369"/>
      <c r="C274" s="35"/>
      <c r="D274" s="79"/>
    </row>
    <row r="275" spans="1:4" x14ac:dyDescent="0.2">
      <c r="A275" s="345">
        <v>35885</v>
      </c>
      <c r="B275" s="1369"/>
      <c r="C275" s="33"/>
      <c r="D275" s="79"/>
    </row>
    <row r="276" spans="1:4" x14ac:dyDescent="0.2">
      <c r="A276" s="345">
        <v>35915</v>
      </c>
      <c r="B276" s="1369"/>
      <c r="C276" s="33"/>
      <c r="D276" s="79"/>
    </row>
    <row r="277" spans="1:4" x14ac:dyDescent="0.2">
      <c r="A277" s="345">
        <v>35946</v>
      </c>
      <c r="B277" s="1369"/>
      <c r="C277" s="33"/>
      <c r="D277" s="79"/>
    </row>
    <row r="278" spans="1:4" x14ac:dyDescent="0.2">
      <c r="A278" s="345">
        <v>35976</v>
      </c>
      <c r="B278" s="1369"/>
      <c r="C278" s="33"/>
      <c r="D278" s="79"/>
    </row>
    <row r="279" spans="1:4" x14ac:dyDescent="0.2">
      <c r="A279" s="345">
        <v>36007</v>
      </c>
      <c r="B279" s="1369"/>
      <c r="C279" s="33"/>
      <c r="D279" s="79"/>
    </row>
    <row r="280" spans="1:4" x14ac:dyDescent="0.2">
      <c r="A280" s="345">
        <v>36038</v>
      </c>
      <c r="B280" s="1369"/>
      <c r="C280" s="33"/>
      <c r="D280" s="79"/>
    </row>
    <row r="281" spans="1:4" x14ac:dyDescent="0.2">
      <c r="A281" s="345">
        <v>36068</v>
      </c>
      <c r="B281" s="1369"/>
      <c r="C281" s="33"/>
      <c r="D281" s="79"/>
    </row>
    <row r="282" spans="1:4" x14ac:dyDescent="0.2">
      <c r="A282" s="345">
        <v>36099</v>
      </c>
      <c r="B282" s="1369"/>
      <c r="C282" s="33"/>
      <c r="D282" s="79"/>
    </row>
    <row r="283" spans="1:4" x14ac:dyDescent="0.2">
      <c r="A283" s="345">
        <v>36129</v>
      </c>
      <c r="B283" s="1369"/>
      <c r="C283" s="33"/>
      <c r="D283" s="79"/>
    </row>
    <row r="284" spans="1:4" x14ac:dyDescent="0.2">
      <c r="A284" s="345">
        <v>36160</v>
      </c>
      <c r="B284" s="1369"/>
      <c r="C284" s="33"/>
      <c r="D284" s="79"/>
    </row>
    <row r="285" spans="1:4" x14ac:dyDescent="0.2">
      <c r="A285" s="345">
        <v>36191</v>
      </c>
      <c r="B285" s="1369"/>
      <c r="C285" s="33"/>
      <c r="D285" s="79"/>
    </row>
    <row r="286" spans="1:4" x14ac:dyDescent="0.2">
      <c r="A286" s="345">
        <v>36219</v>
      </c>
      <c r="B286" s="1369"/>
      <c r="C286" s="33"/>
      <c r="D286" s="79"/>
    </row>
    <row r="287" spans="1:4" x14ac:dyDescent="0.2">
      <c r="A287" s="345">
        <v>36250</v>
      </c>
      <c r="B287" s="1369"/>
      <c r="C287" s="33"/>
      <c r="D287" s="79"/>
    </row>
    <row r="288" spans="1:4" x14ac:dyDescent="0.2">
      <c r="A288" s="345">
        <v>36280</v>
      </c>
      <c r="B288" s="1369"/>
      <c r="C288" s="33"/>
      <c r="D288" s="79"/>
    </row>
    <row r="289" spans="1:4" x14ac:dyDescent="0.2">
      <c r="A289" s="345">
        <v>36311</v>
      </c>
      <c r="B289" s="1369"/>
      <c r="C289" s="33"/>
      <c r="D289" s="79"/>
    </row>
    <row r="290" spans="1:4" x14ac:dyDescent="0.2">
      <c r="A290" s="345">
        <v>36341</v>
      </c>
      <c r="B290" s="1369"/>
      <c r="C290" s="33"/>
      <c r="D290" s="79"/>
    </row>
    <row r="291" spans="1:4" x14ac:dyDescent="0.2">
      <c r="A291" s="345">
        <v>36372</v>
      </c>
      <c r="B291" s="1369"/>
      <c r="C291" s="33"/>
      <c r="D291" s="79"/>
    </row>
    <row r="292" spans="1:4" x14ac:dyDescent="0.2">
      <c r="A292" s="345">
        <v>36403</v>
      </c>
      <c r="B292" s="1369"/>
      <c r="C292" s="33"/>
      <c r="D292" s="79"/>
    </row>
    <row r="293" spans="1:4" x14ac:dyDescent="0.2">
      <c r="A293" s="345">
        <v>36433</v>
      </c>
      <c r="B293" s="1369"/>
      <c r="C293" s="33"/>
      <c r="D293" s="79"/>
    </row>
    <row r="294" spans="1:4" x14ac:dyDescent="0.2">
      <c r="A294" s="345">
        <v>36464</v>
      </c>
      <c r="B294" s="1369"/>
      <c r="C294" s="33"/>
      <c r="D294" s="79"/>
    </row>
    <row r="295" spans="1:4" x14ac:dyDescent="0.2">
      <c r="A295" s="345">
        <v>36494</v>
      </c>
      <c r="B295" s="1369"/>
      <c r="C295" s="33"/>
      <c r="D295" s="79"/>
    </row>
    <row r="296" spans="1:4" x14ac:dyDescent="0.2">
      <c r="A296" s="345">
        <v>36525</v>
      </c>
      <c r="B296" s="1369"/>
      <c r="C296" s="33"/>
      <c r="D296" s="79"/>
    </row>
    <row r="297" spans="1:4" x14ac:dyDescent="0.2">
      <c r="A297" s="345">
        <v>36556</v>
      </c>
      <c r="B297" s="1369"/>
      <c r="C297" s="33"/>
      <c r="D297" s="79"/>
    </row>
    <row r="298" spans="1:4" x14ac:dyDescent="0.2">
      <c r="A298" s="345">
        <v>36585</v>
      </c>
      <c r="B298" s="1369"/>
      <c r="C298" s="33"/>
      <c r="D298" s="79"/>
    </row>
    <row r="299" spans="1:4" x14ac:dyDescent="0.2">
      <c r="A299" s="345">
        <v>36616</v>
      </c>
      <c r="B299" s="1369"/>
      <c r="C299" s="33"/>
      <c r="D299" s="79"/>
    </row>
    <row r="300" spans="1:4" x14ac:dyDescent="0.2">
      <c r="A300" s="345">
        <v>36646</v>
      </c>
      <c r="B300" s="1369"/>
      <c r="C300" s="33"/>
      <c r="D300" s="79"/>
    </row>
    <row r="301" spans="1:4" x14ac:dyDescent="0.2">
      <c r="A301" s="345">
        <v>36677</v>
      </c>
      <c r="B301" s="1369"/>
      <c r="C301" s="33"/>
      <c r="D301" s="79"/>
    </row>
    <row r="302" spans="1:4" x14ac:dyDescent="0.2">
      <c r="A302" s="345">
        <v>36707</v>
      </c>
      <c r="B302" s="1369"/>
      <c r="C302" s="33"/>
      <c r="D302" s="79"/>
    </row>
    <row r="303" spans="1:4" x14ac:dyDescent="0.2">
      <c r="A303" s="345">
        <v>36738</v>
      </c>
      <c r="B303" s="1369"/>
      <c r="C303" s="33"/>
      <c r="D303" s="79"/>
    </row>
    <row r="304" spans="1:4" x14ac:dyDescent="0.2">
      <c r="A304" s="345">
        <v>36769</v>
      </c>
      <c r="B304" s="1369"/>
      <c r="C304" s="33"/>
      <c r="D304" s="79"/>
    </row>
    <row r="305" spans="1:4" x14ac:dyDescent="0.2">
      <c r="A305" s="345">
        <v>36799</v>
      </c>
      <c r="B305" s="1369"/>
      <c r="C305" s="33"/>
      <c r="D305" s="79"/>
    </row>
    <row r="306" spans="1:4" x14ac:dyDescent="0.2">
      <c r="A306" s="345">
        <v>36830</v>
      </c>
      <c r="B306" s="1369"/>
      <c r="C306" s="33"/>
      <c r="D306" s="79"/>
    </row>
    <row r="307" spans="1:4" x14ac:dyDescent="0.2">
      <c r="A307" s="345">
        <v>36860</v>
      </c>
      <c r="B307" s="1369"/>
      <c r="C307" s="33"/>
      <c r="D307" s="79"/>
    </row>
    <row r="308" spans="1:4" x14ac:dyDescent="0.2">
      <c r="A308" s="345">
        <v>36891</v>
      </c>
      <c r="B308" s="1369"/>
      <c r="C308" s="33"/>
      <c r="D308" s="79"/>
    </row>
    <row r="309" spans="1:4" x14ac:dyDescent="0.2">
      <c r="A309" s="345">
        <v>36922</v>
      </c>
      <c r="B309" s="1369"/>
      <c r="C309" s="33"/>
      <c r="D309" s="79"/>
    </row>
    <row r="310" spans="1:4" x14ac:dyDescent="0.2">
      <c r="A310" s="345">
        <v>36950</v>
      </c>
      <c r="B310" s="1369"/>
      <c r="C310" s="33"/>
      <c r="D310" s="79"/>
    </row>
    <row r="311" spans="1:4" x14ac:dyDescent="0.2">
      <c r="A311" s="345">
        <v>36981</v>
      </c>
      <c r="B311" s="1369"/>
      <c r="C311" s="33"/>
      <c r="D311" s="79"/>
    </row>
    <row r="312" spans="1:4" x14ac:dyDescent="0.2">
      <c r="A312" s="345">
        <v>37011</v>
      </c>
      <c r="B312" s="1369"/>
      <c r="C312" s="33"/>
      <c r="D312" s="79"/>
    </row>
    <row r="313" spans="1:4" x14ac:dyDescent="0.2">
      <c r="A313" s="345">
        <v>37042</v>
      </c>
      <c r="B313" s="1369"/>
      <c r="C313" s="33"/>
      <c r="D313" s="79"/>
    </row>
    <row r="314" spans="1:4" x14ac:dyDescent="0.2">
      <c r="A314" s="345">
        <v>37072</v>
      </c>
      <c r="B314" s="1369"/>
      <c r="C314" s="33"/>
      <c r="D314" s="79"/>
    </row>
    <row r="315" spans="1:4" x14ac:dyDescent="0.2">
      <c r="A315" s="345">
        <v>37103</v>
      </c>
      <c r="B315" s="1369"/>
      <c r="C315" s="33"/>
      <c r="D315" s="79"/>
    </row>
    <row r="316" spans="1:4" x14ac:dyDescent="0.2">
      <c r="A316" s="345">
        <v>37134</v>
      </c>
      <c r="B316" s="1369"/>
      <c r="C316" s="33"/>
      <c r="D316" s="79"/>
    </row>
    <row r="317" spans="1:4" x14ac:dyDescent="0.2">
      <c r="A317" s="345">
        <v>37164</v>
      </c>
      <c r="B317" s="1369"/>
      <c r="C317" s="33"/>
      <c r="D317" s="79"/>
    </row>
    <row r="318" spans="1:4" x14ac:dyDescent="0.2">
      <c r="A318" s="345">
        <v>37195</v>
      </c>
      <c r="B318" s="1369"/>
      <c r="C318" s="33"/>
      <c r="D318" s="79"/>
    </row>
    <row r="319" spans="1:4" x14ac:dyDescent="0.2">
      <c r="A319" s="345">
        <v>37225</v>
      </c>
      <c r="B319" s="1369"/>
      <c r="C319" s="33"/>
      <c r="D319" s="79"/>
    </row>
    <row r="320" spans="1:4" x14ac:dyDescent="0.2">
      <c r="A320" s="345">
        <v>37256</v>
      </c>
      <c r="B320" s="1369"/>
      <c r="C320" s="33"/>
      <c r="D320" s="79"/>
    </row>
    <row r="321" spans="1:4" x14ac:dyDescent="0.2">
      <c r="A321" s="345">
        <v>37287</v>
      </c>
      <c r="B321" s="1369"/>
      <c r="C321" s="33"/>
      <c r="D321" s="79"/>
    </row>
    <row r="322" spans="1:4" x14ac:dyDescent="0.2">
      <c r="A322" s="345">
        <v>37315</v>
      </c>
      <c r="B322" s="1369"/>
      <c r="C322" s="33"/>
      <c r="D322" s="79"/>
    </row>
    <row r="323" spans="1:4" x14ac:dyDescent="0.2">
      <c r="A323" s="345">
        <v>37346</v>
      </c>
      <c r="B323" s="1369"/>
      <c r="C323" s="33"/>
      <c r="D323" s="79"/>
    </row>
    <row r="324" spans="1:4" x14ac:dyDescent="0.2">
      <c r="A324" s="345">
        <v>37376</v>
      </c>
      <c r="B324" s="1369"/>
      <c r="C324" s="33"/>
      <c r="D324" s="79"/>
    </row>
    <row r="325" spans="1:4" x14ac:dyDescent="0.2">
      <c r="A325" s="345">
        <v>37407</v>
      </c>
      <c r="B325" s="1369"/>
      <c r="C325" s="33"/>
      <c r="D325" s="79"/>
    </row>
    <row r="326" spans="1:4" x14ac:dyDescent="0.2">
      <c r="A326" s="345">
        <v>37437</v>
      </c>
      <c r="B326" s="1369"/>
      <c r="C326" s="33"/>
      <c r="D326" s="79"/>
    </row>
    <row r="327" spans="1:4" x14ac:dyDescent="0.2">
      <c r="A327" s="345">
        <v>37468</v>
      </c>
      <c r="B327" s="1369"/>
      <c r="C327" s="33"/>
      <c r="D327" s="79"/>
    </row>
    <row r="328" spans="1:4" x14ac:dyDescent="0.2">
      <c r="A328" s="345">
        <v>37499</v>
      </c>
      <c r="B328" s="1369"/>
      <c r="C328" s="33"/>
      <c r="D328" s="79"/>
    </row>
    <row r="329" spans="1:4" x14ac:dyDescent="0.2">
      <c r="A329" s="345">
        <v>37529</v>
      </c>
      <c r="B329" s="1369"/>
      <c r="C329" s="33"/>
      <c r="D329" s="79"/>
    </row>
    <row r="330" spans="1:4" x14ac:dyDescent="0.2">
      <c r="A330" s="345">
        <v>37560</v>
      </c>
      <c r="B330" s="1369"/>
      <c r="C330" s="33"/>
      <c r="D330" s="79"/>
    </row>
    <row r="331" spans="1:4" x14ac:dyDescent="0.2">
      <c r="A331" s="345">
        <v>37590</v>
      </c>
      <c r="B331" s="1369"/>
      <c r="C331" s="33"/>
      <c r="D331" s="79"/>
    </row>
    <row r="332" spans="1:4" x14ac:dyDescent="0.2">
      <c r="A332" s="345">
        <v>37621</v>
      </c>
      <c r="B332" s="1369"/>
      <c r="C332" s="33"/>
      <c r="D332" s="79"/>
    </row>
    <row r="333" spans="1:4" x14ac:dyDescent="0.2">
      <c r="A333" s="345">
        <v>37652</v>
      </c>
      <c r="B333" s="1369"/>
      <c r="C333" s="33"/>
      <c r="D333" s="79"/>
    </row>
    <row r="334" spans="1:4" x14ac:dyDescent="0.2">
      <c r="A334" s="345">
        <v>37680</v>
      </c>
      <c r="B334" s="1369"/>
      <c r="C334" s="33"/>
      <c r="D334" s="79"/>
    </row>
    <row r="335" spans="1:4" x14ac:dyDescent="0.2">
      <c r="A335" s="345">
        <v>37711</v>
      </c>
      <c r="B335" s="1369"/>
      <c r="C335" s="33"/>
      <c r="D335" s="79"/>
    </row>
    <row r="336" spans="1:4" x14ac:dyDescent="0.2">
      <c r="A336" s="345">
        <v>37741</v>
      </c>
      <c r="B336" s="1369"/>
      <c r="C336" s="33"/>
      <c r="D336" s="79"/>
    </row>
    <row r="337" spans="1:4" x14ac:dyDescent="0.2">
      <c r="A337" s="345">
        <v>37772</v>
      </c>
      <c r="B337" s="1369"/>
      <c r="C337" s="33"/>
      <c r="D337" s="79"/>
    </row>
    <row r="338" spans="1:4" x14ac:dyDescent="0.2">
      <c r="A338" s="345">
        <v>37802</v>
      </c>
      <c r="B338" s="1369"/>
      <c r="C338" s="33"/>
      <c r="D338" s="79"/>
    </row>
    <row r="339" spans="1:4" x14ac:dyDescent="0.2">
      <c r="A339" s="345">
        <v>37833</v>
      </c>
      <c r="B339" s="1369"/>
      <c r="C339" s="33"/>
      <c r="D339" s="79"/>
    </row>
    <row r="340" spans="1:4" x14ac:dyDescent="0.2">
      <c r="A340" s="345">
        <v>37864</v>
      </c>
      <c r="B340" s="1369"/>
      <c r="C340" s="33"/>
      <c r="D340" s="79"/>
    </row>
    <row r="341" spans="1:4" x14ac:dyDescent="0.2">
      <c r="A341" s="345">
        <v>37894</v>
      </c>
      <c r="B341" s="1369"/>
      <c r="C341" s="34"/>
      <c r="D341" s="79"/>
    </row>
    <row r="342" spans="1:4" x14ac:dyDescent="0.2">
      <c r="A342" s="345">
        <v>37925</v>
      </c>
      <c r="B342" s="1369"/>
      <c r="C342" s="34"/>
      <c r="D342" s="79"/>
    </row>
    <row r="343" spans="1:4" x14ac:dyDescent="0.2">
      <c r="A343" s="345">
        <v>37955</v>
      </c>
      <c r="B343" s="1369"/>
      <c r="C343" s="34"/>
      <c r="D343" s="79"/>
    </row>
    <row r="344" spans="1:4" x14ac:dyDescent="0.2">
      <c r="A344" s="345">
        <v>37986</v>
      </c>
      <c r="B344" s="1369"/>
      <c r="C344" s="34"/>
      <c r="D344" s="79"/>
    </row>
    <row r="345" spans="1:4" x14ac:dyDescent="0.2">
      <c r="A345" s="345">
        <v>38017</v>
      </c>
      <c r="B345" s="1369"/>
      <c r="C345" s="34"/>
      <c r="D345" s="79"/>
    </row>
    <row r="346" spans="1:4" x14ac:dyDescent="0.2">
      <c r="A346" s="345">
        <v>38046</v>
      </c>
      <c r="B346" s="1369"/>
      <c r="C346" s="34"/>
      <c r="D346" s="79"/>
    </row>
    <row r="347" spans="1:4" x14ac:dyDescent="0.2">
      <c r="A347" s="345">
        <v>38077</v>
      </c>
      <c r="B347" s="1369"/>
      <c r="C347" s="34"/>
      <c r="D347" s="255"/>
    </row>
    <row r="348" spans="1:4" x14ac:dyDescent="0.2">
      <c r="A348" s="345">
        <v>38107</v>
      </c>
      <c r="B348" s="1369"/>
      <c r="C348" s="34"/>
      <c r="D348" s="253"/>
    </row>
    <row r="349" spans="1:4" x14ac:dyDescent="0.2">
      <c r="A349" s="345">
        <v>38138</v>
      </c>
      <c r="B349" s="1369"/>
      <c r="C349" s="34"/>
      <c r="D349" s="253"/>
    </row>
    <row r="350" spans="1:4" x14ac:dyDescent="0.2">
      <c r="A350" s="345">
        <v>38168</v>
      </c>
      <c r="B350" s="1369"/>
      <c r="C350" s="34"/>
      <c r="D350" s="253"/>
    </row>
    <row r="351" spans="1:4" x14ac:dyDescent="0.2">
      <c r="A351" s="345">
        <v>38199</v>
      </c>
      <c r="B351" s="1369"/>
      <c r="C351" s="34"/>
      <c r="D351" s="253"/>
    </row>
    <row r="352" spans="1:4" x14ac:dyDescent="0.2">
      <c r="A352" s="345">
        <v>38230</v>
      </c>
      <c r="B352" s="1369"/>
      <c r="C352" s="34"/>
      <c r="D352" s="253"/>
    </row>
    <row r="353" spans="1:4" x14ac:dyDescent="0.2">
      <c r="A353" s="345">
        <v>38260</v>
      </c>
      <c r="B353" s="1369"/>
      <c r="C353" s="34"/>
      <c r="D353" s="253"/>
    </row>
    <row r="354" spans="1:4" x14ac:dyDescent="0.2">
      <c r="A354" s="345">
        <v>38291</v>
      </c>
      <c r="B354" s="1369"/>
      <c r="C354" s="34"/>
      <c r="D354" s="253"/>
    </row>
    <row r="355" spans="1:4" x14ac:dyDescent="0.2">
      <c r="A355" s="345">
        <v>38321</v>
      </c>
      <c r="B355" s="1369"/>
      <c r="C355" s="34"/>
      <c r="D355" s="253"/>
    </row>
    <row r="356" spans="1:4" x14ac:dyDescent="0.2">
      <c r="A356" s="345">
        <v>38352</v>
      </c>
      <c r="B356" s="1369"/>
      <c r="C356" s="256"/>
      <c r="D356" s="253"/>
    </row>
    <row r="357" spans="1:4" x14ac:dyDescent="0.2">
      <c r="A357" s="345">
        <v>38383</v>
      </c>
      <c r="B357" s="1369"/>
      <c r="C357" s="34"/>
      <c r="D357" s="253"/>
    </row>
    <row r="358" spans="1:4" x14ac:dyDescent="0.2">
      <c r="A358" s="345">
        <v>38411</v>
      </c>
      <c r="B358" s="1369"/>
      <c r="C358" s="34"/>
      <c r="D358" s="253"/>
    </row>
    <row r="359" spans="1:4" x14ac:dyDescent="0.2">
      <c r="A359" s="345">
        <v>38442</v>
      </c>
      <c r="B359" s="1369"/>
      <c r="C359" s="256"/>
      <c r="D359" s="253"/>
    </row>
    <row r="360" spans="1:4" x14ac:dyDescent="0.2">
      <c r="A360" s="345">
        <v>38472</v>
      </c>
      <c r="B360" s="1369"/>
      <c r="C360" s="256"/>
      <c r="D360" s="253"/>
    </row>
    <row r="361" spans="1:4" x14ac:dyDescent="0.2">
      <c r="A361" s="345">
        <v>38503</v>
      </c>
      <c r="B361" s="1369"/>
      <c r="C361" s="256"/>
      <c r="D361" s="253"/>
    </row>
    <row r="362" spans="1:4" x14ac:dyDescent="0.2">
      <c r="A362" s="345">
        <v>38533</v>
      </c>
      <c r="B362" s="1369"/>
      <c r="C362" s="256"/>
      <c r="D362" s="253"/>
    </row>
    <row r="363" spans="1:4" x14ac:dyDescent="0.2">
      <c r="A363" s="345">
        <v>38564</v>
      </c>
      <c r="B363" s="1369"/>
      <c r="C363" s="256"/>
      <c r="D363" s="253"/>
    </row>
    <row r="364" spans="1:4" x14ac:dyDescent="0.2">
      <c r="A364" s="345">
        <v>38595</v>
      </c>
      <c r="B364" s="1369"/>
      <c r="C364" s="256"/>
      <c r="D364" s="253"/>
    </row>
    <row r="365" spans="1:4" x14ac:dyDescent="0.2">
      <c r="A365" s="345">
        <v>38625</v>
      </c>
      <c r="B365" s="1369"/>
      <c r="C365" s="256"/>
      <c r="D365" s="253"/>
    </row>
    <row r="366" spans="1:4" x14ac:dyDescent="0.2">
      <c r="A366" s="345">
        <v>38656</v>
      </c>
      <c r="B366" s="1369"/>
      <c r="C366" s="256"/>
      <c r="D366" s="253"/>
    </row>
    <row r="367" spans="1:4" x14ac:dyDescent="0.2">
      <c r="A367" s="345">
        <v>38686</v>
      </c>
      <c r="B367" s="1369"/>
      <c r="C367" s="256"/>
      <c r="D367" s="253"/>
    </row>
    <row r="368" spans="1:4" x14ac:dyDescent="0.2">
      <c r="A368" s="345">
        <v>38717</v>
      </c>
      <c r="B368" s="1369"/>
      <c r="C368" s="256"/>
      <c r="D368" s="253"/>
    </row>
    <row r="369" spans="1:6" x14ac:dyDescent="0.2">
      <c r="A369" s="345">
        <v>38748</v>
      </c>
      <c r="B369" s="1369"/>
      <c r="C369" s="256"/>
      <c r="D369" s="253"/>
    </row>
    <row r="370" spans="1:6" x14ac:dyDescent="0.2">
      <c r="A370" s="345">
        <v>38776</v>
      </c>
      <c r="B370" s="1369"/>
      <c r="C370" s="256"/>
      <c r="D370" s="253"/>
    </row>
    <row r="371" spans="1:6" x14ac:dyDescent="0.2">
      <c r="A371" s="345">
        <v>38807</v>
      </c>
      <c r="B371" s="1369"/>
      <c r="C371" s="33"/>
      <c r="D371" s="253"/>
    </row>
    <row r="372" spans="1:6" x14ac:dyDescent="0.2">
      <c r="A372" s="345">
        <v>38837</v>
      </c>
      <c r="B372" s="1369"/>
      <c r="C372" s="33"/>
      <c r="D372" s="253"/>
    </row>
    <row r="373" spans="1:6" x14ac:dyDescent="0.2">
      <c r="A373" s="345">
        <v>38868</v>
      </c>
      <c r="B373" s="1369"/>
      <c r="C373" s="33"/>
      <c r="D373" s="253"/>
    </row>
    <row r="374" spans="1:6" x14ac:dyDescent="0.2">
      <c r="A374" s="345">
        <v>38898</v>
      </c>
      <c r="B374" s="1369"/>
      <c r="C374" s="354"/>
      <c r="D374" s="253"/>
    </row>
    <row r="375" spans="1:6" x14ac:dyDescent="0.2">
      <c r="A375" s="345">
        <v>38929</v>
      </c>
      <c r="B375" s="1369"/>
      <c r="C375" s="34"/>
      <c r="D375" s="253"/>
    </row>
    <row r="376" spans="1:6" x14ac:dyDescent="0.2">
      <c r="A376" s="345">
        <v>38960</v>
      </c>
      <c r="B376" s="1369"/>
      <c r="C376" s="34"/>
      <c r="D376" s="253"/>
    </row>
    <row r="377" spans="1:6" x14ac:dyDescent="0.2">
      <c r="A377" s="345">
        <v>38990</v>
      </c>
      <c r="B377" s="1369"/>
      <c r="C377" s="34"/>
      <c r="D377" s="253"/>
    </row>
    <row r="378" spans="1:6" x14ac:dyDescent="0.2">
      <c r="A378" s="345">
        <v>39021</v>
      </c>
      <c r="B378" s="1369"/>
      <c r="C378" s="34"/>
      <c r="D378" s="253"/>
      <c r="F378" s="352"/>
    </row>
    <row r="379" spans="1:6" x14ac:dyDescent="0.2">
      <c r="A379" s="345">
        <v>39051</v>
      </c>
      <c r="B379" s="1369"/>
      <c r="C379" s="34"/>
      <c r="D379" s="253"/>
      <c r="F379" s="352"/>
    </row>
    <row r="380" spans="1:6" x14ac:dyDescent="0.2">
      <c r="A380" s="345">
        <v>39082</v>
      </c>
      <c r="B380" s="1369"/>
      <c r="C380" s="34"/>
      <c r="D380" s="253"/>
      <c r="F380" s="352"/>
    </row>
    <row r="381" spans="1:6" x14ac:dyDescent="0.2">
      <c r="A381" s="345">
        <v>39113</v>
      </c>
      <c r="B381" s="1369"/>
      <c r="D381" s="258"/>
      <c r="F381" s="352"/>
    </row>
    <row r="382" spans="1:6" x14ac:dyDescent="0.2">
      <c r="A382" s="345">
        <v>39141</v>
      </c>
      <c r="B382" s="1369"/>
      <c r="D382" s="258"/>
      <c r="F382" s="352"/>
    </row>
    <row r="383" spans="1:6" x14ac:dyDescent="0.2">
      <c r="A383" s="345">
        <v>39172</v>
      </c>
      <c r="B383" s="1369"/>
      <c r="D383" s="258"/>
    </row>
    <row r="384" spans="1:6" x14ac:dyDescent="0.2">
      <c r="A384" s="345">
        <v>39202</v>
      </c>
      <c r="B384" s="1369"/>
      <c r="D384" s="258"/>
    </row>
    <row r="385" spans="1:7" x14ac:dyDescent="0.2">
      <c r="A385" s="345">
        <v>39233</v>
      </c>
      <c r="B385" s="1369"/>
      <c r="D385" s="258"/>
    </row>
    <row r="386" spans="1:7" x14ac:dyDescent="0.2">
      <c r="A386" s="345">
        <v>39263</v>
      </c>
      <c r="B386" s="1369"/>
      <c r="D386" s="258"/>
    </row>
    <row r="387" spans="1:7" x14ac:dyDescent="0.2">
      <c r="A387" s="345">
        <v>39294</v>
      </c>
      <c r="B387" s="1369"/>
      <c r="D387" s="258"/>
    </row>
    <row r="388" spans="1:7" x14ac:dyDescent="0.2">
      <c r="A388" s="345">
        <v>39325</v>
      </c>
      <c r="B388" s="1369"/>
      <c r="D388" s="258"/>
    </row>
    <row r="389" spans="1:7" x14ac:dyDescent="0.2">
      <c r="A389" s="345">
        <v>39355</v>
      </c>
      <c r="B389" s="1369"/>
      <c r="D389" s="258"/>
    </row>
    <row r="390" spans="1:7" x14ac:dyDescent="0.2">
      <c r="A390" s="345">
        <v>39386</v>
      </c>
      <c r="B390" s="1369"/>
      <c r="D390" s="258"/>
    </row>
    <row r="391" spans="1:7" x14ac:dyDescent="0.2">
      <c r="A391" s="345">
        <v>39416</v>
      </c>
      <c r="B391" s="1369"/>
      <c r="D391" s="258"/>
    </row>
    <row r="392" spans="1:7" x14ac:dyDescent="0.2">
      <c r="A392" s="345">
        <v>39447</v>
      </c>
      <c r="B392" s="1369"/>
      <c r="D392" s="258"/>
      <c r="G392" s="787"/>
    </row>
    <row r="393" spans="1:7" x14ac:dyDescent="0.2">
      <c r="A393" s="345">
        <v>39478</v>
      </c>
      <c r="B393" s="1369"/>
      <c r="D393" s="258"/>
    </row>
    <row r="394" spans="1:7" x14ac:dyDescent="0.2">
      <c r="A394" s="345">
        <v>39507</v>
      </c>
      <c r="B394" s="1369"/>
      <c r="D394" s="258"/>
    </row>
    <row r="395" spans="1:7" x14ac:dyDescent="0.2">
      <c r="A395" s="345">
        <v>39538</v>
      </c>
      <c r="B395" s="1369"/>
      <c r="D395" s="258"/>
    </row>
    <row r="396" spans="1:7" x14ac:dyDescent="0.2">
      <c r="A396" s="345">
        <v>39568</v>
      </c>
      <c r="B396" s="1369"/>
      <c r="D396" s="258"/>
    </row>
    <row r="397" spans="1:7" x14ac:dyDescent="0.2">
      <c r="A397" s="345">
        <v>39599</v>
      </c>
      <c r="B397" s="1369"/>
      <c r="D397" s="258"/>
    </row>
    <row r="398" spans="1:7" x14ac:dyDescent="0.2">
      <c r="A398" s="345">
        <v>39629</v>
      </c>
      <c r="B398" s="1369"/>
      <c r="D398" s="258"/>
    </row>
    <row r="399" spans="1:7" x14ac:dyDescent="0.2">
      <c r="A399" s="345">
        <v>39660</v>
      </c>
      <c r="B399" s="1369"/>
      <c r="C399" s="33"/>
      <c r="D399" s="258"/>
    </row>
    <row r="400" spans="1:7" x14ac:dyDescent="0.2">
      <c r="A400" s="345">
        <v>39691</v>
      </c>
      <c r="B400" s="1369"/>
      <c r="C400" s="33"/>
      <c r="D400" s="258"/>
    </row>
    <row r="401" spans="1:4" x14ac:dyDescent="0.2">
      <c r="A401" s="345">
        <v>39721</v>
      </c>
      <c r="B401" s="1369"/>
      <c r="C401" s="33"/>
      <c r="D401" s="258"/>
    </row>
    <row r="402" spans="1:4" x14ac:dyDescent="0.2">
      <c r="A402" s="345">
        <v>39752</v>
      </c>
      <c r="B402" s="1369"/>
      <c r="D402" s="258"/>
    </row>
    <row r="403" spans="1:4" x14ac:dyDescent="0.2">
      <c r="A403" s="345">
        <v>39782</v>
      </c>
      <c r="B403" s="1369"/>
      <c r="D403" s="258"/>
    </row>
    <row r="404" spans="1:4" x14ac:dyDescent="0.2">
      <c r="A404" s="345">
        <v>39813</v>
      </c>
      <c r="B404" s="1369"/>
      <c r="D404" s="258"/>
    </row>
    <row r="405" spans="1:4" x14ac:dyDescent="0.2">
      <c r="A405" s="345">
        <v>39844</v>
      </c>
      <c r="B405" s="1369"/>
      <c r="D405" s="258"/>
    </row>
    <row r="406" spans="1:4" x14ac:dyDescent="0.2">
      <c r="A406" s="345">
        <v>39872</v>
      </c>
      <c r="B406" s="1369"/>
      <c r="D406" s="258"/>
    </row>
    <row r="407" spans="1:4" x14ac:dyDescent="0.2">
      <c r="A407" s="345">
        <v>39903</v>
      </c>
      <c r="B407" s="1369"/>
      <c r="D407" s="258"/>
    </row>
    <row r="408" spans="1:4" x14ac:dyDescent="0.2">
      <c r="A408" s="345">
        <v>39933</v>
      </c>
      <c r="B408" s="1369"/>
      <c r="D408" s="258"/>
    </row>
    <row r="409" spans="1:4" x14ac:dyDescent="0.2">
      <c r="A409" s="345">
        <v>39964</v>
      </c>
      <c r="B409" s="1369"/>
      <c r="D409" s="258"/>
    </row>
    <row r="410" spans="1:4" x14ac:dyDescent="0.2">
      <c r="A410" s="345">
        <v>39994</v>
      </c>
      <c r="B410" s="1369"/>
      <c r="D410" s="258"/>
    </row>
    <row r="411" spans="1:4" x14ac:dyDescent="0.2">
      <c r="A411" s="345">
        <v>40025</v>
      </c>
      <c r="B411" s="1369"/>
      <c r="D411" s="258"/>
    </row>
    <row r="412" spans="1:4" x14ac:dyDescent="0.2">
      <c r="A412" s="345">
        <v>40056</v>
      </c>
      <c r="B412" s="1369"/>
      <c r="D412" s="258"/>
    </row>
    <row r="413" spans="1:4" x14ac:dyDescent="0.2">
      <c r="A413" s="345">
        <v>40086</v>
      </c>
      <c r="B413" s="1369"/>
      <c r="D413" s="258"/>
    </row>
    <row r="414" spans="1:4" x14ac:dyDescent="0.2">
      <c r="A414" s="345">
        <v>40117</v>
      </c>
      <c r="B414" s="1369"/>
    </row>
    <row r="415" spans="1:4" x14ac:dyDescent="0.2">
      <c r="A415" s="345">
        <v>40147</v>
      </c>
      <c r="B415" s="1369"/>
      <c r="C415" s="1333"/>
      <c r="D415" s="1369"/>
    </row>
    <row r="416" spans="1:4" x14ac:dyDescent="0.2">
      <c r="A416" s="345">
        <v>40178</v>
      </c>
      <c r="B416" s="1369"/>
    </row>
    <row r="417" spans="1:4" x14ac:dyDescent="0.2">
      <c r="A417" s="345">
        <v>40209</v>
      </c>
      <c r="B417" s="253"/>
    </row>
    <row r="418" spans="1:4" x14ac:dyDescent="0.2">
      <c r="A418" s="345">
        <v>40237</v>
      </c>
      <c r="B418" s="253"/>
    </row>
    <row r="419" spans="1:4" x14ac:dyDescent="0.2">
      <c r="A419" s="345">
        <v>40268</v>
      </c>
      <c r="B419" s="253"/>
      <c r="C419" s="1334"/>
      <c r="D419" s="1311"/>
    </row>
    <row r="420" spans="1:4" x14ac:dyDescent="0.2">
      <c r="A420" s="345">
        <v>40298</v>
      </c>
      <c r="B420" s="253"/>
    </row>
    <row r="421" spans="1:4" x14ac:dyDescent="0.2">
      <c r="A421" s="345">
        <v>40329</v>
      </c>
      <c r="B421" s="253"/>
    </row>
    <row r="422" spans="1:4" x14ac:dyDescent="0.2">
      <c r="A422" s="345">
        <v>40359</v>
      </c>
      <c r="B422" s="253"/>
    </row>
    <row r="423" spans="1:4" x14ac:dyDescent="0.2">
      <c r="A423" s="345">
        <v>40390</v>
      </c>
      <c r="B423" s="253"/>
    </row>
    <row r="424" spans="1:4" x14ac:dyDescent="0.2">
      <c r="A424" s="345">
        <v>40421</v>
      </c>
      <c r="B424" s="253"/>
    </row>
    <row r="425" spans="1:4" x14ac:dyDescent="0.2">
      <c r="A425" s="345">
        <v>40451</v>
      </c>
      <c r="B425" s="253"/>
    </row>
    <row r="426" spans="1:4" x14ac:dyDescent="0.2">
      <c r="A426" s="345">
        <v>40482</v>
      </c>
      <c r="B426" s="253"/>
    </row>
    <row r="427" spans="1:4" x14ac:dyDescent="0.2">
      <c r="A427" s="345">
        <v>40512</v>
      </c>
      <c r="B427" s="253"/>
    </row>
    <row r="428" spans="1:4" x14ac:dyDescent="0.2">
      <c r="A428" s="345">
        <v>40543</v>
      </c>
      <c r="B428" s="253"/>
    </row>
    <row r="429" spans="1:4" x14ac:dyDescent="0.2">
      <c r="A429" s="345">
        <v>40574</v>
      </c>
      <c r="B429" s="253"/>
    </row>
    <row r="430" spans="1:4" x14ac:dyDescent="0.2">
      <c r="A430" s="345">
        <v>40602</v>
      </c>
      <c r="B430" s="253"/>
    </row>
    <row r="431" spans="1:4" x14ac:dyDescent="0.2">
      <c r="A431" s="345">
        <v>40633</v>
      </c>
      <c r="B431" s="253"/>
    </row>
    <row r="432" spans="1:4" x14ac:dyDescent="0.2">
      <c r="A432" s="345">
        <v>40663</v>
      </c>
      <c r="B432" s="253"/>
    </row>
    <row r="433" spans="1:2" x14ac:dyDescent="0.2">
      <c r="A433" s="345">
        <v>40694</v>
      </c>
      <c r="B433" s="253"/>
    </row>
    <row r="434" spans="1:2" x14ac:dyDescent="0.2">
      <c r="A434" s="345">
        <v>40724</v>
      </c>
      <c r="B434" s="253"/>
    </row>
    <row r="435" spans="1:2" x14ac:dyDescent="0.2">
      <c r="A435" s="345">
        <v>40755</v>
      </c>
      <c r="B435" s="253"/>
    </row>
    <row r="436" spans="1:2" x14ac:dyDescent="0.2">
      <c r="A436" s="345">
        <v>40786</v>
      </c>
      <c r="B436" s="253"/>
    </row>
    <row r="437" spans="1:2" x14ac:dyDescent="0.2">
      <c r="A437" s="345">
        <v>40816</v>
      </c>
      <c r="B437" s="253"/>
    </row>
    <row r="438" spans="1:2" x14ac:dyDescent="0.2">
      <c r="A438" s="345">
        <v>40847</v>
      </c>
      <c r="B438" s="253"/>
    </row>
    <row r="439" spans="1:2" x14ac:dyDescent="0.2">
      <c r="A439" s="345">
        <v>40877</v>
      </c>
      <c r="B439" s="253"/>
    </row>
    <row r="440" spans="1:2" x14ac:dyDescent="0.2">
      <c r="A440" s="345">
        <v>40908</v>
      </c>
      <c r="B440" s="253"/>
    </row>
    <row r="441" spans="1:2" x14ac:dyDescent="0.2">
      <c r="A441" s="345">
        <v>40939</v>
      </c>
      <c r="B441" s="253"/>
    </row>
    <row r="442" spans="1:2" x14ac:dyDescent="0.2">
      <c r="A442" s="345">
        <v>40968</v>
      </c>
      <c r="B442" s="253"/>
    </row>
    <row r="443" spans="1:2" x14ac:dyDescent="0.2">
      <c r="A443" s="345">
        <v>40999</v>
      </c>
      <c r="B443" s="253"/>
    </row>
    <row r="444" spans="1:2" x14ac:dyDescent="0.2">
      <c r="A444" s="345">
        <v>41029</v>
      </c>
      <c r="B444" s="253"/>
    </row>
    <row r="445" spans="1:2" x14ac:dyDescent="0.2">
      <c r="A445" s="345">
        <v>41060</v>
      </c>
      <c r="B445" s="253"/>
    </row>
    <row r="446" spans="1:2" x14ac:dyDescent="0.2">
      <c r="A446" s="345">
        <v>41090</v>
      </c>
      <c r="B446" s="253"/>
    </row>
    <row r="447" spans="1:2" x14ac:dyDescent="0.2">
      <c r="A447" s="345">
        <v>41121</v>
      </c>
      <c r="B447" s="253"/>
    </row>
    <row r="448" spans="1:2" x14ac:dyDescent="0.2">
      <c r="A448" s="345">
        <v>41152</v>
      </c>
      <c r="B448" s="253"/>
    </row>
    <row r="449" spans="1:3" x14ac:dyDescent="0.2">
      <c r="A449" s="345">
        <v>41182</v>
      </c>
      <c r="B449" s="253"/>
    </row>
    <row r="450" spans="1:3" x14ac:dyDescent="0.2">
      <c r="A450" s="345">
        <v>41213</v>
      </c>
      <c r="B450" s="253"/>
    </row>
    <row r="451" spans="1:3" x14ac:dyDescent="0.2">
      <c r="A451" s="345">
        <v>41243</v>
      </c>
      <c r="B451" s="253"/>
    </row>
    <row r="452" spans="1:3" x14ac:dyDescent="0.2">
      <c r="A452" s="345">
        <v>41274</v>
      </c>
      <c r="B452" s="253"/>
    </row>
    <row r="453" spans="1:3" x14ac:dyDescent="0.2">
      <c r="A453" s="345">
        <v>41305</v>
      </c>
      <c r="B453" s="253"/>
    </row>
    <row r="454" spans="1:3" x14ac:dyDescent="0.2">
      <c r="A454" s="345">
        <v>41333</v>
      </c>
      <c r="B454" s="253"/>
    </row>
    <row r="455" spans="1:3" x14ac:dyDescent="0.2">
      <c r="A455" s="345">
        <v>41364</v>
      </c>
      <c r="B455" s="253"/>
    </row>
    <row r="456" spans="1:3" x14ac:dyDescent="0.2">
      <c r="A456" s="345">
        <v>41394</v>
      </c>
      <c r="B456" s="253"/>
    </row>
    <row r="457" spans="1:3" x14ac:dyDescent="0.2">
      <c r="A457" s="345">
        <v>41425</v>
      </c>
      <c r="B457" s="253"/>
    </row>
    <row r="458" spans="1:3" x14ac:dyDescent="0.2">
      <c r="A458" s="345">
        <v>41455</v>
      </c>
      <c r="B458" s="253"/>
      <c r="C458" s="1307"/>
    </row>
    <row r="459" spans="1:3" x14ac:dyDescent="0.2">
      <c r="A459" s="345">
        <v>41486</v>
      </c>
      <c r="B459" s="253"/>
    </row>
    <row r="460" spans="1:3" x14ac:dyDescent="0.2">
      <c r="A460" s="345">
        <v>41517</v>
      </c>
      <c r="B460" s="253"/>
    </row>
    <row r="461" spans="1:3" x14ac:dyDescent="0.2">
      <c r="A461" s="345">
        <v>41547</v>
      </c>
      <c r="B461" s="253"/>
    </row>
    <row r="462" spans="1:3" x14ac:dyDescent="0.2">
      <c r="A462" s="345">
        <v>41578</v>
      </c>
      <c r="B462" s="253"/>
    </row>
    <row r="463" spans="1:3" x14ac:dyDescent="0.2">
      <c r="A463" s="345">
        <v>41608</v>
      </c>
      <c r="B463" s="253"/>
    </row>
    <row r="464" spans="1:3" x14ac:dyDescent="0.2">
      <c r="A464" s="345">
        <v>41639</v>
      </c>
      <c r="B464" s="253"/>
    </row>
    <row r="465" spans="1:5" x14ac:dyDescent="0.2">
      <c r="A465" s="345">
        <v>41670</v>
      </c>
      <c r="B465" s="253"/>
    </row>
    <row r="466" spans="1:5" x14ac:dyDescent="0.2">
      <c r="A466" s="345">
        <v>41698</v>
      </c>
      <c r="B466" s="253"/>
    </row>
    <row r="467" spans="1:5" x14ac:dyDescent="0.2">
      <c r="A467" s="345">
        <v>41729</v>
      </c>
      <c r="B467" s="253"/>
    </row>
    <row r="468" spans="1:5" x14ac:dyDescent="0.2">
      <c r="A468" s="345">
        <v>41759</v>
      </c>
      <c r="B468" s="253"/>
    </row>
    <row r="469" spans="1:5" x14ac:dyDescent="0.2">
      <c r="A469" s="345">
        <v>41790</v>
      </c>
      <c r="B469" s="253"/>
    </row>
    <row r="470" spans="1:5" x14ac:dyDescent="0.2">
      <c r="A470" s="345">
        <v>41820</v>
      </c>
      <c r="B470" s="253"/>
    </row>
    <row r="471" spans="1:5" x14ac:dyDescent="0.2">
      <c r="A471" s="345">
        <v>41851</v>
      </c>
      <c r="B471" s="253">
        <f t="shared" ref="B471:B488" si="0">D471</f>
        <v>-1.8227199999999999</v>
      </c>
      <c r="C471" s="346">
        <v>158639418.58000001</v>
      </c>
      <c r="D471" s="262">
        <v>-1.8227199999999999</v>
      </c>
      <c r="E471" s="14">
        <f>B471-Index_Returns!AA471</f>
        <v>0.14257000000000009</v>
      </c>
    </row>
    <row r="472" spans="1:5" x14ac:dyDescent="0.2">
      <c r="A472" s="345">
        <v>41882</v>
      </c>
      <c r="B472" s="253">
        <f t="shared" si="0"/>
        <v>-0.16622999999999999</v>
      </c>
      <c r="C472" s="346">
        <v>158375710.99000001</v>
      </c>
      <c r="D472" s="262">
        <v>-0.16622999999999999</v>
      </c>
      <c r="E472" s="14">
        <f>B472-Index_Returns!AA472</f>
        <v>-1.2409999999999977E-2</v>
      </c>
    </row>
    <row r="473" spans="1:5" x14ac:dyDescent="0.2">
      <c r="A473" s="345">
        <v>41912</v>
      </c>
      <c r="B473" s="253">
        <f t="shared" si="0"/>
        <v>0</v>
      </c>
      <c r="E473" s="14">
        <f>B473-Index_Returns!AA473</f>
        <v>0</v>
      </c>
    </row>
    <row r="474" spans="1:5" x14ac:dyDescent="0.2">
      <c r="A474" s="345">
        <v>41943</v>
      </c>
      <c r="B474" s="253">
        <f t="shared" si="0"/>
        <v>0</v>
      </c>
      <c r="E474" s="14">
        <f>B474-Index_Returns!AA474</f>
        <v>0</v>
      </c>
    </row>
    <row r="475" spans="1:5" x14ac:dyDescent="0.2">
      <c r="A475" s="345">
        <v>41973</v>
      </c>
      <c r="B475" s="253">
        <f t="shared" si="0"/>
        <v>0</v>
      </c>
      <c r="E475" s="14">
        <f>B475-Index_Returns!AA475</f>
        <v>0</v>
      </c>
    </row>
    <row r="476" spans="1:5" x14ac:dyDescent="0.2">
      <c r="A476" s="345">
        <v>42004</v>
      </c>
      <c r="B476" s="253">
        <f t="shared" si="0"/>
        <v>0</v>
      </c>
      <c r="E476" s="14">
        <f>B476-Index_Returns!AA476</f>
        <v>0</v>
      </c>
    </row>
    <row r="477" spans="1:5" x14ac:dyDescent="0.2">
      <c r="A477" s="345">
        <v>42035</v>
      </c>
      <c r="B477" s="253">
        <f t="shared" si="0"/>
        <v>0</v>
      </c>
      <c r="E477" s="14">
        <f>B477-Index_Returns!AA477</f>
        <v>0</v>
      </c>
    </row>
    <row r="478" spans="1:5" x14ac:dyDescent="0.2">
      <c r="A478" s="345">
        <v>42063</v>
      </c>
      <c r="B478" s="253">
        <f t="shared" si="0"/>
        <v>0</v>
      </c>
      <c r="E478" s="14">
        <f>B478-Index_Returns!AA478</f>
        <v>0</v>
      </c>
    </row>
    <row r="479" spans="1:5" x14ac:dyDescent="0.2">
      <c r="A479" s="345">
        <v>42094</v>
      </c>
      <c r="B479" s="253">
        <f t="shared" si="0"/>
        <v>0</v>
      </c>
      <c r="E479" s="14">
        <f>B479-Index_Returns!AA479</f>
        <v>0</v>
      </c>
    </row>
    <row r="480" spans="1:5" x14ac:dyDescent="0.2">
      <c r="A480" s="345">
        <v>42124</v>
      </c>
      <c r="B480" s="253">
        <f t="shared" si="0"/>
        <v>0</v>
      </c>
      <c r="E480" s="14">
        <f>B480-Index_Returns!AA480</f>
        <v>0</v>
      </c>
    </row>
    <row r="481" spans="1:5" x14ac:dyDescent="0.2">
      <c r="A481" s="345">
        <v>42155</v>
      </c>
      <c r="B481" s="253">
        <f t="shared" si="0"/>
        <v>0</v>
      </c>
      <c r="E481" s="14">
        <f>B481-Index_Returns!AA481</f>
        <v>0</v>
      </c>
    </row>
    <row r="482" spans="1:5" x14ac:dyDescent="0.2">
      <c r="A482" s="345">
        <v>42185</v>
      </c>
      <c r="B482" s="253">
        <f t="shared" si="0"/>
        <v>0</v>
      </c>
      <c r="E482" s="14">
        <f>B482-Index_Returns!AA482</f>
        <v>0</v>
      </c>
    </row>
    <row r="483" spans="1:5" x14ac:dyDescent="0.2">
      <c r="A483" s="345">
        <v>42216</v>
      </c>
      <c r="B483" s="253">
        <f t="shared" si="0"/>
        <v>0</v>
      </c>
      <c r="E483" s="14">
        <f>B483-Index_Returns!AA483</f>
        <v>0</v>
      </c>
    </row>
    <row r="484" spans="1:5" x14ac:dyDescent="0.2">
      <c r="A484" s="345">
        <v>42247</v>
      </c>
      <c r="B484" s="253">
        <f t="shared" si="0"/>
        <v>0</v>
      </c>
      <c r="E484" s="14">
        <f>B484-Index_Returns!AA484</f>
        <v>0</v>
      </c>
    </row>
    <row r="485" spans="1:5" x14ac:dyDescent="0.2">
      <c r="A485" s="345">
        <v>42277</v>
      </c>
      <c r="B485" s="253">
        <f t="shared" si="0"/>
        <v>0</v>
      </c>
      <c r="E485" s="14">
        <f>B485-Index_Returns!AA485</f>
        <v>0</v>
      </c>
    </row>
    <row r="486" spans="1:5" x14ac:dyDescent="0.2">
      <c r="A486" s="345">
        <v>42308</v>
      </c>
      <c r="B486" s="253">
        <f t="shared" si="0"/>
        <v>0</v>
      </c>
      <c r="E486" s="14">
        <f>B486-Index_Returns!AA486</f>
        <v>0</v>
      </c>
    </row>
    <row r="487" spans="1:5" x14ac:dyDescent="0.2">
      <c r="A487" s="345">
        <v>42338</v>
      </c>
      <c r="B487" s="253">
        <f t="shared" si="0"/>
        <v>0</v>
      </c>
      <c r="E487" s="14">
        <f>B487-Index_Returns!AA487</f>
        <v>0</v>
      </c>
    </row>
    <row r="488" spans="1:5" x14ac:dyDescent="0.2">
      <c r="A488" s="345">
        <v>42369</v>
      </c>
      <c r="B488" s="253">
        <f t="shared" si="0"/>
        <v>0</v>
      </c>
      <c r="E488" s="14">
        <f>B488-Index_Returns!AA488</f>
        <v>0</v>
      </c>
    </row>
    <row r="489" spans="1:5" x14ac:dyDescent="0.2">
      <c r="A489" s="345"/>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H489"/>
  <sheetViews>
    <sheetView workbookViewId="0">
      <pane xSplit="1" ySplit="2" topLeftCell="B448" activePane="bottomRight" state="frozen"/>
      <selection pane="topRight"/>
      <selection pane="bottomLeft"/>
      <selection pane="bottomRight" activeCell="C472" sqref="C472:D472"/>
    </sheetView>
  </sheetViews>
  <sheetFormatPr defaultRowHeight="12.75" x14ac:dyDescent="0.2"/>
  <cols>
    <col min="1" max="1" width="18.7109375" style="21" customWidth="1"/>
    <col min="2" max="2" width="18.7109375" style="257" customWidth="1"/>
    <col min="3" max="3" width="22" style="346" bestFit="1" customWidth="1"/>
    <col min="4" max="4" width="18.7109375" style="262" customWidth="1"/>
    <col min="5" max="5" width="9.140625" style="14"/>
    <col min="6" max="6" width="12.42578125" bestFit="1" customWidth="1"/>
    <col min="7" max="7" width="17.7109375" style="352" bestFit="1" customWidth="1"/>
    <col min="8" max="8" width="9.140625" style="352"/>
  </cols>
  <sheetData>
    <row r="1" spans="1:6" x14ac:dyDescent="0.2">
      <c r="A1" s="1459" t="s">
        <v>948</v>
      </c>
      <c r="B1" s="1416"/>
      <c r="C1" s="1469" t="s">
        <v>949</v>
      </c>
      <c r="D1" s="1370">
        <f>ASRS_E1!D1</f>
        <v>1</v>
      </c>
      <c r="F1" s="1284" t="str">
        <f>"A1TQ"</f>
        <v>A1TQ</v>
      </c>
    </row>
    <row r="2" spans="1:6" x14ac:dyDescent="0.2">
      <c r="A2" s="3" t="s">
        <v>27</v>
      </c>
      <c r="B2" s="71" t="s">
        <v>91</v>
      </c>
      <c r="C2" s="226" t="s">
        <v>92</v>
      </c>
      <c r="D2" s="71" t="s">
        <v>90</v>
      </c>
      <c r="E2" s="734" t="s">
        <v>80</v>
      </c>
    </row>
    <row r="3" spans="1:6" x14ac:dyDescent="0.2">
      <c r="A3" s="345">
        <v>27606</v>
      </c>
      <c r="B3" s="71"/>
      <c r="C3" s="226"/>
      <c r="D3" s="71"/>
    </row>
    <row r="4" spans="1:6" x14ac:dyDescent="0.2">
      <c r="A4" s="345">
        <v>27637</v>
      </c>
      <c r="B4" s="71"/>
      <c r="C4" s="226"/>
      <c r="D4" s="71"/>
    </row>
    <row r="5" spans="1:6" x14ac:dyDescent="0.2">
      <c r="A5" s="345">
        <v>27667</v>
      </c>
      <c r="B5" s="71"/>
      <c r="C5" s="226"/>
      <c r="D5" s="71"/>
    </row>
    <row r="6" spans="1:6" x14ac:dyDescent="0.2">
      <c r="A6" s="345">
        <v>27698</v>
      </c>
      <c r="B6" s="71"/>
      <c r="C6" s="226"/>
      <c r="D6" s="71"/>
    </row>
    <row r="7" spans="1:6" x14ac:dyDescent="0.2">
      <c r="A7" s="345">
        <v>27728</v>
      </c>
      <c r="B7" s="71"/>
      <c r="C7" s="226"/>
      <c r="D7" s="71"/>
    </row>
    <row r="8" spans="1:6" x14ac:dyDescent="0.2">
      <c r="A8" s="345">
        <v>27759</v>
      </c>
      <c r="B8" s="71"/>
      <c r="C8" s="226"/>
      <c r="D8" s="71"/>
    </row>
    <row r="9" spans="1:6" x14ac:dyDescent="0.2">
      <c r="A9" s="345">
        <v>27790</v>
      </c>
      <c r="B9" s="71"/>
      <c r="C9" s="226"/>
      <c r="D9" s="71"/>
    </row>
    <row r="10" spans="1:6" x14ac:dyDescent="0.2">
      <c r="A10" s="345">
        <v>27819</v>
      </c>
      <c r="B10" s="71"/>
      <c r="C10" s="226"/>
      <c r="D10" s="71"/>
    </row>
    <row r="11" spans="1:6" x14ac:dyDescent="0.2">
      <c r="A11" s="345">
        <v>27850</v>
      </c>
      <c r="B11" s="71"/>
      <c r="C11" s="226"/>
      <c r="D11" s="71"/>
    </row>
    <row r="12" spans="1:6" x14ac:dyDescent="0.2">
      <c r="A12" s="345">
        <v>27880</v>
      </c>
      <c r="B12" s="71"/>
      <c r="C12" s="226"/>
      <c r="D12" s="71"/>
    </row>
    <row r="13" spans="1:6" x14ac:dyDescent="0.2">
      <c r="A13" s="345">
        <v>27911</v>
      </c>
      <c r="B13" s="71"/>
      <c r="C13" s="226"/>
      <c r="D13" s="71"/>
    </row>
    <row r="14" spans="1:6" x14ac:dyDescent="0.2">
      <c r="A14" s="345">
        <v>27941</v>
      </c>
      <c r="B14" s="71"/>
      <c r="C14" s="226"/>
      <c r="D14" s="71"/>
    </row>
    <row r="15" spans="1:6" x14ac:dyDescent="0.2">
      <c r="A15" s="345">
        <v>27972</v>
      </c>
      <c r="B15" s="71"/>
      <c r="C15" s="226"/>
      <c r="D15" s="71"/>
    </row>
    <row r="16" spans="1:6" x14ac:dyDescent="0.2">
      <c r="A16" s="345">
        <v>28003</v>
      </c>
      <c r="B16" s="71"/>
      <c r="C16" s="226"/>
      <c r="D16" s="71"/>
    </row>
    <row r="17" spans="1:4" x14ac:dyDescent="0.2">
      <c r="A17" s="345">
        <v>28033</v>
      </c>
      <c r="B17" s="71"/>
      <c r="C17" s="226"/>
      <c r="D17" s="71"/>
    </row>
    <row r="18" spans="1:4" x14ac:dyDescent="0.2">
      <c r="A18" s="345">
        <v>28064</v>
      </c>
      <c r="B18" s="71"/>
      <c r="C18" s="226"/>
      <c r="D18" s="71"/>
    </row>
    <row r="19" spans="1:4" x14ac:dyDescent="0.2">
      <c r="A19" s="345">
        <v>28094</v>
      </c>
      <c r="B19" s="71"/>
      <c r="C19" s="226"/>
      <c r="D19" s="71"/>
    </row>
    <row r="20" spans="1:4" x14ac:dyDescent="0.2">
      <c r="A20" s="345">
        <v>28125</v>
      </c>
      <c r="B20" s="71"/>
      <c r="C20" s="226"/>
      <c r="D20" s="71"/>
    </row>
    <row r="21" spans="1:4" x14ac:dyDescent="0.2">
      <c r="A21" s="345">
        <v>28156</v>
      </c>
      <c r="B21" s="71"/>
      <c r="C21" s="226"/>
      <c r="D21" s="71"/>
    </row>
    <row r="22" spans="1:4" x14ac:dyDescent="0.2">
      <c r="A22" s="345">
        <v>28184</v>
      </c>
      <c r="B22" s="71"/>
      <c r="C22" s="226"/>
      <c r="D22" s="71"/>
    </row>
    <row r="23" spans="1:4" x14ac:dyDescent="0.2">
      <c r="A23" s="345">
        <v>28215</v>
      </c>
      <c r="B23" s="71"/>
      <c r="C23" s="226"/>
      <c r="D23" s="71"/>
    </row>
    <row r="24" spans="1:4" x14ac:dyDescent="0.2">
      <c r="A24" s="345">
        <v>28245</v>
      </c>
      <c r="B24" s="71"/>
      <c r="C24" s="226"/>
      <c r="D24" s="71"/>
    </row>
    <row r="25" spans="1:4" x14ac:dyDescent="0.2">
      <c r="A25" s="345">
        <v>28276</v>
      </c>
      <c r="B25" s="71"/>
      <c r="C25" s="226"/>
      <c r="D25" s="71"/>
    </row>
    <row r="26" spans="1:4" x14ac:dyDescent="0.2">
      <c r="A26" s="345">
        <v>28306</v>
      </c>
      <c r="B26" s="71"/>
      <c r="C26" s="226"/>
      <c r="D26" s="71"/>
    </row>
    <row r="27" spans="1:4" x14ac:dyDescent="0.2">
      <c r="A27" s="345">
        <v>28337</v>
      </c>
      <c r="B27" s="71"/>
      <c r="C27" s="226"/>
      <c r="D27" s="71"/>
    </row>
    <row r="28" spans="1:4" x14ac:dyDescent="0.2">
      <c r="A28" s="345">
        <v>28368</v>
      </c>
      <c r="B28" s="71"/>
      <c r="C28" s="226"/>
      <c r="D28" s="71"/>
    </row>
    <row r="29" spans="1:4" x14ac:dyDescent="0.2">
      <c r="A29" s="345">
        <v>28398</v>
      </c>
      <c r="B29" s="71"/>
      <c r="C29" s="226"/>
      <c r="D29" s="71"/>
    </row>
    <row r="30" spans="1:4" x14ac:dyDescent="0.2">
      <c r="A30" s="345">
        <v>28429</v>
      </c>
      <c r="B30" s="71"/>
      <c r="C30" s="226"/>
      <c r="D30" s="71"/>
    </row>
    <row r="31" spans="1:4" x14ac:dyDescent="0.2">
      <c r="A31" s="345">
        <v>28459</v>
      </c>
      <c r="B31" s="71"/>
      <c r="C31" s="226"/>
      <c r="D31" s="71"/>
    </row>
    <row r="32" spans="1:4" x14ac:dyDescent="0.2">
      <c r="A32" s="345">
        <v>28490</v>
      </c>
      <c r="B32" s="71"/>
      <c r="C32" s="226"/>
      <c r="D32" s="71"/>
    </row>
    <row r="33" spans="1:4" x14ac:dyDescent="0.2">
      <c r="A33" s="345">
        <v>28521</v>
      </c>
      <c r="B33" s="71"/>
      <c r="C33" s="226"/>
      <c r="D33" s="71"/>
    </row>
    <row r="34" spans="1:4" x14ac:dyDescent="0.2">
      <c r="A34" s="345">
        <v>28549</v>
      </c>
      <c r="B34" s="71"/>
      <c r="C34" s="226"/>
      <c r="D34" s="71"/>
    </row>
    <row r="35" spans="1:4" x14ac:dyDescent="0.2">
      <c r="A35" s="345">
        <v>28580</v>
      </c>
      <c r="B35" s="71"/>
      <c r="C35" s="226"/>
      <c r="D35" s="71"/>
    </row>
    <row r="36" spans="1:4" x14ac:dyDescent="0.2">
      <c r="A36" s="345">
        <v>28610</v>
      </c>
      <c r="B36" s="71"/>
      <c r="C36" s="226"/>
      <c r="D36" s="71"/>
    </row>
    <row r="37" spans="1:4" x14ac:dyDescent="0.2">
      <c r="A37" s="345">
        <v>28641</v>
      </c>
      <c r="B37" s="71"/>
      <c r="C37" s="226"/>
      <c r="D37" s="71"/>
    </row>
    <row r="38" spans="1:4" x14ac:dyDescent="0.2">
      <c r="A38" s="345">
        <v>28671</v>
      </c>
      <c r="B38" s="71"/>
      <c r="C38" s="226"/>
      <c r="D38" s="71"/>
    </row>
    <row r="39" spans="1:4" x14ac:dyDescent="0.2">
      <c r="A39" s="345">
        <v>28702</v>
      </c>
      <c r="B39" s="71"/>
      <c r="C39" s="226"/>
      <c r="D39" s="71"/>
    </row>
    <row r="40" spans="1:4" x14ac:dyDescent="0.2">
      <c r="A40" s="345">
        <v>28733</v>
      </c>
      <c r="B40" s="71"/>
      <c r="C40" s="226"/>
      <c r="D40" s="71"/>
    </row>
    <row r="41" spans="1:4" x14ac:dyDescent="0.2">
      <c r="A41" s="345">
        <v>28763</v>
      </c>
      <c r="B41" s="71"/>
      <c r="C41" s="226"/>
      <c r="D41" s="71"/>
    </row>
    <row r="42" spans="1:4" x14ac:dyDescent="0.2">
      <c r="A42" s="345">
        <v>28794</v>
      </c>
      <c r="B42" s="71"/>
      <c r="C42" s="226"/>
      <c r="D42" s="71"/>
    </row>
    <row r="43" spans="1:4" x14ac:dyDescent="0.2">
      <c r="A43" s="345">
        <v>28824</v>
      </c>
      <c r="B43" s="71"/>
      <c r="C43" s="226"/>
      <c r="D43" s="71"/>
    </row>
    <row r="44" spans="1:4" x14ac:dyDescent="0.2">
      <c r="A44" s="345">
        <v>28855</v>
      </c>
      <c r="B44" s="71"/>
      <c r="C44" s="226"/>
      <c r="D44" s="71"/>
    </row>
    <row r="45" spans="1:4" x14ac:dyDescent="0.2">
      <c r="A45" s="345">
        <v>28886</v>
      </c>
      <c r="B45" s="71"/>
      <c r="C45" s="226"/>
      <c r="D45" s="71"/>
    </row>
    <row r="46" spans="1:4" x14ac:dyDescent="0.2">
      <c r="A46" s="345">
        <v>28914</v>
      </c>
      <c r="B46" s="71"/>
      <c r="C46" s="226"/>
      <c r="D46" s="71"/>
    </row>
    <row r="47" spans="1:4" x14ac:dyDescent="0.2">
      <c r="A47" s="345">
        <v>28945</v>
      </c>
      <c r="B47" s="71"/>
      <c r="C47" s="226"/>
      <c r="D47" s="71"/>
    </row>
    <row r="48" spans="1:4" x14ac:dyDescent="0.2">
      <c r="A48" s="345">
        <v>28975</v>
      </c>
      <c r="B48" s="71"/>
      <c r="C48" s="226"/>
      <c r="D48" s="71"/>
    </row>
    <row r="49" spans="1:4" x14ac:dyDescent="0.2">
      <c r="A49" s="345">
        <v>29006</v>
      </c>
      <c r="B49" s="71"/>
      <c r="C49" s="226"/>
      <c r="D49" s="71"/>
    </row>
    <row r="50" spans="1:4" x14ac:dyDescent="0.2">
      <c r="A50" s="345">
        <v>29036</v>
      </c>
      <c r="B50" s="71"/>
      <c r="C50" s="226"/>
      <c r="D50" s="71"/>
    </row>
    <row r="51" spans="1:4" x14ac:dyDescent="0.2">
      <c r="A51" s="345">
        <v>29067</v>
      </c>
      <c r="B51" s="71"/>
      <c r="C51" s="226"/>
      <c r="D51" s="71"/>
    </row>
    <row r="52" spans="1:4" x14ac:dyDescent="0.2">
      <c r="A52" s="345">
        <v>29098</v>
      </c>
      <c r="B52" s="71"/>
      <c r="C52" s="226"/>
      <c r="D52" s="71"/>
    </row>
    <row r="53" spans="1:4" x14ac:dyDescent="0.2">
      <c r="A53" s="345">
        <v>29128</v>
      </c>
      <c r="B53" s="71"/>
      <c r="C53" s="226"/>
      <c r="D53" s="71"/>
    </row>
    <row r="54" spans="1:4" x14ac:dyDescent="0.2">
      <c r="A54" s="345">
        <v>29159</v>
      </c>
      <c r="B54" s="71"/>
      <c r="C54" s="226"/>
      <c r="D54" s="71"/>
    </row>
    <row r="55" spans="1:4" x14ac:dyDescent="0.2">
      <c r="A55" s="345">
        <v>29189</v>
      </c>
      <c r="B55" s="71"/>
      <c r="C55" s="226"/>
      <c r="D55" s="71"/>
    </row>
    <row r="56" spans="1:4" x14ac:dyDescent="0.2">
      <c r="A56" s="345">
        <v>29220</v>
      </c>
      <c r="B56" s="71"/>
      <c r="C56" s="226"/>
      <c r="D56" s="71"/>
    </row>
    <row r="57" spans="1:4" x14ac:dyDescent="0.2">
      <c r="A57" s="345">
        <v>29251</v>
      </c>
      <c r="B57" s="71"/>
      <c r="C57" s="226"/>
      <c r="D57" s="71"/>
    </row>
    <row r="58" spans="1:4" x14ac:dyDescent="0.2">
      <c r="A58" s="345">
        <v>29280</v>
      </c>
      <c r="B58" s="71"/>
      <c r="C58" s="226"/>
      <c r="D58" s="71"/>
    </row>
    <row r="59" spans="1:4" x14ac:dyDescent="0.2">
      <c r="A59" s="345">
        <v>29311</v>
      </c>
      <c r="B59" s="71"/>
      <c r="C59" s="226"/>
      <c r="D59" s="71"/>
    </row>
    <row r="60" spans="1:4" x14ac:dyDescent="0.2">
      <c r="A60" s="345">
        <v>29341</v>
      </c>
      <c r="B60" s="71"/>
      <c r="C60" s="226"/>
      <c r="D60" s="71"/>
    </row>
    <row r="61" spans="1:4" x14ac:dyDescent="0.2">
      <c r="A61" s="345">
        <v>29372</v>
      </c>
      <c r="B61" s="71"/>
      <c r="C61" s="226"/>
      <c r="D61" s="71"/>
    </row>
    <row r="62" spans="1:4" x14ac:dyDescent="0.2">
      <c r="A62" s="345">
        <v>29402</v>
      </c>
      <c r="B62" s="71"/>
      <c r="C62" s="226"/>
      <c r="D62" s="71"/>
    </row>
    <row r="63" spans="1:4" x14ac:dyDescent="0.2">
      <c r="A63" s="345">
        <v>29433</v>
      </c>
      <c r="B63" s="71"/>
      <c r="C63" s="226"/>
      <c r="D63" s="71"/>
    </row>
    <row r="64" spans="1:4" x14ac:dyDescent="0.2">
      <c r="A64" s="345">
        <v>29464</v>
      </c>
      <c r="B64" s="71"/>
      <c r="C64" s="226"/>
      <c r="D64" s="71"/>
    </row>
    <row r="65" spans="1:4" x14ac:dyDescent="0.2">
      <c r="A65" s="345">
        <v>29494</v>
      </c>
      <c r="B65" s="71"/>
      <c r="C65" s="226"/>
      <c r="D65" s="71"/>
    </row>
    <row r="66" spans="1:4" x14ac:dyDescent="0.2">
      <c r="A66" s="345">
        <v>29525</v>
      </c>
      <c r="B66" s="71"/>
      <c r="C66" s="226"/>
      <c r="D66" s="71"/>
    </row>
    <row r="67" spans="1:4" x14ac:dyDescent="0.2">
      <c r="A67" s="345">
        <v>29555</v>
      </c>
      <c r="B67" s="71"/>
      <c r="C67" s="226"/>
      <c r="D67" s="71"/>
    </row>
    <row r="68" spans="1:4" x14ac:dyDescent="0.2">
      <c r="A68" s="345">
        <v>29586</v>
      </c>
      <c r="B68" s="71"/>
      <c r="C68" s="226"/>
      <c r="D68" s="71"/>
    </row>
    <row r="69" spans="1:4" x14ac:dyDescent="0.2">
      <c r="A69" s="345">
        <v>29617</v>
      </c>
      <c r="B69" s="71"/>
      <c r="C69" s="226"/>
      <c r="D69" s="71"/>
    </row>
    <row r="70" spans="1:4" x14ac:dyDescent="0.2">
      <c r="A70" s="345">
        <v>29645</v>
      </c>
      <c r="B70" s="71"/>
      <c r="C70" s="226"/>
      <c r="D70" s="71"/>
    </row>
    <row r="71" spans="1:4" x14ac:dyDescent="0.2">
      <c r="A71" s="345">
        <v>29676</v>
      </c>
      <c r="B71" s="71"/>
      <c r="C71" s="226"/>
      <c r="D71" s="71"/>
    </row>
    <row r="72" spans="1:4" x14ac:dyDescent="0.2">
      <c r="A72" s="345">
        <v>29706</v>
      </c>
      <c r="B72" s="71"/>
      <c r="C72" s="226"/>
      <c r="D72" s="71"/>
    </row>
    <row r="73" spans="1:4" x14ac:dyDescent="0.2">
      <c r="A73" s="345">
        <v>29737</v>
      </c>
      <c r="B73" s="71"/>
      <c r="C73" s="226"/>
      <c r="D73" s="71"/>
    </row>
    <row r="74" spans="1:4" x14ac:dyDescent="0.2">
      <c r="A74" s="345">
        <v>29767</v>
      </c>
      <c r="B74" s="71"/>
      <c r="C74" s="226"/>
      <c r="D74" s="71"/>
    </row>
    <row r="75" spans="1:4" x14ac:dyDescent="0.2">
      <c r="A75" s="345">
        <v>29798</v>
      </c>
      <c r="B75" s="71"/>
      <c r="C75" s="226"/>
      <c r="D75" s="71"/>
    </row>
    <row r="76" spans="1:4" x14ac:dyDescent="0.2">
      <c r="A76" s="345">
        <v>29829</v>
      </c>
      <c r="B76" s="71"/>
      <c r="C76" s="226"/>
      <c r="D76" s="71"/>
    </row>
    <row r="77" spans="1:4" x14ac:dyDescent="0.2">
      <c r="A77" s="345">
        <v>29859</v>
      </c>
      <c r="B77" s="71"/>
      <c r="C77" s="226"/>
      <c r="D77" s="71"/>
    </row>
    <row r="78" spans="1:4" x14ac:dyDescent="0.2">
      <c r="A78" s="345">
        <v>29890</v>
      </c>
      <c r="B78" s="71"/>
      <c r="C78" s="226"/>
      <c r="D78" s="71"/>
    </row>
    <row r="79" spans="1:4" x14ac:dyDescent="0.2">
      <c r="A79" s="345">
        <v>29920</v>
      </c>
      <c r="B79" s="71"/>
      <c r="C79" s="226"/>
      <c r="D79" s="71"/>
    </row>
    <row r="80" spans="1:4" x14ac:dyDescent="0.2">
      <c r="A80" s="345">
        <v>29951</v>
      </c>
      <c r="B80" s="71"/>
      <c r="C80" s="226"/>
      <c r="D80" s="71"/>
    </row>
    <row r="81" spans="1:4" x14ac:dyDescent="0.2">
      <c r="A81" s="345">
        <v>29982</v>
      </c>
      <c r="B81" s="71"/>
      <c r="C81" s="226"/>
      <c r="D81" s="71"/>
    </row>
    <row r="82" spans="1:4" x14ac:dyDescent="0.2">
      <c r="A82" s="345">
        <v>30010</v>
      </c>
      <c r="B82" s="71"/>
      <c r="C82" s="226"/>
      <c r="D82" s="71"/>
    </row>
    <row r="83" spans="1:4" x14ac:dyDescent="0.2">
      <c r="A83" s="345">
        <v>30041</v>
      </c>
      <c r="B83" s="71"/>
      <c r="C83" s="226"/>
      <c r="D83" s="71"/>
    </row>
    <row r="84" spans="1:4" x14ac:dyDescent="0.2">
      <c r="A84" s="345">
        <v>30071</v>
      </c>
      <c r="B84" s="71"/>
      <c r="C84" s="226"/>
      <c r="D84" s="71"/>
    </row>
    <row r="85" spans="1:4" x14ac:dyDescent="0.2">
      <c r="A85" s="345">
        <v>30102</v>
      </c>
      <c r="B85" s="71"/>
      <c r="C85" s="226"/>
      <c r="D85" s="71"/>
    </row>
    <row r="86" spans="1:4" x14ac:dyDescent="0.2">
      <c r="A86" s="345">
        <v>30132</v>
      </c>
      <c r="B86" s="71"/>
      <c r="C86" s="226"/>
      <c r="D86" s="71"/>
    </row>
    <row r="87" spans="1:4" x14ac:dyDescent="0.2">
      <c r="A87" s="345">
        <v>30163</v>
      </c>
      <c r="B87" s="71"/>
      <c r="C87" s="226"/>
      <c r="D87" s="71"/>
    </row>
    <row r="88" spans="1:4" x14ac:dyDescent="0.2">
      <c r="A88" s="345">
        <v>30194</v>
      </c>
      <c r="B88" s="71"/>
      <c r="C88" s="226"/>
      <c r="D88" s="71"/>
    </row>
    <row r="89" spans="1:4" x14ac:dyDescent="0.2">
      <c r="A89" s="345">
        <v>30224</v>
      </c>
      <c r="B89" s="71"/>
      <c r="C89" s="226"/>
      <c r="D89" s="71"/>
    </row>
    <row r="90" spans="1:4" x14ac:dyDescent="0.2">
      <c r="A90" s="345">
        <v>30255</v>
      </c>
      <c r="B90" s="71"/>
      <c r="C90" s="226"/>
      <c r="D90" s="71"/>
    </row>
    <row r="91" spans="1:4" x14ac:dyDescent="0.2">
      <c r="A91" s="345">
        <v>30285</v>
      </c>
      <c r="B91" s="71"/>
      <c r="C91" s="226"/>
      <c r="D91" s="71"/>
    </row>
    <row r="92" spans="1:4" x14ac:dyDescent="0.2">
      <c r="A92" s="345">
        <v>30316</v>
      </c>
      <c r="B92" s="71"/>
      <c r="C92" s="226"/>
      <c r="D92" s="71"/>
    </row>
    <row r="93" spans="1:4" x14ac:dyDescent="0.2">
      <c r="A93" s="345">
        <v>30347</v>
      </c>
      <c r="B93" s="71"/>
      <c r="C93" s="226"/>
      <c r="D93" s="71"/>
    </row>
    <row r="94" spans="1:4" x14ac:dyDescent="0.2">
      <c r="A94" s="345">
        <v>30375</v>
      </c>
      <c r="B94" s="71"/>
      <c r="C94" s="226"/>
      <c r="D94" s="71"/>
    </row>
    <row r="95" spans="1:4" x14ac:dyDescent="0.2">
      <c r="A95" s="345">
        <v>30406</v>
      </c>
      <c r="B95" s="71"/>
      <c r="C95" s="226"/>
      <c r="D95" s="71"/>
    </row>
    <row r="96" spans="1:4" x14ac:dyDescent="0.2">
      <c r="A96" s="345">
        <v>30436</v>
      </c>
      <c r="B96" s="71"/>
      <c r="C96" s="226"/>
      <c r="D96" s="71"/>
    </row>
    <row r="97" spans="1:4" x14ac:dyDescent="0.2">
      <c r="A97" s="345">
        <v>30467</v>
      </c>
      <c r="B97" s="71"/>
      <c r="C97" s="226"/>
      <c r="D97" s="71"/>
    </row>
    <row r="98" spans="1:4" x14ac:dyDescent="0.2">
      <c r="A98" s="345">
        <v>30497</v>
      </c>
      <c r="B98" s="71"/>
      <c r="C98" s="226"/>
      <c r="D98" s="71"/>
    </row>
    <row r="99" spans="1:4" x14ac:dyDescent="0.2">
      <c r="A99" s="345">
        <v>30528</v>
      </c>
      <c r="B99" s="71"/>
      <c r="C99" s="226"/>
      <c r="D99" s="71"/>
    </row>
    <row r="100" spans="1:4" x14ac:dyDescent="0.2">
      <c r="A100" s="345">
        <v>30559</v>
      </c>
      <c r="B100" s="71"/>
      <c r="C100" s="226"/>
      <c r="D100" s="71"/>
    </row>
    <row r="101" spans="1:4" x14ac:dyDescent="0.2">
      <c r="A101" s="345">
        <v>30589</v>
      </c>
      <c r="B101" s="71"/>
      <c r="C101" s="226"/>
      <c r="D101" s="71"/>
    </row>
    <row r="102" spans="1:4" x14ac:dyDescent="0.2">
      <c r="A102" s="345">
        <v>30620</v>
      </c>
      <c r="B102" s="71"/>
      <c r="C102" s="226"/>
      <c r="D102" s="71"/>
    </row>
    <row r="103" spans="1:4" x14ac:dyDescent="0.2">
      <c r="A103" s="345">
        <v>30650</v>
      </c>
      <c r="B103" s="71"/>
      <c r="C103" s="226"/>
      <c r="D103" s="71"/>
    </row>
    <row r="104" spans="1:4" x14ac:dyDescent="0.2">
      <c r="A104" s="345">
        <v>30681</v>
      </c>
      <c r="B104" s="71"/>
      <c r="C104" s="226"/>
      <c r="D104" s="71"/>
    </row>
    <row r="105" spans="1:4" x14ac:dyDescent="0.2">
      <c r="A105" s="345">
        <v>30712</v>
      </c>
      <c r="B105" s="71"/>
      <c r="C105" s="226"/>
      <c r="D105" s="71"/>
    </row>
    <row r="106" spans="1:4" x14ac:dyDescent="0.2">
      <c r="A106" s="345">
        <v>30741</v>
      </c>
      <c r="B106" s="71"/>
      <c r="C106" s="226"/>
      <c r="D106" s="71"/>
    </row>
    <row r="107" spans="1:4" x14ac:dyDescent="0.2">
      <c r="A107" s="345">
        <v>30772</v>
      </c>
      <c r="B107" s="71"/>
      <c r="C107" s="226"/>
      <c r="D107" s="71"/>
    </row>
    <row r="108" spans="1:4" x14ac:dyDescent="0.2">
      <c r="A108" s="345">
        <v>30802</v>
      </c>
      <c r="B108" s="71"/>
      <c r="C108" s="226"/>
      <c r="D108" s="71"/>
    </row>
    <row r="109" spans="1:4" x14ac:dyDescent="0.2">
      <c r="A109" s="345">
        <v>30833</v>
      </c>
      <c r="B109" s="71"/>
      <c r="C109" s="226"/>
      <c r="D109" s="71"/>
    </row>
    <row r="110" spans="1:4" x14ac:dyDescent="0.2">
      <c r="A110" s="345">
        <v>30863</v>
      </c>
      <c r="B110" s="71"/>
      <c r="C110" s="226"/>
      <c r="D110" s="71"/>
    </row>
    <row r="111" spans="1:4" x14ac:dyDescent="0.2">
      <c r="A111" s="345">
        <v>30894</v>
      </c>
      <c r="B111" s="71"/>
      <c r="C111" s="226"/>
      <c r="D111" s="71"/>
    </row>
    <row r="112" spans="1:4" x14ac:dyDescent="0.2">
      <c r="A112" s="345">
        <v>30925</v>
      </c>
      <c r="B112" s="71"/>
      <c r="C112" s="226"/>
      <c r="D112" s="71"/>
    </row>
    <row r="113" spans="1:4" x14ac:dyDescent="0.2">
      <c r="A113" s="345">
        <v>30955</v>
      </c>
      <c r="B113" s="71"/>
      <c r="C113" s="226"/>
      <c r="D113" s="71"/>
    </row>
    <row r="114" spans="1:4" x14ac:dyDescent="0.2">
      <c r="A114" s="345">
        <v>30986</v>
      </c>
      <c r="B114" s="71"/>
      <c r="C114" s="226"/>
      <c r="D114" s="71"/>
    </row>
    <row r="115" spans="1:4" x14ac:dyDescent="0.2">
      <c r="A115" s="345">
        <v>31016</v>
      </c>
      <c r="B115" s="71"/>
      <c r="C115" s="226"/>
      <c r="D115" s="71"/>
    </row>
    <row r="116" spans="1:4" x14ac:dyDescent="0.2">
      <c r="A116" s="345">
        <v>31047</v>
      </c>
      <c r="B116" s="71"/>
      <c r="C116" s="226"/>
      <c r="D116" s="71"/>
    </row>
    <row r="117" spans="1:4" x14ac:dyDescent="0.2">
      <c r="A117" s="345">
        <v>31078</v>
      </c>
      <c r="B117" s="71"/>
      <c r="C117" s="226"/>
      <c r="D117" s="71"/>
    </row>
    <row r="118" spans="1:4" x14ac:dyDescent="0.2">
      <c r="A118" s="345">
        <v>31106</v>
      </c>
      <c r="B118" s="71"/>
      <c r="C118" s="226"/>
      <c r="D118" s="71"/>
    </row>
    <row r="119" spans="1:4" x14ac:dyDescent="0.2">
      <c r="A119" s="345">
        <v>31137</v>
      </c>
      <c r="B119" s="71"/>
      <c r="C119" s="226"/>
      <c r="D119" s="71"/>
    </row>
    <row r="120" spans="1:4" x14ac:dyDescent="0.2">
      <c r="A120" s="345">
        <v>31167</v>
      </c>
      <c r="B120" s="71"/>
      <c r="C120" s="226"/>
      <c r="D120" s="71"/>
    </row>
    <row r="121" spans="1:4" x14ac:dyDescent="0.2">
      <c r="A121" s="345">
        <v>31198</v>
      </c>
      <c r="B121" s="71"/>
      <c r="C121" s="226"/>
      <c r="D121" s="71"/>
    </row>
    <row r="122" spans="1:4" x14ac:dyDescent="0.2">
      <c r="A122" s="345">
        <v>31228</v>
      </c>
      <c r="B122" s="71"/>
      <c r="C122" s="226"/>
      <c r="D122" s="71"/>
    </row>
    <row r="123" spans="1:4" x14ac:dyDescent="0.2">
      <c r="A123" s="345">
        <v>31259</v>
      </c>
      <c r="B123" s="71"/>
      <c r="C123" s="226"/>
      <c r="D123" s="71"/>
    </row>
    <row r="124" spans="1:4" x14ac:dyDescent="0.2">
      <c r="A124" s="345">
        <v>31290</v>
      </c>
      <c r="B124" s="71"/>
      <c r="C124" s="226"/>
      <c r="D124" s="71"/>
    </row>
    <row r="125" spans="1:4" x14ac:dyDescent="0.2">
      <c r="A125" s="345">
        <v>31320</v>
      </c>
      <c r="B125" s="71"/>
      <c r="C125" s="226"/>
      <c r="D125" s="71"/>
    </row>
    <row r="126" spans="1:4" x14ac:dyDescent="0.2">
      <c r="A126" s="345">
        <v>31351</v>
      </c>
      <c r="B126" s="71"/>
      <c r="C126" s="226"/>
      <c r="D126" s="71"/>
    </row>
    <row r="127" spans="1:4" x14ac:dyDescent="0.2">
      <c r="A127" s="345">
        <v>31381</v>
      </c>
      <c r="B127" s="71"/>
      <c r="C127" s="226"/>
      <c r="D127" s="71"/>
    </row>
    <row r="128" spans="1:4" x14ac:dyDescent="0.2">
      <c r="A128" s="345">
        <v>31412</v>
      </c>
      <c r="B128" s="71"/>
      <c r="C128" s="226"/>
      <c r="D128" s="71"/>
    </row>
    <row r="129" spans="1:4" x14ac:dyDescent="0.2">
      <c r="A129" s="345">
        <v>31443</v>
      </c>
      <c r="B129" s="71"/>
      <c r="C129" s="226"/>
      <c r="D129" s="71"/>
    </row>
    <row r="130" spans="1:4" x14ac:dyDescent="0.2">
      <c r="A130" s="345">
        <v>31471</v>
      </c>
      <c r="B130" s="71"/>
      <c r="C130" s="226"/>
      <c r="D130" s="71"/>
    </row>
    <row r="131" spans="1:4" x14ac:dyDescent="0.2">
      <c r="A131" s="345">
        <v>31502</v>
      </c>
      <c r="B131" s="71"/>
      <c r="C131" s="226"/>
      <c r="D131" s="71"/>
    </row>
    <row r="132" spans="1:4" x14ac:dyDescent="0.2">
      <c r="A132" s="345">
        <v>31532</v>
      </c>
      <c r="B132" s="71"/>
      <c r="C132" s="226"/>
      <c r="D132" s="71"/>
    </row>
    <row r="133" spans="1:4" x14ac:dyDescent="0.2">
      <c r="A133" s="345">
        <v>31563</v>
      </c>
      <c r="B133" s="71"/>
      <c r="C133" s="226"/>
      <c r="D133" s="71"/>
    </row>
    <row r="134" spans="1:4" x14ac:dyDescent="0.2">
      <c r="A134" s="345">
        <v>31593</v>
      </c>
      <c r="B134" s="71"/>
      <c r="C134" s="226"/>
      <c r="D134" s="71"/>
    </row>
    <row r="135" spans="1:4" x14ac:dyDescent="0.2">
      <c r="A135" s="345">
        <v>31624</v>
      </c>
      <c r="B135" s="71"/>
      <c r="C135" s="226"/>
      <c r="D135" s="71"/>
    </row>
    <row r="136" spans="1:4" x14ac:dyDescent="0.2">
      <c r="A136" s="345">
        <v>31655</v>
      </c>
      <c r="B136" s="71"/>
      <c r="C136" s="226"/>
      <c r="D136" s="71"/>
    </row>
    <row r="137" spans="1:4" x14ac:dyDescent="0.2">
      <c r="A137" s="345">
        <v>31685</v>
      </c>
      <c r="B137" s="71"/>
      <c r="C137" s="226"/>
      <c r="D137" s="71"/>
    </row>
    <row r="138" spans="1:4" x14ac:dyDescent="0.2">
      <c r="A138" s="345">
        <v>31716</v>
      </c>
      <c r="B138" s="71"/>
      <c r="C138" s="226"/>
      <c r="D138" s="71"/>
    </row>
    <row r="139" spans="1:4" x14ac:dyDescent="0.2">
      <c r="A139" s="345">
        <v>31746</v>
      </c>
      <c r="B139" s="71"/>
      <c r="C139" s="226"/>
      <c r="D139" s="71"/>
    </row>
    <row r="140" spans="1:4" x14ac:dyDescent="0.2">
      <c r="A140" s="345">
        <v>31777</v>
      </c>
      <c r="B140" s="71"/>
      <c r="C140" s="226"/>
      <c r="D140" s="71"/>
    </row>
    <row r="141" spans="1:4" x14ac:dyDescent="0.2">
      <c r="A141" s="345">
        <v>31808</v>
      </c>
      <c r="B141" s="73"/>
      <c r="C141" s="25"/>
      <c r="D141" s="79"/>
    </row>
    <row r="142" spans="1:4" x14ac:dyDescent="0.2">
      <c r="A142" s="345">
        <v>31836</v>
      </c>
      <c r="B142" s="73"/>
      <c r="C142" s="25"/>
      <c r="D142" s="79"/>
    </row>
    <row r="143" spans="1:4" x14ac:dyDescent="0.2">
      <c r="A143" s="345">
        <v>31867</v>
      </c>
      <c r="B143" s="73"/>
      <c r="C143" s="25"/>
      <c r="D143" s="79"/>
    </row>
    <row r="144" spans="1:4" x14ac:dyDescent="0.2">
      <c r="A144" s="345">
        <v>31897</v>
      </c>
      <c r="B144" s="73"/>
      <c r="C144" s="25"/>
      <c r="D144" s="79"/>
    </row>
    <row r="145" spans="1:4" x14ac:dyDescent="0.2">
      <c r="A145" s="345">
        <v>31928</v>
      </c>
      <c r="B145" s="73"/>
      <c r="C145" s="25"/>
      <c r="D145" s="79"/>
    </row>
    <row r="146" spans="1:4" x14ac:dyDescent="0.2">
      <c r="A146" s="345">
        <v>31958</v>
      </c>
      <c r="B146" s="73"/>
      <c r="C146" s="25"/>
      <c r="D146" s="79"/>
    </row>
    <row r="147" spans="1:4" x14ac:dyDescent="0.2">
      <c r="A147" s="345">
        <v>31989</v>
      </c>
      <c r="B147" s="73"/>
      <c r="C147" s="25"/>
      <c r="D147" s="79"/>
    </row>
    <row r="148" spans="1:4" x14ac:dyDescent="0.2">
      <c r="A148" s="345">
        <v>32020</v>
      </c>
      <c r="B148" s="73"/>
      <c r="C148" s="25"/>
      <c r="D148" s="79"/>
    </row>
    <row r="149" spans="1:4" x14ac:dyDescent="0.2">
      <c r="A149" s="345">
        <v>32050</v>
      </c>
      <c r="B149" s="73"/>
      <c r="C149" s="25"/>
      <c r="D149" s="79"/>
    </row>
    <row r="150" spans="1:4" x14ac:dyDescent="0.2">
      <c r="A150" s="345">
        <v>32081</v>
      </c>
      <c r="B150" s="73"/>
      <c r="C150" s="25"/>
      <c r="D150" s="79"/>
    </row>
    <row r="151" spans="1:4" x14ac:dyDescent="0.2">
      <c r="A151" s="345">
        <v>32111</v>
      </c>
      <c r="B151" s="73"/>
      <c r="C151" s="25"/>
      <c r="D151" s="79"/>
    </row>
    <row r="152" spans="1:4" x14ac:dyDescent="0.2">
      <c r="A152" s="345">
        <v>32142</v>
      </c>
      <c r="B152" s="73"/>
      <c r="C152" s="25"/>
      <c r="D152" s="79"/>
    </row>
    <row r="153" spans="1:4" x14ac:dyDescent="0.2">
      <c r="A153" s="345">
        <v>32173</v>
      </c>
      <c r="B153" s="73"/>
      <c r="C153" s="25"/>
      <c r="D153" s="79"/>
    </row>
    <row r="154" spans="1:4" x14ac:dyDescent="0.2">
      <c r="A154" s="345">
        <v>32202</v>
      </c>
      <c r="B154" s="73"/>
      <c r="C154" s="25"/>
      <c r="D154" s="79"/>
    </row>
    <row r="155" spans="1:4" x14ac:dyDescent="0.2">
      <c r="A155" s="345">
        <v>32233</v>
      </c>
      <c r="B155" s="73"/>
      <c r="C155" s="25"/>
      <c r="D155" s="79"/>
    </row>
    <row r="156" spans="1:4" x14ac:dyDescent="0.2">
      <c r="A156" s="345">
        <v>32263</v>
      </c>
      <c r="B156" s="73"/>
      <c r="C156" s="25"/>
      <c r="D156" s="79"/>
    </row>
    <row r="157" spans="1:4" x14ac:dyDescent="0.2">
      <c r="A157" s="345">
        <v>32294</v>
      </c>
      <c r="B157" s="73"/>
      <c r="C157" s="25"/>
      <c r="D157" s="79"/>
    </row>
    <row r="158" spans="1:4" x14ac:dyDescent="0.2">
      <c r="A158" s="345">
        <v>32324</v>
      </c>
      <c r="B158" s="73"/>
      <c r="C158" s="25"/>
      <c r="D158" s="79"/>
    </row>
    <row r="159" spans="1:4" x14ac:dyDescent="0.2">
      <c r="A159" s="345">
        <v>32355</v>
      </c>
      <c r="B159" s="73"/>
      <c r="C159" s="25"/>
      <c r="D159" s="79"/>
    </row>
    <row r="160" spans="1:4" x14ac:dyDescent="0.2">
      <c r="A160" s="345">
        <v>32386</v>
      </c>
      <c r="B160" s="73"/>
      <c r="C160" s="25"/>
      <c r="D160" s="79"/>
    </row>
    <row r="161" spans="1:4" x14ac:dyDescent="0.2">
      <c r="A161" s="345">
        <v>32416</v>
      </c>
      <c r="B161" s="73"/>
      <c r="C161" s="25"/>
      <c r="D161" s="79"/>
    </row>
    <row r="162" spans="1:4" x14ac:dyDescent="0.2">
      <c r="A162" s="345">
        <v>32447</v>
      </c>
      <c r="B162" s="73"/>
      <c r="C162" s="25"/>
      <c r="D162" s="79"/>
    </row>
    <row r="163" spans="1:4" x14ac:dyDescent="0.2">
      <c r="A163" s="345">
        <v>32477</v>
      </c>
      <c r="B163" s="73"/>
      <c r="C163" s="25"/>
      <c r="D163" s="79"/>
    </row>
    <row r="164" spans="1:4" x14ac:dyDescent="0.2">
      <c r="A164" s="345">
        <v>32508</v>
      </c>
      <c r="B164" s="73"/>
      <c r="C164" s="25"/>
      <c r="D164" s="79"/>
    </row>
    <row r="165" spans="1:4" x14ac:dyDescent="0.2">
      <c r="A165" s="345">
        <v>32539</v>
      </c>
      <c r="B165" s="73"/>
      <c r="C165" s="25"/>
      <c r="D165" s="79"/>
    </row>
    <row r="166" spans="1:4" x14ac:dyDescent="0.2">
      <c r="A166" s="345">
        <v>32567</v>
      </c>
      <c r="B166" s="73"/>
      <c r="C166" s="25"/>
      <c r="D166" s="79"/>
    </row>
    <row r="167" spans="1:4" x14ac:dyDescent="0.2">
      <c r="A167" s="345">
        <v>32598</v>
      </c>
      <c r="B167" s="73"/>
      <c r="C167" s="25"/>
      <c r="D167" s="79"/>
    </row>
    <row r="168" spans="1:4" x14ac:dyDescent="0.2">
      <c r="A168" s="345">
        <v>32628</v>
      </c>
      <c r="B168" s="73"/>
      <c r="C168" s="25"/>
      <c r="D168" s="79"/>
    </row>
    <row r="169" spans="1:4" x14ac:dyDescent="0.2">
      <c r="A169" s="345">
        <v>32659</v>
      </c>
      <c r="B169" s="73"/>
      <c r="C169" s="25"/>
      <c r="D169" s="79"/>
    </row>
    <row r="170" spans="1:4" x14ac:dyDescent="0.2">
      <c r="A170" s="345">
        <v>32689</v>
      </c>
      <c r="B170" s="73"/>
      <c r="C170" s="25"/>
      <c r="D170" s="79"/>
    </row>
    <row r="171" spans="1:4" x14ac:dyDescent="0.2">
      <c r="A171" s="345">
        <v>32720</v>
      </c>
      <c r="B171" s="73"/>
      <c r="C171" s="25"/>
      <c r="D171" s="79"/>
    </row>
    <row r="172" spans="1:4" x14ac:dyDescent="0.2">
      <c r="A172" s="345">
        <v>32751</v>
      </c>
      <c r="B172" s="73"/>
      <c r="C172" s="25"/>
      <c r="D172" s="79"/>
    </row>
    <row r="173" spans="1:4" x14ac:dyDescent="0.2">
      <c r="A173" s="345">
        <v>32781</v>
      </c>
      <c r="B173" s="73"/>
      <c r="C173" s="25"/>
      <c r="D173" s="79"/>
    </row>
    <row r="174" spans="1:4" x14ac:dyDescent="0.2">
      <c r="A174" s="345">
        <v>32812</v>
      </c>
      <c r="B174" s="73"/>
      <c r="C174" s="25"/>
      <c r="D174" s="79"/>
    </row>
    <row r="175" spans="1:4" x14ac:dyDescent="0.2">
      <c r="A175" s="345">
        <v>32842</v>
      </c>
      <c r="B175" s="73"/>
      <c r="C175" s="25"/>
      <c r="D175" s="79"/>
    </row>
    <row r="176" spans="1:4" x14ac:dyDescent="0.2">
      <c r="A176" s="345">
        <v>32873</v>
      </c>
      <c r="B176" s="73"/>
      <c r="C176" s="25"/>
      <c r="D176" s="79"/>
    </row>
    <row r="177" spans="1:4" x14ac:dyDescent="0.2">
      <c r="A177" s="345">
        <v>32904</v>
      </c>
      <c r="B177" s="73"/>
      <c r="C177" s="25"/>
      <c r="D177" s="79"/>
    </row>
    <row r="178" spans="1:4" x14ac:dyDescent="0.2">
      <c r="A178" s="345">
        <v>32932</v>
      </c>
      <c r="B178" s="73"/>
      <c r="C178" s="25"/>
      <c r="D178" s="79"/>
    </row>
    <row r="179" spans="1:4" x14ac:dyDescent="0.2">
      <c r="A179" s="345">
        <v>32963</v>
      </c>
      <c r="B179" s="73"/>
      <c r="C179" s="25"/>
      <c r="D179" s="79"/>
    </row>
    <row r="180" spans="1:4" x14ac:dyDescent="0.2">
      <c r="A180" s="345">
        <v>32993</v>
      </c>
      <c r="B180" s="73"/>
      <c r="C180" s="25"/>
      <c r="D180" s="79"/>
    </row>
    <row r="181" spans="1:4" x14ac:dyDescent="0.2">
      <c r="A181" s="345">
        <v>33024</v>
      </c>
      <c r="B181" s="73"/>
      <c r="C181" s="25"/>
      <c r="D181" s="79"/>
    </row>
    <row r="182" spans="1:4" x14ac:dyDescent="0.2">
      <c r="A182" s="345">
        <v>33054</v>
      </c>
      <c r="B182" s="73"/>
      <c r="C182" s="25"/>
      <c r="D182" s="79"/>
    </row>
    <row r="183" spans="1:4" x14ac:dyDescent="0.2">
      <c r="A183" s="345">
        <v>33085</v>
      </c>
      <c r="B183" s="73"/>
      <c r="C183" s="25"/>
      <c r="D183" s="79"/>
    </row>
    <row r="184" spans="1:4" x14ac:dyDescent="0.2">
      <c r="A184" s="345">
        <v>33116</v>
      </c>
      <c r="B184" s="73"/>
      <c r="C184" s="25"/>
      <c r="D184" s="79"/>
    </row>
    <row r="185" spans="1:4" x14ac:dyDescent="0.2">
      <c r="A185" s="345">
        <v>33146</v>
      </c>
      <c r="B185" s="73"/>
      <c r="C185" s="25"/>
      <c r="D185" s="79"/>
    </row>
    <row r="186" spans="1:4" x14ac:dyDescent="0.2">
      <c r="A186" s="345">
        <v>33177</v>
      </c>
      <c r="B186" s="73"/>
      <c r="C186" s="25"/>
      <c r="D186" s="79"/>
    </row>
    <row r="187" spans="1:4" x14ac:dyDescent="0.2">
      <c r="A187" s="345">
        <v>33207</v>
      </c>
      <c r="B187" s="73"/>
      <c r="C187" s="25"/>
      <c r="D187" s="79"/>
    </row>
    <row r="188" spans="1:4" x14ac:dyDescent="0.2">
      <c r="A188" s="345">
        <v>33238</v>
      </c>
      <c r="B188" s="73"/>
      <c r="C188" s="25"/>
      <c r="D188" s="79"/>
    </row>
    <row r="189" spans="1:4" x14ac:dyDescent="0.2">
      <c r="A189" s="345">
        <v>33269</v>
      </c>
      <c r="B189" s="73"/>
      <c r="C189" s="25"/>
      <c r="D189" s="79"/>
    </row>
    <row r="190" spans="1:4" x14ac:dyDescent="0.2">
      <c r="A190" s="345">
        <v>33297</v>
      </c>
      <c r="B190" s="73"/>
      <c r="C190" s="25"/>
      <c r="D190" s="79"/>
    </row>
    <row r="191" spans="1:4" x14ac:dyDescent="0.2">
      <c r="A191" s="345">
        <v>33328</v>
      </c>
      <c r="B191" s="73"/>
      <c r="C191" s="25"/>
      <c r="D191" s="79"/>
    </row>
    <row r="192" spans="1:4" x14ac:dyDescent="0.2">
      <c r="A192" s="345">
        <v>33358</v>
      </c>
      <c r="B192" s="73"/>
      <c r="C192" s="25"/>
      <c r="D192" s="79"/>
    </row>
    <row r="193" spans="1:4" x14ac:dyDescent="0.2">
      <c r="A193" s="345">
        <v>33389</v>
      </c>
      <c r="B193" s="73"/>
      <c r="C193" s="25"/>
      <c r="D193" s="79"/>
    </row>
    <row r="194" spans="1:4" x14ac:dyDescent="0.2">
      <c r="A194" s="345">
        <v>33419</v>
      </c>
      <c r="B194" s="73"/>
      <c r="C194" s="25"/>
      <c r="D194" s="79"/>
    </row>
    <row r="195" spans="1:4" x14ac:dyDescent="0.2">
      <c r="A195" s="345">
        <v>33450</v>
      </c>
      <c r="B195" s="73"/>
      <c r="C195" s="25"/>
      <c r="D195" s="79"/>
    </row>
    <row r="196" spans="1:4" x14ac:dyDescent="0.2">
      <c r="A196" s="345">
        <v>33481</v>
      </c>
      <c r="B196" s="73"/>
      <c r="C196" s="25"/>
      <c r="D196" s="79"/>
    </row>
    <row r="197" spans="1:4" x14ac:dyDescent="0.2">
      <c r="A197" s="345">
        <v>33511</v>
      </c>
      <c r="B197" s="73"/>
      <c r="C197" s="25"/>
      <c r="D197" s="79"/>
    </row>
    <row r="198" spans="1:4" x14ac:dyDescent="0.2">
      <c r="A198" s="345">
        <v>33542</v>
      </c>
      <c r="B198" s="73"/>
      <c r="C198" s="25"/>
      <c r="D198" s="79"/>
    </row>
    <row r="199" spans="1:4" x14ac:dyDescent="0.2">
      <c r="A199" s="345">
        <v>33572</v>
      </c>
      <c r="B199" s="73"/>
      <c r="C199" s="25"/>
      <c r="D199" s="79"/>
    </row>
    <row r="200" spans="1:4" x14ac:dyDescent="0.2">
      <c r="A200" s="345">
        <v>33603</v>
      </c>
      <c r="B200" s="73"/>
      <c r="C200" s="25"/>
      <c r="D200" s="79"/>
    </row>
    <row r="201" spans="1:4" x14ac:dyDescent="0.2">
      <c r="A201" s="345">
        <v>33634</v>
      </c>
      <c r="B201" s="73"/>
      <c r="C201" s="25"/>
      <c r="D201" s="79"/>
    </row>
    <row r="202" spans="1:4" x14ac:dyDescent="0.2">
      <c r="A202" s="345">
        <v>33663</v>
      </c>
      <c r="B202" s="73"/>
      <c r="C202" s="25"/>
      <c r="D202" s="79"/>
    </row>
    <row r="203" spans="1:4" x14ac:dyDescent="0.2">
      <c r="A203" s="345">
        <v>33694</v>
      </c>
      <c r="B203" s="73"/>
      <c r="C203" s="25"/>
      <c r="D203" s="79"/>
    </row>
    <row r="204" spans="1:4" x14ac:dyDescent="0.2">
      <c r="A204" s="345">
        <v>33724</v>
      </c>
      <c r="B204" s="73"/>
      <c r="C204" s="25"/>
      <c r="D204" s="79"/>
    </row>
    <row r="205" spans="1:4" x14ac:dyDescent="0.2">
      <c r="A205" s="345">
        <v>33755</v>
      </c>
      <c r="B205" s="73"/>
      <c r="C205" s="25"/>
      <c r="D205" s="79"/>
    </row>
    <row r="206" spans="1:4" x14ac:dyDescent="0.2">
      <c r="A206" s="345">
        <v>33785</v>
      </c>
      <c r="B206" s="73"/>
      <c r="C206" s="25"/>
      <c r="D206" s="79"/>
    </row>
    <row r="207" spans="1:4" x14ac:dyDescent="0.2">
      <c r="A207" s="345">
        <v>33816</v>
      </c>
      <c r="B207" s="73"/>
      <c r="C207" s="25"/>
      <c r="D207" s="79"/>
    </row>
    <row r="208" spans="1:4" x14ac:dyDescent="0.2">
      <c r="A208" s="345">
        <v>33847</v>
      </c>
      <c r="B208" s="73"/>
      <c r="C208" s="25"/>
      <c r="D208" s="79"/>
    </row>
    <row r="209" spans="1:4" x14ac:dyDescent="0.2">
      <c r="A209" s="345">
        <v>33877</v>
      </c>
      <c r="B209" s="73"/>
      <c r="C209" s="25"/>
      <c r="D209" s="79"/>
    </row>
    <row r="210" spans="1:4" x14ac:dyDescent="0.2">
      <c r="A210" s="345">
        <v>33908</v>
      </c>
      <c r="B210" s="73"/>
      <c r="C210" s="25"/>
      <c r="D210" s="79"/>
    </row>
    <row r="211" spans="1:4" x14ac:dyDescent="0.2">
      <c r="A211" s="345">
        <v>33938</v>
      </c>
      <c r="B211" s="73"/>
      <c r="C211" s="25"/>
      <c r="D211" s="79"/>
    </row>
    <row r="212" spans="1:4" x14ac:dyDescent="0.2">
      <c r="A212" s="345">
        <v>33969</v>
      </c>
      <c r="B212" s="73"/>
      <c r="C212" s="25"/>
      <c r="D212" s="79"/>
    </row>
    <row r="213" spans="1:4" x14ac:dyDescent="0.2">
      <c r="A213" s="345">
        <v>34000</v>
      </c>
      <c r="B213" s="73"/>
      <c r="C213" s="25"/>
      <c r="D213" s="79"/>
    </row>
    <row r="214" spans="1:4" x14ac:dyDescent="0.2">
      <c r="A214" s="345">
        <v>34028</v>
      </c>
      <c r="B214" s="73"/>
      <c r="C214" s="25"/>
      <c r="D214" s="79"/>
    </row>
    <row r="215" spans="1:4" x14ac:dyDescent="0.2">
      <c r="A215" s="345">
        <v>34059</v>
      </c>
      <c r="B215" s="73"/>
      <c r="C215" s="25"/>
      <c r="D215" s="79"/>
    </row>
    <row r="216" spans="1:4" x14ac:dyDescent="0.2">
      <c r="A216" s="345">
        <v>34089</v>
      </c>
      <c r="B216" s="73"/>
      <c r="C216" s="25"/>
      <c r="D216" s="79"/>
    </row>
    <row r="217" spans="1:4" x14ac:dyDescent="0.2">
      <c r="A217" s="345">
        <v>34120</v>
      </c>
      <c r="B217" s="73"/>
      <c r="C217" s="25"/>
      <c r="D217" s="79"/>
    </row>
    <row r="218" spans="1:4" x14ac:dyDescent="0.2">
      <c r="A218" s="345">
        <v>34150</v>
      </c>
      <c r="B218" s="73"/>
      <c r="C218" s="25"/>
      <c r="D218" s="79"/>
    </row>
    <row r="219" spans="1:4" x14ac:dyDescent="0.2">
      <c r="A219" s="345">
        <v>34181</v>
      </c>
      <c r="B219" s="73"/>
      <c r="C219" s="25"/>
      <c r="D219" s="79"/>
    </row>
    <row r="220" spans="1:4" x14ac:dyDescent="0.2">
      <c r="A220" s="345">
        <v>34212</v>
      </c>
      <c r="B220" s="73"/>
      <c r="C220" s="25"/>
      <c r="D220" s="79"/>
    </row>
    <row r="221" spans="1:4" x14ac:dyDescent="0.2">
      <c r="A221" s="345">
        <v>34242</v>
      </c>
      <c r="B221" s="73"/>
      <c r="C221" s="25"/>
      <c r="D221" s="79"/>
    </row>
    <row r="222" spans="1:4" x14ac:dyDescent="0.2">
      <c r="A222" s="345">
        <v>34273</v>
      </c>
      <c r="B222" s="73"/>
      <c r="C222" s="25"/>
      <c r="D222" s="79"/>
    </row>
    <row r="223" spans="1:4" x14ac:dyDescent="0.2">
      <c r="A223" s="345">
        <v>34303</v>
      </c>
      <c r="B223" s="73"/>
      <c r="C223" s="25"/>
      <c r="D223" s="79"/>
    </row>
    <row r="224" spans="1:4" x14ac:dyDescent="0.2">
      <c r="A224" s="345">
        <v>34334</v>
      </c>
      <c r="B224" s="73"/>
      <c r="C224" s="25"/>
      <c r="D224" s="79"/>
    </row>
    <row r="225" spans="1:4" x14ac:dyDescent="0.2">
      <c r="A225" s="345">
        <v>34365</v>
      </c>
      <c r="B225" s="73"/>
      <c r="C225" s="25"/>
      <c r="D225" s="79"/>
    </row>
    <row r="226" spans="1:4" x14ac:dyDescent="0.2">
      <c r="A226" s="345">
        <v>34393</v>
      </c>
      <c r="B226" s="73"/>
      <c r="C226" s="25"/>
      <c r="D226" s="79"/>
    </row>
    <row r="227" spans="1:4" x14ac:dyDescent="0.2">
      <c r="A227" s="345">
        <v>34424</v>
      </c>
      <c r="B227" s="73"/>
      <c r="C227" s="25"/>
      <c r="D227" s="79"/>
    </row>
    <row r="228" spans="1:4" x14ac:dyDescent="0.2">
      <c r="A228" s="345">
        <v>34454</v>
      </c>
      <c r="B228" s="73"/>
      <c r="C228" s="25"/>
      <c r="D228" s="79"/>
    </row>
    <row r="229" spans="1:4" x14ac:dyDescent="0.2">
      <c r="A229" s="345">
        <v>34485</v>
      </c>
      <c r="B229" s="73"/>
      <c r="C229" s="25"/>
      <c r="D229" s="79"/>
    </row>
    <row r="230" spans="1:4" x14ac:dyDescent="0.2">
      <c r="A230" s="345">
        <v>34515</v>
      </c>
      <c r="B230" s="73"/>
      <c r="C230" s="25"/>
      <c r="D230" s="79"/>
    </row>
    <row r="231" spans="1:4" x14ac:dyDescent="0.2">
      <c r="A231" s="345">
        <v>34546</v>
      </c>
      <c r="B231" s="73"/>
      <c r="C231" s="25"/>
      <c r="D231" s="79"/>
    </row>
    <row r="232" spans="1:4" x14ac:dyDescent="0.2">
      <c r="A232" s="345">
        <v>34577</v>
      </c>
      <c r="B232" s="73"/>
      <c r="C232" s="25"/>
      <c r="D232" s="79"/>
    </row>
    <row r="233" spans="1:4" x14ac:dyDescent="0.2">
      <c r="A233" s="345">
        <v>34607</v>
      </c>
      <c r="B233" s="73"/>
      <c r="C233" s="25"/>
      <c r="D233" s="79"/>
    </row>
    <row r="234" spans="1:4" x14ac:dyDescent="0.2">
      <c r="A234" s="345">
        <v>34638</v>
      </c>
      <c r="B234" s="73"/>
      <c r="C234" s="25"/>
      <c r="D234" s="79"/>
    </row>
    <row r="235" spans="1:4" x14ac:dyDescent="0.2">
      <c r="A235" s="345">
        <v>34668</v>
      </c>
      <c r="B235" s="73"/>
      <c r="C235" s="25"/>
      <c r="D235" s="79"/>
    </row>
    <row r="236" spans="1:4" x14ac:dyDescent="0.2">
      <c r="A236" s="345">
        <v>34699</v>
      </c>
      <c r="B236" s="73"/>
      <c r="C236" s="25"/>
      <c r="D236" s="79"/>
    </row>
    <row r="237" spans="1:4" x14ac:dyDescent="0.2">
      <c r="A237" s="345">
        <v>34730</v>
      </c>
      <c r="B237" s="73"/>
      <c r="C237" s="25"/>
      <c r="D237" s="79"/>
    </row>
    <row r="238" spans="1:4" x14ac:dyDescent="0.2">
      <c r="A238" s="345">
        <v>34758</v>
      </c>
      <c r="B238" s="73"/>
      <c r="C238" s="25"/>
      <c r="D238" s="79"/>
    </row>
    <row r="239" spans="1:4" x14ac:dyDescent="0.2">
      <c r="A239" s="345">
        <v>34789</v>
      </c>
      <c r="B239" s="73"/>
      <c r="C239" s="25"/>
      <c r="D239" s="79"/>
    </row>
    <row r="240" spans="1:4" x14ac:dyDescent="0.2">
      <c r="A240" s="345">
        <v>34819</v>
      </c>
      <c r="B240" s="73"/>
      <c r="C240" s="25"/>
      <c r="D240" s="79"/>
    </row>
    <row r="241" spans="1:4" x14ac:dyDescent="0.2">
      <c r="A241" s="345">
        <v>34850</v>
      </c>
      <c r="B241" s="73"/>
      <c r="C241" s="25"/>
      <c r="D241" s="79"/>
    </row>
    <row r="242" spans="1:4" x14ac:dyDescent="0.2">
      <c r="A242" s="345">
        <v>34880</v>
      </c>
      <c r="B242" s="73"/>
      <c r="C242" s="25"/>
      <c r="D242" s="79"/>
    </row>
    <row r="243" spans="1:4" x14ac:dyDescent="0.2">
      <c r="A243" s="345">
        <v>34911</v>
      </c>
      <c r="B243" s="73"/>
      <c r="C243" s="25"/>
      <c r="D243" s="79"/>
    </row>
    <row r="244" spans="1:4" x14ac:dyDescent="0.2">
      <c r="A244" s="345">
        <v>34942</v>
      </c>
      <c r="B244" s="73"/>
      <c r="C244" s="25"/>
      <c r="D244" s="79"/>
    </row>
    <row r="245" spans="1:4" x14ac:dyDescent="0.2">
      <c r="A245" s="345">
        <v>34972</v>
      </c>
      <c r="B245" s="73"/>
      <c r="C245" s="25"/>
      <c r="D245" s="79"/>
    </row>
    <row r="246" spans="1:4" x14ac:dyDescent="0.2">
      <c r="A246" s="345">
        <v>35003</v>
      </c>
      <c r="B246" s="73"/>
      <c r="C246" s="25"/>
      <c r="D246" s="79"/>
    </row>
    <row r="247" spans="1:4" x14ac:dyDescent="0.2">
      <c r="A247" s="345">
        <v>35033</v>
      </c>
      <c r="B247" s="73"/>
      <c r="C247" s="25"/>
      <c r="D247" s="79"/>
    </row>
    <row r="248" spans="1:4" x14ac:dyDescent="0.2">
      <c r="A248" s="345">
        <v>35064</v>
      </c>
      <c r="B248" s="73"/>
      <c r="C248" s="25"/>
      <c r="D248" s="79"/>
    </row>
    <row r="249" spans="1:4" x14ac:dyDescent="0.2">
      <c r="A249" s="345">
        <v>35095</v>
      </c>
      <c r="B249" s="73"/>
      <c r="C249" s="25"/>
      <c r="D249" s="79"/>
    </row>
    <row r="250" spans="1:4" x14ac:dyDescent="0.2">
      <c r="A250" s="345">
        <v>35124</v>
      </c>
      <c r="B250" s="73"/>
      <c r="C250" s="25"/>
      <c r="D250" s="79"/>
    </row>
    <row r="251" spans="1:4" x14ac:dyDescent="0.2">
      <c r="A251" s="345">
        <v>35155</v>
      </c>
      <c r="B251" s="73"/>
      <c r="C251" s="25"/>
      <c r="D251" s="79"/>
    </row>
    <row r="252" spans="1:4" x14ac:dyDescent="0.2">
      <c r="A252" s="345">
        <v>35185</v>
      </c>
      <c r="B252" s="73"/>
      <c r="C252" s="25"/>
      <c r="D252" s="79"/>
    </row>
    <row r="253" spans="1:4" x14ac:dyDescent="0.2">
      <c r="A253" s="345">
        <v>35216</v>
      </c>
      <c r="B253" s="73"/>
      <c r="C253" s="25"/>
      <c r="D253" s="79"/>
    </row>
    <row r="254" spans="1:4" x14ac:dyDescent="0.2">
      <c r="A254" s="345">
        <v>35246</v>
      </c>
      <c r="B254" s="73"/>
      <c r="C254" s="25"/>
      <c r="D254" s="79"/>
    </row>
    <row r="255" spans="1:4" x14ac:dyDescent="0.2">
      <c r="A255" s="345">
        <v>35277</v>
      </c>
      <c r="B255" s="73"/>
      <c r="C255" s="25"/>
      <c r="D255" s="79"/>
    </row>
    <row r="256" spans="1:4" x14ac:dyDescent="0.2">
      <c r="A256" s="345">
        <v>35308</v>
      </c>
      <c r="B256" s="73"/>
      <c r="C256" s="25"/>
      <c r="D256" s="79"/>
    </row>
    <row r="257" spans="1:4" x14ac:dyDescent="0.2">
      <c r="A257" s="345">
        <v>35338</v>
      </c>
      <c r="B257" s="73"/>
      <c r="C257" s="25"/>
      <c r="D257" s="79"/>
    </row>
    <row r="258" spans="1:4" x14ac:dyDescent="0.2">
      <c r="A258" s="345">
        <v>35369</v>
      </c>
      <c r="B258" s="73"/>
      <c r="C258" s="25"/>
      <c r="D258" s="79"/>
    </row>
    <row r="259" spans="1:4" x14ac:dyDescent="0.2">
      <c r="A259" s="345">
        <v>35399</v>
      </c>
      <c r="B259" s="73"/>
      <c r="C259" s="25"/>
      <c r="D259" s="79"/>
    </row>
    <row r="260" spans="1:4" x14ac:dyDescent="0.2">
      <c r="A260" s="345">
        <v>35430</v>
      </c>
      <c r="B260" s="73"/>
      <c r="C260" s="25"/>
      <c r="D260" s="79"/>
    </row>
    <row r="261" spans="1:4" x14ac:dyDescent="0.2">
      <c r="A261" s="345">
        <v>35461</v>
      </c>
      <c r="B261" s="73"/>
      <c r="C261" s="25"/>
      <c r="D261" s="79"/>
    </row>
    <row r="262" spans="1:4" x14ac:dyDescent="0.2">
      <c r="A262" s="345">
        <v>35489</v>
      </c>
      <c r="B262" s="73"/>
      <c r="C262" s="25"/>
      <c r="D262" s="79"/>
    </row>
    <row r="263" spans="1:4" x14ac:dyDescent="0.2">
      <c r="A263" s="345">
        <v>35520</v>
      </c>
      <c r="B263" s="73"/>
      <c r="C263" s="25"/>
      <c r="D263" s="79"/>
    </row>
    <row r="264" spans="1:4" x14ac:dyDescent="0.2">
      <c r="A264" s="345">
        <v>35550</v>
      </c>
      <c r="B264" s="1369"/>
      <c r="C264" s="35"/>
      <c r="D264" s="79"/>
    </row>
    <row r="265" spans="1:4" x14ac:dyDescent="0.2">
      <c r="A265" s="345">
        <v>35581</v>
      </c>
      <c r="B265" s="1369"/>
      <c r="C265" s="35"/>
      <c r="D265" s="79"/>
    </row>
    <row r="266" spans="1:4" x14ac:dyDescent="0.2">
      <c r="A266" s="345">
        <v>35611</v>
      </c>
      <c r="B266" s="1369"/>
      <c r="C266" s="35"/>
      <c r="D266" s="79"/>
    </row>
    <row r="267" spans="1:4" x14ac:dyDescent="0.2">
      <c r="A267" s="345">
        <v>35642</v>
      </c>
      <c r="B267" s="1369"/>
      <c r="C267" s="35"/>
      <c r="D267" s="79"/>
    </row>
    <row r="268" spans="1:4" x14ac:dyDescent="0.2">
      <c r="A268" s="345">
        <v>35673</v>
      </c>
      <c r="B268" s="1369"/>
      <c r="C268" s="35"/>
      <c r="D268" s="79"/>
    </row>
    <row r="269" spans="1:4" x14ac:dyDescent="0.2">
      <c r="A269" s="345">
        <v>35703</v>
      </c>
      <c r="B269" s="1369"/>
      <c r="C269" s="35"/>
      <c r="D269" s="79"/>
    </row>
    <row r="270" spans="1:4" x14ac:dyDescent="0.2">
      <c r="A270" s="345">
        <v>35734</v>
      </c>
      <c r="B270" s="1369"/>
      <c r="C270" s="35"/>
      <c r="D270" s="79"/>
    </row>
    <row r="271" spans="1:4" x14ac:dyDescent="0.2">
      <c r="A271" s="345">
        <v>35764</v>
      </c>
      <c r="B271" s="1369"/>
      <c r="C271" s="35"/>
      <c r="D271" s="79"/>
    </row>
    <row r="272" spans="1:4" x14ac:dyDescent="0.2">
      <c r="A272" s="345">
        <v>35795</v>
      </c>
      <c r="B272" s="1369"/>
      <c r="C272" s="35"/>
      <c r="D272" s="79"/>
    </row>
    <row r="273" spans="1:4" x14ac:dyDescent="0.2">
      <c r="A273" s="345">
        <v>35826</v>
      </c>
      <c r="B273" s="1369"/>
      <c r="C273" s="35"/>
      <c r="D273" s="79"/>
    </row>
    <row r="274" spans="1:4" x14ac:dyDescent="0.2">
      <c r="A274" s="345">
        <v>35854</v>
      </c>
      <c r="B274" s="1369"/>
      <c r="C274" s="35"/>
      <c r="D274" s="79"/>
    </row>
    <row r="275" spans="1:4" x14ac:dyDescent="0.2">
      <c r="A275" s="345">
        <v>35885</v>
      </c>
      <c r="B275" s="1369"/>
      <c r="C275" s="33"/>
      <c r="D275" s="79"/>
    </row>
    <row r="276" spans="1:4" x14ac:dyDescent="0.2">
      <c r="A276" s="345">
        <v>35915</v>
      </c>
      <c r="B276" s="1369"/>
      <c r="C276" s="33"/>
      <c r="D276" s="79"/>
    </row>
    <row r="277" spans="1:4" x14ac:dyDescent="0.2">
      <c r="A277" s="345">
        <v>35946</v>
      </c>
      <c r="B277" s="1369"/>
      <c r="C277" s="33"/>
      <c r="D277" s="79"/>
    </row>
    <row r="278" spans="1:4" x14ac:dyDescent="0.2">
      <c r="A278" s="345">
        <v>35976</v>
      </c>
      <c r="B278" s="1369"/>
      <c r="C278" s="33"/>
      <c r="D278" s="79"/>
    </row>
    <row r="279" spans="1:4" x14ac:dyDescent="0.2">
      <c r="A279" s="345">
        <v>36007</v>
      </c>
      <c r="B279" s="1369"/>
      <c r="C279" s="33"/>
      <c r="D279" s="79"/>
    </row>
    <row r="280" spans="1:4" x14ac:dyDescent="0.2">
      <c r="A280" s="345">
        <v>36038</v>
      </c>
      <c r="B280" s="1369"/>
      <c r="C280" s="33"/>
      <c r="D280" s="79"/>
    </row>
    <row r="281" spans="1:4" x14ac:dyDescent="0.2">
      <c r="A281" s="345">
        <v>36068</v>
      </c>
      <c r="B281" s="1369"/>
      <c r="C281" s="33"/>
      <c r="D281" s="79"/>
    </row>
    <row r="282" spans="1:4" x14ac:dyDescent="0.2">
      <c r="A282" s="345">
        <v>36099</v>
      </c>
      <c r="B282" s="1369"/>
      <c r="C282" s="33"/>
      <c r="D282" s="79"/>
    </row>
    <row r="283" spans="1:4" x14ac:dyDescent="0.2">
      <c r="A283" s="345">
        <v>36129</v>
      </c>
      <c r="B283" s="1369"/>
      <c r="C283" s="33"/>
      <c r="D283" s="79"/>
    </row>
    <row r="284" spans="1:4" x14ac:dyDescent="0.2">
      <c r="A284" s="345">
        <v>36160</v>
      </c>
      <c r="B284" s="1369"/>
      <c r="C284" s="33"/>
      <c r="D284" s="79"/>
    </row>
    <row r="285" spans="1:4" x14ac:dyDescent="0.2">
      <c r="A285" s="345">
        <v>36191</v>
      </c>
      <c r="B285" s="1369"/>
      <c r="C285" s="33"/>
      <c r="D285" s="79"/>
    </row>
    <row r="286" spans="1:4" x14ac:dyDescent="0.2">
      <c r="A286" s="345">
        <v>36219</v>
      </c>
      <c r="B286" s="1369"/>
      <c r="C286" s="33"/>
      <c r="D286" s="79"/>
    </row>
    <row r="287" spans="1:4" x14ac:dyDescent="0.2">
      <c r="A287" s="345">
        <v>36250</v>
      </c>
      <c r="B287" s="1369"/>
      <c r="C287" s="33"/>
      <c r="D287" s="79"/>
    </row>
    <row r="288" spans="1:4" x14ac:dyDescent="0.2">
      <c r="A288" s="345">
        <v>36280</v>
      </c>
      <c r="B288" s="1369"/>
      <c r="C288" s="33"/>
      <c r="D288" s="79"/>
    </row>
    <row r="289" spans="1:4" x14ac:dyDescent="0.2">
      <c r="A289" s="345">
        <v>36311</v>
      </c>
      <c r="B289" s="1369"/>
      <c r="C289" s="33"/>
      <c r="D289" s="79"/>
    </row>
    <row r="290" spans="1:4" x14ac:dyDescent="0.2">
      <c r="A290" s="345">
        <v>36341</v>
      </c>
      <c r="B290" s="1369"/>
      <c r="C290" s="33"/>
      <c r="D290" s="79"/>
    </row>
    <row r="291" spans="1:4" x14ac:dyDescent="0.2">
      <c r="A291" s="345">
        <v>36372</v>
      </c>
      <c r="B291" s="1369"/>
      <c r="C291" s="33"/>
      <c r="D291" s="79"/>
    </row>
    <row r="292" spans="1:4" x14ac:dyDescent="0.2">
      <c r="A292" s="345">
        <v>36403</v>
      </c>
      <c r="B292" s="1369"/>
      <c r="C292" s="33"/>
      <c r="D292" s="79"/>
    </row>
    <row r="293" spans="1:4" x14ac:dyDescent="0.2">
      <c r="A293" s="345">
        <v>36433</v>
      </c>
      <c r="B293" s="1369"/>
      <c r="C293" s="33"/>
      <c r="D293" s="79"/>
    </row>
    <row r="294" spans="1:4" x14ac:dyDescent="0.2">
      <c r="A294" s="345">
        <v>36464</v>
      </c>
      <c r="B294" s="1369"/>
      <c r="C294" s="33"/>
      <c r="D294" s="79"/>
    </row>
    <row r="295" spans="1:4" x14ac:dyDescent="0.2">
      <c r="A295" s="345">
        <v>36494</v>
      </c>
      <c r="B295" s="1369"/>
      <c r="C295" s="33"/>
      <c r="D295" s="79"/>
    </row>
    <row r="296" spans="1:4" x14ac:dyDescent="0.2">
      <c r="A296" s="345">
        <v>36525</v>
      </c>
      <c r="B296" s="1369"/>
      <c r="C296" s="33"/>
      <c r="D296" s="79"/>
    </row>
    <row r="297" spans="1:4" x14ac:dyDescent="0.2">
      <c r="A297" s="345">
        <v>36556</v>
      </c>
      <c r="B297" s="1369"/>
      <c r="C297" s="33"/>
      <c r="D297" s="79"/>
    </row>
    <row r="298" spans="1:4" x14ac:dyDescent="0.2">
      <c r="A298" s="345">
        <v>36585</v>
      </c>
      <c r="B298" s="1369"/>
      <c r="C298" s="33"/>
      <c r="D298" s="79"/>
    </row>
    <row r="299" spans="1:4" x14ac:dyDescent="0.2">
      <c r="A299" s="345">
        <v>36616</v>
      </c>
      <c r="B299" s="1369"/>
      <c r="C299" s="33"/>
      <c r="D299" s="79"/>
    </row>
    <row r="300" spans="1:4" x14ac:dyDescent="0.2">
      <c r="A300" s="345">
        <v>36646</v>
      </c>
      <c r="B300" s="1369"/>
      <c r="C300" s="33"/>
      <c r="D300" s="79"/>
    </row>
    <row r="301" spans="1:4" x14ac:dyDescent="0.2">
      <c r="A301" s="345">
        <v>36677</v>
      </c>
      <c r="B301" s="1369"/>
      <c r="C301" s="33"/>
      <c r="D301" s="79"/>
    </row>
    <row r="302" spans="1:4" x14ac:dyDescent="0.2">
      <c r="A302" s="345">
        <v>36707</v>
      </c>
      <c r="B302" s="1369"/>
      <c r="C302" s="33"/>
      <c r="D302" s="79"/>
    </row>
    <row r="303" spans="1:4" x14ac:dyDescent="0.2">
      <c r="A303" s="345">
        <v>36738</v>
      </c>
      <c r="B303" s="1369"/>
      <c r="C303" s="33"/>
      <c r="D303" s="79"/>
    </row>
    <row r="304" spans="1:4" x14ac:dyDescent="0.2">
      <c r="A304" s="345">
        <v>36769</v>
      </c>
      <c r="B304" s="1369"/>
      <c r="C304" s="33"/>
      <c r="D304" s="79"/>
    </row>
    <row r="305" spans="1:4" x14ac:dyDescent="0.2">
      <c r="A305" s="345">
        <v>36799</v>
      </c>
      <c r="B305" s="1369"/>
      <c r="C305" s="33"/>
      <c r="D305" s="79"/>
    </row>
    <row r="306" spans="1:4" x14ac:dyDescent="0.2">
      <c r="A306" s="345">
        <v>36830</v>
      </c>
      <c r="B306" s="1369"/>
      <c r="C306" s="33"/>
      <c r="D306" s="79"/>
    </row>
    <row r="307" spans="1:4" x14ac:dyDescent="0.2">
      <c r="A307" s="345">
        <v>36860</v>
      </c>
      <c r="B307" s="1369"/>
      <c r="C307" s="33"/>
      <c r="D307" s="79"/>
    </row>
    <row r="308" spans="1:4" x14ac:dyDescent="0.2">
      <c r="A308" s="345">
        <v>36891</v>
      </c>
      <c r="B308" s="1369"/>
      <c r="C308" s="33"/>
      <c r="D308" s="79"/>
    </row>
    <row r="309" spans="1:4" x14ac:dyDescent="0.2">
      <c r="A309" s="345">
        <v>36922</v>
      </c>
      <c r="B309" s="1369"/>
      <c r="C309" s="33"/>
      <c r="D309" s="79"/>
    </row>
    <row r="310" spans="1:4" x14ac:dyDescent="0.2">
      <c r="A310" s="345">
        <v>36950</v>
      </c>
      <c r="B310" s="1369"/>
      <c r="C310" s="33"/>
      <c r="D310" s="79"/>
    </row>
    <row r="311" spans="1:4" x14ac:dyDescent="0.2">
      <c r="A311" s="345">
        <v>36981</v>
      </c>
      <c r="B311" s="1369"/>
      <c r="C311" s="33"/>
      <c r="D311" s="79"/>
    </row>
    <row r="312" spans="1:4" x14ac:dyDescent="0.2">
      <c r="A312" s="345">
        <v>37011</v>
      </c>
      <c r="B312" s="1369"/>
      <c r="C312" s="33"/>
      <c r="D312" s="79"/>
    </row>
    <row r="313" spans="1:4" x14ac:dyDescent="0.2">
      <c r="A313" s="345">
        <v>37042</v>
      </c>
      <c r="B313" s="1369"/>
      <c r="C313" s="33"/>
      <c r="D313" s="79"/>
    </row>
    <row r="314" spans="1:4" x14ac:dyDescent="0.2">
      <c r="A314" s="345">
        <v>37072</v>
      </c>
      <c r="B314" s="1369"/>
      <c r="C314" s="33"/>
      <c r="D314" s="79"/>
    </row>
    <row r="315" spans="1:4" x14ac:dyDescent="0.2">
      <c r="A315" s="345">
        <v>37103</v>
      </c>
      <c r="B315" s="1369"/>
      <c r="C315" s="33"/>
      <c r="D315" s="79"/>
    </row>
    <row r="316" spans="1:4" x14ac:dyDescent="0.2">
      <c r="A316" s="345">
        <v>37134</v>
      </c>
      <c r="B316" s="1369"/>
      <c r="C316" s="33"/>
      <c r="D316" s="79"/>
    </row>
    <row r="317" spans="1:4" x14ac:dyDescent="0.2">
      <c r="A317" s="345">
        <v>37164</v>
      </c>
      <c r="B317" s="1369"/>
      <c r="C317" s="33"/>
      <c r="D317" s="79"/>
    </row>
    <row r="318" spans="1:4" x14ac:dyDescent="0.2">
      <c r="A318" s="345">
        <v>37195</v>
      </c>
      <c r="B318" s="1369"/>
      <c r="C318" s="33"/>
      <c r="D318" s="79"/>
    </row>
    <row r="319" spans="1:4" x14ac:dyDescent="0.2">
      <c r="A319" s="345">
        <v>37225</v>
      </c>
      <c r="B319" s="1369"/>
      <c r="C319" s="33"/>
      <c r="D319" s="79"/>
    </row>
    <row r="320" spans="1:4" x14ac:dyDescent="0.2">
      <c r="A320" s="345">
        <v>37256</v>
      </c>
      <c r="B320" s="1369"/>
      <c r="C320" s="33"/>
      <c r="D320" s="79"/>
    </row>
    <row r="321" spans="1:4" x14ac:dyDescent="0.2">
      <c r="A321" s="345">
        <v>37287</v>
      </c>
      <c r="B321" s="1369"/>
      <c r="C321" s="33"/>
      <c r="D321" s="79"/>
    </row>
    <row r="322" spans="1:4" x14ac:dyDescent="0.2">
      <c r="A322" s="345">
        <v>37315</v>
      </c>
      <c r="B322" s="1369"/>
      <c r="C322" s="33"/>
      <c r="D322" s="79"/>
    </row>
    <row r="323" spans="1:4" x14ac:dyDescent="0.2">
      <c r="A323" s="345">
        <v>37346</v>
      </c>
      <c r="B323" s="1369"/>
      <c r="C323" s="33"/>
      <c r="D323" s="79"/>
    </row>
    <row r="324" spans="1:4" x14ac:dyDescent="0.2">
      <c r="A324" s="345">
        <v>37376</v>
      </c>
      <c r="B324" s="1369"/>
      <c r="C324" s="33"/>
      <c r="D324" s="79"/>
    </row>
    <row r="325" spans="1:4" x14ac:dyDescent="0.2">
      <c r="A325" s="345">
        <v>37407</v>
      </c>
      <c r="B325" s="1369"/>
      <c r="C325" s="33"/>
      <c r="D325" s="79"/>
    </row>
    <row r="326" spans="1:4" x14ac:dyDescent="0.2">
      <c r="A326" s="345">
        <v>37437</v>
      </c>
      <c r="B326" s="1369"/>
      <c r="C326" s="33"/>
      <c r="D326" s="79"/>
    </row>
    <row r="327" spans="1:4" x14ac:dyDescent="0.2">
      <c r="A327" s="345">
        <v>37468</v>
      </c>
      <c r="B327" s="1369"/>
      <c r="C327" s="33"/>
      <c r="D327" s="79"/>
    </row>
    <row r="328" spans="1:4" x14ac:dyDescent="0.2">
      <c r="A328" s="345">
        <v>37499</v>
      </c>
      <c r="B328" s="1369"/>
      <c r="C328" s="33"/>
      <c r="D328" s="79"/>
    </row>
    <row r="329" spans="1:4" x14ac:dyDescent="0.2">
      <c r="A329" s="345">
        <v>37529</v>
      </c>
      <c r="B329" s="1369"/>
      <c r="C329" s="33"/>
      <c r="D329" s="79"/>
    </row>
    <row r="330" spans="1:4" x14ac:dyDescent="0.2">
      <c r="A330" s="345">
        <v>37560</v>
      </c>
      <c r="B330" s="1369"/>
      <c r="C330" s="33"/>
      <c r="D330" s="79"/>
    </row>
    <row r="331" spans="1:4" x14ac:dyDescent="0.2">
      <c r="A331" s="345">
        <v>37590</v>
      </c>
      <c r="B331" s="1369"/>
      <c r="C331" s="33"/>
      <c r="D331" s="79"/>
    </row>
    <row r="332" spans="1:4" x14ac:dyDescent="0.2">
      <c r="A332" s="345">
        <v>37621</v>
      </c>
      <c r="B332" s="1369"/>
      <c r="C332" s="33"/>
      <c r="D332" s="79"/>
    </row>
    <row r="333" spans="1:4" x14ac:dyDescent="0.2">
      <c r="A333" s="345">
        <v>37652</v>
      </c>
      <c r="B333" s="1369"/>
      <c r="C333" s="33"/>
      <c r="D333" s="79"/>
    </row>
    <row r="334" spans="1:4" x14ac:dyDescent="0.2">
      <c r="A334" s="345">
        <v>37680</v>
      </c>
      <c r="B334" s="1369"/>
      <c r="C334" s="33"/>
      <c r="D334" s="79"/>
    </row>
    <row r="335" spans="1:4" x14ac:dyDescent="0.2">
      <c r="A335" s="345">
        <v>37711</v>
      </c>
      <c r="B335" s="1369"/>
      <c r="C335" s="33"/>
      <c r="D335" s="79"/>
    </row>
    <row r="336" spans="1:4" x14ac:dyDescent="0.2">
      <c r="A336" s="345">
        <v>37741</v>
      </c>
      <c r="B336" s="1369"/>
      <c r="C336" s="33"/>
      <c r="D336" s="79"/>
    </row>
    <row r="337" spans="1:4" x14ac:dyDescent="0.2">
      <c r="A337" s="345">
        <v>37772</v>
      </c>
      <c r="B337" s="1369"/>
      <c r="C337" s="33"/>
      <c r="D337" s="79"/>
    </row>
    <row r="338" spans="1:4" x14ac:dyDescent="0.2">
      <c r="A338" s="345">
        <v>37802</v>
      </c>
      <c r="B338" s="1369"/>
      <c r="C338" s="33"/>
      <c r="D338" s="79"/>
    </row>
    <row r="339" spans="1:4" x14ac:dyDescent="0.2">
      <c r="A339" s="345">
        <v>37833</v>
      </c>
      <c r="B339" s="1369"/>
      <c r="C339" s="33"/>
      <c r="D339" s="79"/>
    </row>
    <row r="340" spans="1:4" x14ac:dyDescent="0.2">
      <c r="A340" s="345">
        <v>37864</v>
      </c>
      <c r="B340" s="1369"/>
      <c r="C340" s="33"/>
      <c r="D340" s="79"/>
    </row>
    <row r="341" spans="1:4" x14ac:dyDescent="0.2">
      <c r="A341" s="345">
        <v>37894</v>
      </c>
      <c r="B341" s="1369"/>
      <c r="C341" s="34"/>
      <c r="D341" s="79"/>
    </row>
    <row r="342" spans="1:4" x14ac:dyDescent="0.2">
      <c r="A342" s="345">
        <v>37925</v>
      </c>
      <c r="B342" s="1369"/>
      <c r="C342" s="34"/>
      <c r="D342" s="79"/>
    </row>
    <row r="343" spans="1:4" x14ac:dyDescent="0.2">
      <c r="A343" s="345">
        <v>37955</v>
      </c>
      <c r="B343" s="1369"/>
      <c r="C343" s="34"/>
      <c r="D343" s="79"/>
    </row>
    <row r="344" spans="1:4" x14ac:dyDescent="0.2">
      <c r="A344" s="345">
        <v>37986</v>
      </c>
      <c r="B344" s="1369"/>
      <c r="C344" s="34"/>
      <c r="D344" s="79"/>
    </row>
    <row r="345" spans="1:4" x14ac:dyDescent="0.2">
      <c r="A345" s="345">
        <v>38017</v>
      </c>
      <c r="B345" s="1369"/>
      <c r="C345" s="34"/>
      <c r="D345" s="79"/>
    </row>
    <row r="346" spans="1:4" x14ac:dyDescent="0.2">
      <c r="A346" s="345">
        <v>38046</v>
      </c>
      <c r="B346" s="1369"/>
      <c r="C346" s="34"/>
      <c r="D346" s="79"/>
    </row>
    <row r="347" spans="1:4" x14ac:dyDescent="0.2">
      <c r="A347" s="345">
        <v>38077</v>
      </c>
      <c r="B347" s="1369"/>
      <c r="C347" s="34"/>
      <c r="D347" s="255"/>
    </row>
    <row r="348" spans="1:4" x14ac:dyDescent="0.2">
      <c r="A348" s="345">
        <v>38107</v>
      </c>
      <c r="B348" s="1369"/>
      <c r="C348" s="34"/>
      <c r="D348" s="253"/>
    </row>
    <row r="349" spans="1:4" x14ac:dyDescent="0.2">
      <c r="A349" s="345">
        <v>38138</v>
      </c>
      <c r="B349" s="1369"/>
      <c r="C349" s="34"/>
      <c r="D349" s="253"/>
    </row>
    <row r="350" spans="1:4" x14ac:dyDescent="0.2">
      <c r="A350" s="345">
        <v>38168</v>
      </c>
      <c r="B350" s="1369"/>
      <c r="C350" s="34"/>
      <c r="D350" s="253"/>
    </row>
    <row r="351" spans="1:4" x14ac:dyDescent="0.2">
      <c r="A351" s="345">
        <v>38199</v>
      </c>
      <c r="B351" s="1369"/>
      <c r="C351" s="34"/>
      <c r="D351" s="253"/>
    </row>
    <row r="352" spans="1:4" x14ac:dyDescent="0.2">
      <c r="A352" s="345">
        <v>38230</v>
      </c>
      <c r="B352" s="1369"/>
      <c r="C352" s="34"/>
      <c r="D352" s="253"/>
    </row>
    <row r="353" spans="1:4" x14ac:dyDescent="0.2">
      <c r="A353" s="345">
        <v>38260</v>
      </c>
      <c r="B353" s="1369"/>
      <c r="C353" s="34"/>
      <c r="D353" s="253"/>
    </row>
    <row r="354" spans="1:4" x14ac:dyDescent="0.2">
      <c r="A354" s="345">
        <v>38291</v>
      </c>
      <c r="B354" s="1369"/>
      <c r="C354" s="34"/>
      <c r="D354" s="253"/>
    </row>
    <row r="355" spans="1:4" x14ac:dyDescent="0.2">
      <c r="A355" s="345">
        <v>38321</v>
      </c>
      <c r="B355" s="1369"/>
      <c r="C355" s="34"/>
      <c r="D355" s="253"/>
    </row>
    <row r="356" spans="1:4" x14ac:dyDescent="0.2">
      <c r="A356" s="345">
        <v>38352</v>
      </c>
      <c r="B356" s="1369"/>
      <c r="C356" s="256"/>
      <c r="D356" s="253"/>
    </row>
    <row r="357" spans="1:4" x14ac:dyDescent="0.2">
      <c r="A357" s="345">
        <v>38383</v>
      </c>
      <c r="B357" s="1369"/>
      <c r="C357" s="34"/>
      <c r="D357" s="253"/>
    </row>
    <row r="358" spans="1:4" x14ac:dyDescent="0.2">
      <c r="A358" s="345">
        <v>38411</v>
      </c>
      <c r="B358" s="1369"/>
      <c r="C358" s="34"/>
      <c r="D358" s="253"/>
    </row>
    <row r="359" spans="1:4" x14ac:dyDescent="0.2">
      <c r="A359" s="345">
        <v>38442</v>
      </c>
      <c r="B359" s="1369"/>
      <c r="C359" s="256"/>
      <c r="D359" s="253"/>
    </row>
    <row r="360" spans="1:4" x14ac:dyDescent="0.2">
      <c r="A360" s="345">
        <v>38472</v>
      </c>
      <c r="B360" s="1369"/>
      <c r="C360" s="256"/>
      <c r="D360" s="253"/>
    </row>
    <row r="361" spans="1:4" x14ac:dyDescent="0.2">
      <c r="A361" s="345">
        <v>38503</v>
      </c>
      <c r="B361" s="1369"/>
      <c r="C361" s="256"/>
      <c r="D361" s="253"/>
    </row>
    <row r="362" spans="1:4" x14ac:dyDescent="0.2">
      <c r="A362" s="345">
        <v>38533</v>
      </c>
      <c r="B362" s="1369"/>
      <c r="C362" s="256"/>
      <c r="D362" s="253"/>
    </row>
    <row r="363" spans="1:4" x14ac:dyDescent="0.2">
      <c r="A363" s="345">
        <v>38564</v>
      </c>
      <c r="B363" s="1369"/>
      <c r="C363" s="256"/>
      <c r="D363" s="253"/>
    </row>
    <row r="364" spans="1:4" x14ac:dyDescent="0.2">
      <c r="A364" s="345">
        <v>38595</v>
      </c>
      <c r="B364" s="1369"/>
      <c r="C364" s="256"/>
      <c r="D364" s="253"/>
    </row>
    <row r="365" spans="1:4" x14ac:dyDescent="0.2">
      <c r="A365" s="345">
        <v>38625</v>
      </c>
      <c r="B365" s="1369"/>
      <c r="C365" s="256"/>
      <c r="D365" s="253"/>
    </row>
    <row r="366" spans="1:4" x14ac:dyDescent="0.2">
      <c r="A366" s="345">
        <v>38656</v>
      </c>
      <c r="B366" s="1369"/>
      <c r="C366" s="256"/>
      <c r="D366" s="253"/>
    </row>
    <row r="367" spans="1:4" x14ac:dyDescent="0.2">
      <c r="A367" s="345">
        <v>38686</v>
      </c>
      <c r="B367" s="1369"/>
      <c r="C367" s="256"/>
      <c r="D367" s="253"/>
    </row>
    <row r="368" spans="1:4" x14ac:dyDescent="0.2">
      <c r="A368" s="345">
        <v>38717</v>
      </c>
      <c r="B368" s="1369"/>
      <c r="C368" s="256"/>
      <c r="D368" s="253"/>
    </row>
    <row r="369" spans="1:6" x14ac:dyDescent="0.2">
      <c r="A369" s="345">
        <v>38748</v>
      </c>
      <c r="B369" s="1369"/>
      <c r="C369" s="256"/>
      <c r="D369" s="253"/>
    </row>
    <row r="370" spans="1:6" x14ac:dyDescent="0.2">
      <c r="A370" s="345">
        <v>38776</v>
      </c>
      <c r="B370" s="1369"/>
      <c r="C370" s="256"/>
      <c r="D370" s="253"/>
    </row>
    <row r="371" spans="1:6" x14ac:dyDescent="0.2">
      <c r="A371" s="345">
        <v>38807</v>
      </c>
      <c r="B371" s="1369"/>
      <c r="C371" s="33"/>
      <c r="D371" s="253"/>
    </row>
    <row r="372" spans="1:6" x14ac:dyDescent="0.2">
      <c r="A372" s="345">
        <v>38837</v>
      </c>
      <c r="B372" s="1369"/>
      <c r="C372" s="33"/>
      <c r="D372" s="253"/>
    </row>
    <row r="373" spans="1:6" x14ac:dyDescent="0.2">
      <c r="A373" s="345">
        <v>38868</v>
      </c>
      <c r="B373" s="1369"/>
      <c r="C373" s="33"/>
      <c r="D373" s="253"/>
    </row>
    <row r="374" spans="1:6" x14ac:dyDescent="0.2">
      <c r="A374" s="345">
        <v>38898</v>
      </c>
      <c r="B374" s="1369"/>
      <c r="C374" s="354"/>
      <c r="D374" s="253"/>
    </row>
    <row r="375" spans="1:6" x14ac:dyDescent="0.2">
      <c r="A375" s="345">
        <v>38929</v>
      </c>
      <c r="B375" s="1369"/>
      <c r="C375" s="34"/>
      <c r="D375" s="253"/>
    </row>
    <row r="376" spans="1:6" x14ac:dyDescent="0.2">
      <c r="A376" s="345">
        <v>38960</v>
      </c>
      <c r="B376" s="1369"/>
      <c r="C376" s="34"/>
      <c r="D376" s="253"/>
    </row>
    <row r="377" spans="1:6" x14ac:dyDescent="0.2">
      <c r="A377" s="345">
        <v>38990</v>
      </c>
      <c r="B377" s="1369"/>
      <c r="C377" s="34"/>
      <c r="D377" s="253"/>
    </row>
    <row r="378" spans="1:6" x14ac:dyDescent="0.2">
      <c r="A378" s="345">
        <v>39021</v>
      </c>
      <c r="B378" s="1369"/>
      <c r="C378" s="34"/>
      <c r="D378" s="253"/>
      <c r="F378" s="352"/>
    </row>
    <row r="379" spans="1:6" x14ac:dyDescent="0.2">
      <c r="A379" s="345">
        <v>39051</v>
      </c>
      <c r="B379" s="1369"/>
      <c r="C379" s="34"/>
      <c r="D379" s="253"/>
      <c r="F379" s="352"/>
    </row>
    <row r="380" spans="1:6" x14ac:dyDescent="0.2">
      <c r="A380" s="345">
        <v>39082</v>
      </c>
      <c r="B380" s="1369"/>
      <c r="C380" s="34"/>
      <c r="D380" s="253"/>
      <c r="F380" s="352"/>
    </row>
    <row r="381" spans="1:6" x14ac:dyDescent="0.2">
      <c r="A381" s="345">
        <v>39113</v>
      </c>
      <c r="B381" s="1369"/>
      <c r="D381" s="258"/>
      <c r="F381" s="352"/>
    </row>
    <row r="382" spans="1:6" x14ac:dyDescent="0.2">
      <c r="A382" s="345">
        <v>39141</v>
      </c>
      <c r="B382" s="1369"/>
      <c r="D382" s="258"/>
      <c r="F382" s="352"/>
    </row>
    <row r="383" spans="1:6" x14ac:dyDescent="0.2">
      <c r="A383" s="345">
        <v>39172</v>
      </c>
      <c r="B383" s="1369"/>
      <c r="D383" s="258"/>
    </row>
    <row r="384" spans="1:6" x14ac:dyDescent="0.2">
      <c r="A384" s="345">
        <v>39202</v>
      </c>
      <c r="B384" s="1369"/>
      <c r="D384" s="258"/>
    </row>
    <row r="385" spans="1:7" x14ac:dyDescent="0.2">
      <c r="A385" s="345">
        <v>39233</v>
      </c>
      <c r="B385" s="1369"/>
      <c r="D385" s="258"/>
    </row>
    <row r="386" spans="1:7" x14ac:dyDescent="0.2">
      <c r="A386" s="345">
        <v>39263</v>
      </c>
      <c r="B386" s="1369"/>
      <c r="D386" s="258"/>
    </row>
    <row r="387" spans="1:7" x14ac:dyDescent="0.2">
      <c r="A387" s="345">
        <v>39294</v>
      </c>
      <c r="B387" s="1369"/>
      <c r="D387" s="258"/>
    </row>
    <row r="388" spans="1:7" x14ac:dyDescent="0.2">
      <c r="A388" s="345">
        <v>39325</v>
      </c>
      <c r="B388" s="1369"/>
      <c r="D388" s="258"/>
    </row>
    <row r="389" spans="1:7" x14ac:dyDescent="0.2">
      <c r="A389" s="345">
        <v>39355</v>
      </c>
      <c r="B389" s="1369"/>
      <c r="D389" s="258"/>
    </row>
    <row r="390" spans="1:7" x14ac:dyDescent="0.2">
      <c r="A390" s="345">
        <v>39386</v>
      </c>
      <c r="B390" s="1369"/>
      <c r="D390" s="258"/>
    </row>
    <row r="391" spans="1:7" x14ac:dyDescent="0.2">
      <c r="A391" s="345">
        <v>39416</v>
      </c>
      <c r="B391" s="1369"/>
      <c r="D391" s="258"/>
    </row>
    <row r="392" spans="1:7" x14ac:dyDescent="0.2">
      <c r="A392" s="345">
        <v>39447</v>
      </c>
      <c r="B392" s="1369"/>
      <c r="D392" s="258"/>
      <c r="G392" s="787"/>
    </row>
    <row r="393" spans="1:7" x14ac:dyDescent="0.2">
      <c r="A393" s="345">
        <v>39478</v>
      </c>
      <c r="B393" s="1369"/>
      <c r="D393" s="258"/>
    </row>
    <row r="394" spans="1:7" x14ac:dyDescent="0.2">
      <c r="A394" s="345">
        <v>39507</v>
      </c>
      <c r="B394" s="1369"/>
      <c r="D394" s="258"/>
    </row>
    <row r="395" spans="1:7" x14ac:dyDescent="0.2">
      <c r="A395" s="345">
        <v>39538</v>
      </c>
      <c r="B395" s="1369"/>
      <c r="D395" s="258"/>
    </row>
    <row r="396" spans="1:7" x14ac:dyDescent="0.2">
      <c r="A396" s="345">
        <v>39568</v>
      </c>
      <c r="B396" s="1369"/>
      <c r="D396" s="258"/>
    </row>
    <row r="397" spans="1:7" x14ac:dyDescent="0.2">
      <c r="A397" s="345">
        <v>39599</v>
      </c>
      <c r="B397" s="1369"/>
      <c r="D397" s="258"/>
    </row>
    <row r="398" spans="1:7" x14ac:dyDescent="0.2">
      <c r="A398" s="345">
        <v>39629</v>
      </c>
      <c r="B398" s="1369"/>
      <c r="D398" s="258"/>
    </row>
    <row r="399" spans="1:7" x14ac:dyDescent="0.2">
      <c r="A399" s="345">
        <v>39660</v>
      </c>
      <c r="B399" s="1369"/>
      <c r="C399" s="33"/>
      <c r="D399" s="258"/>
    </row>
    <row r="400" spans="1:7" x14ac:dyDescent="0.2">
      <c r="A400" s="345">
        <v>39691</v>
      </c>
      <c r="B400" s="1369"/>
      <c r="C400" s="33"/>
      <c r="D400" s="258"/>
    </row>
    <row r="401" spans="1:4" x14ac:dyDescent="0.2">
      <c r="A401" s="345">
        <v>39721</v>
      </c>
      <c r="B401" s="1369"/>
      <c r="C401" s="33"/>
      <c r="D401" s="258"/>
    </row>
    <row r="402" spans="1:4" x14ac:dyDescent="0.2">
      <c r="A402" s="345">
        <v>39752</v>
      </c>
      <c r="B402" s="1369"/>
      <c r="D402" s="258"/>
    </row>
    <row r="403" spans="1:4" x14ac:dyDescent="0.2">
      <c r="A403" s="345">
        <v>39782</v>
      </c>
      <c r="B403" s="1369"/>
      <c r="D403" s="258"/>
    </row>
    <row r="404" spans="1:4" x14ac:dyDescent="0.2">
      <c r="A404" s="345">
        <v>39813</v>
      </c>
      <c r="B404" s="1369"/>
      <c r="D404" s="258"/>
    </row>
    <row r="405" spans="1:4" x14ac:dyDescent="0.2">
      <c r="A405" s="345">
        <v>39844</v>
      </c>
      <c r="B405" s="1369"/>
      <c r="D405" s="258"/>
    </row>
    <row r="406" spans="1:4" x14ac:dyDescent="0.2">
      <c r="A406" s="345">
        <v>39872</v>
      </c>
      <c r="B406" s="1369"/>
      <c r="D406" s="258"/>
    </row>
    <row r="407" spans="1:4" x14ac:dyDescent="0.2">
      <c r="A407" s="345">
        <v>39903</v>
      </c>
      <c r="B407" s="1369"/>
      <c r="D407" s="258"/>
    </row>
    <row r="408" spans="1:4" x14ac:dyDescent="0.2">
      <c r="A408" s="345">
        <v>39933</v>
      </c>
      <c r="B408" s="1369"/>
      <c r="D408" s="258"/>
    </row>
    <row r="409" spans="1:4" x14ac:dyDescent="0.2">
      <c r="A409" s="345">
        <v>39964</v>
      </c>
      <c r="B409" s="1369"/>
      <c r="D409" s="258"/>
    </row>
    <row r="410" spans="1:4" x14ac:dyDescent="0.2">
      <c r="A410" s="345">
        <v>39994</v>
      </c>
      <c r="B410" s="1369"/>
      <c r="D410" s="258"/>
    </row>
    <row r="411" spans="1:4" x14ac:dyDescent="0.2">
      <c r="A411" s="345">
        <v>40025</v>
      </c>
      <c r="B411" s="1369"/>
      <c r="D411" s="258"/>
    </row>
    <row r="412" spans="1:4" x14ac:dyDescent="0.2">
      <c r="A412" s="345">
        <v>40056</v>
      </c>
      <c r="B412" s="1369"/>
      <c r="D412" s="258"/>
    </row>
    <row r="413" spans="1:4" x14ac:dyDescent="0.2">
      <c r="A413" s="345">
        <v>40086</v>
      </c>
      <c r="B413" s="1369"/>
      <c r="D413" s="258"/>
    </row>
    <row r="414" spans="1:4" x14ac:dyDescent="0.2">
      <c r="A414" s="345">
        <v>40117</v>
      </c>
      <c r="B414" s="1369"/>
    </row>
    <row r="415" spans="1:4" x14ac:dyDescent="0.2">
      <c r="A415" s="345">
        <v>40147</v>
      </c>
      <c r="B415" s="1369"/>
      <c r="C415" s="1333"/>
      <c r="D415" s="1369"/>
    </row>
    <row r="416" spans="1:4" x14ac:dyDescent="0.2">
      <c r="A416" s="345">
        <v>40178</v>
      </c>
      <c r="B416" s="1369"/>
    </row>
    <row r="417" spans="1:4" x14ac:dyDescent="0.2">
      <c r="A417" s="345">
        <v>40209</v>
      </c>
      <c r="B417" s="253"/>
    </row>
    <row r="418" spans="1:4" x14ac:dyDescent="0.2">
      <c r="A418" s="345">
        <v>40237</v>
      </c>
      <c r="B418" s="253"/>
    </row>
    <row r="419" spans="1:4" x14ac:dyDescent="0.2">
      <c r="A419" s="345">
        <v>40268</v>
      </c>
      <c r="B419" s="253"/>
      <c r="C419" s="1334"/>
      <c r="D419" s="1311"/>
    </row>
    <row r="420" spans="1:4" x14ac:dyDescent="0.2">
      <c r="A420" s="345">
        <v>40298</v>
      </c>
      <c r="B420" s="253"/>
    </row>
    <row r="421" spans="1:4" x14ac:dyDescent="0.2">
      <c r="A421" s="345">
        <v>40329</v>
      </c>
      <c r="B421" s="253"/>
    </row>
    <row r="422" spans="1:4" x14ac:dyDescent="0.2">
      <c r="A422" s="345">
        <v>40359</v>
      </c>
      <c r="B422" s="253"/>
    </row>
    <row r="423" spans="1:4" x14ac:dyDescent="0.2">
      <c r="A423" s="345">
        <v>40390</v>
      </c>
      <c r="B423" s="253"/>
    </row>
    <row r="424" spans="1:4" x14ac:dyDescent="0.2">
      <c r="A424" s="345">
        <v>40421</v>
      </c>
      <c r="B424" s="253"/>
    </row>
    <row r="425" spans="1:4" x14ac:dyDescent="0.2">
      <c r="A425" s="345">
        <v>40451</v>
      </c>
      <c r="B425" s="253"/>
    </row>
    <row r="426" spans="1:4" x14ac:dyDescent="0.2">
      <c r="A426" s="345">
        <v>40482</v>
      </c>
      <c r="B426" s="253"/>
    </row>
    <row r="427" spans="1:4" x14ac:dyDescent="0.2">
      <c r="A427" s="345">
        <v>40512</v>
      </c>
      <c r="B427" s="253"/>
    </row>
    <row r="428" spans="1:4" x14ac:dyDescent="0.2">
      <c r="A428" s="345">
        <v>40543</v>
      </c>
      <c r="B428" s="253"/>
    </row>
    <row r="429" spans="1:4" x14ac:dyDescent="0.2">
      <c r="A429" s="345">
        <v>40574</v>
      </c>
      <c r="B429" s="253"/>
    </row>
    <row r="430" spans="1:4" x14ac:dyDescent="0.2">
      <c r="A430" s="345">
        <v>40602</v>
      </c>
      <c r="B430" s="253"/>
    </row>
    <row r="431" spans="1:4" x14ac:dyDescent="0.2">
      <c r="A431" s="345">
        <v>40633</v>
      </c>
      <c r="B431" s="253"/>
    </row>
    <row r="432" spans="1:4" x14ac:dyDescent="0.2">
      <c r="A432" s="345">
        <v>40663</v>
      </c>
      <c r="B432" s="253"/>
    </row>
    <row r="433" spans="1:2" x14ac:dyDescent="0.2">
      <c r="A433" s="345">
        <v>40694</v>
      </c>
      <c r="B433" s="253"/>
    </row>
    <row r="434" spans="1:2" x14ac:dyDescent="0.2">
      <c r="A434" s="345">
        <v>40724</v>
      </c>
      <c r="B434" s="253"/>
    </row>
    <row r="435" spans="1:2" x14ac:dyDescent="0.2">
      <c r="A435" s="345">
        <v>40755</v>
      </c>
      <c r="B435" s="253"/>
    </row>
    <row r="436" spans="1:2" x14ac:dyDescent="0.2">
      <c r="A436" s="345">
        <v>40786</v>
      </c>
      <c r="B436" s="253"/>
    </row>
    <row r="437" spans="1:2" x14ac:dyDescent="0.2">
      <c r="A437" s="345">
        <v>40816</v>
      </c>
      <c r="B437" s="253"/>
    </row>
    <row r="438" spans="1:2" x14ac:dyDescent="0.2">
      <c r="A438" s="345">
        <v>40847</v>
      </c>
      <c r="B438" s="253"/>
    </row>
    <row r="439" spans="1:2" x14ac:dyDescent="0.2">
      <c r="A439" s="345">
        <v>40877</v>
      </c>
      <c r="B439" s="253"/>
    </row>
    <row r="440" spans="1:2" x14ac:dyDescent="0.2">
      <c r="A440" s="345">
        <v>40908</v>
      </c>
      <c r="B440" s="253"/>
    </row>
    <row r="441" spans="1:2" x14ac:dyDescent="0.2">
      <c r="A441" s="345">
        <v>40939</v>
      </c>
      <c r="B441" s="253"/>
    </row>
    <row r="442" spans="1:2" x14ac:dyDescent="0.2">
      <c r="A442" s="345">
        <v>40968</v>
      </c>
      <c r="B442" s="253"/>
    </row>
    <row r="443" spans="1:2" x14ac:dyDescent="0.2">
      <c r="A443" s="345">
        <v>40999</v>
      </c>
      <c r="B443" s="253"/>
    </row>
    <row r="444" spans="1:2" x14ac:dyDescent="0.2">
      <c r="A444" s="345">
        <v>41029</v>
      </c>
      <c r="B444" s="253"/>
    </row>
    <row r="445" spans="1:2" x14ac:dyDescent="0.2">
      <c r="A445" s="345">
        <v>41060</v>
      </c>
      <c r="B445" s="253"/>
    </row>
    <row r="446" spans="1:2" x14ac:dyDescent="0.2">
      <c r="A446" s="345">
        <v>41090</v>
      </c>
      <c r="B446" s="253"/>
    </row>
    <row r="447" spans="1:2" x14ac:dyDescent="0.2">
      <c r="A447" s="345">
        <v>41121</v>
      </c>
      <c r="B447" s="253"/>
    </row>
    <row r="448" spans="1:2" x14ac:dyDescent="0.2">
      <c r="A448" s="345">
        <v>41152</v>
      </c>
      <c r="B448" s="253"/>
    </row>
    <row r="449" spans="1:3" x14ac:dyDescent="0.2">
      <c r="A449" s="345">
        <v>41182</v>
      </c>
      <c r="B449" s="253"/>
    </row>
    <row r="450" spans="1:3" x14ac:dyDescent="0.2">
      <c r="A450" s="345">
        <v>41213</v>
      </c>
      <c r="B450" s="253"/>
    </row>
    <row r="451" spans="1:3" x14ac:dyDescent="0.2">
      <c r="A451" s="345">
        <v>41243</v>
      </c>
      <c r="B451" s="253"/>
    </row>
    <row r="452" spans="1:3" x14ac:dyDescent="0.2">
      <c r="A452" s="345">
        <v>41274</v>
      </c>
      <c r="B452" s="253"/>
    </row>
    <row r="453" spans="1:3" x14ac:dyDescent="0.2">
      <c r="A453" s="345">
        <v>41305</v>
      </c>
      <c r="B453" s="253"/>
    </row>
    <row r="454" spans="1:3" x14ac:dyDescent="0.2">
      <c r="A454" s="345">
        <v>41333</v>
      </c>
      <c r="B454" s="253"/>
    </row>
    <row r="455" spans="1:3" x14ac:dyDescent="0.2">
      <c r="A455" s="345">
        <v>41364</v>
      </c>
      <c r="B455" s="253"/>
    </row>
    <row r="456" spans="1:3" x14ac:dyDescent="0.2">
      <c r="A456" s="345">
        <v>41394</v>
      </c>
      <c r="B456" s="253"/>
    </row>
    <row r="457" spans="1:3" x14ac:dyDescent="0.2">
      <c r="A457" s="345">
        <v>41425</v>
      </c>
      <c r="B457" s="253"/>
    </row>
    <row r="458" spans="1:3" x14ac:dyDescent="0.2">
      <c r="A458" s="345">
        <v>41455</v>
      </c>
      <c r="B458" s="253"/>
      <c r="C458" s="1307"/>
    </row>
    <row r="459" spans="1:3" x14ac:dyDescent="0.2">
      <c r="A459" s="345">
        <v>41486</v>
      </c>
      <c r="B459" s="253"/>
    </row>
    <row r="460" spans="1:3" x14ac:dyDescent="0.2">
      <c r="A460" s="345">
        <v>41517</v>
      </c>
      <c r="B460" s="253"/>
    </row>
    <row r="461" spans="1:3" x14ac:dyDescent="0.2">
      <c r="A461" s="345">
        <v>41547</v>
      </c>
      <c r="B461" s="253"/>
    </row>
    <row r="462" spans="1:3" x14ac:dyDescent="0.2">
      <c r="A462" s="345">
        <v>41578</v>
      </c>
      <c r="B462" s="253"/>
    </row>
    <row r="463" spans="1:3" x14ac:dyDescent="0.2">
      <c r="A463" s="345">
        <v>41608</v>
      </c>
      <c r="B463" s="253"/>
    </row>
    <row r="464" spans="1:3" x14ac:dyDescent="0.2">
      <c r="A464" s="345">
        <v>41639</v>
      </c>
      <c r="B464" s="253"/>
    </row>
    <row r="465" spans="1:5" x14ac:dyDescent="0.2">
      <c r="A465" s="345">
        <v>41670</v>
      </c>
      <c r="B465" s="253"/>
    </row>
    <row r="466" spans="1:5" x14ac:dyDescent="0.2">
      <c r="A466" s="345">
        <v>41698</v>
      </c>
      <c r="B466" s="253"/>
    </row>
    <row r="467" spans="1:5" x14ac:dyDescent="0.2">
      <c r="A467" s="345">
        <v>41729</v>
      </c>
      <c r="B467" s="253"/>
    </row>
    <row r="468" spans="1:5" x14ac:dyDescent="0.2">
      <c r="A468" s="345">
        <v>41759</v>
      </c>
      <c r="B468" s="253"/>
    </row>
    <row r="469" spans="1:5" x14ac:dyDescent="0.2">
      <c r="A469" s="345">
        <v>41790</v>
      </c>
      <c r="B469" s="253"/>
    </row>
    <row r="470" spans="1:5" x14ac:dyDescent="0.2">
      <c r="A470" s="345">
        <v>41820</v>
      </c>
      <c r="B470" s="253"/>
    </row>
    <row r="471" spans="1:5" x14ac:dyDescent="0.2">
      <c r="A471" s="345">
        <v>41851</v>
      </c>
      <c r="B471" s="253">
        <f t="shared" ref="B471:B488" si="0">D471</f>
        <v>-2.4222600000000001</v>
      </c>
      <c r="C471" s="346">
        <v>338252588.31400001</v>
      </c>
      <c r="D471" s="262">
        <v>-2.4222600000000001</v>
      </c>
      <c r="E471" s="14">
        <f>B471-Index_Returns!AA471</f>
        <v>-0.4569700000000001</v>
      </c>
    </row>
    <row r="472" spans="1:5" x14ac:dyDescent="0.2">
      <c r="A472" s="345">
        <v>41882</v>
      </c>
      <c r="B472" s="253">
        <f t="shared" si="0"/>
        <v>-0.87351999999999996</v>
      </c>
      <c r="C472" s="346">
        <v>335331290.60000002</v>
      </c>
      <c r="D472" s="262">
        <v>-0.87351999999999996</v>
      </c>
      <c r="E472" s="14">
        <f>B472-Index_Returns!AA472</f>
        <v>-0.71970000000000001</v>
      </c>
    </row>
    <row r="473" spans="1:5" x14ac:dyDescent="0.2">
      <c r="A473" s="345">
        <v>41912</v>
      </c>
      <c r="B473" s="253">
        <f t="shared" si="0"/>
        <v>0</v>
      </c>
      <c r="E473" s="14">
        <f>B473-Index_Returns!AA473</f>
        <v>0</v>
      </c>
    </row>
    <row r="474" spans="1:5" x14ac:dyDescent="0.2">
      <c r="A474" s="345">
        <v>41943</v>
      </c>
      <c r="B474" s="253">
        <f t="shared" si="0"/>
        <v>0</v>
      </c>
      <c r="E474" s="14">
        <f>B474-Index_Returns!AA474</f>
        <v>0</v>
      </c>
    </row>
    <row r="475" spans="1:5" x14ac:dyDescent="0.2">
      <c r="A475" s="345">
        <v>41973</v>
      </c>
      <c r="B475" s="253">
        <f t="shared" si="0"/>
        <v>0</v>
      </c>
      <c r="E475" s="14">
        <f>B475-Index_Returns!AA475</f>
        <v>0</v>
      </c>
    </row>
    <row r="476" spans="1:5" x14ac:dyDescent="0.2">
      <c r="A476" s="345">
        <v>42004</v>
      </c>
      <c r="B476" s="253">
        <f t="shared" si="0"/>
        <v>0</v>
      </c>
      <c r="E476" s="14">
        <f>B476-Index_Returns!AA476</f>
        <v>0</v>
      </c>
    </row>
    <row r="477" spans="1:5" x14ac:dyDescent="0.2">
      <c r="A477" s="345">
        <v>42035</v>
      </c>
      <c r="B477" s="253">
        <f t="shared" si="0"/>
        <v>0</v>
      </c>
      <c r="E477" s="14">
        <f>B477-Index_Returns!AA477</f>
        <v>0</v>
      </c>
    </row>
    <row r="478" spans="1:5" x14ac:dyDescent="0.2">
      <c r="A478" s="345">
        <v>42063</v>
      </c>
      <c r="B478" s="253">
        <f t="shared" si="0"/>
        <v>0</v>
      </c>
      <c r="E478" s="14">
        <f>B478-Index_Returns!AA478</f>
        <v>0</v>
      </c>
    </row>
    <row r="479" spans="1:5" x14ac:dyDescent="0.2">
      <c r="A479" s="345">
        <v>42094</v>
      </c>
      <c r="B479" s="253">
        <f t="shared" si="0"/>
        <v>0</v>
      </c>
      <c r="E479" s="14">
        <f>B479-Index_Returns!AA479</f>
        <v>0</v>
      </c>
    </row>
    <row r="480" spans="1:5" x14ac:dyDescent="0.2">
      <c r="A480" s="345">
        <v>42124</v>
      </c>
      <c r="B480" s="253">
        <f t="shared" si="0"/>
        <v>0</v>
      </c>
      <c r="E480" s="14">
        <f>B480-Index_Returns!AA480</f>
        <v>0</v>
      </c>
    </row>
    <row r="481" spans="1:5" x14ac:dyDescent="0.2">
      <c r="A481" s="345">
        <v>42155</v>
      </c>
      <c r="B481" s="253">
        <f t="shared" si="0"/>
        <v>0</v>
      </c>
      <c r="E481" s="14">
        <f>B481-Index_Returns!AA481</f>
        <v>0</v>
      </c>
    </row>
    <row r="482" spans="1:5" x14ac:dyDescent="0.2">
      <c r="A482" s="345">
        <v>42185</v>
      </c>
      <c r="B482" s="253">
        <f t="shared" si="0"/>
        <v>0</v>
      </c>
      <c r="E482" s="14">
        <f>B482-Index_Returns!AA482</f>
        <v>0</v>
      </c>
    </row>
    <row r="483" spans="1:5" x14ac:dyDescent="0.2">
      <c r="A483" s="345">
        <v>42216</v>
      </c>
      <c r="B483" s="253">
        <f t="shared" si="0"/>
        <v>0</v>
      </c>
      <c r="E483" s="14">
        <f>B483-Index_Returns!AA483</f>
        <v>0</v>
      </c>
    </row>
    <row r="484" spans="1:5" x14ac:dyDescent="0.2">
      <c r="A484" s="345">
        <v>42247</v>
      </c>
      <c r="B484" s="253">
        <f t="shared" si="0"/>
        <v>0</v>
      </c>
      <c r="E484" s="14">
        <f>B484-Index_Returns!AA484</f>
        <v>0</v>
      </c>
    </row>
    <row r="485" spans="1:5" x14ac:dyDescent="0.2">
      <c r="A485" s="345">
        <v>42277</v>
      </c>
      <c r="B485" s="253">
        <f t="shared" si="0"/>
        <v>0</v>
      </c>
      <c r="E485" s="14">
        <f>B485-Index_Returns!AA485</f>
        <v>0</v>
      </c>
    </row>
    <row r="486" spans="1:5" x14ac:dyDescent="0.2">
      <c r="A486" s="345">
        <v>42308</v>
      </c>
      <c r="B486" s="253">
        <f t="shared" si="0"/>
        <v>0</v>
      </c>
      <c r="E486" s="14">
        <f>B486-Index_Returns!AA486</f>
        <v>0</v>
      </c>
    </row>
    <row r="487" spans="1:5" x14ac:dyDescent="0.2">
      <c r="A487" s="345">
        <v>42338</v>
      </c>
      <c r="B487" s="253">
        <f t="shared" si="0"/>
        <v>0</v>
      </c>
      <c r="E487" s="14">
        <f>B487-Index_Returns!AA487</f>
        <v>0</v>
      </c>
    </row>
    <row r="488" spans="1:5" x14ac:dyDescent="0.2">
      <c r="A488" s="345">
        <v>42369</v>
      </c>
      <c r="B488" s="253">
        <f t="shared" si="0"/>
        <v>0</v>
      </c>
      <c r="E488" s="14">
        <f>B488-Index_Returns!AA488</f>
        <v>0</v>
      </c>
    </row>
    <row r="489" spans="1:5" x14ac:dyDescent="0.2">
      <c r="A489" s="345"/>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H489"/>
  <sheetViews>
    <sheetView workbookViewId="0">
      <pane xSplit="1" ySplit="2" topLeftCell="B448" activePane="bottomRight" state="frozen"/>
      <selection pane="topRight"/>
      <selection pane="bottomLeft"/>
      <selection pane="bottomRight" activeCell="C472" sqref="C472:D472"/>
    </sheetView>
  </sheetViews>
  <sheetFormatPr defaultRowHeight="12.75" x14ac:dyDescent="0.2"/>
  <cols>
    <col min="1" max="1" width="18.7109375" style="21" customWidth="1"/>
    <col min="2" max="2" width="18.7109375" style="257" customWidth="1"/>
    <col min="3" max="3" width="22" style="346" bestFit="1" customWidth="1"/>
    <col min="4" max="4" width="18.7109375" style="262" customWidth="1"/>
    <col min="5" max="5" width="9.140625" style="14"/>
    <col min="6" max="6" width="12.42578125" bestFit="1" customWidth="1"/>
    <col min="7" max="7" width="17.7109375" style="352" bestFit="1" customWidth="1"/>
    <col min="8" max="8" width="9.140625" style="352"/>
  </cols>
  <sheetData>
    <row r="1" spans="1:6" x14ac:dyDescent="0.2">
      <c r="A1" s="1284" t="s">
        <v>944</v>
      </c>
      <c r="B1" s="1416"/>
      <c r="C1" s="1469" t="s">
        <v>949</v>
      </c>
      <c r="D1" s="1370">
        <f>ASRS_E1!D1</f>
        <v>1</v>
      </c>
      <c r="F1" s="1284" t="str">
        <f>"A1TP"</f>
        <v>A1TP</v>
      </c>
    </row>
    <row r="2" spans="1:6" x14ac:dyDescent="0.2">
      <c r="A2" s="3" t="s">
        <v>27</v>
      </c>
      <c r="B2" s="71" t="s">
        <v>91</v>
      </c>
      <c r="C2" s="226" t="s">
        <v>92</v>
      </c>
      <c r="D2" s="71" t="s">
        <v>90</v>
      </c>
      <c r="E2" s="734" t="s">
        <v>80</v>
      </c>
    </row>
    <row r="3" spans="1:6" x14ac:dyDescent="0.2">
      <c r="A3" s="345">
        <v>27606</v>
      </c>
      <c r="B3" s="71"/>
      <c r="C3" s="226"/>
      <c r="D3" s="71"/>
    </row>
    <row r="4" spans="1:6" x14ac:dyDescent="0.2">
      <c r="A4" s="345">
        <v>27637</v>
      </c>
      <c r="B4" s="71"/>
      <c r="C4" s="226"/>
      <c r="D4" s="71"/>
    </row>
    <row r="5" spans="1:6" x14ac:dyDescent="0.2">
      <c r="A5" s="345">
        <v>27667</v>
      </c>
      <c r="B5" s="71"/>
      <c r="C5" s="226"/>
      <c r="D5" s="71"/>
    </row>
    <row r="6" spans="1:6" x14ac:dyDescent="0.2">
      <c r="A6" s="345">
        <v>27698</v>
      </c>
      <c r="B6" s="71"/>
      <c r="C6" s="226"/>
      <c r="D6" s="71"/>
    </row>
    <row r="7" spans="1:6" x14ac:dyDescent="0.2">
      <c r="A7" s="345">
        <v>27728</v>
      </c>
      <c r="B7" s="71"/>
      <c r="C7" s="226"/>
      <c r="D7" s="71"/>
    </row>
    <row r="8" spans="1:6" x14ac:dyDescent="0.2">
      <c r="A8" s="345">
        <v>27759</v>
      </c>
      <c r="B8" s="71"/>
      <c r="C8" s="226"/>
      <c r="D8" s="71"/>
    </row>
    <row r="9" spans="1:6" x14ac:dyDescent="0.2">
      <c r="A9" s="345">
        <v>27790</v>
      </c>
      <c r="B9" s="71"/>
      <c r="C9" s="226"/>
      <c r="D9" s="71"/>
    </row>
    <row r="10" spans="1:6" x14ac:dyDescent="0.2">
      <c r="A10" s="345">
        <v>27819</v>
      </c>
      <c r="B10" s="71"/>
      <c r="C10" s="226"/>
      <c r="D10" s="71"/>
    </row>
    <row r="11" spans="1:6" x14ac:dyDescent="0.2">
      <c r="A11" s="345">
        <v>27850</v>
      </c>
      <c r="B11" s="71"/>
      <c r="C11" s="226"/>
      <c r="D11" s="71"/>
    </row>
    <row r="12" spans="1:6" x14ac:dyDescent="0.2">
      <c r="A12" s="345">
        <v>27880</v>
      </c>
      <c r="B12" s="71"/>
      <c r="C12" s="226"/>
      <c r="D12" s="71"/>
    </row>
    <row r="13" spans="1:6" x14ac:dyDescent="0.2">
      <c r="A13" s="345">
        <v>27911</v>
      </c>
      <c r="B13" s="71"/>
      <c r="C13" s="226"/>
      <c r="D13" s="71"/>
    </row>
    <row r="14" spans="1:6" x14ac:dyDescent="0.2">
      <c r="A14" s="345">
        <v>27941</v>
      </c>
      <c r="B14" s="71"/>
      <c r="C14" s="226"/>
      <c r="D14" s="71"/>
    </row>
    <row r="15" spans="1:6" x14ac:dyDescent="0.2">
      <c r="A15" s="345">
        <v>27972</v>
      </c>
      <c r="B15" s="71"/>
      <c r="C15" s="226"/>
      <c r="D15" s="71"/>
    </row>
    <row r="16" spans="1:6" x14ac:dyDescent="0.2">
      <c r="A16" s="345">
        <v>28003</v>
      </c>
      <c r="B16" s="71"/>
      <c r="C16" s="226"/>
      <c r="D16" s="71"/>
    </row>
    <row r="17" spans="1:4" x14ac:dyDescent="0.2">
      <c r="A17" s="345">
        <v>28033</v>
      </c>
      <c r="B17" s="71"/>
      <c r="C17" s="226"/>
      <c r="D17" s="71"/>
    </row>
    <row r="18" spans="1:4" x14ac:dyDescent="0.2">
      <c r="A18" s="345">
        <v>28064</v>
      </c>
      <c r="B18" s="71"/>
      <c r="C18" s="226"/>
      <c r="D18" s="71"/>
    </row>
    <row r="19" spans="1:4" x14ac:dyDescent="0.2">
      <c r="A19" s="345">
        <v>28094</v>
      </c>
      <c r="B19" s="71"/>
      <c r="C19" s="226"/>
      <c r="D19" s="71"/>
    </row>
    <row r="20" spans="1:4" x14ac:dyDescent="0.2">
      <c r="A20" s="345">
        <v>28125</v>
      </c>
      <c r="B20" s="71"/>
      <c r="C20" s="226"/>
      <c r="D20" s="71"/>
    </row>
    <row r="21" spans="1:4" x14ac:dyDescent="0.2">
      <c r="A21" s="345">
        <v>28156</v>
      </c>
      <c r="B21" s="71"/>
      <c r="C21" s="226"/>
      <c r="D21" s="71"/>
    </row>
    <row r="22" spans="1:4" x14ac:dyDescent="0.2">
      <c r="A22" s="345">
        <v>28184</v>
      </c>
      <c r="B22" s="71"/>
      <c r="C22" s="226"/>
      <c r="D22" s="71"/>
    </row>
    <row r="23" spans="1:4" x14ac:dyDescent="0.2">
      <c r="A23" s="345">
        <v>28215</v>
      </c>
      <c r="B23" s="71"/>
      <c r="C23" s="226"/>
      <c r="D23" s="71"/>
    </row>
    <row r="24" spans="1:4" x14ac:dyDescent="0.2">
      <c r="A24" s="345">
        <v>28245</v>
      </c>
      <c r="B24" s="71"/>
      <c r="C24" s="226"/>
      <c r="D24" s="71"/>
    </row>
    <row r="25" spans="1:4" x14ac:dyDescent="0.2">
      <c r="A25" s="345">
        <v>28276</v>
      </c>
      <c r="B25" s="71"/>
      <c r="C25" s="226"/>
      <c r="D25" s="71"/>
    </row>
    <row r="26" spans="1:4" x14ac:dyDescent="0.2">
      <c r="A26" s="345">
        <v>28306</v>
      </c>
      <c r="B26" s="71"/>
      <c r="C26" s="226"/>
      <c r="D26" s="71"/>
    </row>
    <row r="27" spans="1:4" x14ac:dyDescent="0.2">
      <c r="A27" s="345">
        <v>28337</v>
      </c>
      <c r="B27" s="71"/>
      <c r="C27" s="226"/>
      <c r="D27" s="71"/>
    </row>
    <row r="28" spans="1:4" x14ac:dyDescent="0.2">
      <c r="A28" s="345">
        <v>28368</v>
      </c>
      <c r="B28" s="71"/>
      <c r="C28" s="226"/>
      <c r="D28" s="71"/>
    </row>
    <row r="29" spans="1:4" x14ac:dyDescent="0.2">
      <c r="A29" s="345">
        <v>28398</v>
      </c>
      <c r="B29" s="71"/>
      <c r="C29" s="226"/>
      <c r="D29" s="71"/>
    </row>
    <row r="30" spans="1:4" x14ac:dyDescent="0.2">
      <c r="A30" s="345">
        <v>28429</v>
      </c>
      <c r="B30" s="71"/>
      <c r="C30" s="226"/>
      <c r="D30" s="71"/>
    </row>
    <row r="31" spans="1:4" x14ac:dyDescent="0.2">
      <c r="A31" s="345">
        <v>28459</v>
      </c>
      <c r="B31" s="71"/>
      <c r="C31" s="226"/>
      <c r="D31" s="71"/>
    </row>
    <row r="32" spans="1:4" x14ac:dyDescent="0.2">
      <c r="A32" s="345">
        <v>28490</v>
      </c>
      <c r="B32" s="71"/>
      <c r="C32" s="226"/>
      <c r="D32" s="71"/>
    </row>
    <row r="33" spans="1:4" x14ac:dyDescent="0.2">
      <c r="A33" s="345">
        <v>28521</v>
      </c>
      <c r="B33" s="71"/>
      <c r="C33" s="226"/>
      <c r="D33" s="71"/>
    </row>
    <row r="34" spans="1:4" x14ac:dyDescent="0.2">
      <c r="A34" s="345">
        <v>28549</v>
      </c>
      <c r="B34" s="71"/>
      <c r="C34" s="226"/>
      <c r="D34" s="71"/>
    </row>
    <row r="35" spans="1:4" x14ac:dyDescent="0.2">
      <c r="A35" s="345">
        <v>28580</v>
      </c>
      <c r="B35" s="71"/>
      <c r="C35" s="226"/>
      <c r="D35" s="71"/>
    </row>
    <row r="36" spans="1:4" x14ac:dyDescent="0.2">
      <c r="A36" s="345">
        <v>28610</v>
      </c>
      <c r="B36" s="71"/>
      <c r="C36" s="226"/>
      <c r="D36" s="71"/>
    </row>
    <row r="37" spans="1:4" x14ac:dyDescent="0.2">
      <c r="A37" s="345">
        <v>28641</v>
      </c>
      <c r="B37" s="71"/>
      <c r="C37" s="226"/>
      <c r="D37" s="71"/>
    </row>
    <row r="38" spans="1:4" x14ac:dyDescent="0.2">
      <c r="A38" s="345">
        <v>28671</v>
      </c>
      <c r="B38" s="71"/>
      <c r="C38" s="226"/>
      <c r="D38" s="71"/>
    </row>
    <row r="39" spans="1:4" x14ac:dyDescent="0.2">
      <c r="A39" s="345">
        <v>28702</v>
      </c>
      <c r="B39" s="71"/>
      <c r="C39" s="226"/>
      <c r="D39" s="71"/>
    </row>
    <row r="40" spans="1:4" x14ac:dyDescent="0.2">
      <c r="A40" s="345">
        <v>28733</v>
      </c>
      <c r="B40" s="71"/>
      <c r="C40" s="226"/>
      <c r="D40" s="71"/>
    </row>
    <row r="41" spans="1:4" x14ac:dyDescent="0.2">
      <c r="A41" s="345">
        <v>28763</v>
      </c>
      <c r="B41" s="71"/>
      <c r="C41" s="226"/>
      <c r="D41" s="71"/>
    </row>
    <row r="42" spans="1:4" x14ac:dyDescent="0.2">
      <c r="A42" s="345">
        <v>28794</v>
      </c>
      <c r="B42" s="71"/>
      <c r="C42" s="226"/>
      <c r="D42" s="71"/>
    </row>
    <row r="43" spans="1:4" x14ac:dyDescent="0.2">
      <c r="A43" s="345">
        <v>28824</v>
      </c>
      <c r="B43" s="71"/>
      <c r="C43" s="226"/>
      <c r="D43" s="71"/>
    </row>
    <row r="44" spans="1:4" x14ac:dyDescent="0.2">
      <c r="A44" s="345">
        <v>28855</v>
      </c>
      <c r="B44" s="71"/>
      <c r="C44" s="226"/>
      <c r="D44" s="71"/>
    </row>
    <row r="45" spans="1:4" x14ac:dyDescent="0.2">
      <c r="A45" s="345">
        <v>28886</v>
      </c>
      <c r="B45" s="71"/>
      <c r="C45" s="226"/>
      <c r="D45" s="71"/>
    </row>
    <row r="46" spans="1:4" x14ac:dyDescent="0.2">
      <c r="A46" s="345">
        <v>28914</v>
      </c>
      <c r="B46" s="71"/>
      <c r="C46" s="226"/>
      <c r="D46" s="71"/>
    </row>
    <row r="47" spans="1:4" x14ac:dyDescent="0.2">
      <c r="A47" s="345">
        <v>28945</v>
      </c>
      <c r="B47" s="71"/>
      <c r="C47" s="226"/>
      <c r="D47" s="71"/>
    </row>
    <row r="48" spans="1:4" x14ac:dyDescent="0.2">
      <c r="A48" s="345">
        <v>28975</v>
      </c>
      <c r="B48" s="71"/>
      <c r="C48" s="226"/>
      <c r="D48" s="71"/>
    </row>
    <row r="49" spans="1:4" x14ac:dyDescent="0.2">
      <c r="A49" s="345">
        <v>29006</v>
      </c>
      <c r="B49" s="71"/>
      <c r="C49" s="226"/>
      <c r="D49" s="71"/>
    </row>
    <row r="50" spans="1:4" x14ac:dyDescent="0.2">
      <c r="A50" s="345">
        <v>29036</v>
      </c>
      <c r="B50" s="71"/>
      <c r="C50" s="226"/>
      <c r="D50" s="71"/>
    </row>
    <row r="51" spans="1:4" x14ac:dyDescent="0.2">
      <c r="A51" s="345">
        <v>29067</v>
      </c>
      <c r="B51" s="71"/>
      <c r="C51" s="226"/>
      <c r="D51" s="71"/>
    </row>
    <row r="52" spans="1:4" x14ac:dyDescent="0.2">
      <c r="A52" s="345">
        <v>29098</v>
      </c>
      <c r="B52" s="71"/>
      <c r="C52" s="226"/>
      <c r="D52" s="71"/>
    </row>
    <row r="53" spans="1:4" x14ac:dyDescent="0.2">
      <c r="A53" s="345">
        <v>29128</v>
      </c>
      <c r="B53" s="71"/>
      <c r="C53" s="226"/>
      <c r="D53" s="71"/>
    </row>
    <row r="54" spans="1:4" x14ac:dyDescent="0.2">
      <c r="A54" s="345">
        <v>29159</v>
      </c>
      <c r="B54" s="71"/>
      <c r="C54" s="226"/>
      <c r="D54" s="71"/>
    </row>
    <row r="55" spans="1:4" x14ac:dyDescent="0.2">
      <c r="A55" s="345">
        <v>29189</v>
      </c>
      <c r="B55" s="71"/>
      <c r="C55" s="226"/>
      <c r="D55" s="71"/>
    </row>
    <row r="56" spans="1:4" x14ac:dyDescent="0.2">
      <c r="A56" s="345">
        <v>29220</v>
      </c>
      <c r="B56" s="71"/>
      <c r="C56" s="226"/>
      <c r="D56" s="71"/>
    </row>
    <row r="57" spans="1:4" x14ac:dyDescent="0.2">
      <c r="A57" s="345">
        <v>29251</v>
      </c>
      <c r="B57" s="71"/>
      <c r="C57" s="226"/>
      <c r="D57" s="71"/>
    </row>
    <row r="58" spans="1:4" x14ac:dyDescent="0.2">
      <c r="A58" s="345">
        <v>29280</v>
      </c>
      <c r="B58" s="71"/>
      <c r="C58" s="226"/>
      <c r="D58" s="71"/>
    </row>
    <row r="59" spans="1:4" x14ac:dyDescent="0.2">
      <c r="A59" s="345">
        <v>29311</v>
      </c>
      <c r="B59" s="71"/>
      <c r="C59" s="226"/>
      <c r="D59" s="71"/>
    </row>
    <row r="60" spans="1:4" x14ac:dyDescent="0.2">
      <c r="A60" s="345">
        <v>29341</v>
      </c>
      <c r="B60" s="71"/>
      <c r="C60" s="226"/>
      <c r="D60" s="71"/>
    </row>
    <row r="61" spans="1:4" x14ac:dyDescent="0.2">
      <c r="A61" s="345">
        <v>29372</v>
      </c>
      <c r="B61" s="71"/>
      <c r="C61" s="226"/>
      <c r="D61" s="71"/>
    </row>
    <row r="62" spans="1:4" x14ac:dyDescent="0.2">
      <c r="A62" s="345">
        <v>29402</v>
      </c>
      <c r="B62" s="71"/>
      <c r="C62" s="226"/>
      <c r="D62" s="71"/>
    </row>
    <row r="63" spans="1:4" x14ac:dyDescent="0.2">
      <c r="A63" s="345">
        <v>29433</v>
      </c>
      <c r="B63" s="71"/>
      <c r="C63" s="226"/>
      <c r="D63" s="71"/>
    </row>
    <row r="64" spans="1:4" x14ac:dyDescent="0.2">
      <c r="A64" s="345">
        <v>29464</v>
      </c>
      <c r="B64" s="71"/>
      <c r="C64" s="226"/>
      <c r="D64" s="71"/>
    </row>
    <row r="65" spans="1:4" x14ac:dyDescent="0.2">
      <c r="A65" s="345">
        <v>29494</v>
      </c>
      <c r="B65" s="71"/>
      <c r="C65" s="226"/>
      <c r="D65" s="71"/>
    </row>
    <row r="66" spans="1:4" x14ac:dyDescent="0.2">
      <c r="A66" s="345">
        <v>29525</v>
      </c>
      <c r="B66" s="71"/>
      <c r="C66" s="226"/>
      <c r="D66" s="71"/>
    </row>
    <row r="67" spans="1:4" x14ac:dyDescent="0.2">
      <c r="A67" s="345">
        <v>29555</v>
      </c>
      <c r="B67" s="71"/>
      <c r="C67" s="226"/>
      <c r="D67" s="71"/>
    </row>
    <row r="68" spans="1:4" x14ac:dyDescent="0.2">
      <c r="A68" s="345">
        <v>29586</v>
      </c>
      <c r="B68" s="71"/>
      <c r="C68" s="226"/>
      <c r="D68" s="71"/>
    </row>
    <row r="69" spans="1:4" x14ac:dyDescent="0.2">
      <c r="A69" s="345">
        <v>29617</v>
      </c>
      <c r="B69" s="71"/>
      <c r="C69" s="226"/>
      <c r="D69" s="71"/>
    </row>
    <row r="70" spans="1:4" x14ac:dyDescent="0.2">
      <c r="A70" s="345">
        <v>29645</v>
      </c>
      <c r="B70" s="71"/>
      <c r="C70" s="226"/>
      <c r="D70" s="71"/>
    </row>
    <row r="71" spans="1:4" x14ac:dyDescent="0.2">
      <c r="A71" s="345">
        <v>29676</v>
      </c>
      <c r="B71" s="71"/>
      <c r="C71" s="226"/>
      <c r="D71" s="71"/>
    </row>
    <row r="72" spans="1:4" x14ac:dyDescent="0.2">
      <c r="A72" s="345">
        <v>29706</v>
      </c>
      <c r="B72" s="71"/>
      <c r="C72" s="226"/>
      <c r="D72" s="71"/>
    </row>
    <row r="73" spans="1:4" x14ac:dyDescent="0.2">
      <c r="A73" s="345">
        <v>29737</v>
      </c>
      <c r="B73" s="71"/>
      <c r="C73" s="226"/>
      <c r="D73" s="71"/>
    </row>
    <row r="74" spans="1:4" x14ac:dyDescent="0.2">
      <c r="A74" s="345">
        <v>29767</v>
      </c>
      <c r="B74" s="71"/>
      <c r="C74" s="226"/>
      <c r="D74" s="71"/>
    </row>
    <row r="75" spans="1:4" x14ac:dyDescent="0.2">
      <c r="A75" s="345">
        <v>29798</v>
      </c>
      <c r="B75" s="71"/>
      <c r="C75" s="226"/>
      <c r="D75" s="71"/>
    </row>
    <row r="76" spans="1:4" x14ac:dyDescent="0.2">
      <c r="A76" s="345">
        <v>29829</v>
      </c>
      <c r="B76" s="71"/>
      <c r="C76" s="226"/>
      <c r="D76" s="71"/>
    </row>
    <row r="77" spans="1:4" x14ac:dyDescent="0.2">
      <c r="A77" s="345">
        <v>29859</v>
      </c>
      <c r="B77" s="71"/>
      <c r="C77" s="226"/>
      <c r="D77" s="71"/>
    </row>
    <row r="78" spans="1:4" x14ac:dyDescent="0.2">
      <c r="A78" s="345">
        <v>29890</v>
      </c>
      <c r="B78" s="71"/>
      <c r="C78" s="226"/>
      <c r="D78" s="71"/>
    </row>
    <row r="79" spans="1:4" x14ac:dyDescent="0.2">
      <c r="A79" s="345">
        <v>29920</v>
      </c>
      <c r="B79" s="71"/>
      <c r="C79" s="226"/>
      <c r="D79" s="71"/>
    </row>
    <row r="80" spans="1:4" x14ac:dyDescent="0.2">
      <c r="A80" s="345">
        <v>29951</v>
      </c>
      <c r="B80" s="71"/>
      <c r="C80" s="226"/>
      <c r="D80" s="71"/>
    </row>
    <row r="81" spans="1:4" x14ac:dyDescent="0.2">
      <c r="A81" s="345">
        <v>29982</v>
      </c>
      <c r="B81" s="71"/>
      <c r="C81" s="226"/>
      <c r="D81" s="71"/>
    </row>
    <row r="82" spans="1:4" x14ac:dyDescent="0.2">
      <c r="A82" s="345">
        <v>30010</v>
      </c>
      <c r="B82" s="71"/>
      <c r="C82" s="226"/>
      <c r="D82" s="71"/>
    </row>
    <row r="83" spans="1:4" x14ac:dyDescent="0.2">
      <c r="A83" s="345">
        <v>30041</v>
      </c>
      <c r="B83" s="71"/>
      <c r="C83" s="226"/>
      <c r="D83" s="71"/>
    </row>
    <row r="84" spans="1:4" x14ac:dyDescent="0.2">
      <c r="A84" s="345">
        <v>30071</v>
      </c>
      <c r="B84" s="71"/>
      <c r="C84" s="226"/>
      <c r="D84" s="71"/>
    </row>
    <row r="85" spans="1:4" x14ac:dyDescent="0.2">
      <c r="A85" s="345">
        <v>30102</v>
      </c>
      <c r="B85" s="71"/>
      <c r="C85" s="226"/>
      <c r="D85" s="71"/>
    </row>
    <row r="86" spans="1:4" x14ac:dyDescent="0.2">
      <c r="A86" s="345">
        <v>30132</v>
      </c>
      <c r="B86" s="71"/>
      <c r="C86" s="226"/>
      <c r="D86" s="71"/>
    </row>
    <row r="87" spans="1:4" x14ac:dyDescent="0.2">
      <c r="A87" s="345">
        <v>30163</v>
      </c>
      <c r="B87" s="71"/>
      <c r="C87" s="226"/>
      <c r="D87" s="71"/>
    </row>
    <row r="88" spans="1:4" x14ac:dyDescent="0.2">
      <c r="A88" s="345">
        <v>30194</v>
      </c>
      <c r="B88" s="71"/>
      <c r="C88" s="226"/>
      <c r="D88" s="71"/>
    </row>
    <row r="89" spans="1:4" x14ac:dyDescent="0.2">
      <c r="A89" s="345">
        <v>30224</v>
      </c>
      <c r="B89" s="71"/>
      <c r="C89" s="226"/>
      <c r="D89" s="71"/>
    </row>
    <row r="90" spans="1:4" x14ac:dyDescent="0.2">
      <c r="A90" s="345">
        <v>30255</v>
      </c>
      <c r="B90" s="71"/>
      <c r="C90" s="226"/>
      <c r="D90" s="71"/>
    </row>
    <row r="91" spans="1:4" x14ac:dyDescent="0.2">
      <c r="A91" s="345">
        <v>30285</v>
      </c>
      <c r="B91" s="71"/>
      <c r="C91" s="226"/>
      <c r="D91" s="71"/>
    </row>
    <row r="92" spans="1:4" x14ac:dyDescent="0.2">
      <c r="A92" s="345">
        <v>30316</v>
      </c>
      <c r="B92" s="71"/>
      <c r="C92" s="226"/>
      <c r="D92" s="71"/>
    </row>
    <row r="93" spans="1:4" x14ac:dyDescent="0.2">
      <c r="A93" s="345">
        <v>30347</v>
      </c>
      <c r="B93" s="71"/>
      <c r="C93" s="226"/>
      <c r="D93" s="71"/>
    </row>
    <row r="94" spans="1:4" x14ac:dyDescent="0.2">
      <c r="A94" s="345">
        <v>30375</v>
      </c>
      <c r="B94" s="71"/>
      <c r="C94" s="226"/>
      <c r="D94" s="71"/>
    </row>
    <row r="95" spans="1:4" x14ac:dyDescent="0.2">
      <c r="A95" s="345">
        <v>30406</v>
      </c>
      <c r="B95" s="71"/>
      <c r="C95" s="226"/>
      <c r="D95" s="71"/>
    </row>
    <row r="96" spans="1:4" x14ac:dyDescent="0.2">
      <c r="A96" s="345">
        <v>30436</v>
      </c>
      <c r="B96" s="71"/>
      <c r="C96" s="226"/>
      <c r="D96" s="71"/>
    </row>
    <row r="97" spans="1:4" x14ac:dyDescent="0.2">
      <c r="A97" s="345">
        <v>30467</v>
      </c>
      <c r="B97" s="71"/>
      <c r="C97" s="226"/>
      <c r="D97" s="71"/>
    </row>
    <row r="98" spans="1:4" x14ac:dyDescent="0.2">
      <c r="A98" s="345">
        <v>30497</v>
      </c>
      <c r="B98" s="71"/>
      <c r="C98" s="226"/>
      <c r="D98" s="71"/>
    </row>
    <row r="99" spans="1:4" x14ac:dyDescent="0.2">
      <c r="A99" s="345">
        <v>30528</v>
      </c>
      <c r="B99" s="71"/>
      <c r="C99" s="226"/>
      <c r="D99" s="71"/>
    </row>
    <row r="100" spans="1:4" x14ac:dyDescent="0.2">
      <c r="A100" s="345">
        <v>30559</v>
      </c>
      <c r="B100" s="71"/>
      <c r="C100" s="226"/>
      <c r="D100" s="71"/>
    </row>
    <row r="101" spans="1:4" x14ac:dyDescent="0.2">
      <c r="A101" s="345">
        <v>30589</v>
      </c>
      <c r="B101" s="71"/>
      <c r="C101" s="226"/>
      <c r="D101" s="71"/>
    </row>
    <row r="102" spans="1:4" x14ac:dyDescent="0.2">
      <c r="A102" s="345">
        <v>30620</v>
      </c>
      <c r="B102" s="71"/>
      <c r="C102" s="226"/>
      <c r="D102" s="71"/>
    </row>
    <row r="103" spans="1:4" x14ac:dyDescent="0.2">
      <c r="A103" s="345">
        <v>30650</v>
      </c>
      <c r="B103" s="71"/>
      <c r="C103" s="226"/>
      <c r="D103" s="71"/>
    </row>
    <row r="104" spans="1:4" x14ac:dyDescent="0.2">
      <c r="A104" s="345">
        <v>30681</v>
      </c>
      <c r="B104" s="71"/>
      <c r="C104" s="226"/>
      <c r="D104" s="71"/>
    </row>
    <row r="105" spans="1:4" x14ac:dyDescent="0.2">
      <c r="A105" s="345">
        <v>30712</v>
      </c>
      <c r="B105" s="71"/>
      <c r="C105" s="226"/>
      <c r="D105" s="71"/>
    </row>
    <row r="106" spans="1:4" x14ac:dyDescent="0.2">
      <c r="A106" s="345">
        <v>30741</v>
      </c>
      <c r="B106" s="71"/>
      <c r="C106" s="226"/>
      <c r="D106" s="71"/>
    </row>
    <row r="107" spans="1:4" x14ac:dyDescent="0.2">
      <c r="A107" s="345">
        <v>30772</v>
      </c>
      <c r="B107" s="71"/>
      <c r="C107" s="226"/>
      <c r="D107" s="71"/>
    </row>
    <row r="108" spans="1:4" x14ac:dyDescent="0.2">
      <c r="A108" s="345">
        <v>30802</v>
      </c>
      <c r="B108" s="71"/>
      <c r="C108" s="226"/>
      <c r="D108" s="71"/>
    </row>
    <row r="109" spans="1:4" x14ac:dyDescent="0.2">
      <c r="A109" s="345">
        <v>30833</v>
      </c>
      <c r="B109" s="71"/>
      <c r="C109" s="226"/>
      <c r="D109" s="71"/>
    </row>
    <row r="110" spans="1:4" x14ac:dyDescent="0.2">
      <c r="A110" s="345">
        <v>30863</v>
      </c>
      <c r="B110" s="71"/>
      <c r="C110" s="226"/>
      <c r="D110" s="71"/>
    </row>
    <row r="111" spans="1:4" x14ac:dyDescent="0.2">
      <c r="A111" s="345">
        <v>30894</v>
      </c>
      <c r="B111" s="71"/>
      <c r="C111" s="226"/>
      <c r="D111" s="71"/>
    </row>
    <row r="112" spans="1:4" x14ac:dyDescent="0.2">
      <c r="A112" s="345">
        <v>30925</v>
      </c>
      <c r="B112" s="71"/>
      <c r="C112" s="226"/>
      <c r="D112" s="71"/>
    </row>
    <row r="113" spans="1:4" x14ac:dyDescent="0.2">
      <c r="A113" s="345">
        <v>30955</v>
      </c>
      <c r="B113" s="71"/>
      <c r="C113" s="226"/>
      <c r="D113" s="71"/>
    </row>
    <row r="114" spans="1:4" x14ac:dyDescent="0.2">
      <c r="A114" s="345">
        <v>30986</v>
      </c>
      <c r="B114" s="71"/>
      <c r="C114" s="226"/>
      <c r="D114" s="71"/>
    </row>
    <row r="115" spans="1:4" x14ac:dyDescent="0.2">
      <c r="A115" s="345">
        <v>31016</v>
      </c>
      <c r="B115" s="71"/>
      <c r="C115" s="226"/>
      <c r="D115" s="71"/>
    </row>
    <row r="116" spans="1:4" x14ac:dyDescent="0.2">
      <c r="A116" s="345">
        <v>31047</v>
      </c>
      <c r="B116" s="71"/>
      <c r="C116" s="226"/>
      <c r="D116" s="71"/>
    </row>
    <row r="117" spans="1:4" x14ac:dyDescent="0.2">
      <c r="A117" s="345">
        <v>31078</v>
      </c>
      <c r="B117" s="71"/>
      <c r="C117" s="226"/>
      <c r="D117" s="71"/>
    </row>
    <row r="118" spans="1:4" x14ac:dyDescent="0.2">
      <c r="A118" s="345">
        <v>31106</v>
      </c>
      <c r="B118" s="71"/>
      <c r="C118" s="226"/>
      <c r="D118" s="71"/>
    </row>
    <row r="119" spans="1:4" x14ac:dyDescent="0.2">
      <c r="A119" s="345">
        <v>31137</v>
      </c>
      <c r="B119" s="71"/>
      <c r="C119" s="226"/>
      <c r="D119" s="71"/>
    </row>
    <row r="120" spans="1:4" x14ac:dyDescent="0.2">
      <c r="A120" s="345">
        <v>31167</v>
      </c>
      <c r="B120" s="71"/>
      <c r="C120" s="226"/>
      <c r="D120" s="71"/>
    </row>
    <row r="121" spans="1:4" x14ac:dyDescent="0.2">
      <c r="A121" s="345">
        <v>31198</v>
      </c>
      <c r="B121" s="71"/>
      <c r="C121" s="226"/>
      <c r="D121" s="71"/>
    </row>
    <row r="122" spans="1:4" x14ac:dyDescent="0.2">
      <c r="A122" s="345">
        <v>31228</v>
      </c>
      <c r="B122" s="71"/>
      <c r="C122" s="226"/>
      <c r="D122" s="71"/>
    </row>
    <row r="123" spans="1:4" x14ac:dyDescent="0.2">
      <c r="A123" s="345">
        <v>31259</v>
      </c>
      <c r="B123" s="71"/>
      <c r="C123" s="226"/>
      <c r="D123" s="71"/>
    </row>
    <row r="124" spans="1:4" x14ac:dyDescent="0.2">
      <c r="A124" s="345">
        <v>31290</v>
      </c>
      <c r="B124" s="71"/>
      <c r="C124" s="226"/>
      <c r="D124" s="71"/>
    </row>
    <row r="125" spans="1:4" x14ac:dyDescent="0.2">
      <c r="A125" s="345">
        <v>31320</v>
      </c>
      <c r="B125" s="71"/>
      <c r="C125" s="226"/>
      <c r="D125" s="71"/>
    </row>
    <row r="126" spans="1:4" x14ac:dyDescent="0.2">
      <c r="A126" s="345">
        <v>31351</v>
      </c>
      <c r="B126" s="71"/>
      <c r="C126" s="226"/>
      <c r="D126" s="71"/>
    </row>
    <row r="127" spans="1:4" x14ac:dyDescent="0.2">
      <c r="A127" s="345">
        <v>31381</v>
      </c>
      <c r="B127" s="71"/>
      <c r="C127" s="226"/>
      <c r="D127" s="71"/>
    </row>
    <row r="128" spans="1:4" x14ac:dyDescent="0.2">
      <c r="A128" s="345">
        <v>31412</v>
      </c>
      <c r="B128" s="71"/>
      <c r="C128" s="226"/>
      <c r="D128" s="71"/>
    </row>
    <row r="129" spans="1:4" x14ac:dyDescent="0.2">
      <c r="A129" s="345">
        <v>31443</v>
      </c>
      <c r="B129" s="71"/>
      <c r="C129" s="226"/>
      <c r="D129" s="71"/>
    </row>
    <row r="130" spans="1:4" x14ac:dyDescent="0.2">
      <c r="A130" s="345">
        <v>31471</v>
      </c>
      <c r="B130" s="71"/>
      <c r="C130" s="226"/>
      <c r="D130" s="71"/>
    </row>
    <row r="131" spans="1:4" x14ac:dyDescent="0.2">
      <c r="A131" s="345">
        <v>31502</v>
      </c>
      <c r="B131" s="71"/>
      <c r="C131" s="226"/>
      <c r="D131" s="71"/>
    </row>
    <row r="132" spans="1:4" x14ac:dyDescent="0.2">
      <c r="A132" s="345">
        <v>31532</v>
      </c>
      <c r="B132" s="71"/>
      <c r="C132" s="226"/>
      <c r="D132" s="71"/>
    </row>
    <row r="133" spans="1:4" x14ac:dyDescent="0.2">
      <c r="A133" s="345">
        <v>31563</v>
      </c>
      <c r="B133" s="71"/>
      <c r="C133" s="226"/>
      <c r="D133" s="71"/>
    </row>
    <row r="134" spans="1:4" x14ac:dyDescent="0.2">
      <c r="A134" s="345">
        <v>31593</v>
      </c>
      <c r="B134" s="71"/>
      <c r="C134" s="226"/>
      <c r="D134" s="71"/>
    </row>
    <row r="135" spans="1:4" x14ac:dyDescent="0.2">
      <c r="A135" s="345">
        <v>31624</v>
      </c>
      <c r="B135" s="71"/>
      <c r="C135" s="226"/>
      <c r="D135" s="71"/>
    </row>
    <row r="136" spans="1:4" x14ac:dyDescent="0.2">
      <c r="A136" s="345">
        <v>31655</v>
      </c>
      <c r="B136" s="71"/>
      <c r="C136" s="226"/>
      <c r="D136" s="71"/>
    </row>
    <row r="137" spans="1:4" x14ac:dyDescent="0.2">
      <c r="A137" s="345">
        <v>31685</v>
      </c>
      <c r="B137" s="71"/>
      <c r="C137" s="226"/>
      <c r="D137" s="71"/>
    </row>
    <row r="138" spans="1:4" x14ac:dyDescent="0.2">
      <c r="A138" s="345">
        <v>31716</v>
      </c>
      <c r="B138" s="71"/>
      <c r="C138" s="226"/>
      <c r="D138" s="71"/>
    </row>
    <row r="139" spans="1:4" x14ac:dyDescent="0.2">
      <c r="A139" s="345">
        <v>31746</v>
      </c>
      <c r="B139" s="71"/>
      <c r="C139" s="226"/>
      <c r="D139" s="71"/>
    </row>
    <row r="140" spans="1:4" x14ac:dyDescent="0.2">
      <c r="A140" s="345">
        <v>31777</v>
      </c>
      <c r="B140" s="71"/>
      <c r="C140" s="226"/>
      <c r="D140" s="71"/>
    </row>
    <row r="141" spans="1:4" x14ac:dyDescent="0.2">
      <c r="A141" s="345">
        <v>31808</v>
      </c>
      <c r="B141" s="73"/>
      <c r="C141" s="25"/>
      <c r="D141" s="79"/>
    </row>
    <row r="142" spans="1:4" x14ac:dyDescent="0.2">
      <c r="A142" s="345">
        <v>31836</v>
      </c>
      <c r="B142" s="73"/>
      <c r="C142" s="25"/>
      <c r="D142" s="79"/>
    </row>
    <row r="143" spans="1:4" x14ac:dyDescent="0.2">
      <c r="A143" s="345">
        <v>31867</v>
      </c>
      <c r="B143" s="73"/>
      <c r="C143" s="25"/>
      <c r="D143" s="79"/>
    </row>
    <row r="144" spans="1:4" x14ac:dyDescent="0.2">
      <c r="A144" s="345">
        <v>31897</v>
      </c>
      <c r="B144" s="73"/>
      <c r="C144" s="25"/>
      <c r="D144" s="79"/>
    </row>
    <row r="145" spans="1:4" x14ac:dyDescent="0.2">
      <c r="A145" s="345">
        <v>31928</v>
      </c>
      <c r="B145" s="73"/>
      <c r="C145" s="25"/>
      <c r="D145" s="79"/>
    </row>
    <row r="146" spans="1:4" x14ac:dyDescent="0.2">
      <c r="A146" s="345">
        <v>31958</v>
      </c>
      <c r="B146" s="73"/>
      <c r="C146" s="25"/>
      <c r="D146" s="79"/>
    </row>
    <row r="147" spans="1:4" x14ac:dyDescent="0.2">
      <c r="A147" s="345">
        <v>31989</v>
      </c>
      <c r="B147" s="73"/>
      <c r="C147" s="25"/>
      <c r="D147" s="79"/>
    </row>
    <row r="148" spans="1:4" x14ac:dyDescent="0.2">
      <c r="A148" s="345">
        <v>32020</v>
      </c>
      <c r="B148" s="73"/>
      <c r="C148" s="25"/>
      <c r="D148" s="79"/>
    </row>
    <row r="149" spans="1:4" x14ac:dyDescent="0.2">
      <c r="A149" s="345">
        <v>32050</v>
      </c>
      <c r="B149" s="73"/>
      <c r="C149" s="25"/>
      <c r="D149" s="79"/>
    </row>
    <row r="150" spans="1:4" x14ac:dyDescent="0.2">
      <c r="A150" s="345">
        <v>32081</v>
      </c>
      <c r="B150" s="73"/>
      <c r="C150" s="25"/>
      <c r="D150" s="79"/>
    </row>
    <row r="151" spans="1:4" x14ac:dyDescent="0.2">
      <c r="A151" s="345">
        <v>32111</v>
      </c>
      <c r="B151" s="73"/>
      <c r="C151" s="25"/>
      <c r="D151" s="79"/>
    </row>
    <row r="152" spans="1:4" x14ac:dyDescent="0.2">
      <c r="A152" s="345">
        <v>32142</v>
      </c>
      <c r="B152" s="73"/>
      <c r="C152" s="25"/>
      <c r="D152" s="79"/>
    </row>
    <row r="153" spans="1:4" x14ac:dyDescent="0.2">
      <c r="A153" s="345">
        <v>32173</v>
      </c>
      <c r="B153" s="73"/>
      <c r="C153" s="25"/>
      <c r="D153" s="79"/>
    </row>
    <row r="154" spans="1:4" x14ac:dyDescent="0.2">
      <c r="A154" s="345">
        <v>32202</v>
      </c>
      <c r="B154" s="73"/>
      <c r="C154" s="25"/>
      <c r="D154" s="79"/>
    </row>
    <row r="155" spans="1:4" x14ac:dyDescent="0.2">
      <c r="A155" s="345">
        <v>32233</v>
      </c>
      <c r="B155" s="73"/>
      <c r="C155" s="25"/>
      <c r="D155" s="79"/>
    </row>
    <row r="156" spans="1:4" x14ac:dyDescent="0.2">
      <c r="A156" s="345">
        <v>32263</v>
      </c>
      <c r="B156" s="73"/>
      <c r="C156" s="25"/>
      <c r="D156" s="79"/>
    </row>
    <row r="157" spans="1:4" x14ac:dyDescent="0.2">
      <c r="A157" s="345">
        <v>32294</v>
      </c>
      <c r="B157" s="73"/>
      <c r="C157" s="25"/>
      <c r="D157" s="79"/>
    </row>
    <row r="158" spans="1:4" x14ac:dyDescent="0.2">
      <c r="A158" s="345">
        <v>32324</v>
      </c>
      <c r="B158" s="73"/>
      <c r="C158" s="25"/>
      <c r="D158" s="79"/>
    </row>
    <row r="159" spans="1:4" x14ac:dyDescent="0.2">
      <c r="A159" s="345">
        <v>32355</v>
      </c>
      <c r="B159" s="73"/>
      <c r="C159" s="25"/>
      <c r="D159" s="79"/>
    </row>
    <row r="160" spans="1:4" x14ac:dyDescent="0.2">
      <c r="A160" s="345">
        <v>32386</v>
      </c>
      <c r="B160" s="73"/>
      <c r="C160" s="25"/>
      <c r="D160" s="79"/>
    </row>
    <row r="161" spans="1:4" x14ac:dyDescent="0.2">
      <c r="A161" s="345">
        <v>32416</v>
      </c>
      <c r="B161" s="73"/>
      <c r="C161" s="25"/>
      <c r="D161" s="79"/>
    </row>
    <row r="162" spans="1:4" x14ac:dyDescent="0.2">
      <c r="A162" s="345">
        <v>32447</v>
      </c>
      <c r="B162" s="73"/>
      <c r="C162" s="25"/>
      <c r="D162" s="79"/>
    </row>
    <row r="163" spans="1:4" x14ac:dyDescent="0.2">
      <c r="A163" s="345">
        <v>32477</v>
      </c>
      <c r="B163" s="73"/>
      <c r="C163" s="25"/>
      <c r="D163" s="79"/>
    </row>
    <row r="164" spans="1:4" x14ac:dyDescent="0.2">
      <c r="A164" s="345">
        <v>32508</v>
      </c>
      <c r="B164" s="73"/>
      <c r="C164" s="25"/>
      <c r="D164" s="79"/>
    </row>
    <row r="165" spans="1:4" x14ac:dyDescent="0.2">
      <c r="A165" s="345">
        <v>32539</v>
      </c>
      <c r="B165" s="73"/>
      <c r="C165" s="25"/>
      <c r="D165" s="79"/>
    </row>
    <row r="166" spans="1:4" x14ac:dyDescent="0.2">
      <c r="A166" s="345">
        <v>32567</v>
      </c>
      <c r="B166" s="73"/>
      <c r="C166" s="25"/>
      <c r="D166" s="79"/>
    </row>
    <row r="167" spans="1:4" x14ac:dyDescent="0.2">
      <c r="A167" s="345">
        <v>32598</v>
      </c>
      <c r="B167" s="73"/>
      <c r="C167" s="25"/>
      <c r="D167" s="79"/>
    </row>
    <row r="168" spans="1:4" x14ac:dyDescent="0.2">
      <c r="A168" s="345">
        <v>32628</v>
      </c>
      <c r="B168" s="73"/>
      <c r="C168" s="25"/>
      <c r="D168" s="79"/>
    </row>
    <row r="169" spans="1:4" x14ac:dyDescent="0.2">
      <c r="A169" s="345">
        <v>32659</v>
      </c>
      <c r="B169" s="73"/>
      <c r="C169" s="25"/>
      <c r="D169" s="79"/>
    </row>
    <row r="170" spans="1:4" x14ac:dyDescent="0.2">
      <c r="A170" s="345">
        <v>32689</v>
      </c>
      <c r="B170" s="73"/>
      <c r="C170" s="25"/>
      <c r="D170" s="79"/>
    </row>
    <row r="171" spans="1:4" x14ac:dyDescent="0.2">
      <c r="A171" s="345">
        <v>32720</v>
      </c>
      <c r="B171" s="73"/>
      <c r="C171" s="25"/>
      <c r="D171" s="79"/>
    </row>
    <row r="172" spans="1:4" x14ac:dyDescent="0.2">
      <c r="A172" s="345">
        <v>32751</v>
      </c>
      <c r="B172" s="73"/>
      <c r="C172" s="25"/>
      <c r="D172" s="79"/>
    </row>
    <row r="173" spans="1:4" x14ac:dyDescent="0.2">
      <c r="A173" s="345">
        <v>32781</v>
      </c>
      <c r="B173" s="73"/>
      <c r="C173" s="25"/>
      <c r="D173" s="79"/>
    </row>
    <row r="174" spans="1:4" x14ac:dyDescent="0.2">
      <c r="A174" s="345">
        <v>32812</v>
      </c>
      <c r="B174" s="73"/>
      <c r="C174" s="25"/>
      <c r="D174" s="79"/>
    </row>
    <row r="175" spans="1:4" x14ac:dyDescent="0.2">
      <c r="A175" s="345">
        <v>32842</v>
      </c>
      <c r="B175" s="73"/>
      <c r="C175" s="25"/>
      <c r="D175" s="79"/>
    </row>
    <row r="176" spans="1:4" x14ac:dyDescent="0.2">
      <c r="A176" s="345">
        <v>32873</v>
      </c>
      <c r="B176" s="73"/>
      <c r="C176" s="25"/>
      <c r="D176" s="79"/>
    </row>
    <row r="177" spans="1:4" x14ac:dyDescent="0.2">
      <c r="A177" s="345">
        <v>32904</v>
      </c>
      <c r="B177" s="73"/>
      <c r="C177" s="25"/>
      <c r="D177" s="79"/>
    </row>
    <row r="178" spans="1:4" x14ac:dyDescent="0.2">
      <c r="A178" s="345">
        <v>32932</v>
      </c>
      <c r="B178" s="73"/>
      <c r="C178" s="25"/>
      <c r="D178" s="79"/>
    </row>
    <row r="179" spans="1:4" x14ac:dyDescent="0.2">
      <c r="A179" s="345">
        <v>32963</v>
      </c>
      <c r="B179" s="73"/>
      <c r="C179" s="25"/>
      <c r="D179" s="79"/>
    </row>
    <row r="180" spans="1:4" x14ac:dyDescent="0.2">
      <c r="A180" s="345">
        <v>32993</v>
      </c>
      <c r="B180" s="73"/>
      <c r="C180" s="25"/>
      <c r="D180" s="79"/>
    </row>
    <row r="181" spans="1:4" x14ac:dyDescent="0.2">
      <c r="A181" s="345">
        <v>33024</v>
      </c>
      <c r="B181" s="73"/>
      <c r="C181" s="25"/>
      <c r="D181" s="79"/>
    </row>
    <row r="182" spans="1:4" x14ac:dyDescent="0.2">
      <c r="A182" s="345">
        <v>33054</v>
      </c>
      <c r="B182" s="73"/>
      <c r="C182" s="25"/>
      <c r="D182" s="79"/>
    </row>
    <row r="183" spans="1:4" x14ac:dyDescent="0.2">
      <c r="A183" s="345">
        <v>33085</v>
      </c>
      <c r="B183" s="73"/>
      <c r="C183" s="25"/>
      <c r="D183" s="79"/>
    </row>
    <row r="184" spans="1:4" x14ac:dyDescent="0.2">
      <c r="A184" s="345">
        <v>33116</v>
      </c>
      <c r="B184" s="73"/>
      <c r="C184" s="25"/>
      <c r="D184" s="79"/>
    </row>
    <row r="185" spans="1:4" x14ac:dyDescent="0.2">
      <c r="A185" s="345">
        <v>33146</v>
      </c>
      <c r="B185" s="73"/>
      <c r="C185" s="25"/>
      <c r="D185" s="79"/>
    </row>
    <row r="186" spans="1:4" x14ac:dyDescent="0.2">
      <c r="A186" s="345">
        <v>33177</v>
      </c>
      <c r="B186" s="73"/>
      <c r="C186" s="25"/>
      <c r="D186" s="79"/>
    </row>
    <row r="187" spans="1:4" x14ac:dyDescent="0.2">
      <c r="A187" s="345">
        <v>33207</v>
      </c>
      <c r="B187" s="73"/>
      <c r="C187" s="25"/>
      <c r="D187" s="79"/>
    </row>
    <row r="188" spans="1:4" x14ac:dyDescent="0.2">
      <c r="A188" s="345">
        <v>33238</v>
      </c>
      <c r="B188" s="73"/>
      <c r="C188" s="25"/>
      <c r="D188" s="79"/>
    </row>
    <row r="189" spans="1:4" x14ac:dyDescent="0.2">
      <c r="A189" s="345">
        <v>33269</v>
      </c>
      <c r="B189" s="73"/>
      <c r="C189" s="25"/>
      <c r="D189" s="79"/>
    </row>
    <row r="190" spans="1:4" x14ac:dyDescent="0.2">
      <c r="A190" s="345">
        <v>33297</v>
      </c>
      <c r="B190" s="73"/>
      <c r="C190" s="25"/>
      <c r="D190" s="79"/>
    </row>
    <row r="191" spans="1:4" x14ac:dyDescent="0.2">
      <c r="A191" s="345">
        <v>33328</v>
      </c>
      <c r="B191" s="73"/>
      <c r="C191" s="25"/>
      <c r="D191" s="79"/>
    </row>
    <row r="192" spans="1:4" x14ac:dyDescent="0.2">
      <c r="A192" s="345">
        <v>33358</v>
      </c>
      <c r="B192" s="73"/>
      <c r="C192" s="25"/>
      <c r="D192" s="79"/>
    </row>
    <row r="193" spans="1:4" x14ac:dyDescent="0.2">
      <c r="A193" s="345">
        <v>33389</v>
      </c>
      <c r="B193" s="73"/>
      <c r="C193" s="25"/>
      <c r="D193" s="79"/>
    </row>
    <row r="194" spans="1:4" x14ac:dyDescent="0.2">
      <c r="A194" s="345">
        <v>33419</v>
      </c>
      <c r="B194" s="73"/>
      <c r="C194" s="25"/>
      <c r="D194" s="79"/>
    </row>
    <row r="195" spans="1:4" x14ac:dyDescent="0.2">
      <c r="A195" s="345">
        <v>33450</v>
      </c>
      <c r="B195" s="73"/>
      <c r="C195" s="25"/>
      <c r="D195" s="79"/>
    </row>
    <row r="196" spans="1:4" x14ac:dyDescent="0.2">
      <c r="A196" s="345">
        <v>33481</v>
      </c>
      <c r="B196" s="73"/>
      <c r="C196" s="25"/>
      <c r="D196" s="79"/>
    </row>
    <row r="197" spans="1:4" x14ac:dyDescent="0.2">
      <c r="A197" s="345">
        <v>33511</v>
      </c>
      <c r="B197" s="73"/>
      <c r="C197" s="25"/>
      <c r="D197" s="79"/>
    </row>
    <row r="198" spans="1:4" x14ac:dyDescent="0.2">
      <c r="A198" s="345">
        <v>33542</v>
      </c>
      <c r="B198" s="73"/>
      <c r="C198" s="25"/>
      <c r="D198" s="79"/>
    </row>
    <row r="199" spans="1:4" x14ac:dyDescent="0.2">
      <c r="A199" s="345">
        <v>33572</v>
      </c>
      <c r="B199" s="73"/>
      <c r="C199" s="25"/>
      <c r="D199" s="79"/>
    </row>
    <row r="200" spans="1:4" x14ac:dyDescent="0.2">
      <c r="A200" s="345">
        <v>33603</v>
      </c>
      <c r="B200" s="73"/>
      <c r="C200" s="25"/>
      <c r="D200" s="79"/>
    </row>
    <row r="201" spans="1:4" x14ac:dyDescent="0.2">
      <c r="A201" s="345">
        <v>33634</v>
      </c>
      <c r="B201" s="73"/>
      <c r="C201" s="25"/>
      <c r="D201" s="79"/>
    </row>
    <row r="202" spans="1:4" x14ac:dyDescent="0.2">
      <c r="A202" s="345">
        <v>33663</v>
      </c>
      <c r="B202" s="73"/>
      <c r="C202" s="25"/>
      <c r="D202" s="79"/>
    </row>
    <row r="203" spans="1:4" x14ac:dyDescent="0.2">
      <c r="A203" s="345">
        <v>33694</v>
      </c>
      <c r="B203" s="73"/>
      <c r="C203" s="25"/>
      <c r="D203" s="79"/>
    </row>
    <row r="204" spans="1:4" x14ac:dyDescent="0.2">
      <c r="A204" s="345">
        <v>33724</v>
      </c>
      <c r="B204" s="73"/>
      <c r="C204" s="25"/>
      <c r="D204" s="79"/>
    </row>
    <row r="205" spans="1:4" x14ac:dyDescent="0.2">
      <c r="A205" s="345">
        <v>33755</v>
      </c>
      <c r="B205" s="73"/>
      <c r="C205" s="25"/>
      <c r="D205" s="79"/>
    </row>
    <row r="206" spans="1:4" x14ac:dyDescent="0.2">
      <c r="A206" s="345">
        <v>33785</v>
      </c>
      <c r="B206" s="73"/>
      <c r="C206" s="25"/>
      <c r="D206" s="79"/>
    </row>
    <row r="207" spans="1:4" x14ac:dyDescent="0.2">
      <c r="A207" s="345">
        <v>33816</v>
      </c>
      <c r="B207" s="73"/>
      <c r="C207" s="25"/>
      <c r="D207" s="79"/>
    </row>
    <row r="208" spans="1:4" x14ac:dyDescent="0.2">
      <c r="A208" s="345">
        <v>33847</v>
      </c>
      <c r="B208" s="73"/>
      <c r="C208" s="25"/>
      <c r="D208" s="79"/>
    </row>
    <row r="209" spans="1:4" x14ac:dyDescent="0.2">
      <c r="A209" s="345">
        <v>33877</v>
      </c>
      <c r="B209" s="73"/>
      <c r="C209" s="25"/>
      <c r="D209" s="79"/>
    </row>
    <row r="210" spans="1:4" x14ac:dyDescent="0.2">
      <c r="A210" s="345">
        <v>33908</v>
      </c>
      <c r="B210" s="73"/>
      <c r="C210" s="25"/>
      <c r="D210" s="79"/>
    </row>
    <row r="211" spans="1:4" x14ac:dyDescent="0.2">
      <c r="A211" s="345">
        <v>33938</v>
      </c>
      <c r="B211" s="73"/>
      <c r="C211" s="25"/>
      <c r="D211" s="79"/>
    </row>
    <row r="212" spans="1:4" x14ac:dyDescent="0.2">
      <c r="A212" s="345">
        <v>33969</v>
      </c>
      <c r="B212" s="73"/>
      <c r="C212" s="25"/>
      <c r="D212" s="79"/>
    </row>
    <row r="213" spans="1:4" x14ac:dyDescent="0.2">
      <c r="A213" s="345">
        <v>34000</v>
      </c>
      <c r="B213" s="73"/>
      <c r="C213" s="25"/>
      <c r="D213" s="79"/>
    </row>
    <row r="214" spans="1:4" x14ac:dyDescent="0.2">
      <c r="A214" s="345">
        <v>34028</v>
      </c>
      <c r="B214" s="73"/>
      <c r="C214" s="25"/>
      <c r="D214" s="79"/>
    </row>
    <row r="215" spans="1:4" x14ac:dyDescent="0.2">
      <c r="A215" s="345">
        <v>34059</v>
      </c>
      <c r="B215" s="73"/>
      <c r="C215" s="25"/>
      <c r="D215" s="79"/>
    </row>
    <row r="216" spans="1:4" x14ac:dyDescent="0.2">
      <c r="A216" s="345">
        <v>34089</v>
      </c>
      <c r="B216" s="73"/>
      <c r="C216" s="25"/>
      <c r="D216" s="79"/>
    </row>
    <row r="217" spans="1:4" x14ac:dyDescent="0.2">
      <c r="A217" s="345">
        <v>34120</v>
      </c>
      <c r="B217" s="73"/>
      <c r="C217" s="25"/>
      <c r="D217" s="79"/>
    </row>
    <row r="218" spans="1:4" x14ac:dyDescent="0.2">
      <c r="A218" s="345">
        <v>34150</v>
      </c>
      <c r="B218" s="73"/>
      <c r="C218" s="25"/>
      <c r="D218" s="79"/>
    </row>
    <row r="219" spans="1:4" x14ac:dyDescent="0.2">
      <c r="A219" s="345">
        <v>34181</v>
      </c>
      <c r="B219" s="73"/>
      <c r="C219" s="25"/>
      <c r="D219" s="79"/>
    </row>
    <row r="220" spans="1:4" x14ac:dyDescent="0.2">
      <c r="A220" s="345">
        <v>34212</v>
      </c>
      <c r="B220" s="73"/>
      <c r="C220" s="25"/>
      <c r="D220" s="79"/>
    </row>
    <row r="221" spans="1:4" x14ac:dyDescent="0.2">
      <c r="A221" s="345">
        <v>34242</v>
      </c>
      <c r="B221" s="73"/>
      <c r="C221" s="25"/>
      <c r="D221" s="79"/>
    </row>
    <row r="222" spans="1:4" x14ac:dyDescent="0.2">
      <c r="A222" s="345">
        <v>34273</v>
      </c>
      <c r="B222" s="73"/>
      <c r="C222" s="25"/>
      <c r="D222" s="79"/>
    </row>
    <row r="223" spans="1:4" x14ac:dyDescent="0.2">
      <c r="A223" s="345">
        <v>34303</v>
      </c>
      <c r="B223" s="73"/>
      <c r="C223" s="25"/>
      <c r="D223" s="79"/>
    </row>
    <row r="224" spans="1:4" x14ac:dyDescent="0.2">
      <c r="A224" s="345">
        <v>34334</v>
      </c>
      <c r="B224" s="73"/>
      <c r="C224" s="25"/>
      <c r="D224" s="79"/>
    </row>
    <row r="225" spans="1:4" x14ac:dyDescent="0.2">
      <c r="A225" s="345">
        <v>34365</v>
      </c>
      <c r="B225" s="73"/>
      <c r="C225" s="25"/>
      <c r="D225" s="79"/>
    </row>
    <row r="226" spans="1:4" x14ac:dyDescent="0.2">
      <c r="A226" s="345">
        <v>34393</v>
      </c>
      <c r="B226" s="73"/>
      <c r="C226" s="25"/>
      <c r="D226" s="79"/>
    </row>
    <row r="227" spans="1:4" x14ac:dyDescent="0.2">
      <c r="A227" s="345">
        <v>34424</v>
      </c>
      <c r="B227" s="73"/>
      <c r="C227" s="25"/>
      <c r="D227" s="79"/>
    </row>
    <row r="228" spans="1:4" x14ac:dyDescent="0.2">
      <c r="A228" s="345">
        <v>34454</v>
      </c>
      <c r="B228" s="73"/>
      <c r="C228" s="25"/>
      <c r="D228" s="79"/>
    </row>
    <row r="229" spans="1:4" x14ac:dyDescent="0.2">
      <c r="A229" s="345">
        <v>34485</v>
      </c>
      <c r="B229" s="73"/>
      <c r="C229" s="25"/>
      <c r="D229" s="79"/>
    </row>
    <row r="230" spans="1:4" x14ac:dyDescent="0.2">
      <c r="A230" s="345">
        <v>34515</v>
      </c>
      <c r="B230" s="73"/>
      <c r="C230" s="25"/>
      <c r="D230" s="79"/>
    </row>
    <row r="231" spans="1:4" x14ac:dyDescent="0.2">
      <c r="A231" s="345">
        <v>34546</v>
      </c>
      <c r="B231" s="73"/>
      <c r="C231" s="25"/>
      <c r="D231" s="79"/>
    </row>
    <row r="232" spans="1:4" x14ac:dyDescent="0.2">
      <c r="A232" s="345">
        <v>34577</v>
      </c>
      <c r="B232" s="73"/>
      <c r="C232" s="25"/>
      <c r="D232" s="79"/>
    </row>
    <row r="233" spans="1:4" x14ac:dyDescent="0.2">
      <c r="A233" s="345">
        <v>34607</v>
      </c>
      <c r="B233" s="73"/>
      <c r="C233" s="25"/>
      <c r="D233" s="79"/>
    </row>
    <row r="234" spans="1:4" x14ac:dyDescent="0.2">
      <c r="A234" s="345">
        <v>34638</v>
      </c>
      <c r="B234" s="73"/>
      <c r="C234" s="25"/>
      <c r="D234" s="79"/>
    </row>
    <row r="235" spans="1:4" x14ac:dyDescent="0.2">
      <c r="A235" s="345">
        <v>34668</v>
      </c>
      <c r="B235" s="73"/>
      <c r="C235" s="25"/>
      <c r="D235" s="79"/>
    </row>
    <row r="236" spans="1:4" x14ac:dyDescent="0.2">
      <c r="A236" s="345">
        <v>34699</v>
      </c>
      <c r="B236" s="73"/>
      <c r="C236" s="25"/>
      <c r="D236" s="79"/>
    </row>
    <row r="237" spans="1:4" x14ac:dyDescent="0.2">
      <c r="A237" s="345">
        <v>34730</v>
      </c>
      <c r="B237" s="73"/>
      <c r="C237" s="25"/>
      <c r="D237" s="79"/>
    </row>
    <row r="238" spans="1:4" x14ac:dyDescent="0.2">
      <c r="A238" s="345">
        <v>34758</v>
      </c>
      <c r="B238" s="73"/>
      <c r="C238" s="25"/>
      <c r="D238" s="79"/>
    </row>
    <row r="239" spans="1:4" x14ac:dyDescent="0.2">
      <c r="A239" s="345">
        <v>34789</v>
      </c>
      <c r="B239" s="73"/>
      <c r="C239" s="25"/>
      <c r="D239" s="79"/>
    </row>
    <row r="240" spans="1:4" x14ac:dyDescent="0.2">
      <c r="A240" s="345">
        <v>34819</v>
      </c>
      <c r="B240" s="73"/>
      <c r="C240" s="25"/>
      <c r="D240" s="79"/>
    </row>
    <row r="241" spans="1:4" x14ac:dyDescent="0.2">
      <c r="A241" s="345">
        <v>34850</v>
      </c>
      <c r="B241" s="73"/>
      <c r="C241" s="25"/>
      <c r="D241" s="79"/>
    </row>
    <row r="242" spans="1:4" x14ac:dyDescent="0.2">
      <c r="A242" s="345">
        <v>34880</v>
      </c>
      <c r="B242" s="73"/>
      <c r="C242" s="25"/>
      <c r="D242" s="79"/>
    </row>
    <row r="243" spans="1:4" x14ac:dyDescent="0.2">
      <c r="A243" s="345">
        <v>34911</v>
      </c>
      <c r="B243" s="73"/>
      <c r="C243" s="25"/>
      <c r="D243" s="79"/>
    </row>
    <row r="244" spans="1:4" x14ac:dyDescent="0.2">
      <c r="A244" s="345">
        <v>34942</v>
      </c>
      <c r="B244" s="73"/>
      <c r="C244" s="25"/>
      <c r="D244" s="79"/>
    </row>
    <row r="245" spans="1:4" x14ac:dyDescent="0.2">
      <c r="A245" s="345">
        <v>34972</v>
      </c>
      <c r="B245" s="73"/>
      <c r="C245" s="25"/>
      <c r="D245" s="79"/>
    </row>
    <row r="246" spans="1:4" x14ac:dyDescent="0.2">
      <c r="A246" s="345">
        <v>35003</v>
      </c>
      <c r="B246" s="73"/>
      <c r="C246" s="25"/>
      <c r="D246" s="79"/>
    </row>
    <row r="247" spans="1:4" x14ac:dyDescent="0.2">
      <c r="A247" s="345">
        <v>35033</v>
      </c>
      <c r="B247" s="73"/>
      <c r="C247" s="25"/>
      <c r="D247" s="79"/>
    </row>
    <row r="248" spans="1:4" x14ac:dyDescent="0.2">
      <c r="A248" s="345">
        <v>35064</v>
      </c>
      <c r="B248" s="73"/>
      <c r="C248" s="25"/>
      <c r="D248" s="79"/>
    </row>
    <row r="249" spans="1:4" x14ac:dyDescent="0.2">
      <c r="A249" s="345">
        <v>35095</v>
      </c>
      <c r="B249" s="73"/>
      <c r="C249" s="25"/>
      <c r="D249" s="79"/>
    </row>
    <row r="250" spans="1:4" x14ac:dyDescent="0.2">
      <c r="A250" s="345">
        <v>35124</v>
      </c>
      <c r="B250" s="73"/>
      <c r="C250" s="25"/>
      <c r="D250" s="79"/>
    </row>
    <row r="251" spans="1:4" x14ac:dyDescent="0.2">
      <c r="A251" s="345">
        <v>35155</v>
      </c>
      <c r="B251" s="73"/>
      <c r="C251" s="25"/>
      <c r="D251" s="79"/>
    </row>
    <row r="252" spans="1:4" x14ac:dyDescent="0.2">
      <c r="A252" s="345">
        <v>35185</v>
      </c>
      <c r="B252" s="73"/>
      <c r="C252" s="25"/>
      <c r="D252" s="79"/>
    </row>
    <row r="253" spans="1:4" x14ac:dyDescent="0.2">
      <c r="A253" s="345">
        <v>35216</v>
      </c>
      <c r="B253" s="73"/>
      <c r="C253" s="25"/>
      <c r="D253" s="79"/>
    </row>
    <row r="254" spans="1:4" x14ac:dyDescent="0.2">
      <c r="A254" s="345">
        <v>35246</v>
      </c>
      <c r="B254" s="73"/>
      <c r="C254" s="25"/>
      <c r="D254" s="79"/>
    </row>
    <row r="255" spans="1:4" x14ac:dyDescent="0.2">
      <c r="A255" s="345">
        <v>35277</v>
      </c>
      <c r="B255" s="73"/>
      <c r="C255" s="25"/>
      <c r="D255" s="79"/>
    </row>
    <row r="256" spans="1:4" x14ac:dyDescent="0.2">
      <c r="A256" s="345">
        <v>35308</v>
      </c>
      <c r="B256" s="73"/>
      <c r="C256" s="25"/>
      <c r="D256" s="79"/>
    </row>
    <row r="257" spans="1:4" x14ac:dyDescent="0.2">
      <c r="A257" s="345">
        <v>35338</v>
      </c>
      <c r="B257" s="73"/>
      <c r="C257" s="25"/>
      <c r="D257" s="79"/>
    </row>
    <row r="258" spans="1:4" x14ac:dyDescent="0.2">
      <c r="A258" s="345">
        <v>35369</v>
      </c>
      <c r="B258" s="73"/>
      <c r="C258" s="25"/>
      <c r="D258" s="79"/>
    </row>
    <row r="259" spans="1:4" x14ac:dyDescent="0.2">
      <c r="A259" s="345">
        <v>35399</v>
      </c>
      <c r="B259" s="73"/>
      <c r="C259" s="25"/>
      <c r="D259" s="79"/>
    </row>
    <row r="260" spans="1:4" x14ac:dyDescent="0.2">
      <c r="A260" s="345">
        <v>35430</v>
      </c>
      <c r="B260" s="73"/>
      <c r="C260" s="25"/>
      <c r="D260" s="79"/>
    </row>
    <row r="261" spans="1:4" x14ac:dyDescent="0.2">
      <c r="A261" s="345">
        <v>35461</v>
      </c>
      <c r="B261" s="73"/>
      <c r="C261" s="25"/>
      <c r="D261" s="79"/>
    </row>
    <row r="262" spans="1:4" x14ac:dyDescent="0.2">
      <c r="A262" s="345">
        <v>35489</v>
      </c>
      <c r="B262" s="73"/>
      <c r="C262" s="25"/>
      <c r="D262" s="79"/>
    </row>
    <row r="263" spans="1:4" x14ac:dyDescent="0.2">
      <c r="A263" s="345">
        <v>35520</v>
      </c>
      <c r="B263" s="73"/>
      <c r="C263" s="25"/>
      <c r="D263" s="79"/>
    </row>
    <row r="264" spans="1:4" x14ac:dyDescent="0.2">
      <c r="A264" s="345">
        <v>35550</v>
      </c>
      <c r="B264" s="1369"/>
      <c r="C264" s="35"/>
      <c r="D264" s="79"/>
    </row>
    <row r="265" spans="1:4" x14ac:dyDescent="0.2">
      <c r="A265" s="345">
        <v>35581</v>
      </c>
      <c r="B265" s="1369"/>
      <c r="C265" s="35"/>
      <c r="D265" s="79"/>
    </row>
    <row r="266" spans="1:4" x14ac:dyDescent="0.2">
      <c r="A266" s="345">
        <v>35611</v>
      </c>
      <c r="B266" s="1369"/>
      <c r="C266" s="35"/>
      <c r="D266" s="79"/>
    </row>
    <row r="267" spans="1:4" x14ac:dyDescent="0.2">
      <c r="A267" s="345">
        <v>35642</v>
      </c>
      <c r="B267" s="1369"/>
      <c r="C267" s="35"/>
      <c r="D267" s="79"/>
    </row>
    <row r="268" spans="1:4" x14ac:dyDescent="0.2">
      <c r="A268" s="345">
        <v>35673</v>
      </c>
      <c r="B268" s="1369"/>
      <c r="C268" s="35"/>
      <c r="D268" s="79"/>
    </row>
    <row r="269" spans="1:4" x14ac:dyDescent="0.2">
      <c r="A269" s="345">
        <v>35703</v>
      </c>
      <c r="B269" s="1369"/>
      <c r="C269" s="35"/>
      <c r="D269" s="79"/>
    </row>
    <row r="270" spans="1:4" x14ac:dyDescent="0.2">
      <c r="A270" s="345">
        <v>35734</v>
      </c>
      <c r="B270" s="1369"/>
      <c r="C270" s="35"/>
      <c r="D270" s="79"/>
    </row>
    <row r="271" spans="1:4" x14ac:dyDescent="0.2">
      <c r="A271" s="345">
        <v>35764</v>
      </c>
      <c r="B271" s="1369"/>
      <c r="C271" s="35"/>
      <c r="D271" s="79"/>
    </row>
    <row r="272" spans="1:4" x14ac:dyDescent="0.2">
      <c r="A272" s="345">
        <v>35795</v>
      </c>
      <c r="B272" s="1369"/>
      <c r="C272" s="35"/>
      <c r="D272" s="79"/>
    </row>
    <row r="273" spans="1:4" x14ac:dyDescent="0.2">
      <c r="A273" s="345">
        <v>35826</v>
      </c>
      <c r="B273" s="1369"/>
      <c r="C273" s="35"/>
      <c r="D273" s="79"/>
    </row>
    <row r="274" spans="1:4" x14ac:dyDescent="0.2">
      <c r="A274" s="345">
        <v>35854</v>
      </c>
      <c r="B274" s="1369"/>
      <c r="C274" s="35"/>
      <c r="D274" s="79"/>
    </row>
    <row r="275" spans="1:4" x14ac:dyDescent="0.2">
      <c r="A275" s="345">
        <v>35885</v>
      </c>
      <c r="B275" s="1369"/>
      <c r="C275" s="33"/>
      <c r="D275" s="79"/>
    </row>
    <row r="276" spans="1:4" x14ac:dyDescent="0.2">
      <c r="A276" s="345">
        <v>35915</v>
      </c>
      <c r="B276" s="1369"/>
      <c r="C276" s="33"/>
      <c r="D276" s="79"/>
    </row>
    <row r="277" spans="1:4" x14ac:dyDescent="0.2">
      <c r="A277" s="345">
        <v>35946</v>
      </c>
      <c r="B277" s="1369"/>
      <c r="C277" s="33"/>
      <c r="D277" s="79"/>
    </row>
    <row r="278" spans="1:4" x14ac:dyDescent="0.2">
      <c r="A278" s="345">
        <v>35976</v>
      </c>
      <c r="B278" s="1369"/>
      <c r="C278" s="33"/>
      <c r="D278" s="79"/>
    </row>
    <row r="279" spans="1:4" x14ac:dyDescent="0.2">
      <c r="A279" s="345">
        <v>36007</v>
      </c>
      <c r="B279" s="1369"/>
      <c r="C279" s="33"/>
      <c r="D279" s="79"/>
    </row>
    <row r="280" spans="1:4" x14ac:dyDescent="0.2">
      <c r="A280" s="345">
        <v>36038</v>
      </c>
      <c r="B280" s="1369"/>
      <c r="C280" s="33"/>
      <c r="D280" s="79"/>
    </row>
    <row r="281" spans="1:4" x14ac:dyDescent="0.2">
      <c r="A281" s="345">
        <v>36068</v>
      </c>
      <c r="B281" s="1369"/>
      <c r="C281" s="33"/>
      <c r="D281" s="79"/>
    </row>
    <row r="282" spans="1:4" x14ac:dyDescent="0.2">
      <c r="A282" s="345">
        <v>36099</v>
      </c>
      <c r="B282" s="1369"/>
      <c r="C282" s="33"/>
      <c r="D282" s="79"/>
    </row>
    <row r="283" spans="1:4" x14ac:dyDescent="0.2">
      <c r="A283" s="345">
        <v>36129</v>
      </c>
      <c r="B283" s="1369"/>
      <c r="C283" s="33"/>
      <c r="D283" s="79"/>
    </row>
    <row r="284" spans="1:4" x14ac:dyDescent="0.2">
      <c r="A284" s="345">
        <v>36160</v>
      </c>
      <c r="B284" s="1369"/>
      <c r="C284" s="33"/>
      <c r="D284" s="79"/>
    </row>
    <row r="285" spans="1:4" x14ac:dyDescent="0.2">
      <c r="A285" s="345">
        <v>36191</v>
      </c>
      <c r="B285" s="1369"/>
      <c r="C285" s="33"/>
      <c r="D285" s="79"/>
    </row>
    <row r="286" spans="1:4" x14ac:dyDescent="0.2">
      <c r="A286" s="345">
        <v>36219</v>
      </c>
      <c r="B286" s="1369"/>
      <c r="C286" s="33"/>
      <c r="D286" s="79"/>
    </row>
    <row r="287" spans="1:4" x14ac:dyDescent="0.2">
      <c r="A287" s="345">
        <v>36250</v>
      </c>
      <c r="B287" s="1369"/>
      <c r="C287" s="33"/>
      <c r="D287" s="79"/>
    </row>
    <row r="288" spans="1:4" x14ac:dyDescent="0.2">
      <c r="A288" s="345">
        <v>36280</v>
      </c>
      <c r="B288" s="1369"/>
      <c r="C288" s="33"/>
      <c r="D288" s="79"/>
    </row>
    <row r="289" spans="1:4" x14ac:dyDescent="0.2">
      <c r="A289" s="345">
        <v>36311</v>
      </c>
      <c r="B289" s="1369"/>
      <c r="C289" s="33"/>
      <c r="D289" s="79"/>
    </row>
    <row r="290" spans="1:4" x14ac:dyDescent="0.2">
      <c r="A290" s="345">
        <v>36341</v>
      </c>
      <c r="B290" s="1369"/>
      <c r="C290" s="33"/>
      <c r="D290" s="79"/>
    </row>
    <row r="291" spans="1:4" x14ac:dyDescent="0.2">
      <c r="A291" s="345">
        <v>36372</v>
      </c>
      <c r="B291" s="1369"/>
      <c r="C291" s="33"/>
      <c r="D291" s="79"/>
    </row>
    <row r="292" spans="1:4" x14ac:dyDescent="0.2">
      <c r="A292" s="345">
        <v>36403</v>
      </c>
      <c r="B292" s="1369"/>
      <c r="C292" s="33"/>
      <c r="D292" s="79"/>
    </row>
    <row r="293" spans="1:4" x14ac:dyDescent="0.2">
      <c r="A293" s="345">
        <v>36433</v>
      </c>
      <c r="B293" s="1369"/>
      <c r="C293" s="33"/>
      <c r="D293" s="79"/>
    </row>
    <row r="294" spans="1:4" x14ac:dyDescent="0.2">
      <c r="A294" s="345">
        <v>36464</v>
      </c>
      <c r="B294" s="1369"/>
      <c r="C294" s="33"/>
      <c r="D294" s="79"/>
    </row>
    <row r="295" spans="1:4" x14ac:dyDescent="0.2">
      <c r="A295" s="345">
        <v>36494</v>
      </c>
      <c r="B295" s="1369"/>
      <c r="C295" s="33"/>
      <c r="D295" s="79"/>
    </row>
    <row r="296" spans="1:4" x14ac:dyDescent="0.2">
      <c r="A296" s="345">
        <v>36525</v>
      </c>
      <c r="B296" s="1369"/>
      <c r="C296" s="33"/>
      <c r="D296" s="79"/>
    </row>
    <row r="297" spans="1:4" x14ac:dyDescent="0.2">
      <c r="A297" s="345">
        <v>36556</v>
      </c>
      <c r="B297" s="1369"/>
      <c r="C297" s="33"/>
      <c r="D297" s="79"/>
    </row>
    <row r="298" spans="1:4" x14ac:dyDescent="0.2">
      <c r="A298" s="345">
        <v>36585</v>
      </c>
      <c r="B298" s="1369"/>
      <c r="C298" s="33"/>
      <c r="D298" s="79"/>
    </row>
    <row r="299" spans="1:4" x14ac:dyDescent="0.2">
      <c r="A299" s="345">
        <v>36616</v>
      </c>
      <c r="B299" s="1369"/>
      <c r="C299" s="33"/>
      <c r="D299" s="79"/>
    </row>
    <row r="300" spans="1:4" x14ac:dyDescent="0.2">
      <c r="A300" s="345">
        <v>36646</v>
      </c>
      <c r="B300" s="1369"/>
      <c r="C300" s="33"/>
      <c r="D300" s="79"/>
    </row>
    <row r="301" spans="1:4" x14ac:dyDescent="0.2">
      <c r="A301" s="345">
        <v>36677</v>
      </c>
      <c r="B301" s="1369"/>
      <c r="C301" s="33"/>
      <c r="D301" s="79"/>
    </row>
    <row r="302" spans="1:4" x14ac:dyDescent="0.2">
      <c r="A302" s="345">
        <v>36707</v>
      </c>
      <c r="B302" s="1369"/>
      <c r="C302" s="33"/>
      <c r="D302" s="79"/>
    </row>
    <row r="303" spans="1:4" x14ac:dyDescent="0.2">
      <c r="A303" s="345">
        <v>36738</v>
      </c>
      <c r="B303" s="1369"/>
      <c r="C303" s="33"/>
      <c r="D303" s="79"/>
    </row>
    <row r="304" spans="1:4" x14ac:dyDescent="0.2">
      <c r="A304" s="345">
        <v>36769</v>
      </c>
      <c r="B304" s="1369"/>
      <c r="C304" s="33"/>
      <c r="D304" s="79"/>
    </row>
    <row r="305" spans="1:4" x14ac:dyDescent="0.2">
      <c r="A305" s="345">
        <v>36799</v>
      </c>
      <c r="B305" s="1369"/>
      <c r="C305" s="33"/>
      <c r="D305" s="79"/>
    </row>
    <row r="306" spans="1:4" x14ac:dyDescent="0.2">
      <c r="A306" s="345">
        <v>36830</v>
      </c>
      <c r="B306" s="1369"/>
      <c r="C306" s="33"/>
      <c r="D306" s="79"/>
    </row>
    <row r="307" spans="1:4" x14ac:dyDescent="0.2">
      <c r="A307" s="345">
        <v>36860</v>
      </c>
      <c r="B307" s="1369"/>
      <c r="C307" s="33"/>
      <c r="D307" s="79"/>
    </row>
    <row r="308" spans="1:4" x14ac:dyDescent="0.2">
      <c r="A308" s="345">
        <v>36891</v>
      </c>
      <c r="B308" s="1369"/>
      <c r="C308" s="33"/>
      <c r="D308" s="79"/>
    </row>
    <row r="309" spans="1:4" x14ac:dyDescent="0.2">
      <c r="A309" s="345">
        <v>36922</v>
      </c>
      <c r="B309" s="1369"/>
      <c r="C309" s="33"/>
      <c r="D309" s="79"/>
    </row>
    <row r="310" spans="1:4" x14ac:dyDescent="0.2">
      <c r="A310" s="345">
        <v>36950</v>
      </c>
      <c r="B310" s="1369"/>
      <c r="C310" s="33"/>
      <c r="D310" s="79"/>
    </row>
    <row r="311" spans="1:4" x14ac:dyDescent="0.2">
      <c r="A311" s="345">
        <v>36981</v>
      </c>
      <c r="B311" s="1369"/>
      <c r="C311" s="33"/>
      <c r="D311" s="79"/>
    </row>
    <row r="312" spans="1:4" x14ac:dyDescent="0.2">
      <c r="A312" s="345">
        <v>37011</v>
      </c>
      <c r="B312" s="1369"/>
      <c r="C312" s="33"/>
      <c r="D312" s="79"/>
    </row>
    <row r="313" spans="1:4" x14ac:dyDescent="0.2">
      <c r="A313" s="345">
        <v>37042</v>
      </c>
      <c r="B313" s="1369"/>
      <c r="C313" s="33"/>
      <c r="D313" s="79"/>
    </row>
    <row r="314" spans="1:4" x14ac:dyDescent="0.2">
      <c r="A314" s="345">
        <v>37072</v>
      </c>
      <c r="B314" s="1369"/>
      <c r="C314" s="33"/>
      <c r="D314" s="79"/>
    </row>
    <row r="315" spans="1:4" x14ac:dyDescent="0.2">
      <c r="A315" s="345">
        <v>37103</v>
      </c>
      <c r="B315" s="1369"/>
      <c r="C315" s="33"/>
      <c r="D315" s="79"/>
    </row>
    <row r="316" spans="1:4" x14ac:dyDescent="0.2">
      <c r="A316" s="345">
        <v>37134</v>
      </c>
      <c r="B316" s="1369"/>
      <c r="C316" s="33"/>
      <c r="D316" s="79"/>
    </row>
    <row r="317" spans="1:4" x14ac:dyDescent="0.2">
      <c r="A317" s="345">
        <v>37164</v>
      </c>
      <c r="B317" s="1369"/>
      <c r="C317" s="33"/>
      <c r="D317" s="79"/>
    </row>
    <row r="318" spans="1:4" x14ac:dyDescent="0.2">
      <c r="A318" s="345">
        <v>37195</v>
      </c>
      <c r="B318" s="1369"/>
      <c r="C318" s="33"/>
      <c r="D318" s="79"/>
    </row>
    <row r="319" spans="1:4" x14ac:dyDescent="0.2">
      <c r="A319" s="345">
        <v>37225</v>
      </c>
      <c r="B319" s="1369"/>
      <c r="C319" s="33"/>
      <c r="D319" s="79"/>
    </row>
    <row r="320" spans="1:4" x14ac:dyDescent="0.2">
      <c r="A320" s="345">
        <v>37256</v>
      </c>
      <c r="B320" s="1369"/>
      <c r="C320" s="33"/>
      <c r="D320" s="79"/>
    </row>
    <row r="321" spans="1:4" x14ac:dyDescent="0.2">
      <c r="A321" s="345">
        <v>37287</v>
      </c>
      <c r="B321" s="1369"/>
      <c r="C321" s="33"/>
      <c r="D321" s="79"/>
    </row>
    <row r="322" spans="1:4" x14ac:dyDescent="0.2">
      <c r="A322" s="345">
        <v>37315</v>
      </c>
      <c r="B322" s="1369"/>
      <c r="C322" s="33"/>
      <c r="D322" s="79"/>
    </row>
    <row r="323" spans="1:4" x14ac:dyDescent="0.2">
      <c r="A323" s="345">
        <v>37346</v>
      </c>
      <c r="B323" s="1369"/>
      <c r="C323" s="33"/>
      <c r="D323" s="79"/>
    </row>
    <row r="324" spans="1:4" x14ac:dyDescent="0.2">
      <c r="A324" s="345">
        <v>37376</v>
      </c>
      <c r="B324" s="1369"/>
      <c r="C324" s="33"/>
      <c r="D324" s="79"/>
    </row>
    <row r="325" spans="1:4" x14ac:dyDescent="0.2">
      <c r="A325" s="345">
        <v>37407</v>
      </c>
      <c r="B325" s="1369"/>
      <c r="C325" s="33"/>
      <c r="D325" s="79"/>
    </row>
    <row r="326" spans="1:4" x14ac:dyDescent="0.2">
      <c r="A326" s="345">
        <v>37437</v>
      </c>
      <c r="B326" s="1369"/>
      <c r="C326" s="33"/>
      <c r="D326" s="79"/>
    </row>
    <row r="327" spans="1:4" x14ac:dyDescent="0.2">
      <c r="A327" s="345">
        <v>37468</v>
      </c>
      <c r="B327" s="1369"/>
      <c r="C327" s="33"/>
      <c r="D327" s="79"/>
    </row>
    <row r="328" spans="1:4" x14ac:dyDescent="0.2">
      <c r="A328" s="345">
        <v>37499</v>
      </c>
      <c r="B328" s="1369"/>
      <c r="C328" s="33"/>
      <c r="D328" s="79"/>
    </row>
    <row r="329" spans="1:4" x14ac:dyDescent="0.2">
      <c r="A329" s="345">
        <v>37529</v>
      </c>
      <c r="B329" s="1369"/>
      <c r="C329" s="33"/>
      <c r="D329" s="79"/>
    </row>
    <row r="330" spans="1:4" x14ac:dyDescent="0.2">
      <c r="A330" s="345">
        <v>37560</v>
      </c>
      <c r="B330" s="1369"/>
      <c r="C330" s="33"/>
      <c r="D330" s="79"/>
    </row>
    <row r="331" spans="1:4" x14ac:dyDescent="0.2">
      <c r="A331" s="345">
        <v>37590</v>
      </c>
      <c r="B331" s="1369"/>
      <c r="C331" s="33"/>
      <c r="D331" s="79"/>
    </row>
    <row r="332" spans="1:4" x14ac:dyDescent="0.2">
      <c r="A332" s="345">
        <v>37621</v>
      </c>
      <c r="B332" s="1369"/>
      <c r="C332" s="33"/>
      <c r="D332" s="79"/>
    </row>
    <row r="333" spans="1:4" x14ac:dyDescent="0.2">
      <c r="A333" s="345">
        <v>37652</v>
      </c>
      <c r="B333" s="1369"/>
      <c r="C333" s="33"/>
      <c r="D333" s="79"/>
    </row>
    <row r="334" spans="1:4" x14ac:dyDescent="0.2">
      <c r="A334" s="345">
        <v>37680</v>
      </c>
      <c r="B334" s="1369"/>
      <c r="C334" s="33"/>
      <c r="D334" s="79"/>
    </row>
    <row r="335" spans="1:4" x14ac:dyDescent="0.2">
      <c r="A335" s="345">
        <v>37711</v>
      </c>
      <c r="B335" s="1369"/>
      <c r="C335" s="33"/>
      <c r="D335" s="79"/>
    </row>
    <row r="336" spans="1:4" x14ac:dyDescent="0.2">
      <c r="A336" s="345">
        <v>37741</v>
      </c>
      <c r="B336" s="1369"/>
      <c r="C336" s="33"/>
      <c r="D336" s="79"/>
    </row>
    <row r="337" spans="1:4" x14ac:dyDescent="0.2">
      <c r="A337" s="345">
        <v>37772</v>
      </c>
      <c r="B337" s="1369"/>
      <c r="C337" s="33"/>
      <c r="D337" s="79"/>
    </row>
    <row r="338" spans="1:4" x14ac:dyDescent="0.2">
      <c r="A338" s="345">
        <v>37802</v>
      </c>
      <c r="B338" s="1369"/>
      <c r="C338" s="33"/>
      <c r="D338" s="79"/>
    </row>
    <row r="339" spans="1:4" x14ac:dyDescent="0.2">
      <c r="A339" s="345">
        <v>37833</v>
      </c>
      <c r="B339" s="1369"/>
      <c r="C339" s="33"/>
      <c r="D339" s="79"/>
    </row>
    <row r="340" spans="1:4" x14ac:dyDescent="0.2">
      <c r="A340" s="345">
        <v>37864</v>
      </c>
      <c r="B340" s="1369"/>
      <c r="C340" s="33"/>
      <c r="D340" s="79"/>
    </row>
    <row r="341" spans="1:4" x14ac:dyDescent="0.2">
      <c r="A341" s="345">
        <v>37894</v>
      </c>
      <c r="B341" s="1369"/>
      <c r="C341" s="34"/>
      <c r="D341" s="79"/>
    </row>
    <row r="342" spans="1:4" x14ac:dyDescent="0.2">
      <c r="A342" s="345">
        <v>37925</v>
      </c>
      <c r="B342" s="1369"/>
      <c r="C342" s="34"/>
      <c r="D342" s="79"/>
    </row>
    <row r="343" spans="1:4" x14ac:dyDescent="0.2">
      <c r="A343" s="345">
        <v>37955</v>
      </c>
      <c r="B343" s="1369"/>
      <c r="C343" s="34"/>
      <c r="D343" s="79"/>
    </row>
    <row r="344" spans="1:4" x14ac:dyDescent="0.2">
      <c r="A344" s="345">
        <v>37986</v>
      </c>
      <c r="B344" s="1369"/>
      <c r="C344" s="34"/>
      <c r="D344" s="79"/>
    </row>
    <row r="345" spans="1:4" x14ac:dyDescent="0.2">
      <c r="A345" s="345">
        <v>38017</v>
      </c>
      <c r="B345" s="1369"/>
      <c r="C345" s="34"/>
      <c r="D345" s="79"/>
    </row>
    <row r="346" spans="1:4" x14ac:dyDescent="0.2">
      <c r="A346" s="345">
        <v>38046</v>
      </c>
      <c r="B346" s="1369"/>
      <c r="C346" s="34"/>
      <c r="D346" s="79"/>
    </row>
    <row r="347" spans="1:4" x14ac:dyDescent="0.2">
      <c r="A347" s="345">
        <v>38077</v>
      </c>
      <c r="B347" s="1369"/>
      <c r="C347" s="34"/>
      <c r="D347" s="255"/>
    </row>
    <row r="348" spans="1:4" x14ac:dyDescent="0.2">
      <c r="A348" s="345">
        <v>38107</v>
      </c>
      <c r="B348" s="1369"/>
      <c r="C348" s="34"/>
      <c r="D348" s="253"/>
    </row>
    <row r="349" spans="1:4" x14ac:dyDescent="0.2">
      <c r="A349" s="345">
        <v>38138</v>
      </c>
      <c r="B349" s="1369"/>
      <c r="C349" s="34"/>
      <c r="D349" s="253"/>
    </row>
    <row r="350" spans="1:4" x14ac:dyDescent="0.2">
      <c r="A350" s="345">
        <v>38168</v>
      </c>
      <c r="B350" s="1369"/>
      <c r="C350" s="34"/>
      <c r="D350" s="253"/>
    </row>
    <row r="351" spans="1:4" x14ac:dyDescent="0.2">
      <c r="A351" s="345">
        <v>38199</v>
      </c>
      <c r="B351" s="1369"/>
      <c r="C351" s="34"/>
      <c r="D351" s="253"/>
    </row>
    <row r="352" spans="1:4" x14ac:dyDescent="0.2">
      <c r="A352" s="345">
        <v>38230</v>
      </c>
      <c r="B352" s="1369"/>
      <c r="C352" s="34"/>
      <c r="D352" s="253"/>
    </row>
    <row r="353" spans="1:4" x14ac:dyDescent="0.2">
      <c r="A353" s="345">
        <v>38260</v>
      </c>
      <c r="B353" s="1369"/>
      <c r="C353" s="34"/>
      <c r="D353" s="253"/>
    </row>
    <row r="354" spans="1:4" x14ac:dyDescent="0.2">
      <c r="A354" s="345">
        <v>38291</v>
      </c>
      <c r="B354" s="1369"/>
      <c r="C354" s="34"/>
      <c r="D354" s="253"/>
    </row>
    <row r="355" spans="1:4" x14ac:dyDescent="0.2">
      <c r="A355" s="345">
        <v>38321</v>
      </c>
      <c r="B355" s="1369"/>
      <c r="C355" s="34"/>
      <c r="D355" s="253"/>
    </row>
    <row r="356" spans="1:4" x14ac:dyDescent="0.2">
      <c r="A356" s="345">
        <v>38352</v>
      </c>
      <c r="B356" s="1369"/>
      <c r="C356" s="256"/>
      <c r="D356" s="253"/>
    </row>
    <row r="357" spans="1:4" x14ac:dyDescent="0.2">
      <c r="A357" s="345">
        <v>38383</v>
      </c>
      <c r="B357" s="1369"/>
      <c r="C357" s="34"/>
      <c r="D357" s="253"/>
    </row>
    <row r="358" spans="1:4" x14ac:dyDescent="0.2">
      <c r="A358" s="345">
        <v>38411</v>
      </c>
      <c r="B358" s="1369"/>
      <c r="C358" s="34"/>
      <c r="D358" s="253"/>
    </row>
    <row r="359" spans="1:4" x14ac:dyDescent="0.2">
      <c r="A359" s="345">
        <v>38442</v>
      </c>
      <c r="B359" s="1369"/>
      <c r="C359" s="256"/>
      <c r="D359" s="253"/>
    </row>
    <row r="360" spans="1:4" x14ac:dyDescent="0.2">
      <c r="A360" s="345">
        <v>38472</v>
      </c>
      <c r="B360" s="1369"/>
      <c r="C360" s="256"/>
      <c r="D360" s="253"/>
    </row>
    <row r="361" spans="1:4" x14ac:dyDescent="0.2">
      <c r="A361" s="345">
        <v>38503</v>
      </c>
      <c r="B361" s="1369"/>
      <c r="C361" s="256"/>
      <c r="D361" s="253"/>
    </row>
    <row r="362" spans="1:4" x14ac:dyDescent="0.2">
      <c r="A362" s="345">
        <v>38533</v>
      </c>
      <c r="B362" s="1369"/>
      <c r="C362" s="256"/>
      <c r="D362" s="253"/>
    </row>
    <row r="363" spans="1:4" x14ac:dyDescent="0.2">
      <c r="A363" s="345">
        <v>38564</v>
      </c>
      <c r="B363" s="1369"/>
      <c r="C363" s="256"/>
      <c r="D363" s="253"/>
    </row>
    <row r="364" spans="1:4" x14ac:dyDescent="0.2">
      <c r="A364" s="345">
        <v>38595</v>
      </c>
      <c r="B364" s="1369"/>
      <c r="C364" s="256"/>
      <c r="D364" s="253"/>
    </row>
    <row r="365" spans="1:4" x14ac:dyDescent="0.2">
      <c r="A365" s="345">
        <v>38625</v>
      </c>
      <c r="B365" s="1369"/>
      <c r="C365" s="256"/>
      <c r="D365" s="253"/>
    </row>
    <row r="366" spans="1:4" x14ac:dyDescent="0.2">
      <c r="A366" s="345">
        <v>38656</v>
      </c>
      <c r="B366" s="1369"/>
      <c r="C366" s="256"/>
      <c r="D366" s="253"/>
    </row>
    <row r="367" spans="1:4" x14ac:dyDescent="0.2">
      <c r="A367" s="345">
        <v>38686</v>
      </c>
      <c r="B367" s="1369"/>
      <c r="C367" s="256"/>
      <c r="D367" s="253"/>
    </row>
    <row r="368" spans="1:4" x14ac:dyDescent="0.2">
      <c r="A368" s="345">
        <v>38717</v>
      </c>
      <c r="B368" s="1369"/>
      <c r="C368" s="256"/>
      <c r="D368" s="253"/>
    </row>
    <row r="369" spans="1:6" x14ac:dyDescent="0.2">
      <c r="A369" s="345">
        <v>38748</v>
      </c>
      <c r="B369" s="1369"/>
      <c r="C369" s="256"/>
      <c r="D369" s="253"/>
    </row>
    <row r="370" spans="1:6" x14ac:dyDescent="0.2">
      <c r="A370" s="345">
        <v>38776</v>
      </c>
      <c r="B370" s="1369"/>
      <c r="C370" s="256"/>
      <c r="D370" s="253"/>
    </row>
    <row r="371" spans="1:6" x14ac:dyDescent="0.2">
      <c r="A371" s="345">
        <v>38807</v>
      </c>
      <c r="B371" s="1369"/>
      <c r="C371" s="33"/>
      <c r="D371" s="253"/>
    </row>
    <row r="372" spans="1:6" x14ac:dyDescent="0.2">
      <c r="A372" s="345">
        <v>38837</v>
      </c>
      <c r="B372" s="1369"/>
      <c r="C372" s="33"/>
      <c r="D372" s="253"/>
    </row>
    <row r="373" spans="1:6" x14ac:dyDescent="0.2">
      <c r="A373" s="345">
        <v>38868</v>
      </c>
      <c r="B373" s="1369"/>
      <c r="C373" s="33"/>
      <c r="D373" s="253"/>
    </row>
    <row r="374" spans="1:6" x14ac:dyDescent="0.2">
      <c r="A374" s="345">
        <v>38898</v>
      </c>
      <c r="B374" s="1369"/>
      <c r="C374" s="354"/>
      <c r="D374" s="253"/>
    </row>
    <row r="375" spans="1:6" x14ac:dyDescent="0.2">
      <c r="A375" s="345">
        <v>38929</v>
      </c>
      <c r="B375" s="1369"/>
      <c r="C375" s="34"/>
      <c r="D375" s="253"/>
    </row>
    <row r="376" spans="1:6" x14ac:dyDescent="0.2">
      <c r="A376" s="345">
        <v>38960</v>
      </c>
      <c r="B376" s="1369"/>
      <c r="C376" s="34"/>
      <c r="D376" s="253"/>
    </row>
    <row r="377" spans="1:6" x14ac:dyDescent="0.2">
      <c r="A377" s="345">
        <v>38990</v>
      </c>
      <c r="B377" s="1369"/>
      <c r="C377" s="34"/>
      <c r="D377" s="253"/>
    </row>
    <row r="378" spans="1:6" x14ac:dyDescent="0.2">
      <c r="A378" s="345">
        <v>39021</v>
      </c>
      <c r="B378" s="1369"/>
      <c r="C378" s="34"/>
      <c r="D378" s="253"/>
      <c r="F378" s="352"/>
    </row>
    <row r="379" spans="1:6" x14ac:dyDescent="0.2">
      <c r="A379" s="345">
        <v>39051</v>
      </c>
      <c r="B379" s="1369"/>
      <c r="C379" s="34"/>
      <c r="D379" s="253"/>
      <c r="F379" s="352"/>
    </row>
    <row r="380" spans="1:6" x14ac:dyDescent="0.2">
      <c r="A380" s="345">
        <v>39082</v>
      </c>
      <c r="B380" s="1369"/>
      <c r="C380" s="34"/>
      <c r="D380" s="253"/>
      <c r="F380" s="352"/>
    </row>
    <row r="381" spans="1:6" x14ac:dyDescent="0.2">
      <c r="A381" s="345">
        <v>39113</v>
      </c>
      <c r="B381" s="1369"/>
      <c r="D381" s="258"/>
      <c r="F381" s="352"/>
    </row>
    <row r="382" spans="1:6" x14ac:dyDescent="0.2">
      <c r="A382" s="345">
        <v>39141</v>
      </c>
      <c r="B382" s="1369"/>
      <c r="D382" s="258"/>
      <c r="F382" s="352"/>
    </row>
    <row r="383" spans="1:6" x14ac:dyDescent="0.2">
      <c r="A383" s="345">
        <v>39172</v>
      </c>
      <c r="B383" s="1369"/>
      <c r="D383" s="258"/>
    </row>
    <row r="384" spans="1:6" x14ac:dyDescent="0.2">
      <c r="A384" s="345">
        <v>39202</v>
      </c>
      <c r="B384" s="1369"/>
      <c r="D384" s="258"/>
    </row>
    <row r="385" spans="1:7" x14ac:dyDescent="0.2">
      <c r="A385" s="345">
        <v>39233</v>
      </c>
      <c r="B385" s="1369"/>
      <c r="D385" s="258"/>
    </row>
    <row r="386" spans="1:7" x14ac:dyDescent="0.2">
      <c r="A386" s="345">
        <v>39263</v>
      </c>
      <c r="B386" s="1369"/>
      <c r="D386" s="258"/>
    </row>
    <row r="387" spans="1:7" x14ac:dyDescent="0.2">
      <c r="A387" s="345">
        <v>39294</v>
      </c>
      <c r="B387" s="1369"/>
      <c r="D387" s="258"/>
    </row>
    <row r="388" spans="1:7" x14ac:dyDescent="0.2">
      <c r="A388" s="345">
        <v>39325</v>
      </c>
      <c r="B388" s="1369"/>
      <c r="D388" s="258"/>
    </row>
    <row r="389" spans="1:7" x14ac:dyDescent="0.2">
      <c r="A389" s="345">
        <v>39355</v>
      </c>
      <c r="B389" s="1369"/>
      <c r="D389" s="258"/>
    </row>
    <row r="390" spans="1:7" x14ac:dyDescent="0.2">
      <c r="A390" s="345">
        <v>39386</v>
      </c>
      <c r="B390" s="1369"/>
      <c r="D390" s="258"/>
    </row>
    <row r="391" spans="1:7" x14ac:dyDescent="0.2">
      <c r="A391" s="345">
        <v>39416</v>
      </c>
      <c r="B391" s="1369"/>
      <c r="D391" s="258"/>
    </row>
    <row r="392" spans="1:7" x14ac:dyDescent="0.2">
      <c r="A392" s="345">
        <v>39447</v>
      </c>
      <c r="B392" s="1369"/>
      <c r="D392" s="258"/>
      <c r="G392" s="787"/>
    </row>
    <row r="393" spans="1:7" x14ac:dyDescent="0.2">
      <c r="A393" s="345">
        <v>39478</v>
      </c>
      <c r="B393" s="1369"/>
      <c r="D393" s="258"/>
    </row>
    <row r="394" spans="1:7" x14ac:dyDescent="0.2">
      <c r="A394" s="345">
        <v>39507</v>
      </c>
      <c r="B394" s="1369"/>
      <c r="D394" s="258"/>
    </row>
    <row r="395" spans="1:7" x14ac:dyDescent="0.2">
      <c r="A395" s="345">
        <v>39538</v>
      </c>
      <c r="B395" s="1369"/>
      <c r="D395" s="258"/>
    </row>
    <row r="396" spans="1:7" x14ac:dyDescent="0.2">
      <c r="A396" s="345">
        <v>39568</v>
      </c>
      <c r="B396" s="1369"/>
      <c r="D396" s="258"/>
    </row>
    <row r="397" spans="1:7" x14ac:dyDescent="0.2">
      <c r="A397" s="345">
        <v>39599</v>
      </c>
      <c r="B397" s="1369"/>
      <c r="D397" s="258"/>
    </row>
    <row r="398" spans="1:7" x14ac:dyDescent="0.2">
      <c r="A398" s="345">
        <v>39629</v>
      </c>
      <c r="B398" s="1369"/>
      <c r="D398" s="258"/>
    </row>
    <row r="399" spans="1:7" x14ac:dyDescent="0.2">
      <c r="A399" s="345">
        <v>39660</v>
      </c>
      <c r="B399" s="1369"/>
      <c r="C399" s="33"/>
      <c r="D399" s="258"/>
    </row>
    <row r="400" spans="1:7" x14ac:dyDescent="0.2">
      <c r="A400" s="345">
        <v>39691</v>
      </c>
      <c r="B400" s="1369"/>
      <c r="C400" s="33"/>
      <c r="D400" s="258"/>
    </row>
    <row r="401" spans="1:4" x14ac:dyDescent="0.2">
      <c r="A401" s="345">
        <v>39721</v>
      </c>
      <c r="B401" s="1369"/>
      <c r="C401" s="33"/>
      <c r="D401" s="258"/>
    </row>
    <row r="402" spans="1:4" x14ac:dyDescent="0.2">
      <c r="A402" s="345">
        <v>39752</v>
      </c>
      <c r="B402" s="1369"/>
      <c r="D402" s="258"/>
    </row>
    <row r="403" spans="1:4" x14ac:dyDescent="0.2">
      <c r="A403" s="345">
        <v>39782</v>
      </c>
      <c r="B403" s="1369"/>
      <c r="D403" s="258"/>
    </row>
    <row r="404" spans="1:4" x14ac:dyDescent="0.2">
      <c r="A404" s="345">
        <v>39813</v>
      </c>
      <c r="B404" s="1369"/>
      <c r="D404" s="258"/>
    </row>
    <row r="405" spans="1:4" x14ac:dyDescent="0.2">
      <c r="A405" s="345">
        <v>39844</v>
      </c>
      <c r="B405" s="1369"/>
      <c r="D405" s="258"/>
    </row>
    <row r="406" spans="1:4" x14ac:dyDescent="0.2">
      <c r="A406" s="345">
        <v>39872</v>
      </c>
      <c r="B406" s="1369"/>
      <c r="D406" s="258"/>
    </row>
    <row r="407" spans="1:4" x14ac:dyDescent="0.2">
      <c r="A407" s="345">
        <v>39903</v>
      </c>
      <c r="B407" s="1369"/>
      <c r="D407" s="258"/>
    </row>
    <row r="408" spans="1:4" x14ac:dyDescent="0.2">
      <c r="A408" s="345">
        <v>39933</v>
      </c>
      <c r="B408" s="1369"/>
      <c r="D408" s="258"/>
    </row>
    <row r="409" spans="1:4" x14ac:dyDescent="0.2">
      <c r="A409" s="345">
        <v>39964</v>
      </c>
      <c r="B409" s="1369"/>
      <c r="D409" s="258"/>
    </row>
    <row r="410" spans="1:4" x14ac:dyDescent="0.2">
      <c r="A410" s="345">
        <v>39994</v>
      </c>
      <c r="B410" s="1369"/>
      <c r="D410" s="258"/>
    </row>
    <row r="411" spans="1:4" x14ac:dyDescent="0.2">
      <c r="A411" s="345">
        <v>40025</v>
      </c>
      <c r="B411" s="1369"/>
      <c r="D411" s="258"/>
    </row>
    <row r="412" spans="1:4" x14ac:dyDescent="0.2">
      <c r="A412" s="345">
        <v>40056</v>
      </c>
      <c r="B412" s="1369"/>
      <c r="D412" s="258"/>
    </row>
    <row r="413" spans="1:4" x14ac:dyDescent="0.2">
      <c r="A413" s="345">
        <v>40086</v>
      </c>
      <c r="B413" s="1369"/>
      <c r="D413" s="258"/>
    </row>
    <row r="414" spans="1:4" x14ac:dyDescent="0.2">
      <c r="A414" s="345">
        <v>40117</v>
      </c>
      <c r="B414" s="1369"/>
    </row>
    <row r="415" spans="1:4" x14ac:dyDescent="0.2">
      <c r="A415" s="345">
        <v>40147</v>
      </c>
      <c r="B415" s="1369"/>
      <c r="C415" s="1333"/>
      <c r="D415" s="1369"/>
    </row>
    <row r="416" spans="1:4" x14ac:dyDescent="0.2">
      <c r="A416" s="345">
        <v>40178</v>
      </c>
      <c r="B416" s="1369"/>
    </row>
    <row r="417" spans="1:4" x14ac:dyDescent="0.2">
      <c r="A417" s="345">
        <v>40209</v>
      </c>
      <c r="B417" s="253"/>
    </row>
    <row r="418" spans="1:4" x14ac:dyDescent="0.2">
      <c r="A418" s="345">
        <v>40237</v>
      </c>
      <c r="B418" s="253"/>
    </row>
    <row r="419" spans="1:4" x14ac:dyDescent="0.2">
      <c r="A419" s="345">
        <v>40268</v>
      </c>
      <c r="B419" s="253"/>
      <c r="C419" s="1334"/>
      <c r="D419" s="1311"/>
    </row>
    <row r="420" spans="1:4" x14ac:dyDescent="0.2">
      <c r="A420" s="345">
        <v>40298</v>
      </c>
      <c r="B420" s="253"/>
    </row>
    <row r="421" spans="1:4" x14ac:dyDescent="0.2">
      <c r="A421" s="345">
        <v>40329</v>
      </c>
      <c r="B421" s="253"/>
    </row>
    <row r="422" spans="1:4" x14ac:dyDescent="0.2">
      <c r="A422" s="345">
        <v>40359</v>
      </c>
      <c r="B422" s="253"/>
    </row>
    <row r="423" spans="1:4" x14ac:dyDescent="0.2">
      <c r="A423" s="345">
        <v>40390</v>
      </c>
      <c r="B423" s="253"/>
    </row>
    <row r="424" spans="1:4" x14ac:dyDescent="0.2">
      <c r="A424" s="345">
        <v>40421</v>
      </c>
      <c r="B424" s="253"/>
    </row>
    <row r="425" spans="1:4" x14ac:dyDescent="0.2">
      <c r="A425" s="345">
        <v>40451</v>
      </c>
      <c r="B425" s="253"/>
    </row>
    <row r="426" spans="1:4" x14ac:dyDescent="0.2">
      <c r="A426" s="345">
        <v>40482</v>
      </c>
      <c r="B426" s="253"/>
    </row>
    <row r="427" spans="1:4" x14ac:dyDescent="0.2">
      <c r="A427" s="345">
        <v>40512</v>
      </c>
      <c r="B427" s="253"/>
    </row>
    <row r="428" spans="1:4" x14ac:dyDescent="0.2">
      <c r="A428" s="345">
        <v>40543</v>
      </c>
      <c r="B428" s="253"/>
    </row>
    <row r="429" spans="1:4" x14ac:dyDescent="0.2">
      <c r="A429" s="345">
        <v>40574</v>
      </c>
      <c r="B429" s="253"/>
    </row>
    <row r="430" spans="1:4" x14ac:dyDescent="0.2">
      <c r="A430" s="345">
        <v>40602</v>
      </c>
      <c r="B430" s="253"/>
    </row>
    <row r="431" spans="1:4" x14ac:dyDescent="0.2">
      <c r="A431" s="345">
        <v>40633</v>
      </c>
      <c r="B431" s="253"/>
    </row>
    <row r="432" spans="1:4" x14ac:dyDescent="0.2">
      <c r="A432" s="345">
        <v>40663</v>
      </c>
      <c r="B432" s="253"/>
    </row>
    <row r="433" spans="1:2" x14ac:dyDescent="0.2">
      <c r="A433" s="345">
        <v>40694</v>
      </c>
      <c r="B433" s="253"/>
    </row>
    <row r="434" spans="1:2" x14ac:dyDescent="0.2">
      <c r="A434" s="345">
        <v>40724</v>
      </c>
      <c r="B434" s="253"/>
    </row>
    <row r="435" spans="1:2" x14ac:dyDescent="0.2">
      <c r="A435" s="345">
        <v>40755</v>
      </c>
      <c r="B435" s="253"/>
    </row>
    <row r="436" spans="1:2" x14ac:dyDescent="0.2">
      <c r="A436" s="345">
        <v>40786</v>
      </c>
      <c r="B436" s="253"/>
    </row>
    <row r="437" spans="1:2" x14ac:dyDescent="0.2">
      <c r="A437" s="345">
        <v>40816</v>
      </c>
      <c r="B437" s="253"/>
    </row>
    <row r="438" spans="1:2" x14ac:dyDescent="0.2">
      <c r="A438" s="345">
        <v>40847</v>
      </c>
      <c r="B438" s="253"/>
    </row>
    <row r="439" spans="1:2" x14ac:dyDescent="0.2">
      <c r="A439" s="345">
        <v>40877</v>
      </c>
      <c r="B439" s="253"/>
    </row>
    <row r="440" spans="1:2" x14ac:dyDescent="0.2">
      <c r="A440" s="345">
        <v>40908</v>
      </c>
      <c r="B440" s="253"/>
    </row>
    <row r="441" spans="1:2" x14ac:dyDescent="0.2">
      <c r="A441" s="345">
        <v>40939</v>
      </c>
      <c r="B441" s="253"/>
    </row>
    <row r="442" spans="1:2" x14ac:dyDescent="0.2">
      <c r="A442" s="345">
        <v>40968</v>
      </c>
      <c r="B442" s="253"/>
    </row>
    <row r="443" spans="1:2" x14ac:dyDescent="0.2">
      <c r="A443" s="345">
        <v>40999</v>
      </c>
      <c r="B443" s="253"/>
    </row>
    <row r="444" spans="1:2" x14ac:dyDescent="0.2">
      <c r="A444" s="345">
        <v>41029</v>
      </c>
      <c r="B444" s="253"/>
    </row>
    <row r="445" spans="1:2" x14ac:dyDescent="0.2">
      <c r="A445" s="345">
        <v>41060</v>
      </c>
      <c r="B445" s="253"/>
    </row>
    <row r="446" spans="1:2" x14ac:dyDescent="0.2">
      <c r="A446" s="345">
        <v>41090</v>
      </c>
      <c r="B446" s="253"/>
    </row>
    <row r="447" spans="1:2" x14ac:dyDescent="0.2">
      <c r="A447" s="345">
        <v>41121</v>
      </c>
      <c r="B447" s="253"/>
    </row>
    <row r="448" spans="1:2" x14ac:dyDescent="0.2">
      <c r="A448" s="345">
        <v>41152</v>
      </c>
      <c r="B448" s="253"/>
    </row>
    <row r="449" spans="1:3" x14ac:dyDescent="0.2">
      <c r="A449" s="345">
        <v>41182</v>
      </c>
      <c r="B449" s="253"/>
    </row>
    <row r="450" spans="1:3" x14ac:dyDescent="0.2">
      <c r="A450" s="345">
        <v>41213</v>
      </c>
      <c r="B450" s="253"/>
    </row>
    <row r="451" spans="1:3" x14ac:dyDescent="0.2">
      <c r="A451" s="345">
        <v>41243</v>
      </c>
      <c r="B451" s="253"/>
    </row>
    <row r="452" spans="1:3" x14ac:dyDescent="0.2">
      <c r="A452" s="345">
        <v>41274</v>
      </c>
      <c r="B452" s="253"/>
    </row>
    <row r="453" spans="1:3" x14ac:dyDescent="0.2">
      <c r="A453" s="345">
        <v>41305</v>
      </c>
      <c r="B453" s="253"/>
    </row>
    <row r="454" spans="1:3" x14ac:dyDescent="0.2">
      <c r="A454" s="345">
        <v>41333</v>
      </c>
      <c r="B454" s="253"/>
    </row>
    <row r="455" spans="1:3" x14ac:dyDescent="0.2">
      <c r="A455" s="345">
        <v>41364</v>
      </c>
      <c r="B455" s="253"/>
    </row>
    <row r="456" spans="1:3" x14ac:dyDescent="0.2">
      <c r="A456" s="345">
        <v>41394</v>
      </c>
      <c r="B456" s="253"/>
    </row>
    <row r="457" spans="1:3" x14ac:dyDescent="0.2">
      <c r="A457" s="345">
        <v>41425</v>
      </c>
      <c r="B457" s="253"/>
    </row>
    <row r="458" spans="1:3" x14ac:dyDescent="0.2">
      <c r="A458" s="345">
        <v>41455</v>
      </c>
      <c r="B458" s="253"/>
      <c r="C458" s="1307"/>
    </row>
    <row r="459" spans="1:3" x14ac:dyDescent="0.2">
      <c r="A459" s="345">
        <v>41486</v>
      </c>
      <c r="B459" s="253"/>
    </row>
    <row r="460" spans="1:3" x14ac:dyDescent="0.2">
      <c r="A460" s="345">
        <v>41517</v>
      </c>
      <c r="B460" s="253"/>
    </row>
    <row r="461" spans="1:3" x14ac:dyDescent="0.2">
      <c r="A461" s="345">
        <v>41547</v>
      </c>
      <c r="B461" s="253"/>
    </row>
    <row r="462" spans="1:3" x14ac:dyDescent="0.2">
      <c r="A462" s="345">
        <v>41578</v>
      </c>
      <c r="B462" s="253"/>
    </row>
    <row r="463" spans="1:3" x14ac:dyDescent="0.2">
      <c r="A463" s="345">
        <v>41608</v>
      </c>
      <c r="B463" s="253"/>
    </row>
    <row r="464" spans="1:3" x14ac:dyDescent="0.2">
      <c r="A464" s="345">
        <v>41639</v>
      </c>
      <c r="B464" s="253"/>
    </row>
    <row r="465" spans="1:5" x14ac:dyDescent="0.2">
      <c r="A465" s="345">
        <v>41670</v>
      </c>
      <c r="B465" s="253"/>
    </row>
    <row r="466" spans="1:5" x14ac:dyDescent="0.2">
      <c r="A466" s="345">
        <v>41698</v>
      </c>
      <c r="B466" s="253"/>
    </row>
    <row r="467" spans="1:5" x14ac:dyDescent="0.2">
      <c r="A467" s="345">
        <v>41729</v>
      </c>
      <c r="B467" s="253"/>
    </row>
    <row r="468" spans="1:5" x14ac:dyDescent="0.2">
      <c r="A468" s="345">
        <v>41759</v>
      </c>
      <c r="B468" s="253"/>
    </row>
    <row r="469" spans="1:5" x14ac:dyDescent="0.2">
      <c r="A469" s="345">
        <v>41790</v>
      </c>
      <c r="B469" s="253"/>
    </row>
    <row r="470" spans="1:5" x14ac:dyDescent="0.2">
      <c r="A470" s="345">
        <v>41820</v>
      </c>
      <c r="B470" s="253"/>
    </row>
    <row r="471" spans="1:5" x14ac:dyDescent="0.2">
      <c r="A471" s="345">
        <v>41851</v>
      </c>
      <c r="B471" s="253">
        <f t="shared" ref="B471:B488" si="0">D471</f>
        <v>-2.8255300000000001</v>
      </c>
      <c r="C471" s="346">
        <v>515636786.43000001</v>
      </c>
      <c r="D471" s="262">
        <v>-2.8255300000000001</v>
      </c>
      <c r="E471" s="14">
        <f>B471-Index_Returns!AA471</f>
        <v>-0.86024000000000012</v>
      </c>
    </row>
    <row r="472" spans="1:5" x14ac:dyDescent="0.2">
      <c r="A472" s="345">
        <v>41882</v>
      </c>
      <c r="B472" s="253">
        <f t="shared" si="0"/>
        <v>0.66296999999999995</v>
      </c>
      <c r="C472" s="346">
        <v>519092520</v>
      </c>
      <c r="D472" s="262">
        <v>0.66296999999999995</v>
      </c>
      <c r="E472" s="14">
        <f>B472-Index_Returns!AA472</f>
        <v>0.81678999999999991</v>
      </c>
    </row>
    <row r="473" spans="1:5" x14ac:dyDescent="0.2">
      <c r="A473" s="345">
        <v>41912</v>
      </c>
      <c r="B473" s="253">
        <f t="shared" si="0"/>
        <v>0</v>
      </c>
      <c r="E473" s="14">
        <f>B473-Index_Returns!AA473</f>
        <v>0</v>
      </c>
    </row>
    <row r="474" spans="1:5" x14ac:dyDescent="0.2">
      <c r="A474" s="345">
        <v>41943</v>
      </c>
      <c r="B474" s="253">
        <f t="shared" si="0"/>
        <v>0</v>
      </c>
      <c r="E474" s="14">
        <f>B474-Index_Returns!AA474</f>
        <v>0</v>
      </c>
    </row>
    <row r="475" spans="1:5" x14ac:dyDescent="0.2">
      <c r="A475" s="345">
        <v>41973</v>
      </c>
      <c r="B475" s="253">
        <f t="shared" si="0"/>
        <v>0</v>
      </c>
      <c r="E475" s="14">
        <f>B475-Index_Returns!AA475</f>
        <v>0</v>
      </c>
    </row>
    <row r="476" spans="1:5" x14ac:dyDescent="0.2">
      <c r="A476" s="345">
        <v>42004</v>
      </c>
      <c r="B476" s="253">
        <f t="shared" si="0"/>
        <v>0</v>
      </c>
      <c r="E476" s="14">
        <f>B476-Index_Returns!AA476</f>
        <v>0</v>
      </c>
    </row>
    <row r="477" spans="1:5" x14ac:dyDescent="0.2">
      <c r="A477" s="345">
        <v>42035</v>
      </c>
      <c r="B477" s="253">
        <f t="shared" si="0"/>
        <v>0</v>
      </c>
      <c r="E477" s="14">
        <f>B477-Index_Returns!AA477</f>
        <v>0</v>
      </c>
    </row>
    <row r="478" spans="1:5" x14ac:dyDescent="0.2">
      <c r="A478" s="345">
        <v>42063</v>
      </c>
      <c r="B478" s="253">
        <f t="shared" si="0"/>
        <v>0</v>
      </c>
      <c r="E478" s="14">
        <f>B478-Index_Returns!AA478</f>
        <v>0</v>
      </c>
    </row>
    <row r="479" spans="1:5" x14ac:dyDescent="0.2">
      <c r="A479" s="345">
        <v>42094</v>
      </c>
      <c r="B479" s="253">
        <f t="shared" si="0"/>
        <v>0</v>
      </c>
      <c r="E479" s="14">
        <f>B479-Index_Returns!AA479</f>
        <v>0</v>
      </c>
    </row>
    <row r="480" spans="1:5" x14ac:dyDescent="0.2">
      <c r="A480" s="345">
        <v>42124</v>
      </c>
      <c r="B480" s="253">
        <f t="shared" si="0"/>
        <v>0</v>
      </c>
      <c r="E480" s="14">
        <f>B480-Index_Returns!AA480</f>
        <v>0</v>
      </c>
    </row>
    <row r="481" spans="1:5" x14ac:dyDescent="0.2">
      <c r="A481" s="345">
        <v>42155</v>
      </c>
      <c r="B481" s="253">
        <f t="shared" si="0"/>
        <v>0</v>
      </c>
      <c r="E481" s="14">
        <f>B481-Index_Returns!AA481</f>
        <v>0</v>
      </c>
    </row>
    <row r="482" spans="1:5" x14ac:dyDescent="0.2">
      <c r="A482" s="345">
        <v>42185</v>
      </c>
      <c r="B482" s="253">
        <f t="shared" si="0"/>
        <v>0</v>
      </c>
      <c r="E482" s="14">
        <f>B482-Index_Returns!AA482</f>
        <v>0</v>
      </c>
    </row>
    <row r="483" spans="1:5" x14ac:dyDescent="0.2">
      <c r="A483" s="345">
        <v>42216</v>
      </c>
      <c r="B483" s="253">
        <f t="shared" si="0"/>
        <v>0</v>
      </c>
      <c r="E483" s="14">
        <f>B483-Index_Returns!AA483</f>
        <v>0</v>
      </c>
    </row>
    <row r="484" spans="1:5" x14ac:dyDescent="0.2">
      <c r="A484" s="345">
        <v>42247</v>
      </c>
      <c r="B484" s="253">
        <f t="shared" si="0"/>
        <v>0</v>
      </c>
      <c r="E484" s="14">
        <f>B484-Index_Returns!AA484</f>
        <v>0</v>
      </c>
    </row>
    <row r="485" spans="1:5" x14ac:dyDescent="0.2">
      <c r="A485" s="345">
        <v>42277</v>
      </c>
      <c r="B485" s="253">
        <f t="shared" si="0"/>
        <v>0</v>
      </c>
      <c r="E485" s="14">
        <f>B485-Index_Returns!AA485</f>
        <v>0</v>
      </c>
    </row>
    <row r="486" spans="1:5" x14ac:dyDescent="0.2">
      <c r="A486" s="345">
        <v>42308</v>
      </c>
      <c r="B486" s="253">
        <f t="shared" si="0"/>
        <v>0</v>
      </c>
      <c r="E486" s="14">
        <f>B486-Index_Returns!AA486</f>
        <v>0</v>
      </c>
    </row>
    <row r="487" spans="1:5" x14ac:dyDescent="0.2">
      <c r="A487" s="345">
        <v>42338</v>
      </c>
      <c r="B487" s="253">
        <f t="shared" si="0"/>
        <v>0</v>
      </c>
      <c r="E487" s="14">
        <f>B487-Index_Returns!AA487</f>
        <v>0</v>
      </c>
    </row>
    <row r="488" spans="1:5" x14ac:dyDescent="0.2">
      <c r="A488" s="345">
        <v>42369</v>
      </c>
      <c r="B488" s="253">
        <f t="shared" si="0"/>
        <v>0</v>
      </c>
      <c r="E488" s="14">
        <f>B488-Index_Returns!AA488</f>
        <v>0</v>
      </c>
    </row>
    <row r="489" spans="1:5" x14ac:dyDescent="0.2">
      <c r="A489" s="345"/>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H488"/>
  <sheetViews>
    <sheetView workbookViewId="0">
      <pane xSplit="1" ySplit="2" topLeftCell="B449" activePane="bottomRight" state="frozen"/>
      <selection pane="topRight" activeCell="B1" sqref="B1"/>
      <selection pane="bottomLeft" activeCell="A3" sqref="A3"/>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5" width="18.7109375" style="258" customWidth="1"/>
    <col min="6" max="6" width="12.42578125" bestFit="1" customWidth="1"/>
    <col min="7" max="8" width="9.140625" style="352"/>
  </cols>
  <sheetData>
    <row r="1" spans="1:6" x14ac:dyDescent="0.2">
      <c r="A1" s="265" t="s">
        <v>613</v>
      </c>
      <c r="B1" s="1371"/>
      <c r="C1" s="1382" t="s">
        <v>614</v>
      </c>
      <c r="D1" s="1370">
        <v>5</v>
      </c>
      <c r="E1" s="74" t="s">
        <v>81</v>
      </c>
      <c r="F1" s="1448" t="s">
        <v>775</v>
      </c>
    </row>
    <row r="2" spans="1:6" x14ac:dyDescent="0.2">
      <c r="A2" s="3" t="s">
        <v>27</v>
      </c>
      <c r="B2" s="71" t="s">
        <v>91</v>
      </c>
      <c r="C2" s="347" t="s">
        <v>92</v>
      </c>
      <c r="D2" s="71" t="s">
        <v>90</v>
      </c>
      <c r="E2" s="71" t="s">
        <v>80</v>
      </c>
    </row>
    <row r="3" spans="1:6" x14ac:dyDescent="0.2">
      <c r="A3" s="345">
        <v>27606</v>
      </c>
      <c r="B3" s="71"/>
      <c r="C3" s="347"/>
      <c r="D3" s="71"/>
      <c r="E3" s="71"/>
    </row>
    <row r="4" spans="1:6" x14ac:dyDescent="0.2">
      <c r="A4" s="345">
        <v>27637</v>
      </c>
      <c r="B4" s="71"/>
      <c r="C4" s="347"/>
      <c r="D4" s="71"/>
      <c r="E4" s="71"/>
    </row>
    <row r="5" spans="1:6" x14ac:dyDescent="0.2">
      <c r="A5" s="345">
        <v>27667</v>
      </c>
      <c r="B5" s="71"/>
      <c r="C5" s="347"/>
      <c r="D5" s="71"/>
      <c r="E5" s="71"/>
    </row>
    <row r="6" spans="1:6" x14ac:dyDescent="0.2">
      <c r="A6" s="345">
        <v>27698</v>
      </c>
      <c r="B6" s="71"/>
      <c r="C6" s="347"/>
      <c r="D6" s="71"/>
      <c r="E6" s="71"/>
    </row>
    <row r="7" spans="1:6" x14ac:dyDescent="0.2">
      <c r="A7" s="345">
        <v>27728</v>
      </c>
      <c r="B7" s="71"/>
      <c r="C7" s="347"/>
      <c r="D7" s="71"/>
      <c r="E7" s="71"/>
    </row>
    <row r="8" spans="1:6" x14ac:dyDescent="0.2">
      <c r="A8" s="345">
        <v>27759</v>
      </c>
      <c r="B8" s="71"/>
      <c r="C8" s="347"/>
      <c r="D8" s="71"/>
      <c r="E8" s="71"/>
    </row>
    <row r="9" spans="1:6" x14ac:dyDescent="0.2">
      <c r="A9" s="345">
        <v>27790</v>
      </c>
      <c r="B9" s="71"/>
      <c r="C9" s="347"/>
      <c r="D9" s="71"/>
      <c r="E9" s="71"/>
    </row>
    <row r="10" spans="1:6" x14ac:dyDescent="0.2">
      <c r="A10" s="345">
        <v>27819</v>
      </c>
      <c r="B10" s="71"/>
      <c r="C10" s="347"/>
      <c r="D10" s="71"/>
      <c r="E10" s="71"/>
    </row>
    <row r="11" spans="1:6" x14ac:dyDescent="0.2">
      <c r="A11" s="345">
        <v>27850</v>
      </c>
      <c r="B11" s="71"/>
      <c r="C11" s="347"/>
      <c r="D11" s="71"/>
      <c r="E11" s="71"/>
    </row>
    <row r="12" spans="1:6" x14ac:dyDescent="0.2">
      <c r="A12" s="345">
        <v>27880</v>
      </c>
      <c r="B12" s="71"/>
      <c r="C12" s="347"/>
      <c r="D12" s="71"/>
      <c r="E12" s="71"/>
    </row>
    <row r="13" spans="1:6" x14ac:dyDescent="0.2">
      <c r="A13" s="345">
        <v>27911</v>
      </c>
      <c r="B13" s="71"/>
      <c r="C13" s="347"/>
      <c r="D13" s="71"/>
      <c r="E13" s="71"/>
    </row>
    <row r="14" spans="1:6" x14ac:dyDescent="0.2">
      <c r="A14" s="345">
        <v>27941</v>
      </c>
      <c r="B14" s="71"/>
      <c r="C14" s="347"/>
      <c r="D14" s="71"/>
      <c r="E14" s="71"/>
    </row>
    <row r="15" spans="1:6" x14ac:dyDescent="0.2">
      <c r="A15" s="345">
        <v>27972</v>
      </c>
      <c r="B15" s="71"/>
      <c r="C15" s="347"/>
      <c r="D15" s="71"/>
      <c r="E15" s="71"/>
    </row>
    <row r="16" spans="1:6" x14ac:dyDescent="0.2">
      <c r="A16" s="345">
        <v>28003</v>
      </c>
      <c r="B16" s="71"/>
      <c r="C16" s="347"/>
      <c r="D16" s="71"/>
      <c r="E16" s="71"/>
    </row>
    <row r="17" spans="1:5" x14ac:dyDescent="0.2">
      <c r="A17" s="345">
        <v>28033</v>
      </c>
      <c r="B17" s="71"/>
      <c r="C17" s="347"/>
      <c r="D17" s="71"/>
      <c r="E17" s="71"/>
    </row>
    <row r="18" spans="1:5" x14ac:dyDescent="0.2">
      <c r="A18" s="345">
        <v>28064</v>
      </c>
      <c r="B18" s="71"/>
      <c r="C18" s="347"/>
      <c r="D18" s="71"/>
      <c r="E18" s="71"/>
    </row>
    <row r="19" spans="1:5" x14ac:dyDescent="0.2">
      <c r="A19" s="345">
        <v>28094</v>
      </c>
      <c r="B19" s="71"/>
      <c r="C19" s="347"/>
      <c r="D19" s="71"/>
      <c r="E19" s="71"/>
    </row>
    <row r="20" spans="1:5" x14ac:dyDescent="0.2">
      <c r="A20" s="345">
        <v>28125</v>
      </c>
      <c r="B20" s="71"/>
      <c r="C20" s="347"/>
      <c r="D20" s="71"/>
      <c r="E20" s="71"/>
    </row>
    <row r="21" spans="1:5" x14ac:dyDescent="0.2">
      <c r="A21" s="345">
        <v>28156</v>
      </c>
      <c r="B21" s="71"/>
      <c r="C21" s="347"/>
      <c r="D21" s="71"/>
      <c r="E21" s="71"/>
    </row>
    <row r="22" spans="1:5" x14ac:dyDescent="0.2">
      <c r="A22" s="345">
        <v>28184</v>
      </c>
      <c r="B22" s="71"/>
      <c r="C22" s="347"/>
      <c r="D22" s="71"/>
      <c r="E22" s="71"/>
    </row>
    <row r="23" spans="1:5" x14ac:dyDescent="0.2">
      <c r="A23" s="345">
        <v>28215</v>
      </c>
      <c r="B23" s="71"/>
      <c r="C23" s="347"/>
      <c r="D23" s="71"/>
      <c r="E23" s="71"/>
    </row>
    <row r="24" spans="1:5" x14ac:dyDescent="0.2">
      <c r="A24" s="345">
        <v>28245</v>
      </c>
      <c r="B24" s="71"/>
      <c r="C24" s="347"/>
      <c r="D24" s="71"/>
      <c r="E24" s="71"/>
    </row>
    <row r="25" spans="1:5" x14ac:dyDescent="0.2">
      <c r="A25" s="345">
        <v>28276</v>
      </c>
      <c r="B25" s="71"/>
      <c r="C25" s="347"/>
      <c r="D25" s="71"/>
      <c r="E25" s="71"/>
    </row>
    <row r="26" spans="1:5" x14ac:dyDescent="0.2">
      <c r="A26" s="345">
        <v>28306</v>
      </c>
      <c r="B26" s="71"/>
      <c r="C26" s="347"/>
      <c r="D26" s="71"/>
      <c r="E26" s="71"/>
    </row>
    <row r="27" spans="1:5" x14ac:dyDescent="0.2">
      <c r="A27" s="345">
        <v>28337</v>
      </c>
      <c r="B27" s="71"/>
      <c r="C27" s="347"/>
      <c r="D27" s="71"/>
      <c r="E27" s="71"/>
    </row>
    <row r="28" spans="1:5" x14ac:dyDescent="0.2">
      <c r="A28" s="345">
        <v>28368</v>
      </c>
      <c r="B28" s="71"/>
      <c r="C28" s="347"/>
      <c r="D28" s="71"/>
      <c r="E28" s="71"/>
    </row>
    <row r="29" spans="1:5" x14ac:dyDescent="0.2">
      <c r="A29" s="345">
        <v>28398</v>
      </c>
      <c r="B29" s="71"/>
      <c r="C29" s="347"/>
      <c r="D29" s="71"/>
      <c r="E29" s="71"/>
    </row>
    <row r="30" spans="1:5" x14ac:dyDescent="0.2">
      <c r="A30" s="345">
        <v>28429</v>
      </c>
      <c r="B30" s="71"/>
      <c r="C30" s="347"/>
      <c r="D30" s="71"/>
      <c r="E30" s="71"/>
    </row>
    <row r="31" spans="1:5" x14ac:dyDescent="0.2">
      <c r="A31" s="345">
        <v>28459</v>
      </c>
      <c r="B31" s="71"/>
      <c r="C31" s="347"/>
      <c r="D31" s="71"/>
      <c r="E31" s="71"/>
    </row>
    <row r="32" spans="1:5" x14ac:dyDescent="0.2">
      <c r="A32" s="345">
        <v>28490</v>
      </c>
      <c r="B32" s="71"/>
      <c r="C32" s="347"/>
      <c r="D32" s="71"/>
      <c r="E32" s="71"/>
    </row>
    <row r="33" spans="1:5" x14ac:dyDescent="0.2">
      <c r="A33" s="345">
        <v>28521</v>
      </c>
      <c r="B33" s="71"/>
      <c r="C33" s="347"/>
      <c r="D33" s="71"/>
      <c r="E33" s="71"/>
    </row>
    <row r="34" spans="1:5" x14ac:dyDescent="0.2">
      <c r="A34" s="345">
        <v>28549</v>
      </c>
      <c r="B34" s="71"/>
      <c r="C34" s="347"/>
      <c r="D34" s="71"/>
      <c r="E34" s="71"/>
    </row>
    <row r="35" spans="1:5" x14ac:dyDescent="0.2">
      <c r="A35" s="345">
        <v>28580</v>
      </c>
      <c r="B35" s="71"/>
      <c r="C35" s="347"/>
      <c r="D35" s="71"/>
      <c r="E35" s="71"/>
    </row>
    <row r="36" spans="1:5" x14ac:dyDescent="0.2">
      <c r="A36" s="345">
        <v>28610</v>
      </c>
      <c r="B36" s="71"/>
      <c r="C36" s="347"/>
      <c r="D36" s="71"/>
      <c r="E36" s="71"/>
    </row>
    <row r="37" spans="1:5" x14ac:dyDescent="0.2">
      <c r="A37" s="345">
        <v>28641</v>
      </c>
      <c r="B37" s="71"/>
      <c r="C37" s="347"/>
      <c r="D37" s="71"/>
      <c r="E37" s="71"/>
    </row>
    <row r="38" spans="1:5" x14ac:dyDescent="0.2">
      <c r="A38" s="345">
        <v>28671</v>
      </c>
      <c r="B38" s="71"/>
      <c r="C38" s="347"/>
      <c r="D38" s="71"/>
      <c r="E38" s="71"/>
    </row>
    <row r="39" spans="1:5" x14ac:dyDescent="0.2">
      <c r="A39" s="345">
        <v>28702</v>
      </c>
      <c r="B39" s="71"/>
      <c r="C39" s="347"/>
      <c r="D39" s="71"/>
      <c r="E39" s="71"/>
    </row>
    <row r="40" spans="1:5" x14ac:dyDescent="0.2">
      <c r="A40" s="345">
        <v>28733</v>
      </c>
      <c r="B40" s="71"/>
      <c r="C40" s="347"/>
      <c r="D40" s="71"/>
      <c r="E40" s="71"/>
    </row>
    <row r="41" spans="1:5" x14ac:dyDescent="0.2">
      <c r="A41" s="345">
        <v>28763</v>
      </c>
      <c r="B41" s="71"/>
      <c r="C41" s="347"/>
      <c r="D41" s="71"/>
      <c r="E41" s="71"/>
    </row>
    <row r="42" spans="1:5" x14ac:dyDescent="0.2">
      <c r="A42" s="345">
        <v>28794</v>
      </c>
      <c r="B42" s="71"/>
      <c r="C42" s="347"/>
      <c r="D42" s="71"/>
      <c r="E42" s="71"/>
    </row>
    <row r="43" spans="1:5" x14ac:dyDescent="0.2">
      <c r="A43" s="345">
        <v>28824</v>
      </c>
      <c r="B43" s="71"/>
      <c r="C43" s="347"/>
      <c r="D43" s="71"/>
      <c r="E43" s="71"/>
    </row>
    <row r="44" spans="1:5" x14ac:dyDescent="0.2">
      <c r="A44" s="345">
        <v>28855</v>
      </c>
      <c r="B44" s="71"/>
      <c r="C44" s="347"/>
      <c r="D44" s="71"/>
      <c r="E44" s="71"/>
    </row>
    <row r="45" spans="1:5" x14ac:dyDescent="0.2">
      <c r="A45" s="345">
        <v>28886</v>
      </c>
      <c r="B45" s="71"/>
      <c r="C45" s="347"/>
      <c r="D45" s="71"/>
      <c r="E45" s="71"/>
    </row>
    <row r="46" spans="1:5" x14ac:dyDescent="0.2">
      <c r="A46" s="345">
        <v>28914</v>
      </c>
      <c r="B46" s="71"/>
      <c r="C46" s="347"/>
      <c r="D46" s="71"/>
      <c r="E46" s="71"/>
    </row>
    <row r="47" spans="1:5" x14ac:dyDescent="0.2">
      <c r="A47" s="345">
        <v>28945</v>
      </c>
      <c r="B47" s="71"/>
      <c r="C47" s="347"/>
      <c r="D47" s="71"/>
      <c r="E47" s="71"/>
    </row>
    <row r="48" spans="1:5" x14ac:dyDescent="0.2">
      <c r="A48" s="345">
        <v>28975</v>
      </c>
      <c r="B48" s="71"/>
      <c r="C48" s="347"/>
      <c r="D48" s="71"/>
      <c r="E48" s="71"/>
    </row>
    <row r="49" spans="1:5" x14ac:dyDescent="0.2">
      <c r="A49" s="345">
        <v>29006</v>
      </c>
      <c r="B49" s="71"/>
      <c r="C49" s="347"/>
      <c r="D49" s="71"/>
      <c r="E49" s="71"/>
    </row>
    <row r="50" spans="1:5" x14ac:dyDescent="0.2">
      <c r="A50" s="345">
        <v>29036</v>
      </c>
      <c r="B50" s="71"/>
      <c r="C50" s="347"/>
      <c r="D50" s="71"/>
      <c r="E50" s="71"/>
    </row>
    <row r="51" spans="1:5" x14ac:dyDescent="0.2">
      <c r="A51" s="345">
        <v>29067</v>
      </c>
      <c r="B51" s="71"/>
      <c r="C51" s="347"/>
      <c r="D51" s="71"/>
      <c r="E51" s="71"/>
    </row>
    <row r="52" spans="1:5" x14ac:dyDescent="0.2">
      <c r="A52" s="345">
        <v>29098</v>
      </c>
      <c r="B52" s="71"/>
      <c r="C52" s="347"/>
      <c r="D52" s="71"/>
      <c r="E52" s="71"/>
    </row>
    <row r="53" spans="1:5" x14ac:dyDescent="0.2">
      <c r="A53" s="345">
        <v>29128</v>
      </c>
      <c r="B53" s="71"/>
      <c r="C53" s="347"/>
      <c r="D53" s="71"/>
      <c r="E53" s="71"/>
    </row>
    <row r="54" spans="1:5" x14ac:dyDescent="0.2">
      <c r="A54" s="345">
        <v>29159</v>
      </c>
      <c r="B54" s="71"/>
      <c r="C54" s="347"/>
      <c r="D54" s="71"/>
      <c r="E54" s="71"/>
    </row>
    <row r="55" spans="1:5" x14ac:dyDescent="0.2">
      <c r="A55" s="345">
        <v>29189</v>
      </c>
      <c r="B55" s="71"/>
      <c r="C55" s="347"/>
      <c r="D55" s="71"/>
      <c r="E55" s="71"/>
    </row>
    <row r="56" spans="1:5" x14ac:dyDescent="0.2">
      <c r="A56" s="345">
        <v>29220</v>
      </c>
      <c r="B56" s="71"/>
      <c r="C56" s="347"/>
      <c r="D56" s="71"/>
      <c r="E56" s="71"/>
    </row>
    <row r="57" spans="1:5" x14ac:dyDescent="0.2">
      <c r="A57" s="345">
        <v>29251</v>
      </c>
      <c r="B57" s="71"/>
      <c r="C57" s="347"/>
      <c r="D57" s="71"/>
      <c r="E57" s="71"/>
    </row>
    <row r="58" spans="1:5" x14ac:dyDescent="0.2">
      <c r="A58" s="345">
        <v>29280</v>
      </c>
      <c r="B58" s="71"/>
      <c r="C58" s="347"/>
      <c r="D58" s="71"/>
      <c r="E58" s="71"/>
    </row>
    <row r="59" spans="1:5" x14ac:dyDescent="0.2">
      <c r="A59" s="345">
        <v>29311</v>
      </c>
      <c r="B59" s="71"/>
      <c r="C59" s="347"/>
      <c r="D59" s="71"/>
      <c r="E59" s="71"/>
    </row>
    <row r="60" spans="1:5" x14ac:dyDescent="0.2">
      <c r="A60" s="345">
        <v>29341</v>
      </c>
      <c r="B60" s="71"/>
      <c r="C60" s="347"/>
      <c r="D60" s="71"/>
      <c r="E60" s="71"/>
    </row>
    <row r="61" spans="1:5" x14ac:dyDescent="0.2">
      <c r="A61" s="345">
        <v>29372</v>
      </c>
      <c r="B61" s="71"/>
      <c r="C61" s="347"/>
      <c r="D61" s="71"/>
      <c r="E61" s="71"/>
    </row>
    <row r="62" spans="1:5" x14ac:dyDescent="0.2">
      <c r="A62" s="345">
        <v>29402</v>
      </c>
      <c r="B62" s="71"/>
      <c r="C62" s="347"/>
      <c r="D62" s="71"/>
      <c r="E62" s="71"/>
    </row>
    <row r="63" spans="1:5" x14ac:dyDescent="0.2">
      <c r="A63" s="345">
        <v>29433</v>
      </c>
      <c r="B63" s="71"/>
      <c r="C63" s="347"/>
      <c r="D63" s="71"/>
      <c r="E63" s="71"/>
    </row>
    <row r="64" spans="1:5" x14ac:dyDescent="0.2">
      <c r="A64" s="345">
        <v>29464</v>
      </c>
      <c r="B64" s="71"/>
      <c r="C64" s="347"/>
      <c r="D64" s="71"/>
      <c r="E64" s="71"/>
    </row>
    <row r="65" spans="1:5" x14ac:dyDescent="0.2">
      <c r="A65" s="345">
        <v>29494</v>
      </c>
      <c r="B65" s="71"/>
      <c r="C65" s="347"/>
      <c r="D65" s="71"/>
      <c r="E65" s="71"/>
    </row>
    <row r="66" spans="1:5" x14ac:dyDescent="0.2">
      <c r="A66" s="345">
        <v>29525</v>
      </c>
      <c r="B66" s="71"/>
      <c r="C66" s="347"/>
      <c r="D66" s="71"/>
      <c r="E66" s="71"/>
    </row>
    <row r="67" spans="1:5" x14ac:dyDescent="0.2">
      <c r="A67" s="345">
        <v>29555</v>
      </c>
      <c r="B67" s="71"/>
      <c r="C67" s="347"/>
      <c r="D67" s="71"/>
      <c r="E67" s="71"/>
    </row>
    <row r="68" spans="1:5" x14ac:dyDescent="0.2">
      <c r="A68" s="345">
        <v>29586</v>
      </c>
      <c r="B68" s="71"/>
      <c r="C68" s="347"/>
      <c r="D68" s="71"/>
      <c r="E68" s="71"/>
    </row>
    <row r="69" spans="1:5" x14ac:dyDescent="0.2">
      <c r="A69" s="345">
        <v>29617</v>
      </c>
      <c r="B69" s="71"/>
      <c r="C69" s="347"/>
      <c r="D69" s="71"/>
      <c r="E69" s="71"/>
    </row>
    <row r="70" spans="1:5" x14ac:dyDescent="0.2">
      <c r="A70" s="345">
        <v>29645</v>
      </c>
      <c r="B70" s="71"/>
      <c r="C70" s="347"/>
      <c r="D70" s="71"/>
      <c r="E70" s="71"/>
    </row>
    <row r="71" spans="1:5" x14ac:dyDescent="0.2">
      <c r="A71" s="345">
        <v>29676</v>
      </c>
      <c r="B71" s="71"/>
      <c r="C71" s="347"/>
      <c r="D71" s="71"/>
      <c r="E71" s="71"/>
    </row>
    <row r="72" spans="1:5" x14ac:dyDescent="0.2">
      <c r="A72" s="345">
        <v>29706</v>
      </c>
      <c r="B72" s="71"/>
      <c r="C72" s="347"/>
      <c r="D72" s="71"/>
      <c r="E72" s="71"/>
    </row>
    <row r="73" spans="1:5" x14ac:dyDescent="0.2">
      <c r="A73" s="345">
        <v>29737</v>
      </c>
      <c r="B73" s="71"/>
      <c r="C73" s="347"/>
      <c r="D73" s="71"/>
      <c r="E73" s="71"/>
    </row>
    <row r="74" spans="1:5" x14ac:dyDescent="0.2">
      <c r="A74" s="345">
        <v>29767</v>
      </c>
      <c r="B74" s="71"/>
      <c r="C74" s="347"/>
      <c r="D74" s="71"/>
      <c r="E74" s="71"/>
    </row>
    <row r="75" spans="1:5" x14ac:dyDescent="0.2">
      <c r="A75" s="345">
        <v>29798</v>
      </c>
      <c r="B75" s="71"/>
      <c r="C75" s="347"/>
      <c r="D75" s="71"/>
      <c r="E75" s="71"/>
    </row>
    <row r="76" spans="1:5" x14ac:dyDescent="0.2">
      <c r="A76" s="345">
        <v>29829</v>
      </c>
      <c r="B76" s="71"/>
      <c r="C76" s="347"/>
      <c r="D76" s="71"/>
      <c r="E76" s="71"/>
    </row>
    <row r="77" spans="1:5" x14ac:dyDescent="0.2">
      <c r="A77" s="345">
        <v>29859</v>
      </c>
      <c r="B77" s="71"/>
      <c r="C77" s="347"/>
      <c r="D77" s="71"/>
      <c r="E77" s="71"/>
    </row>
    <row r="78" spans="1:5" x14ac:dyDescent="0.2">
      <c r="A78" s="345">
        <v>29890</v>
      </c>
      <c r="B78" s="71"/>
      <c r="C78" s="347"/>
      <c r="D78" s="71"/>
      <c r="E78" s="71"/>
    </row>
    <row r="79" spans="1:5" x14ac:dyDescent="0.2">
      <c r="A79" s="345">
        <v>29920</v>
      </c>
      <c r="B79" s="71"/>
      <c r="C79" s="347"/>
      <c r="D79" s="71"/>
      <c r="E79" s="71"/>
    </row>
    <row r="80" spans="1:5" x14ac:dyDescent="0.2">
      <c r="A80" s="345">
        <v>29951</v>
      </c>
      <c r="B80" s="71"/>
      <c r="C80" s="347"/>
      <c r="D80" s="71"/>
      <c r="E80" s="71"/>
    </row>
    <row r="81" spans="1:5" x14ac:dyDescent="0.2">
      <c r="A81" s="345">
        <v>29982</v>
      </c>
      <c r="B81" s="71"/>
      <c r="C81" s="347"/>
      <c r="D81" s="71"/>
      <c r="E81" s="71"/>
    </row>
    <row r="82" spans="1:5" x14ac:dyDescent="0.2">
      <c r="A82" s="345">
        <v>30010</v>
      </c>
      <c r="B82" s="71"/>
      <c r="C82" s="347"/>
      <c r="D82" s="71"/>
      <c r="E82" s="71"/>
    </row>
    <row r="83" spans="1:5" x14ac:dyDescent="0.2">
      <c r="A83" s="345">
        <v>30041</v>
      </c>
      <c r="B83" s="71"/>
      <c r="C83" s="347"/>
      <c r="D83" s="71"/>
      <c r="E83" s="71"/>
    </row>
    <row r="84" spans="1:5" x14ac:dyDescent="0.2">
      <c r="A84" s="345">
        <v>30071</v>
      </c>
      <c r="B84" s="71"/>
      <c r="C84" s="347"/>
      <c r="D84" s="71"/>
      <c r="E84" s="71"/>
    </row>
    <row r="85" spans="1:5" x14ac:dyDescent="0.2">
      <c r="A85" s="345">
        <v>30102</v>
      </c>
      <c r="B85" s="71"/>
      <c r="C85" s="347"/>
      <c r="D85" s="71"/>
      <c r="E85" s="71"/>
    </row>
    <row r="86" spans="1:5" x14ac:dyDescent="0.2">
      <c r="A86" s="345">
        <v>30132</v>
      </c>
      <c r="B86" s="71"/>
      <c r="C86" s="347"/>
      <c r="D86" s="71"/>
      <c r="E86" s="71"/>
    </row>
    <row r="87" spans="1:5" x14ac:dyDescent="0.2">
      <c r="A87" s="345">
        <v>30163</v>
      </c>
      <c r="B87" s="71"/>
      <c r="C87" s="347"/>
      <c r="D87" s="71"/>
      <c r="E87" s="71"/>
    </row>
    <row r="88" spans="1:5" x14ac:dyDescent="0.2">
      <c r="A88" s="345">
        <v>30194</v>
      </c>
      <c r="B88" s="71"/>
      <c r="C88" s="347"/>
      <c r="D88" s="71"/>
      <c r="E88" s="71"/>
    </row>
    <row r="89" spans="1:5" x14ac:dyDescent="0.2">
      <c r="A89" s="345">
        <v>30224</v>
      </c>
      <c r="B89" s="71"/>
      <c r="C89" s="347"/>
      <c r="D89" s="71"/>
      <c r="E89" s="71"/>
    </row>
    <row r="90" spans="1:5" x14ac:dyDescent="0.2">
      <c r="A90" s="345">
        <v>30255</v>
      </c>
      <c r="B90" s="71"/>
      <c r="C90" s="347"/>
      <c r="D90" s="71"/>
      <c r="E90" s="71"/>
    </row>
    <row r="91" spans="1:5" x14ac:dyDescent="0.2">
      <c r="A91" s="345">
        <v>30285</v>
      </c>
      <c r="B91" s="71"/>
      <c r="C91" s="347"/>
      <c r="D91" s="71"/>
      <c r="E91" s="71"/>
    </row>
    <row r="92" spans="1:5" x14ac:dyDescent="0.2">
      <c r="A92" s="345">
        <v>30316</v>
      </c>
      <c r="B92" s="71"/>
      <c r="C92" s="347"/>
      <c r="D92" s="71"/>
      <c r="E92" s="71"/>
    </row>
    <row r="93" spans="1:5" x14ac:dyDescent="0.2">
      <c r="A93" s="345">
        <v>30347</v>
      </c>
      <c r="B93" s="71"/>
      <c r="C93" s="347"/>
      <c r="D93" s="71"/>
      <c r="E93" s="71"/>
    </row>
    <row r="94" spans="1:5" x14ac:dyDescent="0.2">
      <c r="A94" s="345">
        <v>30375</v>
      </c>
      <c r="B94" s="71"/>
      <c r="C94" s="347"/>
      <c r="D94" s="71"/>
      <c r="E94" s="71"/>
    </row>
    <row r="95" spans="1:5" x14ac:dyDescent="0.2">
      <c r="A95" s="345">
        <v>30406</v>
      </c>
      <c r="B95" s="71"/>
      <c r="C95" s="347"/>
      <c r="D95" s="71"/>
      <c r="E95" s="71"/>
    </row>
    <row r="96" spans="1:5" x14ac:dyDescent="0.2">
      <c r="A96" s="345">
        <v>30436</v>
      </c>
      <c r="B96" s="71"/>
      <c r="C96" s="347"/>
      <c r="D96" s="71"/>
      <c r="E96" s="71"/>
    </row>
    <row r="97" spans="1:5" x14ac:dyDescent="0.2">
      <c r="A97" s="345">
        <v>30467</v>
      </c>
      <c r="B97" s="71"/>
      <c r="C97" s="347"/>
      <c r="D97" s="71"/>
      <c r="E97" s="71"/>
    </row>
    <row r="98" spans="1:5" x14ac:dyDescent="0.2">
      <c r="A98" s="345">
        <v>30497</v>
      </c>
      <c r="B98" s="71"/>
      <c r="C98" s="347"/>
      <c r="D98" s="71"/>
      <c r="E98" s="71"/>
    </row>
    <row r="99" spans="1:5" x14ac:dyDescent="0.2">
      <c r="A99" s="345">
        <v>30528</v>
      </c>
      <c r="B99" s="71"/>
      <c r="C99" s="347"/>
      <c r="D99" s="71"/>
      <c r="E99" s="71"/>
    </row>
    <row r="100" spans="1:5" x14ac:dyDescent="0.2">
      <c r="A100" s="345">
        <v>30559</v>
      </c>
      <c r="B100" s="71"/>
      <c r="C100" s="347"/>
      <c r="D100" s="71"/>
      <c r="E100" s="71"/>
    </row>
    <row r="101" spans="1:5" x14ac:dyDescent="0.2">
      <c r="A101" s="345">
        <v>30589</v>
      </c>
      <c r="B101" s="71"/>
      <c r="C101" s="347"/>
      <c r="D101" s="71"/>
      <c r="E101" s="71"/>
    </row>
    <row r="102" spans="1:5" x14ac:dyDescent="0.2">
      <c r="A102" s="345">
        <v>30620</v>
      </c>
      <c r="B102" s="71"/>
      <c r="C102" s="347"/>
      <c r="D102" s="71"/>
      <c r="E102" s="71"/>
    </row>
    <row r="103" spans="1:5" x14ac:dyDescent="0.2">
      <c r="A103" s="345">
        <v>30650</v>
      </c>
      <c r="B103" s="71"/>
      <c r="C103" s="347"/>
      <c r="D103" s="71"/>
      <c r="E103" s="71"/>
    </row>
    <row r="104" spans="1:5" x14ac:dyDescent="0.2">
      <c r="A104" s="345">
        <v>30681</v>
      </c>
      <c r="B104" s="71"/>
      <c r="C104" s="347"/>
      <c r="D104" s="71"/>
      <c r="E104" s="71"/>
    </row>
    <row r="105" spans="1:5" x14ac:dyDescent="0.2">
      <c r="A105" s="345">
        <v>30712</v>
      </c>
      <c r="B105" s="71"/>
      <c r="C105" s="347"/>
      <c r="D105" s="71"/>
      <c r="E105" s="71"/>
    </row>
    <row r="106" spans="1:5" x14ac:dyDescent="0.2">
      <c r="A106" s="345">
        <v>30741</v>
      </c>
      <c r="B106" s="71"/>
      <c r="C106" s="347"/>
      <c r="D106" s="71"/>
      <c r="E106" s="71"/>
    </row>
    <row r="107" spans="1:5" x14ac:dyDescent="0.2">
      <c r="A107" s="345">
        <v>30772</v>
      </c>
      <c r="B107" s="71"/>
      <c r="C107" s="347"/>
      <c r="D107" s="71"/>
      <c r="E107" s="71"/>
    </row>
    <row r="108" spans="1:5" x14ac:dyDescent="0.2">
      <c r="A108" s="345">
        <v>30802</v>
      </c>
      <c r="B108" s="71"/>
      <c r="C108" s="347"/>
      <c r="D108" s="71"/>
      <c r="E108" s="71"/>
    </row>
    <row r="109" spans="1:5" x14ac:dyDescent="0.2">
      <c r="A109" s="345">
        <v>30833</v>
      </c>
      <c r="B109" s="71"/>
      <c r="C109" s="347"/>
      <c r="D109" s="71"/>
      <c r="E109" s="71"/>
    </row>
    <row r="110" spans="1:5" x14ac:dyDescent="0.2">
      <c r="A110" s="345">
        <v>30863</v>
      </c>
      <c r="B110" s="71"/>
      <c r="C110" s="347"/>
      <c r="D110" s="71"/>
      <c r="E110" s="71"/>
    </row>
    <row r="111" spans="1:5" x14ac:dyDescent="0.2">
      <c r="A111" s="345">
        <v>30894</v>
      </c>
      <c r="B111" s="71"/>
      <c r="C111" s="347"/>
      <c r="D111" s="71"/>
      <c r="E111" s="71"/>
    </row>
    <row r="112" spans="1:5" x14ac:dyDescent="0.2">
      <c r="A112" s="345">
        <v>30925</v>
      </c>
      <c r="B112" s="71"/>
      <c r="C112" s="347"/>
      <c r="D112" s="71"/>
      <c r="E112" s="71"/>
    </row>
    <row r="113" spans="1:5" x14ac:dyDescent="0.2">
      <c r="A113" s="345">
        <v>30955</v>
      </c>
      <c r="B113" s="71"/>
      <c r="C113" s="347"/>
      <c r="D113" s="71"/>
      <c r="E113" s="71"/>
    </row>
    <row r="114" spans="1:5" x14ac:dyDescent="0.2">
      <c r="A114" s="345">
        <v>30986</v>
      </c>
      <c r="B114" s="71"/>
      <c r="C114" s="347"/>
      <c r="D114" s="71"/>
      <c r="E114" s="71"/>
    </row>
    <row r="115" spans="1:5" x14ac:dyDescent="0.2">
      <c r="A115" s="345">
        <v>31016</v>
      </c>
      <c r="B115" s="71"/>
      <c r="C115" s="347"/>
      <c r="D115" s="71"/>
      <c r="E115" s="71"/>
    </row>
    <row r="116" spans="1:5" x14ac:dyDescent="0.2">
      <c r="A116" s="345">
        <v>31047</v>
      </c>
      <c r="B116" s="71"/>
      <c r="C116" s="347"/>
      <c r="D116" s="71"/>
      <c r="E116" s="71"/>
    </row>
    <row r="117" spans="1:5" x14ac:dyDescent="0.2">
      <c r="A117" s="345">
        <v>31078</v>
      </c>
      <c r="B117" s="71"/>
      <c r="C117" s="347"/>
      <c r="D117" s="71"/>
      <c r="E117" s="71"/>
    </row>
    <row r="118" spans="1:5" x14ac:dyDescent="0.2">
      <c r="A118" s="345">
        <v>31106</v>
      </c>
      <c r="B118" s="71"/>
      <c r="C118" s="347"/>
      <c r="D118" s="71"/>
      <c r="E118" s="71"/>
    </row>
    <row r="119" spans="1:5" x14ac:dyDescent="0.2">
      <c r="A119" s="345">
        <v>31137</v>
      </c>
      <c r="B119" s="71"/>
      <c r="C119" s="347"/>
      <c r="D119" s="71"/>
      <c r="E119" s="71"/>
    </row>
    <row r="120" spans="1:5" x14ac:dyDescent="0.2">
      <c r="A120" s="345">
        <v>31167</v>
      </c>
      <c r="B120" s="71"/>
      <c r="C120" s="347"/>
      <c r="D120" s="71"/>
      <c r="E120" s="71"/>
    </row>
    <row r="121" spans="1:5" x14ac:dyDescent="0.2">
      <c r="A121" s="345">
        <v>31198</v>
      </c>
      <c r="B121" s="71"/>
      <c r="C121" s="347"/>
      <c r="D121" s="71"/>
      <c r="E121" s="71"/>
    </row>
    <row r="122" spans="1:5" x14ac:dyDescent="0.2">
      <c r="A122" s="345">
        <v>31228</v>
      </c>
      <c r="B122" s="71"/>
      <c r="C122" s="347"/>
      <c r="D122" s="71"/>
      <c r="E122" s="71"/>
    </row>
    <row r="123" spans="1:5" x14ac:dyDescent="0.2">
      <c r="A123" s="345">
        <v>31259</v>
      </c>
      <c r="B123" s="71"/>
      <c r="C123" s="347"/>
      <c r="D123" s="71"/>
      <c r="E123" s="71"/>
    </row>
    <row r="124" spans="1:5" x14ac:dyDescent="0.2">
      <c r="A124" s="345">
        <v>31290</v>
      </c>
      <c r="B124" s="71"/>
      <c r="C124" s="347"/>
      <c r="D124" s="71"/>
      <c r="E124" s="71"/>
    </row>
    <row r="125" spans="1:5" x14ac:dyDescent="0.2">
      <c r="A125" s="345">
        <v>31320</v>
      </c>
      <c r="B125" s="71"/>
      <c r="C125" s="347"/>
      <c r="D125" s="71"/>
      <c r="E125" s="71"/>
    </row>
    <row r="126" spans="1:5" x14ac:dyDescent="0.2">
      <c r="A126" s="345">
        <v>31351</v>
      </c>
      <c r="B126" s="71"/>
      <c r="C126" s="347"/>
      <c r="D126" s="71"/>
      <c r="E126" s="71"/>
    </row>
    <row r="127" spans="1:5" x14ac:dyDescent="0.2">
      <c r="A127" s="345">
        <v>31381</v>
      </c>
      <c r="B127" s="71"/>
      <c r="C127" s="347"/>
      <c r="D127" s="71"/>
      <c r="E127" s="71"/>
    </row>
    <row r="128" spans="1:5" x14ac:dyDescent="0.2">
      <c r="A128" s="345">
        <v>31412</v>
      </c>
      <c r="B128" s="71"/>
      <c r="C128" s="347"/>
      <c r="D128" s="71"/>
      <c r="E128" s="71"/>
    </row>
    <row r="129" spans="1:5" x14ac:dyDescent="0.2">
      <c r="A129" s="345">
        <v>31443</v>
      </c>
      <c r="B129" s="71"/>
      <c r="C129" s="347"/>
      <c r="D129" s="71"/>
      <c r="E129" s="71"/>
    </row>
    <row r="130" spans="1:5" x14ac:dyDescent="0.2">
      <c r="A130" s="345">
        <v>31471</v>
      </c>
      <c r="B130" s="71"/>
      <c r="C130" s="347"/>
      <c r="D130" s="71"/>
      <c r="E130" s="71"/>
    </row>
    <row r="131" spans="1:5" x14ac:dyDescent="0.2">
      <c r="A131" s="345">
        <v>31502</v>
      </c>
      <c r="B131" s="71"/>
      <c r="C131" s="347"/>
      <c r="D131" s="71"/>
      <c r="E131" s="71"/>
    </row>
    <row r="132" spans="1:5" x14ac:dyDescent="0.2">
      <c r="A132" s="345">
        <v>31532</v>
      </c>
      <c r="B132" s="71"/>
      <c r="C132" s="347"/>
      <c r="D132" s="71"/>
      <c r="E132" s="71"/>
    </row>
    <row r="133" spans="1:5" x14ac:dyDescent="0.2">
      <c r="A133" s="345">
        <v>31563</v>
      </c>
      <c r="B133" s="71"/>
      <c r="C133" s="347"/>
      <c r="D133" s="71"/>
      <c r="E133" s="71"/>
    </row>
    <row r="134" spans="1:5" x14ac:dyDescent="0.2">
      <c r="A134" s="345">
        <v>31593</v>
      </c>
      <c r="B134" s="71"/>
      <c r="C134" s="347"/>
      <c r="D134" s="71"/>
      <c r="E134" s="71"/>
    </row>
    <row r="135" spans="1:5" x14ac:dyDescent="0.2">
      <c r="A135" s="345">
        <v>31624</v>
      </c>
      <c r="B135" s="71"/>
      <c r="C135" s="347"/>
      <c r="D135" s="71"/>
      <c r="E135" s="71"/>
    </row>
    <row r="136" spans="1:5" x14ac:dyDescent="0.2">
      <c r="A136" s="345">
        <v>31655</v>
      </c>
      <c r="B136" s="71"/>
      <c r="C136" s="347"/>
      <c r="D136" s="71"/>
      <c r="E136" s="71"/>
    </row>
    <row r="137" spans="1:5" x14ac:dyDescent="0.2">
      <c r="A137" s="345">
        <v>31685</v>
      </c>
      <c r="B137" s="71"/>
      <c r="C137" s="347"/>
      <c r="D137" s="71"/>
      <c r="E137" s="71"/>
    </row>
    <row r="138" spans="1:5" x14ac:dyDescent="0.2">
      <c r="A138" s="345">
        <v>31716</v>
      </c>
      <c r="B138" s="71"/>
      <c r="C138" s="347"/>
      <c r="D138" s="71"/>
      <c r="E138" s="71"/>
    </row>
    <row r="139" spans="1:5" x14ac:dyDescent="0.2">
      <c r="A139" s="345">
        <v>31746</v>
      </c>
      <c r="B139" s="71"/>
      <c r="C139" s="347"/>
      <c r="D139" s="71"/>
      <c r="E139" s="71"/>
    </row>
    <row r="140" spans="1:5" x14ac:dyDescent="0.2">
      <c r="A140" s="345">
        <v>31777</v>
      </c>
      <c r="B140" s="71"/>
      <c r="C140" s="347"/>
      <c r="D140" s="71"/>
      <c r="E140" s="71"/>
    </row>
    <row r="141" spans="1:5" x14ac:dyDescent="0.2">
      <c r="A141" s="345">
        <v>31808</v>
      </c>
      <c r="B141" s="73"/>
      <c r="C141" s="30"/>
      <c r="D141" s="73"/>
    </row>
    <row r="142" spans="1:5" x14ac:dyDescent="0.2">
      <c r="A142" s="345">
        <v>31836</v>
      </c>
      <c r="B142" s="73"/>
      <c r="C142" s="30"/>
      <c r="D142" s="73"/>
    </row>
    <row r="143" spans="1:5" x14ac:dyDescent="0.2">
      <c r="A143" s="345">
        <v>31867</v>
      </c>
      <c r="B143" s="73"/>
      <c r="C143" s="30"/>
      <c r="D143" s="73"/>
    </row>
    <row r="144" spans="1:5" x14ac:dyDescent="0.2">
      <c r="A144" s="345">
        <v>31897</v>
      </c>
      <c r="B144" s="73"/>
      <c r="C144" s="30"/>
      <c r="D144" s="73"/>
    </row>
    <row r="145" spans="1:4" x14ac:dyDescent="0.2">
      <c r="A145" s="345">
        <v>31928</v>
      </c>
      <c r="B145" s="73"/>
      <c r="C145" s="30"/>
      <c r="D145" s="73"/>
    </row>
    <row r="146" spans="1:4" x14ac:dyDescent="0.2">
      <c r="A146" s="345">
        <v>31958</v>
      </c>
      <c r="B146" s="73"/>
      <c r="C146" s="30"/>
      <c r="D146" s="73"/>
    </row>
    <row r="147" spans="1:4" x14ac:dyDescent="0.2">
      <c r="A147" s="345">
        <v>31989</v>
      </c>
      <c r="B147" s="73"/>
      <c r="C147" s="30"/>
      <c r="D147" s="73"/>
    </row>
    <row r="148" spans="1:4" x14ac:dyDescent="0.2">
      <c r="A148" s="345">
        <v>32020</v>
      </c>
      <c r="B148" s="73"/>
      <c r="C148" s="30"/>
      <c r="D148" s="73"/>
    </row>
    <row r="149" spans="1:4" x14ac:dyDescent="0.2">
      <c r="A149" s="345">
        <v>32050</v>
      </c>
      <c r="B149" s="73"/>
      <c r="C149" s="30"/>
      <c r="D149" s="73"/>
    </row>
    <row r="150" spans="1:4" x14ac:dyDescent="0.2">
      <c r="A150" s="345">
        <v>32081</v>
      </c>
      <c r="B150" s="73"/>
      <c r="C150" s="30"/>
      <c r="D150" s="73"/>
    </row>
    <row r="151" spans="1:4" x14ac:dyDescent="0.2">
      <c r="A151" s="345">
        <v>32111</v>
      </c>
      <c r="B151" s="73"/>
      <c r="C151" s="30"/>
      <c r="D151" s="73"/>
    </row>
    <row r="152" spans="1:4" x14ac:dyDescent="0.2">
      <c r="A152" s="345">
        <v>32142</v>
      </c>
      <c r="B152" s="73"/>
      <c r="C152" s="30"/>
      <c r="D152" s="73"/>
    </row>
    <row r="153" spans="1:4" x14ac:dyDescent="0.2">
      <c r="A153" s="345">
        <v>32173</v>
      </c>
      <c r="B153" s="73"/>
      <c r="C153" s="30"/>
      <c r="D153" s="73"/>
    </row>
    <row r="154" spans="1:4" x14ac:dyDescent="0.2">
      <c r="A154" s="345">
        <v>32202</v>
      </c>
      <c r="B154" s="73"/>
      <c r="C154" s="30"/>
      <c r="D154" s="73"/>
    </row>
    <row r="155" spans="1:4" x14ac:dyDescent="0.2">
      <c r="A155" s="345">
        <v>32233</v>
      </c>
      <c r="B155" s="73"/>
      <c r="C155" s="30"/>
      <c r="D155" s="73"/>
    </row>
    <row r="156" spans="1:4" x14ac:dyDescent="0.2">
      <c r="A156" s="345">
        <v>32263</v>
      </c>
      <c r="B156" s="73"/>
      <c r="C156" s="30"/>
      <c r="D156" s="73"/>
    </row>
    <row r="157" spans="1:4" x14ac:dyDescent="0.2">
      <c r="A157" s="345">
        <v>32294</v>
      </c>
      <c r="B157" s="73"/>
      <c r="C157" s="30"/>
      <c r="D157" s="73"/>
    </row>
    <row r="158" spans="1:4" x14ac:dyDescent="0.2">
      <c r="A158" s="345">
        <v>32324</v>
      </c>
      <c r="B158" s="73"/>
      <c r="C158" s="30"/>
      <c r="D158" s="73"/>
    </row>
    <row r="159" spans="1:4" x14ac:dyDescent="0.2">
      <c r="A159" s="345">
        <v>32355</v>
      </c>
      <c r="B159" s="73"/>
      <c r="C159" s="30"/>
      <c r="D159" s="73"/>
    </row>
    <row r="160" spans="1:4" x14ac:dyDescent="0.2">
      <c r="A160" s="345">
        <v>32386</v>
      </c>
      <c r="B160" s="73"/>
      <c r="C160" s="30"/>
      <c r="D160" s="73"/>
    </row>
    <row r="161" spans="1:4" x14ac:dyDescent="0.2">
      <c r="A161" s="345">
        <v>32416</v>
      </c>
      <c r="B161" s="73"/>
      <c r="C161" s="30"/>
      <c r="D161" s="73"/>
    </row>
    <row r="162" spans="1:4" x14ac:dyDescent="0.2">
      <c r="A162" s="345">
        <v>32447</v>
      </c>
      <c r="B162" s="73"/>
      <c r="C162" s="30"/>
      <c r="D162" s="73"/>
    </row>
    <row r="163" spans="1:4" x14ac:dyDescent="0.2">
      <c r="A163" s="345">
        <v>32477</v>
      </c>
      <c r="B163" s="73"/>
      <c r="C163" s="30"/>
      <c r="D163" s="73"/>
    </row>
    <row r="164" spans="1:4" x14ac:dyDescent="0.2">
      <c r="A164" s="345">
        <v>32508</v>
      </c>
      <c r="B164" s="73"/>
      <c r="C164" s="30"/>
      <c r="D164" s="73"/>
    </row>
    <row r="165" spans="1:4" x14ac:dyDescent="0.2">
      <c r="A165" s="345">
        <v>32539</v>
      </c>
      <c r="B165" s="73"/>
      <c r="C165" s="30"/>
      <c r="D165" s="73"/>
    </row>
    <row r="166" spans="1:4" x14ac:dyDescent="0.2">
      <c r="A166" s="345">
        <v>32567</v>
      </c>
      <c r="B166" s="73"/>
      <c r="C166" s="30"/>
      <c r="D166" s="73"/>
    </row>
    <row r="167" spans="1:4" x14ac:dyDescent="0.2">
      <c r="A167" s="345">
        <v>32598</v>
      </c>
      <c r="B167" s="73"/>
      <c r="C167" s="30"/>
      <c r="D167" s="73"/>
    </row>
    <row r="168" spans="1:4" x14ac:dyDescent="0.2">
      <c r="A168" s="345">
        <v>32628</v>
      </c>
      <c r="B168" s="73"/>
      <c r="C168" s="30"/>
      <c r="D168" s="73"/>
    </row>
    <row r="169" spans="1:4" x14ac:dyDescent="0.2">
      <c r="A169" s="345">
        <v>32659</v>
      </c>
      <c r="B169" s="73"/>
      <c r="C169" s="30"/>
      <c r="D169" s="73"/>
    </row>
    <row r="170" spans="1:4" x14ac:dyDescent="0.2">
      <c r="A170" s="345">
        <v>32689</v>
      </c>
      <c r="B170" s="73"/>
      <c r="C170" s="30"/>
      <c r="D170" s="73"/>
    </row>
    <row r="171" spans="1:4" x14ac:dyDescent="0.2">
      <c r="A171" s="345">
        <v>32720</v>
      </c>
      <c r="B171" s="73"/>
      <c r="C171" s="30"/>
      <c r="D171" s="73"/>
    </row>
    <row r="172" spans="1:4" x14ac:dyDescent="0.2">
      <c r="A172" s="345">
        <v>32751</v>
      </c>
      <c r="B172" s="73"/>
      <c r="C172" s="30"/>
      <c r="D172" s="73"/>
    </row>
    <row r="173" spans="1:4" x14ac:dyDescent="0.2">
      <c r="A173" s="345">
        <v>32781</v>
      </c>
      <c r="B173" s="73"/>
      <c r="C173" s="30"/>
      <c r="D173" s="73"/>
    </row>
    <row r="174" spans="1:4" x14ac:dyDescent="0.2">
      <c r="A174" s="345">
        <v>32812</v>
      </c>
      <c r="B174" s="73"/>
      <c r="C174" s="30"/>
      <c r="D174" s="73"/>
    </row>
    <row r="175" spans="1:4" x14ac:dyDescent="0.2">
      <c r="A175" s="345">
        <v>32842</v>
      </c>
      <c r="B175" s="73"/>
      <c r="C175" s="30"/>
      <c r="D175" s="73"/>
    </row>
    <row r="176" spans="1:4" x14ac:dyDescent="0.2">
      <c r="A176" s="345">
        <v>32873</v>
      </c>
      <c r="B176" s="73"/>
      <c r="C176" s="30"/>
      <c r="D176" s="73"/>
    </row>
    <row r="177" spans="1:4" x14ac:dyDescent="0.2">
      <c r="A177" s="345">
        <v>32904</v>
      </c>
      <c r="B177" s="73"/>
      <c r="C177" s="30"/>
      <c r="D177" s="73"/>
    </row>
    <row r="178" spans="1:4" x14ac:dyDescent="0.2">
      <c r="A178" s="345">
        <v>32932</v>
      </c>
      <c r="B178" s="73"/>
      <c r="C178" s="30"/>
      <c r="D178" s="73"/>
    </row>
    <row r="179" spans="1:4" x14ac:dyDescent="0.2">
      <c r="A179" s="345">
        <v>32963</v>
      </c>
      <c r="B179" s="73"/>
      <c r="C179" s="30"/>
      <c r="D179" s="73"/>
    </row>
    <row r="180" spans="1:4" x14ac:dyDescent="0.2">
      <c r="A180" s="345">
        <v>32993</v>
      </c>
      <c r="B180" s="73"/>
      <c r="C180" s="30"/>
      <c r="D180" s="73"/>
    </row>
    <row r="181" spans="1:4" x14ac:dyDescent="0.2">
      <c r="A181" s="345">
        <v>33024</v>
      </c>
      <c r="B181" s="73"/>
      <c r="C181" s="30"/>
      <c r="D181" s="73"/>
    </row>
    <row r="182" spans="1:4" x14ac:dyDescent="0.2">
      <c r="A182" s="345">
        <v>33054</v>
      </c>
      <c r="B182" s="73"/>
      <c r="C182" s="30"/>
      <c r="D182" s="73"/>
    </row>
    <row r="183" spans="1:4" x14ac:dyDescent="0.2">
      <c r="A183" s="345">
        <v>33085</v>
      </c>
      <c r="B183" s="73"/>
      <c r="C183" s="30"/>
      <c r="D183" s="73"/>
    </row>
    <row r="184" spans="1:4" x14ac:dyDescent="0.2">
      <c r="A184" s="345">
        <v>33116</v>
      </c>
      <c r="B184" s="73"/>
      <c r="C184" s="30"/>
      <c r="D184" s="73"/>
    </row>
    <row r="185" spans="1:4" x14ac:dyDescent="0.2">
      <c r="A185" s="345">
        <v>33146</v>
      </c>
      <c r="B185" s="73"/>
      <c r="C185" s="30"/>
      <c r="D185" s="73"/>
    </row>
    <row r="186" spans="1:4" x14ac:dyDescent="0.2">
      <c r="A186" s="345">
        <v>33177</v>
      </c>
      <c r="B186" s="73"/>
      <c r="C186" s="30"/>
      <c r="D186" s="73"/>
    </row>
    <row r="187" spans="1:4" x14ac:dyDescent="0.2">
      <c r="A187" s="345">
        <v>33207</v>
      </c>
      <c r="B187" s="73"/>
      <c r="C187" s="30"/>
      <c r="D187" s="73"/>
    </row>
    <row r="188" spans="1:4" x14ac:dyDescent="0.2">
      <c r="A188" s="345">
        <v>33238</v>
      </c>
      <c r="B188" s="73"/>
      <c r="C188" s="30"/>
      <c r="D188" s="73"/>
    </row>
    <row r="189" spans="1:4" x14ac:dyDescent="0.2">
      <c r="A189" s="345">
        <v>33269</v>
      </c>
      <c r="B189" s="73"/>
      <c r="C189" s="30"/>
      <c r="D189" s="73"/>
    </row>
    <row r="190" spans="1:4" x14ac:dyDescent="0.2">
      <c r="A190" s="345">
        <v>33297</v>
      </c>
      <c r="B190" s="73"/>
      <c r="C190" s="30"/>
      <c r="D190" s="73"/>
    </row>
    <row r="191" spans="1:4" x14ac:dyDescent="0.2">
      <c r="A191" s="345">
        <v>33328</v>
      </c>
      <c r="B191" s="73"/>
      <c r="C191" s="30"/>
      <c r="D191" s="73"/>
    </row>
    <row r="192" spans="1:4" x14ac:dyDescent="0.2">
      <c r="A192" s="345">
        <v>33358</v>
      </c>
      <c r="B192" s="73"/>
      <c r="C192" s="30"/>
      <c r="D192" s="73"/>
    </row>
    <row r="193" spans="1:4" x14ac:dyDescent="0.2">
      <c r="A193" s="345">
        <v>33389</v>
      </c>
      <c r="B193" s="73"/>
      <c r="C193" s="30"/>
      <c r="D193" s="73"/>
    </row>
    <row r="194" spans="1:4" x14ac:dyDescent="0.2">
      <c r="A194" s="345">
        <v>33419</v>
      </c>
      <c r="B194" s="73"/>
      <c r="C194" s="30"/>
      <c r="D194" s="73"/>
    </row>
    <row r="195" spans="1:4" x14ac:dyDescent="0.2">
      <c r="A195" s="345">
        <v>33450</v>
      </c>
      <c r="B195" s="73"/>
      <c r="C195" s="30"/>
      <c r="D195" s="73"/>
    </row>
    <row r="196" spans="1:4" x14ac:dyDescent="0.2">
      <c r="A196" s="345">
        <v>33481</v>
      </c>
      <c r="B196" s="73"/>
      <c r="C196" s="30"/>
      <c r="D196" s="73"/>
    </row>
    <row r="197" spans="1:4" x14ac:dyDescent="0.2">
      <c r="A197" s="345">
        <v>33511</v>
      </c>
      <c r="B197" s="73"/>
      <c r="C197" s="30"/>
      <c r="D197" s="73"/>
    </row>
    <row r="198" spans="1:4" x14ac:dyDescent="0.2">
      <c r="A198" s="345">
        <v>33542</v>
      </c>
      <c r="B198" s="73"/>
      <c r="C198" s="30"/>
      <c r="D198" s="73"/>
    </row>
    <row r="199" spans="1:4" x14ac:dyDescent="0.2">
      <c r="A199" s="345">
        <v>33572</v>
      </c>
      <c r="B199" s="73"/>
      <c r="C199" s="30"/>
      <c r="D199" s="73"/>
    </row>
    <row r="200" spans="1:4" x14ac:dyDescent="0.2">
      <c r="A200" s="345">
        <v>33603</v>
      </c>
      <c r="B200" s="73"/>
      <c r="C200" s="30"/>
      <c r="D200" s="73"/>
    </row>
    <row r="201" spans="1:4" x14ac:dyDescent="0.2">
      <c r="A201" s="345">
        <v>33634</v>
      </c>
      <c r="B201" s="73"/>
      <c r="C201" s="30"/>
      <c r="D201" s="73"/>
    </row>
    <row r="202" spans="1:4" x14ac:dyDescent="0.2">
      <c r="A202" s="345">
        <v>33663</v>
      </c>
      <c r="B202" s="73"/>
      <c r="C202" s="30"/>
      <c r="D202" s="73"/>
    </row>
    <row r="203" spans="1:4" x14ac:dyDescent="0.2">
      <c r="A203" s="345">
        <v>33694</v>
      </c>
      <c r="B203" s="73"/>
      <c r="C203" s="30"/>
      <c r="D203" s="73"/>
    </row>
    <row r="204" spans="1:4" x14ac:dyDescent="0.2">
      <c r="A204" s="345">
        <v>33724</v>
      </c>
      <c r="B204" s="73"/>
      <c r="C204" s="30"/>
      <c r="D204" s="73"/>
    </row>
    <row r="205" spans="1:4" x14ac:dyDescent="0.2">
      <c r="A205" s="345">
        <v>33755</v>
      </c>
      <c r="B205" s="73"/>
      <c r="C205" s="30"/>
      <c r="D205" s="73"/>
    </row>
    <row r="206" spans="1:4" x14ac:dyDescent="0.2">
      <c r="A206" s="345">
        <v>33785</v>
      </c>
      <c r="B206" s="73"/>
      <c r="C206" s="30"/>
      <c r="D206" s="73"/>
    </row>
    <row r="207" spans="1:4" x14ac:dyDescent="0.2">
      <c r="A207" s="345">
        <v>33816</v>
      </c>
      <c r="B207" s="73"/>
      <c r="C207" s="30"/>
      <c r="D207" s="73"/>
    </row>
    <row r="208" spans="1:4" x14ac:dyDescent="0.2">
      <c r="A208" s="345">
        <v>33847</v>
      </c>
      <c r="B208" s="73"/>
      <c r="C208" s="30"/>
      <c r="D208" s="73"/>
    </row>
    <row r="209" spans="1:4" x14ac:dyDescent="0.2">
      <c r="A209" s="345">
        <v>33877</v>
      </c>
      <c r="B209" s="73"/>
      <c r="C209" s="30"/>
      <c r="D209" s="77"/>
    </row>
    <row r="210" spans="1:4" x14ac:dyDescent="0.2">
      <c r="A210" s="345">
        <v>33908</v>
      </c>
      <c r="B210" s="73"/>
      <c r="C210" s="30"/>
      <c r="D210" s="77"/>
    </row>
    <row r="211" spans="1:4" x14ac:dyDescent="0.2">
      <c r="A211" s="345">
        <v>33938</v>
      </c>
      <c r="B211" s="73"/>
      <c r="C211" s="30"/>
      <c r="D211" s="77"/>
    </row>
    <row r="212" spans="1:4" x14ac:dyDescent="0.2">
      <c r="A212" s="345">
        <v>33969</v>
      </c>
      <c r="B212" s="73"/>
      <c r="C212" s="30"/>
      <c r="D212" s="77"/>
    </row>
    <row r="213" spans="1:4" x14ac:dyDescent="0.2">
      <c r="A213" s="345">
        <v>34000</v>
      </c>
      <c r="B213" s="73"/>
      <c r="C213" s="30"/>
      <c r="D213" s="77"/>
    </row>
    <row r="214" spans="1:4" x14ac:dyDescent="0.2">
      <c r="A214" s="345">
        <v>34028</v>
      </c>
      <c r="B214" s="73"/>
      <c r="C214" s="30"/>
      <c r="D214" s="77"/>
    </row>
    <row r="215" spans="1:4" x14ac:dyDescent="0.2">
      <c r="A215" s="345">
        <v>34059</v>
      </c>
      <c r="B215" s="73"/>
      <c r="C215" s="30"/>
      <c r="D215" s="77"/>
    </row>
    <row r="216" spans="1:4" x14ac:dyDescent="0.2">
      <c r="A216" s="345">
        <v>34089</v>
      </c>
      <c r="B216" s="73"/>
      <c r="C216" s="30"/>
      <c r="D216" s="77"/>
    </row>
    <row r="217" spans="1:4" x14ac:dyDescent="0.2">
      <c r="A217" s="345">
        <v>34120</v>
      </c>
      <c r="B217" s="73"/>
      <c r="C217" s="30"/>
      <c r="D217" s="77"/>
    </row>
    <row r="218" spans="1:4" x14ac:dyDescent="0.2">
      <c r="A218" s="345">
        <v>34150</v>
      </c>
      <c r="B218" s="73"/>
      <c r="C218" s="30"/>
      <c r="D218" s="77"/>
    </row>
    <row r="219" spans="1:4" x14ac:dyDescent="0.2">
      <c r="A219" s="345">
        <v>34181</v>
      </c>
      <c r="B219" s="77"/>
      <c r="C219" s="30"/>
      <c r="D219" s="77"/>
    </row>
    <row r="220" spans="1:4" x14ac:dyDescent="0.2">
      <c r="A220" s="345">
        <v>34212</v>
      </c>
      <c r="B220" s="77"/>
      <c r="C220" s="30"/>
      <c r="D220" s="77"/>
    </row>
    <row r="221" spans="1:4" x14ac:dyDescent="0.2">
      <c r="A221" s="345">
        <v>34242</v>
      </c>
      <c r="B221" s="77"/>
      <c r="C221" s="30"/>
      <c r="D221" s="77"/>
    </row>
    <row r="222" spans="1:4" x14ac:dyDescent="0.2">
      <c r="A222" s="345">
        <v>34273</v>
      </c>
      <c r="B222" s="77"/>
      <c r="C222" s="30"/>
      <c r="D222" s="77"/>
    </row>
    <row r="223" spans="1:4" x14ac:dyDescent="0.2">
      <c r="A223" s="345">
        <v>34303</v>
      </c>
      <c r="B223" s="77"/>
      <c r="C223" s="30"/>
      <c r="D223" s="77"/>
    </row>
    <row r="224" spans="1:4" x14ac:dyDescent="0.2">
      <c r="A224" s="345">
        <v>34334</v>
      </c>
      <c r="B224" s="77"/>
      <c r="C224" s="30"/>
      <c r="D224" s="77"/>
    </row>
    <row r="225" spans="1:4" x14ac:dyDescent="0.2">
      <c r="A225" s="345">
        <v>34365</v>
      </c>
      <c r="B225" s="77"/>
      <c r="C225" s="30"/>
      <c r="D225" s="77"/>
    </row>
    <row r="226" spans="1:4" x14ac:dyDescent="0.2">
      <c r="A226" s="345">
        <v>34393</v>
      </c>
      <c r="B226" s="77"/>
      <c r="C226" s="30"/>
      <c r="D226" s="77"/>
    </row>
    <row r="227" spans="1:4" x14ac:dyDescent="0.2">
      <c r="A227" s="345">
        <v>34424</v>
      </c>
      <c r="B227" s="77"/>
      <c r="C227" s="30"/>
      <c r="D227" s="77"/>
    </row>
    <row r="228" spans="1:4" x14ac:dyDescent="0.2">
      <c r="A228" s="345">
        <v>34454</v>
      </c>
      <c r="B228" s="77"/>
      <c r="C228" s="30"/>
      <c r="D228" s="77"/>
    </row>
    <row r="229" spans="1:4" x14ac:dyDescent="0.2">
      <c r="A229" s="345">
        <v>34485</v>
      </c>
      <c r="B229" s="77"/>
      <c r="C229" s="30"/>
      <c r="D229" s="77"/>
    </row>
    <row r="230" spans="1:4" x14ac:dyDescent="0.2">
      <c r="A230" s="345">
        <v>34515</v>
      </c>
      <c r="B230" s="77"/>
      <c r="C230" s="30"/>
      <c r="D230" s="77"/>
    </row>
    <row r="231" spans="1:4" x14ac:dyDescent="0.2">
      <c r="A231" s="345">
        <v>34546</v>
      </c>
      <c r="B231" s="77"/>
      <c r="C231" s="30"/>
      <c r="D231" s="77"/>
    </row>
    <row r="232" spans="1:4" x14ac:dyDescent="0.2">
      <c r="A232" s="345">
        <v>34577</v>
      </c>
      <c r="B232" s="77"/>
      <c r="C232" s="30"/>
      <c r="D232" s="77"/>
    </row>
    <row r="233" spans="1:4" x14ac:dyDescent="0.2">
      <c r="A233" s="345">
        <v>34607</v>
      </c>
      <c r="B233" s="77"/>
      <c r="C233" s="30"/>
      <c r="D233" s="77"/>
    </row>
    <row r="234" spans="1:4" x14ac:dyDescent="0.2">
      <c r="A234" s="345">
        <v>34638</v>
      </c>
      <c r="B234" s="77"/>
      <c r="C234" s="30"/>
      <c r="D234" s="77"/>
    </row>
    <row r="235" spans="1:4" x14ac:dyDescent="0.2">
      <c r="A235" s="345">
        <v>34668</v>
      </c>
      <c r="B235" s="77"/>
      <c r="C235" s="30"/>
      <c r="D235" s="77"/>
    </row>
    <row r="236" spans="1:4" x14ac:dyDescent="0.2">
      <c r="A236" s="345">
        <v>34699</v>
      </c>
      <c r="B236" s="77"/>
      <c r="C236" s="30"/>
      <c r="D236" s="77"/>
    </row>
    <row r="237" spans="1:4" x14ac:dyDescent="0.2">
      <c r="A237" s="345">
        <v>34730</v>
      </c>
      <c r="B237" s="77"/>
      <c r="C237" s="30"/>
      <c r="D237" s="77"/>
    </row>
    <row r="238" spans="1:4" x14ac:dyDescent="0.2">
      <c r="A238" s="345">
        <v>34758</v>
      </c>
      <c r="B238" s="77"/>
      <c r="C238" s="30"/>
      <c r="D238" s="77"/>
    </row>
    <row r="239" spans="1:4" x14ac:dyDescent="0.2">
      <c r="A239" s="345">
        <v>34789</v>
      </c>
      <c r="B239" s="77"/>
      <c r="C239" s="30"/>
      <c r="D239" s="77"/>
    </row>
    <row r="240" spans="1:4" x14ac:dyDescent="0.2">
      <c r="A240" s="345">
        <v>34819</v>
      </c>
      <c r="B240" s="77"/>
      <c r="C240" s="30"/>
      <c r="D240" s="77"/>
    </row>
    <row r="241" spans="1:4" x14ac:dyDescent="0.2">
      <c r="A241" s="345">
        <v>34850</v>
      </c>
      <c r="B241" s="77"/>
      <c r="C241" s="30"/>
      <c r="D241" s="77"/>
    </row>
    <row r="242" spans="1:4" x14ac:dyDescent="0.2">
      <c r="A242" s="345">
        <v>34880</v>
      </c>
      <c r="B242" s="77"/>
      <c r="C242" s="30"/>
      <c r="D242" s="77"/>
    </row>
    <row r="243" spans="1:4" x14ac:dyDescent="0.2">
      <c r="A243" s="345">
        <v>34911</v>
      </c>
      <c r="B243" s="77"/>
      <c r="C243" s="30"/>
      <c r="D243" s="77"/>
    </row>
    <row r="244" spans="1:4" x14ac:dyDescent="0.2">
      <c r="A244" s="345">
        <v>34942</v>
      </c>
      <c r="B244" s="77"/>
      <c r="C244" s="30"/>
      <c r="D244" s="77"/>
    </row>
    <row r="245" spans="1:4" x14ac:dyDescent="0.2">
      <c r="A245" s="345">
        <v>34972</v>
      </c>
      <c r="B245" s="77"/>
      <c r="C245" s="30"/>
      <c r="D245" s="77"/>
    </row>
    <row r="246" spans="1:4" x14ac:dyDescent="0.2">
      <c r="A246" s="345">
        <v>35003</v>
      </c>
      <c r="B246" s="77"/>
      <c r="C246" s="30"/>
      <c r="D246" s="77"/>
    </row>
    <row r="247" spans="1:4" x14ac:dyDescent="0.2">
      <c r="A247" s="345">
        <v>35033</v>
      </c>
      <c r="B247" s="77"/>
      <c r="C247" s="30"/>
      <c r="D247" s="77"/>
    </row>
    <row r="248" spans="1:4" x14ac:dyDescent="0.2">
      <c r="A248" s="345">
        <v>35064</v>
      </c>
      <c r="B248" s="77"/>
      <c r="C248" s="30"/>
      <c r="D248" s="77"/>
    </row>
    <row r="249" spans="1:4" x14ac:dyDescent="0.2">
      <c r="A249" s="345">
        <v>35095</v>
      </c>
      <c r="B249" s="77"/>
      <c r="C249" s="30"/>
      <c r="D249" s="77"/>
    </row>
    <row r="250" spans="1:4" x14ac:dyDescent="0.2">
      <c r="A250" s="345">
        <v>35124</v>
      </c>
      <c r="B250" s="77"/>
      <c r="C250" s="30"/>
      <c r="D250" s="77"/>
    </row>
    <row r="251" spans="1:4" x14ac:dyDescent="0.2">
      <c r="A251" s="345">
        <v>35155</v>
      </c>
      <c r="B251" s="77"/>
      <c r="C251" s="30"/>
      <c r="D251" s="77"/>
    </row>
    <row r="252" spans="1:4" x14ac:dyDescent="0.2">
      <c r="A252" s="345">
        <v>35185</v>
      </c>
      <c r="B252" s="77"/>
      <c r="C252" s="30"/>
      <c r="D252" s="77"/>
    </row>
    <row r="253" spans="1:4" x14ac:dyDescent="0.2">
      <c r="A253" s="345">
        <v>35216</v>
      </c>
      <c r="B253" s="77"/>
      <c r="C253" s="30"/>
      <c r="D253" s="77"/>
    </row>
    <row r="254" spans="1:4" x14ac:dyDescent="0.2">
      <c r="A254" s="345">
        <v>35246</v>
      </c>
      <c r="B254" s="78"/>
      <c r="C254" s="31"/>
      <c r="D254" s="78"/>
    </row>
    <row r="255" spans="1:4" x14ac:dyDescent="0.2">
      <c r="A255" s="345">
        <v>35277</v>
      </c>
      <c r="B255" s="78"/>
      <c r="C255" s="31"/>
      <c r="D255" s="78"/>
    </row>
    <row r="256" spans="1:4" x14ac:dyDescent="0.2">
      <c r="A256" s="345">
        <v>35308</v>
      </c>
      <c r="B256" s="78"/>
      <c r="C256" s="31"/>
      <c r="D256" s="78"/>
    </row>
    <row r="257" spans="1:4" x14ac:dyDescent="0.2">
      <c r="A257" s="345">
        <v>35338</v>
      </c>
      <c r="B257" s="78"/>
      <c r="C257" s="31"/>
      <c r="D257" s="78"/>
    </row>
    <row r="258" spans="1:4" x14ac:dyDescent="0.2">
      <c r="A258" s="345">
        <v>35369</v>
      </c>
      <c r="B258" s="78"/>
      <c r="C258" s="31"/>
      <c r="D258" s="78"/>
    </row>
    <row r="259" spans="1:4" x14ac:dyDescent="0.2">
      <c r="A259" s="345">
        <v>35399</v>
      </c>
      <c r="B259" s="78"/>
      <c r="C259" s="31"/>
      <c r="D259" s="78"/>
    </row>
    <row r="260" spans="1:4" x14ac:dyDescent="0.2">
      <c r="A260" s="345">
        <v>35430</v>
      </c>
      <c r="B260" s="78"/>
      <c r="C260" s="31"/>
      <c r="D260" s="78"/>
    </row>
    <row r="261" spans="1:4" x14ac:dyDescent="0.2">
      <c r="A261" s="345">
        <v>35461</v>
      </c>
      <c r="B261" s="78"/>
      <c r="C261" s="31"/>
      <c r="D261" s="78"/>
    </row>
    <row r="262" spans="1:4" x14ac:dyDescent="0.2">
      <c r="A262" s="345">
        <v>35489</v>
      </c>
      <c r="B262" s="78"/>
      <c r="C262" s="31"/>
      <c r="D262" s="78"/>
    </row>
    <row r="263" spans="1:4" x14ac:dyDescent="0.2">
      <c r="A263" s="345">
        <v>35520</v>
      </c>
      <c r="B263" s="78"/>
      <c r="C263" s="31"/>
      <c r="D263" s="78"/>
    </row>
    <row r="264" spans="1:4" x14ac:dyDescent="0.2">
      <c r="A264" s="345">
        <v>35550</v>
      </c>
      <c r="B264" s="78"/>
      <c r="C264" s="31"/>
      <c r="D264" s="78"/>
    </row>
    <row r="265" spans="1:4" x14ac:dyDescent="0.2">
      <c r="A265" s="345">
        <v>35581</v>
      </c>
      <c r="B265" s="78"/>
      <c r="C265" s="31"/>
      <c r="D265" s="78"/>
    </row>
    <row r="266" spans="1:4" x14ac:dyDescent="0.2">
      <c r="A266" s="345">
        <v>35611</v>
      </c>
      <c r="B266" s="78"/>
      <c r="C266" s="31"/>
      <c r="D266" s="78"/>
    </row>
    <row r="267" spans="1:4" x14ac:dyDescent="0.2">
      <c r="A267" s="345">
        <v>35642</v>
      </c>
      <c r="B267" s="78"/>
      <c r="C267" s="31"/>
      <c r="D267" s="78"/>
    </row>
    <row r="268" spans="1:4" x14ac:dyDescent="0.2">
      <c r="A268" s="345">
        <v>35673</v>
      </c>
      <c r="B268" s="78"/>
      <c r="C268" s="31"/>
      <c r="D268" s="78"/>
    </row>
    <row r="269" spans="1:4" x14ac:dyDescent="0.2">
      <c r="A269" s="345">
        <v>35703</v>
      </c>
      <c r="B269" s="78"/>
      <c r="C269" s="31"/>
      <c r="D269" s="78"/>
    </row>
    <row r="270" spans="1:4" x14ac:dyDescent="0.2">
      <c r="A270" s="345">
        <v>35734</v>
      </c>
      <c r="B270" s="78"/>
      <c r="C270" s="31"/>
      <c r="D270" s="78"/>
    </row>
    <row r="271" spans="1:4" x14ac:dyDescent="0.2">
      <c r="A271" s="345">
        <v>35764</v>
      </c>
      <c r="B271" s="78"/>
      <c r="C271" s="31"/>
      <c r="D271" s="78"/>
    </row>
    <row r="272" spans="1:4" x14ac:dyDescent="0.2">
      <c r="A272" s="345">
        <v>35795</v>
      </c>
      <c r="B272" s="78"/>
      <c r="C272" s="31"/>
      <c r="D272" s="78"/>
    </row>
    <row r="273" spans="1:4" x14ac:dyDescent="0.2">
      <c r="A273" s="345">
        <v>35826</v>
      </c>
      <c r="B273" s="78"/>
      <c r="C273" s="31"/>
      <c r="D273" s="78"/>
    </row>
    <row r="274" spans="1:4" x14ac:dyDescent="0.2">
      <c r="A274" s="345">
        <v>35854</v>
      </c>
      <c r="B274" s="78"/>
      <c r="C274" s="31"/>
      <c r="D274" s="78"/>
    </row>
    <row r="275" spans="1:4" x14ac:dyDescent="0.2">
      <c r="A275" s="345">
        <v>35885</v>
      </c>
      <c r="B275" s="78"/>
      <c r="C275" s="31"/>
      <c r="D275" s="78"/>
    </row>
    <row r="276" spans="1:4" x14ac:dyDescent="0.2">
      <c r="A276" s="345">
        <v>35915</v>
      </c>
      <c r="B276" s="78"/>
      <c r="C276" s="31"/>
      <c r="D276" s="78"/>
    </row>
    <row r="277" spans="1:4" x14ac:dyDescent="0.2">
      <c r="A277" s="345">
        <v>35946</v>
      </c>
      <c r="B277" s="78"/>
      <c r="C277" s="31"/>
      <c r="D277" s="78"/>
    </row>
    <row r="278" spans="1:4" x14ac:dyDescent="0.2">
      <c r="A278" s="345">
        <v>35976</v>
      </c>
      <c r="B278" s="78"/>
      <c r="C278" s="31"/>
      <c r="D278" s="78"/>
    </row>
    <row r="279" spans="1:4" x14ac:dyDescent="0.2">
      <c r="A279" s="345">
        <v>36007</v>
      </c>
      <c r="B279" s="78"/>
      <c r="C279" s="31"/>
      <c r="D279" s="78"/>
    </row>
    <row r="280" spans="1:4" x14ac:dyDescent="0.2">
      <c r="A280" s="345">
        <v>36038</v>
      </c>
      <c r="B280" s="78"/>
      <c r="C280" s="31"/>
      <c r="D280" s="78"/>
    </row>
    <row r="281" spans="1:4" x14ac:dyDescent="0.2">
      <c r="A281" s="345">
        <v>36068</v>
      </c>
      <c r="B281" s="78"/>
      <c r="C281" s="31"/>
      <c r="D281" s="78"/>
    </row>
    <row r="282" spans="1:4" x14ac:dyDescent="0.2">
      <c r="A282" s="345">
        <v>36099</v>
      </c>
      <c r="B282" s="78"/>
      <c r="C282" s="31"/>
      <c r="D282" s="78"/>
    </row>
    <row r="283" spans="1:4" x14ac:dyDescent="0.2">
      <c r="A283" s="345">
        <v>36129</v>
      </c>
      <c r="B283" s="78"/>
      <c r="C283" s="31"/>
      <c r="D283" s="78"/>
    </row>
    <row r="284" spans="1:4" x14ac:dyDescent="0.2">
      <c r="A284" s="345">
        <v>36160</v>
      </c>
      <c r="B284" s="78"/>
      <c r="C284" s="31"/>
      <c r="D284" s="78"/>
    </row>
    <row r="285" spans="1:4" x14ac:dyDescent="0.2">
      <c r="A285" s="345">
        <v>36191</v>
      </c>
      <c r="B285" s="78"/>
      <c r="C285" s="31"/>
      <c r="D285" s="78"/>
    </row>
    <row r="286" spans="1:4" x14ac:dyDescent="0.2">
      <c r="A286" s="345">
        <v>36219</v>
      </c>
      <c r="B286" s="78"/>
      <c r="C286" s="31"/>
      <c r="D286" s="78"/>
    </row>
    <row r="287" spans="1:4" x14ac:dyDescent="0.2">
      <c r="A287" s="345">
        <v>36250</v>
      </c>
      <c r="B287" s="78"/>
      <c r="C287" s="31"/>
      <c r="D287" s="78"/>
    </row>
    <row r="288" spans="1:4" x14ac:dyDescent="0.2">
      <c r="A288" s="345">
        <v>36280</v>
      </c>
      <c r="B288" s="78"/>
      <c r="C288" s="31"/>
      <c r="D288" s="78"/>
    </row>
    <row r="289" spans="1:4" x14ac:dyDescent="0.2">
      <c r="A289" s="345">
        <v>36311</v>
      </c>
      <c r="B289" s="78"/>
      <c r="C289" s="31"/>
      <c r="D289" s="78"/>
    </row>
    <row r="290" spans="1:4" x14ac:dyDescent="0.2">
      <c r="A290" s="345">
        <v>36341</v>
      </c>
      <c r="B290" s="78"/>
      <c r="C290" s="31"/>
      <c r="D290" s="78"/>
    </row>
    <row r="291" spans="1:4" x14ac:dyDescent="0.2">
      <c r="A291" s="345">
        <v>36372</v>
      </c>
      <c r="B291" s="78"/>
      <c r="C291" s="31"/>
      <c r="D291" s="78"/>
    </row>
    <row r="292" spans="1:4" x14ac:dyDescent="0.2">
      <c r="A292" s="345">
        <v>36403</v>
      </c>
      <c r="B292" s="78"/>
      <c r="C292" s="31"/>
      <c r="D292" s="78"/>
    </row>
    <row r="293" spans="1:4" x14ac:dyDescent="0.2">
      <c r="A293" s="345">
        <v>36433</v>
      </c>
      <c r="B293" s="78"/>
      <c r="C293" s="31"/>
      <c r="D293" s="78"/>
    </row>
    <row r="294" spans="1:4" x14ac:dyDescent="0.2">
      <c r="A294" s="345">
        <v>36464</v>
      </c>
      <c r="B294" s="78"/>
      <c r="C294" s="31"/>
      <c r="D294" s="78"/>
    </row>
    <row r="295" spans="1:4" x14ac:dyDescent="0.2">
      <c r="A295" s="345">
        <v>36494</v>
      </c>
      <c r="B295" s="78"/>
      <c r="C295" s="31"/>
      <c r="D295" s="78"/>
    </row>
    <row r="296" spans="1:4" x14ac:dyDescent="0.2">
      <c r="A296" s="345">
        <v>36525</v>
      </c>
      <c r="B296" s="78"/>
      <c r="C296" s="31"/>
      <c r="D296" s="78"/>
    </row>
    <row r="297" spans="1:4" x14ac:dyDescent="0.2">
      <c r="A297" s="345">
        <v>36556</v>
      </c>
      <c r="B297" s="78"/>
      <c r="C297" s="31"/>
      <c r="D297" s="78"/>
    </row>
    <row r="298" spans="1:4" x14ac:dyDescent="0.2">
      <c r="A298" s="345">
        <v>36585</v>
      </c>
      <c r="B298" s="78"/>
      <c r="C298" s="31"/>
      <c r="D298" s="78"/>
    </row>
    <row r="299" spans="1:4" x14ac:dyDescent="0.2">
      <c r="A299" s="345">
        <v>36616</v>
      </c>
      <c r="B299" s="78"/>
      <c r="C299" s="31"/>
      <c r="D299" s="78"/>
    </row>
    <row r="300" spans="1:4" x14ac:dyDescent="0.2">
      <c r="A300" s="345">
        <v>36646</v>
      </c>
      <c r="B300" s="78"/>
      <c r="C300" s="31"/>
      <c r="D300" s="78"/>
    </row>
    <row r="301" spans="1:4" x14ac:dyDescent="0.2">
      <c r="A301" s="345">
        <v>36677</v>
      </c>
      <c r="B301" s="78"/>
      <c r="C301" s="31"/>
      <c r="D301" s="78"/>
    </row>
    <row r="302" spans="1:4" x14ac:dyDescent="0.2">
      <c r="A302" s="345">
        <v>36707</v>
      </c>
      <c r="B302" s="78"/>
      <c r="C302" s="31"/>
      <c r="D302" s="78"/>
    </row>
    <row r="303" spans="1:4" x14ac:dyDescent="0.2">
      <c r="A303" s="345">
        <v>36738</v>
      </c>
      <c r="B303" s="78"/>
      <c r="C303" s="31"/>
      <c r="D303" s="78"/>
    </row>
    <row r="304" spans="1:4" x14ac:dyDescent="0.2">
      <c r="A304" s="345">
        <v>36769</v>
      </c>
      <c r="B304" s="78"/>
      <c r="C304" s="31"/>
      <c r="D304" s="78"/>
    </row>
    <row r="305" spans="1:4" x14ac:dyDescent="0.2">
      <c r="A305" s="345">
        <v>36799</v>
      </c>
      <c r="B305" s="78"/>
      <c r="C305" s="31"/>
      <c r="D305" s="78"/>
    </row>
    <row r="306" spans="1:4" x14ac:dyDescent="0.2">
      <c r="A306" s="345">
        <v>36830</v>
      </c>
      <c r="B306" s="78"/>
      <c r="C306" s="31"/>
      <c r="D306" s="78"/>
    </row>
    <row r="307" spans="1:4" x14ac:dyDescent="0.2">
      <c r="A307" s="345">
        <v>36860</v>
      </c>
      <c r="B307" s="78"/>
      <c r="C307" s="31"/>
      <c r="D307" s="78"/>
    </row>
    <row r="308" spans="1:4" x14ac:dyDescent="0.2">
      <c r="A308" s="345">
        <v>36891</v>
      </c>
      <c r="B308" s="78"/>
      <c r="C308" s="31"/>
      <c r="D308" s="78"/>
    </row>
    <row r="309" spans="1:4" x14ac:dyDescent="0.2">
      <c r="A309" s="345">
        <v>36922</v>
      </c>
      <c r="B309" s="78"/>
      <c r="C309" s="31"/>
      <c r="D309" s="78"/>
    </row>
    <row r="310" spans="1:4" x14ac:dyDescent="0.2">
      <c r="A310" s="345">
        <v>36950</v>
      </c>
      <c r="B310" s="78"/>
      <c r="C310" s="31"/>
      <c r="D310" s="78"/>
    </row>
    <row r="311" spans="1:4" x14ac:dyDescent="0.2">
      <c r="A311" s="345">
        <v>36981</v>
      </c>
      <c r="B311" s="78"/>
      <c r="C311" s="31"/>
      <c r="D311" s="78"/>
    </row>
    <row r="312" spans="1:4" x14ac:dyDescent="0.2">
      <c r="A312" s="345">
        <v>37011</v>
      </c>
      <c r="B312" s="78"/>
      <c r="C312" s="31"/>
      <c r="D312" s="78"/>
    </row>
    <row r="313" spans="1:4" x14ac:dyDescent="0.2">
      <c r="A313" s="345">
        <v>37042</v>
      </c>
      <c r="B313" s="78"/>
      <c r="C313" s="31"/>
      <c r="D313" s="78"/>
    </row>
    <row r="314" spans="1:4" x14ac:dyDescent="0.2">
      <c r="A314" s="345">
        <v>37072</v>
      </c>
      <c r="B314" s="78"/>
      <c r="C314" s="31"/>
      <c r="D314" s="78"/>
    </row>
    <row r="315" spans="1:4" x14ac:dyDescent="0.2">
      <c r="A315" s="345">
        <v>37103</v>
      </c>
      <c r="B315" s="78"/>
      <c r="C315" s="31"/>
      <c r="D315" s="78"/>
    </row>
    <row r="316" spans="1:4" x14ac:dyDescent="0.2">
      <c r="A316" s="345">
        <v>37134</v>
      </c>
      <c r="B316" s="78"/>
      <c r="C316" s="31"/>
      <c r="D316" s="78"/>
    </row>
    <row r="317" spans="1:4" x14ac:dyDescent="0.2">
      <c r="A317" s="345">
        <v>37164</v>
      </c>
      <c r="B317" s="78"/>
      <c r="C317" s="31"/>
      <c r="D317" s="78"/>
    </row>
    <row r="318" spans="1:4" x14ac:dyDescent="0.2">
      <c r="A318" s="345">
        <v>37195</v>
      </c>
      <c r="B318" s="78"/>
      <c r="C318" s="31"/>
      <c r="D318" s="78"/>
    </row>
    <row r="319" spans="1:4" x14ac:dyDescent="0.2">
      <c r="A319" s="345">
        <v>37225</v>
      </c>
      <c r="B319" s="78"/>
      <c r="C319" s="31"/>
      <c r="D319" s="78"/>
    </row>
    <row r="320" spans="1:4" x14ac:dyDescent="0.2">
      <c r="A320" s="345">
        <v>37256</v>
      </c>
      <c r="B320" s="78"/>
      <c r="C320" s="31"/>
      <c r="D320" s="78"/>
    </row>
    <row r="321" spans="1:4" x14ac:dyDescent="0.2">
      <c r="A321" s="345">
        <v>37287</v>
      </c>
      <c r="B321" s="78"/>
      <c r="C321" s="31"/>
      <c r="D321" s="78"/>
    </row>
    <row r="322" spans="1:4" x14ac:dyDescent="0.2">
      <c r="A322" s="345">
        <v>37315</v>
      </c>
      <c r="B322" s="78"/>
      <c r="C322" s="31"/>
      <c r="D322" s="78"/>
    </row>
    <row r="323" spans="1:4" x14ac:dyDescent="0.2">
      <c r="A323" s="345">
        <v>37346</v>
      </c>
      <c r="B323" s="78"/>
      <c r="C323" s="31"/>
      <c r="D323" s="78"/>
    </row>
    <row r="324" spans="1:4" x14ac:dyDescent="0.2">
      <c r="A324" s="345">
        <v>37376</v>
      </c>
      <c r="B324" s="78"/>
      <c r="C324" s="31"/>
      <c r="D324" s="78"/>
    </row>
    <row r="325" spans="1:4" x14ac:dyDescent="0.2">
      <c r="A325" s="345">
        <v>37407</v>
      </c>
      <c r="B325" s="78"/>
      <c r="C325" s="31"/>
      <c r="D325" s="78"/>
    </row>
    <row r="326" spans="1:4" x14ac:dyDescent="0.2">
      <c r="A326" s="345">
        <v>37437</v>
      </c>
      <c r="B326" s="78"/>
      <c r="C326" s="31"/>
      <c r="D326" s="78"/>
    </row>
    <row r="327" spans="1:4" x14ac:dyDescent="0.2">
      <c r="A327" s="345">
        <v>37468</v>
      </c>
      <c r="B327" s="78"/>
      <c r="C327" s="31"/>
      <c r="D327" s="78"/>
    </row>
    <row r="328" spans="1:4" x14ac:dyDescent="0.2">
      <c r="A328" s="345">
        <v>37499</v>
      </c>
      <c r="B328" s="78"/>
      <c r="C328" s="31"/>
      <c r="D328" s="78"/>
    </row>
    <row r="329" spans="1:4" x14ac:dyDescent="0.2">
      <c r="A329" s="345">
        <v>37529</v>
      </c>
      <c r="B329" s="78"/>
      <c r="C329" s="31"/>
      <c r="D329" s="78"/>
    </row>
    <row r="330" spans="1:4" x14ac:dyDescent="0.2">
      <c r="A330" s="345">
        <v>37560</v>
      </c>
      <c r="B330" s="78"/>
      <c r="C330" s="31"/>
      <c r="D330" s="78"/>
    </row>
    <row r="331" spans="1:4" x14ac:dyDescent="0.2">
      <c r="A331" s="345">
        <v>37590</v>
      </c>
      <c r="B331" s="78"/>
      <c r="C331" s="31"/>
      <c r="D331" s="78"/>
    </row>
    <row r="332" spans="1:4" x14ac:dyDescent="0.2">
      <c r="A332" s="345">
        <v>37621</v>
      </c>
      <c r="B332" s="78"/>
      <c r="C332" s="31"/>
      <c r="D332" s="78"/>
    </row>
    <row r="333" spans="1:4" x14ac:dyDescent="0.2">
      <c r="A333" s="345">
        <v>37652</v>
      </c>
      <c r="B333" s="78"/>
      <c r="C333" s="260"/>
      <c r="D333" s="78"/>
    </row>
    <row r="334" spans="1:4" x14ac:dyDescent="0.2">
      <c r="A334" s="345">
        <v>37680</v>
      </c>
      <c r="B334" s="78"/>
      <c r="C334" s="260"/>
      <c r="D334" s="78"/>
    </row>
    <row r="335" spans="1:4" x14ac:dyDescent="0.2">
      <c r="A335" s="345">
        <v>37711</v>
      </c>
      <c r="B335" s="78"/>
      <c r="C335" s="33"/>
      <c r="D335" s="78"/>
    </row>
    <row r="336" spans="1:4" x14ac:dyDescent="0.2">
      <c r="A336" s="345">
        <v>37741</v>
      </c>
      <c r="B336" s="78"/>
      <c r="C336" s="33"/>
      <c r="D336" s="78"/>
    </row>
    <row r="337" spans="1:4" x14ac:dyDescent="0.2">
      <c r="A337" s="345">
        <v>37772</v>
      </c>
      <c r="B337" s="78"/>
      <c r="C337" s="33"/>
      <c r="D337" s="78"/>
    </row>
    <row r="338" spans="1:4" x14ac:dyDescent="0.2">
      <c r="A338" s="345">
        <v>37802</v>
      </c>
      <c r="B338" s="78"/>
      <c r="C338" s="33"/>
      <c r="D338" s="78"/>
    </row>
    <row r="339" spans="1:4" x14ac:dyDescent="0.2">
      <c r="A339" s="345">
        <v>37833</v>
      </c>
      <c r="B339" s="78"/>
      <c r="C339" s="33"/>
      <c r="D339" s="78"/>
    </row>
    <row r="340" spans="1:4" x14ac:dyDescent="0.2">
      <c r="A340" s="345">
        <v>37864</v>
      </c>
      <c r="B340" s="78"/>
      <c r="C340" s="33"/>
      <c r="D340" s="78"/>
    </row>
    <row r="341" spans="1:4" x14ac:dyDescent="0.2">
      <c r="A341" s="345">
        <v>37894</v>
      </c>
      <c r="B341" s="78"/>
      <c r="C341" s="34"/>
      <c r="D341" s="78"/>
    </row>
    <row r="342" spans="1:4" x14ac:dyDescent="0.2">
      <c r="A342" s="345">
        <v>37925</v>
      </c>
      <c r="B342" s="78"/>
      <c r="C342" s="34"/>
      <c r="D342" s="78"/>
    </row>
    <row r="343" spans="1:4" x14ac:dyDescent="0.2">
      <c r="A343" s="345">
        <v>37955</v>
      </c>
      <c r="B343" s="78"/>
      <c r="C343" s="34"/>
      <c r="D343" s="78"/>
    </row>
    <row r="344" spans="1:4" x14ac:dyDescent="0.2">
      <c r="A344" s="345">
        <v>37986</v>
      </c>
      <c r="B344" s="78"/>
      <c r="C344" s="34"/>
      <c r="D344" s="78"/>
    </row>
    <row r="345" spans="1:4" x14ac:dyDescent="0.2">
      <c r="A345" s="345">
        <v>38017</v>
      </c>
      <c r="B345" s="78"/>
      <c r="C345" s="34"/>
      <c r="D345" s="78"/>
    </row>
    <row r="346" spans="1:4" x14ac:dyDescent="0.2">
      <c r="A346" s="345">
        <v>38046</v>
      </c>
      <c r="B346" s="78"/>
      <c r="C346" s="34"/>
      <c r="D346" s="78"/>
    </row>
    <row r="347" spans="1:4" x14ac:dyDescent="0.2">
      <c r="A347" s="345">
        <v>38077</v>
      </c>
      <c r="B347" s="253"/>
      <c r="C347" s="34"/>
      <c r="D347" s="255"/>
    </row>
    <row r="348" spans="1:4" x14ac:dyDescent="0.2">
      <c r="A348" s="345">
        <v>38107</v>
      </c>
      <c r="B348" s="253"/>
      <c r="C348" s="34"/>
      <c r="D348" s="253"/>
    </row>
    <row r="349" spans="1:4" x14ac:dyDescent="0.2">
      <c r="A349" s="345">
        <v>38138</v>
      </c>
      <c r="B349" s="253"/>
      <c r="C349" s="34"/>
      <c r="D349" s="253"/>
    </row>
    <row r="350" spans="1:4" x14ac:dyDescent="0.2">
      <c r="A350" s="345">
        <v>38168</v>
      </c>
      <c r="B350" s="253"/>
      <c r="C350" s="34"/>
      <c r="D350" s="253"/>
    </row>
    <row r="351" spans="1:4" x14ac:dyDescent="0.2">
      <c r="A351" s="345">
        <v>38199</v>
      </c>
      <c r="B351" s="253"/>
      <c r="C351" s="34"/>
      <c r="D351" s="253"/>
    </row>
    <row r="352" spans="1:4" x14ac:dyDescent="0.2">
      <c r="A352" s="345">
        <v>38230</v>
      </c>
      <c r="B352" s="253"/>
      <c r="C352" s="34"/>
      <c r="D352" s="253"/>
    </row>
    <row r="353" spans="1:6" x14ac:dyDescent="0.2">
      <c r="A353" s="345">
        <v>38260</v>
      </c>
      <c r="B353" s="253"/>
      <c r="C353" s="34"/>
      <c r="D353" s="253"/>
    </row>
    <row r="354" spans="1:6" x14ac:dyDescent="0.2">
      <c r="A354" s="345">
        <v>38291</v>
      </c>
      <c r="B354" s="253"/>
      <c r="C354" s="34"/>
      <c r="D354" s="253"/>
    </row>
    <row r="355" spans="1:6" x14ac:dyDescent="0.2">
      <c r="A355" s="345">
        <v>38321</v>
      </c>
      <c r="B355" s="253"/>
      <c r="C355" s="34"/>
      <c r="D355" s="253"/>
    </row>
    <row r="356" spans="1:6" x14ac:dyDescent="0.2">
      <c r="A356" s="345">
        <v>38352</v>
      </c>
      <c r="B356" s="253"/>
      <c r="C356" s="256"/>
      <c r="D356" s="253"/>
    </row>
    <row r="357" spans="1:6" x14ac:dyDescent="0.2">
      <c r="A357" s="345">
        <v>38383</v>
      </c>
      <c r="B357" s="253"/>
      <c r="C357" s="34"/>
      <c r="D357" s="253"/>
    </row>
    <row r="358" spans="1:6" x14ac:dyDescent="0.2">
      <c r="A358" s="345">
        <v>38411</v>
      </c>
      <c r="B358" s="253"/>
      <c r="C358" s="34"/>
      <c r="D358" s="253"/>
    </row>
    <row r="359" spans="1:6" x14ac:dyDescent="0.2">
      <c r="A359" s="345">
        <v>38442</v>
      </c>
      <c r="B359" s="253"/>
      <c r="C359" s="256"/>
      <c r="D359" s="253"/>
    </row>
    <row r="360" spans="1:6" x14ac:dyDescent="0.2">
      <c r="A360" s="345">
        <v>38472</v>
      </c>
      <c r="B360" s="253"/>
      <c r="C360" s="256"/>
      <c r="D360" s="253"/>
    </row>
    <row r="361" spans="1:6" x14ac:dyDescent="0.2">
      <c r="A361" s="345">
        <v>38503</v>
      </c>
      <c r="B361" s="253"/>
      <c r="C361" s="256"/>
      <c r="D361" s="253"/>
    </row>
    <row r="362" spans="1:6" x14ac:dyDescent="0.2">
      <c r="A362" s="345">
        <v>38533</v>
      </c>
      <c r="B362" s="253"/>
      <c r="C362" s="256"/>
      <c r="D362" s="253"/>
    </row>
    <row r="363" spans="1:6" x14ac:dyDescent="0.2">
      <c r="A363" s="345">
        <v>38564</v>
      </c>
      <c r="B363" s="253"/>
      <c r="C363" s="256"/>
      <c r="D363" s="253"/>
    </row>
    <row r="364" spans="1:6" x14ac:dyDescent="0.2">
      <c r="A364" s="345">
        <v>38595</v>
      </c>
      <c r="B364" s="253"/>
      <c r="C364" s="256"/>
      <c r="D364" s="253"/>
    </row>
    <row r="365" spans="1:6" x14ac:dyDescent="0.2">
      <c r="A365" s="345">
        <v>38625</v>
      </c>
      <c r="B365" s="253"/>
      <c r="C365" s="256"/>
      <c r="D365" s="253"/>
    </row>
    <row r="366" spans="1:6" x14ac:dyDescent="0.2">
      <c r="A366" s="345">
        <v>38656</v>
      </c>
      <c r="B366" s="1379"/>
      <c r="C366" s="256"/>
      <c r="D366" s="253"/>
      <c r="F366" s="70"/>
    </row>
    <row r="367" spans="1:6" x14ac:dyDescent="0.2">
      <c r="A367" s="345">
        <v>38686</v>
      </c>
      <c r="B367" s="1379"/>
      <c r="C367" s="256"/>
      <c r="D367" s="253"/>
      <c r="F367" s="70"/>
    </row>
    <row r="368" spans="1:6" x14ac:dyDescent="0.2">
      <c r="A368" s="345">
        <v>38717</v>
      </c>
      <c r="B368" s="253"/>
      <c r="C368" s="256"/>
      <c r="D368" s="253"/>
      <c r="F368" s="70"/>
    </row>
    <row r="369" spans="1:7" x14ac:dyDescent="0.2">
      <c r="A369" s="345">
        <v>38748</v>
      </c>
      <c r="B369" s="253"/>
      <c r="C369" s="256"/>
      <c r="D369" s="1380"/>
      <c r="F369" s="70"/>
    </row>
    <row r="370" spans="1:7" x14ac:dyDescent="0.2">
      <c r="A370" s="345">
        <v>38776</v>
      </c>
      <c r="B370" s="253"/>
      <c r="C370" s="256"/>
      <c r="D370" s="1380"/>
      <c r="F370" s="70"/>
    </row>
    <row r="371" spans="1:7" x14ac:dyDescent="0.2">
      <c r="A371" s="345">
        <v>38807</v>
      </c>
      <c r="B371" s="253"/>
      <c r="C371" s="33"/>
      <c r="D371" s="253"/>
      <c r="F371" s="70"/>
    </row>
    <row r="372" spans="1:7" x14ac:dyDescent="0.2">
      <c r="A372" s="345">
        <v>38837</v>
      </c>
      <c r="B372" s="253"/>
      <c r="C372" s="33"/>
      <c r="D372" s="253"/>
      <c r="F372" s="70"/>
    </row>
    <row r="373" spans="1:7" x14ac:dyDescent="0.2">
      <c r="A373" s="345">
        <v>38868</v>
      </c>
      <c r="B373" s="253"/>
      <c r="C373" s="33"/>
      <c r="D373" s="253"/>
      <c r="F373" s="70"/>
    </row>
    <row r="374" spans="1:7" x14ac:dyDescent="0.2">
      <c r="A374" s="345">
        <v>38898</v>
      </c>
      <c r="B374" s="76"/>
      <c r="C374" s="354"/>
      <c r="D374" s="253"/>
      <c r="F374" s="70"/>
    </row>
    <row r="375" spans="1:7" x14ac:dyDescent="0.2">
      <c r="A375" s="345">
        <v>38929</v>
      </c>
      <c r="B375" s="253"/>
      <c r="C375" s="34"/>
      <c r="D375" s="253"/>
      <c r="F375" s="70"/>
    </row>
    <row r="376" spans="1:7" x14ac:dyDescent="0.2">
      <c r="A376" s="345">
        <v>38960</v>
      </c>
      <c r="B376" s="253"/>
      <c r="C376" s="34"/>
      <c r="D376" s="253"/>
      <c r="F376" s="70"/>
    </row>
    <row r="377" spans="1:7" x14ac:dyDescent="0.2">
      <c r="A377" s="345">
        <v>38990</v>
      </c>
      <c r="B377" s="253"/>
      <c r="C377" s="34"/>
      <c r="D377" s="253"/>
      <c r="F377" s="70"/>
    </row>
    <row r="378" spans="1:7" x14ac:dyDescent="0.2">
      <c r="A378" s="345">
        <v>39021</v>
      </c>
      <c r="B378" s="253"/>
      <c r="C378" s="34"/>
      <c r="D378" s="253"/>
      <c r="F378" s="352"/>
    </row>
    <row r="379" spans="1:7" x14ac:dyDescent="0.2">
      <c r="A379" s="345">
        <v>39051</v>
      </c>
      <c r="B379" s="253"/>
      <c r="C379" s="34"/>
      <c r="D379" s="253"/>
      <c r="F379" s="352"/>
      <c r="G379" s="116"/>
    </row>
    <row r="380" spans="1:7" x14ac:dyDescent="0.2">
      <c r="A380" s="345">
        <v>39082</v>
      </c>
      <c r="B380" s="253"/>
      <c r="C380" s="34"/>
      <c r="D380" s="253"/>
      <c r="F380" s="352"/>
    </row>
    <row r="381" spans="1:7" x14ac:dyDescent="0.2">
      <c r="A381" s="345">
        <v>39113</v>
      </c>
      <c r="B381" s="253"/>
      <c r="F381" s="352"/>
    </row>
    <row r="382" spans="1:7" x14ac:dyDescent="0.2">
      <c r="A382" s="345">
        <v>39141</v>
      </c>
      <c r="B382" s="253"/>
      <c r="F382" s="352"/>
    </row>
    <row r="383" spans="1:7" x14ac:dyDescent="0.2">
      <c r="A383" s="345">
        <v>39172</v>
      </c>
      <c r="B383" s="253"/>
    </row>
    <row r="384" spans="1:7" x14ac:dyDescent="0.2">
      <c r="A384" s="345">
        <v>39202</v>
      </c>
      <c r="B384" s="253"/>
    </row>
    <row r="385" spans="1:3" x14ac:dyDescent="0.2">
      <c r="A385" s="345">
        <v>39233</v>
      </c>
      <c r="B385" s="253"/>
    </row>
    <row r="386" spans="1:3" x14ac:dyDescent="0.2">
      <c r="A386" s="345">
        <v>39263</v>
      </c>
      <c r="B386" s="253"/>
    </row>
    <row r="387" spans="1:3" x14ac:dyDescent="0.2">
      <c r="A387" s="345">
        <v>39294</v>
      </c>
      <c r="B387" s="253"/>
    </row>
    <row r="388" spans="1:3" x14ac:dyDescent="0.2">
      <c r="A388" s="345">
        <v>39325</v>
      </c>
      <c r="B388" s="253"/>
    </row>
    <row r="389" spans="1:3" x14ac:dyDescent="0.2">
      <c r="A389" s="345">
        <v>39355</v>
      </c>
      <c r="B389" s="253"/>
    </row>
    <row r="390" spans="1:3" x14ac:dyDescent="0.2">
      <c r="A390" s="345">
        <v>39386</v>
      </c>
      <c r="B390" s="253"/>
    </row>
    <row r="391" spans="1:3" x14ac:dyDescent="0.2">
      <c r="A391" s="345">
        <v>39416</v>
      </c>
      <c r="B391" s="253"/>
    </row>
    <row r="392" spans="1:3" x14ac:dyDescent="0.2">
      <c r="A392" s="345">
        <v>39447</v>
      </c>
      <c r="B392" s="253"/>
    </row>
    <row r="393" spans="1:3" x14ac:dyDescent="0.2">
      <c r="A393" s="345">
        <v>39478</v>
      </c>
      <c r="B393" s="253"/>
    </row>
    <row r="394" spans="1:3" x14ac:dyDescent="0.2">
      <c r="A394" s="345">
        <v>39507</v>
      </c>
      <c r="B394" s="253"/>
    </row>
    <row r="395" spans="1:3" x14ac:dyDescent="0.2">
      <c r="A395" s="345">
        <v>39538</v>
      </c>
      <c r="B395" s="253"/>
    </row>
    <row r="396" spans="1:3" x14ac:dyDescent="0.2">
      <c r="A396" s="345">
        <v>39568</v>
      </c>
      <c r="B396" s="253"/>
    </row>
    <row r="397" spans="1:3" x14ac:dyDescent="0.2">
      <c r="A397" s="345">
        <v>39599</v>
      </c>
      <c r="B397" s="253"/>
    </row>
    <row r="398" spans="1:3" x14ac:dyDescent="0.2">
      <c r="A398" s="345">
        <v>39629</v>
      </c>
      <c r="B398" s="253"/>
    </row>
    <row r="399" spans="1:3" x14ac:dyDescent="0.2">
      <c r="A399" s="345">
        <v>39660</v>
      </c>
      <c r="B399" s="253"/>
      <c r="C399" s="33"/>
    </row>
    <row r="400" spans="1:3" x14ac:dyDescent="0.2">
      <c r="A400" s="345">
        <v>39691</v>
      </c>
      <c r="B400" s="253"/>
      <c r="C400" s="33"/>
    </row>
    <row r="401" spans="1:7" x14ac:dyDescent="0.2">
      <c r="A401" s="345">
        <v>39721</v>
      </c>
      <c r="B401" s="253"/>
      <c r="C401" s="33"/>
    </row>
    <row r="402" spans="1:7" x14ac:dyDescent="0.2">
      <c r="A402" s="345">
        <v>39752</v>
      </c>
      <c r="B402" s="253"/>
    </row>
    <row r="403" spans="1:7" x14ac:dyDescent="0.2">
      <c r="A403" s="345">
        <v>39782</v>
      </c>
      <c r="B403" s="253"/>
    </row>
    <row r="404" spans="1:7" x14ac:dyDescent="0.2">
      <c r="A404" s="345">
        <v>39813</v>
      </c>
      <c r="B404" s="253"/>
    </row>
    <row r="405" spans="1:7" x14ac:dyDescent="0.2">
      <c r="A405" s="345">
        <v>39844</v>
      </c>
      <c r="B405" s="253"/>
    </row>
    <row r="406" spans="1:7" x14ac:dyDescent="0.2">
      <c r="A406" s="345">
        <v>39872</v>
      </c>
      <c r="B406" s="253"/>
    </row>
    <row r="407" spans="1:7" x14ac:dyDescent="0.2">
      <c r="A407" s="345">
        <v>39903</v>
      </c>
      <c r="B407" s="253"/>
    </row>
    <row r="408" spans="1:7" x14ac:dyDescent="0.2">
      <c r="A408" s="345">
        <v>39933</v>
      </c>
      <c r="B408" s="253"/>
    </row>
    <row r="409" spans="1:7" x14ac:dyDescent="0.2">
      <c r="A409" s="345">
        <v>39964</v>
      </c>
      <c r="B409" s="253"/>
    </row>
    <row r="410" spans="1:7" x14ac:dyDescent="0.2">
      <c r="A410" s="345">
        <v>39994</v>
      </c>
      <c r="B410" s="253">
        <f>D410-((D$1/12)/100)</f>
        <v>-0.26826666666666665</v>
      </c>
      <c r="C410" s="346">
        <v>199471854.34</v>
      </c>
      <c r="D410" s="258">
        <v>-0.2641</v>
      </c>
      <c r="E410" s="258">
        <f>B410-Index_Returns!AA410</f>
        <v>0.27124333333333339</v>
      </c>
    </row>
    <row r="411" spans="1:7" x14ac:dyDescent="0.2">
      <c r="A411" s="345">
        <v>40025</v>
      </c>
      <c r="B411" s="1369">
        <v>9.14</v>
      </c>
      <c r="C411" s="346">
        <v>217706846.19999999</v>
      </c>
      <c r="D411" s="258">
        <v>9.1416000000000004</v>
      </c>
      <c r="E411" s="258">
        <f>B411-Index_Returns!AA411</f>
        <v>-2.5999999999992696E-3</v>
      </c>
    </row>
    <row r="412" spans="1:7" x14ac:dyDescent="0.2">
      <c r="A412" s="345">
        <v>40056</v>
      </c>
      <c r="B412" s="1369">
        <v>5.45</v>
      </c>
      <c r="C412" s="346">
        <v>227511553.80000001</v>
      </c>
      <c r="D412" s="258">
        <v>5.4432999999999998</v>
      </c>
      <c r="E412" s="258">
        <f>B412-Index_Returns!AA412</f>
        <v>-1.4599999999997948E-3</v>
      </c>
      <c r="G412" s="14"/>
    </row>
    <row r="413" spans="1:7" x14ac:dyDescent="0.2">
      <c r="A413" s="345">
        <v>40086</v>
      </c>
      <c r="B413" s="1369">
        <v>3.84</v>
      </c>
      <c r="C413" s="346">
        <v>236257584.02000001</v>
      </c>
      <c r="D413" s="258">
        <v>3.8441999999999998</v>
      </c>
      <c r="E413" s="258">
        <f>B413-Index_Returns!AA413</f>
        <v>-7.7600000000002112E-3</v>
      </c>
      <c r="G413" s="14"/>
    </row>
    <row r="414" spans="1:7" x14ac:dyDescent="0.2">
      <c r="A414" s="345">
        <v>40117</v>
      </c>
      <c r="B414" s="1369">
        <v>-1.2489699999999999</v>
      </c>
      <c r="C414" s="346">
        <v>233306805</v>
      </c>
      <c r="D414" s="258">
        <v>-1.25</v>
      </c>
      <c r="E414" s="258">
        <f>B414-Index_Returns!AA414</f>
        <v>-4.0000000000000036E-3</v>
      </c>
      <c r="G414" s="14"/>
    </row>
    <row r="415" spans="1:7" x14ac:dyDescent="0.2">
      <c r="A415" s="345">
        <v>40147</v>
      </c>
      <c r="B415" s="1369">
        <v>2.01342</v>
      </c>
      <c r="C415" s="346">
        <v>238004251</v>
      </c>
      <c r="D415" s="258">
        <v>2.0129999999999999</v>
      </c>
      <c r="E415" s="258">
        <f>B415-Index_Returns!AA415</f>
        <v>-1.3419999999999987E-2</v>
      </c>
      <c r="G415" s="14"/>
    </row>
    <row r="416" spans="1:7" x14ac:dyDescent="0.2">
      <c r="A416" s="345">
        <v>40178</v>
      </c>
      <c r="B416" s="1369">
        <v>1.45048</v>
      </c>
      <c r="C416" s="346">
        <v>241456442.31</v>
      </c>
      <c r="D416" s="258">
        <v>1.45048</v>
      </c>
      <c r="E416" s="258">
        <f>B416-Index_Returns!AA416</f>
        <v>-2.7699999999999392E-3</v>
      </c>
      <c r="G416" s="14"/>
    </row>
    <row r="417" spans="1:7" x14ac:dyDescent="0.2">
      <c r="A417" s="345">
        <v>40209</v>
      </c>
      <c r="B417" s="253">
        <v>-4.4011800000000001</v>
      </c>
      <c r="C417" s="346">
        <v>230829508.90000001</v>
      </c>
      <c r="D417" s="258">
        <v>-4.4011800000000001</v>
      </c>
      <c r="E417" s="258">
        <f>B417-Index_Returns!AA417</f>
        <v>-1.7300000000002314E-3</v>
      </c>
      <c r="G417" s="14"/>
    </row>
    <row r="418" spans="1:7" x14ac:dyDescent="0.2">
      <c r="A418" s="345">
        <v>40237</v>
      </c>
      <c r="B418" s="253">
        <v>-0.67774999999999996</v>
      </c>
      <c r="C418" s="346">
        <v>229265062.09</v>
      </c>
      <c r="D418" s="258">
        <v>-0.67774999999999996</v>
      </c>
      <c r="E418" s="258">
        <f>B418-Index_Returns!AA418</f>
        <v>-2.0599999999999508E-3</v>
      </c>
      <c r="G418" s="14"/>
    </row>
    <row r="419" spans="1:7" x14ac:dyDescent="0.2">
      <c r="A419" s="345">
        <v>40268</v>
      </c>
      <c r="B419" s="253">
        <v>6.2633000000000001</v>
      </c>
      <c r="C419" s="1334">
        <v>243624620.09999999</v>
      </c>
      <c r="D419" s="1311">
        <v>6.2888099999999998</v>
      </c>
      <c r="E419" s="258">
        <f>B419-Index_Returns!AA419</f>
        <v>-4.2320000000000135E-2</v>
      </c>
      <c r="G419" s="14"/>
    </row>
    <row r="420" spans="1:7" x14ac:dyDescent="0.2">
      <c r="A420" s="345">
        <v>40298</v>
      </c>
      <c r="B420" s="253">
        <v>-1.7268600000000001</v>
      </c>
      <c r="C420" s="346">
        <v>239417572.06999999</v>
      </c>
      <c r="D420" s="258">
        <v>-1.7268600000000001</v>
      </c>
      <c r="E420" s="258">
        <f>B420-Index_Returns!AA420</f>
        <v>-8.0000000000080007E-5</v>
      </c>
      <c r="G420" s="14"/>
    </row>
    <row r="421" spans="1:7" x14ac:dyDescent="0.2">
      <c r="A421" s="345">
        <v>40329</v>
      </c>
      <c r="B421" s="253">
        <v>-11.183059999999999</v>
      </c>
      <c r="C421" s="346">
        <v>559519855.58000004</v>
      </c>
      <c r="D421" s="258">
        <v>-11.341060000000001</v>
      </c>
      <c r="E421" s="258">
        <f>B421-Index_Returns!AA421</f>
        <v>0.18414000000000108</v>
      </c>
      <c r="G421" s="14"/>
    </row>
    <row r="422" spans="1:7" x14ac:dyDescent="0.2">
      <c r="A422" s="345">
        <v>40359</v>
      </c>
      <c r="B422" s="253">
        <v>-1.19</v>
      </c>
      <c r="C422" s="346">
        <v>552835168.58000004</v>
      </c>
      <c r="D422" s="258">
        <v>-1.18971</v>
      </c>
      <c r="E422" s="258">
        <f>B422-Index_Returns!AA422</f>
        <v>-0.21715999999999991</v>
      </c>
      <c r="G422" s="14"/>
    </row>
    <row r="423" spans="1:7" x14ac:dyDescent="0.2">
      <c r="A423" s="345">
        <v>40390</v>
      </c>
      <c r="B423" s="253">
        <v>9.4923800000000007</v>
      </c>
      <c r="C423" s="346">
        <v>605312380.41999996</v>
      </c>
      <c r="D423" s="258">
        <v>9.4923800000000007</v>
      </c>
      <c r="E423" s="258">
        <f>B423-Index_Returns!AA423</f>
        <v>-4.9999999999883471E-5</v>
      </c>
      <c r="G423" s="14"/>
    </row>
    <row r="424" spans="1:7" x14ac:dyDescent="0.2">
      <c r="A424" s="345">
        <v>40421</v>
      </c>
      <c r="B424" s="253">
        <v>-3.09979</v>
      </c>
      <c r="C424" s="346">
        <v>586548960.71000004</v>
      </c>
      <c r="D424" s="258">
        <v>-3.09979</v>
      </c>
      <c r="E424" s="258">
        <f>B424-Index_Returns!AA424</f>
        <v>-8.6900000000000865E-3</v>
      </c>
      <c r="G424" s="14"/>
    </row>
    <row r="425" spans="1:7" x14ac:dyDescent="0.2">
      <c r="A425" s="345">
        <v>40451</v>
      </c>
      <c r="B425" s="258">
        <v>9.8040400000000005</v>
      </c>
      <c r="C425" s="346">
        <v>1324246986.5899999</v>
      </c>
      <c r="D425" s="258">
        <v>9.8040400000000005</v>
      </c>
      <c r="E425" s="258">
        <f>B425-Index_Returns!AA425</f>
        <v>-1.7549999999999955E-2</v>
      </c>
      <c r="G425" s="14"/>
    </row>
    <row r="426" spans="1:7" x14ac:dyDescent="0.2">
      <c r="A426" s="345">
        <v>40482</v>
      </c>
      <c r="B426" s="258">
        <v>3.6256200000000001</v>
      </c>
      <c r="C426" s="346">
        <v>1209868766.99</v>
      </c>
      <c r="D426" s="258">
        <v>3.6256200000000001</v>
      </c>
      <c r="E426" s="258">
        <f>B426-Index_Returns!AA426</f>
        <v>7.7000000000002622E-3</v>
      </c>
      <c r="G426" s="14"/>
    </row>
    <row r="427" spans="1:7" x14ac:dyDescent="0.2">
      <c r="A427" s="345">
        <v>40512</v>
      </c>
      <c r="B427" s="253">
        <v>-4.8037000000000001</v>
      </c>
      <c r="C427" s="346">
        <v>1663240395.27</v>
      </c>
      <c r="D427" s="258">
        <v>-4.8037000000000001</v>
      </c>
      <c r="E427" s="258">
        <f>B427-Index_Returns!AA427</f>
        <v>-1.4669999999999739E-2</v>
      </c>
      <c r="G427" s="14"/>
    </row>
    <row r="428" spans="1:7" x14ac:dyDescent="0.2">
      <c r="A428" s="345">
        <v>40543</v>
      </c>
      <c r="B428" s="253">
        <v>8.1005299999999991</v>
      </c>
      <c r="C428" s="346">
        <v>1827101516.1700001</v>
      </c>
      <c r="D428" s="258">
        <v>8.1005299999999991</v>
      </c>
      <c r="E428" s="258">
        <f>B428-Index_Returns!AA428</f>
        <v>-5.850000000000577E-3</v>
      </c>
    </row>
    <row r="429" spans="1:7" x14ac:dyDescent="0.2">
      <c r="A429" s="345">
        <v>40574</v>
      </c>
      <c r="B429" s="253">
        <v>2.3763999999999998</v>
      </c>
      <c r="C429" s="346">
        <v>1870520716.27</v>
      </c>
      <c r="D429" s="258">
        <v>2.3763700000000001</v>
      </c>
      <c r="E429" s="258">
        <f>B429-Index_Returns!AA429</f>
        <v>3.4600000000000186E-3</v>
      </c>
    </row>
    <row r="430" spans="1:7" x14ac:dyDescent="0.2">
      <c r="A430" s="345">
        <v>40602</v>
      </c>
      <c r="B430" s="258">
        <v>3.3191899999999999</v>
      </c>
      <c r="C430" s="346">
        <v>1932606904.0699999</v>
      </c>
      <c r="D430" s="258">
        <v>3.3191899999999999</v>
      </c>
      <c r="E430" s="258">
        <f>B430-Index_Returns!AA430</f>
        <v>-1.0900000000000354E-3</v>
      </c>
    </row>
    <row r="431" spans="1:7" x14ac:dyDescent="0.2">
      <c r="A431" s="345">
        <v>40633</v>
      </c>
      <c r="B431" s="258">
        <v>-2.1932999999999998</v>
      </c>
      <c r="C431" s="346">
        <v>1890218979.96</v>
      </c>
      <c r="D431" s="258">
        <v>-2.1932999999999998</v>
      </c>
      <c r="E431" s="258">
        <f>B431-Index_Returns!AA431</f>
        <v>2.6100000000002233E-3</v>
      </c>
    </row>
    <row r="432" spans="1:7" x14ac:dyDescent="0.2">
      <c r="A432" s="345">
        <v>40663</v>
      </c>
      <c r="B432" s="258">
        <v>6.0475500000000002</v>
      </c>
      <c r="C432" s="346">
        <v>2004692918.3199999</v>
      </c>
      <c r="D432" s="258">
        <v>6.0561199999999999</v>
      </c>
      <c r="E432" s="258">
        <f>B432-Index_Returns!AA432</f>
        <v>-2.8779999999999362E-2</v>
      </c>
    </row>
    <row r="433" spans="1:5" x14ac:dyDescent="0.2">
      <c r="A433" s="345">
        <v>40694</v>
      </c>
      <c r="B433" s="258">
        <v>-2.8595999999999999</v>
      </c>
      <c r="C433" s="346">
        <v>1947547886.3</v>
      </c>
      <c r="D433" s="258">
        <v>-2.8505600000000002</v>
      </c>
      <c r="E433" s="258">
        <f>B433-Index_Returns!AA433</f>
        <v>-5.3300000000000125E-2</v>
      </c>
    </row>
    <row r="434" spans="1:5" x14ac:dyDescent="0.2">
      <c r="A434" s="345">
        <v>40724</v>
      </c>
      <c r="B434" s="258">
        <v>-1.1961599999999999</v>
      </c>
      <c r="C434" s="346">
        <v>1926000971.9400001</v>
      </c>
      <c r="D434" s="258">
        <v>-1.1961599999999999</v>
      </c>
      <c r="E434" s="258">
        <f>B434-Index_Returns!AA434</f>
        <v>3.1400000000000095E-2</v>
      </c>
    </row>
    <row r="435" spans="1:5" x14ac:dyDescent="0.2">
      <c r="A435" s="345">
        <v>40755</v>
      </c>
      <c r="B435" s="258">
        <f t="shared" ref="B435:B488" si="0">D435</f>
        <v>-1.5807500000000001</v>
      </c>
      <c r="C435" s="346">
        <v>1895555688.6900001</v>
      </c>
      <c r="D435" s="258">
        <v>-1.5807500000000001</v>
      </c>
      <c r="E435" s="258">
        <f>B435-Index_Returns!AA435</f>
        <v>-7.9100000000000836E-3</v>
      </c>
    </row>
    <row r="436" spans="1:5" x14ac:dyDescent="0.2">
      <c r="A436" s="345">
        <v>40786</v>
      </c>
      <c r="B436" s="258">
        <f t="shared" si="0"/>
        <v>-9.0369799999999998</v>
      </c>
      <c r="C436" s="346">
        <v>1724505931.0899999</v>
      </c>
      <c r="D436" s="258">
        <v>-9.0369799999999998</v>
      </c>
      <c r="E436" s="258">
        <f>B436-Index_Returns!AA436</f>
        <v>-1.9299999999999429E-2</v>
      </c>
    </row>
    <row r="437" spans="1:5" x14ac:dyDescent="0.2">
      <c r="A437" s="345">
        <v>40816</v>
      </c>
      <c r="B437" s="258">
        <f t="shared" si="0"/>
        <v>-9.4933099999999992</v>
      </c>
      <c r="C437" s="346">
        <v>1560793168.8499999</v>
      </c>
      <c r="D437" s="258">
        <v>-9.4933099999999992</v>
      </c>
      <c r="E437" s="258">
        <f>B437-Index_Returns!AA437</f>
        <v>3.3700000000003172E-3</v>
      </c>
    </row>
    <row r="438" spans="1:5" x14ac:dyDescent="0.2">
      <c r="A438" s="345">
        <v>40847</v>
      </c>
      <c r="B438" s="258">
        <f t="shared" si="0"/>
        <v>9.6385799999999993</v>
      </c>
      <c r="C438" s="346">
        <v>1711231389.55</v>
      </c>
      <c r="D438" s="258">
        <v>9.6385799999999993</v>
      </c>
      <c r="E438" s="258">
        <f>B438-Index_Returns!AA438</f>
        <v>-8.7200000000002831E-3</v>
      </c>
    </row>
    <row r="439" spans="1:5" x14ac:dyDescent="0.2">
      <c r="A439" s="345">
        <v>40877</v>
      </c>
      <c r="B439" s="258">
        <f t="shared" si="0"/>
        <v>-4.8514999999999997</v>
      </c>
      <c r="C439" s="346">
        <v>1504517906.5599999</v>
      </c>
      <c r="D439" s="258">
        <v>-4.8514999999999997</v>
      </c>
      <c r="E439" s="258">
        <f>B439-Index_Returns!AA439</f>
        <v>-2.644999999999964E-2</v>
      </c>
    </row>
    <row r="440" spans="1:5" x14ac:dyDescent="0.2">
      <c r="A440" s="345">
        <v>40908</v>
      </c>
      <c r="B440" s="258">
        <f t="shared" si="0"/>
        <v>-0.95172999999999996</v>
      </c>
      <c r="C440" s="346">
        <v>1490199013.3699999</v>
      </c>
      <c r="D440" s="258">
        <v>-0.95172999999999996</v>
      </c>
      <c r="E440" s="258">
        <f>B440-Index_Returns!AA440</f>
        <v>-1.6449999999999965E-2</v>
      </c>
    </row>
    <row r="441" spans="1:5" x14ac:dyDescent="0.2">
      <c r="A441" s="345">
        <v>40939</v>
      </c>
      <c r="B441" s="258">
        <f t="shared" si="0"/>
        <v>5.3325100000000001</v>
      </c>
      <c r="C441" s="346">
        <v>1569980818.0599999</v>
      </c>
      <c r="D441" s="258">
        <v>5.3325100000000001</v>
      </c>
      <c r="E441" s="258">
        <f>B441-Index_Returns!AA441</f>
        <v>-2.055999999999969E-2</v>
      </c>
    </row>
    <row r="442" spans="1:5" x14ac:dyDescent="0.2">
      <c r="A442" s="345">
        <v>40968</v>
      </c>
      <c r="B442" s="258">
        <f t="shared" si="0"/>
        <v>5.7366700000000002</v>
      </c>
      <c r="C442" s="346">
        <v>1660319158.6300001</v>
      </c>
      <c r="D442" s="258">
        <v>5.7366700000000002</v>
      </c>
      <c r="E442" s="258">
        <f>B442-Index_Returns!AA442</f>
        <v>-3.200999999999965E-2</v>
      </c>
    </row>
    <row r="443" spans="1:5" x14ac:dyDescent="0.2">
      <c r="A443" s="345">
        <v>40999</v>
      </c>
      <c r="B443" s="258">
        <f t="shared" si="0"/>
        <v>-0.41337000000000002</v>
      </c>
      <c r="C443" s="346">
        <v>1653455839.74</v>
      </c>
      <c r="D443" s="258">
        <v>-0.41337000000000002</v>
      </c>
      <c r="E443" s="258">
        <f>B443-Index_Returns!AA443</f>
        <v>-9.120000000000017E-3</v>
      </c>
    </row>
    <row r="444" spans="1:5" x14ac:dyDescent="0.2">
      <c r="A444" s="345">
        <v>41029</v>
      </c>
      <c r="B444" s="258">
        <f t="shared" si="0"/>
        <v>-1.83128</v>
      </c>
      <c r="C444" s="346">
        <v>1623176409.1099999</v>
      </c>
      <c r="D444" s="258">
        <v>-1.83128</v>
      </c>
      <c r="E444" s="258">
        <f>B444-Index_Returns!AA444</f>
        <v>1.0690000000000088E-2</v>
      </c>
    </row>
    <row r="445" spans="1:5" x14ac:dyDescent="0.2">
      <c r="A445" s="345">
        <v>41060</v>
      </c>
      <c r="B445" s="258">
        <f t="shared" si="0"/>
        <v>-11.39676</v>
      </c>
      <c r="C445" s="346">
        <v>1438186880.24</v>
      </c>
      <c r="D445" s="258">
        <v>-11.39676</v>
      </c>
      <c r="E445" s="258">
        <f>B445-Index_Returns!AA445</f>
        <v>-4.3580000000000396E-2</v>
      </c>
    </row>
    <row r="446" spans="1:5" x14ac:dyDescent="0.2">
      <c r="A446" s="345">
        <v>41090</v>
      </c>
      <c r="B446" s="258">
        <f t="shared" si="0"/>
        <v>7.0250399999999997</v>
      </c>
      <c r="C446" s="346">
        <v>1539530642.4000001</v>
      </c>
      <c r="D446" s="258">
        <v>7.0250399999999997</v>
      </c>
      <c r="E446" s="258">
        <f>B446-Index_Returns!AA446</f>
        <v>-2.4560000000000137E-2</v>
      </c>
    </row>
    <row r="447" spans="1:5" x14ac:dyDescent="0.2">
      <c r="A447" s="345">
        <v>41121</v>
      </c>
      <c r="B447" s="258">
        <f t="shared" si="0"/>
        <v>1.1286099999999999</v>
      </c>
      <c r="C447" s="346">
        <v>1556905924.46</v>
      </c>
      <c r="D447" s="258">
        <v>1.1286099999999999</v>
      </c>
      <c r="E447" s="258">
        <f>B447-Index_Returns!AA447</f>
        <v>-1.7670000000000075E-2</v>
      </c>
    </row>
    <row r="448" spans="1:5" x14ac:dyDescent="0.2">
      <c r="A448" s="345">
        <v>41152</v>
      </c>
      <c r="B448" s="258">
        <f t="shared" si="0"/>
        <v>2.6934499999999999</v>
      </c>
      <c r="C448" s="346">
        <v>1599108904.1700001</v>
      </c>
      <c r="D448" s="258">
        <v>2.6934499999999999</v>
      </c>
      <c r="E448" s="258">
        <f>B448-Index_Returns!AA448</f>
        <v>-2.8200000000002667E-3</v>
      </c>
    </row>
    <row r="449" spans="1:5" x14ac:dyDescent="0.2">
      <c r="A449" s="345">
        <v>41182</v>
      </c>
      <c r="B449" s="258">
        <f t="shared" si="0"/>
        <v>2.9570799999999999</v>
      </c>
      <c r="C449" s="346">
        <v>1646395804.3299999</v>
      </c>
      <c r="D449" s="258">
        <v>2.9570799999999999</v>
      </c>
      <c r="E449" s="258">
        <f>B449-Index_Returns!AA449</f>
        <v>-3.6319999999999908E-2</v>
      </c>
    </row>
    <row r="450" spans="1:5" x14ac:dyDescent="0.2">
      <c r="A450" s="345">
        <v>41213</v>
      </c>
      <c r="B450" s="258">
        <f t="shared" si="0"/>
        <v>0.83835000000000004</v>
      </c>
      <c r="C450" s="346">
        <v>1660198283.48</v>
      </c>
      <c r="D450" s="258">
        <v>0.83835000000000004</v>
      </c>
      <c r="E450" s="258">
        <f>B450-Index_Returns!AA450</f>
        <v>-1.7999999999999128E-3</v>
      </c>
    </row>
    <row r="451" spans="1:5" x14ac:dyDescent="0.2">
      <c r="A451" s="345">
        <v>41243</v>
      </c>
      <c r="B451" s="258">
        <f t="shared" si="0"/>
        <v>2.4163100000000002</v>
      </c>
      <c r="C451" s="346">
        <v>1700313742.6700001</v>
      </c>
      <c r="D451" s="258">
        <v>2.4163100000000002</v>
      </c>
      <c r="E451" s="258">
        <f>B451-Index_Returns!AA451</f>
        <v>-9.8099999999998744E-3</v>
      </c>
    </row>
    <row r="452" spans="1:5" x14ac:dyDescent="0.2">
      <c r="A452" s="345">
        <v>41274</v>
      </c>
      <c r="B452" s="258">
        <f t="shared" si="0"/>
        <v>3.2045499999999998</v>
      </c>
      <c r="C452" s="346">
        <v>1754801100.3299999</v>
      </c>
      <c r="D452" s="258">
        <v>3.2045499999999998</v>
      </c>
      <c r="E452" s="258">
        <f>B452-Index_Returns!AA452</f>
        <v>-7.2600000000000442E-3</v>
      </c>
    </row>
    <row r="453" spans="1:5" x14ac:dyDescent="0.2">
      <c r="A453" s="345">
        <v>41305</v>
      </c>
      <c r="B453" s="258">
        <f t="shared" si="0"/>
        <v>5.2972299999999999</v>
      </c>
      <c r="C453" s="346">
        <v>1847757007.3499999</v>
      </c>
      <c r="D453" s="258">
        <v>5.2972299999999999</v>
      </c>
      <c r="E453" s="258">
        <f>B453-Index_Returns!AA453</f>
        <v>4.7699999999997189E-3</v>
      </c>
    </row>
    <row r="454" spans="1:5" x14ac:dyDescent="0.2">
      <c r="A454" s="345">
        <v>41333</v>
      </c>
      <c r="B454" s="258">
        <f t="shared" si="0"/>
        <v>-0.93361000000000005</v>
      </c>
      <c r="C454" s="346">
        <v>1830506131.52</v>
      </c>
      <c r="D454" s="258">
        <v>-0.93361000000000005</v>
      </c>
      <c r="E454" s="258">
        <f>B454-Index_Returns!AA454</f>
        <v>-1.0130000000000083E-2</v>
      </c>
    </row>
    <row r="455" spans="1:5" x14ac:dyDescent="0.2">
      <c r="A455" s="345">
        <v>41364</v>
      </c>
      <c r="B455" s="258">
        <f t="shared" si="0"/>
        <v>0.84780999999999995</v>
      </c>
      <c r="C455" s="346">
        <v>1846600573.0699999</v>
      </c>
      <c r="D455" s="258">
        <v>0.84780999999999995</v>
      </c>
      <c r="E455" s="258">
        <f>B455-Index_Returns!AA455</f>
        <v>-2.7780000000000027E-2</v>
      </c>
    </row>
    <row r="456" spans="1:5" x14ac:dyDescent="0.2">
      <c r="A456" s="345">
        <v>41394</v>
      </c>
      <c r="B456" s="258">
        <f t="shared" si="0"/>
        <v>5.2961400000000003</v>
      </c>
      <c r="C456" s="346">
        <v>1944399114.45</v>
      </c>
      <c r="D456" s="258">
        <v>5.2961400000000003</v>
      </c>
      <c r="E456" s="258">
        <f>B456-Index_Returns!AA456</f>
        <v>-3.4289999999999488E-2</v>
      </c>
    </row>
    <row r="457" spans="1:5" x14ac:dyDescent="0.2">
      <c r="A457" s="345">
        <v>41425</v>
      </c>
      <c r="B457" s="258">
        <f t="shared" si="0"/>
        <v>-2.33541</v>
      </c>
      <c r="C457" s="346">
        <v>1899300985.3199999</v>
      </c>
      <c r="D457" s="258">
        <v>-2.33541</v>
      </c>
      <c r="E457" s="258">
        <f>B457-Index_Returns!AA457</f>
        <v>-2.9809999999999892E-2</v>
      </c>
    </row>
    <row r="458" spans="1:5" x14ac:dyDescent="0.2">
      <c r="A458" s="345">
        <v>41455</v>
      </c>
      <c r="B458" s="258">
        <f t="shared" si="0"/>
        <v>-3.5591200000000001</v>
      </c>
      <c r="C458" s="1307">
        <v>1831702575.97</v>
      </c>
      <c r="D458" s="1306">
        <v>-3.5591200000000001</v>
      </c>
      <c r="E458" s="258">
        <f>B458-Index_Returns!AA458</f>
        <v>-2.9720000000000191E-2</v>
      </c>
    </row>
    <row r="459" spans="1:5" x14ac:dyDescent="0.2">
      <c r="A459" s="345">
        <v>41486</v>
      </c>
      <c r="B459" s="258">
        <f t="shared" si="0"/>
        <v>5.2963100000000001</v>
      </c>
      <c r="C459" s="346">
        <v>1928715303.5799999</v>
      </c>
      <c r="D459" s="258">
        <v>5.2963100000000001</v>
      </c>
      <c r="E459" s="258">
        <f>B459-Index_Returns!AA459</f>
        <v>1.1840000000000295E-2</v>
      </c>
    </row>
    <row r="460" spans="1:5" x14ac:dyDescent="0.2">
      <c r="A460" s="345">
        <v>41517</v>
      </c>
      <c r="B460" s="258">
        <f t="shared" si="0"/>
        <v>-1.3136300000000001</v>
      </c>
      <c r="C460" s="346">
        <v>1903379039.3800001</v>
      </c>
      <c r="D460" s="258">
        <v>-1.3136300000000001</v>
      </c>
      <c r="E460" s="258">
        <f>B460-Index_Returns!AA460</f>
        <v>-1.6400000000000858E-3</v>
      </c>
    </row>
    <row r="461" spans="1:5" x14ac:dyDescent="0.2">
      <c r="A461" s="345">
        <v>41547</v>
      </c>
      <c r="B461" s="258">
        <f t="shared" si="0"/>
        <v>7.3955500000000001</v>
      </c>
      <c r="C461" s="346">
        <v>2044144290.9400001</v>
      </c>
      <c r="D461" s="258">
        <v>7.3955500000000001</v>
      </c>
      <c r="E461" s="258">
        <f>B461-Index_Returns!AA461</f>
        <v>-2.0299999999999763E-2</v>
      </c>
    </row>
    <row r="462" spans="1:5" x14ac:dyDescent="0.2">
      <c r="A462" s="345">
        <v>41578</v>
      </c>
      <c r="B462" s="258">
        <f t="shared" si="0"/>
        <v>3.3626800000000001</v>
      </c>
      <c r="C462" s="346">
        <v>2112882288.1900001</v>
      </c>
      <c r="D462" s="258">
        <v>3.3626800000000001</v>
      </c>
      <c r="E462" s="258">
        <f>B462-Index_Returns!AA462</f>
        <v>-1.4599999999997948E-3</v>
      </c>
    </row>
    <row r="463" spans="1:5" x14ac:dyDescent="0.2">
      <c r="A463" s="345">
        <v>41608</v>
      </c>
      <c r="B463" s="258">
        <f t="shared" si="0"/>
        <v>0.72397</v>
      </c>
      <c r="C463" s="346">
        <v>2250973729.96</v>
      </c>
      <c r="D463" s="258">
        <v>0.72397</v>
      </c>
      <c r="E463" s="258">
        <f>B463-Index_Returns!AA463</f>
        <v>-5.8810000000000029E-2</v>
      </c>
    </row>
    <row r="464" spans="1:5" x14ac:dyDescent="0.2">
      <c r="A464" s="345">
        <v>41639</v>
      </c>
      <c r="B464" s="258">
        <f t="shared" si="0"/>
        <v>1.5033300000000001</v>
      </c>
      <c r="C464" s="346">
        <v>2325414554.2199998</v>
      </c>
      <c r="D464" s="258">
        <v>1.5033300000000001</v>
      </c>
      <c r="E464" s="258">
        <f>B464-Index_Returns!AA464</f>
        <v>-8.639999999999981E-3</v>
      </c>
    </row>
    <row r="465" spans="1:5" x14ac:dyDescent="0.2">
      <c r="A465" s="345">
        <v>41670</v>
      </c>
      <c r="B465" s="258">
        <f t="shared" si="0"/>
        <v>-4.03484</v>
      </c>
      <c r="C465" s="346">
        <v>2231907280.1100001</v>
      </c>
      <c r="D465" s="258">
        <v>-4.03484</v>
      </c>
      <c r="E465" s="258">
        <f>B465-Index_Returns!AA465</f>
        <v>-8.2500000000003126E-3</v>
      </c>
    </row>
    <row r="466" spans="1:5" x14ac:dyDescent="0.2">
      <c r="A466" s="345">
        <v>41698</v>
      </c>
      <c r="B466" s="258">
        <f t="shared" si="0"/>
        <v>5.5897800000000002</v>
      </c>
      <c r="C466" s="346">
        <v>2356665986.5900002</v>
      </c>
      <c r="D466" s="258">
        <v>5.5897800000000002</v>
      </c>
      <c r="E466" s="258">
        <f>B466-Index_Returns!AA466</f>
        <v>3.0560000000000365E-2</v>
      </c>
    </row>
    <row r="467" spans="1:5" x14ac:dyDescent="0.2">
      <c r="A467" s="345">
        <v>41729</v>
      </c>
      <c r="B467" s="258">
        <f t="shared" si="0"/>
        <v>-0.58733999999999997</v>
      </c>
      <c r="C467" s="346">
        <v>2342824239.8899999</v>
      </c>
      <c r="D467" s="258">
        <v>-0.58733999999999997</v>
      </c>
      <c r="E467" s="258">
        <f>B467-Index_Returns!AA467</f>
        <v>5.0020000000000064E-2</v>
      </c>
    </row>
    <row r="468" spans="1:5" x14ac:dyDescent="0.2">
      <c r="A468" s="345">
        <v>41759</v>
      </c>
      <c r="B468" s="258">
        <f t="shared" si="0"/>
        <v>1.5206599999999999</v>
      </c>
      <c r="C468" s="346">
        <v>2378450510.8000002</v>
      </c>
      <c r="D468" s="258">
        <v>1.5206599999999999</v>
      </c>
      <c r="E468" s="258">
        <f>B468-Index_Returns!AA468</f>
        <v>7.5059999999999905E-2</v>
      </c>
    </row>
    <row r="469" spans="1:5" x14ac:dyDescent="0.2">
      <c r="A469" s="345">
        <v>41790</v>
      </c>
      <c r="B469" s="258">
        <f t="shared" si="0"/>
        <v>1.68754</v>
      </c>
      <c r="C469" s="346">
        <v>2418938866.9499998</v>
      </c>
      <c r="D469" s="258">
        <v>1.68754</v>
      </c>
      <c r="E469" s="258">
        <f>B469-Index_Returns!AA469</f>
        <v>6.3479999999999981E-2</v>
      </c>
    </row>
    <row r="470" spans="1:5" x14ac:dyDescent="0.2">
      <c r="A470" s="345">
        <v>41820</v>
      </c>
      <c r="B470" s="258">
        <f t="shared" si="0"/>
        <v>0.98677000000000004</v>
      </c>
      <c r="C470" s="346">
        <v>2442808126.6399999</v>
      </c>
      <c r="D470" s="258">
        <v>0.98677000000000004</v>
      </c>
      <c r="E470" s="258">
        <f>B470-Index_Returns!AA470</f>
        <v>2.2580000000000044E-2</v>
      </c>
    </row>
    <row r="471" spans="1:5" x14ac:dyDescent="0.2">
      <c r="A471" s="345">
        <v>41851</v>
      </c>
      <c r="B471" s="258">
        <f t="shared" si="0"/>
        <v>-1.94309</v>
      </c>
      <c r="C471" s="346">
        <v>2395342125.7740002</v>
      </c>
      <c r="D471" s="258">
        <v>-1.94309</v>
      </c>
      <c r="E471" s="258">
        <f>B471-Index_Returns!AA471</f>
        <v>2.2199999999999998E-2</v>
      </c>
    </row>
    <row r="472" spans="1:5" x14ac:dyDescent="0.2">
      <c r="A472" s="345">
        <v>41882</v>
      </c>
      <c r="B472" s="258">
        <f t="shared" si="0"/>
        <v>-0.15432000000000001</v>
      </c>
      <c r="C472" s="346">
        <v>2392012225.3299999</v>
      </c>
      <c r="D472" s="258">
        <v>-0.15432000000000001</v>
      </c>
      <c r="E472" s="258">
        <f>B472-Index_Returns!AA472</f>
        <v>-5.0000000000000044E-4</v>
      </c>
    </row>
    <row r="473" spans="1:5" x14ac:dyDescent="0.2">
      <c r="A473" s="345">
        <v>41912</v>
      </c>
      <c r="B473" s="258">
        <f t="shared" si="0"/>
        <v>0</v>
      </c>
      <c r="E473" s="258">
        <f>B473-Index_Returns!AA473</f>
        <v>0</v>
      </c>
    </row>
    <row r="474" spans="1:5" x14ac:dyDescent="0.2">
      <c r="A474" s="345">
        <v>41943</v>
      </c>
      <c r="B474" s="258">
        <f t="shared" si="0"/>
        <v>0</v>
      </c>
      <c r="E474" s="258">
        <f>B474-Index_Returns!AA474</f>
        <v>0</v>
      </c>
    </row>
    <row r="475" spans="1:5" x14ac:dyDescent="0.2">
      <c r="A475" s="345">
        <v>41973</v>
      </c>
      <c r="B475" s="258">
        <f t="shared" si="0"/>
        <v>0</v>
      </c>
      <c r="E475" s="258">
        <f>B475-Index_Returns!AA475</f>
        <v>0</v>
      </c>
    </row>
    <row r="476" spans="1:5" x14ac:dyDescent="0.2">
      <c r="A476" s="345">
        <v>42004</v>
      </c>
      <c r="B476" s="258">
        <f t="shared" si="0"/>
        <v>0</v>
      </c>
      <c r="E476" s="258">
        <f>B476-Index_Returns!AA476</f>
        <v>0</v>
      </c>
    </row>
    <row r="477" spans="1:5" x14ac:dyDescent="0.2">
      <c r="A477" s="345">
        <v>42035</v>
      </c>
      <c r="B477" s="258">
        <f t="shared" si="0"/>
        <v>0</v>
      </c>
      <c r="E477" s="258">
        <f>B477-Index_Returns!AA477</f>
        <v>0</v>
      </c>
    </row>
    <row r="478" spans="1:5" x14ac:dyDescent="0.2">
      <c r="A478" s="345">
        <v>42063</v>
      </c>
      <c r="B478" s="258">
        <f t="shared" si="0"/>
        <v>0</v>
      </c>
      <c r="E478" s="258">
        <f>B478-Index_Returns!AA478</f>
        <v>0</v>
      </c>
    </row>
    <row r="479" spans="1:5" x14ac:dyDescent="0.2">
      <c r="A479" s="345">
        <v>42094</v>
      </c>
      <c r="B479" s="258">
        <f t="shared" si="0"/>
        <v>0</v>
      </c>
      <c r="E479" s="258">
        <f>B479-Index_Returns!AA479</f>
        <v>0</v>
      </c>
    </row>
    <row r="480" spans="1:5" x14ac:dyDescent="0.2">
      <c r="A480" s="345">
        <v>42124</v>
      </c>
      <c r="B480" s="258">
        <f t="shared" si="0"/>
        <v>0</v>
      </c>
      <c r="E480" s="258">
        <f>B480-Index_Returns!AA480</f>
        <v>0</v>
      </c>
    </row>
    <row r="481" spans="1:5" x14ac:dyDescent="0.2">
      <c r="A481" s="345">
        <v>42155</v>
      </c>
      <c r="B481" s="258">
        <f t="shared" si="0"/>
        <v>0</v>
      </c>
      <c r="E481" s="258">
        <f>B481-Index_Returns!AA481</f>
        <v>0</v>
      </c>
    </row>
    <row r="482" spans="1:5" x14ac:dyDescent="0.2">
      <c r="A482" s="345">
        <v>42185</v>
      </c>
      <c r="B482" s="258">
        <f t="shared" si="0"/>
        <v>0</v>
      </c>
      <c r="E482" s="258">
        <f>B482-Index_Returns!AA482</f>
        <v>0</v>
      </c>
    </row>
    <row r="483" spans="1:5" x14ac:dyDescent="0.2">
      <c r="A483" s="345">
        <v>42216</v>
      </c>
      <c r="B483" s="258">
        <f t="shared" si="0"/>
        <v>0</v>
      </c>
      <c r="E483" s="258">
        <f>B483-Index_Returns!AA483</f>
        <v>0</v>
      </c>
    </row>
    <row r="484" spans="1:5" x14ac:dyDescent="0.2">
      <c r="A484" s="345">
        <v>42247</v>
      </c>
      <c r="B484" s="258">
        <f t="shared" si="0"/>
        <v>0</v>
      </c>
      <c r="E484" s="258">
        <f>B484-Index_Returns!AA484</f>
        <v>0</v>
      </c>
    </row>
    <row r="485" spans="1:5" x14ac:dyDescent="0.2">
      <c r="A485" s="345">
        <v>42277</v>
      </c>
      <c r="B485" s="258">
        <f t="shared" si="0"/>
        <v>0</v>
      </c>
      <c r="E485" s="258">
        <f>B485-Index_Returns!AA485</f>
        <v>0</v>
      </c>
    </row>
    <row r="486" spans="1:5" x14ac:dyDescent="0.2">
      <c r="A486" s="345">
        <v>42308</v>
      </c>
      <c r="B486" s="258">
        <f t="shared" si="0"/>
        <v>0</v>
      </c>
      <c r="E486" s="258">
        <f>B486-Index_Returns!AA486</f>
        <v>0</v>
      </c>
    </row>
    <row r="487" spans="1:5" x14ac:dyDescent="0.2">
      <c r="A487" s="345">
        <v>42338</v>
      </c>
      <c r="B487" s="258">
        <f t="shared" si="0"/>
        <v>0</v>
      </c>
      <c r="E487" s="258">
        <f>B487-Index_Returns!AA487</f>
        <v>0</v>
      </c>
    </row>
    <row r="488" spans="1:5" x14ac:dyDescent="0.2">
      <c r="A488" s="345">
        <v>42369</v>
      </c>
      <c r="B488" s="258">
        <f t="shared" si="0"/>
        <v>0</v>
      </c>
      <c r="E488" s="258">
        <f>B488-Index_Returns!AA488</f>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pageSetUpPr fitToPage="1"/>
  </sheetPr>
  <dimension ref="A1:H488"/>
  <sheetViews>
    <sheetView workbookViewId="0">
      <pane xSplit="1" ySplit="2" topLeftCell="B447" activePane="bottomRight" state="frozen"/>
      <selection activeCell="E452" sqref="E452:E464"/>
      <selection pane="topRight" activeCell="E452" sqref="E452:E464"/>
      <selection pane="bottomLeft" activeCell="E452" sqref="E452:E464"/>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5" width="18.7109375" style="258" customWidth="1"/>
    <col min="6" max="6" width="12.42578125" bestFit="1" customWidth="1"/>
    <col min="7" max="8" width="9.140625" style="352"/>
  </cols>
  <sheetData>
    <row r="1" spans="1:6" x14ac:dyDescent="0.2">
      <c r="A1" s="1420" t="s">
        <v>877</v>
      </c>
      <c r="B1" s="1378"/>
      <c r="C1" s="1381"/>
      <c r="D1" s="1370"/>
      <c r="E1" s="74" t="s">
        <v>81</v>
      </c>
      <c r="F1" s="1453" t="s">
        <v>756</v>
      </c>
    </row>
    <row r="2" spans="1:6" x14ac:dyDescent="0.2">
      <c r="A2" s="3" t="s">
        <v>27</v>
      </c>
      <c r="B2" s="71" t="s">
        <v>91</v>
      </c>
      <c r="C2" s="226" t="s">
        <v>92</v>
      </c>
      <c r="D2" s="71" t="s">
        <v>90</v>
      </c>
      <c r="E2" s="71" t="s">
        <v>80</v>
      </c>
    </row>
    <row r="3" spans="1:6" x14ac:dyDescent="0.2">
      <c r="A3" s="345">
        <v>27606</v>
      </c>
      <c r="B3" s="71"/>
      <c r="C3" s="226"/>
      <c r="D3" s="71"/>
      <c r="E3" s="71"/>
    </row>
    <row r="4" spans="1:6" x14ac:dyDescent="0.2">
      <c r="A4" s="345">
        <v>27637</v>
      </c>
      <c r="B4" s="71"/>
      <c r="C4" s="226"/>
      <c r="D4" s="71"/>
      <c r="E4" s="71"/>
    </row>
    <row r="5" spans="1:6" x14ac:dyDescent="0.2">
      <c r="A5" s="345">
        <v>27667</v>
      </c>
      <c r="B5" s="71"/>
      <c r="C5" s="226"/>
      <c r="D5" s="71"/>
      <c r="E5" s="71"/>
    </row>
    <row r="6" spans="1:6" x14ac:dyDescent="0.2">
      <c r="A6" s="345">
        <v>27698</v>
      </c>
      <c r="B6" s="71"/>
      <c r="C6" s="226"/>
      <c r="D6" s="71"/>
      <c r="E6" s="71"/>
    </row>
    <row r="7" spans="1:6" x14ac:dyDescent="0.2">
      <c r="A7" s="345">
        <v>27728</v>
      </c>
      <c r="B7" s="71"/>
      <c r="C7" s="226"/>
      <c r="D7" s="71"/>
      <c r="E7" s="71"/>
    </row>
    <row r="8" spans="1:6" x14ac:dyDescent="0.2">
      <c r="A8" s="345">
        <v>27759</v>
      </c>
      <c r="B8" s="71"/>
      <c r="C8" s="226"/>
      <c r="D8" s="71"/>
      <c r="E8" s="71"/>
    </row>
    <row r="9" spans="1:6" x14ac:dyDescent="0.2">
      <c r="A9" s="345">
        <v>27790</v>
      </c>
      <c r="B9" s="71"/>
      <c r="C9" s="226"/>
      <c r="D9" s="71"/>
      <c r="E9" s="71"/>
    </row>
    <row r="10" spans="1:6" x14ac:dyDescent="0.2">
      <c r="A10" s="345">
        <v>27819</v>
      </c>
      <c r="B10" s="71"/>
      <c r="C10" s="226"/>
      <c r="D10" s="71"/>
      <c r="E10" s="71"/>
    </row>
    <row r="11" spans="1:6" x14ac:dyDescent="0.2">
      <c r="A11" s="345">
        <v>27850</v>
      </c>
      <c r="B11" s="71"/>
      <c r="C11" s="226"/>
      <c r="D11" s="71"/>
      <c r="E11" s="71"/>
    </row>
    <row r="12" spans="1:6" x14ac:dyDescent="0.2">
      <c r="A12" s="345">
        <v>27880</v>
      </c>
      <c r="B12" s="71"/>
      <c r="C12" s="226"/>
      <c r="D12" s="71"/>
      <c r="E12" s="71"/>
    </row>
    <row r="13" spans="1:6" x14ac:dyDescent="0.2">
      <c r="A13" s="345">
        <v>27911</v>
      </c>
      <c r="B13" s="71"/>
      <c r="C13" s="226"/>
      <c r="D13" s="71"/>
      <c r="E13" s="71"/>
    </row>
    <row r="14" spans="1:6" x14ac:dyDescent="0.2">
      <c r="A14" s="345">
        <v>27941</v>
      </c>
      <c r="B14" s="71"/>
      <c r="C14" s="226"/>
      <c r="D14" s="71"/>
      <c r="E14" s="71"/>
    </row>
    <row r="15" spans="1:6" x14ac:dyDescent="0.2">
      <c r="A15" s="345">
        <v>27972</v>
      </c>
      <c r="B15" s="71"/>
      <c r="C15" s="226"/>
      <c r="D15" s="71"/>
      <c r="E15" s="71"/>
    </row>
    <row r="16" spans="1:6"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row>
    <row r="142" spans="1:5" x14ac:dyDescent="0.2">
      <c r="A142" s="345">
        <v>31836</v>
      </c>
      <c r="B142" s="73"/>
      <c r="C142" s="25"/>
      <c r="D142" s="73"/>
    </row>
    <row r="143" spans="1:5" x14ac:dyDescent="0.2">
      <c r="A143" s="345">
        <v>31867</v>
      </c>
      <c r="B143" s="73"/>
      <c r="C143" s="25"/>
      <c r="D143" s="73"/>
    </row>
    <row r="144" spans="1:5" x14ac:dyDescent="0.2">
      <c r="A144" s="345">
        <v>31897</v>
      </c>
      <c r="B144" s="73"/>
      <c r="C144" s="25"/>
      <c r="D144" s="73"/>
    </row>
    <row r="145" spans="1:4" x14ac:dyDescent="0.2">
      <c r="A145" s="345">
        <v>31928</v>
      </c>
      <c r="B145" s="73"/>
      <c r="C145" s="25"/>
      <c r="D145" s="73"/>
    </row>
    <row r="146" spans="1:4" x14ac:dyDescent="0.2">
      <c r="A146" s="345">
        <v>31958</v>
      </c>
      <c r="B146" s="73"/>
      <c r="C146" s="25"/>
      <c r="D146" s="73"/>
    </row>
    <row r="147" spans="1:4" x14ac:dyDescent="0.2">
      <c r="A147" s="345">
        <v>31989</v>
      </c>
      <c r="B147" s="73"/>
      <c r="C147" s="25"/>
      <c r="D147" s="73"/>
    </row>
    <row r="148" spans="1:4" x14ac:dyDescent="0.2">
      <c r="A148" s="345">
        <v>32020</v>
      </c>
      <c r="B148" s="73"/>
      <c r="C148" s="25"/>
      <c r="D148" s="73"/>
    </row>
    <row r="149" spans="1:4" x14ac:dyDescent="0.2">
      <c r="A149" s="345">
        <v>32050</v>
      </c>
      <c r="B149" s="73"/>
      <c r="C149" s="25"/>
      <c r="D149" s="73"/>
    </row>
    <row r="150" spans="1:4" x14ac:dyDescent="0.2">
      <c r="A150" s="345">
        <v>32081</v>
      </c>
      <c r="B150" s="73"/>
      <c r="C150" s="25"/>
      <c r="D150" s="73"/>
    </row>
    <row r="151" spans="1:4" x14ac:dyDescent="0.2">
      <c r="A151" s="345">
        <v>32111</v>
      </c>
      <c r="B151" s="73"/>
      <c r="C151" s="25"/>
      <c r="D151" s="73"/>
    </row>
    <row r="152" spans="1:4" x14ac:dyDescent="0.2">
      <c r="A152" s="345">
        <v>32142</v>
      </c>
      <c r="B152" s="73"/>
      <c r="C152" s="25"/>
      <c r="D152" s="73"/>
    </row>
    <row r="153" spans="1:4" x14ac:dyDescent="0.2">
      <c r="A153" s="345">
        <v>32173</v>
      </c>
      <c r="B153" s="73"/>
      <c r="C153" s="25"/>
      <c r="D153" s="73"/>
    </row>
    <row r="154" spans="1:4" x14ac:dyDescent="0.2">
      <c r="A154" s="345">
        <v>32202</v>
      </c>
      <c r="B154" s="73"/>
      <c r="C154" s="25"/>
      <c r="D154" s="73"/>
    </row>
    <row r="155" spans="1:4" x14ac:dyDescent="0.2">
      <c r="A155" s="345">
        <v>32233</v>
      </c>
      <c r="B155" s="73"/>
      <c r="C155" s="25"/>
      <c r="D155" s="73"/>
    </row>
    <row r="156" spans="1:4" x14ac:dyDescent="0.2">
      <c r="A156" s="345">
        <v>32263</v>
      </c>
      <c r="B156" s="73"/>
      <c r="C156" s="25"/>
      <c r="D156" s="73"/>
    </row>
    <row r="157" spans="1:4" x14ac:dyDescent="0.2">
      <c r="A157" s="345">
        <v>32294</v>
      </c>
      <c r="B157" s="73"/>
      <c r="C157" s="25"/>
      <c r="D157" s="73"/>
    </row>
    <row r="158" spans="1:4" x14ac:dyDescent="0.2">
      <c r="A158" s="345">
        <v>32324</v>
      </c>
      <c r="B158" s="73"/>
      <c r="C158" s="25"/>
      <c r="D158" s="73"/>
    </row>
    <row r="159" spans="1:4" x14ac:dyDescent="0.2">
      <c r="A159" s="345">
        <v>32355</v>
      </c>
      <c r="B159" s="73"/>
      <c r="C159" s="25"/>
      <c r="D159" s="73"/>
    </row>
    <row r="160" spans="1:4" x14ac:dyDescent="0.2">
      <c r="A160" s="345">
        <v>32386</v>
      </c>
      <c r="B160" s="73"/>
      <c r="C160" s="25"/>
      <c r="D160" s="73"/>
    </row>
    <row r="161" spans="1:4" x14ac:dyDescent="0.2">
      <c r="A161" s="345">
        <v>32416</v>
      </c>
      <c r="B161" s="73"/>
      <c r="C161" s="25"/>
      <c r="D161" s="73"/>
    </row>
    <row r="162" spans="1:4" x14ac:dyDescent="0.2">
      <c r="A162" s="345">
        <v>32447</v>
      </c>
      <c r="B162" s="73"/>
      <c r="C162" s="25"/>
      <c r="D162" s="73"/>
    </row>
    <row r="163" spans="1:4" x14ac:dyDescent="0.2">
      <c r="A163" s="345">
        <v>32477</v>
      </c>
      <c r="B163" s="73"/>
      <c r="C163" s="25"/>
      <c r="D163" s="73"/>
    </row>
    <row r="164" spans="1:4" x14ac:dyDescent="0.2">
      <c r="A164" s="345">
        <v>32508</v>
      </c>
      <c r="B164" s="73"/>
      <c r="C164" s="25"/>
      <c r="D164" s="73"/>
    </row>
    <row r="165" spans="1:4" x14ac:dyDescent="0.2">
      <c r="A165" s="345">
        <v>32539</v>
      </c>
      <c r="B165" s="73"/>
      <c r="C165" s="25"/>
      <c r="D165" s="73"/>
    </row>
    <row r="166" spans="1:4" x14ac:dyDescent="0.2">
      <c r="A166" s="345">
        <v>32567</v>
      </c>
      <c r="B166" s="73"/>
      <c r="C166" s="25"/>
      <c r="D166" s="73"/>
    </row>
    <row r="167" spans="1:4" x14ac:dyDescent="0.2">
      <c r="A167" s="345">
        <v>32598</v>
      </c>
      <c r="B167" s="73"/>
      <c r="C167" s="25"/>
      <c r="D167" s="73"/>
    </row>
    <row r="168" spans="1:4" x14ac:dyDescent="0.2">
      <c r="A168" s="345">
        <v>32628</v>
      </c>
      <c r="B168" s="73"/>
      <c r="C168" s="25"/>
      <c r="D168" s="73"/>
    </row>
    <row r="169" spans="1:4" x14ac:dyDescent="0.2">
      <c r="A169" s="345">
        <v>32659</v>
      </c>
      <c r="B169" s="73"/>
      <c r="C169" s="25"/>
      <c r="D169" s="73"/>
    </row>
    <row r="170" spans="1:4" x14ac:dyDescent="0.2">
      <c r="A170" s="345">
        <v>32689</v>
      </c>
      <c r="B170" s="73"/>
      <c r="C170" s="25"/>
      <c r="D170" s="73"/>
    </row>
    <row r="171" spans="1:4" x14ac:dyDescent="0.2">
      <c r="A171" s="345">
        <v>32720</v>
      </c>
      <c r="B171" s="73"/>
      <c r="C171" s="25"/>
      <c r="D171" s="73"/>
    </row>
    <row r="172" spans="1:4" x14ac:dyDescent="0.2">
      <c r="A172" s="345">
        <v>32751</v>
      </c>
      <c r="B172" s="73"/>
      <c r="C172" s="25"/>
      <c r="D172" s="73"/>
    </row>
    <row r="173" spans="1:4" x14ac:dyDescent="0.2">
      <c r="A173" s="345">
        <v>32781</v>
      </c>
      <c r="B173" s="73"/>
      <c r="C173" s="25"/>
      <c r="D173" s="73"/>
    </row>
    <row r="174" spans="1:4" x14ac:dyDescent="0.2">
      <c r="A174" s="345">
        <v>32812</v>
      </c>
      <c r="B174" s="73"/>
      <c r="C174" s="25"/>
      <c r="D174" s="73"/>
    </row>
    <row r="175" spans="1:4" x14ac:dyDescent="0.2">
      <c r="A175" s="345">
        <v>32842</v>
      </c>
      <c r="B175" s="73"/>
      <c r="C175" s="25"/>
      <c r="D175" s="73"/>
    </row>
    <row r="176" spans="1:4" x14ac:dyDescent="0.2">
      <c r="A176" s="345">
        <v>32873</v>
      </c>
      <c r="B176" s="73"/>
      <c r="C176" s="25"/>
      <c r="D176" s="73"/>
    </row>
    <row r="177" spans="1:4" x14ac:dyDescent="0.2">
      <c r="A177" s="345">
        <v>32904</v>
      </c>
      <c r="B177" s="73"/>
      <c r="C177" s="25"/>
      <c r="D177" s="73"/>
    </row>
    <row r="178" spans="1:4" x14ac:dyDescent="0.2">
      <c r="A178" s="345">
        <v>32932</v>
      </c>
      <c r="B178" s="73"/>
      <c r="C178" s="25"/>
      <c r="D178" s="73"/>
    </row>
    <row r="179" spans="1:4" x14ac:dyDescent="0.2">
      <c r="A179" s="345">
        <v>32963</v>
      </c>
      <c r="B179" s="73"/>
      <c r="C179" s="25"/>
      <c r="D179" s="73"/>
    </row>
    <row r="180" spans="1:4" x14ac:dyDescent="0.2">
      <c r="A180" s="345">
        <v>32993</v>
      </c>
      <c r="B180" s="73"/>
      <c r="C180" s="25"/>
      <c r="D180" s="73"/>
    </row>
    <row r="181" spans="1:4" x14ac:dyDescent="0.2">
      <c r="A181" s="345">
        <v>33024</v>
      </c>
      <c r="B181" s="73"/>
      <c r="C181" s="25"/>
      <c r="D181" s="73"/>
    </row>
    <row r="182" spans="1:4" x14ac:dyDescent="0.2">
      <c r="A182" s="345">
        <v>33054</v>
      </c>
      <c r="B182" s="73"/>
      <c r="C182" s="25"/>
      <c r="D182" s="73"/>
    </row>
    <row r="183" spans="1:4" x14ac:dyDescent="0.2">
      <c r="A183" s="345">
        <v>33085</v>
      </c>
      <c r="B183" s="73"/>
      <c r="C183" s="25"/>
      <c r="D183" s="73"/>
    </row>
    <row r="184" spans="1:4" x14ac:dyDescent="0.2">
      <c r="A184" s="345">
        <v>33116</v>
      </c>
      <c r="B184" s="73"/>
      <c r="C184" s="25"/>
      <c r="D184" s="73"/>
    </row>
    <row r="185" spans="1:4" x14ac:dyDescent="0.2">
      <c r="A185" s="345">
        <v>33146</v>
      </c>
      <c r="B185" s="73"/>
      <c r="C185" s="25"/>
      <c r="D185" s="73"/>
    </row>
    <row r="186" spans="1:4" x14ac:dyDescent="0.2">
      <c r="A186" s="345">
        <v>33177</v>
      </c>
      <c r="B186" s="73"/>
      <c r="C186" s="25"/>
      <c r="D186" s="73"/>
    </row>
    <row r="187" spans="1:4" x14ac:dyDescent="0.2">
      <c r="A187" s="345">
        <v>33207</v>
      </c>
      <c r="B187" s="73"/>
      <c r="C187" s="25"/>
      <c r="D187" s="73"/>
    </row>
    <row r="188" spans="1:4" x14ac:dyDescent="0.2">
      <c r="A188" s="345">
        <v>33238</v>
      </c>
      <c r="B188" s="73"/>
      <c r="C188" s="25"/>
      <c r="D188" s="73"/>
    </row>
    <row r="189" spans="1:4" x14ac:dyDescent="0.2">
      <c r="A189" s="345">
        <v>33269</v>
      </c>
      <c r="B189" s="73"/>
      <c r="C189" s="25"/>
      <c r="D189" s="73"/>
    </row>
    <row r="190" spans="1:4" x14ac:dyDescent="0.2">
      <c r="A190" s="345">
        <v>33297</v>
      </c>
      <c r="B190" s="73"/>
      <c r="C190" s="25"/>
      <c r="D190" s="73"/>
    </row>
    <row r="191" spans="1:4" x14ac:dyDescent="0.2">
      <c r="A191" s="345">
        <v>33328</v>
      </c>
      <c r="B191" s="73"/>
      <c r="C191" s="25"/>
      <c r="D191" s="73"/>
    </row>
    <row r="192" spans="1:4" x14ac:dyDescent="0.2">
      <c r="A192" s="345">
        <v>33358</v>
      </c>
      <c r="B192" s="73"/>
      <c r="C192" s="25"/>
      <c r="D192" s="73"/>
    </row>
    <row r="193" spans="1:4" x14ac:dyDescent="0.2">
      <c r="A193" s="345">
        <v>33389</v>
      </c>
      <c r="B193" s="73"/>
      <c r="C193" s="25"/>
      <c r="D193" s="73"/>
    </row>
    <row r="194" spans="1:4" x14ac:dyDescent="0.2">
      <c r="A194" s="345">
        <v>33419</v>
      </c>
      <c r="B194" s="73"/>
      <c r="C194" s="25"/>
      <c r="D194" s="73"/>
    </row>
    <row r="195" spans="1:4" x14ac:dyDescent="0.2">
      <c r="A195" s="345">
        <v>33450</v>
      </c>
      <c r="B195" s="73"/>
      <c r="C195" s="25"/>
      <c r="D195" s="73"/>
    </row>
    <row r="196" spans="1:4" x14ac:dyDescent="0.2">
      <c r="A196" s="345">
        <v>33481</v>
      </c>
      <c r="B196" s="73"/>
      <c r="C196" s="25"/>
      <c r="D196" s="73"/>
    </row>
    <row r="197" spans="1:4" x14ac:dyDescent="0.2">
      <c r="A197" s="345">
        <v>33511</v>
      </c>
      <c r="B197" s="73"/>
      <c r="C197" s="25"/>
      <c r="D197" s="73"/>
    </row>
    <row r="198" spans="1:4" x14ac:dyDescent="0.2">
      <c r="A198" s="345">
        <v>33542</v>
      </c>
      <c r="B198" s="73"/>
      <c r="C198" s="25"/>
      <c r="D198" s="73"/>
    </row>
    <row r="199" spans="1:4" x14ac:dyDescent="0.2">
      <c r="A199" s="345">
        <v>33572</v>
      </c>
      <c r="B199" s="73"/>
      <c r="C199" s="25"/>
      <c r="D199" s="73"/>
    </row>
    <row r="200" spans="1:4" x14ac:dyDescent="0.2">
      <c r="A200" s="345">
        <v>33603</v>
      </c>
      <c r="B200" s="73"/>
      <c r="C200" s="25"/>
      <c r="D200" s="73"/>
    </row>
    <row r="201" spans="1:4" x14ac:dyDescent="0.2">
      <c r="A201" s="345">
        <v>33634</v>
      </c>
      <c r="B201" s="73"/>
      <c r="C201" s="25"/>
      <c r="D201" s="73"/>
    </row>
    <row r="202" spans="1:4" x14ac:dyDescent="0.2">
      <c r="A202" s="345">
        <v>33663</v>
      </c>
      <c r="B202" s="73"/>
      <c r="C202" s="25"/>
      <c r="D202" s="73"/>
    </row>
    <row r="203" spans="1:4" x14ac:dyDescent="0.2">
      <c r="A203" s="345">
        <v>33694</v>
      </c>
      <c r="B203" s="73"/>
      <c r="C203" s="25"/>
      <c r="D203" s="73"/>
    </row>
    <row r="204" spans="1:4" x14ac:dyDescent="0.2">
      <c r="A204" s="345">
        <v>33724</v>
      </c>
      <c r="B204" s="73"/>
      <c r="C204" s="25"/>
      <c r="D204" s="73"/>
    </row>
    <row r="205" spans="1:4" x14ac:dyDescent="0.2">
      <c r="A205" s="345">
        <v>33755</v>
      </c>
      <c r="B205" s="73"/>
      <c r="C205" s="25"/>
      <c r="D205" s="73"/>
    </row>
    <row r="206" spans="1:4" x14ac:dyDescent="0.2">
      <c r="A206" s="345">
        <v>33785</v>
      </c>
      <c r="B206" s="73"/>
      <c r="C206" s="25"/>
      <c r="D206" s="73"/>
    </row>
    <row r="207" spans="1:4" x14ac:dyDescent="0.2">
      <c r="A207" s="345">
        <v>33816</v>
      </c>
      <c r="B207" s="73"/>
      <c r="C207" s="25"/>
      <c r="D207" s="73"/>
    </row>
    <row r="208" spans="1:4" x14ac:dyDescent="0.2">
      <c r="A208" s="345">
        <v>33847</v>
      </c>
      <c r="B208" s="73"/>
      <c r="C208" s="25"/>
      <c r="D208" s="73"/>
    </row>
    <row r="209" spans="1:4" x14ac:dyDescent="0.2">
      <c r="A209" s="345">
        <v>33877</v>
      </c>
      <c r="B209" s="73"/>
      <c r="C209" s="25"/>
      <c r="D209" s="73"/>
    </row>
    <row r="210" spans="1:4" x14ac:dyDescent="0.2">
      <c r="A210" s="345">
        <v>33908</v>
      </c>
      <c r="B210" s="73"/>
      <c r="C210" s="25"/>
      <c r="D210" s="73"/>
    </row>
    <row r="211" spans="1:4" x14ac:dyDescent="0.2">
      <c r="A211" s="345">
        <v>33938</v>
      </c>
      <c r="B211" s="73"/>
      <c r="C211" s="25"/>
      <c r="D211" s="73"/>
    </row>
    <row r="212" spans="1:4" x14ac:dyDescent="0.2">
      <c r="A212" s="345">
        <v>33969</v>
      </c>
      <c r="B212" s="73"/>
      <c r="C212" s="25"/>
      <c r="D212" s="73"/>
    </row>
    <row r="213" spans="1:4" x14ac:dyDescent="0.2">
      <c r="A213" s="345">
        <v>34000</v>
      </c>
      <c r="B213" s="73"/>
      <c r="C213" s="25"/>
      <c r="D213" s="73"/>
    </row>
    <row r="214" spans="1:4" x14ac:dyDescent="0.2">
      <c r="A214" s="345">
        <v>34028</v>
      </c>
      <c r="B214" s="73"/>
      <c r="C214" s="25"/>
      <c r="D214" s="73"/>
    </row>
    <row r="215" spans="1:4" x14ac:dyDescent="0.2">
      <c r="A215" s="345">
        <v>34059</v>
      </c>
      <c r="B215" s="73"/>
      <c r="C215" s="25"/>
      <c r="D215" s="73"/>
    </row>
    <row r="216" spans="1:4" x14ac:dyDescent="0.2">
      <c r="A216" s="345">
        <v>34089</v>
      </c>
      <c r="B216" s="73"/>
      <c r="C216" s="25"/>
      <c r="D216" s="73"/>
    </row>
    <row r="217" spans="1:4" x14ac:dyDescent="0.2">
      <c r="A217" s="345">
        <v>34120</v>
      </c>
      <c r="B217" s="73"/>
      <c r="C217" s="25"/>
      <c r="D217" s="73"/>
    </row>
    <row r="218" spans="1:4" x14ac:dyDescent="0.2">
      <c r="A218" s="345">
        <v>34150</v>
      </c>
      <c r="B218" s="73"/>
      <c r="C218" s="25"/>
      <c r="D218" s="73"/>
    </row>
    <row r="219" spans="1:4" x14ac:dyDescent="0.2">
      <c r="A219" s="345">
        <v>34181</v>
      </c>
      <c r="B219" s="73"/>
      <c r="C219" s="25"/>
      <c r="D219" s="73"/>
    </row>
    <row r="220" spans="1:4" x14ac:dyDescent="0.2">
      <c r="A220" s="345">
        <v>34212</v>
      </c>
      <c r="B220" s="73"/>
      <c r="C220" s="25"/>
      <c r="D220" s="73"/>
    </row>
    <row r="221" spans="1:4" x14ac:dyDescent="0.2">
      <c r="A221" s="345">
        <v>34242</v>
      </c>
      <c r="B221" s="73"/>
      <c r="C221" s="25"/>
      <c r="D221" s="73"/>
    </row>
    <row r="222" spans="1:4" x14ac:dyDescent="0.2">
      <c r="A222" s="345">
        <v>34273</v>
      </c>
      <c r="B222" s="73"/>
      <c r="C222" s="25"/>
      <c r="D222" s="73"/>
    </row>
    <row r="223" spans="1:4" x14ac:dyDescent="0.2">
      <c r="A223" s="345">
        <v>34303</v>
      </c>
      <c r="B223" s="73"/>
      <c r="C223" s="25"/>
      <c r="D223" s="73"/>
    </row>
    <row r="224" spans="1:4" x14ac:dyDescent="0.2">
      <c r="A224" s="345">
        <v>34334</v>
      </c>
      <c r="B224" s="73"/>
      <c r="C224" s="25"/>
      <c r="D224" s="73"/>
    </row>
    <row r="225" spans="1:4" x14ac:dyDescent="0.2">
      <c r="A225" s="345">
        <v>34365</v>
      </c>
      <c r="B225" s="73"/>
      <c r="C225" s="25"/>
      <c r="D225" s="73"/>
    </row>
    <row r="226" spans="1:4" x14ac:dyDescent="0.2">
      <c r="A226" s="345">
        <v>34393</v>
      </c>
      <c r="B226" s="73"/>
      <c r="C226" s="25"/>
      <c r="D226" s="73"/>
    </row>
    <row r="227" spans="1:4" x14ac:dyDescent="0.2">
      <c r="A227" s="345">
        <v>34424</v>
      </c>
      <c r="B227" s="73"/>
      <c r="C227" s="25"/>
      <c r="D227" s="73"/>
    </row>
    <row r="228" spans="1:4" x14ac:dyDescent="0.2">
      <c r="A228" s="345">
        <v>34454</v>
      </c>
      <c r="B228" s="73"/>
      <c r="C228" s="25"/>
      <c r="D228" s="73"/>
    </row>
    <row r="229" spans="1:4" x14ac:dyDescent="0.2">
      <c r="A229" s="345">
        <v>34485</v>
      </c>
      <c r="B229" s="73"/>
      <c r="C229" s="25"/>
      <c r="D229" s="73"/>
    </row>
    <row r="230" spans="1:4" x14ac:dyDescent="0.2">
      <c r="A230" s="345">
        <v>34515</v>
      </c>
      <c r="B230" s="73"/>
      <c r="C230" s="25"/>
      <c r="D230" s="73"/>
    </row>
    <row r="231" spans="1:4" x14ac:dyDescent="0.2">
      <c r="A231" s="345">
        <v>34546</v>
      </c>
      <c r="B231" s="73"/>
      <c r="C231" s="25"/>
      <c r="D231" s="73"/>
    </row>
    <row r="232" spans="1:4" x14ac:dyDescent="0.2">
      <c r="A232" s="345">
        <v>34577</v>
      </c>
      <c r="B232" s="73"/>
      <c r="C232" s="25"/>
      <c r="D232" s="73"/>
    </row>
    <row r="233" spans="1:4" x14ac:dyDescent="0.2">
      <c r="A233" s="345">
        <v>34607</v>
      </c>
      <c r="B233" s="73"/>
      <c r="C233" s="25"/>
      <c r="D233" s="73"/>
    </row>
    <row r="234" spans="1:4" x14ac:dyDescent="0.2">
      <c r="A234" s="345">
        <v>34638</v>
      </c>
      <c r="B234" s="73"/>
      <c r="C234" s="25"/>
      <c r="D234" s="73"/>
    </row>
    <row r="235" spans="1:4" x14ac:dyDescent="0.2">
      <c r="A235" s="345">
        <v>34668</v>
      </c>
      <c r="B235" s="73"/>
      <c r="C235" s="25"/>
      <c r="D235" s="73"/>
    </row>
    <row r="236" spans="1:4" x14ac:dyDescent="0.2">
      <c r="A236" s="345">
        <v>34699</v>
      </c>
      <c r="B236" s="73"/>
      <c r="C236" s="25"/>
      <c r="D236" s="73"/>
    </row>
    <row r="237" spans="1:4" x14ac:dyDescent="0.2">
      <c r="A237" s="345">
        <v>34730</v>
      </c>
      <c r="B237" s="73"/>
      <c r="C237" s="25"/>
      <c r="D237" s="73"/>
    </row>
    <row r="238" spans="1:4" x14ac:dyDescent="0.2">
      <c r="A238" s="345">
        <v>34758</v>
      </c>
      <c r="B238" s="73"/>
      <c r="C238" s="25"/>
      <c r="D238" s="73"/>
    </row>
    <row r="239" spans="1:4" x14ac:dyDescent="0.2">
      <c r="A239" s="345">
        <v>34789</v>
      </c>
      <c r="B239" s="73"/>
      <c r="C239" s="25"/>
      <c r="D239" s="73"/>
    </row>
    <row r="240" spans="1:4" x14ac:dyDescent="0.2">
      <c r="A240" s="345">
        <v>34819</v>
      </c>
      <c r="B240" s="73"/>
      <c r="C240" s="25"/>
      <c r="D240" s="73"/>
    </row>
    <row r="241" spans="1:4" x14ac:dyDescent="0.2">
      <c r="A241" s="345">
        <v>34850</v>
      </c>
      <c r="B241" s="73"/>
      <c r="C241" s="25"/>
      <c r="D241" s="73"/>
    </row>
    <row r="242" spans="1:4" x14ac:dyDescent="0.2">
      <c r="A242" s="345">
        <v>34880</v>
      </c>
      <c r="B242" s="73"/>
      <c r="C242" s="25"/>
      <c r="D242" s="73"/>
    </row>
    <row r="243" spans="1:4" x14ac:dyDescent="0.2">
      <c r="A243" s="345">
        <v>34911</v>
      </c>
      <c r="B243" s="73"/>
      <c r="C243" s="25"/>
      <c r="D243" s="73"/>
    </row>
    <row r="244" spans="1:4" x14ac:dyDescent="0.2">
      <c r="A244" s="345">
        <v>34942</v>
      </c>
      <c r="B244" s="73"/>
      <c r="C244" s="25"/>
      <c r="D244" s="73"/>
    </row>
    <row r="245" spans="1:4" x14ac:dyDescent="0.2">
      <c r="A245" s="345">
        <v>34972</v>
      </c>
      <c r="B245" s="73"/>
      <c r="C245" s="25"/>
      <c r="D245" s="73"/>
    </row>
    <row r="246" spans="1:4" x14ac:dyDescent="0.2">
      <c r="A246" s="345">
        <v>35003</v>
      </c>
      <c r="B246" s="73"/>
      <c r="C246" s="25"/>
      <c r="D246" s="73"/>
    </row>
    <row r="247" spans="1:4" x14ac:dyDescent="0.2">
      <c r="A247" s="345">
        <v>35033</v>
      </c>
      <c r="B247" s="73"/>
      <c r="C247" s="25"/>
      <c r="D247" s="73"/>
    </row>
    <row r="248" spans="1:4" x14ac:dyDescent="0.2">
      <c r="A248" s="345">
        <v>35064</v>
      </c>
      <c r="B248" s="73"/>
      <c r="C248" s="25"/>
      <c r="D248" s="73"/>
    </row>
    <row r="249" spans="1:4" x14ac:dyDescent="0.2">
      <c r="A249" s="345">
        <v>35095</v>
      </c>
      <c r="B249" s="73"/>
      <c r="C249" s="25"/>
      <c r="D249" s="73"/>
    </row>
    <row r="250" spans="1:4" x14ac:dyDescent="0.2">
      <c r="A250" s="345">
        <v>35124</v>
      </c>
      <c r="B250" s="73"/>
      <c r="C250" s="25"/>
      <c r="D250" s="73"/>
    </row>
    <row r="251" spans="1:4" x14ac:dyDescent="0.2">
      <c r="A251" s="345">
        <v>35155</v>
      </c>
      <c r="B251" s="73"/>
      <c r="C251" s="25"/>
      <c r="D251" s="73"/>
    </row>
    <row r="252" spans="1:4" x14ac:dyDescent="0.2">
      <c r="A252" s="345">
        <v>35185</v>
      </c>
      <c r="B252" s="73"/>
      <c r="C252" s="25"/>
      <c r="D252" s="73"/>
    </row>
    <row r="253" spans="1:4" x14ac:dyDescent="0.2">
      <c r="A253" s="345">
        <v>35216</v>
      </c>
      <c r="B253" s="73"/>
      <c r="C253" s="25"/>
      <c r="D253" s="73"/>
    </row>
    <row r="254" spans="1:4" x14ac:dyDescent="0.2">
      <c r="A254" s="345">
        <v>35246</v>
      </c>
      <c r="B254" s="73"/>
      <c r="C254" s="25"/>
      <c r="D254" s="73"/>
    </row>
    <row r="255" spans="1:4" x14ac:dyDescent="0.2">
      <c r="A255" s="345">
        <v>35277</v>
      </c>
      <c r="B255" s="73"/>
      <c r="C255" s="25"/>
      <c r="D255" s="73"/>
    </row>
    <row r="256" spans="1:4" x14ac:dyDescent="0.2">
      <c r="A256" s="345">
        <v>35308</v>
      </c>
      <c r="B256" s="73"/>
      <c r="C256" s="25"/>
      <c r="D256" s="73"/>
    </row>
    <row r="257" spans="1:4" x14ac:dyDescent="0.2">
      <c r="A257" s="345">
        <v>35338</v>
      </c>
      <c r="B257" s="73"/>
      <c r="C257" s="25"/>
      <c r="D257" s="73"/>
    </row>
    <row r="258" spans="1:4" x14ac:dyDescent="0.2">
      <c r="A258" s="345">
        <v>35369</v>
      </c>
      <c r="B258" s="73"/>
      <c r="C258" s="25"/>
      <c r="D258" s="73"/>
    </row>
    <row r="259" spans="1:4" x14ac:dyDescent="0.2">
      <c r="A259" s="345">
        <v>35399</v>
      </c>
      <c r="B259" s="73"/>
      <c r="C259" s="25"/>
      <c r="D259" s="73"/>
    </row>
    <row r="260" spans="1:4" x14ac:dyDescent="0.2">
      <c r="A260" s="345">
        <v>35430</v>
      </c>
      <c r="B260" s="73"/>
      <c r="C260" s="25"/>
      <c r="D260" s="73"/>
    </row>
    <row r="261" spans="1:4" x14ac:dyDescent="0.2">
      <c r="A261" s="345">
        <v>35461</v>
      </c>
      <c r="B261" s="73"/>
      <c r="C261" s="25"/>
      <c r="D261" s="73"/>
    </row>
    <row r="262" spans="1:4" x14ac:dyDescent="0.2">
      <c r="A262" s="345">
        <v>35489</v>
      </c>
      <c r="B262" s="73"/>
      <c r="C262" s="25"/>
      <c r="D262" s="73"/>
    </row>
    <row r="263" spans="1:4" x14ac:dyDescent="0.2">
      <c r="A263" s="345">
        <v>35520</v>
      </c>
      <c r="B263" s="73"/>
      <c r="C263" s="25"/>
      <c r="D263" s="73"/>
    </row>
    <row r="264" spans="1:4" x14ac:dyDescent="0.2">
      <c r="A264" s="345">
        <v>35550</v>
      </c>
      <c r="B264" s="73"/>
      <c r="C264" s="25"/>
      <c r="D264" s="73"/>
    </row>
    <row r="265" spans="1:4" x14ac:dyDescent="0.2">
      <c r="A265" s="345">
        <v>35581</v>
      </c>
      <c r="B265" s="73"/>
      <c r="C265" s="25"/>
      <c r="D265" s="73"/>
    </row>
    <row r="266" spans="1:4" x14ac:dyDescent="0.2">
      <c r="A266" s="345">
        <v>35611</v>
      </c>
      <c r="B266" s="73"/>
      <c r="C266" s="25"/>
      <c r="D266" s="73"/>
    </row>
    <row r="267" spans="1:4" x14ac:dyDescent="0.2">
      <c r="A267" s="345">
        <v>35642</v>
      </c>
      <c r="B267" s="73"/>
      <c r="C267" s="25"/>
      <c r="D267" s="73"/>
    </row>
    <row r="268" spans="1:4" x14ac:dyDescent="0.2">
      <c r="A268" s="345">
        <v>35673</v>
      </c>
      <c r="B268" s="73"/>
      <c r="C268" s="25"/>
      <c r="D268" s="73"/>
    </row>
    <row r="269" spans="1:4" x14ac:dyDescent="0.2">
      <c r="A269" s="345">
        <v>35703</v>
      </c>
      <c r="B269" s="73"/>
      <c r="C269" s="25"/>
      <c r="D269" s="73"/>
    </row>
    <row r="270" spans="1:4" x14ac:dyDescent="0.2">
      <c r="A270" s="345">
        <v>35734</v>
      </c>
      <c r="B270" s="73"/>
      <c r="C270" s="25"/>
      <c r="D270" s="73"/>
    </row>
    <row r="271" spans="1:4" x14ac:dyDescent="0.2">
      <c r="A271" s="345">
        <v>35764</v>
      </c>
      <c r="B271" s="73"/>
      <c r="C271" s="25"/>
      <c r="D271" s="73"/>
    </row>
    <row r="272" spans="1:4" x14ac:dyDescent="0.2">
      <c r="A272" s="345">
        <v>35795</v>
      </c>
      <c r="B272" s="73"/>
      <c r="C272" s="25"/>
      <c r="D272" s="73"/>
    </row>
    <row r="273" spans="1:4" x14ac:dyDescent="0.2">
      <c r="A273" s="345">
        <v>35826</v>
      </c>
      <c r="B273" s="73"/>
      <c r="C273" s="25"/>
      <c r="D273" s="73"/>
    </row>
    <row r="274" spans="1:4" x14ac:dyDescent="0.2">
      <c r="A274" s="345">
        <v>35854</v>
      </c>
      <c r="B274" s="73"/>
      <c r="C274" s="32"/>
      <c r="D274" s="73"/>
    </row>
    <row r="275" spans="1:4" x14ac:dyDescent="0.2">
      <c r="A275" s="345">
        <v>35885</v>
      </c>
      <c r="B275" s="73"/>
      <c r="C275" s="32"/>
      <c r="D275" s="73"/>
    </row>
    <row r="276" spans="1:4" x14ac:dyDescent="0.2">
      <c r="A276" s="345">
        <v>35915</v>
      </c>
      <c r="B276" s="73"/>
      <c r="C276" s="32"/>
      <c r="D276" s="73"/>
    </row>
    <row r="277" spans="1:4" x14ac:dyDescent="0.2">
      <c r="A277" s="345">
        <v>35946</v>
      </c>
      <c r="B277" s="73"/>
      <c r="C277" s="32"/>
      <c r="D277" s="73"/>
    </row>
    <row r="278" spans="1:4" x14ac:dyDescent="0.2">
      <c r="A278" s="345">
        <v>35976</v>
      </c>
      <c r="B278" s="73"/>
      <c r="C278" s="32"/>
      <c r="D278" s="73"/>
    </row>
    <row r="279" spans="1:4" x14ac:dyDescent="0.2">
      <c r="A279" s="345">
        <v>36007</v>
      </c>
      <c r="B279" s="73"/>
      <c r="C279" s="32"/>
      <c r="D279" s="73"/>
    </row>
    <row r="280" spans="1:4" x14ac:dyDescent="0.2">
      <c r="A280" s="345">
        <v>36038</v>
      </c>
      <c r="B280" s="73"/>
      <c r="C280" s="32"/>
      <c r="D280" s="73"/>
    </row>
    <row r="281" spans="1:4" x14ac:dyDescent="0.2">
      <c r="A281" s="345">
        <v>36068</v>
      </c>
      <c r="B281" s="77"/>
      <c r="C281" s="32"/>
      <c r="D281" s="73"/>
    </row>
    <row r="282" spans="1:4" x14ac:dyDescent="0.2">
      <c r="A282" s="345">
        <v>36099</v>
      </c>
      <c r="B282" s="253"/>
      <c r="C282" s="33"/>
      <c r="D282" s="253"/>
    </row>
    <row r="283" spans="1:4" x14ac:dyDescent="0.2">
      <c r="A283" s="345">
        <v>36129</v>
      </c>
      <c r="B283" s="253"/>
      <c r="C283" s="33"/>
      <c r="D283" s="253"/>
    </row>
    <row r="284" spans="1:4" x14ac:dyDescent="0.2">
      <c r="A284" s="345">
        <v>36160</v>
      </c>
      <c r="B284" s="253"/>
      <c r="C284" s="33"/>
      <c r="D284" s="253"/>
    </row>
    <row r="285" spans="1:4" x14ac:dyDescent="0.2">
      <c r="A285" s="345">
        <v>36191</v>
      </c>
      <c r="B285" s="253"/>
      <c r="C285" s="33"/>
      <c r="D285" s="253"/>
    </row>
    <row r="286" spans="1:4" x14ac:dyDescent="0.2">
      <c r="A286" s="345">
        <v>36219</v>
      </c>
      <c r="B286" s="253"/>
      <c r="C286" s="33"/>
      <c r="D286" s="253"/>
    </row>
    <row r="287" spans="1:4" x14ac:dyDescent="0.2">
      <c r="A287" s="345">
        <v>36250</v>
      </c>
      <c r="B287" s="253"/>
      <c r="C287" s="33"/>
      <c r="D287" s="253"/>
    </row>
    <row r="288" spans="1:4" x14ac:dyDescent="0.2">
      <c r="A288" s="345">
        <v>36280</v>
      </c>
      <c r="B288" s="253"/>
      <c r="C288" s="33"/>
      <c r="D288" s="253"/>
    </row>
    <row r="289" spans="1:4" x14ac:dyDescent="0.2">
      <c r="A289" s="345">
        <v>36311</v>
      </c>
      <c r="B289" s="253"/>
      <c r="C289" s="33"/>
      <c r="D289" s="253"/>
    </row>
    <row r="290" spans="1:4" x14ac:dyDescent="0.2">
      <c r="A290" s="345">
        <v>36341</v>
      </c>
      <c r="B290" s="253"/>
      <c r="C290" s="33"/>
      <c r="D290" s="253"/>
    </row>
    <row r="291" spans="1:4" x14ac:dyDescent="0.2">
      <c r="A291" s="345">
        <v>36372</v>
      </c>
      <c r="B291" s="253"/>
      <c r="C291" s="33"/>
      <c r="D291" s="253"/>
    </row>
    <row r="292" spans="1:4" x14ac:dyDescent="0.2">
      <c r="A292" s="345">
        <v>36403</v>
      </c>
      <c r="B292" s="253"/>
      <c r="C292" s="33"/>
      <c r="D292" s="253"/>
    </row>
    <row r="293" spans="1:4" x14ac:dyDescent="0.2">
      <c r="A293" s="345">
        <v>36433</v>
      </c>
      <c r="B293" s="253"/>
      <c r="C293" s="33"/>
      <c r="D293" s="253"/>
    </row>
    <row r="294" spans="1:4" x14ac:dyDescent="0.2">
      <c r="A294" s="345">
        <v>36464</v>
      </c>
      <c r="B294" s="253"/>
      <c r="C294" s="33"/>
      <c r="D294" s="253"/>
    </row>
    <row r="295" spans="1:4" x14ac:dyDescent="0.2">
      <c r="A295" s="345">
        <v>36494</v>
      </c>
      <c r="B295" s="253"/>
      <c r="C295" s="33"/>
      <c r="D295" s="253"/>
    </row>
    <row r="296" spans="1:4" x14ac:dyDescent="0.2">
      <c r="A296" s="345">
        <v>36525</v>
      </c>
      <c r="B296" s="253"/>
      <c r="C296" s="33"/>
      <c r="D296" s="253"/>
    </row>
    <row r="297" spans="1:4" x14ac:dyDescent="0.2">
      <c r="A297" s="345">
        <v>36556</v>
      </c>
      <c r="B297" s="253"/>
      <c r="C297" s="33"/>
      <c r="D297" s="253"/>
    </row>
    <row r="298" spans="1:4" x14ac:dyDescent="0.2">
      <c r="A298" s="345">
        <v>36585</v>
      </c>
      <c r="B298" s="253"/>
      <c r="C298" s="33"/>
      <c r="D298" s="253"/>
    </row>
    <row r="299" spans="1:4" x14ac:dyDescent="0.2">
      <c r="A299" s="345">
        <v>36616</v>
      </c>
      <c r="B299" s="253"/>
      <c r="C299" s="33"/>
      <c r="D299" s="253"/>
    </row>
    <row r="300" spans="1:4" x14ac:dyDescent="0.2">
      <c r="A300" s="345">
        <v>36646</v>
      </c>
      <c r="B300" s="253"/>
      <c r="C300" s="33"/>
      <c r="D300" s="253"/>
    </row>
    <row r="301" spans="1:4" x14ac:dyDescent="0.2">
      <c r="A301" s="345">
        <v>36677</v>
      </c>
      <c r="B301" s="253"/>
      <c r="C301" s="33"/>
      <c r="D301" s="253"/>
    </row>
    <row r="302" spans="1:4" x14ac:dyDescent="0.2">
      <c r="A302" s="345">
        <v>36707</v>
      </c>
      <c r="B302" s="253"/>
      <c r="C302" s="33"/>
      <c r="D302" s="253"/>
    </row>
    <row r="303" spans="1:4" x14ac:dyDescent="0.2">
      <c r="A303" s="345">
        <v>36738</v>
      </c>
      <c r="B303" s="253"/>
      <c r="C303" s="33"/>
      <c r="D303" s="253"/>
    </row>
    <row r="304" spans="1:4" x14ac:dyDescent="0.2">
      <c r="A304" s="345">
        <v>36769</v>
      </c>
      <c r="B304" s="253"/>
      <c r="C304" s="33"/>
      <c r="D304" s="253"/>
    </row>
    <row r="305" spans="1:4" x14ac:dyDescent="0.2">
      <c r="A305" s="345">
        <v>36799</v>
      </c>
      <c r="B305" s="253"/>
      <c r="C305" s="33"/>
      <c r="D305" s="253"/>
    </row>
    <row r="306" spans="1:4" x14ac:dyDescent="0.2">
      <c r="A306" s="345">
        <v>36830</v>
      </c>
      <c r="B306" s="253"/>
      <c r="C306" s="33"/>
      <c r="D306" s="253"/>
    </row>
    <row r="307" spans="1:4" x14ac:dyDescent="0.2">
      <c r="A307" s="345">
        <v>36860</v>
      </c>
      <c r="B307" s="253"/>
      <c r="C307" s="33"/>
      <c r="D307" s="253"/>
    </row>
    <row r="308" spans="1:4" x14ac:dyDescent="0.2">
      <c r="A308" s="345">
        <v>36891</v>
      </c>
      <c r="B308" s="253"/>
      <c r="C308" s="33"/>
      <c r="D308" s="253"/>
    </row>
    <row r="309" spans="1:4" x14ac:dyDescent="0.2">
      <c r="A309" s="345">
        <v>36922</v>
      </c>
      <c r="B309" s="253"/>
      <c r="C309" s="33"/>
      <c r="D309" s="253"/>
    </row>
    <row r="310" spans="1:4" x14ac:dyDescent="0.2">
      <c r="A310" s="345">
        <v>36950</v>
      </c>
      <c r="B310" s="253"/>
      <c r="C310" s="33"/>
      <c r="D310" s="253"/>
    </row>
    <row r="311" spans="1:4" x14ac:dyDescent="0.2">
      <c r="A311" s="345">
        <v>36981</v>
      </c>
      <c r="B311" s="253"/>
      <c r="C311" s="33"/>
      <c r="D311" s="253"/>
    </row>
    <row r="312" spans="1:4" x14ac:dyDescent="0.2">
      <c r="A312" s="345">
        <v>37011</v>
      </c>
      <c r="B312" s="253"/>
      <c r="C312" s="33"/>
      <c r="D312" s="253"/>
    </row>
    <row r="313" spans="1:4" x14ac:dyDescent="0.2">
      <c r="A313" s="345">
        <v>37042</v>
      </c>
      <c r="B313" s="253"/>
      <c r="C313" s="33"/>
      <c r="D313" s="253"/>
    </row>
    <row r="314" spans="1:4" x14ac:dyDescent="0.2">
      <c r="A314" s="345">
        <v>37072</v>
      </c>
      <c r="B314" s="253"/>
      <c r="C314" s="33"/>
      <c r="D314" s="253"/>
    </row>
    <row r="315" spans="1:4" x14ac:dyDescent="0.2">
      <c r="A315" s="345">
        <v>37103</v>
      </c>
      <c r="B315" s="253"/>
      <c r="C315" s="33"/>
      <c r="D315" s="253"/>
    </row>
    <row r="316" spans="1:4" x14ac:dyDescent="0.2">
      <c r="A316" s="345">
        <v>37134</v>
      </c>
      <c r="B316" s="253"/>
      <c r="C316" s="33"/>
      <c r="D316" s="253"/>
    </row>
    <row r="317" spans="1:4" x14ac:dyDescent="0.2">
      <c r="A317" s="345">
        <v>37164</v>
      </c>
      <c r="B317" s="253"/>
      <c r="C317" s="33"/>
      <c r="D317" s="253"/>
    </row>
    <row r="318" spans="1:4" x14ac:dyDescent="0.2">
      <c r="A318" s="345">
        <v>37195</v>
      </c>
      <c r="B318" s="253"/>
      <c r="C318" s="33"/>
      <c r="D318" s="253"/>
    </row>
    <row r="319" spans="1:4" x14ac:dyDescent="0.2">
      <c r="A319" s="345">
        <v>37225</v>
      </c>
      <c r="B319" s="253"/>
      <c r="C319" s="33"/>
      <c r="D319" s="253"/>
    </row>
    <row r="320" spans="1:4" x14ac:dyDescent="0.2">
      <c r="A320" s="345">
        <v>37256</v>
      </c>
      <c r="B320" s="253"/>
      <c r="C320" s="33"/>
      <c r="D320" s="253"/>
    </row>
    <row r="321" spans="1:4" x14ac:dyDescent="0.2">
      <c r="A321" s="345">
        <v>37287</v>
      </c>
      <c r="B321" s="253"/>
      <c r="C321" s="33"/>
      <c r="D321" s="253"/>
    </row>
    <row r="322" spans="1:4" x14ac:dyDescent="0.2">
      <c r="A322" s="345">
        <v>37315</v>
      </c>
      <c r="B322" s="253"/>
      <c r="C322" s="33"/>
      <c r="D322" s="253"/>
    </row>
    <row r="323" spans="1:4" x14ac:dyDescent="0.2">
      <c r="A323" s="345">
        <v>37346</v>
      </c>
      <c r="B323" s="253"/>
      <c r="C323" s="33"/>
      <c r="D323" s="253"/>
    </row>
    <row r="324" spans="1:4" x14ac:dyDescent="0.2">
      <c r="A324" s="345">
        <v>37376</v>
      </c>
      <c r="B324" s="253"/>
      <c r="C324" s="33"/>
      <c r="D324" s="253"/>
    </row>
    <row r="325" spans="1:4" x14ac:dyDescent="0.2">
      <c r="A325" s="345">
        <v>37407</v>
      </c>
      <c r="B325" s="253"/>
      <c r="C325" s="33"/>
      <c r="D325" s="253"/>
    </row>
    <row r="326" spans="1:4" x14ac:dyDescent="0.2">
      <c r="A326" s="345">
        <v>37437</v>
      </c>
      <c r="B326" s="253"/>
      <c r="C326" s="33"/>
      <c r="D326" s="253"/>
    </row>
    <row r="327" spans="1:4" x14ac:dyDescent="0.2">
      <c r="A327" s="345">
        <v>37468</v>
      </c>
      <c r="B327" s="253"/>
      <c r="C327" s="33"/>
      <c r="D327" s="253"/>
    </row>
    <row r="328" spans="1:4" x14ac:dyDescent="0.2">
      <c r="A328" s="345">
        <v>37499</v>
      </c>
      <c r="B328" s="253"/>
      <c r="C328" s="33"/>
      <c r="D328" s="253"/>
    </row>
    <row r="329" spans="1:4" x14ac:dyDescent="0.2">
      <c r="A329" s="345">
        <v>37529</v>
      </c>
      <c r="B329" s="253"/>
      <c r="C329" s="33"/>
      <c r="D329" s="253"/>
    </row>
    <row r="330" spans="1:4" x14ac:dyDescent="0.2">
      <c r="A330" s="345">
        <v>37560</v>
      </c>
      <c r="B330" s="253"/>
      <c r="C330" s="33"/>
      <c r="D330" s="253"/>
    </row>
    <row r="331" spans="1:4" x14ac:dyDescent="0.2">
      <c r="A331" s="345">
        <v>37590</v>
      </c>
      <c r="B331" s="253"/>
      <c r="C331" s="33"/>
      <c r="D331" s="253"/>
    </row>
    <row r="332" spans="1:4" x14ac:dyDescent="0.2">
      <c r="A332" s="345">
        <v>37621</v>
      </c>
      <c r="B332" s="253"/>
      <c r="C332" s="33"/>
      <c r="D332" s="253"/>
    </row>
    <row r="333" spans="1:4" x14ac:dyDescent="0.2">
      <c r="A333" s="345">
        <v>37652</v>
      </c>
      <c r="B333" s="253"/>
      <c r="C333" s="33"/>
      <c r="D333" s="253"/>
    </row>
    <row r="334" spans="1:4" x14ac:dyDescent="0.2">
      <c r="A334" s="345">
        <v>37680</v>
      </c>
      <c r="B334" s="253"/>
      <c r="C334" s="33"/>
      <c r="D334" s="253"/>
    </row>
    <row r="335" spans="1:4" x14ac:dyDescent="0.2">
      <c r="A335" s="345">
        <v>37711</v>
      </c>
      <c r="B335" s="253"/>
      <c r="C335" s="33"/>
      <c r="D335" s="253"/>
    </row>
    <row r="336" spans="1:4" x14ac:dyDescent="0.2">
      <c r="A336" s="345">
        <v>37741</v>
      </c>
      <c r="B336" s="253"/>
      <c r="C336" s="33"/>
      <c r="D336" s="253"/>
    </row>
    <row r="337" spans="1:4" x14ac:dyDescent="0.2">
      <c r="A337" s="345">
        <v>37772</v>
      </c>
      <c r="B337" s="253"/>
      <c r="C337" s="33"/>
      <c r="D337" s="253"/>
    </row>
    <row r="338" spans="1:4" x14ac:dyDescent="0.2">
      <c r="A338" s="345">
        <v>37802</v>
      </c>
      <c r="B338" s="253"/>
      <c r="C338" s="33"/>
      <c r="D338" s="253"/>
    </row>
    <row r="339" spans="1:4" x14ac:dyDescent="0.2">
      <c r="A339" s="345">
        <v>37833</v>
      </c>
      <c r="B339" s="253"/>
      <c r="C339" s="33"/>
      <c r="D339" s="253"/>
    </row>
    <row r="340" spans="1:4" x14ac:dyDescent="0.2">
      <c r="A340" s="345">
        <v>37864</v>
      </c>
      <c r="B340" s="253"/>
      <c r="C340" s="33"/>
      <c r="D340" s="253"/>
    </row>
    <row r="341" spans="1:4" x14ac:dyDescent="0.2">
      <c r="A341" s="345">
        <v>37894</v>
      </c>
      <c r="B341" s="253"/>
      <c r="C341" s="34"/>
      <c r="D341" s="253"/>
    </row>
    <row r="342" spans="1:4" x14ac:dyDescent="0.2">
      <c r="A342" s="345">
        <v>37925</v>
      </c>
      <c r="B342" s="253"/>
      <c r="C342" s="34"/>
      <c r="D342" s="253"/>
    </row>
    <row r="343" spans="1:4" x14ac:dyDescent="0.2">
      <c r="A343" s="345">
        <v>37955</v>
      </c>
      <c r="B343" s="253"/>
      <c r="C343" s="34"/>
      <c r="D343" s="253"/>
    </row>
    <row r="344" spans="1:4" x14ac:dyDescent="0.2">
      <c r="A344" s="345">
        <v>37986</v>
      </c>
      <c r="B344" s="253"/>
      <c r="C344" s="34"/>
      <c r="D344" s="253"/>
    </row>
    <row r="345" spans="1:4" x14ac:dyDescent="0.2">
      <c r="A345" s="345">
        <v>38017</v>
      </c>
      <c r="B345" s="253"/>
      <c r="C345" s="34"/>
      <c r="D345" s="253"/>
    </row>
    <row r="346" spans="1:4" x14ac:dyDescent="0.2">
      <c r="A346" s="345">
        <v>38046</v>
      </c>
      <c r="B346" s="253"/>
      <c r="C346" s="34"/>
      <c r="D346" s="253"/>
    </row>
    <row r="347" spans="1:4" x14ac:dyDescent="0.2">
      <c r="A347" s="345">
        <v>38077</v>
      </c>
      <c r="B347" s="253"/>
      <c r="C347" s="34"/>
      <c r="D347" s="255"/>
    </row>
    <row r="348" spans="1:4" x14ac:dyDescent="0.2">
      <c r="A348" s="345">
        <v>38107</v>
      </c>
      <c r="B348" s="253"/>
      <c r="C348" s="34"/>
      <c r="D348" s="253"/>
    </row>
    <row r="349" spans="1:4" x14ac:dyDescent="0.2">
      <c r="A349" s="345">
        <v>38138</v>
      </c>
      <c r="B349" s="253"/>
      <c r="C349" s="34"/>
      <c r="D349" s="253"/>
    </row>
    <row r="350" spans="1:4" x14ac:dyDescent="0.2">
      <c r="A350" s="345">
        <v>38168</v>
      </c>
      <c r="B350" s="253"/>
      <c r="C350" s="34"/>
      <c r="D350" s="253"/>
    </row>
    <row r="351" spans="1:4" x14ac:dyDescent="0.2">
      <c r="A351" s="345">
        <v>38199</v>
      </c>
      <c r="B351" s="253"/>
      <c r="C351" s="34"/>
      <c r="D351" s="253"/>
    </row>
    <row r="352" spans="1:4" x14ac:dyDescent="0.2">
      <c r="A352" s="345">
        <v>38230</v>
      </c>
      <c r="B352" s="253"/>
      <c r="C352" s="34"/>
      <c r="D352" s="253"/>
    </row>
    <row r="353" spans="1:5" x14ac:dyDescent="0.2">
      <c r="A353" s="345">
        <v>38260</v>
      </c>
      <c r="B353" s="253"/>
      <c r="C353" s="34"/>
      <c r="D353" s="253"/>
    </row>
    <row r="354" spans="1:5" x14ac:dyDescent="0.2">
      <c r="A354" s="345">
        <v>38291</v>
      </c>
      <c r="B354" s="253"/>
      <c r="C354" s="34"/>
      <c r="D354" s="253"/>
    </row>
    <row r="355" spans="1:5" x14ac:dyDescent="0.2">
      <c r="A355" s="345">
        <v>38321</v>
      </c>
      <c r="B355" s="253"/>
      <c r="C355" s="34"/>
      <c r="D355" s="253"/>
    </row>
    <row r="356" spans="1:5" x14ac:dyDescent="0.2">
      <c r="A356" s="345">
        <v>38352</v>
      </c>
      <c r="B356" s="253"/>
      <c r="C356" s="256"/>
      <c r="D356" s="253"/>
    </row>
    <row r="357" spans="1:5" x14ac:dyDescent="0.2">
      <c r="A357" s="345">
        <v>38383</v>
      </c>
      <c r="B357" s="253"/>
      <c r="C357" s="34"/>
      <c r="D357" s="253"/>
    </row>
    <row r="358" spans="1:5" x14ac:dyDescent="0.2">
      <c r="A358" s="345">
        <v>38411</v>
      </c>
      <c r="B358" s="253"/>
      <c r="C358" s="34"/>
      <c r="D358" s="253"/>
    </row>
    <row r="359" spans="1:5" x14ac:dyDescent="0.2">
      <c r="A359" s="345">
        <v>38442</v>
      </c>
      <c r="B359" s="253"/>
      <c r="C359" s="256"/>
      <c r="D359" s="253"/>
    </row>
    <row r="360" spans="1:5" x14ac:dyDescent="0.2">
      <c r="A360" s="345">
        <v>38472</v>
      </c>
      <c r="B360" s="253"/>
      <c r="C360" s="256"/>
      <c r="D360" s="253"/>
    </row>
    <row r="361" spans="1:5" x14ac:dyDescent="0.2">
      <c r="A361" s="345">
        <v>38503</v>
      </c>
      <c r="B361" s="253"/>
      <c r="C361" s="256"/>
      <c r="D361" s="253"/>
    </row>
    <row r="362" spans="1:5" x14ac:dyDescent="0.2">
      <c r="A362" s="345">
        <v>38533</v>
      </c>
      <c r="B362" s="253"/>
      <c r="C362" s="256"/>
      <c r="D362" s="253"/>
    </row>
    <row r="363" spans="1:5" x14ac:dyDescent="0.2">
      <c r="A363" s="345">
        <v>38564</v>
      </c>
      <c r="B363" s="253"/>
      <c r="C363" s="34"/>
      <c r="D363" s="253"/>
    </row>
    <row r="364" spans="1:5" x14ac:dyDescent="0.2">
      <c r="A364" s="345">
        <v>38595</v>
      </c>
      <c r="B364" s="253"/>
      <c r="C364" s="34"/>
      <c r="D364" s="253"/>
    </row>
    <row r="365" spans="1:5" x14ac:dyDescent="0.2">
      <c r="A365" s="345">
        <v>38625</v>
      </c>
      <c r="B365" s="1369"/>
      <c r="C365" s="256"/>
      <c r="D365" s="253"/>
      <c r="E365" s="258">
        <f>B365-Index_Returns!V365</f>
        <v>-4.1329000000000002</v>
      </c>
    </row>
    <row r="366" spans="1:5" x14ac:dyDescent="0.2">
      <c r="A366" s="345">
        <v>38656</v>
      </c>
      <c r="B366" s="1369"/>
      <c r="C366" s="256"/>
      <c r="D366" s="253"/>
      <c r="E366" s="258">
        <f>B366-Index_Returns!V366</f>
        <v>3.2625999999999999</v>
      </c>
    </row>
    <row r="367" spans="1:5" x14ac:dyDescent="0.2">
      <c r="A367" s="345">
        <v>38686</v>
      </c>
      <c r="B367" s="1369"/>
      <c r="C367" s="256"/>
      <c r="D367" s="253"/>
      <c r="E367" s="258">
        <f>B367-Index_Returns!V367</f>
        <v>-3.2292999999999998</v>
      </c>
    </row>
    <row r="368" spans="1:5" x14ac:dyDescent="0.2">
      <c r="A368" s="345">
        <v>38717</v>
      </c>
      <c r="B368" s="1369"/>
      <c r="C368" s="256"/>
      <c r="D368" s="253"/>
      <c r="E368" s="258">
        <f>B368-Index_Returns!V368</f>
        <v>-8.0044000000000004</v>
      </c>
    </row>
    <row r="369" spans="1:6" x14ac:dyDescent="0.2">
      <c r="A369" s="345">
        <v>38748</v>
      </c>
      <c r="B369" s="1369"/>
      <c r="C369" s="256"/>
      <c r="D369" s="253"/>
      <c r="E369" s="258">
        <f>B369-Index_Returns!V369</f>
        <v>-6.8301999999999996</v>
      </c>
    </row>
    <row r="370" spans="1:6" x14ac:dyDescent="0.2">
      <c r="A370" s="345">
        <v>38776</v>
      </c>
      <c r="B370" s="1369"/>
      <c r="C370" s="256"/>
      <c r="D370" s="253"/>
      <c r="E370" s="258">
        <f>B370-Index_Returns!V370</f>
        <v>1.2132000000000001</v>
      </c>
    </row>
    <row r="371" spans="1:6" x14ac:dyDescent="0.2">
      <c r="A371" s="345">
        <v>38807</v>
      </c>
      <c r="B371" s="1369"/>
      <c r="C371" s="33"/>
      <c r="D371" s="253"/>
      <c r="E371" s="258">
        <f>B371-Index_Returns!V371</f>
        <v>-4.8646000000000003</v>
      </c>
    </row>
    <row r="372" spans="1:6" x14ac:dyDescent="0.2">
      <c r="A372" s="345">
        <v>38837</v>
      </c>
      <c r="B372" s="1369"/>
      <c r="C372" s="33"/>
      <c r="D372" s="253"/>
      <c r="E372" s="258">
        <f>B372-Index_Returns!V372</f>
        <v>-4.3884999999999996</v>
      </c>
    </row>
    <row r="373" spans="1:6" x14ac:dyDescent="0.2">
      <c r="A373" s="345">
        <v>38868</v>
      </c>
      <c r="B373" s="1369"/>
      <c r="C373" s="33"/>
      <c r="D373" s="253"/>
      <c r="E373" s="258">
        <f>B373-Index_Returns!V373</f>
        <v>5.6856</v>
      </c>
    </row>
    <row r="374" spans="1:6" x14ac:dyDescent="0.2">
      <c r="A374" s="345">
        <v>38898</v>
      </c>
      <c r="B374" s="1369"/>
      <c r="C374" s="354"/>
      <c r="D374" s="253"/>
      <c r="E374" s="258">
        <f>B374-Index_Returns!V374</f>
        <v>2.161</v>
      </c>
    </row>
    <row r="375" spans="1:6" x14ac:dyDescent="0.2">
      <c r="A375" s="345">
        <v>38929</v>
      </c>
      <c r="B375" s="1369"/>
      <c r="C375" s="34"/>
      <c r="D375" s="253"/>
      <c r="E375" s="258">
        <f>B375-Index_Returns!V375</f>
        <v>2.6958000000000002</v>
      </c>
    </row>
    <row r="376" spans="1:6" x14ac:dyDescent="0.2">
      <c r="A376" s="345">
        <v>38960</v>
      </c>
      <c r="B376" s="1369"/>
      <c r="C376" s="34"/>
      <c r="D376" s="253"/>
      <c r="E376" s="258">
        <f>B376-Index_Returns!V376</f>
        <v>-2.8111000000000002</v>
      </c>
    </row>
    <row r="377" spans="1:6" x14ac:dyDescent="0.2">
      <c r="A377" s="345">
        <v>38990</v>
      </c>
      <c r="B377" s="1369"/>
      <c r="C377" s="34"/>
      <c r="D377" s="253"/>
      <c r="E377" s="258">
        <f>B377-Index_Returns!V377</f>
        <v>-0.4199</v>
      </c>
    </row>
    <row r="378" spans="1:6" x14ac:dyDescent="0.2">
      <c r="A378" s="345">
        <v>39021</v>
      </c>
      <c r="B378" s="1369"/>
      <c r="C378" s="34"/>
      <c r="D378" s="253"/>
      <c r="E378" s="258">
        <f>B378-Index_Returns!V378</f>
        <v>-3.6726999999999999</v>
      </c>
      <c r="F378" s="352"/>
    </row>
    <row r="379" spans="1:6" x14ac:dyDescent="0.2">
      <c r="A379" s="345">
        <v>39051</v>
      </c>
      <c r="B379" s="1369"/>
      <c r="C379" s="34"/>
      <c r="D379" s="253"/>
      <c r="E379" s="258">
        <f>B379-Index_Returns!V379</f>
        <v>-4.2994000000000003</v>
      </c>
      <c r="F379" s="352"/>
    </row>
    <row r="380" spans="1:6" x14ac:dyDescent="0.2">
      <c r="A380" s="345">
        <v>39082</v>
      </c>
      <c r="B380" s="1369"/>
      <c r="C380" s="34"/>
      <c r="D380" s="253"/>
      <c r="E380" s="258">
        <f>B380-Index_Returns!V380</f>
        <v>-3.3431000000000002</v>
      </c>
      <c r="F380" s="352"/>
    </row>
    <row r="381" spans="1:6" x14ac:dyDescent="0.2">
      <c r="A381" s="345">
        <v>39113</v>
      </c>
      <c r="B381" s="1369"/>
      <c r="E381" s="258">
        <f>B381-Index_Returns!V381</f>
        <v>-2.0939999999999999</v>
      </c>
      <c r="F381" s="352"/>
    </row>
    <row r="382" spans="1:6" x14ac:dyDescent="0.2">
      <c r="A382" s="345">
        <v>39141</v>
      </c>
      <c r="B382" s="1369"/>
      <c r="E382" s="258">
        <f>B382-Index_Returns!V382</f>
        <v>-1.6819</v>
      </c>
      <c r="F382" s="352"/>
    </row>
    <row r="383" spans="1:6" x14ac:dyDescent="0.2">
      <c r="A383" s="345">
        <v>39172</v>
      </c>
      <c r="B383" s="1369"/>
      <c r="E383" s="258">
        <f>B383-Index_Returns!V383</f>
        <v>-3.2564000000000002</v>
      </c>
    </row>
    <row r="384" spans="1:6" x14ac:dyDescent="0.2">
      <c r="A384" s="345">
        <v>39202</v>
      </c>
      <c r="B384" s="1369"/>
      <c r="E384" s="258">
        <f>B384-Index_Returns!V384</f>
        <v>-3.7696999999999998</v>
      </c>
    </row>
    <row r="385" spans="1:5" x14ac:dyDescent="0.2">
      <c r="A385" s="345">
        <v>39233</v>
      </c>
      <c r="B385" s="1369"/>
      <c r="E385" s="258">
        <f>B385-Index_Returns!V385</f>
        <v>-0.76549999999999996</v>
      </c>
    </row>
    <row r="386" spans="1:5" x14ac:dyDescent="0.2">
      <c r="A386" s="345">
        <v>39263</v>
      </c>
      <c r="B386" s="1369"/>
      <c r="E386" s="258">
        <f>B386-Index_Returns!V386</f>
        <v>0.1845</v>
      </c>
    </row>
    <row r="387" spans="1:5" x14ac:dyDescent="0.2">
      <c r="A387" s="345">
        <v>39294</v>
      </c>
      <c r="B387" s="1369"/>
      <c r="E387" s="258">
        <f>B387-Index_Returns!V387</f>
        <v>0.37959999999999999</v>
      </c>
    </row>
    <row r="388" spans="1:5" x14ac:dyDescent="0.2">
      <c r="A388" s="345">
        <v>39325</v>
      </c>
      <c r="B388" s="1369"/>
      <c r="E388" s="258">
        <f>B388-Index_Returns!V388</f>
        <v>5.1435000000000004</v>
      </c>
    </row>
    <row r="389" spans="1:5" x14ac:dyDescent="0.2">
      <c r="A389" s="345">
        <v>39355</v>
      </c>
      <c r="B389" s="1369"/>
      <c r="E389" s="258">
        <f>B389-Index_Returns!V389</f>
        <v>-1.1355</v>
      </c>
    </row>
    <row r="390" spans="1:5" x14ac:dyDescent="0.2">
      <c r="A390" s="345">
        <v>39386</v>
      </c>
      <c r="B390" s="1369"/>
      <c r="E390" s="258">
        <f>B390-Index_Returns!V390</f>
        <v>-6.2426000000000004</v>
      </c>
    </row>
    <row r="391" spans="1:5" x14ac:dyDescent="0.2">
      <c r="A391" s="345">
        <v>39416</v>
      </c>
      <c r="B391" s="1369"/>
      <c r="E391" s="258">
        <f>B391-Index_Returns!V391</f>
        <v>7.1863999999999999</v>
      </c>
    </row>
    <row r="392" spans="1:5" x14ac:dyDescent="0.2">
      <c r="A392" s="345">
        <v>39447</v>
      </c>
      <c r="B392" s="1369"/>
      <c r="E392" s="258">
        <f>B392-Index_Returns!V392</f>
        <v>3.4577</v>
      </c>
    </row>
    <row r="393" spans="1:5" x14ac:dyDescent="0.2">
      <c r="A393" s="345">
        <v>39478</v>
      </c>
      <c r="B393" s="1369"/>
      <c r="E393" s="258">
        <f>B393-Index_Returns!V393</f>
        <v>9.7558000000000007</v>
      </c>
    </row>
    <row r="394" spans="1:5" x14ac:dyDescent="0.2">
      <c r="A394" s="345">
        <v>39507</v>
      </c>
      <c r="B394" s="1369"/>
      <c r="E394" s="258">
        <f>B394-Index_Returns!V394</f>
        <v>-4.2618</v>
      </c>
    </row>
    <row r="395" spans="1:5" x14ac:dyDescent="0.2">
      <c r="A395" s="345">
        <v>39538</v>
      </c>
      <c r="B395" s="1369"/>
      <c r="E395" s="258">
        <f>B395-Index_Returns!V395</f>
        <v>0.26540000000000002</v>
      </c>
    </row>
    <row r="396" spans="1:5" x14ac:dyDescent="0.2">
      <c r="A396" s="345">
        <v>39568</v>
      </c>
      <c r="B396" s="1369"/>
      <c r="E396" s="258">
        <f>B396-Index_Returns!V396</f>
        <v>-2.4165999999999999</v>
      </c>
    </row>
    <row r="397" spans="1:5" x14ac:dyDescent="0.2">
      <c r="A397" s="345">
        <v>39599</v>
      </c>
      <c r="B397" s="1369"/>
      <c r="E397" s="258">
        <f>B397-Index_Returns!V397</f>
        <v>-1.7644</v>
      </c>
    </row>
    <row r="398" spans="1:5" x14ac:dyDescent="0.2">
      <c r="A398" s="345">
        <v>39629</v>
      </c>
      <c r="B398" s="1369"/>
      <c r="E398" s="258">
        <f>B398-Index_Returns!V398</f>
        <v>8.1744000000000003</v>
      </c>
    </row>
    <row r="399" spans="1:5" x14ac:dyDescent="0.2">
      <c r="A399" s="345">
        <v>39660</v>
      </c>
      <c r="B399" s="1369"/>
      <c r="C399" s="33"/>
      <c r="E399" s="258">
        <f>B399-Index_Returns!V399</f>
        <v>4.5591999999999997</v>
      </c>
    </row>
    <row r="400" spans="1:5" x14ac:dyDescent="0.2">
      <c r="A400" s="345">
        <v>39691</v>
      </c>
      <c r="B400" s="1369"/>
      <c r="C400" s="33"/>
      <c r="E400" s="258">
        <f>B400-Index_Returns!V400</f>
        <v>3.8269000000000002</v>
      </c>
    </row>
    <row r="401" spans="1:5" x14ac:dyDescent="0.2">
      <c r="A401" s="345">
        <v>39721</v>
      </c>
      <c r="B401" s="1369"/>
      <c r="C401" s="33"/>
      <c r="E401" s="258">
        <f>B401-Index_Returns!V401</f>
        <v>17.116</v>
      </c>
    </row>
    <row r="402" spans="1:5" x14ac:dyDescent="0.2">
      <c r="A402" s="345">
        <v>39752</v>
      </c>
      <c r="B402" s="1369"/>
      <c r="E402" s="258">
        <f>B402-Index_Returns!V402</f>
        <v>23.733899999999998</v>
      </c>
    </row>
    <row r="403" spans="1:5" x14ac:dyDescent="0.2">
      <c r="A403" s="345">
        <v>39782</v>
      </c>
      <c r="B403" s="1369"/>
      <c r="E403" s="258">
        <f>B403-Index_Returns!V403</f>
        <v>4.4138999999999999</v>
      </c>
    </row>
    <row r="404" spans="1:5" x14ac:dyDescent="0.2">
      <c r="A404" s="345">
        <v>39813</v>
      </c>
      <c r="B404" s="1369"/>
      <c r="E404" s="258">
        <f>B404-Index_Returns!V404</f>
        <v>-6.8460999999999999</v>
      </c>
    </row>
    <row r="405" spans="1:5" x14ac:dyDescent="0.2">
      <c r="A405" s="345">
        <v>39844</v>
      </c>
      <c r="B405" s="1369"/>
      <c r="E405" s="258">
        <f>B405-Index_Returns!V405</f>
        <v>6.3952</v>
      </c>
    </row>
    <row r="406" spans="1:5" x14ac:dyDescent="0.2">
      <c r="A406" s="345">
        <v>39872</v>
      </c>
      <c r="B406" s="1369"/>
      <c r="E406" s="258">
        <f>B406-Index_Returns!V406</f>
        <v>9.2462</v>
      </c>
    </row>
    <row r="407" spans="1:5" x14ac:dyDescent="0.2">
      <c r="A407" s="345">
        <v>39903</v>
      </c>
      <c r="B407" s="1369"/>
      <c r="E407" s="258">
        <f>B407-Index_Returns!V407</f>
        <v>-6.5646000000000004</v>
      </c>
    </row>
    <row r="408" spans="1:5" x14ac:dyDescent="0.2">
      <c r="A408" s="345">
        <v>39933</v>
      </c>
      <c r="B408" s="1369"/>
      <c r="E408" s="258">
        <f>B408-Index_Returns!V408</f>
        <v>-15.438700000000001</v>
      </c>
    </row>
    <row r="409" spans="1:5" x14ac:dyDescent="0.2">
      <c r="A409" s="345">
        <v>39964</v>
      </c>
      <c r="B409" s="1369"/>
      <c r="E409" s="258">
        <f>B409-Index_Returns!V409</f>
        <v>-14.2898</v>
      </c>
    </row>
    <row r="410" spans="1:5" x14ac:dyDescent="0.2">
      <c r="A410" s="345">
        <v>39994</v>
      </c>
      <c r="B410" s="1369"/>
      <c r="E410" s="258">
        <f>B410-Index_Returns!V410</f>
        <v>-1.9750000000000001</v>
      </c>
    </row>
    <row r="411" spans="1:5" x14ac:dyDescent="0.2">
      <c r="A411" s="345">
        <v>40025</v>
      </c>
      <c r="B411" s="1369"/>
      <c r="E411" s="258">
        <f>B411-Index_Returns!V411</f>
        <v>-7.6417999999999999</v>
      </c>
    </row>
    <row r="412" spans="1:5" x14ac:dyDescent="0.2">
      <c r="A412" s="345">
        <v>40056</v>
      </c>
      <c r="B412" s="1369"/>
      <c r="E412" s="258">
        <f>B412-Index_Returns!V412</f>
        <v>-8.0949000000000009</v>
      </c>
    </row>
    <row r="413" spans="1:5" x14ac:dyDescent="0.2">
      <c r="A413" s="345">
        <v>40086</v>
      </c>
      <c r="B413" s="1369"/>
      <c r="E413" s="258">
        <f>B413-Index_Returns!V413</f>
        <v>-5.0058999999999996</v>
      </c>
    </row>
    <row r="414" spans="1:5" x14ac:dyDescent="0.2">
      <c r="A414" s="345">
        <v>40117</v>
      </c>
      <c r="B414" s="1369"/>
      <c r="E414" s="258">
        <f>B414-Index_Returns!V414</f>
        <v>1.77</v>
      </c>
    </row>
    <row r="415" spans="1:5" x14ac:dyDescent="0.2">
      <c r="A415" s="345">
        <v>40147</v>
      </c>
      <c r="B415" s="1369"/>
      <c r="C415" s="1333"/>
      <c r="D415" s="1369"/>
      <c r="E415" s="258">
        <f>B415-Index_Returns!V415</f>
        <v>-1.2999999999999999E-2</v>
      </c>
    </row>
    <row r="416" spans="1:5" x14ac:dyDescent="0.2">
      <c r="A416" s="345">
        <v>40178</v>
      </c>
      <c r="B416" s="1369"/>
      <c r="E416" s="258">
        <f>B416-Index_Returns!V416</f>
        <v>-0.76</v>
      </c>
    </row>
    <row r="417" spans="1:5" x14ac:dyDescent="0.2">
      <c r="A417" s="345">
        <v>40209</v>
      </c>
      <c r="B417" s="253"/>
      <c r="E417" s="258">
        <f>B417-Index_Returns!V417</f>
        <v>0.98</v>
      </c>
    </row>
    <row r="418" spans="1:5" x14ac:dyDescent="0.2">
      <c r="A418" s="345">
        <v>40237</v>
      </c>
      <c r="B418" s="253"/>
      <c r="E418" s="258">
        <f>B418-Index_Returns!V418</f>
        <v>1.39</v>
      </c>
    </row>
    <row r="419" spans="1:5" x14ac:dyDescent="0.2">
      <c r="A419" s="345">
        <v>40268</v>
      </c>
      <c r="B419" s="253"/>
      <c r="C419" s="1334"/>
      <c r="D419" s="1311"/>
      <c r="E419" s="258">
        <f>B419-Index_Returns!V419</f>
        <v>-7.35</v>
      </c>
    </row>
    <row r="420" spans="1:5" x14ac:dyDescent="0.2">
      <c r="A420" s="345">
        <v>40298</v>
      </c>
      <c r="B420" s="253"/>
      <c r="E420" s="258">
        <f>B420-Index_Returns!V420</f>
        <v>-1.75</v>
      </c>
    </row>
    <row r="421" spans="1:5" x14ac:dyDescent="0.2">
      <c r="A421" s="345">
        <v>40329</v>
      </c>
      <c r="B421" s="253"/>
      <c r="E421" s="258">
        <f>B421-Index_Returns!V421</f>
        <v>12.37</v>
      </c>
    </row>
    <row r="422" spans="1:5" x14ac:dyDescent="0.2">
      <c r="A422" s="345">
        <v>40359</v>
      </c>
      <c r="B422" s="253">
        <v>-0.14723</v>
      </c>
      <c r="C422" s="346">
        <v>199170476.43000001</v>
      </c>
      <c r="D422" s="258">
        <v>-0.14723</v>
      </c>
      <c r="E422" s="258">
        <f>B422-Index_Returns!V422</f>
        <v>0.24679999999999999</v>
      </c>
    </row>
    <row r="423" spans="1:5" x14ac:dyDescent="0.2">
      <c r="A423" s="345">
        <v>40390</v>
      </c>
      <c r="B423" s="253">
        <v>8.6669400000000003</v>
      </c>
      <c r="C423" s="346">
        <v>217320174.31999999</v>
      </c>
      <c r="D423" s="258">
        <v>8.6669400000000003</v>
      </c>
      <c r="E423" s="258">
        <f>B423-Index_Returns!V423</f>
        <v>2.6870000000000616E-2</v>
      </c>
    </row>
    <row r="424" spans="1:5" x14ac:dyDescent="0.2">
      <c r="A424" s="345">
        <v>40421</v>
      </c>
      <c r="B424" s="253">
        <v>-2.8980800000000002</v>
      </c>
      <c r="C424" s="346">
        <v>211022062.09999999</v>
      </c>
      <c r="D424" s="258">
        <v>-2.8980800000000002</v>
      </c>
      <c r="E424" s="258">
        <f>B424-Index_Returns!V424</f>
        <v>-1.493000000000011E-2</v>
      </c>
    </row>
    <row r="425" spans="1:5" x14ac:dyDescent="0.2">
      <c r="A425" s="345">
        <v>40451</v>
      </c>
      <c r="B425" s="253">
        <v>11.391640000000001</v>
      </c>
      <c r="C425" s="346">
        <v>235060934.28</v>
      </c>
      <c r="D425" s="258">
        <v>11.391640000000001</v>
      </c>
      <c r="E425" s="258">
        <f>B425-Index_Returns!V425</f>
        <v>-3.2319999999998572E-2</v>
      </c>
    </row>
    <row r="426" spans="1:5" x14ac:dyDescent="0.2">
      <c r="A426" s="345">
        <v>40482</v>
      </c>
      <c r="B426" s="258">
        <v>3.8656799999999998</v>
      </c>
      <c r="C426" s="346">
        <v>244427191.62</v>
      </c>
      <c r="D426" s="258">
        <v>3.8656799999999998</v>
      </c>
      <c r="E426" s="258">
        <f>B426-Index_Returns!V426</f>
        <v>-9.0000000000012292E-4</v>
      </c>
    </row>
    <row r="427" spans="1:5" x14ac:dyDescent="0.2">
      <c r="A427" s="345">
        <v>40512</v>
      </c>
      <c r="B427" s="253">
        <v>-3.5744400000000001</v>
      </c>
      <c r="C427" s="346">
        <v>235690285.00999999</v>
      </c>
      <c r="D427" s="258">
        <v>-3.5744400000000001</v>
      </c>
      <c r="E427" s="258">
        <f>B427-Index_Returns!V427</f>
        <v>-8.1100000000002836E-3</v>
      </c>
    </row>
    <row r="428" spans="1:5" x14ac:dyDescent="0.2">
      <c r="A428" s="345">
        <v>40543</v>
      </c>
      <c r="B428" s="253">
        <v>11.58953</v>
      </c>
      <c r="C428" s="346">
        <v>263005685.49000001</v>
      </c>
      <c r="D428" s="258">
        <v>11.58953</v>
      </c>
      <c r="E428" s="258">
        <f>B428-Index_Returns!V428</f>
        <v>-6.4299999999999358E-2</v>
      </c>
    </row>
    <row r="429" spans="1:5" x14ac:dyDescent="0.2">
      <c r="A429" s="345">
        <v>40574</v>
      </c>
      <c r="B429" s="253">
        <f>D429</f>
        <v>0.77249999999999996</v>
      </c>
      <c r="C429" s="346">
        <v>265037414.63999999</v>
      </c>
      <c r="D429" s="258">
        <v>0.77249999999999996</v>
      </c>
      <c r="E429" s="258">
        <f>B429-Index_Returns!V429</f>
        <v>-2.2600000000000064E-2</v>
      </c>
    </row>
    <row r="430" spans="1:5" x14ac:dyDescent="0.2">
      <c r="A430" s="345">
        <v>40602</v>
      </c>
      <c r="B430" s="253">
        <v>2.2856100000000001</v>
      </c>
      <c r="C430" s="346">
        <v>170012796.62</v>
      </c>
      <c r="D430" s="258">
        <v>2.2856100000000001</v>
      </c>
      <c r="E430" s="258">
        <f>B430-Index_Returns!V430</f>
        <v>1.3470000000000315E-2</v>
      </c>
    </row>
    <row r="431" spans="1:5" x14ac:dyDescent="0.2">
      <c r="A431" s="345">
        <v>40633</v>
      </c>
      <c r="B431" s="253">
        <f>D431</f>
        <v>-8.6290000000000006E-2</v>
      </c>
      <c r="C431" s="346">
        <v>120622137.43000001</v>
      </c>
      <c r="D431" s="258">
        <v>-8.6290000000000006E-2</v>
      </c>
      <c r="E431" s="258">
        <f>B431-Index_Returns!V431</f>
        <v>-2.3680000000000007E-2</v>
      </c>
    </row>
    <row r="432" spans="1:5" x14ac:dyDescent="0.2">
      <c r="A432" s="345">
        <v>40663</v>
      </c>
      <c r="B432" s="253">
        <f t="shared" ref="B432:B488" si="0">D432</f>
        <v>5.2408599999999996</v>
      </c>
      <c r="C432" s="346">
        <v>127013529.33</v>
      </c>
      <c r="D432" s="258">
        <v>5.2408599999999996</v>
      </c>
      <c r="E432" s="258">
        <f>B432-Index_Returns!V432</f>
        <v>-7.4370000000000047E-2</v>
      </c>
    </row>
    <row r="433" spans="1:5" x14ac:dyDescent="0.2">
      <c r="A433" s="345">
        <v>40694</v>
      </c>
      <c r="B433" s="253">
        <f t="shared" si="0"/>
        <v>-2.53925</v>
      </c>
      <c r="C433" s="346">
        <v>123839873.55</v>
      </c>
      <c r="D433" s="258">
        <v>-2.53925</v>
      </c>
      <c r="E433" s="258">
        <f>B433-Index_Returns!V433</f>
        <v>-6.9179999999999797E-2</v>
      </c>
    </row>
    <row r="434" spans="1:5" x14ac:dyDescent="0.2">
      <c r="A434" s="345">
        <v>40724</v>
      </c>
      <c r="B434" s="253">
        <f t="shared" si="0"/>
        <v>-1.6636</v>
      </c>
      <c r="C434" s="346">
        <v>121839231.01000001</v>
      </c>
      <c r="D434" s="258">
        <v>-1.6636</v>
      </c>
      <c r="E434" s="258">
        <f>B434-Index_Returns!V434</f>
        <v>-2.7600000000000069E-2</v>
      </c>
    </row>
    <row r="435" spans="1:5" x14ac:dyDescent="0.2">
      <c r="A435" s="345">
        <v>40755</v>
      </c>
      <c r="B435" s="253">
        <f t="shared" si="0"/>
        <v>-1.0263899999999999</v>
      </c>
      <c r="C435" s="346">
        <v>120588687.86</v>
      </c>
      <c r="D435" s="258">
        <v>-1.0263899999999999</v>
      </c>
      <c r="E435" s="258">
        <f>B435-Index_Returns!V435</f>
        <v>1.0890000000000066E-2</v>
      </c>
    </row>
    <row r="436" spans="1:5" x14ac:dyDescent="0.2">
      <c r="A436" s="345">
        <v>40786</v>
      </c>
      <c r="B436" s="253">
        <f t="shared" si="0"/>
        <v>-8.2477800000000006</v>
      </c>
      <c r="C436" s="346">
        <v>110676789.03</v>
      </c>
      <c r="D436" s="258">
        <v>-8.2477800000000006</v>
      </c>
      <c r="E436" s="258">
        <f>B436-Index_Returns!V436</f>
        <v>-3.84000000000011E-2</v>
      </c>
    </row>
    <row r="437" spans="1:5" x14ac:dyDescent="0.2">
      <c r="A437" s="345">
        <v>40816</v>
      </c>
      <c r="B437" s="253">
        <f t="shared" si="0"/>
        <v>-10.322319999999999</v>
      </c>
      <c r="C437" s="346">
        <v>99252374.689999998</v>
      </c>
      <c r="D437" s="258">
        <v>-10.322319999999999</v>
      </c>
      <c r="E437" s="258">
        <f>B437-Index_Returns!V437</f>
        <v>9.5799999999996999E-3</v>
      </c>
    </row>
    <row r="438" spans="1:5" x14ac:dyDescent="0.2">
      <c r="A438" s="345">
        <v>40847</v>
      </c>
      <c r="B438" s="253">
        <f t="shared" si="0"/>
        <v>7.19841</v>
      </c>
      <c r="C438" s="346">
        <v>106396967.69</v>
      </c>
      <c r="D438" s="258">
        <v>7.19841</v>
      </c>
      <c r="E438" s="258">
        <f>B438-Index_Returns!V438</f>
        <v>-3.0799999999997496E-3</v>
      </c>
    </row>
    <row r="439" spans="1:5" x14ac:dyDescent="0.2">
      <c r="A439" s="345">
        <v>40877</v>
      </c>
      <c r="B439" s="253">
        <f t="shared" si="0"/>
        <v>-5.4027900000000004</v>
      </c>
      <c r="C439" s="346">
        <v>53288609.670000002</v>
      </c>
      <c r="D439" s="258">
        <v>-5.4027900000000004</v>
      </c>
      <c r="E439" s="258">
        <f>B439-Index_Returns!V439</f>
        <v>-2.6500000000000412E-3</v>
      </c>
    </row>
    <row r="440" spans="1:5" x14ac:dyDescent="0.2">
      <c r="A440" s="345">
        <v>40908</v>
      </c>
      <c r="B440" s="253">
        <f t="shared" si="0"/>
        <v>-1.9268000000000001</v>
      </c>
      <c r="C440" s="346">
        <v>52261843.439999998</v>
      </c>
      <c r="D440" s="258">
        <v>-1.9268000000000001</v>
      </c>
      <c r="E440" s="258">
        <f>B440-Index_Returns!V440</f>
        <v>-2.4630000000000152E-2</v>
      </c>
    </row>
    <row r="441" spans="1:5" x14ac:dyDescent="0.2">
      <c r="A441" s="345">
        <v>40939</v>
      </c>
      <c r="B441" s="253">
        <f t="shared" si="0"/>
        <v>8.1647499999999997</v>
      </c>
      <c r="C441" s="346">
        <v>56563614.240000002</v>
      </c>
      <c r="D441" s="258">
        <v>8.1647499999999997</v>
      </c>
      <c r="E441" s="258">
        <f>B441-Index_Returns!V441</f>
        <v>-0.1129800000000003</v>
      </c>
    </row>
    <row r="442" spans="1:5" x14ac:dyDescent="0.2">
      <c r="A442" s="345">
        <v>40968</v>
      </c>
      <c r="B442" s="253">
        <f t="shared" si="0"/>
        <v>5.9671599999999998</v>
      </c>
      <c r="C442" s="346">
        <v>59961384.469999999</v>
      </c>
      <c r="D442" s="258">
        <v>5.9671599999999998</v>
      </c>
      <c r="E442" s="258">
        <f>B442-Index_Returns!V442</f>
        <v>-4.8690000000000566E-2</v>
      </c>
    </row>
    <row r="443" spans="1:5" x14ac:dyDescent="0.2">
      <c r="A443" s="345">
        <v>40999</v>
      </c>
      <c r="B443" s="253">
        <f t="shared" si="0"/>
        <v>0.12275</v>
      </c>
      <c r="C443" s="346">
        <v>60034985.060000002</v>
      </c>
      <c r="D443" s="258">
        <v>0.12275</v>
      </c>
      <c r="E443" s="258">
        <f>B443-Index_Returns!V443</f>
        <v>-5.6200000000000139E-3</v>
      </c>
    </row>
    <row r="444" spans="1:5" x14ac:dyDescent="0.2">
      <c r="A444" s="345">
        <v>41029</v>
      </c>
      <c r="B444" s="253">
        <f t="shared" si="0"/>
        <v>-0.47537000000000001</v>
      </c>
      <c r="C444" s="346">
        <v>59749595.020000003</v>
      </c>
      <c r="D444" s="258">
        <v>-0.47537000000000001</v>
      </c>
      <c r="E444" s="258">
        <f>B444-Index_Returns!V444</f>
        <v>-4.2440000000000033E-2</v>
      </c>
    </row>
    <row r="445" spans="1:5" x14ac:dyDescent="0.2">
      <c r="A445" s="345">
        <v>41060</v>
      </c>
      <c r="B445" s="253">
        <f t="shared" si="0"/>
        <v>-11.668620000000001</v>
      </c>
      <c r="C445" s="346">
        <v>52777644.770000003</v>
      </c>
      <c r="D445" s="258">
        <v>-11.668620000000001</v>
      </c>
      <c r="E445" s="258">
        <f>B445-Index_Returns!V445</f>
        <v>1.3859999999999317E-2</v>
      </c>
    </row>
    <row r="446" spans="1:5" x14ac:dyDescent="0.2">
      <c r="A446" s="345">
        <v>41090</v>
      </c>
      <c r="B446" s="253">
        <f t="shared" si="0"/>
        <v>4.0155700000000003</v>
      </c>
      <c r="C446" s="346">
        <v>54919051.850000001</v>
      </c>
      <c r="D446" s="258">
        <v>4.0155700000000003</v>
      </c>
      <c r="E446" s="258">
        <f>B446-Index_Returns!V446</f>
        <v>-6.7800000000000082E-2</v>
      </c>
    </row>
    <row r="447" spans="1:5" x14ac:dyDescent="0.2">
      <c r="A447" s="345">
        <v>41121</v>
      </c>
      <c r="B447" s="253">
        <f t="shared" si="0"/>
        <v>0.21659</v>
      </c>
      <c r="C447" s="346">
        <v>55037999.060000002</v>
      </c>
      <c r="D447" s="258">
        <v>0.21659</v>
      </c>
      <c r="E447" s="258">
        <f>B447-Index_Returns!V447</f>
        <v>-0.17009999999999997</v>
      </c>
    </row>
    <row r="448" spans="1:5" x14ac:dyDescent="0.2">
      <c r="A448" s="345">
        <v>41152</v>
      </c>
      <c r="B448" s="253">
        <f t="shared" si="0"/>
        <v>2.65537</v>
      </c>
      <c r="C448" s="346">
        <v>56519213.189999998</v>
      </c>
      <c r="D448" s="258">
        <v>2.65537</v>
      </c>
      <c r="E448" s="258">
        <f>B448-Index_Returns!V448</f>
        <v>-2.7680000000000149E-2</v>
      </c>
    </row>
    <row r="449" spans="1:5" x14ac:dyDescent="0.2">
      <c r="A449" s="345">
        <v>41182</v>
      </c>
      <c r="B449" s="253">
        <f t="shared" si="0"/>
        <v>4.6456600000000003</v>
      </c>
      <c r="C449" s="346">
        <v>59144905.640000001</v>
      </c>
      <c r="D449" s="258">
        <v>4.6456600000000003</v>
      </c>
      <c r="E449" s="258">
        <f>B449-Index_Returns!V449</f>
        <v>-6.9299999999999251E-2</v>
      </c>
    </row>
    <row r="450" spans="1:5" x14ac:dyDescent="0.2">
      <c r="A450" s="345">
        <v>41213</v>
      </c>
      <c r="B450" s="253">
        <f t="shared" si="0"/>
        <v>0.85299999999999998</v>
      </c>
      <c r="C450" s="346">
        <v>59649409.909999996</v>
      </c>
      <c r="D450" s="258">
        <v>0.85299999999999998</v>
      </c>
      <c r="E450" s="258">
        <f>B450-Index_Returns!V450</f>
        <v>-4.0000000000000036E-3</v>
      </c>
    </row>
    <row r="451" spans="1:5" x14ac:dyDescent="0.2">
      <c r="A451" s="345">
        <v>41243</v>
      </c>
      <c r="B451" s="253">
        <f t="shared" si="0"/>
        <v>0.96131999999999995</v>
      </c>
      <c r="C451" s="346">
        <v>60222832.159999996</v>
      </c>
      <c r="D451" s="258">
        <v>0.96131999999999995</v>
      </c>
      <c r="E451" s="258">
        <f>B451-Index_Returns!V451</f>
        <v>3.3299999999999441E-3</v>
      </c>
    </row>
    <row r="452" spans="1:5" x14ac:dyDescent="0.2">
      <c r="A452" s="345">
        <v>41274</v>
      </c>
      <c r="B452" s="253">
        <f t="shared" si="0"/>
        <v>4.1011899999999999</v>
      </c>
      <c r="C452" s="346">
        <v>62692682.100000001</v>
      </c>
      <c r="D452" s="258">
        <v>4.1011899999999999</v>
      </c>
      <c r="E452" s="258">
        <f>B452-Index_Returns!V452</f>
        <v>-4.6669999999999767E-2</v>
      </c>
    </row>
    <row r="453" spans="1:5" x14ac:dyDescent="0.2">
      <c r="A453" s="345">
        <v>41305</v>
      </c>
      <c r="B453" s="253">
        <f t="shared" si="0"/>
        <v>5.2270099999999999</v>
      </c>
      <c r="C453" s="346">
        <v>65969632.090000004</v>
      </c>
      <c r="D453" s="258">
        <v>5.2270099999999999</v>
      </c>
      <c r="E453" s="258">
        <f>B453-Index_Returns!V453</f>
        <v>-9.5700000000000784E-3</v>
      </c>
    </row>
    <row r="454" spans="1:5" x14ac:dyDescent="0.2">
      <c r="A454" s="345">
        <v>41333</v>
      </c>
      <c r="B454" s="253">
        <f t="shared" si="0"/>
        <v>1.12635</v>
      </c>
      <c r="C454" s="346">
        <v>278410096.44</v>
      </c>
      <c r="D454" s="258">
        <v>1.12635</v>
      </c>
      <c r="E454" s="258">
        <f>B454-Index_Returns!V454</f>
        <v>7.6499999999999346E-3</v>
      </c>
    </row>
    <row r="455" spans="1:5" x14ac:dyDescent="0.2">
      <c r="A455" s="345">
        <v>41364</v>
      </c>
      <c r="B455" s="253">
        <f t="shared" si="0"/>
        <v>2.03125</v>
      </c>
      <c r="C455" s="346">
        <v>284106930.47000003</v>
      </c>
      <c r="D455" s="258">
        <v>2.03125</v>
      </c>
      <c r="E455" s="258">
        <f>B455-Index_Returns!V455</f>
        <v>8.6189999999999989E-2</v>
      </c>
    </row>
    <row r="456" spans="1:5" x14ac:dyDescent="0.2">
      <c r="A456" s="345">
        <v>41394</v>
      </c>
      <c r="B456" s="253">
        <f t="shared" si="0"/>
        <v>3.5543800000000001</v>
      </c>
      <c r="C456" s="346">
        <v>294205158.05000001</v>
      </c>
      <c r="D456" s="258">
        <v>3.5543800000000001</v>
      </c>
      <c r="E456" s="258">
        <f>B456-Index_Returns!V456</f>
        <v>-0.10359000000000007</v>
      </c>
    </row>
    <row r="457" spans="1:5" x14ac:dyDescent="0.2">
      <c r="A457" s="345">
        <v>41425</v>
      </c>
      <c r="B457" s="253">
        <f t="shared" si="0"/>
        <v>-2.3644799999999999</v>
      </c>
      <c r="C457" s="346">
        <v>287313953.25999999</v>
      </c>
      <c r="D457" s="258">
        <v>-2.3644799999999999</v>
      </c>
      <c r="E457" s="258">
        <f>B457-Index_Returns!V457</f>
        <v>-0.10326000000000013</v>
      </c>
    </row>
    <row r="458" spans="1:5" x14ac:dyDescent="0.2">
      <c r="A458" s="345">
        <v>41455</v>
      </c>
      <c r="B458" s="253">
        <f t="shared" si="0"/>
        <v>-3.5287299999999999</v>
      </c>
      <c r="C458" s="1307">
        <v>277175414.85000002</v>
      </c>
      <c r="D458" s="1306">
        <v>-3.5287299999999999</v>
      </c>
      <c r="E458" s="258">
        <f>B458-Index_Returns!V458</f>
        <v>9.2370000000000285E-2</v>
      </c>
    </row>
    <row r="459" spans="1:5" x14ac:dyDescent="0.2">
      <c r="A459" s="345">
        <v>41486</v>
      </c>
      <c r="B459" s="253">
        <f t="shared" si="0"/>
        <v>6.05288</v>
      </c>
      <c r="C459" s="346">
        <v>293952512.13999999</v>
      </c>
      <c r="D459" s="258">
        <v>6.05288</v>
      </c>
      <c r="E459" s="258">
        <f>B459-Index_Returns!V459</f>
        <v>-2.9399999999999871E-2</v>
      </c>
    </row>
    <row r="460" spans="1:5" x14ac:dyDescent="0.2">
      <c r="A460" s="345">
        <v>41517</v>
      </c>
      <c r="B460" s="253">
        <f t="shared" si="0"/>
        <v>-6.1219999999999997E-2</v>
      </c>
      <c r="C460" s="346">
        <v>293772557.86000001</v>
      </c>
      <c r="D460" s="258">
        <v>-6.1219999999999997E-2</v>
      </c>
      <c r="E460" s="258">
        <f>B460-Index_Returns!V460</f>
        <v>-1.1499999999999996E-2</v>
      </c>
    </row>
    <row r="461" spans="1:5" x14ac:dyDescent="0.2">
      <c r="A461" s="345">
        <v>41547</v>
      </c>
      <c r="B461" s="253">
        <f t="shared" si="0"/>
        <v>8.9451499999999999</v>
      </c>
      <c r="C461" s="346">
        <v>320050961.68000001</v>
      </c>
      <c r="D461" s="258">
        <v>8.9451499999999999</v>
      </c>
      <c r="E461" s="258">
        <f>B461-Index_Returns!V461</f>
        <v>-4.6200000000000685E-2</v>
      </c>
    </row>
    <row r="462" spans="1:5" x14ac:dyDescent="0.2">
      <c r="A462" s="345">
        <v>41578</v>
      </c>
      <c r="B462" s="253">
        <f t="shared" si="0"/>
        <v>3.0410499999999998</v>
      </c>
      <c r="C462" s="346">
        <v>329783861.87</v>
      </c>
      <c r="D462" s="258">
        <v>3.0410499999999998</v>
      </c>
      <c r="E462" s="258">
        <f>B462-Index_Returns!V462</f>
        <v>-2.4900000000003253E-3</v>
      </c>
    </row>
    <row r="463" spans="1:5" x14ac:dyDescent="0.2">
      <c r="A463" s="345">
        <v>41608</v>
      </c>
      <c r="B463" s="253">
        <f t="shared" si="0"/>
        <v>0.38262000000000002</v>
      </c>
      <c r="C463" s="346">
        <v>351747551.47000003</v>
      </c>
      <c r="D463" s="258">
        <v>0.38262000000000002</v>
      </c>
      <c r="E463" s="258">
        <f>B463-Index_Returns!V463</f>
        <v>-6.2359999999999971E-2</v>
      </c>
    </row>
    <row r="464" spans="1:5" x14ac:dyDescent="0.2">
      <c r="A464" s="345">
        <v>41639</v>
      </c>
      <c r="B464" s="253">
        <f t="shared" si="0"/>
        <v>2.3381099999999999</v>
      </c>
      <c r="C464" s="346">
        <v>452076082.54000002</v>
      </c>
      <c r="D464" s="258">
        <v>2.3381099999999999</v>
      </c>
      <c r="E464" s="258">
        <f>B464-Index_Returns!V464</f>
        <v>-1.7930000000000224E-2</v>
      </c>
    </row>
    <row r="465" spans="1:5" x14ac:dyDescent="0.2">
      <c r="A465" s="345">
        <v>41670</v>
      </c>
      <c r="B465" s="253">
        <f t="shared" si="0"/>
        <v>-1.6007100000000001</v>
      </c>
      <c r="C465" s="346">
        <v>444953714.81999999</v>
      </c>
      <c r="D465" s="258">
        <v>-1.6007100000000001</v>
      </c>
      <c r="E465" s="258">
        <f>B465-Index_Returns!V465</f>
        <v>-6.4750000000000085E-2</v>
      </c>
    </row>
    <row r="466" spans="1:5" x14ac:dyDescent="0.2">
      <c r="A466" s="345">
        <v>41698</v>
      </c>
      <c r="B466" s="253">
        <f t="shared" si="0"/>
        <v>5.5188499999999996</v>
      </c>
      <c r="C466" s="346">
        <v>469510034.82999998</v>
      </c>
      <c r="D466" s="258">
        <v>5.5188499999999996</v>
      </c>
      <c r="E466" s="258">
        <f>B466-Index_Returns!V466</f>
        <v>-3.7400000000005207E-3</v>
      </c>
    </row>
    <row r="467" spans="1:5" x14ac:dyDescent="0.2">
      <c r="A467" s="345">
        <v>41729</v>
      </c>
      <c r="B467" s="253">
        <f t="shared" si="0"/>
        <v>-0.52703</v>
      </c>
      <c r="C467" s="346">
        <v>467035592.95999998</v>
      </c>
      <c r="D467" s="258">
        <v>-0.52703</v>
      </c>
      <c r="E467" s="258">
        <f>B467-Index_Returns!V467</f>
        <v>-1.9200000000000328E-3</v>
      </c>
    </row>
    <row r="468" spans="1:5" x14ac:dyDescent="0.2">
      <c r="A468" s="345">
        <v>41759</v>
      </c>
      <c r="B468" s="253">
        <f t="shared" si="0"/>
        <v>-0.76563000000000003</v>
      </c>
      <c r="C468" s="346">
        <v>463459829.56</v>
      </c>
      <c r="D468" s="258">
        <v>-0.76563000000000003</v>
      </c>
      <c r="E468" s="258">
        <f>B468-Index_Returns!V468</f>
        <v>4.0579999999999949E-2</v>
      </c>
    </row>
    <row r="469" spans="1:5" x14ac:dyDescent="0.2">
      <c r="A469" s="345">
        <v>41790</v>
      </c>
      <c r="B469" s="253">
        <f t="shared" si="0"/>
        <v>1.4237500000000001</v>
      </c>
      <c r="C469" s="346">
        <v>470202852.36000001</v>
      </c>
      <c r="D469" s="258">
        <v>1.4237500000000001</v>
      </c>
      <c r="E469" s="258">
        <f>B469-Index_Returns!V469</f>
        <v>2.4010000000000087E-2</v>
      </c>
    </row>
    <row r="470" spans="1:5" x14ac:dyDescent="0.2">
      <c r="A470" s="345">
        <v>41820</v>
      </c>
      <c r="B470" s="253">
        <f t="shared" si="0"/>
        <v>1.4938899999999999</v>
      </c>
      <c r="C470" s="346">
        <v>477227141.86000001</v>
      </c>
      <c r="D470" s="258">
        <v>1.4938899999999999</v>
      </c>
      <c r="E470" s="258">
        <f>B470-Index_Returns!V470</f>
        <v>8.7099999999999955E-3</v>
      </c>
    </row>
    <row r="471" spans="1:5" x14ac:dyDescent="0.2">
      <c r="A471" s="345">
        <v>41851</v>
      </c>
      <c r="B471" s="253">
        <f t="shared" si="0"/>
        <v>-2.3830900000000002</v>
      </c>
      <c r="C471" s="346">
        <v>465854398.74000001</v>
      </c>
      <c r="D471" s="258">
        <v>-2.3830900000000002</v>
      </c>
      <c r="E471" s="258">
        <f>B471-Index_Returns!V471</f>
        <v>-3.1970000000000276E-2</v>
      </c>
    </row>
    <row r="472" spans="1:5" x14ac:dyDescent="0.2">
      <c r="A472" s="345">
        <v>41882</v>
      </c>
      <c r="B472" s="253">
        <f t="shared" si="0"/>
        <v>-0.21362</v>
      </c>
      <c r="C472" s="346">
        <v>465007602.17000002</v>
      </c>
      <c r="D472" s="258">
        <v>-0.21362</v>
      </c>
      <c r="E472" s="258">
        <f>B472-Index_Returns!V472</f>
        <v>-3.6830000000000002E-2</v>
      </c>
    </row>
    <row r="473" spans="1:5" x14ac:dyDescent="0.2">
      <c r="A473" s="345">
        <v>41912</v>
      </c>
      <c r="B473" s="253">
        <f t="shared" si="0"/>
        <v>0</v>
      </c>
      <c r="E473" s="258">
        <f>B473-Index_Returns!V473</f>
        <v>0</v>
      </c>
    </row>
    <row r="474" spans="1:5" x14ac:dyDescent="0.2">
      <c r="A474" s="345">
        <v>41943</v>
      </c>
      <c r="B474" s="253">
        <f t="shared" si="0"/>
        <v>0</v>
      </c>
      <c r="E474" s="258">
        <f>B474-Index_Returns!V474</f>
        <v>0</v>
      </c>
    </row>
    <row r="475" spans="1:5" x14ac:dyDescent="0.2">
      <c r="A475" s="345">
        <v>41973</v>
      </c>
      <c r="B475" s="253">
        <f t="shared" si="0"/>
        <v>0</v>
      </c>
      <c r="E475" s="258">
        <f>B475-Index_Returns!V475</f>
        <v>0</v>
      </c>
    </row>
    <row r="476" spans="1:5" x14ac:dyDescent="0.2">
      <c r="A476" s="345">
        <v>42004</v>
      </c>
      <c r="B476" s="253">
        <f t="shared" si="0"/>
        <v>0</v>
      </c>
      <c r="E476" s="258">
        <f>B476-Index_Returns!V476</f>
        <v>0</v>
      </c>
    </row>
    <row r="477" spans="1:5" x14ac:dyDescent="0.2">
      <c r="A477" s="345">
        <v>42035</v>
      </c>
      <c r="B477" s="253">
        <f t="shared" si="0"/>
        <v>0</v>
      </c>
      <c r="E477" s="258">
        <f>B477-Index_Returns!V477</f>
        <v>0</v>
      </c>
    </row>
    <row r="478" spans="1:5" x14ac:dyDescent="0.2">
      <c r="A478" s="345">
        <v>42063</v>
      </c>
      <c r="B478" s="253">
        <f t="shared" si="0"/>
        <v>0</v>
      </c>
      <c r="E478" s="258">
        <f>B478-Index_Returns!V478</f>
        <v>0</v>
      </c>
    </row>
    <row r="479" spans="1:5" x14ac:dyDescent="0.2">
      <c r="A479" s="345">
        <v>42094</v>
      </c>
      <c r="B479" s="253">
        <f t="shared" si="0"/>
        <v>0</v>
      </c>
      <c r="E479" s="258">
        <f>B479-Index_Returns!V479</f>
        <v>0</v>
      </c>
    </row>
    <row r="480" spans="1:5" x14ac:dyDescent="0.2">
      <c r="A480" s="345">
        <v>42124</v>
      </c>
      <c r="B480" s="253">
        <f t="shared" si="0"/>
        <v>0</v>
      </c>
      <c r="E480" s="258">
        <f>B480-Index_Returns!V480</f>
        <v>0</v>
      </c>
    </row>
    <row r="481" spans="1:5" x14ac:dyDescent="0.2">
      <c r="A481" s="345">
        <v>42155</v>
      </c>
      <c r="B481" s="253">
        <f t="shared" si="0"/>
        <v>0</v>
      </c>
      <c r="E481" s="258">
        <f>B481-Index_Returns!V481</f>
        <v>0</v>
      </c>
    </row>
    <row r="482" spans="1:5" x14ac:dyDescent="0.2">
      <c r="A482" s="345">
        <v>42185</v>
      </c>
      <c r="B482" s="253">
        <f t="shared" si="0"/>
        <v>0</v>
      </c>
      <c r="E482" s="258">
        <f>B482-Index_Returns!V482</f>
        <v>0</v>
      </c>
    </row>
    <row r="483" spans="1:5" x14ac:dyDescent="0.2">
      <c r="A483" s="345">
        <v>42216</v>
      </c>
      <c r="B483" s="253">
        <f t="shared" si="0"/>
        <v>0</v>
      </c>
      <c r="E483" s="258">
        <f>B483-Index_Returns!V483</f>
        <v>0</v>
      </c>
    </row>
    <row r="484" spans="1:5" x14ac:dyDescent="0.2">
      <c r="A484" s="345">
        <v>42247</v>
      </c>
      <c r="B484" s="253">
        <f t="shared" si="0"/>
        <v>0</v>
      </c>
      <c r="E484" s="258">
        <f>B484-Index_Returns!V484</f>
        <v>0</v>
      </c>
    </row>
    <row r="485" spans="1:5" x14ac:dyDescent="0.2">
      <c r="A485" s="345">
        <v>42277</v>
      </c>
      <c r="B485" s="253">
        <f t="shared" si="0"/>
        <v>0</v>
      </c>
      <c r="E485" s="258">
        <f>B485-Index_Returns!V485</f>
        <v>0</v>
      </c>
    </row>
    <row r="486" spans="1:5" x14ac:dyDescent="0.2">
      <c r="A486" s="345">
        <v>42308</v>
      </c>
      <c r="B486" s="253">
        <f t="shared" si="0"/>
        <v>0</v>
      </c>
      <c r="E486" s="258">
        <f>B486-Index_Returns!V486</f>
        <v>0</v>
      </c>
    </row>
    <row r="487" spans="1:5" x14ac:dyDescent="0.2">
      <c r="A487" s="345">
        <v>42338</v>
      </c>
      <c r="B487" s="253">
        <f t="shared" si="0"/>
        <v>0</v>
      </c>
      <c r="E487" s="258">
        <f>B487-Index_Returns!V487</f>
        <v>0</v>
      </c>
    </row>
    <row r="488" spans="1:5" x14ac:dyDescent="0.2">
      <c r="A488" s="345">
        <v>42369</v>
      </c>
      <c r="B488" s="253">
        <f t="shared" si="0"/>
        <v>0</v>
      </c>
      <c r="E488" s="258">
        <f>B488-Index_Returns!V488</f>
        <v>0</v>
      </c>
    </row>
  </sheetData>
  <printOptions headings="1" gridLines="1"/>
  <pageMargins left="0.78740157480314965" right="0.78740157480314965" top="0.78740157480314965" bottom="0.78740157480314965" header="0.39370078740157483" footer="0.39370078740157483"/>
  <pageSetup scale="13" orientation="portrait" r:id="rId1"/>
  <headerFooter alignWithMargins="0">
    <oddHeader>&amp;L&amp;A</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H488"/>
  <sheetViews>
    <sheetView workbookViewId="0">
      <pane xSplit="1" ySplit="2" topLeftCell="B448" activePane="bottomRight" state="frozen"/>
      <selection pane="topRight" activeCell="B1" sqref="B1"/>
      <selection pane="bottomLeft" activeCell="A3" sqref="A3"/>
      <selection pane="bottomRight" activeCell="C472" sqref="C472:D472"/>
    </sheetView>
  </sheetViews>
  <sheetFormatPr defaultRowHeight="12.75" x14ac:dyDescent="0.2"/>
  <cols>
    <col min="1" max="1" width="18.7109375" style="1308" customWidth="1"/>
    <col min="2" max="2" width="18.7109375" style="1309" customWidth="1"/>
    <col min="3" max="3" width="18.7109375" style="1307" customWidth="1"/>
    <col min="4" max="4" width="18.7109375" style="1306" customWidth="1"/>
    <col min="5" max="5" width="9.140625" style="1301"/>
    <col min="6" max="6" width="12.42578125" style="1266" bestFit="1" customWidth="1"/>
    <col min="7" max="8" width="9.140625" style="1305"/>
    <col min="9" max="16384" width="9.140625" style="1266"/>
  </cols>
  <sheetData>
    <row r="1" spans="1:6" x14ac:dyDescent="0.2">
      <c r="A1" s="1420" t="s">
        <v>880</v>
      </c>
      <c r="B1" s="1290"/>
      <c r="C1" s="1386" t="s">
        <v>686</v>
      </c>
      <c r="D1" s="1373">
        <v>40</v>
      </c>
      <c r="F1" s="1454" t="s">
        <v>754</v>
      </c>
    </row>
    <row r="2" spans="1:6" x14ac:dyDescent="0.2">
      <c r="A2" s="1291" t="s">
        <v>27</v>
      </c>
      <c r="B2" s="1292" t="s">
        <v>91</v>
      </c>
      <c r="C2" s="1294" t="s">
        <v>92</v>
      </c>
      <c r="D2" s="1292" t="s">
        <v>90</v>
      </c>
      <c r="E2" s="1374" t="s">
        <v>80</v>
      </c>
    </row>
    <row r="3" spans="1:6" x14ac:dyDescent="0.2">
      <c r="A3" s="1293">
        <v>27606</v>
      </c>
      <c r="B3" s="1292"/>
      <c r="C3" s="1294"/>
      <c r="D3" s="1292"/>
    </row>
    <row r="4" spans="1:6" x14ac:dyDescent="0.2">
      <c r="A4" s="1293">
        <v>27637</v>
      </c>
      <c r="B4" s="1292"/>
      <c r="C4" s="1294"/>
      <c r="D4" s="1292"/>
    </row>
    <row r="5" spans="1:6" x14ac:dyDescent="0.2">
      <c r="A5" s="1293">
        <v>27667</v>
      </c>
      <c r="B5" s="1292"/>
      <c r="C5" s="1294"/>
      <c r="D5" s="1292"/>
    </row>
    <row r="6" spans="1:6" x14ac:dyDescent="0.2">
      <c r="A6" s="1293">
        <v>27698</v>
      </c>
      <c r="B6" s="1292"/>
      <c r="C6" s="1294"/>
      <c r="D6" s="1292"/>
    </row>
    <row r="7" spans="1:6" x14ac:dyDescent="0.2">
      <c r="A7" s="1293">
        <v>27728</v>
      </c>
      <c r="B7" s="1292"/>
      <c r="C7" s="1294"/>
      <c r="D7" s="1292"/>
    </row>
    <row r="8" spans="1:6" x14ac:dyDescent="0.2">
      <c r="A8" s="1293">
        <v>27759</v>
      </c>
      <c r="B8" s="1292"/>
      <c r="C8" s="1294"/>
      <c r="D8" s="1292"/>
    </row>
    <row r="9" spans="1:6" x14ac:dyDescent="0.2">
      <c r="A9" s="1293">
        <v>27790</v>
      </c>
      <c r="B9" s="1292"/>
      <c r="C9" s="1294"/>
      <c r="D9" s="1292"/>
    </row>
    <row r="10" spans="1:6" x14ac:dyDescent="0.2">
      <c r="A10" s="1293">
        <v>27819</v>
      </c>
      <c r="B10" s="1292"/>
      <c r="C10" s="1294"/>
      <c r="D10" s="1292"/>
    </row>
    <row r="11" spans="1:6" x14ac:dyDescent="0.2">
      <c r="A11" s="1293">
        <v>27850</v>
      </c>
      <c r="B11" s="1292"/>
      <c r="C11" s="1294"/>
      <c r="D11" s="1292"/>
    </row>
    <row r="12" spans="1:6" x14ac:dyDescent="0.2">
      <c r="A12" s="1293">
        <v>27880</v>
      </c>
      <c r="B12" s="1292"/>
      <c r="C12" s="1294"/>
      <c r="D12" s="1292"/>
    </row>
    <row r="13" spans="1:6" x14ac:dyDescent="0.2">
      <c r="A13" s="1293">
        <v>27911</v>
      </c>
      <c r="B13" s="1292"/>
      <c r="C13" s="1294"/>
      <c r="D13" s="1292"/>
    </row>
    <row r="14" spans="1:6" x14ac:dyDescent="0.2">
      <c r="A14" s="1293">
        <v>27941</v>
      </c>
      <c r="B14" s="1292"/>
      <c r="C14" s="1294"/>
      <c r="D14" s="1292"/>
    </row>
    <row r="15" spans="1:6" x14ac:dyDescent="0.2">
      <c r="A15" s="1293">
        <v>27972</v>
      </c>
      <c r="B15" s="1292"/>
      <c r="C15" s="1294"/>
      <c r="D15" s="1292"/>
    </row>
    <row r="16" spans="1:6" x14ac:dyDescent="0.2">
      <c r="A16" s="1293">
        <v>28003</v>
      </c>
      <c r="B16" s="1292"/>
      <c r="C16" s="1294"/>
      <c r="D16" s="1292"/>
    </row>
    <row r="17" spans="1:4" x14ac:dyDescent="0.2">
      <c r="A17" s="1293">
        <v>28033</v>
      </c>
      <c r="B17" s="1292"/>
      <c r="C17" s="1294"/>
      <c r="D17" s="1292"/>
    </row>
    <row r="18" spans="1:4" x14ac:dyDescent="0.2">
      <c r="A18" s="1293">
        <v>28064</v>
      </c>
      <c r="B18" s="1292"/>
      <c r="C18" s="1294"/>
      <c r="D18" s="1292"/>
    </row>
    <row r="19" spans="1:4" x14ac:dyDescent="0.2">
      <c r="A19" s="1293">
        <v>28094</v>
      </c>
      <c r="B19" s="1292"/>
      <c r="C19" s="1294"/>
      <c r="D19" s="1292"/>
    </row>
    <row r="20" spans="1:4" x14ac:dyDescent="0.2">
      <c r="A20" s="1293">
        <v>28125</v>
      </c>
      <c r="B20" s="1292"/>
      <c r="C20" s="1294"/>
      <c r="D20" s="1292"/>
    </row>
    <row r="21" spans="1:4" x14ac:dyDescent="0.2">
      <c r="A21" s="1293">
        <v>28156</v>
      </c>
      <c r="B21" s="1292"/>
      <c r="C21" s="1294"/>
      <c r="D21" s="1292"/>
    </row>
    <row r="22" spans="1:4" x14ac:dyDescent="0.2">
      <c r="A22" s="1293">
        <v>28184</v>
      </c>
      <c r="B22" s="1292"/>
      <c r="C22" s="1294"/>
      <c r="D22" s="1292"/>
    </row>
    <row r="23" spans="1:4" x14ac:dyDescent="0.2">
      <c r="A23" s="1293">
        <v>28215</v>
      </c>
      <c r="B23" s="1292"/>
      <c r="C23" s="1294"/>
      <c r="D23" s="1292"/>
    </row>
    <row r="24" spans="1:4" x14ac:dyDescent="0.2">
      <c r="A24" s="1293">
        <v>28245</v>
      </c>
      <c r="B24" s="1292"/>
      <c r="C24" s="1294"/>
      <c r="D24" s="1292"/>
    </row>
    <row r="25" spans="1:4" x14ac:dyDescent="0.2">
      <c r="A25" s="1293">
        <v>28276</v>
      </c>
      <c r="B25" s="1292"/>
      <c r="C25" s="1294"/>
      <c r="D25" s="1292"/>
    </row>
    <row r="26" spans="1:4" x14ac:dyDescent="0.2">
      <c r="A26" s="1293">
        <v>28306</v>
      </c>
      <c r="B26" s="1292"/>
      <c r="C26" s="1294"/>
      <c r="D26" s="1292"/>
    </row>
    <row r="27" spans="1:4" x14ac:dyDescent="0.2">
      <c r="A27" s="1293">
        <v>28337</v>
      </c>
      <c r="B27" s="1292"/>
      <c r="C27" s="1294"/>
      <c r="D27" s="1292"/>
    </row>
    <row r="28" spans="1:4" x14ac:dyDescent="0.2">
      <c r="A28" s="1293">
        <v>28368</v>
      </c>
      <c r="B28" s="1292"/>
      <c r="C28" s="1294"/>
      <c r="D28" s="1292"/>
    </row>
    <row r="29" spans="1:4" x14ac:dyDescent="0.2">
      <c r="A29" s="1293">
        <v>28398</v>
      </c>
      <c r="B29" s="1292"/>
      <c r="C29" s="1294"/>
      <c r="D29" s="1292"/>
    </row>
    <row r="30" spans="1:4" x14ac:dyDescent="0.2">
      <c r="A30" s="1293">
        <v>28429</v>
      </c>
      <c r="B30" s="1292"/>
      <c r="C30" s="1294"/>
      <c r="D30" s="1292"/>
    </row>
    <row r="31" spans="1:4" x14ac:dyDescent="0.2">
      <c r="A31" s="1293">
        <v>28459</v>
      </c>
      <c r="B31" s="1292"/>
      <c r="C31" s="1294"/>
      <c r="D31" s="1292"/>
    </row>
    <row r="32" spans="1:4" x14ac:dyDescent="0.2">
      <c r="A32" s="1293">
        <v>28490</v>
      </c>
      <c r="B32" s="1292"/>
      <c r="C32" s="1294"/>
      <c r="D32" s="1292"/>
    </row>
    <row r="33" spans="1:4" x14ac:dyDescent="0.2">
      <c r="A33" s="1293">
        <v>28521</v>
      </c>
      <c r="B33" s="1292"/>
      <c r="C33" s="1294"/>
      <c r="D33" s="1292"/>
    </row>
    <row r="34" spans="1:4" x14ac:dyDescent="0.2">
      <c r="A34" s="1293">
        <v>28549</v>
      </c>
      <c r="B34" s="1292"/>
      <c r="C34" s="1294"/>
      <c r="D34" s="1292"/>
    </row>
    <row r="35" spans="1:4" x14ac:dyDescent="0.2">
      <c r="A35" s="1293">
        <v>28580</v>
      </c>
      <c r="B35" s="1292"/>
      <c r="C35" s="1294"/>
      <c r="D35" s="1292"/>
    </row>
    <row r="36" spans="1:4" x14ac:dyDescent="0.2">
      <c r="A36" s="1293">
        <v>28610</v>
      </c>
      <c r="B36" s="1292"/>
      <c r="C36" s="1294"/>
      <c r="D36" s="1292"/>
    </row>
    <row r="37" spans="1:4" x14ac:dyDescent="0.2">
      <c r="A37" s="1293">
        <v>28641</v>
      </c>
      <c r="B37" s="1292"/>
      <c r="C37" s="1294"/>
      <c r="D37" s="1292"/>
    </row>
    <row r="38" spans="1:4" x14ac:dyDescent="0.2">
      <c r="A38" s="1293">
        <v>28671</v>
      </c>
      <c r="B38" s="1292"/>
      <c r="C38" s="1294"/>
      <c r="D38" s="1292"/>
    </row>
    <row r="39" spans="1:4" x14ac:dyDescent="0.2">
      <c r="A39" s="1293">
        <v>28702</v>
      </c>
      <c r="B39" s="1292"/>
      <c r="C39" s="1294"/>
      <c r="D39" s="1292"/>
    </row>
    <row r="40" spans="1:4" x14ac:dyDescent="0.2">
      <c r="A40" s="1293">
        <v>28733</v>
      </c>
      <c r="B40" s="1292"/>
      <c r="C40" s="1294"/>
      <c r="D40" s="1292"/>
    </row>
    <row r="41" spans="1:4" x14ac:dyDescent="0.2">
      <c r="A41" s="1293">
        <v>28763</v>
      </c>
      <c r="B41" s="1292"/>
      <c r="C41" s="1294"/>
      <c r="D41" s="1292"/>
    </row>
    <row r="42" spans="1:4" x14ac:dyDescent="0.2">
      <c r="A42" s="1293">
        <v>28794</v>
      </c>
      <c r="B42" s="1292"/>
      <c r="C42" s="1294"/>
      <c r="D42" s="1292"/>
    </row>
    <row r="43" spans="1:4" x14ac:dyDescent="0.2">
      <c r="A43" s="1293">
        <v>28824</v>
      </c>
      <c r="B43" s="1292"/>
      <c r="C43" s="1294"/>
      <c r="D43" s="1292"/>
    </row>
    <row r="44" spans="1:4" x14ac:dyDescent="0.2">
      <c r="A44" s="1293">
        <v>28855</v>
      </c>
      <c r="B44" s="1292"/>
      <c r="C44" s="1294"/>
      <c r="D44" s="1292"/>
    </row>
    <row r="45" spans="1:4" x14ac:dyDescent="0.2">
      <c r="A45" s="1293">
        <v>28886</v>
      </c>
      <c r="B45" s="1292"/>
      <c r="C45" s="1294"/>
      <c r="D45" s="1292"/>
    </row>
    <row r="46" spans="1:4" x14ac:dyDescent="0.2">
      <c r="A46" s="1293">
        <v>28914</v>
      </c>
      <c r="B46" s="1292"/>
      <c r="C46" s="1294"/>
      <c r="D46" s="1292"/>
    </row>
    <row r="47" spans="1:4" x14ac:dyDescent="0.2">
      <c r="A47" s="1293">
        <v>28945</v>
      </c>
      <c r="B47" s="1292"/>
      <c r="C47" s="1294"/>
      <c r="D47" s="1292"/>
    </row>
    <row r="48" spans="1:4" x14ac:dyDescent="0.2">
      <c r="A48" s="1293">
        <v>28975</v>
      </c>
      <c r="B48" s="1292"/>
      <c r="C48" s="1294"/>
      <c r="D48" s="1292"/>
    </row>
    <row r="49" spans="1:4" x14ac:dyDescent="0.2">
      <c r="A49" s="1293">
        <v>29006</v>
      </c>
      <c r="B49" s="1292"/>
      <c r="C49" s="1294"/>
      <c r="D49" s="1292"/>
    </row>
    <row r="50" spans="1:4" x14ac:dyDescent="0.2">
      <c r="A50" s="1293">
        <v>29036</v>
      </c>
      <c r="B50" s="1292"/>
      <c r="C50" s="1294"/>
      <c r="D50" s="1292"/>
    </row>
    <row r="51" spans="1:4" x14ac:dyDescent="0.2">
      <c r="A51" s="1293">
        <v>29067</v>
      </c>
      <c r="B51" s="1292"/>
      <c r="C51" s="1294"/>
      <c r="D51" s="1292"/>
    </row>
    <row r="52" spans="1:4" x14ac:dyDescent="0.2">
      <c r="A52" s="1293">
        <v>29098</v>
      </c>
      <c r="B52" s="1292"/>
      <c r="C52" s="1294"/>
      <c r="D52" s="1292"/>
    </row>
    <row r="53" spans="1:4" x14ac:dyDescent="0.2">
      <c r="A53" s="1293">
        <v>29128</v>
      </c>
      <c r="B53" s="1292"/>
      <c r="C53" s="1294"/>
      <c r="D53" s="1292"/>
    </row>
    <row r="54" spans="1:4" x14ac:dyDescent="0.2">
      <c r="A54" s="1293">
        <v>29159</v>
      </c>
      <c r="B54" s="1292"/>
      <c r="C54" s="1294"/>
      <c r="D54" s="1292"/>
    </row>
    <row r="55" spans="1:4" x14ac:dyDescent="0.2">
      <c r="A55" s="1293">
        <v>29189</v>
      </c>
      <c r="B55" s="1292"/>
      <c r="C55" s="1294"/>
      <c r="D55" s="1292"/>
    </row>
    <row r="56" spans="1:4" x14ac:dyDescent="0.2">
      <c r="A56" s="1293">
        <v>29220</v>
      </c>
      <c r="B56" s="1292"/>
      <c r="C56" s="1294"/>
      <c r="D56" s="1292"/>
    </row>
    <row r="57" spans="1:4" x14ac:dyDescent="0.2">
      <c r="A57" s="1293">
        <v>29251</v>
      </c>
      <c r="B57" s="1292"/>
      <c r="C57" s="1294"/>
      <c r="D57" s="1292"/>
    </row>
    <row r="58" spans="1:4" x14ac:dyDescent="0.2">
      <c r="A58" s="1293">
        <v>29280</v>
      </c>
      <c r="B58" s="1292"/>
      <c r="C58" s="1294"/>
      <c r="D58" s="1292"/>
    </row>
    <row r="59" spans="1:4" x14ac:dyDescent="0.2">
      <c r="A59" s="1293">
        <v>29311</v>
      </c>
      <c r="B59" s="1292"/>
      <c r="C59" s="1294"/>
      <c r="D59" s="1292"/>
    </row>
    <row r="60" spans="1:4" x14ac:dyDescent="0.2">
      <c r="A60" s="1293">
        <v>29341</v>
      </c>
      <c r="B60" s="1292"/>
      <c r="C60" s="1294"/>
      <c r="D60" s="1292"/>
    </row>
    <row r="61" spans="1:4" x14ac:dyDescent="0.2">
      <c r="A61" s="1293">
        <v>29372</v>
      </c>
      <c r="B61" s="1292"/>
      <c r="C61" s="1294"/>
      <c r="D61" s="1292"/>
    </row>
    <row r="62" spans="1:4" x14ac:dyDescent="0.2">
      <c r="A62" s="1293">
        <v>29402</v>
      </c>
      <c r="B62" s="1292"/>
      <c r="C62" s="1294"/>
      <c r="D62" s="1292"/>
    </row>
    <row r="63" spans="1:4" x14ac:dyDescent="0.2">
      <c r="A63" s="1293">
        <v>29433</v>
      </c>
      <c r="B63" s="1292"/>
      <c r="C63" s="1294"/>
      <c r="D63" s="1292"/>
    </row>
    <row r="64" spans="1:4" x14ac:dyDescent="0.2">
      <c r="A64" s="1293">
        <v>29464</v>
      </c>
      <c r="B64" s="1292"/>
      <c r="C64" s="1294"/>
      <c r="D64" s="1292"/>
    </row>
    <row r="65" spans="1:4" x14ac:dyDescent="0.2">
      <c r="A65" s="1293">
        <v>29494</v>
      </c>
      <c r="B65" s="1292"/>
      <c r="C65" s="1294"/>
      <c r="D65" s="1292"/>
    </row>
    <row r="66" spans="1:4" x14ac:dyDescent="0.2">
      <c r="A66" s="1293">
        <v>29525</v>
      </c>
      <c r="B66" s="1292"/>
      <c r="C66" s="1294"/>
      <c r="D66" s="1292"/>
    </row>
    <row r="67" spans="1:4" x14ac:dyDescent="0.2">
      <c r="A67" s="1293">
        <v>29555</v>
      </c>
      <c r="B67" s="1292"/>
      <c r="C67" s="1294"/>
      <c r="D67" s="1292"/>
    </row>
    <row r="68" spans="1:4" x14ac:dyDescent="0.2">
      <c r="A68" s="1293">
        <v>29586</v>
      </c>
      <c r="B68" s="1292"/>
      <c r="C68" s="1294"/>
      <c r="D68" s="1292"/>
    </row>
    <row r="69" spans="1:4" x14ac:dyDescent="0.2">
      <c r="A69" s="1293">
        <v>29617</v>
      </c>
      <c r="B69" s="1292"/>
      <c r="C69" s="1294"/>
      <c r="D69" s="1292"/>
    </row>
    <row r="70" spans="1:4" x14ac:dyDescent="0.2">
      <c r="A70" s="1293">
        <v>29645</v>
      </c>
      <c r="B70" s="1292"/>
      <c r="C70" s="1294"/>
      <c r="D70" s="1292"/>
    </row>
    <row r="71" spans="1:4" x14ac:dyDescent="0.2">
      <c r="A71" s="1293">
        <v>29676</v>
      </c>
      <c r="B71" s="1292"/>
      <c r="C71" s="1294"/>
      <c r="D71" s="1292"/>
    </row>
    <row r="72" spans="1:4" x14ac:dyDescent="0.2">
      <c r="A72" s="1293">
        <v>29706</v>
      </c>
      <c r="B72" s="1292"/>
      <c r="C72" s="1294"/>
      <c r="D72" s="1292"/>
    </row>
    <row r="73" spans="1:4" x14ac:dyDescent="0.2">
      <c r="A73" s="1293">
        <v>29737</v>
      </c>
      <c r="B73" s="1292"/>
      <c r="C73" s="1294"/>
      <c r="D73" s="1292"/>
    </row>
    <row r="74" spans="1:4" x14ac:dyDescent="0.2">
      <c r="A74" s="1293">
        <v>29767</v>
      </c>
      <c r="B74" s="1292"/>
      <c r="C74" s="1294"/>
      <c r="D74" s="1292"/>
    </row>
    <row r="75" spans="1:4" x14ac:dyDescent="0.2">
      <c r="A75" s="1293">
        <v>29798</v>
      </c>
      <c r="B75" s="1292"/>
      <c r="C75" s="1294"/>
      <c r="D75" s="1292"/>
    </row>
    <row r="76" spans="1:4" x14ac:dyDescent="0.2">
      <c r="A76" s="1293">
        <v>29829</v>
      </c>
      <c r="B76" s="1292"/>
      <c r="C76" s="1294"/>
      <c r="D76" s="1292"/>
    </row>
    <row r="77" spans="1:4" x14ac:dyDescent="0.2">
      <c r="A77" s="1293">
        <v>29859</v>
      </c>
      <c r="B77" s="1292"/>
      <c r="C77" s="1294"/>
      <c r="D77" s="1292"/>
    </row>
    <row r="78" spans="1:4" x14ac:dyDescent="0.2">
      <c r="A78" s="1293">
        <v>29890</v>
      </c>
      <c r="B78" s="1292"/>
      <c r="C78" s="1294"/>
      <c r="D78" s="1292"/>
    </row>
    <row r="79" spans="1:4" x14ac:dyDescent="0.2">
      <c r="A79" s="1293">
        <v>29920</v>
      </c>
      <c r="B79" s="1292"/>
      <c r="C79" s="1294"/>
      <c r="D79" s="1292"/>
    </row>
    <row r="80" spans="1:4" x14ac:dyDescent="0.2">
      <c r="A80" s="1293">
        <v>29951</v>
      </c>
      <c r="B80" s="1292"/>
      <c r="C80" s="1294"/>
      <c r="D80" s="1292"/>
    </row>
    <row r="81" spans="1:4" x14ac:dyDescent="0.2">
      <c r="A81" s="1293">
        <v>29982</v>
      </c>
      <c r="B81" s="1292"/>
      <c r="C81" s="1294"/>
      <c r="D81" s="1292"/>
    </row>
    <row r="82" spans="1:4" x14ac:dyDescent="0.2">
      <c r="A82" s="1293">
        <v>30010</v>
      </c>
      <c r="B82" s="1292"/>
      <c r="C82" s="1294"/>
      <c r="D82" s="1292"/>
    </row>
    <row r="83" spans="1:4" x14ac:dyDescent="0.2">
      <c r="A83" s="1293">
        <v>30041</v>
      </c>
      <c r="B83" s="1292"/>
      <c r="C83" s="1294"/>
      <c r="D83" s="1292"/>
    </row>
    <row r="84" spans="1:4" x14ac:dyDescent="0.2">
      <c r="A84" s="1293">
        <v>30071</v>
      </c>
      <c r="B84" s="1292"/>
      <c r="C84" s="1294"/>
      <c r="D84" s="1292"/>
    </row>
    <row r="85" spans="1:4" x14ac:dyDescent="0.2">
      <c r="A85" s="1293">
        <v>30102</v>
      </c>
      <c r="B85" s="1292"/>
      <c r="C85" s="1294"/>
      <c r="D85" s="1292"/>
    </row>
    <row r="86" spans="1:4" x14ac:dyDescent="0.2">
      <c r="A86" s="1293">
        <v>30132</v>
      </c>
      <c r="B86" s="1292"/>
      <c r="C86" s="1294"/>
      <c r="D86" s="1292"/>
    </row>
    <row r="87" spans="1:4" x14ac:dyDescent="0.2">
      <c r="A87" s="1293">
        <v>30163</v>
      </c>
      <c r="B87" s="1292"/>
      <c r="C87" s="1294"/>
      <c r="D87" s="1292"/>
    </row>
    <row r="88" spans="1:4" x14ac:dyDescent="0.2">
      <c r="A88" s="1293">
        <v>30194</v>
      </c>
      <c r="B88" s="1292"/>
      <c r="C88" s="1294"/>
      <c r="D88" s="1292"/>
    </row>
    <row r="89" spans="1:4" x14ac:dyDescent="0.2">
      <c r="A89" s="1293">
        <v>30224</v>
      </c>
      <c r="B89" s="1292"/>
      <c r="C89" s="1294"/>
      <c r="D89" s="1292"/>
    </row>
    <row r="90" spans="1:4" x14ac:dyDescent="0.2">
      <c r="A90" s="1293">
        <v>30255</v>
      </c>
      <c r="B90" s="1292"/>
      <c r="C90" s="1294"/>
      <c r="D90" s="1292"/>
    </row>
    <row r="91" spans="1:4" x14ac:dyDescent="0.2">
      <c r="A91" s="1293">
        <v>30285</v>
      </c>
      <c r="B91" s="1292"/>
      <c r="C91" s="1294"/>
      <c r="D91" s="1292"/>
    </row>
    <row r="92" spans="1:4" x14ac:dyDescent="0.2">
      <c r="A92" s="1293">
        <v>30316</v>
      </c>
      <c r="B92" s="1292"/>
      <c r="C92" s="1294"/>
      <c r="D92" s="1292"/>
    </row>
    <row r="93" spans="1:4" x14ac:dyDescent="0.2">
      <c r="A93" s="1293">
        <v>30347</v>
      </c>
      <c r="B93" s="1292"/>
      <c r="C93" s="1294"/>
      <c r="D93" s="1292"/>
    </row>
    <row r="94" spans="1:4" x14ac:dyDescent="0.2">
      <c r="A94" s="1293">
        <v>30375</v>
      </c>
      <c r="B94" s="1292"/>
      <c r="C94" s="1294"/>
      <c r="D94" s="1292"/>
    </row>
    <row r="95" spans="1:4" x14ac:dyDescent="0.2">
      <c r="A95" s="1293">
        <v>30406</v>
      </c>
      <c r="B95" s="1292"/>
      <c r="C95" s="1294"/>
      <c r="D95" s="1292"/>
    </row>
    <row r="96" spans="1:4" x14ac:dyDescent="0.2">
      <c r="A96" s="1293">
        <v>30436</v>
      </c>
      <c r="B96" s="1292"/>
      <c r="C96" s="1294"/>
      <c r="D96" s="1292"/>
    </row>
    <row r="97" spans="1:4" x14ac:dyDescent="0.2">
      <c r="A97" s="1293">
        <v>30467</v>
      </c>
      <c r="B97" s="1292"/>
      <c r="C97" s="1294"/>
      <c r="D97" s="1292"/>
    </row>
    <row r="98" spans="1:4" x14ac:dyDescent="0.2">
      <c r="A98" s="1293">
        <v>30497</v>
      </c>
      <c r="B98" s="1292"/>
      <c r="C98" s="1294"/>
      <c r="D98" s="1292"/>
    </row>
    <row r="99" spans="1:4" x14ac:dyDescent="0.2">
      <c r="A99" s="1293">
        <v>30528</v>
      </c>
      <c r="B99" s="1292"/>
      <c r="C99" s="1294"/>
      <c r="D99" s="1292"/>
    </row>
    <row r="100" spans="1:4" x14ac:dyDescent="0.2">
      <c r="A100" s="1293">
        <v>30559</v>
      </c>
      <c r="B100" s="1292"/>
      <c r="C100" s="1294"/>
      <c r="D100" s="1292"/>
    </row>
    <row r="101" spans="1:4" x14ac:dyDescent="0.2">
      <c r="A101" s="1293">
        <v>30589</v>
      </c>
      <c r="B101" s="1292"/>
      <c r="C101" s="1294"/>
      <c r="D101" s="1292"/>
    </row>
    <row r="102" spans="1:4" x14ac:dyDescent="0.2">
      <c r="A102" s="1293">
        <v>30620</v>
      </c>
      <c r="B102" s="1292"/>
      <c r="C102" s="1294"/>
      <c r="D102" s="1292"/>
    </row>
    <row r="103" spans="1:4" x14ac:dyDescent="0.2">
      <c r="A103" s="1293">
        <v>30650</v>
      </c>
      <c r="B103" s="1292"/>
      <c r="C103" s="1294"/>
      <c r="D103" s="1292"/>
    </row>
    <row r="104" spans="1:4" x14ac:dyDescent="0.2">
      <c r="A104" s="1293">
        <v>30681</v>
      </c>
      <c r="B104" s="1292"/>
      <c r="C104" s="1294"/>
      <c r="D104" s="1292"/>
    </row>
    <row r="105" spans="1:4" x14ac:dyDescent="0.2">
      <c r="A105" s="1293">
        <v>30712</v>
      </c>
      <c r="B105" s="1292"/>
      <c r="C105" s="1294"/>
      <c r="D105" s="1292"/>
    </row>
    <row r="106" spans="1:4" x14ac:dyDescent="0.2">
      <c r="A106" s="1293">
        <v>30741</v>
      </c>
      <c r="B106" s="1292"/>
      <c r="C106" s="1294"/>
      <c r="D106" s="1292"/>
    </row>
    <row r="107" spans="1:4" x14ac:dyDescent="0.2">
      <c r="A107" s="1293">
        <v>30772</v>
      </c>
      <c r="B107" s="1292"/>
      <c r="C107" s="1294"/>
      <c r="D107" s="1292"/>
    </row>
    <row r="108" spans="1:4" x14ac:dyDescent="0.2">
      <c r="A108" s="1293">
        <v>30802</v>
      </c>
      <c r="B108" s="1292"/>
      <c r="C108" s="1294"/>
      <c r="D108" s="1292"/>
    </row>
    <row r="109" spans="1:4" x14ac:dyDescent="0.2">
      <c r="A109" s="1293">
        <v>30833</v>
      </c>
      <c r="B109" s="1292"/>
      <c r="C109" s="1294"/>
      <c r="D109" s="1292"/>
    </row>
    <row r="110" spans="1:4" x14ac:dyDescent="0.2">
      <c r="A110" s="1293">
        <v>30863</v>
      </c>
      <c r="B110" s="1292"/>
      <c r="C110" s="1294"/>
      <c r="D110" s="1292"/>
    </row>
    <row r="111" spans="1:4" x14ac:dyDescent="0.2">
      <c r="A111" s="1293">
        <v>30894</v>
      </c>
      <c r="B111" s="1292"/>
      <c r="C111" s="1294"/>
      <c r="D111" s="1292"/>
    </row>
    <row r="112" spans="1:4" x14ac:dyDescent="0.2">
      <c r="A112" s="1293">
        <v>30925</v>
      </c>
      <c r="B112" s="1292"/>
      <c r="C112" s="1294"/>
      <c r="D112" s="1292"/>
    </row>
    <row r="113" spans="1:4" x14ac:dyDescent="0.2">
      <c r="A113" s="1293">
        <v>30955</v>
      </c>
      <c r="B113" s="1292"/>
      <c r="C113" s="1294"/>
      <c r="D113" s="1292"/>
    </row>
    <row r="114" spans="1:4" x14ac:dyDescent="0.2">
      <c r="A114" s="1293">
        <v>30986</v>
      </c>
      <c r="B114" s="1292"/>
      <c r="C114" s="1294"/>
      <c r="D114" s="1292"/>
    </row>
    <row r="115" spans="1:4" x14ac:dyDescent="0.2">
      <c r="A115" s="1293">
        <v>31016</v>
      </c>
      <c r="B115" s="1292"/>
      <c r="C115" s="1294"/>
      <c r="D115" s="1292"/>
    </row>
    <row r="116" spans="1:4" x14ac:dyDescent="0.2">
      <c r="A116" s="1293">
        <v>31047</v>
      </c>
      <c r="B116" s="1292"/>
      <c r="C116" s="1294"/>
      <c r="D116" s="1292"/>
    </row>
    <row r="117" spans="1:4" x14ac:dyDescent="0.2">
      <c r="A117" s="1293">
        <v>31078</v>
      </c>
      <c r="B117" s="1292"/>
      <c r="C117" s="1294"/>
      <c r="D117" s="1292"/>
    </row>
    <row r="118" spans="1:4" x14ac:dyDescent="0.2">
      <c r="A118" s="1293">
        <v>31106</v>
      </c>
      <c r="B118" s="1292"/>
      <c r="C118" s="1294"/>
      <c r="D118" s="1292"/>
    </row>
    <row r="119" spans="1:4" x14ac:dyDescent="0.2">
      <c r="A119" s="1293">
        <v>31137</v>
      </c>
      <c r="B119" s="1292"/>
      <c r="C119" s="1294"/>
      <c r="D119" s="1292"/>
    </row>
    <row r="120" spans="1:4" x14ac:dyDescent="0.2">
      <c r="A120" s="1293">
        <v>31167</v>
      </c>
      <c r="B120" s="1292"/>
      <c r="C120" s="1294"/>
      <c r="D120" s="1292"/>
    </row>
    <row r="121" spans="1:4" x14ac:dyDescent="0.2">
      <c r="A121" s="1293">
        <v>31198</v>
      </c>
      <c r="B121" s="1292"/>
      <c r="C121" s="1294"/>
      <c r="D121" s="1292"/>
    </row>
    <row r="122" spans="1:4" x14ac:dyDescent="0.2">
      <c r="A122" s="1293">
        <v>31228</v>
      </c>
      <c r="B122" s="1292"/>
      <c r="C122" s="1294"/>
      <c r="D122" s="1292"/>
    </row>
    <row r="123" spans="1:4" x14ac:dyDescent="0.2">
      <c r="A123" s="1293">
        <v>31259</v>
      </c>
      <c r="B123" s="1292"/>
      <c r="C123" s="1294"/>
      <c r="D123" s="1292"/>
    </row>
    <row r="124" spans="1:4" x14ac:dyDescent="0.2">
      <c r="A124" s="1293">
        <v>31290</v>
      </c>
      <c r="B124" s="1292"/>
      <c r="C124" s="1294"/>
      <c r="D124" s="1292"/>
    </row>
    <row r="125" spans="1:4" x14ac:dyDescent="0.2">
      <c r="A125" s="1293">
        <v>31320</v>
      </c>
      <c r="B125" s="1292"/>
      <c r="C125" s="1294"/>
      <c r="D125" s="1292"/>
    </row>
    <row r="126" spans="1:4" x14ac:dyDescent="0.2">
      <c r="A126" s="1293">
        <v>31351</v>
      </c>
      <c r="B126" s="1292"/>
      <c r="C126" s="1294"/>
      <c r="D126" s="1292"/>
    </row>
    <row r="127" spans="1:4" x14ac:dyDescent="0.2">
      <c r="A127" s="1293">
        <v>31381</v>
      </c>
      <c r="B127" s="1292"/>
      <c r="C127" s="1294"/>
      <c r="D127" s="1292"/>
    </row>
    <row r="128" spans="1:4" x14ac:dyDescent="0.2">
      <c r="A128" s="1293">
        <v>31412</v>
      </c>
      <c r="B128" s="1292"/>
      <c r="C128" s="1294"/>
      <c r="D128" s="1292"/>
    </row>
    <row r="129" spans="1:4" x14ac:dyDescent="0.2">
      <c r="A129" s="1293">
        <v>31443</v>
      </c>
      <c r="B129" s="1292"/>
      <c r="C129" s="1294"/>
      <c r="D129" s="1292"/>
    </row>
    <row r="130" spans="1:4" x14ac:dyDescent="0.2">
      <c r="A130" s="1293">
        <v>31471</v>
      </c>
      <c r="B130" s="1292"/>
      <c r="C130" s="1294"/>
      <c r="D130" s="1292"/>
    </row>
    <row r="131" spans="1:4" x14ac:dyDescent="0.2">
      <c r="A131" s="1293">
        <v>31502</v>
      </c>
      <c r="B131" s="1292"/>
      <c r="C131" s="1294"/>
      <c r="D131" s="1292"/>
    </row>
    <row r="132" spans="1:4" x14ac:dyDescent="0.2">
      <c r="A132" s="1293">
        <v>31532</v>
      </c>
      <c r="B132" s="1292"/>
      <c r="C132" s="1294"/>
      <c r="D132" s="1292"/>
    </row>
    <row r="133" spans="1:4" x14ac:dyDescent="0.2">
      <c r="A133" s="1293">
        <v>31563</v>
      </c>
      <c r="B133" s="1292"/>
      <c r="C133" s="1294"/>
      <c r="D133" s="1292"/>
    </row>
    <row r="134" spans="1:4" x14ac:dyDescent="0.2">
      <c r="A134" s="1293">
        <v>31593</v>
      </c>
      <c r="B134" s="1292"/>
      <c r="C134" s="1294"/>
      <c r="D134" s="1292"/>
    </row>
    <row r="135" spans="1:4" x14ac:dyDescent="0.2">
      <c r="A135" s="1293">
        <v>31624</v>
      </c>
      <c r="B135" s="1292"/>
      <c r="C135" s="1294"/>
      <c r="D135" s="1292"/>
    </row>
    <row r="136" spans="1:4" x14ac:dyDescent="0.2">
      <c r="A136" s="1293">
        <v>31655</v>
      </c>
      <c r="B136" s="1292"/>
      <c r="C136" s="1294"/>
      <c r="D136" s="1292"/>
    </row>
    <row r="137" spans="1:4" x14ac:dyDescent="0.2">
      <c r="A137" s="1293">
        <v>31685</v>
      </c>
      <c r="B137" s="1292"/>
      <c r="C137" s="1294"/>
      <c r="D137" s="1292"/>
    </row>
    <row r="138" spans="1:4" x14ac:dyDescent="0.2">
      <c r="A138" s="1293">
        <v>31716</v>
      </c>
      <c r="B138" s="1292"/>
      <c r="C138" s="1294"/>
      <c r="D138" s="1292"/>
    </row>
    <row r="139" spans="1:4" x14ac:dyDescent="0.2">
      <c r="A139" s="1293">
        <v>31746</v>
      </c>
      <c r="B139" s="1292"/>
      <c r="C139" s="1294"/>
      <c r="D139" s="1292"/>
    </row>
    <row r="140" spans="1:4" x14ac:dyDescent="0.2">
      <c r="A140" s="1293">
        <v>31777</v>
      </c>
      <c r="B140" s="1292"/>
      <c r="C140" s="1294"/>
      <c r="D140" s="1292"/>
    </row>
    <row r="141" spans="1:4" x14ac:dyDescent="0.2">
      <c r="A141" s="1293">
        <v>31808</v>
      </c>
      <c r="B141" s="1295"/>
      <c r="C141" s="1296"/>
      <c r="D141" s="1295"/>
    </row>
    <row r="142" spans="1:4" x14ac:dyDescent="0.2">
      <c r="A142" s="1293">
        <v>31836</v>
      </c>
      <c r="B142" s="1295"/>
      <c r="C142" s="1296"/>
      <c r="D142" s="1295"/>
    </row>
    <row r="143" spans="1:4" x14ac:dyDescent="0.2">
      <c r="A143" s="1293">
        <v>31867</v>
      </c>
      <c r="B143" s="1295"/>
      <c r="C143" s="1296"/>
      <c r="D143" s="1295"/>
    </row>
    <row r="144" spans="1:4" x14ac:dyDescent="0.2">
      <c r="A144" s="1293">
        <v>31897</v>
      </c>
      <c r="B144" s="1295"/>
      <c r="C144" s="1296"/>
      <c r="D144" s="1295"/>
    </row>
    <row r="145" spans="1:4" x14ac:dyDescent="0.2">
      <c r="A145" s="1293">
        <v>31928</v>
      </c>
      <c r="B145" s="1295"/>
      <c r="C145" s="1296"/>
      <c r="D145" s="1295"/>
    </row>
    <row r="146" spans="1:4" x14ac:dyDescent="0.2">
      <c r="A146" s="1293">
        <v>31958</v>
      </c>
      <c r="B146" s="1295"/>
      <c r="C146" s="1296"/>
      <c r="D146" s="1295"/>
    </row>
    <row r="147" spans="1:4" x14ac:dyDescent="0.2">
      <c r="A147" s="1293">
        <v>31989</v>
      </c>
      <c r="B147" s="1295"/>
      <c r="C147" s="1296"/>
      <c r="D147" s="1295"/>
    </row>
    <row r="148" spans="1:4" x14ac:dyDescent="0.2">
      <c r="A148" s="1293">
        <v>32020</v>
      </c>
      <c r="B148" s="1295"/>
      <c r="C148" s="1296"/>
      <c r="D148" s="1295"/>
    </row>
    <row r="149" spans="1:4" x14ac:dyDescent="0.2">
      <c r="A149" s="1293">
        <v>32050</v>
      </c>
      <c r="B149" s="1295"/>
      <c r="C149" s="1296"/>
      <c r="D149" s="1295"/>
    </row>
    <row r="150" spans="1:4" x14ac:dyDescent="0.2">
      <c r="A150" s="1293">
        <v>32081</v>
      </c>
      <c r="B150" s="1295"/>
      <c r="C150" s="1296"/>
      <c r="D150" s="1295"/>
    </row>
    <row r="151" spans="1:4" x14ac:dyDescent="0.2">
      <c r="A151" s="1293">
        <v>32111</v>
      </c>
      <c r="B151" s="1295"/>
      <c r="C151" s="1296"/>
      <c r="D151" s="1295"/>
    </row>
    <row r="152" spans="1:4" x14ac:dyDescent="0.2">
      <c r="A152" s="1293">
        <v>32142</v>
      </c>
      <c r="B152" s="1295"/>
      <c r="C152" s="1296"/>
      <c r="D152" s="1295"/>
    </row>
    <row r="153" spans="1:4" x14ac:dyDescent="0.2">
      <c r="A153" s="1293">
        <v>32173</v>
      </c>
      <c r="B153" s="1295"/>
      <c r="C153" s="1296"/>
      <c r="D153" s="1295"/>
    </row>
    <row r="154" spans="1:4" x14ac:dyDescent="0.2">
      <c r="A154" s="1293">
        <v>32202</v>
      </c>
      <c r="B154" s="1295"/>
      <c r="C154" s="1296"/>
      <c r="D154" s="1295"/>
    </row>
    <row r="155" spans="1:4" x14ac:dyDescent="0.2">
      <c r="A155" s="1293">
        <v>32233</v>
      </c>
      <c r="B155" s="1295"/>
      <c r="C155" s="1296"/>
      <c r="D155" s="1295"/>
    </row>
    <row r="156" spans="1:4" x14ac:dyDescent="0.2">
      <c r="A156" s="1293">
        <v>32263</v>
      </c>
      <c r="B156" s="1295"/>
      <c r="C156" s="1296"/>
      <c r="D156" s="1295"/>
    </row>
    <row r="157" spans="1:4" x14ac:dyDescent="0.2">
      <c r="A157" s="1293">
        <v>32294</v>
      </c>
      <c r="B157" s="1295"/>
      <c r="C157" s="1296"/>
      <c r="D157" s="1295"/>
    </row>
    <row r="158" spans="1:4" x14ac:dyDescent="0.2">
      <c r="A158" s="1293">
        <v>32324</v>
      </c>
      <c r="B158" s="1295"/>
      <c r="C158" s="1296"/>
      <c r="D158" s="1295"/>
    </row>
    <row r="159" spans="1:4" x14ac:dyDescent="0.2">
      <c r="A159" s="1293">
        <v>32355</v>
      </c>
      <c r="B159" s="1295"/>
      <c r="C159" s="1296"/>
      <c r="D159" s="1295"/>
    </row>
    <row r="160" spans="1:4" x14ac:dyDescent="0.2">
      <c r="A160" s="1293">
        <v>32386</v>
      </c>
      <c r="B160" s="1295"/>
      <c r="C160" s="1296"/>
      <c r="D160" s="1295"/>
    </row>
    <row r="161" spans="1:4" x14ac:dyDescent="0.2">
      <c r="A161" s="1293">
        <v>32416</v>
      </c>
      <c r="B161" s="1295"/>
      <c r="C161" s="1296"/>
      <c r="D161" s="1295"/>
    </row>
    <row r="162" spans="1:4" x14ac:dyDescent="0.2">
      <c r="A162" s="1293">
        <v>32447</v>
      </c>
      <c r="B162" s="1295"/>
      <c r="C162" s="1296"/>
      <c r="D162" s="1295"/>
    </row>
    <row r="163" spans="1:4" x14ac:dyDescent="0.2">
      <c r="A163" s="1293">
        <v>32477</v>
      </c>
      <c r="B163" s="1295"/>
      <c r="C163" s="1296"/>
      <c r="D163" s="1295"/>
    </row>
    <row r="164" spans="1:4" x14ac:dyDescent="0.2">
      <c r="A164" s="1293">
        <v>32508</v>
      </c>
      <c r="B164" s="1295"/>
      <c r="C164" s="1296"/>
      <c r="D164" s="1295"/>
    </row>
    <row r="165" spans="1:4" x14ac:dyDescent="0.2">
      <c r="A165" s="1293">
        <v>32539</v>
      </c>
      <c r="B165" s="1295"/>
      <c r="C165" s="1296"/>
      <c r="D165" s="1295"/>
    </row>
    <row r="166" spans="1:4" x14ac:dyDescent="0.2">
      <c r="A166" s="1293">
        <v>32567</v>
      </c>
      <c r="B166" s="1295"/>
      <c r="C166" s="1296"/>
      <c r="D166" s="1295"/>
    </row>
    <row r="167" spans="1:4" x14ac:dyDescent="0.2">
      <c r="A167" s="1293">
        <v>32598</v>
      </c>
      <c r="B167" s="1295"/>
      <c r="C167" s="1296"/>
      <c r="D167" s="1295"/>
    </row>
    <row r="168" spans="1:4" x14ac:dyDescent="0.2">
      <c r="A168" s="1293">
        <v>32628</v>
      </c>
      <c r="B168" s="1295"/>
      <c r="C168" s="1296"/>
      <c r="D168" s="1295"/>
    </row>
    <row r="169" spans="1:4" x14ac:dyDescent="0.2">
      <c r="A169" s="1293">
        <v>32659</v>
      </c>
      <c r="B169" s="1295"/>
      <c r="C169" s="1296"/>
      <c r="D169" s="1295"/>
    </row>
    <row r="170" spans="1:4" x14ac:dyDescent="0.2">
      <c r="A170" s="1293">
        <v>32689</v>
      </c>
      <c r="B170" s="1295"/>
      <c r="C170" s="1296"/>
      <c r="D170" s="1295"/>
    </row>
    <row r="171" spans="1:4" x14ac:dyDescent="0.2">
      <c r="A171" s="1293">
        <v>32720</v>
      </c>
      <c r="B171" s="1295"/>
      <c r="C171" s="1296"/>
      <c r="D171" s="1295"/>
    </row>
    <row r="172" spans="1:4" x14ac:dyDescent="0.2">
      <c r="A172" s="1293">
        <v>32751</v>
      </c>
      <c r="B172" s="1295"/>
      <c r="C172" s="1296"/>
      <c r="D172" s="1295"/>
    </row>
    <row r="173" spans="1:4" x14ac:dyDescent="0.2">
      <c r="A173" s="1293">
        <v>32781</v>
      </c>
      <c r="B173" s="1295"/>
      <c r="C173" s="1296"/>
      <c r="D173" s="1295"/>
    </row>
    <row r="174" spans="1:4" x14ac:dyDescent="0.2">
      <c r="A174" s="1293">
        <v>32812</v>
      </c>
      <c r="B174" s="1295"/>
      <c r="C174" s="1296"/>
      <c r="D174" s="1295"/>
    </row>
    <row r="175" spans="1:4" x14ac:dyDescent="0.2">
      <c r="A175" s="1293">
        <v>32842</v>
      </c>
      <c r="B175" s="1295"/>
      <c r="C175" s="1296"/>
      <c r="D175" s="1295"/>
    </row>
    <row r="176" spans="1:4" x14ac:dyDescent="0.2">
      <c r="A176" s="1293">
        <v>32873</v>
      </c>
      <c r="B176" s="1295"/>
      <c r="C176" s="1296"/>
      <c r="D176" s="1295"/>
    </row>
    <row r="177" spans="1:4" x14ac:dyDescent="0.2">
      <c r="A177" s="1293">
        <v>32904</v>
      </c>
      <c r="B177" s="1295"/>
      <c r="C177" s="1296"/>
      <c r="D177" s="1295"/>
    </row>
    <row r="178" spans="1:4" x14ac:dyDescent="0.2">
      <c r="A178" s="1293">
        <v>32932</v>
      </c>
      <c r="B178" s="1295"/>
      <c r="C178" s="1296"/>
      <c r="D178" s="1295"/>
    </row>
    <row r="179" spans="1:4" x14ac:dyDescent="0.2">
      <c r="A179" s="1293">
        <v>32963</v>
      </c>
      <c r="B179" s="1295"/>
      <c r="C179" s="1296"/>
      <c r="D179" s="1295"/>
    </row>
    <row r="180" spans="1:4" x14ac:dyDescent="0.2">
      <c r="A180" s="1293">
        <v>32993</v>
      </c>
      <c r="B180" s="1295"/>
      <c r="C180" s="1296"/>
      <c r="D180" s="1295"/>
    </row>
    <row r="181" spans="1:4" x14ac:dyDescent="0.2">
      <c r="A181" s="1293">
        <v>33024</v>
      </c>
      <c r="B181" s="1295"/>
      <c r="C181" s="1296"/>
      <c r="D181" s="1295"/>
    </row>
    <row r="182" spans="1:4" x14ac:dyDescent="0.2">
      <c r="A182" s="1293">
        <v>33054</v>
      </c>
      <c r="B182" s="1295"/>
      <c r="C182" s="1296"/>
      <c r="D182" s="1295"/>
    </row>
    <row r="183" spans="1:4" x14ac:dyDescent="0.2">
      <c r="A183" s="1293">
        <v>33085</v>
      </c>
      <c r="B183" s="1295"/>
      <c r="C183" s="1296"/>
      <c r="D183" s="1295"/>
    </row>
    <row r="184" spans="1:4" x14ac:dyDescent="0.2">
      <c r="A184" s="1293">
        <v>33116</v>
      </c>
      <c r="B184" s="1295"/>
      <c r="C184" s="1296"/>
      <c r="D184" s="1295"/>
    </row>
    <row r="185" spans="1:4" x14ac:dyDescent="0.2">
      <c r="A185" s="1293">
        <v>33146</v>
      </c>
      <c r="B185" s="1295"/>
      <c r="C185" s="1296"/>
      <c r="D185" s="1295"/>
    </row>
    <row r="186" spans="1:4" x14ac:dyDescent="0.2">
      <c r="A186" s="1293">
        <v>33177</v>
      </c>
      <c r="B186" s="1295"/>
      <c r="C186" s="1296"/>
      <c r="D186" s="1295"/>
    </row>
    <row r="187" spans="1:4" x14ac:dyDescent="0.2">
      <c r="A187" s="1293">
        <v>33207</v>
      </c>
      <c r="B187" s="1295"/>
      <c r="C187" s="1296"/>
      <c r="D187" s="1295"/>
    </row>
    <row r="188" spans="1:4" x14ac:dyDescent="0.2">
      <c r="A188" s="1293">
        <v>33238</v>
      </c>
      <c r="B188" s="1295"/>
      <c r="C188" s="1296"/>
      <c r="D188" s="1295"/>
    </row>
    <row r="189" spans="1:4" x14ac:dyDescent="0.2">
      <c r="A189" s="1293">
        <v>33269</v>
      </c>
      <c r="B189" s="1295"/>
      <c r="C189" s="1296"/>
      <c r="D189" s="1295"/>
    </row>
    <row r="190" spans="1:4" x14ac:dyDescent="0.2">
      <c r="A190" s="1293">
        <v>33297</v>
      </c>
      <c r="B190" s="1295"/>
      <c r="C190" s="1296"/>
      <c r="D190" s="1295"/>
    </row>
    <row r="191" spans="1:4" x14ac:dyDescent="0.2">
      <c r="A191" s="1293">
        <v>33328</v>
      </c>
      <c r="B191" s="1295"/>
      <c r="C191" s="1296"/>
      <c r="D191" s="1295"/>
    </row>
    <row r="192" spans="1:4" x14ac:dyDescent="0.2">
      <c r="A192" s="1293">
        <v>33358</v>
      </c>
      <c r="B192" s="1295"/>
      <c r="C192" s="1296"/>
      <c r="D192" s="1295"/>
    </row>
    <row r="193" spans="1:4" x14ac:dyDescent="0.2">
      <c r="A193" s="1293">
        <v>33389</v>
      </c>
      <c r="B193" s="1295"/>
      <c r="C193" s="1296"/>
      <c r="D193" s="1295"/>
    </row>
    <row r="194" spans="1:4" x14ac:dyDescent="0.2">
      <c r="A194" s="1293">
        <v>33419</v>
      </c>
      <c r="B194" s="1295"/>
      <c r="C194" s="1296"/>
      <c r="D194" s="1295"/>
    </row>
    <row r="195" spans="1:4" x14ac:dyDescent="0.2">
      <c r="A195" s="1293">
        <v>33450</v>
      </c>
      <c r="B195" s="1295"/>
      <c r="C195" s="1296"/>
      <c r="D195" s="1295"/>
    </row>
    <row r="196" spans="1:4" x14ac:dyDescent="0.2">
      <c r="A196" s="1293">
        <v>33481</v>
      </c>
      <c r="B196" s="1295"/>
      <c r="C196" s="1296"/>
      <c r="D196" s="1295"/>
    </row>
    <row r="197" spans="1:4" x14ac:dyDescent="0.2">
      <c r="A197" s="1293">
        <v>33511</v>
      </c>
      <c r="B197" s="1295"/>
      <c r="C197" s="1296"/>
      <c r="D197" s="1295"/>
    </row>
    <row r="198" spans="1:4" x14ac:dyDescent="0.2">
      <c r="A198" s="1293">
        <v>33542</v>
      </c>
      <c r="B198" s="1295"/>
      <c r="C198" s="1296"/>
      <c r="D198" s="1295"/>
    </row>
    <row r="199" spans="1:4" x14ac:dyDescent="0.2">
      <c r="A199" s="1293">
        <v>33572</v>
      </c>
      <c r="B199" s="1295"/>
      <c r="C199" s="1296"/>
      <c r="D199" s="1295"/>
    </row>
    <row r="200" spans="1:4" x14ac:dyDescent="0.2">
      <c r="A200" s="1293">
        <v>33603</v>
      </c>
      <c r="B200" s="1295"/>
      <c r="C200" s="1296"/>
      <c r="D200" s="1295"/>
    </row>
    <row r="201" spans="1:4" x14ac:dyDescent="0.2">
      <c r="A201" s="1293">
        <v>33634</v>
      </c>
      <c r="B201" s="1295"/>
      <c r="C201" s="1296"/>
      <c r="D201" s="1295"/>
    </row>
    <row r="202" spans="1:4" x14ac:dyDescent="0.2">
      <c r="A202" s="1293">
        <v>33663</v>
      </c>
      <c r="B202" s="1295"/>
      <c r="C202" s="1296"/>
      <c r="D202" s="1295"/>
    </row>
    <row r="203" spans="1:4" x14ac:dyDescent="0.2">
      <c r="A203" s="1293">
        <v>33694</v>
      </c>
      <c r="B203" s="1295"/>
      <c r="C203" s="1296"/>
      <c r="D203" s="1295"/>
    </row>
    <row r="204" spans="1:4" x14ac:dyDescent="0.2">
      <c r="A204" s="1293">
        <v>33724</v>
      </c>
      <c r="B204" s="1295"/>
      <c r="C204" s="1296"/>
      <c r="D204" s="1295"/>
    </row>
    <row r="205" spans="1:4" x14ac:dyDescent="0.2">
      <c r="A205" s="1293">
        <v>33755</v>
      </c>
      <c r="B205" s="1295"/>
      <c r="C205" s="1296"/>
      <c r="D205" s="1295"/>
    </row>
    <row r="206" spans="1:4" x14ac:dyDescent="0.2">
      <c r="A206" s="1293">
        <v>33785</v>
      </c>
      <c r="B206" s="1295"/>
      <c r="C206" s="1296"/>
      <c r="D206" s="1295"/>
    </row>
    <row r="207" spans="1:4" x14ac:dyDescent="0.2">
      <c r="A207" s="1293">
        <v>33816</v>
      </c>
      <c r="B207" s="1295"/>
      <c r="C207" s="1296"/>
      <c r="D207" s="1295"/>
    </row>
    <row r="208" spans="1:4" x14ac:dyDescent="0.2">
      <c r="A208" s="1293">
        <v>33847</v>
      </c>
      <c r="B208" s="1295"/>
      <c r="C208" s="1296"/>
      <c r="D208" s="1295"/>
    </row>
    <row r="209" spans="1:4" x14ac:dyDescent="0.2">
      <c r="A209" s="1293">
        <v>33877</v>
      </c>
      <c r="B209" s="1295"/>
      <c r="C209" s="1296"/>
      <c r="D209" s="1295"/>
    </row>
    <row r="210" spans="1:4" x14ac:dyDescent="0.2">
      <c r="A210" s="1293">
        <v>33908</v>
      </c>
      <c r="B210" s="1295"/>
      <c r="C210" s="1296"/>
      <c r="D210" s="1295"/>
    </row>
    <row r="211" spans="1:4" x14ac:dyDescent="0.2">
      <c r="A211" s="1293">
        <v>33938</v>
      </c>
      <c r="B211" s="1295"/>
      <c r="C211" s="1296"/>
      <c r="D211" s="1295"/>
    </row>
    <row r="212" spans="1:4" x14ac:dyDescent="0.2">
      <c r="A212" s="1293">
        <v>33969</v>
      </c>
      <c r="B212" s="1295"/>
      <c r="C212" s="1296"/>
      <c r="D212" s="1295"/>
    </row>
    <row r="213" spans="1:4" x14ac:dyDescent="0.2">
      <c r="A213" s="1293">
        <v>34000</v>
      </c>
      <c r="B213" s="1295"/>
      <c r="C213" s="1296"/>
      <c r="D213" s="1295"/>
    </row>
    <row r="214" spans="1:4" x14ac:dyDescent="0.2">
      <c r="A214" s="1293">
        <v>34028</v>
      </c>
      <c r="B214" s="1295"/>
      <c r="C214" s="1296"/>
      <c r="D214" s="1295"/>
    </row>
    <row r="215" spans="1:4" x14ac:dyDescent="0.2">
      <c r="A215" s="1293">
        <v>34059</v>
      </c>
      <c r="B215" s="1295"/>
      <c r="C215" s="1296"/>
      <c r="D215" s="1295"/>
    </row>
    <row r="216" spans="1:4" x14ac:dyDescent="0.2">
      <c r="A216" s="1293">
        <v>34089</v>
      </c>
      <c r="B216" s="1295"/>
      <c r="C216" s="1296"/>
      <c r="D216" s="1295"/>
    </row>
    <row r="217" spans="1:4" x14ac:dyDescent="0.2">
      <c r="A217" s="1293">
        <v>34120</v>
      </c>
      <c r="B217" s="1295"/>
      <c r="C217" s="1296"/>
      <c r="D217" s="1295"/>
    </row>
    <row r="218" spans="1:4" x14ac:dyDescent="0.2">
      <c r="A218" s="1293">
        <v>34150</v>
      </c>
      <c r="B218" s="1295"/>
      <c r="C218" s="1296"/>
      <c r="D218" s="1295"/>
    </row>
    <row r="219" spans="1:4" x14ac:dyDescent="0.2">
      <c r="A219" s="1293">
        <v>34181</v>
      </c>
      <c r="B219" s="1295"/>
      <c r="C219" s="1296"/>
      <c r="D219" s="1295"/>
    </row>
    <row r="220" spans="1:4" x14ac:dyDescent="0.2">
      <c r="A220" s="1293">
        <v>34212</v>
      </c>
      <c r="B220" s="1295"/>
      <c r="C220" s="1296"/>
      <c r="D220" s="1295"/>
    </row>
    <row r="221" spans="1:4" x14ac:dyDescent="0.2">
      <c r="A221" s="1293">
        <v>34242</v>
      </c>
      <c r="B221" s="1295"/>
      <c r="C221" s="1296"/>
      <c r="D221" s="1295"/>
    </row>
    <row r="222" spans="1:4" x14ac:dyDescent="0.2">
      <c r="A222" s="1293">
        <v>34273</v>
      </c>
      <c r="B222" s="1295"/>
      <c r="C222" s="1296"/>
      <c r="D222" s="1295"/>
    </row>
    <row r="223" spans="1:4" x14ac:dyDescent="0.2">
      <c r="A223" s="1293">
        <v>34303</v>
      </c>
      <c r="B223" s="1295"/>
      <c r="C223" s="1296"/>
      <c r="D223" s="1295"/>
    </row>
    <row r="224" spans="1:4" x14ac:dyDescent="0.2">
      <c r="A224" s="1293">
        <v>34334</v>
      </c>
      <c r="B224" s="1295"/>
      <c r="C224" s="1296"/>
      <c r="D224" s="1295"/>
    </row>
    <row r="225" spans="1:4" x14ac:dyDescent="0.2">
      <c r="A225" s="1293">
        <v>34365</v>
      </c>
      <c r="B225" s="1295"/>
      <c r="C225" s="1296"/>
      <c r="D225" s="1295"/>
    </row>
    <row r="226" spans="1:4" x14ac:dyDescent="0.2">
      <c r="A226" s="1293">
        <v>34393</v>
      </c>
      <c r="B226" s="1295"/>
      <c r="C226" s="1296"/>
      <c r="D226" s="1295"/>
    </row>
    <row r="227" spans="1:4" x14ac:dyDescent="0.2">
      <c r="A227" s="1293">
        <v>34424</v>
      </c>
      <c r="B227" s="1295"/>
      <c r="C227" s="1296"/>
      <c r="D227" s="1295"/>
    </row>
    <row r="228" spans="1:4" x14ac:dyDescent="0.2">
      <c r="A228" s="1293">
        <v>34454</v>
      </c>
      <c r="B228" s="1295"/>
      <c r="C228" s="1296"/>
      <c r="D228" s="1295"/>
    </row>
    <row r="229" spans="1:4" x14ac:dyDescent="0.2">
      <c r="A229" s="1293">
        <v>34485</v>
      </c>
      <c r="B229" s="1295"/>
      <c r="C229" s="1296"/>
      <c r="D229" s="1295"/>
    </row>
    <row r="230" spans="1:4" x14ac:dyDescent="0.2">
      <c r="A230" s="1293">
        <v>34515</v>
      </c>
      <c r="B230" s="1295"/>
      <c r="C230" s="1296"/>
      <c r="D230" s="1295"/>
    </row>
    <row r="231" spans="1:4" x14ac:dyDescent="0.2">
      <c r="A231" s="1293">
        <v>34546</v>
      </c>
      <c r="B231" s="1295"/>
      <c r="C231" s="1296"/>
      <c r="D231" s="1295"/>
    </row>
    <row r="232" spans="1:4" x14ac:dyDescent="0.2">
      <c r="A232" s="1293">
        <v>34577</v>
      </c>
      <c r="B232" s="1295"/>
      <c r="C232" s="1296"/>
      <c r="D232" s="1295"/>
    </row>
    <row r="233" spans="1:4" x14ac:dyDescent="0.2">
      <c r="A233" s="1293">
        <v>34607</v>
      </c>
      <c r="B233" s="1295"/>
      <c r="C233" s="1296"/>
      <c r="D233" s="1295"/>
    </row>
    <row r="234" spans="1:4" x14ac:dyDescent="0.2">
      <c r="A234" s="1293">
        <v>34638</v>
      </c>
      <c r="B234" s="1295"/>
      <c r="C234" s="1296"/>
      <c r="D234" s="1295"/>
    </row>
    <row r="235" spans="1:4" x14ac:dyDescent="0.2">
      <c r="A235" s="1293">
        <v>34668</v>
      </c>
      <c r="B235" s="1295"/>
      <c r="C235" s="1296"/>
      <c r="D235" s="1295"/>
    </row>
    <row r="236" spans="1:4" x14ac:dyDescent="0.2">
      <c r="A236" s="1293">
        <v>34699</v>
      </c>
      <c r="B236" s="1295"/>
      <c r="C236" s="1296"/>
      <c r="D236" s="1295"/>
    </row>
    <row r="237" spans="1:4" x14ac:dyDescent="0.2">
      <c r="A237" s="1293">
        <v>34730</v>
      </c>
      <c r="B237" s="1295"/>
      <c r="C237" s="1296"/>
      <c r="D237" s="1295"/>
    </row>
    <row r="238" spans="1:4" x14ac:dyDescent="0.2">
      <c r="A238" s="1293">
        <v>34758</v>
      </c>
      <c r="B238" s="1295"/>
      <c r="C238" s="1296"/>
      <c r="D238" s="1295"/>
    </row>
    <row r="239" spans="1:4" x14ac:dyDescent="0.2">
      <c r="A239" s="1293">
        <v>34789</v>
      </c>
      <c r="B239" s="1295"/>
      <c r="C239" s="1296"/>
      <c r="D239" s="1295"/>
    </row>
    <row r="240" spans="1:4" x14ac:dyDescent="0.2">
      <c r="A240" s="1293">
        <v>34819</v>
      </c>
      <c r="B240" s="1295"/>
      <c r="C240" s="1296"/>
      <c r="D240" s="1295"/>
    </row>
    <row r="241" spans="1:4" x14ac:dyDescent="0.2">
      <c r="A241" s="1293">
        <v>34850</v>
      </c>
      <c r="B241" s="1295"/>
      <c r="C241" s="1296"/>
      <c r="D241" s="1295"/>
    </row>
    <row r="242" spans="1:4" x14ac:dyDescent="0.2">
      <c r="A242" s="1293">
        <v>34880</v>
      </c>
      <c r="B242" s="1295"/>
      <c r="C242" s="1296"/>
      <c r="D242" s="1295"/>
    </row>
    <row r="243" spans="1:4" x14ac:dyDescent="0.2">
      <c r="A243" s="1293">
        <v>34911</v>
      </c>
      <c r="B243" s="1295"/>
      <c r="C243" s="1296"/>
      <c r="D243" s="1295"/>
    </row>
    <row r="244" spans="1:4" x14ac:dyDescent="0.2">
      <c r="A244" s="1293">
        <v>34942</v>
      </c>
      <c r="B244" s="1295"/>
      <c r="C244" s="1296"/>
      <c r="D244" s="1295"/>
    </row>
    <row r="245" spans="1:4" x14ac:dyDescent="0.2">
      <c r="A245" s="1293">
        <v>34972</v>
      </c>
      <c r="B245" s="1295"/>
      <c r="C245" s="1296"/>
      <c r="D245" s="1295"/>
    </row>
    <row r="246" spans="1:4" x14ac:dyDescent="0.2">
      <c r="A246" s="1293">
        <v>35003</v>
      </c>
      <c r="B246" s="1295"/>
      <c r="C246" s="1296"/>
      <c r="D246" s="1295"/>
    </row>
    <row r="247" spans="1:4" x14ac:dyDescent="0.2">
      <c r="A247" s="1293">
        <v>35033</v>
      </c>
      <c r="B247" s="1295"/>
      <c r="C247" s="1296"/>
      <c r="D247" s="1295"/>
    </row>
    <row r="248" spans="1:4" x14ac:dyDescent="0.2">
      <c r="A248" s="1293">
        <v>35064</v>
      </c>
      <c r="B248" s="1295"/>
      <c r="C248" s="1296"/>
      <c r="D248" s="1295"/>
    </row>
    <row r="249" spans="1:4" x14ac:dyDescent="0.2">
      <c r="A249" s="1293">
        <v>35095</v>
      </c>
      <c r="B249" s="1295"/>
      <c r="C249" s="1296"/>
      <c r="D249" s="1295"/>
    </row>
    <row r="250" spans="1:4" x14ac:dyDescent="0.2">
      <c r="A250" s="1293">
        <v>35124</v>
      </c>
      <c r="B250" s="1295"/>
      <c r="C250" s="1296"/>
      <c r="D250" s="1295"/>
    </row>
    <row r="251" spans="1:4" x14ac:dyDescent="0.2">
      <c r="A251" s="1293">
        <v>35155</v>
      </c>
      <c r="B251" s="1295"/>
      <c r="C251" s="1296"/>
      <c r="D251" s="1295"/>
    </row>
    <row r="252" spans="1:4" x14ac:dyDescent="0.2">
      <c r="A252" s="1293">
        <v>35185</v>
      </c>
      <c r="B252" s="1295"/>
      <c r="C252" s="1296"/>
      <c r="D252" s="1295"/>
    </row>
    <row r="253" spans="1:4" x14ac:dyDescent="0.2">
      <c r="A253" s="1293">
        <v>35216</v>
      </c>
      <c r="B253" s="1295"/>
      <c r="C253" s="1296"/>
      <c r="D253" s="1295"/>
    </row>
    <row r="254" spans="1:4" x14ac:dyDescent="0.2">
      <c r="A254" s="1293">
        <v>35246</v>
      </c>
      <c r="B254" s="1295"/>
      <c r="C254" s="1296"/>
      <c r="D254" s="1295"/>
    </row>
    <row r="255" spans="1:4" x14ac:dyDescent="0.2">
      <c r="A255" s="1293">
        <v>35277</v>
      </c>
      <c r="B255" s="1295"/>
      <c r="C255" s="1296"/>
      <c r="D255" s="1295"/>
    </row>
    <row r="256" spans="1:4" x14ac:dyDescent="0.2">
      <c r="A256" s="1293">
        <v>35308</v>
      </c>
      <c r="B256" s="1295"/>
      <c r="C256" s="1296"/>
      <c r="D256" s="1295"/>
    </row>
    <row r="257" spans="1:4" x14ac:dyDescent="0.2">
      <c r="A257" s="1293">
        <v>35338</v>
      </c>
      <c r="B257" s="1295"/>
      <c r="C257" s="1296"/>
      <c r="D257" s="1295"/>
    </row>
    <row r="258" spans="1:4" x14ac:dyDescent="0.2">
      <c r="A258" s="1293">
        <v>35369</v>
      </c>
      <c r="B258" s="1295"/>
      <c r="C258" s="1296"/>
      <c r="D258" s="1295"/>
    </row>
    <row r="259" spans="1:4" x14ac:dyDescent="0.2">
      <c r="A259" s="1293">
        <v>35399</v>
      </c>
      <c r="B259" s="1295"/>
      <c r="C259" s="1296"/>
      <c r="D259" s="1295"/>
    </row>
    <row r="260" spans="1:4" x14ac:dyDescent="0.2">
      <c r="A260" s="1293">
        <v>35430</v>
      </c>
      <c r="B260" s="1295"/>
      <c r="C260" s="1296"/>
      <c r="D260" s="1295"/>
    </row>
    <row r="261" spans="1:4" x14ac:dyDescent="0.2">
      <c r="A261" s="1293">
        <v>35461</v>
      </c>
      <c r="B261" s="1295"/>
      <c r="C261" s="1296"/>
      <c r="D261" s="1295"/>
    </row>
    <row r="262" spans="1:4" x14ac:dyDescent="0.2">
      <c r="A262" s="1293">
        <v>35489</v>
      </c>
      <c r="B262" s="1295"/>
      <c r="C262" s="1296"/>
      <c r="D262" s="1295"/>
    </row>
    <row r="263" spans="1:4" x14ac:dyDescent="0.2">
      <c r="A263" s="1293">
        <v>35520</v>
      </c>
      <c r="B263" s="1295"/>
      <c r="C263" s="1296"/>
      <c r="D263" s="1295"/>
    </row>
    <row r="264" spans="1:4" x14ac:dyDescent="0.2">
      <c r="A264" s="1293">
        <v>35550</v>
      </c>
      <c r="B264" s="1295"/>
      <c r="C264" s="1296"/>
      <c r="D264" s="1295"/>
    </row>
    <row r="265" spans="1:4" x14ac:dyDescent="0.2">
      <c r="A265" s="1293">
        <v>35581</v>
      </c>
      <c r="B265" s="1295"/>
      <c r="C265" s="1296"/>
      <c r="D265" s="1295"/>
    </row>
    <row r="266" spans="1:4" x14ac:dyDescent="0.2">
      <c r="A266" s="1293">
        <v>35611</v>
      </c>
      <c r="B266" s="1295"/>
      <c r="C266" s="1296"/>
      <c r="D266" s="1295"/>
    </row>
    <row r="267" spans="1:4" x14ac:dyDescent="0.2">
      <c r="A267" s="1293">
        <v>35642</v>
      </c>
      <c r="B267" s="1295"/>
      <c r="C267" s="1296"/>
      <c r="D267" s="1295"/>
    </row>
    <row r="268" spans="1:4" x14ac:dyDescent="0.2">
      <c r="A268" s="1293">
        <v>35673</v>
      </c>
      <c r="B268" s="1295"/>
      <c r="C268" s="1296"/>
      <c r="D268" s="1295"/>
    </row>
    <row r="269" spans="1:4" x14ac:dyDescent="0.2">
      <c r="A269" s="1293">
        <v>35703</v>
      </c>
      <c r="B269" s="1295"/>
      <c r="C269" s="1296"/>
      <c r="D269" s="1295"/>
    </row>
    <row r="270" spans="1:4" x14ac:dyDescent="0.2">
      <c r="A270" s="1293">
        <v>35734</v>
      </c>
      <c r="B270" s="1295"/>
      <c r="C270" s="1296"/>
      <c r="D270" s="1295"/>
    </row>
    <row r="271" spans="1:4" x14ac:dyDescent="0.2">
      <c r="A271" s="1293">
        <v>35764</v>
      </c>
      <c r="B271" s="1295"/>
      <c r="C271" s="1296"/>
      <c r="D271" s="1295"/>
    </row>
    <row r="272" spans="1:4" x14ac:dyDescent="0.2">
      <c r="A272" s="1293">
        <v>35795</v>
      </c>
      <c r="B272" s="1295"/>
      <c r="C272" s="1296"/>
      <c r="D272" s="1295"/>
    </row>
    <row r="273" spans="1:4" x14ac:dyDescent="0.2">
      <c r="A273" s="1293">
        <v>35826</v>
      </c>
      <c r="B273" s="1295"/>
      <c r="C273" s="1296"/>
      <c r="D273" s="1295"/>
    </row>
    <row r="274" spans="1:4" x14ac:dyDescent="0.2">
      <c r="A274" s="1293">
        <v>35854</v>
      </c>
      <c r="B274" s="1295"/>
      <c r="C274" s="1297"/>
      <c r="D274" s="1295"/>
    </row>
    <row r="275" spans="1:4" x14ac:dyDescent="0.2">
      <c r="A275" s="1293">
        <v>35885</v>
      </c>
      <c r="B275" s="1295"/>
      <c r="C275" s="1297"/>
      <c r="D275" s="1295"/>
    </row>
    <row r="276" spans="1:4" x14ac:dyDescent="0.2">
      <c r="A276" s="1293">
        <v>35915</v>
      </c>
      <c r="B276" s="1295"/>
      <c r="C276" s="1297"/>
      <c r="D276" s="1295"/>
    </row>
    <row r="277" spans="1:4" x14ac:dyDescent="0.2">
      <c r="A277" s="1293">
        <v>35946</v>
      </c>
      <c r="B277" s="1295"/>
      <c r="C277" s="1297"/>
      <c r="D277" s="1295"/>
    </row>
    <row r="278" spans="1:4" x14ac:dyDescent="0.2">
      <c r="A278" s="1293">
        <v>35976</v>
      </c>
      <c r="B278" s="1295"/>
      <c r="C278" s="1297"/>
      <c r="D278" s="1295"/>
    </row>
    <row r="279" spans="1:4" x14ac:dyDescent="0.2">
      <c r="A279" s="1293">
        <v>36007</v>
      </c>
      <c r="B279" s="1295"/>
      <c r="C279" s="1297"/>
      <c r="D279" s="1295"/>
    </row>
    <row r="280" spans="1:4" x14ac:dyDescent="0.2">
      <c r="A280" s="1293">
        <v>36038</v>
      </c>
      <c r="B280" s="1295"/>
      <c r="C280" s="1297"/>
      <c r="D280" s="1295"/>
    </row>
    <row r="281" spans="1:4" x14ac:dyDescent="0.2">
      <c r="A281" s="1293">
        <v>36068</v>
      </c>
      <c r="B281" s="1295"/>
      <c r="C281" s="1297"/>
      <c r="D281" s="1295"/>
    </row>
    <row r="282" spans="1:4" x14ac:dyDescent="0.2">
      <c r="A282" s="1293">
        <v>36099</v>
      </c>
      <c r="B282" s="1295"/>
      <c r="C282" s="1297"/>
      <c r="D282" s="1295"/>
    </row>
    <row r="283" spans="1:4" x14ac:dyDescent="0.2">
      <c r="A283" s="1293">
        <v>36129</v>
      </c>
      <c r="B283" s="1295"/>
      <c r="C283" s="1297"/>
      <c r="D283" s="1295"/>
    </row>
    <row r="284" spans="1:4" x14ac:dyDescent="0.2">
      <c r="A284" s="1293">
        <v>36160</v>
      </c>
      <c r="B284" s="1295"/>
      <c r="C284" s="1297"/>
      <c r="D284" s="1295"/>
    </row>
    <row r="285" spans="1:4" x14ac:dyDescent="0.2">
      <c r="A285" s="1293">
        <v>36191</v>
      </c>
      <c r="B285" s="1295"/>
      <c r="C285" s="1297"/>
      <c r="D285" s="1295"/>
    </row>
    <row r="286" spans="1:4" x14ac:dyDescent="0.2">
      <c r="A286" s="1293">
        <v>36219</v>
      </c>
      <c r="B286" s="1295"/>
      <c r="C286" s="1297"/>
      <c r="D286" s="1295"/>
    </row>
    <row r="287" spans="1:4" x14ac:dyDescent="0.2">
      <c r="A287" s="1293">
        <v>36250</v>
      </c>
      <c r="B287" s="1295"/>
      <c r="C287" s="1297"/>
      <c r="D287" s="1295"/>
    </row>
    <row r="288" spans="1:4" x14ac:dyDescent="0.2">
      <c r="A288" s="1293">
        <v>36280</v>
      </c>
      <c r="B288" s="1295"/>
      <c r="C288" s="1297"/>
      <c r="D288" s="1295"/>
    </row>
    <row r="289" spans="1:4" x14ac:dyDescent="0.2">
      <c r="A289" s="1293">
        <v>36311</v>
      </c>
      <c r="B289" s="1295"/>
      <c r="C289" s="1297"/>
      <c r="D289" s="1295"/>
    </row>
    <row r="290" spans="1:4" x14ac:dyDescent="0.2">
      <c r="A290" s="1293">
        <v>36341</v>
      </c>
      <c r="B290" s="1295"/>
      <c r="C290" s="1297"/>
      <c r="D290" s="1295"/>
    </row>
    <row r="291" spans="1:4" x14ac:dyDescent="0.2">
      <c r="A291" s="1293">
        <v>36372</v>
      </c>
      <c r="B291" s="1295"/>
      <c r="C291" s="1297"/>
      <c r="D291" s="1295"/>
    </row>
    <row r="292" spans="1:4" x14ac:dyDescent="0.2">
      <c r="A292" s="1293">
        <v>36403</v>
      </c>
      <c r="B292" s="1295"/>
      <c r="C292" s="1297"/>
      <c r="D292" s="1295"/>
    </row>
    <row r="293" spans="1:4" x14ac:dyDescent="0.2">
      <c r="A293" s="1293">
        <v>36433</v>
      </c>
      <c r="B293" s="1295"/>
      <c r="C293" s="1297"/>
      <c r="D293" s="1295"/>
    </row>
    <row r="294" spans="1:4" x14ac:dyDescent="0.2">
      <c r="A294" s="1293">
        <v>36464</v>
      </c>
      <c r="B294" s="1295"/>
      <c r="C294" s="1297"/>
      <c r="D294" s="1295"/>
    </row>
    <row r="295" spans="1:4" x14ac:dyDescent="0.2">
      <c r="A295" s="1293">
        <v>36494</v>
      </c>
      <c r="B295" s="1295"/>
      <c r="C295" s="1297"/>
      <c r="D295" s="1295"/>
    </row>
    <row r="296" spans="1:4" x14ac:dyDescent="0.2">
      <c r="A296" s="1293">
        <v>36525</v>
      </c>
      <c r="B296" s="1295"/>
      <c r="C296" s="1297"/>
      <c r="D296" s="1295"/>
    </row>
    <row r="297" spans="1:4" x14ac:dyDescent="0.2">
      <c r="A297" s="1293">
        <v>36556</v>
      </c>
      <c r="B297" s="1295"/>
      <c r="C297" s="1297"/>
      <c r="D297" s="1295"/>
    </row>
    <row r="298" spans="1:4" x14ac:dyDescent="0.2">
      <c r="A298" s="1293">
        <v>36585</v>
      </c>
      <c r="B298" s="1295"/>
      <c r="C298" s="1297"/>
      <c r="D298" s="1295"/>
    </row>
    <row r="299" spans="1:4" x14ac:dyDescent="0.2">
      <c r="A299" s="1293">
        <v>36616</v>
      </c>
      <c r="B299" s="1295"/>
      <c r="C299" s="1297"/>
      <c r="D299" s="1295"/>
    </row>
    <row r="300" spans="1:4" x14ac:dyDescent="0.2">
      <c r="A300" s="1293">
        <v>36646</v>
      </c>
      <c r="B300" s="1295"/>
      <c r="C300" s="1297"/>
      <c r="D300" s="1295"/>
    </row>
    <row r="301" spans="1:4" x14ac:dyDescent="0.2">
      <c r="A301" s="1293">
        <v>36677</v>
      </c>
      <c r="B301" s="1295"/>
      <c r="C301" s="1297"/>
      <c r="D301" s="1295"/>
    </row>
    <row r="302" spans="1:4" x14ac:dyDescent="0.2">
      <c r="A302" s="1293">
        <v>36707</v>
      </c>
      <c r="B302" s="1295"/>
      <c r="C302" s="1297"/>
      <c r="D302" s="1295"/>
    </row>
    <row r="303" spans="1:4" x14ac:dyDescent="0.2">
      <c r="A303" s="1293">
        <v>36738</v>
      </c>
      <c r="B303" s="1295"/>
      <c r="C303" s="1297"/>
      <c r="D303" s="1295"/>
    </row>
    <row r="304" spans="1:4" x14ac:dyDescent="0.2">
      <c r="A304" s="1293">
        <v>36769</v>
      </c>
      <c r="B304" s="1295"/>
      <c r="C304" s="1297"/>
      <c r="D304" s="1295"/>
    </row>
    <row r="305" spans="1:4" x14ac:dyDescent="0.2">
      <c r="A305" s="1293">
        <v>36799</v>
      </c>
      <c r="B305" s="1298"/>
      <c r="C305" s="1299"/>
      <c r="D305" s="1295"/>
    </row>
    <row r="306" spans="1:4" x14ac:dyDescent="0.2">
      <c r="A306" s="1293">
        <v>36830</v>
      </c>
      <c r="B306" s="1300"/>
      <c r="C306" s="1299"/>
      <c r="D306" s="1300"/>
    </row>
    <row r="307" spans="1:4" x14ac:dyDescent="0.2">
      <c r="A307" s="1293">
        <v>36860</v>
      </c>
      <c r="B307" s="1300"/>
      <c r="C307" s="1299"/>
      <c r="D307" s="1300"/>
    </row>
    <row r="308" spans="1:4" x14ac:dyDescent="0.2">
      <c r="A308" s="1293">
        <v>36891</v>
      </c>
      <c r="B308" s="1300"/>
      <c r="C308" s="1299"/>
      <c r="D308" s="1300"/>
    </row>
    <row r="309" spans="1:4" x14ac:dyDescent="0.2">
      <c r="A309" s="1293">
        <v>36922</v>
      </c>
      <c r="B309" s="1300"/>
      <c r="C309" s="1299"/>
      <c r="D309" s="1300"/>
    </row>
    <row r="310" spans="1:4" x14ac:dyDescent="0.2">
      <c r="A310" s="1293">
        <v>36950</v>
      </c>
      <c r="B310" s="1300"/>
      <c r="C310" s="1299"/>
      <c r="D310" s="1300"/>
    </row>
    <row r="311" spans="1:4" x14ac:dyDescent="0.2">
      <c r="A311" s="1293">
        <v>36981</v>
      </c>
      <c r="B311" s="1300"/>
      <c r="C311" s="1299"/>
      <c r="D311" s="1300"/>
    </row>
    <row r="312" spans="1:4" x14ac:dyDescent="0.2">
      <c r="A312" s="1293">
        <v>37011</v>
      </c>
      <c r="B312" s="1300"/>
      <c r="C312" s="1299"/>
      <c r="D312" s="1300"/>
    </row>
    <row r="313" spans="1:4" x14ac:dyDescent="0.2">
      <c r="A313" s="1293">
        <v>37042</v>
      </c>
      <c r="B313" s="1300"/>
      <c r="C313" s="1299"/>
      <c r="D313" s="1300"/>
    </row>
    <row r="314" spans="1:4" x14ac:dyDescent="0.2">
      <c r="A314" s="1293">
        <v>37072</v>
      </c>
      <c r="B314" s="1300"/>
      <c r="C314" s="1299"/>
      <c r="D314" s="1300"/>
    </row>
    <row r="315" spans="1:4" x14ac:dyDescent="0.2">
      <c r="A315" s="1293">
        <v>37103</v>
      </c>
      <c r="B315" s="1300"/>
      <c r="C315" s="1299"/>
      <c r="D315" s="1300"/>
    </row>
    <row r="316" spans="1:4" x14ac:dyDescent="0.2">
      <c r="A316" s="1293">
        <v>37134</v>
      </c>
      <c r="B316" s="1300"/>
      <c r="C316" s="1299"/>
      <c r="D316" s="1300"/>
    </row>
    <row r="317" spans="1:4" x14ac:dyDescent="0.2">
      <c r="A317" s="1293">
        <v>37164</v>
      </c>
      <c r="B317" s="1300"/>
      <c r="C317" s="1299"/>
      <c r="D317" s="1300"/>
    </row>
    <row r="318" spans="1:4" x14ac:dyDescent="0.2">
      <c r="A318" s="1293">
        <v>37195</v>
      </c>
      <c r="B318" s="1300"/>
      <c r="C318" s="1299"/>
      <c r="D318" s="1300"/>
    </row>
    <row r="319" spans="1:4" x14ac:dyDescent="0.2">
      <c r="A319" s="1293">
        <v>37225</v>
      </c>
      <c r="B319" s="1300"/>
      <c r="C319" s="1299"/>
      <c r="D319" s="1300"/>
    </row>
    <row r="320" spans="1:4" x14ac:dyDescent="0.2">
      <c r="A320" s="1293">
        <v>37256</v>
      </c>
      <c r="B320" s="1300"/>
      <c r="C320" s="1299"/>
      <c r="D320" s="1300"/>
    </row>
    <row r="321" spans="1:4" x14ac:dyDescent="0.2">
      <c r="A321" s="1293">
        <v>37287</v>
      </c>
      <c r="B321" s="1300"/>
      <c r="C321" s="1299"/>
      <c r="D321" s="1300"/>
    </row>
    <row r="322" spans="1:4" x14ac:dyDescent="0.2">
      <c r="A322" s="1293">
        <v>37315</v>
      </c>
      <c r="B322" s="1300"/>
      <c r="C322" s="1299"/>
      <c r="D322" s="1300"/>
    </row>
    <row r="323" spans="1:4" x14ac:dyDescent="0.2">
      <c r="A323" s="1293">
        <v>37346</v>
      </c>
      <c r="B323" s="1300"/>
      <c r="C323" s="1299"/>
      <c r="D323" s="1300"/>
    </row>
    <row r="324" spans="1:4" x14ac:dyDescent="0.2">
      <c r="A324" s="1293">
        <v>37376</v>
      </c>
      <c r="B324" s="1300"/>
      <c r="C324" s="1299"/>
      <c r="D324" s="1300"/>
    </row>
    <row r="325" spans="1:4" x14ac:dyDescent="0.2">
      <c r="A325" s="1293">
        <v>37407</v>
      </c>
      <c r="B325" s="1300"/>
      <c r="C325" s="1299"/>
      <c r="D325" s="1300"/>
    </row>
    <row r="326" spans="1:4" x14ac:dyDescent="0.2">
      <c r="A326" s="1293">
        <v>37437</v>
      </c>
      <c r="B326" s="1300"/>
      <c r="C326" s="1299"/>
      <c r="D326" s="1300"/>
    </row>
    <row r="327" spans="1:4" x14ac:dyDescent="0.2">
      <c r="A327" s="1293">
        <v>37468</v>
      </c>
      <c r="B327" s="1300"/>
      <c r="C327" s="1299"/>
      <c r="D327" s="1300"/>
    </row>
    <row r="328" spans="1:4" x14ac:dyDescent="0.2">
      <c r="A328" s="1293">
        <v>37499</v>
      </c>
      <c r="B328" s="1300"/>
      <c r="C328" s="1299"/>
      <c r="D328" s="1300"/>
    </row>
    <row r="329" spans="1:4" x14ac:dyDescent="0.2">
      <c r="A329" s="1293">
        <v>37529</v>
      </c>
      <c r="B329" s="1300"/>
      <c r="C329" s="1299"/>
      <c r="D329" s="1300"/>
    </row>
    <row r="330" spans="1:4" x14ac:dyDescent="0.2">
      <c r="A330" s="1293">
        <v>37560</v>
      </c>
      <c r="B330" s="1300"/>
      <c r="C330" s="1299"/>
      <c r="D330" s="1300"/>
    </row>
    <row r="331" spans="1:4" x14ac:dyDescent="0.2">
      <c r="A331" s="1293">
        <v>37590</v>
      </c>
      <c r="B331" s="1300"/>
      <c r="C331" s="1299"/>
      <c r="D331" s="1300"/>
    </row>
    <row r="332" spans="1:4" x14ac:dyDescent="0.2">
      <c r="A332" s="1293">
        <v>37621</v>
      </c>
      <c r="B332" s="1300"/>
      <c r="C332" s="1299"/>
      <c r="D332" s="1300"/>
    </row>
    <row r="333" spans="1:4" x14ac:dyDescent="0.2">
      <c r="A333" s="1293">
        <v>37652</v>
      </c>
      <c r="B333" s="1300"/>
      <c r="C333" s="1299"/>
      <c r="D333" s="1300"/>
    </row>
    <row r="334" spans="1:4" x14ac:dyDescent="0.2">
      <c r="A334" s="1293">
        <v>37680</v>
      </c>
      <c r="B334" s="1300"/>
      <c r="C334" s="1299"/>
      <c r="D334" s="1300"/>
    </row>
    <row r="335" spans="1:4" x14ac:dyDescent="0.2">
      <c r="A335" s="1293">
        <v>37711</v>
      </c>
      <c r="B335" s="1300"/>
      <c r="C335" s="1299"/>
      <c r="D335" s="1300"/>
    </row>
    <row r="336" spans="1:4" x14ac:dyDescent="0.2">
      <c r="A336" s="1293">
        <v>37741</v>
      </c>
      <c r="B336" s="1300"/>
      <c r="C336" s="1299"/>
      <c r="D336" s="1300"/>
    </row>
    <row r="337" spans="1:4" x14ac:dyDescent="0.2">
      <c r="A337" s="1293">
        <v>37772</v>
      </c>
      <c r="B337" s="1300"/>
      <c r="C337" s="1299"/>
      <c r="D337" s="1300"/>
    </row>
    <row r="338" spans="1:4" x14ac:dyDescent="0.2">
      <c r="A338" s="1293">
        <v>37802</v>
      </c>
      <c r="B338" s="1300"/>
      <c r="C338" s="1299"/>
      <c r="D338" s="1300"/>
    </row>
    <row r="339" spans="1:4" x14ac:dyDescent="0.2">
      <c r="A339" s="1293">
        <v>37833</v>
      </c>
      <c r="B339" s="1300"/>
      <c r="C339" s="1299"/>
      <c r="D339" s="1300"/>
    </row>
    <row r="340" spans="1:4" x14ac:dyDescent="0.2">
      <c r="A340" s="1293">
        <v>37864</v>
      </c>
      <c r="B340" s="1300"/>
      <c r="C340" s="1299"/>
      <c r="D340" s="1300"/>
    </row>
    <row r="341" spans="1:4" x14ac:dyDescent="0.2">
      <c r="A341" s="1293">
        <v>37894</v>
      </c>
      <c r="B341" s="1300"/>
      <c r="C341" s="1302"/>
      <c r="D341" s="1300"/>
    </row>
    <row r="342" spans="1:4" x14ac:dyDescent="0.2">
      <c r="A342" s="1293">
        <v>37925</v>
      </c>
      <c r="B342" s="1300"/>
      <c r="C342" s="1302"/>
      <c r="D342" s="1300"/>
    </row>
    <row r="343" spans="1:4" x14ac:dyDescent="0.2">
      <c r="A343" s="1293">
        <v>37955</v>
      </c>
      <c r="B343" s="1300"/>
      <c r="C343" s="1302"/>
      <c r="D343" s="1300"/>
    </row>
    <row r="344" spans="1:4" x14ac:dyDescent="0.2">
      <c r="A344" s="1293">
        <v>37986</v>
      </c>
      <c r="B344" s="1300"/>
      <c r="C344" s="1302"/>
      <c r="D344" s="1300"/>
    </row>
    <row r="345" spans="1:4" x14ac:dyDescent="0.2">
      <c r="A345" s="1293">
        <v>38017</v>
      </c>
      <c r="B345" s="1300"/>
      <c r="C345" s="1302"/>
      <c r="D345" s="1300"/>
    </row>
    <row r="346" spans="1:4" x14ac:dyDescent="0.2">
      <c r="A346" s="1293">
        <v>38046</v>
      </c>
      <c r="B346" s="1300"/>
      <c r="C346" s="1302"/>
      <c r="D346" s="1300"/>
    </row>
    <row r="347" spans="1:4" x14ac:dyDescent="0.2">
      <c r="A347" s="1293">
        <v>38077</v>
      </c>
      <c r="B347" s="1300"/>
      <c r="C347" s="1302"/>
      <c r="D347" s="1303"/>
    </row>
    <row r="348" spans="1:4" x14ac:dyDescent="0.2">
      <c r="A348" s="1293">
        <v>38107</v>
      </c>
      <c r="B348" s="1300"/>
      <c r="C348" s="1302"/>
      <c r="D348" s="1300"/>
    </row>
    <row r="349" spans="1:4" x14ac:dyDescent="0.2">
      <c r="A349" s="1293">
        <v>38138</v>
      </c>
      <c r="B349" s="1300"/>
      <c r="C349" s="1302"/>
      <c r="D349" s="1300"/>
    </row>
    <row r="350" spans="1:4" x14ac:dyDescent="0.2">
      <c r="A350" s="1293">
        <v>38168</v>
      </c>
      <c r="B350" s="1300"/>
      <c r="C350" s="1302"/>
      <c r="D350" s="1300"/>
    </row>
    <row r="351" spans="1:4" x14ac:dyDescent="0.2">
      <c r="A351" s="1293">
        <v>38199</v>
      </c>
      <c r="B351" s="1300"/>
      <c r="C351" s="1302"/>
      <c r="D351" s="1300"/>
    </row>
    <row r="352" spans="1:4" x14ac:dyDescent="0.2">
      <c r="A352" s="1293">
        <v>38230</v>
      </c>
      <c r="B352" s="1300"/>
      <c r="C352" s="1302"/>
      <c r="D352" s="1300"/>
    </row>
    <row r="353" spans="1:4" x14ac:dyDescent="0.2">
      <c r="A353" s="1293">
        <v>38260</v>
      </c>
      <c r="B353" s="1300"/>
      <c r="C353" s="1302"/>
      <c r="D353" s="1300"/>
    </row>
    <row r="354" spans="1:4" x14ac:dyDescent="0.2">
      <c r="A354" s="1293">
        <v>38291</v>
      </c>
      <c r="B354" s="1300"/>
      <c r="C354" s="1302"/>
      <c r="D354" s="1300"/>
    </row>
    <row r="355" spans="1:4" x14ac:dyDescent="0.2">
      <c r="A355" s="1293">
        <v>38321</v>
      </c>
      <c r="B355" s="1300"/>
      <c r="C355" s="1302"/>
      <c r="D355" s="1300"/>
    </row>
    <row r="356" spans="1:4" x14ac:dyDescent="0.2">
      <c r="A356" s="1293">
        <v>38352</v>
      </c>
      <c r="B356" s="1300"/>
      <c r="C356" s="1304"/>
      <c r="D356" s="1300"/>
    </row>
    <row r="357" spans="1:4" x14ac:dyDescent="0.2">
      <c r="A357" s="1293">
        <v>38383</v>
      </c>
      <c r="B357" s="1300"/>
      <c r="C357" s="1302"/>
      <c r="D357" s="1300"/>
    </row>
    <row r="358" spans="1:4" x14ac:dyDescent="0.2">
      <c r="A358" s="1293">
        <v>38411</v>
      </c>
      <c r="B358" s="1300"/>
      <c r="C358" s="1302"/>
      <c r="D358" s="1300"/>
    </row>
    <row r="359" spans="1:4" x14ac:dyDescent="0.2">
      <c r="A359" s="1293">
        <v>38442</v>
      </c>
      <c r="B359" s="1300"/>
      <c r="C359" s="1304"/>
      <c r="D359" s="1300"/>
    </row>
    <row r="360" spans="1:4" x14ac:dyDescent="0.2">
      <c r="A360" s="1293">
        <v>38472</v>
      </c>
      <c r="B360" s="1300"/>
      <c r="C360" s="1304"/>
      <c r="D360" s="1300"/>
    </row>
    <row r="361" spans="1:4" x14ac:dyDescent="0.2">
      <c r="A361" s="1293">
        <v>38503</v>
      </c>
      <c r="B361" s="1300"/>
      <c r="C361" s="1304"/>
      <c r="D361" s="1300"/>
    </row>
    <row r="362" spans="1:4" x14ac:dyDescent="0.2">
      <c r="A362" s="1293">
        <v>38533</v>
      </c>
      <c r="B362" s="1300"/>
      <c r="C362" s="1304"/>
      <c r="D362" s="1300"/>
    </row>
    <row r="363" spans="1:4" x14ac:dyDescent="0.2">
      <c r="A363" s="1293">
        <v>38564</v>
      </c>
      <c r="B363" s="1300"/>
      <c r="C363" s="1304"/>
      <c r="D363" s="1300"/>
    </row>
    <row r="364" spans="1:4" x14ac:dyDescent="0.2">
      <c r="A364" s="1293">
        <v>38595</v>
      </c>
      <c r="B364" s="1300"/>
      <c r="C364" s="1304"/>
      <c r="D364" s="1300"/>
    </row>
    <row r="365" spans="1:4" x14ac:dyDescent="0.2">
      <c r="A365" s="1293">
        <v>38625</v>
      </c>
      <c r="B365" s="1300"/>
      <c r="C365" s="1304"/>
      <c r="D365" s="1300"/>
    </row>
    <row r="366" spans="1:4" x14ac:dyDescent="0.2">
      <c r="A366" s="1293">
        <v>38656</v>
      </c>
      <c r="B366" s="1300"/>
      <c r="C366" s="1304"/>
      <c r="D366" s="1300"/>
    </row>
    <row r="367" spans="1:4" x14ac:dyDescent="0.2">
      <c r="A367" s="1293">
        <v>38686</v>
      </c>
      <c r="B367" s="1300"/>
      <c r="C367" s="1304"/>
      <c r="D367" s="1300"/>
    </row>
    <row r="368" spans="1:4" x14ac:dyDescent="0.2">
      <c r="A368" s="1293">
        <v>38717</v>
      </c>
      <c r="B368" s="1300"/>
      <c r="C368" s="1304"/>
      <c r="D368" s="1300"/>
    </row>
    <row r="369" spans="1:6" x14ac:dyDescent="0.2">
      <c r="A369" s="1293">
        <v>38748</v>
      </c>
      <c r="B369" s="1300"/>
      <c r="C369" s="1304"/>
      <c r="D369" s="1300"/>
    </row>
    <row r="370" spans="1:6" x14ac:dyDescent="0.2">
      <c r="A370" s="1293">
        <v>38776</v>
      </c>
      <c r="B370" s="1300"/>
      <c r="C370" s="1304"/>
      <c r="D370" s="1300"/>
    </row>
    <row r="371" spans="1:6" x14ac:dyDescent="0.2">
      <c r="A371" s="1293">
        <v>38807</v>
      </c>
      <c r="B371" s="1300"/>
      <c r="C371" s="1299"/>
      <c r="D371" s="1300"/>
    </row>
    <row r="372" spans="1:6" x14ac:dyDescent="0.2">
      <c r="A372" s="1293">
        <v>38837</v>
      </c>
      <c r="B372" s="1300"/>
      <c r="C372" s="1299"/>
      <c r="D372" s="1300"/>
    </row>
    <row r="373" spans="1:6" x14ac:dyDescent="0.2">
      <c r="A373" s="1293">
        <v>38868</v>
      </c>
      <c r="B373" s="1300"/>
      <c r="C373" s="1299"/>
      <c r="D373" s="1300"/>
    </row>
    <row r="374" spans="1:6" x14ac:dyDescent="0.2">
      <c r="A374" s="1293">
        <v>38898</v>
      </c>
      <c r="B374" s="1372"/>
      <c r="C374" s="1387"/>
      <c r="D374" s="1300"/>
    </row>
    <row r="375" spans="1:6" x14ac:dyDescent="0.2">
      <c r="A375" s="1293">
        <v>38929</v>
      </c>
      <c r="B375" s="1300"/>
      <c r="C375" s="1302"/>
      <c r="D375" s="1300"/>
    </row>
    <row r="376" spans="1:6" x14ac:dyDescent="0.2">
      <c r="A376" s="1293">
        <v>38960</v>
      </c>
      <c r="B376" s="1300"/>
      <c r="C376" s="1302"/>
      <c r="D376" s="1300"/>
    </row>
    <row r="377" spans="1:6" x14ac:dyDescent="0.2">
      <c r="A377" s="1293">
        <v>38990</v>
      </c>
      <c r="B377" s="1300"/>
      <c r="C377" s="1302"/>
      <c r="D377" s="1300"/>
    </row>
    <row r="378" spans="1:6" x14ac:dyDescent="0.2">
      <c r="A378" s="1293">
        <v>39021</v>
      </c>
      <c r="B378" s="1300"/>
      <c r="C378" s="1302"/>
      <c r="D378" s="1300"/>
      <c r="F378" s="1305"/>
    </row>
    <row r="379" spans="1:6" x14ac:dyDescent="0.2">
      <c r="A379" s="1293">
        <v>39051</v>
      </c>
      <c r="B379" s="1300"/>
      <c r="C379" s="1302"/>
      <c r="D379" s="1300"/>
      <c r="F379" s="1305"/>
    </row>
    <row r="380" spans="1:6" x14ac:dyDescent="0.2">
      <c r="A380" s="1293">
        <v>39082</v>
      </c>
      <c r="B380" s="1300"/>
      <c r="C380" s="1302"/>
      <c r="D380" s="1300"/>
      <c r="F380" s="1305"/>
    </row>
    <row r="381" spans="1:6" x14ac:dyDescent="0.2">
      <c r="A381" s="1293">
        <v>39113</v>
      </c>
      <c r="B381" s="1300"/>
      <c r="F381" s="1305"/>
    </row>
    <row r="382" spans="1:6" x14ac:dyDescent="0.2">
      <c r="A382" s="1293">
        <v>39141</v>
      </c>
      <c r="B382" s="1300"/>
      <c r="F382" s="1305"/>
    </row>
    <row r="383" spans="1:6" x14ac:dyDescent="0.2">
      <c r="A383" s="1293">
        <v>39172</v>
      </c>
      <c r="B383" s="1300"/>
    </row>
    <row r="384" spans="1:6" x14ac:dyDescent="0.2">
      <c r="A384" s="1293">
        <v>39202</v>
      </c>
      <c r="B384" s="1300"/>
    </row>
    <row r="385" spans="1:3" x14ac:dyDescent="0.2">
      <c r="A385" s="1293">
        <v>39233</v>
      </c>
      <c r="B385" s="1300"/>
    </row>
    <row r="386" spans="1:3" x14ac:dyDescent="0.2">
      <c r="A386" s="1293">
        <v>39263</v>
      </c>
      <c r="B386" s="1300"/>
    </row>
    <row r="387" spans="1:3" x14ac:dyDescent="0.2">
      <c r="A387" s="1293">
        <v>39294</v>
      </c>
      <c r="B387" s="1300"/>
    </row>
    <row r="388" spans="1:3" x14ac:dyDescent="0.2">
      <c r="A388" s="1293">
        <v>39325</v>
      </c>
      <c r="B388" s="1300"/>
    </row>
    <row r="389" spans="1:3" x14ac:dyDescent="0.2">
      <c r="A389" s="1293">
        <v>39355</v>
      </c>
      <c r="B389" s="1300"/>
    </row>
    <row r="390" spans="1:3" x14ac:dyDescent="0.2">
      <c r="A390" s="1293">
        <v>39386</v>
      </c>
      <c r="B390" s="1300"/>
    </row>
    <row r="391" spans="1:3" x14ac:dyDescent="0.2">
      <c r="A391" s="1293">
        <v>39416</v>
      </c>
      <c r="B391" s="1300"/>
    </row>
    <row r="392" spans="1:3" x14ac:dyDescent="0.2">
      <c r="A392" s="1293">
        <v>39447</v>
      </c>
      <c r="B392" s="1300"/>
    </row>
    <row r="393" spans="1:3" x14ac:dyDescent="0.2">
      <c r="A393" s="1293">
        <v>39478</v>
      </c>
      <c r="B393" s="1300"/>
    </row>
    <row r="394" spans="1:3" x14ac:dyDescent="0.2">
      <c r="A394" s="1293">
        <v>39507</v>
      </c>
      <c r="B394" s="1300"/>
    </row>
    <row r="395" spans="1:3" x14ac:dyDescent="0.2">
      <c r="A395" s="1293">
        <v>39538</v>
      </c>
      <c r="B395" s="1300"/>
    </row>
    <row r="396" spans="1:3" x14ac:dyDescent="0.2">
      <c r="A396" s="1293">
        <v>39568</v>
      </c>
      <c r="B396" s="1300"/>
    </row>
    <row r="397" spans="1:3" x14ac:dyDescent="0.2">
      <c r="A397" s="1293">
        <v>39599</v>
      </c>
      <c r="B397" s="1300"/>
    </row>
    <row r="398" spans="1:3" x14ac:dyDescent="0.2">
      <c r="A398" s="1293">
        <v>39629</v>
      </c>
      <c r="B398" s="1300"/>
    </row>
    <row r="399" spans="1:3" x14ac:dyDescent="0.2">
      <c r="A399" s="1293">
        <v>39660</v>
      </c>
      <c r="B399" s="1300"/>
      <c r="C399" s="1299"/>
    </row>
    <row r="400" spans="1:3" x14ac:dyDescent="0.2">
      <c r="A400" s="1293">
        <v>39691</v>
      </c>
      <c r="B400" s="1300"/>
      <c r="C400" s="1299"/>
    </row>
    <row r="401" spans="1:7" x14ac:dyDescent="0.2">
      <c r="A401" s="1293">
        <v>39721</v>
      </c>
      <c r="B401" s="1300"/>
      <c r="C401" s="1299"/>
    </row>
    <row r="402" spans="1:7" x14ac:dyDescent="0.2">
      <c r="A402" s="1293">
        <v>39752</v>
      </c>
      <c r="B402" s="1300"/>
    </row>
    <row r="403" spans="1:7" x14ac:dyDescent="0.2">
      <c r="A403" s="1293">
        <v>39782</v>
      </c>
      <c r="B403" s="1300"/>
      <c r="G403" s="1301"/>
    </row>
    <row r="404" spans="1:7" x14ac:dyDescent="0.2">
      <c r="A404" s="1293">
        <v>39813</v>
      </c>
      <c r="B404" s="1300"/>
    </row>
    <row r="405" spans="1:7" x14ac:dyDescent="0.2">
      <c r="A405" s="1293">
        <v>39844</v>
      </c>
      <c r="B405" s="1300"/>
    </row>
    <row r="406" spans="1:7" x14ac:dyDescent="0.2">
      <c r="A406" s="1293">
        <v>39872</v>
      </c>
      <c r="B406" s="1300"/>
    </row>
    <row r="407" spans="1:7" x14ac:dyDescent="0.2">
      <c r="A407" s="1293">
        <v>39903</v>
      </c>
      <c r="B407" s="1300"/>
    </row>
    <row r="408" spans="1:7" x14ac:dyDescent="0.2">
      <c r="A408" s="1293">
        <v>39933</v>
      </c>
      <c r="B408" s="1300"/>
    </row>
    <row r="409" spans="1:7" x14ac:dyDescent="0.2">
      <c r="A409" s="1293">
        <v>39964</v>
      </c>
      <c r="B409" s="1300"/>
    </row>
    <row r="410" spans="1:7" x14ac:dyDescent="0.2">
      <c r="A410" s="1293">
        <v>39994</v>
      </c>
      <c r="B410" s="1300"/>
    </row>
    <row r="411" spans="1:7" x14ac:dyDescent="0.2">
      <c r="A411" s="1293">
        <v>40025</v>
      </c>
      <c r="B411" s="1300"/>
    </row>
    <row r="412" spans="1:7" x14ac:dyDescent="0.2">
      <c r="A412" s="1293">
        <v>40056</v>
      </c>
      <c r="B412" s="1300"/>
    </row>
    <row r="413" spans="1:7" x14ac:dyDescent="0.2">
      <c r="A413" s="1293">
        <v>40086</v>
      </c>
      <c r="B413" s="1300"/>
    </row>
    <row r="414" spans="1:7" x14ac:dyDescent="0.2">
      <c r="A414" s="1293">
        <v>40117</v>
      </c>
      <c r="B414" s="1300"/>
    </row>
    <row r="415" spans="1:7" x14ac:dyDescent="0.2">
      <c r="A415" s="1293">
        <v>40147</v>
      </c>
      <c r="B415" s="1300"/>
    </row>
    <row r="416" spans="1:7" x14ac:dyDescent="0.2">
      <c r="A416" s="1293">
        <v>40178</v>
      </c>
      <c r="B416" s="1300"/>
    </row>
    <row r="417" spans="1:7" x14ac:dyDescent="0.2">
      <c r="A417" s="1293">
        <v>40209</v>
      </c>
      <c r="B417" s="1300"/>
    </row>
    <row r="418" spans="1:7" x14ac:dyDescent="0.2">
      <c r="A418" s="1293">
        <v>40237</v>
      </c>
      <c r="B418" s="1300"/>
    </row>
    <row r="419" spans="1:7" x14ac:dyDescent="0.2">
      <c r="A419" s="1293">
        <v>40268</v>
      </c>
      <c r="B419" s="1300"/>
      <c r="C419" s="1334"/>
      <c r="D419" s="1311"/>
    </row>
    <row r="420" spans="1:7" x14ac:dyDescent="0.2">
      <c r="A420" s="1293">
        <v>40298</v>
      </c>
      <c r="B420" s="1300"/>
    </row>
    <row r="421" spans="1:7" x14ac:dyDescent="0.2">
      <c r="A421" s="1293">
        <v>40329</v>
      </c>
      <c r="B421" s="1300"/>
    </row>
    <row r="422" spans="1:7" x14ac:dyDescent="0.2">
      <c r="A422" s="1293">
        <v>40359</v>
      </c>
      <c r="B422" s="1300"/>
    </row>
    <row r="423" spans="1:7" x14ac:dyDescent="0.2">
      <c r="A423" s="1293">
        <v>40390</v>
      </c>
      <c r="B423" s="1300"/>
    </row>
    <row r="424" spans="1:7" x14ac:dyDescent="0.2">
      <c r="A424" s="1293">
        <v>40421</v>
      </c>
      <c r="B424" s="1300"/>
    </row>
    <row r="425" spans="1:7" x14ac:dyDescent="0.2">
      <c r="A425" s="1293">
        <v>40451</v>
      </c>
      <c r="B425" s="1300"/>
    </row>
    <row r="426" spans="1:7" x14ac:dyDescent="0.2">
      <c r="A426" s="1293">
        <v>40482</v>
      </c>
      <c r="B426" s="1300"/>
    </row>
    <row r="427" spans="1:7" x14ac:dyDescent="0.2">
      <c r="A427" s="1293">
        <v>40512</v>
      </c>
      <c r="B427" s="1300"/>
    </row>
    <row r="428" spans="1:7" x14ac:dyDescent="0.2">
      <c r="A428" s="1293">
        <v>40543</v>
      </c>
      <c r="B428" s="1300"/>
    </row>
    <row r="429" spans="1:7" x14ac:dyDescent="0.2">
      <c r="A429" s="1293">
        <v>40574</v>
      </c>
      <c r="B429" s="1300"/>
    </row>
    <row r="430" spans="1:7" x14ac:dyDescent="0.2">
      <c r="A430" s="1293">
        <v>40602</v>
      </c>
      <c r="B430" s="1300"/>
    </row>
    <row r="431" spans="1:7" x14ac:dyDescent="0.2">
      <c r="A431" s="1293">
        <v>40633</v>
      </c>
      <c r="B431" s="1300">
        <f>D431</f>
        <v>0</v>
      </c>
      <c r="C431" s="1307">
        <v>195912973.75999999</v>
      </c>
      <c r="E431" s="1301">
        <f>B431-Index_Returns!AA431</f>
        <v>2.19591</v>
      </c>
    </row>
    <row r="432" spans="1:7" x14ac:dyDescent="0.2">
      <c r="A432" s="1293">
        <v>40663</v>
      </c>
      <c r="B432" s="1300">
        <f t="shared" ref="B432:B488" si="0">D432</f>
        <v>5.7339000000000002</v>
      </c>
      <c r="C432" s="1307">
        <v>207145375.61000001</v>
      </c>
      <c r="D432" s="1306">
        <v>5.7339000000000002</v>
      </c>
      <c r="E432" s="1301">
        <f>B432-Index_Returns!AA432</f>
        <v>-0.34242999999999935</v>
      </c>
      <c r="G432" s="1286"/>
    </row>
    <row r="433" spans="1:7" x14ac:dyDescent="0.2">
      <c r="A433" s="1293">
        <v>40694</v>
      </c>
      <c r="B433" s="1300">
        <f t="shared" si="0"/>
        <v>-1.8966000000000001</v>
      </c>
      <c r="C433" s="1307">
        <v>203273072.59999999</v>
      </c>
      <c r="D433" s="1306">
        <v>-1.8966000000000001</v>
      </c>
      <c r="E433" s="1301">
        <f>B433-Index_Returns!AA433</f>
        <v>0.90969999999999973</v>
      </c>
      <c r="G433" s="1286"/>
    </row>
    <row r="434" spans="1:7" x14ac:dyDescent="0.2">
      <c r="A434" s="1293">
        <v>40724</v>
      </c>
      <c r="B434" s="1300">
        <f t="shared" si="0"/>
        <v>-3.7993000000000001</v>
      </c>
      <c r="C434" s="1307">
        <v>195564843.61000001</v>
      </c>
      <c r="D434" s="1306">
        <v>-3.7993000000000001</v>
      </c>
      <c r="E434" s="1301">
        <f>B434-Index_Returns!AA434</f>
        <v>-2.5717400000000001</v>
      </c>
      <c r="G434" s="1286"/>
    </row>
    <row r="435" spans="1:7" x14ac:dyDescent="0.2">
      <c r="A435" s="1293">
        <v>40755</v>
      </c>
      <c r="B435" s="1300">
        <f t="shared" si="0"/>
        <v>-2.61</v>
      </c>
      <c r="C435" s="1307">
        <v>190802874.68000001</v>
      </c>
      <c r="D435" s="1306">
        <v>-2.61</v>
      </c>
      <c r="E435" s="1301">
        <f>B435-Index_Returns!AA435</f>
        <v>-1.0371599999999999</v>
      </c>
      <c r="G435" s="1286"/>
    </row>
    <row r="436" spans="1:7" x14ac:dyDescent="0.2">
      <c r="A436" s="1293">
        <v>40786</v>
      </c>
      <c r="B436" s="1300">
        <f t="shared" si="0"/>
        <v>-4.9143999999999997</v>
      </c>
      <c r="C436" s="1307">
        <v>181425967.03</v>
      </c>
      <c r="D436" s="1306">
        <v>-4.9143999999999997</v>
      </c>
      <c r="E436" s="1301">
        <f>B436-Index_Returns!AA436</f>
        <v>4.1032800000000007</v>
      </c>
      <c r="G436" s="1286"/>
    </row>
    <row r="437" spans="1:7" x14ac:dyDescent="0.2">
      <c r="A437" s="1293">
        <v>40816</v>
      </c>
      <c r="B437" s="1300">
        <f t="shared" si="0"/>
        <v>-8.1084999999999994</v>
      </c>
      <c r="C437" s="1307">
        <v>166715097.37</v>
      </c>
      <c r="D437" s="1306">
        <v>-8.1084999999999994</v>
      </c>
      <c r="E437" s="1301">
        <f>B437-Index_Returns!AA437</f>
        <v>1.3881800000000002</v>
      </c>
      <c r="G437" s="1286"/>
    </row>
    <row r="438" spans="1:7" x14ac:dyDescent="0.2">
      <c r="A438" s="1293">
        <v>40847</v>
      </c>
      <c r="B438" s="1300">
        <f t="shared" si="0"/>
        <v>4.8834</v>
      </c>
      <c r="C438" s="1307">
        <v>175175823.84</v>
      </c>
      <c r="D438" s="1306">
        <v>4.8834</v>
      </c>
      <c r="E438" s="1301">
        <f>B438-Index_Returns!AA438</f>
        <v>-4.7638999999999996</v>
      </c>
      <c r="G438" s="1286"/>
    </row>
    <row r="439" spans="1:7" x14ac:dyDescent="0.2">
      <c r="A439" s="1293">
        <v>40877</v>
      </c>
      <c r="B439" s="1300">
        <f t="shared" si="0"/>
        <v>-4.1013099999999998</v>
      </c>
      <c r="C439" s="1307">
        <v>167991319.21000001</v>
      </c>
      <c r="D439" s="1306">
        <v>-4.1013099999999998</v>
      </c>
      <c r="E439" s="1301">
        <f>B439-Index_Returns!AA439</f>
        <v>0.72374000000000027</v>
      </c>
      <c r="G439" s="1286"/>
    </row>
    <row r="440" spans="1:7" x14ac:dyDescent="0.2">
      <c r="A440" s="1293">
        <v>40908</v>
      </c>
      <c r="B440" s="1300">
        <f t="shared" si="0"/>
        <v>0.15543000000000001</v>
      </c>
      <c r="C440" s="1307">
        <v>168252431.78999999</v>
      </c>
      <c r="D440" s="1306">
        <v>0.15543000000000001</v>
      </c>
      <c r="E440" s="1301">
        <f>B440-Index_Returns!AA440</f>
        <v>1.0907100000000001</v>
      </c>
      <c r="G440" s="1286"/>
    </row>
    <row r="441" spans="1:7" x14ac:dyDescent="0.2">
      <c r="A441" s="345">
        <v>40939</v>
      </c>
      <c r="B441" s="1300">
        <f t="shared" si="0"/>
        <v>3.9372199999999999</v>
      </c>
      <c r="C441" s="1307">
        <v>174876895.94999999</v>
      </c>
      <c r="D441" s="1306">
        <v>3.9372199999999999</v>
      </c>
      <c r="E441" s="1301">
        <f>B441-Index_Returns!AA441</f>
        <v>-1.4158499999999998</v>
      </c>
      <c r="G441" s="1286"/>
    </row>
    <row r="442" spans="1:7" x14ac:dyDescent="0.2">
      <c r="A442" s="345">
        <v>40968</v>
      </c>
      <c r="B442" s="1300">
        <f t="shared" si="0"/>
        <v>8.1043699999999994</v>
      </c>
      <c r="C442" s="1307">
        <v>189382449.38</v>
      </c>
      <c r="D442" s="1306">
        <v>8.1043699999999994</v>
      </c>
      <c r="E442" s="1301">
        <f>B442-Index_Returns!AA442</f>
        <v>2.3356899999999996</v>
      </c>
      <c r="G442" s="1286"/>
    </row>
    <row r="443" spans="1:7" x14ac:dyDescent="0.2">
      <c r="A443" s="345">
        <v>40999</v>
      </c>
      <c r="B443" s="1300">
        <f t="shared" si="0"/>
        <v>0.14702999999999999</v>
      </c>
      <c r="C443" s="1307">
        <v>189660813.28999999</v>
      </c>
      <c r="D443" s="1306">
        <v>0.14702999999999999</v>
      </c>
      <c r="E443" s="1301">
        <f>B443-Index_Returns!AA443</f>
        <v>0.55127999999999999</v>
      </c>
      <c r="G443" s="1286"/>
    </row>
    <row r="444" spans="1:7" x14ac:dyDescent="0.2">
      <c r="A444" s="345">
        <v>41029</v>
      </c>
      <c r="B444" s="1300">
        <f t="shared" si="0"/>
        <v>-0.3866</v>
      </c>
      <c r="C444" s="1307">
        <v>189289995.44</v>
      </c>
      <c r="D444" s="1306">
        <v>-0.3866</v>
      </c>
      <c r="E444" s="1301">
        <f>B444-Index_Returns!AA444</f>
        <v>1.4553700000000001</v>
      </c>
      <c r="G444" s="1286"/>
    </row>
    <row r="445" spans="1:7" x14ac:dyDescent="0.2">
      <c r="A445" s="345">
        <v>41060</v>
      </c>
      <c r="B445" s="1300">
        <f t="shared" si="0"/>
        <v>-10.270849999999999</v>
      </c>
      <c r="C445" s="1307">
        <v>169848310.86000001</v>
      </c>
      <c r="D445" s="1306">
        <v>-10.270849999999999</v>
      </c>
      <c r="E445" s="1301">
        <f>B445-Index_Returns!AA445</f>
        <v>1.0823300000000007</v>
      </c>
      <c r="G445" s="1286"/>
    </row>
    <row r="446" spans="1:7" x14ac:dyDescent="0.2">
      <c r="A446" s="345">
        <v>41090</v>
      </c>
      <c r="B446" s="1300">
        <f t="shared" si="0"/>
        <v>3.0952999999999999</v>
      </c>
      <c r="C446" s="1307">
        <v>175105619.81</v>
      </c>
      <c r="D446" s="1306">
        <v>3.0952999999999999</v>
      </c>
      <c r="E446" s="1301">
        <f>B446-Index_Returns!AA446</f>
        <v>-3.9542999999999999</v>
      </c>
      <c r="G446" s="1286"/>
    </row>
    <row r="447" spans="1:7" x14ac:dyDescent="0.2">
      <c r="A447" s="345">
        <v>41121</v>
      </c>
      <c r="B447" s="1300">
        <f t="shared" si="0"/>
        <v>1.73245</v>
      </c>
      <c r="C447" s="1307">
        <v>177943271.09999999</v>
      </c>
      <c r="D447" s="1306">
        <v>1.73245</v>
      </c>
      <c r="E447" s="1301">
        <f>B447-Index_Returns!AA447</f>
        <v>0.58617000000000008</v>
      </c>
      <c r="G447" s="1286"/>
    </row>
    <row r="448" spans="1:7" x14ac:dyDescent="0.2">
      <c r="A448" s="345">
        <v>41152</v>
      </c>
      <c r="B448" s="1300">
        <f t="shared" si="0"/>
        <v>3.5533000000000001</v>
      </c>
      <c r="C448" s="1307">
        <v>184806634.21000001</v>
      </c>
      <c r="D448" s="1306">
        <v>3.5533000000000001</v>
      </c>
      <c r="E448" s="1301">
        <f>B448-Index_Returns!AA448</f>
        <v>0.85702999999999996</v>
      </c>
      <c r="G448" s="1286"/>
    </row>
    <row r="449" spans="1:7" x14ac:dyDescent="0.2">
      <c r="A449" s="345">
        <v>41182</v>
      </c>
      <c r="B449" s="1300">
        <f t="shared" si="0"/>
        <v>6.7862799999999996</v>
      </c>
      <c r="C449" s="1307">
        <v>197460837.11000001</v>
      </c>
      <c r="D449" s="1306">
        <v>6.7862799999999996</v>
      </c>
      <c r="E449" s="1301">
        <f>B449-Index_Returns!AA449</f>
        <v>3.7928799999999998</v>
      </c>
      <c r="G449" s="1286"/>
    </row>
    <row r="450" spans="1:7" x14ac:dyDescent="0.2">
      <c r="A450" s="345">
        <v>41213</v>
      </c>
      <c r="B450" s="1300">
        <f t="shared" si="0"/>
        <v>1.5763799999999999</v>
      </c>
      <c r="C450" s="1307">
        <v>200824626.81</v>
      </c>
      <c r="D450" s="1306">
        <v>1.5763799999999999</v>
      </c>
      <c r="E450" s="1301">
        <f>B450-Index_Returns!AA450</f>
        <v>0.73622999999999994</v>
      </c>
      <c r="G450" s="1286"/>
    </row>
    <row r="451" spans="1:7" x14ac:dyDescent="0.2">
      <c r="A451" s="345">
        <v>41243</v>
      </c>
      <c r="B451" s="1300">
        <f t="shared" si="0"/>
        <v>2.3814000000000002</v>
      </c>
      <c r="C451" s="1307">
        <v>205607067.81</v>
      </c>
      <c r="D451" s="1306">
        <v>2.3814000000000002</v>
      </c>
      <c r="E451" s="1301">
        <f>B451-Index_Returns!AA451</f>
        <v>-4.4719999999999871E-2</v>
      </c>
      <c r="G451" s="1286"/>
    </row>
    <row r="452" spans="1:7" x14ac:dyDescent="0.2">
      <c r="A452" s="345">
        <v>41274</v>
      </c>
      <c r="B452" s="1300">
        <f t="shared" si="0"/>
        <v>4.5543899999999997</v>
      </c>
      <c r="C452" s="1307">
        <v>214971219.72</v>
      </c>
      <c r="D452" s="1306">
        <v>4.5543899999999997</v>
      </c>
      <c r="E452" s="1301">
        <f>B452-Index_Returns!AA452</f>
        <v>1.3425799999999999</v>
      </c>
      <c r="G452" s="1286"/>
    </row>
    <row r="453" spans="1:7" x14ac:dyDescent="0.2">
      <c r="A453" s="345">
        <v>41305</v>
      </c>
      <c r="B453" s="1300">
        <f t="shared" si="0"/>
        <v>5.2130299999999998</v>
      </c>
      <c r="C453" s="1307">
        <v>226581864.40000001</v>
      </c>
      <c r="D453" s="1306">
        <v>5.2130299999999998</v>
      </c>
      <c r="E453" s="1301">
        <f>B453-Index_Returns!AA453</f>
        <v>-7.9430000000000334E-2</v>
      </c>
      <c r="G453" s="1286"/>
    </row>
    <row r="454" spans="1:7" x14ac:dyDescent="0.2">
      <c r="A454" s="345">
        <v>41333</v>
      </c>
      <c r="B454" s="1300">
        <f t="shared" si="0"/>
        <v>0.94198999999999999</v>
      </c>
      <c r="C454" s="1307">
        <v>228552789.30000001</v>
      </c>
      <c r="D454" s="1306">
        <v>0.94198999999999999</v>
      </c>
      <c r="E454" s="1301">
        <f>B454-Index_Returns!AA454</f>
        <v>1.86547</v>
      </c>
      <c r="G454" s="1286"/>
    </row>
    <row r="455" spans="1:7" x14ac:dyDescent="0.2">
      <c r="A455" s="345">
        <v>41364</v>
      </c>
      <c r="B455" s="1300">
        <f t="shared" si="0"/>
        <v>0.36620000000000003</v>
      </c>
      <c r="C455" s="1307">
        <v>329610264.38999999</v>
      </c>
      <c r="D455" s="1306">
        <v>0.36620000000000003</v>
      </c>
      <c r="E455" s="1301">
        <f>B455-Index_Returns!AA455</f>
        <v>-0.50939000000000001</v>
      </c>
      <c r="G455" s="1286"/>
    </row>
    <row r="456" spans="1:7" x14ac:dyDescent="0.2">
      <c r="A456" s="345">
        <v>41394</v>
      </c>
      <c r="B456" s="1300">
        <f t="shared" si="0"/>
        <v>3.1953499999999999</v>
      </c>
      <c r="C456" s="1307">
        <v>340605438.54000002</v>
      </c>
      <c r="D456" s="1306">
        <v>3.1953499999999999</v>
      </c>
      <c r="E456" s="1301">
        <f>B456-Index_Returns!AA456</f>
        <v>-2.1350799999999999</v>
      </c>
      <c r="G456" s="1286"/>
    </row>
    <row r="457" spans="1:7" x14ac:dyDescent="0.2">
      <c r="A457" s="345">
        <v>41425</v>
      </c>
      <c r="B457" s="1300">
        <f t="shared" si="0"/>
        <v>0.15001</v>
      </c>
      <c r="C457" s="1307">
        <v>341116377.5</v>
      </c>
      <c r="D457" s="1306">
        <v>0.15001</v>
      </c>
      <c r="E457" s="1301">
        <f>B457-Index_Returns!AA457</f>
        <v>2.4556100000000001</v>
      </c>
      <c r="G457" s="1286"/>
    </row>
    <row r="458" spans="1:7" x14ac:dyDescent="0.2">
      <c r="A458" s="345">
        <v>41455</v>
      </c>
      <c r="B458" s="1300">
        <f t="shared" si="0"/>
        <v>-1.74282</v>
      </c>
      <c r="C458" s="1307">
        <v>335171321.47000003</v>
      </c>
      <c r="D458" s="1306">
        <v>-1.74282</v>
      </c>
      <c r="E458" s="1301">
        <f>B458-Index_Returns!AA458</f>
        <v>1.7865799999999998</v>
      </c>
      <c r="G458" s="1286"/>
    </row>
    <row r="459" spans="1:7" x14ac:dyDescent="0.2">
      <c r="A459" s="345">
        <v>41486</v>
      </c>
      <c r="B459" s="1300">
        <f t="shared" si="0"/>
        <v>8.6002799999999997</v>
      </c>
      <c r="C459" s="1307">
        <v>363994599.82999998</v>
      </c>
      <c r="D459" s="1306">
        <v>8.6002799999999997</v>
      </c>
      <c r="E459" s="1301">
        <f>B459-Index_Returns!AA459</f>
        <v>3.3158099999999999</v>
      </c>
      <c r="G459" s="1286"/>
    </row>
    <row r="460" spans="1:7" x14ac:dyDescent="0.2">
      <c r="A460" s="345">
        <v>41517</v>
      </c>
      <c r="B460" s="1300">
        <f t="shared" si="0"/>
        <v>1.03677</v>
      </c>
      <c r="C460" s="1307">
        <v>368234634.13999999</v>
      </c>
      <c r="D460" s="1306">
        <v>1.03677</v>
      </c>
      <c r="E460" s="1301">
        <f>B460-Index_Returns!AA460</f>
        <v>2.34876</v>
      </c>
      <c r="G460" s="1286"/>
    </row>
    <row r="461" spans="1:7" x14ac:dyDescent="0.2">
      <c r="A461" s="345">
        <v>41547</v>
      </c>
      <c r="B461" s="1300">
        <f t="shared" si="0"/>
        <v>7.11557</v>
      </c>
      <c r="C461" s="1307">
        <v>394436631.27999997</v>
      </c>
      <c r="D461" s="1306">
        <v>7.11557</v>
      </c>
      <c r="E461" s="1301">
        <f>B461-Index_Returns!AA461</f>
        <v>-0.30027999999999988</v>
      </c>
      <c r="G461" s="1286"/>
    </row>
    <row r="462" spans="1:7" x14ac:dyDescent="0.2">
      <c r="A462" s="345">
        <v>41578</v>
      </c>
      <c r="B462" s="1300">
        <f t="shared" si="0"/>
        <v>2.34294</v>
      </c>
      <c r="C462" s="1307">
        <v>404985275.51999998</v>
      </c>
      <c r="D462" s="1306">
        <v>2.34294</v>
      </c>
      <c r="E462" s="1301">
        <f>B462-Index_Returns!AA462</f>
        <v>-1.0211999999999999</v>
      </c>
    </row>
    <row r="463" spans="1:7" x14ac:dyDescent="0.2">
      <c r="A463" s="345">
        <v>41608</v>
      </c>
      <c r="B463" s="1300">
        <f t="shared" si="0"/>
        <v>0.66832999999999998</v>
      </c>
      <c r="C463" s="1307">
        <v>407691881.61000001</v>
      </c>
      <c r="D463" s="1306">
        <v>0.66832999999999998</v>
      </c>
      <c r="E463" s="1301">
        <f>B463-Index_Returns!AA463</f>
        <v>-0.11445000000000005</v>
      </c>
    </row>
    <row r="464" spans="1:7" x14ac:dyDescent="0.2">
      <c r="A464" s="345">
        <v>41639</v>
      </c>
      <c r="B464" s="1300">
        <f t="shared" si="0"/>
        <v>1.76423</v>
      </c>
      <c r="C464" s="1307">
        <v>414884518.64999998</v>
      </c>
      <c r="D464" s="1306">
        <v>1.76423</v>
      </c>
      <c r="E464" s="1301">
        <f>B464-Index_Returns!AA464</f>
        <v>0.25225999999999993</v>
      </c>
    </row>
    <row r="465" spans="1:5" x14ac:dyDescent="0.2">
      <c r="A465" s="345">
        <v>41670</v>
      </c>
      <c r="B465" s="1300">
        <f t="shared" si="0"/>
        <v>-4.5863800000000001</v>
      </c>
      <c r="C465" s="1307">
        <v>396570104.91000003</v>
      </c>
      <c r="D465" s="1306">
        <v>-4.5863800000000001</v>
      </c>
      <c r="E465" s="1301">
        <f>B465-Index_Returns!AA465</f>
        <v>-0.55979000000000045</v>
      </c>
    </row>
    <row r="466" spans="1:5" x14ac:dyDescent="0.2">
      <c r="A466" s="345">
        <v>41698</v>
      </c>
      <c r="B466" s="1300">
        <f t="shared" si="0"/>
        <v>5.9132300000000004</v>
      </c>
      <c r="C466" s="1307">
        <v>420020212.94</v>
      </c>
      <c r="D466" s="1306">
        <v>5.9132300000000004</v>
      </c>
      <c r="E466" s="1301">
        <f>B466-Index_Returns!AA466</f>
        <v>0.3540100000000006</v>
      </c>
    </row>
    <row r="467" spans="1:5" x14ac:dyDescent="0.2">
      <c r="A467" s="345">
        <v>41729</v>
      </c>
      <c r="B467" s="1300">
        <f t="shared" si="0"/>
        <v>-1.4019999999999999E-2</v>
      </c>
      <c r="C467" s="1307">
        <v>419961308.25999999</v>
      </c>
      <c r="D467" s="1306">
        <v>-1.4019999999999999E-2</v>
      </c>
      <c r="E467" s="1301">
        <f>B467-Index_Returns!AA467</f>
        <v>0.62334000000000001</v>
      </c>
    </row>
    <row r="468" spans="1:5" x14ac:dyDescent="0.2">
      <c r="A468" s="345">
        <v>41759</v>
      </c>
      <c r="B468" s="1300">
        <f t="shared" si="0"/>
        <v>-0.25884000000000001</v>
      </c>
      <c r="C468" s="1307">
        <v>419602399.06999999</v>
      </c>
      <c r="D468" s="1306">
        <v>-0.25884000000000001</v>
      </c>
      <c r="E468" s="1301">
        <f>B468-Index_Returns!AA468</f>
        <v>-1.70444</v>
      </c>
    </row>
    <row r="469" spans="1:5" x14ac:dyDescent="0.2">
      <c r="A469" s="345">
        <v>41790</v>
      </c>
      <c r="B469" s="1300">
        <f t="shared" si="0"/>
        <v>-0.88046999999999997</v>
      </c>
      <c r="C469" s="1307">
        <v>415907922.88999999</v>
      </c>
      <c r="D469" s="1306">
        <v>-0.88046999999999997</v>
      </c>
      <c r="E469" s="1301">
        <f>B469-Index_Returns!AA469</f>
        <v>-2.5045299999999999</v>
      </c>
    </row>
    <row r="470" spans="1:5" x14ac:dyDescent="0.2">
      <c r="A470" s="345">
        <v>41820</v>
      </c>
      <c r="B470" s="1300">
        <f t="shared" si="0"/>
        <v>2.4354300000000002</v>
      </c>
      <c r="C470" s="1307">
        <v>426037059.56</v>
      </c>
      <c r="D470" s="1306">
        <v>2.4354300000000002</v>
      </c>
      <c r="E470" s="1301">
        <f>B470-Index_Returns!AA470</f>
        <v>1.4712400000000003</v>
      </c>
    </row>
    <row r="471" spans="1:5" x14ac:dyDescent="0.2">
      <c r="A471" s="345">
        <v>41851</v>
      </c>
      <c r="B471" s="1300">
        <f t="shared" si="0"/>
        <v>-4.9006499999999997</v>
      </c>
      <c r="C471" s="1307">
        <v>405158496.22000003</v>
      </c>
      <c r="D471" s="1306">
        <v>-4.9006499999999997</v>
      </c>
      <c r="E471" s="1301">
        <f>B471-Index_Returns!AA471</f>
        <v>-2.9353599999999997</v>
      </c>
    </row>
    <row r="472" spans="1:5" x14ac:dyDescent="0.2">
      <c r="A472" s="345">
        <v>41882</v>
      </c>
      <c r="B472" s="1300">
        <f t="shared" si="0"/>
        <v>0.71262000000000003</v>
      </c>
      <c r="C472" s="1307">
        <v>408795582.81</v>
      </c>
      <c r="D472" s="1306">
        <v>0.71262000000000003</v>
      </c>
      <c r="E472" s="1301">
        <f>B472-Index_Returns!AA472</f>
        <v>0.8664400000000001</v>
      </c>
    </row>
    <row r="473" spans="1:5" x14ac:dyDescent="0.2">
      <c r="A473" s="345">
        <v>41912</v>
      </c>
      <c r="B473" s="1300">
        <f t="shared" si="0"/>
        <v>0</v>
      </c>
      <c r="E473" s="1301">
        <f>B473-Index_Returns!AA473</f>
        <v>0</v>
      </c>
    </row>
    <row r="474" spans="1:5" x14ac:dyDescent="0.2">
      <c r="A474" s="345">
        <v>41943</v>
      </c>
      <c r="B474" s="1300">
        <f t="shared" si="0"/>
        <v>0</v>
      </c>
      <c r="E474" s="1301">
        <f>B474-Index_Returns!AA474</f>
        <v>0</v>
      </c>
    </row>
    <row r="475" spans="1:5" x14ac:dyDescent="0.2">
      <c r="A475" s="345">
        <v>41973</v>
      </c>
      <c r="B475" s="1300">
        <f t="shared" si="0"/>
        <v>0</v>
      </c>
      <c r="E475" s="1301">
        <f>B475-Index_Returns!AA475</f>
        <v>0</v>
      </c>
    </row>
    <row r="476" spans="1:5" x14ac:dyDescent="0.2">
      <c r="A476" s="345">
        <v>42004</v>
      </c>
      <c r="B476" s="1300">
        <f t="shared" si="0"/>
        <v>0</v>
      </c>
      <c r="E476" s="1301">
        <f>B476-Index_Returns!AA476</f>
        <v>0</v>
      </c>
    </row>
    <row r="477" spans="1:5" x14ac:dyDescent="0.2">
      <c r="A477" s="345">
        <v>42035</v>
      </c>
      <c r="B477" s="1300">
        <f t="shared" si="0"/>
        <v>0</v>
      </c>
      <c r="E477" s="1301">
        <f>B477-Index_Returns!AA477</f>
        <v>0</v>
      </c>
    </row>
    <row r="478" spans="1:5" x14ac:dyDescent="0.2">
      <c r="A478" s="345">
        <v>42063</v>
      </c>
      <c r="B478" s="1300">
        <f t="shared" si="0"/>
        <v>0</v>
      </c>
      <c r="E478" s="1301">
        <f>B478-Index_Returns!AA478</f>
        <v>0</v>
      </c>
    </row>
    <row r="479" spans="1:5" x14ac:dyDescent="0.2">
      <c r="A479" s="345">
        <v>42094</v>
      </c>
      <c r="B479" s="1300">
        <f t="shared" si="0"/>
        <v>0</v>
      </c>
      <c r="E479" s="1301">
        <f>B479-Index_Returns!AA479</f>
        <v>0</v>
      </c>
    </row>
    <row r="480" spans="1:5" x14ac:dyDescent="0.2">
      <c r="A480" s="345">
        <v>42124</v>
      </c>
      <c r="B480" s="1300">
        <f t="shared" si="0"/>
        <v>0</v>
      </c>
      <c r="E480" s="1301">
        <f>B480-Index_Returns!AA480</f>
        <v>0</v>
      </c>
    </row>
    <row r="481" spans="1:5" x14ac:dyDescent="0.2">
      <c r="A481" s="345">
        <v>42155</v>
      </c>
      <c r="B481" s="1300">
        <f t="shared" si="0"/>
        <v>0</v>
      </c>
      <c r="E481" s="1301">
        <f>B481-Index_Returns!AA481</f>
        <v>0</v>
      </c>
    </row>
    <row r="482" spans="1:5" x14ac:dyDescent="0.2">
      <c r="A482" s="345">
        <v>42185</v>
      </c>
      <c r="B482" s="1300">
        <f t="shared" si="0"/>
        <v>0</v>
      </c>
      <c r="E482" s="1301">
        <f>B482-Index_Returns!AA482</f>
        <v>0</v>
      </c>
    </row>
    <row r="483" spans="1:5" x14ac:dyDescent="0.2">
      <c r="A483" s="345">
        <v>42216</v>
      </c>
      <c r="B483" s="1300">
        <f t="shared" si="0"/>
        <v>0</v>
      </c>
      <c r="E483" s="1301">
        <f>B483-Index_Returns!AA483</f>
        <v>0</v>
      </c>
    </row>
    <row r="484" spans="1:5" x14ac:dyDescent="0.2">
      <c r="A484" s="345">
        <v>42247</v>
      </c>
      <c r="B484" s="1300">
        <f t="shared" si="0"/>
        <v>0</v>
      </c>
      <c r="E484" s="1301">
        <f>B484-Index_Returns!AA484</f>
        <v>0</v>
      </c>
    </row>
    <row r="485" spans="1:5" x14ac:dyDescent="0.2">
      <c r="A485" s="345">
        <v>42277</v>
      </c>
      <c r="B485" s="1300">
        <f t="shared" si="0"/>
        <v>0</v>
      </c>
      <c r="E485" s="1301">
        <f>B485-Index_Returns!AA485</f>
        <v>0</v>
      </c>
    </row>
    <row r="486" spans="1:5" x14ac:dyDescent="0.2">
      <c r="A486" s="345">
        <v>42308</v>
      </c>
      <c r="B486" s="1300">
        <f t="shared" si="0"/>
        <v>0</v>
      </c>
      <c r="E486" s="1301">
        <f>B486-Index_Returns!AA486</f>
        <v>0</v>
      </c>
    </row>
    <row r="487" spans="1:5" x14ac:dyDescent="0.2">
      <c r="A487" s="345">
        <v>42338</v>
      </c>
      <c r="B487" s="1300">
        <f t="shared" si="0"/>
        <v>0</v>
      </c>
      <c r="E487" s="1301">
        <f>B487-Index_Returns!AA487</f>
        <v>0</v>
      </c>
    </row>
    <row r="488" spans="1:5" x14ac:dyDescent="0.2">
      <c r="A488" s="345">
        <v>42369</v>
      </c>
      <c r="B488" s="1300">
        <f t="shared" si="0"/>
        <v>0</v>
      </c>
      <c r="E488" s="1301">
        <f>B488-Index_Returns!AA488</f>
        <v>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I488"/>
  <sheetViews>
    <sheetView workbookViewId="0">
      <pane xSplit="1" ySplit="2" topLeftCell="B446" activePane="bottomRight" state="frozen"/>
      <selection activeCell="E452" sqref="E452:E464"/>
      <selection pane="topRight" activeCell="E452" sqref="E452:E464"/>
      <selection pane="bottomLeft" activeCell="E452" sqref="E452:E464"/>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5" width="18.7109375" style="258" customWidth="1"/>
    <col min="6" max="6" width="12.42578125" bestFit="1" customWidth="1"/>
    <col min="7" max="7" width="13.85546875" style="352" bestFit="1" customWidth="1"/>
    <col min="8" max="9" width="9.140625" style="14"/>
  </cols>
  <sheetData>
    <row r="1" spans="1:6" x14ac:dyDescent="0.2">
      <c r="A1" s="265" t="s">
        <v>183</v>
      </c>
      <c r="B1" s="1377" t="s">
        <v>498</v>
      </c>
      <c r="C1" s="1381" t="s">
        <v>180</v>
      </c>
      <c r="D1" s="1370">
        <f>Fees!F225</f>
        <v>68.346860336972284</v>
      </c>
      <c r="E1" s="74" t="s">
        <v>81</v>
      </c>
      <c r="F1" s="1451" t="s">
        <v>772</v>
      </c>
    </row>
    <row r="2" spans="1:6" x14ac:dyDescent="0.2">
      <c r="A2" s="3" t="s">
        <v>27</v>
      </c>
      <c r="B2" s="71" t="s">
        <v>91</v>
      </c>
      <c r="C2" s="226" t="s">
        <v>92</v>
      </c>
      <c r="D2" s="71" t="s">
        <v>90</v>
      </c>
      <c r="E2" s="71" t="s">
        <v>80</v>
      </c>
    </row>
    <row r="3" spans="1:6" x14ac:dyDescent="0.2">
      <c r="A3" s="345">
        <v>27606</v>
      </c>
      <c r="B3" s="71"/>
      <c r="C3" s="226"/>
      <c r="D3" s="71"/>
      <c r="E3" s="71"/>
    </row>
    <row r="4" spans="1:6" x14ac:dyDescent="0.2">
      <c r="A4" s="345">
        <v>27637</v>
      </c>
      <c r="B4" s="71"/>
      <c r="C4" s="226"/>
      <c r="D4" s="71"/>
      <c r="E4" s="71"/>
    </row>
    <row r="5" spans="1:6" x14ac:dyDescent="0.2">
      <c r="A5" s="345">
        <v>27667</v>
      </c>
      <c r="B5" s="71"/>
      <c r="C5" s="226"/>
      <c r="D5" s="71"/>
      <c r="E5" s="71"/>
    </row>
    <row r="6" spans="1:6" x14ac:dyDescent="0.2">
      <c r="A6" s="345">
        <v>27698</v>
      </c>
      <c r="B6" s="71"/>
      <c r="C6" s="226"/>
      <c r="D6" s="71"/>
      <c r="E6" s="71"/>
    </row>
    <row r="7" spans="1:6" x14ac:dyDescent="0.2">
      <c r="A7" s="345">
        <v>27728</v>
      </c>
      <c r="B7" s="71"/>
      <c r="C7" s="226"/>
      <c r="D7" s="71"/>
      <c r="E7" s="71"/>
    </row>
    <row r="8" spans="1:6" x14ac:dyDescent="0.2">
      <c r="A8" s="345">
        <v>27759</v>
      </c>
      <c r="B8" s="71"/>
      <c r="C8" s="226"/>
      <c r="D8" s="71"/>
      <c r="E8" s="71"/>
    </row>
    <row r="9" spans="1:6" x14ac:dyDescent="0.2">
      <c r="A9" s="345">
        <v>27790</v>
      </c>
      <c r="B9" s="71"/>
      <c r="C9" s="226"/>
      <c r="D9" s="71"/>
      <c r="E9" s="71"/>
    </row>
    <row r="10" spans="1:6" x14ac:dyDescent="0.2">
      <c r="A10" s="345">
        <v>27819</v>
      </c>
      <c r="B10" s="71"/>
      <c r="C10" s="226"/>
      <c r="D10" s="71"/>
      <c r="E10" s="71"/>
    </row>
    <row r="11" spans="1:6" x14ac:dyDescent="0.2">
      <c r="A11" s="345">
        <v>27850</v>
      </c>
      <c r="B11" s="71"/>
      <c r="C11" s="226"/>
      <c r="D11" s="71"/>
      <c r="E11" s="71"/>
    </row>
    <row r="12" spans="1:6" x14ac:dyDescent="0.2">
      <c r="A12" s="345">
        <v>27880</v>
      </c>
      <c r="B12" s="71"/>
      <c r="C12" s="226"/>
      <c r="D12" s="71"/>
      <c r="E12" s="71"/>
    </row>
    <row r="13" spans="1:6" x14ac:dyDescent="0.2">
      <c r="A13" s="345">
        <v>27911</v>
      </c>
      <c r="B13" s="71"/>
      <c r="C13" s="226"/>
      <c r="D13" s="71"/>
      <c r="E13" s="71"/>
    </row>
    <row r="14" spans="1:6" x14ac:dyDescent="0.2">
      <c r="A14" s="345">
        <v>27941</v>
      </c>
      <c r="B14" s="71"/>
      <c r="C14" s="226"/>
      <c r="D14" s="71"/>
      <c r="E14" s="71"/>
    </row>
    <row r="15" spans="1:6" x14ac:dyDescent="0.2">
      <c r="A15" s="345">
        <v>27972</v>
      </c>
      <c r="B15" s="71"/>
      <c r="C15" s="226"/>
      <c r="D15" s="71"/>
      <c r="E15" s="71"/>
    </row>
    <row r="16" spans="1:6"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row>
    <row r="142" spans="1:5" x14ac:dyDescent="0.2">
      <c r="A142" s="345">
        <v>31836</v>
      </c>
      <c r="B142" s="73"/>
      <c r="C142" s="25"/>
      <c r="D142" s="73"/>
    </row>
    <row r="143" spans="1:5" x14ac:dyDescent="0.2">
      <c r="A143" s="345">
        <v>31867</v>
      </c>
      <c r="B143" s="73"/>
      <c r="C143" s="25"/>
      <c r="D143" s="73"/>
    </row>
    <row r="144" spans="1:5" x14ac:dyDescent="0.2">
      <c r="A144" s="345">
        <v>31897</v>
      </c>
      <c r="B144" s="73"/>
      <c r="C144" s="25"/>
      <c r="D144" s="73"/>
    </row>
    <row r="145" spans="1:4" x14ac:dyDescent="0.2">
      <c r="A145" s="345">
        <v>31928</v>
      </c>
      <c r="B145" s="73"/>
      <c r="C145" s="25"/>
      <c r="D145" s="73"/>
    </row>
    <row r="146" spans="1:4" x14ac:dyDescent="0.2">
      <c r="A146" s="345">
        <v>31958</v>
      </c>
      <c r="B146" s="73"/>
      <c r="C146" s="25"/>
      <c r="D146" s="73"/>
    </row>
    <row r="147" spans="1:4" x14ac:dyDescent="0.2">
      <c r="A147" s="345">
        <v>31989</v>
      </c>
      <c r="B147" s="73"/>
      <c r="C147" s="25"/>
      <c r="D147" s="73"/>
    </row>
    <row r="148" spans="1:4" x14ac:dyDescent="0.2">
      <c r="A148" s="345">
        <v>32020</v>
      </c>
      <c r="B148" s="73"/>
      <c r="C148" s="25"/>
      <c r="D148" s="73"/>
    </row>
    <row r="149" spans="1:4" x14ac:dyDescent="0.2">
      <c r="A149" s="345">
        <v>32050</v>
      </c>
      <c r="B149" s="73"/>
      <c r="C149" s="25"/>
      <c r="D149" s="73"/>
    </row>
    <row r="150" spans="1:4" x14ac:dyDescent="0.2">
      <c r="A150" s="345">
        <v>32081</v>
      </c>
      <c r="B150" s="73"/>
      <c r="C150" s="25"/>
      <c r="D150" s="73"/>
    </row>
    <row r="151" spans="1:4" x14ac:dyDescent="0.2">
      <c r="A151" s="345">
        <v>32111</v>
      </c>
      <c r="B151" s="73"/>
      <c r="C151" s="25"/>
      <c r="D151" s="73"/>
    </row>
    <row r="152" spans="1:4" x14ac:dyDescent="0.2">
      <c r="A152" s="345">
        <v>32142</v>
      </c>
      <c r="B152" s="73"/>
      <c r="C152" s="25"/>
      <c r="D152" s="73"/>
    </row>
    <row r="153" spans="1:4" x14ac:dyDescent="0.2">
      <c r="A153" s="345">
        <v>32173</v>
      </c>
      <c r="B153" s="73"/>
      <c r="C153" s="25"/>
      <c r="D153" s="73"/>
    </row>
    <row r="154" spans="1:4" x14ac:dyDescent="0.2">
      <c r="A154" s="345">
        <v>32202</v>
      </c>
      <c r="B154" s="73"/>
      <c r="C154" s="25"/>
      <c r="D154" s="73"/>
    </row>
    <row r="155" spans="1:4" x14ac:dyDescent="0.2">
      <c r="A155" s="345">
        <v>32233</v>
      </c>
      <c r="B155" s="73"/>
      <c r="C155" s="25"/>
      <c r="D155" s="73"/>
    </row>
    <row r="156" spans="1:4" x14ac:dyDescent="0.2">
      <c r="A156" s="345">
        <v>32263</v>
      </c>
      <c r="B156" s="73"/>
      <c r="C156" s="25"/>
      <c r="D156" s="73"/>
    </row>
    <row r="157" spans="1:4" x14ac:dyDescent="0.2">
      <c r="A157" s="345">
        <v>32294</v>
      </c>
      <c r="B157" s="73"/>
      <c r="C157" s="25"/>
      <c r="D157" s="73"/>
    </row>
    <row r="158" spans="1:4" x14ac:dyDescent="0.2">
      <c r="A158" s="345">
        <v>32324</v>
      </c>
      <c r="B158" s="73"/>
      <c r="C158" s="25"/>
      <c r="D158" s="73"/>
    </row>
    <row r="159" spans="1:4" x14ac:dyDescent="0.2">
      <c r="A159" s="345">
        <v>32355</v>
      </c>
      <c r="B159" s="73"/>
      <c r="C159" s="25"/>
      <c r="D159" s="73"/>
    </row>
    <row r="160" spans="1:4" x14ac:dyDescent="0.2">
      <c r="A160" s="345">
        <v>32386</v>
      </c>
      <c r="B160" s="73"/>
      <c r="C160" s="25"/>
      <c r="D160" s="73"/>
    </row>
    <row r="161" spans="1:4" x14ac:dyDescent="0.2">
      <c r="A161" s="345">
        <v>32416</v>
      </c>
      <c r="B161" s="73"/>
      <c r="C161" s="25"/>
      <c r="D161" s="73"/>
    </row>
    <row r="162" spans="1:4" x14ac:dyDescent="0.2">
      <c r="A162" s="345">
        <v>32447</v>
      </c>
      <c r="B162" s="73"/>
      <c r="C162" s="25"/>
      <c r="D162" s="73"/>
    </row>
    <row r="163" spans="1:4" x14ac:dyDescent="0.2">
      <c r="A163" s="345">
        <v>32477</v>
      </c>
      <c r="B163" s="73"/>
      <c r="C163" s="25"/>
      <c r="D163" s="73"/>
    </row>
    <row r="164" spans="1:4" x14ac:dyDescent="0.2">
      <c r="A164" s="345">
        <v>32508</v>
      </c>
      <c r="B164" s="73"/>
      <c r="C164" s="25"/>
      <c r="D164" s="73"/>
    </row>
    <row r="165" spans="1:4" x14ac:dyDescent="0.2">
      <c r="A165" s="345">
        <v>32539</v>
      </c>
      <c r="B165" s="73"/>
      <c r="C165" s="25"/>
      <c r="D165" s="73"/>
    </row>
    <row r="166" spans="1:4" x14ac:dyDescent="0.2">
      <c r="A166" s="345">
        <v>32567</v>
      </c>
      <c r="B166" s="73"/>
      <c r="C166" s="25"/>
      <c r="D166" s="73"/>
    </row>
    <row r="167" spans="1:4" x14ac:dyDescent="0.2">
      <c r="A167" s="345">
        <v>32598</v>
      </c>
      <c r="B167" s="73"/>
      <c r="C167" s="25"/>
      <c r="D167" s="73"/>
    </row>
    <row r="168" spans="1:4" x14ac:dyDescent="0.2">
      <c r="A168" s="345">
        <v>32628</v>
      </c>
      <c r="B168" s="73"/>
      <c r="C168" s="25"/>
      <c r="D168" s="73"/>
    </row>
    <row r="169" spans="1:4" x14ac:dyDescent="0.2">
      <c r="A169" s="345">
        <v>32659</v>
      </c>
      <c r="B169" s="73"/>
      <c r="C169" s="25"/>
      <c r="D169" s="73"/>
    </row>
    <row r="170" spans="1:4" x14ac:dyDescent="0.2">
      <c r="A170" s="345">
        <v>32689</v>
      </c>
      <c r="B170" s="73"/>
      <c r="C170" s="25"/>
      <c r="D170" s="73"/>
    </row>
    <row r="171" spans="1:4" x14ac:dyDescent="0.2">
      <c r="A171" s="345">
        <v>32720</v>
      </c>
      <c r="B171" s="73"/>
      <c r="C171" s="25"/>
      <c r="D171" s="73"/>
    </row>
    <row r="172" spans="1:4" x14ac:dyDescent="0.2">
      <c r="A172" s="345">
        <v>32751</v>
      </c>
      <c r="B172" s="73"/>
      <c r="C172" s="25"/>
      <c r="D172" s="73"/>
    </row>
    <row r="173" spans="1:4" x14ac:dyDescent="0.2">
      <c r="A173" s="345">
        <v>32781</v>
      </c>
      <c r="B173" s="73"/>
      <c r="C173" s="25"/>
      <c r="D173" s="73"/>
    </row>
    <row r="174" spans="1:4" x14ac:dyDescent="0.2">
      <c r="A174" s="345">
        <v>32812</v>
      </c>
      <c r="B174" s="73"/>
      <c r="C174" s="25"/>
      <c r="D174" s="73"/>
    </row>
    <row r="175" spans="1:4" x14ac:dyDescent="0.2">
      <c r="A175" s="345">
        <v>32842</v>
      </c>
      <c r="B175" s="73"/>
      <c r="C175" s="25"/>
      <c r="D175" s="73"/>
    </row>
    <row r="176" spans="1:4" x14ac:dyDescent="0.2">
      <c r="A176" s="345">
        <v>32873</v>
      </c>
      <c r="B176" s="73"/>
      <c r="C176" s="25"/>
      <c r="D176" s="73"/>
    </row>
    <row r="177" spans="1:4" x14ac:dyDescent="0.2">
      <c r="A177" s="345">
        <v>32904</v>
      </c>
      <c r="B177" s="73"/>
      <c r="C177" s="25"/>
      <c r="D177" s="73"/>
    </row>
    <row r="178" spans="1:4" x14ac:dyDescent="0.2">
      <c r="A178" s="345">
        <v>32932</v>
      </c>
      <c r="B178" s="73"/>
      <c r="C178" s="25"/>
      <c r="D178" s="73"/>
    </row>
    <row r="179" spans="1:4" x14ac:dyDescent="0.2">
      <c r="A179" s="345">
        <v>32963</v>
      </c>
      <c r="B179" s="73"/>
      <c r="C179" s="25"/>
      <c r="D179" s="73"/>
    </row>
    <row r="180" spans="1:4" x14ac:dyDescent="0.2">
      <c r="A180" s="345">
        <v>32993</v>
      </c>
      <c r="B180" s="73"/>
      <c r="C180" s="25"/>
      <c r="D180" s="73"/>
    </row>
    <row r="181" spans="1:4" x14ac:dyDescent="0.2">
      <c r="A181" s="345">
        <v>33024</v>
      </c>
      <c r="B181" s="73"/>
      <c r="C181" s="25"/>
      <c r="D181" s="73"/>
    </row>
    <row r="182" spans="1:4" x14ac:dyDescent="0.2">
      <c r="A182" s="345">
        <v>33054</v>
      </c>
      <c r="B182" s="73"/>
      <c r="C182" s="25"/>
      <c r="D182" s="73"/>
    </row>
    <row r="183" spans="1:4" x14ac:dyDescent="0.2">
      <c r="A183" s="345">
        <v>33085</v>
      </c>
      <c r="B183" s="73"/>
      <c r="C183" s="25"/>
      <c r="D183" s="73"/>
    </row>
    <row r="184" spans="1:4" x14ac:dyDescent="0.2">
      <c r="A184" s="345">
        <v>33116</v>
      </c>
      <c r="B184" s="73"/>
      <c r="C184" s="25"/>
      <c r="D184" s="73"/>
    </row>
    <row r="185" spans="1:4" x14ac:dyDescent="0.2">
      <c r="A185" s="345">
        <v>33146</v>
      </c>
      <c r="B185" s="73"/>
      <c r="C185" s="25"/>
      <c r="D185" s="73"/>
    </row>
    <row r="186" spans="1:4" x14ac:dyDescent="0.2">
      <c r="A186" s="345">
        <v>33177</v>
      </c>
      <c r="B186" s="73"/>
      <c r="C186" s="25"/>
      <c r="D186" s="73"/>
    </row>
    <row r="187" spans="1:4" x14ac:dyDescent="0.2">
      <c r="A187" s="345">
        <v>33207</v>
      </c>
      <c r="B187" s="73"/>
      <c r="C187" s="25"/>
      <c r="D187" s="73"/>
    </row>
    <row r="188" spans="1:4" x14ac:dyDescent="0.2">
      <c r="A188" s="345">
        <v>33238</v>
      </c>
      <c r="B188" s="73"/>
      <c r="C188" s="25"/>
      <c r="D188" s="73"/>
    </row>
    <row r="189" spans="1:4" x14ac:dyDescent="0.2">
      <c r="A189" s="345">
        <v>33269</v>
      </c>
      <c r="B189" s="73"/>
      <c r="C189" s="25"/>
      <c r="D189" s="73"/>
    </row>
    <row r="190" spans="1:4" x14ac:dyDescent="0.2">
      <c r="A190" s="345">
        <v>33297</v>
      </c>
      <c r="B190" s="73"/>
      <c r="C190" s="25"/>
      <c r="D190" s="73"/>
    </row>
    <row r="191" spans="1:4" x14ac:dyDescent="0.2">
      <c r="A191" s="345">
        <v>33328</v>
      </c>
      <c r="B191" s="73"/>
      <c r="C191" s="25"/>
      <c r="D191" s="73"/>
    </row>
    <row r="192" spans="1:4" x14ac:dyDescent="0.2">
      <c r="A192" s="345">
        <v>33358</v>
      </c>
      <c r="B192" s="73"/>
      <c r="C192" s="25"/>
      <c r="D192" s="73"/>
    </row>
    <row r="193" spans="1:4" x14ac:dyDescent="0.2">
      <c r="A193" s="345">
        <v>33389</v>
      </c>
      <c r="B193" s="73"/>
      <c r="C193" s="25"/>
      <c r="D193" s="73"/>
    </row>
    <row r="194" spans="1:4" x14ac:dyDescent="0.2">
      <c r="A194" s="345">
        <v>33419</v>
      </c>
      <c r="B194" s="73"/>
      <c r="C194" s="25"/>
      <c r="D194" s="73"/>
    </row>
    <row r="195" spans="1:4" x14ac:dyDescent="0.2">
      <c r="A195" s="345">
        <v>33450</v>
      </c>
      <c r="B195" s="73"/>
      <c r="C195" s="25"/>
      <c r="D195" s="73"/>
    </row>
    <row r="196" spans="1:4" x14ac:dyDescent="0.2">
      <c r="A196" s="345">
        <v>33481</v>
      </c>
      <c r="B196" s="73"/>
      <c r="C196" s="25"/>
      <c r="D196" s="73"/>
    </row>
    <row r="197" spans="1:4" x14ac:dyDescent="0.2">
      <c r="A197" s="345">
        <v>33511</v>
      </c>
      <c r="B197" s="73"/>
      <c r="C197" s="25"/>
      <c r="D197" s="73"/>
    </row>
    <row r="198" spans="1:4" x14ac:dyDescent="0.2">
      <c r="A198" s="345">
        <v>33542</v>
      </c>
      <c r="B198" s="73"/>
      <c r="C198" s="25"/>
      <c r="D198" s="73"/>
    </row>
    <row r="199" spans="1:4" x14ac:dyDescent="0.2">
      <c r="A199" s="345">
        <v>33572</v>
      </c>
      <c r="B199" s="73"/>
      <c r="C199" s="25"/>
      <c r="D199" s="73"/>
    </row>
    <row r="200" spans="1:4" x14ac:dyDescent="0.2">
      <c r="A200" s="345">
        <v>33603</v>
      </c>
      <c r="B200" s="73"/>
      <c r="C200" s="25"/>
      <c r="D200" s="73"/>
    </row>
    <row r="201" spans="1:4" x14ac:dyDescent="0.2">
      <c r="A201" s="345">
        <v>33634</v>
      </c>
      <c r="B201" s="73"/>
      <c r="C201" s="25"/>
      <c r="D201" s="73"/>
    </row>
    <row r="202" spans="1:4" x14ac:dyDescent="0.2">
      <c r="A202" s="345">
        <v>33663</v>
      </c>
      <c r="B202" s="73"/>
      <c r="C202" s="25"/>
      <c r="D202" s="73"/>
    </row>
    <row r="203" spans="1:4" x14ac:dyDescent="0.2">
      <c r="A203" s="345">
        <v>33694</v>
      </c>
      <c r="B203" s="73"/>
      <c r="C203" s="25"/>
      <c r="D203" s="73"/>
    </row>
    <row r="204" spans="1:4" x14ac:dyDescent="0.2">
      <c r="A204" s="345">
        <v>33724</v>
      </c>
      <c r="B204" s="73"/>
      <c r="C204" s="25"/>
      <c r="D204" s="73"/>
    </row>
    <row r="205" spans="1:4" x14ac:dyDescent="0.2">
      <c r="A205" s="345">
        <v>33755</v>
      </c>
      <c r="B205" s="73"/>
      <c r="C205" s="25"/>
      <c r="D205" s="73"/>
    </row>
    <row r="206" spans="1:4" x14ac:dyDescent="0.2">
      <c r="A206" s="345">
        <v>33785</v>
      </c>
      <c r="B206" s="73"/>
      <c r="C206" s="25"/>
      <c r="D206" s="73"/>
    </row>
    <row r="207" spans="1:4" x14ac:dyDescent="0.2">
      <c r="A207" s="345">
        <v>33816</v>
      </c>
      <c r="B207" s="73"/>
      <c r="C207" s="25"/>
      <c r="D207" s="73"/>
    </row>
    <row r="208" spans="1:4" x14ac:dyDescent="0.2">
      <c r="A208" s="345">
        <v>33847</v>
      </c>
      <c r="B208" s="73"/>
      <c r="C208" s="25"/>
      <c r="D208" s="73"/>
    </row>
    <row r="209" spans="1:4" x14ac:dyDescent="0.2">
      <c r="A209" s="345">
        <v>33877</v>
      </c>
      <c r="B209" s="73"/>
      <c r="C209" s="25"/>
      <c r="D209" s="73"/>
    </row>
    <row r="210" spans="1:4" x14ac:dyDescent="0.2">
      <c r="A210" s="345">
        <v>33908</v>
      </c>
      <c r="B210" s="73"/>
      <c r="C210" s="25"/>
      <c r="D210" s="73"/>
    </row>
    <row r="211" spans="1:4" x14ac:dyDescent="0.2">
      <c r="A211" s="345">
        <v>33938</v>
      </c>
      <c r="B211" s="73"/>
      <c r="C211" s="25"/>
      <c r="D211" s="73"/>
    </row>
    <row r="212" spans="1:4" x14ac:dyDescent="0.2">
      <c r="A212" s="345">
        <v>33969</v>
      </c>
      <c r="B212" s="73"/>
      <c r="C212" s="25"/>
      <c r="D212" s="73"/>
    </row>
    <row r="213" spans="1:4" x14ac:dyDescent="0.2">
      <c r="A213" s="345">
        <v>34000</v>
      </c>
      <c r="B213" s="73"/>
      <c r="C213" s="25"/>
      <c r="D213" s="73"/>
    </row>
    <row r="214" spans="1:4" x14ac:dyDescent="0.2">
      <c r="A214" s="345">
        <v>34028</v>
      </c>
      <c r="B214" s="73"/>
      <c r="C214" s="25"/>
      <c r="D214" s="73"/>
    </row>
    <row r="215" spans="1:4" x14ac:dyDescent="0.2">
      <c r="A215" s="345">
        <v>34059</v>
      </c>
      <c r="B215" s="73"/>
      <c r="C215" s="25"/>
      <c r="D215" s="73"/>
    </row>
    <row r="216" spans="1:4" x14ac:dyDescent="0.2">
      <c r="A216" s="345">
        <v>34089</v>
      </c>
      <c r="B216" s="73"/>
      <c r="C216" s="25"/>
      <c r="D216" s="73"/>
    </row>
    <row r="217" spans="1:4" x14ac:dyDescent="0.2">
      <c r="A217" s="345">
        <v>34120</v>
      </c>
      <c r="B217" s="73"/>
      <c r="C217" s="25"/>
      <c r="D217" s="73"/>
    </row>
    <row r="218" spans="1:4" x14ac:dyDescent="0.2">
      <c r="A218" s="345">
        <v>34150</v>
      </c>
      <c r="B218" s="73"/>
      <c r="C218" s="25"/>
      <c r="D218" s="73"/>
    </row>
    <row r="219" spans="1:4" x14ac:dyDescent="0.2">
      <c r="A219" s="345">
        <v>34181</v>
      </c>
      <c r="B219" s="73"/>
      <c r="C219" s="25"/>
      <c r="D219" s="73"/>
    </row>
    <row r="220" spans="1:4" x14ac:dyDescent="0.2">
      <c r="A220" s="345">
        <v>34212</v>
      </c>
      <c r="B220" s="73"/>
      <c r="C220" s="25"/>
      <c r="D220" s="73"/>
    </row>
    <row r="221" spans="1:4" x14ac:dyDescent="0.2">
      <c r="A221" s="345">
        <v>34242</v>
      </c>
      <c r="B221" s="73"/>
      <c r="C221" s="25"/>
      <c r="D221" s="73"/>
    </row>
    <row r="222" spans="1:4" x14ac:dyDescent="0.2">
      <c r="A222" s="345">
        <v>34273</v>
      </c>
      <c r="B222" s="73"/>
      <c r="C222" s="25"/>
      <c r="D222" s="73"/>
    </row>
    <row r="223" spans="1:4" x14ac:dyDescent="0.2">
      <c r="A223" s="345">
        <v>34303</v>
      </c>
      <c r="B223" s="73"/>
      <c r="C223" s="25"/>
      <c r="D223" s="73"/>
    </row>
    <row r="224" spans="1:4" x14ac:dyDescent="0.2">
      <c r="A224" s="345">
        <v>34334</v>
      </c>
      <c r="B224" s="73"/>
      <c r="C224" s="25"/>
      <c r="D224" s="73"/>
    </row>
    <row r="225" spans="1:4" x14ac:dyDescent="0.2">
      <c r="A225" s="345">
        <v>34365</v>
      </c>
      <c r="B225" s="73"/>
      <c r="C225" s="25"/>
      <c r="D225" s="73"/>
    </row>
    <row r="226" spans="1:4" x14ac:dyDescent="0.2">
      <c r="A226" s="345">
        <v>34393</v>
      </c>
      <c r="B226" s="73"/>
      <c r="C226" s="25"/>
      <c r="D226" s="73"/>
    </row>
    <row r="227" spans="1:4" x14ac:dyDescent="0.2">
      <c r="A227" s="345">
        <v>34424</v>
      </c>
      <c r="B227" s="73"/>
      <c r="C227" s="25"/>
      <c r="D227" s="73"/>
    </row>
    <row r="228" spans="1:4" x14ac:dyDescent="0.2">
      <c r="A228" s="345">
        <v>34454</v>
      </c>
      <c r="B228" s="73"/>
      <c r="C228" s="25"/>
      <c r="D228" s="73"/>
    </row>
    <row r="229" spans="1:4" x14ac:dyDescent="0.2">
      <c r="A229" s="345">
        <v>34485</v>
      </c>
      <c r="B229" s="73"/>
      <c r="C229" s="25"/>
      <c r="D229" s="73"/>
    </row>
    <row r="230" spans="1:4" x14ac:dyDescent="0.2">
      <c r="A230" s="345">
        <v>34515</v>
      </c>
      <c r="B230" s="73"/>
      <c r="C230" s="25"/>
      <c r="D230" s="73"/>
    </row>
    <row r="231" spans="1:4" x14ac:dyDescent="0.2">
      <c r="A231" s="345">
        <v>34546</v>
      </c>
      <c r="B231" s="73"/>
      <c r="C231" s="25"/>
      <c r="D231" s="73"/>
    </row>
    <row r="232" spans="1:4" x14ac:dyDescent="0.2">
      <c r="A232" s="345">
        <v>34577</v>
      </c>
      <c r="B232" s="73"/>
      <c r="C232" s="25"/>
      <c r="D232" s="73"/>
    </row>
    <row r="233" spans="1:4" x14ac:dyDescent="0.2">
      <c r="A233" s="345">
        <v>34607</v>
      </c>
      <c r="B233" s="73"/>
      <c r="C233" s="25"/>
      <c r="D233" s="73"/>
    </row>
    <row r="234" spans="1:4" x14ac:dyDescent="0.2">
      <c r="A234" s="345">
        <v>34638</v>
      </c>
      <c r="B234" s="73"/>
      <c r="C234" s="25"/>
      <c r="D234" s="73"/>
    </row>
    <row r="235" spans="1:4" x14ac:dyDescent="0.2">
      <c r="A235" s="345">
        <v>34668</v>
      </c>
      <c r="B235" s="73"/>
      <c r="C235" s="25"/>
      <c r="D235" s="73"/>
    </row>
    <row r="236" spans="1:4" x14ac:dyDescent="0.2">
      <c r="A236" s="345">
        <v>34699</v>
      </c>
      <c r="B236" s="73"/>
      <c r="C236" s="25"/>
      <c r="D236" s="73"/>
    </row>
    <row r="237" spans="1:4" x14ac:dyDescent="0.2">
      <c r="A237" s="345">
        <v>34730</v>
      </c>
      <c r="B237" s="73"/>
      <c r="C237" s="25"/>
      <c r="D237" s="73"/>
    </row>
    <row r="238" spans="1:4" x14ac:dyDescent="0.2">
      <c r="A238" s="345">
        <v>34758</v>
      </c>
      <c r="B238" s="73"/>
      <c r="C238" s="25"/>
      <c r="D238" s="73"/>
    </row>
    <row r="239" spans="1:4" x14ac:dyDescent="0.2">
      <c r="A239" s="345">
        <v>34789</v>
      </c>
      <c r="B239" s="73"/>
      <c r="C239" s="25"/>
      <c r="D239" s="73"/>
    </row>
    <row r="240" spans="1:4" x14ac:dyDescent="0.2">
      <c r="A240" s="345">
        <v>34819</v>
      </c>
      <c r="B240" s="73"/>
      <c r="C240" s="25"/>
      <c r="D240" s="73"/>
    </row>
    <row r="241" spans="1:4" x14ac:dyDescent="0.2">
      <c r="A241" s="345">
        <v>34850</v>
      </c>
      <c r="B241" s="73"/>
      <c r="C241" s="25"/>
      <c r="D241" s="73"/>
    </row>
    <row r="242" spans="1:4" x14ac:dyDescent="0.2">
      <c r="A242" s="345">
        <v>34880</v>
      </c>
      <c r="B242" s="73"/>
      <c r="C242" s="25"/>
      <c r="D242" s="73"/>
    </row>
    <row r="243" spans="1:4" x14ac:dyDescent="0.2">
      <c r="A243" s="345">
        <v>34911</v>
      </c>
      <c r="B243" s="73"/>
      <c r="C243" s="25"/>
      <c r="D243" s="73"/>
    </row>
    <row r="244" spans="1:4" x14ac:dyDescent="0.2">
      <c r="A244" s="345">
        <v>34942</v>
      </c>
      <c r="B244" s="73"/>
      <c r="C244" s="25"/>
      <c r="D244" s="73"/>
    </row>
    <row r="245" spans="1:4" x14ac:dyDescent="0.2">
      <c r="A245" s="345">
        <v>34972</v>
      </c>
      <c r="B245" s="73"/>
      <c r="C245" s="25"/>
      <c r="D245" s="73"/>
    </row>
    <row r="246" spans="1:4" x14ac:dyDescent="0.2">
      <c r="A246" s="345">
        <v>35003</v>
      </c>
      <c r="B246" s="73"/>
      <c r="C246" s="25"/>
      <c r="D246" s="73"/>
    </row>
    <row r="247" spans="1:4" x14ac:dyDescent="0.2">
      <c r="A247" s="345">
        <v>35033</v>
      </c>
      <c r="B247" s="73"/>
      <c r="C247" s="25"/>
      <c r="D247" s="73"/>
    </row>
    <row r="248" spans="1:4" x14ac:dyDescent="0.2">
      <c r="A248" s="345">
        <v>35064</v>
      </c>
      <c r="B248" s="73"/>
      <c r="C248" s="25"/>
      <c r="D248" s="73"/>
    </row>
    <row r="249" spans="1:4" x14ac:dyDescent="0.2">
      <c r="A249" s="345">
        <v>35095</v>
      </c>
      <c r="B249" s="73"/>
      <c r="C249" s="25"/>
      <c r="D249" s="73"/>
    </row>
    <row r="250" spans="1:4" x14ac:dyDescent="0.2">
      <c r="A250" s="345">
        <v>35124</v>
      </c>
      <c r="B250" s="73"/>
      <c r="C250" s="25"/>
      <c r="D250" s="73"/>
    </row>
    <row r="251" spans="1:4" x14ac:dyDescent="0.2">
      <c r="A251" s="345">
        <v>35155</v>
      </c>
      <c r="B251" s="73"/>
      <c r="C251" s="25"/>
      <c r="D251" s="73"/>
    </row>
    <row r="252" spans="1:4" x14ac:dyDescent="0.2">
      <c r="A252" s="345">
        <v>35185</v>
      </c>
      <c r="B252" s="73"/>
      <c r="C252" s="25"/>
      <c r="D252" s="73"/>
    </row>
    <row r="253" spans="1:4" x14ac:dyDescent="0.2">
      <c r="A253" s="345">
        <v>35216</v>
      </c>
      <c r="B253" s="73"/>
      <c r="C253" s="25"/>
      <c r="D253" s="73"/>
    </row>
    <row r="254" spans="1:4" x14ac:dyDescent="0.2">
      <c r="A254" s="345">
        <v>35246</v>
      </c>
      <c r="B254" s="73"/>
      <c r="C254" s="25"/>
      <c r="D254" s="73"/>
    </row>
    <row r="255" spans="1:4" x14ac:dyDescent="0.2">
      <c r="A255" s="345">
        <v>35277</v>
      </c>
      <c r="B255" s="73"/>
      <c r="C255" s="25"/>
      <c r="D255" s="73"/>
    </row>
    <row r="256" spans="1:4" x14ac:dyDescent="0.2">
      <c r="A256" s="345">
        <v>35308</v>
      </c>
      <c r="B256" s="73"/>
      <c r="C256" s="25"/>
      <c r="D256" s="73"/>
    </row>
    <row r="257" spans="1:4" x14ac:dyDescent="0.2">
      <c r="A257" s="345">
        <v>35338</v>
      </c>
      <c r="B257" s="73"/>
      <c r="C257" s="25"/>
      <c r="D257" s="73"/>
    </row>
    <row r="258" spans="1:4" x14ac:dyDescent="0.2">
      <c r="A258" s="345">
        <v>35369</v>
      </c>
      <c r="B258" s="73"/>
      <c r="C258" s="25"/>
      <c r="D258" s="73"/>
    </row>
    <row r="259" spans="1:4" x14ac:dyDescent="0.2">
      <c r="A259" s="345">
        <v>35399</v>
      </c>
      <c r="B259" s="73"/>
      <c r="C259" s="25"/>
      <c r="D259" s="73"/>
    </row>
    <row r="260" spans="1:4" x14ac:dyDescent="0.2">
      <c r="A260" s="345">
        <v>35430</v>
      </c>
      <c r="B260" s="73"/>
      <c r="C260" s="25"/>
      <c r="D260" s="73"/>
    </row>
    <row r="261" spans="1:4" x14ac:dyDescent="0.2">
      <c r="A261" s="345">
        <v>35461</v>
      </c>
      <c r="B261" s="73"/>
      <c r="C261" s="25"/>
      <c r="D261" s="73"/>
    </row>
    <row r="262" spans="1:4" x14ac:dyDescent="0.2">
      <c r="A262" s="345">
        <v>35489</v>
      </c>
      <c r="B262" s="73"/>
      <c r="C262" s="25"/>
      <c r="D262" s="73"/>
    </row>
    <row r="263" spans="1:4" x14ac:dyDescent="0.2">
      <c r="A263" s="345">
        <v>35520</v>
      </c>
      <c r="B263" s="73"/>
      <c r="C263" s="25"/>
      <c r="D263" s="73"/>
    </row>
    <row r="264" spans="1:4" x14ac:dyDescent="0.2">
      <c r="A264" s="345">
        <v>35550</v>
      </c>
      <c r="B264" s="73"/>
      <c r="C264" s="25"/>
      <c r="D264" s="73"/>
    </row>
    <row r="265" spans="1:4" x14ac:dyDescent="0.2">
      <c r="A265" s="345">
        <v>35581</v>
      </c>
      <c r="B265" s="73"/>
      <c r="C265" s="25"/>
      <c r="D265" s="73"/>
    </row>
    <row r="266" spans="1:4" x14ac:dyDescent="0.2">
      <c r="A266" s="345">
        <v>35611</v>
      </c>
      <c r="B266" s="73"/>
      <c r="C266" s="25"/>
      <c r="D266" s="73"/>
    </row>
    <row r="267" spans="1:4" x14ac:dyDescent="0.2">
      <c r="A267" s="345">
        <v>35642</v>
      </c>
      <c r="B267" s="73"/>
      <c r="C267" s="25"/>
      <c r="D267" s="73"/>
    </row>
    <row r="268" spans="1:4" x14ac:dyDescent="0.2">
      <c r="A268" s="345">
        <v>35673</v>
      </c>
      <c r="B268" s="73"/>
      <c r="C268" s="25"/>
      <c r="D268" s="73"/>
    </row>
    <row r="269" spans="1:4" x14ac:dyDescent="0.2">
      <c r="A269" s="345">
        <v>35703</v>
      </c>
      <c r="B269" s="73"/>
      <c r="C269" s="25"/>
      <c r="D269" s="73"/>
    </row>
    <row r="270" spans="1:4" x14ac:dyDescent="0.2">
      <c r="A270" s="345">
        <v>35734</v>
      </c>
      <c r="B270" s="73"/>
      <c r="C270" s="25"/>
      <c r="D270" s="73"/>
    </row>
    <row r="271" spans="1:4" x14ac:dyDescent="0.2">
      <c r="A271" s="345">
        <v>35764</v>
      </c>
      <c r="B271" s="73"/>
      <c r="C271" s="25"/>
      <c r="D271" s="73"/>
    </row>
    <row r="272" spans="1:4" x14ac:dyDescent="0.2">
      <c r="A272" s="345">
        <v>35795</v>
      </c>
      <c r="B272" s="73"/>
      <c r="C272" s="25"/>
      <c r="D272" s="73"/>
    </row>
    <row r="273" spans="1:4" x14ac:dyDescent="0.2">
      <c r="A273" s="345">
        <v>35826</v>
      </c>
      <c r="B273" s="73"/>
      <c r="C273" s="25"/>
      <c r="D273" s="73"/>
    </row>
    <row r="274" spans="1:4" x14ac:dyDescent="0.2">
      <c r="A274" s="345">
        <v>35854</v>
      </c>
      <c r="B274" s="73"/>
      <c r="C274" s="32"/>
      <c r="D274" s="73"/>
    </row>
    <row r="275" spans="1:4" x14ac:dyDescent="0.2">
      <c r="A275" s="345">
        <v>35885</v>
      </c>
      <c r="B275" s="73"/>
      <c r="C275" s="32"/>
      <c r="D275" s="73"/>
    </row>
    <row r="276" spans="1:4" x14ac:dyDescent="0.2">
      <c r="A276" s="345">
        <v>35915</v>
      </c>
      <c r="B276" s="73"/>
      <c r="C276" s="32"/>
      <c r="D276" s="73"/>
    </row>
    <row r="277" spans="1:4" x14ac:dyDescent="0.2">
      <c r="A277" s="345">
        <v>35946</v>
      </c>
      <c r="B277" s="73"/>
      <c r="C277" s="32"/>
      <c r="D277" s="73"/>
    </row>
    <row r="278" spans="1:4" x14ac:dyDescent="0.2">
      <c r="A278" s="345">
        <v>35976</v>
      </c>
      <c r="B278" s="73"/>
      <c r="C278" s="32"/>
      <c r="D278" s="73"/>
    </row>
    <row r="279" spans="1:4" x14ac:dyDescent="0.2">
      <c r="A279" s="345">
        <v>36007</v>
      </c>
      <c r="B279" s="73"/>
      <c r="C279" s="32"/>
      <c r="D279" s="73"/>
    </row>
    <row r="280" spans="1:4" x14ac:dyDescent="0.2">
      <c r="A280" s="345">
        <v>36038</v>
      </c>
      <c r="B280" s="73"/>
      <c r="C280" s="32"/>
      <c r="D280" s="73"/>
    </row>
    <row r="281" spans="1:4" x14ac:dyDescent="0.2">
      <c r="A281" s="345">
        <v>36068</v>
      </c>
      <c r="B281" s="77"/>
      <c r="C281" s="32"/>
      <c r="D281" s="73"/>
    </row>
    <row r="282" spans="1:4" x14ac:dyDescent="0.2">
      <c r="A282" s="345">
        <v>36099</v>
      </c>
      <c r="B282" s="253"/>
      <c r="C282" s="33"/>
      <c r="D282" s="253"/>
    </row>
    <row r="283" spans="1:4" x14ac:dyDescent="0.2">
      <c r="A283" s="345">
        <v>36129</v>
      </c>
      <c r="B283" s="253"/>
      <c r="C283" s="33"/>
      <c r="D283" s="253"/>
    </row>
    <row r="284" spans="1:4" x14ac:dyDescent="0.2">
      <c r="A284" s="345">
        <v>36160</v>
      </c>
      <c r="B284" s="253"/>
      <c r="C284" s="33"/>
      <c r="D284" s="253"/>
    </row>
    <row r="285" spans="1:4" x14ac:dyDescent="0.2">
      <c r="A285" s="345">
        <v>36191</v>
      </c>
      <c r="B285" s="253"/>
      <c r="C285" s="33"/>
      <c r="D285" s="253"/>
    </row>
    <row r="286" spans="1:4" x14ac:dyDescent="0.2">
      <c r="A286" s="345">
        <v>36219</v>
      </c>
      <c r="B286" s="253"/>
      <c r="C286" s="33"/>
      <c r="D286" s="253"/>
    </row>
    <row r="287" spans="1:4" x14ac:dyDescent="0.2">
      <c r="A287" s="345">
        <v>36250</v>
      </c>
      <c r="B287" s="253"/>
      <c r="C287" s="33"/>
      <c r="D287" s="253"/>
    </row>
    <row r="288" spans="1:4" x14ac:dyDescent="0.2">
      <c r="A288" s="345">
        <v>36280</v>
      </c>
      <c r="B288" s="253"/>
      <c r="C288" s="33"/>
      <c r="D288" s="253"/>
    </row>
    <row r="289" spans="1:4" x14ac:dyDescent="0.2">
      <c r="A289" s="345">
        <v>36311</v>
      </c>
      <c r="B289" s="253"/>
      <c r="C289" s="33"/>
      <c r="D289" s="253"/>
    </row>
    <row r="290" spans="1:4" x14ac:dyDescent="0.2">
      <c r="A290" s="345">
        <v>36341</v>
      </c>
      <c r="B290" s="253"/>
      <c r="C290" s="33"/>
      <c r="D290" s="253"/>
    </row>
    <row r="291" spans="1:4" x14ac:dyDescent="0.2">
      <c r="A291" s="345">
        <v>36372</v>
      </c>
      <c r="B291" s="253"/>
      <c r="C291" s="33"/>
      <c r="D291" s="253"/>
    </row>
    <row r="292" spans="1:4" x14ac:dyDescent="0.2">
      <c r="A292" s="345">
        <v>36403</v>
      </c>
      <c r="B292" s="253"/>
      <c r="C292" s="33"/>
      <c r="D292" s="253"/>
    </row>
    <row r="293" spans="1:4" x14ac:dyDescent="0.2">
      <c r="A293" s="345">
        <v>36433</v>
      </c>
      <c r="B293" s="253"/>
      <c r="C293" s="33"/>
      <c r="D293" s="253"/>
    </row>
    <row r="294" spans="1:4" x14ac:dyDescent="0.2">
      <c r="A294" s="345">
        <v>36464</v>
      </c>
      <c r="B294" s="253"/>
      <c r="C294" s="33"/>
      <c r="D294" s="253"/>
    </row>
    <row r="295" spans="1:4" x14ac:dyDescent="0.2">
      <c r="A295" s="345">
        <v>36494</v>
      </c>
      <c r="B295" s="253"/>
      <c r="C295" s="33"/>
      <c r="D295" s="253"/>
    </row>
    <row r="296" spans="1:4" x14ac:dyDescent="0.2">
      <c r="A296" s="345">
        <v>36525</v>
      </c>
      <c r="B296" s="253"/>
      <c r="C296" s="33"/>
      <c r="D296" s="253"/>
    </row>
    <row r="297" spans="1:4" x14ac:dyDescent="0.2">
      <c r="A297" s="345">
        <v>36556</v>
      </c>
      <c r="B297" s="253"/>
      <c r="C297" s="33"/>
      <c r="D297" s="253"/>
    </row>
    <row r="298" spans="1:4" x14ac:dyDescent="0.2">
      <c r="A298" s="345">
        <v>36585</v>
      </c>
      <c r="B298" s="253"/>
      <c r="C298" s="33"/>
      <c r="D298" s="253"/>
    </row>
    <row r="299" spans="1:4" x14ac:dyDescent="0.2">
      <c r="A299" s="345">
        <v>36616</v>
      </c>
      <c r="B299" s="253"/>
      <c r="C299" s="33"/>
      <c r="D299" s="253"/>
    </row>
    <row r="300" spans="1:4" x14ac:dyDescent="0.2">
      <c r="A300" s="345">
        <v>36646</v>
      </c>
      <c r="B300" s="253"/>
      <c r="C300" s="33"/>
      <c r="D300" s="253"/>
    </row>
    <row r="301" spans="1:4" x14ac:dyDescent="0.2">
      <c r="A301" s="345">
        <v>36677</v>
      </c>
      <c r="B301" s="253"/>
      <c r="C301" s="33"/>
      <c r="D301" s="253"/>
    </row>
    <row r="302" spans="1:4" x14ac:dyDescent="0.2">
      <c r="A302" s="345">
        <v>36707</v>
      </c>
      <c r="B302" s="253"/>
      <c r="C302" s="33"/>
      <c r="D302" s="253"/>
    </row>
    <row r="303" spans="1:4" x14ac:dyDescent="0.2">
      <c r="A303" s="345">
        <v>36738</v>
      </c>
      <c r="B303" s="253"/>
      <c r="C303" s="33"/>
      <c r="D303" s="253"/>
    </row>
    <row r="304" spans="1:4" x14ac:dyDescent="0.2">
      <c r="A304" s="345">
        <v>36769</v>
      </c>
      <c r="B304" s="253"/>
      <c r="C304" s="33"/>
      <c r="D304" s="253"/>
    </row>
    <row r="305" spans="1:4" x14ac:dyDescent="0.2">
      <c r="A305" s="345">
        <v>36799</v>
      </c>
      <c r="B305" s="253"/>
      <c r="C305" s="33"/>
      <c r="D305" s="253"/>
    </row>
    <row r="306" spans="1:4" x14ac:dyDescent="0.2">
      <c r="A306" s="345">
        <v>36830</v>
      </c>
      <c r="B306" s="253"/>
      <c r="C306" s="33"/>
      <c r="D306" s="253"/>
    </row>
    <row r="307" spans="1:4" x14ac:dyDescent="0.2">
      <c r="A307" s="345">
        <v>36860</v>
      </c>
      <c r="B307" s="253"/>
      <c r="C307" s="33"/>
      <c r="D307" s="253"/>
    </row>
    <row r="308" spans="1:4" x14ac:dyDescent="0.2">
      <c r="A308" s="345">
        <v>36891</v>
      </c>
      <c r="B308" s="253"/>
      <c r="C308" s="33"/>
      <c r="D308" s="253"/>
    </row>
    <row r="309" spans="1:4" x14ac:dyDescent="0.2">
      <c r="A309" s="345">
        <v>36922</v>
      </c>
      <c r="B309" s="253"/>
      <c r="C309" s="33"/>
      <c r="D309" s="253"/>
    </row>
    <row r="310" spans="1:4" x14ac:dyDescent="0.2">
      <c r="A310" s="345">
        <v>36950</v>
      </c>
      <c r="B310" s="253"/>
      <c r="C310" s="33"/>
      <c r="D310" s="253"/>
    </row>
    <row r="311" spans="1:4" x14ac:dyDescent="0.2">
      <c r="A311" s="345">
        <v>36981</v>
      </c>
      <c r="B311" s="253"/>
      <c r="C311" s="33"/>
      <c r="D311" s="253"/>
    </row>
    <row r="312" spans="1:4" x14ac:dyDescent="0.2">
      <c r="A312" s="345">
        <v>37011</v>
      </c>
      <c r="B312" s="253"/>
      <c r="C312" s="33"/>
      <c r="D312" s="253"/>
    </row>
    <row r="313" spans="1:4" x14ac:dyDescent="0.2">
      <c r="A313" s="345">
        <v>37042</v>
      </c>
      <c r="B313" s="253"/>
      <c r="C313" s="33"/>
      <c r="D313" s="253"/>
    </row>
    <row r="314" spans="1:4" x14ac:dyDescent="0.2">
      <c r="A314" s="345">
        <v>37072</v>
      </c>
      <c r="B314" s="253"/>
      <c r="C314" s="33"/>
      <c r="D314" s="253"/>
    </row>
    <row r="315" spans="1:4" x14ac:dyDescent="0.2">
      <c r="A315" s="345">
        <v>37103</v>
      </c>
      <c r="B315" s="253"/>
      <c r="C315" s="33"/>
      <c r="D315" s="253"/>
    </row>
    <row r="316" spans="1:4" x14ac:dyDescent="0.2">
      <c r="A316" s="345">
        <v>37134</v>
      </c>
      <c r="B316" s="253"/>
      <c r="C316" s="33"/>
      <c r="D316" s="253"/>
    </row>
    <row r="317" spans="1:4" x14ac:dyDescent="0.2">
      <c r="A317" s="345">
        <v>37164</v>
      </c>
      <c r="B317" s="253"/>
      <c r="C317" s="33"/>
      <c r="D317" s="253"/>
    </row>
    <row r="318" spans="1:4" x14ac:dyDescent="0.2">
      <c r="A318" s="345">
        <v>37195</v>
      </c>
      <c r="B318" s="253"/>
      <c r="C318" s="33"/>
      <c r="D318" s="253"/>
    </row>
    <row r="319" spans="1:4" x14ac:dyDescent="0.2">
      <c r="A319" s="345">
        <v>37225</v>
      </c>
      <c r="B319" s="253"/>
      <c r="C319" s="33"/>
      <c r="D319" s="253"/>
    </row>
    <row r="320" spans="1:4" x14ac:dyDescent="0.2">
      <c r="A320" s="345">
        <v>37256</v>
      </c>
      <c r="B320" s="253"/>
      <c r="C320" s="33"/>
      <c r="D320" s="253"/>
    </row>
    <row r="321" spans="1:4" x14ac:dyDescent="0.2">
      <c r="A321" s="345">
        <v>37287</v>
      </c>
      <c r="B321" s="253"/>
      <c r="C321" s="33"/>
      <c r="D321" s="253"/>
    </row>
    <row r="322" spans="1:4" x14ac:dyDescent="0.2">
      <c r="A322" s="345">
        <v>37315</v>
      </c>
      <c r="B322" s="253"/>
      <c r="C322" s="33"/>
      <c r="D322" s="253"/>
    </row>
    <row r="323" spans="1:4" x14ac:dyDescent="0.2">
      <c r="A323" s="345">
        <v>37346</v>
      </c>
      <c r="B323" s="253"/>
      <c r="C323" s="33"/>
      <c r="D323" s="253"/>
    </row>
    <row r="324" spans="1:4" x14ac:dyDescent="0.2">
      <c r="A324" s="345">
        <v>37376</v>
      </c>
      <c r="B324" s="253"/>
      <c r="C324" s="33"/>
      <c r="D324" s="253"/>
    </row>
    <row r="325" spans="1:4" x14ac:dyDescent="0.2">
      <c r="A325" s="345">
        <v>37407</v>
      </c>
      <c r="B325" s="253"/>
      <c r="C325" s="33"/>
      <c r="D325" s="253"/>
    </row>
    <row r="326" spans="1:4" x14ac:dyDescent="0.2">
      <c r="A326" s="345">
        <v>37437</v>
      </c>
      <c r="B326" s="253"/>
      <c r="C326" s="33"/>
      <c r="D326" s="253"/>
    </row>
    <row r="327" spans="1:4" x14ac:dyDescent="0.2">
      <c r="A327" s="345">
        <v>37468</v>
      </c>
      <c r="B327" s="253"/>
      <c r="C327" s="33"/>
      <c r="D327" s="253"/>
    </row>
    <row r="328" spans="1:4" x14ac:dyDescent="0.2">
      <c r="A328" s="345">
        <v>37499</v>
      </c>
      <c r="B328" s="253"/>
      <c r="C328" s="33"/>
      <c r="D328" s="253"/>
    </row>
    <row r="329" spans="1:4" x14ac:dyDescent="0.2">
      <c r="A329" s="345">
        <v>37529</v>
      </c>
      <c r="B329" s="253"/>
      <c r="C329" s="33"/>
      <c r="D329" s="253"/>
    </row>
    <row r="330" spans="1:4" x14ac:dyDescent="0.2">
      <c r="A330" s="345">
        <v>37560</v>
      </c>
      <c r="B330" s="253"/>
      <c r="C330" s="33"/>
      <c r="D330" s="253"/>
    </row>
    <row r="331" spans="1:4" x14ac:dyDescent="0.2">
      <c r="A331" s="345">
        <v>37590</v>
      </c>
      <c r="B331" s="253"/>
      <c r="C331" s="33"/>
      <c r="D331" s="253"/>
    </row>
    <row r="332" spans="1:4" x14ac:dyDescent="0.2">
      <c r="A332" s="345">
        <v>37621</v>
      </c>
      <c r="B332" s="253"/>
      <c r="C332" s="33"/>
      <c r="D332" s="253"/>
    </row>
    <row r="333" spans="1:4" x14ac:dyDescent="0.2">
      <c r="A333" s="345">
        <v>37652</v>
      </c>
      <c r="B333" s="253"/>
      <c r="C333" s="33"/>
      <c r="D333" s="253"/>
    </row>
    <row r="334" spans="1:4" x14ac:dyDescent="0.2">
      <c r="A334" s="345">
        <v>37680</v>
      </c>
      <c r="B334" s="253"/>
      <c r="C334" s="33"/>
      <c r="D334" s="253"/>
    </row>
    <row r="335" spans="1:4" x14ac:dyDescent="0.2">
      <c r="A335" s="345">
        <v>37711</v>
      </c>
      <c r="B335" s="253"/>
      <c r="C335" s="33"/>
      <c r="D335" s="253"/>
    </row>
    <row r="336" spans="1:4" x14ac:dyDescent="0.2">
      <c r="A336" s="345">
        <v>37741</v>
      </c>
      <c r="B336" s="253"/>
      <c r="C336" s="33"/>
      <c r="D336" s="253"/>
    </row>
    <row r="337" spans="1:4" x14ac:dyDescent="0.2">
      <c r="A337" s="345">
        <v>37772</v>
      </c>
      <c r="B337" s="253"/>
      <c r="C337" s="33"/>
      <c r="D337" s="253"/>
    </row>
    <row r="338" spans="1:4" x14ac:dyDescent="0.2">
      <c r="A338" s="345">
        <v>37802</v>
      </c>
      <c r="B338" s="253"/>
      <c r="C338" s="33"/>
      <c r="D338" s="253"/>
    </row>
    <row r="339" spans="1:4" x14ac:dyDescent="0.2">
      <c r="A339" s="345">
        <v>37833</v>
      </c>
      <c r="B339" s="253"/>
      <c r="C339" s="33"/>
      <c r="D339" s="253"/>
    </row>
    <row r="340" spans="1:4" x14ac:dyDescent="0.2">
      <c r="A340" s="345">
        <v>37864</v>
      </c>
      <c r="B340" s="253"/>
      <c r="C340" s="33"/>
      <c r="D340" s="253"/>
    </row>
    <row r="341" spans="1:4" x14ac:dyDescent="0.2">
      <c r="A341" s="345">
        <v>37894</v>
      </c>
      <c r="B341" s="253"/>
      <c r="C341" s="34"/>
      <c r="D341" s="253"/>
    </row>
    <row r="342" spans="1:4" x14ac:dyDescent="0.2">
      <c r="A342" s="345">
        <v>37925</v>
      </c>
      <c r="B342" s="253"/>
      <c r="C342" s="34"/>
      <c r="D342" s="253"/>
    </row>
    <row r="343" spans="1:4" x14ac:dyDescent="0.2">
      <c r="A343" s="345">
        <v>37955</v>
      </c>
      <c r="B343" s="253"/>
      <c r="C343" s="34"/>
      <c r="D343" s="253"/>
    </row>
    <row r="344" spans="1:4" x14ac:dyDescent="0.2">
      <c r="A344" s="345">
        <v>37986</v>
      </c>
      <c r="B344" s="253"/>
      <c r="C344" s="34"/>
      <c r="D344" s="253"/>
    </row>
    <row r="345" spans="1:4" x14ac:dyDescent="0.2">
      <c r="A345" s="345">
        <v>38017</v>
      </c>
      <c r="B345" s="253"/>
      <c r="C345" s="34"/>
      <c r="D345" s="253"/>
    </row>
    <row r="346" spans="1:4" x14ac:dyDescent="0.2">
      <c r="A346" s="345">
        <v>38046</v>
      </c>
      <c r="B346" s="253"/>
      <c r="C346" s="34"/>
      <c r="D346" s="253"/>
    </row>
    <row r="347" spans="1:4" x14ac:dyDescent="0.2">
      <c r="A347" s="345">
        <v>38077</v>
      </c>
      <c r="B347" s="253"/>
      <c r="C347" s="34"/>
      <c r="D347" s="255"/>
    </row>
    <row r="348" spans="1:4" x14ac:dyDescent="0.2">
      <c r="A348" s="345">
        <v>38107</v>
      </c>
      <c r="B348" s="253"/>
      <c r="C348" s="34"/>
      <c r="D348" s="253"/>
    </row>
    <row r="349" spans="1:4" x14ac:dyDescent="0.2">
      <c r="A349" s="345">
        <v>38138</v>
      </c>
      <c r="B349" s="253"/>
      <c r="C349" s="34"/>
      <c r="D349" s="253"/>
    </row>
    <row r="350" spans="1:4" x14ac:dyDescent="0.2">
      <c r="A350" s="345">
        <v>38168</v>
      </c>
      <c r="B350" s="253"/>
      <c r="C350" s="34"/>
      <c r="D350" s="253"/>
    </row>
    <row r="351" spans="1:4" x14ac:dyDescent="0.2">
      <c r="A351" s="345">
        <v>38199</v>
      </c>
      <c r="B351" s="253"/>
      <c r="C351" s="34"/>
      <c r="D351" s="253"/>
    </row>
    <row r="352" spans="1:4" x14ac:dyDescent="0.2">
      <c r="A352" s="345">
        <v>38230</v>
      </c>
      <c r="B352" s="253"/>
      <c r="C352" s="34"/>
      <c r="D352" s="253"/>
    </row>
    <row r="353" spans="1:7" x14ac:dyDescent="0.2">
      <c r="A353" s="345">
        <v>38260</v>
      </c>
      <c r="B353" s="253"/>
      <c r="C353" s="34"/>
      <c r="D353" s="253"/>
    </row>
    <row r="354" spans="1:7" x14ac:dyDescent="0.2">
      <c r="A354" s="345">
        <v>38291</v>
      </c>
      <c r="B354" s="253"/>
      <c r="C354" s="34"/>
      <c r="D354" s="253"/>
    </row>
    <row r="355" spans="1:7" x14ac:dyDescent="0.2">
      <c r="A355" s="345">
        <v>38321</v>
      </c>
      <c r="B355" s="253"/>
      <c r="C355" s="34"/>
      <c r="D355" s="253"/>
    </row>
    <row r="356" spans="1:7" x14ac:dyDescent="0.2">
      <c r="A356" s="345">
        <v>38352</v>
      </c>
      <c r="B356" s="253"/>
      <c r="C356" s="256"/>
      <c r="D356" s="253"/>
    </row>
    <row r="357" spans="1:7" x14ac:dyDescent="0.2">
      <c r="A357" s="345">
        <v>38383</v>
      </c>
      <c r="B357" s="253"/>
      <c r="C357" s="34"/>
      <c r="D357" s="253"/>
    </row>
    <row r="358" spans="1:7" x14ac:dyDescent="0.2">
      <c r="A358" s="345">
        <v>38411</v>
      </c>
      <c r="B358" s="253"/>
      <c r="C358" s="34"/>
      <c r="D358" s="253"/>
    </row>
    <row r="359" spans="1:7" x14ac:dyDescent="0.2">
      <c r="A359" s="345">
        <v>38442</v>
      </c>
      <c r="B359" s="253"/>
      <c r="C359" s="256"/>
      <c r="D359" s="253"/>
    </row>
    <row r="360" spans="1:7" x14ac:dyDescent="0.2">
      <c r="A360" s="345">
        <v>38472</v>
      </c>
      <c r="B360" s="253"/>
      <c r="C360" s="256"/>
      <c r="D360" s="253"/>
    </row>
    <row r="361" spans="1:7" x14ac:dyDescent="0.2">
      <c r="A361" s="345">
        <v>38503</v>
      </c>
      <c r="B361" s="253"/>
      <c r="C361" s="256"/>
      <c r="D361" s="253"/>
    </row>
    <row r="362" spans="1:7" x14ac:dyDescent="0.2">
      <c r="A362" s="345">
        <v>38533</v>
      </c>
      <c r="B362" s="253"/>
      <c r="C362" s="256"/>
      <c r="D362" s="253"/>
    </row>
    <row r="363" spans="1:7" x14ac:dyDescent="0.2">
      <c r="A363" s="345">
        <v>38564</v>
      </c>
      <c r="B363" s="253"/>
      <c r="C363" s="34"/>
      <c r="D363" s="253"/>
      <c r="G363" s="1060"/>
    </row>
    <row r="364" spans="1:7" x14ac:dyDescent="0.2">
      <c r="A364" s="345">
        <v>38595</v>
      </c>
      <c r="B364" s="253"/>
      <c r="C364" s="34"/>
      <c r="D364" s="253"/>
      <c r="G364" s="1060"/>
    </row>
    <row r="365" spans="1:7" x14ac:dyDescent="0.2">
      <c r="A365" s="345">
        <v>38625</v>
      </c>
      <c r="B365" s="1369">
        <v>2.88</v>
      </c>
      <c r="C365" s="354">
        <v>123654115.53</v>
      </c>
      <c r="D365" s="76"/>
      <c r="E365" s="258">
        <f>B365-Index_Returns!V365</f>
        <v>-1.2529000000000003</v>
      </c>
      <c r="G365" s="1061"/>
    </row>
    <row r="366" spans="1:7" x14ac:dyDescent="0.2">
      <c r="A366" s="345">
        <v>38656</v>
      </c>
      <c r="B366" s="1369">
        <v>-2.74</v>
      </c>
      <c r="C366" s="354">
        <v>120267725.23999999</v>
      </c>
      <c r="D366" s="76"/>
      <c r="E366" s="258">
        <f>B366-Index_Returns!V366</f>
        <v>0.52259999999999973</v>
      </c>
      <c r="G366" s="1061"/>
    </row>
    <row r="367" spans="1:7" x14ac:dyDescent="0.2">
      <c r="A367" s="345">
        <v>38686</v>
      </c>
      <c r="B367" s="1369">
        <v>2.08</v>
      </c>
      <c r="C367" s="354">
        <v>122772969.98999999</v>
      </c>
      <c r="D367" s="76"/>
      <c r="E367" s="258">
        <f>B367-Index_Returns!V367</f>
        <v>-1.1492999999999998</v>
      </c>
      <c r="G367" s="1061"/>
    </row>
    <row r="368" spans="1:7" x14ac:dyDescent="0.2">
      <c r="A368" s="345">
        <v>38717</v>
      </c>
      <c r="B368" s="1369">
        <v>5.28</v>
      </c>
      <c r="C368" s="33">
        <v>129379213.34999999</v>
      </c>
      <c r="D368" s="76"/>
      <c r="E368" s="258">
        <f>B368-Index_Returns!V368</f>
        <v>-2.7244000000000002</v>
      </c>
      <c r="G368" s="1061"/>
    </row>
    <row r="369" spans="1:7" x14ac:dyDescent="0.2">
      <c r="A369" s="345">
        <v>38748</v>
      </c>
      <c r="B369" s="1369">
        <v>7.93</v>
      </c>
      <c r="C369" s="33">
        <v>139640488.77000001</v>
      </c>
      <c r="D369" s="76"/>
      <c r="E369" s="258">
        <f>B369-Index_Returns!V369</f>
        <v>1.0998000000000001</v>
      </c>
      <c r="G369" s="1061"/>
    </row>
    <row r="370" spans="1:7" x14ac:dyDescent="0.2">
      <c r="A370" s="345">
        <v>38776</v>
      </c>
      <c r="B370" s="1369">
        <v>0.53</v>
      </c>
      <c r="C370" s="33">
        <v>140383243.94999999</v>
      </c>
      <c r="D370" s="76"/>
      <c r="E370" s="258">
        <f>B370-Index_Returns!V370</f>
        <v>1.7432000000000001</v>
      </c>
      <c r="G370" s="1061"/>
    </row>
    <row r="371" spans="1:7" x14ac:dyDescent="0.2">
      <c r="A371" s="345">
        <v>38807</v>
      </c>
      <c r="B371" s="1369">
        <v>4.8499999999999996</v>
      </c>
      <c r="C371" s="33">
        <v>147318635.31</v>
      </c>
      <c r="D371" s="253"/>
      <c r="E371" s="258">
        <f>B371-Index_Returns!V371</f>
        <v>-1.4600000000000612E-2</v>
      </c>
      <c r="G371" s="1061"/>
    </row>
    <row r="372" spans="1:7" x14ac:dyDescent="0.2">
      <c r="A372" s="345">
        <v>38837</v>
      </c>
      <c r="B372" s="1369">
        <v>4.1399999999999997</v>
      </c>
      <c r="C372" s="33">
        <v>153423197.72</v>
      </c>
      <c r="D372" s="253"/>
      <c r="E372" s="258">
        <f>B372-Index_Returns!V372</f>
        <v>-0.24849999999999994</v>
      </c>
      <c r="G372" s="1061"/>
    </row>
    <row r="373" spans="1:7" x14ac:dyDescent="0.2">
      <c r="A373" s="345">
        <v>38868</v>
      </c>
      <c r="B373" s="1369">
        <v>-4.0999999999999996</v>
      </c>
      <c r="C373" s="33">
        <v>147138970.00999999</v>
      </c>
      <c r="D373" s="253"/>
      <c r="E373" s="258">
        <f>B373-Index_Returns!V373</f>
        <v>1.5856000000000003</v>
      </c>
      <c r="G373" s="1061"/>
    </row>
    <row r="374" spans="1:7" x14ac:dyDescent="0.2">
      <c r="A374" s="345">
        <v>38898</v>
      </c>
      <c r="B374" s="1369">
        <v>-2.12</v>
      </c>
      <c r="C374" s="354">
        <v>144482369.09</v>
      </c>
      <c r="D374" s="253"/>
      <c r="E374" s="258">
        <f>B374-Index_Returns!V374</f>
        <v>4.0999999999999925E-2</v>
      </c>
      <c r="G374" s="1061"/>
    </row>
    <row r="375" spans="1:7" x14ac:dyDescent="0.2">
      <c r="A375" s="345">
        <v>38929</v>
      </c>
      <c r="B375" s="1369">
        <v>-0.75</v>
      </c>
      <c r="C375" s="33">
        <v>143402986.09999999</v>
      </c>
      <c r="D375" s="253"/>
      <c r="E375" s="258">
        <f>B375-Index_Returns!V375</f>
        <v>1.9458000000000002</v>
      </c>
      <c r="G375" s="1061"/>
    </row>
    <row r="376" spans="1:7" x14ac:dyDescent="0.2">
      <c r="A376" s="345">
        <v>38960</v>
      </c>
      <c r="B376" s="1369">
        <v>3</v>
      </c>
      <c r="C376" s="33">
        <v>147702650.34999999</v>
      </c>
      <c r="D376" s="253"/>
      <c r="E376" s="258">
        <f>B376-Index_Returns!V376</f>
        <v>0.18889999999999985</v>
      </c>
      <c r="G376" s="1061"/>
    </row>
    <row r="377" spans="1:7" x14ac:dyDescent="0.2">
      <c r="A377" s="345">
        <v>38990</v>
      </c>
      <c r="B377" s="1369">
        <v>1.41</v>
      </c>
      <c r="C377" s="33">
        <v>150038083.52000001</v>
      </c>
      <c r="D377" s="253"/>
      <c r="E377" s="258">
        <f>B377-Index_Returns!V377</f>
        <v>0.99009999999999998</v>
      </c>
      <c r="G377" s="1061"/>
    </row>
    <row r="378" spans="1:7" x14ac:dyDescent="0.2">
      <c r="A378" s="345">
        <v>39021</v>
      </c>
      <c r="B378" s="1369">
        <v>4.62</v>
      </c>
      <c r="C378" s="33">
        <v>156972189.75999999</v>
      </c>
      <c r="D378" s="253"/>
      <c r="E378" s="258">
        <f>B378-Index_Returns!V378</f>
        <v>0.94730000000000025</v>
      </c>
      <c r="F378" s="352"/>
      <c r="G378" s="1061"/>
    </row>
    <row r="379" spans="1:7" x14ac:dyDescent="0.2">
      <c r="A379" s="345">
        <v>39051</v>
      </c>
      <c r="B379" s="1369">
        <v>5.34</v>
      </c>
      <c r="C379" s="33">
        <v>165359440.66</v>
      </c>
      <c r="D379" s="253"/>
      <c r="E379" s="258">
        <f>B379-Index_Returns!V379</f>
        <v>1.0405999999999995</v>
      </c>
      <c r="F379" s="352"/>
      <c r="G379" s="1061"/>
    </row>
    <row r="380" spans="1:7" x14ac:dyDescent="0.2">
      <c r="A380" s="345">
        <v>39082</v>
      </c>
      <c r="B380" s="1369">
        <v>3.54</v>
      </c>
      <c r="C380" s="33">
        <v>171483786.63</v>
      </c>
      <c r="D380" s="253"/>
      <c r="E380" s="258">
        <f>B380-Index_Returns!V380</f>
        <v>0.19689999999999985</v>
      </c>
      <c r="F380" s="352"/>
      <c r="G380" s="1061"/>
    </row>
    <row r="381" spans="1:7" x14ac:dyDescent="0.2">
      <c r="A381" s="345">
        <v>39113</v>
      </c>
      <c r="B381" s="1369">
        <v>1.63</v>
      </c>
      <c r="C381" s="1383">
        <v>174283595.21000001</v>
      </c>
      <c r="E381" s="258">
        <f>B381-Index_Returns!V381</f>
        <v>-0.46399999999999997</v>
      </c>
      <c r="F381" s="352"/>
      <c r="G381" s="1061"/>
    </row>
    <row r="382" spans="1:7" x14ac:dyDescent="0.2">
      <c r="A382" s="345">
        <v>39141</v>
      </c>
      <c r="B382" s="1369">
        <v>2.2799999999999998</v>
      </c>
      <c r="C382" s="1383">
        <v>178253862.36000001</v>
      </c>
      <c r="E382" s="258">
        <f>B382-Index_Returns!V382</f>
        <v>0.59809999999999985</v>
      </c>
      <c r="F382" s="352"/>
      <c r="G382" s="1061"/>
    </row>
    <row r="383" spans="1:7" x14ac:dyDescent="0.2">
      <c r="A383" s="345">
        <v>39172</v>
      </c>
      <c r="B383" s="1369">
        <v>4.3</v>
      </c>
      <c r="C383" s="1383">
        <v>186219906.94999999</v>
      </c>
      <c r="E383" s="258">
        <f>B383-Index_Returns!V383</f>
        <v>1.0435999999999996</v>
      </c>
      <c r="G383" s="1061"/>
    </row>
    <row r="384" spans="1:7" x14ac:dyDescent="0.2">
      <c r="A384" s="345">
        <v>39202</v>
      </c>
      <c r="B384" s="1369">
        <v>3.86</v>
      </c>
      <c r="C384" s="1383">
        <v>193412830.62</v>
      </c>
      <c r="E384" s="258">
        <f>B384-Index_Returns!V384</f>
        <v>9.0300000000000047E-2</v>
      </c>
      <c r="G384" s="1061"/>
    </row>
    <row r="385" spans="1:7" x14ac:dyDescent="0.2">
      <c r="A385" s="345">
        <v>39233</v>
      </c>
      <c r="B385" s="1369">
        <v>1.05</v>
      </c>
      <c r="C385" s="1383">
        <v>195436489.13</v>
      </c>
      <c r="E385" s="258">
        <f>B385-Index_Returns!V385</f>
        <v>0.28450000000000009</v>
      </c>
      <c r="G385" s="1061"/>
    </row>
    <row r="386" spans="1:7" x14ac:dyDescent="0.2">
      <c r="A386" s="345">
        <v>39263</v>
      </c>
      <c r="B386" s="1369">
        <v>-0.76</v>
      </c>
      <c r="C386" s="1383">
        <v>194271346.09999999</v>
      </c>
      <c r="E386" s="258">
        <f>B386-Index_Returns!V386</f>
        <v>-0.57550000000000001</v>
      </c>
      <c r="G386" s="1061"/>
    </row>
    <row r="387" spans="1:7" x14ac:dyDescent="0.2">
      <c r="A387" s="345">
        <v>39294</v>
      </c>
      <c r="B387" s="1369">
        <v>0.38</v>
      </c>
      <c r="C387" s="346">
        <v>195006722.83000001</v>
      </c>
      <c r="E387" s="258">
        <f>B387-Index_Returns!V387</f>
        <v>0.75960000000000005</v>
      </c>
      <c r="G387" s="1061"/>
    </row>
    <row r="388" spans="1:7" x14ac:dyDescent="0.2">
      <c r="A388" s="345">
        <v>39325</v>
      </c>
      <c r="B388" s="1369">
        <v>-4.47</v>
      </c>
      <c r="C388" s="346">
        <v>186293714.69999999</v>
      </c>
      <c r="E388" s="258">
        <f>B388-Index_Returns!V388</f>
        <v>0.67350000000000065</v>
      </c>
      <c r="G388" s="1061"/>
    </row>
    <row r="389" spans="1:7" x14ac:dyDescent="0.2">
      <c r="A389" s="345">
        <v>39355</v>
      </c>
      <c r="B389" s="1369">
        <v>1.81</v>
      </c>
      <c r="C389" s="346">
        <v>189994417.74000001</v>
      </c>
      <c r="E389" s="258">
        <f>B389-Index_Returns!V389</f>
        <v>0.6745000000000001</v>
      </c>
      <c r="G389" s="1061"/>
    </row>
    <row r="390" spans="1:7" x14ac:dyDescent="0.2">
      <c r="A390" s="345">
        <v>39386</v>
      </c>
      <c r="B390" s="1369">
        <v>3.7</v>
      </c>
      <c r="C390" s="346">
        <v>197026389.91999999</v>
      </c>
      <c r="E390" s="258">
        <f>B390-Index_Returns!V390</f>
        <v>-2.5426000000000002</v>
      </c>
      <c r="G390" s="1061"/>
    </row>
    <row r="391" spans="1:7" x14ac:dyDescent="0.2">
      <c r="A391" s="345">
        <v>39416</v>
      </c>
      <c r="B391" s="1369">
        <v>-7.45</v>
      </c>
      <c r="C391" s="346">
        <v>182348799.30000001</v>
      </c>
      <c r="E391" s="258">
        <f>B391-Index_Returns!V391</f>
        <v>-0.26360000000000028</v>
      </c>
      <c r="G391" s="1061"/>
    </row>
    <row r="392" spans="1:7" x14ac:dyDescent="0.2">
      <c r="A392" s="345">
        <v>39447</v>
      </c>
      <c r="B392" s="1369">
        <v>-3.22</v>
      </c>
      <c r="C392" s="346">
        <v>176797402.25999999</v>
      </c>
      <c r="E392" s="258">
        <f>B392-Index_Returns!V392</f>
        <v>0.2376999999999998</v>
      </c>
      <c r="G392" s="1061"/>
    </row>
    <row r="393" spans="1:7" x14ac:dyDescent="0.2">
      <c r="A393" s="345">
        <v>39478</v>
      </c>
      <c r="B393" s="1369">
        <v>-7.43</v>
      </c>
      <c r="C393" s="346">
        <v>163665261.16999999</v>
      </c>
      <c r="E393" s="258">
        <f>B393-Index_Returns!V393</f>
        <v>2.325800000000001</v>
      </c>
    </row>
    <row r="394" spans="1:7" x14ac:dyDescent="0.2">
      <c r="A394" s="345">
        <v>39507</v>
      </c>
      <c r="B394" s="1369">
        <v>3.78</v>
      </c>
      <c r="C394" s="346">
        <v>169851347.25999999</v>
      </c>
      <c r="E394" s="258">
        <f>B394-Index_Returns!V394</f>
        <v>-0.48180000000000023</v>
      </c>
    </row>
    <row r="395" spans="1:7" x14ac:dyDescent="0.2">
      <c r="A395" s="345">
        <v>39538</v>
      </c>
      <c r="B395" s="1369">
        <v>0.02</v>
      </c>
      <c r="C395" s="346">
        <v>170194818.78999999</v>
      </c>
      <c r="E395" s="258">
        <f>B395-Index_Returns!V395</f>
        <v>0.28540000000000004</v>
      </c>
    </row>
    <row r="396" spans="1:7" x14ac:dyDescent="0.2">
      <c r="A396" s="345">
        <v>39568</v>
      </c>
      <c r="B396" s="1369">
        <v>1.64</v>
      </c>
      <c r="C396" s="346">
        <v>172981850.74000001</v>
      </c>
      <c r="E396" s="258">
        <f>B396-Index_Returns!V396</f>
        <v>-0.77659999999999996</v>
      </c>
    </row>
    <row r="397" spans="1:7" x14ac:dyDescent="0.2">
      <c r="A397" s="345">
        <v>39599</v>
      </c>
      <c r="B397" s="1369">
        <v>2.76</v>
      </c>
      <c r="C397" s="346">
        <v>177749910.99000001</v>
      </c>
      <c r="E397" s="258">
        <f>B397-Index_Returns!V397</f>
        <v>0.99559999999999982</v>
      </c>
    </row>
    <row r="398" spans="1:7" x14ac:dyDescent="0.2">
      <c r="A398" s="345">
        <v>39629</v>
      </c>
      <c r="B398" s="1369">
        <v>-8.58</v>
      </c>
      <c r="C398" s="346">
        <v>162783387.61000001</v>
      </c>
      <c r="E398" s="258">
        <f>B398-Index_Returns!V398</f>
        <v>-0.40559999999999974</v>
      </c>
    </row>
    <row r="399" spans="1:7" x14ac:dyDescent="0.2">
      <c r="A399" s="345">
        <v>39660</v>
      </c>
      <c r="B399" s="1369">
        <v>-3.66</v>
      </c>
      <c r="C399" s="33">
        <v>156824588.94</v>
      </c>
      <c r="E399" s="258">
        <f>B399-Index_Returns!V399</f>
        <v>0.89919999999999956</v>
      </c>
    </row>
    <row r="400" spans="1:7" x14ac:dyDescent="0.2">
      <c r="A400" s="345">
        <v>39691</v>
      </c>
      <c r="B400" s="1369">
        <v>-2.9</v>
      </c>
      <c r="C400" s="33">
        <v>152284274.53999999</v>
      </c>
      <c r="E400" s="258">
        <f>B400-Index_Returns!V400</f>
        <v>0.92690000000000028</v>
      </c>
    </row>
    <row r="401" spans="1:8" x14ac:dyDescent="0.2">
      <c r="A401" s="345">
        <v>39721</v>
      </c>
      <c r="B401" s="1369">
        <v>-15.12</v>
      </c>
      <c r="C401" s="33">
        <v>129515831.42</v>
      </c>
      <c r="E401" s="258">
        <f>B401-Index_Returns!V401</f>
        <v>1.9960000000000004</v>
      </c>
    </row>
    <row r="402" spans="1:8" x14ac:dyDescent="0.2">
      <c r="A402" s="345">
        <v>39752</v>
      </c>
      <c r="B402" s="1369">
        <v>-20.010000000000002</v>
      </c>
      <c r="C402" s="346">
        <v>103594817</v>
      </c>
      <c r="E402" s="258">
        <f>B402-Index_Returns!V402</f>
        <v>3.7238999999999969</v>
      </c>
    </row>
    <row r="403" spans="1:8" x14ac:dyDescent="0.2">
      <c r="A403" s="345">
        <v>39782</v>
      </c>
      <c r="B403" s="1369">
        <v>-4.5199999999999996</v>
      </c>
      <c r="C403" s="346">
        <v>98908822</v>
      </c>
      <c r="E403" s="258">
        <f>B403-Index_Returns!V403</f>
        <v>-0.10609999999999964</v>
      </c>
    </row>
    <row r="404" spans="1:8" x14ac:dyDescent="0.2">
      <c r="A404" s="345">
        <v>39813</v>
      </c>
      <c r="B404" s="1369">
        <v>7.44</v>
      </c>
      <c r="C404" s="346">
        <v>106491453</v>
      </c>
      <c r="E404" s="258">
        <f>B404-Index_Returns!V404</f>
        <v>0.59390000000000054</v>
      </c>
    </row>
    <row r="405" spans="1:8" x14ac:dyDescent="0.2">
      <c r="A405" s="345">
        <v>39844</v>
      </c>
      <c r="B405" s="1369">
        <v>-6.39</v>
      </c>
      <c r="C405" s="346">
        <v>99686639.390000001</v>
      </c>
      <c r="D405" s="258">
        <v>-6.39</v>
      </c>
      <c r="E405" s="258">
        <f>B405-Index_Returns!V405</f>
        <v>5.2000000000003155E-3</v>
      </c>
    </row>
    <row r="406" spans="1:8" x14ac:dyDescent="0.2">
      <c r="A406" s="345">
        <v>39872</v>
      </c>
      <c r="B406" s="1369">
        <v>-10.28</v>
      </c>
      <c r="C406" s="346">
        <v>89439600.549999997</v>
      </c>
      <c r="D406" s="258">
        <v>-10.279199999999999</v>
      </c>
      <c r="E406" s="258">
        <f>B406-Index_Returns!V406</f>
        <v>-1.0337999999999994</v>
      </c>
    </row>
    <row r="407" spans="1:8" x14ac:dyDescent="0.2">
      <c r="A407" s="345">
        <v>39903</v>
      </c>
      <c r="B407" s="1369">
        <v>4.4000000000000004</v>
      </c>
      <c r="C407" s="346">
        <v>93567885.890000001</v>
      </c>
      <c r="D407" s="258">
        <v>4.6157000000000004</v>
      </c>
      <c r="E407" s="258">
        <f>B407-Index_Returns!V407</f>
        <v>-2.1646000000000001</v>
      </c>
    </row>
    <row r="408" spans="1:8" x14ac:dyDescent="0.2">
      <c r="A408" s="345">
        <v>39933</v>
      </c>
      <c r="B408" s="1369">
        <v>13.99</v>
      </c>
      <c r="C408" s="346">
        <v>106659238.75</v>
      </c>
      <c r="E408" s="258">
        <f>B408-Index_Returns!V408</f>
        <v>-1.4487000000000005</v>
      </c>
    </row>
    <row r="409" spans="1:8" x14ac:dyDescent="0.2">
      <c r="A409" s="345">
        <v>39964</v>
      </c>
      <c r="B409" s="1369">
        <v>12.26</v>
      </c>
      <c r="C409" s="346">
        <v>119737288.98</v>
      </c>
      <c r="E409" s="258">
        <f>B409-Index_Returns!V409</f>
        <v>-2.0297999999999998</v>
      </c>
    </row>
    <row r="410" spans="1:8" x14ac:dyDescent="0.2">
      <c r="A410" s="345">
        <v>39994</v>
      </c>
      <c r="B410" s="1369">
        <v>0.25</v>
      </c>
      <c r="C410" s="346">
        <v>120204960.67</v>
      </c>
      <c r="E410" s="258">
        <f>B410-Index_Returns!V410</f>
        <v>-1.7250000000000001</v>
      </c>
    </row>
    <row r="411" spans="1:8" x14ac:dyDescent="0.2">
      <c r="A411" s="345">
        <v>40025</v>
      </c>
      <c r="B411" s="1369">
        <v>8.3800000000000008</v>
      </c>
      <c r="C411" s="346">
        <v>130261602.91</v>
      </c>
      <c r="D411" s="258">
        <v>8.3661999999999992</v>
      </c>
      <c r="E411" s="258">
        <f>B411-Index_Returns!V411</f>
        <v>0.73820000000000086</v>
      </c>
    </row>
    <row r="412" spans="1:8" x14ac:dyDescent="0.2">
      <c r="A412" s="345">
        <v>40056</v>
      </c>
      <c r="B412" s="1369">
        <v>8.34</v>
      </c>
      <c r="C412" s="346">
        <v>141145724.36000001</v>
      </c>
      <c r="D412" s="258">
        <v>8.5364000000000004</v>
      </c>
      <c r="E412" s="258">
        <f>B412-Index_Returns!V412</f>
        <v>0.24509999999999899</v>
      </c>
    </row>
    <row r="413" spans="1:8" x14ac:dyDescent="0.2">
      <c r="A413" s="345">
        <v>40086</v>
      </c>
      <c r="B413" s="1369">
        <v>4.1100000000000003</v>
      </c>
      <c r="C413" s="346">
        <v>147162831.30000001</v>
      </c>
      <c r="D413" s="258">
        <v>4.2641</v>
      </c>
      <c r="E413" s="258">
        <f>B413-Index_Returns!V413</f>
        <v>-0.89589999999999925</v>
      </c>
    </row>
    <row r="414" spans="1:8" x14ac:dyDescent="0.2">
      <c r="A414" s="345">
        <v>40117</v>
      </c>
      <c r="B414" s="1369">
        <v>-2.68</v>
      </c>
      <c r="C414" s="346">
        <v>143216370</v>
      </c>
      <c r="D414" s="1311">
        <v>-2.6818399999999998</v>
      </c>
      <c r="E414" s="258">
        <f>B414-Index_Returns!V414</f>
        <v>-0.91000000000000014</v>
      </c>
      <c r="H414" s="1311"/>
    </row>
    <row r="415" spans="1:8" x14ac:dyDescent="0.2">
      <c r="A415" s="345">
        <v>40147</v>
      </c>
      <c r="B415" s="1369">
        <v>-0.55000000000000004</v>
      </c>
      <c r="C415" s="1333">
        <v>142557489</v>
      </c>
      <c r="D415" s="1311">
        <v>-0.54644000000000004</v>
      </c>
      <c r="E415" s="258">
        <f>B415-Index_Returns!V415</f>
        <v>-0.56300000000000006</v>
      </c>
      <c r="H415" s="1311"/>
    </row>
    <row r="416" spans="1:8" x14ac:dyDescent="0.2">
      <c r="A416" s="345">
        <v>40178</v>
      </c>
      <c r="B416" s="1369">
        <v>0.81</v>
      </c>
      <c r="C416" s="346">
        <v>143718824.84999999</v>
      </c>
      <c r="D416" s="258">
        <v>0.81464000000000003</v>
      </c>
      <c r="E416" s="258">
        <f>B416-Index_Returns!V416</f>
        <v>5.0000000000000044E-2</v>
      </c>
      <c r="H416" s="1311"/>
    </row>
    <row r="417" spans="1:8" x14ac:dyDescent="0.2">
      <c r="A417" s="345">
        <v>40209</v>
      </c>
      <c r="B417" s="253">
        <v>-1.55</v>
      </c>
      <c r="C417" s="346">
        <v>141473436.77000001</v>
      </c>
      <c r="D417" s="1311">
        <v>-1.55288</v>
      </c>
      <c r="E417" s="258">
        <f>B417-Index_Returns!V417</f>
        <v>-0.57000000000000006</v>
      </c>
      <c r="H417" s="1311"/>
    </row>
    <row r="418" spans="1:8" x14ac:dyDescent="0.2">
      <c r="A418" s="345">
        <v>40237</v>
      </c>
      <c r="B418" s="253">
        <v>-1.78</v>
      </c>
      <c r="C418" s="346">
        <v>138090851.30000001</v>
      </c>
      <c r="D418" s="258">
        <v>-1.7780800000000001</v>
      </c>
      <c r="E418" s="258">
        <f>B418-Index_Returns!V418</f>
        <v>-0.39000000000000012</v>
      </c>
      <c r="H418" s="1311"/>
    </row>
    <row r="419" spans="1:8" x14ac:dyDescent="0.2">
      <c r="A419" s="345">
        <v>40268</v>
      </c>
      <c r="B419" s="253">
        <v>7.59</v>
      </c>
      <c r="C419" s="1334">
        <v>149461470.46000001</v>
      </c>
      <c r="D419" s="1311">
        <v>7.5932000000000004</v>
      </c>
      <c r="E419" s="258">
        <f>B419-Index_Returns!V419</f>
        <v>0.24000000000000021</v>
      </c>
      <c r="H419" s="1311"/>
    </row>
    <row r="420" spans="1:8" x14ac:dyDescent="0.2">
      <c r="A420" s="345">
        <v>40298</v>
      </c>
      <c r="B420" s="253">
        <v>1.86</v>
      </c>
      <c r="C420" s="346">
        <v>152310582.19</v>
      </c>
      <c r="D420" s="258">
        <v>1.8638699999999999</v>
      </c>
      <c r="E420" s="258">
        <f>B420-Index_Returns!V420</f>
        <v>0.1100000000000001</v>
      </c>
      <c r="H420" s="1311"/>
    </row>
    <row r="421" spans="1:8" x14ac:dyDescent="0.2">
      <c r="A421" s="345">
        <v>40329</v>
      </c>
      <c r="B421" s="253">
        <v>-13.01</v>
      </c>
      <c r="C421" s="346">
        <v>132502822.40000001</v>
      </c>
      <c r="D421" s="258">
        <v>-13.00484</v>
      </c>
      <c r="E421" s="258">
        <f>B421-Index_Returns!V421</f>
        <v>-0.64000000000000057</v>
      </c>
      <c r="H421" s="1311"/>
    </row>
    <row r="422" spans="1:8" x14ac:dyDescent="0.2">
      <c r="A422" s="345">
        <v>40359</v>
      </c>
      <c r="B422" s="253">
        <v>-1.36</v>
      </c>
      <c r="C422" s="346">
        <v>130577448.19</v>
      </c>
      <c r="D422" s="1311">
        <v>-1.3632899999999999</v>
      </c>
      <c r="E422" s="258">
        <f>B422-Index_Returns!V422</f>
        <v>-0.96597000000000011</v>
      </c>
      <c r="H422" s="1311"/>
    </row>
    <row r="423" spans="1:8" x14ac:dyDescent="0.2">
      <c r="A423" s="345">
        <v>40390</v>
      </c>
      <c r="B423" s="253">
        <v>8.1650299999999998</v>
      </c>
      <c r="C423" s="346">
        <v>141354302.16</v>
      </c>
      <c r="D423" s="1311">
        <v>8.1650299999999998</v>
      </c>
      <c r="E423" s="258">
        <f>B423-Index_Returns!V423</f>
        <v>-0.47503999999999991</v>
      </c>
      <c r="H423" s="1311"/>
    </row>
    <row r="424" spans="1:8" x14ac:dyDescent="0.2">
      <c r="A424" s="345">
        <v>40421</v>
      </c>
      <c r="B424" s="253">
        <v>-3.98848</v>
      </c>
      <c r="C424" s="346">
        <v>135776224.87</v>
      </c>
      <c r="D424" s="1311">
        <v>-3.98848</v>
      </c>
      <c r="E424" s="258">
        <f>B424-Index_Returns!V424</f>
        <v>-1.1053299999999999</v>
      </c>
      <c r="H424" s="1311"/>
    </row>
    <row r="425" spans="1:8" x14ac:dyDescent="0.2">
      <c r="A425" s="345">
        <v>40451</v>
      </c>
      <c r="B425" s="253">
        <v>10.296250000000001</v>
      </c>
      <c r="C425" s="346">
        <v>149704455.84</v>
      </c>
      <c r="D425" s="258">
        <v>10.296250000000001</v>
      </c>
      <c r="E425" s="258">
        <f>B425-Index_Returns!V425</f>
        <v>-1.1277099999999987</v>
      </c>
      <c r="H425" s="1311"/>
    </row>
    <row r="426" spans="1:8" x14ac:dyDescent="0.2">
      <c r="A426" s="345">
        <v>40482</v>
      </c>
      <c r="B426" s="258">
        <v>2.8636599999999999</v>
      </c>
      <c r="C426" s="346">
        <v>153991475.65000001</v>
      </c>
      <c r="D426" s="258">
        <v>2.8636599999999999</v>
      </c>
      <c r="E426" s="258">
        <f>B426-Index_Returns!V426</f>
        <v>-1.00292</v>
      </c>
      <c r="H426" s="1311"/>
    </row>
    <row r="427" spans="1:8" x14ac:dyDescent="0.2">
      <c r="A427" s="345">
        <v>40512</v>
      </c>
      <c r="B427" s="253">
        <f>D427</f>
        <v>-3.0348000000000002</v>
      </c>
      <c r="C427" s="346">
        <v>149317000</v>
      </c>
      <c r="D427" s="1311">
        <v>-3.0348000000000002</v>
      </c>
      <c r="E427" s="258">
        <f>B427-Index_Returns!V427</f>
        <v>0.53152999999999961</v>
      </c>
      <c r="H427" s="1311"/>
    </row>
    <row r="428" spans="1:8" x14ac:dyDescent="0.2">
      <c r="A428" s="345">
        <v>40543</v>
      </c>
      <c r="B428" s="253">
        <v>12.286350000000001</v>
      </c>
      <c r="C428" s="346">
        <v>167914584.65000001</v>
      </c>
      <c r="D428" s="258">
        <v>12.286350000000001</v>
      </c>
      <c r="E428" s="258">
        <f>B428-Index_Returns!V428</f>
        <v>0.6325200000000013</v>
      </c>
      <c r="H428" s="1311"/>
    </row>
    <row r="429" spans="1:8" x14ac:dyDescent="0.2">
      <c r="A429" s="345">
        <v>40574</v>
      </c>
      <c r="B429" s="253">
        <f>D429</f>
        <v>2.0642299999999998</v>
      </c>
      <c r="C429" s="346">
        <v>171151584.53999999</v>
      </c>
      <c r="D429" s="258">
        <v>2.0642299999999998</v>
      </c>
      <c r="E429" s="258">
        <f>B429-Index_Returns!V429</f>
        <v>1.2691299999999996</v>
      </c>
      <c r="H429" s="1311"/>
    </row>
    <row r="430" spans="1:8" x14ac:dyDescent="0.2">
      <c r="A430" s="345">
        <v>40602</v>
      </c>
      <c r="B430" s="253">
        <v>2.2683599999999999</v>
      </c>
      <c r="C430" s="346">
        <v>175024188.27000001</v>
      </c>
      <c r="D430" s="1311">
        <v>2.2746</v>
      </c>
      <c r="E430" s="258">
        <f>B430-Index_Returns!V430</f>
        <v>-3.7799999999998946E-3</v>
      </c>
      <c r="H430" s="1311"/>
    </row>
    <row r="431" spans="1:8" x14ac:dyDescent="0.2">
      <c r="A431" s="345">
        <v>40633</v>
      </c>
      <c r="B431" s="253">
        <f>D431</f>
        <v>0.61638000000000004</v>
      </c>
      <c r="C431" s="346">
        <v>225796231.81999999</v>
      </c>
      <c r="D431" s="258">
        <v>0.61638000000000004</v>
      </c>
      <c r="E431" s="258">
        <f>B431-Index_Returns!V431</f>
        <v>0.67898999999999998</v>
      </c>
      <c r="H431" s="1311"/>
    </row>
    <row r="432" spans="1:8" x14ac:dyDescent="0.2">
      <c r="A432" s="345">
        <v>40663</v>
      </c>
      <c r="B432" s="253">
        <f t="shared" ref="B432:B488" si="0">D432</f>
        <v>3.7491400000000001</v>
      </c>
      <c r="C432" s="346">
        <v>234281541.13</v>
      </c>
      <c r="D432" s="1311">
        <v>3.7491400000000001</v>
      </c>
      <c r="E432" s="258">
        <f>B432-Index_Returns!V432</f>
        <v>-1.5660899999999995</v>
      </c>
      <c r="H432" s="1311"/>
    </row>
    <row r="433" spans="1:8" x14ac:dyDescent="0.2">
      <c r="A433" s="345">
        <v>40694</v>
      </c>
      <c r="B433" s="253">
        <f t="shared" si="0"/>
        <v>-4.1683000000000003</v>
      </c>
      <c r="C433" s="346">
        <v>224867800.58000001</v>
      </c>
      <c r="D433" s="258">
        <v>-4.1683000000000003</v>
      </c>
      <c r="E433" s="258">
        <f>B433-Index_Returns!V433</f>
        <v>-1.6982300000000001</v>
      </c>
      <c r="H433" s="1311"/>
    </row>
    <row r="434" spans="1:8" x14ac:dyDescent="0.2">
      <c r="A434" s="345">
        <v>40724</v>
      </c>
      <c r="B434" s="253">
        <f t="shared" si="0"/>
        <v>-2.5940699999999999</v>
      </c>
      <c r="C434" s="346">
        <v>219109418.43000001</v>
      </c>
      <c r="D434" s="258">
        <v>-2.5940699999999999</v>
      </c>
      <c r="E434" s="258">
        <f>B434-Index_Returns!V434</f>
        <v>-0.95806999999999998</v>
      </c>
      <c r="H434" s="1311"/>
    </row>
    <row r="435" spans="1:8" x14ac:dyDescent="0.2">
      <c r="A435" s="345">
        <v>40755</v>
      </c>
      <c r="B435" s="253">
        <f t="shared" si="0"/>
        <v>-1.62331</v>
      </c>
      <c r="C435" s="346">
        <v>215420566.18000001</v>
      </c>
      <c r="D435" s="258">
        <v>-1.62331</v>
      </c>
      <c r="E435" s="258">
        <f>B435-Index_Returns!V435</f>
        <v>-0.58603000000000005</v>
      </c>
      <c r="H435" s="1311"/>
    </row>
    <row r="436" spans="1:8" x14ac:dyDescent="0.2">
      <c r="A436" s="345">
        <v>40786</v>
      </c>
      <c r="B436" s="253">
        <f t="shared" si="0"/>
        <v>-9.2470300000000005</v>
      </c>
      <c r="C436" s="346">
        <v>195884823.56999999</v>
      </c>
      <c r="D436" s="258">
        <v>-9.2470300000000005</v>
      </c>
      <c r="E436" s="258">
        <f>B436-Index_Returns!V436</f>
        <v>-1.0376500000000011</v>
      </c>
      <c r="H436" s="1311"/>
    </row>
    <row r="437" spans="1:8" x14ac:dyDescent="0.2">
      <c r="A437" s="345">
        <v>40816</v>
      </c>
      <c r="B437" s="253">
        <f t="shared" si="0"/>
        <v>-10.880420000000001</v>
      </c>
      <c r="C437" s="346">
        <v>174656883.61000001</v>
      </c>
      <c r="D437" s="258">
        <v>-10.880420000000001</v>
      </c>
      <c r="E437" s="258">
        <f>B437-Index_Returns!V437</f>
        <v>-0.54852000000000167</v>
      </c>
      <c r="H437" s="1311"/>
    </row>
    <row r="438" spans="1:8" x14ac:dyDescent="0.2">
      <c r="A438" s="345">
        <v>40847</v>
      </c>
      <c r="B438" s="253">
        <f t="shared" si="0"/>
        <v>7.3367300000000002</v>
      </c>
      <c r="C438" s="346">
        <v>104374499.25</v>
      </c>
      <c r="D438" s="258">
        <v>7.3367300000000002</v>
      </c>
      <c r="E438" s="258">
        <f>B438-Index_Returns!V438</f>
        <v>0.13524000000000047</v>
      </c>
      <c r="H438" s="1311"/>
    </row>
    <row r="439" spans="1:8" x14ac:dyDescent="0.2">
      <c r="A439" s="345">
        <v>40877</v>
      </c>
      <c r="B439" s="253">
        <f t="shared" si="0"/>
        <v>-6.04575</v>
      </c>
      <c r="C439" s="346">
        <v>98557196.799999997</v>
      </c>
      <c r="D439" s="258">
        <v>-6.04575</v>
      </c>
      <c r="E439" s="258">
        <f>B439-Index_Returns!V439</f>
        <v>-0.64560999999999957</v>
      </c>
      <c r="H439" s="1311"/>
    </row>
    <row r="440" spans="1:8" x14ac:dyDescent="0.2">
      <c r="A440" s="345">
        <v>40908</v>
      </c>
      <c r="B440" s="253">
        <f t="shared" si="0"/>
        <v>-1.6426499999999999</v>
      </c>
      <c r="C440" s="346">
        <v>96999774.489999995</v>
      </c>
      <c r="D440" s="258">
        <v>-1.6426499999999999</v>
      </c>
      <c r="E440" s="258">
        <f>B440-Index_Returns!V440</f>
        <v>0.25951999999999997</v>
      </c>
      <c r="H440" s="1311"/>
    </row>
    <row r="441" spans="1:8" x14ac:dyDescent="0.2">
      <c r="A441" s="345">
        <v>40939</v>
      </c>
      <c r="B441" s="253">
        <f t="shared" si="0"/>
        <v>9.4835899999999995</v>
      </c>
      <c r="C441" s="346">
        <v>106102362.72</v>
      </c>
      <c r="D441" s="258">
        <v>9.4835899999999995</v>
      </c>
      <c r="E441" s="258">
        <f>B441-Index_Returns!V441</f>
        <v>1.2058599999999995</v>
      </c>
      <c r="H441" s="1311"/>
    </row>
    <row r="442" spans="1:8" x14ac:dyDescent="0.2">
      <c r="A442" s="345">
        <v>40968</v>
      </c>
      <c r="B442" s="253">
        <f t="shared" si="0"/>
        <v>6.5124399999999998</v>
      </c>
      <c r="C442" s="346">
        <v>113229753.87</v>
      </c>
      <c r="D442" s="258">
        <v>6.5124399999999998</v>
      </c>
      <c r="E442" s="258">
        <f>B442-Index_Returns!V442</f>
        <v>0.49658999999999942</v>
      </c>
      <c r="H442" s="1311"/>
    </row>
    <row r="443" spans="1:8" x14ac:dyDescent="0.2">
      <c r="A443" s="345">
        <v>40999</v>
      </c>
      <c r="B443" s="253">
        <f t="shared" si="0"/>
        <v>-0.72313000000000005</v>
      </c>
      <c r="C443" s="346">
        <v>112463741.28</v>
      </c>
      <c r="D443" s="258">
        <v>-0.72313000000000005</v>
      </c>
      <c r="E443" s="258">
        <f>B443-Index_Returns!V443</f>
        <v>-0.85150000000000003</v>
      </c>
      <c r="H443" s="1311"/>
    </row>
    <row r="444" spans="1:8" x14ac:dyDescent="0.2">
      <c r="A444" s="345">
        <v>41029</v>
      </c>
      <c r="B444" s="253">
        <f t="shared" si="0"/>
        <v>-2.6302400000000001</v>
      </c>
      <c r="C444" s="346">
        <v>109495819.5</v>
      </c>
      <c r="D444" s="258">
        <v>-2.6302400000000001</v>
      </c>
      <c r="E444" s="258">
        <f>B444-Index_Returns!V444</f>
        <v>-2.1973100000000003</v>
      </c>
      <c r="H444" s="1311"/>
    </row>
    <row r="445" spans="1:8" x14ac:dyDescent="0.2">
      <c r="A445" s="345">
        <v>41060</v>
      </c>
      <c r="B445" s="253">
        <f t="shared" si="0"/>
        <v>-13.509919999999999</v>
      </c>
      <c r="C445" s="346">
        <v>94839810.349999994</v>
      </c>
      <c r="D445" s="1311">
        <v>-13.509919999999999</v>
      </c>
      <c r="E445" s="258">
        <f>B445-Index_Returns!V445</f>
        <v>-1.8274399999999993</v>
      </c>
      <c r="H445" s="1311"/>
    </row>
    <row r="446" spans="1:8" x14ac:dyDescent="0.2">
      <c r="A446" s="345">
        <v>41090</v>
      </c>
      <c r="B446" s="253">
        <f t="shared" si="0"/>
        <v>5.6719200000000001</v>
      </c>
      <c r="C446" s="346">
        <v>100217431.54000001</v>
      </c>
      <c r="D446" s="1311">
        <v>5.6719200000000001</v>
      </c>
      <c r="E446" s="258">
        <f>B446-Index_Returns!V446</f>
        <v>1.5885499999999997</v>
      </c>
      <c r="H446" s="1311"/>
    </row>
    <row r="447" spans="1:8" x14ac:dyDescent="0.2">
      <c r="A447" s="345">
        <v>41121</v>
      </c>
      <c r="B447" s="253">
        <f t="shared" si="0"/>
        <v>0.35075000000000001</v>
      </c>
      <c r="C447" s="346">
        <v>100673174.44</v>
      </c>
      <c r="D447" s="258">
        <v>0.35075000000000001</v>
      </c>
      <c r="E447" s="258">
        <f>B447-Index_Returns!V447</f>
        <v>-3.5939999999999972E-2</v>
      </c>
      <c r="H447" s="1311"/>
    </row>
    <row r="448" spans="1:8" x14ac:dyDescent="0.2">
      <c r="A448" s="345">
        <v>41152</v>
      </c>
      <c r="B448" s="253">
        <f t="shared" si="0"/>
        <v>3.52217</v>
      </c>
      <c r="C448" s="346">
        <v>104221563.04000001</v>
      </c>
      <c r="D448" s="258">
        <v>3.52217</v>
      </c>
      <c r="E448" s="258">
        <f>B448-Index_Returns!V448</f>
        <v>0.83911999999999987</v>
      </c>
      <c r="H448" s="1311"/>
    </row>
    <row r="449" spans="1:8" x14ac:dyDescent="0.2">
      <c r="A449" s="345">
        <v>41182</v>
      </c>
      <c r="B449" s="253">
        <f t="shared" si="0"/>
        <v>4.9735899999999997</v>
      </c>
      <c r="C449" s="346">
        <v>109500361.65000001</v>
      </c>
      <c r="D449" s="1311">
        <v>4.9735899999999997</v>
      </c>
      <c r="E449" s="258">
        <f>B449-Index_Returns!V449</f>
        <v>0.25863000000000014</v>
      </c>
      <c r="H449" s="1311"/>
    </row>
    <row r="450" spans="1:8" x14ac:dyDescent="0.2">
      <c r="A450" s="345">
        <v>41213</v>
      </c>
      <c r="B450" s="253">
        <f t="shared" si="0"/>
        <v>0.41086</v>
      </c>
      <c r="C450" s="346">
        <v>109950428.61</v>
      </c>
      <c r="D450" s="258">
        <v>0.41086</v>
      </c>
      <c r="E450" s="258">
        <f>B450-Index_Returns!V450</f>
        <v>-0.44613999999999998</v>
      </c>
      <c r="H450" s="1311"/>
    </row>
    <row r="451" spans="1:8" x14ac:dyDescent="0.2">
      <c r="A451" s="345">
        <v>41243</v>
      </c>
      <c r="B451" s="253">
        <f t="shared" si="0"/>
        <v>1.4594199999999999</v>
      </c>
      <c r="C451" s="346">
        <v>111509084.23</v>
      </c>
      <c r="D451" s="258">
        <v>1.4594199999999999</v>
      </c>
      <c r="E451" s="258">
        <f>B451-Index_Returns!V451</f>
        <v>0.50142999999999993</v>
      </c>
      <c r="H451" s="1311"/>
    </row>
    <row r="452" spans="1:8" x14ac:dyDescent="0.2">
      <c r="A452" s="345">
        <v>41274</v>
      </c>
      <c r="B452" s="253">
        <f t="shared" si="0"/>
        <v>5.1097200000000003</v>
      </c>
      <c r="C452" s="346">
        <v>117436150.06999999</v>
      </c>
      <c r="D452" s="258">
        <v>5.1097200000000003</v>
      </c>
      <c r="E452" s="258">
        <f>B452-Index_Returns!V452</f>
        <v>0.9618600000000006</v>
      </c>
      <c r="H452" s="1311"/>
    </row>
    <row r="453" spans="1:8" x14ac:dyDescent="0.2">
      <c r="A453" s="345">
        <v>41305</v>
      </c>
      <c r="B453" s="253">
        <f t="shared" si="0"/>
        <v>5.9362399999999997</v>
      </c>
      <c r="C453" s="346">
        <v>124402732.84999999</v>
      </c>
      <c r="D453" s="1311">
        <v>5.9362399999999997</v>
      </c>
      <c r="E453" s="258">
        <f>B453-Index_Returns!V453</f>
        <v>0.69965999999999973</v>
      </c>
      <c r="H453" s="1311"/>
    </row>
    <row r="454" spans="1:8" x14ac:dyDescent="0.2">
      <c r="A454" s="345">
        <v>41333</v>
      </c>
      <c r="B454" s="253">
        <f t="shared" si="0"/>
        <v>0.75073000000000001</v>
      </c>
      <c r="C454" s="346">
        <v>125366150.91</v>
      </c>
      <c r="D454" s="258">
        <v>0.75073000000000001</v>
      </c>
      <c r="E454" s="258">
        <f>B454-Index_Returns!V454</f>
        <v>-0.36797000000000002</v>
      </c>
      <c r="H454" s="1311"/>
    </row>
    <row r="455" spans="1:8" x14ac:dyDescent="0.2">
      <c r="A455" s="345">
        <v>41364</v>
      </c>
      <c r="B455" s="253">
        <f t="shared" si="0"/>
        <v>1.95705</v>
      </c>
      <c r="C455" s="346">
        <v>128125110.98999999</v>
      </c>
      <c r="D455" s="258">
        <v>1.95705</v>
      </c>
      <c r="E455" s="258">
        <f>B455-Index_Returns!V455</f>
        <v>1.1989999999999945E-2</v>
      </c>
      <c r="H455" s="1311"/>
    </row>
    <row r="456" spans="1:8" x14ac:dyDescent="0.2">
      <c r="A456" s="345">
        <v>41394</v>
      </c>
      <c r="B456" s="253">
        <f t="shared" si="0"/>
        <v>3.4396900000000001</v>
      </c>
      <c r="C456" s="346">
        <v>132391257.66</v>
      </c>
      <c r="D456" s="1311">
        <v>3.4396900000000001</v>
      </c>
      <c r="E456" s="258">
        <f>B456-Index_Returns!V456</f>
        <v>-0.21828000000000003</v>
      </c>
      <c r="H456" s="1311"/>
    </row>
    <row r="457" spans="1:8" x14ac:dyDescent="0.2">
      <c r="A457" s="345">
        <v>41425</v>
      </c>
      <c r="B457" s="253">
        <f t="shared" si="0"/>
        <v>-1.79541</v>
      </c>
      <c r="C457" s="346">
        <v>130215184.97</v>
      </c>
      <c r="D457" s="258">
        <v>-1.79541</v>
      </c>
      <c r="E457" s="258">
        <f>B457-Index_Returns!V457</f>
        <v>0.46580999999999984</v>
      </c>
      <c r="H457" s="1311"/>
    </row>
    <row r="458" spans="1:8" x14ac:dyDescent="0.2">
      <c r="A458" s="345">
        <v>41455</v>
      </c>
      <c r="B458" s="253">
        <f t="shared" si="0"/>
        <v>-3.8477999999999999</v>
      </c>
      <c r="C458" s="1307">
        <v>171492047.52000001</v>
      </c>
      <c r="D458" s="1311">
        <v>-3.8477999999999999</v>
      </c>
      <c r="E458" s="258">
        <f>B458-Index_Returns!V458</f>
        <v>-0.22669999999999968</v>
      </c>
      <c r="H458" s="1311"/>
    </row>
    <row r="459" spans="1:8" x14ac:dyDescent="0.2">
      <c r="A459" s="345">
        <v>41486</v>
      </c>
      <c r="B459" s="253">
        <f t="shared" si="0"/>
        <v>6.4745799999999996</v>
      </c>
      <c r="C459" s="346">
        <v>182640258.22</v>
      </c>
      <c r="D459" s="258">
        <v>6.4745799999999996</v>
      </c>
      <c r="E459" s="258">
        <f>B459-Index_Returns!V459</f>
        <v>0.39229999999999965</v>
      </c>
      <c r="H459" s="1311"/>
    </row>
    <row r="460" spans="1:8" x14ac:dyDescent="0.2">
      <c r="A460" s="345">
        <v>41517</v>
      </c>
      <c r="B460" s="253">
        <f t="shared" si="0"/>
        <v>-0.35438999999999998</v>
      </c>
      <c r="C460" s="346">
        <v>182223939.72</v>
      </c>
      <c r="D460" s="258">
        <v>-0.35438999999999998</v>
      </c>
      <c r="E460" s="258">
        <f>B460-Index_Returns!V460</f>
        <v>-0.30467</v>
      </c>
    </row>
    <row r="461" spans="1:8" x14ac:dyDescent="0.2">
      <c r="A461" s="345">
        <v>41547</v>
      </c>
      <c r="B461" s="253">
        <f t="shared" si="0"/>
        <v>9.1129200000000008</v>
      </c>
      <c r="C461" s="346">
        <v>198829853.15000001</v>
      </c>
      <c r="D461" s="258">
        <v>9.1129200000000008</v>
      </c>
      <c r="E461" s="258">
        <f>B461-Index_Returns!V461</f>
        <v>0.12157000000000018</v>
      </c>
    </row>
    <row r="462" spans="1:8" x14ac:dyDescent="0.2">
      <c r="A462" s="345">
        <v>41578</v>
      </c>
      <c r="B462" s="253">
        <f t="shared" si="0"/>
        <v>4.1552199999999999</v>
      </c>
      <c r="C462" s="346">
        <v>207091663.53999999</v>
      </c>
      <c r="D462" s="258">
        <v>4.1552199999999999</v>
      </c>
      <c r="E462" s="258">
        <f>B462-Index_Returns!V462</f>
        <v>1.1116799999999998</v>
      </c>
    </row>
    <row r="463" spans="1:8" x14ac:dyDescent="0.2">
      <c r="A463" s="345">
        <v>41608</v>
      </c>
      <c r="B463" s="253">
        <f t="shared" si="0"/>
        <v>-0.14018</v>
      </c>
      <c r="C463" s="346">
        <v>207102354.47999999</v>
      </c>
      <c r="D463" s="258">
        <v>-0.14018</v>
      </c>
      <c r="E463" s="258">
        <f>B463-Index_Returns!V463</f>
        <v>-0.58516000000000001</v>
      </c>
    </row>
    <row r="464" spans="1:8" x14ac:dyDescent="0.2">
      <c r="A464" s="345">
        <v>41639</v>
      </c>
      <c r="B464" s="253">
        <f t="shared" si="0"/>
        <v>2.7479100000000001</v>
      </c>
      <c r="C464" s="346">
        <v>212793345.36000001</v>
      </c>
      <c r="D464" s="258">
        <v>2.7479100000000001</v>
      </c>
      <c r="E464" s="258">
        <f>B464-Index_Returns!V464</f>
        <v>0.39186999999999994</v>
      </c>
    </row>
    <row r="465" spans="1:5" x14ac:dyDescent="0.2">
      <c r="A465" s="345">
        <v>41670</v>
      </c>
      <c r="B465" s="253">
        <f t="shared" si="0"/>
        <v>-0.82850999999999997</v>
      </c>
      <c r="C465" s="346">
        <v>211030330.37</v>
      </c>
      <c r="D465" s="258">
        <v>-0.82850999999999997</v>
      </c>
      <c r="E465" s="258">
        <f>B465-Index_Returns!V465</f>
        <v>0.70745000000000002</v>
      </c>
    </row>
    <row r="466" spans="1:5" x14ac:dyDescent="0.2">
      <c r="A466" s="345">
        <v>41698</v>
      </c>
      <c r="B466" s="253">
        <f t="shared" si="0"/>
        <v>6.29033</v>
      </c>
      <c r="C466" s="346">
        <v>224648798.93000001</v>
      </c>
      <c r="D466" s="258">
        <v>6.29033</v>
      </c>
      <c r="E466" s="258">
        <f>B466-Index_Returns!V466</f>
        <v>0.76773999999999987</v>
      </c>
    </row>
    <row r="467" spans="1:5" x14ac:dyDescent="0.2">
      <c r="A467" s="345">
        <v>41729</v>
      </c>
      <c r="B467" s="253">
        <f t="shared" si="0"/>
        <v>0.39588000000000001</v>
      </c>
      <c r="C467" s="346">
        <v>225538142.61000001</v>
      </c>
      <c r="D467" s="258">
        <v>0.39588000000000001</v>
      </c>
      <c r="E467" s="258">
        <f>B467-Index_Returns!V467</f>
        <v>0.92098999999999998</v>
      </c>
    </row>
    <row r="468" spans="1:5" x14ac:dyDescent="0.2">
      <c r="A468" s="345">
        <v>41759</v>
      </c>
      <c r="B468" s="253">
        <f t="shared" si="0"/>
        <v>-0.14599999999999999</v>
      </c>
      <c r="C468" s="346">
        <v>225208850.12</v>
      </c>
      <c r="D468" s="258">
        <v>-0.14599999999999999</v>
      </c>
      <c r="E468" s="258">
        <f>B468-Index_Returns!V468</f>
        <v>0.66020999999999996</v>
      </c>
    </row>
    <row r="469" spans="1:5" x14ac:dyDescent="0.2">
      <c r="A469" s="345">
        <v>41790</v>
      </c>
      <c r="B469" s="253">
        <f t="shared" si="0"/>
        <v>0.34778999999999999</v>
      </c>
      <c r="C469" s="346">
        <v>226367752.13</v>
      </c>
      <c r="D469" s="258">
        <v>0.34778999999999999</v>
      </c>
      <c r="E469" s="258">
        <f>B469-Index_Returns!V469</f>
        <v>-1.0519499999999999</v>
      </c>
    </row>
    <row r="470" spans="1:5" x14ac:dyDescent="0.2">
      <c r="A470" s="345">
        <v>41820</v>
      </c>
      <c r="B470" s="253">
        <f t="shared" si="0"/>
        <v>2.1553800000000001</v>
      </c>
      <c r="C470" s="346">
        <v>231246829.12</v>
      </c>
      <c r="D470" s="258">
        <v>2.1553800000000001</v>
      </c>
      <c r="E470" s="258">
        <f>B470-Index_Returns!V470</f>
        <v>0.67020000000000013</v>
      </c>
    </row>
    <row r="471" spans="1:5" x14ac:dyDescent="0.2">
      <c r="A471" s="345">
        <v>41851</v>
      </c>
      <c r="B471" s="253">
        <f t="shared" si="0"/>
        <v>-2.9668600000000001</v>
      </c>
      <c r="C471" s="346">
        <v>224386057.08399999</v>
      </c>
      <c r="D471" s="258">
        <v>-2.9668600000000001</v>
      </c>
      <c r="E471" s="258">
        <f>B471-Index_Returns!V471</f>
        <v>-0.61574000000000018</v>
      </c>
    </row>
    <row r="472" spans="1:5" x14ac:dyDescent="0.2">
      <c r="A472" s="345">
        <v>41882</v>
      </c>
      <c r="B472" s="253">
        <f t="shared" si="0"/>
        <v>-0.30803999999999998</v>
      </c>
      <c r="C472" s="346">
        <v>224090617.62</v>
      </c>
      <c r="D472" s="258">
        <v>-0.30803999999999998</v>
      </c>
      <c r="E472" s="258">
        <f>B472-Index_Returns!V472</f>
        <v>-0.13124999999999998</v>
      </c>
    </row>
    <row r="473" spans="1:5" x14ac:dyDescent="0.2">
      <c r="A473" s="345">
        <v>41912</v>
      </c>
      <c r="B473" s="253">
        <f t="shared" si="0"/>
        <v>0</v>
      </c>
      <c r="E473" s="258">
        <f>B473-Index_Returns!V473</f>
        <v>0</v>
      </c>
    </row>
    <row r="474" spans="1:5" x14ac:dyDescent="0.2">
      <c r="A474" s="345">
        <v>41943</v>
      </c>
      <c r="B474" s="253">
        <f t="shared" si="0"/>
        <v>0</v>
      </c>
      <c r="E474" s="258">
        <f>B474-Index_Returns!V474</f>
        <v>0</v>
      </c>
    </row>
    <row r="475" spans="1:5" x14ac:dyDescent="0.2">
      <c r="A475" s="345">
        <v>41973</v>
      </c>
      <c r="B475" s="253">
        <f t="shared" si="0"/>
        <v>0</v>
      </c>
      <c r="E475" s="258">
        <f>B475-Index_Returns!V475</f>
        <v>0</v>
      </c>
    </row>
    <row r="476" spans="1:5" x14ac:dyDescent="0.2">
      <c r="A476" s="345">
        <v>42004</v>
      </c>
      <c r="B476" s="253">
        <f t="shared" si="0"/>
        <v>0</v>
      </c>
      <c r="E476" s="258">
        <f>B476-Index_Returns!V476</f>
        <v>0</v>
      </c>
    </row>
    <row r="477" spans="1:5" x14ac:dyDescent="0.2">
      <c r="A477" s="345">
        <v>42035</v>
      </c>
      <c r="B477" s="253">
        <f t="shared" si="0"/>
        <v>0</v>
      </c>
      <c r="E477" s="258">
        <f>B477-Index_Returns!V477</f>
        <v>0</v>
      </c>
    </row>
    <row r="478" spans="1:5" x14ac:dyDescent="0.2">
      <c r="A478" s="345">
        <v>42063</v>
      </c>
      <c r="B478" s="253">
        <f t="shared" si="0"/>
        <v>0</v>
      </c>
      <c r="E478" s="258">
        <f>B478-Index_Returns!V478</f>
        <v>0</v>
      </c>
    </row>
    <row r="479" spans="1:5" x14ac:dyDescent="0.2">
      <c r="A479" s="345">
        <v>42094</v>
      </c>
      <c r="B479" s="253">
        <f t="shared" si="0"/>
        <v>0</v>
      </c>
      <c r="E479" s="258">
        <f>B479-Index_Returns!V479</f>
        <v>0</v>
      </c>
    </row>
    <row r="480" spans="1:5" x14ac:dyDescent="0.2">
      <c r="A480" s="345">
        <v>42124</v>
      </c>
      <c r="B480" s="253">
        <f t="shared" si="0"/>
        <v>0</v>
      </c>
      <c r="E480" s="258">
        <f>B480-Index_Returns!V480</f>
        <v>0</v>
      </c>
    </row>
    <row r="481" spans="1:5" x14ac:dyDescent="0.2">
      <c r="A481" s="345">
        <v>42155</v>
      </c>
      <c r="B481" s="253">
        <f t="shared" si="0"/>
        <v>0</v>
      </c>
      <c r="E481" s="258">
        <f>B481-Index_Returns!V481</f>
        <v>0</v>
      </c>
    </row>
    <row r="482" spans="1:5" x14ac:dyDescent="0.2">
      <c r="A482" s="345">
        <v>42185</v>
      </c>
      <c r="B482" s="253">
        <f t="shared" si="0"/>
        <v>0</v>
      </c>
      <c r="E482" s="258">
        <f>B482-Index_Returns!V482</f>
        <v>0</v>
      </c>
    </row>
    <row r="483" spans="1:5" x14ac:dyDescent="0.2">
      <c r="A483" s="345">
        <v>42216</v>
      </c>
      <c r="B483" s="253">
        <f t="shared" si="0"/>
        <v>0</v>
      </c>
      <c r="E483" s="258">
        <f>B483-Index_Returns!V483</f>
        <v>0</v>
      </c>
    </row>
    <row r="484" spans="1:5" x14ac:dyDescent="0.2">
      <c r="A484" s="345">
        <v>42247</v>
      </c>
      <c r="B484" s="253">
        <f t="shared" si="0"/>
        <v>0</v>
      </c>
      <c r="E484" s="258">
        <f>B484-Index_Returns!V484</f>
        <v>0</v>
      </c>
    </row>
    <row r="485" spans="1:5" x14ac:dyDescent="0.2">
      <c r="A485" s="345">
        <v>42277</v>
      </c>
      <c r="B485" s="253">
        <f t="shared" si="0"/>
        <v>0</v>
      </c>
      <c r="E485" s="258">
        <f>B485-Index_Returns!V485</f>
        <v>0</v>
      </c>
    </row>
    <row r="486" spans="1:5" x14ac:dyDescent="0.2">
      <c r="A486" s="345">
        <v>42308</v>
      </c>
      <c r="B486" s="253">
        <f t="shared" si="0"/>
        <v>0</v>
      </c>
      <c r="E486" s="258">
        <f>B486-Index_Returns!V486</f>
        <v>0</v>
      </c>
    </row>
    <row r="487" spans="1:5" x14ac:dyDescent="0.2">
      <c r="A487" s="345">
        <v>42338</v>
      </c>
      <c r="B487" s="253">
        <f t="shared" si="0"/>
        <v>0</v>
      </c>
      <c r="E487" s="258">
        <f>B487-Index_Returns!V487</f>
        <v>0</v>
      </c>
    </row>
    <row r="488" spans="1:5" x14ac:dyDescent="0.2">
      <c r="A488" s="345">
        <v>42369</v>
      </c>
      <c r="B488" s="253">
        <f t="shared" si="0"/>
        <v>0</v>
      </c>
      <c r="E488" s="258">
        <f>B488-Index_Returns!V488</f>
        <v>0</v>
      </c>
    </row>
  </sheetData>
  <phoneticPr fontId="3" type="noConversion"/>
  <printOptions headings="1" gridLines="1"/>
  <pageMargins left="0.78740157480314965" right="0.78740157480314965" top="0.78740157480314965" bottom="0.78740157480314965" header="0.39370078740157483" footer="0.39370078740157483"/>
  <pageSetup scale="13" orientation="portrait" r:id="rId1"/>
  <headerFooter alignWithMargins="0">
    <oddHeader>&amp;L&amp;A</oddHead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H488"/>
  <sheetViews>
    <sheetView workbookViewId="0">
      <pane xSplit="1" ySplit="2" topLeftCell="B449" activePane="bottomRight" state="frozen"/>
      <selection pane="topRight" activeCell="B1" sqref="B1"/>
      <selection pane="bottomLeft" activeCell="A3" sqref="A3"/>
      <selection pane="bottomRight" activeCell="C472" sqref="C472:D472"/>
    </sheetView>
  </sheetViews>
  <sheetFormatPr defaultRowHeight="12.75" x14ac:dyDescent="0.2"/>
  <cols>
    <col min="1" max="1" width="18.7109375" style="1308" customWidth="1"/>
    <col min="2" max="2" width="18.7109375" style="1309" customWidth="1"/>
    <col min="3" max="3" width="18.7109375" style="1307" customWidth="1"/>
    <col min="4" max="4" width="18.7109375" style="1306" customWidth="1"/>
    <col min="5" max="5" width="9.140625" style="1301"/>
    <col min="6" max="6" width="12.42578125" style="1266" bestFit="1" customWidth="1"/>
    <col min="7" max="8" width="9.140625" style="1305"/>
    <col min="9" max="16384" width="9.140625" style="1266"/>
  </cols>
  <sheetData>
    <row r="1" spans="1:6" x14ac:dyDescent="0.2">
      <c r="A1" s="1289" t="s">
        <v>881</v>
      </c>
      <c r="B1" s="1290"/>
      <c r="C1" s="1386" t="s">
        <v>686</v>
      </c>
      <c r="D1" s="1373">
        <v>40</v>
      </c>
      <c r="F1" s="1308" t="s">
        <v>740</v>
      </c>
    </row>
    <row r="2" spans="1:6" x14ac:dyDescent="0.2">
      <c r="A2" s="1291" t="s">
        <v>27</v>
      </c>
      <c r="B2" s="1292" t="s">
        <v>91</v>
      </c>
      <c r="C2" s="1294" t="s">
        <v>92</v>
      </c>
      <c r="D2" s="1292" t="s">
        <v>90</v>
      </c>
      <c r="E2" s="1374" t="s">
        <v>80</v>
      </c>
    </row>
    <row r="3" spans="1:6" x14ac:dyDescent="0.2">
      <c r="A3" s="1293">
        <v>27606</v>
      </c>
      <c r="B3" s="1292"/>
      <c r="C3" s="1294"/>
      <c r="D3" s="1292"/>
    </row>
    <row r="4" spans="1:6" x14ac:dyDescent="0.2">
      <c r="A4" s="1293">
        <v>27637</v>
      </c>
      <c r="B4" s="1292"/>
      <c r="C4" s="1294"/>
      <c r="D4" s="1292"/>
    </row>
    <row r="5" spans="1:6" x14ac:dyDescent="0.2">
      <c r="A5" s="1293">
        <v>27667</v>
      </c>
      <c r="B5" s="1292"/>
      <c r="C5" s="1294"/>
      <c r="D5" s="1292"/>
    </row>
    <row r="6" spans="1:6" x14ac:dyDescent="0.2">
      <c r="A6" s="1293">
        <v>27698</v>
      </c>
      <c r="B6" s="1292"/>
      <c r="C6" s="1294"/>
      <c r="D6" s="1292"/>
    </row>
    <row r="7" spans="1:6" x14ac:dyDescent="0.2">
      <c r="A7" s="1293">
        <v>27728</v>
      </c>
      <c r="B7" s="1292"/>
      <c r="C7" s="1294"/>
      <c r="D7" s="1292"/>
    </row>
    <row r="8" spans="1:6" x14ac:dyDescent="0.2">
      <c r="A8" s="1293">
        <v>27759</v>
      </c>
      <c r="B8" s="1292"/>
      <c r="C8" s="1294"/>
      <c r="D8" s="1292"/>
    </row>
    <row r="9" spans="1:6" x14ac:dyDescent="0.2">
      <c r="A9" s="1293">
        <v>27790</v>
      </c>
      <c r="B9" s="1292"/>
      <c r="C9" s="1294"/>
      <c r="D9" s="1292"/>
    </row>
    <row r="10" spans="1:6" x14ac:dyDescent="0.2">
      <c r="A10" s="1293">
        <v>27819</v>
      </c>
      <c r="B10" s="1292"/>
      <c r="C10" s="1294"/>
      <c r="D10" s="1292"/>
    </row>
    <row r="11" spans="1:6" x14ac:dyDescent="0.2">
      <c r="A11" s="1293">
        <v>27850</v>
      </c>
      <c r="B11" s="1292"/>
      <c r="C11" s="1294"/>
      <c r="D11" s="1292"/>
    </row>
    <row r="12" spans="1:6" x14ac:dyDescent="0.2">
      <c r="A12" s="1293">
        <v>27880</v>
      </c>
      <c r="B12" s="1292"/>
      <c r="C12" s="1294"/>
      <c r="D12" s="1292"/>
    </row>
    <row r="13" spans="1:6" x14ac:dyDescent="0.2">
      <c r="A13" s="1293">
        <v>27911</v>
      </c>
      <c r="B13" s="1292"/>
      <c r="C13" s="1294"/>
      <c r="D13" s="1292"/>
    </row>
    <row r="14" spans="1:6" x14ac:dyDescent="0.2">
      <c r="A14" s="1293">
        <v>27941</v>
      </c>
      <c r="B14" s="1292"/>
      <c r="C14" s="1294"/>
      <c r="D14" s="1292"/>
    </row>
    <row r="15" spans="1:6" x14ac:dyDescent="0.2">
      <c r="A15" s="1293">
        <v>27972</v>
      </c>
      <c r="B15" s="1292"/>
      <c r="C15" s="1294"/>
      <c r="D15" s="1292"/>
    </row>
    <row r="16" spans="1:6" x14ac:dyDescent="0.2">
      <c r="A16" s="1293">
        <v>28003</v>
      </c>
      <c r="B16" s="1292"/>
      <c r="C16" s="1294"/>
      <c r="D16" s="1292"/>
    </row>
    <row r="17" spans="1:4" x14ac:dyDescent="0.2">
      <c r="A17" s="1293">
        <v>28033</v>
      </c>
      <c r="B17" s="1292"/>
      <c r="C17" s="1294"/>
      <c r="D17" s="1292"/>
    </row>
    <row r="18" spans="1:4" x14ac:dyDescent="0.2">
      <c r="A18" s="1293">
        <v>28064</v>
      </c>
      <c r="B18" s="1292"/>
      <c r="C18" s="1294"/>
      <c r="D18" s="1292"/>
    </row>
    <row r="19" spans="1:4" x14ac:dyDescent="0.2">
      <c r="A19" s="1293">
        <v>28094</v>
      </c>
      <c r="B19" s="1292"/>
      <c r="C19" s="1294"/>
      <c r="D19" s="1292"/>
    </row>
    <row r="20" spans="1:4" x14ac:dyDescent="0.2">
      <c r="A20" s="1293">
        <v>28125</v>
      </c>
      <c r="B20" s="1292"/>
      <c r="C20" s="1294"/>
      <c r="D20" s="1292"/>
    </row>
    <row r="21" spans="1:4" x14ac:dyDescent="0.2">
      <c r="A21" s="1293">
        <v>28156</v>
      </c>
      <c r="B21" s="1292"/>
      <c r="C21" s="1294"/>
      <c r="D21" s="1292"/>
    </row>
    <row r="22" spans="1:4" x14ac:dyDescent="0.2">
      <c r="A22" s="1293">
        <v>28184</v>
      </c>
      <c r="B22" s="1292"/>
      <c r="C22" s="1294"/>
      <c r="D22" s="1292"/>
    </row>
    <row r="23" spans="1:4" x14ac:dyDescent="0.2">
      <c r="A23" s="1293">
        <v>28215</v>
      </c>
      <c r="B23" s="1292"/>
      <c r="C23" s="1294"/>
      <c r="D23" s="1292"/>
    </row>
    <row r="24" spans="1:4" x14ac:dyDescent="0.2">
      <c r="A24" s="1293">
        <v>28245</v>
      </c>
      <c r="B24" s="1292"/>
      <c r="C24" s="1294"/>
      <c r="D24" s="1292"/>
    </row>
    <row r="25" spans="1:4" x14ac:dyDescent="0.2">
      <c r="A25" s="1293">
        <v>28276</v>
      </c>
      <c r="B25" s="1292"/>
      <c r="C25" s="1294"/>
      <c r="D25" s="1292"/>
    </row>
    <row r="26" spans="1:4" x14ac:dyDescent="0.2">
      <c r="A26" s="1293">
        <v>28306</v>
      </c>
      <c r="B26" s="1292"/>
      <c r="C26" s="1294"/>
      <c r="D26" s="1292"/>
    </row>
    <row r="27" spans="1:4" x14ac:dyDescent="0.2">
      <c r="A27" s="1293">
        <v>28337</v>
      </c>
      <c r="B27" s="1292"/>
      <c r="C27" s="1294"/>
      <c r="D27" s="1292"/>
    </row>
    <row r="28" spans="1:4" x14ac:dyDescent="0.2">
      <c r="A28" s="1293">
        <v>28368</v>
      </c>
      <c r="B28" s="1292"/>
      <c r="C28" s="1294"/>
      <c r="D28" s="1292"/>
    </row>
    <row r="29" spans="1:4" x14ac:dyDescent="0.2">
      <c r="A29" s="1293">
        <v>28398</v>
      </c>
      <c r="B29" s="1292"/>
      <c r="C29" s="1294"/>
      <c r="D29" s="1292"/>
    </row>
    <row r="30" spans="1:4" x14ac:dyDescent="0.2">
      <c r="A30" s="1293">
        <v>28429</v>
      </c>
      <c r="B30" s="1292"/>
      <c r="C30" s="1294"/>
      <c r="D30" s="1292"/>
    </row>
    <row r="31" spans="1:4" x14ac:dyDescent="0.2">
      <c r="A31" s="1293">
        <v>28459</v>
      </c>
      <c r="B31" s="1292"/>
      <c r="C31" s="1294"/>
      <c r="D31" s="1292"/>
    </row>
    <row r="32" spans="1:4" x14ac:dyDescent="0.2">
      <c r="A32" s="1293">
        <v>28490</v>
      </c>
      <c r="B32" s="1292"/>
      <c r="C32" s="1294"/>
      <c r="D32" s="1292"/>
    </row>
    <row r="33" spans="1:4" x14ac:dyDescent="0.2">
      <c r="A33" s="1293">
        <v>28521</v>
      </c>
      <c r="B33" s="1292"/>
      <c r="C33" s="1294"/>
      <c r="D33" s="1292"/>
    </row>
    <row r="34" spans="1:4" x14ac:dyDescent="0.2">
      <c r="A34" s="1293">
        <v>28549</v>
      </c>
      <c r="B34" s="1292"/>
      <c r="C34" s="1294"/>
      <c r="D34" s="1292"/>
    </row>
    <row r="35" spans="1:4" x14ac:dyDescent="0.2">
      <c r="A35" s="1293">
        <v>28580</v>
      </c>
      <c r="B35" s="1292"/>
      <c r="C35" s="1294"/>
      <c r="D35" s="1292"/>
    </row>
    <row r="36" spans="1:4" x14ac:dyDescent="0.2">
      <c r="A36" s="1293">
        <v>28610</v>
      </c>
      <c r="B36" s="1292"/>
      <c r="C36" s="1294"/>
      <c r="D36" s="1292"/>
    </row>
    <row r="37" spans="1:4" x14ac:dyDescent="0.2">
      <c r="A37" s="1293">
        <v>28641</v>
      </c>
      <c r="B37" s="1292"/>
      <c r="C37" s="1294"/>
      <c r="D37" s="1292"/>
    </row>
    <row r="38" spans="1:4" x14ac:dyDescent="0.2">
      <c r="A38" s="1293">
        <v>28671</v>
      </c>
      <c r="B38" s="1292"/>
      <c r="C38" s="1294"/>
      <c r="D38" s="1292"/>
    </row>
    <row r="39" spans="1:4" x14ac:dyDescent="0.2">
      <c r="A39" s="1293">
        <v>28702</v>
      </c>
      <c r="B39" s="1292"/>
      <c r="C39" s="1294"/>
      <c r="D39" s="1292"/>
    </row>
    <row r="40" spans="1:4" x14ac:dyDescent="0.2">
      <c r="A40" s="1293">
        <v>28733</v>
      </c>
      <c r="B40" s="1292"/>
      <c r="C40" s="1294"/>
      <c r="D40" s="1292"/>
    </row>
    <row r="41" spans="1:4" x14ac:dyDescent="0.2">
      <c r="A41" s="1293">
        <v>28763</v>
      </c>
      <c r="B41" s="1292"/>
      <c r="C41" s="1294"/>
      <c r="D41" s="1292"/>
    </row>
    <row r="42" spans="1:4" x14ac:dyDescent="0.2">
      <c r="A42" s="1293">
        <v>28794</v>
      </c>
      <c r="B42" s="1292"/>
      <c r="C42" s="1294"/>
      <c r="D42" s="1292"/>
    </row>
    <row r="43" spans="1:4" x14ac:dyDescent="0.2">
      <c r="A43" s="1293">
        <v>28824</v>
      </c>
      <c r="B43" s="1292"/>
      <c r="C43" s="1294"/>
      <c r="D43" s="1292"/>
    </row>
    <row r="44" spans="1:4" x14ac:dyDescent="0.2">
      <c r="A44" s="1293">
        <v>28855</v>
      </c>
      <c r="B44" s="1292"/>
      <c r="C44" s="1294"/>
      <c r="D44" s="1292"/>
    </row>
    <row r="45" spans="1:4" x14ac:dyDescent="0.2">
      <c r="A45" s="1293">
        <v>28886</v>
      </c>
      <c r="B45" s="1292"/>
      <c r="C45" s="1294"/>
      <c r="D45" s="1292"/>
    </row>
    <row r="46" spans="1:4" x14ac:dyDescent="0.2">
      <c r="A46" s="1293">
        <v>28914</v>
      </c>
      <c r="B46" s="1292"/>
      <c r="C46" s="1294"/>
      <c r="D46" s="1292"/>
    </row>
    <row r="47" spans="1:4" x14ac:dyDescent="0.2">
      <c r="A47" s="1293">
        <v>28945</v>
      </c>
      <c r="B47" s="1292"/>
      <c r="C47" s="1294"/>
      <c r="D47" s="1292"/>
    </row>
    <row r="48" spans="1:4" x14ac:dyDescent="0.2">
      <c r="A48" s="1293">
        <v>28975</v>
      </c>
      <c r="B48" s="1292"/>
      <c r="C48" s="1294"/>
      <c r="D48" s="1292"/>
    </row>
    <row r="49" spans="1:4" x14ac:dyDescent="0.2">
      <c r="A49" s="1293">
        <v>29006</v>
      </c>
      <c r="B49" s="1292"/>
      <c r="C49" s="1294"/>
      <c r="D49" s="1292"/>
    </row>
    <row r="50" spans="1:4" x14ac:dyDescent="0.2">
      <c r="A50" s="1293">
        <v>29036</v>
      </c>
      <c r="B50" s="1292"/>
      <c r="C50" s="1294"/>
      <c r="D50" s="1292"/>
    </row>
    <row r="51" spans="1:4" x14ac:dyDescent="0.2">
      <c r="A51" s="1293">
        <v>29067</v>
      </c>
      <c r="B51" s="1292"/>
      <c r="C51" s="1294"/>
      <c r="D51" s="1292"/>
    </row>
    <row r="52" spans="1:4" x14ac:dyDescent="0.2">
      <c r="A52" s="1293">
        <v>29098</v>
      </c>
      <c r="B52" s="1292"/>
      <c r="C52" s="1294"/>
      <c r="D52" s="1292"/>
    </row>
    <row r="53" spans="1:4" x14ac:dyDescent="0.2">
      <c r="A53" s="1293">
        <v>29128</v>
      </c>
      <c r="B53" s="1292"/>
      <c r="C53" s="1294"/>
      <c r="D53" s="1292"/>
    </row>
    <row r="54" spans="1:4" x14ac:dyDescent="0.2">
      <c r="A54" s="1293">
        <v>29159</v>
      </c>
      <c r="B54" s="1292"/>
      <c r="C54" s="1294"/>
      <c r="D54" s="1292"/>
    </row>
    <row r="55" spans="1:4" x14ac:dyDescent="0.2">
      <c r="A55" s="1293">
        <v>29189</v>
      </c>
      <c r="B55" s="1292"/>
      <c r="C55" s="1294"/>
      <c r="D55" s="1292"/>
    </row>
    <row r="56" spans="1:4" x14ac:dyDescent="0.2">
      <c r="A56" s="1293">
        <v>29220</v>
      </c>
      <c r="B56" s="1292"/>
      <c r="C56" s="1294"/>
      <c r="D56" s="1292"/>
    </row>
    <row r="57" spans="1:4" x14ac:dyDescent="0.2">
      <c r="A57" s="1293">
        <v>29251</v>
      </c>
      <c r="B57" s="1292"/>
      <c r="C57" s="1294"/>
      <c r="D57" s="1292"/>
    </row>
    <row r="58" spans="1:4" x14ac:dyDescent="0.2">
      <c r="A58" s="1293">
        <v>29280</v>
      </c>
      <c r="B58" s="1292"/>
      <c r="C58" s="1294"/>
      <c r="D58" s="1292"/>
    </row>
    <row r="59" spans="1:4" x14ac:dyDescent="0.2">
      <c r="A59" s="1293">
        <v>29311</v>
      </c>
      <c r="B59" s="1292"/>
      <c r="C59" s="1294"/>
      <c r="D59" s="1292"/>
    </row>
    <row r="60" spans="1:4" x14ac:dyDescent="0.2">
      <c r="A60" s="1293">
        <v>29341</v>
      </c>
      <c r="B60" s="1292"/>
      <c r="C60" s="1294"/>
      <c r="D60" s="1292"/>
    </row>
    <row r="61" spans="1:4" x14ac:dyDescent="0.2">
      <c r="A61" s="1293">
        <v>29372</v>
      </c>
      <c r="B61" s="1292"/>
      <c r="C61" s="1294"/>
      <c r="D61" s="1292"/>
    </row>
    <row r="62" spans="1:4" x14ac:dyDescent="0.2">
      <c r="A62" s="1293">
        <v>29402</v>
      </c>
      <c r="B62" s="1292"/>
      <c r="C62" s="1294"/>
      <c r="D62" s="1292"/>
    </row>
    <row r="63" spans="1:4" x14ac:dyDescent="0.2">
      <c r="A63" s="1293">
        <v>29433</v>
      </c>
      <c r="B63" s="1292"/>
      <c r="C63" s="1294"/>
      <c r="D63" s="1292"/>
    </row>
    <row r="64" spans="1:4" x14ac:dyDescent="0.2">
      <c r="A64" s="1293">
        <v>29464</v>
      </c>
      <c r="B64" s="1292"/>
      <c r="C64" s="1294"/>
      <c r="D64" s="1292"/>
    </row>
    <row r="65" spans="1:4" x14ac:dyDescent="0.2">
      <c r="A65" s="1293">
        <v>29494</v>
      </c>
      <c r="B65" s="1292"/>
      <c r="C65" s="1294"/>
      <c r="D65" s="1292"/>
    </row>
    <row r="66" spans="1:4" x14ac:dyDescent="0.2">
      <c r="A66" s="1293">
        <v>29525</v>
      </c>
      <c r="B66" s="1292"/>
      <c r="C66" s="1294"/>
      <c r="D66" s="1292"/>
    </row>
    <row r="67" spans="1:4" x14ac:dyDescent="0.2">
      <c r="A67" s="1293">
        <v>29555</v>
      </c>
      <c r="B67" s="1292"/>
      <c r="C67" s="1294"/>
      <c r="D67" s="1292"/>
    </row>
    <row r="68" spans="1:4" x14ac:dyDescent="0.2">
      <c r="A68" s="1293">
        <v>29586</v>
      </c>
      <c r="B68" s="1292"/>
      <c r="C68" s="1294"/>
      <c r="D68" s="1292"/>
    </row>
    <row r="69" spans="1:4" x14ac:dyDescent="0.2">
      <c r="A69" s="1293">
        <v>29617</v>
      </c>
      <c r="B69" s="1292"/>
      <c r="C69" s="1294"/>
      <c r="D69" s="1292"/>
    </row>
    <row r="70" spans="1:4" x14ac:dyDescent="0.2">
      <c r="A70" s="1293">
        <v>29645</v>
      </c>
      <c r="B70" s="1292"/>
      <c r="C70" s="1294"/>
      <c r="D70" s="1292"/>
    </row>
    <row r="71" spans="1:4" x14ac:dyDescent="0.2">
      <c r="A71" s="1293">
        <v>29676</v>
      </c>
      <c r="B71" s="1292"/>
      <c r="C71" s="1294"/>
      <c r="D71" s="1292"/>
    </row>
    <row r="72" spans="1:4" x14ac:dyDescent="0.2">
      <c r="A72" s="1293">
        <v>29706</v>
      </c>
      <c r="B72" s="1292"/>
      <c r="C72" s="1294"/>
      <c r="D72" s="1292"/>
    </row>
    <row r="73" spans="1:4" x14ac:dyDescent="0.2">
      <c r="A73" s="1293">
        <v>29737</v>
      </c>
      <c r="B73" s="1292"/>
      <c r="C73" s="1294"/>
      <c r="D73" s="1292"/>
    </row>
    <row r="74" spans="1:4" x14ac:dyDescent="0.2">
      <c r="A74" s="1293">
        <v>29767</v>
      </c>
      <c r="B74" s="1292"/>
      <c r="C74" s="1294"/>
      <c r="D74" s="1292"/>
    </row>
    <row r="75" spans="1:4" x14ac:dyDescent="0.2">
      <c r="A75" s="1293">
        <v>29798</v>
      </c>
      <c r="B75" s="1292"/>
      <c r="C75" s="1294"/>
      <c r="D75" s="1292"/>
    </row>
    <row r="76" spans="1:4" x14ac:dyDescent="0.2">
      <c r="A76" s="1293">
        <v>29829</v>
      </c>
      <c r="B76" s="1292"/>
      <c r="C76" s="1294"/>
      <c r="D76" s="1292"/>
    </row>
    <row r="77" spans="1:4" x14ac:dyDescent="0.2">
      <c r="A77" s="1293">
        <v>29859</v>
      </c>
      <c r="B77" s="1292"/>
      <c r="C77" s="1294"/>
      <c r="D77" s="1292"/>
    </row>
    <row r="78" spans="1:4" x14ac:dyDescent="0.2">
      <c r="A78" s="1293">
        <v>29890</v>
      </c>
      <c r="B78" s="1292"/>
      <c r="C78" s="1294"/>
      <c r="D78" s="1292"/>
    </row>
    <row r="79" spans="1:4" x14ac:dyDescent="0.2">
      <c r="A79" s="1293">
        <v>29920</v>
      </c>
      <c r="B79" s="1292"/>
      <c r="C79" s="1294"/>
      <c r="D79" s="1292"/>
    </row>
    <row r="80" spans="1:4" x14ac:dyDescent="0.2">
      <c r="A80" s="1293">
        <v>29951</v>
      </c>
      <c r="B80" s="1292"/>
      <c r="C80" s="1294"/>
      <c r="D80" s="1292"/>
    </row>
    <row r="81" spans="1:4" x14ac:dyDescent="0.2">
      <c r="A81" s="1293">
        <v>29982</v>
      </c>
      <c r="B81" s="1292"/>
      <c r="C81" s="1294"/>
      <c r="D81" s="1292"/>
    </row>
    <row r="82" spans="1:4" x14ac:dyDescent="0.2">
      <c r="A82" s="1293">
        <v>30010</v>
      </c>
      <c r="B82" s="1292"/>
      <c r="C82" s="1294"/>
      <c r="D82" s="1292"/>
    </row>
    <row r="83" spans="1:4" x14ac:dyDescent="0.2">
      <c r="A83" s="1293">
        <v>30041</v>
      </c>
      <c r="B83" s="1292"/>
      <c r="C83" s="1294"/>
      <c r="D83" s="1292"/>
    </row>
    <row r="84" spans="1:4" x14ac:dyDescent="0.2">
      <c r="A84" s="1293">
        <v>30071</v>
      </c>
      <c r="B84" s="1292"/>
      <c r="C84" s="1294"/>
      <c r="D84" s="1292"/>
    </row>
    <row r="85" spans="1:4" x14ac:dyDescent="0.2">
      <c r="A85" s="1293">
        <v>30102</v>
      </c>
      <c r="B85" s="1292"/>
      <c r="C85" s="1294"/>
      <c r="D85" s="1292"/>
    </row>
    <row r="86" spans="1:4" x14ac:dyDescent="0.2">
      <c r="A86" s="1293">
        <v>30132</v>
      </c>
      <c r="B86" s="1292"/>
      <c r="C86" s="1294"/>
      <c r="D86" s="1292"/>
    </row>
    <row r="87" spans="1:4" x14ac:dyDescent="0.2">
      <c r="A87" s="1293">
        <v>30163</v>
      </c>
      <c r="B87" s="1292"/>
      <c r="C87" s="1294"/>
      <c r="D87" s="1292"/>
    </row>
    <row r="88" spans="1:4" x14ac:dyDescent="0.2">
      <c r="A88" s="1293">
        <v>30194</v>
      </c>
      <c r="B88" s="1292"/>
      <c r="C88" s="1294"/>
      <c r="D88" s="1292"/>
    </row>
    <row r="89" spans="1:4" x14ac:dyDescent="0.2">
      <c r="A89" s="1293">
        <v>30224</v>
      </c>
      <c r="B89" s="1292"/>
      <c r="C89" s="1294"/>
      <c r="D89" s="1292"/>
    </row>
    <row r="90" spans="1:4" x14ac:dyDescent="0.2">
      <c r="A90" s="1293">
        <v>30255</v>
      </c>
      <c r="B90" s="1292"/>
      <c r="C90" s="1294"/>
      <c r="D90" s="1292"/>
    </row>
    <row r="91" spans="1:4" x14ac:dyDescent="0.2">
      <c r="A91" s="1293">
        <v>30285</v>
      </c>
      <c r="B91" s="1292"/>
      <c r="C91" s="1294"/>
      <c r="D91" s="1292"/>
    </row>
    <row r="92" spans="1:4" x14ac:dyDescent="0.2">
      <c r="A92" s="1293">
        <v>30316</v>
      </c>
      <c r="B92" s="1292"/>
      <c r="C92" s="1294"/>
      <c r="D92" s="1292"/>
    </row>
    <row r="93" spans="1:4" x14ac:dyDescent="0.2">
      <c r="A93" s="1293">
        <v>30347</v>
      </c>
      <c r="B93" s="1292"/>
      <c r="C93" s="1294"/>
      <c r="D93" s="1292"/>
    </row>
    <row r="94" spans="1:4" x14ac:dyDescent="0.2">
      <c r="A94" s="1293">
        <v>30375</v>
      </c>
      <c r="B94" s="1292"/>
      <c r="C94" s="1294"/>
      <c r="D94" s="1292"/>
    </row>
    <row r="95" spans="1:4" x14ac:dyDescent="0.2">
      <c r="A95" s="1293">
        <v>30406</v>
      </c>
      <c r="B95" s="1292"/>
      <c r="C95" s="1294"/>
      <c r="D95" s="1292"/>
    </row>
    <row r="96" spans="1:4" x14ac:dyDescent="0.2">
      <c r="A96" s="1293">
        <v>30436</v>
      </c>
      <c r="B96" s="1292"/>
      <c r="C96" s="1294"/>
      <c r="D96" s="1292"/>
    </row>
    <row r="97" spans="1:4" x14ac:dyDescent="0.2">
      <c r="A97" s="1293">
        <v>30467</v>
      </c>
      <c r="B97" s="1292"/>
      <c r="C97" s="1294"/>
      <c r="D97" s="1292"/>
    </row>
    <row r="98" spans="1:4" x14ac:dyDescent="0.2">
      <c r="A98" s="1293">
        <v>30497</v>
      </c>
      <c r="B98" s="1292"/>
      <c r="C98" s="1294"/>
      <c r="D98" s="1292"/>
    </row>
    <row r="99" spans="1:4" x14ac:dyDescent="0.2">
      <c r="A99" s="1293">
        <v>30528</v>
      </c>
      <c r="B99" s="1292"/>
      <c r="C99" s="1294"/>
      <c r="D99" s="1292"/>
    </row>
    <row r="100" spans="1:4" x14ac:dyDescent="0.2">
      <c r="A100" s="1293">
        <v>30559</v>
      </c>
      <c r="B100" s="1292"/>
      <c r="C100" s="1294"/>
      <c r="D100" s="1292"/>
    </row>
    <row r="101" spans="1:4" x14ac:dyDescent="0.2">
      <c r="A101" s="1293">
        <v>30589</v>
      </c>
      <c r="B101" s="1292"/>
      <c r="C101" s="1294"/>
      <c r="D101" s="1292"/>
    </row>
    <row r="102" spans="1:4" x14ac:dyDescent="0.2">
      <c r="A102" s="1293">
        <v>30620</v>
      </c>
      <c r="B102" s="1292"/>
      <c r="C102" s="1294"/>
      <c r="D102" s="1292"/>
    </row>
    <row r="103" spans="1:4" x14ac:dyDescent="0.2">
      <c r="A103" s="1293">
        <v>30650</v>
      </c>
      <c r="B103" s="1292"/>
      <c r="C103" s="1294"/>
      <c r="D103" s="1292"/>
    </row>
    <row r="104" spans="1:4" x14ac:dyDescent="0.2">
      <c r="A104" s="1293">
        <v>30681</v>
      </c>
      <c r="B104" s="1292"/>
      <c r="C104" s="1294"/>
      <c r="D104" s="1292"/>
    </row>
    <row r="105" spans="1:4" x14ac:dyDescent="0.2">
      <c r="A105" s="1293">
        <v>30712</v>
      </c>
      <c r="B105" s="1292"/>
      <c r="C105" s="1294"/>
      <c r="D105" s="1292"/>
    </row>
    <row r="106" spans="1:4" x14ac:dyDescent="0.2">
      <c r="A106" s="1293">
        <v>30741</v>
      </c>
      <c r="B106" s="1292"/>
      <c r="C106" s="1294"/>
      <c r="D106" s="1292"/>
    </row>
    <row r="107" spans="1:4" x14ac:dyDescent="0.2">
      <c r="A107" s="1293">
        <v>30772</v>
      </c>
      <c r="B107" s="1292"/>
      <c r="C107" s="1294"/>
      <c r="D107" s="1292"/>
    </row>
    <row r="108" spans="1:4" x14ac:dyDescent="0.2">
      <c r="A108" s="1293">
        <v>30802</v>
      </c>
      <c r="B108" s="1292"/>
      <c r="C108" s="1294"/>
      <c r="D108" s="1292"/>
    </row>
    <row r="109" spans="1:4" x14ac:dyDescent="0.2">
      <c r="A109" s="1293">
        <v>30833</v>
      </c>
      <c r="B109" s="1292"/>
      <c r="C109" s="1294"/>
      <c r="D109" s="1292"/>
    </row>
    <row r="110" spans="1:4" x14ac:dyDescent="0.2">
      <c r="A110" s="1293">
        <v>30863</v>
      </c>
      <c r="B110" s="1292"/>
      <c r="C110" s="1294"/>
      <c r="D110" s="1292"/>
    </row>
    <row r="111" spans="1:4" x14ac:dyDescent="0.2">
      <c r="A111" s="1293">
        <v>30894</v>
      </c>
      <c r="B111" s="1292"/>
      <c r="C111" s="1294"/>
      <c r="D111" s="1292"/>
    </row>
    <row r="112" spans="1:4" x14ac:dyDescent="0.2">
      <c r="A112" s="1293">
        <v>30925</v>
      </c>
      <c r="B112" s="1292"/>
      <c r="C112" s="1294"/>
      <c r="D112" s="1292"/>
    </row>
    <row r="113" spans="1:4" x14ac:dyDescent="0.2">
      <c r="A113" s="1293">
        <v>30955</v>
      </c>
      <c r="B113" s="1292"/>
      <c r="C113" s="1294"/>
      <c r="D113" s="1292"/>
    </row>
    <row r="114" spans="1:4" x14ac:dyDescent="0.2">
      <c r="A114" s="1293">
        <v>30986</v>
      </c>
      <c r="B114" s="1292"/>
      <c r="C114" s="1294"/>
      <c r="D114" s="1292"/>
    </row>
    <row r="115" spans="1:4" x14ac:dyDescent="0.2">
      <c r="A115" s="1293">
        <v>31016</v>
      </c>
      <c r="B115" s="1292"/>
      <c r="C115" s="1294"/>
      <c r="D115" s="1292"/>
    </row>
    <row r="116" spans="1:4" x14ac:dyDescent="0.2">
      <c r="A116" s="1293">
        <v>31047</v>
      </c>
      <c r="B116" s="1292"/>
      <c r="C116" s="1294"/>
      <c r="D116" s="1292"/>
    </row>
    <row r="117" spans="1:4" x14ac:dyDescent="0.2">
      <c r="A117" s="1293">
        <v>31078</v>
      </c>
      <c r="B117" s="1292"/>
      <c r="C117" s="1294"/>
      <c r="D117" s="1292"/>
    </row>
    <row r="118" spans="1:4" x14ac:dyDescent="0.2">
      <c r="A118" s="1293">
        <v>31106</v>
      </c>
      <c r="B118" s="1292"/>
      <c r="C118" s="1294"/>
      <c r="D118" s="1292"/>
    </row>
    <row r="119" spans="1:4" x14ac:dyDescent="0.2">
      <c r="A119" s="1293">
        <v>31137</v>
      </c>
      <c r="B119" s="1292"/>
      <c r="C119" s="1294"/>
      <c r="D119" s="1292"/>
    </row>
    <row r="120" spans="1:4" x14ac:dyDescent="0.2">
      <c r="A120" s="1293">
        <v>31167</v>
      </c>
      <c r="B120" s="1292"/>
      <c r="C120" s="1294"/>
      <c r="D120" s="1292"/>
    </row>
    <row r="121" spans="1:4" x14ac:dyDescent="0.2">
      <c r="A121" s="1293">
        <v>31198</v>
      </c>
      <c r="B121" s="1292"/>
      <c r="C121" s="1294"/>
      <c r="D121" s="1292"/>
    </row>
    <row r="122" spans="1:4" x14ac:dyDescent="0.2">
      <c r="A122" s="1293">
        <v>31228</v>
      </c>
      <c r="B122" s="1292"/>
      <c r="C122" s="1294"/>
      <c r="D122" s="1292"/>
    </row>
    <row r="123" spans="1:4" x14ac:dyDescent="0.2">
      <c r="A123" s="1293">
        <v>31259</v>
      </c>
      <c r="B123" s="1292"/>
      <c r="C123" s="1294"/>
      <c r="D123" s="1292"/>
    </row>
    <row r="124" spans="1:4" x14ac:dyDescent="0.2">
      <c r="A124" s="1293">
        <v>31290</v>
      </c>
      <c r="B124" s="1292"/>
      <c r="C124" s="1294"/>
      <c r="D124" s="1292"/>
    </row>
    <row r="125" spans="1:4" x14ac:dyDescent="0.2">
      <c r="A125" s="1293">
        <v>31320</v>
      </c>
      <c r="B125" s="1292"/>
      <c r="C125" s="1294"/>
      <c r="D125" s="1292"/>
    </row>
    <row r="126" spans="1:4" x14ac:dyDescent="0.2">
      <c r="A126" s="1293">
        <v>31351</v>
      </c>
      <c r="B126" s="1292"/>
      <c r="C126" s="1294"/>
      <c r="D126" s="1292"/>
    </row>
    <row r="127" spans="1:4" x14ac:dyDescent="0.2">
      <c r="A127" s="1293">
        <v>31381</v>
      </c>
      <c r="B127" s="1292"/>
      <c r="C127" s="1294"/>
      <c r="D127" s="1292"/>
    </row>
    <row r="128" spans="1:4" x14ac:dyDescent="0.2">
      <c r="A128" s="1293">
        <v>31412</v>
      </c>
      <c r="B128" s="1292"/>
      <c r="C128" s="1294"/>
      <c r="D128" s="1292"/>
    </row>
    <row r="129" spans="1:4" x14ac:dyDescent="0.2">
      <c r="A129" s="1293">
        <v>31443</v>
      </c>
      <c r="B129" s="1292"/>
      <c r="C129" s="1294"/>
      <c r="D129" s="1292"/>
    </row>
    <row r="130" spans="1:4" x14ac:dyDescent="0.2">
      <c r="A130" s="1293">
        <v>31471</v>
      </c>
      <c r="B130" s="1292"/>
      <c r="C130" s="1294"/>
      <c r="D130" s="1292"/>
    </row>
    <row r="131" spans="1:4" x14ac:dyDescent="0.2">
      <c r="A131" s="1293">
        <v>31502</v>
      </c>
      <c r="B131" s="1292"/>
      <c r="C131" s="1294"/>
      <c r="D131" s="1292"/>
    </row>
    <row r="132" spans="1:4" x14ac:dyDescent="0.2">
      <c r="A132" s="1293">
        <v>31532</v>
      </c>
      <c r="B132" s="1292"/>
      <c r="C132" s="1294"/>
      <c r="D132" s="1292"/>
    </row>
    <row r="133" spans="1:4" x14ac:dyDescent="0.2">
      <c r="A133" s="1293">
        <v>31563</v>
      </c>
      <c r="B133" s="1292"/>
      <c r="C133" s="1294"/>
      <c r="D133" s="1292"/>
    </row>
    <row r="134" spans="1:4" x14ac:dyDescent="0.2">
      <c r="A134" s="1293">
        <v>31593</v>
      </c>
      <c r="B134" s="1292"/>
      <c r="C134" s="1294"/>
      <c r="D134" s="1292"/>
    </row>
    <row r="135" spans="1:4" x14ac:dyDescent="0.2">
      <c r="A135" s="1293">
        <v>31624</v>
      </c>
      <c r="B135" s="1292"/>
      <c r="C135" s="1294"/>
      <c r="D135" s="1292"/>
    </row>
    <row r="136" spans="1:4" x14ac:dyDescent="0.2">
      <c r="A136" s="1293">
        <v>31655</v>
      </c>
      <c r="B136" s="1292"/>
      <c r="C136" s="1294"/>
      <c r="D136" s="1292"/>
    </row>
    <row r="137" spans="1:4" x14ac:dyDescent="0.2">
      <c r="A137" s="1293">
        <v>31685</v>
      </c>
      <c r="B137" s="1292"/>
      <c r="C137" s="1294"/>
      <c r="D137" s="1292"/>
    </row>
    <row r="138" spans="1:4" x14ac:dyDescent="0.2">
      <c r="A138" s="1293">
        <v>31716</v>
      </c>
      <c r="B138" s="1292"/>
      <c r="C138" s="1294"/>
      <c r="D138" s="1292"/>
    </row>
    <row r="139" spans="1:4" x14ac:dyDescent="0.2">
      <c r="A139" s="1293">
        <v>31746</v>
      </c>
      <c r="B139" s="1292"/>
      <c r="C139" s="1294"/>
      <c r="D139" s="1292"/>
    </row>
    <row r="140" spans="1:4" x14ac:dyDescent="0.2">
      <c r="A140" s="1293">
        <v>31777</v>
      </c>
      <c r="B140" s="1292"/>
      <c r="C140" s="1294"/>
      <c r="D140" s="1292"/>
    </row>
    <row r="141" spans="1:4" x14ac:dyDescent="0.2">
      <c r="A141" s="1293">
        <v>31808</v>
      </c>
      <c r="B141" s="1295"/>
      <c r="C141" s="1296"/>
      <c r="D141" s="1295"/>
    </row>
    <row r="142" spans="1:4" x14ac:dyDescent="0.2">
      <c r="A142" s="1293">
        <v>31836</v>
      </c>
      <c r="B142" s="1295"/>
      <c r="C142" s="1296"/>
      <c r="D142" s="1295"/>
    </row>
    <row r="143" spans="1:4" x14ac:dyDescent="0.2">
      <c r="A143" s="1293">
        <v>31867</v>
      </c>
      <c r="B143" s="1295"/>
      <c r="C143" s="1296"/>
      <c r="D143" s="1295"/>
    </row>
    <row r="144" spans="1:4" x14ac:dyDescent="0.2">
      <c r="A144" s="1293">
        <v>31897</v>
      </c>
      <c r="B144" s="1295"/>
      <c r="C144" s="1296"/>
      <c r="D144" s="1295"/>
    </row>
    <row r="145" spans="1:4" x14ac:dyDescent="0.2">
      <c r="A145" s="1293">
        <v>31928</v>
      </c>
      <c r="B145" s="1295"/>
      <c r="C145" s="1296"/>
      <c r="D145" s="1295"/>
    </row>
    <row r="146" spans="1:4" x14ac:dyDescent="0.2">
      <c r="A146" s="1293">
        <v>31958</v>
      </c>
      <c r="B146" s="1295"/>
      <c r="C146" s="1296"/>
      <c r="D146" s="1295"/>
    </row>
    <row r="147" spans="1:4" x14ac:dyDescent="0.2">
      <c r="A147" s="1293">
        <v>31989</v>
      </c>
      <c r="B147" s="1295"/>
      <c r="C147" s="1296"/>
      <c r="D147" s="1295"/>
    </row>
    <row r="148" spans="1:4" x14ac:dyDescent="0.2">
      <c r="A148" s="1293">
        <v>32020</v>
      </c>
      <c r="B148" s="1295"/>
      <c r="C148" s="1296"/>
      <c r="D148" s="1295"/>
    </row>
    <row r="149" spans="1:4" x14ac:dyDescent="0.2">
      <c r="A149" s="1293">
        <v>32050</v>
      </c>
      <c r="B149" s="1295"/>
      <c r="C149" s="1296"/>
      <c r="D149" s="1295"/>
    </row>
    <row r="150" spans="1:4" x14ac:dyDescent="0.2">
      <c r="A150" s="1293">
        <v>32081</v>
      </c>
      <c r="B150" s="1295"/>
      <c r="C150" s="1296"/>
      <c r="D150" s="1295"/>
    </row>
    <row r="151" spans="1:4" x14ac:dyDescent="0.2">
      <c r="A151" s="1293">
        <v>32111</v>
      </c>
      <c r="B151" s="1295"/>
      <c r="C151" s="1296"/>
      <c r="D151" s="1295"/>
    </row>
    <row r="152" spans="1:4" x14ac:dyDescent="0.2">
      <c r="A152" s="1293">
        <v>32142</v>
      </c>
      <c r="B152" s="1295"/>
      <c r="C152" s="1296"/>
      <c r="D152" s="1295"/>
    </row>
    <row r="153" spans="1:4" x14ac:dyDescent="0.2">
      <c r="A153" s="1293">
        <v>32173</v>
      </c>
      <c r="B153" s="1295"/>
      <c r="C153" s="1296"/>
      <c r="D153" s="1295"/>
    </row>
    <row r="154" spans="1:4" x14ac:dyDescent="0.2">
      <c r="A154" s="1293">
        <v>32202</v>
      </c>
      <c r="B154" s="1295"/>
      <c r="C154" s="1296"/>
      <c r="D154" s="1295"/>
    </row>
    <row r="155" spans="1:4" x14ac:dyDescent="0.2">
      <c r="A155" s="1293">
        <v>32233</v>
      </c>
      <c r="B155" s="1295"/>
      <c r="C155" s="1296"/>
      <c r="D155" s="1295"/>
    </row>
    <row r="156" spans="1:4" x14ac:dyDescent="0.2">
      <c r="A156" s="1293">
        <v>32263</v>
      </c>
      <c r="B156" s="1295"/>
      <c r="C156" s="1296"/>
      <c r="D156" s="1295"/>
    </row>
    <row r="157" spans="1:4" x14ac:dyDescent="0.2">
      <c r="A157" s="1293">
        <v>32294</v>
      </c>
      <c r="B157" s="1295"/>
      <c r="C157" s="1296"/>
      <c r="D157" s="1295"/>
    </row>
    <row r="158" spans="1:4" x14ac:dyDescent="0.2">
      <c r="A158" s="1293">
        <v>32324</v>
      </c>
      <c r="B158" s="1295"/>
      <c r="C158" s="1296"/>
      <c r="D158" s="1295"/>
    </row>
    <row r="159" spans="1:4" x14ac:dyDescent="0.2">
      <c r="A159" s="1293">
        <v>32355</v>
      </c>
      <c r="B159" s="1295"/>
      <c r="C159" s="1296"/>
      <c r="D159" s="1295"/>
    </row>
    <row r="160" spans="1:4" x14ac:dyDescent="0.2">
      <c r="A160" s="1293">
        <v>32386</v>
      </c>
      <c r="B160" s="1295"/>
      <c r="C160" s="1296"/>
      <c r="D160" s="1295"/>
    </row>
    <row r="161" spans="1:4" x14ac:dyDescent="0.2">
      <c r="A161" s="1293">
        <v>32416</v>
      </c>
      <c r="B161" s="1295"/>
      <c r="C161" s="1296"/>
      <c r="D161" s="1295"/>
    </row>
    <row r="162" spans="1:4" x14ac:dyDescent="0.2">
      <c r="A162" s="1293">
        <v>32447</v>
      </c>
      <c r="B162" s="1295"/>
      <c r="C162" s="1296"/>
      <c r="D162" s="1295"/>
    </row>
    <row r="163" spans="1:4" x14ac:dyDescent="0.2">
      <c r="A163" s="1293">
        <v>32477</v>
      </c>
      <c r="B163" s="1295"/>
      <c r="C163" s="1296"/>
      <c r="D163" s="1295"/>
    </row>
    <row r="164" spans="1:4" x14ac:dyDescent="0.2">
      <c r="A164" s="1293">
        <v>32508</v>
      </c>
      <c r="B164" s="1295"/>
      <c r="C164" s="1296"/>
      <c r="D164" s="1295"/>
    </row>
    <row r="165" spans="1:4" x14ac:dyDescent="0.2">
      <c r="A165" s="1293">
        <v>32539</v>
      </c>
      <c r="B165" s="1295"/>
      <c r="C165" s="1296"/>
      <c r="D165" s="1295"/>
    </row>
    <row r="166" spans="1:4" x14ac:dyDescent="0.2">
      <c r="A166" s="1293">
        <v>32567</v>
      </c>
      <c r="B166" s="1295"/>
      <c r="C166" s="1296"/>
      <c r="D166" s="1295"/>
    </row>
    <row r="167" spans="1:4" x14ac:dyDescent="0.2">
      <c r="A167" s="1293">
        <v>32598</v>
      </c>
      <c r="B167" s="1295"/>
      <c r="C167" s="1296"/>
      <c r="D167" s="1295"/>
    </row>
    <row r="168" spans="1:4" x14ac:dyDescent="0.2">
      <c r="A168" s="1293">
        <v>32628</v>
      </c>
      <c r="B168" s="1295"/>
      <c r="C168" s="1296"/>
      <c r="D168" s="1295"/>
    </row>
    <row r="169" spans="1:4" x14ac:dyDescent="0.2">
      <c r="A169" s="1293">
        <v>32659</v>
      </c>
      <c r="B169" s="1295"/>
      <c r="C169" s="1296"/>
      <c r="D169" s="1295"/>
    </row>
    <row r="170" spans="1:4" x14ac:dyDescent="0.2">
      <c r="A170" s="1293">
        <v>32689</v>
      </c>
      <c r="B170" s="1295"/>
      <c r="C170" s="1296"/>
      <c r="D170" s="1295"/>
    </row>
    <row r="171" spans="1:4" x14ac:dyDescent="0.2">
      <c r="A171" s="1293">
        <v>32720</v>
      </c>
      <c r="B171" s="1295"/>
      <c r="C171" s="1296"/>
      <c r="D171" s="1295"/>
    </row>
    <row r="172" spans="1:4" x14ac:dyDescent="0.2">
      <c r="A172" s="1293">
        <v>32751</v>
      </c>
      <c r="B172" s="1295"/>
      <c r="C172" s="1296"/>
      <c r="D172" s="1295"/>
    </row>
    <row r="173" spans="1:4" x14ac:dyDescent="0.2">
      <c r="A173" s="1293">
        <v>32781</v>
      </c>
      <c r="B173" s="1295"/>
      <c r="C173" s="1296"/>
      <c r="D173" s="1295"/>
    </row>
    <row r="174" spans="1:4" x14ac:dyDescent="0.2">
      <c r="A174" s="1293">
        <v>32812</v>
      </c>
      <c r="B174" s="1295"/>
      <c r="C174" s="1296"/>
      <c r="D174" s="1295"/>
    </row>
    <row r="175" spans="1:4" x14ac:dyDescent="0.2">
      <c r="A175" s="1293">
        <v>32842</v>
      </c>
      <c r="B175" s="1295"/>
      <c r="C175" s="1296"/>
      <c r="D175" s="1295"/>
    </row>
    <row r="176" spans="1:4" x14ac:dyDescent="0.2">
      <c r="A176" s="1293">
        <v>32873</v>
      </c>
      <c r="B176" s="1295"/>
      <c r="C176" s="1296"/>
      <c r="D176" s="1295"/>
    </row>
    <row r="177" spans="1:4" x14ac:dyDescent="0.2">
      <c r="A177" s="1293">
        <v>32904</v>
      </c>
      <c r="B177" s="1295"/>
      <c r="C177" s="1296"/>
      <c r="D177" s="1295"/>
    </row>
    <row r="178" spans="1:4" x14ac:dyDescent="0.2">
      <c r="A178" s="1293">
        <v>32932</v>
      </c>
      <c r="B178" s="1295"/>
      <c r="C178" s="1296"/>
      <c r="D178" s="1295"/>
    </row>
    <row r="179" spans="1:4" x14ac:dyDescent="0.2">
      <c r="A179" s="1293">
        <v>32963</v>
      </c>
      <c r="B179" s="1295"/>
      <c r="C179" s="1296"/>
      <c r="D179" s="1295"/>
    </row>
    <row r="180" spans="1:4" x14ac:dyDescent="0.2">
      <c r="A180" s="1293">
        <v>32993</v>
      </c>
      <c r="B180" s="1295"/>
      <c r="C180" s="1296"/>
      <c r="D180" s="1295"/>
    </row>
    <row r="181" spans="1:4" x14ac:dyDescent="0.2">
      <c r="A181" s="1293">
        <v>33024</v>
      </c>
      <c r="B181" s="1295"/>
      <c r="C181" s="1296"/>
      <c r="D181" s="1295"/>
    </row>
    <row r="182" spans="1:4" x14ac:dyDescent="0.2">
      <c r="A182" s="1293">
        <v>33054</v>
      </c>
      <c r="B182" s="1295"/>
      <c r="C182" s="1296"/>
      <c r="D182" s="1295"/>
    </row>
    <row r="183" spans="1:4" x14ac:dyDescent="0.2">
      <c r="A183" s="1293">
        <v>33085</v>
      </c>
      <c r="B183" s="1295"/>
      <c r="C183" s="1296"/>
      <c r="D183" s="1295"/>
    </row>
    <row r="184" spans="1:4" x14ac:dyDescent="0.2">
      <c r="A184" s="1293">
        <v>33116</v>
      </c>
      <c r="B184" s="1295"/>
      <c r="C184" s="1296"/>
      <c r="D184" s="1295"/>
    </row>
    <row r="185" spans="1:4" x14ac:dyDescent="0.2">
      <c r="A185" s="1293">
        <v>33146</v>
      </c>
      <c r="B185" s="1295"/>
      <c r="C185" s="1296"/>
      <c r="D185" s="1295"/>
    </row>
    <row r="186" spans="1:4" x14ac:dyDescent="0.2">
      <c r="A186" s="1293">
        <v>33177</v>
      </c>
      <c r="B186" s="1295"/>
      <c r="C186" s="1296"/>
      <c r="D186" s="1295"/>
    </row>
    <row r="187" spans="1:4" x14ac:dyDescent="0.2">
      <c r="A187" s="1293">
        <v>33207</v>
      </c>
      <c r="B187" s="1295"/>
      <c r="C187" s="1296"/>
      <c r="D187" s="1295"/>
    </row>
    <row r="188" spans="1:4" x14ac:dyDescent="0.2">
      <c r="A188" s="1293">
        <v>33238</v>
      </c>
      <c r="B188" s="1295"/>
      <c r="C188" s="1296"/>
      <c r="D188" s="1295"/>
    </row>
    <row r="189" spans="1:4" x14ac:dyDescent="0.2">
      <c r="A189" s="1293">
        <v>33269</v>
      </c>
      <c r="B189" s="1295"/>
      <c r="C189" s="1296"/>
      <c r="D189" s="1295"/>
    </row>
    <row r="190" spans="1:4" x14ac:dyDescent="0.2">
      <c r="A190" s="1293">
        <v>33297</v>
      </c>
      <c r="B190" s="1295"/>
      <c r="C190" s="1296"/>
      <c r="D190" s="1295"/>
    </row>
    <row r="191" spans="1:4" x14ac:dyDescent="0.2">
      <c r="A191" s="1293">
        <v>33328</v>
      </c>
      <c r="B191" s="1295"/>
      <c r="C191" s="1296"/>
      <c r="D191" s="1295"/>
    </row>
    <row r="192" spans="1:4" x14ac:dyDescent="0.2">
      <c r="A192" s="1293">
        <v>33358</v>
      </c>
      <c r="B192" s="1295"/>
      <c r="C192" s="1296"/>
      <c r="D192" s="1295"/>
    </row>
    <row r="193" spans="1:4" x14ac:dyDescent="0.2">
      <c r="A193" s="1293">
        <v>33389</v>
      </c>
      <c r="B193" s="1295"/>
      <c r="C193" s="1296"/>
      <c r="D193" s="1295"/>
    </row>
    <row r="194" spans="1:4" x14ac:dyDescent="0.2">
      <c r="A194" s="1293">
        <v>33419</v>
      </c>
      <c r="B194" s="1295"/>
      <c r="C194" s="1296"/>
      <c r="D194" s="1295"/>
    </row>
    <row r="195" spans="1:4" x14ac:dyDescent="0.2">
      <c r="A195" s="1293">
        <v>33450</v>
      </c>
      <c r="B195" s="1295"/>
      <c r="C195" s="1296"/>
      <c r="D195" s="1295"/>
    </row>
    <row r="196" spans="1:4" x14ac:dyDescent="0.2">
      <c r="A196" s="1293">
        <v>33481</v>
      </c>
      <c r="B196" s="1295"/>
      <c r="C196" s="1296"/>
      <c r="D196" s="1295"/>
    </row>
    <row r="197" spans="1:4" x14ac:dyDescent="0.2">
      <c r="A197" s="1293">
        <v>33511</v>
      </c>
      <c r="B197" s="1295"/>
      <c r="C197" s="1296"/>
      <c r="D197" s="1295"/>
    </row>
    <row r="198" spans="1:4" x14ac:dyDescent="0.2">
      <c r="A198" s="1293">
        <v>33542</v>
      </c>
      <c r="B198" s="1295"/>
      <c r="C198" s="1296"/>
      <c r="D198" s="1295"/>
    </row>
    <row r="199" spans="1:4" x14ac:dyDescent="0.2">
      <c r="A199" s="1293">
        <v>33572</v>
      </c>
      <c r="B199" s="1295"/>
      <c r="C199" s="1296"/>
      <c r="D199" s="1295"/>
    </row>
    <row r="200" spans="1:4" x14ac:dyDescent="0.2">
      <c r="A200" s="1293">
        <v>33603</v>
      </c>
      <c r="B200" s="1295"/>
      <c r="C200" s="1296"/>
      <c r="D200" s="1295"/>
    </row>
    <row r="201" spans="1:4" x14ac:dyDescent="0.2">
      <c r="A201" s="1293">
        <v>33634</v>
      </c>
      <c r="B201" s="1295"/>
      <c r="C201" s="1296"/>
      <c r="D201" s="1295"/>
    </row>
    <row r="202" spans="1:4" x14ac:dyDescent="0.2">
      <c r="A202" s="1293">
        <v>33663</v>
      </c>
      <c r="B202" s="1295"/>
      <c r="C202" s="1296"/>
      <c r="D202" s="1295"/>
    </row>
    <row r="203" spans="1:4" x14ac:dyDescent="0.2">
      <c r="A203" s="1293">
        <v>33694</v>
      </c>
      <c r="B203" s="1295"/>
      <c r="C203" s="1296"/>
      <c r="D203" s="1295"/>
    </row>
    <row r="204" spans="1:4" x14ac:dyDescent="0.2">
      <c r="A204" s="1293">
        <v>33724</v>
      </c>
      <c r="B204" s="1295"/>
      <c r="C204" s="1296"/>
      <c r="D204" s="1295"/>
    </row>
    <row r="205" spans="1:4" x14ac:dyDescent="0.2">
      <c r="A205" s="1293">
        <v>33755</v>
      </c>
      <c r="B205" s="1295"/>
      <c r="C205" s="1296"/>
      <c r="D205" s="1295"/>
    </row>
    <row r="206" spans="1:4" x14ac:dyDescent="0.2">
      <c r="A206" s="1293">
        <v>33785</v>
      </c>
      <c r="B206" s="1295"/>
      <c r="C206" s="1296"/>
      <c r="D206" s="1295"/>
    </row>
    <row r="207" spans="1:4" x14ac:dyDescent="0.2">
      <c r="A207" s="1293">
        <v>33816</v>
      </c>
      <c r="B207" s="1295"/>
      <c r="C207" s="1296"/>
      <c r="D207" s="1295"/>
    </row>
    <row r="208" spans="1:4" x14ac:dyDescent="0.2">
      <c r="A208" s="1293">
        <v>33847</v>
      </c>
      <c r="B208" s="1295"/>
      <c r="C208" s="1296"/>
      <c r="D208" s="1295"/>
    </row>
    <row r="209" spans="1:4" x14ac:dyDescent="0.2">
      <c r="A209" s="1293">
        <v>33877</v>
      </c>
      <c r="B209" s="1295"/>
      <c r="C209" s="1296"/>
      <c r="D209" s="1295"/>
    </row>
    <row r="210" spans="1:4" x14ac:dyDescent="0.2">
      <c r="A210" s="1293">
        <v>33908</v>
      </c>
      <c r="B210" s="1295"/>
      <c r="C210" s="1296"/>
      <c r="D210" s="1295"/>
    </row>
    <row r="211" spans="1:4" x14ac:dyDescent="0.2">
      <c r="A211" s="1293">
        <v>33938</v>
      </c>
      <c r="B211" s="1295"/>
      <c r="C211" s="1296"/>
      <c r="D211" s="1295"/>
    </row>
    <row r="212" spans="1:4" x14ac:dyDescent="0.2">
      <c r="A212" s="1293">
        <v>33969</v>
      </c>
      <c r="B212" s="1295"/>
      <c r="C212" s="1296"/>
      <c r="D212" s="1295"/>
    </row>
    <row r="213" spans="1:4" x14ac:dyDescent="0.2">
      <c r="A213" s="1293">
        <v>34000</v>
      </c>
      <c r="B213" s="1295"/>
      <c r="C213" s="1296"/>
      <c r="D213" s="1295"/>
    </row>
    <row r="214" spans="1:4" x14ac:dyDescent="0.2">
      <c r="A214" s="1293">
        <v>34028</v>
      </c>
      <c r="B214" s="1295"/>
      <c r="C214" s="1296"/>
      <c r="D214" s="1295"/>
    </row>
    <row r="215" spans="1:4" x14ac:dyDescent="0.2">
      <c r="A215" s="1293">
        <v>34059</v>
      </c>
      <c r="B215" s="1295"/>
      <c r="C215" s="1296"/>
      <c r="D215" s="1295"/>
    </row>
    <row r="216" spans="1:4" x14ac:dyDescent="0.2">
      <c r="A216" s="1293">
        <v>34089</v>
      </c>
      <c r="B216" s="1295"/>
      <c r="C216" s="1296"/>
      <c r="D216" s="1295"/>
    </row>
    <row r="217" spans="1:4" x14ac:dyDescent="0.2">
      <c r="A217" s="1293">
        <v>34120</v>
      </c>
      <c r="B217" s="1295"/>
      <c r="C217" s="1296"/>
      <c r="D217" s="1295"/>
    </row>
    <row r="218" spans="1:4" x14ac:dyDescent="0.2">
      <c r="A218" s="1293">
        <v>34150</v>
      </c>
      <c r="B218" s="1295"/>
      <c r="C218" s="1296"/>
      <c r="D218" s="1295"/>
    </row>
    <row r="219" spans="1:4" x14ac:dyDescent="0.2">
      <c r="A219" s="1293">
        <v>34181</v>
      </c>
      <c r="B219" s="1295"/>
      <c r="C219" s="1296"/>
      <c r="D219" s="1295"/>
    </row>
    <row r="220" spans="1:4" x14ac:dyDescent="0.2">
      <c r="A220" s="1293">
        <v>34212</v>
      </c>
      <c r="B220" s="1295"/>
      <c r="C220" s="1296"/>
      <c r="D220" s="1295"/>
    </row>
    <row r="221" spans="1:4" x14ac:dyDescent="0.2">
      <c r="A221" s="1293">
        <v>34242</v>
      </c>
      <c r="B221" s="1295"/>
      <c r="C221" s="1296"/>
      <c r="D221" s="1295"/>
    </row>
    <row r="222" spans="1:4" x14ac:dyDescent="0.2">
      <c r="A222" s="1293">
        <v>34273</v>
      </c>
      <c r="B222" s="1295"/>
      <c r="C222" s="1296"/>
      <c r="D222" s="1295"/>
    </row>
    <row r="223" spans="1:4" x14ac:dyDescent="0.2">
      <c r="A223" s="1293">
        <v>34303</v>
      </c>
      <c r="B223" s="1295"/>
      <c r="C223" s="1296"/>
      <c r="D223" s="1295"/>
    </row>
    <row r="224" spans="1:4" x14ac:dyDescent="0.2">
      <c r="A224" s="1293">
        <v>34334</v>
      </c>
      <c r="B224" s="1295"/>
      <c r="C224" s="1296"/>
      <c r="D224" s="1295"/>
    </row>
    <row r="225" spans="1:4" x14ac:dyDescent="0.2">
      <c r="A225" s="1293">
        <v>34365</v>
      </c>
      <c r="B225" s="1295"/>
      <c r="C225" s="1296"/>
      <c r="D225" s="1295"/>
    </row>
    <row r="226" spans="1:4" x14ac:dyDescent="0.2">
      <c r="A226" s="1293">
        <v>34393</v>
      </c>
      <c r="B226" s="1295"/>
      <c r="C226" s="1296"/>
      <c r="D226" s="1295"/>
    </row>
    <row r="227" spans="1:4" x14ac:dyDescent="0.2">
      <c r="A227" s="1293">
        <v>34424</v>
      </c>
      <c r="B227" s="1295"/>
      <c r="C227" s="1296"/>
      <c r="D227" s="1295"/>
    </row>
    <row r="228" spans="1:4" x14ac:dyDescent="0.2">
      <c r="A228" s="1293">
        <v>34454</v>
      </c>
      <c r="B228" s="1295"/>
      <c r="C228" s="1296"/>
      <c r="D228" s="1295"/>
    </row>
    <row r="229" spans="1:4" x14ac:dyDescent="0.2">
      <c r="A229" s="1293">
        <v>34485</v>
      </c>
      <c r="B229" s="1295"/>
      <c r="C229" s="1296"/>
      <c r="D229" s="1295"/>
    </row>
    <row r="230" spans="1:4" x14ac:dyDescent="0.2">
      <c r="A230" s="1293">
        <v>34515</v>
      </c>
      <c r="B230" s="1295"/>
      <c r="C230" s="1296"/>
      <c r="D230" s="1295"/>
    </row>
    <row r="231" spans="1:4" x14ac:dyDescent="0.2">
      <c r="A231" s="1293">
        <v>34546</v>
      </c>
      <c r="B231" s="1295"/>
      <c r="C231" s="1296"/>
      <c r="D231" s="1295"/>
    </row>
    <row r="232" spans="1:4" x14ac:dyDescent="0.2">
      <c r="A232" s="1293">
        <v>34577</v>
      </c>
      <c r="B232" s="1295"/>
      <c r="C232" s="1296"/>
      <c r="D232" s="1295"/>
    </row>
    <row r="233" spans="1:4" x14ac:dyDescent="0.2">
      <c r="A233" s="1293">
        <v>34607</v>
      </c>
      <c r="B233" s="1295"/>
      <c r="C233" s="1296"/>
      <c r="D233" s="1295"/>
    </row>
    <row r="234" spans="1:4" x14ac:dyDescent="0.2">
      <c r="A234" s="1293">
        <v>34638</v>
      </c>
      <c r="B234" s="1295"/>
      <c r="C234" s="1296"/>
      <c r="D234" s="1295"/>
    </row>
    <row r="235" spans="1:4" x14ac:dyDescent="0.2">
      <c r="A235" s="1293">
        <v>34668</v>
      </c>
      <c r="B235" s="1295"/>
      <c r="C235" s="1296"/>
      <c r="D235" s="1295"/>
    </row>
    <row r="236" spans="1:4" x14ac:dyDescent="0.2">
      <c r="A236" s="1293">
        <v>34699</v>
      </c>
      <c r="B236" s="1295"/>
      <c r="C236" s="1296"/>
      <c r="D236" s="1295"/>
    </row>
    <row r="237" spans="1:4" x14ac:dyDescent="0.2">
      <c r="A237" s="1293">
        <v>34730</v>
      </c>
      <c r="B237" s="1295"/>
      <c r="C237" s="1296"/>
      <c r="D237" s="1295"/>
    </row>
    <row r="238" spans="1:4" x14ac:dyDescent="0.2">
      <c r="A238" s="1293">
        <v>34758</v>
      </c>
      <c r="B238" s="1295"/>
      <c r="C238" s="1296"/>
      <c r="D238" s="1295"/>
    </row>
    <row r="239" spans="1:4" x14ac:dyDescent="0.2">
      <c r="A239" s="1293">
        <v>34789</v>
      </c>
      <c r="B239" s="1295"/>
      <c r="C239" s="1296"/>
      <c r="D239" s="1295"/>
    </row>
    <row r="240" spans="1:4" x14ac:dyDescent="0.2">
      <c r="A240" s="1293">
        <v>34819</v>
      </c>
      <c r="B240" s="1295"/>
      <c r="C240" s="1296"/>
      <c r="D240" s="1295"/>
    </row>
    <row r="241" spans="1:4" x14ac:dyDescent="0.2">
      <c r="A241" s="1293">
        <v>34850</v>
      </c>
      <c r="B241" s="1295"/>
      <c r="C241" s="1296"/>
      <c r="D241" s="1295"/>
    </row>
    <row r="242" spans="1:4" x14ac:dyDescent="0.2">
      <c r="A242" s="1293">
        <v>34880</v>
      </c>
      <c r="B242" s="1295"/>
      <c r="C242" s="1296"/>
      <c r="D242" s="1295"/>
    </row>
    <row r="243" spans="1:4" x14ac:dyDescent="0.2">
      <c r="A243" s="1293">
        <v>34911</v>
      </c>
      <c r="B243" s="1295"/>
      <c r="C243" s="1296"/>
      <c r="D243" s="1295"/>
    </row>
    <row r="244" spans="1:4" x14ac:dyDescent="0.2">
      <c r="A244" s="1293">
        <v>34942</v>
      </c>
      <c r="B244" s="1295"/>
      <c r="C244" s="1296"/>
      <c r="D244" s="1295"/>
    </row>
    <row r="245" spans="1:4" x14ac:dyDescent="0.2">
      <c r="A245" s="1293">
        <v>34972</v>
      </c>
      <c r="B245" s="1295"/>
      <c r="C245" s="1296"/>
      <c r="D245" s="1295"/>
    </row>
    <row r="246" spans="1:4" x14ac:dyDescent="0.2">
      <c r="A246" s="1293">
        <v>35003</v>
      </c>
      <c r="B246" s="1295"/>
      <c r="C246" s="1296"/>
      <c r="D246" s="1295"/>
    </row>
    <row r="247" spans="1:4" x14ac:dyDescent="0.2">
      <c r="A247" s="1293">
        <v>35033</v>
      </c>
      <c r="B247" s="1295"/>
      <c r="C247" s="1296"/>
      <c r="D247" s="1295"/>
    </row>
    <row r="248" spans="1:4" x14ac:dyDescent="0.2">
      <c r="A248" s="1293">
        <v>35064</v>
      </c>
      <c r="B248" s="1295"/>
      <c r="C248" s="1296"/>
      <c r="D248" s="1295"/>
    </row>
    <row r="249" spans="1:4" x14ac:dyDescent="0.2">
      <c r="A249" s="1293">
        <v>35095</v>
      </c>
      <c r="B249" s="1295"/>
      <c r="C249" s="1296"/>
      <c r="D249" s="1295"/>
    </row>
    <row r="250" spans="1:4" x14ac:dyDescent="0.2">
      <c r="A250" s="1293">
        <v>35124</v>
      </c>
      <c r="B250" s="1295"/>
      <c r="C250" s="1296"/>
      <c r="D250" s="1295"/>
    </row>
    <row r="251" spans="1:4" x14ac:dyDescent="0.2">
      <c r="A251" s="1293">
        <v>35155</v>
      </c>
      <c r="B251" s="1295"/>
      <c r="C251" s="1296"/>
      <c r="D251" s="1295"/>
    </row>
    <row r="252" spans="1:4" x14ac:dyDescent="0.2">
      <c r="A252" s="1293">
        <v>35185</v>
      </c>
      <c r="B252" s="1295"/>
      <c r="C252" s="1296"/>
      <c r="D252" s="1295"/>
    </row>
    <row r="253" spans="1:4" x14ac:dyDescent="0.2">
      <c r="A253" s="1293">
        <v>35216</v>
      </c>
      <c r="B253" s="1295"/>
      <c r="C253" s="1296"/>
      <c r="D253" s="1295"/>
    </row>
    <row r="254" spans="1:4" x14ac:dyDescent="0.2">
      <c r="A254" s="1293">
        <v>35246</v>
      </c>
      <c r="B254" s="1295"/>
      <c r="C254" s="1296"/>
      <c r="D254" s="1295"/>
    </row>
    <row r="255" spans="1:4" x14ac:dyDescent="0.2">
      <c r="A255" s="1293">
        <v>35277</v>
      </c>
      <c r="B255" s="1295"/>
      <c r="C255" s="1296"/>
      <c r="D255" s="1295"/>
    </row>
    <row r="256" spans="1:4" x14ac:dyDescent="0.2">
      <c r="A256" s="1293">
        <v>35308</v>
      </c>
      <c r="B256" s="1295"/>
      <c r="C256" s="1296"/>
      <c r="D256" s="1295"/>
    </row>
    <row r="257" spans="1:4" x14ac:dyDescent="0.2">
      <c r="A257" s="1293">
        <v>35338</v>
      </c>
      <c r="B257" s="1295"/>
      <c r="C257" s="1296"/>
      <c r="D257" s="1295"/>
    </row>
    <row r="258" spans="1:4" x14ac:dyDescent="0.2">
      <c r="A258" s="1293">
        <v>35369</v>
      </c>
      <c r="B258" s="1295"/>
      <c r="C258" s="1296"/>
      <c r="D258" s="1295"/>
    </row>
    <row r="259" spans="1:4" x14ac:dyDescent="0.2">
      <c r="A259" s="1293">
        <v>35399</v>
      </c>
      <c r="B259" s="1295"/>
      <c r="C259" s="1296"/>
      <c r="D259" s="1295"/>
    </row>
    <row r="260" spans="1:4" x14ac:dyDescent="0.2">
      <c r="A260" s="1293">
        <v>35430</v>
      </c>
      <c r="B260" s="1295"/>
      <c r="C260" s="1296"/>
      <c r="D260" s="1295"/>
    </row>
    <row r="261" spans="1:4" x14ac:dyDescent="0.2">
      <c r="A261" s="1293">
        <v>35461</v>
      </c>
      <c r="B261" s="1295"/>
      <c r="C261" s="1296"/>
      <c r="D261" s="1295"/>
    </row>
    <row r="262" spans="1:4" x14ac:dyDescent="0.2">
      <c r="A262" s="1293">
        <v>35489</v>
      </c>
      <c r="B262" s="1295"/>
      <c r="C262" s="1296"/>
      <c r="D262" s="1295"/>
    </row>
    <row r="263" spans="1:4" x14ac:dyDescent="0.2">
      <c r="A263" s="1293">
        <v>35520</v>
      </c>
      <c r="B263" s="1295"/>
      <c r="C263" s="1296"/>
      <c r="D263" s="1295"/>
    </row>
    <row r="264" spans="1:4" x14ac:dyDescent="0.2">
      <c r="A264" s="1293">
        <v>35550</v>
      </c>
      <c r="B264" s="1295"/>
      <c r="C264" s="1296"/>
      <c r="D264" s="1295"/>
    </row>
    <row r="265" spans="1:4" x14ac:dyDescent="0.2">
      <c r="A265" s="1293">
        <v>35581</v>
      </c>
      <c r="B265" s="1295"/>
      <c r="C265" s="1296"/>
      <c r="D265" s="1295"/>
    </row>
    <row r="266" spans="1:4" x14ac:dyDescent="0.2">
      <c r="A266" s="1293">
        <v>35611</v>
      </c>
      <c r="B266" s="1295"/>
      <c r="C266" s="1296"/>
      <c r="D266" s="1295"/>
    </row>
    <row r="267" spans="1:4" x14ac:dyDescent="0.2">
      <c r="A267" s="1293">
        <v>35642</v>
      </c>
      <c r="B267" s="1295"/>
      <c r="C267" s="1296"/>
      <c r="D267" s="1295"/>
    </row>
    <row r="268" spans="1:4" x14ac:dyDescent="0.2">
      <c r="A268" s="1293">
        <v>35673</v>
      </c>
      <c r="B268" s="1295"/>
      <c r="C268" s="1296"/>
      <c r="D268" s="1295"/>
    </row>
    <row r="269" spans="1:4" x14ac:dyDescent="0.2">
      <c r="A269" s="1293">
        <v>35703</v>
      </c>
      <c r="B269" s="1295"/>
      <c r="C269" s="1296"/>
      <c r="D269" s="1295"/>
    </row>
    <row r="270" spans="1:4" x14ac:dyDescent="0.2">
      <c r="A270" s="1293">
        <v>35734</v>
      </c>
      <c r="B270" s="1295"/>
      <c r="C270" s="1296"/>
      <c r="D270" s="1295"/>
    </row>
    <row r="271" spans="1:4" x14ac:dyDescent="0.2">
      <c r="A271" s="1293">
        <v>35764</v>
      </c>
      <c r="B271" s="1295"/>
      <c r="C271" s="1296"/>
      <c r="D271" s="1295"/>
    </row>
    <row r="272" spans="1:4" x14ac:dyDescent="0.2">
      <c r="A272" s="1293">
        <v>35795</v>
      </c>
      <c r="B272" s="1295"/>
      <c r="C272" s="1296"/>
      <c r="D272" s="1295"/>
    </row>
    <row r="273" spans="1:4" x14ac:dyDescent="0.2">
      <c r="A273" s="1293">
        <v>35826</v>
      </c>
      <c r="B273" s="1295"/>
      <c r="C273" s="1296"/>
      <c r="D273" s="1295"/>
    </row>
    <row r="274" spans="1:4" x14ac:dyDescent="0.2">
      <c r="A274" s="1293">
        <v>35854</v>
      </c>
      <c r="B274" s="1295"/>
      <c r="C274" s="1297"/>
      <c r="D274" s="1295"/>
    </row>
    <row r="275" spans="1:4" x14ac:dyDescent="0.2">
      <c r="A275" s="1293">
        <v>35885</v>
      </c>
      <c r="B275" s="1295"/>
      <c r="C275" s="1297"/>
      <c r="D275" s="1295"/>
    </row>
    <row r="276" spans="1:4" x14ac:dyDescent="0.2">
      <c r="A276" s="1293">
        <v>35915</v>
      </c>
      <c r="B276" s="1295"/>
      <c r="C276" s="1297"/>
      <c r="D276" s="1295"/>
    </row>
    <row r="277" spans="1:4" x14ac:dyDescent="0.2">
      <c r="A277" s="1293">
        <v>35946</v>
      </c>
      <c r="B277" s="1295"/>
      <c r="C277" s="1297"/>
      <c r="D277" s="1295"/>
    </row>
    <row r="278" spans="1:4" x14ac:dyDescent="0.2">
      <c r="A278" s="1293">
        <v>35976</v>
      </c>
      <c r="B278" s="1295"/>
      <c r="C278" s="1297"/>
      <c r="D278" s="1295"/>
    </row>
    <row r="279" spans="1:4" x14ac:dyDescent="0.2">
      <c r="A279" s="1293">
        <v>36007</v>
      </c>
      <c r="B279" s="1295"/>
      <c r="C279" s="1297"/>
      <c r="D279" s="1295"/>
    </row>
    <row r="280" spans="1:4" x14ac:dyDescent="0.2">
      <c r="A280" s="1293">
        <v>36038</v>
      </c>
      <c r="B280" s="1295"/>
      <c r="C280" s="1297"/>
      <c r="D280" s="1295"/>
    </row>
    <row r="281" spans="1:4" x14ac:dyDescent="0.2">
      <c r="A281" s="1293">
        <v>36068</v>
      </c>
      <c r="B281" s="1295"/>
      <c r="C281" s="1297"/>
      <c r="D281" s="1295"/>
    </row>
    <row r="282" spans="1:4" x14ac:dyDescent="0.2">
      <c r="A282" s="1293">
        <v>36099</v>
      </c>
      <c r="B282" s="1295"/>
      <c r="C282" s="1297"/>
      <c r="D282" s="1295"/>
    </row>
    <row r="283" spans="1:4" x14ac:dyDescent="0.2">
      <c r="A283" s="1293">
        <v>36129</v>
      </c>
      <c r="B283" s="1295"/>
      <c r="C283" s="1297"/>
      <c r="D283" s="1295"/>
    </row>
    <row r="284" spans="1:4" x14ac:dyDescent="0.2">
      <c r="A284" s="1293">
        <v>36160</v>
      </c>
      <c r="B284" s="1295"/>
      <c r="C284" s="1297"/>
      <c r="D284" s="1295"/>
    </row>
    <row r="285" spans="1:4" x14ac:dyDescent="0.2">
      <c r="A285" s="1293">
        <v>36191</v>
      </c>
      <c r="B285" s="1295"/>
      <c r="C285" s="1297"/>
      <c r="D285" s="1295"/>
    </row>
    <row r="286" spans="1:4" x14ac:dyDescent="0.2">
      <c r="A286" s="1293">
        <v>36219</v>
      </c>
      <c r="B286" s="1295"/>
      <c r="C286" s="1297"/>
      <c r="D286" s="1295"/>
    </row>
    <row r="287" spans="1:4" x14ac:dyDescent="0.2">
      <c r="A287" s="1293">
        <v>36250</v>
      </c>
      <c r="B287" s="1295"/>
      <c r="C287" s="1297"/>
      <c r="D287" s="1295"/>
    </row>
    <row r="288" spans="1:4" x14ac:dyDescent="0.2">
      <c r="A288" s="1293">
        <v>36280</v>
      </c>
      <c r="B288" s="1295"/>
      <c r="C288" s="1297"/>
      <c r="D288" s="1295"/>
    </row>
    <row r="289" spans="1:4" x14ac:dyDescent="0.2">
      <c r="A289" s="1293">
        <v>36311</v>
      </c>
      <c r="B289" s="1295"/>
      <c r="C289" s="1297"/>
      <c r="D289" s="1295"/>
    </row>
    <row r="290" spans="1:4" x14ac:dyDescent="0.2">
      <c r="A290" s="1293">
        <v>36341</v>
      </c>
      <c r="B290" s="1295"/>
      <c r="C290" s="1297"/>
      <c r="D290" s="1295"/>
    </row>
    <row r="291" spans="1:4" x14ac:dyDescent="0.2">
      <c r="A291" s="1293">
        <v>36372</v>
      </c>
      <c r="B291" s="1295"/>
      <c r="C291" s="1297"/>
      <c r="D291" s="1295"/>
    </row>
    <row r="292" spans="1:4" x14ac:dyDescent="0.2">
      <c r="A292" s="1293">
        <v>36403</v>
      </c>
      <c r="B292" s="1295"/>
      <c r="C292" s="1297"/>
      <c r="D292" s="1295"/>
    </row>
    <row r="293" spans="1:4" x14ac:dyDescent="0.2">
      <c r="A293" s="1293">
        <v>36433</v>
      </c>
      <c r="B293" s="1295"/>
      <c r="C293" s="1297"/>
      <c r="D293" s="1295"/>
    </row>
    <row r="294" spans="1:4" x14ac:dyDescent="0.2">
      <c r="A294" s="1293">
        <v>36464</v>
      </c>
      <c r="B294" s="1295"/>
      <c r="C294" s="1297"/>
      <c r="D294" s="1295"/>
    </row>
    <row r="295" spans="1:4" x14ac:dyDescent="0.2">
      <c r="A295" s="1293">
        <v>36494</v>
      </c>
      <c r="B295" s="1295"/>
      <c r="C295" s="1297"/>
      <c r="D295" s="1295"/>
    </row>
    <row r="296" spans="1:4" x14ac:dyDescent="0.2">
      <c r="A296" s="1293">
        <v>36525</v>
      </c>
      <c r="B296" s="1295"/>
      <c r="C296" s="1297"/>
      <c r="D296" s="1295"/>
    </row>
    <row r="297" spans="1:4" x14ac:dyDescent="0.2">
      <c r="A297" s="1293">
        <v>36556</v>
      </c>
      <c r="B297" s="1295"/>
      <c r="C297" s="1297"/>
      <c r="D297" s="1295"/>
    </row>
    <row r="298" spans="1:4" x14ac:dyDescent="0.2">
      <c r="A298" s="1293">
        <v>36585</v>
      </c>
      <c r="B298" s="1295"/>
      <c r="C298" s="1297"/>
      <c r="D298" s="1295"/>
    </row>
    <row r="299" spans="1:4" x14ac:dyDescent="0.2">
      <c r="A299" s="1293">
        <v>36616</v>
      </c>
      <c r="B299" s="1295"/>
      <c r="C299" s="1297"/>
      <c r="D299" s="1295"/>
    </row>
    <row r="300" spans="1:4" x14ac:dyDescent="0.2">
      <c r="A300" s="1293">
        <v>36646</v>
      </c>
      <c r="B300" s="1295"/>
      <c r="C300" s="1297"/>
      <c r="D300" s="1295"/>
    </row>
    <row r="301" spans="1:4" x14ac:dyDescent="0.2">
      <c r="A301" s="1293">
        <v>36677</v>
      </c>
      <c r="B301" s="1295"/>
      <c r="C301" s="1297"/>
      <c r="D301" s="1295"/>
    </row>
    <row r="302" spans="1:4" x14ac:dyDescent="0.2">
      <c r="A302" s="1293">
        <v>36707</v>
      </c>
      <c r="B302" s="1295"/>
      <c r="C302" s="1297"/>
      <c r="D302" s="1295"/>
    </row>
    <row r="303" spans="1:4" x14ac:dyDescent="0.2">
      <c r="A303" s="1293">
        <v>36738</v>
      </c>
      <c r="B303" s="1295"/>
      <c r="C303" s="1297"/>
      <c r="D303" s="1295"/>
    </row>
    <row r="304" spans="1:4" x14ac:dyDescent="0.2">
      <c r="A304" s="1293">
        <v>36769</v>
      </c>
      <c r="B304" s="1295"/>
      <c r="C304" s="1297"/>
      <c r="D304" s="1295"/>
    </row>
    <row r="305" spans="1:4" x14ac:dyDescent="0.2">
      <c r="A305" s="1293">
        <v>36799</v>
      </c>
      <c r="B305" s="1298"/>
      <c r="C305" s="1299"/>
      <c r="D305" s="1295"/>
    </row>
    <row r="306" spans="1:4" x14ac:dyDescent="0.2">
      <c r="A306" s="1293">
        <v>36830</v>
      </c>
      <c r="B306" s="1300"/>
      <c r="C306" s="1299"/>
      <c r="D306" s="1300"/>
    </row>
    <row r="307" spans="1:4" x14ac:dyDescent="0.2">
      <c r="A307" s="1293">
        <v>36860</v>
      </c>
      <c r="B307" s="1300"/>
      <c r="C307" s="1299"/>
      <c r="D307" s="1300"/>
    </row>
    <row r="308" spans="1:4" x14ac:dyDescent="0.2">
      <c r="A308" s="1293">
        <v>36891</v>
      </c>
      <c r="B308" s="1300"/>
      <c r="C308" s="1299"/>
      <c r="D308" s="1300"/>
    </row>
    <row r="309" spans="1:4" x14ac:dyDescent="0.2">
      <c r="A309" s="1293">
        <v>36922</v>
      </c>
      <c r="B309" s="1300"/>
      <c r="C309" s="1299"/>
      <c r="D309" s="1300"/>
    </row>
    <row r="310" spans="1:4" x14ac:dyDescent="0.2">
      <c r="A310" s="1293">
        <v>36950</v>
      </c>
      <c r="B310" s="1300"/>
      <c r="C310" s="1299"/>
      <c r="D310" s="1300"/>
    </row>
    <row r="311" spans="1:4" x14ac:dyDescent="0.2">
      <c r="A311" s="1293">
        <v>36981</v>
      </c>
      <c r="B311" s="1300"/>
      <c r="C311" s="1299"/>
      <c r="D311" s="1300"/>
    </row>
    <row r="312" spans="1:4" x14ac:dyDescent="0.2">
      <c r="A312" s="1293">
        <v>37011</v>
      </c>
      <c r="B312" s="1300"/>
      <c r="C312" s="1299"/>
      <c r="D312" s="1300"/>
    </row>
    <row r="313" spans="1:4" x14ac:dyDescent="0.2">
      <c r="A313" s="1293">
        <v>37042</v>
      </c>
      <c r="B313" s="1300"/>
      <c r="C313" s="1299"/>
      <c r="D313" s="1300"/>
    </row>
    <row r="314" spans="1:4" x14ac:dyDescent="0.2">
      <c r="A314" s="1293">
        <v>37072</v>
      </c>
      <c r="B314" s="1300"/>
      <c r="C314" s="1299"/>
      <c r="D314" s="1300"/>
    </row>
    <row r="315" spans="1:4" x14ac:dyDescent="0.2">
      <c r="A315" s="1293">
        <v>37103</v>
      </c>
      <c r="B315" s="1300"/>
      <c r="C315" s="1299"/>
      <c r="D315" s="1300"/>
    </row>
    <row r="316" spans="1:4" x14ac:dyDescent="0.2">
      <c r="A316" s="1293">
        <v>37134</v>
      </c>
      <c r="B316" s="1300"/>
      <c r="C316" s="1299"/>
      <c r="D316" s="1300"/>
    </row>
    <row r="317" spans="1:4" x14ac:dyDescent="0.2">
      <c r="A317" s="1293">
        <v>37164</v>
      </c>
      <c r="B317" s="1300"/>
      <c r="C317" s="1299"/>
      <c r="D317" s="1300"/>
    </row>
    <row r="318" spans="1:4" x14ac:dyDescent="0.2">
      <c r="A318" s="1293">
        <v>37195</v>
      </c>
      <c r="B318" s="1300"/>
      <c r="C318" s="1299"/>
      <c r="D318" s="1300"/>
    </row>
    <row r="319" spans="1:4" x14ac:dyDescent="0.2">
      <c r="A319" s="1293">
        <v>37225</v>
      </c>
      <c r="B319" s="1300"/>
      <c r="C319" s="1299"/>
      <c r="D319" s="1300"/>
    </row>
    <row r="320" spans="1:4" x14ac:dyDescent="0.2">
      <c r="A320" s="1293">
        <v>37256</v>
      </c>
      <c r="B320" s="1300"/>
      <c r="C320" s="1299"/>
      <c r="D320" s="1300"/>
    </row>
    <row r="321" spans="1:4" x14ac:dyDescent="0.2">
      <c r="A321" s="1293">
        <v>37287</v>
      </c>
      <c r="B321" s="1300"/>
      <c r="C321" s="1299"/>
      <c r="D321" s="1300"/>
    </row>
    <row r="322" spans="1:4" x14ac:dyDescent="0.2">
      <c r="A322" s="1293">
        <v>37315</v>
      </c>
      <c r="B322" s="1300"/>
      <c r="C322" s="1299"/>
      <c r="D322" s="1300"/>
    </row>
    <row r="323" spans="1:4" x14ac:dyDescent="0.2">
      <c r="A323" s="1293">
        <v>37346</v>
      </c>
      <c r="B323" s="1300"/>
      <c r="C323" s="1299"/>
      <c r="D323" s="1300"/>
    </row>
    <row r="324" spans="1:4" x14ac:dyDescent="0.2">
      <c r="A324" s="1293">
        <v>37376</v>
      </c>
      <c r="B324" s="1300"/>
      <c r="C324" s="1299"/>
      <c r="D324" s="1300"/>
    </row>
    <row r="325" spans="1:4" x14ac:dyDescent="0.2">
      <c r="A325" s="1293">
        <v>37407</v>
      </c>
      <c r="B325" s="1300"/>
      <c r="C325" s="1299"/>
      <c r="D325" s="1300"/>
    </row>
    <row r="326" spans="1:4" x14ac:dyDescent="0.2">
      <c r="A326" s="1293">
        <v>37437</v>
      </c>
      <c r="B326" s="1300"/>
      <c r="C326" s="1299"/>
      <c r="D326" s="1300"/>
    </row>
    <row r="327" spans="1:4" x14ac:dyDescent="0.2">
      <c r="A327" s="1293">
        <v>37468</v>
      </c>
      <c r="B327" s="1300"/>
      <c r="C327" s="1299"/>
      <c r="D327" s="1300"/>
    </row>
    <row r="328" spans="1:4" x14ac:dyDescent="0.2">
      <c r="A328" s="1293">
        <v>37499</v>
      </c>
      <c r="B328" s="1300"/>
      <c r="C328" s="1299"/>
      <c r="D328" s="1300"/>
    </row>
    <row r="329" spans="1:4" x14ac:dyDescent="0.2">
      <c r="A329" s="1293">
        <v>37529</v>
      </c>
      <c r="B329" s="1300"/>
      <c r="C329" s="1299"/>
      <c r="D329" s="1300"/>
    </row>
    <row r="330" spans="1:4" x14ac:dyDescent="0.2">
      <c r="A330" s="1293">
        <v>37560</v>
      </c>
      <c r="B330" s="1300"/>
      <c r="C330" s="1299"/>
      <c r="D330" s="1300"/>
    </row>
    <row r="331" spans="1:4" x14ac:dyDescent="0.2">
      <c r="A331" s="1293">
        <v>37590</v>
      </c>
      <c r="B331" s="1300"/>
      <c r="C331" s="1299"/>
      <c r="D331" s="1300"/>
    </row>
    <row r="332" spans="1:4" x14ac:dyDescent="0.2">
      <c r="A332" s="1293">
        <v>37621</v>
      </c>
      <c r="B332" s="1300"/>
      <c r="C332" s="1299"/>
      <c r="D332" s="1300"/>
    </row>
    <row r="333" spans="1:4" x14ac:dyDescent="0.2">
      <c r="A333" s="1293">
        <v>37652</v>
      </c>
      <c r="B333" s="1300"/>
      <c r="C333" s="1299"/>
      <c r="D333" s="1300"/>
    </row>
    <row r="334" spans="1:4" x14ac:dyDescent="0.2">
      <c r="A334" s="1293">
        <v>37680</v>
      </c>
      <c r="B334" s="1300"/>
      <c r="C334" s="1299"/>
      <c r="D334" s="1300"/>
    </row>
    <row r="335" spans="1:4" x14ac:dyDescent="0.2">
      <c r="A335" s="1293">
        <v>37711</v>
      </c>
      <c r="B335" s="1300"/>
      <c r="C335" s="1299"/>
      <c r="D335" s="1300"/>
    </row>
    <row r="336" spans="1:4" x14ac:dyDescent="0.2">
      <c r="A336" s="1293">
        <v>37741</v>
      </c>
      <c r="B336" s="1300"/>
      <c r="C336" s="1299"/>
      <c r="D336" s="1300"/>
    </row>
    <row r="337" spans="1:4" x14ac:dyDescent="0.2">
      <c r="A337" s="1293">
        <v>37772</v>
      </c>
      <c r="B337" s="1300"/>
      <c r="C337" s="1299"/>
      <c r="D337" s="1300"/>
    </row>
    <row r="338" spans="1:4" x14ac:dyDescent="0.2">
      <c r="A338" s="1293">
        <v>37802</v>
      </c>
      <c r="B338" s="1300"/>
      <c r="C338" s="1299"/>
      <c r="D338" s="1300"/>
    </row>
    <row r="339" spans="1:4" x14ac:dyDescent="0.2">
      <c r="A339" s="1293">
        <v>37833</v>
      </c>
      <c r="B339" s="1300"/>
      <c r="C339" s="1299"/>
      <c r="D339" s="1300"/>
    </row>
    <row r="340" spans="1:4" x14ac:dyDescent="0.2">
      <c r="A340" s="1293">
        <v>37864</v>
      </c>
      <c r="B340" s="1300"/>
      <c r="C340" s="1299"/>
      <c r="D340" s="1300"/>
    </row>
    <row r="341" spans="1:4" x14ac:dyDescent="0.2">
      <c r="A341" s="1293">
        <v>37894</v>
      </c>
      <c r="B341" s="1300"/>
      <c r="C341" s="1302"/>
      <c r="D341" s="1300"/>
    </row>
    <row r="342" spans="1:4" x14ac:dyDescent="0.2">
      <c r="A342" s="1293">
        <v>37925</v>
      </c>
      <c r="B342" s="1300"/>
      <c r="C342" s="1302"/>
      <c r="D342" s="1300"/>
    </row>
    <row r="343" spans="1:4" x14ac:dyDescent="0.2">
      <c r="A343" s="1293">
        <v>37955</v>
      </c>
      <c r="B343" s="1300"/>
      <c r="C343" s="1302"/>
      <c r="D343" s="1300"/>
    </row>
    <row r="344" spans="1:4" x14ac:dyDescent="0.2">
      <c r="A344" s="1293">
        <v>37986</v>
      </c>
      <c r="B344" s="1300"/>
      <c r="C344" s="1302"/>
      <c r="D344" s="1300"/>
    </row>
    <row r="345" spans="1:4" x14ac:dyDescent="0.2">
      <c r="A345" s="1293">
        <v>38017</v>
      </c>
      <c r="B345" s="1300"/>
      <c r="C345" s="1302"/>
      <c r="D345" s="1300"/>
    </row>
    <row r="346" spans="1:4" x14ac:dyDescent="0.2">
      <c r="A346" s="1293">
        <v>38046</v>
      </c>
      <c r="B346" s="1300"/>
      <c r="C346" s="1302"/>
      <c r="D346" s="1300"/>
    </row>
    <row r="347" spans="1:4" x14ac:dyDescent="0.2">
      <c r="A347" s="1293">
        <v>38077</v>
      </c>
      <c r="B347" s="1300"/>
      <c r="C347" s="1302"/>
      <c r="D347" s="1303"/>
    </row>
    <row r="348" spans="1:4" x14ac:dyDescent="0.2">
      <c r="A348" s="1293">
        <v>38107</v>
      </c>
      <c r="B348" s="1300"/>
      <c r="C348" s="1302"/>
      <c r="D348" s="1300"/>
    </row>
    <row r="349" spans="1:4" x14ac:dyDescent="0.2">
      <c r="A349" s="1293">
        <v>38138</v>
      </c>
      <c r="B349" s="1300"/>
      <c r="C349" s="1302"/>
      <c r="D349" s="1300"/>
    </row>
    <row r="350" spans="1:4" x14ac:dyDescent="0.2">
      <c r="A350" s="1293">
        <v>38168</v>
      </c>
      <c r="B350" s="1300"/>
      <c r="C350" s="1302"/>
      <c r="D350" s="1300"/>
    </row>
    <row r="351" spans="1:4" x14ac:dyDescent="0.2">
      <c r="A351" s="1293">
        <v>38199</v>
      </c>
      <c r="B351" s="1300"/>
      <c r="C351" s="1302"/>
      <c r="D351" s="1300"/>
    </row>
    <row r="352" spans="1:4" x14ac:dyDescent="0.2">
      <c r="A352" s="1293">
        <v>38230</v>
      </c>
      <c r="B352" s="1300"/>
      <c r="C352" s="1302"/>
      <c r="D352" s="1300"/>
    </row>
    <row r="353" spans="1:4" x14ac:dyDescent="0.2">
      <c r="A353" s="1293">
        <v>38260</v>
      </c>
      <c r="B353" s="1300"/>
      <c r="C353" s="1302"/>
      <c r="D353" s="1300"/>
    </row>
    <row r="354" spans="1:4" x14ac:dyDescent="0.2">
      <c r="A354" s="1293">
        <v>38291</v>
      </c>
      <c r="B354" s="1300"/>
      <c r="C354" s="1302"/>
      <c r="D354" s="1300"/>
    </row>
    <row r="355" spans="1:4" x14ac:dyDescent="0.2">
      <c r="A355" s="1293">
        <v>38321</v>
      </c>
      <c r="B355" s="1300"/>
      <c r="C355" s="1302"/>
      <c r="D355" s="1300"/>
    </row>
    <row r="356" spans="1:4" x14ac:dyDescent="0.2">
      <c r="A356" s="1293">
        <v>38352</v>
      </c>
      <c r="B356" s="1300"/>
      <c r="C356" s="1304"/>
      <c r="D356" s="1300"/>
    </row>
    <row r="357" spans="1:4" x14ac:dyDescent="0.2">
      <c r="A357" s="1293">
        <v>38383</v>
      </c>
      <c r="B357" s="1300"/>
      <c r="C357" s="1302"/>
      <c r="D357" s="1300"/>
    </row>
    <row r="358" spans="1:4" x14ac:dyDescent="0.2">
      <c r="A358" s="1293">
        <v>38411</v>
      </c>
      <c r="B358" s="1300"/>
      <c r="C358" s="1302"/>
      <c r="D358" s="1300"/>
    </row>
    <row r="359" spans="1:4" x14ac:dyDescent="0.2">
      <c r="A359" s="1293">
        <v>38442</v>
      </c>
      <c r="B359" s="1300"/>
      <c r="C359" s="1304"/>
      <c r="D359" s="1300"/>
    </row>
    <row r="360" spans="1:4" x14ac:dyDescent="0.2">
      <c r="A360" s="1293">
        <v>38472</v>
      </c>
      <c r="B360" s="1300"/>
      <c r="C360" s="1304"/>
      <c r="D360" s="1300"/>
    </row>
    <row r="361" spans="1:4" x14ac:dyDescent="0.2">
      <c r="A361" s="1293">
        <v>38503</v>
      </c>
      <c r="B361" s="1300"/>
      <c r="C361" s="1304"/>
      <c r="D361" s="1300"/>
    </row>
    <row r="362" spans="1:4" x14ac:dyDescent="0.2">
      <c r="A362" s="1293">
        <v>38533</v>
      </c>
      <c r="B362" s="1300"/>
      <c r="C362" s="1304"/>
      <c r="D362" s="1300"/>
    </row>
    <row r="363" spans="1:4" x14ac:dyDescent="0.2">
      <c r="A363" s="1293">
        <v>38564</v>
      </c>
      <c r="B363" s="1300"/>
      <c r="C363" s="1304"/>
      <c r="D363" s="1300"/>
    </row>
    <row r="364" spans="1:4" x14ac:dyDescent="0.2">
      <c r="A364" s="1293">
        <v>38595</v>
      </c>
      <c r="B364" s="1300"/>
      <c r="C364" s="1304"/>
      <c r="D364" s="1300"/>
    </row>
    <row r="365" spans="1:4" x14ac:dyDescent="0.2">
      <c r="A365" s="1293">
        <v>38625</v>
      </c>
      <c r="B365" s="1300"/>
      <c r="C365" s="1304"/>
      <c r="D365" s="1300"/>
    </row>
    <row r="366" spans="1:4" x14ac:dyDescent="0.2">
      <c r="A366" s="1293">
        <v>38656</v>
      </c>
      <c r="B366" s="1300"/>
      <c r="C366" s="1304"/>
      <c r="D366" s="1300"/>
    </row>
    <row r="367" spans="1:4" x14ac:dyDescent="0.2">
      <c r="A367" s="1293">
        <v>38686</v>
      </c>
      <c r="B367" s="1300"/>
      <c r="C367" s="1304"/>
      <c r="D367" s="1300"/>
    </row>
    <row r="368" spans="1:4" x14ac:dyDescent="0.2">
      <c r="A368" s="1293">
        <v>38717</v>
      </c>
      <c r="B368" s="1300"/>
      <c r="C368" s="1304"/>
      <c r="D368" s="1300"/>
    </row>
    <row r="369" spans="1:6" x14ac:dyDescent="0.2">
      <c r="A369" s="1293">
        <v>38748</v>
      </c>
      <c r="B369" s="1300"/>
      <c r="C369" s="1304"/>
      <c r="D369" s="1300"/>
    </row>
    <row r="370" spans="1:6" x14ac:dyDescent="0.2">
      <c r="A370" s="1293">
        <v>38776</v>
      </c>
      <c r="B370" s="1300"/>
      <c r="C370" s="1304"/>
      <c r="D370" s="1300"/>
    </row>
    <row r="371" spans="1:6" x14ac:dyDescent="0.2">
      <c r="A371" s="1293">
        <v>38807</v>
      </c>
      <c r="B371" s="1300"/>
      <c r="C371" s="1299"/>
      <c r="D371" s="1300"/>
    </row>
    <row r="372" spans="1:6" x14ac:dyDescent="0.2">
      <c r="A372" s="1293">
        <v>38837</v>
      </c>
      <c r="B372" s="1300"/>
      <c r="C372" s="1299"/>
      <c r="D372" s="1300"/>
    </row>
    <row r="373" spans="1:6" x14ac:dyDescent="0.2">
      <c r="A373" s="1293">
        <v>38868</v>
      </c>
      <c r="B373" s="1300"/>
      <c r="C373" s="1299"/>
      <c r="D373" s="1300"/>
    </row>
    <row r="374" spans="1:6" x14ac:dyDescent="0.2">
      <c r="A374" s="1293">
        <v>38898</v>
      </c>
      <c r="B374" s="1372"/>
      <c r="C374" s="1387"/>
      <c r="D374" s="1300"/>
    </row>
    <row r="375" spans="1:6" x14ac:dyDescent="0.2">
      <c r="A375" s="1293">
        <v>38929</v>
      </c>
      <c r="B375" s="1300"/>
      <c r="C375" s="1302"/>
      <c r="D375" s="1300"/>
    </row>
    <row r="376" spans="1:6" x14ac:dyDescent="0.2">
      <c r="A376" s="1293">
        <v>38960</v>
      </c>
      <c r="B376" s="1300"/>
      <c r="C376" s="1302"/>
      <c r="D376" s="1300"/>
    </row>
    <row r="377" spans="1:6" x14ac:dyDescent="0.2">
      <c r="A377" s="1293">
        <v>38990</v>
      </c>
      <c r="B377" s="1300"/>
      <c r="C377" s="1302"/>
      <c r="D377" s="1300"/>
    </row>
    <row r="378" spans="1:6" x14ac:dyDescent="0.2">
      <c r="A378" s="1293">
        <v>39021</v>
      </c>
      <c r="B378" s="1300"/>
      <c r="C378" s="1302"/>
      <c r="D378" s="1300"/>
      <c r="F378" s="1305"/>
    </row>
    <row r="379" spans="1:6" x14ac:dyDescent="0.2">
      <c r="A379" s="1293">
        <v>39051</v>
      </c>
      <c r="B379" s="1300"/>
      <c r="C379" s="1302"/>
      <c r="D379" s="1300"/>
      <c r="F379" s="1305"/>
    </row>
    <row r="380" spans="1:6" x14ac:dyDescent="0.2">
      <c r="A380" s="1293">
        <v>39082</v>
      </c>
      <c r="B380" s="1300"/>
      <c r="C380" s="1302"/>
      <c r="D380" s="1300"/>
      <c r="F380" s="1305"/>
    </row>
    <row r="381" spans="1:6" x14ac:dyDescent="0.2">
      <c r="A381" s="1293">
        <v>39113</v>
      </c>
      <c r="B381" s="1300"/>
      <c r="F381" s="1305"/>
    </row>
    <row r="382" spans="1:6" x14ac:dyDescent="0.2">
      <c r="A382" s="1293">
        <v>39141</v>
      </c>
      <c r="B382" s="1300"/>
      <c r="F382" s="1305"/>
    </row>
    <row r="383" spans="1:6" x14ac:dyDescent="0.2">
      <c r="A383" s="1293">
        <v>39172</v>
      </c>
      <c r="B383" s="1300"/>
    </row>
    <row r="384" spans="1:6" x14ac:dyDescent="0.2">
      <c r="A384" s="1293">
        <v>39202</v>
      </c>
      <c r="B384" s="1300"/>
    </row>
    <row r="385" spans="1:3" x14ac:dyDescent="0.2">
      <c r="A385" s="1293">
        <v>39233</v>
      </c>
      <c r="B385" s="1300"/>
    </row>
    <row r="386" spans="1:3" x14ac:dyDescent="0.2">
      <c r="A386" s="1293">
        <v>39263</v>
      </c>
      <c r="B386" s="1300"/>
    </row>
    <row r="387" spans="1:3" x14ac:dyDescent="0.2">
      <c r="A387" s="1293">
        <v>39294</v>
      </c>
      <c r="B387" s="1300"/>
    </row>
    <row r="388" spans="1:3" x14ac:dyDescent="0.2">
      <c r="A388" s="1293">
        <v>39325</v>
      </c>
      <c r="B388" s="1300"/>
    </row>
    <row r="389" spans="1:3" x14ac:dyDescent="0.2">
      <c r="A389" s="1293">
        <v>39355</v>
      </c>
      <c r="B389" s="1300"/>
    </row>
    <row r="390" spans="1:3" x14ac:dyDescent="0.2">
      <c r="A390" s="1293">
        <v>39386</v>
      </c>
      <c r="B390" s="1300"/>
    </row>
    <row r="391" spans="1:3" x14ac:dyDescent="0.2">
      <c r="A391" s="1293">
        <v>39416</v>
      </c>
      <c r="B391" s="1300"/>
    </row>
    <row r="392" spans="1:3" x14ac:dyDescent="0.2">
      <c r="A392" s="1293">
        <v>39447</v>
      </c>
      <c r="B392" s="1300"/>
    </row>
    <row r="393" spans="1:3" x14ac:dyDescent="0.2">
      <c r="A393" s="1293">
        <v>39478</v>
      </c>
      <c r="B393" s="1300"/>
    </row>
    <row r="394" spans="1:3" x14ac:dyDescent="0.2">
      <c r="A394" s="1293">
        <v>39507</v>
      </c>
      <c r="B394" s="1300"/>
    </row>
    <row r="395" spans="1:3" x14ac:dyDescent="0.2">
      <c r="A395" s="1293">
        <v>39538</v>
      </c>
      <c r="B395" s="1300"/>
    </row>
    <row r="396" spans="1:3" x14ac:dyDescent="0.2">
      <c r="A396" s="1293">
        <v>39568</v>
      </c>
      <c r="B396" s="1300"/>
    </row>
    <row r="397" spans="1:3" x14ac:dyDescent="0.2">
      <c r="A397" s="1293">
        <v>39599</v>
      </c>
      <c r="B397" s="1300"/>
    </row>
    <row r="398" spans="1:3" x14ac:dyDescent="0.2">
      <c r="A398" s="1293">
        <v>39629</v>
      </c>
      <c r="B398" s="1300"/>
    </row>
    <row r="399" spans="1:3" x14ac:dyDescent="0.2">
      <c r="A399" s="1293">
        <v>39660</v>
      </c>
      <c r="B399" s="1300"/>
      <c r="C399" s="1299"/>
    </row>
    <row r="400" spans="1:3" x14ac:dyDescent="0.2">
      <c r="A400" s="1293">
        <v>39691</v>
      </c>
      <c r="B400" s="1300"/>
      <c r="C400" s="1299"/>
    </row>
    <row r="401" spans="1:7" x14ac:dyDescent="0.2">
      <c r="A401" s="1293">
        <v>39721</v>
      </c>
      <c r="B401" s="1300"/>
      <c r="C401" s="1299"/>
    </row>
    <row r="402" spans="1:7" x14ac:dyDescent="0.2">
      <c r="A402" s="1293">
        <v>39752</v>
      </c>
      <c r="B402" s="1300"/>
    </row>
    <row r="403" spans="1:7" x14ac:dyDescent="0.2">
      <c r="A403" s="1293">
        <v>39782</v>
      </c>
      <c r="B403" s="1300"/>
      <c r="G403" s="1301"/>
    </row>
    <row r="404" spans="1:7" x14ac:dyDescent="0.2">
      <c r="A404" s="1293">
        <v>39813</v>
      </c>
      <c r="B404" s="1300"/>
    </row>
    <row r="405" spans="1:7" x14ac:dyDescent="0.2">
      <c r="A405" s="1293">
        <v>39844</v>
      </c>
      <c r="B405" s="1300"/>
    </row>
    <row r="406" spans="1:7" x14ac:dyDescent="0.2">
      <c r="A406" s="1293">
        <v>39872</v>
      </c>
      <c r="B406" s="1300"/>
    </row>
    <row r="407" spans="1:7" x14ac:dyDescent="0.2">
      <c r="A407" s="1293">
        <v>39903</v>
      </c>
      <c r="B407" s="1300"/>
    </row>
    <row r="408" spans="1:7" x14ac:dyDescent="0.2">
      <c r="A408" s="1293">
        <v>39933</v>
      </c>
      <c r="B408" s="1300"/>
    </row>
    <row r="409" spans="1:7" x14ac:dyDescent="0.2">
      <c r="A409" s="1293">
        <v>39964</v>
      </c>
      <c r="B409" s="1300"/>
    </row>
    <row r="410" spans="1:7" x14ac:dyDescent="0.2">
      <c r="A410" s="1293">
        <v>39994</v>
      </c>
      <c r="B410" s="1300"/>
    </row>
    <row r="411" spans="1:7" x14ac:dyDescent="0.2">
      <c r="A411" s="1293">
        <v>40025</v>
      </c>
      <c r="B411" s="1300"/>
    </row>
    <row r="412" spans="1:7" x14ac:dyDescent="0.2">
      <c r="A412" s="1293">
        <v>40056</v>
      </c>
      <c r="B412" s="1300"/>
    </row>
    <row r="413" spans="1:7" x14ac:dyDescent="0.2">
      <c r="A413" s="1293">
        <v>40086</v>
      </c>
      <c r="B413" s="1300"/>
    </row>
    <row r="414" spans="1:7" x14ac:dyDescent="0.2">
      <c r="A414" s="1293">
        <v>40117</v>
      </c>
      <c r="B414" s="1300"/>
    </row>
    <row r="415" spans="1:7" x14ac:dyDescent="0.2">
      <c r="A415" s="1293">
        <v>40147</v>
      </c>
      <c r="B415" s="1300"/>
    </row>
    <row r="416" spans="1:7" x14ac:dyDescent="0.2">
      <c r="A416" s="1293">
        <v>40178</v>
      </c>
      <c r="B416" s="1300"/>
    </row>
    <row r="417" spans="1:5" x14ac:dyDescent="0.2">
      <c r="A417" s="1293">
        <v>40209</v>
      </c>
      <c r="B417" s="1300"/>
    </row>
    <row r="418" spans="1:5" x14ac:dyDescent="0.2">
      <c r="A418" s="1293">
        <v>40237</v>
      </c>
      <c r="B418" s="1300"/>
    </row>
    <row r="419" spans="1:5" x14ac:dyDescent="0.2">
      <c r="A419" s="1293">
        <v>40268</v>
      </c>
      <c r="B419" s="1300"/>
      <c r="C419" s="1334"/>
      <c r="D419" s="1311"/>
    </row>
    <row r="420" spans="1:5" x14ac:dyDescent="0.2">
      <c r="A420" s="1293">
        <v>40298</v>
      </c>
      <c r="B420" s="1300"/>
    </row>
    <row r="421" spans="1:5" x14ac:dyDescent="0.2">
      <c r="A421" s="1293">
        <v>40329</v>
      </c>
      <c r="B421" s="1300"/>
    </row>
    <row r="422" spans="1:5" x14ac:dyDescent="0.2">
      <c r="A422" s="1293">
        <v>40359</v>
      </c>
      <c r="B422" s="1300"/>
    </row>
    <row r="423" spans="1:5" x14ac:dyDescent="0.2">
      <c r="A423" s="1293">
        <v>40390</v>
      </c>
      <c r="B423" s="1300"/>
    </row>
    <row r="424" spans="1:5" x14ac:dyDescent="0.2">
      <c r="A424" s="1293">
        <v>40421</v>
      </c>
      <c r="B424" s="1300"/>
    </row>
    <row r="425" spans="1:5" x14ac:dyDescent="0.2">
      <c r="A425" s="1293">
        <v>40451</v>
      </c>
      <c r="B425" s="1300"/>
    </row>
    <row r="426" spans="1:5" x14ac:dyDescent="0.2">
      <c r="A426" s="1293">
        <v>40482</v>
      </c>
      <c r="B426" s="1306">
        <v>2.9030900000000002</v>
      </c>
      <c r="C426" s="1307">
        <v>166971689.96000001</v>
      </c>
      <c r="D426" s="1306">
        <v>2.9030900000000002</v>
      </c>
      <c r="E426" s="1301">
        <f>B426-Index_Returns!AL426</f>
        <v>-9.2599999999998239E-3</v>
      </c>
    </row>
    <row r="427" spans="1:5" x14ac:dyDescent="0.2">
      <c r="A427" s="1293">
        <v>40512</v>
      </c>
      <c r="B427" s="1300">
        <f>D427</f>
        <v>-2.6655500000000001</v>
      </c>
      <c r="C427" s="1307">
        <v>279543420.16000003</v>
      </c>
      <c r="D427" s="1306">
        <v>-2.6655500000000001</v>
      </c>
      <c r="E427" s="1301">
        <f>B427-Index_Returns!AL427</f>
        <v>-2.9790000000000205E-2</v>
      </c>
    </row>
    <row r="428" spans="1:5" x14ac:dyDescent="0.2">
      <c r="A428" s="1293">
        <v>40543</v>
      </c>
      <c r="B428" s="1300">
        <v>7.1602100000000002</v>
      </c>
      <c r="C428" s="1307">
        <v>299559308.18000001</v>
      </c>
      <c r="D428" s="1306">
        <v>7.1602100000000002</v>
      </c>
      <c r="E428" s="1301">
        <f>B428-Index_Returns!AL428</f>
        <v>1.2480000000000047E-2</v>
      </c>
    </row>
    <row r="429" spans="1:5" x14ac:dyDescent="0.2">
      <c r="A429" s="1293">
        <v>40574</v>
      </c>
      <c r="B429" s="1300">
        <f>D429</f>
        <v>-2.6867299999999998</v>
      </c>
      <c r="C429" s="1307">
        <v>291510946.43000001</v>
      </c>
      <c r="D429" s="1306">
        <v>-2.6867299999999998</v>
      </c>
      <c r="E429" s="1301">
        <f>B429-Index_Returns!AL429</f>
        <v>7.3500000000001897E-3</v>
      </c>
    </row>
    <row r="430" spans="1:5" x14ac:dyDescent="0.2">
      <c r="A430" s="1293">
        <v>40602</v>
      </c>
      <c r="B430" s="1300">
        <v>-0.94589999999999996</v>
      </c>
      <c r="C430" s="1307">
        <v>288739367.01999998</v>
      </c>
      <c r="D430" s="1306">
        <v>-0.94589999999999996</v>
      </c>
      <c r="E430" s="1301">
        <f>B430-Index_Returns!AL430</f>
        <v>-2.8129999999999988E-2</v>
      </c>
    </row>
    <row r="431" spans="1:5" x14ac:dyDescent="0.2">
      <c r="A431" s="1293">
        <v>40633</v>
      </c>
      <c r="B431" s="1300">
        <f>D431</f>
        <v>5.85419</v>
      </c>
      <c r="C431" s="1307">
        <v>305642724.94999999</v>
      </c>
      <c r="D431" s="1306">
        <v>5.85419</v>
      </c>
      <c r="E431" s="1301">
        <f>B431-Index_Returns!AL431</f>
        <v>-4.1009999999999991E-2</v>
      </c>
    </row>
    <row r="432" spans="1:5" x14ac:dyDescent="0.2">
      <c r="A432" s="1293">
        <v>40663</v>
      </c>
      <c r="B432" s="1300">
        <f t="shared" ref="B432:B488" si="0">D432</f>
        <v>3.08934</v>
      </c>
      <c r="C432" s="1307">
        <v>315161216.06</v>
      </c>
      <c r="D432" s="1306">
        <v>3.08934</v>
      </c>
      <c r="E432" s="1301">
        <f>B432-Index_Returns!AL432</f>
        <v>-3.4380000000000077E-2</v>
      </c>
    </row>
    <row r="433" spans="1:5" x14ac:dyDescent="0.2">
      <c r="A433" s="1293">
        <v>40694</v>
      </c>
      <c r="B433" s="1300">
        <f t="shared" si="0"/>
        <v>-2.6624400000000001</v>
      </c>
      <c r="C433" s="1307">
        <v>306858247.63</v>
      </c>
      <c r="D433" s="1306">
        <v>-2.6624400000000001</v>
      </c>
      <c r="E433" s="1301">
        <f>B433-Index_Returns!AL433</f>
        <v>-7.9250000000000043E-2</v>
      </c>
    </row>
    <row r="434" spans="1:5" x14ac:dyDescent="0.2">
      <c r="A434" s="1293">
        <v>40724</v>
      </c>
      <c r="B434" s="1300">
        <f t="shared" si="0"/>
        <v>-1.5451900000000001</v>
      </c>
      <c r="C434" s="1307">
        <v>302116692.57999998</v>
      </c>
      <c r="D434" s="1306">
        <v>-1.5451900000000001</v>
      </c>
      <c r="E434" s="1301">
        <f>B434-Index_Returns!AL434</f>
        <v>-4.88900000000001E-2</v>
      </c>
    </row>
    <row r="435" spans="1:5" x14ac:dyDescent="0.2">
      <c r="A435" s="1293">
        <v>40755</v>
      </c>
      <c r="B435" s="1300">
        <f t="shared" si="0"/>
        <v>-0.45134999999999997</v>
      </c>
      <c r="C435" s="1307">
        <v>300753082.85000002</v>
      </c>
      <c r="D435" s="1306">
        <v>-0.45134999999999997</v>
      </c>
      <c r="E435" s="1301">
        <f>B435-Index_Returns!AL435</f>
        <v>-7.5269999999999948E-2</v>
      </c>
    </row>
    <row r="436" spans="1:5" x14ac:dyDescent="0.2">
      <c r="A436" s="1293">
        <v>40786</v>
      </c>
      <c r="B436" s="1300">
        <f t="shared" si="0"/>
        <v>-8.9748000000000001</v>
      </c>
      <c r="C436" s="1307">
        <v>273843348.56</v>
      </c>
      <c r="D436" s="1306">
        <v>-8.9748000000000001</v>
      </c>
      <c r="E436" s="1301">
        <f>B436-Index_Returns!AM436</f>
        <v>-3.21678</v>
      </c>
    </row>
    <row r="437" spans="1:5" x14ac:dyDescent="0.2">
      <c r="A437" s="1293">
        <v>40816</v>
      </c>
      <c r="B437" s="1300">
        <f t="shared" si="0"/>
        <v>-14.599069999999999</v>
      </c>
      <c r="C437" s="1307">
        <v>233864774.94</v>
      </c>
      <c r="D437" s="1306">
        <v>-14.599069999999999</v>
      </c>
      <c r="E437" s="1301">
        <f>B437-Index_Returns!AL437</f>
        <v>-3.647999999999918E-2</v>
      </c>
    </row>
    <row r="438" spans="1:5" x14ac:dyDescent="0.2">
      <c r="A438" s="1293">
        <v>40847</v>
      </c>
      <c r="B438" s="1300">
        <f t="shared" si="0"/>
        <v>13.24356</v>
      </c>
      <c r="C438" s="1307">
        <v>264836789.44999999</v>
      </c>
      <c r="D438" s="1306">
        <v>13.24356</v>
      </c>
      <c r="E438" s="1301">
        <f>B438-Index_Returns!AL438</f>
        <v>-1.2069999999999581E-2</v>
      </c>
    </row>
    <row r="439" spans="1:5" x14ac:dyDescent="0.2">
      <c r="A439" s="1293">
        <v>40877</v>
      </c>
      <c r="B439" s="1300">
        <f t="shared" si="0"/>
        <v>-6.6549399999999999</v>
      </c>
      <c r="C439" s="1307">
        <v>363158148.30000001</v>
      </c>
      <c r="D439" s="1306">
        <v>-6.6549399999999999</v>
      </c>
      <c r="E439" s="1301">
        <f>B439-Index_Returns!AL439</f>
        <v>4.2800000000005056E-3</v>
      </c>
    </row>
    <row r="440" spans="1:5" x14ac:dyDescent="0.2">
      <c r="A440" s="1293">
        <v>40908</v>
      </c>
      <c r="B440" s="1300">
        <f t="shared" si="0"/>
        <v>-1.2131099999999999</v>
      </c>
      <c r="C440" s="1307">
        <v>358752657.75999999</v>
      </c>
      <c r="D440" s="1306">
        <v>-1.2131099999999999</v>
      </c>
      <c r="E440" s="1301">
        <f>B440-Index_Returns!AL440</f>
        <v>-1.7419999999999991E-2</v>
      </c>
    </row>
    <row r="441" spans="1:5" x14ac:dyDescent="0.2">
      <c r="A441" s="345">
        <v>40939</v>
      </c>
      <c r="B441" s="1300">
        <f t="shared" si="0"/>
        <v>11.29711</v>
      </c>
      <c r="C441" s="1307">
        <v>399367169.11000001</v>
      </c>
      <c r="D441" s="1306">
        <v>11.29711</v>
      </c>
      <c r="E441" s="1301">
        <f>B441-Index_Returns!AL441</f>
        <v>-6.4890000000000114E-2</v>
      </c>
    </row>
    <row r="442" spans="1:5" x14ac:dyDescent="0.2">
      <c r="A442" s="345">
        <v>40968</v>
      </c>
      <c r="B442" s="1300">
        <f t="shared" si="0"/>
        <v>5.8524099999999999</v>
      </c>
      <c r="C442" s="1307">
        <v>422837006.07999998</v>
      </c>
      <c r="D442" s="1306">
        <v>5.8524099999999999</v>
      </c>
      <c r="E442" s="1301">
        <f>B442-Index_Returns!AL442</f>
        <v>-0.15606999999999971</v>
      </c>
    </row>
    <row r="443" spans="1:5" x14ac:dyDescent="0.2">
      <c r="A443" s="345">
        <v>40999</v>
      </c>
      <c r="B443" s="1300">
        <f t="shared" si="0"/>
        <v>-3.3502299999999998</v>
      </c>
      <c r="C443" s="1307">
        <v>408671005.81999999</v>
      </c>
      <c r="D443" s="1306">
        <v>-3.3502299999999998</v>
      </c>
      <c r="E443" s="1301">
        <f>B443-Index_Returns!AL443</f>
        <v>-3.3749999999999947E-2</v>
      </c>
    </row>
    <row r="444" spans="1:5" x14ac:dyDescent="0.2">
      <c r="A444" s="345">
        <v>41029</v>
      </c>
      <c r="B444" s="1300">
        <f t="shared" si="0"/>
        <v>-1.1975199999999999</v>
      </c>
      <c r="C444" s="1307">
        <v>403777089.44</v>
      </c>
      <c r="D444" s="1306">
        <v>-1.1975199999999999</v>
      </c>
      <c r="E444" s="1301">
        <f>B444-Index_Returns!AL444</f>
        <v>-1.9549999999999956E-2</v>
      </c>
    </row>
    <row r="445" spans="1:5" x14ac:dyDescent="0.2">
      <c r="A445" s="345">
        <v>41060</v>
      </c>
      <c r="B445" s="1300">
        <f t="shared" si="0"/>
        <v>-11.22292</v>
      </c>
      <c r="C445" s="1307">
        <v>358461519.74000001</v>
      </c>
      <c r="D445" s="1306">
        <v>-11.22292</v>
      </c>
      <c r="E445" s="1301">
        <f>B445-Index_Returns!AL445</f>
        <v>-6.0349999999999682E-2</v>
      </c>
    </row>
    <row r="446" spans="1:5" x14ac:dyDescent="0.2">
      <c r="A446" s="345">
        <v>41090</v>
      </c>
      <c r="B446" s="1300">
        <f t="shared" si="0"/>
        <v>3.8443499999999999</v>
      </c>
      <c r="C446" s="1307">
        <v>372396011.60000002</v>
      </c>
      <c r="D446" s="1306">
        <v>3.8443499999999999</v>
      </c>
      <c r="E446" s="1301">
        <f>B446-Index_Returns!AL446</f>
        <v>-6.2149999999999928E-2</v>
      </c>
    </row>
    <row r="447" spans="1:5" x14ac:dyDescent="0.2">
      <c r="A447" s="345">
        <v>41121</v>
      </c>
      <c r="B447" s="1300">
        <f t="shared" si="0"/>
        <v>1.9145700000000001</v>
      </c>
      <c r="C447" s="1307">
        <v>379525787.29000002</v>
      </c>
      <c r="D447" s="1306">
        <v>1.9145700000000001</v>
      </c>
      <c r="E447" s="1301">
        <f>B447-Index_Returns!AL447</f>
        <v>-0.10811999999999977</v>
      </c>
    </row>
    <row r="448" spans="1:5" x14ac:dyDescent="0.2">
      <c r="A448" s="345">
        <v>41152</v>
      </c>
      <c r="B448" s="1300">
        <f t="shared" si="0"/>
        <v>-0.36382999999999999</v>
      </c>
      <c r="C448" s="1307">
        <v>378259149.22000003</v>
      </c>
      <c r="D448" s="1306">
        <v>-0.36382999999999999</v>
      </c>
      <c r="E448" s="1301">
        <f>B448-Index_Returns!AL448</f>
        <v>-7.4819999999999998E-2</v>
      </c>
    </row>
    <row r="449" spans="1:5" x14ac:dyDescent="0.2">
      <c r="A449" s="345">
        <v>41182</v>
      </c>
      <c r="B449" s="1300">
        <f t="shared" si="0"/>
        <v>6.0186900000000003</v>
      </c>
      <c r="C449" s="1307">
        <v>500473287.36000001</v>
      </c>
      <c r="D449" s="1306">
        <v>6.0186900000000003</v>
      </c>
      <c r="E449" s="1301">
        <f>B449-Index_Returns!AL449</f>
        <v>-3.5279999999999312E-2</v>
      </c>
    </row>
    <row r="450" spans="1:5" x14ac:dyDescent="0.2">
      <c r="A450" s="345">
        <v>41213</v>
      </c>
      <c r="B450" s="1300">
        <f t="shared" si="0"/>
        <v>-0.61646000000000001</v>
      </c>
      <c r="C450" s="1307">
        <v>637290707.37</v>
      </c>
      <c r="D450" s="1306">
        <v>-0.61646000000000001</v>
      </c>
      <c r="E450" s="1301">
        <f>B450-Index_Returns!AL450</f>
        <v>-2.0120000000000027E-2</v>
      </c>
    </row>
    <row r="451" spans="1:5" x14ac:dyDescent="0.2">
      <c r="A451" s="345">
        <v>41243</v>
      </c>
      <c r="B451" s="1300">
        <f t="shared" si="0"/>
        <v>1.2681500000000001</v>
      </c>
      <c r="C451" s="1307">
        <v>645372481.64999998</v>
      </c>
      <c r="D451" s="1306">
        <v>1.2681500000000001</v>
      </c>
      <c r="E451" s="1301">
        <f>B451-Index_Returns!AL451</f>
        <v>-8.799999999999919E-3</v>
      </c>
    </row>
    <row r="452" spans="1:5" x14ac:dyDescent="0.2">
      <c r="A452" s="345">
        <v>41274</v>
      </c>
      <c r="B452" s="1300">
        <f t="shared" si="0"/>
        <v>4.8762999999999996</v>
      </c>
      <c r="C452" s="1307">
        <v>676842790.80999994</v>
      </c>
      <c r="D452" s="1306">
        <v>4.8762999999999996</v>
      </c>
      <c r="E452" s="1301">
        <f>B452-Index_Returns!AL452</f>
        <v>-2.5280000000000413E-2</v>
      </c>
    </row>
    <row r="453" spans="1:5" x14ac:dyDescent="0.2">
      <c r="A453" s="345">
        <v>41305</v>
      </c>
      <c r="B453" s="1300">
        <f t="shared" si="0"/>
        <v>1.35947</v>
      </c>
      <c r="C453" s="1307">
        <v>686044290.76999998</v>
      </c>
      <c r="D453" s="1306">
        <v>1.35947</v>
      </c>
      <c r="E453" s="1301">
        <f>B453-Index_Returns!AL453</f>
        <v>-3.4799999999999942E-2</v>
      </c>
    </row>
    <row r="454" spans="1:5" x14ac:dyDescent="0.2">
      <c r="A454" s="345">
        <v>41333</v>
      </c>
      <c r="B454" s="1300">
        <f t="shared" si="0"/>
        <v>-1.29339</v>
      </c>
      <c r="C454" s="1307">
        <v>677171032.29999995</v>
      </c>
      <c r="D454" s="1306">
        <v>-1.29339</v>
      </c>
      <c r="E454" s="1301">
        <f>B454-Index_Returns!AL454</f>
        <v>-5.1409999999999956E-2</v>
      </c>
    </row>
    <row r="455" spans="1:5" x14ac:dyDescent="0.2">
      <c r="A455" s="345">
        <v>41364</v>
      </c>
      <c r="B455" s="1300">
        <f t="shared" si="0"/>
        <v>-1.96556</v>
      </c>
      <c r="C455" s="1307">
        <v>664174941.52999997</v>
      </c>
      <c r="D455" s="1306">
        <v>-1.96556</v>
      </c>
      <c r="E455" s="1301">
        <f>B455-Index_Returns!AL455</f>
        <v>-0.26486999999999994</v>
      </c>
    </row>
    <row r="456" spans="1:5" x14ac:dyDescent="0.2">
      <c r="A456" s="345">
        <v>41394</v>
      </c>
      <c r="B456" s="1300">
        <f t="shared" si="0"/>
        <v>0.97545999999999999</v>
      </c>
      <c r="C456" s="1307">
        <v>670653727.5</v>
      </c>
      <c r="D456" s="1306">
        <v>0.97545999999999999</v>
      </c>
      <c r="E456" s="1301">
        <f>B456-Index_Returns!AL456</f>
        <v>0.18254999999999999</v>
      </c>
    </row>
    <row r="457" spans="1:5" x14ac:dyDescent="0.2">
      <c r="A457" s="345">
        <v>41425</v>
      </c>
      <c r="B457" s="1300">
        <f t="shared" si="0"/>
        <v>-2.6539199999999998</v>
      </c>
      <c r="C457" s="1307">
        <v>653044174.14999998</v>
      </c>
      <c r="D457" s="1306">
        <v>-2.6539199999999998</v>
      </c>
      <c r="E457" s="1301">
        <f>B457-Index_Returns!AL457</f>
        <v>-0.13542999999999994</v>
      </c>
    </row>
    <row r="458" spans="1:5" x14ac:dyDescent="0.2">
      <c r="A458" s="345">
        <v>41455</v>
      </c>
      <c r="B458" s="1300">
        <f t="shared" si="0"/>
        <v>-6.3620400000000004</v>
      </c>
      <c r="C458" s="1307">
        <v>611497273.95000005</v>
      </c>
      <c r="D458" s="1306">
        <v>-6.3620400000000004</v>
      </c>
      <c r="E458" s="1301">
        <f>B458-Index_Returns!AL458</f>
        <v>-4.3440000000000367E-2</v>
      </c>
    </row>
    <row r="459" spans="1:5" x14ac:dyDescent="0.2">
      <c r="A459" s="345">
        <v>41486</v>
      </c>
      <c r="B459" s="1300">
        <f t="shared" si="0"/>
        <v>1.0087600000000001</v>
      </c>
      <c r="C459" s="1307">
        <v>617665796.19000006</v>
      </c>
      <c r="D459" s="1306">
        <v>1.0087600000000001</v>
      </c>
      <c r="E459" s="1301">
        <f>B459-Index_Returns!AL459</f>
        <v>-9.0149999999999952E-2</v>
      </c>
    </row>
    <row r="460" spans="1:5" x14ac:dyDescent="0.2">
      <c r="A460" s="345">
        <v>41517</v>
      </c>
      <c r="B460" s="1300">
        <f t="shared" si="0"/>
        <v>-1.69695</v>
      </c>
      <c r="C460" s="1307">
        <v>607184306.82000005</v>
      </c>
      <c r="D460" s="1306">
        <v>-1.69695</v>
      </c>
      <c r="E460" s="1301">
        <f>B460-Index_Returns!AL460</f>
        <v>-1.8759999999999888E-2</v>
      </c>
    </row>
    <row r="461" spans="1:5" x14ac:dyDescent="0.2">
      <c r="A461" s="345">
        <v>41547</v>
      </c>
      <c r="B461" s="1300">
        <f t="shared" si="0"/>
        <v>6.4880300000000002</v>
      </c>
      <c r="C461" s="1307">
        <v>646578620.37</v>
      </c>
      <c r="D461" s="1306">
        <v>6.4880300000000002</v>
      </c>
      <c r="E461" s="1301">
        <f>B461-Index_Returns!AL461</f>
        <v>-4.6780000000000044E-2</v>
      </c>
    </row>
    <row r="462" spans="1:5" x14ac:dyDescent="0.2">
      <c r="A462" s="345">
        <v>41578</v>
      </c>
      <c r="B462" s="1300">
        <f t="shared" si="0"/>
        <v>4.8447800000000001</v>
      </c>
      <c r="C462" s="1307">
        <v>677903929.46000004</v>
      </c>
      <c r="D462" s="1306">
        <v>4.8447800000000001</v>
      </c>
      <c r="E462" s="1301">
        <f>B462-Index_Returns!AL462</f>
        <v>-2.8340000000000032E-2</v>
      </c>
    </row>
    <row r="463" spans="1:5" x14ac:dyDescent="0.2">
      <c r="A463" s="345">
        <v>41608</v>
      </c>
      <c r="B463" s="1300">
        <f t="shared" si="0"/>
        <v>-1.51955</v>
      </c>
      <c r="C463" s="1307">
        <v>667971125.75</v>
      </c>
      <c r="D463" s="1306">
        <v>-1.51955</v>
      </c>
      <c r="E463" s="1301">
        <f>B463-Index_Returns!AL463</f>
        <v>-6.512999999999991E-2</v>
      </c>
    </row>
    <row r="464" spans="1:5" x14ac:dyDescent="0.2">
      <c r="A464" s="345">
        <v>41639</v>
      </c>
      <c r="B464" s="1300">
        <f t="shared" si="0"/>
        <v>-1.2993600000000001</v>
      </c>
      <c r="C464" s="1307">
        <v>659291777.77999997</v>
      </c>
      <c r="D464" s="1306">
        <v>-1.2993600000000001</v>
      </c>
      <c r="E464" s="1301">
        <f>B464-Index_Returns!AL464</f>
        <v>0.13827999999999996</v>
      </c>
    </row>
    <row r="465" spans="1:5" x14ac:dyDescent="0.2">
      <c r="A465" s="345">
        <v>41670</v>
      </c>
      <c r="B465" s="1300">
        <f t="shared" si="0"/>
        <v>-6.6022800000000004</v>
      </c>
      <c r="C465" s="1307">
        <v>615951742.38999999</v>
      </c>
      <c r="D465" s="1306">
        <v>-6.6022800000000004</v>
      </c>
      <c r="E465" s="1301">
        <f>B465-Index_Returns!AL465</f>
        <v>-0.10875000000000057</v>
      </c>
    </row>
    <row r="466" spans="1:5" x14ac:dyDescent="0.2">
      <c r="A466" s="345">
        <v>41698</v>
      </c>
      <c r="B466" s="1300">
        <f t="shared" si="0"/>
        <v>3.2512300000000001</v>
      </c>
      <c r="C466" s="1307">
        <v>635977729.52999997</v>
      </c>
      <c r="D466" s="1306">
        <v>3.2512300000000001</v>
      </c>
      <c r="E466" s="1301">
        <f>B466-Index_Returns!AL466</f>
        <v>-6.1370000000000147E-2</v>
      </c>
    </row>
    <row r="467" spans="1:5" x14ac:dyDescent="0.2">
      <c r="A467" s="345">
        <v>41729</v>
      </c>
      <c r="B467" s="1300">
        <f t="shared" si="0"/>
        <v>3.0508600000000001</v>
      </c>
      <c r="C467" s="1307">
        <v>655380487.35000002</v>
      </c>
      <c r="D467" s="1306">
        <v>3.0508600000000001</v>
      </c>
      <c r="E467" s="1301">
        <f>B467-Index_Returns!AL467</f>
        <v>-1.8650000000000055E-2</v>
      </c>
    </row>
    <row r="468" spans="1:5" x14ac:dyDescent="0.2">
      <c r="A468" s="345">
        <v>41759</v>
      </c>
      <c r="B468" s="1300">
        <f t="shared" si="0"/>
        <v>0.33400999999999997</v>
      </c>
      <c r="C468" s="1307">
        <v>657569549.13</v>
      </c>
      <c r="D468" s="1306">
        <v>0.33400999999999997</v>
      </c>
      <c r="E468" s="1301">
        <f>B468-Index_Returns!AL468</f>
        <v>-1.4000000000002899E-4</v>
      </c>
    </row>
    <row r="469" spans="1:5" x14ac:dyDescent="0.2">
      <c r="A469" s="345">
        <v>41790</v>
      </c>
      <c r="B469" s="1300">
        <f t="shared" si="0"/>
        <v>3.48529</v>
      </c>
      <c r="C469" s="1307">
        <v>680681477.38</v>
      </c>
      <c r="D469" s="1306">
        <v>3.48529</v>
      </c>
      <c r="E469" s="1301">
        <f>B469-Index_Returns!AL469</f>
        <v>-5.2799999999999514E-3</v>
      </c>
    </row>
    <row r="470" spans="1:5" x14ac:dyDescent="0.2">
      <c r="A470" s="345">
        <v>41820</v>
      </c>
      <c r="B470" s="1300">
        <f t="shared" si="0"/>
        <v>2.68567</v>
      </c>
      <c r="C470" s="1307">
        <v>698962304.67999995</v>
      </c>
      <c r="D470" s="1306">
        <v>2.68567</v>
      </c>
      <c r="E470" s="1301">
        <f>B470-Index_Returns!AL470</f>
        <v>2.8789999999999871E-2</v>
      </c>
    </row>
    <row r="471" spans="1:5" x14ac:dyDescent="0.2">
      <c r="A471" s="345">
        <v>41851</v>
      </c>
      <c r="B471" s="1300">
        <f t="shared" si="0"/>
        <v>1.90998</v>
      </c>
      <c r="C471" s="1307">
        <v>712312373.89999998</v>
      </c>
      <c r="D471" s="1306">
        <v>1.90998</v>
      </c>
      <c r="E471" s="1301">
        <f>B471-Index_Returns!AL471</f>
        <v>-2.359E-2</v>
      </c>
    </row>
    <row r="472" spans="1:5" x14ac:dyDescent="0.2">
      <c r="A472" s="345">
        <v>41882</v>
      </c>
      <c r="B472" s="1300">
        <f t="shared" si="0"/>
        <v>2.2248199999999998</v>
      </c>
      <c r="C472" s="1307">
        <v>728364200.37</v>
      </c>
      <c r="D472" s="1306">
        <v>2.2248199999999998</v>
      </c>
      <c r="E472" s="1301">
        <f>B472-Index_Returns!AL472</f>
        <v>-2.870000000000017E-2</v>
      </c>
    </row>
    <row r="473" spans="1:5" x14ac:dyDescent="0.2">
      <c r="A473" s="345">
        <v>41912</v>
      </c>
      <c r="B473" s="1300">
        <f t="shared" si="0"/>
        <v>0</v>
      </c>
      <c r="E473" s="1301">
        <f>B473-Index_Returns!AL473</f>
        <v>0</v>
      </c>
    </row>
    <row r="474" spans="1:5" x14ac:dyDescent="0.2">
      <c r="A474" s="345">
        <v>41943</v>
      </c>
      <c r="B474" s="1300">
        <f t="shared" si="0"/>
        <v>0</v>
      </c>
      <c r="E474" s="1301">
        <f>B474-Index_Returns!AL474</f>
        <v>0</v>
      </c>
    </row>
    <row r="475" spans="1:5" x14ac:dyDescent="0.2">
      <c r="A475" s="345">
        <v>41973</v>
      </c>
      <c r="B475" s="1300">
        <f t="shared" si="0"/>
        <v>0</v>
      </c>
      <c r="E475" s="1301">
        <f>B475-Index_Returns!AL475</f>
        <v>0</v>
      </c>
    </row>
    <row r="476" spans="1:5" x14ac:dyDescent="0.2">
      <c r="A476" s="345">
        <v>42004</v>
      </c>
      <c r="B476" s="1300">
        <f t="shared" si="0"/>
        <v>0</v>
      </c>
      <c r="E476" s="1301">
        <f>B476-Index_Returns!AL476</f>
        <v>0</v>
      </c>
    </row>
    <row r="477" spans="1:5" x14ac:dyDescent="0.2">
      <c r="A477" s="345">
        <v>42035</v>
      </c>
      <c r="B477" s="1300">
        <f t="shared" si="0"/>
        <v>0</v>
      </c>
      <c r="E477" s="1301">
        <f>B477-Index_Returns!AL477</f>
        <v>0</v>
      </c>
    </row>
    <row r="478" spans="1:5" x14ac:dyDescent="0.2">
      <c r="A478" s="345">
        <v>42063</v>
      </c>
      <c r="B478" s="1300">
        <f t="shared" si="0"/>
        <v>0</v>
      </c>
      <c r="E478" s="1301">
        <f>B478-Index_Returns!AL478</f>
        <v>0</v>
      </c>
    </row>
    <row r="479" spans="1:5" x14ac:dyDescent="0.2">
      <c r="A479" s="345">
        <v>42094</v>
      </c>
      <c r="B479" s="1300">
        <f t="shared" si="0"/>
        <v>0</v>
      </c>
      <c r="E479" s="1301">
        <f>B479-Index_Returns!AL479</f>
        <v>0</v>
      </c>
    </row>
    <row r="480" spans="1:5" x14ac:dyDescent="0.2">
      <c r="A480" s="345">
        <v>42124</v>
      </c>
      <c r="B480" s="1300">
        <f t="shared" si="0"/>
        <v>0</v>
      </c>
      <c r="E480" s="1301">
        <f>B480-Index_Returns!AL480</f>
        <v>0</v>
      </c>
    </row>
    <row r="481" spans="1:5" x14ac:dyDescent="0.2">
      <c r="A481" s="345">
        <v>42155</v>
      </c>
      <c r="B481" s="1300">
        <f t="shared" si="0"/>
        <v>0</v>
      </c>
      <c r="E481" s="1301">
        <f>B481-Index_Returns!AL481</f>
        <v>0</v>
      </c>
    </row>
    <row r="482" spans="1:5" x14ac:dyDescent="0.2">
      <c r="A482" s="345">
        <v>42185</v>
      </c>
      <c r="B482" s="1300">
        <f t="shared" si="0"/>
        <v>0</v>
      </c>
      <c r="E482" s="1301">
        <f>B482-Index_Returns!AL482</f>
        <v>0</v>
      </c>
    </row>
    <row r="483" spans="1:5" x14ac:dyDescent="0.2">
      <c r="A483" s="345">
        <v>42216</v>
      </c>
      <c r="B483" s="1300">
        <f t="shared" si="0"/>
        <v>0</v>
      </c>
      <c r="E483" s="1301">
        <f>B483-Index_Returns!AL483</f>
        <v>0</v>
      </c>
    </row>
    <row r="484" spans="1:5" x14ac:dyDescent="0.2">
      <c r="A484" s="345">
        <v>42247</v>
      </c>
      <c r="B484" s="1300">
        <f t="shared" si="0"/>
        <v>0</v>
      </c>
      <c r="E484" s="1301">
        <f>B484-Index_Returns!AL484</f>
        <v>0</v>
      </c>
    </row>
    <row r="485" spans="1:5" x14ac:dyDescent="0.2">
      <c r="A485" s="345">
        <v>42277</v>
      </c>
      <c r="B485" s="1300">
        <f t="shared" si="0"/>
        <v>0</v>
      </c>
      <c r="E485" s="1301">
        <f>B485-Index_Returns!AL485</f>
        <v>0</v>
      </c>
    </row>
    <row r="486" spans="1:5" x14ac:dyDescent="0.2">
      <c r="A486" s="345">
        <v>42308</v>
      </c>
      <c r="B486" s="1300">
        <f t="shared" si="0"/>
        <v>0</v>
      </c>
      <c r="E486" s="1301">
        <f>B486-Index_Returns!AL486</f>
        <v>0</v>
      </c>
    </row>
    <row r="487" spans="1:5" x14ac:dyDescent="0.2">
      <c r="A487" s="345">
        <v>42338</v>
      </c>
      <c r="B487" s="1300">
        <f t="shared" si="0"/>
        <v>0</v>
      </c>
      <c r="E487" s="1301">
        <f>B487-Index_Returns!AL487</f>
        <v>0</v>
      </c>
    </row>
    <row r="488" spans="1:5" x14ac:dyDescent="0.2">
      <c r="A488" s="345">
        <v>42369</v>
      </c>
      <c r="B488" s="1300">
        <f t="shared" si="0"/>
        <v>0</v>
      </c>
      <c r="E488" s="1301">
        <f>B488-Index_Returns!AL488</f>
        <v>0</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H488"/>
  <sheetViews>
    <sheetView workbookViewId="0">
      <pane xSplit="1" ySplit="2" topLeftCell="B448" activePane="bottomRight" state="frozen"/>
      <selection pane="topRight" activeCell="B1" sqref="B1"/>
      <selection pane="bottomLeft" activeCell="A3" sqref="A3"/>
      <selection pane="bottomRight" activeCell="C472" sqref="C472:D472"/>
    </sheetView>
  </sheetViews>
  <sheetFormatPr defaultRowHeight="12.75" x14ac:dyDescent="0.2"/>
  <cols>
    <col min="1" max="1" width="18.7109375" style="1308" customWidth="1"/>
    <col min="2" max="2" width="18.7109375" style="1309" customWidth="1"/>
    <col min="3" max="3" width="18.7109375" style="1307" customWidth="1"/>
    <col min="4" max="4" width="18.7109375" style="1306" customWidth="1"/>
    <col min="5" max="5" width="9.140625" style="1301"/>
    <col min="6" max="6" width="12.42578125" style="1266" bestFit="1" customWidth="1"/>
    <col min="7" max="8" width="9.140625" style="1305"/>
    <col min="9" max="16384" width="9.140625" style="1266"/>
  </cols>
  <sheetData>
    <row r="1" spans="1:6" x14ac:dyDescent="0.2">
      <c r="A1" s="1289" t="s">
        <v>882</v>
      </c>
      <c r="B1" s="1290"/>
      <c r="C1" s="1386" t="s">
        <v>686</v>
      </c>
      <c r="D1" s="1373">
        <v>40</v>
      </c>
      <c r="F1" s="1308" t="s">
        <v>741</v>
      </c>
    </row>
    <row r="2" spans="1:6" x14ac:dyDescent="0.2">
      <c r="A2" s="1291" t="s">
        <v>27</v>
      </c>
      <c r="B2" s="1292" t="s">
        <v>91</v>
      </c>
      <c r="C2" s="1294" t="s">
        <v>92</v>
      </c>
      <c r="D2" s="1292" t="s">
        <v>90</v>
      </c>
      <c r="E2" s="1374" t="s">
        <v>80</v>
      </c>
    </row>
    <row r="3" spans="1:6" x14ac:dyDescent="0.2">
      <c r="A3" s="1293">
        <v>27606</v>
      </c>
      <c r="B3" s="1292"/>
      <c r="C3" s="1294"/>
      <c r="D3" s="1292"/>
    </row>
    <row r="4" spans="1:6" x14ac:dyDescent="0.2">
      <c r="A4" s="1293">
        <v>27637</v>
      </c>
      <c r="B4" s="1292"/>
      <c r="C4" s="1294"/>
      <c r="D4" s="1292"/>
    </row>
    <row r="5" spans="1:6" x14ac:dyDescent="0.2">
      <c r="A5" s="1293">
        <v>27667</v>
      </c>
      <c r="B5" s="1292"/>
      <c r="C5" s="1294"/>
      <c r="D5" s="1292"/>
    </row>
    <row r="6" spans="1:6" x14ac:dyDescent="0.2">
      <c r="A6" s="1293">
        <v>27698</v>
      </c>
      <c r="B6" s="1292"/>
      <c r="C6" s="1294"/>
      <c r="D6" s="1292"/>
    </row>
    <row r="7" spans="1:6" x14ac:dyDescent="0.2">
      <c r="A7" s="1293">
        <v>27728</v>
      </c>
      <c r="B7" s="1292"/>
      <c r="C7" s="1294"/>
      <c r="D7" s="1292"/>
    </row>
    <row r="8" spans="1:6" x14ac:dyDescent="0.2">
      <c r="A8" s="1293">
        <v>27759</v>
      </c>
      <c r="B8" s="1292"/>
      <c r="C8" s="1294"/>
      <c r="D8" s="1292"/>
    </row>
    <row r="9" spans="1:6" x14ac:dyDescent="0.2">
      <c r="A9" s="1293">
        <v>27790</v>
      </c>
      <c r="B9" s="1292"/>
      <c r="C9" s="1294"/>
      <c r="D9" s="1292"/>
    </row>
    <row r="10" spans="1:6" x14ac:dyDescent="0.2">
      <c r="A10" s="1293">
        <v>27819</v>
      </c>
      <c r="B10" s="1292"/>
      <c r="C10" s="1294"/>
      <c r="D10" s="1292"/>
    </row>
    <row r="11" spans="1:6" x14ac:dyDescent="0.2">
      <c r="A11" s="1293">
        <v>27850</v>
      </c>
      <c r="B11" s="1292"/>
      <c r="C11" s="1294"/>
      <c r="D11" s="1292"/>
    </row>
    <row r="12" spans="1:6" x14ac:dyDescent="0.2">
      <c r="A12" s="1293">
        <v>27880</v>
      </c>
      <c r="B12" s="1292"/>
      <c r="C12" s="1294"/>
      <c r="D12" s="1292"/>
    </row>
    <row r="13" spans="1:6" x14ac:dyDescent="0.2">
      <c r="A13" s="1293">
        <v>27911</v>
      </c>
      <c r="B13" s="1292"/>
      <c r="C13" s="1294"/>
      <c r="D13" s="1292"/>
    </row>
    <row r="14" spans="1:6" x14ac:dyDescent="0.2">
      <c r="A14" s="1293">
        <v>27941</v>
      </c>
      <c r="B14" s="1292"/>
      <c r="C14" s="1294"/>
      <c r="D14" s="1292"/>
    </row>
    <row r="15" spans="1:6" x14ac:dyDescent="0.2">
      <c r="A15" s="1293">
        <v>27972</v>
      </c>
      <c r="B15" s="1292"/>
      <c r="C15" s="1294"/>
      <c r="D15" s="1292"/>
    </row>
    <row r="16" spans="1:6" x14ac:dyDescent="0.2">
      <c r="A16" s="1293">
        <v>28003</v>
      </c>
      <c r="B16" s="1292"/>
      <c r="C16" s="1294"/>
      <c r="D16" s="1292"/>
    </row>
    <row r="17" spans="1:4" x14ac:dyDescent="0.2">
      <c r="A17" s="1293">
        <v>28033</v>
      </c>
      <c r="B17" s="1292"/>
      <c r="C17" s="1294"/>
      <c r="D17" s="1292"/>
    </row>
    <row r="18" spans="1:4" x14ac:dyDescent="0.2">
      <c r="A18" s="1293">
        <v>28064</v>
      </c>
      <c r="B18" s="1292"/>
      <c r="C18" s="1294"/>
      <c r="D18" s="1292"/>
    </row>
    <row r="19" spans="1:4" x14ac:dyDescent="0.2">
      <c r="A19" s="1293">
        <v>28094</v>
      </c>
      <c r="B19" s="1292"/>
      <c r="C19" s="1294"/>
      <c r="D19" s="1292"/>
    </row>
    <row r="20" spans="1:4" x14ac:dyDescent="0.2">
      <c r="A20" s="1293">
        <v>28125</v>
      </c>
      <c r="B20" s="1292"/>
      <c r="C20" s="1294"/>
      <c r="D20" s="1292"/>
    </row>
    <row r="21" spans="1:4" x14ac:dyDescent="0.2">
      <c r="A21" s="1293">
        <v>28156</v>
      </c>
      <c r="B21" s="1292"/>
      <c r="C21" s="1294"/>
      <c r="D21" s="1292"/>
    </row>
    <row r="22" spans="1:4" x14ac:dyDescent="0.2">
      <c r="A22" s="1293">
        <v>28184</v>
      </c>
      <c r="B22" s="1292"/>
      <c r="C22" s="1294"/>
      <c r="D22" s="1292"/>
    </row>
    <row r="23" spans="1:4" x14ac:dyDescent="0.2">
      <c r="A23" s="1293">
        <v>28215</v>
      </c>
      <c r="B23" s="1292"/>
      <c r="C23" s="1294"/>
      <c r="D23" s="1292"/>
    </row>
    <row r="24" spans="1:4" x14ac:dyDescent="0.2">
      <c r="A24" s="1293">
        <v>28245</v>
      </c>
      <c r="B24" s="1292"/>
      <c r="C24" s="1294"/>
      <c r="D24" s="1292"/>
    </row>
    <row r="25" spans="1:4" x14ac:dyDescent="0.2">
      <c r="A25" s="1293">
        <v>28276</v>
      </c>
      <c r="B25" s="1292"/>
      <c r="C25" s="1294"/>
      <c r="D25" s="1292"/>
    </row>
    <row r="26" spans="1:4" x14ac:dyDescent="0.2">
      <c r="A26" s="1293">
        <v>28306</v>
      </c>
      <c r="B26" s="1292"/>
      <c r="C26" s="1294"/>
      <c r="D26" s="1292"/>
    </row>
    <row r="27" spans="1:4" x14ac:dyDescent="0.2">
      <c r="A27" s="1293">
        <v>28337</v>
      </c>
      <c r="B27" s="1292"/>
      <c r="C27" s="1294"/>
      <c r="D27" s="1292"/>
    </row>
    <row r="28" spans="1:4" x14ac:dyDescent="0.2">
      <c r="A28" s="1293">
        <v>28368</v>
      </c>
      <c r="B28" s="1292"/>
      <c r="C28" s="1294"/>
      <c r="D28" s="1292"/>
    </row>
    <row r="29" spans="1:4" x14ac:dyDescent="0.2">
      <c r="A29" s="1293">
        <v>28398</v>
      </c>
      <c r="B29" s="1292"/>
      <c r="C29" s="1294"/>
      <c r="D29" s="1292"/>
    </row>
    <row r="30" spans="1:4" x14ac:dyDescent="0.2">
      <c r="A30" s="1293">
        <v>28429</v>
      </c>
      <c r="B30" s="1292"/>
      <c r="C30" s="1294"/>
      <c r="D30" s="1292"/>
    </row>
    <row r="31" spans="1:4" x14ac:dyDescent="0.2">
      <c r="A31" s="1293">
        <v>28459</v>
      </c>
      <c r="B31" s="1292"/>
      <c r="C31" s="1294"/>
      <c r="D31" s="1292"/>
    </row>
    <row r="32" spans="1:4" x14ac:dyDescent="0.2">
      <c r="A32" s="1293">
        <v>28490</v>
      </c>
      <c r="B32" s="1292"/>
      <c r="C32" s="1294"/>
      <c r="D32" s="1292"/>
    </row>
    <row r="33" spans="1:4" x14ac:dyDescent="0.2">
      <c r="A33" s="1293">
        <v>28521</v>
      </c>
      <c r="B33" s="1292"/>
      <c r="C33" s="1294"/>
      <c r="D33" s="1292"/>
    </row>
    <row r="34" spans="1:4" x14ac:dyDescent="0.2">
      <c r="A34" s="1293">
        <v>28549</v>
      </c>
      <c r="B34" s="1292"/>
      <c r="C34" s="1294"/>
      <c r="D34" s="1292"/>
    </row>
    <row r="35" spans="1:4" x14ac:dyDescent="0.2">
      <c r="A35" s="1293">
        <v>28580</v>
      </c>
      <c r="B35" s="1292"/>
      <c r="C35" s="1294"/>
      <c r="D35" s="1292"/>
    </row>
    <row r="36" spans="1:4" x14ac:dyDescent="0.2">
      <c r="A36" s="1293">
        <v>28610</v>
      </c>
      <c r="B36" s="1292"/>
      <c r="C36" s="1294"/>
      <c r="D36" s="1292"/>
    </row>
    <row r="37" spans="1:4" x14ac:dyDescent="0.2">
      <c r="A37" s="1293">
        <v>28641</v>
      </c>
      <c r="B37" s="1292"/>
      <c r="C37" s="1294"/>
      <c r="D37" s="1292"/>
    </row>
    <row r="38" spans="1:4" x14ac:dyDescent="0.2">
      <c r="A38" s="1293">
        <v>28671</v>
      </c>
      <c r="B38" s="1292"/>
      <c r="C38" s="1294"/>
      <c r="D38" s="1292"/>
    </row>
    <row r="39" spans="1:4" x14ac:dyDescent="0.2">
      <c r="A39" s="1293">
        <v>28702</v>
      </c>
      <c r="B39" s="1292"/>
      <c r="C39" s="1294"/>
      <c r="D39" s="1292"/>
    </row>
    <row r="40" spans="1:4" x14ac:dyDescent="0.2">
      <c r="A40" s="1293">
        <v>28733</v>
      </c>
      <c r="B40" s="1292"/>
      <c r="C40" s="1294"/>
      <c r="D40" s="1292"/>
    </row>
    <row r="41" spans="1:4" x14ac:dyDescent="0.2">
      <c r="A41" s="1293">
        <v>28763</v>
      </c>
      <c r="B41" s="1292"/>
      <c r="C41" s="1294"/>
      <c r="D41" s="1292"/>
    </row>
    <row r="42" spans="1:4" x14ac:dyDescent="0.2">
      <c r="A42" s="1293">
        <v>28794</v>
      </c>
      <c r="B42" s="1292"/>
      <c r="C42" s="1294"/>
      <c r="D42" s="1292"/>
    </row>
    <row r="43" spans="1:4" x14ac:dyDescent="0.2">
      <c r="A43" s="1293">
        <v>28824</v>
      </c>
      <c r="B43" s="1292"/>
      <c r="C43" s="1294"/>
      <c r="D43" s="1292"/>
    </row>
    <row r="44" spans="1:4" x14ac:dyDescent="0.2">
      <c r="A44" s="1293">
        <v>28855</v>
      </c>
      <c r="B44" s="1292"/>
      <c r="C44" s="1294"/>
      <c r="D44" s="1292"/>
    </row>
    <row r="45" spans="1:4" x14ac:dyDescent="0.2">
      <c r="A45" s="1293">
        <v>28886</v>
      </c>
      <c r="B45" s="1292"/>
      <c r="C45" s="1294"/>
      <c r="D45" s="1292"/>
    </row>
    <row r="46" spans="1:4" x14ac:dyDescent="0.2">
      <c r="A46" s="1293">
        <v>28914</v>
      </c>
      <c r="B46" s="1292"/>
      <c r="C46" s="1294"/>
      <c r="D46" s="1292"/>
    </row>
    <row r="47" spans="1:4" x14ac:dyDescent="0.2">
      <c r="A47" s="1293">
        <v>28945</v>
      </c>
      <c r="B47" s="1292"/>
      <c r="C47" s="1294"/>
      <c r="D47" s="1292"/>
    </row>
    <row r="48" spans="1:4" x14ac:dyDescent="0.2">
      <c r="A48" s="1293">
        <v>28975</v>
      </c>
      <c r="B48" s="1292"/>
      <c r="C48" s="1294"/>
      <c r="D48" s="1292"/>
    </row>
    <row r="49" spans="1:4" x14ac:dyDescent="0.2">
      <c r="A49" s="1293">
        <v>29006</v>
      </c>
      <c r="B49" s="1292"/>
      <c r="C49" s="1294"/>
      <c r="D49" s="1292"/>
    </row>
    <row r="50" spans="1:4" x14ac:dyDescent="0.2">
      <c r="A50" s="1293">
        <v>29036</v>
      </c>
      <c r="B50" s="1292"/>
      <c r="C50" s="1294"/>
      <c r="D50" s="1292"/>
    </row>
    <row r="51" spans="1:4" x14ac:dyDescent="0.2">
      <c r="A51" s="1293">
        <v>29067</v>
      </c>
      <c r="B51" s="1292"/>
      <c r="C51" s="1294"/>
      <c r="D51" s="1292"/>
    </row>
    <row r="52" spans="1:4" x14ac:dyDescent="0.2">
      <c r="A52" s="1293">
        <v>29098</v>
      </c>
      <c r="B52" s="1292"/>
      <c r="C52" s="1294"/>
      <c r="D52" s="1292"/>
    </row>
    <row r="53" spans="1:4" x14ac:dyDescent="0.2">
      <c r="A53" s="1293">
        <v>29128</v>
      </c>
      <c r="B53" s="1292"/>
      <c r="C53" s="1294"/>
      <c r="D53" s="1292"/>
    </row>
    <row r="54" spans="1:4" x14ac:dyDescent="0.2">
      <c r="A54" s="1293">
        <v>29159</v>
      </c>
      <c r="B54" s="1292"/>
      <c r="C54" s="1294"/>
      <c r="D54" s="1292"/>
    </row>
    <row r="55" spans="1:4" x14ac:dyDescent="0.2">
      <c r="A55" s="1293">
        <v>29189</v>
      </c>
      <c r="B55" s="1292"/>
      <c r="C55" s="1294"/>
      <c r="D55" s="1292"/>
    </row>
    <row r="56" spans="1:4" x14ac:dyDescent="0.2">
      <c r="A56" s="1293">
        <v>29220</v>
      </c>
      <c r="B56" s="1292"/>
      <c r="C56" s="1294"/>
      <c r="D56" s="1292"/>
    </row>
    <row r="57" spans="1:4" x14ac:dyDescent="0.2">
      <c r="A57" s="1293">
        <v>29251</v>
      </c>
      <c r="B57" s="1292"/>
      <c r="C57" s="1294"/>
      <c r="D57" s="1292"/>
    </row>
    <row r="58" spans="1:4" x14ac:dyDescent="0.2">
      <c r="A58" s="1293">
        <v>29280</v>
      </c>
      <c r="B58" s="1292"/>
      <c r="C58" s="1294"/>
      <c r="D58" s="1292"/>
    </row>
    <row r="59" spans="1:4" x14ac:dyDescent="0.2">
      <c r="A59" s="1293">
        <v>29311</v>
      </c>
      <c r="B59" s="1292"/>
      <c r="C59" s="1294"/>
      <c r="D59" s="1292"/>
    </row>
    <row r="60" spans="1:4" x14ac:dyDescent="0.2">
      <c r="A60" s="1293">
        <v>29341</v>
      </c>
      <c r="B60" s="1292"/>
      <c r="C60" s="1294"/>
      <c r="D60" s="1292"/>
    </row>
    <row r="61" spans="1:4" x14ac:dyDescent="0.2">
      <c r="A61" s="1293">
        <v>29372</v>
      </c>
      <c r="B61" s="1292"/>
      <c r="C61" s="1294"/>
      <c r="D61" s="1292"/>
    </row>
    <row r="62" spans="1:4" x14ac:dyDescent="0.2">
      <c r="A62" s="1293">
        <v>29402</v>
      </c>
      <c r="B62" s="1292"/>
      <c r="C62" s="1294"/>
      <c r="D62" s="1292"/>
    </row>
    <row r="63" spans="1:4" x14ac:dyDescent="0.2">
      <c r="A63" s="1293">
        <v>29433</v>
      </c>
      <c r="B63" s="1292"/>
      <c r="C63" s="1294"/>
      <c r="D63" s="1292"/>
    </row>
    <row r="64" spans="1:4" x14ac:dyDescent="0.2">
      <c r="A64" s="1293">
        <v>29464</v>
      </c>
      <c r="B64" s="1292"/>
      <c r="C64" s="1294"/>
      <c r="D64" s="1292"/>
    </row>
    <row r="65" spans="1:4" x14ac:dyDescent="0.2">
      <c r="A65" s="1293">
        <v>29494</v>
      </c>
      <c r="B65" s="1292"/>
      <c r="C65" s="1294"/>
      <c r="D65" s="1292"/>
    </row>
    <row r="66" spans="1:4" x14ac:dyDescent="0.2">
      <c r="A66" s="1293">
        <v>29525</v>
      </c>
      <c r="B66" s="1292"/>
      <c r="C66" s="1294"/>
      <c r="D66" s="1292"/>
    </row>
    <row r="67" spans="1:4" x14ac:dyDescent="0.2">
      <c r="A67" s="1293">
        <v>29555</v>
      </c>
      <c r="B67" s="1292"/>
      <c r="C67" s="1294"/>
      <c r="D67" s="1292"/>
    </row>
    <row r="68" spans="1:4" x14ac:dyDescent="0.2">
      <c r="A68" s="1293">
        <v>29586</v>
      </c>
      <c r="B68" s="1292"/>
      <c r="C68" s="1294"/>
      <c r="D68" s="1292"/>
    </row>
    <row r="69" spans="1:4" x14ac:dyDescent="0.2">
      <c r="A69" s="1293">
        <v>29617</v>
      </c>
      <c r="B69" s="1292"/>
      <c r="C69" s="1294"/>
      <c r="D69" s="1292"/>
    </row>
    <row r="70" spans="1:4" x14ac:dyDescent="0.2">
      <c r="A70" s="1293">
        <v>29645</v>
      </c>
      <c r="B70" s="1292"/>
      <c r="C70" s="1294"/>
      <c r="D70" s="1292"/>
    </row>
    <row r="71" spans="1:4" x14ac:dyDescent="0.2">
      <c r="A71" s="1293">
        <v>29676</v>
      </c>
      <c r="B71" s="1292"/>
      <c r="C71" s="1294"/>
      <c r="D71" s="1292"/>
    </row>
    <row r="72" spans="1:4" x14ac:dyDescent="0.2">
      <c r="A72" s="1293">
        <v>29706</v>
      </c>
      <c r="B72" s="1292"/>
      <c r="C72" s="1294"/>
      <c r="D72" s="1292"/>
    </row>
    <row r="73" spans="1:4" x14ac:dyDescent="0.2">
      <c r="A73" s="1293">
        <v>29737</v>
      </c>
      <c r="B73" s="1292"/>
      <c r="C73" s="1294"/>
      <c r="D73" s="1292"/>
    </row>
    <row r="74" spans="1:4" x14ac:dyDescent="0.2">
      <c r="A74" s="1293">
        <v>29767</v>
      </c>
      <c r="B74" s="1292"/>
      <c r="C74" s="1294"/>
      <c r="D74" s="1292"/>
    </row>
    <row r="75" spans="1:4" x14ac:dyDescent="0.2">
      <c r="A75" s="1293">
        <v>29798</v>
      </c>
      <c r="B75" s="1292"/>
      <c r="C75" s="1294"/>
      <c r="D75" s="1292"/>
    </row>
    <row r="76" spans="1:4" x14ac:dyDescent="0.2">
      <c r="A76" s="1293">
        <v>29829</v>
      </c>
      <c r="B76" s="1292"/>
      <c r="C76" s="1294"/>
      <c r="D76" s="1292"/>
    </row>
    <row r="77" spans="1:4" x14ac:dyDescent="0.2">
      <c r="A77" s="1293">
        <v>29859</v>
      </c>
      <c r="B77" s="1292"/>
      <c r="C77" s="1294"/>
      <c r="D77" s="1292"/>
    </row>
    <row r="78" spans="1:4" x14ac:dyDescent="0.2">
      <c r="A78" s="1293">
        <v>29890</v>
      </c>
      <c r="B78" s="1292"/>
      <c r="C78" s="1294"/>
      <c r="D78" s="1292"/>
    </row>
    <row r="79" spans="1:4" x14ac:dyDescent="0.2">
      <c r="A79" s="1293">
        <v>29920</v>
      </c>
      <c r="B79" s="1292"/>
      <c r="C79" s="1294"/>
      <c r="D79" s="1292"/>
    </row>
    <row r="80" spans="1:4" x14ac:dyDescent="0.2">
      <c r="A80" s="1293">
        <v>29951</v>
      </c>
      <c r="B80" s="1292"/>
      <c r="C80" s="1294"/>
      <c r="D80" s="1292"/>
    </row>
    <row r="81" spans="1:4" x14ac:dyDescent="0.2">
      <c r="A81" s="1293">
        <v>29982</v>
      </c>
      <c r="B81" s="1292"/>
      <c r="C81" s="1294"/>
      <c r="D81" s="1292"/>
    </row>
    <row r="82" spans="1:4" x14ac:dyDescent="0.2">
      <c r="A82" s="1293">
        <v>30010</v>
      </c>
      <c r="B82" s="1292"/>
      <c r="C82" s="1294"/>
      <c r="D82" s="1292"/>
    </row>
    <row r="83" spans="1:4" x14ac:dyDescent="0.2">
      <c r="A83" s="1293">
        <v>30041</v>
      </c>
      <c r="B83" s="1292"/>
      <c r="C83" s="1294"/>
      <c r="D83" s="1292"/>
    </row>
    <row r="84" spans="1:4" x14ac:dyDescent="0.2">
      <c r="A84" s="1293">
        <v>30071</v>
      </c>
      <c r="B84" s="1292"/>
      <c r="C84" s="1294"/>
      <c r="D84" s="1292"/>
    </row>
    <row r="85" spans="1:4" x14ac:dyDescent="0.2">
      <c r="A85" s="1293">
        <v>30102</v>
      </c>
      <c r="B85" s="1292"/>
      <c r="C85" s="1294"/>
      <c r="D85" s="1292"/>
    </row>
    <row r="86" spans="1:4" x14ac:dyDescent="0.2">
      <c r="A86" s="1293">
        <v>30132</v>
      </c>
      <c r="B86" s="1292"/>
      <c r="C86" s="1294"/>
      <c r="D86" s="1292"/>
    </row>
    <row r="87" spans="1:4" x14ac:dyDescent="0.2">
      <c r="A87" s="1293">
        <v>30163</v>
      </c>
      <c r="B87" s="1292"/>
      <c r="C87" s="1294"/>
      <c r="D87" s="1292"/>
    </row>
    <row r="88" spans="1:4" x14ac:dyDescent="0.2">
      <c r="A88" s="1293">
        <v>30194</v>
      </c>
      <c r="B88" s="1292"/>
      <c r="C88" s="1294"/>
      <c r="D88" s="1292"/>
    </row>
    <row r="89" spans="1:4" x14ac:dyDescent="0.2">
      <c r="A89" s="1293">
        <v>30224</v>
      </c>
      <c r="B89" s="1292"/>
      <c r="C89" s="1294"/>
      <c r="D89" s="1292"/>
    </row>
    <row r="90" spans="1:4" x14ac:dyDescent="0.2">
      <c r="A90" s="1293">
        <v>30255</v>
      </c>
      <c r="B90" s="1292"/>
      <c r="C90" s="1294"/>
      <c r="D90" s="1292"/>
    </row>
    <row r="91" spans="1:4" x14ac:dyDescent="0.2">
      <c r="A91" s="1293">
        <v>30285</v>
      </c>
      <c r="B91" s="1292"/>
      <c r="C91" s="1294"/>
      <c r="D91" s="1292"/>
    </row>
    <row r="92" spans="1:4" x14ac:dyDescent="0.2">
      <c r="A92" s="1293">
        <v>30316</v>
      </c>
      <c r="B92" s="1292"/>
      <c r="C92" s="1294"/>
      <c r="D92" s="1292"/>
    </row>
    <row r="93" spans="1:4" x14ac:dyDescent="0.2">
      <c r="A93" s="1293">
        <v>30347</v>
      </c>
      <c r="B93" s="1292"/>
      <c r="C93" s="1294"/>
      <c r="D93" s="1292"/>
    </row>
    <row r="94" spans="1:4" x14ac:dyDescent="0.2">
      <c r="A94" s="1293">
        <v>30375</v>
      </c>
      <c r="B94" s="1292"/>
      <c r="C94" s="1294"/>
      <c r="D94" s="1292"/>
    </row>
    <row r="95" spans="1:4" x14ac:dyDescent="0.2">
      <c r="A95" s="1293">
        <v>30406</v>
      </c>
      <c r="B95" s="1292"/>
      <c r="C95" s="1294"/>
      <c r="D95" s="1292"/>
    </row>
    <row r="96" spans="1:4" x14ac:dyDescent="0.2">
      <c r="A96" s="1293">
        <v>30436</v>
      </c>
      <c r="B96" s="1292"/>
      <c r="C96" s="1294"/>
      <c r="D96" s="1292"/>
    </row>
    <row r="97" spans="1:4" x14ac:dyDescent="0.2">
      <c r="A97" s="1293">
        <v>30467</v>
      </c>
      <c r="B97" s="1292"/>
      <c r="C97" s="1294"/>
      <c r="D97" s="1292"/>
    </row>
    <row r="98" spans="1:4" x14ac:dyDescent="0.2">
      <c r="A98" s="1293">
        <v>30497</v>
      </c>
      <c r="B98" s="1292"/>
      <c r="C98" s="1294"/>
      <c r="D98" s="1292"/>
    </row>
    <row r="99" spans="1:4" x14ac:dyDescent="0.2">
      <c r="A99" s="1293">
        <v>30528</v>
      </c>
      <c r="B99" s="1292"/>
      <c r="C99" s="1294"/>
      <c r="D99" s="1292"/>
    </row>
    <row r="100" spans="1:4" x14ac:dyDescent="0.2">
      <c r="A100" s="1293">
        <v>30559</v>
      </c>
      <c r="B100" s="1292"/>
      <c r="C100" s="1294"/>
      <c r="D100" s="1292"/>
    </row>
    <row r="101" spans="1:4" x14ac:dyDescent="0.2">
      <c r="A101" s="1293">
        <v>30589</v>
      </c>
      <c r="B101" s="1292"/>
      <c r="C101" s="1294"/>
      <c r="D101" s="1292"/>
    </row>
    <row r="102" spans="1:4" x14ac:dyDescent="0.2">
      <c r="A102" s="1293">
        <v>30620</v>
      </c>
      <c r="B102" s="1292"/>
      <c r="C102" s="1294"/>
      <c r="D102" s="1292"/>
    </row>
    <row r="103" spans="1:4" x14ac:dyDescent="0.2">
      <c r="A103" s="1293">
        <v>30650</v>
      </c>
      <c r="B103" s="1292"/>
      <c r="C103" s="1294"/>
      <c r="D103" s="1292"/>
    </row>
    <row r="104" spans="1:4" x14ac:dyDescent="0.2">
      <c r="A104" s="1293">
        <v>30681</v>
      </c>
      <c r="B104" s="1292"/>
      <c r="C104" s="1294"/>
      <c r="D104" s="1292"/>
    </row>
    <row r="105" spans="1:4" x14ac:dyDescent="0.2">
      <c r="A105" s="1293">
        <v>30712</v>
      </c>
      <c r="B105" s="1292"/>
      <c r="C105" s="1294"/>
      <c r="D105" s="1292"/>
    </row>
    <row r="106" spans="1:4" x14ac:dyDescent="0.2">
      <c r="A106" s="1293">
        <v>30741</v>
      </c>
      <c r="B106" s="1292"/>
      <c r="C106" s="1294"/>
      <c r="D106" s="1292"/>
    </row>
    <row r="107" spans="1:4" x14ac:dyDescent="0.2">
      <c r="A107" s="1293">
        <v>30772</v>
      </c>
      <c r="B107" s="1292"/>
      <c r="C107" s="1294"/>
      <c r="D107" s="1292"/>
    </row>
    <row r="108" spans="1:4" x14ac:dyDescent="0.2">
      <c r="A108" s="1293">
        <v>30802</v>
      </c>
      <c r="B108" s="1292"/>
      <c r="C108" s="1294"/>
      <c r="D108" s="1292"/>
    </row>
    <row r="109" spans="1:4" x14ac:dyDescent="0.2">
      <c r="A109" s="1293">
        <v>30833</v>
      </c>
      <c r="B109" s="1292"/>
      <c r="C109" s="1294"/>
      <c r="D109" s="1292"/>
    </row>
    <row r="110" spans="1:4" x14ac:dyDescent="0.2">
      <c r="A110" s="1293">
        <v>30863</v>
      </c>
      <c r="B110" s="1292"/>
      <c r="C110" s="1294"/>
      <c r="D110" s="1292"/>
    </row>
    <row r="111" spans="1:4" x14ac:dyDescent="0.2">
      <c r="A111" s="1293">
        <v>30894</v>
      </c>
      <c r="B111" s="1292"/>
      <c r="C111" s="1294"/>
      <c r="D111" s="1292"/>
    </row>
    <row r="112" spans="1:4" x14ac:dyDescent="0.2">
      <c r="A112" s="1293">
        <v>30925</v>
      </c>
      <c r="B112" s="1292"/>
      <c r="C112" s="1294"/>
      <c r="D112" s="1292"/>
    </row>
    <row r="113" spans="1:4" x14ac:dyDescent="0.2">
      <c r="A113" s="1293">
        <v>30955</v>
      </c>
      <c r="B113" s="1292"/>
      <c r="C113" s="1294"/>
      <c r="D113" s="1292"/>
    </row>
    <row r="114" spans="1:4" x14ac:dyDescent="0.2">
      <c r="A114" s="1293">
        <v>30986</v>
      </c>
      <c r="B114" s="1292"/>
      <c r="C114" s="1294"/>
      <c r="D114" s="1292"/>
    </row>
    <row r="115" spans="1:4" x14ac:dyDescent="0.2">
      <c r="A115" s="1293">
        <v>31016</v>
      </c>
      <c r="B115" s="1292"/>
      <c r="C115" s="1294"/>
      <c r="D115" s="1292"/>
    </row>
    <row r="116" spans="1:4" x14ac:dyDescent="0.2">
      <c r="A116" s="1293">
        <v>31047</v>
      </c>
      <c r="B116" s="1292"/>
      <c r="C116" s="1294"/>
      <c r="D116" s="1292"/>
    </row>
    <row r="117" spans="1:4" x14ac:dyDescent="0.2">
      <c r="A117" s="1293">
        <v>31078</v>
      </c>
      <c r="B117" s="1292"/>
      <c r="C117" s="1294"/>
      <c r="D117" s="1292"/>
    </row>
    <row r="118" spans="1:4" x14ac:dyDescent="0.2">
      <c r="A118" s="1293">
        <v>31106</v>
      </c>
      <c r="B118" s="1292"/>
      <c r="C118" s="1294"/>
      <c r="D118" s="1292"/>
    </row>
    <row r="119" spans="1:4" x14ac:dyDescent="0.2">
      <c r="A119" s="1293">
        <v>31137</v>
      </c>
      <c r="B119" s="1292"/>
      <c r="C119" s="1294"/>
      <c r="D119" s="1292"/>
    </row>
    <row r="120" spans="1:4" x14ac:dyDescent="0.2">
      <c r="A120" s="1293">
        <v>31167</v>
      </c>
      <c r="B120" s="1292"/>
      <c r="C120" s="1294"/>
      <c r="D120" s="1292"/>
    </row>
    <row r="121" spans="1:4" x14ac:dyDescent="0.2">
      <c r="A121" s="1293">
        <v>31198</v>
      </c>
      <c r="B121" s="1292"/>
      <c r="C121" s="1294"/>
      <c r="D121" s="1292"/>
    </row>
    <row r="122" spans="1:4" x14ac:dyDescent="0.2">
      <c r="A122" s="1293">
        <v>31228</v>
      </c>
      <c r="B122" s="1292"/>
      <c r="C122" s="1294"/>
      <c r="D122" s="1292"/>
    </row>
    <row r="123" spans="1:4" x14ac:dyDescent="0.2">
      <c r="A123" s="1293">
        <v>31259</v>
      </c>
      <c r="B123" s="1292"/>
      <c r="C123" s="1294"/>
      <c r="D123" s="1292"/>
    </row>
    <row r="124" spans="1:4" x14ac:dyDescent="0.2">
      <c r="A124" s="1293">
        <v>31290</v>
      </c>
      <c r="B124" s="1292"/>
      <c r="C124" s="1294"/>
      <c r="D124" s="1292"/>
    </row>
    <row r="125" spans="1:4" x14ac:dyDescent="0.2">
      <c r="A125" s="1293">
        <v>31320</v>
      </c>
      <c r="B125" s="1292"/>
      <c r="C125" s="1294"/>
      <c r="D125" s="1292"/>
    </row>
    <row r="126" spans="1:4" x14ac:dyDescent="0.2">
      <c r="A126" s="1293">
        <v>31351</v>
      </c>
      <c r="B126" s="1292"/>
      <c r="C126" s="1294"/>
      <c r="D126" s="1292"/>
    </row>
    <row r="127" spans="1:4" x14ac:dyDescent="0.2">
      <c r="A127" s="1293">
        <v>31381</v>
      </c>
      <c r="B127" s="1292"/>
      <c r="C127" s="1294"/>
      <c r="D127" s="1292"/>
    </row>
    <row r="128" spans="1:4" x14ac:dyDescent="0.2">
      <c r="A128" s="1293">
        <v>31412</v>
      </c>
      <c r="B128" s="1292"/>
      <c r="C128" s="1294"/>
      <c r="D128" s="1292"/>
    </row>
    <row r="129" spans="1:4" x14ac:dyDescent="0.2">
      <c r="A129" s="1293">
        <v>31443</v>
      </c>
      <c r="B129" s="1292"/>
      <c r="C129" s="1294"/>
      <c r="D129" s="1292"/>
    </row>
    <row r="130" spans="1:4" x14ac:dyDescent="0.2">
      <c r="A130" s="1293">
        <v>31471</v>
      </c>
      <c r="B130" s="1292"/>
      <c r="C130" s="1294"/>
      <c r="D130" s="1292"/>
    </row>
    <row r="131" spans="1:4" x14ac:dyDescent="0.2">
      <c r="A131" s="1293">
        <v>31502</v>
      </c>
      <c r="B131" s="1292"/>
      <c r="C131" s="1294"/>
      <c r="D131" s="1292"/>
    </row>
    <row r="132" spans="1:4" x14ac:dyDescent="0.2">
      <c r="A132" s="1293">
        <v>31532</v>
      </c>
      <c r="B132" s="1292"/>
      <c r="C132" s="1294"/>
      <c r="D132" s="1292"/>
    </row>
    <row r="133" spans="1:4" x14ac:dyDescent="0.2">
      <c r="A133" s="1293">
        <v>31563</v>
      </c>
      <c r="B133" s="1292"/>
      <c r="C133" s="1294"/>
      <c r="D133" s="1292"/>
    </row>
    <row r="134" spans="1:4" x14ac:dyDescent="0.2">
      <c r="A134" s="1293">
        <v>31593</v>
      </c>
      <c r="B134" s="1292"/>
      <c r="C134" s="1294"/>
      <c r="D134" s="1292"/>
    </row>
    <row r="135" spans="1:4" x14ac:dyDescent="0.2">
      <c r="A135" s="1293">
        <v>31624</v>
      </c>
      <c r="B135" s="1292"/>
      <c r="C135" s="1294"/>
      <c r="D135" s="1292"/>
    </row>
    <row r="136" spans="1:4" x14ac:dyDescent="0.2">
      <c r="A136" s="1293">
        <v>31655</v>
      </c>
      <c r="B136" s="1292"/>
      <c r="C136" s="1294"/>
      <c r="D136" s="1292"/>
    </row>
    <row r="137" spans="1:4" x14ac:dyDescent="0.2">
      <c r="A137" s="1293">
        <v>31685</v>
      </c>
      <c r="B137" s="1292"/>
      <c r="C137" s="1294"/>
      <c r="D137" s="1292"/>
    </row>
    <row r="138" spans="1:4" x14ac:dyDescent="0.2">
      <c r="A138" s="1293">
        <v>31716</v>
      </c>
      <c r="B138" s="1292"/>
      <c r="C138" s="1294"/>
      <c r="D138" s="1292"/>
    </row>
    <row r="139" spans="1:4" x14ac:dyDescent="0.2">
      <c r="A139" s="1293">
        <v>31746</v>
      </c>
      <c r="B139" s="1292"/>
      <c r="C139" s="1294"/>
      <c r="D139" s="1292"/>
    </row>
    <row r="140" spans="1:4" x14ac:dyDescent="0.2">
      <c r="A140" s="1293">
        <v>31777</v>
      </c>
      <c r="B140" s="1292"/>
      <c r="C140" s="1294"/>
      <c r="D140" s="1292"/>
    </row>
    <row r="141" spans="1:4" x14ac:dyDescent="0.2">
      <c r="A141" s="1293">
        <v>31808</v>
      </c>
      <c r="B141" s="1295"/>
      <c r="C141" s="1296"/>
      <c r="D141" s="1295"/>
    </row>
    <row r="142" spans="1:4" x14ac:dyDescent="0.2">
      <c r="A142" s="1293">
        <v>31836</v>
      </c>
      <c r="B142" s="1295"/>
      <c r="C142" s="1296"/>
      <c r="D142" s="1295"/>
    </row>
    <row r="143" spans="1:4" x14ac:dyDescent="0.2">
      <c r="A143" s="1293">
        <v>31867</v>
      </c>
      <c r="B143" s="1295"/>
      <c r="C143" s="1296"/>
      <c r="D143" s="1295"/>
    </row>
    <row r="144" spans="1:4" x14ac:dyDescent="0.2">
      <c r="A144" s="1293">
        <v>31897</v>
      </c>
      <c r="B144" s="1295"/>
      <c r="C144" s="1296"/>
      <c r="D144" s="1295"/>
    </row>
    <row r="145" spans="1:4" x14ac:dyDescent="0.2">
      <c r="A145" s="1293">
        <v>31928</v>
      </c>
      <c r="B145" s="1295"/>
      <c r="C145" s="1296"/>
      <c r="D145" s="1295"/>
    </row>
    <row r="146" spans="1:4" x14ac:dyDescent="0.2">
      <c r="A146" s="1293">
        <v>31958</v>
      </c>
      <c r="B146" s="1295"/>
      <c r="C146" s="1296"/>
      <c r="D146" s="1295"/>
    </row>
    <row r="147" spans="1:4" x14ac:dyDescent="0.2">
      <c r="A147" s="1293">
        <v>31989</v>
      </c>
      <c r="B147" s="1295"/>
      <c r="C147" s="1296"/>
      <c r="D147" s="1295"/>
    </row>
    <row r="148" spans="1:4" x14ac:dyDescent="0.2">
      <c r="A148" s="1293">
        <v>32020</v>
      </c>
      <c r="B148" s="1295"/>
      <c r="C148" s="1296"/>
      <c r="D148" s="1295"/>
    </row>
    <row r="149" spans="1:4" x14ac:dyDescent="0.2">
      <c r="A149" s="1293">
        <v>32050</v>
      </c>
      <c r="B149" s="1295"/>
      <c r="C149" s="1296"/>
      <c r="D149" s="1295"/>
    </row>
    <row r="150" spans="1:4" x14ac:dyDescent="0.2">
      <c r="A150" s="1293">
        <v>32081</v>
      </c>
      <c r="B150" s="1295"/>
      <c r="C150" s="1296"/>
      <c r="D150" s="1295"/>
    </row>
    <row r="151" spans="1:4" x14ac:dyDescent="0.2">
      <c r="A151" s="1293">
        <v>32111</v>
      </c>
      <c r="B151" s="1295"/>
      <c r="C151" s="1296"/>
      <c r="D151" s="1295"/>
    </row>
    <row r="152" spans="1:4" x14ac:dyDescent="0.2">
      <c r="A152" s="1293">
        <v>32142</v>
      </c>
      <c r="B152" s="1295"/>
      <c r="C152" s="1296"/>
      <c r="D152" s="1295"/>
    </row>
    <row r="153" spans="1:4" x14ac:dyDescent="0.2">
      <c r="A153" s="1293">
        <v>32173</v>
      </c>
      <c r="B153" s="1295"/>
      <c r="C153" s="1296"/>
      <c r="D153" s="1295"/>
    </row>
    <row r="154" spans="1:4" x14ac:dyDescent="0.2">
      <c r="A154" s="1293">
        <v>32202</v>
      </c>
      <c r="B154" s="1295"/>
      <c r="C154" s="1296"/>
      <c r="D154" s="1295"/>
    </row>
    <row r="155" spans="1:4" x14ac:dyDescent="0.2">
      <c r="A155" s="1293">
        <v>32233</v>
      </c>
      <c r="B155" s="1295"/>
      <c r="C155" s="1296"/>
      <c r="D155" s="1295"/>
    </row>
    <row r="156" spans="1:4" x14ac:dyDescent="0.2">
      <c r="A156" s="1293">
        <v>32263</v>
      </c>
      <c r="B156" s="1295"/>
      <c r="C156" s="1296"/>
      <c r="D156" s="1295"/>
    </row>
    <row r="157" spans="1:4" x14ac:dyDescent="0.2">
      <c r="A157" s="1293">
        <v>32294</v>
      </c>
      <c r="B157" s="1295"/>
      <c r="C157" s="1296"/>
      <c r="D157" s="1295"/>
    </row>
    <row r="158" spans="1:4" x14ac:dyDescent="0.2">
      <c r="A158" s="1293">
        <v>32324</v>
      </c>
      <c r="B158" s="1295"/>
      <c r="C158" s="1296"/>
      <c r="D158" s="1295"/>
    </row>
    <row r="159" spans="1:4" x14ac:dyDescent="0.2">
      <c r="A159" s="1293">
        <v>32355</v>
      </c>
      <c r="B159" s="1295"/>
      <c r="C159" s="1296"/>
      <c r="D159" s="1295"/>
    </row>
    <row r="160" spans="1:4" x14ac:dyDescent="0.2">
      <c r="A160" s="1293">
        <v>32386</v>
      </c>
      <c r="B160" s="1295"/>
      <c r="C160" s="1296"/>
      <c r="D160" s="1295"/>
    </row>
    <row r="161" spans="1:4" x14ac:dyDescent="0.2">
      <c r="A161" s="1293">
        <v>32416</v>
      </c>
      <c r="B161" s="1295"/>
      <c r="C161" s="1296"/>
      <c r="D161" s="1295"/>
    </row>
    <row r="162" spans="1:4" x14ac:dyDescent="0.2">
      <c r="A162" s="1293">
        <v>32447</v>
      </c>
      <c r="B162" s="1295"/>
      <c r="C162" s="1296"/>
      <c r="D162" s="1295"/>
    </row>
    <row r="163" spans="1:4" x14ac:dyDescent="0.2">
      <c r="A163" s="1293">
        <v>32477</v>
      </c>
      <c r="B163" s="1295"/>
      <c r="C163" s="1296"/>
      <c r="D163" s="1295"/>
    </row>
    <row r="164" spans="1:4" x14ac:dyDescent="0.2">
      <c r="A164" s="1293">
        <v>32508</v>
      </c>
      <c r="B164" s="1295"/>
      <c r="C164" s="1296"/>
      <c r="D164" s="1295"/>
    </row>
    <row r="165" spans="1:4" x14ac:dyDescent="0.2">
      <c r="A165" s="1293">
        <v>32539</v>
      </c>
      <c r="B165" s="1295"/>
      <c r="C165" s="1296"/>
      <c r="D165" s="1295"/>
    </row>
    <row r="166" spans="1:4" x14ac:dyDescent="0.2">
      <c r="A166" s="1293">
        <v>32567</v>
      </c>
      <c r="B166" s="1295"/>
      <c r="C166" s="1296"/>
      <c r="D166" s="1295"/>
    </row>
    <row r="167" spans="1:4" x14ac:dyDescent="0.2">
      <c r="A167" s="1293">
        <v>32598</v>
      </c>
      <c r="B167" s="1295"/>
      <c r="C167" s="1296"/>
      <c r="D167" s="1295"/>
    </row>
    <row r="168" spans="1:4" x14ac:dyDescent="0.2">
      <c r="A168" s="1293">
        <v>32628</v>
      </c>
      <c r="B168" s="1295"/>
      <c r="C168" s="1296"/>
      <c r="D168" s="1295"/>
    </row>
    <row r="169" spans="1:4" x14ac:dyDescent="0.2">
      <c r="A169" s="1293">
        <v>32659</v>
      </c>
      <c r="B169" s="1295"/>
      <c r="C169" s="1296"/>
      <c r="D169" s="1295"/>
    </row>
    <row r="170" spans="1:4" x14ac:dyDescent="0.2">
      <c r="A170" s="1293">
        <v>32689</v>
      </c>
      <c r="B170" s="1295"/>
      <c r="C170" s="1296"/>
      <c r="D170" s="1295"/>
    </row>
    <row r="171" spans="1:4" x14ac:dyDescent="0.2">
      <c r="A171" s="1293">
        <v>32720</v>
      </c>
      <c r="B171" s="1295"/>
      <c r="C171" s="1296"/>
      <c r="D171" s="1295"/>
    </row>
    <row r="172" spans="1:4" x14ac:dyDescent="0.2">
      <c r="A172" s="1293">
        <v>32751</v>
      </c>
      <c r="B172" s="1295"/>
      <c r="C172" s="1296"/>
      <c r="D172" s="1295"/>
    </row>
    <row r="173" spans="1:4" x14ac:dyDescent="0.2">
      <c r="A173" s="1293">
        <v>32781</v>
      </c>
      <c r="B173" s="1295"/>
      <c r="C173" s="1296"/>
      <c r="D173" s="1295"/>
    </row>
    <row r="174" spans="1:4" x14ac:dyDescent="0.2">
      <c r="A174" s="1293">
        <v>32812</v>
      </c>
      <c r="B174" s="1295"/>
      <c r="C174" s="1296"/>
      <c r="D174" s="1295"/>
    </row>
    <row r="175" spans="1:4" x14ac:dyDescent="0.2">
      <c r="A175" s="1293">
        <v>32842</v>
      </c>
      <c r="B175" s="1295"/>
      <c r="C175" s="1296"/>
      <c r="D175" s="1295"/>
    </row>
    <row r="176" spans="1:4" x14ac:dyDescent="0.2">
      <c r="A176" s="1293">
        <v>32873</v>
      </c>
      <c r="B176" s="1295"/>
      <c r="C176" s="1296"/>
      <c r="D176" s="1295"/>
    </row>
    <row r="177" spans="1:4" x14ac:dyDescent="0.2">
      <c r="A177" s="1293">
        <v>32904</v>
      </c>
      <c r="B177" s="1295"/>
      <c r="C177" s="1296"/>
      <c r="D177" s="1295"/>
    </row>
    <row r="178" spans="1:4" x14ac:dyDescent="0.2">
      <c r="A178" s="1293">
        <v>32932</v>
      </c>
      <c r="B178" s="1295"/>
      <c r="C178" s="1296"/>
      <c r="D178" s="1295"/>
    </row>
    <row r="179" spans="1:4" x14ac:dyDescent="0.2">
      <c r="A179" s="1293">
        <v>32963</v>
      </c>
      <c r="B179" s="1295"/>
      <c r="C179" s="1296"/>
      <c r="D179" s="1295"/>
    </row>
    <row r="180" spans="1:4" x14ac:dyDescent="0.2">
      <c r="A180" s="1293">
        <v>32993</v>
      </c>
      <c r="B180" s="1295"/>
      <c r="C180" s="1296"/>
      <c r="D180" s="1295"/>
    </row>
    <row r="181" spans="1:4" x14ac:dyDescent="0.2">
      <c r="A181" s="1293">
        <v>33024</v>
      </c>
      <c r="B181" s="1295"/>
      <c r="C181" s="1296"/>
      <c r="D181" s="1295"/>
    </row>
    <row r="182" spans="1:4" x14ac:dyDescent="0.2">
      <c r="A182" s="1293">
        <v>33054</v>
      </c>
      <c r="B182" s="1295"/>
      <c r="C182" s="1296"/>
      <c r="D182" s="1295"/>
    </row>
    <row r="183" spans="1:4" x14ac:dyDescent="0.2">
      <c r="A183" s="1293">
        <v>33085</v>
      </c>
      <c r="B183" s="1295"/>
      <c r="C183" s="1296"/>
      <c r="D183" s="1295"/>
    </row>
    <row r="184" spans="1:4" x14ac:dyDescent="0.2">
      <c r="A184" s="1293">
        <v>33116</v>
      </c>
      <c r="B184" s="1295"/>
      <c r="C184" s="1296"/>
      <c r="D184" s="1295"/>
    </row>
    <row r="185" spans="1:4" x14ac:dyDescent="0.2">
      <c r="A185" s="1293">
        <v>33146</v>
      </c>
      <c r="B185" s="1295"/>
      <c r="C185" s="1296"/>
      <c r="D185" s="1295"/>
    </row>
    <row r="186" spans="1:4" x14ac:dyDescent="0.2">
      <c r="A186" s="1293">
        <v>33177</v>
      </c>
      <c r="B186" s="1295"/>
      <c r="C186" s="1296"/>
      <c r="D186" s="1295"/>
    </row>
    <row r="187" spans="1:4" x14ac:dyDescent="0.2">
      <c r="A187" s="1293">
        <v>33207</v>
      </c>
      <c r="B187" s="1295"/>
      <c r="C187" s="1296"/>
      <c r="D187" s="1295"/>
    </row>
    <row r="188" spans="1:4" x14ac:dyDescent="0.2">
      <c r="A188" s="1293">
        <v>33238</v>
      </c>
      <c r="B188" s="1295"/>
      <c r="C188" s="1296"/>
      <c r="D188" s="1295"/>
    </row>
    <row r="189" spans="1:4" x14ac:dyDescent="0.2">
      <c r="A189" s="1293">
        <v>33269</v>
      </c>
      <c r="B189" s="1295"/>
      <c r="C189" s="1296"/>
      <c r="D189" s="1295"/>
    </row>
    <row r="190" spans="1:4" x14ac:dyDescent="0.2">
      <c r="A190" s="1293">
        <v>33297</v>
      </c>
      <c r="B190" s="1295"/>
      <c r="C190" s="1296"/>
      <c r="D190" s="1295"/>
    </row>
    <row r="191" spans="1:4" x14ac:dyDescent="0.2">
      <c r="A191" s="1293">
        <v>33328</v>
      </c>
      <c r="B191" s="1295"/>
      <c r="C191" s="1296"/>
      <c r="D191" s="1295"/>
    </row>
    <row r="192" spans="1:4" x14ac:dyDescent="0.2">
      <c r="A192" s="1293">
        <v>33358</v>
      </c>
      <c r="B192" s="1295"/>
      <c r="C192" s="1296"/>
      <c r="D192" s="1295"/>
    </row>
    <row r="193" spans="1:4" x14ac:dyDescent="0.2">
      <c r="A193" s="1293">
        <v>33389</v>
      </c>
      <c r="B193" s="1295"/>
      <c r="C193" s="1296"/>
      <c r="D193" s="1295"/>
    </row>
    <row r="194" spans="1:4" x14ac:dyDescent="0.2">
      <c r="A194" s="1293">
        <v>33419</v>
      </c>
      <c r="B194" s="1295"/>
      <c r="C194" s="1296"/>
      <c r="D194" s="1295"/>
    </row>
    <row r="195" spans="1:4" x14ac:dyDescent="0.2">
      <c r="A195" s="1293">
        <v>33450</v>
      </c>
      <c r="B195" s="1295"/>
      <c r="C195" s="1296"/>
      <c r="D195" s="1295"/>
    </row>
    <row r="196" spans="1:4" x14ac:dyDescent="0.2">
      <c r="A196" s="1293">
        <v>33481</v>
      </c>
      <c r="B196" s="1295"/>
      <c r="C196" s="1296"/>
      <c r="D196" s="1295"/>
    </row>
    <row r="197" spans="1:4" x14ac:dyDescent="0.2">
      <c r="A197" s="1293">
        <v>33511</v>
      </c>
      <c r="B197" s="1295"/>
      <c r="C197" s="1296"/>
      <c r="D197" s="1295"/>
    </row>
    <row r="198" spans="1:4" x14ac:dyDescent="0.2">
      <c r="A198" s="1293">
        <v>33542</v>
      </c>
      <c r="B198" s="1295"/>
      <c r="C198" s="1296"/>
      <c r="D198" s="1295"/>
    </row>
    <row r="199" spans="1:4" x14ac:dyDescent="0.2">
      <c r="A199" s="1293">
        <v>33572</v>
      </c>
      <c r="B199" s="1295"/>
      <c r="C199" s="1296"/>
      <c r="D199" s="1295"/>
    </row>
    <row r="200" spans="1:4" x14ac:dyDescent="0.2">
      <c r="A200" s="1293">
        <v>33603</v>
      </c>
      <c r="B200" s="1295"/>
      <c r="C200" s="1296"/>
      <c r="D200" s="1295"/>
    </row>
    <row r="201" spans="1:4" x14ac:dyDescent="0.2">
      <c r="A201" s="1293">
        <v>33634</v>
      </c>
      <c r="B201" s="1295"/>
      <c r="C201" s="1296"/>
      <c r="D201" s="1295"/>
    </row>
    <row r="202" spans="1:4" x14ac:dyDescent="0.2">
      <c r="A202" s="1293">
        <v>33663</v>
      </c>
      <c r="B202" s="1295"/>
      <c r="C202" s="1296"/>
      <c r="D202" s="1295"/>
    </row>
    <row r="203" spans="1:4" x14ac:dyDescent="0.2">
      <c r="A203" s="1293">
        <v>33694</v>
      </c>
      <c r="B203" s="1295"/>
      <c r="C203" s="1296"/>
      <c r="D203" s="1295"/>
    </row>
    <row r="204" spans="1:4" x14ac:dyDescent="0.2">
      <c r="A204" s="1293">
        <v>33724</v>
      </c>
      <c r="B204" s="1295"/>
      <c r="C204" s="1296"/>
      <c r="D204" s="1295"/>
    </row>
    <row r="205" spans="1:4" x14ac:dyDescent="0.2">
      <c r="A205" s="1293">
        <v>33755</v>
      </c>
      <c r="B205" s="1295"/>
      <c r="C205" s="1296"/>
      <c r="D205" s="1295"/>
    </row>
    <row r="206" spans="1:4" x14ac:dyDescent="0.2">
      <c r="A206" s="1293">
        <v>33785</v>
      </c>
      <c r="B206" s="1295"/>
      <c r="C206" s="1296"/>
      <c r="D206" s="1295"/>
    </row>
    <row r="207" spans="1:4" x14ac:dyDescent="0.2">
      <c r="A207" s="1293">
        <v>33816</v>
      </c>
      <c r="B207" s="1295"/>
      <c r="C207" s="1296"/>
      <c r="D207" s="1295"/>
    </row>
    <row r="208" spans="1:4" x14ac:dyDescent="0.2">
      <c r="A208" s="1293">
        <v>33847</v>
      </c>
      <c r="B208" s="1295"/>
      <c r="C208" s="1296"/>
      <c r="D208" s="1295"/>
    </row>
    <row r="209" spans="1:4" x14ac:dyDescent="0.2">
      <c r="A209" s="1293">
        <v>33877</v>
      </c>
      <c r="B209" s="1295"/>
      <c r="C209" s="1296"/>
      <c r="D209" s="1295"/>
    </row>
    <row r="210" spans="1:4" x14ac:dyDescent="0.2">
      <c r="A210" s="1293">
        <v>33908</v>
      </c>
      <c r="B210" s="1295"/>
      <c r="C210" s="1296"/>
      <c r="D210" s="1295"/>
    </row>
    <row r="211" spans="1:4" x14ac:dyDescent="0.2">
      <c r="A211" s="1293">
        <v>33938</v>
      </c>
      <c r="B211" s="1295"/>
      <c r="C211" s="1296"/>
      <c r="D211" s="1295"/>
    </row>
    <row r="212" spans="1:4" x14ac:dyDescent="0.2">
      <c r="A212" s="1293">
        <v>33969</v>
      </c>
      <c r="B212" s="1295"/>
      <c r="C212" s="1296"/>
      <c r="D212" s="1295"/>
    </row>
    <row r="213" spans="1:4" x14ac:dyDescent="0.2">
      <c r="A213" s="1293">
        <v>34000</v>
      </c>
      <c r="B213" s="1295"/>
      <c r="C213" s="1296"/>
      <c r="D213" s="1295"/>
    </row>
    <row r="214" spans="1:4" x14ac:dyDescent="0.2">
      <c r="A214" s="1293">
        <v>34028</v>
      </c>
      <c r="B214" s="1295"/>
      <c r="C214" s="1296"/>
      <c r="D214" s="1295"/>
    </row>
    <row r="215" spans="1:4" x14ac:dyDescent="0.2">
      <c r="A215" s="1293">
        <v>34059</v>
      </c>
      <c r="B215" s="1295"/>
      <c r="C215" s="1296"/>
      <c r="D215" s="1295"/>
    </row>
    <row r="216" spans="1:4" x14ac:dyDescent="0.2">
      <c r="A216" s="1293">
        <v>34089</v>
      </c>
      <c r="B216" s="1295"/>
      <c r="C216" s="1296"/>
      <c r="D216" s="1295"/>
    </row>
    <row r="217" spans="1:4" x14ac:dyDescent="0.2">
      <c r="A217" s="1293">
        <v>34120</v>
      </c>
      <c r="B217" s="1295"/>
      <c r="C217" s="1296"/>
      <c r="D217" s="1295"/>
    </row>
    <row r="218" spans="1:4" x14ac:dyDescent="0.2">
      <c r="A218" s="1293">
        <v>34150</v>
      </c>
      <c r="B218" s="1295"/>
      <c r="C218" s="1296"/>
      <c r="D218" s="1295"/>
    </row>
    <row r="219" spans="1:4" x14ac:dyDescent="0.2">
      <c r="A219" s="1293">
        <v>34181</v>
      </c>
      <c r="B219" s="1295"/>
      <c r="C219" s="1296"/>
      <c r="D219" s="1295"/>
    </row>
    <row r="220" spans="1:4" x14ac:dyDescent="0.2">
      <c r="A220" s="1293">
        <v>34212</v>
      </c>
      <c r="B220" s="1295"/>
      <c r="C220" s="1296"/>
      <c r="D220" s="1295"/>
    </row>
    <row r="221" spans="1:4" x14ac:dyDescent="0.2">
      <c r="A221" s="1293">
        <v>34242</v>
      </c>
      <c r="B221" s="1295"/>
      <c r="C221" s="1296"/>
      <c r="D221" s="1295"/>
    </row>
    <row r="222" spans="1:4" x14ac:dyDescent="0.2">
      <c r="A222" s="1293">
        <v>34273</v>
      </c>
      <c r="B222" s="1295"/>
      <c r="C222" s="1296"/>
      <c r="D222" s="1295"/>
    </row>
    <row r="223" spans="1:4" x14ac:dyDescent="0.2">
      <c r="A223" s="1293">
        <v>34303</v>
      </c>
      <c r="B223" s="1295"/>
      <c r="C223" s="1296"/>
      <c r="D223" s="1295"/>
    </row>
    <row r="224" spans="1:4" x14ac:dyDescent="0.2">
      <c r="A224" s="1293">
        <v>34334</v>
      </c>
      <c r="B224" s="1295"/>
      <c r="C224" s="1296"/>
      <c r="D224" s="1295"/>
    </row>
    <row r="225" spans="1:4" x14ac:dyDescent="0.2">
      <c r="A225" s="1293">
        <v>34365</v>
      </c>
      <c r="B225" s="1295"/>
      <c r="C225" s="1296"/>
      <c r="D225" s="1295"/>
    </row>
    <row r="226" spans="1:4" x14ac:dyDescent="0.2">
      <c r="A226" s="1293">
        <v>34393</v>
      </c>
      <c r="B226" s="1295"/>
      <c r="C226" s="1296"/>
      <c r="D226" s="1295"/>
    </row>
    <row r="227" spans="1:4" x14ac:dyDescent="0.2">
      <c r="A227" s="1293">
        <v>34424</v>
      </c>
      <c r="B227" s="1295"/>
      <c r="C227" s="1296"/>
      <c r="D227" s="1295"/>
    </row>
    <row r="228" spans="1:4" x14ac:dyDescent="0.2">
      <c r="A228" s="1293">
        <v>34454</v>
      </c>
      <c r="B228" s="1295"/>
      <c r="C228" s="1296"/>
      <c r="D228" s="1295"/>
    </row>
    <row r="229" spans="1:4" x14ac:dyDescent="0.2">
      <c r="A229" s="1293">
        <v>34485</v>
      </c>
      <c r="B229" s="1295"/>
      <c r="C229" s="1296"/>
      <c r="D229" s="1295"/>
    </row>
    <row r="230" spans="1:4" x14ac:dyDescent="0.2">
      <c r="A230" s="1293">
        <v>34515</v>
      </c>
      <c r="B230" s="1295"/>
      <c r="C230" s="1296"/>
      <c r="D230" s="1295"/>
    </row>
    <row r="231" spans="1:4" x14ac:dyDescent="0.2">
      <c r="A231" s="1293">
        <v>34546</v>
      </c>
      <c r="B231" s="1295"/>
      <c r="C231" s="1296"/>
      <c r="D231" s="1295"/>
    </row>
    <row r="232" spans="1:4" x14ac:dyDescent="0.2">
      <c r="A232" s="1293">
        <v>34577</v>
      </c>
      <c r="B232" s="1295"/>
      <c r="C232" s="1296"/>
      <c r="D232" s="1295"/>
    </row>
    <row r="233" spans="1:4" x14ac:dyDescent="0.2">
      <c r="A233" s="1293">
        <v>34607</v>
      </c>
      <c r="B233" s="1295"/>
      <c r="C233" s="1296"/>
      <c r="D233" s="1295"/>
    </row>
    <row r="234" spans="1:4" x14ac:dyDescent="0.2">
      <c r="A234" s="1293">
        <v>34638</v>
      </c>
      <c r="B234" s="1295"/>
      <c r="C234" s="1296"/>
      <c r="D234" s="1295"/>
    </row>
    <row r="235" spans="1:4" x14ac:dyDescent="0.2">
      <c r="A235" s="1293">
        <v>34668</v>
      </c>
      <c r="B235" s="1295"/>
      <c r="C235" s="1296"/>
      <c r="D235" s="1295"/>
    </row>
    <row r="236" spans="1:4" x14ac:dyDescent="0.2">
      <c r="A236" s="1293">
        <v>34699</v>
      </c>
      <c r="B236" s="1295"/>
      <c r="C236" s="1296"/>
      <c r="D236" s="1295"/>
    </row>
    <row r="237" spans="1:4" x14ac:dyDescent="0.2">
      <c r="A237" s="1293">
        <v>34730</v>
      </c>
      <c r="B237" s="1295"/>
      <c r="C237" s="1296"/>
      <c r="D237" s="1295"/>
    </row>
    <row r="238" spans="1:4" x14ac:dyDescent="0.2">
      <c r="A238" s="1293">
        <v>34758</v>
      </c>
      <c r="B238" s="1295"/>
      <c r="C238" s="1296"/>
      <c r="D238" s="1295"/>
    </row>
    <row r="239" spans="1:4" x14ac:dyDescent="0.2">
      <c r="A239" s="1293">
        <v>34789</v>
      </c>
      <c r="B239" s="1295"/>
      <c r="C239" s="1296"/>
      <c r="D239" s="1295"/>
    </row>
    <row r="240" spans="1:4" x14ac:dyDescent="0.2">
      <c r="A240" s="1293">
        <v>34819</v>
      </c>
      <c r="B240" s="1295"/>
      <c r="C240" s="1296"/>
      <c r="D240" s="1295"/>
    </row>
    <row r="241" spans="1:4" x14ac:dyDescent="0.2">
      <c r="A241" s="1293">
        <v>34850</v>
      </c>
      <c r="B241" s="1295"/>
      <c r="C241" s="1296"/>
      <c r="D241" s="1295"/>
    </row>
    <row r="242" spans="1:4" x14ac:dyDescent="0.2">
      <c r="A242" s="1293">
        <v>34880</v>
      </c>
      <c r="B242" s="1295"/>
      <c r="C242" s="1296"/>
      <c r="D242" s="1295"/>
    </row>
    <row r="243" spans="1:4" x14ac:dyDescent="0.2">
      <c r="A243" s="1293">
        <v>34911</v>
      </c>
      <c r="B243" s="1295"/>
      <c r="C243" s="1296"/>
      <c r="D243" s="1295"/>
    </row>
    <row r="244" spans="1:4" x14ac:dyDescent="0.2">
      <c r="A244" s="1293">
        <v>34942</v>
      </c>
      <c r="B244" s="1295"/>
      <c r="C244" s="1296"/>
      <c r="D244" s="1295"/>
    </row>
    <row r="245" spans="1:4" x14ac:dyDescent="0.2">
      <c r="A245" s="1293">
        <v>34972</v>
      </c>
      <c r="B245" s="1295"/>
      <c r="C245" s="1296"/>
      <c r="D245" s="1295"/>
    </row>
    <row r="246" spans="1:4" x14ac:dyDescent="0.2">
      <c r="A246" s="1293">
        <v>35003</v>
      </c>
      <c r="B246" s="1295"/>
      <c r="C246" s="1296"/>
      <c r="D246" s="1295"/>
    </row>
    <row r="247" spans="1:4" x14ac:dyDescent="0.2">
      <c r="A247" s="1293">
        <v>35033</v>
      </c>
      <c r="B247" s="1295"/>
      <c r="C247" s="1296"/>
      <c r="D247" s="1295"/>
    </row>
    <row r="248" spans="1:4" x14ac:dyDescent="0.2">
      <c r="A248" s="1293">
        <v>35064</v>
      </c>
      <c r="B248" s="1295"/>
      <c r="C248" s="1296"/>
      <c r="D248" s="1295"/>
    </row>
    <row r="249" spans="1:4" x14ac:dyDescent="0.2">
      <c r="A249" s="1293">
        <v>35095</v>
      </c>
      <c r="B249" s="1295"/>
      <c r="C249" s="1296"/>
      <c r="D249" s="1295"/>
    </row>
    <row r="250" spans="1:4" x14ac:dyDescent="0.2">
      <c r="A250" s="1293">
        <v>35124</v>
      </c>
      <c r="B250" s="1295"/>
      <c r="C250" s="1296"/>
      <c r="D250" s="1295"/>
    </row>
    <row r="251" spans="1:4" x14ac:dyDescent="0.2">
      <c r="A251" s="1293">
        <v>35155</v>
      </c>
      <c r="B251" s="1295"/>
      <c r="C251" s="1296"/>
      <c r="D251" s="1295"/>
    </row>
    <row r="252" spans="1:4" x14ac:dyDescent="0.2">
      <c r="A252" s="1293">
        <v>35185</v>
      </c>
      <c r="B252" s="1295"/>
      <c r="C252" s="1296"/>
      <c r="D252" s="1295"/>
    </row>
    <row r="253" spans="1:4" x14ac:dyDescent="0.2">
      <c r="A253" s="1293">
        <v>35216</v>
      </c>
      <c r="B253" s="1295"/>
      <c r="C253" s="1296"/>
      <c r="D253" s="1295"/>
    </row>
    <row r="254" spans="1:4" x14ac:dyDescent="0.2">
      <c r="A254" s="1293">
        <v>35246</v>
      </c>
      <c r="B254" s="1295"/>
      <c r="C254" s="1296"/>
      <c r="D254" s="1295"/>
    </row>
    <row r="255" spans="1:4" x14ac:dyDescent="0.2">
      <c r="A255" s="1293">
        <v>35277</v>
      </c>
      <c r="B255" s="1295"/>
      <c r="C255" s="1296"/>
      <c r="D255" s="1295"/>
    </row>
    <row r="256" spans="1:4" x14ac:dyDescent="0.2">
      <c r="A256" s="1293">
        <v>35308</v>
      </c>
      <c r="B256" s="1295"/>
      <c r="C256" s="1296"/>
      <c r="D256" s="1295"/>
    </row>
    <row r="257" spans="1:4" x14ac:dyDescent="0.2">
      <c r="A257" s="1293">
        <v>35338</v>
      </c>
      <c r="B257" s="1295"/>
      <c r="C257" s="1296"/>
      <c r="D257" s="1295"/>
    </row>
    <row r="258" spans="1:4" x14ac:dyDescent="0.2">
      <c r="A258" s="1293">
        <v>35369</v>
      </c>
      <c r="B258" s="1295"/>
      <c r="C258" s="1296"/>
      <c r="D258" s="1295"/>
    </row>
    <row r="259" spans="1:4" x14ac:dyDescent="0.2">
      <c r="A259" s="1293">
        <v>35399</v>
      </c>
      <c r="B259" s="1295"/>
      <c r="C259" s="1296"/>
      <c r="D259" s="1295"/>
    </row>
    <row r="260" spans="1:4" x14ac:dyDescent="0.2">
      <c r="A260" s="1293">
        <v>35430</v>
      </c>
      <c r="B260" s="1295"/>
      <c r="C260" s="1296"/>
      <c r="D260" s="1295"/>
    </row>
    <row r="261" spans="1:4" x14ac:dyDescent="0.2">
      <c r="A261" s="1293">
        <v>35461</v>
      </c>
      <c r="B261" s="1295"/>
      <c r="C261" s="1296"/>
      <c r="D261" s="1295"/>
    </row>
    <row r="262" spans="1:4" x14ac:dyDescent="0.2">
      <c r="A262" s="1293">
        <v>35489</v>
      </c>
      <c r="B262" s="1295"/>
      <c r="C262" s="1296"/>
      <c r="D262" s="1295"/>
    </row>
    <row r="263" spans="1:4" x14ac:dyDescent="0.2">
      <c r="A263" s="1293">
        <v>35520</v>
      </c>
      <c r="B263" s="1295"/>
      <c r="C263" s="1296"/>
      <c r="D263" s="1295"/>
    </row>
    <row r="264" spans="1:4" x14ac:dyDescent="0.2">
      <c r="A264" s="1293">
        <v>35550</v>
      </c>
      <c r="B264" s="1295"/>
      <c r="C264" s="1296"/>
      <c r="D264" s="1295"/>
    </row>
    <row r="265" spans="1:4" x14ac:dyDescent="0.2">
      <c r="A265" s="1293">
        <v>35581</v>
      </c>
      <c r="B265" s="1295"/>
      <c r="C265" s="1296"/>
      <c r="D265" s="1295"/>
    </row>
    <row r="266" spans="1:4" x14ac:dyDescent="0.2">
      <c r="A266" s="1293">
        <v>35611</v>
      </c>
      <c r="B266" s="1295"/>
      <c r="C266" s="1296"/>
      <c r="D266" s="1295"/>
    </row>
    <row r="267" spans="1:4" x14ac:dyDescent="0.2">
      <c r="A267" s="1293">
        <v>35642</v>
      </c>
      <c r="B267" s="1295"/>
      <c r="C267" s="1296"/>
      <c r="D267" s="1295"/>
    </row>
    <row r="268" spans="1:4" x14ac:dyDescent="0.2">
      <c r="A268" s="1293">
        <v>35673</v>
      </c>
      <c r="B268" s="1295"/>
      <c r="C268" s="1296"/>
      <c r="D268" s="1295"/>
    </row>
    <row r="269" spans="1:4" x14ac:dyDescent="0.2">
      <c r="A269" s="1293">
        <v>35703</v>
      </c>
      <c r="B269" s="1295"/>
      <c r="C269" s="1296"/>
      <c r="D269" s="1295"/>
    </row>
    <row r="270" spans="1:4" x14ac:dyDescent="0.2">
      <c r="A270" s="1293">
        <v>35734</v>
      </c>
      <c r="B270" s="1295"/>
      <c r="C270" s="1296"/>
      <c r="D270" s="1295"/>
    </row>
    <row r="271" spans="1:4" x14ac:dyDescent="0.2">
      <c r="A271" s="1293">
        <v>35764</v>
      </c>
      <c r="B271" s="1295"/>
      <c r="C271" s="1296"/>
      <c r="D271" s="1295"/>
    </row>
    <row r="272" spans="1:4" x14ac:dyDescent="0.2">
      <c r="A272" s="1293">
        <v>35795</v>
      </c>
      <c r="B272" s="1295"/>
      <c r="C272" s="1296"/>
      <c r="D272" s="1295"/>
    </row>
    <row r="273" spans="1:4" x14ac:dyDescent="0.2">
      <c r="A273" s="1293">
        <v>35826</v>
      </c>
      <c r="B273" s="1295"/>
      <c r="C273" s="1296"/>
      <c r="D273" s="1295"/>
    </row>
    <row r="274" spans="1:4" x14ac:dyDescent="0.2">
      <c r="A274" s="1293">
        <v>35854</v>
      </c>
      <c r="B274" s="1295"/>
      <c r="C274" s="1297"/>
      <c r="D274" s="1295"/>
    </row>
    <row r="275" spans="1:4" x14ac:dyDescent="0.2">
      <c r="A275" s="1293">
        <v>35885</v>
      </c>
      <c r="B275" s="1295"/>
      <c r="C275" s="1297"/>
      <c r="D275" s="1295"/>
    </row>
    <row r="276" spans="1:4" x14ac:dyDescent="0.2">
      <c r="A276" s="1293">
        <v>35915</v>
      </c>
      <c r="B276" s="1295"/>
      <c r="C276" s="1297"/>
      <c r="D276" s="1295"/>
    </row>
    <row r="277" spans="1:4" x14ac:dyDescent="0.2">
      <c r="A277" s="1293">
        <v>35946</v>
      </c>
      <c r="B277" s="1295"/>
      <c r="C277" s="1297"/>
      <c r="D277" s="1295"/>
    </row>
    <row r="278" spans="1:4" x14ac:dyDescent="0.2">
      <c r="A278" s="1293">
        <v>35976</v>
      </c>
      <c r="B278" s="1295"/>
      <c r="C278" s="1297"/>
      <c r="D278" s="1295"/>
    </row>
    <row r="279" spans="1:4" x14ac:dyDescent="0.2">
      <c r="A279" s="1293">
        <v>36007</v>
      </c>
      <c r="B279" s="1295"/>
      <c r="C279" s="1297"/>
      <c r="D279" s="1295"/>
    </row>
    <row r="280" spans="1:4" x14ac:dyDescent="0.2">
      <c r="A280" s="1293">
        <v>36038</v>
      </c>
      <c r="B280" s="1295"/>
      <c r="C280" s="1297"/>
      <c r="D280" s="1295"/>
    </row>
    <row r="281" spans="1:4" x14ac:dyDescent="0.2">
      <c r="A281" s="1293">
        <v>36068</v>
      </c>
      <c r="B281" s="1295"/>
      <c r="C281" s="1297"/>
      <c r="D281" s="1295"/>
    </row>
    <row r="282" spans="1:4" x14ac:dyDescent="0.2">
      <c r="A282" s="1293">
        <v>36099</v>
      </c>
      <c r="B282" s="1295"/>
      <c r="C282" s="1297"/>
      <c r="D282" s="1295"/>
    </row>
    <row r="283" spans="1:4" x14ac:dyDescent="0.2">
      <c r="A283" s="1293">
        <v>36129</v>
      </c>
      <c r="B283" s="1295"/>
      <c r="C283" s="1297"/>
      <c r="D283" s="1295"/>
    </row>
    <row r="284" spans="1:4" x14ac:dyDescent="0.2">
      <c r="A284" s="1293">
        <v>36160</v>
      </c>
      <c r="B284" s="1295"/>
      <c r="C284" s="1297"/>
      <c r="D284" s="1295"/>
    </row>
    <row r="285" spans="1:4" x14ac:dyDescent="0.2">
      <c r="A285" s="1293">
        <v>36191</v>
      </c>
      <c r="B285" s="1295"/>
      <c r="C285" s="1297"/>
      <c r="D285" s="1295"/>
    </row>
    <row r="286" spans="1:4" x14ac:dyDescent="0.2">
      <c r="A286" s="1293">
        <v>36219</v>
      </c>
      <c r="B286" s="1295"/>
      <c r="C286" s="1297"/>
      <c r="D286" s="1295"/>
    </row>
    <row r="287" spans="1:4" x14ac:dyDescent="0.2">
      <c r="A287" s="1293">
        <v>36250</v>
      </c>
      <c r="B287" s="1295"/>
      <c r="C287" s="1297"/>
      <c r="D287" s="1295"/>
    </row>
    <row r="288" spans="1:4" x14ac:dyDescent="0.2">
      <c r="A288" s="1293">
        <v>36280</v>
      </c>
      <c r="B288" s="1295"/>
      <c r="C288" s="1297"/>
      <c r="D288" s="1295"/>
    </row>
    <row r="289" spans="1:4" x14ac:dyDescent="0.2">
      <c r="A289" s="1293">
        <v>36311</v>
      </c>
      <c r="B289" s="1295"/>
      <c r="C289" s="1297"/>
      <c r="D289" s="1295"/>
    </row>
    <row r="290" spans="1:4" x14ac:dyDescent="0.2">
      <c r="A290" s="1293">
        <v>36341</v>
      </c>
      <c r="B290" s="1295"/>
      <c r="C290" s="1297"/>
      <c r="D290" s="1295"/>
    </row>
    <row r="291" spans="1:4" x14ac:dyDescent="0.2">
      <c r="A291" s="1293">
        <v>36372</v>
      </c>
      <c r="B291" s="1295"/>
      <c r="C291" s="1297"/>
      <c r="D291" s="1295"/>
    </row>
    <row r="292" spans="1:4" x14ac:dyDescent="0.2">
      <c r="A292" s="1293">
        <v>36403</v>
      </c>
      <c r="B292" s="1295"/>
      <c r="C292" s="1297"/>
      <c r="D292" s="1295"/>
    </row>
    <row r="293" spans="1:4" x14ac:dyDescent="0.2">
      <c r="A293" s="1293">
        <v>36433</v>
      </c>
      <c r="B293" s="1295"/>
      <c r="C293" s="1297"/>
      <c r="D293" s="1295"/>
    </row>
    <row r="294" spans="1:4" x14ac:dyDescent="0.2">
      <c r="A294" s="1293">
        <v>36464</v>
      </c>
      <c r="B294" s="1295"/>
      <c r="C294" s="1297"/>
      <c r="D294" s="1295"/>
    </row>
    <row r="295" spans="1:4" x14ac:dyDescent="0.2">
      <c r="A295" s="1293">
        <v>36494</v>
      </c>
      <c r="B295" s="1295"/>
      <c r="C295" s="1297"/>
      <c r="D295" s="1295"/>
    </row>
    <row r="296" spans="1:4" x14ac:dyDescent="0.2">
      <c r="A296" s="1293">
        <v>36525</v>
      </c>
      <c r="B296" s="1295"/>
      <c r="C296" s="1297"/>
      <c r="D296" s="1295"/>
    </row>
    <row r="297" spans="1:4" x14ac:dyDescent="0.2">
      <c r="A297" s="1293">
        <v>36556</v>
      </c>
      <c r="B297" s="1295"/>
      <c r="C297" s="1297"/>
      <c r="D297" s="1295"/>
    </row>
    <row r="298" spans="1:4" x14ac:dyDescent="0.2">
      <c r="A298" s="1293">
        <v>36585</v>
      </c>
      <c r="B298" s="1295"/>
      <c r="C298" s="1297"/>
      <c r="D298" s="1295"/>
    </row>
    <row r="299" spans="1:4" x14ac:dyDescent="0.2">
      <c r="A299" s="1293">
        <v>36616</v>
      </c>
      <c r="B299" s="1295"/>
      <c r="C299" s="1297"/>
      <c r="D299" s="1295"/>
    </row>
    <row r="300" spans="1:4" x14ac:dyDescent="0.2">
      <c r="A300" s="1293">
        <v>36646</v>
      </c>
      <c r="B300" s="1295"/>
      <c r="C300" s="1297"/>
      <c r="D300" s="1295"/>
    </row>
    <row r="301" spans="1:4" x14ac:dyDescent="0.2">
      <c r="A301" s="1293">
        <v>36677</v>
      </c>
      <c r="B301" s="1295"/>
      <c r="C301" s="1297"/>
      <c r="D301" s="1295"/>
    </row>
    <row r="302" spans="1:4" x14ac:dyDescent="0.2">
      <c r="A302" s="1293">
        <v>36707</v>
      </c>
      <c r="B302" s="1295"/>
      <c r="C302" s="1297"/>
      <c r="D302" s="1295"/>
    </row>
    <row r="303" spans="1:4" x14ac:dyDescent="0.2">
      <c r="A303" s="1293">
        <v>36738</v>
      </c>
      <c r="B303" s="1295"/>
      <c r="C303" s="1297"/>
      <c r="D303" s="1295"/>
    </row>
    <row r="304" spans="1:4" x14ac:dyDescent="0.2">
      <c r="A304" s="1293">
        <v>36769</v>
      </c>
      <c r="B304" s="1295"/>
      <c r="C304" s="1297"/>
      <c r="D304" s="1295"/>
    </row>
    <row r="305" spans="1:4" x14ac:dyDescent="0.2">
      <c r="A305" s="1293">
        <v>36799</v>
      </c>
      <c r="B305" s="1298"/>
      <c r="C305" s="1299"/>
      <c r="D305" s="1295"/>
    </row>
    <row r="306" spans="1:4" x14ac:dyDescent="0.2">
      <c r="A306" s="1293">
        <v>36830</v>
      </c>
      <c r="B306" s="1300"/>
      <c r="C306" s="1299"/>
      <c r="D306" s="1300"/>
    </row>
    <row r="307" spans="1:4" x14ac:dyDescent="0.2">
      <c r="A307" s="1293">
        <v>36860</v>
      </c>
      <c r="B307" s="1300"/>
      <c r="C307" s="1299"/>
      <c r="D307" s="1300"/>
    </row>
    <row r="308" spans="1:4" x14ac:dyDescent="0.2">
      <c r="A308" s="1293">
        <v>36891</v>
      </c>
      <c r="B308" s="1300"/>
      <c r="C308" s="1299"/>
      <c r="D308" s="1300"/>
    </row>
    <row r="309" spans="1:4" x14ac:dyDescent="0.2">
      <c r="A309" s="1293">
        <v>36922</v>
      </c>
      <c r="B309" s="1300"/>
      <c r="C309" s="1299"/>
      <c r="D309" s="1300"/>
    </row>
    <row r="310" spans="1:4" x14ac:dyDescent="0.2">
      <c r="A310" s="1293">
        <v>36950</v>
      </c>
      <c r="B310" s="1300"/>
      <c r="C310" s="1299"/>
      <c r="D310" s="1300"/>
    </row>
    <row r="311" spans="1:4" x14ac:dyDescent="0.2">
      <c r="A311" s="1293">
        <v>36981</v>
      </c>
      <c r="B311" s="1300"/>
      <c r="C311" s="1299"/>
      <c r="D311" s="1300"/>
    </row>
    <row r="312" spans="1:4" x14ac:dyDescent="0.2">
      <c r="A312" s="1293">
        <v>37011</v>
      </c>
      <c r="B312" s="1300"/>
      <c r="C312" s="1299"/>
      <c r="D312" s="1300"/>
    </row>
    <row r="313" spans="1:4" x14ac:dyDescent="0.2">
      <c r="A313" s="1293">
        <v>37042</v>
      </c>
      <c r="B313" s="1300"/>
      <c r="C313" s="1299"/>
      <c r="D313" s="1300"/>
    </row>
    <row r="314" spans="1:4" x14ac:dyDescent="0.2">
      <c r="A314" s="1293">
        <v>37072</v>
      </c>
      <c r="B314" s="1300"/>
      <c r="C314" s="1299"/>
      <c r="D314" s="1300"/>
    </row>
    <row r="315" spans="1:4" x14ac:dyDescent="0.2">
      <c r="A315" s="1293">
        <v>37103</v>
      </c>
      <c r="B315" s="1300"/>
      <c r="C315" s="1299"/>
      <c r="D315" s="1300"/>
    </row>
    <row r="316" spans="1:4" x14ac:dyDescent="0.2">
      <c r="A316" s="1293">
        <v>37134</v>
      </c>
      <c r="B316" s="1300"/>
      <c r="C316" s="1299"/>
      <c r="D316" s="1300"/>
    </row>
    <row r="317" spans="1:4" x14ac:dyDescent="0.2">
      <c r="A317" s="1293">
        <v>37164</v>
      </c>
      <c r="B317" s="1300"/>
      <c r="C317" s="1299"/>
      <c r="D317" s="1300"/>
    </row>
    <row r="318" spans="1:4" x14ac:dyDescent="0.2">
      <c r="A318" s="1293">
        <v>37195</v>
      </c>
      <c r="B318" s="1300"/>
      <c r="C318" s="1299"/>
      <c r="D318" s="1300"/>
    </row>
    <row r="319" spans="1:4" x14ac:dyDescent="0.2">
      <c r="A319" s="1293">
        <v>37225</v>
      </c>
      <c r="B319" s="1300"/>
      <c r="C319" s="1299"/>
      <c r="D319" s="1300"/>
    </row>
    <row r="320" spans="1:4" x14ac:dyDescent="0.2">
      <c r="A320" s="1293">
        <v>37256</v>
      </c>
      <c r="B320" s="1300"/>
      <c r="C320" s="1299"/>
      <c r="D320" s="1300"/>
    </row>
    <row r="321" spans="1:4" x14ac:dyDescent="0.2">
      <c r="A321" s="1293">
        <v>37287</v>
      </c>
      <c r="B321" s="1300"/>
      <c r="C321" s="1299"/>
      <c r="D321" s="1300"/>
    </row>
    <row r="322" spans="1:4" x14ac:dyDescent="0.2">
      <c r="A322" s="1293">
        <v>37315</v>
      </c>
      <c r="B322" s="1300"/>
      <c r="C322" s="1299"/>
      <c r="D322" s="1300"/>
    </row>
    <row r="323" spans="1:4" x14ac:dyDescent="0.2">
      <c r="A323" s="1293">
        <v>37346</v>
      </c>
      <c r="B323" s="1300"/>
      <c r="C323" s="1299"/>
      <c r="D323" s="1300"/>
    </row>
    <row r="324" spans="1:4" x14ac:dyDescent="0.2">
      <c r="A324" s="1293">
        <v>37376</v>
      </c>
      <c r="B324" s="1300"/>
      <c r="C324" s="1299"/>
      <c r="D324" s="1300"/>
    </row>
    <row r="325" spans="1:4" x14ac:dyDescent="0.2">
      <c r="A325" s="1293">
        <v>37407</v>
      </c>
      <c r="B325" s="1300"/>
      <c r="C325" s="1299"/>
      <c r="D325" s="1300"/>
    </row>
    <row r="326" spans="1:4" x14ac:dyDescent="0.2">
      <c r="A326" s="1293">
        <v>37437</v>
      </c>
      <c r="B326" s="1300"/>
      <c r="C326" s="1299"/>
      <c r="D326" s="1300"/>
    </row>
    <row r="327" spans="1:4" x14ac:dyDescent="0.2">
      <c r="A327" s="1293">
        <v>37468</v>
      </c>
      <c r="B327" s="1300"/>
      <c r="C327" s="1299"/>
      <c r="D327" s="1300"/>
    </row>
    <row r="328" spans="1:4" x14ac:dyDescent="0.2">
      <c r="A328" s="1293">
        <v>37499</v>
      </c>
      <c r="B328" s="1300"/>
      <c r="C328" s="1299"/>
      <c r="D328" s="1300"/>
    </row>
    <row r="329" spans="1:4" x14ac:dyDescent="0.2">
      <c r="A329" s="1293">
        <v>37529</v>
      </c>
      <c r="B329" s="1300"/>
      <c r="C329" s="1299"/>
      <c r="D329" s="1300"/>
    </row>
    <row r="330" spans="1:4" x14ac:dyDescent="0.2">
      <c r="A330" s="1293">
        <v>37560</v>
      </c>
      <c r="B330" s="1300"/>
      <c r="C330" s="1299"/>
      <c r="D330" s="1300"/>
    </row>
    <row r="331" spans="1:4" x14ac:dyDescent="0.2">
      <c r="A331" s="1293">
        <v>37590</v>
      </c>
      <c r="B331" s="1300"/>
      <c r="C331" s="1299"/>
      <c r="D331" s="1300"/>
    </row>
    <row r="332" spans="1:4" x14ac:dyDescent="0.2">
      <c r="A332" s="1293">
        <v>37621</v>
      </c>
      <c r="B332" s="1300"/>
      <c r="C332" s="1299"/>
      <c r="D332" s="1300"/>
    </row>
    <row r="333" spans="1:4" x14ac:dyDescent="0.2">
      <c r="A333" s="1293">
        <v>37652</v>
      </c>
      <c r="B333" s="1300"/>
      <c r="C333" s="1299"/>
      <c r="D333" s="1300"/>
    </row>
    <row r="334" spans="1:4" x14ac:dyDescent="0.2">
      <c r="A334" s="1293">
        <v>37680</v>
      </c>
      <c r="B334" s="1300"/>
      <c r="C334" s="1299"/>
      <c r="D334" s="1300"/>
    </row>
    <row r="335" spans="1:4" x14ac:dyDescent="0.2">
      <c r="A335" s="1293">
        <v>37711</v>
      </c>
      <c r="B335" s="1300"/>
      <c r="C335" s="1299"/>
      <c r="D335" s="1300"/>
    </row>
    <row r="336" spans="1:4" x14ac:dyDescent="0.2">
      <c r="A336" s="1293">
        <v>37741</v>
      </c>
      <c r="B336" s="1300"/>
      <c r="C336" s="1299"/>
      <c r="D336" s="1300"/>
    </row>
    <row r="337" spans="1:4" x14ac:dyDescent="0.2">
      <c r="A337" s="1293">
        <v>37772</v>
      </c>
      <c r="B337" s="1300"/>
      <c r="C337" s="1299"/>
      <c r="D337" s="1300"/>
    </row>
    <row r="338" spans="1:4" x14ac:dyDescent="0.2">
      <c r="A338" s="1293">
        <v>37802</v>
      </c>
      <c r="B338" s="1300"/>
      <c r="C338" s="1299"/>
      <c r="D338" s="1300"/>
    </row>
    <row r="339" spans="1:4" x14ac:dyDescent="0.2">
      <c r="A339" s="1293">
        <v>37833</v>
      </c>
      <c r="B339" s="1300"/>
      <c r="C339" s="1299"/>
      <c r="D339" s="1300"/>
    </row>
    <row r="340" spans="1:4" x14ac:dyDescent="0.2">
      <c r="A340" s="1293">
        <v>37864</v>
      </c>
      <c r="B340" s="1300"/>
      <c r="C340" s="1299"/>
      <c r="D340" s="1300"/>
    </row>
    <row r="341" spans="1:4" x14ac:dyDescent="0.2">
      <c r="A341" s="1293">
        <v>37894</v>
      </c>
      <c r="B341" s="1300"/>
      <c r="C341" s="1302"/>
      <c r="D341" s="1300"/>
    </row>
    <row r="342" spans="1:4" x14ac:dyDescent="0.2">
      <c r="A342" s="1293">
        <v>37925</v>
      </c>
      <c r="B342" s="1300"/>
      <c r="C342" s="1302"/>
      <c r="D342" s="1300"/>
    </row>
    <row r="343" spans="1:4" x14ac:dyDescent="0.2">
      <c r="A343" s="1293">
        <v>37955</v>
      </c>
      <c r="B343" s="1300"/>
      <c r="C343" s="1302"/>
      <c r="D343" s="1300"/>
    </row>
    <row r="344" spans="1:4" x14ac:dyDescent="0.2">
      <c r="A344" s="1293">
        <v>37986</v>
      </c>
      <c r="B344" s="1300"/>
      <c r="C344" s="1302"/>
      <c r="D344" s="1300"/>
    </row>
    <row r="345" spans="1:4" x14ac:dyDescent="0.2">
      <c r="A345" s="1293">
        <v>38017</v>
      </c>
      <c r="B345" s="1300"/>
      <c r="C345" s="1302"/>
      <c r="D345" s="1300"/>
    </row>
    <row r="346" spans="1:4" x14ac:dyDescent="0.2">
      <c r="A346" s="1293">
        <v>38046</v>
      </c>
      <c r="B346" s="1300"/>
      <c r="C346" s="1302"/>
      <c r="D346" s="1300"/>
    </row>
    <row r="347" spans="1:4" x14ac:dyDescent="0.2">
      <c r="A347" s="1293">
        <v>38077</v>
      </c>
      <c r="B347" s="1300"/>
      <c r="C347" s="1302"/>
      <c r="D347" s="1303"/>
    </row>
    <row r="348" spans="1:4" x14ac:dyDescent="0.2">
      <c r="A348" s="1293">
        <v>38107</v>
      </c>
      <c r="B348" s="1300"/>
      <c r="C348" s="1302"/>
      <c r="D348" s="1300"/>
    </row>
    <row r="349" spans="1:4" x14ac:dyDescent="0.2">
      <c r="A349" s="1293">
        <v>38138</v>
      </c>
      <c r="B349" s="1300"/>
      <c r="C349" s="1302"/>
      <c r="D349" s="1300"/>
    </row>
    <row r="350" spans="1:4" x14ac:dyDescent="0.2">
      <c r="A350" s="1293">
        <v>38168</v>
      </c>
      <c r="B350" s="1300"/>
      <c r="C350" s="1302"/>
      <c r="D350" s="1300"/>
    </row>
    <row r="351" spans="1:4" x14ac:dyDescent="0.2">
      <c r="A351" s="1293">
        <v>38199</v>
      </c>
      <c r="B351" s="1300"/>
      <c r="C351" s="1302"/>
      <c r="D351" s="1300"/>
    </row>
    <row r="352" spans="1:4" x14ac:dyDescent="0.2">
      <c r="A352" s="1293">
        <v>38230</v>
      </c>
      <c r="B352" s="1300"/>
      <c r="C352" s="1302"/>
      <c r="D352" s="1300"/>
    </row>
    <row r="353" spans="1:4" x14ac:dyDescent="0.2">
      <c r="A353" s="1293">
        <v>38260</v>
      </c>
      <c r="B353" s="1300"/>
      <c r="C353" s="1302"/>
      <c r="D353" s="1300"/>
    </row>
    <row r="354" spans="1:4" x14ac:dyDescent="0.2">
      <c r="A354" s="1293">
        <v>38291</v>
      </c>
      <c r="B354" s="1300"/>
      <c r="C354" s="1302"/>
      <c r="D354" s="1300"/>
    </row>
    <row r="355" spans="1:4" x14ac:dyDescent="0.2">
      <c r="A355" s="1293">
        <v>38321</v>
      </c>
      <c r="B355" s="1300"/>
      <c r="C355" s="1302"/>
      <c r="D355" s="1300"/>
    </row>
    <row r="356" spans="1:4" x14ac:dyDescent="0.2">
      <c r="A356" s="1293">
        <v>38352</v>
      </c>
      <c r="B356" s="1300"/>
      <c r="C356" s="1304"/>
      <c r="D356" s="1300"/>
    </row>
    <row r="357" spans="1:4" x14ac:dyDescent="0.2">
      <c r="A357" s="1293">
        <v>38383</v>
      </c>
      <c r="B357" s="1300"/>
      <c r="C357" s="1302"/>
      <c r="D357" s="1300"/>
    </row>
    <row r="358" spans="1:4" x14ac:dyDescent="0.2">
      <c r="A358" s="1293">
        <v>38411</v>
      </c>
      <c r="B358" s="1300"/>
      <c r="C358" s="1302"/>
      <c r="D358" s="1300"/>
    </row>
    <row r="359" spans="1:4" x14ac:dyDescent="0.2">
      <c r="A359" s="1293">
        <v>38442</v>
      </c>
      <c r="B359" s="1300"/>
      <c r="C359" s="1304"/>
      <c r="D359" s="1300"/>
    </row>
    <row r="360" spans="1:4" x14ac:dyDescent="0.2">
      <c r="A360" s="1293">
        <v>38472</v>
      </c>
      <c r="B360" s="1300"/>
      <c r="C360" s="1304"/>
      <c r="D360" s="1300"/>
    </row>
    <row r="361" spans="1:4" x14ac:dyDescent="0.2">
      <c r="A361" s="1293">
        <v>38503</v>
      </c>
      <c r="B361" s="1300"/>
      <c r="C361" s="1304"/>
      <c r="D361" s="1300"/>
    </row>
    <row r="362" spans="1:4" x14ac:dyDescent="0.2">
      <c r="A362" s="1293">
        <v>38533</v>
      </c>
      <c r="B362" s="1300"/>
      <c r="C362" s="1304"/>
      <c r="D362" s="1300"/>
    </row>
    <row r="363" spans="1:4" x14ac:dyDescent="0.2">
      <c r="A363" s="1293">
        <v>38564</v>
      </c>
      <c r="B363" s="1300"/>
      <c r="C363" s="1304"/>
      <c r="D363" s="1300"/>
    </row>
    <row r="364" spans="1:4" x14ac:dyDescent="0.2">
      <c r="A364" s="1293">
        <v>38595</v>
      </c>
      <c r="B364" s="1300"/>
      <c r="C364" s="1304"/>
      <c r="D364" s="1300"/>
    </row>
    <row r="365" spans="1:4" x14ac:dyDescent="0.2">
      <c r="A365" s="1293">
        <v>38625</v>
      </c>
      <c r="B365" s="1300"/>
      <c r="C365" s="1304"/>
      <c r="D365" s="1300"/>
    </row>
    <row r="366" spans="1:4" x14ac:dyDescent="0.2">
      <c r="A366" s="1293">
        <v>38656</v>
      </c>
      <c r="B366" s="1300"/>
      <c r="C366" s="1304"/>
      <c r="D366" s="1300"/>
    </row>
    <row r="367" spans="1:4" x14ac:dyDescent="0.2">
      <c r="A367" s="1293">
        <v>38686</v>
      </c>
      <c r="B367" s="1300"/>
      <c r="C367" s="1304"/>
      <c r="D367" s="1300"/>
    </row>
    <row r="368" spans="1:4" x14ac:dyDescent="0.2">
      <c r="A368" s="1293">
        <v>38717</v>
      </c>
      <c r="B368" s="1300"/>
      <c r="C368" s="1304"/>
      <c r="D368" s="1300"/>
    </row>
    <row r="369" spans="1:6" x14ac:dyDescent="0.2">
      <c r="A369" s="1293">
        <v>38748</v>
      </c>
      <c r="B369" s="1300"/>
      <c r="C369" s="1304"/>
      <c r="D369" s="1300"/>
    </row>
    <row r="370" spans="1:6" x14ac:dyDescent="0.2">
      <c r="A370" s="1293">
        <v>38776</v>
      </c>
      <c r="B370" s="1300"/>
      <c r="C370" s="1304"/>
      <c r="D370" s="1300"/>
    </row>
    <row r="371" spans="1:6" x14ac:dyDescent="0.2">
      <c r="A371" s="1293">
        <v>38807</v>
      </c>
      <c r="B371" s="1300"/>
      <c r="C371" s="1299"/>
      <c r="D371" s="1300"/>
    </row>
    <row r="372" spans="1:6" x14ac:dyDescent="0.2">
      <c r="A372" s="1293">
        <v>38837</v>
      </c>
      <c r="B372" s="1300"/>
      <c r="C372" s="1299"/>
      <c r="D372" s="1300"/>
    </row>
    <row r="373" spans="1:6" x14ac:dyDescent="0.2">
      <c r="A373" s="1293">
        <v>38868</v>
      </c>
      <c r="B373" s="1300"/>
      <c r="C373" s="1299"/>
      <c r="D373" s="1300"/>
    </row>
    <row r="374" spans="1:6" x14ac:dyDescent="0.2">
      <c r="A374" s="1293">
        <v>38898</v>
      </c>
      <c r="B374" s="1372"/>
      <c r="C374" s="1387"/>
      <c r="D374" s="1300"/>
    </row>
    <row r="375" spans="1:6" x14ac:dyDescent="0.2">
      <c r="A375" s="1293">
        <v>38929</v>
      </c>
      <c r="B375" s="1300"/>
      <c r="C375" s="1302"/>
      <c r="D375" s="1300"/>
    </row>
    <row r="376" spans="1:6" x14ac:dyDescent="0.2">
      <c r="A376" s="1293">
        <v>38960</v>
      </c>
      <c r="B376" s="1300"/>
      <c r="C376" s="1302"/>
      <c r="D376" s="1300"/>
    </row>
    <row r="377" spans="1:6" x14ac:dyDescent="0.2">
      <c r="A377" s="1293">
        <v>38990</v>
      </c>
      <c r="B377" s="1300"/>
      <c r="C377" s="1302"/>
      <c r="D377" s="1300"/>
    </row>
    <row r="378" spans="1:6" x14ac:dyDescent="0.2">
      <c r="A378" s="1293">
        <v>39021</v>
      </c>
      <c r="B378" s="1300"/>
      <c r="C378" s="1302"/>
      <c r="D378" s="1300"/>
      <c r="F378" s="1305"/>
    </row>
    <row r="379" spans="1:6" x14ac:dyDescent="0.2">
      <c r="A379" s="1293">
        <v>39051</v>
      </c>
      <c r="B379" s="1300"/>
      <c r="C379" s="1302"/>
      <c r="D379" s="1300"/>
      <c r="F379" s="1305"/>
    </row>
    <row r="380" spans="1:6" x14ac:dyDescent="0.2">
      <c r="A380" s="1293">
        <v>39082</v>
      </c>
      <c r="B380" s="1300"/>
      <c r="C380" s="1302"/>
      <c r="D380" s="1300"/>
      <c r="F380" s="1305"/>
    </row>
    <row r="381" spans="1:6" x14ac:dyDescent="0.2">
      <c r="A381" s="1293">
        <v>39113</v>
      </c>
      <c r="B381" s="1300"/>
      <c r="F381" s="1305"/>
    </row>
    <row r="382" spans="1:6" x14ac:dyDescent="0.2">
      <c r="A382" s="1293">
        <v>39141</v>
      </c>
      <c r="B382" s="1300"/>
      <c r="F382" s="1305"/>
    </row>
    <row r="383" spans="1:6" x14ac:dyDescent="0.2">
      <c r="A383" s="1293">
        <v>39172</v>
      </c>
      <c r="B383" s="1300"/>
    </row>
    <row r="384" spans="1:6" x14ac:dyDescent="0.2">
      <c r="A384" s="1293">
        <v>39202</v>
      </c>
      <c r="B384" s="1300"/>
    </row>
    <row r="385" spans="1:3" x14ac:dyDescent="0.2">
      <c r="A385" s="1293">
        <v>39233</v>
      </c>
      <c r="B385" s="1300"/>
    </row>
    <row r="386" spans="1:3" x14ac:dyDescent="0.2">
      <c r="A386" s="1293">
        <v>39263</v>
      </c>
      <c r="B386" s="1300"/>
    </row>
    <row r="387" spans="1:3" x14ac:dyDescent="0.2">
      <c r="A387" s="1293">
        <v>39294</v>
      </c>
      <c r="B387" s="1300"/>
    </row>
    <row r="388" spans="1:3" x14ac:dyDescent="0.2">
      <c r="A388" s="1293">
        <v>39325</v>
      </c>
      <c r="B388" s="1300"/>
    </row>
    <row r="389" spans="1:3" x14ac:dyDescent="0.2">
      <c r="A389" s="1293">
        <v>39355</v>
      </c>
      <c r="B389" s="1300"/>
    </row>
    <row r="390" spans="1:3" x14ac:dyDescent="0.2">
      <c r="A390" s="1293">
        <v>39386</v>
      </c>
      <c r="B390" s="1300"/>
    </row>
    <row r="391" spans="1:3" x14ac:dyDescent="0.2">
      <c r="A391" s="1293">
        <v>39416</v>
      </c>
      <c r="B391" s="1300"/>
    </row>
    <row r="392" spans="1:3" x14ac:dyDescent="0.2">
      <c r="A392" s="1293">
        <v>39447</v>
      </c>
      <c r="B392" s="1300"/>
    </row>
    <row r="393" spans="1:3" x14ac:dyDescent="0.2">
      <c r="A393" s="1293">
        <v>39478</v>
      </c>
      <c r="B393" s="1300"/>
    </row>
    <row r="394" spans="1:3" x14ac:dyDescent="0.2">
      <c r="A394" s="1293">
        <v>39507</v>
      </c>
      <c r="B394" s="1300"/>
    </row>
    <row r="395" spans="1:3" x14ac:dyDescent="0.2">
      <c r="A395" s="1293">
        <v>39538</v>
      </c>
      <c r="B395" s="1300"/>
    </row>
    <row r="396" spans="1:3" x14ac:dyDescent="0.2">
      <c r="A396" s="1293">
        <v>39568</v>
      </c>
      <c r="B396" s="1300"/>
    </row>
    <row r="397" spans="1:3" x14ac:dyDescent="0.2">
      <c r="A397" s="1293">
        <v>39599</v>
      </c>
      <c r="B397" s="1300"/>
    </row>
    <row r="398" spans="1:3" x14ac:dyDescent="0.2">
      <c r="A398" s="1293">
        <v>39629</v>
      </c>
      <c r="B398" s="1300"/>
    </row>
    <row r="399" spans="1:3" x14ac:dyDescent="0.2">
      <c r="A399" s="1293">
        <v>39660</v>
      </c>
      <c r="B399" s="1300"/>
      <c r="C399" s="1299"/>
    </row>
    <row r="400" spans="1:3" x14ac:dyDescent="0.2">
      <c r="A400" s="1293">
        <v>39691</v>
      </c>
      <c r="B400" s="1300"/>
      <c r="C400" s="1299"/>
    </row>
    <row r="401" spans="1:7" x14ac:dyDescent="0.2">
      <c r="A401" s="1293">
        <v>39721</v>
      </c>
      <c r="B401" s="1300"/>
      <c r="C401" s="1299"/>
    </row>
    <row r="402" spans="1:7" x14ac:dyDescent="0.2">
      <c r="A402" s="1293">
        <v>39752</v>
      </c>
      <c r="B402" s="1300"/>
    </row>
    <row r="403" spans="1:7" x14ac:dyDescent="0.2">
      <c r="A403" s="1293">
        <v>39782</v>
      </c>
      <c r="B403" s="1300"/>
      <c r="G403" s="1301"/>
    </row>
    <row r="404" spans="1:7" x14ac:dyDescent="0.2">
      <c r="A404" s="1293">
        <v>39813</v>
      </c>
      <c r="B404" s="1300"/>
    </row>
    <row r="405" spans="1:7" x14ac:dyDescent="0.2">
      <c r="A405" s="1293">
        <v>39844</v>
      </c>
      <c r="B405" s="1300"/>
    </row>
    <row r="406" spans="1:7" x14ac:dyDescent="0.2">
      <c r="A406" s="1293">
        <v>39872</v>
      </c>
      <c r="B406" s="1300"/>
    </row>
    <row r="407" spans="1:7" x14ac:dyDescent="0.2">
      <c r="A407" s="1293">
        <v>39903</v>
      </c>
      <c r="B407" s="1300"/>
    </row>
    <row r="408" spans="1:7" x14ac:dyDescent="0.2">
      <c r="A408" s="1293">
        <v>39933</v>
      </c>
      <c r="B408" s="1300"/>
    </row>
    <row r="409" spans="1:7" x14ac:dyDescent="0.2">
      <c r="A409" s="1293">
        <v>39964</v>
      </c>
      <c r="B409" s="1300"/>
    </row>
    <row r="410" spans="1:7" x14ac:dyDescent="0.2">
      <c r="A410" s="1293">
        <v>39994</v>
      </c>
      <c r="B410" s="1300"/>
    </row>
    <row r="411" spans="1:7" x14ac:dyDescent="0.2">
      <c r="A411" s="1293">
        <v>40025</v>
      </c>
      <c r="B411" s="1300"/>
    </row>
    <row r="412" spans="1:7" x14ac:dyDescent="0.2">
      <c r="A412" s="1293">
        <v>40056</v>
      </c>
      <c r="B412" s="1300"/>
    </row>
    <row r="413" spans="1:7" x14ac:dyDescent="0.2">
      <c r="A413" s="1293">
        <v>40086</v>
      </c>
      <c r="B413" s="1300"/>
    </row>
    <row r="414" spans="1:7" x14ac:dyDescent="0.2">
      <c r="A414" s="1293">
        <v>40117</v>
      </c>
      <c r="B414" s="1300"/>
    </row>
    <row r="415" spans="1:7" x14ac:dyDescent="0.2">
      <c r="A415" s="1293">
        <v>40147</v>
      </c>
      <c r="B415" s="1300"/>
    </row>
    <row r="416" spans="1:7" x14ac:dyDescent="0.2">
      <c r="A416" s="1293">
        <v>40178</v>
      </c>
      <c r="B416" s="1300"/>
    </row>
    <row r="417" spans="1:5" x14ac:dyDescent="0.2">
      <c r="A417" s="1293">
        <v>40209</v>
      </c>
      <c r="B417" s="1300"/>
    </row>
    <row r="418" spans="1:5" x14ac:dyDescent="0.2">
      <c r="A418" s="1293">
        <v>40237</v>
      </c>
      <c r="B418" s="1300"/>
    </row>
    <row r="419" spans="1:5" x14ac:dyDescent="0.2">
      <c r="A419" s="1293">
        <v>40268</v>
      </c>
      <c r="B419" s="1300"/>
      <c r="C419" s="1334"/>
      <c r="D419" s="1311"/>
    </row>
    <row r="420" spans="1:5" x14ac:dyDescent="0.2">
      <c r="A420" s="1293">
        <v>40298</v>
      </c>
      <c r="B420" s="1300"/>
    </row>
    <row r="421" spans="1:5" x14ac:dyDescent="0.2">
      <c r="A421" s="1293">
        <v>40329</v>
      </c>
      <c r="B421" s="1300"/>
    </row>
    <row r="422" spans="1:5" x14ac:dyDescent="0.2">
      <c r="A422" s="1293">
        <v>40359</v>
      </c>
      <c r="B422" s="1300"/>
    </row>
    <row r="423" spans="1:5" x14ac:dyDescent="0.2">
      <c r="A423" s="1293">
        <v>40390</v>
      </c>
      <c r="B423" s="1300"/>
    </row>
    <row r="424" spans="1:5" x14ac:dyDescent="0.2">
      <c r="A424" s="1293">
        <v>40421</v>
      </c>
      <c r="B424" s="1300"/>
    </row>
    <row r="425" spans="1:5" x14ac:dyDescent="0.2">
      <c r="A425" s="1293">
        <v>40451</v>
      </c>
      <c r="B425" s="1300"/>
    </row>
    <row r="426" spans="1:5" x14ac:dyDescent="0.2">
      <c r="A426" s="1293">
        <v>40482</v>
      </c>
      <c r="B426" s="1300"/>
    </row>
    <row r="427" spans="1:5" x14ac:dyDescent="0.2">
      <c r="A427" s="1293">
        <v>40512</v>
      </c>
      <c r="B427" s="1300">
        <f>D427</f>
        <v>-2.6994699999999998</v>
      </c>
      <c r="C427" s="1307">
        <v>160990375.94</v>
      </c>
      <c r="D427" s="1306">
        <v>-2.6994699999999998</v>
      </c>
      <c r="E427" s="1301">
        <f>B427-Index_Returns!AL427</f>
        <v>-6.3709999999999933E-2</v>
      </c>
    </row>
    <row r="428" spans="1:5" x14ac:dyDescent="0.2">
      <c r="A428" s="1293">
        <v>40543</v>
      </c>
      <c r="B428" s="1300">
        <f>D428</f>
        <v>4.65517</v>
      </c>
      <c r="C428" s="1307">
        <v>171432491.22999999</v>
      </c>
      <c r="D428" s="1306">
        <v>4.65517</v>
      </c>
      <c r="E428" s="1301">
        <f>B428-Index_Returns!AL428</f>
        <v>-2.4925600000000001</v>
      </c>
    </row>
    <row r="429" spans="1:5" x14ac:dyDescent="0.2">
      <c r="A429" s="1293">
        <v>40574</v>
      </c>
      <c r="B429" s="1300">
        <f>D429</f>
        <v>-5.3339800000000004</v>
      </c>
      <c r="C429" s="1307">
        <v>169272218.05000001</v>
      </c>
      <c r="D429" s="1306">
        <v>-5.3339800000000004</v>
      </c>
      <c r="E429" s="1301">
        <f>B429-Index_Returns!AL429</f>
        <v>-2.6399000000000004</v>
      </c>
    </row>
    <row r="430" spans="1:5" x14ac:dyDescent="0.2">
      <c r="A430" s="1293">
        <v>40602</v>
      </c>
      <c r="B430" s="1300">
        <f>D430</f>
        <v>-1.3564799999999999</v>
      </c>
      <c r="C430" s="1307">
        <v>156268398.5</v>
      </c>
      <c r="D430" s="1306">
        <v>-1.3564799999999999</v>
      </c>
      <c r="E430" s="1301">
        <f>B430-Index_Returns!AL430</f>
        <v>-0.43870999999999993</v>
      </c>
    </row>
    <row r="431" spans="1:5" x14ac:dyDescent="0.2">
      <c r="A431" s="1293">
        <v>40633</v>
      </c>
      <c r="B431" s="1300">
        <f>D431</f>
        <v>6.0062699999999998</v>
      </c>
      <c r="C431" s="1307">
        <v>165654293.22999999</v>
      </c>
      <c r="D431" s="1306">
        <v>6.0062699999999998</v>
      </c>
      <c r="E431" s="1301">
        <f>B431-Index_Returns!AL431</f>
        <v>0.11106999999999978</v>
      </c>
    </row>
    <row r="432" spans="1:5" x14ac:dyDescent="0.2">
      <c r="A432" s="1293">
        <v>40663</v>
      </c>
      <c r="B432" s="1300">
        <f t="shared" ref="B432:B488" si="0">D432</f>
        <v>4.1015199999999998</v>
      </c>
      <c r="C432" s="1307">
        <v>172667068.91999999</v>
      </c>
      <c r="D432" s="1306">
        <v>4.1015199999999998</v>
      </c>
      <c r="E432" s="1301">
        <f>B432-Index_Returns!AL432</f>
        <v>0.97779999999999978</v>
      </c>
    </row>
    <row r="433" spans="1:5" x14ac:dyDescent="0.2">
      <c r="A433" s="1293">
        <v>40694</v>
      </c>
      <c r="B433" s="1300">
        <f t="shared" si="0"/>
        <v>-2.4108100000000001</v>
      </c>
      <c r="C433" s="1307">
        <v>168795303.25999999</v>
      </c>
      <c r="D433" s="1306">
        <v>-2.4108100000000001</v>
      </c>
      <c r="E433" s="1301">
        <f>B433-Index_Returns!AL433</f>
        <v>0.17237999999999998</v>
      </c>
    </row>
    <row r="434" spans="1:5" x14ac:dyDescent="0.2">
      <c r="A434" s="1293">
        <v>40724</v>
      </c>
      <c r="B434" s="1300">
        <f t="shared" si="0"/>
        <v>-1.0270900000000001</v>
      </c>
      <c r="C434" s="1307">
        <v>167061617.80000001</v>
      </c>
      <c r="D434" s="1306">
        <v>-1.0270900000000001</v>
      </c>
      <c r="E434" s="1301">
        <f>B434-Index_Returns!AL434</f>
        <v>0.4692099999999999</v>
      </c>
    </row>
    <row r="435" spans="1:5" x14ac:dyDescent="0.2">
      <c r="A435" s="1293">
        <v>40755</v>
      </c>
      <c r="B435" s="1300">
        <f t="shared" si="0"/>
        <v>7.3429999999999995E-2</v>
      </c>
      <c r="C435" s="1307">
        <v>167184285.72</v>
      </c>
      <c r="D435" s="1306">
        <v>7.3429999999999995E-2</v>
      </c>
      <c r="E435" s="1301">
        <f>B435-Index_Returns!AL435</f>
        <v>0.44951000000000002</v>
      </c>
    </row>
    <row r="436" spans="1:5" x14ac:dyDescent="0.2">
      <c r="A436" s="1293">
        <v>40786</v>
      </c>
      <c r="B436" s="1300">
        <f t="shared" si="0"/>
        <v>-7.96882</v>
      </c>
      <c r="C436" s="1307">
        <v>154153048.87</v>
      </c>
      <c r="D436" s="1306">
        <v>-7.96882</v>
      </c>
      <c r="E436" s="1301">
        <f>B436-Index_Returns!AM436</f>
        <v>-2.2107999999999999</v>
      </c>
    </row>
    <row r="437" spans="1:5" x14ac:dyDescent="0.2">
      <c r="A437" s="1293">
        <v>40816</v>
      </c>
      <c r="B437" s="1300">
        <f t="shared" si="0"/>
        <v>-12.524470000000001</v>
      </c>
      <c r="C437" s="1307">
        <v>134846201.75999999</v>
      </c>
      <c r="D437" s="1306">
        <v>-12.524470000000001</v>
      </c>
      <c r="E437" s="1301">
        <f>B437-Index_Returns!AL437</f>
        <v>2.0381199999999993</v>
      </c>
    </row>
    <row r="438" spans="1:5" x14ac:dyDescent="0.2">
      <c r="A438" s="1293">
        <v>40847</v>
      </c>
      <c r="B438" s="1300">
        <f t="shared" si="0"/>
        <v>11.735569999999999</v>
      </c>
      <c r="C438" s="1307">
        <v>289572644.44</v>
      </c>
      <c r="D438" s="1306">
        <v>11.735569999999999</v>
      </c>
      <c r="E438" s="1301">
        <f>B438-Index_Returns!AL438</f>
        <v>-1.5200600000000009</v>
      </c>
    </row>
    <row r="439" spans="1:5" x14ac:dyDescent="0.2">
      <c r="A439" s="1293">
        <v>40877</v>
      </c>
      <c r="B439" s="1300">
        <f t="shared" si="0"/>
        <v>-5.5059300000000002</v>
      </c>
      <c r="C439" s="1307">
        <v>273628972.23000002</v>
      </c>
      <c r="D439" s="1306">
        <v>-5.5059300000000002</v>
      </c>
      <c r="E439" s="1301">
        <f>B439-Index_Returns!AL439</f>
        <v>1.1532900000000001</v>
      </c>
    </row>
    <row r="440" spans="1:5" x14ac:dyDescent="0.2">
      <c r="A440" s="1293">
        <v>40908</v>
      </c>
      <c r="B440" s="1300">
        <f t="shared" si="0"/>
        <v>-1.2246600000000001</v>
      </c>
      <c r="C440" s="1307">
        <v>269492965.47000003</v>
      </c>
      <c r="D440" s="1306">
        <v>-1.2246600000000001</v>
      </c>
      <c r="E440" s="1301">
        <f>B440-Index_Returns!AL440</f>
        <v>-2.8970000000000162E-2</v>
      </c>
    </row>
    <row r="441" spans="1:5" x14ac:dyDescent="0.2">
      <c r="A441" s="345">
        <v>40939</v>
      </c>
      <c r="B441" s="1300">
        <f t="shared" si="0"/>
        <v>9.4781399999999998</v>
      </c>
      <c r="C441" s="1307">
        <v>295895276.48000002</v>
      </c>
      <c r="D441" s="1306">
        <v>9.4781399999999998</v>
      </c>
      <c r="E441" s="1301">
        <f>B441-Index_Returns!AL441</f>
        <v>-1.8838600000000003</v>
      </c>
    </row>
    <row r="442" spans="1:5" x14ac:dyDescent="0.2">
      <c r="A442" s="345">
        <v>40968</v>
      </c>
      <c r="B442" s="1300">
        <f t="shared" si="0"/>
        <v>6.8464400000000003</v>
      </c>
      <c r="C442" s="1307">
        <v>316584803.19</v>
      </c>
      <c r="D442" s="1306">
        <v>6.8464400000000003</v>
      </c>
      <c r="E442" s="1301">
        <f>B442-Index_Returns!AL442</f>
        <v>0.8379600000000007</v>
      </c>
    </row>
    <row r="443" spans="1:5" x14ac:dyDescent="0.2">
      <c r="A443" s="345">
        <v>40999</v>
      </c>
      <c r="B443" s="1300">
        <f t="shared" si="0"/>
        <v>0.15201999999999999</v>
      </c>
      <c r="C443" s="1307">
        <v>317066060.13</v>
      </c>
      <c r="D443" s="1306">
        <v>0.15201999999999999</v>
      </c>
      <c r="E443" s="1301">
        <f>B443-Index_Returns!AL443</f>
        <v>3.4684999999999997</v>
      </c>
    </row>
    <row r="444" spans="1:5" x14ac:dyDescent="0.2">
      <c r="A444" s="345">
        <v>41029</v>
      </c>
      <c r="B444" s="1300">
        <f t="shared" si="0"/>
        <v>-0.92864000000000002</v>
      </c>
      <c r="C444" s="1307">
        <v>314121666.70999998</v>
      </c>
      <c r="D444" s="1306">
        <v>-0.92864000000000002</v>
      </c>
      <c r="E444" s="1301">
        <f>B444-Index_Returns!AL444</f>
        <v>0.24932999999999994</v>
      </c>
    </row>
    <row r="445" spans="1:5" x14ac:dyDescent="0.2">
      <c r="A445" s="345">
        <v>41060</v>
      </c>
      <c r="B445" s="1300">
        <f t="shared" si="0"/>
        <v>-9.7990600000000008</v>
      </c>
      <c r="C445" s="1307">
        <v>283758716.86000001</v>
      </c>
      <c r="D445" s="1306">
        <v>-9.7990600000000008</v>
      </c>
      <c r="E445" s="1301">
        <f>B445-Index_Returns!AL445</f>
        <v>1.3635099999999998</v>
      </c>
    </row>
    <row r="446" spans="1:5" x14ac:dyDescent="0.2">
      <c r="A446" s="345">
        <v>41090</v>
      </c>
      <c r="B446" s="1300">
        <f t="shared" si="0"/>
        <v>2.8896199999999999</v>
      </c>
      <c r="C446" s="1307">
        <v>291958250.95999998</v>
      </c>
      <c r="D446" s="1306">
        <v>2.8896199999999999</v>
      </c>
      <c r="E446" s="1301">
        <f>B446-Index_Returns!AL446</f>
        <v>-1.01688</v>
      </c>
    </row>
    <row r="447" spans="1:5" x14ac:dyDescent="0.2">
      <c r="A447" s="345">
        <v>41121</v>
      </c>
      <c r="B447" s="1300">
        <f t="shared" si="0"/>
        <v>1.9245099999999999</v>
      </c>
      <c r="C447" s="1307">
        <v>297577005.06</v>
      </c>
      <c r="D447" s="1306">
        <v>1.9245099999999999</v>
      </c>
      <c r="E447" s="1301">
        <f>B447-Index_Returns!AL447</f>
        <v>-9.8179999999999934E-2</v>
      </c>
    </row>
    <row r="448" spans="1:5" x14ac:dyDescent="0.2">
      <c r="A448" s="345">
        <v>41152</v>
      </c>
      <c r="B448" s="1300">
        <f t="shared" si="0"/>
        <v>1.0324599999999999</v>
      </c>
      <c r="C448" s="1307">
        <v>301094305.77999997</v>
      </c>
      <c r="D448" s="1306">
        <v>1.0324599999999999</v>
      </c>
      <c r="E448" s="1301">
        <f>B448-Index_Returns!AL448</f>
        <v>1.3214699999999999</v>
      </c>
    </row>
    <row r="449" spans="1:5" x14ac:dyDescent="0.2">
      <c r="A449" s="345">
        <v>41182</v>
      </c>
      <c r="B449" s="1300">
        <f t="shared" si="0"/>
        <v>4.1376400000000002</v>
      </c>
      <c r="C449" s="1307">
        <v>313552514.27999997</v>
      </c>
      <c r="D449" s="1306">
        <v>4.1376400000000002</v>
      </c>
      <c r="E449" s="1301">
        <f>B449-Index_Returns!AL449</f>
        <v>-1.9163299999999994</v>
      </c>
    </row>
    <row r="450" spans="1:5" x14ac:dyDescent="0.2">
      <c r="A450" s="345">
        <v>41213</v>
      </c>
      <c r="B450" s="1300">
        <f t="shared" si="0"/>
        <v>0.17157</v>
      </c>
      <c r="C450" s="1307">
        <v>402955560.14999998</v>
      </c>
      <c r="D450" s="1306">
        <v>0.17157</v>
      </c>
      <c r="E450" s="1301">
        <f>B450-Index_Returns!AL450</f>
        <v>0.76790999999999998</v>
      </c>
    </row>
    <row r="451" spans="1:5" x14ac:dyDescent="0.2">
      <c r="A451" s="345">
        <v>41243</v>
      </c>
      <c r="B451" s="1300">
        <f t="shared" si="0"/>
        <v>1.2681899999999999</v>
      </c>
      <c r="C451" s="1307">
        <v>408529293.67000002</v>
      </c>
      <c r="D451" s="1306">
        <v>1.2681899999999999</v>
      </c>
      <c r="E451" s="1301">
        <f>B451-Index_Returns!AL451</f>
        <v>-8.760000000000101E-3</v>
      </c>
    </row>
    <row r="452" spans="1:5" x14ac:dyDescent="0.2">
      <c r="A452" s="345">
        <v>41274</v>
      </c>
      <c r="B452" s="1300">
        <f t="shared" si="0"/>
        <v>3.5366399999999998</v>
      </c>
      <c r="C452" s="1307">
        <v>422977510.83999997</v>
      </c>
      <c r="D452" s="1306">
        <v>3.5366399999999998</v>
      </c>
      <c r="E452" s="1301">
        <f>B452-Index_Returns!AL452</f>
        <v>-1.3649400000000003</v>
      </c>
    </row>
    <row r="453" spans="1:5" x14ac:dyDescent="0.2">
      <c r="A453" s="345">
        <v>41305</v>
      </c>
      <c r="B453" s="1300">
        <f t="shared" si="0"/>
        <v>1.7235799999999999</v>
      </c>
      <c r="C453" s="1307">
        <v>430821548.64999998</v>
      </c>
      <c r="D453" s="1306">
        <v>1.7235799999999999</v>
      </c>
      <c r="E453" s="1301">
        <f>B453-Index_Returns!AL453</f>
        <v>0.32930999999999999</v>
      </c>
    </row>
    <row r="454" spans="1:5" x14ac:dyDescent="0.2">
      <c r="A454" s="345">
        <v>41333</v>
      </c>
      <c r="B454" s="1300">
        <f t="shared" si="0"/>
        <v>0.60619000000000001</v>
      </c>
      <c r="C454" s="1307">
        <v>433433153.13999999</v>
      </c>
      <c r="D454" s="1306">
        <v>0.60619000000000001</v>
      </c>
      <c r="E454" s="1301">
        <f>B454-Index_Returns!AL454</f>
        <v>1.8481700000000001</v>
      </c>
    </row>
    <row r="455" spans="1:5" x14ac:dyDescent="0.2">
      <c r="A455" s="345">
        <v>41364</v>
      </c>
      <c r="B455" s="1300">
        <f t="shared" si="0"/>
        <v>-0.57962000000000002</v>
      </c>
      <c r="C455" s="1307">
        <v>430920879.75999999</v>
      </c>
      <c r="D455" s="1306">
        <v>-0.57962000000000002</v>
      </c>
      <c r="E455" s="1301">
        <f>B455-Index_Returns!AL455</f>
        <v>1.12107</v>
      </c>
    </row>
    <row r="456" spans="1:5" x14ac:dyDescent="0.2">
      <c r="A456" s="345">
        <v>41394</v>
      </c>
      <c r="B456" s="1300">
        <f t="shared" si="0"/>
        <v>1.8746499999999999</v>
      </c>
      <c r="C456" s="1307">
        <v>438999120.58999997</v>
      </c>
      <c r="D456" s="1306">
        <v>1.8746499999999999</v>
      </c>
      <c r="E456" s="1301">
        <f>B456-Index_Returns!AL456</f>
        <v>1.0817399999999999</v>
      </c>
    </row>
    <row r="457" spans="1:5" x14ac:dyDescent="0.2">
      <c r="A457" s="345">
        <v>41425</v>
      </c>
      <c r="B457" s="1300">
        <f t="shared" si="0"/>
        <v>-2.0062700000000002</v>
      </c>
      <c r="C457" s="1307">
        <v>430759013.12</v>
      </c>
      <c r="D457" s="1306">
        <v>-2.0062700000000002</v>
      </c>
      <c r="E457" s="1301">
        <f>B457-Index_Returns!AL457</f>
        <v>0.51221999999999968</v>
      </c>
    </row>
    <row r="458" spans="1:5" x14ac:dyDescent="0.2">
      <c r="A458" s="345">
        <v>41455</v>
      </c>
      <c r="B458" s="1300">
        <f t="shared" si="0"/>
        <v>-6.7975700000000003</v>
      </c>
      <c r="C458" s="1307">
        <v>401477869.98000002</v>
      </c>
      <c r="D458" s="1306">
        <v>-6.7975700000000003</v>
      </c>
      <c r="E458" s="1301">
        <f>B458-Index_Returns!AL458</f>
        <v>-0.47897000000000034</v>
      </c>
    </row>
    <row r="459" spans="1:5" x14ac:dyDescent="0.2">
      <c r="A459" s="345">
        <v>41486</v>
      </c>
      <c r="B459" s="1300">
        <f t="shared" si="0"/>
        <v>1.30457</v>
      </c>
      <c r="C459" s="1307">
        <v>407281736.97000003</v>
      </c>
      <c r="D459" s="1306">
        <v>1.30457</v>
      </c>
      <c r="E459" s="1301">
        <f>B459-Index_Returns!AL459</f>
        <v>0.20565999999999995</v>
      </c>
    </row>
    <row r="460" spans="1:5" x14ac:dyDescent="0.2">
      <c r="A460" s="345">
        <v>41517</v>
      </c>
      <c r="B460" s="1300">
        <f t="shared" si="0"/>
        <v>-3.8616999999999999</v>
      </c>
      <c r="C460" s="1307">
        <v>391553745.76999998</v>
      </c>
      <c r="D460" s="1306">
        <v>-3.8616999999999999</v>
      </c>
      <c r="E460" s="1301">
        <f>B460-Index_Returns!AL460</f>
        <v>-2.1835100000000001</v>
      </c>
    </row>
    <row r="461" spans="1:5" x14ac:dyDescent="0.2">
      <c r="A461" s="345">
        <v>41547</v>
      </c>
      <c r="B461" s="1300">
        <f t="shared" si="0"/>
        <v>7.5956799999999998</v>
      </c>
      <c r="C461" s="1307">
        <v>421294918.44999999</v>
      </c>
      <c r="D461" s="1306">
        <v>7.5956799999999998</v>
      </c>
      <c r="E461" s="1301">
        <f>B461-Index_Returns!AL461</f>
        <v>1.0608699999999995</v>
      </c>
    </row>
    <row r="462" spans="1:5" x14ac:dyDescent="0.2">
      <c r="A462" s="345">
        <v>41578</v>
      </c>
      <c r="B462" s="1300">
        <f t="shared" si="0"/>
        <v>4.5934499999999998</v>
      </c>
      <c r="C462" s="1307">
        <v>441203837.18000001</v>
      </c>
      <c r="D462" s="1306">
        <v>4.5934499999999998</v>
      </c>
      <c r="E462" s="1301">
        <f>B462-Index_Returns!AL462</f>
        <v>-0.27967000000000031</v>
      </c>
    </row>
    <row r="463" spans="1:5" x14ac:dyDescent="0.2">
      <c r="A463" s="345">
        <v>41608</v>
      </c>
      <c r="B463" s="1300">
        <f t="shared" si="0"/>
        <v>-0.64981</v>
      </c>
      <c r="C463" s="1307">
        <v>438336867.97000003</v>
      </c>
      <c r="D463" s="1306">
        <v>-0.64981</v>
      </c>
      <c r="E463" s="1301">
        <f>B463-Index_Returns!AL463</f>
        <v>0.80461000000000005</v>
      </c>
    </row>
    <row r="464" spans="1:5" x14ac:dyDescent="0.2">
      <c r="A464" s="345">
        <v>41639</v>
      </c>
      <c r="B464" s="1300">
        <f t="shared" si="0"/>
        <v>-0.35448000000000002</v>
      </c>
      <c r="C464" s="1307">
        <v>436783043.16000003</v>
      </c>
      <c r="D464" s="1306">
        <v>-0.35448000000000002</v>
      </c>
      <c r="E464" s="1301">
        <f>B464-Index_Returns!AL464</f>
        <v>1.0831599999999999</v>
      </c>
    </row>
    <row r="465" spans="1:5" x14ac:dyDescent="0.2">
      <c r="A465" s="345">
        <v>41670</v>
      </c>
      <c r="B465" s="1300">
        <f t="shared" si="0"/>
        <v>-6.8888199999999999</v>
      </c>
      <c r="C465" s="1307">
        <v>406693855.5</v>
      </c>
      <c r="D465" s="1306">
        <v>-6.8888199999999999</v>
      </c>
      <c r="E465" s="1301">
        <f>B465-Index_Returns!AL465</f>
        <v>-0.39529000000000014</v>
      </c>
    </row>
    <row r="466" spans="1:5" x14ac:dyDescent="0.2">
      <c r="A466" s="345">
        <v>41698</v>
      </c>
      <c r="B466" s="1300">
        <f t="shared" si="0"/>
        <v>6.4848800000000004</v>
      </c>
      <c r="C466" s="1307">
        <v>433701777.83999997</v>
      </c>
      <c r="D466" s="1306">
        <v>6.4848800000000004</v>
      </c>
      <c r="E466" s="1301">
        <f>B466-Index_Returns!AL466</f>
        <v>3.1722800000000002</v>
      </c>
    </row>
    <row r="467" spans="1:5" x14ac:dyDescent="0.2">
      <c r="A467" s="345">
        <v>41729</v>
      </c>
      <c r="B467" s="1300">
        <f t="shared" si="0"/>
        <v>1.6687399999999999</v>
      </c>
      <c r="C467" s="1307">
        <v>440939112.48000002</v>
      </c>
      <c r="D467" s="1306">
        <v>1.6687399999999999</v>
      </c>
      <c r="E467" s="1301">
        <f>B467-Index_Returns!AL467</f>
        <v>-1.4007700000000003</v>
      </c>
    </row>
    <row r="468" spans="1:5" x14ac:dyDescent="0.2">
      <c r="A468" s="345">
        <v>41759</v>
      </c>
      <c r="B468" s="1300">
        <f t="shared" si="0"/>
        <v>0.22720000000000001</v>
      </c>
      <c r="C468" s="1307">
        <v>442508503.35000002</v>
      </c>
      <c r="D468" s="1306">
        <v>0.22720000000000001</v>
      </c>
      <c r="E468" s="1301">
        <f>B468-Index_Returns!AL468</f>
        <v>-0.10694999999999999</v>
      </c>
    </row>
    <row r="469" spans="1:5" x14ac:dyDescent="0.2">
      <c r="A469" s="345">
        <v>41790</v>
      </c>
      <c r="B469" s="1300">
        <f t="shared" si="0"/>
        <v>3.4673400000000001</v>
      </c>
      <c r="C469" s="1307">
        <v>457851785.73000002</v>
      </c>
      <c r="D469" s="1306">
        <v>3.4673400000000001</v>
      </c>
      <c r="E469" s="1301">
        <f>B469-Index_Returns!AL469</f>
        <v>-2.3229999999999862E-2</v>
      </c>
    </row>
    <row r="470" spans="1:5" x14ac:dyDescent="0.2">
      <c r="A470" s="345">
        <v>41820</v>
      </c>
      <c r="B470" s="1300">
        <f t="shared" si="0"/>
        <v>3.0797099999999999</v>
      </c>
      <c r="C470" s="1307">
        <v>471952293.13</v>
      </c>
      <c r="D470" s="1306">
        <v>3.0797099999999999</v>
      </c>
      <c r="E470" s="1301">
        <f>B470-Index_Returns!AL470</f>
        <v>0.42282999999999982</v>
      </c>
    </row>
    <row r="471" spans="1:5" x14ac:dyDescent="0.2">
      <c r="A471" s="345">
        <v>41851</v>
      </c>
      <c r="B471" s="1300">
        <f t="shared" si="0"/>
        <v>0.66793999999999998</v>
      </c>
      <c r="C471" s="1307">
        <v>475706290.19</v>
      </c>
      <c r="D471" s="1306">
        <v>0.66793999999999998</v>
      </c>
      <c r="E471" s="1301">
        <f>B471-Index_Returns!AL471</f>
        <v>-1.26563</v>
      </c>
    </row>
    <row r="472" spans="1:5" x14ac:dyDescent="0.2">
      <c r="A472" s="345">
        <v>41882</v>
      </c>
      <c r="B472" s="1300">
        <f t="shared" si="0"/>
        <v>3.5437699999999999</v>
      </c>
      <c r="C472" s="1307">
        <v>492564227.88999999</v>
      </c>
      <c r="D472" s="1306">
        <v>3.5437699999999999</v>
      </c>
      <c r="E472" s="1301">
        <f>B472-Index_Returns!AL472</f>
        <v>1.2902499999999999</v>
      </c>
    </row>
    <row r="473" spans="1:5" x14ac:dyDescent="0.2">
      <c r="A473" s="345">
        <v>41912</v>
      </c>
      <c r="B473" s="1300">
        <f t="shared" si="0"/>
        <v>0</v>
      </c>
      <c r="E473" s="1301">
        <f>B473-Index_Returns!AL473</f>
        <v>0</v>
      </c>
    </row>
    <row r="474" spans="1:5" x14ac:dyDescent="0.2">
      <c r="A474" s="345">
        <v>41943</v>
      </c>
      <c r="B474" s="1300">
        <f t="shared" si="0"/>
        <v>0</v>
      </c>
      <c r="E474" s="1301">
        <f>B474-Index_Returns!AL474</f>
        <v>0</v>
      </c>
    </row>
    <row r="475" spans="1:5" x14ac:dyDescent="0.2">
      <c r="A475" s="345">
        <v>41973</v>
      </c>
      <c r="B475" s="1300">
        <f t="shared" si="0"/>
        <v>0</v>
      </c>
      <c r="E475" s="1301">
        <f>B475-Index_Returns!AL475</f>
        <v>0</v>
      </c>
    </row>
    <row r="476" spans="1:5" x14ac:dyDescent="0.2">
      <c r="A476" s="345">
        <v>42004</v>
      </c>
      <c r="B476" s="1300">
        <f t="shared" si="0"/>
        <v>0</v>
      </c>
      <c r="E476" s="1301">
        <f>B476-Index_Returns!AL476</f>
        <v>0</v>
      </c>
    </row>
    <row r="477" spans="1:5" x14ac:dyDescent="0.2">
      <c r="A477" s="345">
        <v>42035</v>
      </c>
      <c r="B477" s="1300">
        <f t="shared" si="0"/>
        <v>0</v>
      </c>
      <c r="E477" s="1301">
        <f>B477-Index_Returns!AL477</f>
        <v>0</v>
      </c>
    </row>
    <row r="478" spans="1:5" x14ac:dyDescent="0.2">
      <c r="A478" s="345">
        <v>42063</v>
      </c>
      <c r="B478" s="1300">
        <f t="shared" si="0"/>
        <v>0</v>
      </c>
      <c r="E478" s="1301">
        <f>B478-Index_Returns!AL478</f>
        <v>0</v>
      </c>
    </row>
    <row r="479" spans="1:5" x14ac:dyDescent="0.2">
      <c r="A479" s="345">
        <v>42094</v>
      </c>
      <c r="B479" s="1300">
        <f t="shared" si="0"/>
        <v>0</v>
      </c>
      <c r="E479" s="1301">
        <f>B479-Index_Returns!AL479</f>
        <v>0</v>
      </c>
    </row>
    <row r="480" spans="1:5" x14ac:dyDescent="0.2">
      <c r="A480" s="345">
        <v>42124</v>
      </c>
      <c r="B480" s="1300">
        <f t="shared" si="0"/>
        <v>0</v>
      </c>
      <c r="E480" s="1301">
        <f>B480-Index_Returns!AL480</f>
        <v>0</v>
      </c>
    </row>
    <row r="481" spans="1:5" x14ac:dyDescent="0.2">
      <c r="A481" s="345">
        <v>42155</v>
      </c>
      <c r="B481" s="1300">
        <f t="shared" si="0"/>
        <v>0</v>
      </c>
      <c r="E481" s="1301">
        <f>B481-Index_Returns!AL481</f>
        <v>0</v>
      </c>
    </row>
    <row r="482" spans="1:5" x14ac:dyDescent="0.2">
      <c r="A482" s="345">
        <v>42185</v>
      </c>
      <c r="B482" s="1300">
        <f t="shared" si="0"/>
        <v>0</v>
      </c>
      <c r="E482" s="1301">
        <f>B482-Index_Returns!AL482</f>
        <v>0</v>
      </c>
    </row>
    <row r="483" spans="1:5" x14ac:dyDescent="0.2">
      <c r="A483" s="345">
        <v>42216</v>
      </c>
      <c r="B483" s="1300">
        <f t="shared" si="0"/>
        <v>0</v>
      </c>
      <c r="E483" s="1301">
        <f>B483-Index_Returns!AL483</f>
        <v>0</v>
      </c>
    </row>
    <row r="484" spans="1:5" x14ac:dyDescent="0.2">
      <c r="A484" s="345">
        <v>42247</v>
      </c>
      <c r="B484" s="1300">
        <f t="shared" si="0"/>
        <v>0</v>
      </c>
      <c r="E484" s="1301">
        <f>B484-Index_Returns!AL484</f>
        <v>0</v>
      </c>
    </row>
    <row r="485" spans="1:5" x14ac:dyDescent="0.2">
      <c r="A485" s="345">
        <v>42277</v>
      </c>
      <c r="B485" s="1300">
        <f t="shared" si="0"/>
        <v>0</v>
      </c>
      <c r="E485" s="1301">
        <f>B485-Index_Returns!AL485</f>
        <v>0</v>
      </c>
    </row>
    <row r="486" spans="1:5" x14ac:dyDescent="0.2">
      <c r="A486" s="345">
        <v>42308</v>
      </c>
      <c r="B486" s="1300">
        <f t="shared" si="0"/>
        <v>0</v>
      </c>
      <c r="E486" s="1301">
        <f>B486-Index_Returns!AL486</f>
        <v>0</v>
      </c>
    </row>
    <row r="487" spans="1:5" x14ac:dyDescent="0.2">
      <c r="A487" s="345">
        <v>42338</v>
      </c>
      <c r="B487" s="1300">
        <f t="shared" si="0"/>
        <v>0</v>
      </c>
      <c r="E487" s="1301">
        <f>B487-Index_Returns!AL487</f>
        <v>0</v>
      </c>
    </row>
    <row r="488" spans="1:5" x14ac:dyDescent="0.2">
      <c r="A488" s="345">
        <v>42369</v>
      </c>
      <c r="B488" s="1300">
        <f t="shared" si="0"/>
        <v>0</v>
      </c>
      <c r="E488" s="1301">
        <f>B488-Index_Returns!AL488</f>
        <v>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H488"/>
  <sheetViews>
    <sheetView workbookViewId="0">
      <pane xSplit="1" ySplit="2" topLeftCell="B448" activePane="bottomRight" state="frozen"/>
      <selection pane="topRight" activeCell="B1" sqref="B1"/>
      <selection pane="bottomLeft" activeCell="A3" sqref="A3"/>
      <selection pane="bottomRight" activeCell="C472" sqref="C472:D472"/>
    </sheetView>
  </sheetViews>
  <sheetFormatPr defaultRowHeight="12.75" x14ac:dyDescent="0.2"/>
  <cols>
    <col min="1" max="1" width="18.7109375" style="1308" customWidth="1"/>
    <col min="2" max="2" width="18.7109375" style="1309" customWidth="1"/>
    <col min="3" max="3" width="18.7109375" style="1307" customWidth="1"/>
    <col min="4" max="4" width="18.7109375" style="1306" customWidth="1"/>
    <col min="5" max="5" width="9.140625" style="1301"/>
    <col min="6" max="6" width="12.42578125" style="1266" bestFit="1" customWidth="1"/>
    <col min="7" max="8" width="9.140625" style="1305"/>
    <col min="9" max="16384" width="9.140625" style="1266"/>
  </cols>
  <sheetData>
    <row r="1" spans="1:6" x14ac:dyDescent="0.2">
      <c r="A1" s="1289" t="s">
        <v>883</v>
      </c>
      <c r="B1" s="1290"/>
      <c r="C1" s="1386" t="s">
        <v>686</v>
      </c>
      <c r="D1" s="1373">
        <v>40</v>
      </c>
      <c r="F1" s="1308" t="s">
        <v>742</v>
      </c>
    </row>
    <row r="2" spans="1:6" x14ac:dyDescent="0.2">
      <c r="A2" s="1291" t="s">
        <v>27</v>
      </c>
      <c r="B2" s="1292" t="s">
        <v>91</v>
      </c>
      <c r="C2" s="1294" t="s">
        <v>92</v>
      </c>
      <c r="D2" s="1292" t="s">
        <v>90</v>
      </c>
      <c r="E2" s="1374" t="s">
        <v>80</v>
      </c>
    </row>
    <row r="3" spans="1:6" x14ac:dyDescent="0.2">
      <c r="A3" s="1293">
        <v>27606</v>
      </c>
      <c r="B3" s="1292"/>
      <c r="C3" s="1294"/>
      <c r="D3" s="1292"/>
    </row>
    <row r="4" spans="1:6" x14ac:dyDescent="0.2">
      <c r="A4" s="1293">
        <v>27637</v>
      </c>
      <c r="B4" s="1292"/>
      <c r="C4" s="1294"/>
      <c r="D4" s="1292"/>
    </row>
    <row r="5" spans="1:6" x14ac:dyDescent="0.2">
      <c r="A5" s="1293">
        <v>27667</v>
      </c>
      <c r="B5" s="1292"/>
      <c r="C5" s="1294"/>
      <c r="D5" s="1292"/>
    </row>
    <row r="6" spans="1:6" x14ac:dyDescent="0.2">
      <c r="A6" s="1293">
        <v>27698</v>
      </c>
      <c r="B6" s="1292"/>
      <c r="C6" s="1294"/>
      <c r="D6" s="1292"/>
    </row>
    <row r="7" spans="1:6" x14ac:dyDescent="0.2">
      <c r="A7" s="1293">
        <v>27728</v>
      </c>
      <c r="B7" s="1292"/>
      <c r="C7" s="1294"/>
      <c r="D7" s="1292"/>
    </row>
    <row r="8" spans="1:6" x14ac:dyDescent="0.2">
      <c r="A8" s="1293">
        <v>27759</v>
      </c>
      <c r="B8" s="1292"/>
      <c r="C8" s="1294"/>
      <c r="D8" s="1292"/>
    </row>
    <row r="9" spans="1:6" x14ac:dyDescent="0.2">
      <c r="A9" s="1293">
        <v>27790</v>
      </c>
      <c r="B9" s="1292"/>
      <c r="C9" s="1294"/>
      <c r="D9" s="1292"/>
    </row>
    <row r="10" spans="1:6" x14ac:dyDescent="0.2">
      <c r="A10" s="1293">
        <v>27819</v>
      </c>
      <c r="B10" s="1292"/>
      <c r="C10" s="1294"/>
      <c r="D10" s="1292"/>
    </row>
    <row r="11" spans="1:6" x14ac:dyDescent="0.2">
      <c r="A11" s="1293">
        <v>27850</v>
      </c>
      <c r="B11" s="1292"/>
      <c r="C11" s="1294"/>
      <c r="D11" s="1292"/>
    </row>
    <row r="12" spans="1:6" x14ac:dyDescent="0.2">
      <c r="A12" s="1293">
        <v>27880</v>
      </c>
      <c r="B12" s="1292"/>
      <c r="C12" s="1294"/>
      <c r="D12" s="1292"/>
    </row>
    <row r="13" spans="1:6" x14ac:dyDescent="0.2">
      <c r="A13" s="1293">
        <v>27911</v>
      </c>
      <c r="B13" s="1292"/>
      <c r="C13" s="1294"/>
      <c r="D13" s="1292"/>
    </row>
    <row r="14" spans="1:6" x14ac:dyDescent="0.2">
      <c r="A14" s="1293">
        <v>27941</v>
      </c>
      <c r="B14" s="1292"/>
      <c r="C14" s="1294"/>
      <c r="D14" s="1292"/>
    </row>
    <row r="15" spans="1:6" x14ac:dyDescent="0.2">
      <c r="A15" s="1293">
        <v>27972</v>
      </c>
      <c r="B15" s="1292"/>
      <c r="C15" s="1294"/>
      <c r="D15" s="1292"/>
    </row>
    <row r="16" spans="1:6" x14ac:dyDescent="0.2">
      <c r="A16" s="1293">
        <v>28003</v>
      </c>
      <c r="B16" s="1292"/>
      <c r="C16" s="1294"/>
      <c r="D16" s="1292"/>
    </row>
    <row r="17" spans="1:4" x14ac:dyDescent="0.2">
      <c r="A17" s="1293">
        <v>28033</v>
      </c>
      <c r="B17" s="1292"/>
      <c r="C17" s="1294"/>
      <c r="D17" s="1292"/>
    </row>
    <row r="18" spans="1:4" x14ac:dyDescent="0.2">
      <c r="A18" s="1293">
        <v>28064</v>
      </c>
      <c r="B18" s="1292"/>
      <c r="C18" s="1294"/>
      <c r="D18" s="1292"/>
    </row>
    <row r="19" spans="1:4" x14ac:dyDescent="0.2">
      <c r="A19" s="1293">
        <v>28094</v>
      </c>
      <c r="B19" s="1292"/>
      <c r="C19" s="1294"/>
      <c r="D19" s="1292"/>
    </row>
    <row r="20" spans="1:4" x14ac:dyDescent="0.2">
      <c r="A20" s="1293">
        <v>28125</v>
      </c>
      <c r="B20" s="1292"/>
      <c r="C20" s="1294"/>
      <c r="D20" s="1292"/>
    </row>
    <row r="21" spans="1:4" x14ac:dyDescent="0.2">
      <c r="A21" s="1293">
        <v>28156</v>
      </c>
      <c r="B21" s="1292"/>
      <c r="C21" s="1294"/>
      <c r="D21" s="1292"/>
    </row>
    <row r="22" spans="1:4" x14ac:dyDescent="0.2">
      <c r="A22" s="1293">
        <v>28184</v>
      </c>
      <c r="B22" s="1292"/>
      <c r="C22" s="1294"/>
      <c r="D22" s="1292"/>
    </row>
    <row r="23" spans="1:4" x14ac:dyDescent="0.2">
      <c r="A23" s="1293">
        <v>28215</v>
      </c>
      <c r="B23" s="1292"/>
      <c r="C23" s="1294"/>
      <c r="D23" s="1292"/>
    </row>
    <row r="24" spans="1:4" x14ac:dyDescent="0.2">
      <c r="A24" s="1293">
        <v>28245</v>
      </c>
      <c r="B24" s="1292"/>
      <c r="C24" s="1294"/>
      <c r="D24" s="1292"/>
    </row>
    <row r="25" spans="1:4" x14ac:dyDescent="0.2">
      <c r="A25" s="1293">
        <v>28276</v>
      </c>
      <c r="B25" s="1292"/>
      <c r="C25" s="1294"/>
      <c r="D25" s="1292"/>
    </row>
    <row r="26" spans="1:4" x14ac:dyDescent="0.2">
      <c r="A26" s="1293">
        <v>28306</v>
      </c>
      <c r="B26" s="1292"/>
      <c r="C26" s="1294"/>
      <c r="D26" s="1292"/>
    </row>
    <row r="27" spans="1:4" x14ac:dyDescent="0.2">
      <c r="A27" s="1293">
        <v>28337</v>
      </c>
      <c r="B27" s="1292"/>
      <c r="C27" s="1294"/>
      <c r="D27" s="1292"/>
    </row>
    <row r="28" spans="1:4" x14ac:dyDescent="0.2">
      <c r="A28" s="1293">
        <v>28368</v>
      </c>
      <c r="B28" s="1292"/>
      <c r="C28" s="1294"/>
      <c r="D28" s="1292"/>
    </row>
    <row r="29" spans="1:4" x14ac:dyDescent="0.2">
      <c r="A29" s="1293">
        <v>28398</v>
      </c>
      <c r="B29" s="1292"/>
      <c r="C29" s="1294"/>
      <c r="D29" s="1292"/>
    </row>
    <row r="30" spans="1:4" x14ac:dyDescent="0.2">
      <c r="A30" s="1293">
        <v>28429</v>
      </c>
      <c r="B30" s="1292"/>
      <c r="C30" s="1294"/>
      <c r="D30" s="1292"/>
    </row>
    <row r="31" spans="1:4" x14ac:dyDescent="0.2">
      <c r="A31" s="1293">
        <v>28459</v>
      </c>
      <c r="B31" s="1292"/>
      <c r="C31" s="1294"/>
      <c r="D31" s="1292"/>
    </row>
    <row r="32" spans="1:4" x14ac:dyDescent="0.2">
      <c r="A32" s="1293">
        <v>28490</v>
      </c>
      <c r="B32" s="1292"/>
      <c r="C32" s="1294"/>
      <c r="D32" s="1292"/>
    </row>
    <row r="33" spans="1:4" x14ac:dyDescent="0.2">
      <c r="A33" s="1293">
        <v>28521</v>
      </c>
      <c r="B33" s="1292"/>
      <c r="C33" s="1294"/>
      <c r="D33" s="1292"/>
    </row>
    <row r="34" spans="1:4" x14ac:dyDescent="0.2">
      <c r="A34" s="1293">
        <v>28549</v>
      </c>
      <c r="B34" s="1292"/>
      <c r="C34" s="1294"/>
      <c r="D34" s="1292"/>
    </row>
    <row r="35" spans="1:4" x14ac:dyDescent="0.2">
      <c r="A35" s="1293">
        <v>28580</v>
      </c>
      <c r="B35" s="1292"/>
      <c r="C35" s="1294"/>
      <c r="D35" s="1292"/>
    </row>
    <row r="36" spans="1:4" x14ac:dyDescent="0.2">
      <c r="A36" s="1293">
        <v>28610</v>
      </c>
      <c r="B36" s="1292"/>
      <c r="C36" s="1294"/>
      <c r="D36" s="1292"/>
    </row>
    <row r="37" spans="1:4" x14ac:dyDescent="0.2">
      <c r="A37" s="1293">
        <v>28641</v>
      </c>
      <c r="B37" s="1292"/>
      <c r="C37" s="1294"/>
      <c r="D37" s="1292"/>
    </row>
    <row r="38" spans="1:4" x14ac:dyDescent="0.2">
      <c r="A38" s="1293">
        <v>28671</v>
      </c>
      <c r="B38" s="1292"/>
      <c r="C38" s="1294"/>
      <c r="D38" s="1292"/>
    </row>
    <row r="39" spans="1:4" x14ac:dyDescent="0.2">
      <c r="A39" s="1293">
        <v>28702</v>
      </c>
      <c r="B39" s="1292"/>
      <c r="C39" s="1294"/>
      <c r="D39" s="1292"/>
    </row>
    <row r="40" spans="1:4" x14ac:dyDescent="0.2">
      <c r="A40" s="1293">
        <v>28733</v>
      </c>
      <c r="B40" s="1292"/>
      <c r="C40" s="1294"/>
      <c r="D40" s="1292"/>
    </row>
    <row r="41" spans="1:4" x14ac:dyDescent="0.2">
      <c r="A41" s="1293">
        <v>28763</v>
      </c>
      <c r="B41" s="1292"/>
      <c r="C41" s="1294"/>
      <c r="D41" s="1292"/>
    </row>
    <row r="42" spans="1:4" x14ac:dyDescent="0.2">
      <c r="A42" s="1293">
        <v>28794</v>
      </c>
      <c r="B42" s="1292"/>
      <c r="C42" s="1294"/>
      <c r="D42" s="1292"/>
    </row>
    <row r="43" spans="1:4" x14ac:dyDescent="0.2">
      <c r="A43" s="1293">
        <v>28824</v>
      </c>
      <c r="B43" s="1292"/>
      <c r="C43" s="1294"/>
      <c r="D43" s="1292"/>
    </row>
    <row r="44" spans="1:4" x14ac:dyDescent="0.2">
      <c r="A44" s="1293">
        <v>28855</v>
      </c>
      <c r="B44" s="1292"/>
      <c r="C44" s="1294"/>
      <c r="D44" s="1292"/>
    </row>
    <row r="45" spans="1:4" x14ac:dyDescent="0.2">
      <c r="A45" s="1293">
        <v>28886</v>
      </c>
      <c r="B45" s="1292"/>
      <c r="C45" s="1294"/>
      <c r="D45" s="1292"/>
    </row>
    <row r="46" spans="1:4" x14ac:dyDescent="0.2">
      <c r="A46" s="1293">
        <v>28914</v>
      </c>
      <c r="B46" s="1292"/>
      <c r="C46" s="1294"/>
      <c r="D46" s="1292"/>
    </row>
    <row r="47" spans="1:4" x14ac:dyDescent="0.2">
      <c r="A47" s="1293">
        <v>28945</v>
      </c>
      <c r="B47" s="1292"/>
      <c r="C47" s="1294"/>
      <c r="D47" s="1292"/>
    </row>
    <row r="48" spans="1:4" x14ac:dyDescent="0.2">
      <c r="A48" s="1293">
        <v>28975</v>
      </c>
      <c r="B48" s="1292"/>
      <c r="C48" s="1294"/>
      <c r="D48" s="1292"/>
    </row>
    <row r="49" spans="1:4" x14ac:dyDescent="0.2">
      <c r="A49" s="1293">
        <v>29006</v>
      </c>
      <c r="B49" s="1292"/>
      <c r="C49" s="1294"/>
      <c r="D49" s="1292"/>
    </row>
    <row r="50" spans="1:4" x14ac:dyDescent="0.2">
      <c r="A50" s="1293">
        <v>29036</v>
      </c>
      <c r="B50" s="1292"/>
      <c r="C50" s="1294"/>
      <c r="D50" s="1292"/>
    </row>
    <row r="51" spans="1:4" x14ac:dyDescent="0.2">
      <c r="A51" s="1293">
        <v>29067</v>
      </c>
      <c r="B51" s="1292"/>
      <c r="C51" s="1294"/>
      <c r="D51" s="1292"/>
    </row>
    <row r="52" spans="1:4" x14ac:dyDescent="0.2">
      <c r="A52" s="1293">
        <v>29098</v>
      </c>
      <c r="B52" s="1292"/>
      <c r="C52" s="1294"/>
      <c r="D52" s="1292"/>
    </row>
    <row r="53" spans="1:4" x14ac:dyDescent="0.2">
      <c r="A53" s="1293">
        <v>29128</v>
      </c>
      <c r="B53" s="1292"/>
      <c r="C53" s="1294"/>
      <c r="D53" s="1292"/>
    </row>
    <row r="54" spans="1:4" x14ac:dyDescent="0.2">
      <c r="A54" s="1293">
        <v>29159</v>
      </c>
      <c r="B54" s="1292"/>
      <c r="C54" s="1294"/>
      <c r="D54" s="1292"/>
    </row>
    <row r="55" spans="1:4" x14ac:dyDescent="0.2">
      <c r="A55" s="1293">
        <v>29189</v>
      </c>
      <c r="B55" s="1292"/>
      <c r="C55" s="1294"/>
      <c r="D55" s="1292"/>
    </row>
    <row r="56" spans="1:4" x14ac:dyDescent="0.2">
      <c r="A56" s="1293">
        <v>29220</v>
      </c>
      <c r="B56" s="1292"/>
      <c r="C56" s="1294"/>
      <c r="D56" s="1292"/>
    </row>
    <row r="57" spans="1:4" x14ac:dyDescent="0.2">
      <c r="A57" s="1293">
        <v>29251</v>
      </c>
      <c r="B57" s="1292"/>
      <c r="C57" s="1294"/>
      <c r="D57" s="1292"/>
    </row>
    <row r="58" spans="1:4" x14ac:dyDescent="0.2">
      <c r="A58" s="1293">
        <v>29280</v>
      </c>
      <c r="B58" s="1292"/>
      <c r="C58" s="1294"/>
      <c r="D58" s="1292"/>
    </row>
    <row r="59" spans="1:4" x14ac:dyDescent="0.2">
      <c r="A59" s="1293">
        <v>29311</v>
      </c>
      <c r="B59" s="1292"/>
      <c r="C59" s="1294"/>
      <c r="D59" s="1292"/>
    </row>
    <row r="60" spans="1:4" x14ac:dyDescent="0.2">
      <c r="A60" s="1293">
        <v>29341</v>
      </c>
      <c r="B60" s="1292"/>
      <c r="C60" s="1294"/>
      <c r="D60" s="1292"/>
    </row>
    <row r="61" spans="1:4" x14ac:dyDescent="0.2">
      <c r="A61" s="1293">
        <v>29372</v>
      </c>
      <c r="B61" s="1292"/>
      <c r="C61" s="1294"/>
      <c r="D61" s="1292"/>
    </row>
    <row r="62" spans="1:4" x14ac:dyDescent="0.2">
      <c r="A62" s="1293">
        <v>29402</v>
      </c>
      <c r="B62" s="1292"/>
      <c r="C62" s="1294"/>
      <c r="D62" s="1292"/>
    </row>
    <row r="63" spans="1:4" x14ac:dyDescent="0.2">
      <c r="A63" s="1293">
        <v>29433</v>
      </c>
      <c r="B63" s="1292"/>
      <c r="C63" s="1294"/>
      <c r="D63" s="1292"/>
    </row>
    <row r="64" spans="1:4" x14ac:dyDescent="0.2">
      <c r="A64" s="1293">
        <v>29464</v>
      </c>
      <c r="B64" s="1292"/>
      <c r="C64" s="1294"/>
      <c r="D64" s="1292"/>
    </row>
    <row r="65" spans="1:4" x14ac:dyDescent="0.2">
      <c r="A65" s="1293">
        <v>29494</v>
      </c>
      <c r="B65" s="1292"/>
      <c r="C65" s="1294"/>
      <c r="D65" s="1292"/>
    </row>
    <row r="66" spans="1:4" x14ac:dyDescent="0.2">
      <c r="A66" s="1293">
        <v>29525</v>
      </c>
      <c r="B66" s="1292"/>
      <c r="C66" s="1294"/>
      <c r="D66" s="1292"/>
    </row>
    <row r="67" spans="1:4" x14ac:dyDescent="0.2">
      <c r="A67" s="1293">
        <v>29555</v>
      </c>
      <c r="B67" s="1292"/>
      <c r="C67" s="1294"/>
      <c r="D67" s="1292"/>
    </row>
    <row r="68" spans="1:4" x14ac:dyDescent="0.2">
      <c r="A68" s="1293">
        <v>29586</v>
      </c>
      <c r="B68" s="1292"/>
      <c r="C68" s="1294"/>
      <c r="D68" s="1292"/>
    </row>
    <row r="69" spans="1:4" x14ac:dyDescent="0.2">
      <c r="A69" s="1293">
        <v>29617</v>
      </c>
      <c r="B69" s="1292"/>
      <c r="C69" s="1294"/>
      <c r="D69" s="1292"/>
    </row>
    <row r="70" spans="1:4" x14ac:dyDescent="0.2">
      <c r="A70" s="1293">
        <v>29645</v>
      </c>
      <c r="B70" s="1292"/>
      <c r="C70" s="1294"/>
      <c r="D70" s="1292"/>
    </row>
    <row r="71" spans="1:4" x14ac:dyDescent="0.2">
      <c r="A71" s="1293">
        <v>29676</v>
      </c>
      <c r="B71" s="1292"/>
      <c r="C71" s="1294"/>
      <c r="D71" s="1292"/>
    </row>
    <row r="72" spans="1:4" x14ac:dyDescent="0.2">
      <c r="A72" s="1293">
        <v>29706</v>
      </c>
      <c r="B72" s="1292"/>
      <c r="C72" s="1294"/>
      <c r="D72" s="1292"/>
    </row>
    <row r="73" spans="1:4" x14ac:dyDescent="0.2">
      <c r="A73" s="1293">
        <v>29737</v>
      </c>
      <c r="B73" s="1292"/>
      <c r="C73" s="1294"/>
      <c r="D73" s="1292"/>
    </row>
    <row r="74" spans="1:4" x14ac:dyDescent="0.2">
      <c r="A74" s="1293">
        <v>29767</v>
      </c>
      <c r="B74" s="1292"/>
      <c r="C74" s="1294"/>
      <c r="D74" s="1292"/>
    </row>
    <row r="75" spans="1:4" x14ac:dyDescent="0.2">
      <c r="A75" s="1293">
        <v>29798</v>
      </c>
      <c r="B75" s="1292"/>
      <c r="C75" s="1294"/>
      <c r="D75" s="1292"/>
    </row>
    <row r="76" spans="1:4" x14ac:dyDescent="0.2">
      <c r="A76" s="1293">
        <v>29829</v>
      </c>
      <c r="B76" s="1292"/>
      <c r="C76" s="1294"/>
      <c r="D76" s="1292"/>
    </row>
    <row r="77" spans="1:4" x14ac:dyDescent="0.2">
      <c r="A77" s="1293">
        <v>29859</v>
      </c>
      <c r="B77" s="1292"/>
      <c r="C77" s="1294"/>
      <c r="D77" s="1292"/>
    </row>
    <row r="78" spans="1:4" x14ac:dyDescent="0.2">
      <c r="A78" s="1293">
        <v>29890</v>
      </c>
      <c r="B78" s="1292"/>
      <c r="C78" s="1294"/>
      <c r="D78" s="1292"/>
    </row>
    <row r="79" spans="1:4" x14ac:dyDescent="0.2">
      <c r="A79" s="1293">
        <v>29920</v>
      </c>
      <c r="B79" s="1292"/>
      <c r="C79" s="1294"/>
      <c r="D79" s="1292"/>
    </row>
    <row r="80" spans="1:4" x14ac:dyDescent="0.2">
      <c r="A80" s="1293">
        <v>29951</v>
      </c>
      <c r="B80" s="1292"/>
      <c r="C80" s="1294"/>
      <c r="D80" s="1292"/>
    </row>
    <row r="81" spans="1:4" x14ac:dyDescent="0.2">
      <c r="A81" s="1293">
        <v>29982</v>
      </c>
      <c r="B81" s="1292"/>
      <c r="C81" s="1294"/>
      <c r="D81" s="1292"/>
    </row>
    <row r="82" spans="1:4" x14ac:dyDescent="0.2">
      <c r="A82" s="1293">
        <v>30010</v>
      </c>
      <c r="B82" s="1292"/>
      <c r="C82" s="1294"/>
      <c r="D82" s="1292"/>
    </row>
    <row r="83" spans="1:4" x14ac:dyDescent="0.2">
      <c r="A83" s="1293">
        <v>30041</v>
      </c>
      <c r="B83" s="1292"/>
      <c r="C83" s="1294"/>
      <c r="D83" s="1292"/>
    </row>
    <row r="84" spans="1:4" x14ac:dyDescent="0.2">
      <c r="A84" s="1293">
        <v>30071</v>
      </c>
      <c r="B84" s="1292"/>
      <c r="C84" s="1294"/>
      <c r="D84" s="1292"/>
    </row>
    <row r="85" spans="1:4" x14ac:dyDescent="0.2">
      <c r="A85" s="1293">
        <v>30102</v>
      </c>
      <c r="B85" s="1292"/>
      <c r="C85" s="1294"/>
      <c r="D85" s="1292"/>
    </row>
    <row r="86" spans="1:4" x14ac:dyDescent="0.2">
      <c r="A86" s="1293">
        <v>30132</v>
      </c>
      <c r="B86" s="1292"/>
      <c r="C86" s="1294"/>
      <c r="D86" s="1292"/>
    </row>
    <row r="87" spans="1:4" x14ac:dyDescent="0.2">
      <c r="A87" s="1293">
        <v>30163</v>
      </c>
      <c r="B87" s="1292"/>
      <c r="C87" s="1294"/>
      <c r="D87" s="1292"/>
    </row>
    <row r="88" spans="1:4" x14ac:dyDescent="0.2">
      <c r="A88" s="1293">
        <v>30194</v>
      </c>
      <c r="B88" s="1292"/>
      <c r="C88" s="1294"/>
      <c r="D88" s="1292"/>
    </row>
    <row r="89" spans="1:4" x14ac:dyDescent="0.2">
      <c r="A89" s="1293">
        <v>30224</v>
      </c>
      <c r="B89" s="1292"/>
      <c r="C89" s="1294"/>
      <c r="D89" s="1292"/>
    </row>
    <row r="90" spans="1:4" x14ac:dyDescent="0.2">
      <c r="A90" s="1293">
        <v>30255</v>
      </c>
      <c r="B90" s="1292"/>
      <c r="C90" s="1294"/>
      <c r="D90" s="1292"/>
    </row>
    <row r="91" spans="1:4" x14ac:dyDescent="0.2">
      <c r="A91" s="1293">
        <v>30285</v>
      </c>
      <c r="B91" s="1292"/>
      <c r="C91" s="1294"/>
      <c r="D91" s="1292"/>
    </row>
    <row r="92" spans="1:4" x14ac:dyDescent="0.2">
      <c r="A92" s="1293">
        <v>30316</v>
      </c>
      <c r="B92" s="1292"/>
      <c r="C92" s="1294"/>
      <c r="D92" s="1292"/>
    </row>
    <row r="93" spans="1:4" x14ac:dyDescent="0.2">
      <c r="A93" s="1293">
        <v>30347</v>
      </c>
      <c r="B93" s="1292"/>
      <c r="C93" s="1294"/>
      <c r="D93" s="1292"/>
    </row>
    <row r="94" spans="1:4" x14ac:dyDescent="0.2">
      <c r="A94" s="1293">
        <v>30375</v>
      </c>
      <c r="B94" s="1292"/>
      <c r="C94" s="1294"/>
      <c r="D94" s="1292"/>
    </row>
    <row r="95" spans="1:4" x14ac:dyDescent="0.2">
      <c r="A95" s="1293">
        <v>30406</v>
      </c>
      <c r="B95" s="1292"/>
      <c r="C95" s="1294"/>
      <c r="D95" s="1292"/>
    </row>
    <row r="96" spans="1:4" x14ac:dyDescent="0.2">
      <c r="A96" s="1293">
        <v>30436</v>
      </c>
      <c r="B96" s="1292"/>
      <c r="C96" s="1294"/>
      <c r="D96" s="1292"/>
    </row>
    <row r="97" spans="1:4" x14ac:dyDescent="0.2">
      <c r="A97" s="1293">
        <v>30467</v>
      </c>
      <c r="B97" s="1292"/>
      <c r="C97" s="1294"/>
      <c r="D97" s="1292"/>
    </row>
    <row r="98" spans="1:4" x14ac:dyDescent="0.2">
      <c r="A98" s="1293">
        <v>30497</v>
      </c>
      <c r="B98" s="1292"/>
      <c r="C98" s="1294"/>
      <c r="D98" s="1292"/>
    </row>
    <row r="99" spans="1:4" x14ac:dyDescent="0.2">
      <c r="A99" s="1293">
        <v>30528</v>
      </c>
      <c r="B99" s="1292"/>
      <c r="C99" s="1294"/>
      <c r="D99" s="1292"/>
    </row>
    <row r="100" spans="1:4" x14ac:dyDescent="0.2">
      <c r="A100" s="1293">
        <v>30559</v>
      </c>
      <c r="B100" s="1292"/>
      <c r="C100" s="1294"/>
      <c r="D100" s="1292"/>
    </row>
    <row r="101" spans="1:4" x14ac:dyDescent="0.2">
      <c r="A101" s="1293">
        <v>30589</v>
      </c>
      <c r="B101" s="1292"/>
      <c r="C101" s="1294"/>
      <c r="D101" s="1292"/>
    </row>
    <row r="102" spans="1:4" x14ac:dyDescent="0.2">
      <c r="A102" s="1293">
        <v>30620</v>
      </c>
      <c r="B102" s="1292"/>
      <c r="C102" s="1294"/>
      <c r="D102" s="1292"/>
    </row>
    <row r="103" spans="1:4" x14ac:dyDescent="0.2">
      <c r="A103" s="1293">
        <v>30650</v>
      </c>
      <c r="B103" s="1292"/>
      <c r="C103" s="1294"/>
      <c r="D103" s="1292"/>
    </row>
    <row r="104" spans="1:4" x14ac:dyDescent="0.2">
      <c r="A104" s="1293">
        <v>30681</v>
      </c>
      <c r="B104" s="1292"/>
      <c r="C104" s="1294"/>
      <c r="D104" s="1292"/>
    </row>
    <row r="105" spans="1:4" x14ac:dyDescent="0.2">
      <c r="A105" s="1293">
        <v>30712</v>
      </c>
      <c r="B105" s="1292"/>
      <c r="C105" s="1294"/>
      <c r="D105" s="1292"/>
    </row>
    <row r="106" spans="1:4" x14ac:dyDescent="0.2">
      <c r="A106" s="1293">
        <v>30741</v>
      </c>
      <c r="B106" s="1292"/>
      <c r="C106" s="1294"/>
      <c r="D106" s="1292"/>
    </row>
    <row r="107" spans="1:4" x14ac:dyDescent="0.2">
      <c r="A107" s="1293">
        <v>30772</v>
      </c>
      <c r="B107" s="1292"/>
      <c r="C107" s="1294"/>
      <c r="D107" s="1292"/>
    </row>
    <row r="108" spans="1:4" x14ac:dyDescent="0.2">
      <c r="A108" s="1293">
        <v>30802</v>
      </c>
      <c r="B108" s="1292"/>
      <c r="C108" s="1294"/>
      <c r="D108" s="1292"/>
    </row>
    <row r="109" spans="1:4" x14ac:dyDescent="0.2">
      <c r="A109" s="1293">
        <v>30833</v>
      </c>
      <c r="B109" s="1292"/>
      <c r="C109" s="1294"/>
      <c r="D109" s="1292"/>
    </row>
    <row r="110" spans="1:4" x14ac:dyDescent="0.2">
      <c r="A110" s="1293">
        <v>30863</v>
      </c>
      <c r="B110" s="1292"/>
      <c r="C110" s="1294"/>
      <c r="D110" s="1292"/>
    </row>
    <row r="111" spans="1:4" x14ac:dyDescent="0.2">
      <c r="A111" s="1293">
        <v>30894</v>
      </c>
      <c r="B111" s="1292"/>
      <c r="C111" s="1294"/>
      <c r="D111" s="1292"/>
    </row>
    <row r="112" spans="1:4" x14ac:dyDescent="0.2">
      <c r="A112" s="1293">
        <v>30925</v>
      </c>
      <c r="B112" s="1292"/>
      <c r="C112" s="1294"/>
      <c r="D112" s="1292"/>
    </row>
    <row r="113" spans="1:4" x14ac:dyDescent="0.2">
      <c r="A113" s="1293">
        <v>30955</v>
      </c>
      <c r="B113" s="1292"/>
      <c r="C113" s="1294"/>
      <c r="D113" s="1292"/>
    </row>
    <row r="114" spans="1:4" x14ac:dyDescent="0.2">
      <c r="A114" s="1293">
        <v>30986</v>
      </c>
      <c r="B114" s="1292"/>
      <c r="C114" s="1294"/>
      <c r="D114" s="1292"/>
    </row>
    <row r="115" spans="1:4" x14ac:dyDescent="0.2">
      <c r="A115" s="1293">
        <v>31016</v>
      </c>
      <c r="B115" s="1292"/>
      <c r="C115" s="1294"/>
      <c r="D115" s="1292"/>
    </row>
    <row r="116" spans="1:4" x14ac:dyDescent="0.2">
      <c r="A116" s="1293">
        <v>31047</v>
      </c>
      <c r="B116" s="1292"/>
      <c r="C116" s="1294"/>
      <c r="D116" s="1292"/>
    </row>
    <row r="117" spans="1:4" x14ac:dyDescent="0.2">
      <c r="A117" s="1293">
        <v>31078</v>
      </c>
      <c r="B117" s="1292"/>
      <c r="C117" s="1294"/>
      <c r="D117" s="1292"/>
    </row>
    <row r="118" spans="1:4" x14ac:dyDescent="0.2">
      <c r="A118" s="1293">
        <v>31106</v>
      </c>
      <c r="B118" s="1292"/>
      <c r="C118" s="1294"/>
      <c r="D118" s="1292"/>
    </row>
    <row r="119" spans="1:4" x14ac:dyDescent="0.2">
      <c r="A119" s="1293">
        <v>31137</v>
      </c>
      <c r="B119" s="1292"/>
      <c r="C119" s="1294"/>
      <c r="D119" s="1292"/>
    </row>
    <row r="120" spans="1:4" x14ac:dyDescent="0.2">
      <c r="A120" s="1293">
        <v>31167</v>
      </c>
      <c r="B120" s="1292"/>
      <c r="C120" s="1294"/>
      <c r="D120" s="1292"/>
    </row>
    <row r="121" spans="1:4" x14ac:dyDescent="0.2">
      <c r="A121" s="1293">
        <v>31198</v>
      </c>
      <c r="B121" s="1292"/>
      <c r="C121" s="1294"/>
      <c r="D121" s="1292"/>
    </row>
    <row r="122" spans="1:4" x14ac:dyDescent="0.2">
      <c r="A122" s="1293">
        <v>31228</v>
      </c>
      <c r="B122" s="1292"/>
      <c r="C122" s="1294"/>
      <c r="D122" s="1292"/>
    </row>
    <row r="123" spans="1:4" x14ac:dyDescent="0.2">
      <c r="A123" s="1293">
        <v>31259</v>
      </c>
      <c r="B123" s="1292"/>
      <c r="C123" s="1294"/>
      <c r="D123" s="1292"/>
    </row>
    <row r="124" spans="1:4" x14ac:dyDescent="0.2">
      <c r="A124" s="1293">
        <v>31290</v>
      </c>
      <c r="B124" s="1292"/>
      <c r="C124" s="1294"/>
      <c r="D124" s="1292"/>
    </row>
    <row r="125" spans="1:4" x14ac:dyDescent="0.2">
      <c r="A125" s="1293">
        <v>31320</v>
      </c>
      <c r="B125" s="1292"/>
      <c r="C125" s="1294"/>
      <c r="D125" s="1292"/>
    </row>
    <row r="126" spans="1:4" x14ac:dyDescent="0.2">
      <c r="A126" s="1293">
        <v>31351</v>
      </c>
      <c r="B126" s="1292"/>
      <c r="C126" s="1294"/>
      <c r="D126" s="1292"/>
    </row>
    <row r="127" spans="1:4" x14ac:dyDescent="0.2">
      <c r="A127" s="1293">
        <v>31381</v>
      </c>
      <c r="B127" s="1292"/>
      <c r="C127" s="1294"/>
      <c r="D127" s="1292"/>
    </row>
    <row r="128" spans="1:4" x14ac:dyDescent="0.2">
      <c r="A128" s="1293">
        <v>31412</v>
      </c>
      <c r="B128" s="1292"/>
      <c r="C128" s="1294"/>
      <c r="D128" s="1292"/>
    </row>
    <row r="129" spans="1:4" x14ac:dyDescent="0.2">
      <c r="A129" s="1293">
        <v>31443</v>
      </c>
      <c r="B129" s="1292"/>
      <c r="C129" s="1294"/>
      <c r="D129" s="1292"/>
    </row>
    <row r="130" spans="1:4" x14ac:dyDescent="0.2">
      <c r="A130" s="1293">
        <v>31471</v>
      </c>
      <c r="B130" s="1292"/>
      <c r="C130" s="1294"/>
      <c r="D130" s="1292"/>
    </row>
    <row r="131" spans="1:4" x14ac:dyDescent="0.2">
      <c r="A131" s="1293">
        <v>31502</v>
      </c>
      <c r="B131" s="1292"/>
      <c r="C131" s="1294"/>
      <c r="D131" s="1292"/>
    </row>
    <row r="132" spans="1:4" x14ac:dyDescent="0.2">
      <c r="A132" s="1293">
        <v>31532</v>
      </c>
      <c r="B132" s="1292"/>
      <c r="C132" s="1294"/>
      <c r="D132" s="1292"/>
    </row>
    <row r="133" spans="1:4" x14ac:dyDescent="0.2">
      <c r="A133" s="1293">
        <v>31563</v>
      </c>
      <c r="B133" s="1292"/>
      <c r="C133" s="1294"/>
      <c r="D133" s="1292"/>
    </row>
    <row r="134" spans="1:4" x14ac:dyDescent="0.2">
      <c r="A134" s="1293">
        <v>31593</v>
      </c>
      <c r="B134" s="1292"/>
      <c r="C134" s="1294"/>
      <c r="D134" s="1292"/>
    </row>
    <row r="135" spans="1:4" x14ac:dyDescent="0.2">
      <c r="A135" s="1293">
        <v>31624</v>
      </c>
      <c r="B135" s="1292"/>
      <c r="C135" s="1294"/>
      <c r="D135" s="1292"/>
    </row>
    <row r="136" spans="1:4" x14ac:dyDescent="0.2">
      <c r="A136" s="1293">
        <v>31655</v>
      </c>
      <c r="B136" s="1292"/>
      <c r="C136" s="1294"/>
      <c r="D136" s="1292"/>
    </row>
    <row r="137" spans="1:4" x14ac:dyDescent="0.2">
      <c r="A137" s="1293">
        <v>31685</v>
      </c>
      <c r="B137" s="1292"/>
      <c r="C137" s="1294"/>
      <c r="D137" s="1292"/>
    </row>
    <row r="138" spans="1:4" x14ac:dyDescent="0.2">
      <c r="A138" s="1293">
        <v>31716</v>
      </c>
      <c r="B138" s="1292"/>
      <c r="C138" s="1294"/>
      <c r="D138" s="1292"/>
    </row>
    <row r="139" spans="1:4" x14ac:dyDescent="0.2">
      <c r="A139" s="1293">
        <v>31746</v>
      </c>
      <c r="B139" s="1292"/>
      <c r="C139" s="1294"/>
      <c r="D139" s="1292"/>
    </row>
    <row r="140" spans="1:4" x14ac:dyDescent="0.2">
      <c r="A140" s="1293">
        <v>31777</v>
      </c>
      <c r="B140" s="1292"/>
      <c r="C140" s="1294"/>
      <c r="D140" s="1292"/>
    </row>
    <row r="141" spans="1:4" x14ac:dyDescent="0.2">
      <c r="A141" s="1293">
        <v>31808</v>
      </c>
      <c r="B141" s="1295"/>
      <c r="C141" s="1296"/>
      <c r="D141" s="1295"/>
    </row>
    <row r="142" spans="1:4" x14ac:dyDescent="0.2">
      <c r="A142" s="1293">
        <v>31836</v>
      </c>
      <c r="B142" s="1295"/>
      <c r="C142" s="1296"/>
      <c r="D142" s="1295"/>
    </row>
    <row r="143" spans="1:4" x14ac:dyDescent="0.2">
      <c r="A143" s="1293">
        <v>31867</v>
      </c>
      <c r="B143" s="1295"/>
      <c r="C143" s="1296"/>
      <c r="D143" s="1295"/>
    </row>
    <row r="144" spans="1:4" x14ac:dyDescent="0.2">
      <c r="A144" s="1293">
        <v>31897</v>
      </c>
      <c r="B144" s="1295"/>
      <c r="C144" s="1296"/>
      <c r="D144" s="1295"/>
    </row>
    <row r="145" spans="1:4" x14ac:dyDescent="0.2">
      <c r="A145" s="1293">
        <v>31928</v>
      </c>
      <c r="B145" s="1295"/>
      <c r="C145" s="1296"/>
      <c r="D145" s="1295"/>
    </row>
    <row r="146" spans="1:4" x14ac:dyDescent="0.2">
      <c r="A146" s="1293">
        <v>31958</v>
      </c>
      <c r="B146" s="1295"/>
      <c r="C146" s="1296"/>
      <c r="D146" s="1295"/>
    </row>
    <row r="147" spans="1:4" x14ac:dyDescent="0.2">
      <c r="A147" s="1293">
        <v>31989</v>
      </c>
      <c r="B147" s="1295"/>
      <c r="C147" s="1296"/>
      <c r="D147" s="1295"/>
    </row>
    <row r="148" spans="1:4" x14ac:dyDescent="0.2">
      <c r="A148" s="1293">
        <v>32020</v>
      </c>
      <c r="B148" s="1295"/>
      <c r="C148" s="1296"/>
      <c r="D148" s="1295"/>
    </row>
    <row r="149" spans="1:4" x14ac:dyDescent="0.2">
      <c r="A149" s="1293">
        <v>32050</v>
      </c>
      <c r="B149" s="1295"/>
      <c r="C149" s="1296"/>
      <c r="D149" s="1295"/>
    </row>
    <row r="150" spans="1:4" x14ac:dyDescent="0.2">
      <c r="A150" s="1293">
        <v>32081</v>
      </c>
      <c r="B150" s="1295"/>
      <c r="C150" s="1296"/>
      <c r="D150" s="1295"/>
    </row>
    <row r="151" spans="1:4" x14ac:dyDescent="0.2">
      <c r="A151" s="1293">
        <v>32111</v>
      </c>
      <c r="B151" s="1295"/>
      <c r="C151" s="1296"/>
      <c r="D151" s="1295"/>
    </row>
    <row r="152" spans="1:4" x14ac:dyDescent="0.2">
      <c r="A152" s="1293">
        <v>32142</v>
      </c>
      <c r="B152" s="1295"/>
      <c r="C152" s="1296"/>
      <c r="D152" s="1295"/>
    </row>
    <row r="153" spans="1:4" x14ac:dyDescent="0.2">
      <c r="A153" s="1293">
        <v>32173</v>
      </c>
      <c r="B153" s="1295"/>
      <c r="C153" s="1296"/>
      <c r="D153" s="1295"/>
    </row>
    <row r="154" spans="1:4" x14ac:dyDescent="0.2">
      <c r="A154" s="1293">
        <v>32202</v>
      </c>
      <c r="B154" s="1295"/>
      <c r="C154" s="1296"/>
      <c r="D154" s="1295"/>
    </row>
    <row r="155" spans="1:4" x14ac:dyDescent="0.2">
      <c r="A155" s="1293">
        <v>32233</v>
      </c>
      <c r="B155" s="1295"/>
      <c r="C155" s="1296"/>
      <c r="D155" s="1295"/>
    </row>
    <row r="156" spans="1:4" x14ac:dyDescent="0.2">
      <c r="A156" s="1293">
        <v>32263</v>
      </c>
      <c r="B156" s="1295"/>
      <c r="C156" s="1296"/>
      <c r="D156" s="1295"/>
    </row>
    <row r="157" spans="1:4" x14ac:dyDescent="0.2">
      <c r="A157" s="1293">
        <v>32294</v>
      </c>
      <c r="B157" s="1295"/>
      <c r="C157" s="1296"/>
      <c r="D157" s="1295"/>
    </row>
    <row r="158" spans="1:4" x14ac:dyDescent="0.2">
      <c r="A158" s="1293">
        <v>32324</v>
      </c>
      <c r="B158" s="1295"/>
      <c r="C158" s="1296"/>
      <c r="D158" s="1295"/>
    </row>
    <row r="159" spans="1:4" x14ac:dyDescent="0.2">
      <c r="A159" s="1293">
        <v>32355</v>
      </c>
      <c r="B159" s="1295"/>
      <c r="C159" s="1296"/>
      <c r="D159" s="1295"/>
    </row>
    <row r="160" spans="1:4" x14ac:dyDescent="0.2">
      <c r="A160" s="1293">
        <v>32386</v>
      </c>
      <c r="B160" s="1295"/>
      <c r="C160" s="1296"/>
      <c r="D160" s="1295"/>
    </row>
    <row r="161" spans="1:4" x14ac:dyDescent="0.2">
      <c r="A161" s="1293">
        <v>32416</v>
      </c>
      <c r="B161" s="1295"/>
      <c r="C161" s="1296"/>
      <c r="D161" s="1295"/>
    </row>
    <row r="162" spans="1:4" x14ac:dyDescent="0.2">
      <c r="A162" s="1293">
        <v>32447</v>
      </c>
      <c r="B162" s="1295"/>
      <c r="C162" s="1296"/>
      <c r="D162" s="1295"/>
    </row>
    <row r="163" spans="1:4" x14ac:dyDescent="0.2">
      <c r="A163" s="1293">
        <v>32477</v>
      </c>
      <c r="B163" s="1295"/>
      <c r="C163" s="1296"/>
      <c r="D163" s="1295"/>
    </row>
    <row r="164" spans="1:4" x14ac:dyDescent="0.2">
      <c r="A164" s="1293">
        <v>32508</v>
      </c>
      <c r="B164" s="1295"/>
      <c r="C164" s="1296"/>
      <c r="D164" s="1295"/>
    </row>
    <row r="165" spans="1:4" x14ac:dyDescent="0.2">
      <c r="A165" s="1293">
        <v>32539</v>
      </c>
      <c r="B165" s="1295"/>
      <c r="C165" s="1296"/>
      <c r="D165" s="1295"/>
    </row>
    <row r="166" spans="1:4" x14ac:dyDescent="0.2">
      <c r="A166" s="1293">
        <v>32567</v>
      </c>
      <c r="B166" s="1295"/>
      <c r="C166" s="1296"/>
      <c r="D166" s="1295"/>
    </row>
    <row r="167" spans="1:4" x14ac:dyDescent="0.2">
      <c r="A167" s="1293">
        <v>32598</v>
      </c>
      <c r="B167" s="1295"/>
      <c r="C167" s="1296"/>
      <c r="D167" s="1295"/>
    </row>
    <row r="168" spans="1:4" x14ac:dyDescent="0.2">
      <c r="A168" s="1293">
        <v>32628</v>
      </c>
      <c r="B168" s="1295"/>
      <c r="C168" s="1296"/>
      <c r="D168" s="1295"/>
    </row>
    <row r="169" spans="1:4" x14ac:dyDescent="0.2">
      <c r="A169" s="1293">
        <v>32659</v>
      </c>
      <c r="B169" s="1295"/>
      <c r="C169" s="1296"/>
      <c r="D169" s="1295"/>
    </row>
    <row r="170" spans="1:4" x14ac:dyDescent="0.2">
      <c r="A170" s="1293">
        <v>32689</v>
      </c>
      <c r="B170" s="1295"/>
      <c r="C170" s="1296"/>
      <c r="D170" s="1295"/>
    </row>
    <row r="171" spans="1:4" x14ac:dyDescent="0.2">
      <c r="A171" s="1293">
        <v>32720</v>
      </c>
      <c r="B171" s="1295"/>
      <c r="C171" s="1296"/>
      <c r="D171" s="1295"/>
    </row>
    <row r="172" spans="1:4" x14ac:dyDescent="0.2">
      <c r="A172" s="1293">
        <v>32751</v>
      </c>
      <c r="B172" s="1295"/>
      <c r="C172" s="1296"/>
      <c r="D172" s="1295"/>
    </row>
    <row r="173" spans="1:4" x14ac:dyDescent="0.2">
      <c r="A173" s="1293">
        <v>32781</v>
      </c>
      <c r="B173" s="1295"/>
      <c r="C173" s="1296"/>
      <c r="D173" s="1295"/>
    </row>
    <row r="174" spans="1:4" x14ac:dyDescent="0.2">
      <c r="A174" s="1293">
        <v>32812</v>
      </c>
      <c r="B174" s="1295"/>
      <c r="C174" s="1296"/>
      <c r="D174" s="1295"/>
    </row>
    <row r="175" spans="1:4" x14ac:dyDescent="0.2">
      <c r="A175" s="1293">
        <v>32842</v>
      </c>
      <c r="B175" s="1295"/>
      <c r="C175" s="1296"/>
      <c r="D175" s="1295"/>
    </row>
    <row r="176" spans="1:4" x14ac:dyDescent="0.2">
      <c r="A176" s="1293">
        <v>32873</v>
      </c>
      <c r="B176" s="1295"/>
      <c r="C176" s="1296"/>
      <c r="D176" s="1295"/>
    </row>
    <row r="177" spans="1:4" x14ac:dyDescent="0.2">
      <c r="A177" s="1293">
        <v>32904</v>
      </c>
      <c r="B177" s="1295"/>
      <c r="C177" s="1296"/>
      <c r="D177" s="1295"/>
    </row>
    <row r="178" spans="1:4" x14ac:dyDescent="0.2">
      <c r="A178" s="1293">
        <v>32932</v>
      </c>
      <c r="B178" s="1295"/>
      <c r="C178" s="1296"/>
      <c r="D178" s="1295"/>
    </row>
    <row r="179" spans="1:4" x14ac:dyDescent="0.2">
      <c r="A179" s="1293">
        <v>32963</v>
      </c>
      <c r="B179" s="1295"/>
      <c r="C179" s="1296"/>
      <c r="D179" s="1295"/>
    </row>
    <row r="180" spans="1:4" x14ac:dyDescent="0.2">
      <c r="A180" s="1293">
        <v>32993</v>
      </c>
      <c r="B180" s="1295"/>
      <c r="C180" s="1296"/>
      <c r="D180" s="1295"/>
    </row>
    <row r="181" spans="1:4" x14ac:dyDescent="0.2">
      <c r="A181" s="1293">
        <v>33024</v>
      </c>
      <c r="B181" s="1295"/>
      <c r="C181" s="1296"/>
      <c r="D181" s="1295"/>
    </row>
    <row r="182" spans="1:4" x14ac:dyDescent="0.2">
      <c r="A182" s="1293">
        <v>33054</v>
      </c>
      <c r="B182" s="1295"/>
      <c r="C182" s="1296"/>
      <c r="D182" s="1295"/>
    </row>
    <row r="183" spans="1:4" x14ac:dyDescent="0.2">
      <c r="A183" s="1293">
        <v>33085</v>
      </c>
      <c r="B183" s="1295"/>
      <c r="C183" s="1296"/>
      <c r="D183" s="1295"/>
    </row>
    <row r="184" spans="1:4" x14ac:dyDescent="0.2">
      <c r="A184" s="1293">
        <v>33116</v>
      </c>
      <c r="B184" s="1295"/>
      <c r="C184" s="1296"/>
      <c r="D184" s="1295"/>
    </row>
    <row r="185" spans="1:4" x14ac:dyDescent="0.2">
      <c r="A185" s="1293">
        <v>33146</v>
      </c>
      <c r="B185" s="1295"/>
      <c r="C185" s="1296"/>
      <c r="D185" s="1295"/>
    </row>
    <row r="186" spans="1:4" x14ac:dyDescent="0.2">
      <c r="A186" s="1293">
        <v>33177</v>
      </c>
      <c r="B186" s="1295"/>
      <c r="C186" s="1296"/>
      <c r="D186" s="1295"/>
    </row>
    <row r="187" spans="1:4" x14ac:dyDescent="0.2">
      <c r="A187" s="1293">
        <v>33207</v>
      </c>
      <c r="B187" s="1295"/>
      <c r="C187" s="1296"/>
      <c r="D187" s="1295"/>
    </row>
    <row r="188" spans="1:4" x14ac:dyDescent="0.2">
      <c r="A188" s="1293">
        <v>33238</v>
      </c>
      <c r="B188" s="1295"/>
      <c r="C188" s="1296"/>
      <c r="D188" s="1295"/>
    </row>
    <row r="189" spans="1:4" x14ac:dyDescent="0.2">
      <c r="A189" s="1293">
        <v>33269</v>
      </c>
      <c r="B189" s="1295"/>
      <c r="C189" s="1296"/>
      <c r="D189" s="1295"/>
    </row>
    <row r="190" spans="1:4" x14ac:dyDescent="0.2">
      <c r="A190" s="1293">
        <v>33297</v>
      </c>
      <c r="B190" s="1295"/>
      <c r="C190" s="1296"/>
      <c r="D190" s="1295"/>
    </row>
    <row r="191" spans="1:4" x14ac:dyDescent="0.2">
      <c r="A191" s="1293">
        <v>33328</v>
      </c>
      <c r="B191" s="1295"/>
      <c r="C191" s="1296"/>
      <c r="D191" s="1295"/>
    </row>
    <row r="192" spans="1:4" x14ac:dyDescent="0.2">
      <c r="A192" s="1293">
        <v>33358</v>
      </c>
      <c r="B192" s="1295"/>
      <c r="C192" s="1296"/>
      <c r="D192" s="1295"/>
    </row>
    <row r="193" spans="1:4" x14ac:dyDescent="0.2">
      <c r="A193" s="1293">
        <v>33389</v>
      </c>
      <c r="B193" s="1295"/>
      <c r="C193" s="1296"/>
      <c r="D193" s="1295"/>
    </row>
    <row r="194" spans="1:4" x14ac:dyDescent="0.2">
      <c r="A194" s="1293">
        <v>33419</v>
      </c>
      <c r="B194" s="1295"/>
      <c r="C194" s="1296"/>
      <c r="D194" s="1295"/>
    </row>
    <row r="195" spans="1:4" x14ac:dyDescent="0.2">
      <c r="A195" s="1293">
        <v>33450</v>
      </c>
      <c r="B195" s="1295"/>
      <c r="C195" s="1296"/>
      <c r="D195" s="1295"/>
    </row>
    <row r="196" spans="1:4" x14ac:dyDescent="0.2">
      <c r="A196" s="1293">
        <v>33481</v>
      </c>
      <c r="B196" s="1295"/>
      <c r="C196" s="1296"/>
      <c r="D196" s="1295"/>
    </row>
    <row r="197" spans="1:4" x14ac:dyDescent="0.2">
      <c r="A197" s="1293">
        <v>33511</v>
      </c>
      <c r="B197" s="1295"/>
      <c r="C197" s="1296"/>
      <c r="D197" s="1295"/>
    </row>
    <row r="198" spans="1:4" x14ac:dyDescent="0.2">
      <c r="A198" s="1293">
        <v>33542</v>
      </c>
      <c r="B198" s="1295"/>
      <c r="C198" s="1296"/>
      <c r="D198" s="1295"/>
    </row>
    <row r="199" spans="1:4" x14ac:dyDescent="0.2">
      <c r="A199" s="1293">
        <v>33572</v>
      </c>
      <c r="B199" s="1295"/>
      <c r="C199" s="1296"/>
      <c r="D199" s="1295"/>
    </row>
    <row r="200" spans="1:4" x14ac:dyDescent="0.2">
      <c r="A200" s="1293">
        <v>33603</v>
      </c>
      <c r="B200" s="1295"/>
      <c r="C200" s="1296"/>
      <c r="D200" s="1295"/>
    </row>
    <row r="201" spans="1:4" x14ac:dyDescent="0.2">
      <c r="A201" s="1293">
        <v>33634</v>
      </c>
      <c r="B201" s="1295"/>
      <c r="C201" s="1296"/>
      <c r="D201" s="1295"/>
    </row>
    <row r="202" spans="1:4" x14ac:dyDescent="0.2">
      <c r="A202" s="1293">
        <v>33663</v>
      </c>
      <c r="B202" s="1295"/>
      <c r="C202" s="1296"/>
      <c r="D202" s="1295"/>
    </row>
    <row r="203" spans="1:4" x14ac:dyDescent="0.2">
      <c r="A203" s="1293">
        <v>33694</v>
      </c>
      <c r="B203" s="1295"/>
      <c r="C203" s="1296"/>
      <c r="D203" s="1295"/>
    </row>
    <row r="204" spans="1:4" x14ac:dyDescent="0.2">
      <c r="A204" s="1293">
        <v>33724</v>
      </c>
      <c r="B204" s="1295"/>
      <c r="C204" s="1296"/>
      <c r="D204" s="1295"/>
    </row>
    <row r="205" spans="1:4" x14ac:dyDescent="0.2">
      <c r="A205" s="1293">
        <v>33755</v>
      </c>
      <c r="B205" s="1295"/>
      <c r="C205" s="1296"/>
      <c r="D205" s="1295"/>
    </row>
    <row r="206" spans="1:4" x14ac:dyDescent="0.2">
      <c r="A206" s="1293">
        <v>33785</v>
      </c>
      <c r="B206" s="1295"/>
      <c r="C206" s="1296"/>
      <c r="D206" s="1295"/>
    </row>
    <row r="207" spans="1:4" x14ac:dyDescent="0.2">
      <c r="A207" s="1293">
        <v>33816</v>
      </c>
      <c r="B207" s="1295"/>
      <c r="C207" s="1296"/>
      <c r="D207" s="1295"/>
    </row>
    <row r="208" spans="1:4" x14ac:dyDescent="0.2">
      <c r="A208" s="1293">
        <v>33847</v>
      </c>
      <c r="B208" s="1295"/>
      <c r="C208" s="1296"/>
      <c r="D208" s="1295"/>
    </row>
    <row r="209" spans="1:4" x14ac:dyDescent="0.2">
      <c r="A209" s="1293">
        <v>33877</v>
      </c>
      <c r="B209" s="1295"/>
      <c r="C209" s="1296"/>
      <c r="D209" s="1295"/>
    </row>
    <row r="210" spans="1:4" x14ac:dyDescent="0.2">
      <c r="A210" s="1293">
        <v>33908</v>
      </c>
      <c r="B210" s="1295"/>
      <c r="C210" s="1296"/>
      <c r="D210" s="1295"/>
    </row>
    <row r="211" spans="1:4" x14ac:dyDescent="0.2">
      <c r="A211" s="1293">
        <v>33938</v>
      </c>
      <c r="B211" s="1295"/>
      <c r="C211" s="1296"/>
      <c r="D211" s="1295"/>
    </row>
    <row r="212" spans="1:4" x14ac:dyDescent="0.2">
      <c r="A212" s="1293">
        <v>33969</v>
      </c>
      <c r="B212" s="1295"/>
      <c r="C212" s="1296"/>
      <c r="D212" s="1295"/>
    </row>
    <row r="213" spans="1:4" x14ac:dyDescent="0.2">
      <c r="A213" s="1293">
        <v>34000</v>
      </c>
      <c r="B213" s="1295"/>
      <c r="C213" s="1296"/>
      <c r="D213" s="1295"/>
    </row>
    <row r="214" spans="1:4" x14ac:dyDescent="0.2">
      <c r="A214" s="1293">
        <v>34028</v>
      </c>
      <c r="B214" s="1295"/>
      <c r="C214" s="1296"/>
      <c r="D214" s="1295"/>
    </row>
    <row r="215" spans="1:4" x14ac:dyDescent="0.2">
      <c r="A215" s="1293">
        <v>34059</v>
      </c>
      <c r="B215" s="1295"/>
      <c r="C215" s="1296"/>
      <c r="D215" s="1295"/>
    </row>
    <row r="216" spans="1:4" x14ac:dyDescent="0.2">
      <c r="A216" s="1293">
        <v>34089</v>
      </c>
      <c r="B216" s="1295"/>
      <c r="C216" s="1296"/>
      <c r="D216" s="1295"/>
    </row>
    <row r="217" spans="1:4" x14ac:dyDescent="0.2">
      <c r="A217" s="1293">
        <v>34120</v>
      </c>
      <c r="B217" s="1295"/>
      <c r="C217" s="1296"/>
      <c r="D217" s="1295"/>
    </row>
    <row r="218" spans="1:4" x14ac:dyDescent="0.2">
      <c r="A218" s="1293">
        <v>34150</v>
      </c>
      <c r="B218" s="1295"/>
      <c r="C218" s="1296"/>
      <c r="D218" s="1295"/>
    </row>
    <row r="219" spans="1:4" x14ac:dyDescent="0.2">
      <c r="A219" s="1293">
        <v>34181</v>
      </c>
      <c r="B219" s="1295"/>
      <c r="C219" s="1296"/>
      <c r="D219" s="1295"/>
    </row>
    <row r="220" spans="1:4" x14ac:dyDescent="0.2">
      <c r="A220" s="1293">
        <v>34212</v>
      </c>
      <c r="B220" s="1295"/>
      <c r="C220" s="1296"/>
      <c r="D220" s="1295"/>
    </row>
    <row r="221" spans="1:4" x14ac:dyDescent="0.2">
      <c r="A221" s="1293">
        <v>34242</v>
      </c>
      <c r="B221" s="1295"/>
      <c r="C221" s="1296"/>
      <c r="D221" s="1295"/>
    </row>
    <row r="222" spans="1:4" x14ac:dyDescent="0.2">
      <c r="A222" s="1293">
        <v>34273</v>
      </c>
      <c r="B222" s="1295"/>
      <c r="C222" s="1296"/>
      <c r="D222" s="1295"/>
    </row>
    <row r="223" spans="1:4" x14ac:dyDescent="0.2">
      <c r="A223" s="1293">
        <v>34303</v>
      </c>
      <c r="B223" s="1295"/>
      <c r="C223" s="1296"/>
      <c r="D223" s="1295"/>
    </row>
    <row r="224" spans="1:4" x14ac:dyDescent="0.2">
      <c r="A224" s="1293">
        <v>34334</v>
      </c>
      <c r="B224" s="1295"/>
      <c r="C224" s="1296"/>
      <c r="D224" s="1295"/>
    </row>
    <row r="225" spans="1:4" x14ac:dyDescent="0.2">
      <c r="A225" s="1293">
        <v>34365</v>
      </c>
      <c r="B225" s="1295"/>
      <c r="C225" s="1296"/>
      <c r="D225" s="1295"/>
    </row>
    <row r="226" spans="1:4" x14ac:dyDescent="0.2">
      <c r="A226" s="1293">
        <v>34393</v>
      </c>
      <c r="B226" s="1295"/>
      <c r="C226" s="1296"/>
      <c r="D226" s="1295"/>
    </row>
    <row r="227" spans="1:4" x14ac:dyDescent="0.2">
      <c r="A227" s="1293">
        <v>34424</v>
      </c>
      <c r="B227" s="1295"/>
      <c r="C227" s="1296"/>
      <c r="D227" s="1295"/>
    </row>
    <row r="228" spans="1:4" x14ac:dyDescent="0.2">
      <c r="A228" s="1293">
        <v>34454</v>
      </c>
      <c r="B228" s="1295"/>
      <c r="C228" s="1296"/>
      <c r="D228" s="1295"/>
    </row>
    <row r="229" spans="1:4" x14ac:dyDescent="0.2">
      <c r="A229" s="1293">
        <v>34485</v>
      </c>
      <c r="B229" s="1295"/>
      <c r="C229" s="1296"/>
      <c r="D229" s="1295"/>
    </row>
    <row r="230" spans="1:4" x14ac:dyDescent="0.2">
      <c r="A230" s="1293">
        <v>34515</v>
      </c>
      <c r="B230" s="1295"/>
      <c r="C230" s="1296"/>
      <c r="D230" s="1295"/>
    </row>
    <row r="231" spans="1:4" x14ac:dyDescent="0.2">
      <c r="A231" s="1293">
        <v>34546</v>
      </c>
      <c r="B231" s="1295"/>
      <c r="C231" s="1296"/>
      <c r="D231" s="1295"/>
    </row>
    <row r="232" spans="1:4" x14ac:dyDescent="0.2">
      <c r="A232" s="1293">
        <v>34577</v>
      </c>
      <c r="B232" s="1295"/>
      <c r="C232" s="1296"/>
      <c r="D232" s="1295"/>
    </row>
    <row r="233" spans="1:4" x14ac:dyDescent="0.2">
      <c r="A233" s="1293">
        <v>34607</v>
      </c>
      <c r="B233" s="1295"/>
      <c r="C233" s="1296"/>
      <c r="D233" s="1295"/>
    </row>
    <row r="234" spans="1:4" x14ac:dyDescent="0.2">
      <c r="A234" s="1293">
        <v>34638</v>
      </c>
      <c r="B234" s="1295"/>
      <c r="C234" s="1296"/>
      <c r="D234" s="1295"/>
    </row>
    <row r="235" spans="1:4" x14ac:dyDescent="0.2">
      <c r="A235" s="1293">
        <v>34668</v>
      </c>
      <c r="B235" s="1295"/>
      <c r="C235" s="1296"/>
      <c r="D235" s="1295"/>
    </row>
    <row r="236" spans="1:4" x14ac:dyDescent="0.2">
      <c r="A236" s="1293">
        <v>34699</v>
      </c>
      <c r="B236" s="1295"/>
      <c r="C236" s="1296"/>
      <c r="D236" s="1295"/>
    </row>
    <row r="237" spans="1:4" x14ac:dyDescent="0.2">
      <c r="A237" s="1293">
        <v>34730</v>
      </c>
      <c r="B237" s="1295"/>
      <c r="C237" s="1296"/>
      <c r="D237" s="1295"/>
    </row>
    <row r="238" spans="1:4" x14ac:dyDescent="0.2">
      <c r="A238" s="1293">
        <v>34758</v>
      </c>
      <c r="B238" s="1295"/>
      <c r="C238" s="1296"/>
      <c r="D238" s="1295"/>
    </row>
    <row r="239" spans="1:4" x14ac:dyDescent="0.2">
      <c r="A239" s="1293">
        <v>34789</v>
      </c>
      <c r="B239" s="1295"/>
      <c r="C239" s="1296"/>
      <c r="D239" s="1295"/>
    </row>
    <row r="240" spans="1:4" x14ac:dyDescent="0.2">
      <c r="A240" s="1293">
        <v>34819</v>
      </c>
      <c r="B240" s="1295"/>
      <c r="C240" s="1296"/>
      <c r="D240" s="1295"/>
    </row>
    <row r="241" spans="1:4" x14ac:dyDescent="0.2">
      <c r="A241" s="1293">
        <v>34850</v>
      </c>
      <c r="B241" s="1295"/>
      <c r="C241" s="1296"/>
      <c r="D241" s="1295"/>
    </row>
    <row r="242" spans="1:4" x14ac:dyDescent="0.2">
      <c r="A242" s="1293">
        <v>34880</v>
      </c>
      <c r="B242" s="1295"/>
      <c r="C242" s="1296"/>
      <c r="D242" s="1295"/>
    </row>
    <row r="243" spans="1:4" x14ac:dyDescent="0.2">
      <c r="A243" s="1293">
        <v>34911</v>
      </c>
      <c r="B243" s="1295"/>
      <c r="C243" s="1296"/>
      <c r="D243" s="1295"/>
    </row>
    <row r="244" spans="1:4" x14ac:dyDescent="0.2">
      <c r="A244" s="1293">
        <v>34942</v>
      </c>
      <c r="B244" s="1295"/>
      <c r="C244" s="1296"/>
      <c r="D244" s="1295"/>
    </row>
    <row r="245" spans="1:4" x14ac:dyDescent="0.2">
      <c r="A245" s="1293">
        <v>34972</v>
      </c>
      <c r="B245" s="1295"/>
      <c r="C245" s="1296"/>
      <c r="D245" s="1295"/>
    </row>
    <row r="246" spans="1:4" x14ac:dyDescent="0.2">
      <c r="A246" s="1293">
        <v>35003</v>
      </c>
      <c r="B246" s="1295"/>
      <c r="C246" s="1296"/>
      <c r="D246" s="1295"/>
    </row>
    <row r="247" spans="1:4" x14ac:dyDescent="0.2">
      <c r="A247" s="1293">
        <v>35033</v>
      </c>
      <c r="B247" s="1295"/>
      <c r="C247" s="1296"/>
      <c r="D247" s="1295"/>
    </row>
    <row r="248" spans="1:4" x14ac:dyDescent="0.2">
      <c r="A248" s="1293">
        <v>35064</v>
      </c>
      <c r="B248" s="1295"/>
      <c r="C248" s="1296"/>
      <c r="D248" s="1295"/>
    </row>
    <row r="249" spans="1:4" x14ac:dyDescent="0.2">
      <c r="A249" s="1293">
        <v>35095</v>
      </c>
      <c r="B249" s="1295"/>
      <c r="C249" s="1296"/>
      <c r="D249" s="1295"/>
    </row>
    <row r="250" spans="1:4" x14ac:dyDescent="0.2">
      <c r="A250" s="1293">
        <v>35124</v>
      </c>
      <c r="B250" s="1295"/>
      <c r="C250" s="1296"/>
      <c r="D250" s="1295"/>
    </row>
    <row r="251" spans="1:4" x14ac:dyDescent="0.2">
      <c r="A251" s="1293">
        <v>35155</v>
      </c>
      <c r="B251" s="1295"/>
      <c r="C251" s="1296"/>
      <c r="D251" s="1295"/>
    </row>
    <row r="252" spans="1:4" x14ac:dyDescent="0.2">
      <c r="A252" s="1293">
        <v>35185</v>
      </c>
      <c r="B252" s="1295"/>
      <c r="C252" s="1296"/>
      <c r="D252" s="1295"/>
    </row>
    <row r="253" spans="1:4" x14ac:dyDescent="0.2">
      <c r="A253" s="1293">
        <v>35216</v>
      </c>
      <c r="B253" s="1295"/>
      <c r="C253" s="1296"/>
      <c r="D253" s="1295"/>
    </row>
    <row r="254" spans="1:4" x14ac:dyDescent="0.2">
      <c r="A254" s="1293">
        <v>35246</v>
      </c>
      <c r="B254" s="1295"/>
      <c r="C254" s="1296"/>
      <c r="D254" s="1295"/>
    </row>
    <row r="255" spans="1:4" x14ac:dyDescent="0.2">
      <c r="A255" s="1293">
        <v>35277</v>
      </c>
      <c r="B255" s="1295"/>
      <c r="C255" s="1296"/>
      <c r="D255" s="1295"/>
    </row>
    <row r="256" spans="1:4" x14ac:dyDescent="0.2">
      <c r="A256" s="1293">
        <v>35308</v>
      </c>
      <c r="B256" s="1295"/>
      <c r="C256" s="1296"/>
      <c r="D256" s="1295"/>
    </row>
    <row r="257" spans="1:4" x14ac:dyDescent="0.2">
      <c r="A257" s="1293">
        <v>35338</v>
      </c>
      <c r="B257" s="1295"/>
      <c r="C257" s="1296"/>
      <c r="D257" s="1295"/>
    </row>
    <row r="258" spans="1:4" x14ac:dyDescent="0.2">
      <c r="A258" s="1293">
        <v>35369</v>
      </c>
      <c r="B258" s="1295"/>
      <c r="C258" s="1296"/>
      <c r="D258" s="1295"/>
    </row>
    <row r="259" spans="1:4" x14ac:dyDescent="0.2">
      <c r="A259" s="1293">
        <v>35399</v>
      </c>
      <c r="B259" s="1295"/>
      <c r="C259" s="1296"/>
      <c r="D259" s="1295"/>
    </row>
    <row r="260" spans="1:4" x14ac:dyDescent="0.2">
      <c r="A260" s="1293">
        <v>35430</v>
      </c>
      <c r="B260" s="1295"/>
      <c r="C260" s="1296"/>
      <c r="D260" s="1295"/>
    </row>
    <row r="261" spans="1:4" x14ac:dyDescent="0.2">
      <c r="A261" s="1293">
        <v>35461</v>
      </c>
      <c r="B261" s="1295"/>
      <c r="C261" s="1296"/>
      <c r="D261" s="1295"/>
    </row>
    <row r="262" spans="1:4" x14ac:dyDescent="0.2">
      <c r="A262" s="1293">
        <v>35489</v>
      </c>
      <c r="B262" s="1295"/>
      <c r="C262" s="1296"/>
      <c r="D262" s="1295"/>
    </row>
    <row r="263" spans="1:4" x14ac:dyDescent="0.2">
      <c r="A263" s="1293">
        <v>35520</v>
      </c>
      <c r="B263" s="1295"/>
      <c r="C263" s="1296"/>
      <c r="D263" s="1295"/>
    </row>
    <row r="264" spans="1:4" x14ac:dyDescent="0.2">
      <c r="A264" s="1293">
        <v>35550</v>
      </c>
      <c r="B264" s="1295"/>
      <c r="C264" s="1296"/>
      <c r="D264" s="1295"/>
    </row>
    <row r="265" spans="1:4" x14ac:dyDescent="0.2">
      <c r="A265" s="1293">
        <v>35581</v>
      </c>
      <c r="B265" s="1295"/>
      <c r="C265" s="1296"/>
      <c r="D265" s="1295"/>
    </row>
    <row r="266" spans="1:4" x14ac:dyDescent="0.2">
      <c r="A266" s="1293">
        <v>35611</v>
      </c>
      <c r="B266" s="1295"/>
      <c r="C266" s="1296"/>
      <c r="D266" s="1295"/>
    </row>
    <row r="267" spans="1:4" x14ac:dyDescent="0.2">
      <c r="A267" s="1293">
        <v>35642</v>
      </c>
      <c r="B267" s="1295"/>
      <c r="C267" s="1296"/>
      <c r="D267" s="1295"/>
    </row>
    <row r="268" spans="1:4" x14ac:dyDescent="0.2">
      <c r="A268" s="1293">
        <v>35673</v>
      </c>
      <c r="B268" s="1295"/>
      <c r="C268" s="1296"/>
      <c r="D268" s="1295"/>
    </row>
    <row r="269" spans="1:4" x14ac:dyDescent="0.2">
      <c r="A269" s="1293">
        <v>35703</v>
      </c>
      <c r="B269" s="1295"/>
      <c r="C269" s="1296"/>
      <c r="D269" s="1295"/>
    </row>
    <row r="270" spans="1:4" x14ac:dyDescent="0.2">
      <c r="A270" s="1293">
        <v>35734</v>
      </c>
      <c r="B270" s="1295"/>
      <c r="C270" s="1296"/>
      <c r="D270" s="1295"/>
    </row>
    <row r="271" spans="1:4" x14ac:dyDescent="0.2">
      <c r="A271" s="1293">
        <v>35764</v>
      </c>
      <c r="B271" s="1295"/>
      <c r="C271" s="1296"/>
      <c r="D271" s="1295"/>
    </row>
    <row r="272" spans="1:4" x14ac:dyDescent="0.2">
      <c r="A272" s="1293">
        <v>35795</v>
      </c>
      <c r="B272" s="1295"/>
      <c r="C272" s="1296"/>
      <c r="D272" s="1295"/>
    </row>
    <row r="273" spans="1:4" x14ac:dyDescent="0.2">
      <c r="A273" s="1293">
        <v>35826</v>
      </c>
      <c r="B273" s="1295"/>
      <c r="C273" s="1296"/>
      <c r="D273" s="1295"/>
    </row>
    <row r="274" spans="1:4" x14ac:dyDescent="0.2">
      <c r="A274" s="1293">
        <v>35854</v>
      </c>
      <c r="B274" s="1295"/>
      <c r="C274" s="1297"/>
      <c r="D274" s="1295"/>
    </row>
    <row r="275" spans="1:4" x14ac:dyDescent="0.2">
      <c r="A275" s="1293">
        <v>35885</v>
      </c>
      <c r="B275" s="1295"/>
      <c r="C275" s="1297"/>
      <c r="D275" s="1295"/>
    </row>
    <row r="276" spans="1:4" x14ac:dyDescent="0.2">
      <c r="A276" s="1293">
        <v>35915</v>
      </c>
      <c r="B276" s="1295"/>
      <c r="C276" s="1297"/>
      <c r="D276" s="1295"/>
    </row>
    <row r="277" spans="1:4" x14ac:dyDescent="0.2">
      <c r="A277" s="1293">
        <v>35946</v>
      </c>
      <c r="B277" s="1295"/>
      <c r="C277" s="1297"/>
      <c r="D277" s="1295"/>
    </row>
    <row r="278" spans="1:4" x14ac:dyDescent="0.2">
      <c r="A278" s="1293">
        <v>35976</v>
      </c>
      <c r="B278" s="1295"/>
      <c r="C278" s="1297"/>
      <c r="D278" s="1295"/>
    </row>
    <row r="279" spans="1:4" x14ac:dyDescent="0.2">
      <c r="A279" s="1293">
        <v>36007</v>
      </c>
      <c r="B279" s="1295"/>
      <c r="C279" s="1297"/>
      <c r="D279" s="1295"/>
    </row>
    <row r="280" spans="1:4" x14ac:dyDescent="0.2">
      <c r="A280" s="1293">
        <v>36038</v>
      </c>
      <c r="B280" s="1295"/>
      <c r="C280" s="1297"/>
      <c r="D280" s="1295"/>
    </row>
    <row r="281" spans="1:4" x14ac:dyDescent="0.2">
      <c r="A281" s="1293">
        <v>36068</v>
      </c>
      <c r="B281" s="1295"/>
      <c r="C281" s="1297"/>
      <c r="D281" s="1295"/>
    </row>
    <row r="282" spans="1:4" x14ac:dyDescent="0.2">
      <c r="A282" s="1293">
        <v>36099</v>
      </c>
      <c r="B282" s="1295"/>
      <c r="C282" s="1297"/>
      <c r="D282" s="1295"/>
    </row>
    <row r="283" spans="1:4" x14ac:dyDescent="0.2">
      <c r="A283" s="1293">
        <v>36129</v>
      </c>
      <c r="B283" s="1295"/>
      <c r="C283" s="1297"/>
      <c r="D283" s="1295"/>
    </row>
    <row r="284" spans="1:4" x14ac:dyDescent="0.2">
      <c r="A284" s="1293">
        <v>36160</v>
      </c>
      <c r="B284" s="1295"/>
      <c r="C284" s="1297"/>
      <c r="D284" s="1295"/>
    </row>
    <row r="285" spans="1:4" x14ac:dyDescent="0.2">
      <c r="A285" s="1293">
        <v>36191</v>
      </c>
      <c r="B285" s="1295"/>
      <c r="C285" s="1297"/>
      <c r="D285" s="1295"/>
    </row>
    <row r="286" spans="1:4" x14ac:dyDescent="0.2">
      <c r="A286" s="1293">
        <v>36219</v>
      </c>
      <c r="B286" s="1295"/>
      <c r="C286" s="1297"/>
      <c r="D286" s="1295"/>
    </row>
    <row r="287" spans="1:4" x14ac:dyDescent="0.2">
      <c r="A287" s="1293">
        <v>36250</v>
      </c>
      <c r="B287" s="1295"/>
      <c r="C287" s="1297"/>
      <c r="D287" s="1295"/>
    </row>
    <row r="288" spans="1:4" x14ac:dyDescent="0.2">
      <c r="A288" s="1293">
        <v>36280</v>
      </c>
      <c r="B288" s="1295"/>
      <c r="C288" s="1297"/>
      <c r="D288" s="1295"/>
    </row>
    <row r="289" spans="1:4" x14ac:dyDescent="0.2">
      <c r="A289" s="1293">
        <v>36311</v>
      </c>
      <c r="B289" s="1295"/>
      <c r="C289" s="1297"/>
      <c r="D289" s="1295"/>
    </row>
    <row r="290" spans="1:4" x14ac:dyDescent="0.2">
      <c r="A290" s="1293">
        <v>36341</v>
      </c>
      <c r="B290" s="1295"/>
      <c r="C290" s="1297"/>
      <c r="D290" s="1295"/>
    </row>
    <row r="291" spans="1:4" x14ac:dyDescent="0.2">
      <c r="A291" s="1293">
        <v>36372</v>
      </c>
      <c r="B291" s="1295"/>
      <c r="C291" s="1297"/>
      <c r="D291" s="1295"/>
    </row>
    <row r="292" spans="1:4" x14ac:dyDescent="0.2">
      <c r="A292" s="1293">
        <v>36403</v>
      </c>
      <c r="B292" s="1295"/>
      <c r="C292" s="1297"/>
      <c r="D292" s="1295"/>
    </row>
    <row r="293" spans="1:4" x14ac:dyDescent="0.2">
      <c r="A293" s="1293">
        <v>36433</v>
      </c>
      <c r="B293" s="1295"/>
      <c r="C293" s="1297"/>
      <c r="D293" s="1295"/>
    </row>
    <row r="294" spans="1:4" x14ac:dyDescent="0.2">
      <c r="A294" s="1293">
        <v>36464</v>
      </c>
      <c r="B294" s="1295"/>
      <c r="C294" s="1297"/>
      <c r="D294" s="1295"/>
    </row>
    <row r="295" spans="1:4" x14ac:dyDescent="0.2">
      <c r="A295" s="1293">
        <v>36494</v>
      </c>
      <c r="B295" s="1295"/>
      <c r="C295" s="1297"/>
      <c r="D295" s="1295"/>
    </row>
    <row r="296" spans="1:4" x14ac:dyDescent="0.2">
      <c r="A296" s="1293">
        <v>36525</v>
      </c>
      <c r="B296" s="1295"/>
      <c r="C296" s="1297"/>
      <c r="D296" s="1295"/>
    </row>
    <row r="297" spans="1:4" x14ac:dyDescent="0.2">
      <c r="A297" s="1293">
        <v>36556</v>
      </c>
      <c r="B297" s="1295"/>
      <c r="C297" s="1297"/>
      <c r="D297" s="1295"/>
    </row>
    <row r="298" spans="1:4" x14ac:dyDescent="0.2">
      <c r="A298" s="1293">
        <v>36585</v>
      </c>
      <c r="B298" s="1295"/>
      <c r="C298" s="1297"/>
      <c r="D298" s="1295"/>
    </row>
    <row r="299" spans="1:4" x14ac:dyDescent="0.2">
      <c r="A299" s="1293">
        <v>36616</v>
      </c>
      <c r="B299" s="1295"/>
      <c r="C299" s="1297"/>
      <c r="D299" s="1295"/>
    </row>
    <row r="300" spans="1:4" x14ac:dyDescent="0.2">
      <c r="A300" s="1293">
        <v>36646</v>
      </c>
      <c r="B300" s="1295"/>
      <c r="C300" s="1297"/>
      <c r="D300" s="1295"/>
    </row>
    <row r="301" spans="1:4" x14ac:dyDescent="0.2">
      <c r="A301" s="1293">
        <v>36677</v>
      </c>
      <c r="B301" s="1295"/>
      <c r="C301" s="1297"/>
      <c r="D301" s="1295"/>
    </row>
    <row r="302" spans="1:4" x14ac:dyDescent="0.2">
      <c r="A302" s="1293">
        <v>36707</v>
      </c>
      <c r="B302" s="1295"/>
      <c r="C302" s="1297"/>
      <c r="D302" s="1295"/>
    </row>
    <row r="303" spans="1:4" x14ac:dyDescent="0.2">
      <c r="A303" s="1293">
        <v>36738</v>
      </c>
      <c r="B303" s="1295"/>
      <c r="C303" s="1297"/>
      <c r="D303" s="1295"/>
    </row>
    <row r="304" spans="1:4" x14ac:dyDescent="0.2">
      <c r="A304" s="1293">
        <v>36769</v>
      </c>
      <c r="B304" s="1295"/>
      <c r="C304" s="1297"/>
      <c r="D304" s="1295"/>
    </row>
    <row r="305" spans="1:4" x14ac:dyDescent="0.2">
      <c r="A305" s="1293">
        <v>36799</v>
      </c>
      <c r="B305" s="1298"/>
      <c r="C305" s="1299"/>
      <c r="D305" s="1295"/>
    </row>
    <row r="306" spans="1:4" x14ac:dyDescent="0.2">
      <c r="A306" s="1293">
        <v>36830</v>
      </c>
      <c r="B306" s="1300"/>
      <c r="C306" s="1299"/>
      <c r="D306" s="1300"/>
    </row>
    <row r="307" spans="1:4" x14ac:dyDescent="0.2">
      <c r="A307" s="1293">
        <v>36860</v>
      </c>
      <c r="B307" s="1300"/>
      <c r="C307" s="1299"/>
      <c r="D307" s="1300"/>
    </row>
    <row r="308" spans="1:4" x14ac:dyDescent="0.2">
      <c r="A308" s="1293">
        <v>36891</v>
      </c>
      <c r="B308" s="1300"/>
      <c r="C308" s="1299"/>
      <c r="D308" s="1300"/>
    </row>
    <row r="309" spans="1:4" x14ac:dyDescent="0.2">
      <c r="A309" s="1293">
        <v>36922</v>
      </c>
      <c r="B309" s="1300"/>
      <c r="C309" s="1299"/>
      <c r="D309" s="1300"/>
    </row>
    <row r="310" spans="1:4" x14ac:dyDescent="0.2">
      <c r="A310" s="1293">
        <v>36950</v>
      </c>
      <c r="B310" s="1300"/>
      <c r="C310" s="1299"/>
      <c r="D310" s="1300"/>
    </row>
    <row r="311" spans="1:4" x14ac:dyDescent="0.2">
      <c r="A311" s="1293">
        <v>36981</v>
      </c>
      <c r="B311" s="1300"/>
      <c r="C311" s="1299"/>
      <c r="D311" s="1300"/>
    </row>
    <row r="312" spans="1:4" x14ac:dyDescent="0.2">
      <c r="A312" s="1293">
        <v>37011</v>
      </c>
      <c r="B312" s="1300"/>
      <c r="C312" s="1299"/>
      <c r="D312" s="1300"/>
    </row>
    <row r="313" spans="1:4" x14ac:dyDescent="0.2">
      <c r="A313" s="1293">
        <v>37042</v>
      </c>
      <c r="B313" s="1300"/>
      <c r="C313" s="1299"/>
      <c r="D313" s="1300"/>
    </row>
    <row r="314" spans="1:4" x14ac:dyDescent="0.2">
      <c r="A314" s="1293">
        <v>37072</v>
      </c>
      <c r="B314" s="1300"/>
      <c r="C314" s="1299"/>
      <c r="D314" s="1300"/>
    </row>
    <row r="315" spans="1:4" x14ac:dyDescent="0.2">
      <c r="A315" s="1293">
        <v>37103</v>
      </c>
      <c r="B315" s="1300"/>
      <c r="C315" s="1299"/>
      <c r="D315" s="1300"/>
    </row>
    <row r="316" spans="1:4" x14ac:dyDescent="0.2">
      <c r="A316" s="1293">
        <v>37134</v>
      </c>
      <c r="B316" s="1300"/>
      <c r="C316" s="1299"/>
      <c r="D316" s="1300"/>
    </row>
    <row r="317" spans="1:4" x14ac:dyDescent="0.2">
      <c r="A317" s="1293">
        <v>37164</v>
      </c>
      <c r="B317" s="1300"/>
      <c r="C317" s="1299"/>
      <c r="D317" s="1300"/>
    </row>
    <row r="318" spans="1:4" x14ac:dyDescent="0.2">
      <c r="A318" s="1293">
        <v>37195</v>
      </c>
      <c r="B318" s="1300"/>
      <c r="C318" s="1299"/>
      <c r="D318" s="1300"/>
    </row>
    <row r="319" spans="1:4" x14ac:dyDescent="0.2">
      <c r="A319" s="1293">
        <v>37225</v>
      </c>
      <c r="B319" s="1300"/>
      <c r="C319" s="1299"/>
      <c r="D319" s="1300"/>
    </row>
    <row r="320" spans="1:4" x14ac:dyDescent="0.2">
      <c r="A320" s="1293">
        <v>37256</v>
      </c>
      <c r="B320" s="1300"/>
      <c r="C320" s="1299"/>
      <c r="D320" s="1300"/>
    </row>
    <row r="321" spans="1:4" x14ac:dyDescent="0.2">
      <c r="A321" s="1293">
        <v>37287</v>
      </c>
      <c r="B321" s="1300"/>
      <c r="C321" s="1299"/>
      <c r="D321" s="1300"/>
    </row>
    <row r="322" spans="1:4" x14ac:dyDescent="0.2">
      <c r="A322" s="1293">
        <v>37315</v>
      </c>
      <c r="B322" s="1300"/>
      <c r="C322" s="1299"/>
      <c r="D322" s="1300"/>
    </row>
    <row r="323" spans="1:4" x14ac:dyDescent="0.2">
      <c r="A323" s="1293">
        <v>37346</v>
      </c>
      <c r="B323" s="1300"/>
      <c r="C323" s="1299"/>
      <c r="D323" s="1300"/>
    </row>
    <row r="324" spans="1:4" x14ac:dyDescent="0.2">
      <c r="A324" s="1293">
        <v>37376</v>
      </c>
      <c r="B324" s="1300"/>
      <c r="C324" s="1299"/>
      <c r="D324" s="1300"/>
    </row>
    <row r="325" spans="1:4" x14ac:dyDescent="0.2">
      <c r="A325" s="1293">
        <v>37407</v>
      </c>
      <c r="B325" s="1300"/>
      <c r="C325" s="1299"/>
      <c r="D325" s="1300"/>
    </row>
    <row r="326" spans="1:4" x14ac:dyDescent="0.2">
      <c r="A326" s="1293">
        <v>37437</v>
      </c>
      <c r="B326" s="1300"/>
      <c r="C326" s="1299"/>
      <c r="D326" s="1300"/>
    </row>
    <row r="327" spans="1:4" x14ac:dyDescent="0.2">
      <c r="A327" s="1293">
        <v>37468</v>
      </c>
      <c r="B327" s="1300"/>
      <c r="C327" s="1299"/>
      <c r="D327" s="1300"/>
    </row>
    <row r="328" spans="1:4" x14ac:dyDescent="0.2">
      <c r="A328" s="1293">
        <v>37499</v>
      </c>
      <c r="B328" s="1300"/>
      <c r="C328" s="1299"/>
      <c r="D328" s="1300"/>
    </row>
    <row r="329" spans="1:4" x14ac:dyDescent="0.2">
      <c r="A329" s="1293">
        <v>37529</v>
      </c>
      <c r="B329" s="1300"/>
      <c r="C329" s="1299"/>
      <c r="D329" s="1300"/>
    </row>
    <row r="330" spans="1:4" x14ac:dyDescent="0.2">
      <c r="A330" s="1293">
        <v>37560</v>
      </c>
      <c r="B330" s="1300"/>
      <c r="C330" s="1299"/>
      <c r="D330" s="1300"/>
    </row>
    <row r="331" spans="1:4" x14ac:dyDescent="0.2">
      <c r="A331" s="1293">
        <v>37590</v>
      </c>
      <c r="B331" s="1300"/>
      <c r="C331" s="1299"/>
      <c r="D331" s="1300"/>
    </row>
    <row r="332" spans="1:4" x14ac:dyDescent="0.2">
      <c r="A332" s="1293">
        <v>37621</v>
      </c>
      <c r="B332" s="1300"/>
      <c r="C332" s="1299"/>
      <c r="D332" s="1300"/>
    </row>
    <row r="333" spans="1:4" x14ac:dyDescent="0.2">
      <c r="A333" s="1293">
        <v>37652</v>
      </c>
      <c r="B333" s="1300"/>
      <c r="C333" s="1299"/>
      <c r="D333" s="1300"/>
    </row>
    <row r="334" spans="1:4" x14ac:dyDescent="0.2">
      <c r="A334" s="1293">
        <v>37680</v>
      </c>
      <c r="B334" s="1300"/>
      <c r="C334" s="1299"/>
      <c r="D334" s="1300"/>
    </row>
    <row r="335" spans="1:4" x14ac:dyDescent="0.2">
      <c r="A335" s="1293">
        <v>37711</v>
      </c>
      <c r="B335" s="1300"/>
      <c r="C335" s="1299"/>
      <c r="D335" s="1300"/>
    </row>
    <row r="336" spans="1:4" x14ac:dyDescent="0.2">
      <c r="A336" s="1293">
        <v>37741</v>
      </c>
      <c r="B336" s="1300"/>
      <c r="C336" s="1299"/>
      <c r="D336" s="1300"/>
    </row>
    <row r="337" spans="1:4" x14ac:dyDescent="0.2">
      <c r="A337" s="1293">
        <v>37772</v>
      </c>
      <c r="B337" s="1300"/>
      <c r="C337" s="1299"/>
      <c r="D337" s="1300"/>
    </row>
    <row r="338" spans="1:4" x14ac:dyDescent="0.2">
      <c r="A338" s="1293">
        <v>37802</v>
      </c>
      <c r="B338" s="1300"/>
      <c r="C338" s="1299"/>
      <c r="D338" s="1300"/>
    </row>
    <row r="339" spans="1:4" x14ac:dyDescent="0.2">
      <c r="A339" s="1293">
        <v>37833</v>
      </c>
      <c r="B339" s="1300"/>
      <c r="C339" s="1299"/>
      <c r="D339" s="1300"/>
    </row>
    <row r="340" spans="1:4" x14ac:dyDescent="0.2">
      <c r="A340" s="1293">
        <v>37864</v>
      </c>
      <c r="B340" s="1300"/>
      <c r="C340" s="1299"/>
      <c r="D340" s="1300"/>
    </row>
    <row r="341" spans="1:4" x14ac:dyDescent="0.2">
      <c r="A341" s="1293">
        <v>37894</v>
      </c>
      <c r="B341" s="1300"/>
      <c r="C341" s="1302"/>
      <c r="D341" s="1300"/>
    </row>
    <row r="342" spans="1:4" x14ac:dyDescent="0.2">
      <c r="A342" s="1293">
        <v>37925</v>
      </c>
      <c r="B342" s="1300"/>
      <c r="C342" s="1302"/>
      <c r="D342" s="1300"/>
    </row>
    <row r="343" spans="1:4" x14ac:dyDescent="0.2">
      <c r="A343" s="1293">
        <v>37955</v>
      </c>
      <c r="B343" s="1300"/>
      <c r="C343" s="1302"/>
      <c r="D343" s="1300"/>
    </row>
    <row r="344" spans="1:4" x14ac:dyDescent="0.2">
      <c r="A344" s="1293">
        <v>37986</v>
      </c>
      <c r="B344" s="1300"/>
      <c r="C344" s="1302"/>
      <c r="D344" s="1300"/>
    </row>
    <row r="345" spans="1:4" x14ac:dyDescent="0.2">
      <c r="A345" s="1293">
        <v>38017</v>
      </c>
      <c r="B345" s="1300"/>
      <c r="C345" s="1302"/>
      <c r="D345" s="1300"/>
    </row>
    <row r="346" spans="1:4" x14ac:dyDescent="0.2">
      <c r="A346" s="1293">
        <v>38046</v>
      </c>
      <c r="B346" s="1300"/>
      <c r="C346" s="1302"/>
      <c r="D346" s="1300"/>
    </row>
    <row r="347" spans="1:4" x14ac:dyDescent="0.2">
      <c r="A347" s="1293">
        <v>38077</v>
      </c>
      <c r="B347" s="1300"/>
      <c r="C347" s="1302"/>
      <c r="D347" s="1303"/>
    </row>
    <row r="348" spans="1:4" x14ac:dyDescent="0.2">
      <c r="A348" s="1293">
        <v>38107</v>
      </c>
      <c r="B348" s="1300"/>
      <c r="C348" s="1302"/>
      <c r="D348" s="1300"/>
    </row>
    <row r="349" spans="1:4" x14ac:dyDescent="0.2">
      <c r="A349" s="1293">
        <v>38138</v>
      </c>
      <c r="B349" s="1300"/>
      <c r="C349" s="1302"/>
      <c r="D349" s="1300"/>
    </row>
    <row r="350" spans="1:4" x14ac:dyDescent="0.2">
      <c r="A350" s="1293">
        <v>38168</v>
      </c>
      <c r="B350" s="1300"/>
      <c r="C350" s="1302"/>
      <c r="D350" s="1300"/>
    </row>
    <row r="351" spans="1:4" x14ac:dyDescent="0.2">
      <c r="A351" s="1293">
        <v>38199</v>
      </c>
      <c r="B351" s="1300"/>
      <c r="C351" s="1302"/>
      <c r="D351" s="1300"/>
    </row>
    <row r="352" spans="1:4" x14ac:dyDescent="0.2">
      <c r="A352" s="1293">
        <v>38230</v>
      </c>
      <c r="B352" s="1300"/>
      <c r="C352" s="1302"/>
      <c r="D352" s="1300"/>
    </row>
    <row r="353" spans="1:4" x14ac:dyDescent="0.2">
      <c r="A353" s="1293">
        <v>38260</v>
      </c>
      <c r="B353" s="1300"/>
      <c r="C353" s="1302"/>
      <c r="D353" s="1300"/>
    </row>
    <row r="354" spans="1:4" x14ac:dyDescent="0.2">
      <c r="A354" s="1293">
        <v>38291</v>
      </c>
      <c r="B354" s="1300"/>
      <c r="C354" s="1302"/>
      <c r="D354" s="1300"/>
    </row>
    <row r="355" spans="1:4" x14ac:dyDescent="0.2">
      <c r="A355" s="1293">
        <v>38321</v>
      </c>
      <c r="B355" s="1300"/>
      <c r="C355" s="1302"/>
      <c r="D355" s="1300"/>
    </row>
    <row r="356" spans="1:4" x14ac:dyDescent="0.2">
      <c r="A356" s="1293">
        <v>38352</v>
      </c>
      <c r="B356" s="1300"/>
      <c r="C356" s="1304"/>
      <c r="D356" s="1300"/>
    </row>
    <row r="357" spans="1:4" x14ac:dyDescent="0.2">
      <c r="A357" s="1293">
        <v>38383</v>
      </c>
      <c r="B357" s="1300"/>
      <c r="C357" s="1302"/>
      <c r="D357" s="1300"/>
    </row>
    <row r="358" spans="1:4" x14ac:dyDescent="0.2">
      <c r="A358" s="1293">
        <v>38411</v>
      </c>
      <c r="B358" s="1300"/>
      <c r="C358" s="1302"/>
      <c r="D358" s="1300"/>
    </row>
    <row r="359" spans="1:4" x14ac:dyDescent="0.2">
      <c r="A359" s="1293">
        <v>38442</v>
      </c>
      <c r="B359" s="1300"/>
      <c r="C359" s="1304"/>
      <c r="D359" s="1300"/>
    </row>
    <row r="360" spans="1:4" x14ac:dyDescent="0.2">
      <c r="A360" s="1293">
        <v>38472</v>
      </c>
      <c r="B360" s="1300"/>
      <c r="C360" s="1304"/>
      <c r="D360" s="1300"/>
    </row>
    <row r="361" spans="1:4" x14ac:dyDescent="0.2">
      <c r="A361" s="1293">
        <v>38503</v>
      </c>
      <c r="B361" s="1300"/>
      <c r="C361" s="1304"/>
      <c r="D361" s="1300"/>
    </row>
    <row r="362" spans="1:4" x14ac:dyDescent="0.2">
      <c r="A362" s="1293">
        <v>38533</v>
      </c>
      <c r="B362" s="1300"/>
      <c r="C362" s="1304"/>
      <c r="D362" s="1300"/>
    </row>
    <row r="363" spans="1:4" x14ac:dyDescent="0.2">
      <c r="A363" s="1293">
        <v>38564</v>
      </c>
      <c r="B363" s="1300"/>
      <c r="C363" s="1304"/>
      <c r="D363" s="1300"/>
    </row>
    <row r="364" spans="1:4" x14ac:dyDescent="0.2">
      <c r="A364" s="1293">
        <v>38595</v>
      </c>
      <c r="B364" s="1300"/>
      <c r="C364" s="1304"/>
      <c r="D364" s="1300"/>
    </row>
    <row r="365" spans="1:4" x14ac:dyDescent="0.2">
      <c r="A365" s="1293">
        <v>38625</v>
      </c>
      <c r="B365" s="1300"/>
      <c r="C365" s="1304"/>
      <c r="D365" s="1300"/>
    </row>
    <row r="366" spans="1:4" x14ac:dyDescent="0.2">
      <c r="A366" s="1293">
        <v>38656</v>
      </c>
      <c r="B366" s="1300"/>
      <c r="C366" s="1304"/>
      <c r="D366" s="1300"/>
    </row>
    <row r="367" spans="1:4" x14ac:dyDescent="0.2">
      <c r="A367" s="1293">
        <v>38686</v>
      </c>
      <c r="B367" s="1300"/>
      <c r="C367" s="1304"/>
      <c r="D367" s="1300"/>
    </row>
    <row r="368" spans="1:4" x14ac:dyDescent="0.2">
      <c r="A368" s="1293">
        <v>38717</v>
      </c>
      <c r="B368" s="1300"/>
      <c r="C368" s="1304"/>
      <c r="D368" s="1300"/>
    </row>
    <row r="369" spans="1:6" x14ac:dyDescent="0.2">
      <c r="A369" s="1293">
        <v>38748</v>
      </c>
      <c r="B369" s="1300"/>
      <c r="C369" s="1304"/>
      <c r="D369" s="1300"/>
    </row>
    <row r="370" spans="1:6" x14ac:dyDescent="0.2">
      <c r="A370" s="1293">
        <v>38776</v>
      </c>
      <c r="B370" s="1300"/>
      <c r="C370" s="1304"/>
      <c r="D370" s="1300"/>
    </row>
    <row r="371" spans="1:6" x14ac:dyDescent="0.2">
      <c r="A371" s="1293">
        <v>38807</v>
      </c>
      <c r="B371" s="1300"/>
      <c r="C371" s="1299"/>
      <c r="D371" s="1300"/>
    </row>
    <row r="372" spans="1:6" x14ac:dyDescent="0.2">
      <c r="A372" s="1293">
        <v>38837</v>
      </c>
      <c r="B372" s="1300"/>
      <c r="C372" s="1299"/>
      <c r="D372" s="1300"/>
    </row>
    <row r="373" spans="1:6" x14ac:dyDescent="0.2">
      <c r="A373" s="1293">
        <v>38868</v>
      </c>
      <c r="B373" s="1300"/>
      <c r="C373" s="1299"/>
      <c r="D373" s="1300"/>
    </row>
    <row r="374" spans="1:6" x14ac:dyDescent="0.2">
      <c r="A374" s="1293">
        <v>38898</v>
      </c>
      <c r="B374" s="1372"/>
      <c r="C374" s="1387"/>
      <c r="D374" s="1300"/>
    </row>
    <row r="375" spans="1:6" x14ac:dyDescent="0.2">
      <c r="A375" s="1293">
        <v>38929</v>
      </c>
      <c r="B375" s="1300"/>
      <c r="C375" s="1302"/>
      <c r="D375" s="1300"/>
    </row>
    <row r="376" spans="1:6" x14ac:dyDescent="0.2">
      <c r="A376" s="1293">
        <v>38960</v>
      </c>
      <c r="B376" s="1300"/>
      <c r="C376" s="1302"/>
      <c r="D376" s="1300"/>
    </row>
    <row r="377" spans="1:6" x14ac:dyDescent="0.2">
      <c r="A377" s="1293">
        <v>38990</v>
      </c>
      <c r="B377" s="1300"/>
      <c r="C377" s="1302"/>
      <c r="D377" s="1300"/>
    </row>
    <row r="378" spans="1:6" x14ac:dyDescent="0.2">
      <c r="A378" s="1293">
        <v>39021</v>
      </c>
      <c r="B378" s="1300"/>
      <c r="C378" s="1302"/>
      <c r="D378" s="1300"/>
      <c r="F378" s="1305"/>
    </row>
    <row r="379" spans="1:6" x14ac:dyDescent="0.2">
      <c r="A379" s="1293">
        <v>39051</v>
      </c>
      <c r="B379" s="1300"/>
      <c r="C379" s="1302"/>
      <c r="D379" s="1300"/>
      <c r="F379" s="1305"/>
    </row>
    <row r="380" spans="1:6" x14ac:dyDescent="0.2">
      <c r="A380" s="1293">
        <v>39082</v>
      </c>
      <c r="B380" s="1300"/>
      <c r="C380" s="1302"/>
      <c r="D380" s="1300"/>
      <c r="F380" s="1305"/>
    </row>
    <row r="381" spans="1:6" x14ac:dyDescent="0.2">
      <c r="A381" s="1293">
        <v>39113</v>
      </c>
      <c r="B381" s="1300"/>
      <c r="F381" s="1305"/>
    </row>
    <row r="382" spans="1:6" x14ac:dyDescent="0.2">
      <c r="A382" s="1293">
        <v>39141</v>
      </c>
      <c r="B382" s="1300"/>
      <c r="F382" s="1305"/>
    </row>
    <row r="383" spans="1:6" x14ac:dyDescent="0.2">
      <c r="A383" s="1293">
        <v>39172</v>
      </c>
      <c r="B383" s="1300"/>
    </row>
    <row r="384" spans="1:6" x14ac:dyDescent="0.2">
      <c r="A384" s="1293">
        <v>39202</v>
      </c>
      <c r="B384" s="1300"/>
    </row>
    <row r="385" spans="1:3" x14ac:dyDescent="0.2">
      <c r="A385" s="1293">
        <v>39233</v>
      </c>
      <c r="B385" s="1300"/>
    </row>
    <row r="386" spans="1:3" x14ac:dyDescent="0.2">
      <c r="A386" s="1293">
        <v>39263</v>
      </c>
      <c r="B386" s="1300"/>
    </row>
    <row r="387" spans="1:3" x14ac:dyDescent="0.2">
      <c r="A387" s="1293">
        <v>39294</v>
      </c>
      <c r="B387" s="1300"/>
    </row>
    <row r="388" spans="1:3" x14ac:dyDescent="0.2">
      <c r="A388" s="1293">
        <v>39325</v>
      </c>
      <c r="B388" s="1300"/>
    </row>
    <row r="389" spans="1:3" x14ac:dyDescent="0.2">
      <c r="A389" s="1293">
        <v>39355</v>
      </c>
      <c r="B389" s="1300"/>
    </row>
    <row r="390" spans="1:3" x14ac:dyDescent="0.2">
      <c r="A390" s="1293">
        <v>39386</v>
      </c>
      <c r="B390" s="1300"/>
    </row>
    <row r="391" spans="1:3" x14ac:dyDescent="0.2">
      <c r="A391" s="1293">
        <v>39416</v>
      </c>
      <c r="B391" s="1300"/>
    </row>
    <row r="392" spans="1:3" x14ac:dyDescent="0.2">
      <c r="A392" s="1293">
        <v>39447</v>
      </c>
      <c r="B392" s="1300"/>
    </row>
    <row r="393" spans="1:3" x14ac:dyDescent="0.2">
      <c r="A393" s="1293">
        <v>39478</v>
      </c>
      <c r="B393" s="1300"/>
    </row>
    <row r="394" spans="1:3" x14ac:dyDescent="0.2">
      <c r="A394" s="1293">
        <v>39507</v>
      </c>
      <c r="B394" s="1300"/>
    </row>
    <row r="395" spans="1:3" x14ac:dyDescent="0.2">
      <c r="A395" s="1293">
        <v>39538</v>
      </c>
      <c r="B395" s="1300"/>
    </row>
    <row r="396" spans="1:3" x14ac:dyDescent="0.2">
      <c r="A396" s="1293">
        <v>39568</v>
      </c>
      <c r="B396" s="1300"/>
    </row>
    <row r="397" spans="1:3" x14ac:dyDescent="0.2">
      <c r="A397" s="1293">
        <v>39599</v>
      </c>
      <c r="B397" s="1300"/>
    </row>
    <row r="398" spans="1:3" x14ac:dyDescent="0.2">
      <c r="A398" s="1293">
        <v>39629</v>
      </c>
      <c r="B398" s="1300"/>
    </row>
    <row r="399" spans="1:3" x14ac:dyDescent="0.2">
      <c r="A399" s="1293">
        <v>39660</v>
      </c>
      <c r="B399" s="1300"/>
      <c r="C399" s="1299"/>
    </row>
    <row r="400" spans="1:3" x14ac:dyDescent="0.2">
      <c r="A400" s="1293">
        <v>39691</v>
      </c>
      <c r="B400" s="1300"/>
      <c r="C400" s="1299"/>
    </row>
    <row r="401" spans="1:7" x14ac:dyDescent="0.2">
      <c r="A401" s="1293">
        <v>39721</v>
      </c>
      <c r="B401" s="1300"/>
      <c r="C401" s="1299"/>
    </row>
    <row r="402" spans="1:7" x14ac:dyDescent="0.2">
      <c r="A402" s="1293">
        <v>39752</v>
      </c>
      <c r="B402" s="1300"/>
    </row>
    <row r="403" spans="1:7" x14ac:dyDescent="0.2">
      <c r="A403" s="1293">
        <v>39782</v>
      </c>
      <c r="B403" s="1300"/>
      <c r="G403" s="1301"/>
    </row>
    <row r="404" spans="1:7" x14ac:dyDescent="0.2">
      <c r="A404" s="1293">
        <v>39813</v>
      </c>
      <c r="B404" s="1300"/>
    </row>
    <row r="405" spans="1:7" x14ac:dyDescent="0.2">
      <c r="A405" s="1293">
        <v>39844</v>
      </c>
      <c r="B405" s="1300"/>
    </row>
    <row r="406" spans="1:7" x14ac:dyDescent="0.2">
      <c r="A406" s="1293">
        <v>39872</v>
      </c>
      <c r="B406" s="1300"/>
    </row>
    <row r="407" spans="1:7" x14ac:dyDescent="0.2">
      <c r="A407" s="1293">
        <v>39903</v>
      </c>
      <c r="B407" s="1300"/>
    </row>
    <row r="408" spans="1:7" x14ac:dyDescent="0.2">
      <c r="A408" s="1293">
        <v>39933</v>
      </c>
      <c r="B408" s="1300"/>
    </row>
    <row r="409" spans="1:7" x14ac:dyDescent="0.2">
      <c r="A409" s="1293">
        <v>39964</v>
      </c>
      <c r="B409" s="1300"/>
    </row>
    <row r="410" spans="1:7" x14ac:dyDescent="0.2">
      <c r="A410" s="1293">
        <v>39994</v>
      </c>
      <c r="B410" s="1300"/>
    </row>
    <row r="411" spans="1:7" x14ac:dyDescent="0.2">
      <c r="A411" s="1293">
        <v>40025</v>
      </c>
      <c r="B411" s="1300"/>
    </row>
    <row r="412" spans="1:7" x14ac:dyDescent="0.2">
      <c r="A412" s="1293">
        <v>40056</v>
      </c>
      <c r="B412" s="1300"/>
    </row>
    <row r="413" spans="1:7" x14ac:dyDescent="0.2">
      <c r="A413" s="1293">
        <v>40086</v>
      </c>
      <c r="B413" s="1300"/>
    </row>
    <row r="414" spans="1:7" x14ac:dyDescent="0.2">
      <c r="A414" s="1293">
        <v>40117</v>
      </c>
      <c r="B414" s="1300"/>
    </row>
    <row r="415" spans="1:7" x14ac:dyDescent="0.2">
      <c r="A415" s="1293">
        <v>40147</v>
      </c>
      <c r="B415" s="1300"/>
    </row>
    <row r="416" spans="1:7" x14ac:dyDescent="0.2">
      <c r="A416" s="1293">
        <v>40178</v>
      </c>
      <c r="B416" s="1300"/>
    </row>
    <row r="417" spans="1:5" x14ac:dyDescent="0.2">
      <c r="A417" s="1293">
        <v>40209</v>
      </c>
      <c r="B417" s="1300"/>
    </row>
    <row r="418" spans="1:5" x14ac:dyDescent="0.2">
      <c r="A418" s="1293">
        <v>40237</v>
      </c>
      <c r="B418" s="1300"/>
    </row>
    <row r="419" spans="1:5" x14ac:dyDescent="0.2">
      <c r="A419" s="1293">
        <v>40268</v>
      </c>
      <c r="B419" s="1300"/>
      <c r="C419" s="1334"/>
      <c r="D419" s="1311"/>
    </row>
    <row r="420" spans="1:5" x14ac:dyDescent="0.2">
      <c r="A420" s="1293">
        <v>40298</v>
      </c>
      <c r="B420" s="1300"/>
    </row>
    <row r="421" spans="1:5" x14ac:dyDescent="0.2">
      <c r="A421" s="1293">
        <v>40329</v>
      </c>
      <c r="B421" s="1300"/>
    </row>
    <row r="422" spans="1:5" x14ac:dyDescent="0.2">
      <c r="A422" s="1293">
        <v>40359</v>
      </c>
      <c r="B422" s="1300"/>
    </row>
    <row r="423" spans="1:5" x14ac:dyDescent="0.2">
      <c r="A423" s="1293">
        <v>40390</v>
      </c>
      <c r="B423" s="1300"/>
    </row>
    <row r="424" spans="1:5" x14ac:dyDescent="0.2">
      <c r="A424" s="1293">
        <v>40421</v>
      </c>
      <c r="B424" s="1300"/>
    </row>
    <row r="425" spans="1:5" x14ac:dyDescent="0.2">
      <c r="A425" s="1293">
        <v>40451</v>
      </c>
      <c r="B425" s="1300"/>
    </row>
    <row r="426" spans="1:5" x14ac:dyDescent="0.2">
      <c r="A426" s="1293">
        <v>40482</v>
      </c>
      <c r="B426" s="1300"/>
    </row>
    <row r="427" spans="1:5" x14ac:dyDescent="0.2">
      <c r="A427" s="1293">
        <v>40512</v>
      </c>
      <c r="B427" s="1300"/>
      <c r="C427" s="1307">
        <v>166997373.80000001</v>
      </c>
      <c r="E427" s="1301">
        <f>B427-Index_Returns!AL427</f>
        <v>2.6357599999999999</v>
      </c>
    </row>
    <row r="428" spans="1:5" x14ac:dyDescent="0.2">
      <c r="A428" s="1293">
        <v>40543</v>
      </c>
      <c r="B428" s="1300">
        <f>D428</f>
        <v>6.5779399999999999</v>
      </c>
      <c r="C428" s="1307">
        <v>172275045.53</v>
      </c>
      <c r="D428" s="1306">
        <v>6.5779399999999999</v>
      </c>
      <c r="E428" s="1301">
        <f>B428-Index_Returns!AL428</f>
        <v>-0.56979000000000024</v>
      </c>
    </row>
    <row r="429" spans="1:5" x14ac:dyDescent="0.2">
      <c r="A429" s="1293">
        <v>40574</v>
      </c>
      <c r="B429" s="1300">
        <f>D429</f>
        <v>-0.66</v>
      </c>
      <c r="C429" s="1307">
        <v>171247196.49000001</v>
      </c>
      <c r="D429" s="1306">
        <v>-0.66</v>
      </c>
      <c r="E429" s="1301">
        <f>B429-Index_Returns!AL429</f>
        <v>2.0340799999999999</v>
      </c>
    </row>
    <row r="430" spans="1:5" x14ac:dyDescent="0.2">
      <c r="A430" s="1293">
        <v>40602</v>
      </c>
      <c r="B430" s="1300">
        <v>-1.13002</v>
      </c>
      <c r="C430" s="1307">
        <v>169310715.03999999</v>
      </c>
      <c r="D430" s="1306">
        <v>-1.13002</v>
      </c>
      <c r="E430" s="1301">
        <f>B430-Index_Returns!AL430</f>
        <v>-0.21225000000000005</v>
      </c>
    </row>
    <row r="431" spans="1:5" x14ac:dyDescent="0.2">
      <c r="A431" s="1293">
        <v>40633</v>
      </c>
      <c r="B431" s="1300">
        <f>D431</f>
        <v>6.0442799999999997</v>
      </c>
      <c r="C431" s="1307">
        <v>179601999.87</v>
      </c>
      <c r="D431" s="1306">
        <v>6.0442799999999997</v>
      </c>
      <c r="E431" s="1301">
        <f>B431-Index_Returns!AL431</f>
        <v>0.14907999999999966</v>
      </c>
    </row>
    <row r="432" spans="1:5" x14ac:dyDescent="0.2">
      <c r="A432" s="1293">
        <v>40663</v>
      </c>
      <c r="B432" s="1300">
        <f t="shared" ref="B432:B488" si="0">D432</f>
        <v>3.67605</v>
      </c>
      <c r="C432" s="1307">
        <v>186489383.03</v>
      </c>
      <c r="D432" s="1306">
        <v>3.67605</v>
      </c>
      <c r="E432" s="1301">
        <f>B432-Index_Returns!AL432</f>
        <v>0.55232999999999999</v>
      </c>
    </row>
    <row r="433" spans="1:5" x14ac:dyDescent="0.2">
      <c r="A433" s="1293">
        <v>40694</v>
      </c>
      <c r="B433" s="1300">
        <f t="shared" si="0"/>
        <v>-3.1827100000000002</v>
      </c>
      <c r="C433" s="1307">
        <v>177272172.50999999</v>
      </c>
      <c r="D433" s="1306">
        <v>-3.1827100000000002</v>
      </c>
      <c r="E433" s="1301">
        <f>B433-Index_Returns!AL433</f>
        <v>-0.59952000000000005</v>
      </c>
    </row>
    <row r="434" spans="1:5" x14ac:dyDescent="0.2">
      <c r="A434" s="1293">
        <v>40724</v>
      </c>
      <c r="B434" s="1300">
        <f t="shared" si="0"/>
        <v>-1.0256099999999999</v>
      </c>
      <c r="C434" s="1307">
        <v>182435971.49000001</v>
      </c>
      <c r="D434" s="1306">
        <v>-1.0256099999999999</v>
      </c>
      <c r="E434" s="1301">
        <f>B434-Index_Returns!AL434</f>
        <v>0.47069000000000005</v>
      </c>
    </row>
    <row r="435" spans="1:5" x14ac:dyDescent="0.2">
      <c r="A435" s="1293">
        <v>40755</v>
      </c>
      <c r="B435" s="1300">
        <f t="shared" si="0"/>
        <v>-9.0090000000000003E-2</v>
      </c>
      <c r="C435" s="1307">
        <v>178654190.87</v>
      </c>
      <c r="D435" s="1306">
        <v>-9.0090000000000003E-2</v>
      </c>
      <c r="E435" s="1301">
        <f>B435-Index_Returns!AL435</f>
        <v>0.28599000000000002</v>
      </c>
    </row>
    <row r="436" spans="1:5" x14ac:dyDescent="0.2">
      <c r="A436" s="1293">
        <v>40786</v>
      </c>
      <c r="B436" s="1300">
        <f t="shared" si="0"/>
        <v>-10.270289999999999</v>
      </c>
      <c r="C436" s="1307">
        <v>160779705.83000001</v>
      </c>
      <c r="D436" s="1306">
        <v>-10.270289999999999</v>
      </c>
      <c r="E436" s="1301">
        <f>B436-Index_Returns!AM436</f>
        <v>-4.5122699999999991</v>
      </c>
    </row>
    <row r="437" spans="1:5" x14ac:dyDescent="0.2">
      <c r="A437" s="1293">
        <v>40816</v>
      </c>
      <c r="B437" s="1300">
        <f t="shared" si="0"/>
        <v>-14.95242</v>
      </c>
      <c r="C437" s="1307">
        <v>136822933.47</v>
      </c>
      <c r="D437" s="1306">
        <v>-14.95242</v>
      </c>
      <c r="E437" s="1301">
        <f>B437-Index_Returns!AL437</f>
        <v>-0.3898299999999999</v>
      </c>
    </row>
    <row r="438" spans="1:5" x14ac:dyDescent="0.2">
      <c r="A438" s="1293">
        <v>40847</v>
      </c>
      <c r="B438" s="1300">
        <f t="shared" si="0"/>
        <v>11.48728</v>
      </c>
      <c r="C438" s="1307">
        <v>152548005.09</v>
      </c>
      <c r="D438" s="1306">
        <v>11.48728</v>
      </c>
      <c r="E438" s="1301">
        <f>B438-Index_Returns!AL438</f>
        <v>-1.7683499999999999</v>
      </c>
    </row>
    <row r="439" spans="1:5" x14ac:dyDescent="0.2">
      <c r="A439" s="1293">
        <v>40877</v>
      </c>
      <c r="B439" s="1300">
        <f t="shared" si="0"/>
        <v>-5.5200500000000003</v>
      </c>
      <c r="C439" s="1307">
        <v>144119186.43000001</v>
      </c>
      <c r="D439" s="1306">
        <v>-5.5200500000000003</v>
      </c>
      <c r="E439" s="1301">
        <f>B439-Index_Returns!AL439</f>
        <v>1.13917</v>
      </c>
    </row>
    <row r="440" spans="1:5" x14ac:dyDescent="0.2">
      <c r="A440" s="1293">
        <v>40908</v>
      </c>
      <c r="B440" s="1300">
        <f t="shared" si="0"/>
        <v>-2.1310799999999999</v>
      </c>
      <c r="C440" s="1307">
        <v>141050400.97</v>
      </c>
      <c r="D440" s="1306">
        <v>-2.1310799999999999</v>
      </c>
      <c r="E440" s="1301">
        <f>B440-Index_Returns!AL440</f>
        <v>-0.93538999999999994</v>
      </c>
    </row>
    <row r="441" spans="1:5" x14ac:dyDescent="0.2">
      <c r="A441" s="345">
        <v>40939</v>
      </c>
      <c r="B441" s="1300">
        <f t="shared" si="0"/>
        <v>13.7159</v>
      </c>
      <c r="C441" s="1307">
        <v>158780116.00999999</v>
      </c>
      <c r="D441" s="1306">
        <v>13.7159</v>
      </c>
      <c r="E441" s="1301">
        <f>B441-Index_Returns!AL441</f>
        <v>2.3538999999999994</v>
      </c>
    </row>
    <row r="442" spans="1:5" x14ac:dyDescent="0.2">
      <c r="A442" s="345">
        <v>40968</v>
      </c>
      <c r="B442" s="1300">
        <f t="shared" si="0"/>
        <v>6.7681300000000002</v>
      </c>
      <c r="C442" s="1307">
        <v>171599458.90000001</v>
      </c>
      <c r="D442" s="1306">
        <v>6.7681300000000002</v>
      </c>
      <c r="E442" s="1301">
        <f>B442-Index_Returns!AL442</f>
        <v>0.7596500000000006</v>
      </c>
    </row>
    <row r="443" spans="1:5" x14ac:dyDescent="0.2">
      <c r="A443" s="345">
        <v>40999</v>
      </c>
      <c r="B443" s="1300">
        <f t="shared" si="0"/>
        <v>-3.41</v>
      </c>
      <c r="C443" s="1307">
        <v>165869294.46000001</v>
      </c>
      <c r="D443" s="1306">
        <v>-3.41</v>
      </c>
      <c r="E443" s="1301">
        <f>B443-Index_Returns!AL443</f>
        <v>-9.352000000000027E-2</v>
      </c>
    </row>
    <row r="444" spans="1:5" x14ac:dyDescent="0.2">
      <c r="A444" s="345">
        <v>41029</v>
      </c>
      <c r="B444" s="1300">
        <f t="shared" si="0"/>
        <v>-1.8273999999999999</v>
      </c>
      <c r="C444" s="1307">
        <v>163721924.69</v>
      </c>
      <c r="D444" s="1306">
        <v>-1.8273999999999999</v>
      </c>
      <c r="E444" s="1301">
        <f>B444-Index_Returns!AL444</f>
        <v>-0.64942999999999995</v>
      </c>
    </row>
    <row r="445" spans="1:5" x14ac:dyDescent="0.2">
      <c r="A445" s="345">
        <v>41060</v>
      </c>
      <c r="B445" s="1300">
        <f t="shared" si="0"/>
        <v>-11.57859</v>
      </c>
      <c r="C445" s="1307">
        <v>144161209.84</v>
      </c>
      <c r="D445" s="1306">
        <v>-11.57859</v>
      </c>
      <c r="E445" s="1301">
        <f>B445-Index_Returns!AL445</f>
        <v>-0.41601999999999961</v>
      </c>
    </row>
    <row r="446" spans="1:5" x14ac:dyDescent="0.2">
      <c r="A446" s="345">
        <v>41090</v>
      </c>
      <c r="B446" s="1300">
        <f t="shared" si="0"/>
        <v>4.1545500000000004</v>
      </c>
      <c r="C446" s="1307">
        <v>145997708.91999999</v>
      </c>
      <c r="D446" s="1306">
        <v>4.1545500000000004</v>
      </c>
      <c r="E446" s="1301">
        <f>B446-Index_Returns!AL446</f>
        <v>0.24805000000000055</v>
      </c>
    </row>
    <row r="447" spans="1:5" x14ac:dyDescent="0.2">
      <c r="A447" s="345">
        <v>41121</v>
      </c>
      <c r="B447" s="1300">
        <f t="shared" si="0"/>
        <v>0.93594999999999995</v>
      </c>
      <c r="C447" s="1307">
        <v>152183789.63999999</v>
      </c>
      <c r="D447" s="1306">
        <v>0.93594999999999995</v>
      </c>
      <c r="E447" s="1301">
        <f>B447-Index_Returns!AL447</f>
        <v>-1.0867399999999998</v>
      </c>
    </row>
    <row r="448" spans="1:5" x14ac:dyDescent="0.2">
      <c r="A448" s="345">
        <v>41152</v>
      </c>
      <c r="B448" s="1300">
        <f t="shared" si="0"/>
        <v>0.20180999999999999</v>
      </c>
      <c r="C448" s="1307">
        <v>152771800.25</v>
      </c>
      <c r="D448" s="1306">
        <v>0.20180999999999999</v>
      </c>
      <c r="E448" s="1301">
        <f>B448-Index_Returns!AL448</f>
        <v>0.49081999999999998</v>
      </c>
    </row>
    <row r="449" spans="1:5" x14ac:dyDescent="0.2">
      <c r="A449" s="345">
        <v>41182</v>
      </c>
      <c r="B449" s="1300">
        <f t="shared" si="0"/>
        <v>6.0031400000000001</v>
      </c>
      <c r="C449" s="1307">
        <v>162031723.5</v>
      </c>
      <c r="D449" s="1306">
        <v>6.0031400000000001</v>
      </c>
      <c r="E449" s="1301">
        <f>B449-Index_Returns!AL449</f>
        <v>-5.0829999999999487E-2</v>
      </c>
    </row>
    <row r="450" spans="1:5" x14ac:dyDescent="0.2">
      <c r="A450" s="345">
        <v>41213</v>
      </c>
      <c r="B450" s="1300">
        <f t="shared" si="0"/>
        <v>-0.43907000000000002</v>
      </c>
      <c r="C450" s="1307">
        <v>271882274.94999999</v>
      </c>
      <c r="D450" s="1306">
        <v>-0.43907000000000002</v>
      </c>
      <c r="E450" s="1301">
        <f>B450-Index_Returns!AL450</f>
        <v>0.15726999999999997</v>
      </c>
    </row>
    <row r="451" spans="1:5" x14ac:dyDescent="0.2">
      <c r="A451" s="345">
        <v>41243</v>
      </c>
      <c r="B451" s="1300">
        <f t="shared" si="0"/>
        <v>1.4605600000000001</v>
      </c>
      <c r="C451" s="1307">
        <v>273027084.08999997</v>
      </c>
      <c r="D451" s="1306">
        <v>1.4605600000000001</v>
      </c>
      <c r="E451" s="1301">
        <f>B451-Index_Returns!AL451</f>
        <v>0.18361000000000005</v>
      </c>
    </row>
    <row r="452" spans="1:5" x14ac:dyDescent="0.2">
      <c r="A452" s="345">
        <v>41274</v>
      </c>
      <c r="B452" s="1300">
        <f t="shared" si="0"/>
        <v>6.4606500000000002</v>
      </c>
      <c r="C452" s="1307">
        <v>290148752.88999999</v>
      </c>
      <c r="D452" s="1306">
        <v>6.4606500000000002</v>
      </c>
      <c r="E452" s="1301">
        <f>B452-Index_Returns!AL452</f>
        <v>1.5590700000000002</v>
      </c>
    </row>
    <row r="453" spans="1:5" x14ac:dyDescent="0.2">
      <c r="A453" s="345">
        <v>41305</v>
      </c>
      <c r="B453" s="1300">
        <f t="shared" si="0"/>
        <v>2.8921100000000002</v>
      </c>
      <c r="C453" s="1307">
        <v>299272178.73000002</v>
      </c>
      <c r="D453" s="1306">
        <v>2.8921100000000002</v>
      </c>
      <c r="E453" s="1301">
        <f>B453-Index_Returns!AL453</f>
        <v>1.4978400000000003</v>
      </c>
    </row>
    <row r="454" spans="1:5" x14ac:dyDescent="0.2">
      <c r="A454" s="345">
        <v>41333</v>
      </c>
      <c r="B454" s="1300">
        <f t="shared" si="0"/>
        <v>-1.0739399999999999</v>
      </c>
      <c r="C454" s="1307">
        <v>296920469.13</v>
      </c>
      <c r="D454" s="1306">
        <v>-1.0739399999999999</v>
      </c>
      <c r="E454" s="1301">
        <f>B454-Index_Returns!AL454</f>
        <v>0.16804000000000019</v>
      </c>
    </row>
    <row r="455" spans="1:5" x14ac:dyDescent="0.2">
      <c r="A455" s="345">
        <v>41364</v>
      </c>
      <c r="B455" s="1300">
        <f t="shared" si="0"/>
        <v>-1.51522</v>
      </c>
      <c r="C455" s="1307">
        <v>292095874.55000001</v>
      </c>
      <c r="D455" s="1306">
        <v>-1.51522</v>
      </c>
      <c r="E455" s="1301">
        <f>B455-Index_Returns!AL455</f>
        <v>0.18547000000000002</v>
      </c>
    </row>
    <row r="456" spans="1:5" x14ac:dyDescent="0.2">
      <c r="A456" s="345">
        <v>41394</v>
      </c>
      <c r="B456" s="1300">
        <f t="shared" si="0"/>
        <v>1.4065700000000001</v>
      </c>
      <c r="C456" s="1307">
        <v>295905809.44999999</v>
      </c>
      <c r="D456" s="1306">
        <v>1.4065700000000001</v>
      </c>
      <c r="E456" s="1301">
        <f>B456-Index_Returns!AL456</f>
        <v>0.61366000000000009</v>
      </c>
    </row>
    <row r="457" spans="1:5" x14ac:dyDescent="0.2">
      <c r="A457" s="345">
        <v>41425</v>
      </c>
      <c r="B457" s="1300">
        <f t="shared" si="0"/>
        <v>-2.9282499999999998</v>
      </c>
      <c r="C457" s="1307">
        <v>287599668.37</v>
      </c>
      <c r="D457" s="1306">
        <v>-2.9282499999999998</v>
      </c>
      <c r="E457" s="1301">
        <f>B457-Index_Returns!AL457</f>
        <v>-0.4097599999999999</v>
      </c>
    </row>
    <row r="458" spans="1:5" x14ac:dyDescent="0.2">
      <c r="A458" s="345">
        <v>41455</v>
      </c>
      <c r="B458" s="1300">
        <f t="shared" si="0"/>
        <v>-8.1755200000000006</v>
      </c>
      <c r="C458" s="1307">
        <v>264592098.25999999</v>
      </c>
      <c r="D458" s="1306">
        <v>-8.1755200000000006</v>
      </c>
      <c r="E458" s="1301">
        <f>B458-Index_Returns!AL458</f>
        <v>-1.8569200000000006</v>
      </c>
    </row>
    <row r="459" spans="1:5" x14ac:dyDescent="0.2">
      <c r="A459" s="345">
        <v>41486</v>
      </c>
      <c r="B459" s="1300">
        <f t="shared" si="0"/>
        <v>0.54176999999999997</v>
      </c>
      <c r="C459" s="1307">
        <v>266667182.11000001</v>
      </c>
      <c r="D459" s="1306">
        <v>0.54176999999999997</v>
      </c>
      <c r="E459" s="1301">
        <f>B459-Index_Returns!AL459</f>
        <v>-0.55714000000000008</v>
      </c>
    </row>
    <row r="460" spans="1:5" x14ac:dyDescent="0.2">
      <c r="A460" s="345">
        <v>41517</v>
      </c>
      <c r="B460" s="1300">
        <f t="shared" si="0"/>
        <v>-1.33839</v>
      </c>
      <c r="C460" s="1307">
        <v>263098147.18000001</v>
      </c>
      <c r="D460" s="1306">
        <v>-1.33839</v>
      </c>
      <c r="E460" s="1301">
        <f>B460-Index_Returns!AL460</f>
        <v>0.3398000000000001</v>
      </c>
    </row>
    <row r="461" spans="1:5" x14ac:dyDescent="0.2">
      <c r="A461" s="345">
        <v>41547</v>
      </c>
      <c r="B461" s="1300">
        <f t="shared" si="0"/>
        <v>7.5065999999999997</v>
      </c>
      <c r="C461" s="1307">
        <v>282847866.00999999</v>
      </c>
      <c r="D461" s="1306">
        <v>7.5065999999999997</v>
      </c>
      <c r="E461" s="1301">
        <f>B461-Index_Returns!AL461</f>
        <v>0.97178999999999949</v>
      </c>
    </row>
    <row r="462" spans="1:5" x14ac:dyDescent="0.2">
      <c r="A462" s="345">
        <v>41578</v>
      </c>
      <c r="B462" s="1300">
        <f t="shared" si="0"/>
        <v>4.5778100000000004</v>
      </c>
      <c r="C462" s="1307">
        <v>296440200.07999998</v>
      </c>
      <c r="D462" s="1306">
        <v>4.5778100000000004</v>
      </c>
      <c r="E462" s="1301">
        <f>B462-Index_Returns!AL462</f>
        <v>-0.29530999999999974</v>
      </c>
    </row>
    <row r="463" spans="1:5" x14ac:dyDescent="0.2">
      <c r="A463" s="345">
        <v>41608</v>
      </c>
      <c r="B463" s="1300">
        <f t="shared" si="0"/>
        <v>-1.3465800000000001</v>
      </c>
      <c r="C463" s="1307">
        <v>292448385.52999997</v>
      </c>
      <c r="D463" s="1306">
        <v>-1.3465800000000001</v>
      </c>
      <c r="E463" s="1301">
        <f>B463-Index_Returns!AL463</f>
        <v>0.10783999999999994</v>
      </c>
    </row>
    <row r="464" spans="1:5" x14ac:dyDescent="0.2">
      <c r="A464" s="345">
        <v>41639</v>
      </c>
      <c r="B464" s="1300">
        <f t="shared" si="0"/>
        <v>-0.85736000000000001</v>
      </c>
      <c r="C464" s="1307">
        <v>289941051.63999999</v>
      </c>
      <c r="D464" s="1306">
        <v>-0.85736000000000001</v>
      </c>
      <c r="E464" s="1301">
        <f>B464-Index_Returns!AL464</f>
        <v>0.58028000000000002</v>
      </c>
    </row>
    <row r="465" spans="1:5" x14ac:dyDescent="0.2">
      <c r="A465" s="345">
        <v>41670</v>
      </c>
      <c r="B465" s="1300">
        <f t="shared" si="0"/>
        <v>-7.0313400000000001</v>
      </c>
      <c r="C465" s="1307">
        <v>270208949.25</v>
      </c>
      <c r="D465" s="1306">
        <v>-7.0313400000000001</v>
      </c>
      <c r="E465" s="1301">
        <f>B465-Index_Returns!AL465</f>
        <v>-0.53781000000000034</v>
      </c>
    </row>
    <row r="466" spans="1:5" x14ac:dyDescent="0.2">
      <c r="A466" s="345">
        <v>41698</v>
      </c>
      <c r="B466" s="1300">
        <f t="shared" si="0"/>
        <v>2.6531899999999999</v>
      </c>
      <c r="C466" s="1307">
        <v>277378102.47000003</v>
      </c>
      <c r="D466" s="1306">
        <v>2.6531899999999999</v>
      </c>
      <c r="E466" s="1301">
        <f>B466-Index_Returns!AL466</f>
        <v>-0.65941000000000027</v>
      </c>
    </row>
    <row r="467" spans="1:5" x14ac:dyDescent="0.2">
      <c r="A467" s="345">
        <v>41729</v>
      </c>
      <c r="B467" s="1300">
        <f t="shared" si="0"/>
        <v>4.2925599999999999</v>
      </c>
      <c r="C467" s="1307">
        <v>289284736.43000001</v>
      </c>
      <c r="D467" s="1306">
        <v>4.2925599999999999</v>
      </c>
      <c r="E467" s="1301">
        <f>B467-Index_Returns!AL467</f>
        <v>1.2230499999999997</v>
      </c>
    </row>
    <row r="468" spans="1:5" x14ac:dyDescent="0.2">
      <c r="A468" s="345">
        <v>41759</v>
      </c>
      <c r="B468" s="1300">
        <f t="shared" si="0"/>
        <v>1.1179300000000001</v>
      </c>
      <c r="C468" s="1307">
        <v>293151447.52999997</v>
      </c>
      <c r="D468" s="1306">
        <v>1.1179300000000001</v>
      </c>
      <c r="E468" s="1301">
        <f>B468-Index_Returns!AL468</f>
        <v>0.78378000000000014</v>
      </c>
    </row>
    <row r="469" spans="1:5" x14ac:dyDescent="0.2">
      <c r="A469" s="345">
        <v>41790</v>
      </c>
      <c r="B469" s="1300">
        <f t="shared" si="0"/>
        <v>4.3637100000000002</v>
      </c>
      <c r="C469" s="1307">
        <v>305943725.94</v>
      </c>
      <c r="D469" s="1306">
        <v>4.3637100000000002</v>
      </c>
      <c r="E469" s="1301">
        <f>B469-Index_Returns!AL469</f>
        <v>0.87314000000000025</v>
      </c>
    </row>
    <row r="470" spans="1:5" x14ac:dyDescent="0.2">
      <c r="A470" s="345">
        <v>41820</v>
      </c>
      <c r="B470" s="1300">
        <f t="shared" si="0"/>
        <v>3.32334</v>
      </c>
      <c r="C470" s="1307">
        <v>316111283.92000002</v>
      </c>
      <c r="D470" s="1306">
        <v>3.32334</v>
      </c>
      <c r="E470" s="1301">
        <f>B470-Index_Returns!AL470</f>
        <v>0.66645999999999983</v>
      </c>
    </row>
    <row r="471" spans="1:5" x14ac:dyDescent="0.2">
      <c r="A471" s="345">
        <v>41851</v>
      </c>
      <c r="B471" s="1300">
        <f t="shared" si="0"/>
        <v>1.7689900000000001</v>
      </c>
      <c r="C471" s="1307">
        <v>322413246.46799999</v>
      </c>
      <c r="D471" s="1306">
        <v>1.7689900000000001</v>
      </c>
      <c r="E471" s="1301">
        <f>B471-Index_Returns!AL471</f>
        <v>-0.16457999999999995</v>
      </c>
    </row>
    <row r="472" spans="1:5" x14ac:dyDescent="0.2">
      <c r="A472" s="345">
        <v>41882</v>
      </c>
      <c r="B472" s="1300">
        <f t="shared" si="0"/>
        <v>2.4500199999999999</v>
      </c>
      <c r="C472" s="1307">
        <v>330312429.11000001</v>
      </c>
      <c r="D472" s="1306">
        <v>2.4500199999999999</v>
      </c>
      <c r="E472" s="1301">
        <f>B472-Index_Returns!AL472</f>
        <v>0.1964999999999999</v>
      </c>
    </row>
    <row r="473" spans="1:5" x14ac:dyDescent="0.2">
      <c r="A473" s="345">
        <v>41912</v>
      </c>
      <c r="B473" s="1300">
        <f t="shared" si="0"/>
        <v>0</v>
      </c>
      <c r="E473" s="1301">
        <f>B473-Index_Returns!AL473</f>
        <v>0</v>
      </c>
    </row>
    <row r="474" spans="1:5" x14ac:dyDescent="0.2">
      <c r="A474" s="345">
        <v>41943</v>
      </c>
      <c r="B474" s="1300">
        <f t="shared" si="0"/>
        <v>0</v>
      </c>
      <c r="E474" s="1301">
        <f>B474-Index_Returns!AL474</f>
        <v>0</v>
      </c>
    </row>
    <row r="475" spans="1:5" x14ac:dyDescent="0.2">
      <c r="A475" s="345">
        <v>41973</v>
      </c>
      <c r="B475" s="1300">
        <f t="shared" si="0"/>
        <v>0</v>
      </c>
      <c r="E475" s="1301">
        <f>B475-Index_Returns!AL475</f>
        <v>0</v>
      </c>
    </row>
    <row r="476" spans="1:5" x14ac:dyDescent="0.2">
      <c r="A476" s="345">
        <v>42004</v>
      </c>
      <c r="B476" s="1300">
        <f t="shared" si="0"/>
        <v>0</v>
      </c>
      <c r="E476" s="1301">
        <f>B476-Index_Returns!AL476</f>
        <v>0</v>
      </c>
    </row>
    <row r="477" spans="1:5" x14ac:dyDescent="0.2">
      <c r="A477" s="345">
        <v>42035</v>
      </c>
      <c r="B477" s="1300">
        <f t="shared" si="0"/>
        <v>0</v>
      </c>
      <c r="E477" s="1301">
        <f>B477-Index_Returns!AL477</f>
        <v>0</v>
      </c>
    </row>
    <row r="478" spans="1:5" x14ac:dyDescent="0.2">
      <c r="A478" s="345">
        <v>42063</v>
      </c>
      <c r="B478" s="1300">
        <f t="shared" si="0"/>
        <v>0</v>
      </c>
      <c r="E478" s="1301">
        <f>B478-Index_Returns!AL478</f>
        <v>0</v>
      </c>
    </row>
    <row r="479" spans="1:5" x14ac:dyDescent="0.2">
      <c r="A479" s="345">
        <v>42094</v>
      </c>
      <c r="B479" s="1300">
        <f t="shared" si="0"/>
        <v>0</v>
      </c>
      <c r="E479" s="1301">
        <f>B479-Index_Returns!AL479</f>
        <v>0</v>
      </c>
    </row>
    <row r="480" spans="1:5" x14ac:dyDescent="0.2">
      <c r="A480" s="345">
        <v>42124</v>
      </c>
      <c r="B480" s="1300">
        <f t="shared" si="0"/>
        <v>0</v>
      </c>
      <c r="E480" s="1301">
        <f>B480-Index_Returns!AL480</f>
        <v>0</v>
      </c>
    </row>
    <row r="481" spans="1:5" x14ac:dyDescent="0.2">
      <c r="A481" s="345">
        <v>42155</v>
      </c>
      <c r="B481" s="1300">
        <f t="shared" si="0"/>
        <v>0</v>
      </c>
      <c r="E481" s="1301">
        <f>B481-Index_Returns!AL481</f>
        <v>0</v>
      </c>
    </row>
    <row r="482" spans="1:5" x14ac:dyDescent="0.2">
      <c r="A482" s="345">
        <v>42185</v>
      </c>
      <c r="B482" s="1300">
        <f t="shared" si="0"/>
        <v>0</v>
      </c>
      <c r="E482" s="1301">
        <f>B482-Index_Returns!AL482</f>
        <v>0</v>
      </c>
    </row>
    <row r="483" spans="1:5" x14ac:dyDescent="0.2">
      <c r="A483" s="345">
        <v>42216</v>
      </c>
      <c r="B483" s="1300">
        <f t="shared" si="0"/>
        <v>0</v>
      </c>
      <c r="E483" s="1301">
        <f>B483-Index_Returns!AL483</f>
        <v>0</v>
      </c>
    </row>
    <row r="484" spans="1:5" x14ac:dyDescent="0.2">
      <c r="A484" s="345">
        <v>42247</v>
      </c>
      <c r="B484" s="1300">
        <f t="shared" si="0"/>
        <v>0</v>
      </c>
      <c r="E484" s="1301">
        <f>B484-Index_Returns!AL484</f>
        <v>0</v>
      </c>
    </row>
    <row r="485" spans="1:5" x14ac:dyDescent="0.2">
      <c r="A485" s="345">
        <v>42277</v>
      </c>
      <c r="B485" s="1300">
        <f t="shared" si="0"/>
        <v>0</v>
      </c>
      <c r="E485" s="1301">
        <f>B485-Index_Returns!AL485</f>
        <v>0</v>
      </c>
    </row>
    <row r="486" spans="1:5" x14ac:dyDescent="0.2">
      <c r="A486" s="345">
        <v>42308</v>
      </c>
      <c r="B486" s="1300">
        <f t="shared" si="0"/>
        <v>0</v>
      </c>
      <c r="E486" s="1301">
        <f>B486-Index_Returns!AL486</f>
        <v>0</v>
      </c>
    </row>
    <row r="487" spans="1:5" x14ac:dyDescent="0.2">
      <c r="A487" s="345">
        <v>42338</v>
      </c>
      <c r="B487" s="1300">
        <f t="shared" si="0"/>
        <v>0</v>
      </c>
      <c r="E487" s="1301">
        <f>B487-Index_Returns!AL487</f>
        <v>0</v>
      </c>
    </row>
    <row r="488" spans="1:5" x14ac:dyDescent="0.2">
      <c r="A488" s="345">
        <v>42369</v>
      </c>
      <c r="B488" s="1300">
        <f t="shared" si="0"/>
        <v>0</v>
      </c>
      <c r="E488" s="1301">
        <f>B488-Index_Returns!AL488</f>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H488"/>
  <sheetViews>
    <sheetView workbookViewId="0">
      <pane xSplit="1" ySplit="2" topLeftCell="B447" activePane="bottomRight" state="frozen"/>
      <selection pane="topRight" activeCell="B1" sqref="B1"/>
      <selection pane="bottomLeft" activeCell="A3" sqref="A3"/>
      <selection pane="bottomRight" activeCell="C472" sqref="C472:D472"/>
    </sheetView>
  </sheetViews>
  <sheetFormatPr defaultRowHeight="12.75" x14ac:dyDescent="0.2"/>
  <cols>
    <col min="1" max="1" width="18.7109375" style="1308" customWidth="1"/>
    <col min="2" max="2" width="18.7109375" style="1309" customWidth="1"/>
    <col min="3" max="3" width="18.7109375" style="1307" customWidth="1"/>
    <col min="4" max="4" width="18.7109375" style="1306" customWidth="1"/>
    <col min="5" max="5" width="9.140625" style="1301"/>
    <col min="6" max="6" width="12.42578125" style="1266" bestFit="1" customWidth="1"/>
    <col min="7" max="8" width="9.140625" style="1305"/>
    <col min="9" max="16384" width="9.140625" style="1266"/>
  </cols>
  <sheetData>
    <row r="1" spans="1:6" x14ac:dyDescent="0.2">
      <c r="A1" s="1289" t="s">
        <v>884</v>
      </c>
      <c r="B1" s="1290"/>
      <c r="C1" s="1386" t="s">
        <v>686</v>
      </c>
      <c r="D1" s="1373">
        <v>40</v>
      </c>
      <c r="F1" s="1308" t="s">
        <v>743</v>
      </c>
    </row>
    <row r="2" spans="1:6" x14ac:dyDescent="0.2">
      <c r="A2" s="1291" t="s">
        <v>27</v>
      </c>
      <c r="B2" s="1292" t="s">
        <v>91</v>
      </c>
      <c r="C2" s="1294" t="s">
        <v>92</v>
      </c>
      <c r="D2" s="1292" t="s">
        <v>90</v>
      </c>
      <c r="E2" s="1374" t="s">
        <v>80</v>
      </c>
    </row>
    <row r="3" spans="1:6" x14ac:dyDescent="0.2">
      <c r="A3" s="1293">
        <v>27606</v>
      </c>
      <c r="B3" s="1292"/>
      <c r="C3" s="1294"/>
      <c r="D3" s="1292"/>
    </row>
    <row r="4" spans="1:6" x14ac:dyDescent="0.2">
      <c r="A4" s="1293">
        <v>27637</v>
      </c>
      <c r="B4" s="1292"/>
      <c r="C4" s="1294"/>
      <c r="D4" s="1292"/>
    </row>
    <row r="5" spans="1:6" x14ac:dyDescent="0.2">
      <c r="A5" s="1293">
        <v>27667</v>
      </c>
      <c r="B5" s="1292"/>
      <c r="C5" s="1294"/>
      <c r="D5" s="1292"/>
    </row>
    <row r="6" spans="1:6" x14ac:dyDescent="0.2">
      <c r="A6" s="1293">
        <v>27698</v>
      </c>
      <c r="B6" s="1292"/>
      <c r="C6" s="1294"/>
      <c r="D6" s="1292"/>
    </row>
    <row r="7" spans="1:6" x14ac:dyDescent="0.2">
      <c r="A7" s="1293">
        <v>27728</v>
      </c>
      <c r="B7" s="1292"/>
      <c r="C7" s="1294"/>
      <c r="D7" s="1292"/>
    </row>
    <row r="8" spans="1:6" x14ac:dyDescent="0.2">
      <c r="A8" s="1293">
        <v>27759</v>
      </c>
      <c r="B8" s="1292"/>
      <c r="C8" s="1294"/>
      <c r="D8" s="1292"/>
    </row>
    <row r="9" spans="1:6" x14ac:dyDescent="0.2">
      <c r="A9" s="1293">
        <v>27790</v>
      </c>
      <c r="B9" s="1292"/>
      <c r="C9" s="1294"/>
      <c r="D9" s="1292"/>
    </row>
    <row r="10" spans="1:6" x14ac:dyDescent="0.2">
      <c r="A10" s="1293">
        <v>27819</v>
      </c>
      <c r="B10" s="1292"/>
      <c r="C10" s="1294"/>
      <c r="D10" s="1292"/>
    </row>
    <row r="11" spans="1:6" x14ac:dyDescent="0.2">
      <c r="A11" s="1293">
        <v>27850</v>
      </c>
      <c r="B11" s="1292"/>
      <c r="C11" s="1294"/>
      <c r="D11" s="1292"/>
    </row>
    <row r="12" spans="1:6" x14ac:dyDescent="0.2">
      <c r="A12" s="1293">
        <v>27880</v>
      </c>
      <c r="B12" s="1292"/>
      <c r="C12" s="1294"/>
      <c r="D12" s="1292"/>
    </row>
    <row r="13" spans="1:6" x14ac:dyDescent="0.2">
      <c r="A13" s="1293">
        <v>27911</v>
      </c>
      <c r="B13" s="1292"/>
      <c r="C13" s="1294"/>
      <c r="D13" s="1292"/>
    </row>
    <row r="14" spans="1:6" x14ac:dyDescent="0.2">
      <c r="A14" s="1293">
        <v>27941</v>
      </c>
      <c r="B14" s="1292"/>
      <c r="C14" s="1294"/>
      <c r="D14" s="1292"/>
    </row>
    <row r="15" spans="1:6" x14ac:dyDescent="0.2">
      <c r="A15" s="1293">
        <v>27972</v>
      </c>
      <c r="B15" s="1292"/>
      <c r="C15" s="1294"/>
      <c r="D15" s="1292"/>
    </row>
    <row r="16" spans="1:6" x14ac:dyDescent="0.2">
      <c r="A16" s="1293">
        <v>28003</v>
      </c>
      <c r="B16" s="1292"/>
      <c r="C16" s="1294"/>
      <c r="D16" s="1292"/>
    </row>
    <row r="17" spans="1:4" x14ac:dyDescent="0.2">
      <c r="A17" s="1293">
        <v>28033</v>
      </c>
      <c r="B17" s="1292"/>
      <c r="C17" s="1294"/>
      <c r="D17" s="1292"/>
    </row>
    <row r="18" spans="1:4" x14ac:dyDescent="0.2">
      <c r="A18" s="1293">
        <v>28064</v>
      </c>
      <c r="B18" s="1292"/>
      <c r="C18" s="1294"/>
      <c r="D18" s="1292"/>
    </row>
    <row r="19" spans="1:4" x14ac:dyDescent="0.2">
      <c r="A19" s="1293">
        <v>28094</v>
      </c>
      <c r="B19" s="1292"/>
      <c r="C19" s="1294"/>
      <c r="D19" s="1292"/>
    </row>
    <row r="20" spans="1:4" x14ac:dyDescent="0.2">
      <c r="A20" s="1293">
        <v>28125</v>
      </c>
      <c r="B20" s="1292"/>
      <c r="C20" s="1294"/>
      <c r="D20" s="1292"/>
    </row>
    <row r="21" spans="1:4" x14ac:dyDescent="0.2">
      <c r="A21" s="1293">
        <v>28156</v>
      </c>
      <c r="B21" s="1292"/>
      <c r="C21" s="1294"/>
      <c r="D21" s="1292"/>
    </row>
    <row r="22" spans="1:4" x14ac:dyDescent="0.2">
      <c r="A22" s="1293">
        <v>28184</v>
      </c>
      <c r="B22" s="1292"/>
      <c r="C22" s="1294"/>
      <c r="D22" s="1292"/>
    </row>
    <row r="23" spans="1:4" x14ac:dyDescent="0.2">
      <c r="A23" s="1293">
        <v>28215</v>
      </c>
      <c r="B23" s="1292"/>
      <c r="C23" s="1294"/>
      <c r="D23" s="1292"/>
    </row>
    <row r="24" spans="1:4" x14ac:dyDescent="0.2">
      <c r="A24" s="1293">
        <v>28245</v>
      </c>
      <c r="B24" s="1292"/>
      <c r="C24" s="1294"/>
      <c r="D24" s="1292"/>
    </row>
    <row r="25" spans="1:4" x14ac:dyDescent="0.2">
      <c r="A25" s="1293">
        <v>28276</v>
      </c>
      <c r="B25" s="1292"/>
      <c r="C25" s="1294"/>
      <c r="D25" s="1292"/>
    </row>
    <row r="26" spans="1:4" x14ac:dyDescent="0.2">
      <c r="A26" s="1293">
        <v>28306</v>
      </c>
      <c r="B26" s="1292"/>
      <c r="C26" s="1294"/>
      <c r="D26" s="1292"/>
    </row>
    <row r="27" spans="1:4" x14ac:dyDescent="0.2">
      <c r="A27" s="1293">
        <v>28337</v>
      </c>
      <c r="B27" s="1292"/>
      <c r="C27" s="1294"/>
      <c r="D27" s="1292"/>
    </row>
    <row r="28" spans="1:4" x14ac:dyDescent="0.2">
      <c r="A28" s="1293">
        <v>28368</v>
      </c>
      <c r="B28" s="1292"/>
      <c r="C28" s="1294"/>
      <c r="D28" s="1292"/>
    </row>
    <row r="29" spans="1:4" x14ac:dyDescent="0.2">
      <c r="A29" s="1293">
        <v>28398</v>
      </c>
      <c r="B29" s="1292"/>
      <c r="C29" s="1294"/>
      <c r="D29" s="1292"/>
    </row>
    <row r="30" spans="1:4" x14ac:dyDescent="0.2">
      <c r="A30" s="1293">
        <v>28429</v>
      </c>
      <c r="B30" s="1292"/>
      <c r="C30" s="1294"/>
      <c r="D30" s="1292"/>
    </row>
    <row r="31" spans="1:4" x14ac:dyDescent="0.2">
      <c r="A31" s="1293">
        <v>28459</v>
      </c>
      <c r="B31" s="1292"/>
      <c r="C31" s="1294"/>
      <c r="D31" s="1292"/>
    </row>
    <row r="32" spans="1:4" x14ac:dyDescent="0.2">
      <c r="A32" s="1293">
        <v>28490</v>
      </c>
      <c r="B32" s="1292"/>
      <c r="C32" s="1294"/>
      <c r="D32" s="1292"/>
    </row>
    <row r="33" spans="1:4" x14ac:dyDescent="0.2">
      <c r="A33" s="1293">
        <v>28521</v>
      </c>
      <c r="B33" s="1292"/>
      <c r="C33" s="1294"/>
      <c r="D33" s="1292"/>
    </row>
    <row r="34" spans="1:4" x14ac:dyDescent="0.2">
      <c r="A34" s="1293">
        <v>28549</v>
      </c>
      <c r="B34" s="1292"/>
      <c r="C34" s="1294"/>
      <c r="D34" s="1292"/>
    </row>
    <row r="35" spans="1:4" x14ac:dyDescent="0.2">
      <c r="A35" s="1293">
        <v>28580</v>
      </c>
      <c r="B35" s="1292"/>
      <c r="C35" s="1294"/>
      <c r="D35" s="1292"/>
    </row>
    <row r="36" spans="1:4" x14ac:dyDescent="0.2">
      <c r="A36" s="1293">
        <v>28610</v>
      </c>
      <c r="B36" s="1292"/>
      <c r="C36" s="1294"/>
      <c r="D36" s="1292"/>
    </row>
    <row r="37" spans="1:4" x14ac:dyDescent="0.2">
      <c r="A37" s="1293">
        <v>28641</v>
      </c>
      <c r="B37" s="1292"/>
      <c r="C37" s="1294"/>
      <c r="D37" s="1292"/>
    </row>
    <row r="38" spans="1:4" x14ac:dyDescent="0.2">
      <c r="A38" s="1293">
        <v>28671</v>
      </c>
      <c r="B38" s="1292"/>
      <c r="C38" s="1294"/>
      <c r="D38" s="1292"/>
    </row>
    <row r="39" spans="1:4" x14ac:dyDescent="0.2">
      <c r="A39" s="1293">
        <v>28702</v>
      </c>
      <c r="B39" s="1292"/>
      <c r="C39" s="1294"/>
      <c r="D39" s="1292"/>
    </row>
    <row r="40" spans="1:4" x14ac:dyDescent="0.2">
      <c r="A40" s="1293">
        <v>28733</v>
      </c>
      <c r="B40" s="1292"/>
      <c r="C40" s="1294"/>
      <c r="D40" s="1292"/>
    </row>
    <row r="41" spans="1:4" x14ac:dyDescent="0.2">
      <c r="A41" s="1293">
        <v>28763</v>
      </c>
      <c r="B41" s="1292"/>
      <c r="C41" s="1294"/>
      <c r="D41" s="1292"/>
    </row>
    <row r="42" spans="1:4" x14ac:dyDescent="0.2">
      <c r="A42" s="1293">
        <v>28794</v>
      </c>
      <c r="B42" s="1292"/>
      <c r="C42" s="1294"/>
      <c r="D42" s="1292"/>
    </row>
    <row r="43" spans="1:4" x14ac:dyDescent="0.2">
      <c r="A43" s="1293">
        <v>28824</v>
      </c>
      <c r="B43" s="1292"/>
      <c r="C43" s="1294"/>
      <c r="D43" s="1292"/>
    </row>
    <row r="44" spans="1:4" x14ac:dyDescent="0.2">
      <c r="A44" s="1293">
        <v>28855</v>
      </c>
      <c r="B44" s="1292"/>
      <c r="C44" s="1294"/>
      <c r="D44" s="1292"/>
    </row>
    <row r="45" spans="1:4" x14ac:dyDescent="0.2">
      <c r="A45" s="1293">
        <v>28886</v>
      </c>
      <c r="B45" s="1292"/>
      <c r="C45" s="1294"/>
      <c r="D45" s="1292"/>
    </row>
    <row r="46" spans="1:4" x14ac:dyDescent="0.2">
      <c r="A46" s="1293">
        <v>28914</v>
      </c>
      <c r="B46" s="1292"/>
      <c r="C46" s="1294"/>
      <c r="D46" s="1292"/>
    </row>
    <row r="47" spans="1:4" x14ac:dyDescent="0.2">
      <c r="A47" s="1293">
        <v>28945</v>
      </c>
      <c r="B47" s="1292"/>
      <c r="C47" s="1294"/>
      <c r="D47" s="1292"/>
    </row>
    <row r="48" spans="1:4" x14ac:dyDescent="0.2">
      <c r="A48" s="1293">
        <v>28975</v>
      </c>
      <c r="B48" s="1292"/>
      <c r="C48" s="1294"/>
      <c r="D48" s="1292"/>
    </row>
    <row r="49" spans="1:4" x14ac:dyDescent="0.2">
      <c r="A49" s="1293">
        <v>29006</v>
      </c>
      <c r="B49" s="1292"/>
      <c r="C49" s="1294"/>
      <c r="D49" s="1292"/>
    </row>
    <row r="50" spans="1:4" x14ac:dyDescent="0.2">
      <c r="A50" s="1293">
        <v>29036</v>
      </c>
      <c r="B50" s="1292"/>
      <c r="C50" s="1294"/>
      <c r="D50" s="1292"/>
    </row>
    <row r="51" spans="1:4" x14ac:dyDescent="0.2">
      <c r="A51" s="1293">
        <v>29067</v>
      </c>
      <c r="B51" s="1292"/>
      <c r="C51" s="1294"/>
      <c r="D51" s="1292"/>
    </row>
    <row r="52" spans="1:4" x14ac:dyDescent="0.2">
      <c r="A52" s="1293">
        <v>29098</v>
      </c>
      <c r="B52" s="1292"/>
      <c r="C52" s="1294"/>
      <c r="D52" s="1292"/>
    </row>
    <row r="53" spans="1:4" x14ac:dyDescent="0.2">
      <c r="A53" s="1293">
        <v>29128</v>
      </c>
      <c r="B53" s="1292"/>
      <c r="C53" s="1294"/>
      <c r="D53" s="1292"/>
    </row>
    <row r="54" spans="1:4" x14ac:dyDescent="0.2">
      <c r="A54" s="1293">
        <v>29159</v>
      </c>
      <c r="B54" s="1292"/>
      <c r="C54" s="1294"/>
      <c r="D54" s="1292"/>
    </row>
    <row r="55" spans="1:4" x14ac:dyDescent="0.2">
      <c r="A55" s="1293">
        <v>29189</v>
      </c>
      <c r="B55" s="1292"/>
      <c r="C55" s="1294"/>
      <c r="D55" s="1292"/>
    </row>
    <row r="56" spans="1:4" x14ac:dyDescent="0.2">
      <c r="A56" s="1293">
        <v>29220</v>
      </c>
      <c r="B56" s="1292"/>
      <c r="C56" s="1294"/>
      <c r="D56" s="1292"/>
    </row>
    <row r="57" spans="1:4" x14ac:dyDescent="0.2">
      <c r="A57" s="1293">
        <v>29251</v>
      </c>
      <c r="B57" s="1292"/>
      <c r="C57" s="1294"/>
      <c r="D57" s="1292"/>
    </row>
    <row r="58" spans="1:4" x14ac:dyDescent="0.2">
      <c r="A58" s="1293">
        <v>29280</v>
      </c>
      <c r="B58" s="1292"/>
      <c r="C58" s="1294"/>
      <c r="D58" s="1292"/>
    </row>
    <row r="59" spans="1:4" x14ac:dyDescent="0.2">
      <c r="A59" s="1293">
        <v>29311</v>
      </c>
      <c r="B59" s="1292"/>
      <c r="C59" s="1294"/>
      <c r="D59" s="1292"/>
    </row>
    <row r="60" spans="1:4" x14ac:dyDescent="0.2">
      <c r="A60" s="1293">
        <v>29341</v>
      </c>
      <c r="B60" s="1292"/>
      <c r="C60" s="1294"/>
      <c r="D60" s="1292"/>
    </row>
    <row r="61" spans="1:4" x14ac:dyDescent="0.2">
      <c r="A61" s="1293">
        <v>29372</v>
      </c>
      <c r="B61" s="1292"/>
      <c r="C61" s="1294"/>
      <c r="D61" s="1292"/>
    </row>
    <row r="62" spans="1:4" x14ac:dyDescent="0.2">
      <c r="A62" s="1293">
        <v>29402</v>
      </c>
      <c r="B62" s="1292"/>
      <c r="C62" s="1294"/>
      <c r="D62" s="1292"/>
    </row>
    <row r="63" spans="1:4" x14ac:dyDescent="0.2">
      <c r="A63" s="1293">
        <v>29433</v>
      </c>
      <c r="B63" s="1292"/>
      <c r="C63" s="1294"/>
      <c r="D63" s="1292"/>
    </row>
    <row r="64" spans="1:4" x14ac:dyDescent="0.2">
      <c r="A64" s="1293">
        <v>29464</v>
      </c>
      <c r="B64" s="1292"/>
      <c r="C64" s="1294"/>
      <c r="D64" s="1292"/>
    </row>
    <row r="65" spans="1:4" x14ac:dyDescent="0.2">
      <c r="A65" s="1293">
        <v>29494</v>
      </c>
      <c r="B65" s="1292"/>
      <c r="C65" s="1294"/>
      <c r="D65" s="1292"/>
    </row>
    <row r="66" spans="1:4" x14ac:dyDescent="0.2">
      <c r="A66" s="1293">
        <v>29525</v>
      </c>
      <c r="B66" s="1292"/>
      <c r="C66" s="1294"/>
      <c r="D66" s="1292"/>
    </row>
    <row r="67" spans="1:4" x14ac:dyDescent="0.2">
      <c r="A67" s="1293">
        <v>29555</v>
      </c>
      <c r="B67" s="1292"/>
      <c r="C67" s="1294"/>
      <c r="D67" s="1292"/>
    </row>
    <row r="68" spans="1:4" x14ac:dyDescent="0.2">
      <c r="A68" s="1293">
        <v>29586</v>
      </c>
      <c r="B68" s="1292"/>
      <c r="C68" s="1294"/>
      <c r="D68" s="1292"/>
    </row>
    <row r="69" spans="1:4" x14ac:dyDescent="0.2">
      <c r="A69" s="1293">
        <v>29617</v>
      </c>
      <c r="B69" s="1292"/>
      <c r="C69" s="1294"/>
      <c r="D69" s="1292"/>
    </row>
    <row r="70" spans="1:4" x14ac:dyDescent="0.2">
      <c r="A70" s="1293">
        <v>29645</v>
      </c>
      <c r="B70" s="1292"/>
      <c r="C70" s="1294"/>
      <c r="D70" s="1292"/>
    </row>
    <row r="71" spans="1:4" x14ac:dyDescent="0.2">
      <c r="A71" s="1293">
        <v>29676</v>
      </c>
      <c r="B71" s="1292"/>
      <c r="C71" s="1294"/>
      <c r="D71" s="1292"/>
    </row>
    <row r="72" spans="1:4" x14ac:dyDescent="0.2">
      <c r="A72" s="1293">
        <v>29706</v>
      </c>
      <c r="B72" s="1292"/>
      <c r="C72" s="1294"/>
      <c r="D72" s="1292"/>
    </row>
    <row r="73" spans="1:4" x14ac:dyDescent="0.2">
      <c r="A73" s="1293">
        <v>29737</v>
      </c>
      <c r="B73" s="1292"/>
      <c r="C73" s="1294"/>
      <c r="D73" s="1292"/>
    </row>
    <row r="74" spans="1:4" x14ac:dyDescent="0.2">
      <c r="A74" s="1293">
        <v>29767</v>
      </c>
      <c r="B74" s="1292"/>
      <c r="C74" s="1294"/>
      <c r="D74" s="1292"/>
    </row>
    <row r="75" spans="1:4" x14ac:dyDescent="0.2">
      <c r="A75" s="1293">
        <v>29798</v>
      </c>
      <c r="B75" s="1292"/>
      <c r="C75" s="1294"/>
      <c r="D75" s="1292"/>
    </row>
    <row r="76" spans="1:4" x14ac:dyDescent="0.2">
      <c r="A76" s="1293">
        <v>29829</v>
      </c>
      <c r="B76" s="1292"/>
      <c r="C76" s="1294"/>
      <c r="D76" s="1292"/>
    </row>
    <row r="77" spans="1:4" x14ac:dyDescent="0.2">
      <c r="A77" s="1293">
        <v>29859</v>
      </c>
      <c r="B77" s="1292"/>
      <c r="C77" s="1294"/>
      <c r="D77" s="1292"/>
    </row>
    <row r="78" spans="1:4" x14ac:dyDescent="0.2">
      <c r="A78" s="1293">
        <v>29890</v>
      </c>
      <c r="B78" s="1292"/>
      <c r="C78" s="1294"/>
      <c r="D78" s="1292"/>
    </row>
    <row r="79" spans="1:4" x14ac:dyDescent="0.2">
      <c r="A79" s="1293">
        <v>29920</v>
      </c>
      <c r="B79" s="1292"/>
      <c r="C79" s="1294"/>
      <c r="D79" s="1292"/>
    </row>
    <row r="80" spans="1:4" x14ac:dyDescent="0.2">
      <c r="A80" s="1293">
        <v>29951</v>
      </c>
      <c r="B80" s="1292"/>
      <c r="C80" s="1294"/>
      <c r="D80" s="1292"/>
    </row>
    <row r="81" spans="1:4" x14ac:dyDescent="0.2">
      <c r="A81" s="1293">
        <v>29982</v>
      </c>
      <c r="B81" s="1292"/>
      <c r="C81" s="1294"/>
      <c r="D81" s="1292"/>
    </row>
    <row r="82" spans="1:4" x14ac:dyDescent="0.2">
      <c r="A82" s="1293">
        <v>30010</v>
      </c>
      <c r="B82" s="1292"/>
      <c r="C82" s="1294"/>
      <c r="D82" s="1292"/>
    </row>
    <row r="83" spans="1:4" x14ac:dyDescent="0.2">
      <c r="A83" s="1293">
        <v>30041</v>
      </c>
      <c r="B83" s="1292"/>
      <c r="C83" s="1294"/>
      <c r="D83" s="1292"/>
    </row>
    <row r="84" spans="1:4" x14ac:dyDescent="0.2">
      <c r="A84" s="1293">
        <v>30071</v>
      </c>
      <c r="B84" s="1292"/>
      <c r="C84" s="1294"/>
      <c r="D84" s="1292"/>
    </row>
    <row r="85" spans="1:4" x14ac:dyDescent="0.2">
      <c r="A85" s="1293">
        <v>30102</v>
      </c>
      <c r="B85" s="1292"/>
      <c r="C85" s="1294"/>
      <c r="D85" s="1292"/>
    </row>
    <row r="86" spans="1:4" x14ac:dyDescent="0.2">
      <c r="A86" s="1293">
        <v>30132</v>
      </c>
      <c r="B86" s="1292"/>
      <c r="C86" s="1294"/>
      <c r="D86" s="1292"/>
    </row>
    <row r="87" spans="1:4" x14ac:dyDescent="0.2">
      <c r="A87" s="1293">
        <v>30163</v>
      </c>
      <c r="B87" s="1292"/>
      <c r="C87" s="1294"/>
      <c r="D87" s="1292"/>
    </row>
    <row r="88" spans="1:4" x14ac:dyDescent="0.2">
      <c r="A88" s="1293">
        <v>30194</v>
      </c>
      <c r="B88" s="1292"/>
      <c r="C88" s="1294"/>
      <c r="D88" s="1292"/>
    </row>
    <row r="89" spans="1:4" x14ac:dyDescent="0.2">
      <c r="A89" s="1293">
        <v>30224</v>
      </c>
      <c r="B89" s="1292"/>
      <c r="C89" s="1294"/>
      <c r="D89" s="1292"/>
    </row>
    <row r="90" spans="1:4" x14ac:dyDescent="0.2">
      <c r="A90" s="1293">
        <v>30255</v>
      </c>
      <c r="B90" s="1292"/>
      <c r="C90" s="1294"/>
      <c r="D90" s="1292"/>
    </row>
    <row r="91" spans="1:4" x14ac:dyDescent="0.2">
      <c r="A91" s="1293">
        <v>30285</v>
      </c>
      <c r="B91" s="1292"/>
      <c r="C91" s="1294"/>
      <c r="D91" s="1292"/>
    </row>
    <row r="92" spans="1:4" x14ac:dyDescent="0.2">
      <c r="A92" s="1293">
        <v>30316</v>
      </c>
      <c r="B92" s="1292"/>
      <c r="C92" s="1294"/>
      <c r="D92" s="1292"/>
    </row>
    <row r="93" spans="1:4" x14ac:dyDescent="0.2">
      <c r="A93" s="1293">
        <v>30347</v>
      </c>
      <c r="B93" s="1292"/>
      <c r="C93" s="1294"/>
      <c r="D93" s="1292"/>
    </row>
    <row r="94" spans="1:4" x14ac:dyDescent="0.2">
      <c r="A94" s="1293">
        <v>30375</v>
      </c>
      <c r="B94" s="1292"/>
      <c r="C94" s="1294"/>
      <c r="D94" s="1292"/>
    </row>
    <row r="95" spans="1:4" x14ac:dyDescent="0.2">
      <c r="A95" s="1293">
        <v>30406</v>
      </c>
      <c r="B95" s="1292"/>
      <c r="C95" s="1294"/>
      <c r="D95" s="1292"/>
    </row>
    <row r="96" spans="1:4" x14ac:dyDescent="0.2">
      <c r="A96" s="1293">
        <v>30436</v>
      </c>
      <c r="B96" s="1292"/>
      <c r="C96" s="1294"/>
      <c r="D96" s="1292"/>
    </row>
    <row r="97" spans="1:4" x14ac:dyDescent="0.2">
      <c r="A97" s="1293">
        <v>30467</v>
      </c>
      <c r="B97" s="1292"/>
      <c r="C97" s="1294"/>
      <c r="D97" s="1292"/>
    </row>
    <row r="98" spans="1:4" x14ac:dyDescent="0.2">
      <c r="A98" s="1293">
        <v>30497</v>
      </c>
      <c r="B98" s="1292"/>
      <c r="C98" s="1294"/>
      <c r="D98" s="1292"/>
    </row>
    <row r="99" spans="1:4" x14ac:dyDescent="0.2">
      <c r="A99" s="1293">
        <v>30528</v>
      </c>
      <c r="B99" s="1292"/>
      <c r="C99" s="1294"/>
      <c r="D99" s="1292"/>
    </row>
    <row r="100" spans="1:4" x14ac:dyDescent="0.2">
      <c r="A100" s="1293">
        <v>30559</v>
      </c>
      <c r="B100" s="1292"/>
      <c r="C100" s="1294"/>
      <c r="D100" s="1292"/>
    </row>
    <row r="101" spans="1:4" x14ac:dyDescent="0.2">
      <c r="A101" s="1293">
        <v>30589</v>
      </c>
      <c r="B101" s="1292"/>
      <c r="C101" s="1294"/>
      <c r="D101" s="1292"/>
    </row>
    <row r="102" spans="1:4" x14ac:dyDescent="0.2">
      <c r="A102" s="1293">
        <v>30620</v>
      </c>
      <c r="B102" s="1292"/>
      <c r="C102" s="1294"/>
      <c r="D102" s="1292"/>
    </row>
    <row r="103" spans="1:4" x14ac:dyDescent="0.2">
      <c r="A103" s="1293">
        <v>30650</v>
      </c>
      <c r="B103" s="1292"/>
      <c r="C103" s="1294"/>
      <c r="D103" s="1292"/>
    </row>
    <row r="104" spans="1:4" x14ac:dyDescent="0.2">
      <c r="A104" s="1293">
        <v>30681</v>
      </c>
      <c r="B104" s="1292"/>
      <c r="C104" s="1294"/>
      <c r="D104" s="1292"/>
    </row>
    <row r="105" spans="1:4" x14ac:dyDescent="0.2">
      <c r="A105" s="1293">
        <v>30712</v>
      </c>
      <c r="B105" s="1292"/>
      <c r="C105" s="1294"/>
      <c r="D105" s="1292"/>
    </row>
    <row r="106" spans="1:4" x14ac:dyDescent="0.2">
      <c r="A106" s="1293">
        <v>30741</v>
      </c>
      <c r="B106" s="1292"/>
      <c r="C106" s="1294"/>
      <c r="D106" s="1292"/>
    </row>
    <row r="107" spans="1:4" x14ac:dyDescent="0.2">
      <c r="A107" s="1293">
        <v>30772</v>
      </c>
      <c r="B107" s="1292"/>
      <c r="C107" s="1294"/>
      <c r="D107" s="1292"/>
    </row>
    <row r="108" spans="1:4" x14ac:dyDescent="0.2">
      <c r="A108" s="1293">
        <v>30802</v>
      </c>
      <c r="B108" s="1292"/>
      <c r="C108" s="1294"/>
      <c r="D108" s="1292"/>
    </row>
    <row r="109" spans="1:4" x14ac:dyDescent="0.2">
      <c r="A109" s="1293">
        <v>30833</v>
      </c>
      <c r="B109" s="1292"/>
      <c r="C109" s="1294"/>
      <c r="D109" s="1292"/>
    </row>
    <row r="110" spans="1:4" x14ac:dyDescent="0.2">
      <c r="A110" s="1293">
        <v>30863</v>
      </c>
      <c r="B110" s="1292"/>
      <c r="C110" s="1294"/>
      <c r="D110" s="1292"/>
    </row>
    <row r="111" spans="1:4" x14ac:dyDescent="0.2">
      <c r="A111" s="1293">
        <v>30894</v>
      </c>
      <c r="B111" s="1292"/>
      <c r="C111" s="1294"/>
      <c r="D111" s="1292"/>
    </row>
    <row r="112" spans="1:4" x14ac:dyDescent="0.2">
      <c r="A112" s="1293">
        <v>30925</v>
      </c>
      <c r="B112" s="1292"/>
      <c r="C112" s="1294"/>
      <c r="D112" s="1292"/>
    </row>
    <row r="113" spans="1:4" x14ac:dyDescent="0.2">
      <c r="A113" s="1293">
        <v>30955</v>
      </c>
      <c r="B113" s="1292"/>
      <c r="C113" s="1294"/>
      <c r="D113" s="1292"/>
    </row>
    <row r="114" spans="1:4" x14ac:dyDescent="0.2">
      <c r="A114" s="1293">
        <v>30986</v>
      </c>
      <c r="B114" s="1292"/>
      <c r="C114" s="1294"/>
      <c r="D114" s="1292"/>
    </row>
    <row r="115" spans="1:4" x14ac:dyDescent="0.2">
      <c r="A115" s="1293">
        <v>31016</v>
      </c>
      <c r="B115" s="1292"/>
      <c r="C115" s="1294"/>
      <c r="D115" s="1292"/>
    </row>
    <row r="116" spans="1:4" x14ac:dyDescent="0.2">
      <c r="A116" s="1293">
        <v>31047</v>
      </c>
      <c r="B116" s="1292"/>
      <c r="C116" s="1294"/>
      <c r="D116" s="1292"/>
    </row>
    <row r="117" spans="1:4" x14ac:dyDescent="0.2">
      <c r="A117" s="1293">
        <v>31078</v>
      </c>
      <c r="B117" s="1292"/>
      <c r="C117" s="1294"/>
      <c r="D117" s="1292"/>
    </row>
    <row r="118" spans="1:4" x14ac:dyDescent="0.2">
      <c r="A118" s="1293">
        <v>31106</v>
      </c>
      <c r="B118" s="1292"/>
      <c r="C118" s="1294"/>
      <c r="D118" s="1292"/>
    </row>
    <row r="119" spans="1:4" x14ac:dyDescent="0.2">
      <c r="A119" s="1293">
        <v>31137</v>
      </c>
      <c r="B119" s="1292"/>
      <c r="C119" s="1294"/>
      <c r="D119" s="1292"/>
    </row>
    <row r="120" spans="1:4" x14ac:dyDescent="0.2">
      <c r="A120" s="1293">
        <v>31167</v>
      </c>
      <c r="B120" s="1292"/>
      <c r="C120" s="1294"/>
      <c r="D120" s="1292"/>
    </row>
    <row r="121" spans="1:4" x14ac:dyDescent="0.2">
      <c r="A121" s="1293">
        <v>31198</v>
      </c>
      <c r="B121" s="1292"/>
      <c r="C121" s="1294"/>
      <c r="D121" s="1292"/>
    </row>
    <row r="122" spans="1:4" x14ac:dyDescent="0.2">
      <c r="A122" s="1293">
        <v>31228</v>
      </c>
      <c r="B122" s="1292"/>
      <c r="C122" s="1294"/>
      <c r="D122" s="1292"/>
    </row>
    <row r="123" spans="1:4" x14ac:dyDescent="0.2">
      <c r="A123" s="1293">
        <v>31259</v>
      </c>
      <c r="B123" s="1292"/>
      <c r="C123" s="1294"/>
      <c r="D123" s="1292"/>
    </row>
    <row r="124" spans="1:4" x14ac:dyDescent="0.2">
      <c r="A124" s="1293">
        <v>31290</v>
      </c>
      <c r="B124" s="1292"/>
      <c r="C124" s="1294"/>
      <c r="D124" s="1292"/>
    </row>
    <row r="125" spans="1:4" x14ac:dyDescent="0.2">
      <c r="A125" s="1293">
        <v>31320</v>
      </c>
      <c r="B125" s="1292"/>
      <c r="C125" s="1294"/>
      <c r="D125" s="1292"/>
    </row>
    <row r="126" spans="1:4" x14ac:dyDescent="0.2">
      <c r="A126" s="1293">
        <v>31351</v>
      </c>
      <c r="B126" s="1292"/>
      <c r="C126" s="1294"/>
      <c r="D126" s="1292"/>
    </row>
    <row r="127" spans="1:4" x14ac:dyDescent="0.2">
      <c r="A127" s="1293">
        <v>31381</v>
      </c>
      <c r="B127" s="1292"/>
      <c r="C127" s="1294"/>
      <c r="D127" s="1292"/>
    </row>
    <row r="128" spans="1:4" x14ac:dyDescent="0.2">
      <c r="A128" s="1293">
        <v>31412</v>
      </c>
      <c r="B128" s="1292"/>
      <c r="C128" s="1294"/>
      <c r="D128" s="1292"/>
    </row>
    <row r="129" spans="1:4" x14ac:dyDescent="0.2">
      <c r="A129" s="1293">
        <v>31443</v>
      </c>
      <c r="B129" s="1292"/>
      <c r="C129" s="1294"/>
      <c r="D129" s="1292"/>
    </row>
    <row r="130" spans="1:4" x14ac:dyDescent="0.2">
      <c r="A130" s="1293">
        <v>31471</v>
      </c>
      <c r="B130" s="1292"/>
      <c r="C130" s="1294"/>
      <c r="D130" s="1292"/>
    </row>
    <row r="131" spans="1:4" x14ac:dyDescent="0.2">
      <c r="A131" s="1293">
        <v>31502</v>
      </c>
      <c r="B131" s="1292"/>
      <c r="C131" s="1294"/>
      <c r="D131" s="1292"/>
    </row>
    <row r="132" spans="1:4" x14ac:dyDescent="0.2">
      <c r="A132" s="1293">
        <v>31532</v>
      </c>
      <c r="B132" s="1292"/>
      <c r="C132" s="1294"/>
      <c r="D132" s="1292"/>
    </row>
    <row r="133" spans="1:4" x14ac:dyDescent="0.2">
      <c r="A133" s="1293">
        <v>31563</v>
      </c>
      <c r="B133" s="1292"/>
      <c r="C133" s="1294"/>
      <c r="D133" s="1292"/>
    </row>
    <row r="134" spans="1:4" x14ac:dyDescent="0.2">
      <c r="A134" s="1293">
        <v>31593</v>
      </c>
      <c r="B134" s="1292"/>
      <c r="C134" s="1294"/>
      <c r="D134" s="1292"/>
    </row>
    <row r="135" spans="1:4" x14ac:dyDescent="0.2">
      <c r="A135" s="1293">
        <v>31624</v>
      </c>
      <c r="B135" s="1292"/>
      <c r="C135" s="1294"/>
      <c r="D135" s="1292"/>
    </row>
    <row r="136" spans="1:4" x14ac:dyDescent="0.2">
      <c r="A136" s="1293">
        <v>31655</v>
      </c>
      <c r="B136" s="1292"/>
      <c r="C136" s="1294"/>
      <c r="D136" s="1292"/>
    </row>
    <row r="137" spans="1:4" x14ac:dyDescent="0.2">
      <c r="A137" s="1293">
        <v>31685</v>
      </c>
      <c r="B137" s="1292"/>
      <c r="C137" s="1294"/>
      <c r="D137" s="1292"/>
    </row>
    <row r="138" spans="1:4" x14ac:dyDescent="0.2">
      <c r="A138" s="1293">
        <v>31716</v>
      </c>
      <c r="B138" s="1292"/>
      <c r="C138" s="1294"/>
      <c r="D138" s="1292"/>
    </row>
    <row r="139" spans="1:4" x14ac:dyDescent="0.2">
      <c r="A139" s="1293">
        <v>31746</v>
      </c>
      <c r="B139" s="1292"/>
      <c r="C139" s="1294"/>
      <c r="D139" s="1292"/>
    </row>
    <row r="140" spans="1:4" x14ac:dyDescent="0.2">
      <c r="A140" s="1293">
        <v>31777</v>
      </c>
      <c r="B140" s="1292"/>
      <c r="C140" s="1294"/>
      <c r="D140" s="1292"/>
    </row>
    <row r="141" spans="1:4" x14ac:dyDescent="0.2">
      <c r="A141" s="1293">
        <v>31808</v>
      </c>
      <c r="B141" s="1295"/>
      <c r="C141" s="1296"/>
      <c r="D141" s="1295"/>
    </row>
    <row r="142" spans="1:4" x14ac:dyDescent="0.2">
      <c r="A142" s="1293">
        <v>31836</v>
      </c>
      <c r="B142" s="1295"/>
      <c r="C142" s="1296"/>
      <c r="D142" s="1295"/>
    </row>
    <row r="143" spans="1:4" x14ac:dyDescent="0.2">
      <c r="A143" s="1293">
        <v>31867</v>
      </c>
      <c r="B143" s="1295"/>
      <c r="C143" s="1296"/>
      <c r="D143" s="1295"/>
    </row>
    <row r="144" spans="1:4" x14ac:dyDescent="0.2">
      <c r="A144" s="1293">
        <v>31897</v>
      </c>
      <c r="B144" s="1295"/>
      <c r="C144" s="1296"/>
      <c r="D144" s="1295"/>
    </row>
    <row r="145" spans="1:4" x14ac:dyDescent="0.2">
      <c r="A145" s="1293">
        <v>31928</v>
      </c>
      <c r="B145" s="1295"/>
      <c r="C145" s="1296"/>
      <c r="D145" s="1295"/>
    </row>
    <row r="146" spans="1:4" x14ac:dyDescent="0.2">
      <c r="A146" s="1293">
        <v>31958</v>
      </c>
      <c r="B146" s="1295"/>
      <c r="C146" s="1296"/>
      <c r="D146" s="1295"/>
    </row>
    <row r="147" spans="1:4" x14ac:dyDescent="0.2">
      <c r="A147" s="1293">
        <v>31989</v>
      </c>
      <c r="B147" s="1295"/>
      <c r="C147" s="1296"/>
      <c r="D147" s="1295"/>
    </row>
    <row r="148" spans="1:4" x14ac:dyDescent="0.2">
      <c r="A148" s="1293">
        <v>32020</v>
      </c>
      <c r="B148" s="1295"/>
      <c r="C148" s="1296"/>
      <c r="D148" s="1295"/>
    </row>
    <row r="149" spans="1:4" x14ac:dyDescent="0.2">
      <c r="A149" s="1293">
        <v>32050</v>
      </c>
      <c r="B149" s="1295"/>
      <c r="C149" s="1296"/>
      <c r="D149" s="1295"/>
    </row>
    <row r="150" spans="1:4" x14ac:dyDescent="0.2">
      <c r="A150" s="1293">
        <v>32081</v>
      </c>
      <c r="B150" s="1295"/>
      <c r="C150" s="1296"/>
      <c r="D150" s="1295"/>
    </row>
    <row r="151" spans="1:4" x14ac:dyDescent="0.2">
      <c r="A151" s="1293">
        <v>32111</v>
      </c>
      <c r="B151" s="1295"/>
      <c r="C151" s="1296"/>
      <c r="D151" s="1295"/>
    </row>
    <row r="152" spans="1:4" x14ac:dyDescent="0.2">
      <c r="A152" s="1293">
        <v>32142</v>
      </c>
      <c r="B152" s="1295"/>
      <c r="C152" s="1296"/>
      <c r="D152" s="1295"/>
    </row>
    <row r="153" spans="1:4" x14ac:dyDescent="0.2">
      <c r="A153" s="1293">
        <v>32173</v>
      </c>
      <c r="B153" s="1295"/>
      <c r="C153" s="1296"/>
      <c r="D153" s="1295"/>
    </row>
    <row r="154" spans="1:4" x14ac:dyDescent="0.2">
      <c r="A154" s="1293">
        <v>32202</v>
      </c>
      <c r="B154" s="1295"/>
      <c r="C154" s="1296"/>
      <c r="D154" s="1295"/>
    </row>
    <row r="155" spans="1:4" x14ac:dyDescent="0.2">
      <c r="A155" s="1293">
        <v>32233</v>
      </c>
      <c r="B155" s="1295"/>
      <c r="C155" s="1296"/>
      <c r="D155" s="1295"/>
    </row>
    <row r="156" spans="1:4" x14ac:dyDescent="0.2">
      <c r="A156" s="1293">
        <v>32263</v>
      </c>
      <c r="B156" s="1295"/>
      <c r="C156" s="1296"/>
      <c r="D156" s="1295"/>
    </row>
    <row r="157" spans="1:4" x14ac:dyDescent="0.2">
      <c r="A157" s="1293">
        <v>32294</v>
      </c>
      <c r="B157" s="1295"/>
      <c r="C157" s="1296"/>
      <c r="D157" s="1295"/>
    </row>
    <row r="158" spans="1:4" x14ac:dyDescent="0.2">
      <c r="A158" s="1293">
        <v>32324</v>
      </c>
      <c r="B158" s="1295"/>
      <c r="C158" s="1296"/>
      <c r="D158" s="1295"/>
    </row>
    <row r="159" spans="1:4" x14ac:dyDescent="0.2">
      <c r="A159" s="1293">
        <v>32355</v>
      </c>
      <c r="B159" s="1295"/>
      <c r="C159" s="1296"/>
      <c r="D159" s="1295"/>
    </row>
    <row r="160" spans="1:4" x14ac:dyDescent="0.2">
      <c r="A160" s="1293">
        <v>32386</v>
      </c>
      <c r="B160" s="1295"/>
      <c r="C160" s="1296"/>
      <c r="D160" s="1295"/>
    </row>
    <row r="161" spans="1:4" x14ac:dyDescent="0.2">
      <c r="A161" s="1293">
        <v>32416</v>
      </c>
      <c r="B161" s="1295"/>
      <c r="C161" s="1296"/>
      <c r="D161" s="1295"/>
    </row>
    <row r="162" spans="1:4" x14ac:dyDescent="0.2">
      <c r="A162" s="1293">
        <v>32447</v>
      </c>
      <c r="B162" s="1295"/>
      <c r="C162" s="1296"/>
      <c r="D162" s="1295"/>
    </row>
    <row r="163" spans="1:4" x14ac:dyDescent="0.2">
      <c r="A163" s="1293">
        <v>32477</v>
      </c>
      <c r="B163" s="1295"/>
      <c r="C163" s="1296"/>
      <c r="D163" s="1295"/>
    </row>
    <row r="164" spans="1:4" x14ac:dyDescent="0.2">
      <c r="A164" s="1293">
        <v>32508</v>
      </c>
      <c r="B164" s="1295"/>
      <c r="C164" s="1296"/>
      <c r="D164" s="1295"/>
    </row>
    <row r="165" spans="1:4" x14ac:dyDescent="0.2">
      <c r="A165" s="1293">
        <v>32539</v>
      </c>
      <c r="B165" s="1295"/>
      <c r="C165" s="1296"/>
      <c r="D165" s="1295"/>
    </row>
    <row r="166" spans="1:4" x14ac:dyDescent="0.2">
      <c r="A166" s="1293">
        <v>32567</v>
      </c>
      <c r="B166" s="1295"/>
      <c r="C166" s="1296"/>
      <c r="D166" s="1295"/>
    </row>
    <row r="167" spans="1:4" x14ac:dyDescent="0.2">
      <c r="A167" s="1293">
        <v>32598</v>
      </c>
      <c r="B167" s="1295"/>
      <c r="C167" s="1296"/>
      <c r="D167" s="1295"/>
    </row>
    <row r="168" spans="1:4" x14ac:dyDescent="0.2">
      <c r="A168" s="1293">
        <v>32628</v>
      </c>
      <c r="B168" s="1295"/>
      <c r="C168" s="1296"/>
      <c r="D168" s="1295"/>
    </row>
    <row r="169" spans="1:4" x14ac:dyDescent="0.2">
      <c r="A169" s="1293">
        <v>32659</v>
      </c>
      <c r="B169" s="1295"/>
      <c r="C169" s="1296"/>
      <c r="D169" s="1295"/>
    </row>
    <row r="170" spans="1:4" x14ac:dyDescent="0.2">
      <c r="A170" s="1293">
        <v>32689</v>
      </c>
      <c r="B170" s="1295"/>
      <c r="C170" s="1296"/>
      <c r="D170" s="1295"/>
    </row>
    <row r="171" spans="1:4" x14ac:dyDescent="0.2">
      <c r="A171" s="1293">
        <v>32720</v>
      </c>
      <c r="B171" s="1295"/>
      <c r="C171" s="1296"/>
      <c r="D171" s="1295"/>
    </row>
    <row r="172" spans="1:4" x14ac:dyDescent="0.2">
      <c r="A172" s="1293">
        <v>32751</v>
      </c>
      <c r="B172" s="1295"/>
      <c r="C172" s="1296"/>
      <c r="D172" s="1295"/>
    </row>
    <row r="173" spans="1:4" x14ac:dyDescent="0.2">
      <c r="A173" s="1293">
        <v>32781</v>
      </c>
      <c r="B173" s="1295"/>
      <c r="C173" s="1296"/>
      <c r="D173" s="1295"/>
    </row>
    <row r="174" spans="1:4" x14ac:dyDescent="0.2">
      <c r="A174" s="1293">
        <v>32812</v>
      </c>
      <c r="B174" s="1295"/>
      <c r="C174" s="1296"/>
      <c r="D174" s="1295"/>
    </row>
    <row r="175" spans="1:4" x14ac:dyDescent="0.2">
      <c r="A175" s="1293">
        <v>32842</v>
      </c>
      <c r="B175" s="1295"/>
      <c r="C175" s="1296"/>
      <c r="D175" s="1295"/>
    </row>
    <row r="176" spans="1:4" x14ac:dyDescent="0.2">
      <c r="A176" s="1293">
        <v>32873</v>
      </c>
      <c r="B176" s="1295"/>
      <c r="C176" s="1296"/>
      <c r="D176" s="1295"/>
    </row>
    <row r="177" spans="1:4" x14ac:dyDescent="0.2">
      <c r="A177" s="1293">
        <v>32904</v>
      </c>
      <c r="B177" s="1295"/>
      <c r="C177" s="1296"/>
      <c r="D177" s="1295"/>
    </row>
    <row r="178" spans="1:4" x14ac:dyDescent="0.2">
      <c r="A178" s="1293">
        <v>32932</v>
      </c>
      <c r="B178" s="1295"/>
      <c r="C178" s="1296"/>
      <c r="D178" s="1295"/>
    </row>
    <row r="179" spans="1:4" x14ac:dyDescent="0.2">
      <c r="A179" s="1293">
        <v>32963</v>
      </c>
      <c r="B179" s="1295"/>
      <c r="C179" s="1296"/>
      <c r="D179" s="1295"/>
    </row>
    <row r="180" spans="1:4" x14ac:dyDescent="0.2">
      <c r="A180" s="1293">
        <v>32993</v>
      </c>
      <c r="B180" s="1295"/>
      <c r="C180" s="1296"/>
      <c r="D180" s="1295"/>
    </row>
    <row r="181" spans="1:4" x14ac:dyDescent="0.2">
      <c r="A181" s="1293">
        <v>33024</v>
      </c>
      <c r="B181" s="1295"/>
      <c r="C181" s="1296"/>
      <c r="D181" s="1295"/>
    </row>
    <row r="182" spans="1:4" x14ac:dyDescent="0.2">
      <c r="A182" s="1293">
        <v>33054</v>
      </c>
      <c r="B182" s="1295"/>
      <c r="C182" s="1296"/>
      <c r="D182" s="1295"/>
    </row>
    <row r="183" spans="1:4" x14ac:dyDescent="0.2">
      <c r="A183" s="1293">
        <v>33085</v>
      </c>
      <c r="B183" s="1295"/>
      <c r="C183" s="1296"/>
      <c r="D183" s="1295"/>
    </row>
    <row r="184" spans="1:4" x14ac:dyDescent="0.2">
      <c r="A184" s="1293">
        <v>33116</v>
      </c>
      <c r="B184" s="1295"/>
      <c r="C184" s="1296"/>
      <c r="D184" s="1295"/>
    </row>
    <row r="185" spans="1:4" x14ac:dyDescent="0.2">
      <c r="A185" s="1293">
        <v>33146</v>
      </c>
      <c r="B185" s="1295"/>
      <c r="C185" s="1296"/>
      <c r="D185" s="1295"/>
    </row>
    <row r="186" spans="1:4" x14ac:dyDescent="0.2">
      <c r="A186" s="1293">
        <v>33177</v>
      </c>
      <c r="B186" s="1295"/>
      <c r="C186" s="1296"/>
      <c r="D186" s="1295"/>
    </row>
    <row r="187" spans="1:4" x14ac:dyDescent="0.2">
      <c r="A187" s="1293">
        <v>33207</v>
      </c>
      <c r="B187" s="1295"/>
      <c r="C187" s="1296"/>
      <c r="D187" s="1295"/>
    </row>
    <row r="188" spans="1:4" x14ac:dyDescent="0.2">
      <c r="A188" s="1293">
        <v>33238</v>
      </c>
      <c r="B188" s="1295"/>
      <c r="C188" s="1296"/>
      <c r="D188" s="1295"/>
    </row>
    <row r="189" spans="1:4" x14ac:dyDescent="0.2">
      <c r="A189" s="1293">
        <v>33269</v>
      </c>
      <c r="B189" s="1295"/>
      <c r="C189" s="1296"/>
      <c r="D189" s="1295"/>
    </row>
    <row r="190" spans="1:4" x14ac:dyDescent="0.2">
      <c r="A190" s="1293">
        <v>33297</v>
      </c>
      <c r="B190" s="1295"/>
      <c r="C190" s="1296"/>
      <c r="D190" s="1295"/>
    </row>
    <row r="191" spans="1:4" x14ac:dyDescent="0.2">
      <c r="A191" s="1293">
        <v>33328</v>
      </c>
      <c r="B191" s="1295"/>
      <c r="C191" s="1296"/>
      <c r="D191" s="1295"/>
    </row>
    <row r="192" spans="1:4" x14ac:dyDescent="0.2">
      <c r="A192" s="1293">
        <v>33358</v>
      </c>
      <c r="B192" s="1295"/>
      <c r="C192" s="1296"/>
      <c r="D192" s="1295"/>
    </row>
    <row r="193" spans="1:4" x14ac:dyDescent="0.2">
      <c r="A193" s="1293">
        <v>33389</v>
      </c>
      <c r="B193" s="1295"/>
      <c r="C193" s="1296"/>
      <c r="D193" s="1295"/>
    </row>
    <row r="194" spans="1:4" x14ac:dyDescent="0.2">
      <c r="A194" s="1293">
        <v>33419</v>
      </c>
      <c r="B194" s="1295"/>
      <c r="C194" s="1296"/>
      <c r="D194" s="1295"/>
    </row>
    <row r="195" spans="1:4" x14ac:dyDescent="0.2">
      <c r="A195" s="1293">
        <v>33450</v>
      </c>
      <c r="B195" s="1295"/>
      <c r="C195" s="1296"/>
      <c r="D195" s="1295"/>
    </row>
    <row r="196" spans="1:4" x14ac:dyDescent="0.2">
      <c r="A196" s="1293">
        <v>33481</v>
      </c>
      <c r="B196" s="1295"/>
      <c r="C196" s="1296"/>
      <c r="D196" s="1295"/>
    </row>
    <row r="197" spans="1:4" x14ac:dyDescent="0.2">
      <c r="A197" s="1293">
        <v>33511</v>
      </c>
      <c r="B197" s="1295"/>
      <c r="C197" s="1296"/>
      <c r="D197" s="1295"/>
    </row>
    <row r="198" spans="1:4" x14ac:dyDescent="0.2">
      <c r="A198" s="1293">
        <v>33542</v>
      </c>
      <c r="B198" s="1295"/>
      <c r="C198" s="1296"/>
      <c r="D198" s="1295"/>
    </row>
    <row r="199" spans="1:4" x14ac:dyDescent="0.2">
      <c r="A199" s="1293">
        <v>33572</v>
      </c>
      <c r="B199" s="1295"/>
      <c r="C199" s="1296"/>
      <c r="D199" s="1295"/>
    </row>
    <row r="200" spans="1:4" x14ac:dyDescent="0.2">
      <c r="A200" s="1293">
        <v>33603</v>
      </c>
      <c r="B200" s="1295"/>
      <c r="C200" s="1296"/>
      <c r="D200" s="1295"/>
    </row>
    <row r="201" spans="1:4" x14ac:dyDescent="0.2">
      <c r="A201" s="1293">
        <v>33634</v>
      </c>
      <c r="B201" s="1295"/>
      <c r="C201" s="1296"/>
      <c r="D201" s="1295"/>
    </row>
    <row r="202" spans="1:4" x14ac:dyDescent="0.2">
      <c r="A202" s="1293">
        <v>33663</v>
      </c>
      <c r="B202" s="1295"/>
      <c r="C202" s="1296"/>
      <c r="D202" s="1295"/>
    </row>
    <row r="203" spans="1:4" x14ac:dyDescent="0.2">
      <c r="A203" s="1293">
        <v>33694</v>
      </c>
      <c r="B203" s="1295"/>
      <c r="C203" s="1296"/>
      <c r="D203" s="1295"/>
    </row>
    <row r="204" spans="1:4" x14ac:dyDescent="0.2">
      <c r="A204" s="1293">
        <v>33724</v>
      </c>
      <c r="B204" s="1295"/>
      <c r="C204" s="1296"/>
      <c r="D204" s="1295"/>
    </row>
    <row r="205" spans="1:4" x14ac:dyDescent="0.2">
      <c r="A205" s="1293">
        <v>33755</v>
      </c>
      <c r="B205" s="1295"/>
      <c r="C205" s="1296"/>
      <c r="D205" s="1295"/>
    </row>
    <row r="206" spans="1:4" x14ac:dyDescent="0.2">
      <c r="A206" s="1293">
        <v>33785</v>
      </c>
      <c r="B206" s="1295"/>
      <c r="C206" s="1296"/>
      <c r="D206" s="1295"/>
    </row>
    <row r="207" spans="1:4" x14ac:dyDescent="0.2">
      <c r="A207" s="1293">
        <v>33816</v>
      </c>
      <c r="B207" s="1295"/>
      <c r="C207" s="1296"/>
      <c r="D207" s="1295"/>
    </row>
    <row r="208" spans="1:4" x14ac:dyDescent="0.2">
      <c r="A208" s="1293">
        <v>33847</v>
      </c>
      <c r="B208" s="1295"/>
      <c r="C208" s="1296"/>
      <c r="D208" s="1295"/>
    </row>
    <row r="209" spans="1:4" x14ac:dyDescent="0.2">
      <c r="A209" s="1293">
        <v>33877</v>
      </c>
      <c r="B209" s="1295"/>
      <c r="C209" s="1296"/>
      <c r="D209" s="1295"/>
    </row>
    <row r="210" spans="1:4" x14ac:dyDescent="0.2">
      <c r="A210" s="1293">
        <v>33908</v>
      </c>
      <c r="B210" s="1295"/>
      <c r="C210" s="1296"/>
      <c r="D210" s="1295"/>
    </row>
    <row r="211" spans="1:4" x14ac:dyDescent="0.2">
      <c r="A211" s="1293">
        <v>33938</v>
      </c>
      <c r="B211" s="1295"/>
      <c r="C211" s="1296"/>
      <c r="D211" s="1295"/>
    </row>
    <row r="212" spans="1:4" x14ac:dyDescent="0.2">
      <c r="A212" s="1293">
        <v>33969</v>
      </c>
      <c r="B212" s="1295"/>
      <c r="C212" s="1296"/>
      <c r="D212" s="1295"/>
    </row>
    <row r="213" spans="1:4" x14ac:dyDescent="0.2">
      <c r="A213" s="1293">
        <v>34000</v>
      </c>
      <c r="B213" s="1295"/>
      <c r="C213" s="1296"/>
      <c r="D213" s="1295"/>
    </row>
    <row r="214" spans="1:4" x14ac:dyDescent="0.2">
      <c r="A214" s="1293">
        <v>34028</v>
      </c>
      <c r="B214" s="1295"/>
      <c r="C214" s="1296"/>
      <c r="D214" s="1295"/>
    </row>
    <row r="215" spans="1:4" x14ac:dyDescent="0.2">
      <c r="A215" s="1293">
        <v>34059</v>
      </c>
      <c r="B215" s="1295"/>
      <c r="C215" s="1296"/>
      <c r="D215" s="1295"/>
    </row>
    <row r="216" spans="1:4" x14ac:dyDescent="0.2">
      <c r="A216" s="1293">
        <v>34089</v>
      </c>
      <c r="B216" s="1295"/>
      <c r="C216" s="1296"/>
      <c r="D216" s="1295"/>
    </row>
    <row r="217" spans="1:4" x14ac:dyDescent="0.2">
      <c r="A217" s="1293">
        <v>34120</v>
      </c>
      <c r="B217" s="1295"/>
      <c r="C217" s="1296"/>
      <c r="D217" s="1295"/>
    </row>
    <row r="218" spans="1:4" x14ac:dyDescent="0.2">
      <c r="A218" s="1293">
        <v>34150</v>
      </c>
      <c r="B218" s="1295"/>
      <c r="C218" s="1296"/>
      <c r="D218" s="1295"/>
    </row>
    <row r="219" spans="1:4" x14ac:dyDescent="0.2">
      <c r="A219" s="1293">
        <v>34181</v>
      </c>
      <c r="B219" s="1295"/>
      <c r="C219" s="1296"/>
      <c r="D219" s="1295"/>
    </row>
    <row r="220" spans="1:4" x14ac:dyDescent="0.2">
      <c r="A220" s="1293">
        <v>34212</v>
      </c>
      <c r="B220" s="1295"/>
      <c r="C220" s="1296"/>
      <c r="D220" s="1295"/>
    </row>
    <row r="221" spans="1:4" x14ac:dyDescent="0.2">
      <c r="A221" s="1293">
        <v>34242</v>
      </c>
      <c r="B221" s="1295"/>
      <c r="C221" s="1296"/>
      <c r="D221" s="1295"/>
    </row>
    <row r="222" spans="1:4" x14ac:dyDescent="0.2">
      <c r="A222" s="1293">
        <v>34273</v>
      </c>
      <c r="B222" s="1295"/>
      <c r="C222" s="1296"/>
      <c r="D222" s="1295"/>
    </row>
    <row r="223" spans="1:4" x14ac:dyDescent="0.2">
      <c r="A223" s="1293">
        <v>34303</v>
      </c>
      <c r="B223" s="1295"/>
      <c r="C223" s="1296"/>
      <c r="D223" s="1295"/>
    </row>
    <row r="224" spans="1:4" x14ac:dyDescent="0.2">
      <c r="A224" s="1293">
        <v>34334</v>
      </c>
      <c r="B224" s="1295"/>
      <c r="C224" s="1296"/>
      <c r="D224" s="1295"/>
    </row>
    <row r="225" spans="1:4" x14ac:dyDescent="0.2">
      <c r="A225" s="1293">
        <v>34365</v>
      </c>
      <c r="B225" s="1295"/>
      <c r="C225" s="1296"/>
      <c r="D225" s="1295"/>
    </row>
    <row r="226" spans="1:4" x14ac:dyDescent="0.2">
      <c r="A226" s="1293">
        <v>34393</v>
      </c>
      <c r="B226" s="1295"/>
      <c r="C226" s="1296"/>
      <c r="D226" s="1295"/>
    </row>
    <row r="227" spans="1:4" x14ac:dyDescent="0.2">
      <c r="A227" s="1293">
        <v>34424</v>
      </c>
      <c r="B227" s="1295"/>
      <c r="C227" s="1296"/>
      <c r="D227" s="1295"/>
    </row>
    <row r="228" spans="1:4" x14ac:dyDescent="0.2">
      <c r="A228" s="1293">
        <v>34454</v>
      </c>
      <c r="B228" s="1295"/>
      <c r="C228" s="1296"/>
      <c r="D228" s="1295"/>
    </row>
    <row r="229" spans="1:4" x14ac:dyDescent="0.2">
      <c r="A229" s="1293">
        <v>34485</v>
      </c>
      <c r="B229" s="1295"/>
      <c r="C229" s="1296"/>
      <c r="D229" s="1295"/>
    </row>
    <row r="230" spans="1:4" x14ac:dyDescent="0.2">
      <c r="A230" s="1293">
        <v>34515</v>
      </c>
      <c r="B230" s="1295"/>
      <c r="C230" s="1296"/>
      <c r="D230" s="1295"/>
    </row>
    <row r="231" spans="1:4" x14ac:dyDescent="0.2">
      <c r="A231" s="1293">
        <v>34546</v>
      </c>
      <c r="B231" s="1295"/>
      <c r="C231" s="1296"/>
      <c r="D231" s="1295"/>
    </row>
    <row r="232" spans="1:4" x14ac:dyDescent="0.2">
      <c r="A232" s="1293">
        <v>34577</v>
      </c>
      <c r="B232" s="1295"/>
      <c r="C232" s="1296"/>
      <c r="D232" s="1295"/>
    </row>
    <row r="233" spans="1:4" x14ac:dyDescent="0.2">
      <c r="A233" s="1293">
        <v>34607</v>
      </c>
      <c r="B233" s="1295"/>
      <c r="C233" s="1296"/>
      <c r="D233" s="1295"/>
    </row>
    <row r="234" spans="1:4" x14ac:dyDescent="0.2">
      <c r="A234" s="1293">
        <v>34638</v>
      </c>
      <c r="B234" s="1295"/>
      <c r="C234" s="1296"/>
      <c r="D234" s="1295"/>
    </row>
    <row r="235" spans="1:4" x14ac:dyDescent="0.2">
      <c r="A235" s="1293">
        <v>34668</v>
      </c>
      <c r="B235" s="1295"/>
      <c r="C235" s="1296"/>
      <c r="D235" s="1295"/>
    </row>
    <row r="236" spans="1:4" x14ac:dyDescent="0.2">
      <c r="A236" s="1293">
        <v>34699</v>
      </c>
      <c r="B236" s="1295"/>
      <c r="C236" s="1296"/>
      <c r="D236" s="1295"/>
    </row>
    <row r="237" spans="1:4" x14ac:dyDescent="0.2">
      <c r="A237" s="1293">
        <v>34730</v>
      </c>
      <c r="B237" s="1295"/>
      <c r="C237" s="1296"/>
      <c r="D237" s="1295"/>
    </row>
    <row r="238" spans="1:4" x14ac:dyDescent="0.2">
      <c r="A238" s="1293">
        <v>34758</v>
      </c>
      <c r="B238" s="1295"/>
      <c r="C238" s="1296"/>
      <c r="D238" s="1295"/>
    </row>
    <row r="239" spans="1:4" x14ac:dyDescent="0.2">
      <c r="A239" s="1293">
        <v>34789</v>
      </c>
      <c r="B239" s="1295"/>
      <c r="C239" s="1296"/>
      <c r="D239" s="1295"/>
    </row>
    <row r="240" spans="1:4" x14ac:dyDescent="0.2">
      <c r="A240" s="1293">
        <v>34819</v>
      </c>
      <c r="B240" s="1295"/>
      <c r="C240" s="1296"/>
      <c r="D240" s="1295"/>
    </row>
    <row r="241" spans="1:4" x14ac:dyDescent="0.2">
      <c r="A241" s="1293">
        <v>34850</v>
      </c>
      <c r="B241" s="1295"/>
      <c r="C241" s="1296"/>
      <c r="D241" s="1295"/>
    </row>
    <row r="242" spans="1:4" x14ac:dyDescent="0.2">
      <c r="A242" s="1293">
        <v>34880</v>
      </c>
      <c r="B242" s="1295"/>
      <c r="C242" s="1296"/>
      <c r="D242" s="1295"/>
    </row>
    <row r="243" spans="1:4" x14ac:dyDescent="0.2">
      <c r="A243" s="1293">
        <v>34911</v>
      </c>
      <c r="B243" s="1295"/>
      <c r="C243" s="1296"/>
      <c r="D243" s="1295"/>
    </row>
    <row r="244" spans="1:4" x14ac:dyDescent="0.2">
      <c r="A244" s="1293">
        <v>34942</v>
      </c>
      <c r="B244" s="1295"/>
      <c r="C244" s="1296"/>
      <c r="D244" s="1295"/>
    </row>
    <row r="245" spans="1:4" x14ac:dyDescent="0.2">
      <c r="A245" s="1293">
        <v>34972</v>
      </c>
      <c r="B245" s="1295"/>
      <c r="C245" s="1296"/>
      <c r="D245" s="1295"/>
    </row>
    <row r="246" spans="1:4" x14ac:dyDescent="0.2">
      <c r="A246" s="1293">
        <v>35003</v>
      </c>
      <c r="B246" s="1295"/>
      <c r="C246" s="1296"/>
      <c r="D246" s="1295"/>
    </row>
    <row r="247" spans="1:4" x14ac:dyDescent="0.2">
      <c r="A247" s="1293">
        <v>35033</v>
      </c>
      <c r="B247" s="1295"/>
      <c r="C247" s="1296"/>
      <c r="D247" s="1295"/>
    </row>
    <row r="248" spans="1:4" x14ac:dyDescent="0.2">
      <c r="A248" s="1293">
        <v>35064</v>
      </c>
      <c r="B248" s="1295"/>
      <c r="C248" s="1296"/>
      <c r="D248" s="1295"/>
    </row>
    <row r="249" spans="1:4" x14ac:dyDescent="0.2">
      <c r="A249" s="1293">
        <v>35095</v>
      </c>
      <c r="B249" s="1295"/>
      <c r="C249" s="1296"/>
      <c r="D249" s="1295"/>
    </row>
    <row r="250" spans="1:4" x14ac:dyDescent="0.2">
      <c r="A250" s="1293">
        <v>35124</v>
      </c>
      <c r="B250" s="1295"/>
      <c r="C250" s="1296"/>
      <c r="D250" s="1295"/>
    </row>
    <row r="251" spans="1:4" x14ac:dyDescent="0.2">
      <c r="A251" s="1293">
        <v>35155</v>
      </c>
      <c r="B251" s="1295"/>
      <c r="C251" s="1296"/>
      <c r="D251" s="1295"/>
    </row>
    <row r="252" spans="1:4" x14ac:dyDescent="0.2">
      <c r="A252" s="1293">
        <v>35185</v>
      </c>
      <c r="B252" s="1295"/>
      <c r="C252" s="1296"/>
      <c r="D252" s="1295"/>
    </row>
    <row r="253" spans="1:4" x14ac:dyDescent="0.2">
      <c r="A253" s="1293">
        <v>35216</v>
      </c>
      <c r="B253" s="1295"/>
      <c r="C253" s="1296"/>
      <c r="D253" s="1295"/>
    </row>
    <row r="254" spans="1:4" x14ac:dyDescent="0.2">
      <c r="A254" s="1293">
        <v>35246</v>
      </c>
      <c r="B254" s="1295"/>
      <c r="C254" s="1296"/>
      <c r="D254" s="1295"/>
    </row>
    <row r="255" spans="1:4" x14ac:dyDescent="0.2">
      <c r="A255" s="1293">
        <v>35277</v>
      </c>
      <c r="B255" s="1295"/>
      <c r="C255" s="1296"/>
      <c r="D255" s="1295"/>
    </row>
    <row r="256" spans="1:4" x14ac:dyDescent="0.2">
      <c r="A256" s="1293">
        <v>35308</v>
      </c>
      <c r="B256" s="1295"/>
      <c r="C256" s="1296"/>
      <c r="D256" s="1295"/>
    </row>
    <row r="257" spans="1:4" x14ac:dyDescent="0.2">
      <c r="A257" s="1293">
        <v>35338</v>
      </c>
      <c r="B257" s="1295"/>
      <c r="C257" s="1296"/>
      <c r="D257" s="1295"/>
    </row>
    <row r="258" spans="1:4" x14ac:dyDescent="0.2">
      <c r="A258" s="1293">
        <v>35369</v>
      </c>
      <c r="B258" s="1295"/>
      <c r="C258" s="1296"/>
      <c r="D258" s="1295"/>
    </row>
    <row r="259" spans="1:4" x14ac:dyDescent="0.2">
      <c r="A259" s="1293">
        <v>35399</v>
      </c>
      <c r="B259" s="1295"/>
      <c r="C259" s="1296"/>
      <c r="D259" s="1295"/>
    </row>
    <row r="260" spans="1:4" x14ac:dyDescent="0.2">
      <c r="A260" s="1293">
        <v>35430</v>
      </c>
      <c r="B260" s="1295"/>
      <c r="C260" s="1296"/>
      <c r="D260" s="1295"/>
    </row>
    <row r="261" spans="1:4" x14ac:dyDescent="0.2">
      <c r="A261" s="1293">
        <v>35461</v>
      </c>
      <c r="B261" s="1295"/>
      <c r="C261" s="1296"/>
      <c r="D261" s="1295"/>
    </row>
    <row r="262" spans="1:4" x14ac:dyDescent="0.2">
      <c r="A262" s="1293">
        <v>35489</v>
      </c>
      <c r="B262" s="1295"/>
      <c r="C262" s="1296"/>
      <c r="D262" s="1295"/>
    </row>
    <row r="263" spans="1:4" x14ac:dyDescent="0.2">
      <c r="A263" s="1293">
        <v>35520</v>
      </c>
      <c r="B263" s="1295"/>
      <c r="C263" s="1296"/>
      <c r="D263" s="1295"/>
    </row>
    <row r="264" spans="1:4" x14ac:dyDescent="0.2">
      <c r="A264" s="1293">
        <v>35550</v>
      </c>
      <c r="B264" s="1295"/>
      <c r="C264" s="1296"/>
      <c r="D264" s="1295"/>
    </row>
    <row r="265" spans="1:4" x14ac:dyDescent="0.2">
      <c r="A265" s="1293">
        <v>35581</v>
      </c>
      <c r="B265" s="1295"/>
      <c r="C265" s="1296"/>
      <c r="D265" s="1295"/>
    </row>
    <row r="266" spans="1:4" x14ac:dyDescent="0.2">
      <c r="A266" s="1293">
        <v>35611</v>
      </c>
      <c r="B266" s="1295"/>
      <c r="C266" s="1296"/>
      <c r="D266" s="1295"/>
    </row>
    <row r="267" spans="1:4" x14ac:dyDescent="0.2">
      <c r="A267" s="1293">
        <v>35642</v>
      </c>
      <c r="B267" s="1295"/>
      <c r="C267" s="1296"/>
      <c r="D267" s="1295"/>
    </row>
    <row r="268" spans="1:4" x14ac:dyDescent="0.2">
      <c r="A268" s="1293">
        <v>35673</v>
      </c>
      <c r="B268" s="1295"/>
      <c r="C268" s="1296"/>
      <c r="D268" s="1295"/>
    </row>
    <row r="269" spans="1:4" x14ac:dyDescent="0.2">
      <c r="A269" s="1293">
        <v>35703</v>
      </c>
      <c r="B269" s="1295"/>
      <c r="C269" s="1296"/>
      <c r="D269" s="1295"/>
    </row>
    <row r="270" spans="1:4" x14ac:dyDescent="0.2">
      <c r="A270" s="1293">
        <v>35734</v>
      </c>
      <c r="B270" s="1295"/>
      <c r="C270" s="1296"/>
      <c r="D270" s="1295"/>
    </row>
    <row r="271" spans="1:4" x14ac:dyDescent="0.2">
      <c r="A271" s="1293">
        <v>35764</v>
      </c>
      <c r="B271" s="1295"/>
      <c r="C271" s="1296"/>
      <c r="D271" s="1295"/>
    </row>
    <row r="272" spans="1:4" x14ac:dyDescent="0.2">
      <c r="A272" s="1293">
        <v>35795</v>
      </c>
      <c r="B272" s="1295"/>
      <c r="C272" s="1296"/>
      <c r="D272" s="1295"/>
    </row>
    <row r="273" spans="1:4" x14ac:dyDescent="0.2">
      <c r="A273" s="1293">
        <v>35826</v>
      </c>
      <c r="B273" s="1295"/>
      <c r="C273" s="1296"/>
      <c r="D273" s="1295"/>
    </row>
    <row r="274" spans="1:4" x14ac:dyDescent="0.2">
      <c r="A274" s="1293">
        <v>35854</v>
      </c>
      <c r="B274" s="1295"/>
      <c r="C274" s="1297"/>
      <c r="D274" s="1295"/>
    </row>
    <row r="275" spans="1:4" x14ac:dyDescent="0.2">
      <c r="A275" s="1293">
        <v>35885</v>
      </c>
      <c r="B275" s="1295"/>
      <c r="C275" s="1297"/>
      <c r="D275" s="1295"/>
    </row>
    <row r="276" spans="1:4" x14ac:dyDescent="0.2">
      <c r="A276" s="1293">
        <v>35915</v>
      </c>
      <c r="B276" s="1295"/>
      <c r="C276" s="1297"/>
      <c r="D276" s="1295"/>
    </row>
    <row r="277" spans="1:4" x14ac:dyDescent="0.2">
      <c r="A277" s="1293">
        <v>35946</v>
      </c>
      <c r="B277" s="1295"/>
      <c r="C277" s="1297"/>
      <c r="D277" s="1295"/>
    </row>
    <row r="278" spans="1:4" x14ac:dyDescent="0.2">
      <c r="A278" s="1293">
        <v>35976</v>
      </c>
      <c r="B278" s="1295"/>
      <c r="C278" s="1297"/>
      <c r="D278" s="1295"/>
    </row>
    <row r="279" spans="1:4" x14ac:dyDescent="0.2">
      <c r="A279" s="1293">
        <v>36007</v>
      </c>
      <c r="B279" s="1295"/>
      <c r="C279" s="1297"/>
      <c r="D279" s="1295"/>
    </row>
    <row r="280" spans="1:4" x14ac:dyDescent="0.2">
      <c r="A280" s="1293">
        <v>36038</v>
      </c>
      <c r="B280" s="1295"/>
      <c r="C280" s="1297"/>
      <c r="D280" s="1295"/>
    </row>
    <row r="281" spans="1:4" x14ac:dyDescent="0.2">
      <c r="A281" s="1293">
        <v>36068</v>
      </c>
      <c r="B281" s="1295"/>
      <c r="C281" s="1297"/>
      <c r="D281" s="1295"/>
    </row>
    <row r="282" spans="1:4" x14ac:dyDescent="0.2">
      <c r="A282" s="1293">
        <v>36099</v>
      </c>
      <c r="B282" s="1295"/>
      <c r="C282" s="1297"/>
      <c r="D282" s="1295"/>
    </row>
    <row r="283" spans="1:4" x14ac:dyDescent="0.2">
      <c r="A283" s="1293">
        <v>36129</v>
      </c>
      <c r="B283" s="1295"/>
      <c r="C283" s="1297"/>
      <c r="D283" s="1295"/>
    </row>
    <row r="284" spans="1:4" x14ac:dyDescent="0.2">
      <c r="A284" s="1293">
        <v>36160</v>
      </c>
      <c r="B284" s="1295"/>
      <c r="C284" s="1297"/>
      <c r="D284" s="1295"/>
    </row>
    <row r="285" spans="1:4" x14ac:dyDescent="0.2">
      <c r="A285" s="1293">
        <v>36191</v>
      </c>
      <c r="B285" s="1295"/>
      <c r="C285" s="1297"/>
      <c r="D285" s="1295"/>
    </row>
    <row r="286" spans="1:4" x14ac:dyDescent="0.2">
      <c r="A286" s="1293">
        <v>36219</v>
      </c>
      <c r="B286" s="1295"/>
      <c r="C286" s="1297"/>
      <c r="D286" s="1295"/>
    </row>
    <row r="287" spans="1:4" x14ac:dyDescent="0.2">
      <c r="A287" s="1293">
        <v>36250</v>
      </c>
      <c r="B287" s="1295"/>
      <c r="C287" s="1297"/>
      <c r="D287" s="1295"/>
    </row>
    <row r="288" spans="1:4" x14ac:dyDescent="0.2">
      <c r="A288" s="1293">
        <v>36280</v>
      </c>
      <c r="B288" s="1295"/>
      <c r="C288" s="1297"/>
      <c r="D288" s="1295"/>
    </row>
    <row r="289" spans="1:4" x14ac:dyDescent="0.2">
      <c r="A289" s="1293">
        <v>36311</v>
      </c>
      <c r="B289" s="1295"/>
      <c r="C289" s="1297"/>
      <c r="D289" s="1295"/>
    </row>
    <row r="290" spans="1:4" x14ac:dyDescent="0.2">
      <c r="A290" s="1293">
        <v>36341</v>
      </c>
      <c r="B290" s="1295"/>
      <c r="C290" s="1297"/>
      <c r="D290" s="1295"/>
    </row>
    <row r="291" spans="1:4" x14ac:dyDescent="0.2">
      <c r="A291" s="1293">
        <v>36372</v>
      </c>
      <c r="B291" s="1295"/>
      <c r="C291" s="1297"/>
      <c r="D291" s="1295"/>
    </row>
    <row r="292" spans="1:4" x14ac:dyDescent="0.2">
      <c r="A292" s="1293">
        <v>36403</v>
      </c>
      <c r="B292" s="1295"/>
      <c r="C292" s="1297"/>
      <c r="D292" s="1295"/>
    </row>
    <row r="293" spans="1:4" x14ac:dyDescent="0.2">
      <c r="A293" s="1293">
        <v>36433</v>
      </c>
      <c r="B293" s="1295"/>
      <c r="C293" s="1297"/>
      <c r="D293" s="1295"/>
    </row>
    <row r="294" spans="1:4" x14ac:dyDescent="0.2">
      <c r="A294" s="1293">
        <v>36464</v>
      </c>
      <c r="B294" s="1295"/>
      <c r="C294" s="1297"/>
      <c r="D294" s="1295"/>
    </row>
    <row r="295" spans="1:4" x14ac:dyDescent="0.2">
      <c r="A295" s="1293">
        <v>36494</v>
      </c>
      <c r="B295" s="1295"/>
      <c r="C295" s="1297"/>
      <c r="D295" s="1295"/>
    </row>
    <row r="296" spans="1:4" x14ac:dyDescent="0.2">
      <c r="A296" s="1293">
        <v>36525</v>
      </c>
      <c r="B296" s="1295"/>
      <c r="C296" s="1297"/>
      <c r="D296" s="1295"/>
    </row>
    <row r="297" spans="1:4" x14ac:dyDescent="0.2">
      <c r="A297" s="1293">
        <v>36556</v>
      </c>
      <c r="B297" s="1295"/>
      <c r="C297" s="1297"/>
      <c r="D297" s="1295"/>
    </row>
    <row r="298" spans="1:4" x14ac:dyDescent="0.2">
      <c r="A298" s="1293">
        <v>36585</v>
      </c>
      <c r="B298" s="1295"/>
      <c r="C298" s="1297"/>
      <c r="D298" s="1295"/>
    </row>
    <row r="299" spans="1:4" x14ac:dyDescent="0.2">
      <c r="A299" s="1293">
        <v>36616</v>
      </c>
      <c r="B299" s="1295"/>
      <c r="C299" s="1297"/>
      <c r="D299" s="1295"/>
    </row>
    <row r="300" spans="1:4" x14ac:dyDescent="0.2">
      <c r="A300" s="1293">
        <v>36646</v>
      </c>
      <c r="B300" s="1295"/>
      <c r="C300" s="1297"/>
      <c r="D300" s="1295"/>
    </row>
    <row r="301" spans="1:4" x14ac:dyDescent="0.2">
      <c r="A301" s="1293">
        <v>36677</v>
      </c>
      <c r="B301" s="1295"/>
      <c r="C301" s="1297"/>
      <c r="D301" s="1295"/>
    </row>
    <row r="302" spans="1:4" x14ac:dyDescent="0.2">
      <c r="A302" s="1293">
        <v>36707</v>
      </c>
      <c r="B302" s="1295"/>
      <c r="C302" s="1297"/>
      <c r="D302" s="1295"/>
    </row>
    <row r="303" spans="1:4" x14ac:dyDescent="0.2">
      <c r="A303" s="1293">
        <v>36738</v>
      </c>
      <c r="B303" s="1295"/>
      <c r="C303" s="1297"/>
      <c r="D303" s="1295"/>
    </row>
    <row r="304" spans="1:4" x14ac:dyDescent="0.2">
      <c r="A304" s="1293">
        <v>36769</v>
      </c>
      <c r="B304" s="1295"/>
      <c r="C304" s="1297"/>
      <c r="D304" s="1295"/>
    </row>
    <row r="305" spans="1:4" x14ac:dyDescent="0.2">
      <c r="A305" s="1293">
        <v>36799</v>
      </c>
      <c r="B305" s="1298"/>
      <c r="C305" s="1299"/>
      <c r="D305" s="1295"/>
    </row>
    <row r="306" spans="1:4" x14ac:dyDescent="0.2">
      <c r="A306" s="1293">
        <v>36830</v>
      </c>
      <c r="B306" s="1300"/>
      <c r="C306" s="1299"/>
      <c r="D306" s="1300"/>
    </row>
    <row r="307" spans="1:4" x14ac:dyDescent="0.2">
      <c r="A307" s="1293">
        <v>36860</v>
      </c>
      <c r="B307" s="1300"/>
      <c r="C307" s="1299"/>
      <c r="D307" s="1300"/>
    </row>
    <row r="308" spans="1:4" x14ac:dyDescent="0.2">
      <c r="A308" s="1293">
        <v>36891</v>
      </c>
      <c r="B308" s="1300"/>
      <c r="C308" s="1299"/>
      <c r="D308" s="1300"/>
    </row>
    <row r="309" spans="1:4" x14ac:dyDescent="0.2">
      <c r="A309" s="1293">
        <v>36922</v>
      </c>
      <c r="B309" s="1300"/>
      <c r="C309" s="1299"/>
      <c r="D309" s="1300"/>
    </row>
    <row r="310" spans="1:4" x14ac:dyDescent="0.2">
      <c r="A310" s="1293">
        <v>36950</v>
      </c>
      <c r="B310" s="1300"/>
      <c r="C310" s="1299"/>
      <c r="D310" s="1300"/>
    </row>
    <row r="311" spans="1:4" x14ac:dyDescent="0.2">
      <c r="A311" s="1293">
        <v>36981</v>
      </c>
      <c r="B311" s="1300"/>
      <c r="C311" s="1299"/>
      <c r="D311" s="1300"/>
    </row>
    <row r="312" spans="1:4" x14ac:dyDescent="0.2">
      <c r="A312" s="1293">
        <v>37011</v>
      </c>
      <c r="B312" s="1300"/>
      <c r="C312" s="1299"/>
      <c r="D312" s="1300"/>
    </row>
    <row r="313" spans="1:4" x14ac:dyDescent="0.2">
      <c r="A313" s="1293">
        <v>37042</v>
      </c>
      <c r="B313" s="1300"/>
      <c r="C313" s="1299"/>
      <c r="D313" s="1300"/>
    </row>
    <row r="314" spans="1:4" x14ac:dyDescent="0.2">
      <c r="A314" s="1293">
        <v>37072</v>
      </c>
      <c r="B314" s="1300"/>
      <c r="C314" s="1299"/>
      <c r="D314" s="1300"/>
    </row>
    <row r="315" spans="1:4" x14ac:dyDescent="0.2">
      <c r="A315" s="1293">
        <v>37103</v>
      </c>
      <c r="B315" s="1300"/>
      <c r="C315" s="1299"/>
      <c r="D315" s="1300"/>
    </row>
    <row r="316" spans="1:4" x14ac:dyDescent="0.2">
      <c r="A316" s="1293">
        <v>37134</v>
      </c>
      <c r="B316" s="1300"/>
      <c r="C316" s="1299"/>
      <c r="D316" s="1300"/>
    </row>
    <row r="317" spans="1:4" x14ac:dyDescent="0.2">
      <c r="A317" s="1293">
        <v>37164</v>
      </c>
      <c r="B317" s="1300"/>
      <c r="C317" s="1299"/>
      <c r="D317" s="1300"/>
    </row>
    <row r="318" spans="1:4" x14ac:dyDescent="0.2">
      <c r="A318" s="1293">
        <v>37195</v>
      </c>
      <c r="B318" s="1300"/>
      <c r="C318" s="1299"/>
      <c r="D318" s="1300"/>
    </row>
    <row r="319" spans="1:4" x14ac:dyDescent="0.2">
      <c r="A319" s="1293">
        <v>37225</v>
      </c>
      <c r="B319" s="1300"/>
      <c r="C319" s="1299"/>
      <c r="D319" s="1300"/>
    </row>
    <row r="320" spans="1:4" x14ac:dyDescent="0.2">
      <c r="A320" s="1293">
        <v>37256</v>
      </c>
      <c r="B320" s="1300"/>
      <c r="C320" s="1299"/>
      <c r="D320" s="1300"/>
    </row>
    <row r="321" spans="1:4" x14ac:dyDescent="0.2">
      <c r="A321" s="1293">
        <v>37287</v>
      </c>
      <c r="B321" s="1300"/>
      <c r="C321" s="1299"/>
      <c r="D321" s="1300"/>
    </row>
    <row r="322" spans="1:4" x14ac:dyDescent="0.2">
      <c r="A322" s="1293">
        <v>37315</v>
      </c>
      <c r="B322" s="1300"/>
      <c r="C322" s="1299"/>
      <c r="D322" s="1300"/>
    </row>
    <row r="323" spans="1:4" x14ac:dyDescent="0.2">
      <c r="A323" s="1293">
        <v>37346</v>
      </c>
      <c r="B323" s="1300"/>
      <c r="C323" s="1299"/>
      <c r="D323" s="1300"/>
    </row>
    <row r="324" spans="1:4" x14ac:dyDescent="0.2">
      <c r="A324" s="1293">
        <v>37376</v>
      </c>
      <c r="B324" s="1300"/>
      <c r="C324" s="1299"/>
      <c r="D324" s="1300"/>
    </row>
    <row r="325" spans="1:4" x14ac:dyDescent="0.2">
      <c r="A325" s="1293">
        <v>37407</v>
      </c>
      <c r="B325" s="1300"/>
      <c r="C325" s="1299"/>
      <c r="D325" s="1300"/>
    </row>
    <row r="326" spans="1:4" x14ac:dyDescent="0.2">
      <c r="A326" s="1293">
        <v>37437</v>
      </c>
      <c r="B326" s="1300"/>
      <c r="C326" s="1299"/>
      <c r="D326" s="1300"/>
    </row>
    <row r="327" spans="1:4" x14ac:dyDescent="0.2">
      <c r="A327" s="1293">
        <v>37468</v>
      </c>
      <c r="B327" s="1300"/>
      <c r="C327" s="1299"/>
      <c r="D327" s="1300"/>
    </row>
    <row r="328" spans="1:4" x14ac:dyDescent="0.2">
      <c r="A328" s="1293">
        <v>37499</v>
      </c>
      <c r="B328" s="1300"/>
      <c r="C328" s="1299"/>
      <c r="D328" s="1300"/>
    </row>
    <row r="329" spans="1:4" x14ac:dyDescent="0.2">
      <c r="A329" s="1293">
        <v>37529</v>
      </c>
      <c r="B329" s="1300"/>
      <c r="C329" s="1299"/>
      <c r="D329" s="1300"/>
    </row>
    <row r="330" spans="1:4" x14ac:dyDescent="0.2">
      <c r="A330" s="1293">
        <v>37560</v>
      </c>
      <c r="B330" s="1300"/>
      <c r="C330" s="1299"/>
      <c r="D330" s="1300"/>
    </row>
    <row r="331" spans="1:4" x14ac:dyDescent="0.2">
      <c r="A331" s="1293">
        <v>37590</v>
      </c>
      <c r="B331" s="1300"/>
      <c r="C331" s="1299"/>
      <c r="D331" s="1300"/>
    </row>
    <row r="332" spans="1:4" x14ac:dyDescent="0.2">
      <c r="A332" s="1293">
        <v>37621</v>
      </c>
      <c r="B332" s="1300"/>
      <c r="C332" s="1299"/>
      <c r="D332" s="1300"/>
    </row>
    <row r="333" spans="1:4" x14ac:dyDescent="0.2">
      <c r="A333" s="1293">
        <v>37652</v>
      </c>
      <c r="B333" s="1300"/>
      <c r="C333" s="1299"/>
      <c r="D333" s="1300"/>
    </row>
    <row r="334" spans="1:4" x14ac:dyDescent="0.2">
      <c r="A334" s="1293">
        <v>37680</v>
      </c>
      <c r="B334" s="1300"/>
      <c r="C334" s="1299"/>
      <c r="D334" s="1300"/>
    </row>
    <row r="335" spans="1:4" x14ac:dyDescent="0.2">
      <c r="A335" s="1293">
        <v>37711</v>
      </c>
      <c r="B335" s="1300"/>
      <c r="C335" s="1299"/>
      <c r="D335" s="1300"/>
    </row>
    <row r="336" spans="1:4" x14ac:dyDescent="0.2">
      <c r="A336" s="1293">
        <v>37741</v>
      </c>
      <c r="B336" s="1300"/>
      <c r="C336" s="1299"/>
      <c r="D336" s="1300"/>
    </row>
    <row r="337" spans="1:4" x14ac:dyDescent="0.2">
      <c r="A337" s="1293">
        <v>37772</v>
      </c>
      <c r="B337" s="1300"/>
      <c r="C337" s="1299"/>
      <c r="D337" s="1300"/>
    </row>
    <row r="338" spans="1:4" x14ac:dyDescent="0.2">
      <c r="A338" s="1293">
        <v>37802</v>
      </c>
      <c r="B338" s="1300"/>
      <c r="C338" s="1299"/>
      <c r="D338" s="1300"/>
    </row>
    <row r="339" spans="1:4" x14ac:dyDescent="0.2">
      <c r="A339" s="1293">
        <v>37833</v>
      </c>
      <c r="B339" s="1300"/>
      <c r="C339" s="1299"/>
      <c r="D339" s="1300"/>
    </row>
    <row r="340" spans="1:4" x14ac:dyDescent="0.2">
      <c r="A340" s="1293">
        <v>37864</v>
      </c>
      <c r="B340" s="1300"/>
      <c r="C340" s="1299"/>
      <c r="D340" s="1300"/>
    </row>
    <row r="341" spans="1:4" x14ac:dyDescent="0.2">
      <c r="A341" s="1293">
        <v>37894</v>
      </c>
      <c r="B341" s="1300"/>
      <c r="C341" s="1302"/>
      <c r="D341" s="1300"/>
    </row>
    <row r="342" spans="1:4" x14ac:dyDescent="0.2">
      <c r="A342" s="1293">
        <v>37925</v>
      </c>
      <c r="B342" s="1300"/>
      <c r="C342" s="1302"/>
      <c r="D342" s="1300"/>
    </row>
    <row r="343" spans="1:4" x14ac:dyDescent="0.2">
      <c r="A343" s="1293">
        <v>37955</v>
      </c>
      <c r="B343" s="1300"/>
      <c r="C343" s="1302"/>
      <c r="D343" s="1300"/>
    </row>
    <row r="344" spans="1:4" x14ac:dyDescent="0.2">
      <c r="A344" s="1293">
        <v>37986</v>
      </c>
      <c r="B344" s="1300"/>
      <c r="C344" s="1302"/>
      <c r="D344" s="1300"/>
    </row>
    <row r="345" spans="1:4" x14ac:dyDescent="0.2">
      <c r="A345" s="1293">
        <v>38017</v>
      </c>
      <c r="B345" s="1300"/>
      <c r="C345" s="1302"/>
      <c r="D345" s="1300"/>
    </row>
    <row r="346" spans="1:4" x14ac:dyDescent="0.2">
      <c r="A346" s="1293">
        <v>38046</v>
      </c>
      <c r="B346" s="1300"/>
      <c r="C346" s="1302"/>
      <c r="D346" s="1300"/>
    </row>
    <row r="347" spans="1:4" x14ac:dyDescent="0.2">
      <c r="A347" s="1293">
        <v>38077</v>
      </c>
      <c r="B347" s="1300"/>
      <c r="C347" s="1302"/>
      <c r="D347" s="1303"/>
    </row>
    <row r="348" spans="1:4" x14ac:dyDescent="0.2">
      <c r="A348" s="1293">
        <v>38107</v>
      </c>
      <c r="B348" s="1300"/>
      <c r="C348" s="1302"/>
      <c r="D348" s="1300"/>
    </row>
    <row r="349" spans="1:4" x14ac:dyDescent="0.2">
      <c r="A349" s="1293">
        <v>38138</v>
      </c>
      <c r="B349" s="1300"/>
      <c r="C349" s="1302"/>
      <c r="D349" s="1300"/>
    </row>
    <row r="350" spans="1:4" x14ac:dyDescent="0.2">
      <c r="A350" s="1293">
        <v>38168</v>
      </c>
      <c r="B350" s="1300"/>
      <c r="C350" s="1302"/>
      <c r="D350" s="1300"/>
    </row>
    <row r="351" spans="1:4" x14ac:dyDescent="0.2">
      <c r="A351" s="1293">
        <v>38199</v>
      </c>
      <c r="B351" s="1300"/>
      <c r="C351" s="1302"/>
      <c r="D351" s="1300"/>
    </row>
    <row r="352" spans="1:4" x14ac:dyDescent="0.2">
      <c r="A352" s="1293">
        <v>38230</v>
      </c>
      <c r="B352" s="1300"/>
      <c r="C352" s="1302"/>
      <c r="D352" s="1300"/>
    </row>
    <row r="353" spans="1:4" x14ac:dyDescent="0.2">
      <c r="A353" s="1293">
        <v>38260</v>
      </c>
      <c r="B353" s="1300"/>
      <c r="C353" s="1302"/>
      <c r="D353" s="1300"/>
    </row>
    <row r="354" spans="1:4" x14ac:dyDescent="0.2">
      <c r="A354" s="1293">
        <v>38291</v>
      </c>
      <c r="B354" s="1300"/>
      <c r="C354" s="1302"/>
      <c r="D354" s="1300"/>
    </row>
    <row r="355" spans="1:4" x14ac:dyDescent="0.2">
      <c r="A355" s="1293">
        <v>38321</v>
      </c>
      <c r="B355" s="1300"/>
      <c r="C355" s="1302"/>
      <c r="D355" s="1300"/>
    </row>
    <row r="356" spans="1:4" x14ac:dyDescent="0.2">
      <c r="A356" s="1293">
        <v>38352</v>
      </c>
      <c r="B356" s="1300"/>
      <c r="C356" s="1304"/>
      <c r="D356" s="1300"/>
    </row>
    <row r="357" spans="1:4" x14ac:dyDescent="0.2">
      <c r="A357" s="1293">
        <v>38383</v>
      </c>
      <c r="B357" s="1300"/>
      <c r="C357" s="1302"/>
      <c r="D357" s="1300"/>
    </row>
    <row r="358" spans="1:4" x14ac:dyDescent="0.2">
      <c r="A358" s="1293">
        <v>38411</v>
      </c>
      <c r="B358" s="1300"/>
      <c r="C358" s="1302"/>
      <c r="D358" s="1300"/>
    </row>
    <row r="359" spans="1:4" x14ac:dyDescent="0.2">
      <c r="A359" s="1293">
        <v>38442</v>
      </c>
      <c r="B359" s="1300"/>
      <c r="C359" s="1304"/>
      <c r="D359" s="1300"/>
    </row>
    <row r="360" spans="1:4" x14ac:dyDescent="0.2">
      <c r="A360" s="1293">
        <v>38472</v>
      </c>
      <c r="B360" s="1300"/>
      <c r="C360" s="1304"/>
      <c r="D360" s="1300"/>
    </row>
    <row r="361" spans="1:4" x14ac:dyDescent="0.2">
      <c r="A361" s="1293">
        <v>38503</v>
      </c>
      <c r="B361" s="1300"/>
      <c r="C361" s="1304"/>
      <c r="D361" s="1300"/>
    </row>
    <row r="362" spans="1:4" x14ac:dyDescent="0.2">
      <c r="A362" s="1293">
        <v>38533</v>
      </c>
      <c r="B362" s="1300"/>
      <c r="C362" s="1304"/>
      <c r="D362" s="1300"/>
    </row>
    <row r="363" spans="1:4" x14ac:dyDescent="0.2">
      <c r="A363" s="1293">
        <v>38564</v>
      </c>
      <c r="B363" s="1300"/>
      <c r="C363" s="1304"/>
      <c r="D363" s="1300"/>
    </row>
    <row r="364" spans="1:4" x14ac:dyDescent="0.2">
      <c r="A364" s="1293">
        <v>38595</v>
      </c>
      <c r="B364" s="1300"/>
      <c r="C364" s="1304"/>
      <c r="D364" s="1300"/>
    </row>
    <row r="365" spans="1:4" x14ac:dyDescent="0.2">
      <c r="A365" s="1293">
        <v>38625</v>
      </c>
      <c r="B365" s="1300"/>
      <c r="C365" s="1304"/>
      <c r="D365" s="1300"/>
    </row>
    <row r="366" spans="1:4" x14ac:dyDescent="0.2">
      <c r="A366" s="1293">
        <v>38656</v>
      </c>
      <c r="B366" s="1300"/>
      <c r="C366" s="1304"/>
      <c r="D366" s="1300"/>
    </row>
    <row r="367" spans="1:4" x14ac:dyDescent="0.2">
      <c r="A367" s="1293">
        <v>38686</v>
      </c>
      <c r="B367" s="1300"/>
      <c r="C367" s="1304"/>
      <c r="D367" s="1300"/>
    </row>
    <row r="368" spans="1:4" x14ac:dyDescent="0.2">
      <c r="A368" s="1293">
        <v>38717</v>
      </c>
      <c r="B368" s="1300"/>
      <c r="C368" s="1304"/>
      <c r="D368" s="1300"/>
    </row>
    <row r="369" spans="1:6" x14ac:dyDescent="0.2">
      <c r="A369" s="1293">
        <v>38748</v>
      </c>
      <c r="B369" s="1300"/>
      <c r="C369" s="1304"/>
      <c r="D369" s="1300"/>
    </row>
    <row r="370" spans="1:6" x14ac:dyDescent="0.2">
      <c r="A370" s="1293">
        <v>38776</v>
      </c>
      <c r="B370" s="1300"/>
      <c r="C370" s="1304"/>
      <c r="D370" s="1300"/>
    </row>
    <row r="371" spans="1:6" x14ac:dyDescent="0.2">
      <c r="A371" s="1293">
        <v>38807</v>
      </c>
      <c r="B371" s="1300"/>
      <c r="C371" s="1299"/>
      <c r="D371" s="1300"/>
    </row>
    <row r="372" spans="1:6" x14ac:dyDescent="0.2">
      <c r="A372" s="1293">
        <v>38837</v>
      </c>
      <c r="B372" s="1300"/>
      <c r="C372" s="1299"/>
      <c r="D372" s="1300"/>
    </row>
    <row r="373" spans="1:6" x14ac:dyDescent="0.2">
      <c r="A373" s="1293">
        <v>38868</v>
      </c>
      <c r="B373" s="1300"/>
      <c r="C373" s="1299"/>
      <c r="D373" s="1300"/>
    </row>
    <row r="374" spans="1:6" x14ac:dyDescent="0.2">
      <c r="A374" s="1293">
        <v>38898</v>
      </c>
      <c r="B374" s="1372"/>
      <c r="C374" s="1387"/>
      <c r="D374" s="1300"/>
    </row>
    <row r="375" spans="1:6" x14ac:dyDescent="0.2">
      <c r="A375" s="1293">
        <v>38929</v>
      </c>
      <c r="B375" s="1300"/>
      <c r="C375" s="1302"/>
      <c r="D375" s="1300"/>
    </row>
    <row r="376" spans="1:6" x14ac:dyDescent="0.2">
      <c r="A376" s="1293">
        <v>38960</v>
      </c>
      <c r="B376" s="1300"/>
      <c r="C376" s="1302"/>
      <c r="D376" s="1300"/>
    </row>
    <row r="377" spans="1:6" x14ac:dyDescent="0.2">
      <c r="A377" s="1293">
        <v>38990</v>
      </c>
      <c r="B377" s="1300"/>
      <c r="C377" s="1302"/>
      <c r="D377" s="1300"/>
    </row>
    <row r="378" spans="1:6" x14ac:dyDescent="0.2">
      <c r="A378" s="1293">
        <v>39021</v>
      </c>
      <c r="B378" s="1300"/>
      <c r="C378" s="1302"/>
      <c r="D378" s="1300"/>
      <c r="F378" s="1305"/>
    </row>
    <row r="379" spans="1:6" x14ac:dyDescent="0.2">
      <c r="A379" s="1293">
        <v>39051</v>
      </c>
      <c r="B379" s="1300"/>
      <c r="C379" s="1302"/>
      <c r="D379" s="1300"/>
      <c r="F379" s="1305"/>
    </row>
    <row r="380" spans="1:6" x14ac:dyDescent="0.2">
      <c r="A380" s="1293">
        <v>39082</v>
      </c>
      <c r="B380" s="1300"/>
      <c r="C380" s="1302"/>
      <c r="D380" s="1300"/>
      <c r="F380" s="1305"/>
    </row>
    <row r="381" spans="1:6" x14ac:dyDescent="0.2">
      <c r="A381" s="1293">
        <v>39113</v>
      </c>
      <c r="B381" s="1300"/>
      <c r="F381" s="1305"/>
    </row>
    <row r="382" spans="1:6" x14ac:dyDescent="0.2">
      <c r="A382" s="1293">
        <v>39141</v>
      </c>
      <c r="B382" s="1300"/>
      <c r="F382" s="1305"/>
    </row>
    <row r="383" spans="1:6" x14ac:dyDescent="0.2">
      <c r="A383" s="1293">
        <v>39172</v>
      </c>
      <c r="B383" s="1300"/>
    </row>
    <row r="384" spans="1:6" x14ac:dyDescent="0.2">
      <c r="A384" s="1293">
        <v>39202</v>
      </c>
      <c r="B384" s="1300"/>
    </row>
    <row r="385" spans="1:3" x14ac:dyDescent="0.2">
      <c r="A385" s="1293">
        <v>39233</v>
      </c>
      <c r="B385" s="1300"/>
    </row>
    <row r="386" spans="1:3" x14ac:dyDescent="0.2">
      <c r="A386" s="1293">
        <v>39263</v>
      </c>
      <c r="B386" s="1300"/>
    </row>
    <row r="387" spans="1:3" x14ac:dyDescent="0.2">
      <c r="A387" s="1293">
        <v>39294</v>
      </c>
      <c r="B387" s="1300"/>
    </row>
    <row r="388" spans="1:3" x14ac:dyDescent="0.2">
      <c r="A388" s="1293">
        <v>39325</v>
      </c>
      <c r="B388" s="1300"/>
    </row>
    <row r="389" spans="1:3" x14ac:dyDescent="0.2">
      <c r="A389" s="1293">
        <v>39355</v>
      </c>
      <c r="B389" s="1300"/>
    </row>
    <row r="390" spans="1:3" x14ac:dyDescent="0.2">
      <c r="A390" s="1293">
        <v>39386</v>
      </c>
      <c r="B390" s="1300"/>
    </row>
    <row r="391" spans="1:3" x14ac:dyDescent="0.2">
      <c r="A391" s="1293">
        <v>39416</v>
      </c>
      <c r="B391" s="1300"/>
    </row>
    <row r="392" spans="1:3" x14ac:dyDescent="0.2">
      <c r="A392" s="1293">
        <v>39447</v>
      </c>
      <c r="B392" s="1300"/>
    </row>
    <row r="393" spans="1:3" x14ac:dyDescent="0.2">
      <c r="A393" s="1293">
        <v>39478</v>
      </c>
      <c r="B393" s="1300"/>
    </row>
    <row r="394" spans="1:3" x14ac:dyDescent="0.2">
      <c r="A394" s="1293">
        <v>39507</v>
      </c>
      <c r="B394" s="1300"/>
    </row>
    <row r="395" spans="1:3" x14ac:dyDescent="0.2">
      <c r="A395" s="1293">
        <v>39538</v>
      </c>
      <c r="B395" s="1300"/>
    </row>
    <row r="396" spans="1:3" x14ac:dyDescent="0.2">
      <c r="A396" s="1293">
        <v>39568</v>
      </c>
      <c r="B396" s="1300"/>
    </row>
    <row r="397" spans="1:3" x14ac:dyDescent="0.2">
      <c r="A397" s="1293">
        <v>39599</v>
      </c>
      <c r="B397" s="1300"/>
    </row>
    <row r="398" spans="1:3" x14ac:dyDescent="0.2">
      <c r="A398" s="1293">
        <v>39629</v>
      </c>
      <c r="B398" s="1300"/>
    </row>
    <row r="399" spans="1:3" x14ac:dyDescent="0.2">
      <c r="A399" s="1293">
        <v>39660</v>
      </c>
      <c r="B399" s="1300"/>
      <c r="C399" s="1299"/>
    </row>
    <row r="400" spans="1:3" x14ac:dyDescent="0.2">
      <c r="A400" s="1293">
        <v>39691</v>
      </c>
      <c r="B400" s="1300"/>
      <c r="C400" s="1299"/>
    </row>
    <row r="401" spans="1:7" x14ac:dyDescent="0.2">
      <c r="A401" s="1293">
        <v>39721</v>
      </c>
      <c r="B401" s="1300"/>
      <c r="C401" s="1299"/>
    </row>
    <row r="402" spans="1:7" x14ac:dyDescent="0.2">
      <c r="A402" s="1293">
        <v>39752</v>
      </c>
      <c r="B402" s="1300"/>
    </row>
    <row r="403" spans="1:7" x14ac:dyDescent="0.2">
      <c r="A403" s="1293">
        <v>39782</v>
      </c>
      <c r="B403" s="1300"/>
      <c r="G403" s="1301"/>
    </row>
    <row r="404" spans="1:7" x14ac:dyDescent="0.2">
      <c r="A404" s="1293">
        <v>39813</v>
      </c>
      <c r="B404" s="1300"/>
    </row>
    <row r="405" spans="1:7" x14ac:dyDescent="0.2">
      <c r="A405" s="1293">
        <v>39844</v>
      </c>
      <c r="B405" s="1300"/>
    </row>
    <row r="406" spans="1:7" x14ac:dyDescent="0.2">
      <c r="A406" s="1293">
        <v>39872</v>
      </c>
      <c r="B406" s="1300"/>
    </row>
    <row r="407" spans="1:7" x14ac:dyDescent="0.2">
      <c r="A407" s="1293">
        <v>39903</v>
      </c>
      <c r="B407" s="1300"/>
    </row>
    <row r="408" spans="1:7" x14ac:dyDescent="0.2">
      <c r="A408" s="1293">
        <v>39933</v>
      </c>
      <c r="B408" s="1300"/>
    </row>
    <row r="409" spans="1:7" x14ac:dyDescent="0.2">
      <c r="A409" s="1293">
        <v>39964</v>
      </c>
      <c r="B409" s="1300"/>
    </row>
    <row r="410" spans="1:7" x14ac:dyDescent="0.2">
      <c r="A410" s="1293">
        <v>39994</v>
      </c>
      <c r="B410" s="1300"/>
    </row>
    <row r="411" spans="1:7" x14ac:dyDescent="0.2">
      <c r="A411" s="1293">
        <v>40025</v>
      </c>
      <c r="B411" s="1300"/>
    </row>
    <row r="412" spans="1:7" x14ac:dyDescent="0.2">
      <c r="A412" s="1293">
        <v>40056</v>
      </c>
      <c r="B412" s="1300"/>
    </row>
    <row r="413" spans="1:7" x14ac:dyDescent="0.2">
      <c r="A413" s="1293">
        <v>40086</v>
      </c>
      <c r="B413" s="1300"/>
    </row>
    <row r="414" spans="1:7" x14ac:dyDescent="0.2">
      <c r="A414" s="1293">
        <v>40117</v>
      </c>
      <c r="B414" s="1300"/>
    </row>
    <row r="415" spans="1:7" x14ac:dyDescent="0.2">
      <c r="A415" s="1293">
        <v>40147</v>
      </c>
      <c r="B415" s="1300"/>
    </row>
    <row r="416" spans="1:7" x14ac:dyDescent="0.2">
      <c r="A416" s="1293">
        <v>40178</v>
      </c>
      <c r="B416" s="1300"/>
    </row>
    <row r="417" spans="1:5" x14ac:dyDescent="0.2">
      <c r="A417" s="1293">
        <v>40209</v>
      </c>
      <c r="B417" s="1300"/>
    </row>
    <row r="418" spans="1:5" x14ac:dyDescent="0.2">
      <c r="A418" s="1293">
        <v>40237</v>
      </c>
      <c r="B418" s="1300"/>
    </row>
    <row r="419" spans="1:5" x14ac:dyDescent="0.2">
      <c r="A419" s="1293">
        <v>40268</v>
      </c>
      <c r="B419" s="1300"/>
      <c r="C419" s="1334"/>
      <c r="D419" s="1311"/>
    </row>
    <row r="420" spans="1:5" x14ac:dyDescent="0.2">
      <c r="A420" s="1293">
        <v>40298</v>
      </c>
      <c r="B420" s="1300"/>
    </row>
    <row r="421" spans="1:5" x14ac:dyDescent="0.2">
      <c r="A421" s="1293">
        <v>40329</v>
      </c>
      <c r="B421" s="1300"/>
    </row>
    <row r="422" spans="1:5" x14ac:dyDescent="0.2">
      <c r="A422" s="1293">
        <v>40359</v>
      </c>
      <c r="B422" s="1300"/>
    </row>
    <row r="423" spans="1:5" x14ac:dyDescent="0.2">
      <c r="A423" s="1293">
        <v>40390</v>
      </c>
      <c r="B423" s="1300"/>
    </row>
    <row r="424" spans="1:5" x14ac:dyDescent="0.2">
      <c r="A424" s="1293">
        <v>40421</v>
      </c>
      <c r="B424" s="1300"/>
    </row>
    <row r="425" spans="1:5" x14ac:dyDescent="0.2">
      <c r="A425" s="1293">
        <v>40451</v>
      </c>
      <c r="B425" s="1300"/>
    </row>
    <row r="426" spans="1:5" x14ac:dyDescent="0.2">
      <c r="A426" s="1293">
        <v>40482</v>
      </c>
      <c r="B426" s="1300"/>
    </row>
    <row r="427" spans="1:5" x14ac:dyDescent="0.2">
      <c r="A427" s="1293">
        <v>40512</v>
      </c>
      <c r="B427" s="1300"/>
      <c r="C427" s="1307">
        <v>218790615.21000001</v>
      </c>
      <c r="E427" s="1301">
        <f>B427-Index_Returns!AL427</f>
        <v>2.6357599999999999</v>
      </c>
    </row>
    <row r="428" spans="1:5" x14ac:dyDescent="0.2">
      <c r="A428" s="1293">
        <v>40543</v>
      </c>
      <c r="B428" s="1300">
        <v>6.4029999999999996</v>
      </c>
      <c r="C428" s="1307">
        <v>232799783.72</v>
      </c>
      <c r="D428" s="1306">
        <v>6.4029999999999996</v>
      </c>
      <c r="E428" s="1301">
        <f>B428-Index_Returns!AL428</f>
        <v>-0.74473000000000056</v>
      </c>
    </row>
    <row r="429" spans="1:5" x14ac:dyDescent="0.2">
      <c r="A429" s="1293">
        <v>40574</v>
      </c>
      <c r="B429" s="1300">
        <f>D429</f>
        <v>-2.5928800000000001</v>
      </c>
      <c r="C429" s="1307">
        <v>226763565.61000001</v>
      </c>
      <c r="D429" s="1306">
        <v>-2.5928800000000001</v>
      </c>
      <c r="E429" s="1301">
        <f>B429-Index_Returns!AL429</f>
        <v>0.10119999999999996</v>
      </c>
    </row>
    <row r="430" spans="1:5" x14ac:dyDescent="0.2">
      <c r="A430" s="1293">
        <v>40602</v>
      </c>
      <c r="B430" s="1300">
        <v>-1.32592</v>
      </c>
      <c r="C430" s="1307">
        <v>223756861.30000001</v>
      </c>
      <c r="D430" s="1306">
        <v>-1.32592</v>
      </c>
      <c r="E430" s="1301">
        <f>B430-Index_Returns!AL430</f>
        <v>-0.40815000000000001</v>
      </c>
    </row>
    <row r="431" spans="1:5" x14ac:dyDescent="0.2">
      <c r="A431" s="1293">
        <v>40633</v>
      </c>
      <c r="B431" s="1300">
        <f>D431</f>
        <v>4.7522000000000002</v>
      </c>
      <c r="C431" s="1307">
        <v>234390226.62</v>
      </c>
      <c r="D431" s="1306">
        <v>4.7522000000000002</v>
      </c>
      <c r="E431" s="1301">
        <f>B431-Index_Returns!AL431</f>
        <v>-1.1429999999999998</v>
      </c>
    </row>
    <row r="432" spans="1:5" x14ac:dyDescent="0.2">
      <c r="A432" s="1293">
        <v>40663</v>
      </c>
      <c r="B432" s="1300">
        <f t="shared" ref="B432:B488" si="0">D432</f>
        <v>3.8235600000000001</v>
      </c>
      <c r="C432" s="1307">
        <v>243352279.06</v>
      </c>
      <c r="D432" s="1306">
        <v>3.8235600000000001</v>
      </c>
      <c r="E432" s="1301">
        <f>B432-Index_Returns!AL432</f>
        <v>0.69984000000000002</v>
      </c>
    </row>
    <row r="433" spans="1:5" x14ac:dyDescent="0.2">
      <c r="A433" s="1293">
        <v>40694</v>
      </c>
      <c r="B433" s="1300">
        <f t="shared" si="0"/>
        <v>-2.8783699999999999</v>
      </c>
      <c r="C433" s="1307">
        <v>236347694.80000001</v>
      </c>
      <c r="D433" s="1306">
        <v>-2.8783699999999999</v>
      </c>
      <c r="E433" s="1301">
        <f>B433-Index_Returns!AL433</f>
        <v>-0.29517999999999978</v>
      </c>
    </row>
    <row r="434" spans="1:5" x14ac:dyDescent="0.2">
      <c r="A434" s="1293">
        <v>40724</v>
      </c>
      <c r="B434" s="1300">
        <f t="shared" si="0"/>
        <v>-1.2747900000000001</v>
      </c>
      <c r="C434" s="1307">
        <v>233334769.72999999</v>
      </c>
      <c r="D434" s="1306">
        <v>-1.2747900000000001</v>
      </c>
      <c r="E434" s="1301">
        <f>B434-Index_Returns!AL434</f>
        <v>0.22150999999999987</v>
      </c>
    </row>
    <row r="435" spans="1:5" x14ac:dyDescent="0.2">
      <c r="A435" s="1293">
        <v>40755</v>
      </c>
      <c r="B435" s="1300">
        <f t="shared" si="0"/>
        <v>-0.43989</v>
      </c>
      <c r="C435" s="1307">
        <v>232308343.08000001</v>
      </c>
      <c r="D435" s="1306">
        <v>-0.43989</v>
      </c>
      <c r="E435" s="1301">
        <f>B435-Index_Returns!AL435</f>
        <v>-6.3809999999999978E-2</v>
      </c>
    </row>
    <row r="436" spans="1:5" x14ac:dyDescent="0.2">
      <c r="A436" s="1293">
        <v>40786</v>
      </c>
      <c r="B436" s="1300">
        <f t="shared" si="0"/>
        <v>-7.4593600000000002</v>
      </c>
      <c r="C436" s="1307">
        <v>215161834.15000001</v>
      </c>
      <c r="D436" s="1306">
        <v>-7.4593600000000002</v>
      </c>
      <c r="E436" s="1301">
        <f>B436-Index_Returns!AM436</f>
        <v>-1.7013400000000001</v>
      </c>
    </row>
    <row r="437" spans="1:5" x14ac:dyDescent="0.2">
      <c r="A437" s="1293">
        <v>40816</v>
      </c>
      <c r="B437" s="1300">
        <f t="shared" si="0"/>
        <v>-14.182320000000001</v>
      </c>
      <c r="C437" s="1307">
        <v>184646895.75999999</v>
      </c>
      <c r="D437" s="1306">
        <v>-14.182320000000001</v>
      </c>
      <c r="E437" s="1301">
        <f>B437-Index_Returns!AL437</f>
        <v>0.38026999999999944</v>
      </c>
    </row>
    <row r="438" spans="1:5" x14ac:dyDescent="0.2">
      <c r="A438" s="1293">
        <v>40847</v>
      </c>
      <c r="B438" s="1300">
        <f t="shared" si="0"/>
        <v>10.931380000000001</v>
      </c>
      <c r="C438" s="1307">
        <v>257302456.94999999</v>
      </c>
      <c r="D438" s="1306">
        <v>10.931380000000001</v>
      </c>
      <c r="E438" s="1301">
        <f>B438-Index_Returns!AL438</f>
        <v>-2.3242499999999993</v>
      </c>
    </row>
    <row r="439" spans="1:5" x14ac:dyDescent="0.2">
      <c r="A439" s="1293">
        <v>40877</v>
      </c>
      <c r="B439" s="1300">
        <f t="shared" si="0"/>
        <v>-4.4955999999999996</v>
      </c>
      <c r="C439" s="1307">
        <v>325393866.89999998</v>
      </c>
      <c r="D439" s="1306">
        <v>-4.4955999999999996</v>
      </c>
      <c r="E439" s="1301">
        <f>B439-Index_Returns!AL439</f>
        <v>2.1636200000000008</v>
      </c>
    </row>
    <row r="440" spans="1:5" x14ac:dyDescent="0.2">
      <c r="A440" s="1293">
        <v>40908</v>
      </c>
      <c r="B440" s="1300">
        <f t="shared" si="0"/>
        <v>-3.47505</v>
      </c>
      <c r="C440" s="1307">
        <v>314616363.25</v>
      </c>
      <c r="D440" s="1306">
        <v>-3.47505</v>
      </c>
      <c r="E440" s="1301">
        <f>B440-Index_Returns!AL440</f>
        <v>-2.2793600000000001</v>
      </c>
    </row>
    <row r="441" spans="1:5" x14ac:dyDescent="0.2">
      <c r="A441" s="345">
        <v>40939</v>
      </c>
      <c r="B441" s="1300">
        <f t="shared" si="0"/>
        <v>10.179080000000001</v>
      </c>
      <c r="C441" s="1307">
        <v>346057346.42000002</v>
      </c>
      <c r="D441" s="1306">
        <v>10.179080000000001</v>
      </c>
      <c r="E441" s="1301">
        <f>B441-Index_Returns!AL441</f>
        <v>-1.1829199999999993</v>
      </c>
    </row>
    <row r="442" spans="1:5" x14ac:dyDescent="0.2">
      <c r="A442" s="345">
        <v>40968</v>
      </c>
      <c r="B442" s="1300">
        <f t="shared" si="0"/>
        <v>5.7371299999999996</v>
      </c>
      <c r="C442" s="1307">
        <v>366607233.61000001</v>
      </c>
      <c r="D442" s="1306">
        <v>5.7371299999999996</v>
      </c>
      <c r="E442" s="1301">
        <f>B442-Index_Returns!AL442</f>
        <v>-0.27134999999999998</v>
      </c>
    </row>
    <row r="443" spans="1:5" x14ac:dyDescent="0.2">
      <c r="A443" s="345">
        <v>40999</v>
      </c>
      <c r="B443" s="1300">
        <f t="shared" si="0"/>
        <v>-1.3201400000000001</v>
      </c>
      <c r="C443" s="1307">
        <v>361767511.43000001</v>
      </c>
      <c r="D443" s="1306">
        <v>-1.3201400000000001</v>
      </c>
      <c r="E443" s="1301">
        <f>B443-Index_Returns!AL443</f>
        <v>1.9963399999999998</v>
      </c>
    </row>
    <row r="444" spans="1:5" x14ac:dyDescent="0.2">
      <c r="A444" s="345">
        <v>41029</v>
      </c>
      <c r="B444" s="1300">
        <f t="shared" si="0"/>
        <v>-1.33304</v>
      </c>
      <c r="C444" s="1307">
        <v>356945000.22000003</v>
      </c>
      <c r="D444" s="1306">
        <v>-1.33304</v>
      </c>
      <c r="E444" s="1301">
        <f>B444-Index_Returns!AL444</f>
        <v>-0.15507000000000004</v>
      </c>
    </row>
    <row r="445" spans="1:5" x14ac:dyDescent="0.2">
      <c r="A445" s="345">
        <v>41060</v>
      </c>
      <c r="B445" s="1300">
        <f t="shared" si="0"/>
        <v>-10.799020000000001</v>
      </c>
      <c r="C445" s="1307">
        <v>319222016.36000001</v>
      </c>
      <c r="D445" s="1306">
        <v>-10.799020000000001</v>
      </c>
      <c r="E445" s="1301">
        <f>B445-Index_Returns!AL445</f>
        <v>0.36355000000000004</v>
      </c>
    </row>
    <row r="446" spans="1:5" x14ac:dyDescent="0.2">
      <c r="A446" s="345">
        <v>41090</v>
      </c>
      <c r="B446" s="1300">
        <f t="shared" si="0"/>
        <v>5.0259900000000002</v>
      </c>
      <c r="C446" s="1307">
        <v>335266074.00999999</v>
      </c>
      <c r="D446" s="1306">
        <v>5.0259900000000002</v>
      </c>
      <c r="E446" s="1301">
        <f>B446-Index_Returns!AL446</f>
        <v>1.1194900000000003</v>
      </c>
    </row>
    <row r="447" spans="1:5" x14ac:dyDescent="0.2">
      <c r="A447" s="345">
        <v>41121</v>
      </c>
      <c r="B447" s="1300">
        <f t="shared" si="0"/>
        <v>0.29465999999999998</v>
      </c>
      <c r="C447" s="1307">
        <v>336253983.16000003</v>
      </c>
      <c r="D447" s="1306">
        <v>0.29465999999999998</v>
      </c>
      <c r="E447" s="1301">
        <f>B447-Index_Returns!AL447</f>
        <v>-1.72803</v>
      </c>
    </row>
    <row r="448" spans="1:5" x14ac:dyDescent="0.2">
      <c r="A448" s="345">
        <v>41152</v>
      </c>
      <c r="B448" s="1300">
        <f t="shared" si="0"/>
        <v>1.0510699999999999</v>
      </c>
      <c r="C448" s="1307">
        <v>340577376.50999999</v>
      </c>
      <c r="D448" s="1306">
        <v>1.0510699999999999</v>
      </c>
      <c r="E448" s="1301">
        <f>B448-Index_Returns!AL448</f>
        <v>1.3400799999999999</v>
      </c>
    </row>
    <row r="449" spans="1:5" x14ac:dyDescent="0.2">
      <c r="A449" s="345">
        <v>41182</v>
      </c>
      <c r="B449" s="1300">
        <f t="shared" si="0"/>
        <v>5.11815</v>
      </c>
      <c r="C449" s="1307">
        <v>358008637.60000002</v>
      </c>
      <c r="D449" s="1306">
        <v>5.11815</v>
      </c>
      <c r="E449" s="1301">
        <f>B449-Index_Returns!AL449</f>
        <v>-0.93581999999999965</v>
      </c>
    </row>
    <row r="450" spans="1:5" x14ac:dyDescent="0.2">
      <c r="A450" s="345">
        <v>41213</v>
      </c>
      <c r="B450" s="1300">
        <f t="shared" si="0"/>
        <v>-0.18221000000000001</v>
      </c>
      <c r="C450" s="1307">
        <v>444997120.25999999</v>
      </c>
      <c r="D450" s="1306">
        <v>-0.18221000000000001</v>
      </c>
      <c r="E450" s="1301">
        <f>B450-Index_Returns!AL450</f>
        <v>0.41413</v>
      </c>
    </row>
    <row r="451" spans="1:5" x14ac:dyDescent="0.2">
      <c r="A451" s="345">
        <v>41243</v>
      </c>
      <c r="B451" s="1300">
        <f t="shared" si="0"/>
        <v>0.30692999999999998</v>
      </c>
      <c r="C451" s="1307">
        <v>447186396.24000001</v>
      </c>
      <c r="D451" s="1306">
        <v>0.30692999999999998</v>
      </c>
      <c r="E451" s="1301">
        <f>B451-Index_Returns!AL451</f>
        <v>-0.9700200000000001</v>
      </c>
    </row>
    <row r="452" spans="1:5" x14ac:dyDescent="0.2">
      <c r="A452" s="345">
        <v>41274</v>
      </c>
      <c r="B452" s="1300">
        <f t="shared" si="0"/>
        <v>5.3881100000000002</v>
      </c>
      <c r="C452" s="1307">
        <v>471281284.94</v>
      </c>
      <c r="D452" s="1306">
        <v>5.3881100000000002</v>
      </c>
      <c r="E452" s="1301">
        <f>B452-Index_Returns!AL452</f>
        <v>0.48653000000000013</v>
      </c>
    </row>
    <row r="453" spans="1:5" x14ac:dyDescent="0.2">
      <c r="A453" s="345">
        <v>41305</v>
      </c>
      <c r="B453" s="1300">
        <f t="shared" si="0"/>
        <v>2.4335900000000001</v>
      </c>
      <c r="C453" s="1307">
        <v>482750349.13</v>
      </c>
      <c r="D453" s="1306">
        <v>2.4335900000000001</v>
      </c>
      <c r="E453" s="1301">
        <f>B453-Index_Returns!AL453</f>
        <v>1.0393200000000002</v>
      </c>
    </row>
    <row r="454" spans="1:5" x14ac:dyDescent="0.2">
      <c r="A454" s="345">
        <v>41333</v>
      </c>
      <c r="B454" s="1300">
        <f t="shared" si="0"/>
        <v>-1.6329</v>
      </c>
      <c r="C454" s="1307">
        <v>475895473.25999999</v>
      </c>
      <c r="D454" s="1306">
        <v>-1.6329</v>
      </c>
      <c r="E454" s="1301">
        <f>B454-Index_Returns!AL454</f>
        <v>-0.39091999999999993</v>
      </c>
    </row>
    <row r="455" spans="1:5" x14ac:dyDescent="0.2">
      <c r="A455" s="345">
        <v>41364</v>
      </c>
      <c r="B455" s="1300">
        <f t="shared" si="0"/>
        <v>-0.69140000000000001</v>
      </c>
      <c r="C455" s="1307">
        <v>472605132.83999997</v>
      </c>
      <c r="D455" s="1306">
        <v>-0.69140000000000001</v>
      </c>
      <c r="E455" s="1301">
        <f>B455-Index_Returns!AL455</f>
        <v>1.00929</v>
      </c>
    </row>
    <row r="456" spans="1:5" x14ac:dyDescent="0.2">
      <c r="A456" s="345">
        <v>41394</v>
      </c>
      <c r="B456" s="1300">
        <f t="shared" si="0"/>
        <v>0.90786999999999995</v>
      </c>
      <c r="C456" s="1307">
        <v>478041906.26999998</v>
      </c>
      <c r="D456" s="1306">
        <v>0.90786999999999995</v>
      </c>
      <c r="E456" s="1301">
        <f>B456-Index_Returns!AL456</f>
        <v>0.11495999999999995</v>
      </c>
    </row>
    <row r="457" spans="1:5" x14ac:dyDescent="0.2">
      <c r="A457" s="345">
        <v>41425</v>
      </c>
      <c r="B457" s="1300">
        <f t="shared" si="0"/>
        <v>-1.85517</v>
      </c>
      <c r="C457" s="1307">
        <v>469173410.61000001</v>
      </c>
      <c r="D457" s="1306">
        <v>-1.85517</v>
      </c>
      <c r="E457" s="1301">
        <f>B457-Index_Returns!AL457</f>
        <v>0.66331999999999991</v>
      </c>
    </row>
    <row r="458" spans="1:5" x14ac:dyDescent="0.2">
      <c r="A458" s="345">
        <v>41455</v>
      </c>
      <c r="B458" s="1300">
        <f t="shared" si="0"/>
        <v>-5.5419600000000004</v>
      </c>
      <c r="C458" s="1307">
        <v>443172009.56</v>
      </c>
      <c r="D458" s="1306">
        <v>-5.5419600000000004</v>
      </c>
      <c r="E458" s="1301">
        <f>B458-Index_Returns!AL458</f>
        <v>0.77663999999999955</v>
      </c>
    </row>
    <row r="459" spans="1:5" x14ac:dyDescent="0.2">
      <c r="A459" s="345">
        <v>41486</v>
      </c>
      <c r="B459" s="1300">
        <f t="shared" si="0"/>
        <v>1.8649500000000001</v>
      </c>
      <c r="C459" s="1307">
        <v>452524630.82999998</v>
      </c>
      <c r="D459" s="1306">
        <v>1.8649500000000001</v>
      </c>
      <c r="E459" s="1301">
        <f>B459-Index_Returns!AL459</f>
        <v>0.76604000000000005</v>
      </c>
    </row>
    <row r="460" spans="1:5" x14ac:dyDescent="0.2">
      <c r="A460" s="345">
        <v>41517</v>
      </c>
      <c r="B460" s="1300">
        <f t="shared" si="0"/>
        <v>-2.7597900000000002</v>
      </c>
      <c r="C460" s="1307">
        <v>440035903.83999997</v>
      </c>
      <c r="D460" s="1306">
        <v>-2.7597900000000002</v>
      </c>
      <c r="E460" s="1301">
        <f>B460-Index_Returns!AL460</f>
        <v>-1.0816000000000001</v>
      </c>
    </row>
    <row r="461" spans="1:5" x14ac:dyDescent="0.2">
      <c r="A461" s="345">
        <v>41547</v>
      </c>
      <c r="B461" s="1300">
        <f t="shared" si="0"/>
        <v>6.5339900000000002</v>
      </c>
      <c r="C461" s="1307">
        <v>468787823.83999997</v>
      </c>
      <c r="D461" s="1306">
        <v>6.5339900000000002</v>
      </c>
      <c r="E461" s="1301">
        <f>B461-Index_Returns!AL461</f>
        <v>-8.2000000000004292E-4</v>
      </c>
    </row>
    <row r="462" spans="1:5" x14ac:dyDescent="0.2">
      <c r="A462" s="345">
        <v>41578</v>
      </c>
      <c r="B462" s="1300">
        <f t="shared" si="0"/>
        <v>4.2674399999999997</v>
      </c>
      <c r="C462" s="1307">
        <v>489892272.94</v>
      </c>
      <c r="D462" s="1306">
        <v>4.2674399999999997</v>
      </c>
      <c r="E462" s="1301">
        <f>B462-Index_Returns!AL462</f>
        <v>-0.60568000000000044</v>
      </c>
    </row>
    <row r="463" spans="1:5" x14ac:dyDescent="0.2">
      <c r="A463" s="345">
        <v>41608</v>
      </c>
      <c r="B463" s="1300">
        <f t="shared" si="0"/>
        <v>-1.58117</v>
      </c>
      <c r="C463" s="1307">
        <v>482146263.19999999</v>
      </c>
      <c r="D463" s="1306">
        <v>-1.58117</v>
      </c>
      <c r="E463" s="1301">
        <f>B463-Index_Returns!AL463</f>
        <v>-0.12674999999999992</v>
      </c>
    </row>
    <row r="464" spans="1:5" x14ac:dyDescent="0.2">
      <c r="A464" s="345">
        <v>41639</v>
      </c>
      <c r="B464" s="1300">
        <f t="shared" si="0"/>
        <v>-2.1329999999999998E-2</v>
      </c>
      <c r="C464" s="1307">
        <v>482043440.06</v>
      </c>
      <c r="D464" s="1306">
        <v>-2.1329999999999998E-2</v>
      </c>
      <c r="E464" s="1301">
        <f>B464-Index_Returns!AL464</f>
        <v>1.41631</v>
      </c>
    </row>
    <row r="465" spans="1:5" x14ac:dyDescent="0.2">
      <c r="A465" s="345">
        <v>41670</v>
      </c>
      <c r="B465" s="1300">
        <f t="shared" si="0"/>
        <v>-5.2679400000000003</v>
      </c>
      <c r="C465" s="1307">
        <v>457751473.68000001</v>
      </c>
      <c r="D465" s="1306">
        <v>-5.2679400000000003</v>
      </c>
      <c r="E465" s="1301">
        <f>B465-Index_Returns!AL465</f>
        <v>1.2255899999999995</v>
      </c>
    </row>
    <row r="466" spans="1:5" x14ac:dyDescent="0.2">
      <c r="A466" s="345">
        <v>41698</v>
      </c>
      <c r="B466" s="1300">
        <f t="shared" si="0"/>
        <v>3.4854599999999998</v>
      </c>
      <c r="C466" s="1307">
        <v>473706197.27999997</v>
      </c>
      <c r="D466" s="1306">
        <v>3.4854599999999998</v>
      </c>
      <c r="E466" s="1301">
        <f>B466-Index_Returns!AL466</f>
        <v>0.17285999999999957</v>
      </c>
    </row>
    <row r="467" spans="1:5" x14ac:dyDescent="0.2">
      <c r="A467" s="345">
        <v>41729</v>
      </c>
      <c r="B467" s="1300">
        <f t="shared" si="0"/>
        <v>2.9294199999999999</v>
      </c>
      <c r="C467" s="1307">
        <v>487583036.63</v>
      </c>
      <c r="D467" s="1306">
        <v>2.9294199999999999</v>
      </c>
      <c r="E467" s="1301">
        <f>B467-Index_Returns!AL467</f>
        <v>-0.14009000000000027</v>
      </c>
    </row>
    <row r="468" spans="1:5" x14ac:dyDescent="0.2">
      <c r="A468" s="345">
        <v>41759</v>
      </c>
      <c r="B468" s="1300">
        <f t="shared" si="0"/>
        <v>0.74112</v>
      </c>
      <c r="C468" s="1307">
        <v>492287195.19</v>
      </c>
      <c r="D468" s="1306">
        <v>0.74112</v>
      </c>
      <c r="E468" s="1301">
        <f>B468-Index_Returns!AL468</f>
        <v>0.40697</v>
      </c>
    </row>
    <row r="469" spans="1:5" x14ac:dyDescent="0.2">
      <c r="A469" s="345">
        <v>41790</v>
      </c>
      <c r="B469" s="1300">
        <f t="shared" si="0"/>
        <v>3.6456200000000001</v>
      </c>
      <c r="C469" s="1307">
        <v>510234117.08999997</v>
      </c>
      <c r="D469" s="1306">
        <v>3.6456200000000001</v>
      </c>
      <c r="E469" s="1301">
        <f>B469-Index_Returns!AL469</f>
        <v>0.15505000000000013</v>
      </c>
    </row>
    <row r="470" spans="1:5" x14ac:dyDescent="0.2">
      <c r="A470" s="345">
        <v>41820</v>
      </c>
      <c r="B470" s="1300">
        <f t="shared" si="0"/>
        <v>1.52569</v>
      </c>
      <c r="C470" s="1307">
        <v>518018685.50999999</v>
      </c>
      <c r="D470" s="1306">
        <v>1.52569</v>
      </c>
      <c r="E470" s="1301">
        <f>B470-Index_Returns!AL470</f>
        <v>-1.1311900000000001</v>
      </c>
    </row>
    <row r="471" spans="1:5" x14ac:dyDescent="0.2">
      <c r="A471" s="345">
        <v>41851</v>
      </c>
      <c r="B471" s="1300">
        <f t="shared" si="0"/>
        <v>0.52571999999999997</v>
      </c>
      <c r="C471" s="1307">
        <v>521917396.16000003</v>
      </c>
      <c r="D471" s="1306">
        <v>0.52571999999999997</v>
      </c>
      <c r="E471" s="1301">
        <f>B471-Index_Returns!AL471</f>
        <v>-1.40785</v>
      </c>
    </row>
    <row r="472" spans="1:5" x14ac:dyDescent="0.2">
      <c r="A472" s="345">
        <v>41882</v>
      </c>
      <c r="B472" s="1300">
        <f t="shared" si="0"/>
        <v>2.2015899999999999</v>
      </c>
      <c r="C472" s="1307">
        <v>533407881.83999997</v>
      </c>
      <c r="D472" s="1306">
        <v>2.2015899999999999</v>
      </c>
      <c r="E472" s="1301">
        <f>B472-Index_Returns!AL472</f>
        <v>-5.1930000000000032E-2</v>
      </c>
    </row>
    <row r="473" spans="1:5" x14ac:dyDescent="0.2">
      <c r="A473" s="345">
        <v>41912</v>
      </c>
      <c r="B473" s="1300">
        <f t="shared" si="0"/>
        <v>0</v>
      </c>
      <c r="E473" s="1301">
        <f>B473-Index_Returns!AL473</f>
        <v>0</v>
      </c>
    </row>
    <row r="474" spans="1:5" x14ac:dyDescent="0.2">
      <c r="A474" s="345">
        <v>41943</v>
      </c>
      <c r="B474" s="1300">
        <f t="shared" si="0"/>
        <v>0</v>
      </c>
      <c r="E474" s="1301">
        <f>B474-Index_Returns!AL474</f>
        <v>0</v>
      </c>
    </row>
    <row r="475" spans="1:5" x14ac:dyDescent="0.2">
      <c r="A475" s="345">
        <v>41973</v>
      </c>
      <c r="B475" s="1300">
        <f t="shared" si="0"/>
        <v>0</v>
      </c>
      <c r="E475" s="1301">
        <f>B475-Index_Returns!AL475</f>
        <v>0</v>
      </c>
    </row>
    <row r="476" spans="1:5" x14ac:dyDescent="0.2">
      <c r="A476" s="345">
        <v>42004</v>
      </c>
      <c r="B476" s="1300">
        <f t="shared" si="0"/>
        <v>0</v>
      </c>
      <c r="E476" s="1301">
        <f>B476-Index_Returns!AL476</f>
        <v>0</v>
      </c>
    </row>
    <row r="477" spans="1:5" x14ac:dyDescent="0.2">
      <c r="A477" s="345">
        <v>42035</v>
      </c>
      <c r="B477" s="1300">
        <f t="shared" si="0"/>
        <v>0</v>
      </c>
      <c r="E477" s="1301">
        <f>B477-Index_Returns!AL477</f>
        <v>0</v>
      </c>
    </row>
    <row r="478" spans="1:5" x14ac:dyDescent="0.2">
      <c r="A478" s="345">
        <v>42063</v>
      </c>
      <c r="B478" s="1300">
        <f t="shared" si="0"/>
        <v>0</v>
      </c>
      <c r="E478" s="1301">
        <f>B478-Index_Returns!AL478</f>
        <v>0</v>
      </c>
    </row>
    <row r="479" spans="1:5" x14ac:dyDescent="0.2">
      <c r="A479" s="345">
        <v>42094</v>
      </c>
      <c r="B479" s="1300">
        <f t="shared" si="0"/>
        <v>0</v>
      </c>
      <c r="E479" s="1301">
        <f>B479-Index_Returns!AL479</f>
        <v>0</v>
      </c>
    </row>
    <row r="480" spans="1:5" x14ac:dyDescent="0.2">
      <c r="A480" s="345">
        <v>42124</v>
      </c>
      <c r="B480" s="1300">
        <f t="shared" si="0"/>
        <v>0</v>
      </c>
      <c r="E480" s="1301">
        <f>B480-Index_Returns!AL480</f>
        <v>0</v>
      </c>
    </row>
    <row r="481" spans="1:5" x14ac:dyDescent="0.2">
      <c r="A481" s="345">
        <v>42155</v>
      </c>
      <c r="B481" s="1300">
        <f t="shared" si="0"/>
        <v>0</v>
      </c>
      <c r="E481" s="1301">
        <f>B481-Index_Returns!AL481</f>
        <v>0</v>
      </c>
    </row>
    <row r="482" spans="1:5" x14ac:dyDescent="0.2">
      <c r="A482" s="345">
        <v>42185</v>
      </c>
      <c r="B482" s="1300">
        <f t="shared" si="0"/>
        <v>0</v>
      </c>
      <c r="E482" s="1301">
        <f>B482-Index_Returns!AL482</f>
        <v>0</v>
      </c>
    </row>
    <row r="483" spans="1:5" x14ac:dyDescent="0.2">
      <c r="A483" s="345">
        <v>42216</v>
      </c>
      <c r="B483" s="1300">
        <f t="shared" si="0"/>
        <v>0</v>
      </c>
      <c r="E483" s="1301">
        <f>B483-Index_Returns!AL483</f>
        <v>0</v>
      </c>
    </row>
    <row r="484" spans="1:5" x14ac:dyDescent="0.2">
      <c r="A484" s="345">
        <v>42247</v>
      </c>
      <c r="B484" s="1300">
        <f t="shared" si="0"/>
        <v>0</v>
      </c>
      <c r="E484" s="1301">
        <f>B484-Index_Returns!AL484</f>
        <v>0</v>
      </c>
    </row>
    <row r="485" spans="1:5" x14ac:dyDescent="0.2">
      <c r="A485" s="345">
        <v>42277</v>
      </c>
      <c r="B485" s="1300">
        <f t="shared" si="0"/>
        <v>0</v>
      </c>
      <c r="E485" s="1301">
        <f>B485-Index_Returns!AL485</f>
        <v>0</v>
      </c>
    </row>
    <row r="486" spans="1:5" x14ac:dyDescent="0.2">
      <c r="A486" s="345">
        <v>42308</v>
      </c>
      <c r="B486" s="1300">
        <f t="shared" si="0"/>
        <v>0</v>
      </c>
      <c r="E486" s="1301">
        <f>B486-Index_Returns!AL486</f>
        <v>0</v>
      </c>
    </row>
    <row r="487" spans="1:5" x14ac:dyDescent="0.2">
      <c r="A487" s="345">
        <v>42338</v>
      </c>
      <c r="B487" s="1300">
        <f t="shared" si="0"/>
        <v>0</v>
      </c>
      <c r="E487" s="1301">
        <f>B487-Index_Returns!AL487</f>
        <v>0</v>
      </c>
    </row>
    <row r="488" spans="1:5" x14ac:dyDescent="0.2">
      <c r="A488" s="345">
        <v>42369</v>
      </c>
      <c r="B488" s="1300">
        <f t="shared" si="0"/>
        <v>0</v>
      </c>
      <c r="E488" s="1301">
        <f>B488-Index_Returns!AL488</f>
        <v>0</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H488"/>
  <sheetViews>
    <sheetView workbookViewId="0">
      <pane xSplit="1" ySplit="2" topLeftCell="B447" activePane="bottomRight" state="frozen"/>
      <selection activeCell="E452" sqref="E452:E464"/>
      <selection pane="topRight" activeCell="E452" sqref="E452:E464"/>
      <selection pane="bottomLeft" activeCell="E452" sqref="E452:E464"/>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4" width="18.7109375" style="258" customWidth="1"/>
    <col min="5" max="5" width="9.140625" style="14"/>
    <col min="6" max="6" width="12.42578125" bestFit="1" customWidth="1"/>
    <col min="7" max="7" width="12.85546875" style="14" bestFit="1" customWidth="1"/>
    <col min="8" max="8" width="9.140625" style="14"/>
  </cols>
  <sheetData>
    <row r="1" spans="1:6" x14ac:dyDescent="0.2">
      <c r="A1" s="265" t="s">
        <v>3</v>
      </c>
      <c r="B1" s="321" t="s">
        <v>511</v>
      </c>
      <c r="C1" s="1381" t="s">
        <v>26</v>
      </c>
      <c r="D1" s="1370">
        <v>1</v>
      </c>
      <c r="F1" s="21" t="s">
        <v>762</v>
      </c>
    </row>
    <row r="2" spans="1:6" x14ac:dyDescent="0.2">
      <c r="A2" s="3" t="s">
        <v>27</v>
      </c>
      <c r="B2" s="71" t="s">
        <v>91</v>
      </c>
      <c r="C2" s="226" t="s">
        <v>92</v>
      </c>
      <c r="D2" s="71" t="s">
        <v>90</v>
      </c>
      <c r="E2" s="734" t="s">
        <v>80</v>
      </c>
    </row>
    <row r="3" spans="1:6" x14ac:dyDescent="0.2">
      <c r="A3" s="345">
        <v>27606</v>
      </c>
      <c r="B3" s="71"/>
      <c r="C3" s="226"/>
      <c r="D3" s="71"/>
    </row>
    <row r="4" spans="1:6" x14ac:dyDescent="0.2">
      <c r="A4" s="345">
        <v>27637</v>
      </c>
      <c r="B4" s="71"/>
      <c r="C4" s="226"/>
      <c r="D4" s="71"/>
    </row>
    <row r="5" spans="1:6" x14ac:dyDescent="0.2">
      <c r="A5" s="345">
        <v>27667</v>
      </c>
      <c r="B5" s="71"/>
      <c r="C5" s="226"/>
      <c r="D5" s="71"/>
    </row>
    <row r="6" spans="1:6" x14ac:dyDescent="0.2">
      <c r="A6" s="345">
        <v>27698</v>
      </c>
      <c r="B6" s="71"/>
      <c r="C6" s="226"/>
      <c r="D6" s="71"/>
    </row>
    <row r="7" spans="1:6" x14ac:dyDescent="0.2">
      <c r="A7" s="345">
        <v>27728</v>
      </c>
      <c r="B7" s="71"/>
      <c r="C7" s="226"/>
      <c r="D7" s="71"/>
    </row>
    <row r="8" spans="1:6" x14ac:dyDescent="0.2">
      <c r="A8" s="345">
        <v>27759</v>
      </c>
      <c r="B8" s="71"/>
      <c r="C8" s="226"/>
      <c r="D8" s="71"/>
    </row>
    <row r="9" spans="1:6" x14ac:dyDescent="0.2">
      <c r="A9" s="345">
        <v>27790</v>
      </c>
      <c r="B9" s="71"/>
      <c r="C9" s="226"/>
      <c r="D9" s="71"/>
    </row>
    <row r="10" spans="1:6" x14ac:dyDescent="0.2">
      <c r="A10" s="345">
        <v>27819</v>
      </c>
      <c r="B10" s="71"/>
      <c r="C10" s="226"/>
      <c r="D10" s="71"/>
    </row>
    <row r="11" spans="1:6" x14ac:dyDescent="0.2">
      <c r="A11" s="345">
        <v>27850</v>
      </c>
      <c r="B11" s="71"/>
      <c r="C11" s="226"/>
      <c r="D11" s="71"/>
    </row>
    <row r="12" spans="1:6" x14ac:dyDescent="0.2">
      <c r="A12" s="345">
        <v>27880</v>
      </c>
      <c r="B12" s="71"/>
      <c r="C12" s="226"/>
      <c r="D12" s="71"/>
    </row>
    <row r="13" spans="1:6" x14ac:dyDescent="0.2">
      <c r="A13" s="345">
        <v>27911</v>
      </c>
      <c r="B13" s="71"/>
      <c r="C13" s="226"/>
      <c r="D13" s="71"/>
    </row>
    <row r="14" spans="1:6" x14ac:dyDescent="0.2">
      <c r="A14" s="345">
        <v>27941</v>
      </c>
      <c r="B14" s="71"/>
      <c r="C14" s="226"/>
      <c r="D14" s="71"/>
    </row>
    <row r="15" spans="1:6" x14ac:dyDescent="0.2">
      <c r="A15" s="345">
        <v>27972</v>
      </c>
      <c r="B15" s="71"/>
      <c r="C15" s="226"/>
      <c r="D15" s="71"/>
    </row>
    <row r="16" spans="1:6" x14ac:dyDescent="0.2">
      <c r="A16" s="345">
        <v>28003</v>
      </c>
      <c r="B16" s="71"/>
      <c r="C16" s="226"/>
      <c r="D16" s="71"/>
    </row>
    <row r="17" spans="1:4" x14ac:dyDescent="0.2">
      <c r="A17" s="345">
        <v>28033</v>
      </c>
      <c r="B17" s="71"/>
      <c r="C17" s="226"/>
      <c r="D17" s="71"/>
    </row>
    <row r="18" spans="1:4" x14ac:dyDescent="0.2">
      <c r="A18" s="345">
        <v>28064</v>
      </c>
      <c r="B18" s="71"/>
      <c r="C18" s="226"/>
      <c r="D18" s="71"/>
    </row>
    <row r="19" spans="1:4" x14ac:dyDescent="0.2">
      <c r="A19" s="345">
        <v>28094</v>
      </c>
      <c r="B19" s="71"/>
      <c r="C19" s="226"/>
      <c r="D19" s="71"/>
    </row>
    <row r="20" spans="1:4" x14ac:dyDescent="0.2">
      <c r="A20" s="345">
        <v>28125</v>
      </c>
      <c r="B20" s="71"/>
      <c r="C20" s="226"/>
      <c r="D20" s="71"/>
    </row>
    <row r="21" spans="1:4" x14ac:dyDescent="0.2">
      <c r="A21" s="345">
        <v>28156</v>
      </c>
      <c r="B21" s="71"/>
      <c r="C21" s="226"/>
      <c r="D21" s="71"/>
    </row>
    <row r="22" spans="1:4" x14ac:dyDescent="0.2">
      <c r="A22" s="345">
        <v>28184</v>
      </c>
      <c r="B22" s="71"/>
      <c r="C22" s="226"/>
      <c r="D22" s="71"/>
    </row>
    <row r="23" spans="1:4" x14ac:dyDescent="0.2">
      <c r="A23" s="345">
        <v>28215</v>
      </c>
      <c r="B23" s="71"/>
      <c r="C23" s="226"/>
      <c r="D23" s="71"/>
    </row>
    <row r="24" spans="1:4" x14ac:dyDescent="0.2">
      <c r="A24" s="345">
        <v>28245</v>
      </c>
      <c r="B24" s="71"/>
      <c r="C24" s="226"/>
      <c r="D24" s="71"/>
    </row>
    <row r="25" spans="1:4" x14ac:dyDescent="0.2">
      <c r="A25" s="345">
        <v>28276</v>
      </c>
      <c r="B25" s="71"/>
      <c r="C25" s="226"/>
      <c r="D25" s="71"/>
    </row>
    <row r="26" spans="1:4" x14ac:dyDescent="0.2">
      <c r="A26" s="345">
        <v>28306</v>
      </c>
      <c r="B26" s="71"/>
      <c r="C26" s="226"/>
      <c r="D26" s="71"/>
    </row>
    <row r="27" spans="1:4" x14ac:dyDescent="0.2">
      <c r="A27" s="345">
        <v>28337</v>
      </c>
      <c r="B27" s="71"/>
      <c r="C27" s="226"/>
      <c r="D27" s="71"/>
    </row>
    <row r="28" spans="1:4" x14ac:dyDescent="0.2">
      <c r="A28" s="345">
        <v>28368</v>
      </c>
      <c r="B28" s="71"/>
      <c r="C28" s="226"/>
      <c r="D28" s="71"/>
    </row>
    <row r="29" spans="1:4" x14ac:dyDescent="0.2">
      <c r="A29" s="345">
        <v>28398</v>
      </c>
      <c r="B29" s="71"/>
      <c r="C29" s="226"/>
      <c r="D29" s="71"/>
    </row>
    <row r="30" spans="1:4" x14ac:dyDescent="0.2">
      <c r="A30" s="345">
        <v>28429</v>
      </c>
      <c r="B30" s="71"/>
      <c r="C30" s="226"/>
      <c r="D30" s="71"/>
    </row>
    <row r="31" spans="1:4" x14ac:dyDescent="0.2">
      <c r="A31" s="345">
        <v>28459</v>
      </c>
      <c r="B31" s="71"/>
      <c r="C31" s="226"/>
      <c r="D31" s="71"/>
    </row>
    <row r="32" spans="1:4" x14ac:dyDescent="0.2">
      <c r="A32" s="345">
        <v>28490</v>
      </c>
      <c r="B32" s="71"/>
      <c r="C32" s="226"/>
      <c r="D32" s="71"/>
    </row>
    <row r="33" spans="1:4" x14ac:dyDescent="0.2">
      <c r="A33" s="345">
        <v>28521</v>
      </c>
      <c r="B33" s="71"/>
      <c r="C33" s="226"/>
      <c r="D33" s="71"/>
    </row>
    <row r="34" spans="1:4" x14ac:dyDescent="0.2">
      <c r="A34" s="345">
        <v>28549</v>
      </c>
      <c r="B34" s="71"/>
      <c r="C34" s="226"/>
      <c r="D34" s="71"/>
    </row>
    <row r="35" spans="1:4" x14ac:dyDescent="0.2">
      <c r="A35" s="345">
        <v>28580</v>
      </c>
      <c r="B35" s="71"/>
      <c r="C35" s="226"/>
      <c r="D35" s="71"/>
    </row>
    <row r="36" spans="1:4" x14ac:dyDescent="0.2">
      <c r="A36" s="345">
        <v>28610</v>
      </c>
      <c r="B36" s="71"/>
      <c r="C36" s="226"/>
      <c r="D36" s="71"/>
    </row>
    <row r="37" spans="1:4" x14ac:dyDescent="0.2">
      <c r="A37" s="345">
        <v>28641</v>
      </c>
      <c r="B37" s="71"/>
      <c r="C37" s="226"/>
      <c r="D37" s="71"/>
    </row>
    <row r="38" spans="1:4" x14ac:dyDescent="0.2">
      <c r="A38" s="345">
        <v>28671</v>
      </c>
      <c r="B38" s="71"/>
      <c r="C38" s="226"/>
      <c r="D38" s="71"/>
    </row>
    <row r="39" spans="1:4" x14ac:dyDescent="0.2">
      <c r="A39" s="345">
        <v>28702</v>
      </c>
      <c r="B39" s="71"/>
      <c r="C39" s="226"/>
      <c r="D39" s="71"/>
    </row>
    <row r="40" spans="1:4" x14ac:dyDescent="0.2">
      <c r="A40" s="345">
        <v>28733</v>
      </c>
      <c r="B40" s="71"/>
      <c r="C40" s="226"/>
      <c r="D40" s="71"/>
    </row>
    <row r="41" spans="1:4" x14ac:dyDescent="0.2">
      <c r="A41" s="345">
        <v>28763</v>
      </c>
      <c r="B41" s="71"/>
      <c r="C41" s="226"/>
      <c r="D41" s="71"/>
    </row>
    <row r="42" spans="1:4" x14ac:dyDescent="0.2">
      <c r="A42" s="345">
        <v>28794</v>
      </c>
      <c r="B42" s="71"/>
      <c r="C42" s="226"/>
      <c r="D42" s="71"/>
    </row>
    <row r="43" spans="1:4" x14ac:dyDescent="0.2">
      <c r="A43" s="345">
        <v>28824</v>
      </c>
      <c r="B43" s="71"/>
      <c r="C43" s="226"/>
      <c r="D43" s="71"/>
    </row>
    <row r="44" spans="1:4" x14ac:dyDescent="0.2">
      <c r="A44" s="345">
        <v>28855</v>
      </c>
      <c r="B44" s="71"/>
      <c r="C44" s="226"/>
      <c r="D44" s="71"/>
    </row>
    <row r="45" spans="1:4" x14ac:dyDescent="0.2">
      <c r="A45" s="345">
        <v>28886</v>
      </c>
      <c r="B45" s="71"/>
      <c r="C45" s="226"/>
      <c r="D45" s="71"/>
    </row>
    <row r="46" spans="1:4" x14ac:dyDescent="0.2">
      <c r="A46" s="345">
        <v>28914</v>
      </c>
      <c r="B46" s="71"/>
      <c r="C46" s="226"/>
      <c r="D46" s="71"/>
    </row>
    <row r="47" spans="1:4" x14ac:dyDescent="0.2">
      <c r="A47" s="345">
        <v>28945</v>
      </c>
      <c r="B47" s="71"/>
      <c r="C47" s="226"/>
      <c r="D47" s="71"/>
    </row>
    <row r="48" spans="1:4" x14ac:dyDescent="0.2">
      <c r="A48" s="345">
        <v>28975</v>
      </c>
      <c r="B48" s="71"/>
      <c r="C48" s="226"/>
      <c r="D48" s="71"/>
    </row>
    <row r="49" spans="1:4" x14ac:dyDescent="0.2">
      <c r="A49" s="345">
        <v>29006</v>
      </c>
      <c r="B49" s="71"/>
      <c r="C49" s="226"/>
      <c r="D49" s="71"/>
    </row>
    <row r="50" spans="1:4" x14ac:dyDescent="0.2">
      <c r="A50" s="345">
        <v>29036</v>
      </c>
      <c r="B50" s="71"/>
      <c r="C50" s="226"/>
      <c r="D50" s="71"/>
    </row>
    <row r="51" spans="1:4" x14ac:dyDescent="0.2">
      <c r="A51" s="345">
        <v>29067</v>
      </c>
      <c r="B51" s="71"/>
      <c r="C51" s="226"/>
      <c r="D51" s="71"/>
    </row>
    <row r="52" spans="1:4" x14ac:dyDescent="0.2">
      <c r="A52" s="345">
        <v>29098</v>
      </c>
      <c r="B52" s="71"/>
      <c r="C52" s="226"/>
      <c r="D52" s="71"/>
    </row>
    <row r="53" spans="1:4" x14ac:dyDescent="0.2">
      <c r="A53" s="345">
        <v>29128</v>
      </c>
      <c r="B53" s="71"/>
      <c r="C53" s="226"/>
      <c r="D53" s="71"/>
    </row>
    <row r="54" spans="1:4" x14ac:dyDescent="0.2">
      <c r="A54" s="345">
        <v>29159</v>
      </c>
      <c r="B54" s="71"/>
      <c r="C54" s="226"/>
      <c r="D54" s="71"/>
    </row>
    <row r="55" spans="1:4" x14ac:dyDescent="0.2">
      <c r="A55" s="345">
        <v>29189</v>
      </c>
      <c r="B55" s="71"/>
      <c r="C55" s="226"/>
      <c r="D55" s="71"/>
    </row>
    <row r="56" spans="1:4" x14ac:dyDescent="0.2">
      <c r="A56" s="345">
        <v>29220</v>
      </c>
      <c r="B56" s="71"/>
      <c r="C56" s="226"/>
      <c r="D56" s="71"/>
    </row>
    <row r="57" spans="1:4" x14ac:dyDescent="0.2">
      <c r="A57" s="345">
        <v>29251</v>
      </c>
      <c r="B57" s="71"/>
      <c r="C57" s="226"/>
      <c r="D57" s="71"/>
    </row>
    <row r="58" spans="1:4" x14ac:dyDescent="0.2">
      <c r="A58" s="345">
        <v>29280</v>
      </c>
      <c r="B58" s="71"/>
      <c r="C58" s="226"/>
      <c r="D58" s="71"/>
    </row>
    <row r="59" spans="1:4" x14ac:dyDescent="0.2">
      <c r="A59" s="345">
        <v>29311</v>
      </c>
      <c r="B59" s="71"/>
      <c r="C59" s="226"/>
      <c r="D59" s="71"/>
    </row>
    <row r="60" spans="1:4" x14ac:dyDescent="0.2">
      <c r="A60" s="345">
        <v>29341</v>
      </c>
      <c r="B60" s="71"/>
      <c r="C60" s="226"/>
      <c r="D60" s="71"/>
    </row>
    <row r="61" spans="1:4" x14ac:dyDescent="0.2">
      <c r="A61" s="345">
        <v>29372</v>
      </c>
      <c r="B61" s="71"/>
      <c r="C61" s="226"/>
      <c r="D61" s="71"/>
    </row>
    <row r="62" spans="1:4" x14ac:dyDescent="0.2">
      <c r="A62" s="345">
        <v>29402</v>
      </c>
      <c r="B62" s="71"/>
      <c r="C62" s="226"/>
      <c r="D62" s="71"/>
    </row>
    <row r="63" spans="1:4" x14ac:dyDescent="0.2">
      <c r="A63" s="345">
        <v>29433</v>
      </c>
      <c r="B63" s="71"/>
      <c r="C63" s="226"/>
      <c r="D63" s="71"/>
    </row>
    <row r="64" spans="1:4" x14ac:dyDescent="0.2">
      <c r="A64" s="345">
        <v>29464</v>
      </c>
      <c r="B64" s="71"/>
      <c r="C64" s="226"/>
      <c r="D64" s="71"/>
    </row>
    <row r="65" spans="1:4" x14ac:dyDescent="0.2">
      <c r="A65" s="345">
        <v>29494</v>
      </c>
      <c r="B65" s="71"/>
      <c r="C65" s="226"/>
      <c r="D65" s="71"/>
    </row>
    <row r="66" spans="1:4" x14ac:dyDescent="0.2">
      <c r="A66" s="345">
        <v>29525</v>
      </c>
      <c r="B66" s="71"/>
      <c r="C66" s="226"/>
      <c r="D66" s="71"/>
    </row>
    <row r="67" spans="1:4" x14ac:dyDescent="0.2">
      <c r="A67" s="345">
        <v>29555</v>
      </c>
      <c r="B67" s="71"/>
      <c r="C67" s="226"/>
      <c r="D67" s="71"/>
    </row>
    <row r="68" spans="1:4" x14ac:dyDescent="0.2">
      <c r="A68" s="345">
        <v>29586</v>
      </c>
      <c r="B68" s="71"/>
      <c r="C68" s="226"/>
      <c r="D68" s="71"/>
    </row>
    <row r="69" spans="1:4" x14ac:dyDescent="0.2">
      <c r="A69" s="345">
        <v>29617</v>
      </c>
      <c r="B69" s="71"/>
      <c r="C69" s="226"/>
      <c r="D69" s="71"/>
    </row>
    <row r="70" spans="1:4" x14ac:dyDescent="0.2">
      <c r="A70" s="345">
        <v>29645</v>
      </c>
      <c r="B70" s="71"/>
      <c r="C70" s="226"/>
      <c r="D70" s="71"/>
    </row>
    <row r="71" spans="1:4" x14ac:dyDescent="0.2">
      <c r="A71" s="345">
        <v>29676</v>
      </c>
      <c r="B71" s="71"/>
      <c r="C71" s="226"/>
      <c r="D71" s="71"/>
    </row>
    <row r="72" spans="1:4" x14ac:dyDescent="0.2">
      <c r="A72" s="345">
        <v>29706</v>
      </c>
      <c r="B72" s="71"/>
      <c r="C72" s="226"/>
      <c r="D72" s="71"/>
    </row>
    <row r="73" spans="1:4" x14ac:dyDescent="0.2">
      <c r="A73" s="345">
        <v>29737</v>
      </c>
      <c r="B73" s="71"/>
      <c r="C73" s="226"/>
      <c r="D73" s="71"/>
    </row>
    <row r="74" spans="1:4" x14ac:dyDescent="0.2">
      <c r="A74" s="345">
        <v>29767</v>
      </c>
      <c r="B74" s="71"/>
      <c r="C74" s="226"/>
      <c r="D74" s="71"/>
    </row>
    <row r="75" spans="1:4" x14ac:dyDescent="0.2">
      <c r="A75" s="345">
        <v>29798</v>
      </c>
      <c r="B75" s="71"/>
      <c r="C75" s="226"/>
      <c r="D75" s="71"/>
    </row>
    <row r="76" spans="1:4" x14ac:dyDescent="0.2">
      <c r="A76" s="345">
        <v>29829</v>
      </c>
      <c r="B76" s="71"/>
      <c r="C76" s="226"/>
      <c r="D76" s="71"/>
    </row>
    <row r="77" spans="1:4" x14ac:dyDescent="0.2">
      <c r="A77" s="345">
        <v>29859</v>
      </c>
      <c r="B77" s="71"/>
      <c r="C77" s="226"/>
      <c r="D77" s="71"/>
    </row>
    <row r="78" spans="1:4" x14ac:dyDescent="0.2">
      <c r="A78" s="345">
        <v>29890</v>
      </c>
      <c r="B78" s="71"/>
      <c r="C78" s="226"/>
      <c r="D78" s="71"/>
    </row>
    <row r="79" spans="1:4" x14ac:dyDescent="0.2">
      <c r="A79" s="345">
        <v>29920</v>
      </c>
      <c r="B79" s="71"/>
      <c r="C79" s="226"/>
      <c r="D79" s="71"/>
    </row>
    <row r="80" spans="1:4" x14ac:dyDescent="0.2">
      <c r="A80" s="345">
        <v>29951</v>
      </c>
      <c r="B80" s="71"/>
      <c r="C80" s="226"/>
      <c r="D80" s="71"/>
    </row>
    <row r="81" spans="1:4" x14ac:dyDescent="0.2">
      <c r="A81" s="345">
        <v>29982</v>
      </c>
      <c r="B81" s="71"/>
      <c r="C81" s="226"/>
      <c r="D81" s="71"/>
    </row>
    <row r="82" spans="1:4" x14ac:dyDescent="0.2">
      <c r="A82" s="345">
        <v>30010</v>
      </c>
      <c r="B82" s="71"/>
      <c r="C82" s="226"/>
      <c r="D82" s="71"/>
    </row>
    <row r="83" spans="1:4" x14ac:dyDescent="0.2">
      <c r="A83" s="345">
        <v>30041</v>
      </c>
      <c r="B83" s="71"/>
      <c r="C83" s="226"/>
      <c r="D83" s="71"/>
    </row>
    <row r="84" spans="1:4" x14ac:dyDescent="0.2">
      <c r="A84" s="345">
        <v>30071</v>
      </c>
      <c r="B84" s="71"/>
      <c r="C84" s="226"/>
      <c r="D84" s="71"/>
    </row>
    <row r="85" spans="1:4" x14ac:dyDescent="0.2">
      <c r="A85" s="345">
        <v>30102</v>
      </c>
      <c r="B85" s="71"/>
      <c r="C85" s="226"/>
      <c r="D85" s="71"/>
    </row>
    <row r="86" spans="1:4" x14ac:dyDescent="0.2">
      <c r="A86" s="345">
        <v>30132</v>
      </c>
      <c r="B86" s="71"/>
      <c r="C86" s="226"/>
      <c r="D86" s="71"/>
    </row>
    <row r="87" spans="1:4" x14ac:dyDescent="0.2">
      <c r="A87" s="345">
        <v>30163</v>
      </c>
      <c r="B87" s="71"/>
      <c r="C87" s="226"/>
      <c r="D87" s="71"/>
    </row>
    <row r="88" spans="1:4" x14ac:dyDescent="0.2">
      <c r="A88" s="345">
        <v>30194</v>
      </c>
      <c r="B88" s="71"/>
      <c r="C88" s="226"/>
      <c r="D88" s="71"/>
    </row>
    <row r="89" spans="1:4" x14ac:dyDescent="0.2">
      <c r="A89" s="345">
        <v>30224</v>
      </c>
      <c r="B89" s="71"/>
      <c r="C89" s="226"/>
      <c r="D89" s="71"/>
    </row>
    <row r="90" spans="1:4" x14ac:dyDescent="0.2">
      <c r="A90" s="345">
        <v>30255</v>
      </c>
      <c r="B90" s="71"/>
      <c r="C90" s="226"/>
      <c r="D90" s="71"/>
    </row>
    <row r="91" spans="1:4" x14ac:dyDescent="0.2">
      <c r="A91" s="345">
        <v>30285</v>
      </c>
      <c r="B91" s="71"/>
      <c r="C91" s="226"/>
      <c r="D91" s="71"/>
    </row>
    <row r="92" spans="1:4" x14ac:dyDescent="0.2">
      <c r="A92" s="345">
        <v>30316</v>
      </c>
      <c r="B92" s="71"/>
      <c r="C92" s="226"/>
      <c r="D92" s="71"/>
    </row>
    <row r="93" spans="1:4" x14ac:dyDescent="0.2">
      <c r="A93" s="345">
        <v>30347</v>
      </c>
      <c r="B93" s="71"/>
      <c r="C93" s="226"/>
      <c r="D93" s="71"/>
    </row>
    <row r="94" spans="1:4" x14ac:dyDescent="0.2">
      <c r="A94" s="345">
        <v>30375</v>
      </c>
      <c r="B94" s="71"/>
      <c r="C94" s="226"/>
      <c r="D94" s="71"/>
    </row>
    <row r="95" spans="1:4" x14ac:dyDescent="0.2">
      <c r="A95" s="345">
        <v>30406</v>
      </c>
      <c r="B95" s="71"/>
      <c r="C95" s="226"/>
      <c r="D95" s="71"/>
    </row>
    <row r="96" spans="1:4" x14ac:dyDescent="0.2">
      <c r="A96" s="345">
        <v>30436</v>
      </c>
      <c r="B96" s="71"/>
      <c r="C96" s="226"/>
      <c r="D96" s="71"/>
    </row>
    <row r="97" spans="1:4" x14ac:dyDescent="0.2">
      <c r="A97" s="345">
        <v>30467</v>
      </c>
      <c r="B97" s="71"/>
      <c r="C97" s="226"/>
      <c r="D97" s="71"/>
    </row>
    <row r="98" spans="1:4" x14ac:dyDescent="0.2">
      <c r="A98" s="345">
        <v>30497</v>
      </c>
      <c r="B98" s="71"/>
      <c r="C98" s="226"/>
      <c r="D98" s="71"/>
    </row>
    <row r="99" spans="1:4" x14ac:dyDescent="0.2">
      <c r="A99" s="345">
        <v>30528</v>
      </c>
      <c r="B99" s="71"/>
      <c r="C99" s="226"/>
      <c r="D99" s="71"/>
    </row>
    <row r="100" spans="1:4" x14ac:dyDescent="0.2">
      <c r="A100" s="345">
        <v>30559</v>
      </c>
      <c r="B100" s="71"/>
      <c r="C100" s="226"/>
      <c r="D100" s="71"/>
    </row>
    <row r="101" spans="1:4" x14ac:dyDescent="0.2">
      <c r="A101" s="345">
        <v>30589</v>
      </c>
      <c r="B101" s="71"/>
      <c r="C101" s="226"/>
      <c r="D101" s="71"/>
    </row>
    <row r="102" spans="1:4" x14ac:dyDescent="0.2">
      <c r="A102" s="345">
        <v>30620</v>
      </c>
      <c r="B102" s="71"/>
      <c r="C102" s="226"/>
      <c r="D102" s="71"/>
    </row>
    <row r="103" spans="1:4" x14ac:dyDescent="0.2">
      <c r="A103" s="345">
        <v>30650</v>
      </c>
      <c r="B103" s="71"/>
      <c r="C103" s="226"/>
      <c r="D103" s="71"/>
    </row>
    <row r="104" spans="1:4" x14ac:dyDescent="0.2">
      <c r="A104" s="345">
        <v>30681</v>
      </c>
      <c r="B104" s="71"/>
      <c r="C104" s="226"/>
      <c r="D104" s="71"/>
    </row>
    <row r="105" spans="1:4" x14ac:dyDescent="0.2">
      <c r="A105" s="345">
        <v>30712</v>
      </c>
      <c r="B105" s="71"/>
      <c r="C105" s="226"/>
      <c r="D105" s="71"/>
    </row>
    <row r="106" spans="1:4" x14ac:dyDescent="0.2">
      <c r="A106" s="345">
        <v>30741</v>
      </c>
      <c r="B106" s="71"/>
      <c r="C106" s="226"/>
      <c r="D106" s="71"/>
    </row>
    <row r="107" spans="1:4" x14ac:dyDescent="0.2">
      <c r="A107" s="345">
        <v>30772</v>
      </c>
      <c r="B107" s="71"/>
      <c r="C107" s="226"/>
      <c r="D107" s="71"/>
    </row>
    <row r="108" spans="1:4" x14ac:dyDescent="0.2">
      <c r="A108" s="345">
        <v>30802</v>
      </c>
      <c r="B108" s="71"/>
      <c r="C108" s="226"/>
      <c r="D108" s="71"/>
    </row>
    <row r="109" spans="1:4" x14ac:dyDescent="0.2">
      <c r="A109" s="345">
        <v>30833</v>
      </c>
      <c r="B109" s="71"/>
      <c r="C109" s="226"/>
      <c r="D109" s="71"/>
    </row>
    <row r="110" spans="1:4" x14ac:dyDescent="0.2">
      <c r="A110" s="345">
        <v>30863</v>
      </c>
      <c r="B110" s="71"/>
      <c r="C110" s="226"/>
      <c r="D110" s="71"/>
    </row>
    <row r="111" spans="1:4" x14ac:dyDescent="0.2">
      <c r="A111" s="345">
        <v>30894</v>
      </c>
      <c r="B111" s="71"/>
      <c r="C111" s="226"/>
      <c r="D111" s="71"/>
    </row>
    <row r="112" spans="1:4" x14ac:dyDescent="0.2">
      <c r="A112" s="345">
        <v>30925</v>
      </c>
      <c r="B112" s="71"/>
      <c r="C112" s="226"/>
      <c r="D112" s="71"/>
    </row>
    <row r="113" spans="1:4" x14ac:dyDescent="0.2">
      <c r="A113" s="345">
        <v>30955</v>
      </c>
      <c r="B113" s="71"/>
      <c r="C113" s="226"/>
      <c r="D113" s="71"/>
    </row>
    <row r="114" spans="1:4" x14ac:dyDescent="0.2">
      <c r="A114" s="345">
        <v>30986</v>
      </c>
      <c r="B114" s="71"/>
      <c r="C114" s="226"/>
      <c r="D114" s="71"/>
    </row>
    <row r="115" spans="1:4" x14ac:dyDescent="0.2">
      <c r="A115" s="345">
        <v>31016</v>
      </c>
      <c r="B115" s="71"/>
      <c r="C115" s="226"/>
      <c r="D115" s="71"/>
    </row>
    <row r="116" spans="1:4" x14ac:dyDescent="0.2">
      <c r="A116" s="345">
        <v>31047</v>
      </c>
      <c r="B116" s="71"/>
      <c r="C116" s="226"/>
      <c r="D116" s="71"/>
    </row>
    <row r="117" spans="1:4" x14ac:dyDescent="0.2">
      <c r="A117" s="345">
        <v>31078</v>
      </c>
      <c r="B117" s="71"/>
      <c r="C117" s="226"/>
      <c r="D117" s="71"/>
    </row>
    <row r="118" spans="1:4" x14ac:dyDescent="0.2">
      <c r="A118" s="345">
        <v>31106</v>
      </c>
      <c r="B118" s="71"/>
      <c r="C118" s="226"/>
      <c r="D118" s="71"/>
    </row>
    <row r="119" spans="1:4" x14ac:dyDescent="0.2">
      <c r="A119" s="345">
        <v>31137</v>
      </c>
      <c r="B119" s="71"/>
      <c r="C119" s="226"/>
      <c r="D119" s="71"/>
    </row>
    <row r="120" spans="1:4" x14ac:dyDescent="0.2">
      <c r="A120" s="345">
        <v>31167</v>
      </c>
      <c r="B120" s="71"/>
      <c r="C120" s="226"/>
      <c r="D120" s="71"/>
    </row>
    <row r="121" spans="1:4" x14ac:dyDescent="0.2">
      <c r="A121" s="345">
        <v>31198</v>
      </c>
      <c r="B121" s="71"/>
      <c r="C121" s="226"/>
      <c r="D121" s="71"/>
    </row>
    <row r="122" spans="1:4" x14ac:dyDescent="0.2">
      <c r="A122" s="345">
        <v>31228</v>
      </c>
      <c r="B122" s="71"/>
      <c r="C122" s="226"/>
      <c r="D122" s="71"/>
    </row>
    <row r="123" spans="1:4" x14ac:dyDescent="0.2">
      <c r="A123" s="345">
        <v>31259</v>
      </c>
      <c r="B123" s="71"/>
      <c r="C123" s="226"/>
      <c r="D123" s="71"/>
    </row>
    <row r="124" spans="1:4" x14ac:dyDescent="0.2">
      <c r="A124" s="345">
        <v>31290</v>
      </c>
      <c r="B124" s="71"/>
      <c r="C124" s="226"/>
      <c r="D124" s="71"/>
    </row>
    <row r="125" spans="1:4" x14ac:dyDescent="0.2">
      <c r="A125" s="345">
        <v>31320</v>
      </c>
      <c r="B125" s="71"/>
      <c r="C125" s="226"/>
      <c r="D125" s="71"/>
    </row>
    <row r="126" spans="1:4" x14ac:dyDescent="0.2">
      <c r="A126" s="345">
        <v>31351</v>
      </c>
      <c r="B126" s="71"/>
      <c r="C126" s="226"/>
      <c r="D126" s="71"/>
    </row>
    <row r="127" spans="1:4" x14ac:dyDescent="0.2">
      <c r="A127" s="345">
        <v>31381</v>
      </c>
      <c r="B127" s="71"/>
      <c r="C127" s="226"/>
      <c r="D127" s="71"/>
    </row>
    <row r="128" spans="1:4" x14ac:dyDescent="0.2">
      <c r="A128" s="345">
        <v>31412</v>
      </c>
      <c r="B128" s="71"/>
      <c r="C128" s="226"/>
      <c r="D128" s="71"/>
    </row>
    <row r="129" spans="1:4" x14ac:dyDescent="0.2">
      <c r="A129" s="345">
        <v>31443</v>
      </c>
      <c r="B129" s="71"/>
      <c r="C129" s="226"/>
      <c r="D129" s="71"/>
    </row>
    <row r="130" spans="1:4" x14ac:dyDescent="0.2">
      <c r="A130" s="345">
        <v>31471</v>
      </c>
      <c r="B130" s="71"/>
      <c r="C130" s="226"/>
      <c r="D130" s="71"/>
    </row>
    <row r="131" spans="1:4" x14ac:dyDescent="0.2">
      <c r="A131" s="345">
        <v>31502</v>
      </c>
      <c r="B131" s="71"/>
      <c r="C131" s="226"/>
      <c r="D131" s="71"/>
    </row>
    <row r="132" spans="1:4" x14ac:dyDescent="0.2">
      <c r="A132" s="345">
        <v>31532</v>
      </c>
      <c r="B132" s="71"/>
      <c r="C132" s="226"/>
      <c r="D132" s="71"/>
    </row>
    <row r="133" spans="1:4" x14ac:dyDescent="0.2">
      <c r="A133" s="345">
        <v>31563</v>
      </c>
      <c r="B133" s="71"/>
      <c r="C133" s="226"/>
      <c r="D133" s="71"/>
    </row>
    <row r="134" spans="1:4" x14ac:dyDescent="0.2">
      <c r="A134" s="345">
        <v>31593</v>
      </c>
      <c r="B134" s="71"/>
      <c r="C134" s="226"/>
      <c r="D134" s="71"/>
    </row>
    <row r="135" spans="1:4" x14ac:dyDescent="0.2">
      <c r="A135" s="345">
        <v>31624</v>
      </c>
      <c r="B135" s="71"/>
      <c r="C135" s="226"/>
      <c r="D135" s="71"/>
    </row>
    <row r="136" spans="1:4" x14ac:dyDescent="0.2">
      <c r="A136" s="345">
        <v>31655</v>
      </c>
      <c r="B136" s="71"/>
      <c r="C136" s="226"/>
      <c r="D136" s="71"/>
    </row>
    <row r="137" spans="1:4" x14ac:dyDescent="0.2">
      <c r="A137" s="345">
        <v>31685</v>
      </c>
      <c r="B137" s="71"/>
      <c r="C137" s="226"/>
      <c r="D137" s="71"/>
    </row>
    <row r="138" spans="1:4" x14ac:dyDescent="0.2">
      <c r="A138" s="345">
        <v>31716</v>
      </c>
      <c r="B138" s="71"/>
      <c r="C138" s="226"/>
      <c r="D138" s="71"/>
    </row>
    <row r="139" spans="1:4" x14ac:dyDescent="0.2">
      <c r="A139" s="345">
        <v>31746</v>
      </c>
      <c r="B139" s="71"/>
      <c r="C139" s="226"/>
      <c r="D139" s="71"/>
    </row>
    <row r="140" spans="1:4" x14ac:dyDescent="0.2">
      <c r="A140" s="345">
        <v>31777</v>
      </c>
      <c r="B140" s="71"/>
      <c r="C140" s="226"/>
      <c r="D140" s="71"/>
    </row>
    <row r="141" spans="1:4" x14ac:dyDescent="0.2">
      <c r="A141" s="345">
        <v>31808</v>
      </c>
      <c r="B141" s="73"/>
      <c r="C141" s="25"/>
      <c r="D141" s="73"/>
    </row>
    <row r="142" spans="1:4" x14ac:dyDescent="0.2">
      <c r="A142" s="345">
        <v>31836</v>
      </c>
      <c r="B142" s="73"/>
      <c r="C142" s="25"/>
      <c r="D142" s="73"/>
    </row>
    <row r="143" spans="1:4" x14ac:dyDescent="0.2">
      <c r="A143" s="345">
        <v>31867</v>
      </c>
      <c r="B143" s="73"/>
      <c r="C143" s="25"/>
      <c r="D143" s="73"/>
    </row>
    <row r="144" spans="1:4" x14ac:dyDescent="0.2">
      <c r="A144" s="345">
        <v>31897</v>
      </c>
      <c r="B144" s="73"/>
      <c r="C144" s="25"/>
      <c r="D144" s="73"/>
    </row>
    <row r="145" spans="1:4" x14ac:dyDescent="0.2">
      <c r="A145" s="345">
        <v>31928</v>
      </c>
      <c r="B145" s="73"/>
      <c r="C145" s="25"/>
      <c r="D145" s="73"/>
    </row>
    <row r="146" spans="1:4" x14ac:dyDescent="0.2">
      <c r="A146" s="345">
        <v>31958</v>
      </c>
      <c r="B146" s="73"/>
      <c r="C146" s="25"/>
      <c r="D146" s="73"/>
    </row>
    <row r="147" spans="1:4" x14ac:dyDescent="0.2">
      <c r="A147" s="345">
        <v>31989</v>
      </c>
      <c r="B147" s="73"/>
      <c r="C147" s="25"/>
      <c r="D147" s="73"/>
    </row>
    <row r="148" spans="1:4" x14ac:dyDescent="0.2">
      <c r="A148" s="345">
        <v>32020</v>
      </c>
      <c r="B148" s="73"/>
      <c r="C148" s="25"/>
      <c r="D148" s="73"/>
    </row>
    <row r="149" spans="1:4" x14ac:dyDescent="0.2">
      <c r="A149" s="345">
        <v>32050</v>
      </c>
      <c r="B149" s="73"/>
      <c r="C149" s="25"/>
      <c r="D149" s="73"/>
    </row>
    <row r="150" spans="1:4" x14ac:dyDescent="0.2">
      <c r="A150" s="345">
        <v>32081</v>
      </c>
      <c r="B150" s="73"/>
      <c r="C150" s="25"/>
      <c r="D150" s="73"/>
    </row>
    <row r="151" spans="1:4" x14ac:dyDescent="0.2">
      <c r="A151" s="345">
        <v>32111</v>
      </c>
      <c r="B151" s="73"/>
      <c r="C151" s="25"/>
      <c r="D151" s="73"/>
    </row>
    <row r="152" spans="1:4" x14ac:dyDescent="0.2">
      <c r="A152" s="345">
        <v>32142</v>
      </c>
      <c r="B152" s="73"/>
      <c r="C152" s="25"/>
      <c r="D152" s="73"/>
    </row>
    <row r="153" spans="1:4" x14ac:dyDescent="0.2">
      <c r="A153" s="345">
        <v>32173</v>
      </c>
      <c r="B153" s="73"/>
      <c r="C153" s="25"/>
      <c r="D153" s="73"/>
    </row>
    <row r="154" spans="1:4" x14ac:dyDescent="0.2">
      <c r="A154" s="345">
        <v>32202</v>
      </c>
      <c r="B154" s="73"/>
      <c r="C154" s="25"/>
      <c r="D154" s="73"/>
    </row>
    <row r="155" spans="1:4" x14ac:dyDescent="0.2">
      <c r="A155" s="345">
        <v>32233</v>
      </c>
      <c r="B155" s="73"/>
      <c r="C155" s="25"/>
      <c r="D155" s="73"/>
    </row>
    <row r="156" spans="1:4" x14ac:dyDescent="0.2">
      <c r="A156" s="345">
        <v>32263</v>
      </c>
      <c r="B156" s="73"/>
      <c r="C156" s="25"/>
      <c r="D156" s="73"/>
    </row>
    <row r="157" spans="1:4" x14ac:dyDescent="0.2">
      <c r="A157" s="345">
        <v>32294</v>
      </c>
      <c r="B157" s="73"/>
      <c r="C157" s="25"/>
      <c r="D157" s="73"/>
    </row>
    <row r="158" spans="1:4" x14ac:dyDescent="0.2">
      <c r="A158" s="345">
        <v>32324</v>
      </c>
      <c r="B158" s="73"/>
      <c r="C158" s="25"/>
      <c r="D158" s="73"/>
    </row>
    <row r="159" spans="1:4" x14ac:dyDescent="0.2">
      <c r="A159" s="345">
        <v>32355</v>
      </c>
      <c r="B159" s="73"/>
      <c r="C159" s="25"/>
      <c r="D159" s="73"/>
    </row>
    <row r="160" spans="1:4" x14ac:dyDescent="0.2">
      <c r="A160" s="345">
        <v>32386</v>
      </c>
      <c r="B160" s="73"/>
      <c r="C160" s="25"/>
      <c r="D160" s="73"/>
    </row>
    <row r="161" spans="1:4" x14ac:dyDescent="0.2">
      <c r="A161" s="345">
        <v>32416</v>
      </c>
      <c r="B161" s="73"/>
      <c r="C161" s="25"/>
      <c r="D161" s="73"/>
    </row>
    <row r="162" spans="1:4" x14ac:dyDescent="0.2">
      <c r="A162" s="345">
        <v>32447</v>
      </c>
      <c r="B162" s="73"/>
      <c r="C162" s="25"/>
      <c r="D162" s="73"/>
    </row>
    <row r="163" spans="1:4" x14ac:dyDescent="0.2">
      <c r="A163" s="345">
        <v>32477</v>
      </c>
      <c r="B163" s="73"/>
      <c r="C163" s="25"/>
      <c r="D163" s="73"/>
    </row>
    <row r="164" spans="1:4" x14ac:dyDescent="0.2">
      <c r="A164" s="345">
        <v>32508</v>
      </c>
      <c r="B164" s="73"/>
      <c r="C164" s="25"/>
      <c r="D164" s="73"/>
    </row>
    <row r="165" spans="1:4" x14ac:dyDescent="0.2">
      <c r="A165" s="345">
        <v>32539</v>
      </c>
      <c r="B165" s="73"/>
      <c r="C165" s="25"/>
      <c r="D165" s="73"/>
    </row>
    <row r="166" spans="1:4" x14ac:dyDescent="0.2">
      <c r="A166" s="345">
        <v>32567</v>
      </c>
      <c r="B166" s="73"/>
      <c r="C166" s="25"/>
      <c r="D166" s="73"/>
    </row>
    <row r="167" spans="1:4" x14ac:dyDescent="0.2">
      <c r="A167" s="345">
        <v>32598</v>
      </c>
      <c r="B167" s="73"/>
      <c r="C167" s="25"/>
      <c r="D167" s="73"/>
    </row>
    <row r="168" spans="1:4" x14ac:dyDescent="0.2">
      <c r="A168" s="345">
        <v>32628</v>
      </c>
      <c r="B168" s="73"/>
      <c r="C168" s="25"/>
      <c r="D168" s="73"/>
    </row>
    <row r="169" spans="1:4" x14ac:dyDescent="0.2">
      <c r="A169" s="345">
        <v>32659</v>
      </c>
      <c r="B169" s="73"/>
      <c r="C169" s="25"/>
      <c r="D169" s="73"/>
    </row>
    <row r="170" spans="1:4" x14ac:dyDescent="0.2">
      <c r="A170" s="345">
        <v>32689</v>
      </c>
      <c r="B170" s="73"/>
      <c r="C170" s="25"/>
      <c r="D170" s="73"/>
    </row>
    <row r="171" spans="1:4" x14ac:dyDescent="0.2">
      <c r="A171" s="345">
        <v>32720</v>
      </c>
      <c r="B171" s="73"/>
      <c r="C171" s="25"/>
      <c r="D171" s="73"/>
    </row>
    <row r="172" spans="1:4" x14ac:dyDescent="0.2">
      <c r="A172" s="345">
        <v>32751</v>
      </c>
      <c r="B172" s="73"/>
      <c r="C172" s="25"/>
      <c r="D172" s="73"/>
    </row>
    <row r="173" spans="1:4" x14ac:dyDescent="0.2">
      <c r="A173" s="345">
        <v>32781</v>
      </c>
      <c r="B173" s="73"/>
      <c r="C173" s="25"/>
      <c r="D173" s="73"/>
    </row>
    <row r="174" spans="1:4" x14ac:dyDescent="0.2">
      <c r="A174" s="345">
        <v>32812</v>
      </c>
      <c r="B174" s="73"/>
      <c r="C174" s="25"/>
      <c r="D174" s="73"/>
    </row>
    <row r="175" spans="1:4" x14ac:dyDescent="0.2">
      <c r="A175" s="345">
        <v>32842</v>
      </c>
      <c r="B175" s="73"/>
      <c r="C175" s="25"/>
      <c r="D175" s="73"/>
    </row>
    <row r="176" spans="1:4" x14ac:dyDescent="0.2">
      <c r="A176" s="345">
        <v>32873</v>
      </c>
      <c r="B176" s="73"/>
      <c r="C176" s="25"/>
      <c r="D176" s="73"/>
    </row>
    <row r="177" spans="1:4" x14ac:dyDescent="0.2">
      <c r="A177" s="345">
        <v>32904</v>
      </c>
      <c r="B177" s="73"/>
      <c r="C177" s="25"/>
      <c r="D177" s="73"/>
    </row>
    <row r="178" spans="1:4" x14ac:dyDescent="0.2">
      <c r="A178" s="345">
        <v>32932</v>
      </c>
      <c r="B178" s="73"/>
      <c r="C178" s="25"/>
      <c r="D178" s="73"/>
    </row>
    <row r="179" spans="1:4" x14ac:dyDescent="0.2">
      <c r="A179" s="345">
        <v>32963</v>
      </c>
      <c r="B179" s="73"/>
      <c r="C179" s="25"/>
      <c r="D179" s="73"/>
    </row>
    <row r="180" spans="1:4" x14ac:dyDescent="0.2">
      <c r="A180" s="345">
        <v>32993</v>
      </c>
      <c r="B180" s="73"/>
      <c r="C180" s="25"/>
      <c r="D180" s="73"/>
    </row>
    <row r="181" spans="1:4" x14ac:dyDescent="0.2">
      <c r="A181" s="345">
        <v>33024</v>
      </c>
      <c r="B181" s="73"/>
      <c r="C181" s="25"/>
      <c r="D181" s="73"/>
    </row>
    <row r="182" spans="1:4" x14ac:dyDescent="0.2">
      <c r="A182" s="345">
        <v>33054</v>
      </c>
      <c r="B182" s="73"/>
      <c r="C182" s="25"/>
      <c r="D182" s="73"/>
    </row>
    <row r="183" spans="1:4" x14ac:dyDescent="0.2">
      <c r="A183" s="345">
        <v>33085</v>
      </c>
      <c r="B183" s="73"/>
      <c r="C183" s="25"/>
      <c r="D183" s="73"/>
    </row>
    <row r="184" spans="1:4" x14ac:dyDescent="0.2">
      <c r="A184" s="345">
        <v>33116</v>
      </c>
      <c r="B184" s="73"/>
      <c r="C184" s="25"/>
      <c r="D184" s="73"/>
    </row>
    <row r="185" spans="1:4" x14ac:dyDescent="0.2">
      <c r="A185" s="345">
        <v>33146</v>
      </c>
      <c r="B185" s="73"/>
      <c r="C185" s="25"/>
      <c r="D185" s="73"/>
    </row>
    <row r="186" spans="1:4" x14ac:dyDescent="0.2">
      <c r="A186" s="345">
        <v>33177</v>
      </c>
      <c r="B186" s="73"/>
      <c r="C186" s="25"/>
      <c r="D186" s="73"/>
    </row>
    <row r="187" spans="1:4" x14ac:dyDescent="0.2">
      <c r="A187" s="345">
        <v>33207</v>
      </c>
      <c r="B187" s="73"/>
      <c r="C187" s="25"/>
      <c r="D187" s="73"/>
    </row>
    <row r="188" spans="1:4" x14ac:dyDescent="0.2">
      <c r="A188" s="345">
        <v>33238</v>
      </c>
      <c r="B188" s="73"/>
      <c r="C188" s="25"/>
      <c r="D188" s="73"/>
    </row>
    <row r="189" spans="1:4" x14ac:dyDescent="0.2">
      <c r="A189" s="345">
        <v>33269</v>
      </c>
      <c r="B189" s="73"/>
      <c r="C189" s="25"/>
      <c r="D189" s="73"/>
    </row>
    <row r="190" spans="1:4" x14ac:dyDescent="0.2">
      <c r="A190" s="345">
        <v>33297</v>
      </c>
      <c r="B190" s="73"/>
      <c r="C190" s="25"/>
      <c r="D190" s="73"/>
    </row>
    <row r="191" spans="1:4" x14ac:dyDescent="0.2">
      <c r="A191" s="345">
        <v>33328</v>
      </c>
      <c r="B191" s="73"/>
      <c r="C191" s="25"/>
      <c r="D191" s="73"/>
    </row>
    <row r="192" spans="1:4" x14ac:dyDescent="0.2">
      <c r="A192" s="345">
        <v>33358</v>
      </c>
      <c r="B192" s="73"/>
      <c r="C192" s="25"/>
      <c r="D192" s="73"/>
    </row>
    <row r="193" spans="1:4" x14ac:dyDescent="0.2">
      <c r="A193" s="345">
        <v>33389</v>
      </c>
      <c r="B193" s="73"/>
      <c r="C193" s="25"/>
      <c r="D193" s="73"/>
    </row>
    <row r="194" spans="1:4" x14ac:dyDescent="0.2">
      <c r="A194" s="345">
        <v>33419</v>
      </c>
      <c r="B194" s="73"/>
      <c r="C194" s="25"/>
      <c r="D194" s="73"/>
    </row>
    <row r="195" spans="1:4" x14ac:dyDescent="0.2">
      <c r="A195" s="345">
        <v>33450</v>
      </c>
      <c r="B195" s="73"/>
      <c r="C195" s="25"/>
      <c r="D195" s="73"/>
    </row>
    <row r="196" spans="1:4" x14ac:dyDescent="0.2">
      <c r="A196" s="345">
        <v>33481</v>
      </c>
      <c r="B196" s="73"/>
      <c r="C196" s="25"/>
      <c r="D196" s="73"/>
    </row>
    <row r="197" spans="1:4" x14ac:dyDescent="0.2">
      <c r="A197" s="345">
        <v>33511</v>
      </c>
      <c r="B197" s="73"/>
      <c r="C197" s="25"/>
      <c r="D197" s="73"/>
    </row>
    <row r="198" spans="1:4" x14ac:dyDescent="0.2">
      <c r="A198" s="345">
        <v>33542</v>
      </c>
      <c r="B198" s="73"/>
      <c r="C198" s="25"/>
      <c r="D198" s="73"/>
    </row>
    <row r="199" spans="1:4" x14ac:dyDescent="0.2">
      <c r="A199" s="345">
        <v>33572</v>
      </c>
      <c r="B199" s="73"/>
      <c r="C199" s="25"/>
      <c r="D199" s="73"/>
    </row>
    <row r="200" spans="1:4" x14ac:dyDescent="0.2">
      <c r="A200" s="345">
        <v>33603</v>
      </c>
      <c r="B200" s="73"/>
      <c r="C200" s="25"/>
      <c r="D200" s="73"/>
    </row>
    <row r="201" spans="1:4" x14ac:dyDescent="0.2">
      <c r="A201" s="345">
        <v>33634</v>
      </c>
      <c r="B201" s="73"/>
      <c r="C201" s="25"/>
      <c r="D201" s="73"/>
    </row>
    <row r="202" spans="1:4" x14ac:dyDescent="0.2">
      <c r="A202" s="345">
        <v>33663</v>
      </c>
      <c r="B202" s="73"/>
      <c r="C202" s="25"/>
      <c r="D202" s="73"/>
    </row>
    <row r="203" spans="1:4" x14ac:dyDescent="0.2">
      <c r="A203" s="345">
        <v>33694</v>
      </c>
      <c r="B203" s="73"/>
      <c r="C203" s="25"/>
      <c r="D203" s="73"/>
    </row>
    <row r="204" spans="1:4" x14ac:dyDescent="0.2">
      <c r="A204" s="345">
        <v>33724</v>
      </c>
      <c r="B204" s="73"/>
      <c r="C204" s="25"/>
      <c r="D204" s="73"/>
    </row>
    <row r="205" spans="1:4" x14ac:dyDescent="0.2">
      <c r="A205" s="345">
        <v>33755</v>
      </c>
      <c r="B205" s="73"/>
      <c r="C205" s="25"/>
      <c r="D205" s="73"/>
    </row>
    <row r="206" spans="1:4" x14ac:dyDescent="0.2">
      <c r="A206" s="345">
        <v>33785</v>
      </c>
      <c r="B206" s="73"/>
      <c r="C206" s="25"/>
      <c r="D206" s="73"/>
    </row>
    <row r="207" spans="1:4" x14ac:dyDescent="0.2">
      <c r="A207" s="345">
        <v>33816</v>
      </c>
      <c r="B207" s="73"/>
      <c r="C207" s="25"/>
      <c r="D207" s="73"/>
    </row>
    <row r="208" spans="1:4" x14ac:dyDescent="0.2">
      <c r="A208" s="345">
        <v>33847</v>
      </c>
      <c r="B208" s="73"/>
      <c r="C208" s="25"/>
      <c r="D208" s="73"/>
    </row>
    <row r="209" spans="1:4" x14ac:dyDescent="0.2">
      <c r="A209" s="345">
        <v>33877</v>
      </c>
      <c r="B209" s="73"/>
      <c r="C209" s="25"/>
      <c r="D209" s="73"/>
    </row>
    <row r="210" spans="1:4" x14ac:dyDescent="0.2">
      <c r="A210" s="345">
        <v>33908</v>
      </c>
      <c r="B210" s="73"/>
      <c r="C210" s="25"/>
      <c r="D210" s="73"/>
    </row>
    <row r="211" spans="1:4" x14ac:dyDescent="0.2">
      <c r="A211" s="345">
        <v>33938</v>
      </c>
      <c r="B211" s="73"/>
      <c r="C211" s="25"/>
      <c r="D211" s="73"/>
    </row>
    <row r="212" spans="1:4" x14ac:dyDescent="0.2">
      <c r="A212" s="345">
        <v>33969</v>
      </c>
      <c r="B212" s="73"/>
      <c r="C212" s="25"/>
      <c r="D212" s="73"/>
    </row>
    <row r="213" spans="1:4" x14ac:dyDescent="0.2">
      <c r="A213" s="345">
        <v>34000</v>
      </c>
      <c r="B213" s="73"/>
      <c r="C213" s="25"/>
      <c r="D213" s="73"/>
    </row>
    <row r="214" spans="1:4" x14ac:dyDescent="0.2">
      <c r="A214" s="345">
        <v>34028</v>
      </c>
      <c r="B214" s="73"/>
      <c r="C214" s="25"/>
      <c r="D214" s="73"/>
    </row>
    <row r="215" spans="1:4" x14ac:dyDescent="0.2">
      <c r="A215" s="345">
        <v>34059</v>
      </c>
      <c r="B215" s="73"/>
      <c r="C215" s="25"/>
      <c r="D215" s="73"/>
    </row>
    <row r="216" spans="1:4" x14ac:dyDescent="0.2">
      <c r="A216" s="345">
        <v>34089</v>
      </c>
      <c r="B216" s="73"/>
      <c r="C216" s="25"/>
      <c r="D216" s="73"/>
    </row>
    <row r="217" spans="1:4" x14ac:dyDescent="0.2">
      <c r="A217" s="345">
        <v>34120</v>
      </c>
      <c r="B217" s="73"/>
      <c r="C217" s="25"/>
      <c r="D217" s="73"/>
    </row>
    <row r="218" spans="1:4" x14ac:dyDescent="0.2">
      <c r="A218" s="345">
        <v>34150</v>
      </c>
      <c r="B218" s="73"/>
      <c r="C218" s="25"/>
      <c r="D218" s="73"/>
    </row>
    <row r="219" spans="1:4" x14ac:dyDescent="0.2">
      <c r="A219" s="345">
        <v>34181</v>
      </c>
      <c r="B219" s="73"/>
      <c r="C219" s="25"/>
      <c r="D219" s="73"/>
    </row>
    <row r="220" spans="1:4" x14ac:dyDescent="0.2">
      <c r="A220" s="345">
        <v>34212</v>
      </c>
      <c r="B220" s="73"/>
      <c r="C220" s="25"/>
      <c r="D220" s="73"/>
    </row>
    <row r="221" spans="1:4" x14ac:dyDescent="0.2">
      <c r="A221" s="345">
        <v>34242</v>
      </c>
      <c r="B221" s="73"/>
      <c r="C221" s="25"/>
      <c r="D221" s="73"/>
    </row>
    <row r="222" spans="1:4" x14ac:dyDescent="0.2">
      <c r="A222" s="345">
        <v>34273</v>
      </c>
      <c r="B222" s="73"/>
      <c r="C222" s="25"/>
      <c r="D222" s="73"/>
    </row>
    <row r="223" spans="1:4" x14ac:dyDescent="0.2">
      <c r="A223" s="345">
        <v>34303</v>
      </c>
      <c r="B223" s="73"/>
      <c r="C223" s="25"/>
      <c r="D223" s="73"/>
    </row>
    <row r="224" spans="1:4" x14ac:dyDescent="0.2">
      <c r="A224" s="345">
        <v>34334</v>
      </c>
      <c r="B224" s="73"/>
      <c r="C224" s="25"/>
      <c r="D224" s="73"/>
    </row>
    <row r="225" spans="1:4" x14ac:dyDescent="0.2">
      <c r="A225" s="345">
        <v>34365</v>
      </c>
      <c r="B225" s="73"/>
      <c r="C225" s="25"/>
      <c r="D225" s="73"/>
    </row>
    <row r="226" spans="1:4" x14ac:dyDescent="0.2">
      <c r="A226" s="345">
        <v>34393</v>
      </c>
      <c r="B226" s="73"/>
      <c r="C226" s="25"/>
      <c r="D226" s="73"/>
    </row>
    <row r="227" spans="1:4" x14ac:dyDescent="0.2">
      <c r="A227" s="345">
        <v>34424</v>
      </c>
      <c r="B227" s="73"/>
      <c r="C227" s="25"/>
      <c r="D227" s="73"/>
    </row>
    <row r="228" spans="1:4" x14ac:dyDescent="0.2">
      <c r="A228" s="345">
        <v>34454</v>
      </c>
      <c r="B228" s="73"/>
      <c r="C228" s="25"/>
      <c r="D228" s="73"/>
    </row>
    <row r="229" spans="1:4" x14ac:dyDescent="0.2">
      <c r="A229" s="345">
        <v>34485</v>
      </c>
      <c r="B229" s="73"/>
      <c r="C229" s="25"/>
      <c r="D229" s="73"/>
    </row>
    <row r="230" spans="1:4" x14ac:dyDescent="0.2">
      <c r="A230" s="345">
        <v>34515</v>
      </c>
      <c r="B230" s="73"/>
      <c r="C230" s="25"/>
      <c r="D230" s="73"/>
    </row>
    <row r="231" spans="1:4" x14ac:dyDescent="0.2">
      <c r="A231" s="345">
        <v>34546</v>
      </c>
      <c r="B231" s="73"/>
      <c r="C231" s="25"/>
      <c r="D231" s="73"/>
    </row>
    <row r="232" spans="1:4" x14ac:dyDescent="0.2">
      <c r="A232" s="345">
        <v>34577</v>
      </c>
      <c r="B232" s="73"/>
      <c r="C232" s="25"/>
      <c r="D232" s="73"/>
    </row>
    <row r="233" spans="1:4" x14ac:dyDescent="0.2">
      <c r="A233" s="345">
        <v>34607</v>
      </c>
      <c r="B233" s="73"/>
      <c r="C233" s="25"/>
      <c r="D233" s="73"/>
    </row>
    <row r="234" spans="1:4" x14ac:dyDescent="0.2">
      <c r="A234" s="345">
        <v>34638</v>
      </c>
      <c r="B234" s="73"/>
      <c r="C234" s="25"/>
      <c r="D234" s="73"/>
    </row>
    <row r="235" spans="1:4" x14ac:dyDescent="0.2">
      <c r="A235" s="345">
        <v>34668</v>
      </c>
      <c r="B235" s="73"/>
      <c r="C235" s="25"/>
      <c r="D235" s="73"/>
    </row>
    <row r="236" spans="1:4" x14ac:dyDescent="0.2">
      <c r="A236" s="345">
        <v>34699</v>
      </c>
      <c r="B236" s="73"/>
      <c r="C236" s="25"/>
      <c r="D236" s="73"/>
    </row>
    <row r="237" spans="1:4" x14ac:dyDescent="0.2">
      <c r="A237" s="345">
        <v>34730</v>
      </c>
      <c r="B237" s="73"/>
      <c r="C237" s="25"/>
      <c r="D237" s="73"/>
    </row>
    <row r="238" spans="1:4" x14ac:dyDescent="0.2">
      <c r="A238" s="345">
        <v>34758</v>
      </c>
      <c r="B238" s="73"/>
      <c r="C238" s="25"/>
      <c r="D238" s="73"/>
    </row>
    <row r="239" spans="1:4" x14ac:dyDescent="0.2">
      <c r="A239" s="345">
        <v>34789</v>
      </c>
      <c r="B239" s="73"/>
      <c r="C239" s="25"/>
      <c r="D239" s="73"/>
    </row>
    <row r="240" spans="1:4" x14ac:dyDescent="0.2">
      <c r="A240" s="345">
        <v>34819</v>
      </c>
      <c r="B240" s="73"/>
      <c r="C240" s="25"/>
      <c r="D240" s="73"/>
    </row>
    <row r="241" spans="1:4" x14ac:dyDescent="0.2">
      <c r="A241" s="345">
        <v>34850</v>
      </c>
      <c r="B241" s="73"/>
      <c r="C241" s="25"/>
      <c r="D241" s="73"/>
    </row>
    <row r="242" spans="1:4" x14ac:dyDescent="0.2">
      <c r="A242" s="345">
        <v>34880</v>
      </c>
      <c r="B242" s="73"/>
      <c r="C242" s="25"/>
      <c r="D242" s="73"/>
    </row>
    <row r="243" spans="1:4" x14ac:dyDescent="0.2">
      <c r="A243" s="345">
        <v>34911</v>
      </c>
      <c r="B243" s="73"/>
      <c r="C243" s="25"/>
      <c r="D243" s="73"/>
    </row>
    <row r="244" spans="1:4" x14ac:dyDescent="0.2">
      <c r="A244" s="345">
        <v>34942</v>
      </c>
      <c r="B244" s="73"/>
      <c r="C244" s="25"/>
      <c r="D244" s="73"/>
    </row>
    <row r="245" spans="1:4" x14ac:dyDescent="0.2">
      <c r="A245" s="345">
        <v>34972</v>
      </c>
      <c r="B245" s="73"/>
      <c r="C245" s="25"/>
      <c r="D245" s="73"/>
    </row>
    <row r="246" spans="1:4" x14ac:dyDescent="0.2">
      <c r="A246" s="345">
        <v>35003</v>
      </c>
      <c r="B246" s="73"/>
      <c r="C246" s="25"/>
      <c r="D246" s="73"/>
    </row>
    <row r="247" spans="1:4" x14ac:dyDescent="0.2">
      <c r="A247" s="345">
        <v>35033</v>
      </c>
      <c r="B247" s="73"/>
      <c r="C247" s="25"/>
      <c r="D247" s="73"/>
    </row>
    <row r="248" spans="1:4" x14ac:dyDescent="0.2">
      <c r="A248" s="345">
        <v>35064</v>
      </c>
      <c r="B248" s="73"/>
      <c r="C248" s="25"/>
      <c r="D248" s="73"/>
    </row>
    <row r="249" spans="1:4" x14ac:dyDescent="0.2">
      <c r="A249" s="345">
        <v>35095</v>
      </c>
      <c r="B249" s="73"/>
      <c r="C249" s="25"/>
      <c r="D249" s="73"/>
    </row>
    <row r="250" spans="1:4" x14ac:dyDescent="0.2">
      <c r="A250" s="345">
        <v>35124</v>
      </c>
      <c r="B250" s="73"/>
      <c r="C250" s="25"/>
      <c r="D250" s="73"/>
    </row>
    <row r="251" spans="1:4" x14ac:dyDescent="0.2">
      <c r="A251" s="345">
        <v>35155</v>
      </c>
      <c r="B251" s="73"/>
      <c r="C251" s="25"/>
      <c r="D251" s="73"/>
    </row>
    <row r="252" spans="1:4" x14ac:dyDescent="0.2">
      <c r="A252" s="345">
        <v>35185</v>
      </c>
      <c r="B252" s="73"/>
      <c r="C252" s="25"/>
      <c r="D252" s="73"/>
    </row>
    <row r="253" spans="1:4" x14ac:dyDescent="0.2">
      <c r="A253" s="345">
        <v>35216</v>
      </c>
      <c r="B253" s="73"/>
      <c r="C253" s="25"/>
      <c r="D253" s="73"/>
    </row>
    <row r="254" spans="1:4" x14ac:dyDescent="0.2">
      <c r="A254" s="345">
        <v>35246</v>
      </c>
      <c r="B254" s="73"/>
      <c r="C254" s="25"/>
      <c r="D254" s="73"/>
    </row>
    <row r="255" spans="1:4" x14ac:dyDescent="0.2">
      <c r="A255" s="345">
        <v>35277</v>
      </c>
      <c r="B255" s="73"/>
      <c r="C255" s="25"/>
      <c r="D255" s="73"/>
    </row>
    <row r="256" spans="1:4" x14ac:dyDescent="0.2">
      <c r="A256" s="345">
        <v>35308</v>
      </c>
      <c r="B256" s="73"/>
      <c r="C256" s="25"/>
      <c r="D256" s="73"/>
    </row>
    <row r="257" spans="1:4" x14ac:dyDescent="0.2">
      <c r="A257" s="345">
        <v>35338</v>
      </c>
      <c r="B257" s="73"/>
      <c r="C257" s="25"/>
      <c r="D257" s="73"/>
    </row>
    <row r="258" spans="1:4" x14ac:dyDescent="0.2">
      <c r="A258" s="345">
        <v>35369</v>
      </c>
      <c r="B258" s="73"/>
      <c r="C258" s="25"/>
      <c r="D258" s="73"/>
    </row>
    <row r="259" spans="1:4" x14ac:dyDescent="0.2">
      <c r="A259" s="345">
        <v>35399</v>
      </c>
      <c r="B259" s="73"/>
      <c r="C259" s="25"/>
      <c r="D259" s="73"/>
    </row>
    <row r="260" spans="1:4" x14ac:dyDescent="0.2">
      <c r="A260" s="345">
        <v>35430</v>
      </c>
      <c r="B260" s="73"/>
      <c r="C260" s="25"/>
      <c r="D260" s="73"/>
    </row>
    <row r="261" spans="1:4" x14ac:dyDescent="0.2">
      <c r="A261" s="345">
        <v>35461</v>
      </c>
      <c r="B261" s="73"/>
      <c r="C261" s="25"/>
      <c r="D261" s="73"/>
    </row>
    <row r="262" spans="1:4" x14ac:dyDescent="0.2">
      <c r="A262" s="345">
        <v>35489</v>
      </c>
      <c r="B262" s="73"/>
      <c r="C262" s="25"/>
      <c r="D262" s="73"/>
    </row>
    <row r="263" spans="1:4" x14ac:dyDescent="0.2">
      <c r="A263" s="345">
        <v>35520</v>
      </c>
      <c r="B263" s="73"/>
      <c r="C263" s="25"/>
      <c r="D263" s="73"/>
    </row>
    <row r="264" spans="1:4" x14ac:dyDescent="0.2">
      <c r="A264" s="345">
        <v>35550</v>
      </c>
      <c r="B264" s="73"/>
      <c r="C264" s="25"/>
      <c r="D264" s="73"/>
    </row>
    <row r="265" spans="1:4" x14ac:dyDescent="0.2">
      <c r="A265" s="345">
        <v>35581</v>
      </c>
      <c r="B265" s="73"/>
      <c r="C265" s="25"/>
      <c r="D265" s="73"/>
    </row>
    <row r="266" spans="1:4" x14ac:dyDescent="0.2">
      <c r="A266" s="345">
        <v>35611</v>
      </c>
      <c r="B266" s="73"/>
      <c r="C266" s="25"/>
      <c r="D266" s="73"/>
    </row>
    <row r="267" spans="1:4" x14ac:dyDescent="0.2">
      <c r="A267" s="345">
        <v>35642</v>
      </c>
      <c r="B267" s="73"/>
      <c r="C267" s="25"/>
      <c r="D267" s="73"/>
    </row>
    <row r="268" spans="1:4" x14ac:dyDescent="0.2">
      <c r="A268" s="345">
        <v>35673</v>
      </c>
      <c r="B268" s="73"/>
      <c r="C268" s="25"/>
      <c r="D268" s="73"/>
    </row>
    <row r="269" spans="1:4" x14ac:dyDescent="0.2">
      <c r="A269" s="345">
        <v>35703</v>
      </c>
      <c r="B269" s="73"/>
      <c r="C269" s="25"/>
      <c r="D269" s="73"/>
    </row>
    <row r="270" spans="1:4" x14ac:dyDescent="0.2">
      <c r="A270" s="345">
        <v>35734</v>
      </c>
      <c r="B270" s="73"/>
      <c r="C270" s="25"/>
      <c r="D270" s="73"/>
    </row>
    <row r="271" spans="1:4" x14ac:dyDescent="0.2">
      <c r="A271" s="345">
        <v>35764</v>
      </c>
      <c r="B271" s="73"/>
      <c r="C271" s="25"/>
      <c r="D271" s="73"/>
    </row>
    <row r="272" spans="1:4" x14ac:dyDescent="0.2">
      <c r="A272" s="345">
        <v>35795</v>
      </c>
      <c r="B272" s="73"/>
      <c r="C272" s="25"/>
      <c r="D272" s="73"/>
    </row>
    <row r="273" spans="1:4" x14ac:dyDescent="0.2">
      <c r="A273" s="345">
        <v>35826</v>
      </c>
      <c r="B273" s="73"/>
      <c r="C273" s="25"/>
      <c r="D273" s="73"/>
    </row>
    <row r="274" spans="1:4" x14ac:dyDescent="0.2">
      <c r="A274" s="345">
        <v>35854</v>
      </c>
      <c r="B274" s="73"/>
      <c r="C274" s="32"/>
      <c r="D274" s="73"/>
    </row>
    <row r="275" spans="1:4" x14ac:dyDescent="0.2">
      <c r="A275" s="345">
        <v>35885</v>
      </c>
      <c r="B275" s="73"/>
      <c r="C275" s="32"/>
      <c r="D275" s="73"/>
    </row>
    <row r="276" spans="1:4" x14ac:dyDescent="0.2">
      <c r="A276" s="345">
        <v>35915</v>
      </c>
      <c r="B276" s="73"/>
      <c r="C276" s="32"/>
      <c r="D276" s="73"/>
    </row>
    <row r="277" spans="1:4" x14ac:dyDescent="0.2">
      <c r="A277" s="345">
        <v>35946</v>
      </c>
      <c r="B277" s="73"/>
      <c r="C277" s="32"/>
      <c r="D277" s="73"/>
    </row>
    <row r="278" spans="1:4" x14ac:dyDescent="0.2">
      <c r="A278" s="345">
        <v>35976</v>
      </c>
      <c r="B278" s="73"/>
      <c r="C278" s="32"/>
      <c r="D278" s="73"/>
    </row>
    <row r="279" spans="1:4" x14ac:dyDescent="0.2">
      <c r="A279" s="345">
        <v>36007</v>
      </c>
      <c r="B279" s="73"/>
      <c r="C279" s="32"/>
      <c r="D279" s="73"/>
    </row>
    <row r="280" spans="1:4" x14ac:dyDescent="0.2">
      <c r="A280" s="345">
        <v>36038</v>
      </c>
      <c r="B280" s="73"/>
      <c r="C280" s="32"/>
      <c r="D280" s="73"/>
    </row>
    <row r="281" spans="1:4" x14ac:dyDescent="0.2">
      <c r="A281" s="345">
        <v>36068</v>
      </c>
      <c r="B281" s="73"/>
      <c r="C281" s="32"/>
      <c r="D281" s="73"/>
    </row>
    <row r="282" spans="1:4" x14ac:dyDescent="0.2">
      <c r="A282" s="345">
        <v>36099</v>
      </c>
      <c r="B282" s="73"/>
      <c r="C282" s="32"/>
      <c r="D282" s="73"/>
    </row>
    <row r="283" spans="1:4" x14ac:dyDescent="0.2">
      <c r="A283" s="345">
        <v>36129</v>
      </c>
      <c r="B283" s="73"/>
      <c r="C283" s="32"/>
      <c r="D283" s="73"/>
    </row>
    <row r="284" spans="1:4" x14ac:dyDescent="0.2">
      <c r="A284" s="345">
        <v>36160</v>
      </c>
      <c r="B284" s="73"/>
      <c r="C284" s="32"/>
      <c r="D284" s="73"/>
    </row>
    <row r="285" spans="1:4" x14ac:dyDescent="0.2">
      <c r="A285" s="345">
        <v>36191</v>
      </c>
      <c r="B285" s="73"/>
      <c r="C285" s="32"/>
      <c r="D285" s="73"/>
    </row>
    <row r="286" spans="1:4" x14ac:dyDescent="0.2">
      <c r="A286" s="345">
        <v>36219</v>
      </c>
      <c r="B286" s="73"/>
      <c r="C286" s="32"/>
      <c r="D286" s="73"/>
    </row>
    <row r="287" spans="1:4" x14ac:dyDescent="0.2">
      <c r="A287" s="345">
        <v>36250</v>
      </c>
      <c r="B287" s="73"/>
      <c r="C287" s="32"/>
      <c r="D287" s="73"/>
    </row>
    <row r="288" spans="1:4" x14ac:dyDescent="0.2">
      <c r="A288" s="345">
        <v>36280</v>
      </c>
      <c r="B288" s="73"/>
      <c r="C288" s="32"/>
      <c r="D288" s="73"/>
    </row>
    <row r="289" spans="1:4" x14ac:dyDescent="0.2">
      <c r="A289" s="345">
        <v>36311</v>
      </c>
      <c r="B289" s="73"/>
      <c r="C289" s="32"/>
      <c r="D289" s="73"/>
    </row>
    <row r="290" spans="1:4" x14ac:dyDescent="0.2">
      <c r="A290" s="345">
        <v>36341</v>
      </c>
      <c r="B290" s="73"/>
      <c r="C290" s="32"/>
      <c r="D290" s="73"/>
    </row>
    <row r="291" spans="1:4" x14ac:dyDescent="0.2">
      <c r="A291" s="345">
        <v>36372</v>
      </c>
      <c r="B291" s="73"/>
      <c r="C291" s="32"/>
      <c r="D291" s="73"/>
    </row>
    <row r="292" spans="1:4" x14ac:dyDescent="0.2">
      <c r="A292" s="345">
        <v>36403</v>
      </c>
      <c r="B292" s="73"/>
      <c r="C292" s="32"/>
      <c r="D292" s="73"/>
    </row>
    <row r="293" spans="1:4" x14ac:dyDescent="0.2">
      <c r="A293" s="345">
        <v>36433</v>
      </c>
      <c r="B293" s="73"/>
      <c r="C293" s="32"/>
      <c r="D293" s="73"/>
    </row>
    <row r="294" spans="1:4" x14ac:dyDescent="0.2">
      <c r="A294" s="345">
        <v>36464</v>
      </c>
      <c r="B294" s="73"/>
      <c r="C294" s="32"/>
      <c r="D294" s="73"/>
    </row>
    <row r="295" spans="1:4" x14ac:dyDescent="0.2">
      <c r="A295" s="345">
        <v>36494</v>
      </c>
      <c r="B295" s="73"/>
      <c r="C295" s="32"/>
      <c r="D295" s="73"/>
    </row>
    <row r="296" spans="1:4" x14ac:dyDescent="0.2">
      <c r="A296" s="345">
        <v>36525</v>
      </c>
      <c r="B296" s="73"/>
      <c r="C296" s="32"/>
      <c r="D296" s="73"/>
    </row>
    <row r="297" spans="1:4" x14ac:dyDescent="0.2">
      <c r="A297" s="345">
        <v>36556</v>
      </c>
      <c r="B297" s="73"/>
      <c r="C297" s="32"/>
      <c r="D297" s="73"/>
    </row>
    <row r="298" spans="1:4" x14ac:dyDescent="0.2">
      <c r="A298" s="345">
        <v>36585</v>
      </c>
      <c r="B298" s="73"/>
      <c r="C298" s="32"/>
      <c r="D298" s="73"/>
    </row>
    <row r="299" spans="1:4" x14ac:dyDescent="0.2">
      <c r="A299" s="345">
        <v>36616</v>
      </c>
      <c r="B299" s="73"/>
      <c r="C299" s="32"/>
      <c r="D299" s="73"/>
    </row>
    <row r="300" spans="1:4" x14ac:dyDescent="0.2">
      <c r="A300" s="345">
        <v>36646</v>
      </c>
      <c r="B300" s="73"/>
      <c r="C300" s="32"/>
      <c r="D300" s="73"/>
    </row>
    <row r="301" spans="1:4" x14ac:dyDescent="0.2">
      <c r="A301" s="345">
        <v>36677</v>
      </c>
      <c r="B301" s="73"/>
      <c r="C301" s="32"/>
      <c r="D301" s="73"/>
    </row>
    <row r="302" spans="1:4" x14ac:dyDescent="0.2">
      <c r="A302" s="345">
        <v>36707</v>
      </c>
      <c r="B302" s="73"/>
      <c r="C302" s="32"/>
      <c r="D302" s="73"/>
    </row>
    <row r="303" spans="1:4" x14ac:dyDescent="0.2">
      <c r="A303" s="345">
        <v>36738</v>
      </c>
      <c r="B303" s="73"/>
      <c r="C303" s="32"/>
      <c r="D303" s="73"/>
    </row>
    <row r="304" spans="1:4" x14ac:dyDescent="0.2">
      <c r="A304" s="345">
        <v>36769</v>
      </c>
      <c r="B304" s="73"/>
      <c r="C304" s="32"/>
      <c r="D304" s="73"/>
    </row>
    <row r="305" spans="1:7" x14ac:dyDescent="0.2">
      <c r="A305" s="345">
        <v>36799</v>
      </c>
      <c r="B305" s="79"/>
      <c r="C305" s="33"/>
      <c r="D305" s="73"/>
    </row>
    <row r="306" spans="1:7" x14ac:dyDescent="0.2">
      <c r="A306" s="345">
        <v>36830</v>
      </c>
      <c r="B306" s="1369">
        <v>0.68</v>
      </c>
      <c r="C306" s="33">
        <v>1534340883.0799999</v>
      </c>
      <c r="D306" s="253"/>
      <c r="E306" s="14">
        <f>B306-Index_Returns!W306</f>
        <v>1.9199999999999995E-2</v>
      </c>
      <c r="G306" s="1457"/>
    </row>
    <row r="307" spans="1:7" x14ac:dyDescent="0.2">
      <c r="A307" s="345">
        <v>36860</v>
      </c>
      <c r="B307" s="1369">
        <v>1.69</v>
      </c>
      <c r="C307" s="33">
        <v>1560401038.1400001</v>
      </c>
      <c r="D307" s="253"/>
      <c r="E307" s="14">
        <f>B307-Index_Returns!W307</f>
        <v>5.4499999999999993E-2</v>
      </c>
    </row>
    <row r="308" spans="1:7" x14ac:dyDescent="0.2">
      <c r="A308" s="345">
        <v>36891</v>
      </c>
      <c r="B308" s="1369">
        <v>1.9</v>
      </c>
      <c r="C308" s="33">
        <v>1590110248.4300001</v>
      </c>
      <c r="D308" s="253"/>
      <c r="E308" s="14">
        <f>B308-Index_Returns!W308</f>
        <v>4.4599999999999973E-2</v>
      </c>
    </row>
    <row r="309" spans="1:7" x14ac:dyDescent="0.2">
      <c r="A309" s="345">
        <v>36922</v>
      </c>
      <c r="B309" s="1369">
        <v>1.49</v>
      </c>
      <c r="C309" s="33">
        <v>1613904492.5699999</v>
      </c>
      <c r="D309" s="253"/>
      <c r="E309" s="14">
        <f>B309-Index_Returns!W309</f>
        <v>-0.14460000000000006</v>
      </c>
    </row>
    <row r="310" spans="1:7" x14ac:dyDescent="0.2">
      <c r="A310" s="345">
        <v>36950</v>
      </c>
      <c r="B310" s="1369">
        <v>0.87</v>
      </c>
      <c r="C310" s="33">
        <v>1628040712.5</v>
      </c>
      <c r="D310" s="253"/>
      <c r="E310" s="14">
        <f>B310-Index_Returns!W310</f>
        <v>-1.2999999999999678E-3</v>
      </c>
    </row>
    <row r="311" spans="1:7" x14ac:dyDescent="0.2">
      <c r="A311" s="345">
        <v>36981</v>
      </c>
      <c r="B311" s="1369">
        <v>0.45</v>
      </c>
      <c r="C311" s="33">
        <v>1635525422.4200001</v>
      </c>
      <c r="D311" s="253"/>
      <c r="E311" s="14">
        <f>B311-Index_Returns!W311</f>
        <v>-5.1800000000000013E-2</v>
      </c>
    </row>
    <row r="312" spans="1:7" x14ac:dyDescent="0.2">
      <c r="A312" s="345">
        <v>37011</v>
      </c>
      <c r="B312" s="1369">
        <v>-0.45</v>
      </c>
      <c r="C312" s="33">
        <v>1628102097.3</v>
      </c>
      <c r="D312" s="253"/>
      <c r="E312" s="14">
        <f>B312-Index_Returns!W312</f>
        <v>-3.4899999999999987E-2</v>
      </c>
    </row>
    <row r="313" spans="1:7" x14ac:dyDescent="0.2">
      <c r="A313" s="345">
        <v>37042</v>
      </c>
      <c r="B313" s="1369">
        <v>0.55000000000000004</v>
      </c>
      <c r="C313" s="33">
        <v>1637194375.3399999</v>
      </c>
      <c r="D313" s="253"/>
      <c r="E313" s="14">
        <f>B313-Index_Returns!W313</f>
        <v>-5.4099999999999926E-2</v>
      </c>
    </row>
    <row r="314" spans="1:7" x14ac:dyDescent="0.2">
      <c r="A314" s="345">
        <v>37072</v>
      </c>
      <c r="B314" s="1369">
        <v>0.3</v>
      </c>
      <c r="C314" s="33">
        <v>1642215231.8599999</v>
      </c>
      <c r="D314" s="253"/>
      <c r="E314" s="14">
        <f>B314-Index_Returns!W314</f>
        <v>-7.7300000000000035E-2</v>
      </c>
    </row>
    <row r="315" spans="1:7" x14ac:dyDescent="0.2">
      <c r="A315" s="345">
        <v>37103</v>
      </c>
      <c r="B315" s="1369">
        <v>2.31</v>
      </c>
      <c r="C315" s="33">
        <v>1680224228.0999999</v>
      </c>
      <c r="D315" s="253"/>
      <c r="E315" s="14">
        <f>B315-Index_Returns!W315</f>
        <v>7.4300000000000033E-2</v>
      </c>
    </row>
    <row r="316" spans="1:7" x14ac:dyDescent="0.2">
      <c r="A316" s="345">
        <v>37134</v>
      </c>
      <c r="B316" s="1369">
        <v>1.1200000000000001</v>
      </c>
      <c r="C316" s="33">
        <v>1699138355.51</v>
      </c>
      <c r="D316" s="253"/>
      <c r="E316" s="14">
        <f>B316-Index_Returns!W316</f>
        <v>-2.5799999999999823E-2</v>
      </c>
    </row>
    <row r="317" spans="1:7" x14ac:dyDescent="0.2">
      <c r="A317" s="345">
        <v>37164</v>
      </c>
      <c r="B317" s="1369">
        <v>1.37</v>
      </c>
      <c r="C317" s="33">
        <v>1722563761.5899999</v>
      </c>
      <c r="D317" s="253"/>
      <c r="E317" s="14">
        <f>B317-Index_Returns!W317</f>
        <v>0.20530000000000004</v>
      </c>
    </row>
    <row r="318" spans="1:7" x14ac:dyDescent="0.2">
      <c r="A318" s="345">
        <v>37195</v>
      </c>
      <c r="B318" s="1369">
        <v>2.08</v>
      </c>
      <c r="C318" s="33">
        <v>1758650717.5999999</v>
      </c>
      <c r="D318" s="253"/>
      <c r="E318" s="14">
        <f>B318-Index_Returns!W318</f>
        <v>-1.2999999999999901E-2</v>
      </c>
    </row>
    <row r="319" spans="1:7" x14ac:dyDescent="0.2">
      <c r="A319" s="345">
        <v>37225</v>
      </c>
      <c r="B319" s="1369">
        <v>-1.43</v>
      </c>
      <c r="C319" s="33">
        <v>1733809856.6400001</v>
      </c>
      <c r="D319" s="253"/>
      <c r="E319" s="14">
        <f>B319-Index_Returns!W319</f>
        <v>-5.1099999999999923E-2</v>
      </c>
    </row>
    <row r="320" spans="1:7" x14ac:dyDescent="0.2">
      <c r="A320" s="345">
        <v>37256</v>
      </c>
      <c r="B320" s="1369">
        <v>-0.71</v>
      </c>
      <c r="C320" s="33">
        <v>1721661923.77</v>
      </c>
      <c r="D320" s="253"/>
      <c r="E320" s="14">
        <f>B320-Index_Returns!W320</f>
        <v>-7.4299999999999922E-2</v>
      </c>
    </row>
    <row r="321" spans="1:5" x14ac:dyDescent="0.2">
      <c r="A321" s="345">
        <v>37287</v>
      </c>
      <c r="B321" s="1369">
        <v>0.8</v>
      </c>
      <c r="C321" s="33">
        <v>1735403570.8299999</v>
      </c>
      <c r="D321" s="253"/>
      <c r="E321" s="14">
        <f>B321-Index_Returns!W321</f>
        <v>-9.5999999999999419E-3</v>
      </c>
    </row>
    <row r="322" spans="1:5" x14ac:dyDescent="0.2">
      <c r="A322" s="345">
        <v>37315</v>
      </c>
      <c r="B322" s="1369">
        <v>0.96</v>
      </c>
      <c r="C322" s="33">
        <v>1752166918.72</v>
      </c>
      <c r="D322" s="253"/>
      <c r="E322" s="14">
        <f>B322-Index_Returns!W322</f>
        <v>-9.000000000000008E-3</v>
      </c>
    </row>
    <row r="323" spans="1:5" x14ac:dyDescent="0.2">
      <c r="A323" s="345">
        <v>37346</v>
      </c>
      <c r="B323" s="1369">
        <v>-1.79</v>
      </c>
      <c r="C323" s="33">
        <v>1720915311.99</v>
      </c>
      <c r="D323" s="253"/>
      <c r="E323" s="14">
        <f>B323-Index_Returns!W323</f>
        <v>-0.12680000000000002</v>
      </c>
    </row>
    <row r="324" spans="1:5" x14ac:dyDescent="0.2">
      <c r="A324" s="345">
        <v>37376</v>
      </c>
      <c r="B324" s="1369">
        <v>1.79</v>
      </c>
      <c r="C324" s="33">
        <v>1751687232.0799999</v>
      </c>
      <c r="D324" s="253"/>
      <c r="E324" s="14">
        <f>B324-Index_Returns!W324</f>
        <v>-0.14929999999999999</v>
      </c>
    </row>
    <row r="325" spans="1:5" x14ac:dyDescent="0.2">
      <c r="A325" s="345">
        <v>37407</v>
      </c>
      <c r="B325" s="1369">
        <v>0.99</v>
      </c>
      <c r="C325" s="33">
        <v>1769003190.72</v>
      </c>
      <c r="D325" s="253"/>
      <c r="E325" s="14">
        <f>B325-Index_Returns!W325</f>
        <v>0.14049999999999996</v>
      </c>
    </row>
    <row r="326" spans="1:5" x14ac:dyDescent="0.2">
      <c r="A326" s="345">
        <v>37437</v>
      </c>
      <c r="B326" s="1369">
        <v>0.86</v>
      </c>
      <c r="C326" s="33">
        <v>1784259860.99</v>
      </c>
      <c r="D326" s="253"/>
      <c r="E326" s="14">
        <f>B326-Index_Returns!W326</f>
        <v>-5.0999999999999934E-3</v>
      </c>
    </row>
    <row r="327" spans="1:5" x14ac:dyDescent="0.2">
      <c r="A327" s="345">
        <v>37468</v>
      </c>
      <c r="B327" s="1369">
        <v>1.37</v>
      </c>
      <c r="C327" s="33">
        <v>1808703268.8699999</v>
      </c>
      <c r="D327" s="253"/>
      <c r="E327" s="14">
        <f>B327-Index_Returns!W327</f>
        <v>0.16380000000000017</v>
      </c>
    </row>
    <row r="328" spans="1:5" x14ac:dyDescent="0.2">
      <c r="A328" s="345">
        <v>37499</v>
      </c>
      <c r="B328" s="1369">
        <v>1.85</v>
      </c>
      <c r="C328" s="33">
        <v>1842190134.8499999</v>
      </c>
      <c r="D328" s="253"/>
      <c r="E328" s="14">
        <f>B328-Index_Returns!W328</f>
        <v>0.16180000000000017</v>
      </c>
    </row>
    <row r="329" spans="1:5" x14ac:dyDescent="0.2">
      <c r="A329" s="345">
        <v>37529</v>
      </c>
      <c r="B329" s="1369">
        <v>1.79</v>
      </c>
      <c r="C329" s="33">
        <v>1875145488.79</v>
      </c>
      <c r="D329" s="253"/>
      <c r="E329" s="14">
        <f>B329-Index_Returns!W329</f>
        <v>0.17010000000000014</v>
      </c>
    </row>
    <row r="330" spans="1:5" x14ac:dyDescent="0.2">
      <c r="A330" s="345">
        <v>37560</v>
      </c>
      <c r="B330" s="1369">
        <v>-0.25</v>
      </c>
      <c r="C330" s="33">
        <v>1870545524.3699999</v>
      </c>
      <c r="D330" s="253"/>
      <c r="E330" s="14">
        <f>B330-Index_Returns!W330</f>
        <v>0.20590000000000003</v>
      </c>
    </row>
    <row r="331" spans="1:5" x14ac:dyDescent="0.2">
      <c r="A331" s="345">
        <v>37590</v>
      </c>
      <c r="B331" s="1369">
        <v>-0.3</v>
      </c>
      <c r="C331" s="33">
        <v>1864971367.03</v>
      </c>
      <c r="D331" s="253"/>
      <c r="E331" s="14">
        <f>B331-Index_Returns!W331</f>
        <v>-0.27360000000000001</v>
      </c>
    </row>
    <row r="332" spans="1:5" x14ac:dyDescent="0.2">
      <c r="A332" s="345">
        <v>37621</v>
      </c>
      <c r="B332" s="1369">
        <v>2.09</v>
      </c>
      <c r="C332" s="33">
        <v>1903927895.6600001</v>
      </c>
      <c r="D332" s="253"/>
      <c r="E332" s="14">
        <f>B332-Index_Returns!W332</f>
        <v>2.4599999999999955E-2</v>
      </c>
    </row>
    <row r="333" spans="1:5" x14ac:dyDescent="0.2">
      <c r="A333" s="345">
        <v>37652</v>
      </c>
      <c r="B333" s="1369">
        <v>0.02</v>
      </c>
      <c r="C333" s="33">
        <v>1904317340.0799999</v>
      </c>
      <c r="D333" s="253"/>
      <c r="E333" s="14">
        <f>B333-Index_Returns!W333</f>
        <v>-6.5500000000000003E-2</v>
      </c>
    </row>
    <row r="334" spans="1:5" x14ac:dyDescent="0.2">
      <c r="A334" s="345">
        <v>37680</v>
      </c>
      <c r="B334" s="1369">
        <v>1.47</v>
      </c>
      <c r="C334" s="33">
        <v>1932304865.77</v>
      </c>
      <c r="D334" s="253"/>
      <c r="E334" s="14">
        <f>B334-Index_Returns!W334</f>
        <v>8.5699999999999887E-2</v>
      </c>
    </row>
    <row r="335" spans="1:5" x14ac:dyDescent="0.2">
      <c r="A335" s="345">
        <v>37711</v>
      </c>
      <c r="B335" s="1369">
        <v>-0.11</v>
      </c>
      <c r="C335" s="33">
        <v>1930249663.9200001</v>
      </c>
      <c r="D335" s="253"/>
      <c r="E335" s="14">
        <f>B335-Index_Returns!W335</f>
        <v>-3.2700000000000007E-2</v>
      </c>
    </row>
    <row r="336" spans="1:5" x14ac:dyDescent="0.2">
      <c r="A336" s="345">
        <v>37741</v>
      </c>
      <c r="B336" s="1369">
        <v>0.72</v>
      </c>
      <c r="C336" s="33">
        <v>1944117312.75</v>
      </c>
      <c r="D336" s="253"/>
      <c r="E336" s="14">
        <f>B336-Index_Returns!W336</f>
        <v>-0.10540000000000005</v>
      </c>
    </row>
    <row r="337" spans="1:5" x14ac:dyDescent="0.2">
      <c r="A337" s="345">
        <v>37772</v>
      </c>
      <c r="B337" s="1369">
        <v>1.83</v>
      </c>
      <c r="C337" s="33">
        <v>1979346127.0799999</v>
      </c>
      <c r="D337" s="253"/>
      <c r="E337" s="14">
        <f>B337-Index_Returns!W337</f>
        <v>-3.4499999999999975E-2</v>
      </c>
    </row>
    <row r="338" spans="1:5" x14ac:dyDescent="0.2">
      <c r="A338" s="345">
        <v>37802</v>
      </c>
      <c r="B338" s="1369">
        <v>-0.23</v>
      </c>
      <c r="C338" s="33">
        <v>1975112183.27</v>
      </c>
      <c r="D338" s="253"/>
      <c r="E338" s="14">
        <f>B338-Index_Returns!W338</f>
        <v>-3.1400000000000011E-2</v>
      </c>
    </row>
    <row r="339" spans="1:5" x14ac:dyDescent="0.2">
      <c r="A339" s="345">
        <v>37833</v>
      </c>
      <c r="B339" s="1369">
        <v>-3.58</v>
      </c>
      <c r="C339" s="33">
        <v>1904316878.23</v>
      </c>
      <c r="D339" s="253"/>
      <c r="E339" s="14">
        <f>B339-Index_Returns!W339</f>
        <v>-0.21799999999999997</v>
      </c>
    </row>
    <row r="340" spans="1:5" x14ac:dyDescent="0.2">
      <c r="A340" s="345">
        <v>37864</v>
      </c>
      <c r="B340" s="1369">
        <v>0.7</v>
      </c>
      <c r="C340" s="33">
        <v>1917817112.47</v>
      </c>
      <c r="D340" s="253"/>
      <c r="E340" s="14">
        <f>B340-Index_Returns!W340</f>
        <v>3.6299999999999999E-2</v>
      </c>
    </row>
    <row r="341" spans="1:5" x14ac:dyDescent="0.2">
      <c r="A341" s="345">
        <v>37894</v>
      </c>
      <c r="B341" s="1369">
        <v>2.76</v>
      </c>
      <c r="C341" s="34">
        <v>1970525901.98</v>
      </c>
      <c r="D341" s="253"/>
      <c r="E341" s="14">
        <f>B341-Index_Returns!W341</f>
        <v>0.11309999999999976</v>
      </c>
    </row>
    <row r="342" spans="1:5" x14ac:dyDescent="0.2">
      <c r="A342" s="345">
        <v>37925</v>
      </c>
      <c r="B342" s="1369">
        <v>-0.91</v>
      </c>
      <c r="C342" s="34">
        <v>1952367163.0599999</v>
      </c>
      <c r="D342" s="253"/>
      <c r="E342" s="14">
        <f>B342-Index_Returns!W342</f>
        <v>2.200000000000002E-2</v>
      </c>
    </row>
    <row r="343" spans="1:5" x14ac:dyDescent="0.2">
      <c r="A343" s="345">
        <v>37955</v>
      </c>
      <c r="B343" s="1369">
        <v>0.22</v>
      </c>
      <c r="C343" s="34">
        <v>1956900419.5999999</v>
      </c>
      <c r="D343" s="253"/>
      <c r="E343" s="14">
        <f>B343-Index_Returns!W343</f>
        <v>-1.9100000000000006E-2</v>
      </c>
    </row>
    <row r="344" spans="1:5" x14ac:dyDescent="0.2">
      <c r="A344" s="345">
        <v>37986</v>
      </c>
      <c r="B344" s="1369">
        <v>0.98</v>
      </c>
      <c r="C344" s="34">
        <v>1976191444.27</v>
      </c>
      <c r="D344" s="253"/>
      <c r="E344" s="14">
        <f>B344-Index_Returns!W344</f>
        <v>-3.7600000000000078E-2</v>
      </c>
    </row>
    <row r="345" spans="1:5" x14ac:dyDescent="0.2">
      <c r="A345" s="345">
        <v>38017</v>
      </c>
      <c r="B345" s="1369">
        <v>0.84</v>
      </c>
      <c r="C345" s="34">
        <v>1992692906.1500001</v>
      </c>
      <c r="D345" s="253"/>
      <c r="E345" s="14">
        <f>B345-Index_Returns!W345</f>
        <v>3.5299999999999998E-2</v>
      </c>
    </row>
    <row r="346" spans="1:5" x14ac:dyDescent="0.2">
      <c r="A346" s="345">
        <v>38046</v>
      </c>
      <c r="B346" s="1369">
        <v>1.17</v>
      </c>
      <c r="C346" s="34">
        <v>2016020994.1500001</v>
      </c>
      <c r="D346" s="253"/>
      <c r="E346" s="14">
        <f>B346-Index_Returns!W346</f>
        <v>8.7999999999999856E-2</v>
      </c>
    </row>
    <row r="347" spans="1:5" x14ac:dyDescent="0.2">
      <c r="A347" s="345">
        <v>38077</v>
      </c>
      <c r="B347" s="1369">
        <v>0.82</v>
      </c>
      <c r="C347" s="34">
        <v>2032573129.0999999</v>
      </c>
      <c r="D347" s="255"/>
      <c r="E347" s="14">
        <f>B347-Index_Returns!W347</f>
        <v>7.0399999999999907E-2</v>
      </c>
    </row>
    <row r="348" spans="1:5" x14ac:dyDescent="0.2">
      <c r="A348" s="345">
        <v>38107</v>
      </c>
      <c r="B348" s="1369">
        <v>-2.83</v>
      </c>
      <c r="C348" s="34">
        <v>1975011142.8900001</v>
      </c>
      <c r="D348" s="253"/>
      <c r="E348" s="14">
        <f>B348-Index_Returns!W348</f>
        <v>-0.22780000000000022</v>
      </c>
    </row>
    <row r="349" spans="1:5" x14ac:dyDescent="0.2">
      <c r="A349" s="345">
        <v>38138</v>
      </c>
      <c r="B349" s="1369">
        <v>-0.53</v>
      </c>
      <c r="C349" s="34">
        <v>1964468054.97</v>
      </c>
      <c r="D349" s="253"/>
      <c r="E349" s="14">
        <f>B349-Index_Returns!W349</f>
        <v>-0.12970000000000004</v>
      </c>
    </row>
    <row r="350" spans="1:5" x14ac:dyDescent="0.2">
      <c r="A350" s="345">
        <v>38168</v>
      </c>
      <c r="B350" s="1369">
        <v>0.6</v>
      </c>
      <c r="C350" s="34">
        <v>1976246425.1600001</v>
      </c>
      <c r="D350" s="253"/>
      <c r="E350" s="14">
        <f>B350-Index_Returns!W350</f>
        <v>3.4799999999999942E-2</v>
      </c>
    </row>
    <row r="351" spans="1:5" x14ac:dyDescent="0.2">
      <c r="A351" s="345">
        <v>38199</v>
      </c>
      <c r="B351" s="1369">
        <v>0.96</v>
      </c>
      <c r="C351" s="34">
        <v>1995117621.5999999</v>
      </c>
      <c r="D351" s="253"/>
      <c r="E351" s="14">
        <f>B351-Index_Returns!W351</f>
        <v>-3.1200000000000006E-2</v>
      </c>
    </row>
    <row r="352" spans="1:5" x14ac:dyDescent="0.2">
      <c r="A352" s="345">
        <v>38230</v>
      </c>
      <c r="B352" s="1369">
        <v>2.04</v>
      </c>
      <c r="C352" s="34">
        <v>2035721585.47</v>
      </c>
      <c r="D352" s="253"/>
      <c r="E352" s="14">
        <f>B352-Index_Returns!W352</f>
        <v>0.13250000000000006</v>
      </c>
    </row>
    <row r="353" spans="1:5" x14ac:dyDescent="0.2">
      <c r="A353" s="345">
        <v>38260</v>
      </c>
      <c r="B353" s="1369">
        <v>0.27</v>
      </c>
      <c r="C353" s="34">
        <v>2041458190.26</v>
      </c>
      <c r="D353" s="253"/>
      <c r="E353" s="14">
        <f>B353-Index_Returns!W353</f>
        <v>-1.2999999999999678E-3</v>
      </c>
    </row>
    <row r="354" spans="1:5" x14ac:dyDescent="0.2">
      <c r="A354" s="345">
        <v>38291</v>
      </c>
      <c r="B354" s="1369">
        <v>0.9</v>
      </c>
      <c r="C354" s="34">
        <v>2059799838.9100001</v>
      </c>
      <c r="D354" s="253"/>
      <c r="E354" s="14">
        <f>B354-Index_Returns!W354</f>
        <v>6.140000000000001E-2</v>
      </c>
    </row>
    <row r="355" spans="1:5" x14ac:dyDescent="0.2">
      <c r="A355" s="345">
        <v>38321</v>
      </c>
      <c r="B355" s="1369">
        <v>-0.76</v>
      </c>
      <c r="C355" s="34">
        <v>2044061314.49</v>
      </c>
      <c r="D355" s="253"/>
      <c r="E355" s="14">
        <f>B355-Index_Returns!W355</f>
        <v>3.7599999999999967E-2</v>
      </c>
    </row>
    <row r="356" spans="1:5" x14ac:dyDescent="0.2">
      <c r="A356" s="345">
        <v>38352</v>
      </c>
      <c r="B356" s="1369">
        <v>0.9</v>
      </c>
      <c r="C356" s="256">
        <v>2062628781.1600001</v>
      </c>
      <c r="D356" s="253"/>
      <c r="E356" s="14">
        <f>B356-Index_Returns!W356</f>
        <v>-2.0100000000000007E-2</v>
      </c>
    </row>
    <row r="357" spans="1:5" x14ac:dyDescent="0.2">
      <c r="A357" s="345">
        <v>38383</v>
      </c>
      <c r="B357" s="1369">
        <v>0.6</v>
      </c>
      <c r="C357" s="34">
        <v>2075079455.3</v>
      </c>
      <c r="D357" s="253"/>
      <c r="E357" s="14">
        <f>B357-Index_Returns!W357</f>
        <v>-2.7900000000000036E-2</v>
      </c>
    </row>
    <row r="358" spans="1:5" x14ac:dyDescent="0.2">
      <c r="A358" s="345">
        <v>38411</v>
      </c>
      <c r="B358" s="1369">
        <v>-0.59</v>
      </c>
      <c r="C358" s="34">
        <v>2062792886.21</v>
      </c>
      <c r="D358" s="253"/>
      <c r="E358" s="14">
        <f>B358-Index_Returns!W358</f>
        <v>3.0000000000007798E-4</v>
      </c>
    </row>
    <row r="359" spans="1:5" x14ac:dyDescent="0.2">
      <c r="A359" s="345">
        <v>38442</v>
      </c>
      <c r="B359" s="1369">
        <v>-0.57999999999999996</v>
      </c>
      <c r="C359" s="256">
        <v>2050960891.72</v>
      </c>
      <c r="D359" s="253"/>
      <c r="E359" s="14">
        <f>B359-Index_Returns!W359</f>
        <v>-6.6400000000000015E-2</v>
      </c>
    </row>
    <row r="360" spans="1:5" x14ac:dyDescent="0.2">
      <c r="A360" s="345">
        <v>38472</v>
      </c>
      <c r="B360" s="1369">
        <v>1.34</v>
      </c>
      <c r="C360" s="256">
        <v>2078363423.5899999</v>
      </c>
      <c r="D360" s="253"/>
      <c r="E360" s="14">
        <f>B360-Index_Returns!W360</f>
        <v>-1.3399999999999856E-2</v>
      </c>
    </row>
    <row r="361" spans="1:5" x14ac:dyDescent="0.2">
      <c r="A361" s="345">
        <v>38503</v>
      </c>
      <c r="B361" s="1369">
        <v>1.08</v>
      </c>
      <c r="C361" s="256">
        <v>2100797655.6700001</v>
      </c>
      <c r="D361" s="253"/>
      <c r="E361" s="14">
        <f>B361-Index_Returns!W361</f>
        <v>-1.9000000000000128E-3</v>
      </c>
    </row>
    <row r="362" spans="1:5" x14ac:dyDescent="0.2">
      <c r="A362" s="345">
        <v>38533</v>
      </c>
      <c r="B362" s="1369">
        <v>0.53</v>
      </c>
      <c r="C362" s="256">
        <v>2112024693.04</v>
      </c>
      <c r="D362" s="253"/>
      <c r="E362" s="14">
        <f>B362-Index_Returns!W362</f>
        <v>-1.529999999999998E-2</v>
      </c>
    </row>
    <row r="363" spans="1:5" x14ac:dyDescent="0.2">
      <c r="A363" s="345">
        <v>38564</v>
      </c>
      <c r="B363" s="1369">
        <v>-0.84</v>
      </c>
      <c r="C363" s="256">
        <v>2094350248.6199999</v>
      </c>
      <c r="D363" s="253"/>
      <c r="E363" s="14">
        <f>B363-Index_Returns!W363</f>
        <v>7.0300000000000029E-2</v>
      </c>
    </row>
    <row r="364" spans="1:5" x14ac:dyDescent="0.2">
      <c r="A364" s="345">
        <v>38595</v>
      </c>
      <c r="B364" s="1369">
        <v>1.23</v>
      </c>
      <c r="C364" s="256">
        <v>2120102895.8599999</v>
      </c>
      <c r="D364" s="253"/>
      <c r="E364" s="14">
        <f>B364-Index_Returns!W364</f>
        <v>-5.2000000000000046E-2</v>
      </c>
    </row>
    <row r="365" spans="1:5" x14ac:dyDescent="0.2">
      <c r="A365" s="345">
        <v>38625</v>
      </c>
      <c r="B365" s="1369">
        <v>-0.99</v>
      </c>
      <c r="C365" s="256">
        <v>2069122468.3599999</v>
      </c>
      <c r="D365" s="253"/>
      <c r="E365" s="14">
        <f>B365-Index_Returns!W365</f>
        <v>4.0100000000000025E-2</v>
      </c>
    </row>
    <row r="366" spans="1:5" x14ac:dyDescent="0.2">
      <c r="A366" s="345">
        <v>38656</v>
      </c>
      <c r="B366" s="1369">
        <v>-0.78</v>
      </c>
      <c r="C366" s="256">
        <v>2082823879.4400001</v>
      </c>
      <c r="D366" s="253"/>
      <c r="E366" s="14">
        <f>B366-Index_Returns!W366</f>
        <v>1.1399999999999966E-2</v>
      </c>
    </row>
    <row r="367" spans="1:5" x14ac:dyDescent="0.2">
      <c r="A367" s="345">
        <v>38686</v>
      </c>
      <c r="B367" s="1369">
        <v>0.47</v>
      </c>
      <c r="C367" s="256">
        <v>2092606501.8399999</v>
      </c>
      <c r="D367" s="253"/>
      <c r="E367" s="14">
        <f>B367-Index_Returns!W367</f>
        <v>2.7699999999999947E-2</v>
      </c>
    </row>
    <row r="368" spans="1:5" x14ac:dyDescent="0.2">
      <c r="A368" s="345">
        <v>38717</v>
      </c>
      <c r="B368" s="1369">
        <v>0.93</v>
      </c>
      <c r="C368" s="256">
        <v>2112088306.76</v>
      </c>
      <c r="D368" s="253"/>
      <c r="E368" s="14">
        <f>B368-Index_Returns!W368</f>
        <v>-2.079999999999993E-2</v>
      </c>
    </row>
    <row r="369" spans="1:6" x14ac:dyDescent="0.2">
      <c r="A369" s="345">
        <v>38748</v>
      </c>
      <c r="B369" s="1369">
        <v>0.08</v>
      </c>
      <c r="C369" s="256">
        <v>2113699178.9000001</v>
      </c>
      <c r="D369" s="253"/>
      <c r="E369" s="14">
        <f>B369-Index_Returns!W369</f>
        <v>7.4300000000000005E-2</v>
      </c>
    </row>
    <row r="370" spans="1:6" x14ac:dyDescent="0.2">
      <c r="A370" s="345">
        <v>38776</v>
      </c>
      <c r="B370" s="1369">
        <v>0.36</v>
      </c>
      <c r="C370" s="256">
        <v>2121260525.72</v>
      </c>
      <c r="D370" s="253"/>
      <c r="E370" s="14">
        <f>B370-Index_Returns!W370</f>
        <v>2.7999999999999969E-2</v>
      </c>
    </row>
    <row r="371" spans="1:6" x14ac:dyDescent="0.2">
      <c r="A371" s="345">
        <v>38807</v>
      </c>
      <c r="B371" s="1369">
        <v>-0.95</v>
      </c>
      <c r="C371" s="33">
        <v>2101255909.98</v>
      </c>
      <c r="D371" s="253"/>
      <c r="E371" s="14">
        <f>B371-Index_Returns!W371</f>
        <v>3.1299999999999994E-2</v>
      </c>
    </row>
    <row r="372" spans="1:6" x14ac:dyDescent="0.2">
      <c r="A372" s="345">
        <v>38837</v>
      </c>
      <c r="B372" s="1369">
        <v>-0.15</v>
      </c>
      <c r="C372" s="33">
        <v>2098183152.25</v>
      </c>
      <c r="D372" s="253"/>
      <c r="E372" s="14">
        <f>B372-Index_Returns!W372</f>
        <v>3.1299999999999994E-2</v>
      </c>
    </row>
    <row r="373" spans="1:6" x14ac:dyDescent="0.2">
      <c r="A373" s="345">
        <v>38868</v>
      </c>
      <c r="B373" s="1369">
        <v>-0.14000000000000001</v>
      </c>
      <c r="C373" s="33">
        <v>2095225955.3</v>
      </c>
      <c r="D373" s="253"/>
      <c r="E373" s="14">
        <f>B373-Index_Returns!W373</f>
        <v>-3.330000000000001E-2</v>
      </c>
    </row>
    <row r="374" spans="1:6" x14ac:dyDescent="0.2">
      <c r="A374" s="345">
        <v>38898</v>
      </c>
      <c r="B374" s="1369">
        <v>0.19</v>
      </c>
      <c r="C374" s="354">
        <v>2099237008.73</v>
      </c>
      <c r="D374" s="253"/>
      <c r="E374" s="14">
        <f>B374-Index_Returns!W374</f>
        <v>-2.1999999999999992E-2</v>
      </c>
    </row>
    <row r="375" spans="1:6" x14ac:dyDescent="0.2">
      <c r="A375" s="345">
        <v>38929</v>
      </c>
      <c r="B375" s="1369">
        <v>1.37</v>
      </c>
      <c r="C375" s="34">
        <v>2128014445.1099999</v>
      </c>
      <c r="D375" s="253"/>
      <c r="E375" s="14">
        <f>B375-Index_Returns!W375</f>
        <v>1.7800000000000038E-2</v>
      </c>
    </row>
    <row r="376" spans="1:6" x14ac:dyDescent="0.2">
      <c r="A376" s="345">
        <v>38960</v>
      </c>
      <c r="B376" s="1369">
        <v>1.55</v>
      </c>
      <c r="C376" s="34">
        <v>2160920469.9200001</v>
      </c>
      <c r="D376" s="253"/>
      <c r="E376" s="14">
        <f>B376-Index_Returns!W376</f>
        <v>1.9200000000000106E-2</v>
      </c>
    </row>
    <row r="377" spans="1:6" x14ac:dyDescent="0.2">
      <c r="A377" s="345">
        <v>38990</v>
      </c>
      <c r="B377" s="1369">
        <v>0.9</v>
      </c>
      <c r="C377" s="34">
        <v>2180308403.52</v>
      </c>
      <c r="D377" s="253"/>
      <c r="E377" s="14">
        <f>B377-Index_Returns!W377</f>
        <v>2.1600000000000064E-2</v>
      </c>
    </row>
    <row r="378" spans="1:6" x14ac:dyDescent="0.2">
      <c r="A378" s="345">
        <v>39021</v>
      </c>
      <c r="B378" s="1369">
        <v>0.7</v>
      </c>
      <c r="C378" s="34">
        <v>2195539820.1700001</v>
      </c>
      <c r="D378" s="253"/>
      <c r="E378" s="14">
        <f>B378-Index_Returns!W378</f>
        <v>3.8499999999999979E-2</v>
      </c>
      <c r="F378" s="352"/>
    </row>
    <row r="379" spans="1:6" x14ac:dyDescent="0.2">
      <c r="A379" s="345">
        <v>39051</v>
      </c>
      <c r="B379" s="1369">
        <v>1.17</v>
      </c>
      <c r="C379" s="34">
        <v>2221321233.3899999</v>
      </c>
      <c r="D379" s="253"/>
      <c r="E379" s="14">
        <f>B379-Index_Returns!W379</f>
        <v>9.9000000000000199E-3</v>
      </c>
      <c r="F379" s="352"/>
    </row>
    <row r="380" spans="1:6" x14ac:dyDescent="0.2">
      <c r="A380" s="345">
        <v>39082</v>
      </c>
      <c r="B380" s="1369">
        <v>-0.57999999999999996</v>
      </c>
      <c r="C380" s="34">
        <v>2208561472.3699999</v>
      </c>
      <c r="D380" s="253"/>
      <c r="E380" s="14">
        <f>B380-Index_Returns!W380</f>
        <v>3.0000000000007798E-4</v>
      </c>
      <c r="F380" s="352"/>
    </row>
    <row r="381" spans="1:6" x14ac:dyDescent="0.2">
      <c r="A381" s="345">
        <v>39113</v>
      </c>
      <c r="B381" s="1369">
        <v>7.0000000000000007E-2</v>
      </c>
      <c r="C381" s="346">
        <v>2210215293.5700002</v>
      </c>
      <c r="E381" s="14">
        <f>B381-Index_Returns!W381</f>
        <v>0.11100000000000002</v>
      </c>
      <c r="F381" s="352"/>
    </row>
    <row r="382" spans="1:6" x14ac:dyDescent="0.2">
      <c r="A382" s="345">
        <v>39141</v>
      </c>
      <c r="B382" s="1369">
        <v>1.53</v>
      </c>
      <c r="C382" s="346">
        <v>2244057457</v>
      </c>
      <c r="E382" s="14">
        <f>B382-Index_Returns!W382</f>
        <v>-1.2000000000000011E-2</v>
      </c>
      <c r="F382" s="352"/>
    </row>
    <row r="383" spans="1:6" x14ac:dyDescent="0.2">
      <c r="A383" s="345">
        <v>39172</v>
      </c>
      <c r="B383" s="1369">
        <v>-0.02</v>
      </c>
      <c r="C383" s="346">
        <v>2243630742.4000001</v>
      </c>
      <c r="E383" s="14">
        <f>B383-Index_Returns!W383</f>
        <v>-2.3099999999999999E-2</v>
      </c>
    </row>
    <row r="384" spans="1:6" x14ac:dyDescent="0.2">
      <c r="A384" s="345">
        <v>39202</v>
      </c>
      <c r="B384" s="1369">
        <v>0.54</v>
      </c>
      <c r="C384" s="346">
        <v>2255735328.3800001</v>
      </c>
      <c r="E384" s="14">
        <f>B384-Index_Returns!W384</f>
        <v>8.0000000000002292E-4</v>
      </c>
    </row>
    <row r="385" spans="1:5" x14ac:dyDescent="0.2">
      <c r="A385" s="345">
        <v>39233</v>
      </c>
      <c r="B385" s="1369">
        <v>-0.76</v>
      </c>
      <c r="C385" s="346">
        <v>2238632443.4200001</v>
      </c>
      <c r="E385" s="14">
        <f>B385-Index_Returns!W385</f>
        <v>-2.0999999999999908E-3</v>
      </c>
    </row>
    <row r="386" spans="1:5" x14ac:dyDescent="0.2">
      <c r="A386" s="345">
        <v>39263</v>
      </c>
      <c r="B386" s="1369">
        <v>-0.3</v>
      </c>
      <c r="C386" s="346">
        <v>2231840092.77</v>
      </c>
      <c r="E386" s="14">
        <f>B386-Index_Returns!W386</f>
        <v>-4.1999999999999815E-3</v>
      </c>
    </row>
    <row r="387" spans="1:5" x14ac:dyDescent="0.2">
      <c r="A387" s="345">
        <v>39294</v>
      </c>
      <c r="B387" s="1369">
        <v>0.79</v>
      </c>
      <c r="C387" s="346">
        <v>2249413534</v>
      </c>
      <c r="E387" s="14">
        <f>B387-Index_Returns!W387</f>
        <v>-4.4099999999999917E-2</v>
      </c>
    </row>
    <row r="388" spans="1:5" x14ac:dyDescent="0.2">
      <c r="A388" s="345">
        <v>39325</v>
      </c>
      <c r="B388" s="1369">
        <v>1.19</v>
      </c>
      <c r="C388" s="346">
        <v>2276178211.3299999</v>
      </c>
      <c r="E388" s="14">
        <f>B388-Index_Returns!W388</f>
        <v>-3.5700000000000065E-2</v>
      </c>
    </row>
    <row r="389" spans="1:5" x14ac:dyDescent="0.2">
      <c r="A389" s="345">
        <v>39355</v>
      </c>
      <c r="B389" s="1369">
        <v>0.81</v>
      </c>
      <c r="C389" s="346">
        <v>2294731818.52</v>
      </c>
      <c r="E389" s="14">
        <f>B389-Index_Returns!W389</f>
        <v>5.1400000000000001E-2</v>
      </c>
    </row>
    <row r="390" spans="1:5" x14ac:dyDescent="0.2">
      <c r="A390" s="345">
        <v>39386</v>
      </c>
      <c r="B390" s="1369">
        <v>0.86</v>
      </c>
      <c r="C390" s="346">
        <v>2314554257.1700001</v>
      </c>
      <c r="E390" s="14">
        <f>B390-Index_Returns!W390</f>
        <v>-3.8300000000000001E-2</v>
      </c>
    </row>
    <row r="391" spans="1:5" x14ac:dyDescent="0.2">
      <c r="A391" s="345">
        <v>39416</v>
      </c>
      <c r="B391" s="1369">
        <v>1.69</v>
      </c>
      <c r="C391" s="346">
        <v>2353679383</v>
      </c>
      <c r="E391" s="14">
        <f>B391-Index_Returns!W391</f>
        <v>-0.10830000000000006</v>
      </c>
    </row>
    <row r="392" spans="1:5" x14ac:dyDescent="0.2">
      <c r="A392" s="345">
        <v>39447</v>
      </c>
      <c r="B392" s="1369">
        <v>0.37</v>
      </c>
      <c r="C392" s="346">
        <v>2362366007.3899999</v>
      </c>
      <c r="E392" s="14">
        <f>B392-Index_Returns!W392</f>
        <v>8.9100000000000013E-2</v>
      </c>
    </row>
    <row r="393" spans="1:5" x14ac:dyDescent="0.2">
      <c r="A393" s="345">
        <v>39478</v>
      </c>
      <c r="B393" s="1369">
        <v>1.62</v>
      </c>
      <c r="C393" s="346">
        <v>2400635073.3000002</v>
      </c>
      <c r="E393" s="14">
        <f>B393-Index_Returns!W393</f>
        <v>-5.9799999999999853E-2</v>
      </c>
    </row>
    <row r="394" spans="1:5" x14ac:dyDescent="0.2">
      <c r="A394" s="345">
        <v>39507</v>
      </c>
      <c r="B394" s="1369">
        <v>0.1</v>
      </c>
      <c r="C394" s="346">
        <v>2402941432.0900002</v>
      </c>
      <c r="E394" s="14">
        <f>B394-Index_Returns!W394</f>
        <v>-3.8800000000000001E-2</v>
      </c>
    </row>
    <row r="395" spans="1:5" x14ac:dyDescent="0.2">
      <c r="A395" s="345">
        <v>39538</v>
      </c>
      <c r="B395" s="1369">
        <v>0.32</v>
      </c>
      <c r="C395" s="346">
        <v>2410588523.6999998</v>
      </c>
      <c r="E395" s="14">
        <f>B395-Index_Returns!W395</f>
        <v>-2.1199999999999997E-2</v>
      </c>
    </row>
    <row r="396" spans="1:5" x14ac:dyDescent="0.2">
      <c r="A396" s="345">
        <v>39568</v>
      </c>
      <c r="B396" s="1369">
        <v>0</v>
      </c>
      <c r="C396" s="346">
        <v>2410554202.3299999</v>
      </c>
      <c r="E396" s="14">
        <f>B396-Index_Returns!W396</f>
        <v>0.20899999999999999</v>
      </c>
    </row>
    <row r="397" spans="1:5" x14ac:dyDescent="0.2">
      <c r="A397" s="345">
        <v>39599</v>
      </c>
      <c r="B397" s="1369">
        <v>-0.66</v>
      </c>
      <c r="C397" s="346">
        <v>2592801267.6100001</v>
      </c>
      <c r="E397" s="14">
        <f>B397-Index_Returns!W397</f>
        <v>7.3299999999999921E-2</v>
      </c>
    </row>
    <row r="398" spans="1:5" x14ac:dyDescent="0.2">
      <c r="A398" s="345">
        <v>39629</v>
      </c>
      <c r="B398" s="1369">
        <v>-0.03</v>
      </c>
      <c r="C398" s="346">
        <v>2591975466.1999998</v>
      </c>
      <c r="E398" s="14">
        <f>B398-Index_Returns!W398</f>
        <v>5.0799999999999998E-2</v>
      </c>
    </row>
    <row r="399" spans="1:5" x14ac:dyDescent="0.2">
      <c r="A399" s="345">
        <v>39660</v>
      </c>
      <c r="B399" s="1369">
        <v>0.02</v>
      </c>
      <c r="C399" s="33">
        <v>2567573178.8800001</v>
      </c>
      <c r="E399" s="14">
        <f>B399-Index_Returns!W399</f>
        <v>0.10160000000000001</v>
      </c>
    </row>
    <row r="400" spans="1:5" x14ac:dyDescent="0.2">
      <c r="A400" s="345">
        <v>39691</v>
      </c>
      <c r="B400" s="1369">
        <v>0.78</v>
      </c>
      <c r="C400" s="33">
        <v>2587622852.0599999</v>
      </c>
      <c r="E400" s="14">
        <f>B400-Index_Returns!W400</f>
        <v>-0.16910000000000003</v>
      </c>
    </row>
    <row r="401" spans="1:7" x14ac:dyDescent="0.2">
      <c r="A401" s="345">
        <v>39721</v>
      </c>
      <c r="B401" s="1369">
        <v>-1.31</v>
      </c>
      <c r="C401" s="33">
        <v>2553655788.7600002</v>
      </c>
      <c r="E401" s="14">
        <f>B401-Index_Returns!W401</f>
        <v>3.3199999999999896E-2</v>
      </c>
    </row>
    <row r="402" spans="1:7" x14ac:dyDescent="0.2">
      <c r="A402" s="345">
        <v>39752</v>
      </c>
      <c r="B402" s="1369">
        <v>-2.5499999999999998</v>
      </c>
      <c r="C402" s="346">
        <v>2408528241</v>
      </c>
      <c r="E402" s="14">
        <f>B402-Index_Returns!W402</f>
        <v>-0.18959999999999999</v>
      </c>
    </row>
    <row r="403" spans="1:7" x14ac:dyDescent="0.2">
      <c r="A403" s="345">
        <v>39782</v>
      </c>
      <c r="B403" s="1369">
        <v>2.9</v>
      </c>
      <c r="C403" s="346">
        <v>2478745138</v>
      </c>
      <c r="E403" s="14">
        <f>B403-Index_Returns!W403</f>
        <v>-0.35499999999999998</v>
      </c>
    </row>
    <row r="404" spans="1:7" x14ac:dyDescent="0.2">
      <c r="A404" s="345">
        <v>39813</v>
      </c>
      <c r="B404" s="1369">
        <v>4.12</v>
      </c>
      <c r="C404" s="346">
        <v>2580831041</v>
      </c>
      <c r="E404" s="14">
        <f>B404-Index_Returns!W404</f>
        <v>0.3891</v>
      </c>
    </row>
    <row r="405" spans="1:7" x14ac:dyDescent="0.2">
      <c r="A405" s="345">
        <v>39844</v>
      </c>
      <c r="B405" s="1369">
        <v>-1.07</v>
      </c>
      <c r="C405" s="346">
        <v>2553217624.3299999</v>
      </c>
      <c r="D405" s="258">
        <v>-1.0812999999999999</v>
      </c>
      <c r="E405" s="14">
        <f>B405-Index_Returns!W405</f>
        <v>-0.18770000000000009</v>
      </c>
    </row>
    <row r="406" spans="1:7" x14ac:dyDescent="0.2">
      <c r="A406" s="345">
        <v>39872</v>
      </c>
      <c r="B406" s="1369">
        <v>-0.3</v>
      </c>
      <c r="C406" s="346">
        <v>2545495470.7399998</v>
      </c>
      <c r="D406" s="258">
        <v>-0.3024</v>
      </c>
      <c r="E406" s="14">
        <f>B406-Index_Returns!W406</f>
        <v>7.7600000000000002E-2</v>
      </c>
    </row>
    <row r="407" spans="1:7" x14ac:dyDescent="0.2">
      <c r="A407" s="345">
        <v>39903</v>
      </c>
      <c r="B407" s="1369">
        <v>1.54</v>
      </c>
      <c r="C407" s="346">
        <v>2569752156.3200002</v>
      </c>
      <c r="D407" s="258">
        <v>1.5437000000000001</v>
      </c>
      <c r="E407" s="14">
        <f>B407-Index_Returns!W407</f>
        <v>0.14979999999999993</v>
      </c>
    </row>
    <row r="408" spans="1:7" x14ac:dyDescent="0.2">
      <c r="A408" s="345">
        <v>39933</v>
      </c>
      <c r="B408" s="1369">
        <v>0.95</v>
      </c>
      <c r="C408" s="346">
        <v>2594096515.48</v>
      </c>
      <c r="E408" s="14">
        <f>B408-Index_Returns!W408</f>
        <v>0.47139999999999993</v>
      </c>
    </row>
    <row r="409" spans="1:7" x14ac:dyDescent="0.2">
      <c r="A409" s="345">
        <v>39964</v>
      </c>
      <c r="B409" s="1369">
        <v>0.92</v>
      </c>
      <c r="C409" s="346">
        <v>2618009268.4000001</v>
      </c>
      <c r="E409" s="14">
        <f>B409-Index_Returns!W409</f>
        <v>0.19490000000000007</v>
      </c>
    </row>
    <row r="410" spans="1:7" x14ac:dyDescent="0.2">
      <c r="A410" s="345">
        <v>39994</v>
      </c>
      <c r="B410" s="1369">
        <v>0.6</v>
      </c>
      <c r="C410" s="346">
        <v>2633818616.98</v>
      </c>
      <c r="E410" s="14">
        <f>B410-Index_Returns!W410</f>
        <v>3.1599999999999961E-2</v>
      </c>
    </row>
    <row r="411" spans="1:7" x14ac:dyDescent="0.2">
      <c r="A411" s="345">
        <v>40025</v>
      </c>
      <c r="B411" s="1369">
        <v>2.0299999999999998</v>
      </c>
      <c r="C411" s="346">
        <v>2687315745.5500002</v>
      </c>
      <c r="D411" s="258">
        <v>2.0312000000000001</v>
      </c>
      <c r="E411" s="14">
        <f>B411-Index_Returns!W411</f>
        <v>0.41669999999999985</v>
      </c>
    </row>
    <row r="412" spans="1:7" x14ac:dyDescent="0.2">
      <c r="A412" s="345">
        <v>40056</v>
      </c>
      <c r="B412" s="1369">
        <v>0.98</v>
      </c>
      <c r="C412" s="346">
        <v>2713784441.9000001</v>
      </c>
      <c r="D412" s="258">
        <v>0.9849</v>
      </c>
      <c r="E412" s="14">
        <f>B412-Index_Returns!W412</f>
        <v>-5.5400000000000116E-2</v>
      </c>
    </row>
    <row r="413" spans="1:7" x14ac:dyDescent="0.2">
      <c r="A413" s="345">
        <v>40086</v>
      </c>
      <c r="B413" s="1369">
        <v>0.99</v>
      </c>
      <c r="C413" s="346">
        <v>2740539218.6999998</v>
      </c>
      <c r="D413" s="258">
        <v>0.9859</v>
      </c>
      <c r="E413" s="14">
        <f>B413-Index_Returns!W413</f>
        <v>-6.0699999999999976E-2</v>
      </c>
    </row>
    <row r="414" spans="1:7" x14ac:dyDescent="0.2">
      <c r="A414" s="345">
        <v>40117</v>
      </c>
      <c r="B414" s="1369">
        <v>0.54</v>
      </c>
      <c r="C414" s="346">
        <v>2755712099</v>
      </c>
      <c r="D414" s="1311">
        <v>0.54430999999999996</v>
      </c>
      <c r="E414" s="14">
        <f>B414-Index_Returns!W414</f>
        <v>5.0000000000000044E-2</v>
      </c>
      <c r="G414" s="1311"/>
    </row>
    <row r="415" spans="1:7" x14ac:dyDescent="0.2">
      <c r="A415" s="345">
        <v>40147</v>
      </c>
      <c r="B415" s="1369">
        <v>1.28</v>
      </c>
      <c r="C415" s="346">
        <v>2790914050</v>
      </c>
      <c r="D415" s="1311">
        <v>1.2777099999999999</v>
      </c>
      <c r="E415" s="14">
        <f>B415-Index_Returns!W415</f>
        <v>-1.4000000000000012E-2</v>
      </c>
      <c r="G415" s="1311"/>
    </row>
    <row r="416" spans="1:7" x14ac:dyDescent="0.2">
      <c r="A416" s="345">
        <v>40178</v>
      </c>
      <c r="B416" s="1369">
        <v>-1.34</v>
      </c>
      <c r="C416" s="346">
        <v>2753465725.1399999</v>
      </c>
      <c r="D416" s="1311">
        <v>-1.34273</v>
      </c>
      <c r="E416" s="14">
        <f>B416-Index_Returns!W416</f>
        <v>0.22350999999999988</v>
      </c>
      <c r="G416" s="1311"/>
    </row>
    <row r="417" spans="1:7" x14ac:dyDescent="0.2">
      <c r="A417" s="345">
        <v>40209</v>
      </c>
      <c r="B417" s="253">
        <v>1.52</v>
      </c>
      <c r="C417" s="346">
        <v>2795779222.1199999</v>
      </c>
      <c r="D417" s="1311">
        <v>1.51996</v>
      </c>
      <c r="E417" s="14">
        <f>B417-Index_Returns!W417</f>
        <v>-7.7799999999998981E-3</v>
      </c>
      <c r="G417" s="1311"/>
    </row>
    <row r="418" spans="1:7" x14ac:dyDescent="0.2">
      <c r="A418" s="345">
        <v>40237</v>
      </c>
      <c r="B418" s="253">
        <v>0.35</v>
      </c>
      <c r="C418" s="346">
        <v>2804588100.21</v>
      </c>
      <c r="D418" s="1311">
        <v>0.35078999999999999</v>
      </c>
      <c r="E418" s="14">
        <f>B418-Index_Returns!W418</f>
        <v>-2.3320000000000007E-2</v>
      </c>
      <c r="G418" s="1311"/>
    </row>
    <row r="419" spans="1:7" x14ac:dyDescent="0.2">
      <c r="A419" s="345">
        <v>40268</v>
      </c>
      <c r="B419" s="253">
        <v>-0.04</v>
      </c>
      <c r="C419" s="1334">
        <v>2803540724.6599998</v>
      </c>
      <c r="D419" s="1311">
        <v>-3.7350000000000001E-2</v>
      </c>
      <c r="E419" s="14">
        <f>B419-Index_Returns!W419</f>
        <v>8.2619999999999999E-2</v>
      </c>
      <c r="G419" s="1311"/>
    </row>
    <row r="420" spans="1:7" x14ac:dyDescent="0.2">
      <c r="A420" s="345">
        <v>40298</v>
      </c>
      <c r="B420" s="253">
        <v>0.97</v>
      </c>
      <c r="C420" s="346">
        <v>2830754100.54</v>
      </c>
      <c r="D420" s="258">
        <v>0.97067999999999999</v>
      </c>
      <c r="E420" s="14">
        <f>B420-Index_Returns!W420</f>
        <v>-7.0980000000000043E-2</v>
      </c>
      <c r="G420" s="1311"/>
    </row>
    <row r="421" spans="1:7" x14ac:dyDescent="0.2">
      <c r="A421" s="345">
        <v>40329</v>
      </c>
      <c r="B421" s="253">
        <v>0.67</v>
      </c>
      <c r="C421" s="346">
        <v>2849817802.5599999</v>
      </c>
      <c r="D421" s="258">
        <v>0.67344999999999999</v>
      </c>
      <c r="E421" s="14">
        <f>B421-Index_Returns!W421</f>
        <v>-0.17108000000000001</v>
      </c>
      <c r="G421" s="1311"/>
    </row>
    <row r="422" spans="1:7" x14ac:dyDescent="0.2">
      <c r="A422" s="345">
        <v>40359</v>
      </c>
      <c r="B422" s="253">
        <v>1.61</v>
      </c>
      <c r="C422" s="346">
        <v>2895733451.8699999</v>
      </c>
      <c r="D422" s="258">
        <v>1.6111800000000001</v>
      </c>
      <c r="E422" s="14">
        <f>B422-Index_Returns!W422</f>
        <v>4.1840000000000099E-2</v>
      </c>
      <c r="G422" s="1311"/>
    </row>
    <row r="423" spans="1:7" x14ac:dyDescent="0.2">
      <c r="A423" s="345">
        <v>40390</v>
      </c>
      <c r="B423" s="253">
        <v>0.97311999999999999</v>
      </c>
      <c r="C423" s="346">
        <v>2923912448.8400002</v>
      </c>
      <c r="D423" s="258">
        <v>0.97311999999999999</v>
      </c>
      <c r="E423" s="14">
        <f>B423-Index_Returns!W423</f>
        <v>-9.426000000000001E-2</v>
      </c>
      <c r="G423" s="1311"/>
    </row>
    <row r="424" spans="1:7" x14ac:dyDescent="0.2">
      <c r="A424" s="345">
        <v>40421</v>
      </c>
      <c r="B424" s="253">
        <v>1.4019900000000001</v>
      </c>
      <c r="C424" s="346">
        <v>2964905417.9000001</v>
      </c>
      <c r="D424" s="258">
        <v>1.4019900000000001</v>
      </c>
      <c r="E424" s="14">
        <f>B424-Index_Returns!W424</f>
        <v>0.11543999999999999</v>
      </c>
      <c r="G424" s="1311"/>
    </row>
    <row r="425" spans="1:7" x14ac:dyDescent="0.2">
      <c r="A425" s="345">
        <v>40451</v>
      </c>
      <c r="B425" s="253">
        <v>0.10767</v>
      </c>
      <c r="C425" s="346">
        <v>2968097254.96</v>
      </c>
      <c r="D425" s="258">
        <v>0.10765</v>
      </c>
      <c r="E425" s="14">
        <f>B425-Index_Returns!W425</f>
        <v>9.5000000000000639E-4</v>
      </c>
      <c r="G425" s="1311"/>
    </row>
    <row r="426" spans="1:7" x14ac:dyDescent="0.2">
      <c r="A426" s="345">
        <v>40482</v>
      </c>
      <c r="B426" s="258">
        <v>0.30740000000000001</v>
      </c>
      <c r="C426" s="346">
        <v>2977221182.0100002</v>
      </c>
      <c r="D426" s="258">
        <v>0.30740000000000001</v>
      </c>
      <c r="E426" s="14">
        <f>B426-Index_Returns!W426</f>
        <v>-4.8439999999999983E-2</v>
      </c>
      <c r="G426" s="1311"/>
    </row>
    <row r="427" spans="1:7" x14ac:dyDescent="0.2">
      <c r="A427" s="345">
        <v>40512</v>
      </c>
      <c r="B427" s="253">
        <f>D427</f>
        <v>-0.52788999999999997</v>
      </c>
      <c r="C427" s="346">
        <v>2961504668.1700001</v>
      </c>
      <c r="D427" s="258">
        <v>-0.52788999999999997</v>
      </c>
      <c r="E427" s="14">
        <f>B427-Index_Returns!W427</f>
        <v>4.6889999999999987E-2</v>
      </c>
      <c r="G427" s="1311"/>
    </row>
    <row r="428" spans="1:7" x14ac:dyDescent="0.2">
      <c r="A428" s="345">
        <v>40543</v>
      </c>
      <c r="B428" s="253">
        <v>-1.1508700000000001</v>
      </c>
      <c r="C428" s="346">
        <v>2927421606.8600001</v>
      </c>
      <c r="D428" s="258">
        <v>-1.1508700000000001</v>
      </c>
      <c r="E428" s="14">
        <f>B428-Index_Returns!W428</f>
        <v>-7.2550000000000114E-2</v>
      </c>
      <c r="G428" s="1311"/>
    </row>
    <row r="429" spans="1:7" x14ac:dyDescent="0.2">
      <c r="A429" s="345">
        <v>40574</v>
      </c>
      <c r="B429" s="253">
        <f>D429</f>
        <v>7.2400000000000006E-2</v>
      </c>
      <c r="C429" s="346">
        <v>2929539473.1100001</v>
      </c>
      <c r="D429" s="1311">
        <v>7.2400000000000006E-2</v>
      </c>
      <c r="E429" s="14">
        <f>B429-Index_Returns!W429</f>
        <v>-4.3749999999999997E-2</v>
      </c>
      <c r="G429" s="1311"/>
    </row>
    <row r="430" spans="1:7" x14ac:dyDescent="0.2">
      <c r="A430" s="345">
        <v>40602</v>
      </c>
      <c r="B430" s="253">
        <v>0.24797</v>
      </c>
      <c r="C430" s="346">
        <v>2936805402.79</v>
      </c>
      <c r="D430" s="258">
        <v>0.24797</v>
      </c>
      <c r="E430" s="14">
        <f>B430-Index_Returns!W430</f>
        <v>-2.260000000000012E-3</v>
      </c>
      <c r="G430" s="1311"/>
    </row>
    <row r="431" spans="1:7" x14ac:dyDescent="0.2">
      <c r="A431" s="345">
        <v>40633</v>
      </c>
      <c r="B431" s="253">
        <f>D431</f>
        <v>5.16E-2</v>
      </c>
      <c r="C431" s="346">
        <v>2888210148.96</v>
      </c>
      <c r="D431" s="258">
        <v>5.16E-2</v>
      </c>
      <c r="E431" s="14">
        <f>B431-Index_Returns!W431</f>
        <v>-3.6599999999999966E-3</v>
      </c>
      <c r="G431" s="1311"/>
    </row>
    <row r="432" spans="1:7" x14ac:dyDescent="0.2">
      <c r="A432" s="345">
        <v>40663</v>
      </c>
      <c r="B432" s="253">
        <f t="shared" ref="B432:B488" si="0">D432</f>
        <v>1.27962</v>
      </c>
      <c r="C432" s="346">
        <v>2925096910.3899999</v>
      </c>
      <c r="D432" s="1311">
        <v>1.27962</v>
      </c>
      <c r="E432" s="14">
        <f>B432-Index_Returns!W432</f>
        <v>1.0040000000000049E-2</v>
      </c>
      <c r="G432" s="1311"/>
    </row>
    <row r="433" spans="1:7" x14ac:dyDescent="0.2">
      <c r="A433" s="345">
        <v>40694</v>
      </c>
      <c r="B433" s="253">
        <f t="shared" si="0"/>
        <v>1.2528999999999999</v>
      </c>
      <c r="C433" s="346">
        <v>2961817928.5599999</v>
      </c>
      <c r="D433" s="258">
        <v>1.2528999999999999</v>
      </c>
      <c r="E433" s="14">
        <f>B433-Index_Returns!W433</f>
        <v>-5.229000000000017E-2</v>
      </c>
      <c r="G433" s="1311"/>
    </row>
    <row r="434" spans="1:7" x14ac:dyDescent="0.2">
      <c r="A434" s="345">
        <v>40724</v>
      </c>
      <c r="B434" s="253">
        <f t="shared" si="0"/>
        <v>-0.31448999999999999</v>
      </c>
      <c r="C434" s="346">
        <v>2952503349.6500001</v>
      </c>
      <c r="D434" s="258">
        <v>-0.31448999999999999</v>
      </c>
      <c r="E434" s="14">
        <f>B434-Index_Returns!W434</f>
        <v>-2.1569999999999978E-2</v>
      </c>
      <c r="G434" s="1311"/>
    </row>
    <row r="435" spans="1:7" x14ac:dyDescent="0.2">
      <c r="A435" s="345">
        <v>40755</v>
      </c>
      <c r="B435" s="253">
        <f t="shared" si="0"/>
        <v>1.5965</v>
      </c>
      <c r="C435" s="346">
        <v>2999879923.0900002</v>
      </c>
      <c r="D435" s="258">
        <v>1.5965</v>
      </c>
      <c r="E435" s="14">
        <f>B435-Index_Returns!W435</f>
        <v>9.6199999999999619E-3</v>
      </c>
      <c r="G435" s="1311"/>
    </row>
    <row r="436" spans="1:7" x14ac:dyDescent="0.2">
      <c r="A436" s="345">
        <v>40786</v>
      </c>
      <c r="B436" s="253">
        <f t="shared" si="0"/>
        <v>1.6292800000000001</v>
      </c>
      <c r="C436" s="346">
        <v>3028347693.2399998</v>
      </c>
      <c r="D436" s="258">
        <v>1.6292800000000001</v>
      </c>
      <c r="E436" s="14">
        <f>B436-Index_Returns!W436</f>
        <v>0.16820999999999997</v>
      </c>
      <c r="G436" s="1311"/>
    </row>
    <row r="437" spans="1:7" x14ac:dyDescent="0.2">
      <c r="A437" s="345">
        <v>40816</v>
      </c>
      <c r="B437" s="253">
        <f t="shared" si="0"/>
        <v>0.98606000000000005</v>
      </c>
      <c r="C437" s="346">
        <v>3058209042.4899998</v>
      </c>
      <c r="D437" s="258">
        <v>0.98606000000000005</v>
      </c>
      <c r="E437" s="14">
        <f>B437-Index_Returns!W437</f>
        <v>0.2588100000000001</v>
      </c>
      <c r="G437" s="1311"/>
    </row>
    <row r="438" spans="1:7" x14ac:dyDescent="0.2">
      <c r="A438" s="345">
        <v>40847</v>
      </c>
      <c r="B438" s="253">
        <f t="shared" si="0"/>
        <v>2.1049999999999999E-2</v>
      </c>
      <c r="C438" s="346">
        <v>3058879814.3899999</v>
      </c>
      <c r="D438" s="1311">
        <v>2.1049999999999999E-2</v>
      </c>
      <c r="E438" s="14">
        <f>B438-Index_Returns!W438</f>
        <v>-8.6599999999999996E-2</v>
      </c>
      <c r="G438" s="1311"/>
    </row>
    <row r="439" spans="1:7" x14ac:dyDescent="0.2">
      <c r="A439" s="345">
        <v>40877</v>
      </c>
      <c r="B439" s="253">
        <f t="shared" si="0"/>
        <v>-3.124E-2</v>
      </c>
      <c r="C439" s="346">
        <v>3057897225.21</v>
      </c>
      <c r="D439" s="258">
        <v>-3.124E-2</v>
      </c>
      <c r="E439" s="14">
        <f>B439-Index_Returns!W439</f>
        <v>5.5669999999999997E-2</v>
      </c>
      <c r="G439" s="1311"/>
    </row>
    <row r="440" spans="1:7" x14ac:dyDescent="0.2">
      <c r="A440" s="345">
        <v>40908</v>
      </c>
      <c r="B440" s="253">
        <f t="shared" si="0"/>
        <v>1.1130500000000001</v>
      </c>
      <c r="C440" s="346">
        <v>3046689766.3000002</v>
      </c>
      <c r="D440" s="258">
        <v>1.1130500000000001</v>
      </c>
      <c r="E440" s="14">
        <f>B440-Index_Returns!W440</f>
        <v>1.3929999999999998E-2</v>
      </c>
      <c r="G440" s="1311"/>
    </row>
    <row r="441" spans="1:7" x14ac:dyDescent="0.2">
      <c r="A441" s="345">
        <v>40939</v>
      </c>
      <c r="B441" s="253">
        <f t="shared" si="0"/>
        <v>0.92634000000000005</v>
      </c>
      <c r="C441" s="346">
        <v>3074912484.9200001</v>
      </c>
      <c r="D441" s="258">
        <v>0.92634000000000005</v>
      </c>
      <c r="E441" s="14">
        <f>B441-Index_Returns!W441</f>
        <v>4.8700000000000077E-2</v>
      </c>
      <c r="G441" s="1311"/>
    </row>
    <row r="442" spans="1:7" x14ac:dyDescent="0.2">
      <c r="A442" s="345">
        <v>40968</v>
      </c>
      <c r="B442" s="253">
        <f t="shared" si="0"/>
        <v>6.4479999999999996E-2</v>
      </c>
      <c r="C442" s="346">
        <v>3076895059.5599999</v>
      </c>
      <c r="D442" s="258">
        <v>6.4479999999999996E-2</v>
      </c>
      <c r="E442" s="14">
        <f>B442-Index_Returns!W442</f>
        <v>8.7289999999999993E-2</v>
      </c>
      <c r="G442" s="1311"/>
    </row>
    <row r="443" spans="1:7" x14ac:dyDescent="0.2">
      <c r="A443" s="345">
        <v>40999</v>
      </c>
      <c r="B443" s="253">
        <f t="shared" si="0"/>
        <v>-0.46811000000000003</v>
      </c>
      <c r="C443" s="346">
        <v>3062491804.5100002</v>
      </c>
      <c r="D443" s="258">
        <v>-0.46811000000000003</v>
      </c>
      <c r="E443" s="14">
        <f>B443-Index_Returns!W443</f>
        <v>7.9820000000000002E-2</v>
      </c>
      <c r="G443" s="1311"/>
    </row>
    <row r="444" spans="1:7" x14ac:dyDescent="0.2">
      <c r="A444" s="345">
        <v>41029</v>
      </c>
      <c r="B444" s="253">
        <f t="shared" si="0"/>
        <v>1.0880099999999999</v>
      </c>
      <c r="C444" s="346">
        <v>3095812119.8200002</v>
      </c>
      <c r="D444" s="258">
        <v>1.0880099999999999</v>
      </c>
      <c r="E444" s="14">
        <f>B444-Index_Returns!W444</f>
        <v>-2.0890000000000075E-2</v>
      </c>
      <c r="G444" s="1311"/>
    </row>
    <row r="445" spans="1:7" x14ac:dyDescent="0.2">
      <c r="A445" s="345">
        <v>41060</v>
      </c>
      <c r="B445" s="253">
        <f t="shared" si="0"/>
        <v>0.86043000000000003</v>
      </c>
      <c r="C445" s="346">
        <v>3122449403.9499998</v>
      </c>
      <c r="D445" s="258">
        <v>0.86043000000000003</v>
      </c>
      <c r="E445" s="14">
        <f>B445-Index_Returns!W445</f>
        <v>-4.4229999999999992E-2</v>
      </c>
      <c r="G445" s="1311"/>
    </row>
    <row r="446" spans="1:7" x14ac:dyDescent="0.2">
      <c r="A446" s="345">
        <v>41090</v>
      </c>
      <c r="B446" s="253">
        <f t="shared" si="0"/>
        <v>9.0959999999999999E-2</v>
      </c>
      <c r="C446" s="346">
        <v>3080220155.0599999</v>
      </c>
      <c r="D446" s="258">
        <v>9.0959999999999999E-2</v>
      </c>
      <c r="E446" s="14">
        <f>B446-Index_Returns!W446</f>
        <v>5.1729999999999998E-2</v>
      </c>
      <c r="G446" s="1311"/>
    </row>
    <row r="447" spans="1:7" x14ac:dyDescent="0.2">
      <c r="A447" s="345">
        <v>41121</v>
      </c>
      <c r="B447" s="253">
        <f t="shared" si="0"/>
        <v>1.3264899999999999</v>
      </c>
      <c r="C447" s="346">
        <v>3060283011.29</v>
      </c>
      <c r="D447" s="258">
        <v>1.3264899999999999</v>
      </c>
      <c r="E447" s="14">
        <f>B447-Index_Returns!W447</f>
        <v>-5.2920000000000078E-2</v>
      </c>
      <c r="G447" s="1311"/>
    </row>
    <row r="448" spans="1:7" x14ac:dyDescent="0.2">
      <c r="A448" s="345">
        <v>41152</v>
      </c>
      <c r="B448" s="253">
        <f t="shared" si="0"/>
        <v>9.4020000000000006E-2</v>
      </c>
      <c r="C448" s="346">
        <v>3023121500.75</v>
      </c>
      <c r="D448" s="258">
        <v>9.4020000000000006E-2</v>
      </c>
      <c r="E448" s="14">
        <f>B448-Index_Returns!W448</f>
        <v>2.8560000000000002E-2</v>
      </c>
      <c r="G448" s="1311"/>
    </row>
    <row r="449" spans="1:7" x14ac:dyDescent="0.2">
      <c r="A449" s="345">
        <v>41182</v>
      </c>
      <c r="B449" s="253">
        <f t="shared" si="0"/>
        <v>0.13950000000000001</v>
      </c>
      <c r="C449" s="346">
        <v>3027338679.23</v>
      </c>
      <c r="D449" s="258">
        <v>0.13950000000000001</v>
      </c>
      <c r="E449" s="14">
        <f>B449-Index_Returns!W449</f>
        <v>2.2800000000000042E-3</v>
      </c>
      <c r="G449" s="1311"/>
    </row>
    <row r="450" spans="1:7" x14ac:dyDescent="0.2">
      <c r="A450" s="345">
        <v>41213</v>
      </c>
      <c r="B450" s="253">
        <f t="shared" si="0"/>
        <v>0.18992000000000001</v>
      </c>
      <c r="C450" s="346">
        <v>2972932834.5799999</v>
      </c>
      <c r="D450" s="258">
        <v>0.18992000000000001</v>
      </c>
      <c r="E450" s="14">
        <f>B450-Index_Returns!W450</f>
        <v>-6.7699999999999982E-3</v>
      </c>
      <c r="G450" s="1311"/>
    </row>
    <row r="451" spans="1:7" x14ac:dyDescent="0.2">
      <c r="A451" s="345">
        <v>41243</v>
      </c>
      <c r="B451" s="253">
        <f t="shared" si="0"/>
        <v>0.19620000000000001</v>
      </c>
      <c r="C451" s="346">
        <v>2728496550.7600002</v>
      </c>
      <c r="D451" s="258">
        <v>0.19620000000000001</v>
      </c>
      <c r="E451" s="14">
        <f>B451-Index_Returns!W451</f>
        <v>3.8370000000000015E-2</v>
      </c>
      <c r="G451" s="1311"/>
    </row>
    <row r="452" spans="1:7" x14ac:dyDescent="0.2">
      <c r="A452" s="345">
        <v>41274</v>
      </c>
      <c r="B452" s="253">
        <f t="shared" si="0"/>
        <v>-0.31606000000000001</v>
      </c>
      <c r="C452" s="346">
        <v>2241161750.7600002</v>
      </c>
      <c r="D452" s="258">
        <v>-0.31606000000000001</v>
      </c>
      <c r="E452" s="14">
        <f>B452-Index_Returns!W452</f>
        <v>-0.17367000000000002</v>
      </c>
      <c r="G452" s="1311"/>
    </row>
    <row r="453" spans="1:7" x14ac:dyDescent="0.2">
      <c r="A453" s="345">
        <v>41305</v>
      </c>
      <c r="B453" s="253">
        <f t="shared" si="0"/>
        <v>-0.66200999999999999</v>
      </c>
      <c r="C453" s="346">
        <v>2176398380.5999999</v>
      </c>
      <c r="D453" s="258">
        <v>-0.66200999999999999</v>
      </c>
      <c r="E453" s="14">
        <f>B453-Index_Returns!W453</f>
        <v>3.7390000000000034E-2</v>
      </c>
      <c r="G453" s="1311"/>
    </row>
    <row r="454" spans="1:7" x14ac:dyDescent="0.2">
      <c r="A454" s="345">
        <v>41333</v>
      </c>
      <c r="B454" s="253">
        <f t="shared" si="0"/>
        <v>0.54484999999999995</v>
      </c>
      <c r="C454" s="346">
        <v>2111239526.6099999</v>
      </c>
      <c r="D454" s="258">
        <v>0.54484999999999995</v>
      </c>
      <c r="E454" s="14">
        <f>B454-Index_Returns!W454</f>
        <v>4.3379999999999974E-2</v>
      </c>
      <c r="G454" s="1311"/>
    </row>
    <row r="455" spans="1:7" x14ac:dyDescent="0.2">
      <c r="A455" s="345">
        <v>41364</v>
      </c>
      <c r="B455" s="253">
        <f t="shared" si="0"/>
        <v>0.124</v>
      </c>
      <c r="C455" s="346">
        <v>2103847347.78</v>
      </c>
      <c r="D455" s="258">
        <v>0.124</v>
      </c>
      <c r="E455" s="14">
        <f>B455-Index_Returns!W455</f>
        <v>4.4219999999999995E-2</v>
      </c>
      <c r="G455" s="1311"/>
    </row>
    <row r="456" spans="1:7" x14ac:dyDescent="0.2">
      <c r="A456" s="345">
        <v>41394</v>
      </c>
      <c r="B456" s="253">
        <f t="shared" si="0"/>
        <v>0.85941999999999996</v>
      </c>
      <c r="C456" s="346">
        <v>2121928208.75</v>
      </c>
      <c r="D456" s="258">
        <v>0.85941999999999996</v>
      </c>
      <c r="E456" s="14">
        <f>B456-Index_Returns!W456</f>
        <v>-0.15269999999999995</v>
      </c>
      <c r="G456" s="1311"/>
    </row>
    <row r="457" spans="1:7" x14ac:dyDescent="0.2">
      <c r="A457" s="345">
        <v>41425</v>
      </c>
      <c r="B457" s="253">
        <f t="shared" si="0"/>
        <v>-1.5476000000000001</v>
      </c>
      <c r="C457" s="346">
        <v>2089082272.78</v>
      </c>
      <c r="D457" s="1311">
        <v>-1.5476000000000001</v>
      </c>
      <c r="E457" s="14">
        <f>B457-Index_Returns!W457</f>
        <v>0.23698999999999981</v>
      </c>
      <c r="G457" s="1311"/>
    </row>
    <row r="458" spans="1:7" x14ac:dyDescent="0.2">
      <c r="A458" s="345">
        <v>41455</v>
      </c>
      <c r="B458" s="253">
        <f t="shared" si="0"/>
        <v>-1.4512700000000001</v>
      </c>
      <c r="C458" s="1307">
        <v>1949188513.53</v>
      </c>
      <c r="D458" s="1311">
        <v>-1.4512700000000001</v>
      </c>
      <c r="E458" s="14">
        <f>B458-Index_Returns!W458</f>
        <v>9.5329999999999915E-2</v>
      </c>
      <c r="G458" s="1311"/>
    </row>
    <row r="459" spans="1:7" x14ac:dyDescent="0.2">
      <c r="A459" s="345">
        <v>41486</v>
      </c>
      <c r="B459" s="253">
        <f t="shared" si="0"/>
        <v>0.20860000000000001</v>
      </c>
      <c r="C459" s="346">
        <v>1953170908.6500001</v>
      </c>
      <c r="D459" s="258">
        <v>0.20860000000000001</v>
      </c>
      <c r="E459" s="14">
        <f>B459-Index_Returns!W459</f>
        <v>7.1940000000000004E-2</v>
      </c>
      <c r="G459" s="1311"/>
    </row>
    <row r="460" spans="1:7" x14ac:dyDescent="0.2">
      <c r="A460" s="345">
        <v>41517</v>
      </c>
      <c r="B460" s="253">
        <f t="shared" si="0"/>
        <v>-0.43445</v>
      </c>
      <c r="C460" s="346">
        <v>1944685431.3699999</v>
      </c>
      <c r="D460" s="258">
        <v>-0.43445</v>
      </c>
      <c r="E460" s="14">
        <f>B460-Index_Returns!W460</f>
        <v>7.6990000000000003E-2</v>
      </c>
    </row>
    <row r="461" spans="1:7" x14ac:dyDescent="0.2">
      <c r="A461" s="345">
        <v>41547</v>
      </c>
      <c r="B461" s="253">
        <f t="shared" si="0"/>
        <v>0.89071</v>
      </c>
      <c r="C461" s="346">
        <v>1833598507.2</v>
      </c>
      <c r="D461" s="258">
        <v>0.89071</v>
      </c>
      <c r="E461" s="14">
        <f>B461-Index_Returns!W461</f>
        <v>-5.6019999999999959E-2</v>
      </c>
    </row>
    <row r="462" spans="1:7" x14ac:dyDescent="0.2">
      <c r="A462" s="345">
        <v>41578</v>
      </c>
      <c r="B462" s="253">
        <f t="shared" si="0"/>
        <v>0.79400999999999999</v>
      </c>
      <c r="C462" s="346">
        <v>1813010466.3</v>
      </c>
      <c r="D462" s="258">
        <v>0.79400999999999999</v>
      </c>
      <c r="E462" s="14">
        <f>B462-Index_Returns!W462</f>
        <v>-1.4410000000000034E-2</v>
      </c>
    </row>
    <row r="463" spans="1:7" x14ac:dyDescent="0.2">
      <c r="A463" s="345">
        <v>41608</v>
      </c>
      <c r="B463" s="253">
        <f t="shared" si="0"/>
        <v>-0.23044999999999999</v>
      </c>
      <c r="C463" s="346">
        <v>1778880393.4000001</v>
      </c>
      <c r="D463" s="258">
        <v>-0.23044999999999999</v>
      </c>
      <c r="E463" s="14">
        <f>B463-Index_Returns!W463</f>
        <v>0.14357999999999999</v>
      </c>
    </row>
    <row r="464" spans="1:7" x14ac:dyDescent="0.2">
      <c r="A464" s="345">
        <v>41639</v>
      </c>
      <c r="B464" s="253">
        <f t="shared" si="0"/>
        <v>-0.48465999999999998</v>
      </c>
      <c r="C464" s="346">
        <v>1770258964.9300001</v>
      </c>
      <c r="D464" s="258">
        <v>-0.48465999999999998</v>
      </c>
      <c r="E464" s="14">
        <f>B464-Index_Returns!W464</f>
        <v>8.0490000000000061E-2</v>
      </c>
    </row>
    <row r="465" spans="1:5" x14ac:dyDescent="0.2">
      <c r="A465" s="345">
        <v>41670</v>
      </c>
      <c r="B465" s="253">
        <f t="shared" si="0"/>
        <v>1.4351499999999999</v>
      </c>
      <c r="C465" s="346">
        <v>1795664770.04</v>
      </c>
      <c r="D465" s="258">
        <v>1.4351499999999999</v>
      </c>
      <c r="E465" s="14">
        <f>B465-Index_Returns!W465</f>
        <v>-4.2399999999999993E-2</v>
      </c>
    </row>
    <row r="466" spans="1:5" x14ac:dyDescent="0.2">
      <c r="A466" s="345">
        <v>41698</v>
      </c>
      <c r="B466" s="253">
        <f t="shared" si="0"/>
        <v>0.47854000000000002</v>
      </c>
      <c r="C466" s="346">
        <v>1944442082.5699999</v>
      </c>
      <c r="D466" s="258">
        <v>0.47854000000000002</v>
      </c>
      <c r="E466" s="14">
        <f>B466-Index_Returns!W466</f>
        <v>-5.2920000000000023E-2</v>
      </c>
    </row>
    <row r="467" spans="1:5" x14ac:dyDescent="0.2">
      <c r="A467" s="345">
        <v>41729</v>
      </c>
      <c r="B467" s="253">
        <f t="shared" si="0"/>
        <v>-0.18139</v>
      </c>
      <c r="C467" s="346">
        <v>1940915152.6400001</v>
      </c>
      <c r="D467" s="258">
        <v>-0.18139</v>
      </c>
      <c r="E467" s="14">
        <f>B467-Index_Returns!W467</f>
        <v>-1.1059999999999987E-2</v>
      </c>
    </row>
    <row r="468" spans="1:5" x14ac:dyDescent="0.2">
      <c r="A468" s="345">
        <v>41759</v>
      </c>
      <c r="B468" s="253">
        <f t="shared" si="0"/>
        <v>0.80767</v>
      </c>
      <c r="C468" s="346">
        <v>1956591158.8099999</v>
      </c>
      <c r="D468" s="258">
        <v>0.80767</v>
      </c>
      <c r="E468" s="14">
        <f>B468-Index_Returns!W468</f>
        <v>-3.6460000000000048E-2</v>
      </c>
    </row>
    <row r="469" spans="1:5" x14ac:dyDescent="0.2">
      <c r="A469" s="345">
        <v>41790</v>
      </c>
      <c r="B469" s="253">
        <f t="shared" si="0"/>
        <v>1.0822000000000001</v>
      </c>
      <c r="C469" s="346">
        <v>1977765462.1900001</v>
      </c>
      <c r="D469" s="258">
        <v>1.0822000000000001</v>
      </c>
      <c r="E469" s="14">
        <f>B469-Index_Returns!W469</f>
        <v>-5.6039999999999868E-2</v>
      </c>
    </row>
    <row r="470" spans="1:5" x14ac:dyDescent="0.2">
      <c r="A470" s="345">
        <v>41820</v>
      </c>
      <c r="B470" s="253">
        <f t="shared" si="0"/>
        <v>0.11225</v>
      </c>
      <c r="C470" s="346">
        <v>1979985296.4000001</v>
      </c>
      <c r="D470" s="258">
        <v>0.11225</v>
      </c>
      <c r="E470" s="14">
        <f>B470-Index_Returns!W470</f>
        <v>6.0590000000000005E-2</v>
      </c>
    </row>
    <row r="471" spans="1:5" x14ac:dyDescent="0.2">
      <c r="A471" s="345">
        <v>41851</v>
      </c>
      <c r="B471" s="253">
        <f t="shared" si="0"/>
        <v>-0.25115999999999999</v>
      </c>
      <c r="C471" s="346">
        <v>1915213219.4349999</v>
      </c>
      <c r="D471" s="258">
        <v>-0.25115999999999999</v>
      </c>
      <c r="E471" s="14">
        <f>B471-Index_Returns!W471</f>
        <v>-2.9999999999996696E-4</v>
      </c>
    </row>
    <row r="472" spans="1:5" x14ac:dyDescent="0.2">
      <c r="A472" s="345">
        <v>41882</v>
      </c>
      <c r="B472" s="253">
        <f t="shared" si="0"/>
        <v>1.0404199999999999</v>
      </c>
      <c r="C472" s="346">
        <v>1935139382.6700001</v>
      </c>
      <c r="D472" s="258">
        <v>1.0404199999999999</v>
      </c>
      <c r="E472" s="14">
        <f>B472-Index_Returns!W472</f>
        <v>-6.3610000000000166E-2</v>
      </c>
    </row>
    <row r="473" spans="1:5" x14ac:dyDescent="0.2">
      <c r="A473" s="345">
        <v>41912</v>
      </c>
      <c r="B473" s="253">
        <f t="shared" si="0"/>
        <v>0</v>
      </c>
      <c r="E473" s="14">
        <f>B473-Index_Returns!W473</f>
        <v>0</v>
      </c>
    </row>
    <row r="474" spans="1:5" x14ac:dyDescent="0.2">
      <c r="A474" s="345">
        <v>41943</v>
      </c>
      <c r="B474" s="253">
        <f t="shared" si="0"/>
        <v>0</v>
      </c>
      <c r="E474" s="14">
        <f>B474-Index_Returns!W474</f>
        <v>0</v>
      </c>
    </row>
    <row r="475" spans="1:5" x14ac:dyDescent="0.2">
      <c r="A475" s="345">
        <v>41973</v>
      </c>
      <c r="B475" s="253">
        <f t="shared" si="0"/>
        <v>0</v>
      </c>
      <c r="E475" s="14">
        <f>B475-Index_Returns!W475</f>
        <v>0</v>
      </c>
    </row>
    <row r="476" spans="1:5" x14ac:dyDescent="0.2">
      <c r="A476" s="345">
        <v>42004</v>
      </c>
      <c r="B476" s="253">
        <f t="shared" si="0"/>
        <v>0</v>
      </c>
      <c r="E476" s="14">
        <f>B476-Index_Returns!W476</f>
        <v>0</v>
      </c>
    </row>
    <row r="477" spans="1:5" x14ac:dyDescent="0.2">
      <c r="A477" s="345">
        <v>42035</v>
      </c>
      <c r="B477" s="253">
        <f t="shared" si="0"/>
        <v>0</v>
      </c>
      <c r="E477" s="14">
        <f>B477-Index_Returns!W477</f>
        <v>0</v>
      </c>
    </row>
    <row r="478" spans="1:5" x14ac:dyDescent="0.2">
      <c r="A478" s="345">
        <v>42063</v>
      </c>
      <c r="B478" s="253">
        <f t="shared" si="0"/>
        <v>0</v>
      </c>
      <c r="E478" s="14">
        <f>B478-Index_Returns!W478</f>
        <v>0</v>
      </c>
    </row>
    <row r="479" spans="1:5" x14ac:dyDescent="0.2">
      <c r="A479" s="345">
        <v>42094</v>
      </c>
      <c r="B479" s="253">
        <f t="shared" si="0"/>
        <v>0</v>
      </c>
      <c r="E479" s="14">
        <f>B479-Index_Returns!W479</f>
        <v>0</v>
      </c>
    </row>
    <row r="480" spans="1:5" x14ac:dyDescent="0.2">
      <c r="A480" s="345">
        <v>42124</v>
      </c>
      <c r="B480" s="253">
        <f t="shared" si="0"/>
        <v>0</v>
      </c>
      <c r="E480" s="14">
        <f>B480-Index_Returns!W480</f>
        <v>0</v>
      </c>
    </row>
    <row r="481" spans="1:5" x14ac:dyDescent="0.2">
      <c r="A481" s="345">
        <v>42155</v>
      </c>
      <c r="B481" s="253">
        <f t="shared" si="0"/>
        <v>0</v>
      </c>
      <c r="E481" s="14">
        <f>B481-Index_Returns!W481</f>
        <v>0</v>
      </c>
    </row>
    <row r="482" spans="1:5" x14ac:dyDescent="0.2">
      <c r="A482" s="345">
        <v>42185</v>
      </c>
      <c r="B482" s="253">
        <f t="shared" si="0"/>
        <v>0</v>
      </c>
      <c r="E482" s="14">
        <f>B482-Index_Returns!W482</f>
        <v>0</v>
      </c>
    </row>
    <row r="483" spans="1:5" x14ac:dyDescent="0.2">
      <c r="A483" s="345">
        <v>42216</v>
      </c>
      <c r="B483" s="253">
        <f t="shared" si="0"/>
        <v>0</v>
      </c>
      <c r="E483" s="14">
        <f>B483-Index_Returns!W483</f>
        <v>0</v>
      </c>
    </row>
    <row r="484" spans="1:5" x14ac:dyDescent="0.2">
      <c r="A484" s="345">
        <v>42247</v>
      </c>
      <c r="B484" s="253">
        <f t="shared" si="0"/>
        <v>0</v>
      </c>
      <c r="E484" s="14">
        <f>B484-Index_Returns!W484</f>
        <v>0</v>
      </c>
    </row>
    <row r="485" spans="1:5" x14ac:dyDescent="0.2">
      <c r="A485" s="345">
        <v>42277</v>
      </c>
      <c r="B485" s="253">
        <f t="shared" si="0"/>
        <v>0</v>
      </c>
      <c r="E485" s="14">
        <f>B485-Index_Returns!W485</f>
        <v>0</v>
      </c>
    </row>
    <row r="486" spans="1:5" x14ac:dyDescent="0.2">
      <c r="A486" s="345">
        <v>42308</v>
      </c>
      <c r="B486" s="253">
        <f t="shared" si="0"/>
        <v>0</v>
      </c>
      <c r="E486" s="14">
        <f>B486-Index_Returns!W486</f>
        <v>0</v>
      </c>
    </row>
    <row r="487" spans="1:5" x14ac:dyDescent="0.2">
      <c r="A487" s="345">
        <v>42338</v>
      </c>
      <c r="B487" s="253">
        <f t="shared" si="0"/>
        <v>0</v>
      </c>
      <c r="E487" s="14">
        <f>B487-Index_Returns!W487</f>
        <v>0</v>
      </c>
    </row>
    <row r="488" spans="1:5" x14ac:dyDescent="0.2">
      <c r="A488" s="345">
        <v>42369</v>
      </c>
      <c r="B488" s="253">
        <f t="shared" si="0"/>
        <v>0</v>
      </c>
      <c r="E488" s="14">
        <f>B488-Index_Returns!W488</f>
        <v>0</v>
      </c>
    </row>
  </sheetData>
  <phoneticPr fontId="3" type="noConversion"/>
  <printOptions headings="1" gridLines="1"/>
  <pageMargins left="0.75" right="0.75" top="1" bottom="1" header="0.5" footer="0.5"/>
  <pageSetup scale="12" orientation="portrait" r:id="rId1"/>
  <headerFooter alignWithMargins="0">
    <oddHeader>&amp;L&amp;A</oddHead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88"/>
  <sheetViews>
    <sheetView workbookViewId="0">
      <pane xSplit="1" ySplit="2" topLeftCell="B462" activePane="bottomRight" state="frozen"/>
      <selection pane="topRight" activeCell="B1" sqref="B1"/>
      <selection pane="bottomLeft" activeCell="A3" sqref="A3"/>
      <selection pane="bottomRight" activeCell="C472" sqref="C472:D472"/>
    </sheetView>
  </sheetViews>
  <sheetFormatPr defaultRowHeight="12.75" x14ac:dyDescent="0.2"/>
  <cols>
    <col min="1" max="1" width="18.7109375" style="1308" customWidth="1"/>
    <col min="2" max="2" width="18.7109375" style="1309" customWidth="1"/>
    <col min="3" max="3" width="18.7109375" style="1307" customWidth="1"/>
    <col min="4" max="4" width="18.7109375" style="1306" customWidth="1"/>
    <col min="5" max="5" width="9.140625" style="1301"/>
    <col min="6" max="6" width="12.42578125" style="1266" bestFit="1" customWidth="1"/>
    <col min="7" max="8" width="9.140625" style="1301"/>
    <col min="9" max="16384" width="9.140625" style="1266"/>
  </cols>
  <sheetData>
    <row r="1" spans="1:6" s="1266" customFormat="1" x14ac:dyDescent="0.2">
      <c r="A1" s="1289" t="s">
        <v>943</v>
      </c>
      <c r="B1" s="1467"/>
      <c r="C1" s="1284" t="str">
        <f>"A1VI"</f>
        <v>A1VI</v>
      </c>
      <c r="D1" s="1466"/>
      <c r="E1" s="1301"/>
      <c r="F1" s="1284"/>
    </row>
    <row r="2" spans="1:6" s="1266" customFormat="1" x14ac:dyDescent="0.2">
      <c r="A2" s="1291" t="s">
        <v>27</v>
      </c>
      <c r="B2" s="1292" t="s">
        <v>91</v>
      </c>
      <c r="C2" s="1294" t="s">
        <v>92</v>
      </c>
      <c r="D2" s="1292" t="s">
        <v>90</v>
      </c>
      <c r="E2" s="1374" t="s">
        <v>80</v>
      </c>
    </row>
    <row r="3" spans="1:6" s="1266" customFormat="1" x14ac:dyDescent="0.2">
      <c r="A3" s="1293">
        <v>27606</v>
      </c>
      <c r="B3" s="1292"/>
      <c r="C3" s="1294"/>
      <c r="D3" s="1292"/>
      <c r="E3" s="1301"/>
    </row>
    <row r="4" spans="1:6" s="1266" customFormat="1" x14ac:dyDescent="0.2">
      <c r="A4" s="1293">
        <v>27637</v>
      </c>
      <c r="B4" s="1292"/>
      <c r="C4" s="1294"/>
      <c r="D4" s="1292"/>
      <c r="E4" s="1301"/>
    </row>
    <row r="5" spans="1:6" s="1266" customFormat="1" x14ac:dyDescent="0.2">
      <c r="A5" s="1293">
        <v>27667</v>
      </c>
      <c r="B5" s="1292"/>
      <c r="C5" s="1294"/>
      <c r="D5" s="1292"/>
      <c r="E5" s="1301"/>
    </row>
    <row r="6" spans="1:6" s="1266" customFormat="1" x14ac:dyDescent="0.2">
      <c r="A6" s="1293">
        <v>27698</v>
      </c>
      <c r="B6" s="1292"/>
      <c r="C6" s="1294"/>
      <c r="D6" s="1292"/>
      <c r="E6" s="1301"/>
    </row>
    <row r="7" spans="1:6" s="1266" customFormat="1" x14ac:dyDescent="0.2">
      <c r="A7" s="1293">
        <v>27728</v>
      </c>
      <c r="B7" s="1292"/>
      <c r="C7" s="1294"/>
      <c r="D7" s="1292"/>
      <c r="E7" s="1301"/>
    </row>
    <row r="8" spans="1:6" s="1266" customFormat="1" x14ac:dyDescent="0.2">
      <c r="A8" s="1293">
        <v>27759</v>
      </c>
      <c r="B8" s="1292"/>
      <c r="C8" s="1294"/>
      <c r="D8" s="1292"/>
      <c r="E8" s="1301"/>
    </row>
    <row r="9" spans="1:6" s="1266" customFormat="1" x14ac:dyDescent="0.2">
      <c r="A9" s="1293">
        <v>27790</v>
      </c>
      <c r="B9" s="1292"/>
      <c r="C9" s="1294"/>
      <c r="D9" s="1292"/>
      <c r="E9" s="1301"/>
    </row>
    <row r="10" spans="1:6" s="1266" customFormat="1" x14ac:dyDescent="0.2">
      <c r="A10" s="1293">
        <v>27819</v>
      </c>
      <c r="B10" s="1292"/>
      <c r="C10" s="1294"/>
      <c r="D10" s="1292"/>
      <c r="E10" s="1301"/>
    </row>
    <row r="11" spans="1:6" s="1266" customFormat="1" x14ac:dyDescent="0.2">
      <c r="A11" s="1293">
        <v>27850</v>
      </c>
      <c r="B11" s="1292"/>
      <c r="C11" s="1294"/>
      <c r="D11" s="1292"/>
      <c r="E11" s="1301"/>
    </row>
    <row r="12" spans="1:6" s="1266" customFormat="1" x14ac:dyDescent="0.2">
      <c r="A12" s="1293">
        <v>27880</v>
      </c>
      <c r="B12" s="1292"/>
      <c r="C12" s="1294"/>
      <c r="D12" s="1292"/>
      <c r="E12" s="1301"/>
    </row>
    <row r="13" spans="1:6" s="1266" customFormat="1" x14ac:dyDescent="0.2">
      <c r="A13" s="1293">
        <v>27911</v>
      </c>
      <c r="B13" s="1292"/>
      <c r="C13" s="1294"/>
      <c r="D13" s="1292"/>
      <c r="E13" s="1301"/>
    </row>
    <row r="14" spans="1:6" s="1266" customFormat="1" x14ac:dyDescent="0.2">
      <c r="A14" s="1293">
        <v>27941</v>
      </c>
      <c r="B14" s="1292"/>
      <c r="C14" s="1294"/>
      <c r="D14" s="1292"/>
      <c r="E14" s="1301"/>
    </row>
    <row r="15" spans="1:6" s="1266" customFormat="1" x14ac:dyDescent="0.2">
      <c r="A15" s="1293">
        <v>27972</v>
      </c>
      <c r="B15" s="1292"/>
      <c r="C15" s="1294"/>
      <c r="D15" s="1292"/>
      <c r="E15" s="1301"/>
    </row>
    <row r="16" spans="1:6" s="1266" customFormat="1" x14ac:dyDescent="0.2">
      <c r="A16" s="1293">
        <v>28003</v>
      </c>
      <c r="B16" s="1292"/>
      <c r="C16" s="1294"/>
      <c r="D16" s="1292"/>
      <c r="E16" s="1301"/>
    </row>
    <row r="17" spans="1:4" s="1266" customFormat="1" x14ac:dyDescent="0.2">
      <c r="A17" s="1293">
        <v>28033</v>
      </c>
      <c r="B17" s="1292"/>
      <c r="C17" s="1294"/>
      <c r="D17" s="1292"/>
    </row>
    <row r="18" spans="1:4" s="1266" customFormat="1" x14ac:dyDescent="0.2">
      <c r="A18" s="1293">
        <v>28064</v>
      </c>
      <c r="B18" s="1292"/>
      <c r="C18" s="1294"/>
      <c r="D18" s="1292"/>
    </row>
    <row r="19" spans="1:4" s="1266" customFormat="1" x14ac:dyDescent="0.2">
      <c r="A19" s="1293">
        <v>28094</v>
      </c>
      <c r="B19" s="1292"/>
      <c r="C19" s="1294"/>
      <c r="D19" s="1292"/>
    </row>
    <row r="20" spans="1:4" s="1266" customFormat="1" x14ac:dyDescent="0.2">
      <c r="A20" s="1293">
        <v>28125</v>
      </c>
      <c r="B20" s="1292"/>
      <c r="C20" s="1294"/>
      <c r="D20" s="1292"/>
    </row>
    <row r="21" spans="1:4" s="1266" customFormat="1" x14ac:dyDescent="0.2">
      <c r="A21" s="1293">
        <v>28156</v>
      </c>
      <c r="B21" s="1292"/>
      <c r="C21" s="1294"/>
      <c r="D21" s="1292"/>
    </row>
    <row r="22" spans="1:4" s="1266" customFormat="1" x14ac:dyDescent="0.2">
      <c r="A22" s="1293">
        <v>28184</v>
      </c>
      <c r="B22" s="1292"/>
      <c r="C22" s="1294"/>
      <c r="D22" s="1292"/>
    </row>
    <row r="23" spans="1:4" s="1266" customFormat="1" x14ac:dyDescent="0.2">
      <c r="A23" s="1293">
        <v>28215</v>
      </c>
      <c r="B23" s="1292"/>
      <c r="C23" s="1294"/>
      <c r="D23" s="1292"/>
    </row>
    <row r="24" spans="1:4" s="1266" customFormat="1" x14ac:dyDescent="0.2">
      <c r="A24" s="1293">
        <v>28245</v>
      </c>
      <c r="B24" s="1292"/>
      <c r="C24" s="1294"/>
      <c r="D24" s="1292"/>
    </row>
    <row r="25" spans="1:4" s="1266" customFormat="1" x14ac:dyDescent="0.2">
      <c r="A25" s="1293">
        <v>28276</v>
      </c>
      <c r="B25" s="1292"/>
      <c r="C25" s="1294"/>
      <c r="D25" s="1292"/>
    </row>
    <row r="26" spans="1:4" s="1266" customFormat="1" x14ac:dyDescent="0.2">
      <c r="A26" s="1293">
        <v>28306</v>
      </c>
      <c r="B26" s="1292"/>
      <c r="C26" s="1294"/>
      <c r="D26" s="1292"/>
    </row>
    <row r="27" spans="1:4" s="1266" customFormat="1" x14ac:dyDescent="0.2">
      <c r="A27" s="1293">
        <v>28337</v>
      </c>
      <c r="B27" s="1292"/>
      <c r="C27" s="1294"/>
      <c r="D27" s="1292"/>
    </row>
    <row r="28" spans="1:4" s="1266" customFormat="1" x14ac:dyDescent="0.2">
      <c r="A28" s="1293">
        <v>28368</v>
      </c>
      <c r="B28" s="1292"/>
      <c r="C28" s="1294"/>
      <c r="D28" s="1292"/>
    </row>
    <row r="29" spans="1:4" s="1266" customFormat="1" x14ac:dyDescent="0.2">
      <c r="A29" s="1293">
        <v>28398</v>
      </c>
      <c r="B29" s="1292"/>
      <c r="C29" s="1294"/>
      <c r="D29" s="1292"/>
    </row>
    <row r="30" spans="1:4" s="1266" customFormat="1" x14ac:dyDescent="0.2">
      <c r="A30" s="1293">
        <v>28429</v>
      </c>
      <c r="B30" s="1292"/>
      <c r="C30" s="1294"/>
      <c r="D30" s="1292"/>
    </row>
    <row r="31" spans="1:4" s="1266" customFormat="1" x14ac:dyDescent="0.2">
      <c r="A31" s="1293">
        <v>28459</v>
      </c>
      <c r="B31" s="1292"/>
      <c r="C31" s="1294"/>
      <c r="D31" s="1292"/>
    </row>
    <row r="32" spans="1:4" s="1266" customFormat="1" x14ac:dyDescent="0.2">
      <c r="A32" s="1293">
        <v>28490</v>
      </c>
      <c r="B32" s="1292"/>
      <c r="C32" s="1294"/>
      <c r="D32" s="1292"/>
    </row>
    <row r="33" spans="1:4" s="1266" customFormat="1" x14ac:dyDescent="0.2">
      <c r="A33" s="1293">
        <v>28521</v>
      </c>
      <c r="B33" s="1292"/>
      <c r="C33" s="1294"/>
      <c r="D33" s="1292"/>
    </row>
    <row r="34" spans="1:4" s="1266" customFormat="1" x14ac:dyDescent="0.2">
      <c r="A34" s="1293">
        <v>28549</v>
      </c>
      <c r="B34" s="1292"/>
      <c r="C34" s="1294"/>
      <c r="D34" s="1292"/>
    </row>
    <row r="35" spans="1:4" s="1266" customFormat="1" x14ac:dyDescent="0.2">
      <c r="A35" s="1293">
        <v>28580</v>
      </c>
      <c r="B35" s="1292"/>
      <c r="C35" s="1294"/>
      <c r="D35" s="1292"/>
    </row>
    <row r="36" spans="1:4" s="1266" customFormat="1" x14ac:dyDescent="0.2">
      <c r="A36" s="1293">
        <v>28610</v>
      </c>
      <c r="B36" s="1292"/>
      <c r="C36" s="1294"/>
      <c r="D36" s="1292"/>
    </row>
    <row r="37" spans="1:4" s="1266" customFormat="1" x14ac:dyDescent="0.2">
      <c r="A37" s="1293">
        <v>28641</v>
      </c>
      <c r="B37" s="1292"/>
      <c r="C37" s="1294"/>
      <c r="D37" s="1292"/>
    </row>
    <row r="38" spans="1:4" s="1266" customFormat="1" x14ac:dyDescent="0.2">
      <c r="A38" s="1293">
        <v>28671</v>
      </c>
      <c r="B38" s="1292"/>
      <c r="C38" s="1294"/>
      <c r="D38" s="1292"/>
    </row>
    <row r="39" spans="1:4" s="1266" customFormat="1" x14ac:dyDescent="0.2">
      <c r="A39" s="1293">
        <v>28702</v>
      </c>
      <c r="B39" s="1292"/>
      <c r="C39" s="1294"/>
      <c r="D39" s="1292"/>
    </row>
    <row r="40" spans="1:4" s="1266" customFormat="1" x14ac:dyDescent="0.2">
      <c r="A40" s="1293">
        <v>28733</v>
      </c>
      <c r="B40" s="1292"/>
      <c r="C40" s="1294"/>
      <c r="D40" s="1292"/>
    </row>
    <row r="41" spans="1:4" s="1266" customFormat="1" x14ac:dyDescent="0.2">
      <c r="A41" s="1293">
        <v>28763</v>
      </c>
      <c r="B41" s="1292"/>
      <c r="C41" s="1294"/>
      <c r="D41" s="1292"/>
    </row>
    <row r="42" spans="1:4" s="1266" customFormat="1" x14ac:dyDescent="0.2">
      <c r="A42" s="1293">
        <v>28794</v>
      </c>
      <c r="B42" s="1292"/>
      <c r="C42" s="1294"/>
      <c r="D42" s="1292"/>
    </row>
    <row r="43" spans="1:4" s="1266" customFormat="1" x14ac:dyDescent="0.2">
      <c r="A43" s="1293">
        <v>28824</v>
      </c>
      <c r="B43" s="1292"/>
      <c r="C43" s="1294"/>
      <c r="D43" s="1292"/>
    </row>
    <row r="44" spans="1:4" s="1266" customFormat="1" x14ac:dyDescent="0.2">
      <c r="A44" s="1293">
        <v>28855</v>
      </c>
      <c r="B44" s="1292"/>
      <c r="C44" s="1294"/>
      <c r="D44" s="1292"/>
    </row>
    <row r="45" spans="1:4" s="1266" customFormat="1" x14ac:dyDescent="0.2">
      <c r="A45" s="1293">
        <v>28886</v>
      </c>
      <c r="B45" s="1292"/>
      <c r="C45" s="1294"/>
      <c r="D45" s="1292"/>
    </row>
    <row r="46" spans="1:4" s="1266" customFormat="1" x14ac:dyDescent="0.2">
      <c r="A46" s="1293">
        <v>28914</v>
      </c>
      <c r="B46" s="1292"/>
      <c r="C46" s="1294"/>
      <c r="D46" s="1292"/>
    </row>
    <row r="47" spans="1:4" s="1266" customFormat="1" x14ac:dyDescent="0.2">
      <c r="A47" s="1293">
        <v>28945</v>
      </c>
      <c r="B47" s="1292"/>
      <c r="C47" s="1294"/>
      <c r="D47" s="1292"/>
    </row>
    <row r="48" spans="1:4" s="1266" customFormat="1" x14ac:dyDescent="0.2">
      <c r="A48" s="1293">
        <v>28975</v>
      </c>
      <c r="B48" s="1292"/>
      <c r="C48" s="1294"/>
      <c r="D48" s="1292"/>
    </row>
    <row r="49" spans="1:4" s="1266" customFormat="1" x14ac:dyDescent="0.2">
      <c r="A49" s="1293">
        <v>29006</v>
      </c>
      <c r="B49" s="1292"/>
      <c r="C49" s="1294"/>
      <c r="D49" s="1292"/>
    </row>
    <row r="50" spans="1:4" s="1266" customFormat="1" x14ac:dyDescent="0.2">
      <c r="A50" s="1293">
        <v>29036</v>
      </c>
      <c r="B50" s="1292"/>
      <c r="C50" s="1294"/>
      <c r="D50" s="1292"/>
    </row>
    <row r="51" spans="1:4" s="1266" customFormat="1" x14ac:dyDescent="0.2">
      <c r="A51" s="1293">
        <v>29067</v>
      </c>
      <c r="B51" s="1292"/>
      <c r="C51" s="1294"/>
      <c r="D51" s="1292"/>
    </row>
    <row r="52" spans="1:4" s="1266" customFormat="1" x14ac:dyDescent="0.2">
      <c r="A52" s="1293">
        <v>29098</v>
      </c>
      <c r="B52" s="1292"/>
      <c r="C52" s="1294"/>
      <c r="D52" s="1292"/>
    </row>
    <row r="53" spans="1:4" s="1266" customFormat="1" x14ac:dyDescent="0.2">
      <c r="A53" s="1293">
        <v>29128</v>
      </c>
      <c r="B53" s="1292"/>
      <c r="C53" s="1294"/>
      <c r="D53" s="1292"/>
    </row>
    <row r="54" spans="1:4" s="1266" customFormat="1" x14ac:dyDescent="0.2">
      <c r="A54" s="1293">
        <v>29159</v>
      </c>
      <c r="B54" s="1292"/>
      <c r="C54" s="1294"/>
      <c r="D54" s="1292"/>
    </row>
    <row r="55" spans="1:4" s="1266" customFormat="1" x14ac:dyDescent="0.2">
      <c r="A55" s="1293">
        <v>29189</v>
      </c>
      <c r="B55" s="1292"/>
      <c r="C55" s="1294"/>
      <c r="D55" s="1292"/>
    </row>
    <row r="56" spans="1:4" s="1266" customFormat="1" x14ac:dyDescent="0.2">
      <c r="A56" s="1293">
        <v>29220</v>
      </c>
      <c r="B56" s="1292"/>
      <c r="C56" s="1294"/>
      <c r="D56" s="1292"/>
    </row>
    <row r="57" spans="1:4" s="1266" customFormat="1" x14ac:dyDescent="0.2">
      <c r="A57" s="1293">
        <v>29251</v>
      </c>
      <c r="B57" s="1292"/>
      <c r="C57" s="1294"/>
      <c r="D57" s="1292"/>
    </row>
    <row r="58" spans="1:4" s="1266" customFormat="1" x14ac:dyDescent="0.2">
      <c r="A58" s="1293">
        <v>29280</v>
      </c>
      <c r="B58" s="1292"/>
      <c r="C58" s="1294"/>
      <c r="D58" s="1292"/>
    </row>
    <row r="59" spans="1:4" s="1266" customFormat="1" x14ac:dyDescent="0.2">
      <c r="A59" s="1293">
        <v>29311</v>
      </c>
      <c r="B59" s="1292"/>
      <c r="C59" s="1294"/>
      <c r="D59" s="1292"/>
    </row>
    <row r="60" spans="1:4" s="1266" customFormat="1" x14ac:dyDescent="0.2">
      <c r="A60" s="1293">
        <v>29341</v>
      </c>
      <c r="B60" s="1292"/>
      <c r="C60" s="1294"/>
      <c r="D60" s="1292"/>
    </row>
    <row r="61" spans="1:4" s="1266" customFormat="1" x14ac:dyDescent="0.2">
      <c r="A61" s="1293">
        <v>29372</v>
      </c>
      <c r="B61" s="1292"/>
      <c r="C61" s="1294"/>
      <c r="D61" s="1292"/>
    </row>
    <row r="62" spans="1:4" s="1266" customFormat="1" x14ac:dyDescent="0.2">
      <c r="A62" s="1293">
        <v>29402</v>
      </c>
      <c r="B62" s="1292"/>
      <c r="C62" s="1294"/>
      <c r="D62" s="1292"/>
    </row>
    <row r="63" spans="1:4" s="1266" customFormat="1" x14ac:dyDescent="0.2">
      <c r="A63" s="1293">
        <v>29433</v>
      </c>
      <c r="B63" s="1292"/>
      <c r="C63" s="1294"/>
      <c r="D63" s="1292"/>
    </row>
    <row r="64" spans="1:4" s="1266" customFormat="1" x14ac:dyDescent="0.2">
      <c r="A64" s="1293">
        <v>29464</v>
      </c>
      <c r="B64" s="1292"/>
      <c r="C64" s="1294"/>
      <c r="D64" s="1292"/>
    </row>
    <row r="65" spans="1:4" s="1266" customFormat="1" x14ac:dyDescent="0.2">
      <c r="A65" s="1293">
        <v>29494</v>
      </c>
      <c r="B65" s="1292"/>
      <c r="C65" s="1294"/>
      <c r="D65" s="1292"/>
    </row>
    <row r="66" spans="1:4" s="1266" customFormat="1" x14ac:dyDescent="0.2">
      <c r="A66" s="1293">
        <v>29525</v>
      </c>
      <c r="B66" s="1292"/>
      <c r="C66" s="1294"/>
      <c r="D66" s="1292"/>
    </row>
    <row r="67" spans="1:4" s="1266" customFormat="1" x14ac:dyDescent="0.2">
      <c r="A67" s="1293">
        <v>29555</v>
      </c>
      <c r="B67" s="1292"/>
      <c r="C67" s="1294"/>
      <c r="D67" s="1292"/>
    </row>
    <row r="68" spans="1:4" s="1266" customFormat="1" x14ac:dyDescent="0.2">
      <c r="A68" s="1293">
        <v>29586</v>
      </c>
      <c r="B68" s="1292"/>
      <c r="C68" s="1294"/>
      <c r="D68" s="1292"/>
    </row>
    <row r="69" spans="1:4" s="1266" customFormat="1" x14ac:dyDescent="0.2">
      <c r="A69" s="1293">
        <v>29617</v>
      </c>
      <c r="B69" s="1292"/>
      <c r="C69" s="1294"/>
      <c r="D69" s="1292"/>
    </row>
    <row r="70" spans="1:4" s="1266" customFormat="1" x14ac:dyDescent="0.2">
      <c r="A70" s="1293">
        <v>29645</v>
      </c>
      <c r="B70" s="1292"/>
      <c r="C70" s="1294"/>
      <c r="D70" s="1292"/>
    </row>
    <row r="71" spans="1:4" s="1266" customFormat="1" x14ac:dyDescent="0.2">
      <c r="A71" s="1293">
        <v>29676</v>
      </c>
      <c r="B71" s="1292"/>
      <c r="C71" s="1294"/>
      <c r="D71" s="1292"/>
    </row>
    <row r="72" spans="1:4" s="1266" customFormat="1" x14ac:dyDescent="0.2">
      <c r="A72" s="1293">
        <v>29706</v>
      </c>
      <c r="B72" s="1292"/>
      <c r="C72" s="1294"/>
      <c r="D72" s="1292"/>
    </row>
    <row r="73" spans="1:4" s="1266" customFormat="1" x14ac:dyDescent="0.2">
      <c r="A73" s="1293">
        <v>29737</v>
      </c>
      <c r="B73" s="1292"/>
      <c r="C73" s="1294"/>
      <c r="D73" s="1292"/>
    </row>
    <row r="74" spans="1:4" s="1266" customFormat="1" x14ac:dyDescent="0.2">
      <c r="A74" s="1293">
        <v>29767</v>
      </c>
      <c r="B74" s="1292"/>
      <c r="C74" s="1294"/>
      <c r="D74" s="1292"/>
    </row>
    <row r="75" spans="1:4" s="1266" customFormat="1" x14ac:dyDescent="0.2">
      <c r="A75" s="1293">
        <v>29798</v>
      </c>
      <c r="B75" s="1292"/>
      <c r="C75" s="1294"/>
      <c r="D75" s="1292"/>
    </row>
    <row r="76" spans="1:4" s="1266" customFormat="1" x14ac:dyDescent="0.2">
      <c r="A76" s="1293">
        <v>29829</v>
      </c>
      <c r="B76" s="1292"/>
      <c r="C76" s="1294"/>
      <c r="D76" s="1292"/>
    </row>
    <row r="77" spans="1:4" s="1266" customFormat="1" x14ac:dyDescent="0.2">
      <c r="A77" s="1293">
        <v>29859</v>
      </c>
      <c r="B77" s="1292"/>
      <c r="C77" s="1294"/>
      <c r="D77" s="1292"/>
    </row>
    <row r="78" spans="1:4" s="1266" customFormat="1" x14ac:dyDescent="0.2">
      <c r="A78" s="1293">
        <v>29890</v>
      </c>
      <c r="B78" s="1292"/>
      <c r="C78" s="1294"/>
      <c r="D78" s="1292"/>
    </row>
    <row r="79" spans="1:4" s="1266" customFormat="1" x14ac:dyDescent="0.2">
      <c r="A79" s="1293">
        <v>29920</v>
      </c>
      <c r="B79" s="1292"/>
      <c r="C79" s="1294"/>
      <c r="D79" s="1292"/>
    </row>
    <row r="80" spans="1:4" s="1266" customFormat="1" x14ac:dyDescent="0.2">
      <c r="A80" s="1293">
        <v>29951</v>
      </c>
      <c r="B80" s="1292"/>
      <c r="C80" s="1294"/>
      <c r="D80" s="1292"/>
    </row>
    <row r="81" spans="1:4" s="1266" customFormat="1" x14ac:dyDescent="0.2">
      <c r="A81" s="1293">
        <v>29982</v>
      </c>
      <c r="B81" s="1292"/>
      <c r="C81" s="1294"/>
      <c r="D81" s="1292"/>
    </row>
    <row r="82" spans="1:4" s="1266" customFormat="1" x14ac:dyDescent="0.2">
      <c r="A82" s="1293">
        <v>30010</v>
      </c>
      <c r="B82" s="1292"/>
      <c r="C82" s="1294"/>
      <c r="D82" s="1292"/>
    </row>
    <row r="83" spans="1:4" s="1266" customFormat="1" x14ac:dyDescent="0.2">
      <c r="A83" s="1293">
        <v>30041</v>
      </c>
      <c r="B83" s="1292"/>
      <c r="C83" s="1294"/>
      <c r="D83" s="1292"/>
    </row>
    <row r="84" spans="1:4" s="1266" customFormat="1" x14ac:dyDescent="0.2">
      <c r="A84" s="1293">
        <v>30071</v>
      </c>
      <c r="B84" s="1292"/>
      <c r="C84" s="1294"/>
      <c r="D84" s="1292"/>
    </row>
    <row r="85" spans="1:4" s="1266" customFormat="1" x14ac:dyDescent="0.2">
      <c r="A85" s="1293">
        <v>30102</v>
      </c>
      <c r="B85" s="1292"/>
      <c r="C85" s="1294"/>
      <c r="D85" s="1292"/>
    </row>
    <row r="86" spans="1:4" s="1266" customFormat="1" x14ac:dyDescent="0.2">
      <c r="A86" s="1293">
        <v>30132</v>
      </c>
      <c r="B86" s="1292"/>
      <c r="C86" s="1294"/>
      <c r="D86" s="1292"/>
    </row>
    <row r="87" spans="1:4" s="1266" customFormat="1" x14ac:dyDescent="0.2">
      <c r="A87" s="1293">
        <v>30163</v>
      </c>
      <c r="B87" s="1292"/>
      <c r="C87" s="1294"/>
      <c r="D87" s="1292"/>
    </row>
    <row r="88" spans="1:4" s="1266" customFormat="1" x14ac:dyDescent="0.2">
      <c r="A88" s="1293">
        <v>30194</v>
      </c>
      <c r="B88" s="1292"/>
      <c r="C88" s="1294"/>
      <c r="D88" s="1292"/>
    </row>
    <row r="89" spans="1:4" s="1266" customFormat="1" x14ac:dyDescent="0.2">
      <c r="A89" s="1293">
        <v>30224</v>
      </c>
      <c r="B89" s="1292"/>
      <c r="C89" s="1294"/>
      <c r="D89" s="1292"/>
    </row>
    <row r="90" spans="1:4" s="1266" customFormat="1" x14ac:dyDescent="0.2">
      <c r="A90" s="1293">
        <v>30255</v>
      </c>
      <c r="B90" s="1292"/>
      <c r="C90" s="1294"/>
      <c r="D90" s="1292"/>
    </row>
    <row r="91" spans="1:4" s="1266" customFormat="1" x14ac:dyDescent="0.2">
      <c r="A91" s="1293">
        <v>30285</v>
      </c>
      <c r="B91" s="1292"/>
      <c r="C91" s="1294"/>
      <c r="D91" s="1292"/>
    </row>
    <row r="92" spans="1:4" s="1266" customFormat="1" x14ac:dyDescent="0.2">
      <c r="A92" s="1293">
        <v>30316</v>
      </c>
      <c r="B92" s="1292"/>
      <c r="C92" s="1294"/>
      <c r="D92" s="1292"/>
    </row>
    <row r="93" spans="1:4" s="1266" customFormat="1" x14ac:dyDescent="0.2">
      <c r="A93" s="1293">
        <v>30347</v>
      </c>
      <c r="B93" s="1292"/>
      <c r="C93" s="1294"/>
      <c r="D93" s="1292"/>
    </row>
    <row r="94" spans="1:4" s="1266" customFormat="1" x14ac:dyDescent="0.2">
      <c r="A94" s="1293">
        <v>30375</v>
      </c>
      <c r="B94" s="1292"/>
      <c r="C94" s="1294"/>
      <c r="D94" s="1292"/>
    </row>
    <row r="95" spans="1:4" s="1266" customFormat="1" x14ac:dyDescent="0.2">
      <c r="A95" s="1293">
        <v>30406</v>
      </c>
      <c r="B95" s="1292"/>
      <c r="C95" s="1294"/>
      <c r="D95" s="1292"/>
    </row>
    <row r="96" spans="1:4" s="1266" customFormat="1" x14ac:dyDescent="0.2">
      <c r="A96" s="1293">
        <v>30436</v>
      </c>
      <c r="B96" s="1292"/>
      <c r="C96" s="1294"/>
      <c r="D96" s="1292"/>
    </row>
    <row r="97" spans="1:4" s="1266" customFormat="1" x14ac:dyDescent="0.2">
      <c r="A97" s="1293">
        <v>30467</v>
      </c>
      <c r="B97" s="1292"/>
      <c r="C97" s="1294"/>
      <c r="D97" s="1292"/>
    </row>
    <row r="98" spans="1:4" s="1266" customFormat="1" x14ac:dyDescent="0.2">
      <c r="A98" s="1293">
        <v>30497</v>
      </c>
      <c r="B98" s="1292"/>
      <c r="C98" s="1294"/>
      <c r="D98" s="1292"/>
    </row>
    <row r="99" spans="1:4" s="1266" customFormat="1" x14ac:dyDescent="0.2">
      <c r="A99" s="1293">
        <v>30528</v>
      </c>
      <c r="B99" s="1292"/>
      <c r="C99" s="1294"/>
      <c r="D99" s="1292"/>
    </row>
    <row r="100" spans="1:4" s="1266" customFormat="1" x14ac:dyDescent="0.2">
      <c r="A100" s="1293">
        <v>30559</v>
      </c>
      <c r="B100" s="1292"/>
      <c r="C100" s="1294"/>
      <c r="D100" s="1292"/>
    </row>
    <row r="101" spans="1:4" s="1266" customFormat="1" x14ac:dyDescent="0.2">
      <c r="A101" s="1293">
        <v>30589</v>
      </c>
      <c r="B101" s="1292"/>
      <c r="C101" s="1294"/>
      <c r="D101" s="1292"/>
    </row>
    <row r="102" spans="1:4" s="1266" customFormat="1" x14ac:dyDescent="0.2">
      <c r="A102" s="1293">
        <v>30620</v>
      </c>
      <c r="B102" s="1292"/>
      <c r="C102" s="1294"/>
      <c r="D102" s="1292"/>
    </row>
    <row r="103" spans="1:4" s="1266" customFormat="1" x14ac:dyDescent="0.2">
      <c r="A103" s="1293">
        <v>30650</v>
      </c>
      <c r="B103" s="1292"/>
      <c r="C103" s="1294"/>
      <c r="D103" s="1292"/>
    </row>
    <row r="104" spans="1:4" s="1266" customFormat="1" x14ac:dyDescent="0.2">
      <c r="A104" s="1293">
        <v>30681</v>
      </c>
      <c r="B104" s="1292"/>
      <c r="C104" s="1294"/>
      <c r="D104" s="1292"/>
    </row>
    <row r="105" spans="1:4" s="1266" customFormat="1" x14ac:dyDescent="0.2">
      <c r="A105" s="1293">
        <v>30712</v>
      </c>
      <c r="B105" s="1292"/>
      <c r="C105" s="1294"/>
      <c r="D105" s="1292"/>
    </row>
    <row r="106" spans="1:4" s="1266" customFormat="1" x14ac:dyDescent="0.2">
      <c r="A106" s="1293">
        <v>30741</v>
      </c>
      <c r="B106" s="1292"/>
      <c r="C106" s="1294"/>
      <c r="D106" s="1292"/>
    </row>
    <row r="107" spans="1:4" s="1266" customFormat="1" x14ac:dyDescent="0.2">
      <c r="A107" s="1293">
        <v>30772</v>
      </c>
      <c r="B107" s="1292"/>
      <c r="C107" s="1294"/>
      <c r="D107" s="1292"/>
    </row>
    <row r="108" spans="1:4" s="1266" customFormat="1" x14ac:dyDescent="0.2">
      <c r="A108" s="1293">
        <v>30802</v>
      </c>
      <c r="B108" s="1292"/>
      <c r="C108" s="1294"/>
      <c r="D108" s="1292"/>
    </row>
    <row r="109" spans="1:4" s="1266" customFormat="1" x14ac:dyDescent="0.2">
      <c r="A109" s="1293">
        <v>30833</v>
      </c>
      <c r="B109" s="1292"/>
      <c r="C109" s="1294"/>
      <c r="D109" s="1292"/>
    </row>
    <row r="110" spans="1:4" s="1266" customFormat="1" x14ac:dyDescent="0.2">
      <c r="A110" s="1293">
        <v>30863</v>
      </c>
      <c r="B110" s="1292"/>
      <c r="C110" s="1294"/>
      <c r="D110" s="1292"/>
    </row>
    <row r="111" spans="1:4" s="1266" customFormat="1" x14ac:dyDescent="0.2">
      <c r="A111" s="1293">
        <v>30894</v>
      </c>
      <c r="B111" s="1292"/>
      <c r="C111" s="1294"/>
      <c r="D111" s="1292"/>
    </row>
    <row r="112" spans="1:4" s="1266" customFormat="1" x14ac:dyDescent="0.2">
      <c r="A112" s="1293">
        <v>30925</v>
      </c>
      <c r="B112" s="1292"/>
      <c r="C112" s="1294"/>
      <c r="D112" s="1292"/>
    </row>
    <row r="113" spans="1:4" s="1266" customFormat="1" x14ac:dyDescent="0.2">
      <c r="A113" s="1293">
        <v>30955</v>
      </c>
      <c r="B113" s="1292"/>
      <c r="C113" s="1294"/>
      <c r="D113" s="1292"/>
    </row>
    <row r="114" spans="1:4" s="1266" customFormat="1" x14ac:dyDescent="0.2">
      <c r="A114" s="1293">
        <v>30986</v>
      </c>
      <c r="B114" s="1292"/>
      <c r="C114" s="1294"/>
      <c r="D114" s="1292"/>
    </row>
    <row r="115" spans="1:4" s="1266" customFormat="1" x14ac:dyDescent="0.2">
      <c r="A115" s="1293">
        <v>31016</v>
      </c>
      <c r="B115" s="1292"/>
      <c r="C115" s="1294"/>
      <c r="D115" s="1292"/>
    </row>
    <row r="116" spans="1:4" s="1266" customFormat="1" x14ac:dyDescent="0.2">
      <c r="A116" s="1293">
        <v>31047</v>
      </c>
      <c r="B116" s="1292"/>
      <c r="C116" s="1294"/>
      <c r="D116" s="1292"/>
    </row>
    <row r="117" spans="1:4" s="1266" customFormat="1" x14ac:dyDescent="0.2">
      <c r="A117" s="1293">
        <v>31078</v>
      </c>
      <c r="B117" s="1292"/>
      <c r="C117" s="1294"/>
      <c r="D117" s="1292"/>
    </row>
    <row r="118" spans="1:4" s="1266" customFormat="1" x14ac:dyDescent="0.2">
      <c r="A118" s="1293">
        <v>31106</v>
      </c>
      <c r="B118" s="1292"/>
      <c r="C118" s="1294"/>
      <c r="D118" s="1292"/>
    </row>
    <row r="119" spans="1:4" s="1266" customFormat="1" x14ac:dyDescent="0.2">
      <c r="A119" s="1293">
        <v>31137</v>
      </c>
      <c r="B119" s="1292"/>
      <c r="C119" s="1294"/>
      <c r="D119" s="1292"/>
    </row>
    <row r="120" spans="1:4" s="1266" customFormat="1" x14ac:dyDescent="0.2">
      <c r="A120" s="1293">
        <v>31167</v>
      </c>
      <c r="B120" s="1292"/>
      <c r="C120" s="1294"/>
      <c r="D120" s="1292"/>
    </row>
    <row r="121" spans="1:4" s="1266" customFormat="1" x14ac:dyDescent="0.2">
      <c r="A121" s="1293">
        <v>31198</v>
      </c>
      <c r="B121" s="1292"/>
      <c r="C121" s="1294"/>
      <c r="D121" s="1292"/>
    </row>
    <row r="122" spans="1:4" s="1266" customFormat="1" x14ac:dyDescent="0.2">
      <c r="A122" s="1293">
        <v>31228</v>
      </c>
      <c r="B122" s="1292"/>
      <c r="C122" s="1294"/>
      <c r="D122" s="1292"/>
    </row>
    <row r="123" spans="1:4" s="1266" customFormat="1" x14ac:dyDescent="0.2">
      <c r="A123" s="1293">
        <v>31259</v>
      </c>
      <c r="B123" s="1292"/>
      <c r="C123" s="1294"/>
      <c r="D123" s="1292"/>
    </row>
    <row r="124" spans="1:4" s="1266" customFormat="1" x14ac:dyDescent="0.2">
      <c r="A124" s="1293">
        <v>31290</v>
      </c>
      <c r="B124" s="1292"/>
      <c r="C124" s="1294"/>
      <c r="D124" s="1292"/>
    </row>
    <row r="125" spans="1:4" s="1266" customFormat="1" x14ac:dyDescent="0.2">
      <c r="A125" s="1293">
        <v>31320</v>
      </c>
      <c r="B125" s="1292"/>
      <c r="C125" s="1294"/>
      <c r="D125" s="1292"/>
    </row>
    <row r="126" spans="1:4" s="1266" customFormat="1" x14ac:dyDescent="0.2">
      <c r="A126" s="1293">
        <v>31351</v>
      </c>
      <c r="B126" s="1292"/>
      <c r="C126" s="1294"/>
      <c r="D126" s="1292"/>
    </row>
    <row r="127" spans="1:4" s="1266" customFormat="1" x14ac:dyDescent="0.2">
      <c r="A127" s="1293">
        <v>31381</v>
      </c>
      <c r="B127" s="1292"/>
      <c r="C127" s="1294"/>
      <c r="D127" s="1292"/>
    </row>
    <row r="128" spans="1:4" s="1266" customFormat="1" x14ac:dyDescent="0.2">
      <c r="A128" s="1293">
        <v>31412</v>
      </c>
      <c r="B128" s="1292"/>
      <c r="C128" s="1294"/>
      <c r="D128" s="1292"/>
    </row>
    <row r="129" spans="1:4" s="1266" customFormat="1" x14ac:dyDescent="0.2">
      <c r="A129" s="1293">
        <v>31443</v>
      </c>
      <c r="B129" s="1292"/>
      <c r="C129" s="1294"/>
      <c r="D129" s="1292"/>
    </row>
    <row r="130" spans="1:4" s="1266" customFormat="1" x14ac:dyDescent="0.2">
      <c r="A130" s="1293">
        <v>31471</v>
      </c>
      <c r="B130" s="1292"/>
      <c r="C130" s="1294"/>
      <c r="D130" s="1292"/>
    </row>
    <row r="131" spans="1:4" s="1266" customFormat="1" x14ac:dyDescent="0.2">
      <c r="A131" s="1293">
        <v>31502</v>
      </c>
      <c r="B131" s="1292"/>
      <c r="C131" s="1294"/>
      <c r="D131" s="1292"/>
    </row>
    <row r="132" spans="1:4" s="1266" customFormat="1" x14ac:dyDescent="0.2">
      <c r="A132" s="1293">
        <v>31532</v>
      </c>
      <c r="B132" s="1292"/>
      <c r="C132" s="1294"/>
      <c r="D132" s="1292"/>
    </row>
    <row r="133" spans="1:4" s="1266" customFormat="1" x14ac:dyDescent="0.2">
      <c r="A133" s="1293">
        <v>31563</v>
      </c>
      <c r="B133" s="1292"/>
      <c r="C133" s="1294"/>
      <c r="D133" s="1292"/>
    </row>
    <row r="134" spans="1:4" s="1266" customFormat="1" x14ac:dyDescent="0.2">
      <c r="A134" s="1293">
        <v>31593</v>
      </c>
      <c r="B134" s="1292"/>
      <c r="C134" s="1294"/>
      <c r="D134" s="1292"/>
    </row>
    <row r="135" spans="1:4" s="1266" customFormat="1" x14ac:dyDescent="0.2">
      <c r="A135" s="1293">
        <v>31624</v>
      </c>
      <c r="B135" s="1292"/>
      <c r="C135" s="1294"/>
      <c r="D135" s="1292"/>
    </row>
    <row r="136" spans="1:4" s="1266" customFormat="1" x14ac:dyDescent="0.2">
      <c r="A136" s="1293">
        <v>31655</v>
      </c>
      <c r="B136" s="1292"/>
      <c r="C136" s="1294"/>
      <c r="D136" s="1292"/>
    </row>
    <row r="137" spans="1:4" s="1266" customFormat="1" x14ac:dyDescent="0.2">
      <c r="A137" s="1293">
        <v>31685</v>
      </c>
      <c r="B137" s="1292"/>
      <c r="C137" s="1294"/>
      <c r="D137" s="1292"/>
    </row>
    <row r="138" spans="1:4" s="1266" customFormat="1" x14ac:dyDescent="0.2">
      <c r="A138" s="1293">
        <v>31716</v>
      </c>
      <c r="B138" s="1292"/>
      <c r="C138" s="1294"/>
      <c r="D138" s="1292"/>
    </row>
    <row r="139" spans="1:4" s="1266" customFormat="1" x14ac:dyDescent="0.2">
      <c r="A139" s="1293">
        <v>31746</v>
      </c>
      <c r="B139" s="1292"/>
      <c r="C139" s="1294"/>
      <c r="D139" s="1292"/>
    </row>
    <row r="140" spans="1:4" s="1266" customFormat="1" x14ac:dyDescent="0.2">
      <c r="A140" s="1293">
        <v>31777</v>
      </c>
      <c r="B140" s="1292"/>
      <c r="C140" s="1294"/>
      <c r="D140" s="1292"/>
    </row>
    <row r="141" spans="1:4" s="1266" customFormat="1" x14ac:dyDescent="0.2">
      <c r="A141" s="1293">
        <v>31808</v>
      </c>
      <c r="B141" s="1295"/>
      <c r="C141" s="1296"/>
      <c r="D141" s="1295"/>
    </row>
    <row r="142" spans="1:4" s="1266" customFormat="1" x14ac:dyDescent="0.2">
      <c r="A142" s="1293">
        <v>31836</v>
      </c>
      <c r="B142" s="1295"/>
      <c r="C142" s="1296"/>
      <c r="D142" s="1295"/>
    </row>
    <row r="143" spans="1:4" s="1266" customFormat="1" x14ac:dyDescent="0.2">
      <c r="A143" s="1293">
        <v>31867</v>
      </c>
      <c r="B143" s="1295"/>
      <c r="C143" s="1296"/>
      <c r="D143" s="1295"/>
    </row>
    <row r="144" spans="1:4" s="1266" customFormat="1" x14ac:dyDescent="0.2">
      <c r="A144" s="1293">
        <v>31897</v>
      </c>
      <c r="B144" s="1295"/>
      <c r="C144" s="1296"/>
      <c r="D144" s="1295"/>
    </row>
    <row r="145" spans="1:4" s="1266" customFormat="1" x14ac:dyDescent="0.2">
      <c r="A145" s="1293">
        <v>31928</v>
      </c>
      <c r="B145" s="1295"/>
      <c r="C145" s="1296"/>
      <c r="D145" s="1295"/>
    </row>
    <row r="146" spans="1:4" s="1266" customFormat="1" x14ac:dyDescent="0.2">
      <c r="A146" s="1293">
        <v>31958</v>
      </c>
      <c r="B146" s="1295"/>
      <c r="C146" s="1296"/>
      <c r="D146" s="1295"/>
    </row>
    <row r="147" spans="1:4" s="1266" customFormat="1" x14ac:dyDescent="0.2">
      <c r="A147" s="1293">
        <v>31989</v>
      </c>
      <c r="B147" s="1295"/>
      <c r="C147" s="1296"/>
      <c r="D147" s="1295"/>
    </row>
    <row r="148" spans="1:4" s="1266" customFormat="1" x14ac:dyDescent="0.2">
      <c r="A148" s="1293">
        <v>32020</v>
      </c>
      <c r="B148" s="1295"/>
      <c r="C148" s="1296"/>
      <c r="D148" s="1295"/>
    </row>
    <row r="149" spans="1:4" s="1266" customFormat="1" x14ac:dyDescent="0.2">
      <c r="A149" s="1293">
        <v>32050</v>
      </c>
      <c r="B149" s="1295"/>
      <c r="C149" s="1296"/>
      <c r="D149" s="1295"/>
    </row>
    <row r="150" spans="1:4" s="1266" customFormat="1" x14ac:dyDescent="0.2">
      <c r="A150" s="1293">
        <v>32081</v>
      </c>
      <c r="B150" s="1295"/>
      <c r="C150" s="1296"/>
      <c r="D150" s="1295"/>
    </row>
    <row r="151" spans="1:4" s="1266" customFormat="1" x14ac:dyDescent="0.2">
      <c r="A151" s="1293">
        <v>32111</v>
      </c>
      <c r="B151" s="1295"/>
      <c r="C151" s="1296"/>
      <c r="D151" s="1295"/>
    </row>
    <row r="152" spans="1:4" s="1266" customFormat="1" x14ac:dyDescent="0.2">
      <c r="A152" s="1293">
        <v>32142</v>
      </c>
      <c r="B152" s="1295"/>
      <c r="C152" s="1296"/>
      <c r="D152" s="1295"/>
    </row>
    <row r="153" spans="1:4" s="1266" customFormat="1" x14ac:dyDescent="0.2">
      <c r="A153" s="1293">
        <v>32173</v>
      </c>
      <c r="B153" s="1295"/>
      <c r="C153" s="1296"/>
      <c r="D153" s="1295"/>
    </row>
    <row r="154" spans="1:4" s="1266" customFormat="1" x14ac:dyDescent="0.2">
      <c r="A154" s="1293">
        <v>32202</v>
      </c>
      <c r="B154" s="1295"/>
      <c r="C154" s="1296"/>
      <c r="D154" s="1295"/>
    </row>
    <row r="155" spans="1:4" s="1266" customFormat="1" x14ac:dyDescent="0.2">
      <c r="A155" s="1293">
        <v>32233</v>
      </c>
      <c r="B155" s="1295"/>
      <c r="C155" s="1296"/>
      <c r="D155" s="1295"/>
    </row>
    <row r="156" spans="1:4" s="1266" customFormat="1" x14ac:dyDescent="0.2">
      <c r="A156" s="1293">
        <v>32263</v>
      </c>
      <c r="B156" s="1295"/>
      <c r="C156" s="1296"/>
      <c r="D156" s="1295"/>
    </row>
    <row r="157" spans="1:4" s="1266" customFormat="1" x14ac:dyDescent="0.2">
      <c r="A157" s="1293">
        <v>32294</v>
      </c>
      <c r="B157" s="1295"/>
      <c r="C157" s="1296"/>
      <c r="D157" s="1295"/>
    </row>
    <row r="158" spans="1:4" s="1266" customFormat="1" x14ac:dyDescent="0.2">
      <c r="A158" s="1293">
        <v>32324</v>
      </c>
      <c r="B158" s="1295"/>
      <c r="C158" s="1296"/>
      <c r="D158" s="1295"/>
    </row>
    <row r="159" spans="1:4" s="1266" customFormat="1" x14ac:dyDescent="0.2">
      <c r="A159" s="1293">
        <v>32355</v>
      </c>
      <c r="B159" s="1295"/>
      <c r="C159" s="1296"/>
      <c r="D159" s="1295"/>
    </row>
    <row r="160" spans="1:4" s="1266" customFormat="1" x14ac:dyDescent="0.2">
      <c r="A160" s="1293">
        <v>32386</v>
      </c>
      <c r="B160" s="1295"/>
      <c r="C160" s="1296"/>
      <c r="D160" s="1295"/>
    </row>
    <row r="161" spans="1:4" s="1266" customFormat="1" x14ac:dyDescent="0.2">
      <c r="A161" s="1293">
        <v>32416</v>
      </c>
      <c r="B161" s="1295"/>
      <c r="C161" s="1296"/>
      <c r="D161" s="1295"/>
    </row>
    <row r="162" spans="1:4" s="1266" customFormat="1" x14ac:dyDescent="0.2">
      <c r="A162" s="1293">
        <v>32447</v>
      </c>
      <c r="B162" s="1295"/>
      <c r="C162" s="1296"/>
      <c r="D162" s="1295"/>
    </row>
    <row r="163" spans="1:4" s="1266" customFormat="1" x14ac:dyDescent="0.2">
      <c r="A163" s="1293">
        <v>32477</v>
      </c>
      <c r="B163" s="1295"/>
      <c r="C163" s="1296"/>
      <c r="D163" s="1295"/>
    </row>
    <row r="164" spans="1:4" s="1266" customFormat="1" x14ac:dyDescent="0.2">
      <c r="A164" s="1293">
        <v>32508</v>
      </c>
      <c r="B164" s="1295"/>
      <c r="C164" s="1296"/>
      <c r="D164" s="1295"/>
    </row>
    <row r="165" spans="1:4" s="1266" customFormat="1" x14ac:dyDescent="0.2">
      <c r="A165" s="1293">
        <v>32539</v>
      </c>
      <c r="B165" s="1295"/>
      <c r="C165" s="1296"/>
      <c r="D165" s="1295"/>
    </row>
    <row r="166" spans="1:4" s="1266" customFormat="1" x14ac:dyDescent="0.2">
      <c r="A166" s="1293">
        <v>32567</v>
      </c>
      <c r="B166" s="1295"/>
      <c r="C166" s="1296"/>
      <c r="D166" s="1295"/>
    </row>
    <row r="167" spans="1:4" s="1266" customFormat="1" x14ac:dyDescent="0.2">
      <c r="A167" s="1293">
        <v>32598</v>
      </c>
      <c r="B167" s="1295"/>
      <c r="C167" s="1296"/>
      <c r="D167" s="1295"/>
    </row>
    <row r="168" spans="1:4" s="1266" customFormat="1" x14ac:dyDescent="0.2">
      <c r="A168" s="1293">
        <v>32628</v>
      </c>
      <c r="B168" s="1295"/>
      <c r="C168" s="1296"/>
      <c r="D168" s="1295"/>
    </row>
    <row r="169" spans="1:4" s="1266" customFormat="1" x14ac:dyDescent="0.2">
      <c r="A169" s="1293">
        <v>32659</v>
      </c>
      <c r="B169" s="1295"/>
      <c r="C169" s="1296"/>
      <c r="D169" s="1295"/>
    </row>
    <row r="170" spans="1:4" s="1266" customFormat="1" x14ac:dyDescent="0.2">
      <c r="A170" s="1293">
        <v>32689</v>
      </c>
      <c r="B170" s="1295"/>
      <c r="C170" s="1296"/>
      <c r="D170" s="1295"/>
    </row>
    <row r="171" spans="1:4" s="1266" customFormat="1" x14ac:dyDescent="0.2">
      <c r="A171" s="1293">
        <v>32720</v>
      </c>
      <c r="B171" s="1295"/>
      <c r="C171" s="1296"/>
      <c r="D171" s="1295"/>
    </row>
    <row r="172" spans="1:4" s="1266" customFormat="1" x14ac:dyDescent="0.2">
      <c r="A172" s="1293">
        <v>32751</v>
      </c>
      <c r="B172" s="1295"/>
      <c r="C172" s="1296"/>
      <c r="D172" s="1295"/>
    </row>
    <row r="173" spans="1:4" s="1266" customFormat="1" x14ac:dyDescent="0.2">
      <c r="A173" s="1293">
        <v>32781</v>
      </c>
      <c r="B173" s="1295"/>
      <c r="C173" s="1296"/>
      <c r="D173" s="1295"/>
    </row>
    <row r="174" spans="1:4" s="1266" customFormat="1" x14ac:dyDescent="0.2">
      <c r="A174" s="1293">
        <v>32812</v>
      </c>
      <c r="B174" s="1295"/>
      <c r="C174" s="1296"/>
      <c r="D174" s="1295"/>
    </row>
    <row r="175" spans="1:4" s="1266" customFormat="1" x14ac:dyDescent="0.2">
      <c r="A175" s="1293">
        <v>32842</v>
      </c>
      <c r="B175" s="1295"/>
      <c r="C175" s="1296"/>
      <c r="D175" s="1295"/>
    </row>
    <row r="176" spans="1:4" s="1266" customFormat="1" x14ac:dyDescent="0.2">
      <c r="A176" s="1293">
        <v>32873</v>
      </c>
      <c r="B176" s="1295"/>
      <c r="C176" s="1296"/>
      <c r="D176" s="1295"/>
    </row>
    <row r="177" spans="1:4" s="1266" customFormat="1" x14ac:dyDescent="0.2">
      <c r="A177" s="1293">
        <v>32904</v>
      </c>
      <c r="B177" s="1295"/>
      <c r="C177" s="1296"/>
      <c r="D177" s="1295"/>
    </row>
    <row r="178" spans="1:4" s="1266" customFormat="1" x14ac:dyDescent="0.2">
      <c r="A178" s="1293">
        <v>32932</v>
      </c>
      <c r="B178" s="1295"/>
      <c r="C178" s="1296"/>
      <c r="D178" s="1295"/>
    </row>
    <row r="179" spans="1:4" s="1266" customFormat="1" x14ac:dyDescent="0.2">
      <c r="A179" s="1293">
        <v>32963</v>
      </c>
      <c r="B179" s="1295"/>
      <c r="C179" s="1296"/>
      <c r="D179" s="1295"/>
    </row>
    <row r="180" spans="1:4" s="1266" customFormat="1" x14ac:dyDescent="0.2">
      <c r="A180" s="1293">
        <v>32993</v>
      </c>
      <c r="B180" s="1295"/>
      <c r="C180" s="1296"/>
      <c r="D180" s="1295"/>
    </row>
    <row r="181" spans="1:4" s="1266" customFormat="1" x14ac:dyDescent="0.2">
      <c r="A181" s="1293">
        <v>33024</v>
      </c>
      <c r="B181" s="1295"/>
      <c r="C181" s="1296"/>
      <c r="D181" s="1295"/>
    </row>
    <row r="182" spans="1:4" s="1266" customFormat="1" x14ac:dyDescent="0.2">
      <c r="A182" s="1293">
        <v>33054</v>
      </c>
      <c r="B182" s="1295"/>
      <c r="C182" s="1296"/>
      <c r="D182" s="1295"/>
    </row>
    <row r="183" spans="1:4" s="1266" customFormat="1" x14ac:dyDescent="0.2">
      <c r="A183" s="1293">
        <v>33085</v>
      </c>
      <c r="B183" s="1295"/>
      <c r="C183" s="1296"/>
      <c r="D183" s="1295"/>
    </row>
    <row r="184" spans="1:4" s="1266" customFormat="1" x14ac:dyDescent="0.2">
      <c r="A184" s="1293">
        <v>33116</v>
      </c>
      <c r="B184" s="1295"/>
      <c r="C184" s="1296"/>
      <c r="D184" s="1295"/>
    </row>
    <row r="185" spans="1:4" s="1266" customFormat="1" x14ac:dyDescent="0.2">
      <c r="A185" s="1293">
        <v>33146</v>
      </c>
      <c r="B185" s="1295"/>
      <c r="C185" s="1296"/>
      <c r="D185" s="1295"/>
    </row>
    <row r="186" spans="1:4" s="1266" customFormat="1" x14ac:dyDescent="0.2">
      <c r="A186" s="1293">
        <v>33177</v>
      </c>
      <c r="B186" s="1295"/>
      <c r="C186" s="1296"/>
      <c r="D186" s="1295"/>
    </row>
    <row r="187" spans="1:4" s="1266" customFormat="1" x14ac:dyDescent="0.2">
      <c r="A187" s="1293">
        <v>33207</v>
      </c>
      <c r="B187" s="1295"/>
      <c r="C187" s="1296"/>
      <c r="D187" s="1295"/>
    </row>
    <row r="188" spans="1:4" s="1266" customFormat="1" x14ac:dyDescent="0.2">
      <c r="A188" s="1293">
        <v>33238</v>
      </c>
      <c r="B188" s="1295"/>
      <c r="C188" s="1296"/>
      <c r="D188" s="1295"/>
    </row>
    <row r="189" spans="1:4" s="1266" customFormat="1" x14ac:dyDescent="0.2">
      <c r="A189" s="1293">
        <v>33269</v>
      </c>
      <c r="B189" s="1295"/>
      <c r="C189" s="1296"/>
      <c r="D189" s="1295"/>
    </row>
    <row r="190" spans="1:4" s="1266" customFormat="1" x14ac:dyDescent="0.2">
      <c r="A190" s="1293">
        <v>33297</v>
      </c>
      <c r="B190" s="1295"/>
      <c r="C190" s="1296"/>
      <c r="D190" s="1295"/>
    </row>
    <row r="191" spans="1:4" s="1266" customFormat="1" x14ac:dyDescent="0.2">
      <c r="A191" s="1293">
        <v>33328</v>
      </c>
      <c r="B191" s="1295"/>
      <c r="C191" s="1296"/>
      <c r="D191" s="1295"/>
    </row>
    <row r="192" spans="1:4" s="1266" customFormat="1" x14ac:dyDescent="0.2">
      <c r="A192" s="1293">
        <v>33358</v>
      </c>
      <c r="B192" s="1295"/>
      <c r="C192" s="1296"/>
      <c r="D192" s="1295"/>
    </row>
    <row r="193" spans="1:4" s="1266" customFormat="1" x14ac:dyDescent="0.2">
      <c r="A193" s="1293">
        <v>33389</v>
      </c>
      <c r="B193" s="1295"/>
      <c r="C193" s="1296"/>
      <c r="D193" s="1295"/>
    </row>
    <row r="194" spans="1:4" s="1266" customFormat="1" x14ac:dyDescent="0.2">
      <c r="A194" s="1293">
        <v>33419</v>
      </c>
      <c r="B194" s="1295"/>
      <c r="C194" s="1296"/>
      <c r="D194" s="1295"/>
    </row>
    <row r="195" spans="1:4" s="1266" customFormat="1" x14ac:dyDescent="0.2">
      <c r="A195" s="1293">
        <v>33450</v>
      </c>
      <c r="B195" s="1295"/>
      <c r="C195" s="1296"/>
      <c r="D195" s="1295"/>
    </row>
    <row r="196" spans="1:4" s="1266" customFormat="1" x14ac:dyDescent="0.2">
      <c r="A196" s="1293">
        <v>33481</v>
      </c>
      <c r="B196" s="1295"/>
      <c r="C196" s="1296"/>
      <c r="D196" s="1295"/>
    </row>
    <row r="197" spans="1:4" s="1266" customFormat="1" x14ac:dyDescent="0.2">
      <c r="A197" s="1293">
        <v>33511</v>
      </c>
      <c r="B197" s="1295"/>
      <c r="C197" s="1296"/>
      <c r="D197" s="1295"/>
    </row>
    <row r="198" spans="1:4" s="1266" customFormat="1" x14ac:dyDescent="0.2">
      <c r="A198" s="1293">
        <v>33542</v>
      </c>
      <c r="B198" s="1295"/>
      <c r="C198" s="1296"/>
      <c r="D198" s="1295"/>
    </row>
    <row r="199" spans="1:4" s="1266" customFormat="1" x14ac:dyDescent="0.2">
      <c r="A199" s="1293">
        <v>33572</v>
      </c>
      <c r="B199" s="1295"/>
      <c r="C199" s="1296"/>
      <c r="D199" s="1295"/>
    </row>
    <row r="200" spans="1:4" s="1266" customFormat="1" x14ac:dyDescent="0.2">
      <c r="A200" s="1293">
        <v>33603</v>
      </c>
      <c r="B200" s="1295"/>
      <c r="C200" s="1296"/>
      <c r="D200" s="1295"/>
    </row>
    <row r="201" spans="1:4" s="1266" customFormat="1" x14ac:dyDescent="0.2">
      <c r="A201" s="1293">
        <v>33634</v>
      </c>
      <c r="B201" s="1295"/>
      <c r="C201" s="1296"/>
      <c r="D201" s="1295"/>
    </row>
    <row r="202" spans="1:4" s="1266" customFormat="1" x14ac:dyDescent="0.2">
      <c r="A202" s="1293">
        <v>33663</v>
      </c>
      <c r="B202" s="1295"/>
      <c r="C202" s="1296"/>
      <c r="D202" s="1295"/>
    </row>
    <row r="203" spans="1:4" s="1266" customFormat="1" x14ac:dyDescent="0.2">
      <c r="A203" s="1293">
        <v>33694</v>
      </c>
      <c r="B203" s="1295"/>
      <c r="C203" s="1296"/>
      <c r="D203" s="1295"/>
    </row>
    <row r="204" spans="1:4" s="1266" customFormat="1" x14ac:dyDescent="0.2">
      <c r="A204" s="1293">
        <v>33724</v>
      </c>
      <c r="B204" s="1295"/>
      <c r="C204" s="1296"/>
      <c r="D204" s="1295"/>
    </row>
    <row r="205" spans="1:4" s="1266" customFormat="1" x14ac:dyDescent="0.2">
      <c r="A205" s="1293">
        <v>33755</v>
      </c>
      <c r="B205" s="1295"/>
      <c r="C205" s="1296"/>
      <c r="D205" s="1295"/>
    </row>
    <row r="206" spans="1:4" s="1266" customFormat="1" x14ac:dyDescent="0.2">
      <c r="A206" s="1293">
        <v>33785</v>
      </c>
      <c r="B206" s="1295"/>
      <c r="C206" s="1296"/>
      <c r="D206" s="1295"/>
    </row>
    <row r="207" spans="1:4" s="1266" customFormat="1" x14ac:dyDescent="0.2">
      <c r="A207" s="1293">
        <v>33816</v>
      </c>
      <c r="B207" s="1295"/>
      <c r="C207" s="1296"/>
      <c r="D207" s="1295"/>
    </row>
    <row r="208" spans="1:4" s="1266" customFormat="1" x14ac:dyDescent="0.2">
      <c r="A208" s="1293">
        <v>33847</v>
      </c>
      <c r="B208" s="1295"/>
      <c r="C208" s="1296"/>
      <c r="D208" s="1295"/>
    </row>
    <row r="209" spans="1:4" s="1266" customFormat="1" x14ac:dyDescent="0.2">
      <c r="A209" s="1293">
        <v>33877</v>
      </c>
      <c r="B209" s="1295"/>
      <c r="C209" s="1296"/>
      <c r="D209" s="1295"/>
    </row>
    <row r="210" spans="1:4" s="1266" customFormat="1" x14ac:dyDescent="0.2">
      <c r="A210" s="1293">
        <v>33908</v>
      </c>
      <c r="B210" s="1295"/>
      <c r="C210" s="1296"/>
      <c r="D210" s="1295"/>
    </row>
    <row r="211" spans="1:4" s="1266" customFormat="1" x14ac:dyDescent="0.2">
      <c r="A211" s="1293">
        <v>33938</v>
      </c>
      <c r="B211" s="1295"/>
      <c r="C211" s="1296"/>
      <c r="D211" s="1295"/>
    </row>
    <row r="212" spans="1:4" s="1266" customFormat="1" x14ac:dyDescent="0.2">
      <c r="A212" s="1293">
        <v>33969</v>
      </c>
      <c r="B212" s="1295"/>
      <c r="C212" s="1296"/>
      <c r="D212" s="1295"/>
    </row>
    <row r="213" spans="1:4" s="1266" customFormat="1" x14ac:dyDescent="0.2">
      <c r="A213" s="1293">
        <v>34000</v>
      </c>
      <c r="B213" s="1295"/>
      <c r="C213" s="1296"/>
      <c r="D213" s="1295"/>
    </row>
    <row r="214" spans="1:4" s="1266" customFormat="1" x14ac:dyDescent="0.2">
      <c r="A214" s="1293">
        <v>34028</v>
      </c>
      <c r="B214" s="1295"/>
      <c r="C214" s="1296"/>
      <c r="D214" s="1295"/>
    </row>
    <row r="215" spans="1:4" s="1266" customFormat="1" x14ac:dyDescent="0.2">
      <c r="A215" s="1293">
        <v>34059</v>
      </c>
      <c r="B215" s="1295"/>
      <c r="C215" s="1296"/>
      <c r="D215" s="1295"/>
    </row>
    <row r="216" spans="1:4" s="1266" customFormat="1" x14ac:dyDescent="0.2">
      <c r="A216" s="1293">
        <v>34089</v>
      </c>
      <c r="B216" s="1295"/>
      <c r="C216" s="1296"/>
      <c r="D216" s="1295"/>
    </row>
    <row r="217" spans="1:4" s="1266" customFormat="1" x14ac:dyDescent="0.2">
      <c r="A217" s="1293">
        <v>34120</v>
      </c>
      <c r="B217" s="1295"/>
      <c r="C217" s="1296"/>
      <c r="D217" s="1295"/>
    </row>
    <row r="218" spans="1:4" s="1266" customFormat="1" x14ac:dyDescent="0.2">
      <c r="A218" s="1293">
        <v>34150</v>
      </c>
      <c r="B218" s="1295"/>
      <c r="C218" s="1296"/>
      <c r="D218" s="1295"/>
    </row>
    <row r="219" spans="1:4" s="1266" customFormat="1" x14ac:dyDescent="0.2">
      <c r="A219" s="1293">
        <v>34181</v>
      </c>
      <c r="B219" s="1295"/>
      <c r="C219" s="1296"/>
      <c r="D219" s="1295"/>
    </row>
    <row r="220" spans="1:4" s="1266" customFormat="1" x14ac:dyDescent="0.2">
      <c r="A220" s="1293">
        <v>34212</v>
      </c>
      <c r="B220" s="1295"/>
      <c r="C220" s="1296"/>
      <c r="D220" s="1295"/>
    </row>
    <row r="221" spans="1:4" s="1266" customFormat="1" x14ac:dyDescent="0.2">
      <c r="A221" s="1293">
        <v>34242</v>
      </c>
      <c r="B221" s="1295"/>
      <c r="C221" s="1296"/>
      <c r="D221" s="1295"/>
    </row>
    <row r="222" spans="1:4" s="1266" customFormat="1" x14ac:dyDescent="0.2">
      <c r="A222" s="1293">
        <v>34273</v>
      </c>
      <c r="B222" s="1295"/>
      <c r="C222" s="1296"/>
      <c r="D222" s="1295"/>
    </row>
    <row r="223" spans="1:4" s="1266" customFormat="1" x14ac:dyDescent="0.2">
      <c r="A223" s="1293">
        <v>34303</v>
      </c>
      <c r="B223" s="1295"/>
      <c r="C223" s="1296"/>
      <c r="D223" s="1295"/>
    </row>
    <row r="224" spans="1:4" s="1266" customFormat="1" x14ac:dyDescent="0.2">
      <c r="A224" s="1293">
        <v>34334</v>
      </c>
      <c r="B224" s="1295"/>
      <c r="C224" s="1296"/>
      <c r="D224" s="1295"/>
    </row>
    <row r="225" spans="1:4" s="1266" customFormat="1" x14ac:dyDescent="0.2">
      <c r="A225" s="1293">
        <v>34365</v>
      </c>
      <c r="B225" s="1295"/>
      <c r="C225" s="1296"/>
      <c r="D225" s="1295"/>
    </row>
    <row r="226" spans="1:4" s="1266" customFormat="1" x14ac:dyDescent="0.2">
      <c r="A226" s="1293">
        <v>34393</v>
      </c>
      <c r="B226" s="1295"/>
      <c r="C226" s="1296"/>
      <c r="D226" s="1295"/>
    </row>
    <row r="227" spans="1:4" s="1266" customFormat="1" x14ac:dyDescent="0.2">
      <c r="A227" s="1293">
        <v>34424</v>
      </c>
      <c r="B227" s="1295"/>
      <c r="C227" s="1296"/>
      <c r="D227" s="1295"/>
    </row>
    <row r="228" spans="1:4" s="1266" customFormat="1" x14ac:dyDescent="0.2">
      <c r="A228" s="1293">
        <v>34454</v>
      </c>
      <c r="B228" s="1295"/>
      <c r="C228" s="1296"/>
      <c r="D228" s="1295"/>
    </row>
    <row r="229" spans="1:4" s="1266" customFormat="1" x14ac:dyDescent="0.2">
      <c r="A229" s="1293">
        <v>34485</v>
      </c>
      <c r="B229" s="1295"/>
      <c r="C229" s="1296"/>
      <c r="D229" s="1295"/>
    </row>
    <row r="230" spans="1:4" s="1266" customFormat="1" x14ac:dyDescent="0.2">
      <c r="A230" s="1293">
        <v>34515</v>
      </c>
      <c r="B230" s="1295"/>
      <c r="C230" s="1296"/>
      <c r="D230" s="1295"/>
    </row>
    <row r="231" spans="1:4" s="1266" customFormat="1" x14ac:dyDescent="0.2">
      <c r="A231" s="1293">
        <v>34546</v>
      </c>
      <c r="B231" s="1295"/>
      <c r="C231" s="1296"/>
      <c r="D231" s="1295"/>
    </row>
    <row r="232" spans="1:4" s="1266" customFormat="1" x14ac:dyDescent="0.2">
      <c r="A232" s="1293">
        <v>34577</v>
      </c>
      <c r="B232" s="1295"/>
      <c r="C232" s="1296"/>
      <c r="D232" s="1295"/>
    </row>
    <row r="233" spans="1:4" s="1266" customFormat="1" x14ac:dyDescent="0.2">
      <c r="A233" s="1293">
        <v>34607</v>
      </c>
      <c r="B233" s="1295"/>
      <c r="C233" s="1296"/>
      <c r="D233" s="1295"/>
    </row>
    <row r="234" spans="1:4" s="1266" customFormat="1" x14ac:dyDescent="0.2">
      <c r="A234" s="1293">
        <v>34638</v>
      </c>
      <c r="B234" s="1295"/>
      <c r="C234" s="1296"/>
      <c r="D234" s="1295"/>
    </row>
    <row r="235" spans="1:4" s="1266" customFormat="1" x14ac:dyDescent="0.2">
      <c r="A235" s="1293">
        <v>34668</v>
      </c>
      <c r="B235" s="1295"/>
      <c r="C235" s="1296"/>
      <c r="D235" s="1295"/>
    </row>
    <row r="236" spans="1:4" s="1266" customFormat="1" x14ac:dyDescent="0.2">
      <c r="A236" s="1293">
        <v>34699</v>
      </c>
      <c r="B236" s="1295"/>
      <c r="C236" s="1296"/>
      <c r="D236" s="1295"/>
    </row>
    <row r="237" spans="1:4" s="1266" customFormat="1" x14ac:dyDescent="0.2">
      <c r="A237" s="1293">
        <v>34730</v>
      </c>
      <c r="B237" s="1295"/>
      <c r="C237" s="1296"/>
      <c r="D237" s="1295"/>
    </row>
    <row r="238" spans="1:4" s="1266" customFormat="1" x14ac:dyDescent="0.2">
      <c r="A238" s="1293">
        <v>34758</v>
      </c>
      <c r="B238" s="1295"/>
      <c r="C238" s="1296"/>
      <c r="D238" s="1295"/>
    </row>
    <row r="239" spans="1:4" s="1266" customFormat="1" x14ac:dyDescent="0.2">
      <c r="A239" s="1293">
        <v>34789</v>
      </c>
      <c r="B239" s="1295"/>
      <c r="C239" s="1296"/>
      <c r="D239" s="1295"/>
    </row>
    <row r="240" spans="1:4" s="1266" customFormat="1" x14ac:dyDescent="0.2">
      <c r="A240" s="1293">
        <v>34819</v>
      </c>
      <c r="B240" s="1295"/>
      <c r="C240" s="1296"/>
      <c r="D240" s="1295"/>
    </row>
    <row r="241" spans="1:4" s="1266" customFormat="1" x14ac:dyDescent="0.2">
      <c r="A241" s="1293">
        <v>34850</v>
      </c>
      <c r="B241" s="1295"/>
      <c r="C241" s="1296"/>
      <c r="D241" s="1295"/>
    </row>
    <row r="242" spans="1:4" s="1266" customFormat="1" x14ac:dyDescent="0.2">
      <c r="A242" s="1293">
        <v>34880</v>
      </c>
      <c r="B242" s="1295"/>
      <c r="C242" s="1296"/>
      <c r="D242" s="1295"/>
    </row>
    <row r="243" spans="1:4" s="1266" customFormat="1" x14ac:dyDescent="0.2">
      <c r="A243" s="1293">
        <v>34911</v>
      </c>
      <c r="B243" s="1295"/>
      <c r="C243" s="1296"/>
      <c r="D243" s="1295"/>
    </row>
    <row r="244" spans="1:4" s="1266" customFormat="1" x14ac:dyDescent="0.2">
      <c r="A244" s="1293">
        <v>34942</v>
      </c>
      <c r="B244" s="1295"/>
      <c r="C244" s="1296"/>
      <c r="D244" s="1295"/>
    </row>
    <row r="245" spans="1:4" s="1266" customFormat="1" x14ac:dyDescent="0.2">
      <c r="A245" s="1293">
        <v>34972</v>
      </c>
      <c r="B245" s="1295"/>
      <c r="C245" s="1296"/>
      <c r="D245" s="1295"/>
    </row>
    <row r="246" spans="1:4" s="1266" customFormat="1" x14ac:dyDescent="0.2">
      <c r="A246" s="1293">
        <v>35003</v>
      </c>
      <c r="B246" s="1295"/>
      <c r="C246" s="1296"/>
      <c r="D246" s="1295"/>
    </row>
    <row r="247" spans="1:4" s="1266" customFormat="1" x14ac:dyDescent="0.2">
      <c r="A247" s="1293">
        <v>35033</v>
      </c>
      <c r="B247" s="1295"/>
      <c r="C247" s="1296"/>
      <c r="D247" s="1295"/>
    </row>
    <row r="248" spans="1:4" s="1266" customFormat="1" x14ac:dyDescent="0.2">
      <c r="A248" s="1293">
        <v>35064</v>
      </c>
      <c r="B248" s="1295"/>
      <c r="C248" s="1296"/>
      <c r="D248" s="1295"/>
    </row>
    <row r="249" spans="1:4" s="1266" customFormat="1" x14ac:dyDescent="0.2">
      <c r="A249" s="1293">
        <v>35095</v>
      </c>
      <c r="B249" s="1295"/>
      <c r="C249" s="1296"/>
      <c r="D249" s="1295"/>
    </row>
    <row r="250" spans="1:4" s="1266" customFormat="1" x14ac:dyDescent="0.2">
      <c r="A250" s="1293">
        <v>35124</v>
      </c>
      <c r="B250" s="1295"/>
      <c r="C250" s="1296"/>
      <c r="D250" s="1295"/>
    </row>
    <row r="251" spans="1:4" s="1266" customFormat="1" x14ac:dyDescent="0.2">
      <c r="A251" s="1293">
        <v>35155</v>
      </c>
      <c r="B251" s="1295"/>
      <c r="C251" s="1296"/>
      <c r="D251" s="1295"/>
    </row>
    <row r="252" spans="1:4" s="1266" customFormat="1" x14ac:dyDescent="0.2">
      <c r="A252" s="1293">
        <v>35185</v>
      </c>
      <c r="B252" s="1295"/>
      <c r="C252" s="1296"/>
      <c r="D252" s="1295"/>
    </row>
    <row r="253" spans="1:4" s="1266" customFormat="1" x14ac:dyDescent="0.2">
      <c r="A253" s="1293">
        <v>35216</v>
      </c>
      <c r="B253" s="1295"/>
      <c r="C253" s="1296"/>
      <c r="D253" s="1295"/>
    </row>
    <row r="254" spans="1:4" s="1266" customFormat="1" x14ac:dyDescent="0.2">
      <c r="A254" s="1293">
        <v>35246</v>
      </c>
      <c r="B254" s="1295"/>
      <c r="C254" s="1296"/>
      <c r="D254" s="1295"/>
    </row>
    <row r="255" spans="1:4" s="1266" customFormat="1" x14ac:dyDescent="0.2">
      <c r="A255" s="1293">
        <v>35277</v>
      </c>
      <c r="B255" s="1295"/>
      <c r="C255" s="1296"/>
      <c r="D255" s="1295"/>
    </row>
    <row r="256" spans="1:4" s="1266" customFormat="1" x14ac:dyDescent="0.2">
      <c r="A256" s="1293">
        <v>35308</v>
      </c>
      <c r="B256" s="1295"/>
      <c r="C256" s="1296"/>
      <c r="D256" s="1295"/>
    </row>
    <row r="257" spans="1:4" s="1266" customFormat="1" x14ac:dyDescent="0.2">
      <c r="A257" s="1293">
        <v>35338</v>
      </c>
      <c r="B257" s="1295"/>
      <c r="C257" s="1296"/>
      <c r="D257" s="1295"/>
    </row>
    <row r="258" spans="1:4" s="1266" customFormat="1" x14ac:dyDescent="0.2">
      <c r="A258" s="1293">
        <v>35369</v>
      </c>
      <c r="B258" s="1295"/>
      <c r="C258" s="1296"/>
      <c r="D258" s="1295"/>
    </row>
    <row r="259" spans="1:4" s="1266" customFormat="1" x14ac:dyDescent="0.2">
      <c r="A259" s="1293">
        <v>35399</v>
      </c>
      <c r="B259" s="1295"/>
      <c r="C259" s="1296"/>
      <c r="D259" s="1295"/>
    </row>
    <row r="260" spans="1:4" s="1266" customFormat="1" x14ac:dyDescent="0.2">
      <c r="A260" s="1293">
        <v>35430</v>
      </c>
      <c r="B260" s="1295"/>
      <c r="C260" s="1296"/>
      <c r="D260" s="1295"/>
    </row>
    <row r="261" spans="1:4" s="1266" customFormat="1" x14ac:dyDescent="0.2">
      <c r="A261" s="1293">
        <v>35461</v>
      </c>
      <c r="B261" s="1295"/>
      <c r="C261" s="1296"/>
      <c r="D261" s="1295"/>
    </row>
    <row r="262" spans="1:4" s="1266" customFormat="1" x14ac:dyDescent="0.2">
      <c r="A262" s="1293">
        <v>35489</v>
      </c>
      <c r="B262" s="1295"/>
      <c r="C262" s="1296"/>
      <c r="D262" s="1295"/>
    </row>
    <row r="263" spans="1:4" s="1266" customFormat="1" x14ac:dyDescent="0.2">
      <c r="A263" s="1293">
        <v>35520</v>
      </c>
      <c r="B263" s="1295"/>
      <c r="C263" s="1296"/>
      <c r="D263" s="1295"/>
    </row>
    <row r="264" spans="1:4" s="1266" customFormat="1" x14ac:dyDescent="0.2">
      <c r="A264" s="1293">
        <v>35550</v>
      </c>
      <c r="B264" s="1295"/>
      <c r="C264" s="1296"/>
      <c r="D264" s="1295"/>
    </row>
    <row r="265" spans="1:4" s="1266" customFormat="1" x14ac:dyDescent="0.2">
      <c r="A265" s="1293">
        <v>35581</v>
      </c>
      <c r="B265" s="1295"/>
      <c r="C265" s="1296"/>
      <c r="D265" s="1295"/>
    </row>
    <row r="266" spans="1:4" s="1266" customFormat="1" x14ac:dyDescent="0.2">
      <c r="A266" s="1293">
        <v>35611</v>
      </c>
      <c r="B266" s="1295"/>
      <c r="C266" s="1296"/>
      <c r="D266" s="1295"/>
    </row>
    <row r="267" spans="1:4" s="1266" customFormat="1" x14ac:dyDescent="0.2">
      <c r="A267" s="1293">
        <v>35642</v>
      </c>
      <c r="B267" s="1295"/>
      <c r="C267" s="1296"/>
      <c r="D267" s="1295"/>
    </row>
    <row r="268" spans="1:4" s="1266" customFormat="1" x14ac:dyDescent="0.2">
      <c r="A268" s="1293">
        <v>35673</v>
      </c>
      <c r="B268" s="1295"/>
      <c r="C268" s="1296"/>
      <c r="D268" s="1295"/>
    </row>
    <row r="269" spans="1:4" s="1266" customFormat="1" x14ac:dyDescent="0.2">
      <c r="A269" s="1293">
        <v>35703</v>
      </c>
      <c r="B269" s="1295"/>
      <c r="C269" s="1296"/>
      <c r="D269" s="1295"/>
    </row>
    <row r="270" spans="1:4" s="1266" customFormat="1" x14ac:dyDescent="0.2">
      <c r="A270" s="1293">
        <v>35734</v>
      </c>
      <c r="B270" s="1295"/>
      <c r="C270" s="1296"/>
      <c r="D270" s="1295"/>
    </row>
    <row r="271" spans="1:4" s="1266" customFormat="1" x14ac:dyDescent="0.2">
      <c r="A271" s="1293">
        <v>35764</v>
      </c>
      <c r="B271" s="1295"/>
      <c r="C271" s="1296"/>
      <c r="D271" s="1295"/>
    </row>
    <row r="272" spans="1:4" s="1266" customFormat="1" x14ac:dyDescent="0.2">
      <c r="A272" s="1293">
        <v>35795</v>
      </c>
      <c r="B272" s="1295"/>
      <c r="C272" s="1296"/>
      <c r="D272" s="1295"/>
    </row>
    <row r="273" spans="1:4" s="1266" customFormat="1" x14ac:dyDescent="0.2">
      <c r="A273" s="1293">
        <v>35826</v>
      </c>
      <c r="B273" s="1295"/>
      <c r="C273" s="1296"/>
      <c r="D273" s="1295"/>
    </row>
    <row r="274" spans="1:4" s="1266" customFormat="1" x14ac:dyDescent="0.2">
      <c r="A274" s="1293">
        <v>35854</v>
      </c>
      <c r="B274" s="1295"/>
      <c r="C274" s="1297"/>
      <c r="D274" s="1295"/>
    </row>
    <row r="275" spans="1:4" s="1266" customFormat="1" x14ac:dyDescent="0.2">
      <c r="A275" s="1293">
        <v>35885</v>
      </c>
      <c r="B275" s="1295"/>
      <c r="C275" s="1297"/>
      <c r="D275" s="1295"/>
    </row>
    <row r="276" spans="1:4" s="1266" customFormat="1" x14ac:dyDescent="0.2">
      <c r="A276" s="1293">
        <v>35915</v>
      </c>
      <c r="B276" s="1295"/>
      <c r="C276" s="1297"/>
      <c r="D276" s="1295"/>
    </row>
    <row r="277" spans="1:4" s="1266" customFormat="1" x14ac:dyDescent="0.2">
      <c r="A277" s="1293">
        <v>35946</v>
      </c>
      <c r="B277" s="1295"/>
      <c r="C277" s="1297"/>
      <c r="D277" s="1295"/>
    </row>
    <row r="278" spans="1:4" s="1266" customFormat="1" x14ac:dyDescent="0.2">
      <c r="A278" s="1293">
        <v>35976</v>
      </c>
      <c r="B278" s="1295"/>
      <c r="C278" s="1297"/>
      <c r="D278" s="1295"/>
    </row>
    <row r="279" spans="1:4" s="1266" customFormat="1" x14ac:dyDescent="0.2">
      <c r="A279" s="1293">
        <v>36007</v>
      </c>
      <c r="B279" s="1295"/>
      <c r="C279" s="1297"/>
      <c r="D279" s="1295"/>
    </row>
    <row r="280" spans="1:4" s="1266" customFormat="1" x14ac:dyDescent="0.2">
      <c r="A280" s="1293">
        <v>36038</v>
      </c>
      <c r="B280" s="1295"/>
      <c r="C280" s="1297"/>
      <c r="D280" s="1295"/>
    </row>
    <row r="281" spans="1:4" s="1266" customFormat="1" x14ac:dyDescent="0.2">
      <c r="A281" s="1293">
        <v>36068</v>
      </c>
      <c r="B281" s="1295"/>
      <c r="C281" s="1297"/>
      <c r="D281" s="1295"/>
    </row>
    <row r="282" spans="1:4" s="1266" customFormat="1" x14ac:dyDescent="0.2">
      <c r="A282" s="1293">
        <v>36099</v>
      </c>
      <c r="B282" s="1295"/>
      <c r="C282" s="1297"/>
      <c r="D282" s="1295"/>
    </row>
    <row r="283" spans="1:4" s="1266" customFormat="1" x14ac:dyDescent="0.2">
      <c r="A283" s="1293">
        <v>36129</v>
      </c>
      <c r="B283" s="1295"/>
      <c r="C283" s="1297"/>
      <c r="D283" s="1295"/>
    </row>
    <row r="284" spans="1:4" s="1266" customFormat="1" x14ac:dyDescent="0.2">
      <c r="A284" s="1293">
        <v>36160</v>
      </c>
      <c r="B284" s="1295"/>
      <c r="C284" s="1297"/>
      <c r="D284" s="1295"/>
    </row>
    <row r="285" spans="1:4" s="1266" customFormat="1" x14ac:dyDescent="0.2">
      <c r="A285" s="1293">
        <v>36191</v>
      </c>
      <c r="B285" s="1295"/>
      <c r="C285" s="1297"/>
      <c r="D285" s="1295"/>
    </row>
    <row r="286" spans="1:4" s="1266" customFormat="1" x14ac:dyDescent="0.2">
      <c r="A286" s="1293">
        <v>36219</v>
      </c>
      <c r="B286" s="1295"/>
      <c r="C286" s="1297"/>
      <c r="D286" s="1295"/>
    </row>
    <row r="287" spans="1:4" s="1266" customFormat="1" x14ac:dyDescent="0.2">
      <c r="A287" s="1293">
        <v>36250</v>
      </c>
      <c r="B287" s="1295"/>
      <c r="C287" s="1297"/>
      <c r="D287" s="1295"/>
    </row>
    <row r="288" spans="1:4" s="1266" customFormat="1" x14ac:dyDescent="0.2">
      <c r="A288" s="1293">
        <v>36280</v>
      </c>
      <c r="B288" s="1295"/>
      <c r="C288" s="1297"/>
      <c r="D288" s="1295"/>
    </row>
    <row r="289" spans="1:4" s="1266" customFormat="1" x14ac:dyDescent="0.2">
      <c r="A289" s="1293">
        <v>36311</v>
      </c>
      <c r="B289" s="1295"/>
      <c r="C289" s="1297"/>
      <c r="D289" s="1295"/>
    </row>
    <row r="290" spans="1:4" s="1266" customFormat="1" x14ac:dyDescent="0.2">
      <c r="A290" s="1293">
        <v>36341</v>
      </c>
      <c r="B290" s="1295"/>
      <c r="C290" s="1297"/>
      <c r="D290" s="1295"/>
    </row>
    <row r="291" spans="1:4" s="1266" customFormat="1" x14ac:dyDescent="0.2">
      <c r="A291" s="1293">
        <v>36372</v>
      </c>
      <c r="B291" s="1295"/>
      <c r="C291" s="1297"/>
      <c r="D291" s="1295"/>
    </row>
    <row r="292" spans="1:4" s="1266" customFormat="1" x14ac:dyDescent="0.2">
      <c r="A292" s="1293">
        <v>36403</v>
      </c>
      <c r="B292" s="1295"/>
      <c r="C292" s="1297"/>
      <c r="D292" s="1295"/>
    </row>
    <row r="293" spans="1:4" s="1266" customFormat="1" x14ac:dyDescent="0.2">
      <c r="A293" s="1293">
        <v>36433</v>
      </c>
      <c r="B293" s="1295"/>
      <c r="C293" s="1297"/>
      <c r="D293" s="1295"/>
    </row>
    <row r="294" spans="1:4" s="1266" customFormat="1" x14ac:dyDescent="0.2">
      <c r="A294" s="1293">
        <v>36464</v>
      </c>
      <c r="B294" s="1295"/>
      <c r="C294" s="1297"/>
      <c r="D294" s="1295"/>
    </row>
    <row r="295" spans="1:4" s="1266" customFormat="1" x14ac:dyDescent="0.2">
      <c r="A295" s="1293">
        <v>36494</v>
      </c>
      <c r="B295" s="1295"/>
      <c r="C295" s="1297"/>
      <c r="D295" s="1295"/>
    </row>
    <row r="296" spans="1:4" s="1266" customFormat="1" x14ac:dyDescent="0.2">
      <c r="A296" s="1293">
        <v>36525</v>
      </c>
      <c r="B296" s="1295"/>
      <c r="C296" s="1297"/>
      <c r="D296" s="1295"/>
    </row>
    <row r="297" spans="1:4" s="1266" customFormat="1" x14ac:dyDescent="0.2">
      <c r="A297" s="1293">
        <v>36556</v>
      </c>
      <c r="B297" s="1295"/>
      <c r="C297" s="1297"/>
      <c r="D297" s="1295"/>
    </row>
    <row r="298" spans="1:4" s="1266" customFormat="1" x14ac:dyDescent="0.2">
      <c r="A298" s="1293">
        <v>36585</v>
      </c>
      <c r="B298" s="1295"/>
      <c r="C298" s="1297"/>
      <c r="D298" s="1295"/>
    </row>
    <row r="299" spans="1:4" s="1266" customFormat="1" x14ac:dyDescent="0.2">
      <c r="A299" s="1293">
        <v>36616</v>
      </c>
      <c r="B299" s="1295"/>
      <c r="C299" s="1297"/>
      <c r="D299" s="1295"/>
    </row>
    <row r="300" spans="1:4" s="1266" customFormat="1" x14ac:dyDescent="0.2">
      <c r="A300" s="1293">
        <v>36646</v>
      </c>
      <c r="B300" s="1295"/>
      <c r="C300" s="1297"/>
      <c r="D300" s="1295"/>
    </row>
    <row r="301" spans="1:4" s="1266" customFormat="1" x14ac:dyDescent="0.2">
      <c r="A301" s="1293">
        <v>36677</v>
      </c>
      <c r="B301" s="1295"/>
      <c r="C301" s="1297"/>
      <c r="D301" s="1295"/>
    </row>
    <row r="302" spans="1:4" s="1266" customFormat="1" x14ac:dyDescent="0.2">
      <c r="A302" s="1293">
        <v>36707</v>
      </c>
      <c r="B302" s="1295"/>
      <c r="C302" s="1297"/>
      <c r="D302" s="1295"/>
    </row>
    <row r="303" spans="1:4" s="1266" customFormat="1" x14ac:dyDescent="0.2">
      <c r="A303" s="1293">
        <v>36738</v>
      </c>
      <c r="B303" s="1295"/>
      <c r="C303" s="1297"/>
      <c r="D303" s="1295"/>
    </row>
    <row r="304" spans="1:4" s="1266" customFormat="1" x14ac:dyDescent="0.2">
      <c r="A304" s="1293">
        <v>36769</v>
      </c>
      <c r="B304" s="1295"/>
      <c r="C304" s="1297"/>
      <c r="D304" s="1295"/>
    </row>
    <row r="305" spans="1:4" s="1266" customFormat="1" x14ac:dyDescent="0.2">
      <c r="A305" s="1293">
        <v>36799</v>
      </c>
      <c r="B305" s="1298"/>
      <c r="C305" s="1299"/>
      <c r="D305" s="1295"/>
    </row>
    <row r="306" spans="1:4" s="1266" customFormat="1" x14ac:dyDescent="0.2">
      <c r="A306" s="1293">
        <v>36830</v>
      </c>
      <c r="B306" s="1300"/>
      <c r="C306" s="1299"/>
      <c r="D306" s="1300"/>
    </row>
    <row r="307" spans="1:4" s="1266" customFormat="1" x14ac:dyDescent="0.2">
      <c r="A307" s="1293">
        <v>36860</v>
      </c>
      <c r="B307" s="1300"/>
      <c r="C307" s="1299"/>
      <c r="D307" s="1300"/>
    </row>
    <row r="308" spans="1:4" s="1266" customFormat="1" x14ac:dyDescent="0.2">
      <c r="A308" s="1293">
        <v>36891</v>
      </c>
      <c r="B308" s="1300"/>
      <c r="C308" s="1299"/>
      <c r="D308" s="1300"/>
    </row>
    <row r="309" spans="1:4" s="1266" customFormat="1" x14ac:dyDescent="0.2">
      <c r="A309" s="1293">
        <v>36922</v>
      </c>
      <c r="B309" s="1300"/>
      <c r="C309" s="1299"/>
      <c r="D309" s="1300"/>
    </row>
    <row r="310" spans="1:4" s="1266" customFormat="1" x14ac:dyDescent="0.2">
      <c r="A310" s="1293">
        <v>36950</v>
      </c>
      <c r="B310" s="1300"/>
      <c r="C310" s="1299"/>
      <c r="D310" s="1300"/>
    </row>
    <row r="311" spans="1:4" s="1266" customFormat="1" x14ac:dyDescent="0.2">
      <c r="A311" s="1293">
        <v>36981</v>
      </c>
      <c r="B311" s="1300"/>
      <c r="C311" s="1299"/>
      <c r="D311" s="1300"/>
    </row>
    <row r="312" spans="1:4" s="1266" customFormat="1" x14ac:dyDescent="0.2">
      <c r="A312" s="1293">
        <v>37011</v>
      </c>
      <c r="B312" s="1300"/>
      <c r="C312" s="1299"/>
      <c r="D312" s="1300"/>
    </row>
    <row r="313" spans="1:4" s="1266" customFormat="1" x14ac:dyDescent="0.2">
      <c r="A313" s="1293">
        <v>37042</v>
      </c>
      <c r="B313" s="1300"/>
      <c r="C313" s="1299"/>
      <c r="D313" s="1300"/>
    </row>
    <row r="314" spans="1:4" s="1266" customFormat="1" x14ac:dyDescent="0.2">
      <c r="A314" s="1293">
        <v>37072</v>
      </c>
      <c r="B314" s="1300"/>
      <c r="C314" s="1299"/>
      <c r="D314" s="1300"/>
    </row>
    <row r="315" spans="1:4" s="1266" customFormat="1" x14ac:dyDescent="0.2">
      <c r="A315" s="1293">
        <v>37103</v>
      </c>
      <c r="B315" s="1300"/>
      <c r="C315" s="1299"/>
      <c r="D315" s="1300"/>
    </row>
    <row r="316" spans="1:4" s="1266" customFormat="1" x14ac:dyDescent="0.2">
      <c r="A316" s="1293">
        <v>37134</v>
      </c>
      <c r="B316" s="1300"/>
      <c r="C316" s="1299"/>
      <c r="D316" s="1300"/>
    </row>
    <row r="317" spans="1:4" s="1266" customFormat="1" x14ac:dyDescent="0.2">
      <c r="A317" s="1293">
        <v>37164</v>
      </c>
      <c r="B317" s="1300"/>
      <c r="C317" s="1299"/>
      <c r="D317" s="1300"/>
    </row>
    <row r="318" spans="1:4" s="1266" customFormat="1" x14ac:dyDescent="0.2">
      <c r="A318" s="1293">
        <v>37195</v>
      </c>
      <c r="B318" s="1300"/>
      <c r="C318" s="1299"/>
      <c r="D318" s="1300"/>
    </row>
    <row r="319" spans="1:4" s="1266" customFormat="1" x14ac:dyDescent="0.2">
      <c r="A319" s="1293">
        <v>37225</v>
      </c>
      <c r="B319" s="1300"/>
      <c r="C319" s="1299"/>
      <c r="D319" s="1300"/>
    </row>
    <row r="320" spans="1:4" s="1266" customFormat="1" x14ac:dyDescent="0.2">
      <c r="A320" s="1293">
        <v>37256</v>
      </c>
      <c r="B320" s="1300"/>
      <c r="C320" s="1299"/>
      <c r="D320" s="1300"/>
    </row>
    <row r="321" spans="1:4" s="1266" customFormat="1" x14ac:dyDescent="0.2">
      <c r="A321" s="1293">
        <v>37287</v>
      </c>
      <c r="B321" s="1300"/>
      <c r="C321" s="1299"/>
      <c r="D321" s="1300"/>
    </row>
    <row r="322" spans="1:4" s="1266" customFormat="1" x14ac:dyDescent="0.2">
      <c r="A322" s="1293">
        <v>37315</v>
      </c>
      <c r="B322" s="1300"/>
      <c r="C322" s="1299"/>
      <c r="D322" s="1300"/>
    </row>
    <row r="323" spans="1:4" s="1266" customFormat="1" x14ac:dyDescent="0.2">
      <c r="A323" s="1293">
        <v>37346</v>
      </c>
      <c r="B323" s="1300"/>
      <c r="C323" s="1299"/>
      <c r="D323" s="1300"/>
    </row>
    <row r="324" spans="1:4" s="1266" customFormat="1" x14ac:dyDescent="0.2">
      <c r="A324" s="1293">
        <v>37376</v>
      </c>
      <c r="B324" s="1300"/>
      <c r="C324" s="1299"/>
      <c r="D324" s="1300"/>
    </row>
    <row r="325" spans="1:4" s="1266" customFormat="1" x14ac:dyDescent="0.2">
      <c r="A325" s="1293">
        <v>37407</v>
      </c>
      <c r="B325" s="1300"/>
      <c r="C325" s="1299"/>
      <c r="D325" s="1300"/>
    </row>
    <row r="326" spans="1:4" s="1266" customFormat="1" x14ac:dyDescent="0.2">
      <c r="A326" s="1293">
        <v>37437</v>
      </c>
      <c r="B326" s="1300"/>
      <c r="C326" s="1299"/>
      <c r="D326" s="1300"/>
    </row>
    <row r="327" spans="1:4" s="1266" customFormat="1" x14ac:dyDescent="0.2">
      <c r="A327" s="1293">
        <v>37468</v>
      </c>
      <c r="B327" s="1300"/>
      <c r="C327" s="1299"/>
      <c r="D327" s="1300"/>
    </row>
    <row r="328" spans="1:4" s="1266" customFormat="1" x14ac:dyDescent="0.2">
      <c r="A328" s="1293">
        <v>37499</v>
      </c>
      <c r="B328" s="1300"/>
      <c r="C328" s="1299"/>
      <c r="D328" s="1300"/>
    </row>
    <row r="329" spans="1:4" s="1266" customFormat="1" x14ac:dyDescent="0.2">
      <c r="A329" s="1293">
        <v>37529</v>
      </c>
      <c r="B329" s="1300"/>
      <c r="C329" s="1299"/>
      <c r="D329" s="1300"/>
    </row>
    <row r="330" spans="1:4" s="1266" customFormat="1" x14ac:dyDescent="0.2">
      <c r="A330" s="1293">
        <v>37560</v>
      </c>
      <c r="B330" s="1300"/>
      <c r="C330" s="1299"/>
      <c r="D330" s="1300"/>
    </row>
    <row r="331" spans="1:4" s="1266" customFormat="1" x14ac:dyDescent="0.2">
      <c r="A331" s="1293">
        <v>37590</v>
      </c>
      <c r="B331" s="1300"/>
      <c r="C331" s="1299"/>
      <c r="D331" s="1300"/>
    </row>
    <row r="332" spans="1:4" s="1266" customFormat="1" x14ac:dyDescent="0.2">
      <c r="A332" s="1293">
        <v>37621</v>
      </c>
      <c r="B332" s="1300"/>
      <c r="C332" s="1299"/>
      <c r="D332" s="1300"/>
    </row>
    <row r="333" spans="1:4" s="1266" customFormat="1" x14ac:dyDescent="0.2">
      <c r="A333" s="1293">
        <v>37652</v>
      </c>
      <c r="B333" s="1300"/>
      <c r="C333" s="1299"/>
      <c r="D333" s="1300"/>
    </row>
    <row r="334" spans="1:4" s="1266" customFormat="1" x14ac:dyDescent="0.2">
      <c r="A334" s="1293">
        <v>37680</v>
      </c>
      <c r="B334" s="1300"/>
      <c r="C334" s="1299"/>
      <c r="D334" s="1300"/>
    </row>
    <row r="335" spans="1:4" s="1266" customFormat="1" x14ac:dyDescent="0.2">
      <c r="A335" s="1293">
        <v>37711</v>
      </c>
      <c r="B335" s="1300"/>
      <c r="C335" s="1299"/>
      <c r="D335" s="1300"/>
    </row>
    <row r="336" spans="1:4" s="1266" customFormat="1" x14ac:dyDescent="0.2">
      <c r="A336" s="1293">
        <v>37741</v>
      </c>
      <c r="B336" s="1300"/>
      <c r="C336" s="1299"/>
      <c r="D336" s="1300"/>
    </row>
    <row r="337" spans="1:4" s="1266" customFormat="1" x14ac:dyDescent="0.2">
      <c r="A337" s="1293">
        <v>37772</v>
      </c>
      <c r="B337" s="1300"/>
      <c r="C337" s="1299"/>
      <c r="D337" s="1300"/>
    </row>
    <row r="338" spans="1:4" s="1266" customFormat="1" x14ac:dyDescent="0.2">
      <c r="A338" s="1293">
        <v>37802</v>
      </c>
      <c r="B338" s="1300"/>
      <c r="C338" s="1299"/>
      <c r="D338" s="1300"/>
    </row>
    <row r="339" spans="1:4" s="1266" customFormat="1" x14ac:dyDescent="0.2">
      <c r="A339" s="1293">
        <v>37833</v>
      </c>
      <c r="B339" s="1300"/>
      <c r="C339" s="1299"/>
      <c r="D339" s="1300"/>
    </row>
    <row r="340" spans="1:4" s="1266" customFormat="1" x14ac:dyDescent="0.2">
      <c r="A340" s="1293">
        <v>37864</v>
      </c>
      <c r="B340" s="1300"/>
      <c r="C340" s="1299"/>
      <c r="D340" s="1300"/>
    </row>
    <row r="341" spans="1:4" s="1266" customFormat="1" x14ac:dyDescent="0.2">
      <c r="A341" s="1293">
        <v>37894</v>
      </c>
      <c r="B341" s="1300"/>
      <c r="C341" s="1302"/>
      <c r="D341" s="1300"/>
    </row>
    <row r="342" spans="1:4" s="1266" customFormat="1" x14ac:dyDescent="0.2">
      <c r="A342" s="1293">
        <v>37925</v>
      </c>
      <c r="B342" s="1300"/>
      <c r="C342" s="1302"/>
      <c r="D342" s="1300"/>
    </row>
    <row r="343" spans="1:4" s="1266" customFormat="1" x14ac:dyDescent="0.2">
      <c r="A343" s="1293">
        <v>37955</v>
      </c>
      <c r="B343" s="1300"/>
      <c r="C343" s="1302"/>
      <c r="D343" s="1300"/>
    </row>
    <row r="344" spans="1:4" s="1266" customFormat="1" x14ac:dyDescent="0.2">
      <c r="A344" s="1293">
        <v>37986</v>
      </c>
      <c r="B344" s="1300"/>
      <c r="C344" s="1302"/>
      <c r="D344" s="1300"/>
    </row>
    <row r="345" spans="1:4" s="1266" customFormat="1" x14ac:dyDescent="0.2">
      <c r="A345" s="1293">
        <v>38017</v>
      </c>
      <c r="B345" s="1300"/>
      <c r="C345" s="1302"/>
      <c r="D345" s="1300"/>
    </row>
    <row r="346" spans="1:4" s="1266" customFormat="1" x14ac:dyDescent="0.2">
      <c r="A346" s="1293">
        <v>38046</v>
      </c>
      <c r="B346" s="1300"/>
      <c r="C346" s="1302"/>
      <c r="D346" s="1300"/>
    </row>
    <row r="347" spans="1:4" s="1266" customFormat="1" x14ac:dyDescent="0.2">
      <c r="A347" s="1293">
        <v>38077</v>
      </c>
      <c r="B347" s="1300"/>
      <c r="C347" s="1302"/>
      <c r="D347" s="1303"/>
    </row>
    <row r="348" spans="1:4" s="1266" customFormat="1" x14ac:dyDescent="0.2">
      <c r="A348" s="1293">
        <v>38107</v>
      </c>
      <c r="B348" s="1300"/>
      <c r="C348" s="1302"/>
      <c r="D348" s="1300"/>
    </row>
    <row r="349" spans="1:4" s="1266" customFormat="1" x14ac:dyDescent="0.2">
      <c r="A349" s="1293">
        <v>38138</v>
      </c>
      <c r="B349" s="1300"/>
      <c r="C349" s="1302"/>
      <c r="D349" s="1300"/>
    </row>
    <row r="350" spans="1:4" s="1266" customFormat="1" x14ac:dyDescent="0.2">
      <c r="A350" s="1293">
        <v>38168</v>
      </c>
      <c r="B350" s="1300"/>
      <c r="C350" s="1302"/>
      <c r="D350" s="1300"/>
    </row>
    <row r="351" spans="1:4" s="1266" customFormat="1" x14ac:dyDescent="0.2">
      <c r="A351" s="1293">
        <v>38199</v>
      </c>
      <c r="B351" s="1300"/>
      <c r="C351" s="1302"/>
      <c r="D351" s="1300"/>
    </row>
    <row r="352" spans="1:4" s="1266" customFormat="1" x14ac:dyDescent="0.2">
      <c r="A352" s="1293">
        <v>38230</v>
      </c>
      <c r="B352" s="1300"/>
      <c r="C352" s="1302"/>
      <c r="D352" s="1300"/>
    </row>
    <row r="353" spans="1:4" s="1266" customFormat="1" x14ac:dyDescent="0.2">
      <c r="A353" s="1293">
        <v>38260</v>
      </c>
      <c r="B353" s="1300"/>
      <c r="C353" s="1302"/>
      <c r="D353" s="1300"/>
    </row>
    <row r="354" spans="1:4" s="1266" customFormat="1" x14ac:dyDescent="0.2">
      <c r="A354" s="1293">
        <v>38291</v>
      </c>
      <c r="B354" s="1300"/>
      <c r="C354" s="1302"/>
      <c r="D354" s="1300"/>
    </row>
    <row r="355" spans="1:4" s="1266" customFormat="1" x14ac:dyDescent="0.2">
      <c r="A355" s="1293">
        <v>38321</v>
      </c>
      <c r="B355" s="1300"/>
      <c r="C355" s="1302"/>
      <c r="D355" s="1300"/>
    </row>
    <row r="356" spans="1:4" s="1266" customFormat="1" x14ac:dyDescent="0.2">
      <c r="A356" s="1293">
        <v>38352</v>
      </c>
      <c r="B356" s="1300"/>
      <c r="C356" s="1304"/>
      <c r="D356" s="1300"/>
    </row>
    <row r="357" spans="1:4" s="1266" customFormat="1" x14ac:dyDescent="0.2">
      <c r="A357" s="1293">
        <v>38383</v>
      </c>
      <c r="B357" s="1300"/>
      <c r="C357" s="1302"/>
      <c r="D357" s="1300"/>
    </row>
    <row r="358" spans="1:4" s="1266" customFormat="1" x14ac:dyDescent="0.2">
      <c r="A358" s="1293">
        <v>38411</v>
      </c>
      <c r="B358" s="1300"/>
      <c r="C358" s="1302"/>
      <c r="D358" s="1300"/>
    </row>
    <row r="359" spans="1:4" s="1266" customFormat="1" x14ac:dyDescent="0.2">
      <c r="A359" s="1293">
        <v>38442</v>
      </c>
      <c r="B359" s="1300"/>
      <c r="C359" s="1304"/>
      <c r="D359" s="1300"/>
    </row>
    <row r="360" spans="1:4" s="1266" customFormat="1" x14ac:dyDescent="0.2">
      <c r="A360" s="1293">
        <v>38472</v>
      </c>
      <c r="B360" s="1300"/>
      <c r="C360" s="1304"/>
      <c r="D360" s="1300"/>
    </row>
    <row r="361" spans="1:4" s="1266" customFormat="1" x14ac:dyDescent="0.2">
      <c r="A361" s="1293">
        <v>38503</v>
      </c>
      <c r="B361" s="1300"/>
      <c r="C361" s="1304"/>
      <c r="D361" s="1300"/>
    </row>
    <row r="362" spans="1:4" s="1266" customFormat="1" x14ac:dyDescent="0.2">
      <c r="A362" s="1293">
        <v>38533</v>
      </c>
      <c r="B362" s="1300"/>
      <c r="C362" s="1304"/>
      <c r="D362" s="1300"/>
    </row>
    <row r="363" spans="1:4" s="1266" customFormat="1" x14ac:dyDescent="0.2">
      <c r="A363" s="1293">
        <v>38564</v>
      </c>
      <c r="B363" s="1300"/>
      <c r="C363" s="1304"/>
      <c r="D363" s="1300"/>
    </row>
    <row r="364" spans="1:4" s="1266" customFormat="1" x14ac:dyDescent="0.2">
      <c r="A364" s="1293">
        <v>38595</v>
      </c>
      <c r="B364" s="1300"/>
      <c r="C364" s="1304"/>
      <c r="D364" s="1300"/>
    </row>
    <row r="365" spans="1:4" s="1266" customFormat="1" x14ac:dyDescent="0.2">
      <c r="A365" s="1293">
        <v>38625</v>
      </c>
      <c r="B365" s="1300"/>
      <c r="C365" s="1304"/>
      <c r="D365" s="1300"/>
    </row>
    <row r="366" spans="1:4" s="1266" customFormat="1" x14ac:dyDescent="0.2">
      <c r="A366" s="1293">
        <v>38656</v>
      </c>
      <c r="B366" s="1300"/>
      <c r="C366" s="1304"/>
      <c r="D366" s="1300"/>
    </row>
    <row r="367" spans="1:4" s="1266" customFormat="1" x14ac:dyDescent="0.2">
      <c r="A367" s="1293">
        <v>38686</v>
      </c>
      <c r="B367" s="1300"/>
      <c r="C367" s="1304"/>
      <c r="D367" s="1300"/>
    </row>
    <row r="368" spans="1:4" s="1266" customFormat="1" x14ac:dyDescent="0.2">
      <c r="A368" s="1293">
        <v>38717</v>
      </c>
      <c r="B368" s="1300"/>
      <c r="C368" s="1304"/>
      <c r="D368" s="1300"/>
    </row>
    <row r="369" spans="1:6" s="1266" customFormat="1" x14ac:dyDescent="0.2">
      <c r="A369" s="1293">
        <v>38748</v>
      </c>
      <c r="B369" s="1300"/>
      <c r="C369" s="1304"/>
      <c r="D369" s="1300"/>
      <c r="E369" s="1301"/>
    </row>
    <row r="370" spans="1:6" s="1266" customFormat="1" x14ac:dyDescent="0.2">
      <c r="A370" s="1293">
        <v>38776</v>
      </c>
      <c r="B370" s="1300"/>
      <c r="C370" s="1304"/>
      <c r="D370" s="1300"/>
      <c r="E370" s="1301"/>
    </row>
    <row r="371" spans="1:6" s="1266" customFormat="1" x14ac:dyDescent="0.2">
      <c r="A371" s="1293">
        <v>38807</v>
      </c>
      <c r="B371" s="1300"/>
      <c r="C371" s="1299"/>
      <c r="D371" s="1300"/>
      <c r="E371" s="1301"/>
    </row>
    <row r="372" spans="1:6" s="1266" customFormat="1" x14ac:dyDescent="0.2">
      <c r="A372" s="1293">
        <v>38837</v>
      </c>
      <c r="B372" s="1300"/>
      <c r="C372" s="1299"/>
      <c r="D372" s="1300"/>
      <c r="E372" s="1301"/>
    </row>
    <row r="373" spans="1:6" s="1266" customFormat="1" x14ac:dyDescent="0.2">
      <c r="A373" s="1293">
        <v>38868</v>
      </c>
      <c r="B373" s="1300"/>
      <c r="C373" s="1299"/>
      <c r="D373" s="1300"/>
      <c r="E373" s="1301"/>
    </row>
    <row r="374" spans="1:6" s="1266" customFormat="1" x14ac:dyDescent="0.2">
      <c r="A374" s="1293">
        <v>38898</v>
      </c>
      <c r="B374" s="1372"/>
      <c r="C374" s="1387"/>
      <c r="D374" s="1300"/>
      <c r="E374" s="1301"/>
    </row>
    <row r="375" spans="1:6" s="1266" customFormat="1" x14ac:dyDescent="0.2">
      <c r="A375" s="1293">
        <v>38929</v>
      </c>
      <c r="B375" s="1300"/>
      <c r="C375" s="1302"/>
      <c r="D375" s="1300"/>
      <c r="E375" s="1301"/>
    </row>
    <row r="376" spans="1:6" s="1266" customFormat="1" x14ac:dyDescent="0.2">
      <c r="A376" s="1293">
        <v>38960</v>
      </c>
      <c r="B376" s="1300"/>
      <c r="C376" s="1302"/>
      <c r="D376" s="1300"/>
      <c r="E376" s="1301"/>
    </row>
    <row r="377" spans="1:6" s="1266" customFormat="1" x14ac:dyDescent="0.2">
      <c r="A377" s="1293">
        <v>38990</v>
      </c>
      <c r="B377" s="1300"/>
      <c r="C377" s="1302"/>
      <c r="D377" s="1300"/>
      <c r="E377" s="1301"/>
    </row>
    <row r="378" spans="1:6" s="1266" customFormat="1" x14ac:dyDescent="0.2">
      <c r="A378" s="1293">
        <v>39021</v>
      </c>
      <c r="B378" s="1300"/>
      <c r="C378" s="1302"/>
      <c r="D378" s="1300"/>
      <c r="E378" s="1301"/>
      <c r="F378" s="1305"/>
    </row>
    <row r="379" spans="1:6" s="1266" customFormat="1" x14ac:dyDescent="0.2">
      <c r="A379" s="1293">
        <v>39051</v>
      </c>
      <c r="B379" s="1300"/>
      <c r="C379" s="1302"/>
      <c r="D379" s="1300"/>
      <c r="E379" s="1301"/>
      <c r="F379" s="1305"/>
    </row>
    <row r="380" spans="1:6" s="1266" customFormat="1" x14ac:dyDescent="0.2">
      <c r="A380" s="1293">
        <v>39082</v>
      </c>
      <c r="B380" s="1300"/>
      <c r="C380" s="1302"/>
      <c r="D380" s="1300"/>
      <c r="E380" s="1301"/>
      <c r="F380" s="1305"/>
    </row>
    <row r="381" spans="1:6" s="1266" customFormat="1" x14ac:dyDescent="0.2">
      <c r="A381" s="1293">
        <v>39113</v>
      </c>
      <c r="B381" s="1300"/>
      <c r="C381" s="1307"/>
      <c r="D381" s="1306"/>
      <c r="E381" s="1301"/>
      <c r="F381" s="1305"/>
    </row>
    <row r="382" spans="1:6" s="1266" customFormat="1" x14ac:dyDescent="0.2">
      <c r="A382" s="1293">
        <v>39141</v>
      </c>
      <c r="B382" s="1300"/>
      <c r="C382" s="1307"/>
      <c r="D382" s="1306"/>
      <c r="E382" s="1301"/>
      <c r="F382" s="1305"/>
    </row>
    <row r="383" spans="1:6" s="1266" customFormat="1" x14ac:dyDescent="0.2">
      <c r="A383" s="1293">
        <v>39172</v>
      </c>
      <c r="B383" s="1300"/>
      <c r="C383" s="1307"/>
      <c r="D383" s="1306"/>
      <c r="E383" s="1301"/>
    </row>
    <row r="384" spans="1:6" s="1266" customFormat="1" x14ac:dyDescent="0.2">
      <c r="A384" s="1293">
        <v>39202</v>
      </c>
      <c r="B384" s="1300"/>
      <c r="C384" s="1307"/>
      <c r="D384" s="1306"/>
      <c r="E384" s="1301"/>
    </row>
    <row r="385" spans="1:3" s="1266" customFormat="1" x14ac:dyDescent="0.2">
      <c r="A385" s="1293">
        <v>39233</v>
      </c>
      <c r="B385" s="1300"/>
      <c r="C385" s="1307"/>
    </row>
    <row r="386" spans="1:3" s="1266" customFormat="1" x14ac:dyDescent="0.2">
      <c r="A386" s="1293">
        <v>39263</v>
      </c>
      <c r="B386" s="1300"/>
      <c r="C386" s="1307"/>
    </row>
    <row r="387" spans="1:3" s="1266" customFormat="1" x14ac:dyDescent="0.2">
      <c r="A387" s="1293">
        <v>39294</v>
      </c>
      <c r="B387" s="1300"/>
      <c r="C387" s="1307"/>
    </row>
    <row r="388" spans="1:3" s="1266" customFormat="1" x14ac:dyDescent="0.2">
      <c r="A388" s="1293">
        <v>39325</v>
      </c>
      <c r="B388" s="1300"/>
      <c r="C388" s="1307"/>
    </row>
    <row r="389" spans="1:3" s="1266" customFormat="1" x14ac:dyDescent="0.2">
      <c r="A389" s="1293">
        <v>39355</v>
      </c>
      <c r="B389" s="1300"/>
      <c r="C389" s="1307"/>
    </row>
    <row r="390" spans="1:3" s="1266" customFormat="1" x14ac:dyDescent="0.2">
      <c r="A390" s="1293">
        <v>39386</v>
      </c>
      <c r="B390" s="1300"/>
      <c r="C390" s="1307"/>
    </row>
    <row r="391" spans="1:3" s="1266" customFormat="1" x14ac:dyDescent="0.2">
      <c r="A391" s="1293">
        <v>39416</v>
      </c>
      <c r="B391" s="1300"/>
      <c r="C391" s="1307"/>
    </row>
    <row r="392" spans="1:3" s="1266" customFormat="1" x14ac:dyDescent="0.2">
      <c r="A392" s="1293">
        <v>39447</v>
      </c>
      <c r="B392" s="1300"/>
      <c r="C392" s="1307"/>
    </row>
    <row r="393" spans="1:3" s="1266" customFormat="1" x14ac:dyDescent="0.2">
      <c r="A393" s="1293">
        <v>39478</v>
      </c>
      <c r="B393" s="1300"/>
      <c r="C393" s="1307"/>
    </row>
    <row r="394" spans="1:3" s="1266" customFormat="1" x14ac:dyDescent="0.2">
      <c r="A394" s="1293">
        <v>39507</v>
      </c>
      <c r="B394" s="1300"/>
      <c r="C394" s="1307"/>
    </row>
    <row r="395" spans="1:3" s="1266" customFormat="1" x14ac:dyDescent="0.2">
      <c r="A395" s="1293">
        <v>39538</v>
      </c>
      <c r="B395" s="1300"/>
      <c r="C395" s="1307"/>
    </row>
    <row r="396" spans="1:3" s="1266" customFormat="1" x14ac:dyDescent="0.2">
      <c r="A396" s="1293">
        <v>39568</v>
      </c>
      <c r="B396" s="1300"/>
      <c r="C396" s="1307"/>
    </row>
    <row r="397" spans="1:3" s="1266" customFormat="1" x14ac:dyDescent="0.2">
      <c r="A397" s="1293">
        <v>39599</v>
      </c>
      <c r="B397" s="1300"/>
      <c r="C397" s="1307"/>
    </row>
    <row r="398" spans="1:3" s="1266" customFormat="1" x14ac:dyDescent="0.2">
      <c r="A398" s="1293">
        <v>39629</v>
      </c>
      <c r="B398" s="1300"/>
      <c r="C398" s="1307"/>
    </row>
    <row r="399" spans="1:3" s="1266" customFormat="1" x14ac:dyDescent="0.2">
      <c r="A399" s="1293">
        <v>39660</v>
      </c>
      <c r="B399" s="1300"/>
      <c r="C399" s="1299"/>
    </row>
    <row r="400" spans="1:3" s="1266" customFormat="1" x14ac:dyDescent="0.2">
      <c r="A400" s="1293">
        <v>39691</v>
      </c>
      <c r="B400" s="1300"/>
      <c r="C400" s="1299"/>
    </row>
    <row r="401" spans="1:3" s="1266" customFormat="1" x14ac:dyDescent="0.2">
      <c r="A401" s="1293">
        <v>39721</v>
      </c>
      <c r="B401" s="1300"/>
      <c r="C401" s="1299"/>
    </row>
    <row r="402" spans="1:3" s="1266" customFormat="1" x14ac:dyDescent="0.2">
      <c r="A402" s="1293">
        <v>39752</v>
      </c>
      <c r="B402" s="1300"/>
      <c r="C402" s="1307"/>
    </row>
    <row r="403" spans="1:3" s="1266" customFormat="1" x14ac:dyDescent="0.2">
      <c r="A403" s="1293">
        <v>39782</v>
      </c>
      <c r="B403" s="1300"/>
      <c r="C403" s="1307"/>
    </row>
    <row r="404" spans="1:3" s="1266" customFormat="1" x14ac:dyDescent="0.2">
      <c r="A404" s="1293">
        <v>39813</v>
      </c>
      <c r="B404" s="1300"/>
      <c r="C404" s="1307"/>
    </row>
    <row r="405" spans="1:3" s="1266" customFormat="1" x14ac:dyDescent="0.2">
      <c r="A405" s="1293">
        <v>39844</v>
      </c>
      <c r="B405" s="1300"/>
      <c r="C405" s="1307"/>
    </row>
    <row r="406" spans="1:3" s="1266" customFormat="1" x14ac:dyDescent="0.2">
      <c r="A406" s="1293">
        <v>39872</v>
      </c>
      <c r="B406" s="1300"/>
      <c r="C406" s="1307"/>
    </row>
    <row r="407" spans="1:3" s="1266" customFormat="1" x14ac:dyDescent="0.2">
      <c r="A407" s="1293">
        <v>39903</v>
      </c>
      <c r="B407" s="1300"/>
      <c r="C407" s="1307"/>
    </row>
    <row r="408" spans="1:3" s="1266" customFormat="1" x14ac:dyDescent="0.2">
      <c r="A408" s="1293">
        <v>39933</v>
      </c>
      <c r="B408" s="1300"/>
      <c r="C408" s="1307"/>
    </row>
    <row r="409" spans="1:3" s="1266" customFormat="1" x14ac:dyDescent="0.2">
      <c r="A409" s="1293">
        <v>39964</v>
      </c>
      <c r="B409" s="1300"/>
      <c r="C409" s="1307"/>
    </row>
    <row r="410" spans="1:3" s="1266" customFormat="1" x14ac:dyDescent="0.2">
      <c r="A410" s="1293">
        <v>39994</v>
      </c>
      <c r="B410" s="1300"/>
      <c r="C410" s="1307"/>
    </row>
    <row r="411" spans="1:3" s="1266" customFormat="1" x14ac:dyDescent="0.2">
      <c r="A411" s="1293">
        <v>40025</v>
      </c>
      <c r="B411" s="1300"/>
      <c r="C411" s="1307"/>
    </row>
    <row r="412" spans="1:3" s="1266" customFormat="1" x14ac:dyDescent="0.2">
      <c r="A412" s="1293">
        <v>40056</v>
      </c>
      <c r="B412" s="1300"/>
      <c r="C412" s="1307"/>
    </row>
    <row r="413" spans="1:3" s="1266" customFormat="1" x14ac:dyDescent="0.2">
      <c r="A413" s="1293">
        <v>40086</v>
      </c>
      <c r="B413" s="1300"/>
      <c r="C413" s="1307"/>
    </row>
    <row r="414" spans="1:3" s="1266" customFormat="1" x14ac:dyDescent="0.2">
      <c r="A414" s="1293">
        <v>40117</v>
      </c>
      <c r="B414" s="1300"/>
      <c r="C414" s="1307"/>
    </row>
    <row r="415" spans="1:3" s="1266" customFormat="1" x14ac:dyDescent="0.2">
      <c r="A415" s="1293">
        <v>40147</v>
      </c>
      <c r="B415" s="1300"/>
      <c r="C415" s="1307"/>
    </row>
    <row r="416" spans="1:3" s="1266" customFormat="1" x14ac:dyDescent="0.2">
      <c r="A416" s="1293">
        <v>40178</v>
      </c>
      <c r="B416" s="1300"/>
      <c r="C416" s="1307"/>
    </row>
    <row r="417" spans="1:9" x14ac:dyDescent="0.2">
      <c r="A417" s="1293">
        <v>40209</v>
      </c>
      <c r="B417" s="1300"/>
    </row>
    <row r="418" spans="1:9" x14ac:dyDescent="0.2">
      <c r="A418" s="1293">
        <v>40237</v>
      </c>
      <c r="B418" s="1300"/>
      <c r="G418" s="1311"/>
    </row>
    <row r="419" spans="1:9" x14ac:dyDescent="0.2">
      <c r="A419" s="1293">
        <v>40268</v>
      </c>
      <c r="B419" s="1300"/>
      <c r="C419" s="1334"/>
      <c r="D419" s="1311"/>
      <c r="G419" s="1311"/>
    </row>
    <row r="420" spans="1:9" x14ac:dyDescent="0.2">
      <c r="A420" s="1293">
        <v>40298</v>
      </c>
      <c r="B420" s="1300"/>
      <c r="D420" s="1311"/>
      <c r="G420" s="1311"/>
    </row>
    <row r="421" spans="1:9" x14ac:dyDescent="0.2">
      <c r="A421" s="1293">
        <v>40329</v>
      </c>
      <c r="B421" s="1300"/>
      <c r="G421" s="1311"/>
      <c r="I421" s="1305"/>
    </row>
    <row r="422" spans="1:9" x14ac:dyDescent="0.2">
      <c r="A422" s="1293">
        <v>40359</v>
      </c>
      <c r="B422" s="1300"/>
      <c r="G422" s="1311"/>
    </row>
    <row r="423" spans="1:9" x14ac:dyDescent="0.2">
      <c r="A423" s="1293">
        <v>40390</v>
      </c>
      <c r="B423" s="1300"/>
      <c r="G423" s="1311"/>
    </row>
    <row r="424" spans="1:9" x14ac:dyDescent="0.2">
      <c r="A424" s="1293">
        <v>40421</v>
      </c>
      <c r="B424" s="1300"/>
      <c r="G424" s="1311"/>
    </row>
    <row r="425" spans="1:9" x14ac:dyDescent="0.2">
      <c r="A425" s="1293">
        <v>40451</v>
      </c>
      <c r="B425" s="1300"/>
      <c r="G425" s="1311"/>
    </row>
    <row r="426" spans="1:9" x14ac:dyDescent="0.2">
      <c r="A426" s="1293">
        <v>40482</v>
      </c>
      <c r="B426" s="1306"/>
      <c r="D426" s="1311"/>
      <c r="G426" s="1311"/>
    </row>
    <row r="427" spans="1:9" x14ac:dyDescent="0.2">
      <c r="A427" s="1293">
        <v>40512</v>
      </c>
      <c r="B427" s="1300"/>
      <c r="G427" s="1311"/>
    </row>
    <row r="428" spans="1:9" x14ac:dyDescent="0.2">
      <c r="A428" s="1293">
        <v>40543</v>
      </c>
      <c r="B428" s="1300"/>
      <c r="G428" s="1311"/>
    </row>
    <row r="429" spans="1:9" x14ac:dyDescent="0.2">
      <c r="A429" s="1293">
        <v>40574</v>
      </c>
      <c r="B429" s="1300"/>
      <c r="G429" s="1311"/>
    </row>
    <row r="430" spans="1:9" x14ac:dyDescent="0.2">
      <c r="A430" s="1293">
        <v>40602</v>
      </c>
      <c r="B430" s="1300"/>
      <c r="G430" s="1311"/>
    </row>
    <row r="431" spans="1:9" x14ac:dyDescent="0.2">
      <c r="A431" s="1293">
        <v>40633</v>
      </c>
      <c r="B431" s="1300"/>
      <c r="D431" s="1311"/>
      <c r="G431" s="1311"/>
    </row>
    <row r="432" spans="1:9" x14ac:dyDescent="0.2">
      <c r="A432" s="1293">
        <v>40663</v>
      </c>
      <c r="B432" s="1300"/>
      <c r="G432" s="1311"/>
    </row>
    <row r="433" spans="1:7" s="1266" customFormat="1" x14ac:dyDescent="0.2">
      <c r="A433" s="1293">
        <v>40694</v>
      </c>
      <c r="B433" s="1300"/>
      <c r="C433" s="1307"/>
      <c r="D433" s="1311"/>
      <c r="E433" s="1301"/>
      <c r="G433" s="1311"/>
    </row>
    <row r="434" spans="1:7" s="1266" customFormat="1" x14ac:dyDescent="0.2">
      <c r="A434" s="1293">
        <v>40724</v>
      </c>
      <c r="B434" s="1300"/>
      <c r="C434" s="1307"/>
      <c r="D434" s="1311"/>
      <c r="E434" s="1301"/>
      <c r="G434" s="1311"/>
    </row>
    <row r="435" spans="1:7" s="1266" customFormat="1" x14ac:dyDescent="0.2">
      <c r="A435" s="1293">
        <v>40755</v>
      </c>
      <c r="B435" s="1300"/>
      <c r="C435" s="1307"/>
      <c r="D435" s="1306"/>
      <c r="E435" s="1301"/>
      <c r="G435" s="1311"/>
    </row>
    <row r="436" spans="1:7" s="1266" customFormat="1" x14ac:dyDescent="0.2">
      <c r="A436" s="1293">
        <v>40786</v>
      </c>
      <c r="B436" s="1300"/>
      <c r="C436" s="1307"/>
      <c r="D436" s="1306"/>
      <c r="E436" s="1301"/>
      <c r="G436" s="1311"/>
    </row>
    <row r="437" spans="1:7" s="1266" customFormat="1" x14ac:dyDescent="0.2">
      <c r="A437" s="1293">
        <v>40816</v>
      </c>
      <c r="B437" s="1300"/>
      <c r="C437" s="1307"/>
      <c r="D437" s="1306"/>
      <c r="E437" s="1301"/>
      <c r="G437" s="1311"/>
    </row>
    <row r="438" spans="1:7" s="1266" customFormat="1" x14ac:dyDescent="0.2">
      <c r="A438" s="1293">
        <v>40847</v>
      </c>
      <c r="B438" s="1300"/>
      <c r="C438" s="1307"/>
      <c r="D438" s="1306"/>
      <c r="E438" s="1301"/>
      <c r="G438" s="1311"/>
    </row>
    <row r="439" spans="1:7" s="1266" customFormat="1" x14ac:dyDescent="0.2">
      <c r="A439" s="1293">
        <v>40877</v>
      </c>
      <c r="B439" s="1300"/>
      <c r="C439" s="1307"/>
      <c r="D439" s="1306"/>
      <c r="E439" s="1301"/>
      <c r="G439" s="1311"/>
    </row>
    <row r="440" spans="1:7" s="1266" customFormat="1" x14ac:dyDescent="0.2">
      <c r="A440" s="1293">
        <v>40908</v>
      </c>
      <c r="B440" s="1300"/>
      <c r="C440" s="1307"/>
      <c r="D440" s="1306"/>
      <c r="E440" s="1301"/>
      <c r="G440" s="1311"/>
    </row>
    <row r="441" spans="1:7" s="1266" customFormat="1" x14ac:dyDescent="0.2">
      <c r="A441" s="345">
        <v>40939</v>
      </c>
      <c r="B441" s="1300"/>
      <c r="C441" s="1307"/>
      <c r="D441" s="1306"/>
      <c r="E441" s="1301"/>
      <c r="G441" s="1311"/>
    </row>
    <row r="442" spans="1:7" s="1266" customFormat="1" x14ac:dyDescent="0.2">
      <c r="A442" s="345">
        <v>40968</v>
      </c>
      <c r="B442" s="1300"/>
      <c r="C442" s="1307"/>
      <c r="D442" s="1306"/>
      <c r="E442" s="1301"/>
      <c r="G442" s="1311"/>
    </row>
    <row r="443" spans="1:7" s="1266" customFormat="1" x14ac:dyDescent="0.2">
      <c r="A443" s="345">
        <v>40999</v>
      </c>
      <c r="B443" s="1300"/>
      <c r="C443" s="1307"/>
      <c r="D443" s="1306"/>
      <c r="E443" s="1301"/>
      <c r="G443" s="1311"/>
    </row>
    <row r="444" spans="1:7" s="1266" customFormat="1" x14ac:dyDescent="0.2">
      <c r="A444" s="345">
        <v>41029</v>
      </c>
      <c r="B444" s="1300"/>
      <c r="C444" s="1307"/>
      <c r="D444" s="1311"/>
      <c r="E444" s="1301"/>
      <c r="G444" s="1311"/>
    </row>
    <row r="445" spans="1:7" s="1266" customFormat="1" x14ac:dyDescent="0.2">
      <c r="A445" s="345">
        <v>41060</v>
      </c>
      <c r="B445" s="1300"/>
      <c r="C445" s="1307"/>
      <c r="D445" s="1306"/>
      <c r="E445" s="1301"/>
      <c r="G445" s="1311"/>
    </row>
    <row r="446" spans="1:7" s="1266" customFormat="1" x14ac:dyDescent="0.2">
      <c r="A446" s="345">
        <v>41090</v>
      </c>
      <c r="B446" s="1300"/>
      <c r="C446" s="1307"/>
      <c r="D446" s="1306"/>
      <c r="E446" s="1301"/>
      <c r="G446" s="1311"/>
    </row>
    <row r="447" spans="1:7" s="1266" customFormat="1" x14ac:dyDescent="0.2">
      <c r="A447" s="345">
        <v>41121</v>
      </c>
      <c r="B447" s="1300"/>
      <c r="C447" s="1307"/>
      <c r="D447" s="1306"/>
      <c r="E447" s="1301"/>
      <c r="G447" s="1311"/>
    </row>
    <row r="448" spans="1:7" s="1266" customFormat="1" x14ac:dyDescent="0.2">
      <c r="A448" s="345">
        <v>41152</v>
      </c>
      <c r="B448" s="1300"/>
      <c r="C448" s="1307"/>
      <c r="D448" s="1306"/>
      <c r="E448" s="1301"/>
      <c r="G448" s="1311"/>
    </row>
    <row r="449" spans="1:7" s="1266" customFormat="1" x14ac:dyDescent="0.2">
      <c r="A449" s="345">
        <v>41182</v>
      </c>
      <c r="B449" s="1300"/>
      <c r="C449" s="1307"/>
      <c r="D449" s="1306"/>
      <c r="E449" s="1301"/>
      <c r="G449" s="1311"/>
    </row>
    <row r="450" spans="1:7" s="1266" customFormat="1" x14ac:dyDescent="0.2">
      <c r="A450" s="345">
        <v>41213</v>
      </c>
      <c r="B450" s="1300"/>
      <c r="C450" s="1307"/>
      <c r="D450" s="1311"/>
      <c r="E450" s="1301"/>
      <c r="G450" s="1311"/>
    </row>
    <row r="451" spans="1:7" s="1266" customFormat="1" x14ac:dyDescent="0.2">
      <c r="A451" s="345">
        <v>41243</v>
      </c>
      <c r="B451" s="1300"/>
      <c r="C451" s="1307"/>
      <c r="D451" s="1311"/>
      <c r="E451" s="1301"/>
      <c r="G451" s="1311"/>
    </row>
    <row r="452" spans="1:7" s="1266" customFormat="1" x14ac:dyDescent="0.2">
      <c r="A452" s="345">
        <v>41274</v>
      </c>
      <c r="B452" s="1300"/>
      <c r="C452" s="1307"/>
      <c r="D452" s="1306"/>
      <c r="E452" s="1301"/>
      <c r="G452" s="1311"/>
    </row>
    <row r="453" spans="1:7" s="1266" customFormat="1" x14ac:dyDescent="0.2">
      <c r="A453" s="345">
        <v>41305</v>
      </c>
      <c r="B453" s="1300"/>
      <c r="C453" s="1307"/>
      <c r="D453" s="1306"/>
      <c r="E453" s="1301"/>
      <c r="G453" s="1311"/>
    </row>
    <row r="454" spans="1:7" s="1266" customFormat="1" x14ac:dyDescent="0.2">
      <c r="A454" s="345">
        <v>41333</v>
      </c>
      <c r="B454" s="1300"/>
      <c r="C454" s="1307"/>
      <c r="D454" s="1306"/>
      <c r="E454" s="1301"/>
      <c r="G454" s="1311"/>
    </row>
    <row r="455" spans="1:7" s="1266" customFormat="1" x14ac:dyDescent="0.2">
      <c r="A455" s="345">
        <v>41364</v>
      </c>
      <c r="B455" s="1300"/>
      <c r="C455" s="1307"/>
      <c r="D455" s="1306"/>
      <c r="E455" s="1301"/>
      <c r="G455" s="1311"/>
    </row>
    <row r="456" spans="1:7" s="1266" customFormat="1" x14ac:dyDescent="0.2">
      <c r="A456" s="345">
        <v>41394</v>
      </c>
      <c r="B456" s="1300"/>
      <c r="C456" s="1307"/>
      <c r="D456" s="1311"/>
      <c r="E456" s="1301"/>
      <c r="G456" s="1311"/>
    </row>
    <row r="457" spans="1:7" s="1266" customFormat="1" x14ac:dyDescent="0.2">
      <c r="A457" s="345">
        <v>41425</v>
      </c>
      <c r="B457" s="1300"/>
      <c r="C457" s="1307"/>
      <c r="D457" s="1306"/>
      <c r="E457" s="1301"/>
      <c r="G457" s="1311"/>
    </row>
    <row r="458" spans="1:7" s="1266" customFormat="1" x14ac:dyDescent="0.2">
      <c r="A458" s="345">
        <v>41455</v>
      </c>
      <c r="B458" s="1300"/>
      <c r="C458" s="1307"/>
      <c r="D458" s="1311"/>
      <c r="E458" s="1301"/>
      <c r="G458" s="1311"/>
    </row>
    <row r="459" spans="1:7" s="1266" customFormat="1" x14ac:dyDescent="0.2">
      <c r="A459" s="345">
        <v>41486</v>
      </c>
      <c r="B459" s="1300"/>
      <c r="C459" s="1307"/>
      <c r="D459" s="1306"/>
      <c r="E459" s="1301"/>
      <c r="G459" s="1311"/>
    </row>
    <row r="460" spans="1:7" s="1266" customFormat="1" x14ac:dyDescent="0.2">
      <c r="A460" s="345">
        <v>41517</v>
      </c>
      <c r="B460" s="1300"/>
      <c r="C460" s="1307"/>
      <c r="D460" s="1306"/>
      <c r="E460" s="1301"/>
      <c r="G460" s="1301"/>
    </row>
    <row r="461" spans="1:7" s="1266" customFormat="1" x14ac:dyDescent="0.2">
      <c r="A461" s="345">
        <v>41547</v>
      </c>
      <c r="B461" s="1300"/>
      <c r="C461" s="1307"/>
      <c r="D461" s="1306"/>
      <c r="E461" s="1301"/>
      <c r="G461" s="1301"/>
    </row>
    <row r="462" spans="1:7" s="1266" customFormat="1" x14ac:dyDescent="0.2">
      <c r="A462" s="345">
        <v>41578</v>
      </c>
      <c r="B462" s="1300"/>
      <c r="C462" s="1307"/>
      <c r="D462" s="1306"/>
      <c r="E462" s="1301"/>
      <c r="G462" s="1301"/>
    </row>
    <row r="463" spans="1:7" s="1266" customFormat="1" x14ac:dyDescent="0.2">
      <c r="A463" s="345">
        <v>41608</v>
      </c>
      <c r="B463" s="1300"/>
      <c r="C463" s="1307"/>
      <c r="D463" s="1306"/>
      <c r="E463" s="1301"/>
      <c r="G463" s="1301"/>
    </row>
    <row r="464" spans="1:7" s="1266" customFormat="1" x14ac:dyDescent="0.2">
      <c r="A464" s="345">
        <v>41639</v>
      </c>
      <c r="B464" s="1300"/>
      <c r="C464" s="1307"/>
      <c r="D464" s="1306"/>
      <c r="E464" s="1301"/>
      <c r="G464" s="1301"/>
    </row>
    <row r="465" spans="1:5" s="1266" customFormat="1" x14ac:dyDescent="0.2">
      <c r="A465" s="345">
        <v>41670</v>
      </c>
      <c r="B465" s="1300"/>
      <c r="C465" s="1307"/>
      <c r="D465" s="1306"/>
      <c r="E465" s="1301"/>
    </row>
    <row r="466" spans="1:5" s="1266" customFormat="1" x14ac:dyDescent="0.2">
      <c r="A466" s="345">
        <v>41698</v>
      </c>
      <c r="B466" s="1300"/>
      <c r="C466" s="1307"/>
      <c r="D466" s="1306"/>
      <c r="E466" s="1301"/>
    </row>
    <row r="467" spans="1:5" s="1266" customFormat="1" x14ac:dyDescent="0.2">
      <c r="A467" s="345">
        <v>41729</v>
      </c>
      <c r="B467" s="1300"/>
      <c r="C467" s="1307"/>
      <c r="D467" s="1306"/>
      <c r="E467" s="1301"/>
    </row>
    <row r="468" spans="1:5" s="1266" customFormat="1" x14ac:dyDescent="0.2">
      <c r="A468" s="345">
        <v>41759</v>
      </c>
      <c r="B468" s="1300"/>
      <c r="C468" s="1307"/>
      <c r="D468" s="1306"/>
      <c r="E468" s="1301"/>
    </row>
    <row r="469" spans="1:5" s="1266" customFormat="1" x14ac:dyDescent="0.2">
      <c r="A469" s="345">
        <v>41790</v>
      </c>
      <c r="B469" s="1300">
        <f t="shared" ref="B469:B488" si="0">D469</f>
        <v>1.1610400000000001</v>
      </c>
      <c r="C469" s="1307">
        <v>711181359.86000001</v>
      </c>
      <c r="D469" s="1306">
        <v>1.1610400000000001</v>
      </c>
      <c r="E469" s="1301">
        <f>B469-Index_Returns!W469</f>
        <v>2.2800000000000153E-2</v>
      </c>
    </row>
    <row r="470" spans="1:5" s="1266" customFormat="1" x14ac:dyDescent="0.2">
      <c r="A470" s="345">
        <v>41820</v>
      </c>
      <c r="B470" s="1300">
        <f t="shared" si="0"/>
        <v>0.11122</v>
      </c>
      <c r="C470" s="1307">
        <v>711972364.40999997</v>
      </c>
      <c r="D470" s="1306">
        <v>0.11122</v>
      </c>
      <c r="E470" s="1301">
        <f>B470-Index_Returns!W470</f>
        <v>5.9560000000000002E-2</v>
      </c>
    </row>
    <row r="471" spans="1:5" s="1266" customFormat="1" x14ac:dyDescent="0.2">
      <c r="A471" s="345">
        <v>41851</v>
      </c>
      <c r="B471" s="1300">
        <f t="shared" si="0"/>
        <v>-0.23358999999999999</v>
      </c>
      <c r="C471" s="1307">
        <v>710309295.48000002</v>
      </c>
      <c r="D471" s="1306">
        <v>-0.23358999999999999</v>
      </c>
      <c r="E471" s="1301">
        <f>B471-Index_Returns!W471</f>
        <v>1.7270000000000035E-2</v>
      </c>
    </row>
    <row r="472" spans="1:5" s="1266" customFormat="1" x14ac:dyDescent="0.2">
      <c r="A472" s="345">
        <v>41882</v>
      </c>
      <c r="B472" s="1300">
        <f t="shared" si="0"/>
        <v>1.08517</v>
      </c>
      <c r="C472" s="1307">
        <v>718047739.58000004</v>
      </c>
      <c r="D472" s="1306">
        <v>1.08517</v>
      </c>
      <c r="E472" s="1301">
        <f>B472-Index_Returns!W472</f>
        <v>-1.8860000000000099E-2</v>
      </c>
    </row>
    <row r="473" spans="1:5" s="1266" customFormat="1" x14ac:dyDescent="0.2">
      <c r="A473" s="345">
        <v>41912</v>
      </c>
      <c r="B473" s="1300">
        <f t="shared" si="0"/>
        <v>0</v>
      </c>
      <c r="C473" s="1307"/>
      <c r="D473" s="1306"/>
      <c r="E473" s="1301">
        <f>B473-Index_Returns!W473</f>
        <v>0</v>
      </c>
    </row>
    <row r="474" spans="1:5" s="1266" customFormat="1" x14ac:dyDescent="0.2">
      <c r="A474" s="345">
        <v>41943</v>
      </c>
      <c r="B474" s="1300">
        <f t="shared" si="0"/>
        <v>0</v>
      </c>
      <c r="C474" s="1307"/>
      <c r="D474" s="1306"/>
      <c r="E474" s="1301">
        <f>B474-Index_Returns!W474</f>
        <v>0</v>
      </c>
    </row>
    <row r="475" spans="1:5" s="1266" customFormat="1" x14ac:dyDescent="0.2">
      <c r="A475" s="345">
        <v>41973</v>
      </c>
      <c r="B475" s="1300">
        <f t="shared" si="0"/>
        <v>0</v>
      </c>
      <c r="C475" s="1307"/>
      <c r="D475" s="1306"/>
      <c r="E475" s="1301">
        <f>B475-Index_Returns!W475</f>
        <v>0</v>
      </c>
    </row>
    <row r="476" spans="1:5" s="1266" customFormat="1" x14ac:dyDescent="0.2">
      <c r="A476" s="345">
        <v>42004</v>
      </c>
      <c r="B476" s="1300">
        <f t="shared" si="0"/>
        <v>0</v>
      </c>
      <c r="C476" s="1307"/>
      <c r="D476" s="1306"/>
      <c r="E476" s="1301">
        <f>B476-Index_Returns!W476</f>
        <v>0</v>
      </c>
    </row>
    <row r="477" spans="1:5" s="1266" customFormat="1" x14ac:dyDescent="0.2">
      <c r="A477" s="345">
        <v>42035</v>
      </c>
      <c r="B477" s="1300">
        <f t="shared" si="0"/>
        <v>0</v>
      </c>
      <c r="C477" s="1307"/>
      <c r="D477" s="1306"/>
      <c r="E477" s="1301">
        <f>B477-Index_Returns!W477</f>
        <v>0</v>
      </c>
    </row>
    <row r="478" spans="1:5" s="1266" customFormat="1" x14ac:dyDescent="0.2">
      <c r="A478" s="345">
        <v>42063</v>
      </c>
      <c r="B478" s="1300">
        <f t="shared" si="0"/>
        <v>0</v>
      </c>
      <c r="C478" s="1307"/>
      <c r="D478" s="1306"/>
      <c r="E478" s="1301">
        <f>B478-Index_Returns!W478</f>
        <v>0</v>
      </c>
    </row>
    <row r="479" spans="1:5" s="1266" customFormat="1" x14ac:dyDescent="0.2">
      <c r="A479" s="345">
        <v>42094</v>
      </c>
      <c r="B479" s="1300">
        <f t="shared" si="0"/>
        <v>0</v>
      </c>
      <c r="C479" s="1307"/>
      <c r="D479" s="1306"/>
      <c r="E479" s="1301">
        <f>B479-Index_Returns!W479</f>
        <v>0</v>
      </c>
    </row>
    <row r="480" spans="1:5" s="1266" customFormat="1" x14ac:dyDescent="0.2">
      <c r="A480" s="345">
        <v>42124</v>
      </c>
      <c r="B480" s="1300">
        <f t="shared" si="0"/>
        <v>0</v>
      </c>
      <c r="C480" s="1307"/>
      <c r="D480" s="1306"/>
      <c r="E480" s="1301">
        <f>B480-Index_Returns!W480</f>
        <v>0</v>
      </c>
    </row>
    <row r="481" spans="1:5" s="1266" customFormat="1" x14ac:dyDescent="0.2">
      <c r="A481" s="345">
        <v>42155</v>
      </c>
      <c r="B481" s="1300">
        <f t="shared" si="0"/>
        <v>0</v>
      </c>
      <c r="C481" s="1307"/>
      <c r="D481" s="1306"/>
      <c r="E481" s="1301">
        <f>B481-Index_Returns!W481</f>
        <v>0</v>
      </c>
    </row>
    <row r="482" spans="1:5" s="1266" customFormat="1" x14ac:dyDescent="0.2">
      <c r="A482" s="345">
        <v>42185</v>
      </c>
      <c r="B482" s="1300">
        <f t="shared" si="0"/>
        <v>0</v>
      </c>
      <c r="C482" s="1307"/>
      <c r="D482" s="1306"/>
      <c r="E482" s="1301">
        <f>B482-Index_Returns!W482</f>
        <v>0</v>
      </c>
    </row>
    <row r="483" spans="1:5" s="1266" customFormat="1" x14ac:dyDescent="0.2">
      <c r="A483" s="345">
        <v>42216</v>
      </c>
      <c r="B483" s="1300">
        <f t="shared" si="0"/>
        <v>0</v>
      </c>
      <c r="C483" s="1307"/>
      <c r="D483" s="1306"/>
      <c r="E483" s="1301">
        <f>B483-Index_Returns!W483</f>
        <v>0</v>
      </c>
    </row>
    <row r="484" spans="1:5" s="1266" customFormat="1" x14ac:dyDescent="0.2">
      <c r="A484" s="345">
        <v>42247</v>
      </c>
      <c r="B484" s="1300">
        <f t="shared" si="0"/>
        <v>0</v>
      </c>
      <c r="C484" s="1307"/>
      <c r="D484" s="1306"/>
      <c r="E484" s="1301">
        <f>B484-Index_Returns!W484</f>
        <v>0</v>
      </c>
    </row>
    <row r="485" spans="1:5" s="1266" customFormat="1" x14ac:dyDescent="0.2">
      <c r="A485" s="345">
        <v>42277</v>
      </c>
      <c r="B485" s="1300">
        <f t="shared" si="0"/>
        <v>0</v>
      </c>
      <c r="C485" s="1307"/>
      <c r="D485" s="1306"/>
      <c r="E485" s="1301">
        <f>B485-Index_Returns!W485</f>
        <v>0</v>
      </c>
    </row>
    <row r="486" spans="1:5" s="1266" customFormat="1" x14ac:dyDescent="0.2">
      <c r="A486" s="345">
        <v>42308</v>
      </c>
      <c r="B486" s="1300">
        <f t="shared" si="0"/>
        <v>0</v>
      </c>
      <c r="C486" s="1307"/>
      <c r="D486" s="1306"/>
      <c r="E486" s="1301">
        <f>B486-Index_Returns!W486</f>
        <v>0</v>
      </c>
    </row>
    <row r="487" spans="1:5" s="1266" customFormat="1" x14ac:dyDescent="0.2">
      <c r="A487" s="345">
        <v>42338</v>
      </c>
      <c r="B487" s="1300">
        <f t="shared" si="0"/>
        <v>0</v>
      </c>
      <c r="C487" s="1307"/>
      <c r="D487" s="1306"/>
      <c r="E487" s="1301">
        <f>B487-Index_Returns!W487</f>
        <v>0</v>
      </c>
    </row>
    <row r="488" spans="1:5" s="1266" customFormat="1" x14ac:dyDescent="0.2">
      <c r="A488" s="345">
        <v>42369</v>
      </c>
      <c r="B488" s="1300">
        <f t="shared" si="0"/>
        <v>0</v>
      </c>
      <c r="C488" s="1307"/>
      <c r="D488" s="1306"/>
      <c r="E488" s="1301">
        <f>B488-Index_Returns!W488</f>
        <v>0</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H488"/>
  <sheetViews>
    <sheetView workbookViewId="0">
      <pane xSplit="1" ySplit="2" topLeftCell="B451" activePane="bottomRight" state="frozen"/>
      <selection pane="topRight" activeCell="B1" sqref="B1"/>
      <selection pane="bottomLeft" activeCell="A3" sqref="A3"/>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4" width="18.7109375" style="258" customWidth="1"/>
    <col min="5" max="5" width="9.140625" style="14"/>
    <col min="6" max="6" width="12.42578125" bestFit="1" customWidth="1"/>
    <col min="7" max="8" width="9.140625" style="352"/>
  </cols>
  <sheetData>
    <row r="1" spans="1:6" x14ac:dyDescent="0.2">
      <c r="A1" s="265" t="s">
        <v>401</v>
      </c>
      <c r="B1" s="321" t="s">
        <v>517</v>
      </c>
      <c r="C1" s="1388" t="s">
        <v>400</v>
      </c>
      <c r="D1" s="1370">
        <v>2</v>
      </c>
      <c r="F1" s="21" t="s">
        <v>774</v>
      </c>
    </row>
    <row r="2" spans="1:6" x14ac:dyDescent="0.2">
      <c r="A2" s="3" t="s">
        <v>27</v>
      </c>
      <c r="B2" s="71" t="s">
        <v>91</v>
      </c>
      <c r="C2" s="226" t="s">
        <v>92</v>
      </c>
      <c r="D2" s="71" t="s">
        <v>90</v>
      </c>
      <c r="E2" s="734" t="s">
        <v>80</v>
      </c>
    </row>
    <row r="3" spans="1:6" x14ac:dyDescent="0.2">
      <c r="A3" s="345">
        <v>27606</v>
      </c>
      <c r="B3" s="71"/>
      <c r="C3" s="226"/>
      <c r="D3" s="71"/>
    </row>
    <row r="4" spans="1:6" x14ac:dyDescent="0.2">
      <c r="A4" s="345">
        <v>27637</v>
      </c>
      <c r="B4" s="71"/>
      <c r="C4" s="226"/>
      <c r="D4" s="71"/>
    </row>
    <row r="5" spans="1:6" x14ac:dyDescent="0.2">
      <c r="A5" s="345">
        <v>27667</v>
      </c>
      <c r="B5" s="71"/>
      <c r="C5" s="226"/>
      <c r="D5" s="71"/>
    </row>
    <row r="6" spans="1:6" x14ac:dyDescent="0.2">
      <c r="A6" s="345">
        <v>27698</v>
      </c>
      <c r="B6" s="71"/>
      <c r="C6" s="226"/>
      <c r="D6" s="71"/>
    </row>
    <row r="7" spans="1:6" x14ac:dyDescent="0.2">
      <c r="A7" s="345">
        <v>27728</v>
      </c>
      <c r="B7" s="71"/>
      <c r="C7" s="226"/>
      <c r="D7" s="71"/>
    </row>
    <row r="8" spans="1:6" x14ac:dyDescent="0.2">
      <c r="A8" s="345">
        <v>27759</v>
      </c>
      <c r="B8" s="71"/>
      <c r="C8" s="226"/>
      <c r="D8" s="71"/>
    </row>
    <row r="9" spans="1:6" x14ac:dyDescent="0.2">
      <c r="A9" s="345">
        <v>27790</v>
      </c>
      <c r="B9" s="71"/>
      <c r="C9" s="226"/>
      <c r="D9" s="71"/>
    </row>
    <row r="10" spans="1:6" x14ac:dyDescent="0.2">
      <c r="A10" s="345">
        <v>27819</v>
      </c>
      <c r="B10" s="71"/>
      <c r="C10" s="226"/>
      <c r="D10" s="71"/>
    </row>
    <row r="11" spans="1:6" x14ac:dyDescent="0.2">
      <c r="A11" s="345">
        <v>27850</v>
      </c>
      <c r="B11" s="71"/>
      <c r="C11" s="226"/>
      <c r="D11" s="71"/>
    </row>
    <row r="12" spans="1:6" x14ac:dyDescent="0.2">
      <c r="A12" s="345">
        <v>27880</v>
      </c>
      <c r="B12" s="71"/>
      <c r="C12" s="226"/>
      <c r="D12" s="71"/>
    </row>
    <row r="13" spans="1:6" x14ac:dyDescent="0.2">
      <c r="A13" s="345">
        <v>27911</v>
      </c>
      <c r="B13" s="71"/>
      <c r="C13" s="226"/>
      <c r="D13" s="71"/>
    </row>
    <row r="14" spans="1:6" x14ac:dyDescent="0.2">
      <c r="A14" s="345">
        <v>27941</v>
      </c>
      <c r="B14" s="71"/>
      <c r="C14" s="226"/>
      <c r="D14" s="71"/>
    </row>
    <row r="15" spans="1:6" x14ac:dyDescent="0.2">
      <c r="A15" s="345">
        <v>27972</v>
      </c>
      <c r="B15" s="71"/>
      <c r="C15" s="226"/>
      <c r="D15" s="71"/>
    </row>
    <row r="16" spans="1:6" x14ac:dyDescent="0.2">
      <c r="A16" s="345">
        <v>28003</v>
      </c>
      <c r="B16" s="71"/>
      <c r="C16" s="226"/>
      <c r="D16" s="71"/>
    </row>
    <row r="17" spans="1:4" x14ac:dyDescent="0.2">
      <c r="A17" s="345">
        <v>28033</v>
      </c>
      <c r="B17" s="71"/>
      <c r="C17" s="226"/>
      <c r="D17" s="71"/>
    </row>
    <row r="18" spans="1:4" x14ac:dyDescent="0.2">
      <c r="A18" s="345">
        <v>28064</v>
      </c>
      <c r="B18" s="71"/>
      <c r="C18" s="226"/>
      <c r="D18" s="71"/>
    </row>
    <row r="19" spans="1:4" x14ac:dyDescent="0.2">
      <c r="A19" s="345">
        <v>28094</v>
      </c>
      <c r="B19" s="71"/>
      <c r="C19" s="226"/>
      <c r="D19" s="71"/>
    </row>
    <row r="20" spans="1:4" x14ac:dyDescent="0.2">
      <c r="A20" s="345">
        <v>28125</v>
      </c>
      <c r="B20" s="71"/>
      <c r="C20" s="226"/>
      <c r="D20" s="71"/>
    </row>
    <row r="21" spans="1:4" x14ac:dyDescent="0.2">
      <c r="A21" s="345">
        <v>28156</v>
      </c>
      <c r="B21" s="71"/>
      <c r="C21" s="226"/>
      <c r="D21" s="71"/>
    </row>
    <row r="22" spans="1:4" x14ac:dyDescent="0.2">
      <c r="A22" s="345">
        <v>28184</v>
      </c>
      <c r="B22" s="71"/>
      <c r="C22" s="226"/>
      <c r="D22" s="71"/>
    </row>
    <row r="23" spans="1:4" x14ac:dyDescent="0.2">
      <c r="A23" s="345">
        <v>28215</v>
      </c>
      <c r="B23" s="71"/>
      <c r="C23" s="226"/>
      <c r="D23" s="71"/>
    </row>
    <row r="24" spans="1:4" x14ac:dyDescent="0.2">
      <c r="A24" s="345">
        <v>28245</v>
      </c>
      <c r="B24" s="71"/>
      <c r="C24" s="226"/>
      <c r="D24" s="71"/>
    </row>
    <row r="25" spans="1:4" x14ac:dyDescent="0.2">
      <c r="A25" s="345">
        <v>28276</v>
      </c>
      <c r="B25" s="71"/>
      <c r="C25" s="226"/>
      <c r="D25" s="71"/>
    </row>
    <row r="26" spans="1:4" x14ac:dyDescent="0.2">
      <c r="A26" s="345">
        <v>28306</v>
      </c>
      <c r="B26" s="71"/>
      <c r="C26" s="226"/>
      <c r="D26" s="71"/>
    </row>
    <row r="27" spans="1:4" x14ac:dyDescent="0.2">
      <c r="A27" s="345">
        <v>28337</v>
      </c>
      <c r="B27" s="71"/>
      <c r="C27" s="226"/>
      <c r="D27" s="71"/>
    </row>
    <row r="28" spans="1:4" x14ac:dyDescent="0.2">
      <c r="A28" s="345">
        <v>28368</v>
      </c>
      <c r="B28" s="71"/>
      <c r="C28" s="226"/>
      <c r="D28" s="71"/>
    </row>
    <row r="29" spans="1:4" x14ac:dyDescent="0.2">
      <c r="A29" s="345">
        <v>28398</v>
      </c>
      <c r="B29" s="71"/>
      <c r="C29" s="226"/>
      <c r="D29" s="71"/>
    </row>
    <row r="30" spans="1:4" x14ac:dyDescent="0.2">
      <c r="A30" s="345">
        <v>28429</v>
      </c>
      <c r="B30" s="71"/>
      <c r="C30" s="226"/>
      <c r="D30" s="71"/>
    </row>
    <row r="31" spans="1:4" x14ac:dyDescent="0.2">
      <c r="A31" s="345">
        <v>28459</v>
      </c>
      <c r="B31" s="71"/>
      <c r="C31" s="226"/>
      <c r="D31" s="71"/>
    </row>
    <row r="32" spans="1:4" x14ac:dyDescent="0.2">
      <c r="A32" s="345">
        <v>28490</v>
      </c>
      <c r="B32" s="71"/>
      <c r="C32" s="226"/>
      <c r="D32" s="71"/>
    </row>
    <row r="33" spans="1:4" x14ac:dyDescent="0.2">
      <c r="A33" s="345">
        <v>28521</v>
      </c>
      <c r="B33" s="71"/>
      <c r="C33" s="226"/>
      <c r="D33" s="71"/>
    </row>
    <row r="34" spans="1:4" x14ac:dyDescent="0.2">
      <c r="A34" s="345">
        <v>28549</v>
      </c>
      <c r="B34" s="71"/>
      <c r="C34" s="226"/>
      <c r="D34" s="71"/>
    </row>
    <row r="35" spans="1:4" x14ac:dyDescent="0.2">
      <c r="A35" s="345">
        <v>28580</v>
      </c>
      <c r="B35" s="71"/>
      <c r="C35" s="226"/>
      <c r="D35" s="71"/>
    </row>
    <row r="36" spans="1:4" x14ac:dyDescent="0.2">
      <c r="A36" s="345">
        <v>28610</v>
      </c>
      <c r="B36" s="71"/>
      <c r="C36" s="226"/>
      <c r="D36" s="71"/>
    </row>
    <row r="37" spans="1:4" x14ac:dyDescent="0.2">
      <c r="A37" s="345">
        <v>28641</v>
      </c>
      <c r="B37" s="71"/>
      <c r="C37" s="226"/>
      <c r="D37" s="71"/>
    </row>
    <row r="38" spans="1:4" x14ac:dyDescent="0.2">
      <c r="A38" s="345">
        <v>28671</v>
      </c>
      <c r="B38" s="71"/>
      <c r="C38" s="226"/>
      <c r="D38" s="71"/>
    </row>
    <row r="39" spans="1:4" x14ac:dyDescent="0.2">
      <c r="A39" s="345">
        <v>28702</v>
      </c>
      <c r="B39" s="71"/>
      <c r="C39" s="226"/>
      <c r="D39" s="71"/>
    </row>
    <row r="40" spans="1:4" x14ac:dyDescent="0.2">
      <c r="A40" s="345">
        <v>28733</v>
      </c>
      <c r="B40" s="71"/>
      <c r="C40" s="226"/>
      <c r="D40" s="71"/>
    </row>
    <row r="41" spans="1:4" x14ac:dyDescent="0.2">
      <c r="A41" s="345">
        <v>28763</v>
      </c>
      <c r="B41" s="71"/>
      <c r="C41" s="226"/>
      <c r="D41" s="71"/>
    </row>
    <row r="42" spans="1:4" x14ac:dyDescent="0.2">
      <c r="A42" s="345">
        <v>28794</v>
      </c>
      <c r="B42" s="71"/>
      <c r="C42" s="226"/>
      <c r="D42" s="71"/>
    </row>
    <row r="43" spans="1:4" x14ac:dyDescent="0.2">
      <c r="A43" s="345">
        <v>28824</v>
      </c>
      <c r="B43" s="71"/>
      <c r="C43" s="226"/>
      <c r="D43" s="71"/>
    </row>
    <row r="44" spans="1:4" x14ac:dyDescent="0.2">
      <c r="A44" s="345">
        <v>28855</v>
      </c>
      <c r="B44" s="71"/>
      <c r="C44" s="226"/>
      <c r="D44" s="71"/>
    </row>
    <row r="45" spans="1:4" x14ac:dyDescent="0.2">
      <c r="A45" s="345">
        <v>28886</v>
      </c>
      <c r="B45" s="71"/>
      <c r="C45" s="226"/>
      <c r="D45" s="71"/>
    </row>
    <row r="46" spans="1:4" x14ac:dyDescent="0.2">
      <c r="A46" s="345">
        <v>28914</v>
      </c>
      <c r="B46" s="71"/>
      <c r="C46" s="226"/>
      <c r="D46" s="71"/>
    </row>
    <row r="47" spans="1:4" x14ac:dyDescent="0.2">
      <c r="A47" s="345">
        <v>28945</v>
      </c>
      <c r="B47" s="71"/>
      <c r="C47" s="226"/>
      <c r="D47" s="71"/>
    </row>
    <row r="48" spans="1:4" x14ac:dyDescent="0.2">
      <c r="A48" s="345">
        <v>28975</v>
      </c>
      <c r="B48" s="71"/>
      <c r="C48" s="226"/>
      <c r="D48" s="71"/>
    </row>
    <row r="49" spans="1:4" x14ac:dyDescent="0.2">
      <c r="A49" s="345">
        <v>29006</v>
      </c>
      <c r="B49" s="71"/>
      <c r="C49" s="226"/>
      <c r="D49" s="71"/>
    </row>
    <row r="50" spans="1:4" x14ac:dyDescent="0.2">
      <c r="A50" s="345">
        <v>29036</v>
      </c>
      <c r="B50" s="71"/>
      <c r="C50" s="226"/>
      <c r="D50" s="71"/>
    </row>
    <row r="51" spans="1:4" x14ac:dyDescent="0.2">
      <c r="A51" s="345">
        <v>29067</v>
      </c>
      <c r="B51" s="71"/>
      <c r="C51" s="226"/>
      <c r="D51" s="71"/>
    </row>
    <row r="52" spans="1:4" x14ac:dyDescent="0.2">
      <c r="A52" s="345">
        <v>29098</v>
      </c>
      <c r="B52" s="71"/>
      <c r="C52" s="226"/>
      <c r="D52" s="71"/>
    </row>
    <row r="53" spans="1:4" x14ac:dyDescent="0.2">
      <c r="A53" s="345">
        <v>29128</v>
      </c>
      <c r="B53" s="71"/>
      <c r="C53" s="226"/>
      <c r="D53" s="71"/>
    </row>
    <row r="54" spans="1:4" x14ac:dyDescent="0.2">
      <c r="A54" s="345">
        <v>29159</v>
      </c>
      <c r="B54" s="71"/>
      <c r="C54" s="226"/>
      <c r="D54" s="71"/>
    </row>
    <row r="55" spans="1:4" x14ac:dyDescent="0.2">
      <c r="A55" s="345">
        <v>29189</v>
      </c>
      <c r="B55" s="71"/>
      <c r="C55" s="226"/>
      <c r="D55" s="71"/>
    </row>
    <row r="56" spans="1:4" x14ac:dyDescent="0.2">
      <c r="A56" s="345">
        <v>29220</v>
      </c>
      <c r="B56" s="71"/>
      <c r="C56" s="226"/>
      <c r="D56" s="71"/>
    </row>
    <row r="57" spans="1:4" x14ac:dyDescent="0.2">
      <c r="A57" s="345">
        <v>29251</v>
      </c>
      <c r="B57" s="71"/>
      <c r="C57" s="226"/>
      <c r="D57" s="71"/>
    </row>
    <row r="58" spans="1:4" x14ac:dyDescent="0.2">
      <c r="A58" s="345">
        <v>29280</v>
      </c>
      <c r="B58" s="71"/>
      <c r="C58" s="226"/>
      <c r="D58" s="71"/>
    </row>
    <row r="59" spans="1:4" x14ac:dyDescent="0.2">
      <c r="A59" s="345">
        <v>29311</v>
      </c>
      <c r="B59" s="71"/>
      <c r="C59" s="226"/>
      <c r="D59" s="71"/>
    </row>
    <row r="60" spans="1:4" x14ac:dyDescent="0.2">
      <c r="A60" s="345">
        <v>29341</v>
      </c>
      <c r="B60" s="71"/>
      <c r="C60" s="226"/>
      <c r="D60" s="71"/>
    </row>
    <row r="61" spans="1:4" x14ac:dyDescent="0.2">
      <c r="A61" s="345">
        <v>29372</v>
      </c>
      <c r="B61" s="71"/>
      <c r="C61" s="226"/>
      <c r="D61" s="71"/>
    </row>
    <row r="62" spans="1:4" x14ac:dyDescent="0.2">
      <c r="A62" s="345">
        <v>29402</v>
      </c>
      <c r="B62" s="71"/>
      <c r="C62" s="226"/>
      <c r="D62" s="71"/>
    </row>
    <row r="63" spans="1:4" x14ac:dyDescent="0.2">
      <c r="A63" s="345">
        <v>29433</v>
      </c>
      <c r="B63" s="71"/>
      <c r="C63" s="226"/>
      <c r="D63" s="71"/>
    </row>
    <row r="64" spans="1:4" x14ac:dyDescent="0.2">
      <c r="A64" s="345">
        <v>29464</v>
      </c>
      <c r="B64" s="71"/>
      <c r="C64" s="226"/>
      <c r="D64" s="71"/>
    </row>
    <row r="65" spans="1:4" x14ac:dyDescent="0.2">
      <c r="A65" s="345">
        <v>29494</v>
      </c>
      <c r="B65" s="71"/>
      <c r="C65" s="226"/>
      <c r="D65" s="71"/>
    </row>
    <row r="66" spans="1:4" x14ac:dyDescent="0.2">
      <c r="A66" s="345">
        <v>29525</v>
      </c>
      <c r="B66" s="71"/>
      <c r="C66" s="226"/>
      <c r="D66" s="71"/>
    </row>
    <row r="67" spans="1:4" x14ac:dyDescent="0.2">
      <c r="A67" s="345">
        <v>29555</v>
      </c>
      <c r="B67" s="71"/>
      <c r="C67" s="226"/>
      <c r="D67" s="71"/>
    </row>
    <row r="68" spans="1:4" x14ac:dyDescent="0.2">
      <c r="A68" s="345">
        <v>29586</v>
      </c>
      <c r="B68" s="71"/>
      <c r="C68" s="226"/>
      <c r="D68" s="71"/>
    </row>
    <row r="69" spans="1:4" x14ac:dyDescent="0.2">
      <c r="A69" s="345">
        <v>29617</v>
      </c>
      <c r="B69" s="71"/>
      <c r="C69" s="226"/>
      <c r="D69" s="71"/>
    </row>
    <row r="70" spans="1:4" x14ac:dyDescent="0.2">
      <c r="A70" s="345">
        <v>29645</v>
      </c>
      <c r="B70" s="71"/>
      <c r="C70" s="226"/>
      <c r="D70" s="71"/>
    </row>
    <row r="71" spans="1:4" x14ac:dyDescent="0.2">
      <c r="A71" s="345">
        <v>29676</v>
      </c>
      <c r="B71" s="71"/>
      <c r="C71" s="226"/>
      <c r="D71" s="71"/>
    </row>
    <row r="72" spans="1:4" x14ac:dyDescent="0.2">
      <c r="A72" s="345">
        <v>29706</v>
      </c>
      <c r="B72" s="71"/>
      <c r="C72" s="226"/>
      <c r="D72" s="71"/>
    </row>
    <row r="73" spans="1:4" x14ac:dyDescent="0.2">
      <c r="A73" s="345">
        <v>29737</v>
      </c>
      <c r="B73" s="71"/>
      <c r="C73" s="226"/>
      <c r="D73" s="71"/>
    </row>
    <row r="74" spans="1:4" x14ac:dyDescent="0.2">
      <c r="A74" s="345">
        <v>29767</v>
      </c>
      <c r="B74" s="71"/>
      <c r="C74" s="226"/>
      <c r="D74" s="71"/>
    </row>
    <row r="75" spans="1:4" x14ac:dyDescent="0.2">
      <c r="A75" s="345">
        <v>29798</v>
      </c>
      <c r="B75" s="71"/>
      <c r="C75" s="226"/>
      <c r="D75" s="71"/>
    </row>
    <row r="76" spans="1:4" x14ac:dyDescent="0.2">
      <c r="A76" s="345">
        <v>29829</v>
      </c>
      <c r="B76" s="71"/>
      <c r="C76" s="226"/>
      <c r="D76" s="71"/>
    </row>
    <row r="77" spans="1:4" x14ac:dyDescent="0.2">
      <c r="A77" s="345">
        <v>29859</v>
      </c>
      <c r="B77" s="71"/>
      <c r="C77" s="226"/>
      <c r="D77" s="71"/>
    </row>
    <row r="78" spans="1:4" x14ac:dyDescent="0.2">
      <c r="A78" s="345">
        <v>29890</v>
      </c>
      <c r="B78" s="71"/>
      <c r="C78" s="226"/>
      <c r="D78" s="71"/>
    </row>
    <row r="79" spans="1:4" x14ac:dyDescent="0.2">
      <c r="A79" s="345">
        <v>29920</v>
      </c>
      <c r="B79" s="71"/>
      <c r="C79" s="226"/>
      <c r="D79" s="71"/>
    </row>
    <row r="80" spans="1:4" x14ac:dyDescent="0.2">
      <c r="A80" s="345">
        <v>29951</v>
      </c>
      <c r="B80" s="71"/>
      <c r="C80" s="226"/>
      <c r="D80" s="71"/>
    </row>
    <row r="81" spans="1:4" x14ac:dyDescent="0.2">
      <c r="A81" s="345">
        <v>29982</v>
      </c>
      <c r="B81" s="71"/>
      <c r="C81" s="226"/>
      <c r="D81" s="71"/>
    </row>
    <row r="82" spans="1:4" x14ac:dyDescent="0.2">
      <c r="A82" s="345">
        <v>30010</v>
      </c>
      <c r="B82" s="71"/>
      <c r="C82" s="226"/>
      <c r="D82" s="71"/>
    </row>
    <row r="83" spans="1:4" x14ac:dyDescent="0.2">
      <c r="A83" s="345">
        <v>30041</v>
      </c>
      <c r="B83" s="71"/>
      <c r="C83" s="226"/>
      <c r="D83" s="71"/>
    </row>
    <row r="84" spans="1:4" x14ac:dyDescent="0.2">
      <c r="A84" s="345">
        <v>30071</v>
      </c>
      <c r="B84" s="71"/>
      <c r="C84" s="226"/>
      <c r="D84" s="71"/>
    </row>
    <row r="85" spans="1:4" x14ac:dyDescent="0.2">
      <c r="A85" s="345">
        <v>30102</v>
      </c>
      <c r="B85" s="71"/>
      <c r="C85" s="226"/>
      <c r="D85" s="71"/>
    </row>
    <row r="86" spans="1:4" x14ac:dyDescent="0.2">
      <c r="A86" s="345">
        <v>30132</v>
      </c>
      <c r="B86" s="71"/>
      <c r="C86" s="226"/>
      <c r="D86" s="71"/>
    </row>
    <row r="87" spans="1:4" x14ac:dyDescent="0.2">
      <c r="A87" s="345">
        <v>30163</v>
      </c>
      <c r="B87" s="71"/>
      <c r="C87" s="226"/>
      <c r="D87" s="71"/>
    </row>
    <row r="88" spans="1:4" x14ac:dyDescent="0.2">
      <c r="A88" s="345">
        <v>30194</v>
      </c>
      <c r="B88" s="71"/>
      <c r="C88" s="226"/>
      <c r="D88" s="71"/>
    </row>
    <row r="89" spans="1:4" x14ac:dyDescent="0.2">
      <c r="A89" s="345">
        <v>30224</v>
      </c>
      <c r="B89" s="71"/>
      <c r="C89" s="226"/>
      <c r="D89" s="71"/>
    </row>
    <row r="90" spans="1:4" x14ac:dyDescent="0.2">
      <c r="A90" s="345">
        <v>30255</v>
      </c>
      <c r="B90" s="71"/>
      <c r="C90" s="226"/>
      <c r="D90" s="71"/>
    </row>
    <row r="91" spans="1:4" x14ac:dyDescent="0.2">
      <c r="A91" s="345">
        <v>30285</v>
      </c>
      <c r="B91" s="71"/>
      <c r="C91" s="226"/>
      <c r="D91" s="71"/>
    </row>
    <row r="92" spans="1:4" x14ac:dyDescent="0.2">
      <c r="A92" s="345">
        <v>30316</v>
      </c>
      <c r="B92" s="71"/>
      <c r="C92" s="226"/>
      <c r="D92" s="71"/>
    </row>
    <row r="93" spans="1:4" x14ac:dyDescent="0.2">
      <c r="A93" s="345">
        <v>30347</v>
      </c>
      <c r="B93" s="71"/>
      <c r="C93" s="226"/>
      <c r="D93" s="71"/>
    </row>
    <row r="94" spans="1:4" x14ac:dyDescent="0.2">
      <c r="A94" s="345">
        <v>30375</v>
      </c>
      <c r="B94" s="71"/>
      <c r="C94" s="226"/>
      <c r="D94" s="71"/>
    </row>
    <row r="95" spans="1:4" x14ac:dyDescent="0.2">
      <c r="A95" s="345">
        <v>30406</v>
      </c>
      <c r="B95" s="71"/>
      <c r="C95" s="226"/>
      <c r="D95" s="71"/>
    </row>
    <row r="96" spans="1:4" x14ac:dyDescent="0.2">
      <c r="A96" s="345">
        <v>30436</v>
      </c>
      <c r="B96" s="71"/>
      <c r="C96" s="226"/>
      <c r="D96" s="71"/>
    </row>
    <row r="97" spans="1:4" x14ac:dyDescent="0.2">
      <c r="A97" s="345">
        <v>30467</v>
      </c>
      <c r="B97" s="71"/>
      <c r="C97" s="226"/>
      <c r="D97" s="71"/>
    </row>
    <row r="98" spans="1:4" x14ac:dyDescent="0.2">
      <c r="A98" s="345">
        <v>30497</v>
      </c>
      <c r="B98" s="71"/>
      <c r="C98" s="226"/>
      <c r="D98" s="71"/>
    </row>
    <row r="99" spans="1:4" x14ac:dyDescent="0.2">
      <c r="A99" s="345">
        <v>30528</v>
      </c>
      <c r="B99" s="71"/>
      <c r="C99" s="226"/>
      <c r="D99" s="71"/>
    </row>
    <row r="100" spans="1:4" x14ac:dyDescent="0.2">
      <c r="A100" s="345">
        <v>30559</v>
      </c>
      <c r="B100" s="71"/>
      <c r="C100" s="226"/>
      <c r="D100" s="71"/>
    </row>
    <row r="101" spans="1:4" x14ac:dyDescent="0.2">
      <c r="A101" s="345">
        <v>30589</v>
      </c>
      <c r="B101" s="71"/>
      <c r="C101" s="226"/>
      <c r="D101" s="71"/>
    </row>
    <row r="102" spans="1:4" x14ac:dyDescent="0.2">
      <c r="A102" s="345">
        <v>30620</v>
      </c>
      <c r="B102" s="71"/>
      <c r="C102" s="226"/>
      <c r="D102" s="71"/>
    </row>
    <row r="103" spans="1:4" x14ac:dyDescent="0.2">
      <c r="A103" s="345">
        <v>30650</v>
      </c>
      <c r="B103" s="71"/>
      <c r="C103" s="226"/>
      <c r="D103" s="71"/>
    </row>
    <row r="104" spans="1:4" x14ac:dyDescent="0.2">
      <c r="A104" s="345">
        <v>30681</v>
      </c>
      <c r="B104" s="71"/>
      <c r="C104" s="226"/>
      <c r="D104" s="71"/>
    </row>
    <row r="105" spans="1:4" x14ac:dyDescent="0.2">
      <c r="A105" s="345">
        <v>30712</v>
      </c>
      <c r="B105" s="71"/>
      <c r="C105" s="226"/>
      <c r="D105" s="71"/>
    </row>
    <row r="106" spans="1:4" x14ac:dyDescent="0.2">
      <c r="A106" s="345">
        <v>30741</v>
      </c>
      <c r="B106" s="71"/>
      <c r="C106" s="226"/>
      <c r="D106" s="71"/>
    </row>
    <row r="107" spans="1:4" x14ac:dyDescent="0.2">
      <c r="A107" s="345">
        <v>30772</v>
      </c>
      <c r="B107" s="71"/>
      <c r="C107" s="226"/>
      <c r="D107" s="71"/>
    </row>
    <row r="108" spans="1:4" x14ac:dyDescent="0.2">
      <c r="A108" s="345">
        <v>30802</v>
      </c>
      <c r="B108" s="71"/>
      <c r="C108" s="226"/>
      <c r="D108" s="71"/>
    </row>
    <row r="109" spans="1:4" x14ac:dyDescent="0.2">
      <c r="A109" s="345">
        <v>30833</v>
      </c>
      <c r="B109" s="71"/>
      <c r="C109" s="226"/>
      <c r="D109" s="71"/>
    </row>
    <row r="110" spans="1:4" x14ac:dyDescent="0.2">
      <c r="A110" s="345">
        <v>30863</v>
      </c>
      <c r="B110" s="71"/>
      <c r="C110" s="226"/>
      <c r="D110" s="71"/>
    </row>
    <row r="111" spans="1:4" x14ac:dyDescent="0.2">
      <c r="A111" s="345">
        <v>30894</v>
      </c>
      <c r="B111" s="71"/>
      <c r="C111" s="226"/>
      <c r="D111" s="71"/>
    </row>
    <row r="112" spans="1:4" x14ac:dyDescent="0.2">
      <c r="A112" s="345">
        <v>30925</v>
      </c>
      <c r="B112" s="71"/>
      <c r="C112" s="226"/>
      <c r="D112" s="71"/>
    </row>
    <row r="113" spans="1:4" x14ac:dyDescent="0.2">
      <c r="A113" s="345">
        <v>30955</v>
      </c>
      <c r="B113" s="71"/>
      <c r="C113" s="226"/>
      <c r="D113" s="71"/>
    </row>
    <row r="114" spans="1:4" x14ac:dyDescent="0.2">
      <c r="A114" s="345">
        <v>30986</v>
      </c>
      <c r="B114" s="71"/>
      <c r="C114" s="226"/>
      <c r="D114" s="71"/>
    </row>
    <row r="115" spans="1:4" x14ac:dyDescent="0.2">
      <c r="A115" s="345">
        <v>31016</v>
      </c>
      <c r="B115" s="71"/>
      <c r="C115" s="226"/>
      <c r="D115" s="71"/>
    </row>
    <row r="116" spans="1:4" x14ac:dyDescent="0.2">
      <c r="A116" s="345">
        <v>31047</v>
      </c>
      <c r="B116" s="71"/>
      <c r="C116" s="226"/>
      <c r="D116" s="71"/>
    </row>
    <row r="117" spans="1:4" x14ac:dyDescent="0.2">
      <c r="A117" s="345">
        <v>31078</v>
      </c>
      <c r="B117" s="71"/>
      <c r="C117" s="226"/>
      <c r="D117" s="71"/>
    </row>
    <row r="118" spans="1:4" x14ac:dyDescent="0.2">
      <c r="A118" s="345">
        <v>31106</v>
      </c>
      <c r="B118" s="71"/>
      <c r="C118" s="226"/>
      <c r="D118" s="71"/>
    </row>
    <row r="119" spans="1:4" x14ac:dyDescent="0.2">
      <c r="A119" s="345">
        <v>31137</v>
      </c>
      <c r="B119" s="71"/>
      <c r="C119" s="226"/>
      <c r="D119" s="71"/>
    </row>
    <row r="120" spans="1:4" x14ac:dyDescent="0.2">
      <c r="A120" s="345">
        <v>31167</v>
      </c>
      <c r="B120" s="71"/>
      <c r="C120" s="226"/>
      <c r="D120" s="71"/>
    </row>
    <row r="121" spans="1:4" x14ac:dyDescent="0.2">
      <c r="A121" s="345">
        <v>31198</v>
      </c>
      <c r="B121" s="71"/>
      <c r="C121" s="226"/>
      <c r="D121" s="71"/>
    </row>
    <row r="122" spans="1:4" x14ac:dyDescent="0.2">
      <c r="A122" s="345">
        <v>31228</v>
      </c>
      <c r="B122" s="71"/>
      <c r="C122" s="226"/>
      <c r="D122" s="71"/>
    </row>
    <row r="123" spans="1:4" x14ac:dyDescent="0.2">
      <c r="A123" s="345">
        <v>31259</v>
      </c>
      <c r="B123" s="71"/>
      <c r="C123" s="226"/>
      <c r="D123" s="71"/>
    </row>
    <row r="124" spans="1:4" x14ac:dyDescent="0.2">
      <c r="A124" s="345">
        <v>31290</v>
      </c>
      <c r="B124" s="71"/>
      <c r="C124" s="226"/>
      <c r="D124" s="71"/>
    </row>
    <row r="125" spans="1:4" x14ac:dyDescent="0.2">
      <c r="A125" s="345">
        <v>31320</v>
      </c>
      <c r="B125" s="71"/>
      <c r="C125" s="226"/>
      <c r="D125" s="71"/>
    </row>
    <row r="126" spans="1:4" x14ac:dyDescent="0.2">
      <c r="A126" s="345">
        <v>31351</v>
      </c>
      <c r="B126" s="71"/>
      <c r="C126" s="226"/>
      <c r="D126" s="71"/>
    </row>
    <row r="127" spans="1:4" x14ac:dyDescent="0.2">
      <c r="A127" s="345">
        <v>31381</v>
      </c>
      <c r="B127" s="71"/>
      <c r="C127" s="226"/>
      <c r="D127" s="71"/>
    </row>
    <row r="128" spans="1:4" x14ac:dyDescent="0.2">
      <c r="A128" s="345">
        <v>31412</v>
      </c>
      <c r="B128" s="71"/>
      <c r="C128" s="226"/>
      <c r="D128" s="71"/>
    </row>
    <row r="129" spans="1:4" x14ac:dyDescent="0.2">
      <c r="A129" s="345">
        <v>31443</v>
      </c>
      <c r="B129" s="71"/>
      <c r="C129" s="226"/>
      <c r="D129" s="71"/>
    </row>
    <row r="130" spans="1:4" x14ac:dyDescent="0.2">
      <c r="A130" s="345">
        <v>31471</v>
      </c>
      <c r="B130" s="71"/>
      <c r="C130" s="226"/>
      <c r="D130" s="71"/>
    </row>
    <row r="131" spans="1:4" x14ac:dyDescent="0.2">
      <c r="A131" s="345">
        <v>31502</v>
      </c>
      <c r="B131" s="71"/>
      <c r="C131" s="226"/>
      <c r="D131" s="71"/>
    </row>
    <row r="132" spans="1:4" x14ac:dyDescent="0.2">
      <c r="A132" s="345">
        <v>31532</v>
      </c>
      <c r="B132" s="71"/>
      <c r="C132" s="226"/>
      <c r="D132" s="71"/>
    </row>
    <row r="133" spans="1:4" x14ac:dyDescent="0.2">
      <c r="A133" s="345">
        <v>31563</v>
      </c>
      <c r="B133" s="71"/>
      <c r="C133" s="226"/>
      <c r="D133" s="71"/>
    </row>
    <row r="134" spans="1:4" x14ac:dyDescent="0.2">
      <c r="A134" s="345">
        <v>31593</v>
      </c>
      <c r="B134" s="71"/>
      <c r="C134" s="226"/>
      <c r="D134" s="71"/>
    </row>
    <row r="135" spans="1:4" x14ac:dyDescent="0.2">
      <c r="A135" s="345">
        <v>31624</v>
      </c>
      <c r="B135" s="71"/>
      <c r="C135" s="226"/>
      <c r="D135" s="71"/>
    </row>
    <row r="136" spans="1:4" x14ac:dyDescent="0.2">
      <c r="A136" s="345">
        <v>31655</v>
      </c>
      <c r="B136" s="71"/>
      <c r="C136" s="226"/>
      <c r="D136" s="71"/>
    </row>
    <row r="137" spans="1:4" x14ac:dyDescent="0.2">
      <c r="A137" s="345">
        <v>31685</v>
      </c>
      <c r="B137" s="71"/>
      <c r="C137" s="226"/>
      <c r="D137" s="71"/>
    </row>
    <row r="138" spans="1:4" x14ac:dyDescent="0.2">
      <c r="A138" s="345">
        <v>31716</v>
      </c>
      <c r="B138" s="71"/>
      <c r="C138" s="226"/>
      <c r="D138" s="71"/>
    </row>
    <row r="139" spans="1:4" x14ac:dyDescent="0.2">
      <c r="A139" s="345">
        <v>31746</v>
      </c>
      <c r="B139" s="71"/>
      <c r="C139" s="226"/>
      <c r="D139" s="71"/>
    </row>
    <row r="140" spans="1:4" x14ac:dyDescent="0.2">
      <c r="A140" s="345">
        <v>31777</v>
      </c>
      <c r="B140" s="71"/>
      <c r="C140" s="226"/>
      <c r="D140" s="71"/>
    </row>
    <row r="141" spans="1:4" x14ac:dyDescent="0.2">
      <c r="A141" s="345">
        <v>31808</v>
      </c>
      <c r="B141" s="73"/>
      <c r="C141" s="25"/>
      <c r="D141" s="73"/>
    </row>
    <row r="142" spans="1:4" x14ac:dyDescent="0.2">
      <c r="A142" s="345">
        <v>31836</v>
      </c>
      <c r="B142" s="73"/>
      <c r="C142" s="25"/>
      <c r="D142" s="73"/>
    </row>
    <row r="143" spans="1:4" x14ac:dyDescent="0.2">
      <c r="A143" s="345">
        <v>31867</v>
      </c>
      <c r="B143" s="73"/>
      <c r="C143" s="25"/>
      <c r="D143" s="73"/>
    </row>
    <row r="144" spans="1:4" x14ac:dyDescent="0.2">
      <c r="A144" s="345">
        <v>31897</v>
      </c>
      <c r="B144" s="73"/>
      <c r="C144" s="25"/>
      <c r="D144" s="73"/>
    </row>
    <row r="145" spans="1:4" x14ac:dyDescent="0.2">
      <c r="A145" s="345">
        <v>31928</v>
      </c>
      <c r="B145" s="73"/>
      <c r="C145" s="25"/>
      <c r="D145" s="73"/>
    </row>
    <row r="146" spans="1:4" x14ac:dyDescent="0.2">
      <c r="A146" s="345">
        <v>31958</v>
      </c>
      <c r="B146" s="73"/>
      <c r="C146" s="25"/>
      <c r="D146" s="73"/>
    </row>
    <row r="147" spans="1:4" x14ac:dyDescent="0.2">
      <c r="A147" s="345">
        <v>31989</v>
      </c>
      <c r="B147" s="73"/>
      <c r="C147" s="25"/>
      <c r="D147" s="73"/>
    </row>
    <row r="148" spans="1:4" x14ac:dyDescent="0.2">
      <c r="A148" s="345">
        <v>32020</v>
      </c>
      <c r="B148" s="73"/>
      <c r="C148" s="25"/>
      <c r="D148" s="73"/>
    </row>
    <row r="149" spans="1:4" x14ac:dyDescent="0.2">
      <c r="A149" s="345">
        <v>32050</v>
      </c>
      <c r="B149" s="73"/>
      <c r="C149" s="25"/>
      <c r="D149" s="73"/>
    </row>
    <row r="150" spans="1:4" x14ac:dyDescent="0.2">
      <c r="A150" s="345">
        <v>32081</v>
      </c>
      <c r="B150" s="73"/>
      <c r="C150" s="25"/>
      <c r="D150" s="73"/>
    </row>
    <row r="151" spans="1:4" x14ac:dyDescent="0.2">
      <c r="A151" s="345">
        <v>32111</v>
      </c>
      <c r="B151" s="73"/>
      <c r="C151" s="25"/>
      <c r="D151" s="73"/>
    </row>
    <row r="152" spans="1:4" x14ac:dyDescent="0.2">
      <c r="A152" s="345">
        <v>32142</v>
      </c>
      <c r="B152" s="73"/>
      <c r="C152" s="25"/>
      <c r="D152" s="73"/>
    </row>
    <row r="153" spans="1:4" x14ac:dyDescent="0.2">
      <c r="A153" s="345">
        <v>32173</v>
      </c>
      <c r="B153" s="73"/>
      <c r="C153" s="25"/>
      <c r="D153" s="73"/>
    </row>
    <row r="154" spans="1:4" x14ac:dyDescent="0.2">
      <c r="A154" s="345">
        <v>32202</v>
      </c>
      <c r="B154" s="73"/>
      <c r="C154" s="25"/>
      <c r="D154" s="73"/>
    </row>
    <row r="155" spans="1:4" x14ac:dyDescent="0.2">
      <c r="A155" s="345">
        <v>32233</v>
      </c>
      <c r="B155" s="73"/>
      <c r="C155" s="25"/>
      <c r="D155" s="73"/>
    </row>
    <row r="156" spans="1:4" x14ac:dyDescent="0.2">
      <c r="A156" s="345">
        <v>32263</v>
      </c>
      <c r="B156" s="73"/>
      <c r="C156" s="25"/>
      <c r="D156" s="73"/>
    </row>
    <row r="157" spans="1:4" x14ac:dyDescent="0.2">
      <c r="A157" s="345">
        <v>32294</v>
      </c>
      <c r="B157" s="73"/>
      <c r="C157" s="25"/>
      <c r="D157" s="73"/>
    </row>
    <row r="158" spans="1:4" x14ac:dyDescent="0.2">
      <c r="A158" s="345">
        <v>32324</v>
      </c>
      <c r="B158" s="73"/>
      <c r="C158" s="25"/>
      <c r="D158" s="73"/>
    </row>
    <row r="159" spans="1:4" x14ac:dyDescent="0.2">
      <c r="A159" s="345">
        <v>32355</v>
      </c>
      <c r="B159" s="73"/>
      <c r="C159" s="25"/>
      <c r="D159" s="73"/>
    </row>
    <row r="160" spans="1:4" x14ac:dyDescent="0.2">
      <c r="A160" s="345">
        <v>32386</v>
      </c>
      <c r="B160" s="73"/>
      <c r="C160" s="25"/>
      <c r="D160" s="73"/>
    </row>
    <row r="161" spans="1:4" x14ac:dyDescent="0.2">
      <c r="A161" s="345">
        <v>32416</v>
      </c>
      <c r="B161" s="73"/>
      <c r="C161" s="25"/>
      <c r="D161" s="73"/>
    </row>
    <row r="162" spans="1:4" x14ac:dyDescent="0.2">
      <c r="A162" s="345">
        <v>32447</v>
      </c>
      <c r="B162" s="73"/>
      <c r="C162" s="25"/>
      <c r="D162" s="73"/>
    </row>
    <row r="163" spans="1:4" x14ac:dyDescent="0.2">
      <c r="A163" s="345">
        <v>32477</v>
      </c>
      <c r="B163" s="73"/>
      <c r="C163" s="25"/>
      <c r="D163" s="73"/>
    </row>
    <row r="164" spans="1:4" x14ac:dyDescent="0.2">
      <c r="A164" s="345">
        <v>32508</v>
      </c>
      <c r="B164" s="73"/>
      <c r="C164" s="25"/>
      <c r="D164" s="73"/>
    </row>
    <row r="165" spans="1:4" x14ac:dyDescent="0.2">
      <c r="A165" s="345">
        <v>32539</v>
      </c>
      <c r="B165" s="73"/>
      <c r="C165" s="25"/>
      <c r="D165" s="73"/>
    </row>
    <row r="166" spans="1:4" x14ac:dyDescent="0.2">
      <c r="A166" s="345">
        <v>32567</v>
      </c>
      <c r="B166" s="73"/>
      <c r="C166" s="25"/>
      <c r="D166" s="73"/>
    </row>
    <row r="167" spans="1:4" x14ac:dyDescent="0.2">
      <c r="A167" s="345">
        <v>32598</v>
      </c>
      <c r="B167" s="73"/>
      <c r="C167" s="25"/>
      <c r="D167" s="73"/>
    </row>
    <row r="168" spans="1:4" x14ac:dyDescent="0.2">
      <c r="A168" s="345">
        <v>32628</v>
      </c>
      <c r="B168" s="73"/>
      <c r="C168" s="25"/>
      <c r="D168" s="73"/>
    </row>
    <row r="169" spans="1:4" x14ac:dyDescent="0.2">
      <c r="A169" s="345">
        <v>32659</v>
      </c>
      <c r="B169" s="73"/>
      <c r="C169" s="25"/>
      <c r="D169" s="73"/>
    </row>
    <row r="170" spans="1:4" x14ac:dyDescent="0.2">
      <c r="A170" s="345">
        <v>32689</v>
      </c>
      <c r="B170" s="73"/>
      <c r="C170" s="25"/>
      <c r="D170" s="73"/>
    </row>
    <row r="171" spans="1:4" x14ac:dyDescent="0.2">
      <c r="A171" s="345">
        <v>32720</v>
      </c>
      <c r="B171" s="73"/>
      <c r="C171" s="25"/>
      <c r="D171" s="73"/>
    </row>
    <row r="172" spans="1:4" x14ac:dyDescent="0.2">
      <c r="A172" s="345">
        <v>32751</v>
      </c>
      <c r="B172" s="73"/>
      <c r="C172" s="25"/>
      <c r="D172" s="73"/>
    </row>
    <row r="173" spans="1:4" x14ac:dyDescent="0.2">
      <c r="A173" s="345">
        <v>32781</v>
      </c>
      <c r="B173" s="73"/>
      <c r="C173" s="25"/>
      <c r="D173" s="73"/>
    </row>
    <row r="174" spans="1:4" x14ac:dyDescent="0.2">
      <c r="A174" s="345">
        <v>32812</v>
      </c>
      <c r="B174" s="73"/>
      <c r="C174" s="25"/>
      <c r="D174" s="73"/>
    </row>
    <row r="175" spans="1:4" x14ac:dyDescent="0.2">
      <c r="A175" s="345">
        <v>32842</v>
      </c>
      <c r="B175" s="73"/>
      <c r="C175" s="25"/>
      <c r="D175" s="73"/>
    </row>
    <row r="176" spans="1:4" x14ac:dyDescent="0.2">
      <c r="A176" s="345">
        <v>32873</v>
      </c>
      <c r="B176" s="73"/>
      <c r="C176" s="25"/>
      <c r="D176" s="73"/>
    </row>
    <row r="177" spans="1:4" x14ac:dyDescent="0.2">
      <c r="A177" s="345">
        <v>32904</v>
      </c>
      <c r="B177" s="73"/>
      <c r="C177" s="25"/>
      <c r="D177" s="73"/>
    </row>
    <row r="178" spans="1:4" x14ac:dyDescent="0.2">
      <c r="A178" s="345">
        <v>32932</v>
      </c>
      <c r="B178" s="73"/>
      <c r="C178" s="25"/>
      <c r="D178" s="73"/>
    </row>
    <row r="179" spans="1:4" x14ac:dyDescent="0.2">
      <c r="A179" s="345">
        <v>32963</v>
      </c>
      <c r="B179" s="73"/>
      <c r="C179" s="25"/>
      <c r="D179" s="73"/>
    </row>
    <row r="180" spans="1:4" x14ac:dyDescent="0.2">
      <c r="A180" s="345">
        <v>32993</v>
      </c>
      <c r="B180" s="73"/>
      <c r="C180" s="25"/>
      <c r="D180" s="73"/>
    </row>
    <row r="181" spans="1:4" x14ac:dyDescent="0.2">
      <c r="A181" s="345">
        <v>33024</v>
      </c>
      <c r="B181" s="73"/>
      <c r="C181" s="25"/>
      <c r="D181" s="73"/>
    </row>
    <row r="182" spans="1:4" x14ac:dyDescent="0.2">
      <c r="A182" s="345">
        <v>33054</v>
      </c>
      <c r="B182" s="73"/>
      <c r="C182" s="25"/>
      <c r="D182" s="73"/>
    </row>
    <row r="183" spans="1:4" x14ac:dyDescent="0.2">
      <c r="A183" s="345">
        <v>33085</v>
      </c>
      <c r="B183" s="73"/>
      <c r="C183" s="25"/>
      <c r="D183" s="73"/>
    </row>
    <row r="184" spans="1:4" x14ac:dyDescent="0.2">
      <c r="A184" s="345">
        <v>33116</v>
      </c>
      <c r="B184" s="73"/>
      <c r="C184" s="25"/>
      <c r="D184" s="73"/>
    </row>
    <row r="185" spans="1:4" x14ac:dyDescent="0.2">
      <c r="A185" s="345">
        <v>33146</v>
      </c>
      <c r="B185" s="73"/>
      <c r="C185" s="25"/>
      <c r="D185" s="73"/>
    </row>
    <row r="186" spans="1:4" x14ac:dyDescent="0.2">
      <c r="A186" s="345">
        <v>33177</v>
      </c>
      <c r="B186" s="73"/>
      <c r="C186" s="25"/>
      <c r="D186" s="73"/>
    </row>
    <row r="187" spans="1:4" x14ac:dyDescent="0.2">
      <c r="A187" s="345">
        <v>33207</v>
      </c>
      <c r="B187" s="73"/>
      <c r="C187" s="25"/>
      <c r="D187" s="73"/>
    </row>
    <row r="188" spans="1:4" x14ac:dyDescent="0.2">
      <c r="A188" s="345">
        <v>33238</v>
      </c>
      <c r="B188" s="73"/>
      <c r="C188" s="25"/>
      <c r="D188" s="73"/>
    </row>
    <row r="189" spans="1:4" x14ac:dyDescent="0.2">
      <c r="A189" s="345">
        <v>33269</v>
      </c>
      <c r="B189" s="73"/>
      <c r="C189" s="25"/>
      <c r="D189" s="73"/>
    </row>
    <row r="190" spans="1:4" x14ac:dyDescent="0.2">
      <c r="A190" s="345">
        <v>33297</v>
      </c>
      <c r="B190" s="73"/>
      <c r="C190" s="25"/>
      <c r="D190" s="73"/>
    </row>
    <row r="191" spans="1:4" x14ac:dyDescent="0.2">
      <c r="A191" s="345">
        <v>33328</v>
      </c>
      <c r="B191" s="73"/>
      <c r="C191" s="25"/>
      <c r="D191" s="73"/>
    </row>
    <row r="192" spans="1:4" x14ac:dyDescent="0.2">
      <c r="A192" s="345">
        <v>33358</v>
      </c>
      <c r="B192" s="73"/>
      <c r="C192" s="25"/>
      <c r="D192" s="73"/>
    </row>
    <row r="193" spans="1:4" x14ac:dyDescent="0.2">
      <c r="A193" s="345">
        <v>33389</v>
      </c>
      <c r="B193" s="73"/>
      <c r="C193" s="25"/>
      <c r="D193" s="73"/>
    </row>
    <row r="194" spans="1:4" x14ac:dyDescent="0.2">
      <c r="A194" s="345">
        <v>33419</v>
      </c>
      <c r="B194" s="73"/>
      <c r="C194" s="25"/>
      <c r="D194" s="73"/>
    </row>
    <row r="195" spans="1:4" x14ac:dyDescent="0.2">
      <c r="A195" s="345">
        <v>33450</v>
      </c>
      <c r="B195" s="73"/>
      <c r="C195" s="25"/>
      <c r="D195" s="73"/>
    </row>
    <row r="196" spans="1:4" x14ac:dyDescent="0.2">
      <c r="A196" s="345">
        <v>33481</v>
      </c>
      <c r="B196" s="73"/>
      <c r="C196" s="25"/>
      <c r="D196" s="73"/>
    </row>
    <row r="197" spans="1:4" x14ac:dyDescent="0.2">
      <c r="A197" s="345">
        <v>33511</v>
      </c>
      <c r="B197" s="73"/>
      <c r="C197" s="25"/>
      <c r="D197" s="73"/>
    </row>
    <row r="198" spans="1:4" x14ac:dyDescent="0.2">
      <c r="A198" s="345">
        <v>33542</v>
      </c>
      <c r="B198" s="73"/>
      <c r="C198" s="25"/>
      <c r="D198" s="73"/>
    </row>
    <row r="199" spans="1:4" x14ac:dyDescent="0.2">
      <c r="A199" s="345">
        <v>33572</v>
      </c>
      <c r="B199" s="73"/>
      <c r="C199" s="25"/>
      <c r="D199" s="73"/>
    </row>
    <row r="200" spans="1:4" x14ac:dyDescent="0.2">
      <c r="A200" s="345">
        <v>33603</v>
      </c>
      <c r="B200" s="73"/>
      <c r="C200" s="25"/>
      <c r="D200" s="73"/>
    </row>
    <row r="201" spans="1:4" x14ac:dyDescent="0.2">
      <c r="A201" s="345">
        <v>33634</v>
      </c>
      <c r="B201" s="73"/>
      <c r="C201" s="25"/>
      <c r="D201" s="73"/>
    </row>
    <row r="202" spans="1:4" x14ac:dyDescent="0.2">
      <c r="A202" s="345">
        <v>33663</v>
      </c>
      <c r="B202" s="73"/>
      <c r="C202" s="25"/>
      <c r="D202" s="73"/>
    </row>
    <row r="203" spans="1:4" x14ac:dyDescent="0.2">
      <c r="A203" s="345">
        <v>33694</v>
      </c>
      <c r="B203" s="73"/>
      <c r="C203" s="25"/>
      <c r="D203" s="73"/>
    </row>
    <row r="204" spans="1:4" x14ac:dyDescent="0.2">
      <c r="A204" s="345">
        <v>33724</v>
      </c>
      <c r="B204" s="73"/>
      <c r="C204" s="25"/>
      <c r="D204" s="73"/>
    </row>
    <row r="205" spans="1:4" x14ac:dyDescent="0.2">
      <c r="A205" s="345">
        <v>33755</v>
      </c>
      <c r="B205" s="73"/>
      <c r="C205" s="25"/>
      <c r="D205" s="73"/>
    </row>
    <row r="206" spans="1:4" x14ac:dyDescent="0.2">
      <c r="A206" s="345">
        <v>33785</v>
      </c>
      <c r="B206" s="73"/>
      <c r="C206" s="25"/>
      <c r="D206" s="73"/>
    </row>
    <row r="207" spans="1:4" x14ac:dyDescent="0.2">
      <c r="A207" s="345">
        <v>33816</v>
      </c>
      <c r="B207" s="73"/>
      <c r="C207" s="25"/>
      <c r="D207" s="73"/>
    </row>
    <row r="208" spans="1:4" x14ac:dyDescent="0.2">
      <c r="A208" s="345">
        <v>33847</v>
      </c>
      <c r="B208" s="73"/>
      <c r="C208" s="25"/>
      <c r="D208" s="73"/>
    </row>
    <row r="209" spans="1:4" x14ac:dyDescent="0.2">
      <c r="A209" s="345">
        <v>33877</v>
      </c>
      <c r="B209" s="73"/>
      <c r="C209" s="25"/>
      <c r="D209" s="73"/>
    </row>
    <row r="210" spans="1:4" x14ac:dyDescent="0.2">
      <c r="A210" s="345">
        <v>33908</v>
      </c>
      <c r="B210" s="73"/>
      <c r="C210" s="25"/>
      <c r="D210" s="73"/>
    </row>
    <row r="211" spans="1:4" x14ac:dyDescent="0.2">
      <c r="A211" s="345">
        <v>33938</v>
      </c>
      <c r="B211" s="73"/>
      <c r="C211" s="25"/>
      <c r="D211" s="73"/>
    </row>
    <row r="212" spans="1:4" x14ac:dyDescent="0.2">
      <c r="A212" s="345">
        <v>33969</v>
      </c>
      <c r="B212" s="73"/>
      <c r="C212" s="25"/>
      <c r="D212" s="73"/>
    </row>
    <row r="213" spans="1:4" x14ac:dyDescent="0.2">
      <c r="A213" s="345">
        <v>34000</v>
      </c>
      <c r="B213" s="73"/>
      <c r="C213" s="25"/>
      <c r="D213" s="73"/>
    </row>
    <row r="214" spans="1:4" x14ac:dyDescent="0.2">
      <c r="A214" s="345">
        <v>34028</v>
      </c>
      <c r="B214" s="73"/>
      <c r="C214" s="25"/>
      <c r="D214" s="73"/>
    </row>
    <row r="215" spans="1:4" x14ac:dyDescent="0.2">
      <c r="A215" s="345">
        <v>34059</v>
      </c>
      <c r="B215" s="73"/>
      <c r="C215" s="25"/>
      <c r="D215" s="73"/>
    </row>
    <row r="216" spans="1:4" x14ac:dyDescent="0.2">
      <c r="A216" s="345">
        <v>34089</v>
      </c>
      <c r="B216" s="73"/>
      <c r="C216" s="25"/>
      <c r="D216" s="73"/>
    </row>
    <row r="217" spans="1:4" x14ac:dyDescent="0.2">
      <c r="A217" s="345">
        <v>34120</v>
      </c>
      <c r="B217" s="73"/>
      <c r="C217" s="25"/>
      <c r="D217" s="73"/>
    </row>
    <row r="218" spans="1:4" x14ac:dyDescent="0.2">
      <c r="A218" s="345">
        <v>34150</v>
      </c>
      <c r="B218" s="73"/>
      <c r="C218" s="25"/>
      <c r="D218" s="73"/>
    </row>
    <row r="219" spans="1:4" x14ac:dyDescent="0.2">
      <c r="A219" s="345">
        <v>34181</v>
      </c>
      <c r="B219" s="73"/>
      <c r="C219" s="25"/>
      <c r="D219" s="73"/>
    </row>
    <row r="220" spans="1:4" x14ac:dyDescent="0.2">
      <c r="A220" s="345">
        <v>34212</v>
      </c>
      <c r="B220" s="73"/>
      <c r="C220" s="25"/>
      <c r="D220" s="73"/>
    </row>
    <row r="221" spans="1:4" x14ac:dyDescent="0.2">
      <c r="A221" s="345">
        <v>34242</v>
      </c>
      <c r="B221" s="73"/>
      <c r="C221" s="25"/>
      <c r="D221" s="73"/>
    </row>
    <row r="222" spans="1:4" x14ac:dyDescent="0.2">
      <c r="A222" s="345">
        <v>34273</v>
      </c>
      <c r="B222" s="73"/>
      <c r="C222" s="25"/>
      <c r="D222" s="73"/>
    </row>
    <row r="223" spans="1:4" x14ac:dyDescent="0.2">
      <c r="A223" s="345">
        <v>34303</v>
      </c>
      <c r="B223" s="73"/>
      <c r="C223" s="25"/>
      <c r="D223" s="73"/>
    </row>
    <row r="224" spans="1:4" x14ac:dyDescent="0.2">
      <c r="A224" s="345">
        <v>34334</v>
      </c>
      <c r="B224" s="73"/>
      <c r="C224" s="25"/>
      <c r="D224" s="73"/>
    </row>
    <row r="225" spans="1:4" x14ac:dyDescent="0.2">
      <c r="A225" s="345">
        <v>34365</v>
      </c>
      <c r="B225" s="73"/>
      <c r="C225" s="25"/>
      <c r="D225" s="73"/>
    </row>
    <row r="226" spans="1:4" x14ac:dyDescent="0.2">
      <c r="A226" s="345">
        <v>34393</v>
      </c>
      <c r="B226" s="73"/>
      <c r="C226" s="25"/>
      <c r="D226" s="73"/>
    </row>
    <row r="227" spans="1:4" x14ac:dyDescent="0.2">
      <c r="A227" s="345">
        <v>34424</v>
      </c>
      <c r="B227" s="73"/>
      <c r="C227" s="25"/>
      <c r="D227" s="73"/>
    </row>
    <row r="228" spans="1:4" x14ac:dyDescent="0.2">
      <c r="A228" s="345">
        <v>34454</v>
      </c>
      <c r="B228" s="73"/>
      <c r="C228" s="25"/>
      <c r="D228" s="73"/>
    </row>
    <row r="229" spans="1:4" x14ac:dyDescent="0.2">
      <c r="A229" s="345">
        <v>34485</v>
      </c>
      <c r="B229" s="73"/>
      <c r="C229" s="25"/>
      <c r="D229" s="73"/>
    </row>
    <row r="230" spans="1:4" x14ac:dyDescent="0.2">
      <c r="A230" s="345">
        <v>34515</v>
      </c>
      <c r="B230" s="73"/>
      <c r="C230" s="25"/>
      <c r="D230" s="73"/>
    </row>
    <row r="231" spans="1:4" x14ac:dyDescent="0.2">
      <c r="A231" s="345">
        <v>34546</v>
      </c>
      <c r="B231" s="73"/>
      <c r="C231" s="25"/>
      <c r="D231" s="73"/>
    </row>
    <row r="232" spans="1:4" x14ac:dyDescent="0.2">
      <c r="A232" s="345">
        <v>34577</v>
      </c>
      <c r="B232" s="73"/>
      <c r="C232" s="25"/>
      <c r="D232" s="73"/>
    </row>
    <row r="233" spans="1:4" x14ac:dyDescent="0.2">
      <c r="A233" s="345">
        <v>34607</v>
      </c>
      <c r="B233" s="73"/>
      <c r="C233" s="25"/>
      <c r="D233" s="73"/>
    </row>
    <row r="234" spans="1:4" x14ac:dyDescent="0.2">
      <c r="A234" s="345">
        <v>34638</v>
      </c>
      <c r="B234" s="73"/>
      <c r="C234" s="25"/>
      <c r="D234" s="73"/>
    </row>
    <row r="235" spans="1:4" x14ac:dyDescent="0.2">
      <c r="A235" s="345">
        <v>34668</v>
      </c>
      <c r="B235" s="73"/>
      <c r="C235" s="25"/>
      <c r="D235" s="73"/>
    </row>
    <row r="236" spans="1:4" x14ac:dyDescent="0.2">
      <c r="A236" s="345">
        <v>34699</v>
      </c>
      <c r="B236" s="73"/>
      <c r="C236" s="25"/>
      <c r="D236" s="73"/>
    </row>
    <row r="237" spans="1:4" x14ac:dyDescent="0.2">
      <c r="A237" s="345">
        <v>34730</v>
      </c>
      <c r="B237" s="73"/>
      <c r="C237" s="25"/>
      <c r="D237" s="73"/>
    </row>
    <row r="238" spans="1:4" x14ac:dyDescent="0.2">
      <c r="A238" s="345">
        <v>34758</v>
      </c>
      <c r="B238" s="73"/>
      <c r="C238" s="25"/>
      <c r="D238" s="73"/>
    </row>
    <row r="239" spans="1:4" x14ac:dyDescent="0.2">
      <c r="A239" s="345">
        <v>34789</v>
      </c>
      <c r="B239" s="73"/>
      <c r="C239" s="25"/>
      <c r="D239" s="73"/>
    </row>
    <row r="240" spans="1:4" x14ac:dyDescent="0.2">
      <c r="A240" s="345">
        <v>34819</v>
      </c>
      <c r="B240" s="73"/>
      <c r="C240" s="25"/>
      <c r="D240" s="73"/>
    </row>
    <row r="241" spans="1:4" x14ac:dyDescent="0.2">
      <c r="A241" s="345">
        <v>34850</v>
      </c>
      <c r="B241" s="73"/>
      <c r="C241" s="25"/>
      <c r="D241" s="73"/>
    </row>
    <row r="242" spans="1:4" x14ac:dyDescent="0.2">
      <c r="A242" s="345">
        <v>34880</v>
      </c>
      <c r="B242" s="73"/>
      <c r="C242" s="25"/>
      <c r="D242" s="73"/>
    </row>
    <row r="243" spans="1:4" x14ac:dyDescent="0.2">
      <c r="A243" s="345">
        <v>34911</v>
      </c>
      <c r="B243" s="73"/>
      <c r="C243" s="25"/>
      <c r="D243" s="73"/>
    </row>
    <row r="244" spans="1:4" x14ac:dyDescent="0.2">
      <c r="A244" s="345">
        <v>34942</v>
      </c>
      <c r="B244" s="73"/>
      <c r="C244" s="25"/>
      <c r="D244" s="73"/>
    </row>
    <row r="245" spans="1:4" x14ac:dyDescent="0.2">
      <c r="A245" s="345">
        <v>34972</v>
      </c>
      <c r="B245" s="73"/>
      <c r="C245" s="25"/>
      <c r="D245" s="73"/>
    </row>
    <row r="246" spans="1:4" x14ac:dyDescent="0.2">
      <c r="A246" s="345">
        <v>35003</v>
      </c>
      <c r="B246" s="73"/>
      <c r="C246" s="25"/>
      <c r="D246" s="73"/>
    </row>
    <row r="247" spans="1:4" x14ac:dyDescent="0.2">
      <c r="A247" s="345">
        <v>35033</v>
      </c>
      <c r="B247" s="73"/>
      <c r="C247" s="25"/>
      <c r="D247" s="73"/>
    </row>
    <row r="248" spans="1:4" x14ac:dyDescent="0.2">
      <c r="A248" s="345">
        <v>35064</v>
      </c>
      <c r="B248" s="73"/>
      <c r="C248" s="25"/>
      <c r="D248" s="73"/>
    </row>
    <row r="249" spans="1:4" x14ac:dyDescent="0.2">
      <c r="A249" s="345">
        <v>35095</v>
      </c>
      <c r="B249" s="73"/>
      <c r="C249" s="25"/>
      <c r="D249" s="73"/>
    </row>
    <row r="250" spans="1:4" x14ac:dyDescent="0.2">
      <c r="A250" s="345">
        <v>35124</v>
      </c>
      <c r="B250" s="73"/>
      <c r="C250" s="25"/>
      <c r="D250" s="73"/>
    </row>
    <row r="251" spans="1:4" x14ac:dyDescent="0.2">
      <c r="A251" s="345">
        <v>35155</v>
      </c>
      <c r="B251" s="73"/>
      <c r="C251" s="25"/>
      <c r="D251" s="73"/>
    </row>
    <row r="252" spans="1:4" x14ac:dyDescent="0.2">
      <c r="A252" s="345">
        <v>35185</v>
      </c>
      <c r="B252" s="73"/>
      <c r="C252" s="25"/>
      <c r="D252" s="73"/>
    </row>
    <row r="253" spans="1:4" x14ac:dyDescent="0.2">
      <c r="A253" s="345">
        <v>35216</v>
      </c>
      <c r="B253" s="73"/>
      <c r="C253" s="25"/>
      <c r="D253" s="73"/>
    </row>
    <row r="254" spans="1:4" x14ac:dyDescent="0.2">
      <c r="A254" s="345">
        <v>35246</v>
      </c>
      <c r="B254" s="73"/>
      <c r="C254" s="25"/>
      <c r="D254" s="73"/>
    </row>
    <row r="255" spans="1:4" x14ac:dyDescent="0.2">
      <c r="A255" s="345">
        <v>35277</v>
      </c>
      <c r="B255" s="73"/>
      <c r="C255" s="25"/>
      <c r="D255" s="73"/>
    </row>
    <row r="256" spans="1:4" x14ac:dyDescent="0.2">
      <c r="A256" s="345">
        <v>35308</v>
      </c>
      <c r="B256" s="73"/>
      <c r="C256" s="25"/>
      <c r="D256" s="73"/>
    </row>
    <row r="257" spans="1:4" x14ac:dyDescent="0.2">
      <c r="A257" s="345">
        <v>35338</v>
      </c>
      <c r="B257" s="73"/>
      <c r="C257" s="25"/>
      <c r="D257" s="73"/>
    </row>
    <row r="258" spans="1:4" x14ac:dyDescent="0.2">
      <c r="A258" s="345">
        <v>35369</v>
      </c>
      <c r="B258" s="73"/>
      <c r="C258" s="25"/>
      <c r="D258" s="73"/>
    </row>
    <row r="259" spans="1:4" x14ac:dyDescent="0.2">
      <c r="A259" s="345">
        <v>35399</v>
      </c>
      <c r="B259" s="73"/>
      <c r="C259" s="25"/>
      <c r="D259" s="73"/>
    </row>
    <row r="260" spans="1:4" x14ac:dyDescent="0.2">
      <c r="A260" s="345">
        <v>35430</v>
      </c>
      <c r="B260" s="73"/>
      <c r="C260" s="25"/>
      <c r="D260" s="73"/>
    </row>
    <row r="261" spans="1:4" x14ac:dyDescent="0.2">
      <c r="A261" s="345">
        <v>35461</v>
      </c>
      <c r="B261" s="73"/>
      <c r="C261" s="25"/>
      <c r="D261" s="73"/>
    </row>
    <row r="262" spans="1:4" x14ac:dyDescent="0.2">
      <c r="A262" s="345">
        <v>35489</v>
      </c>
      <c r="B262" s="73"/>
      <c r="C262" s="25"/>
      <c r="D262" s="73"/>
    </row>
    <row r="263" spans="1:4" x14ac:dyDescent="0.2">
      <c r="A263" s="345">
        <v>35520</v>
      </c>
      <c r="B263" s="73"/>
      <c r="C263" s="25"/>
      <c r="D263" s="73"/>
    </row>
    <row r="264" spans="1:4" x14ac:dyDescent="0.2">
      <c r="A264" s="345">
        <v>35550</v>
      </c>
      <c r="B264" s="73"/>
      <c r="C264" s="25"/>
      <c r="D264" s="73"/>
    </row>
    <row r="265" spans="1:4" x14ac:dyDescent="0.2">
      <c r="A265" s="345">
        <v>35581</v>
      </c>
      <c r="B265" s="73"/>
      <c r="C265" s="25"/>
      <c r="D265" s="73"/>
    </row>
    <row r="266" spans="1:4" x14ac:dyDescent="0.2">
      <c r="A266" s="345">
        <v>35611</v>
      </c>
      <c r="B266" s="73"/>
      <c r="C266" s="25"/>
      <c r="D266" s="73"/>
    </row>
    <row r="267" spans="1:4" x14ac:dyDescent="0.2">
      <c r="A267" s="345">
        <v>35642</v>
      </c>
      <c r="B267" s="73"/>
      <c r="C267" s="25"/>
      <c r="D267" s="73"/>
    </row>
    <row r="268" spans="1:4" x14ac:dyDescent="0.2">
      <c r="A268" s="345">
        <v>35673</v>
      </c>
      <c r="B268" s="73"/>
      <c r="C268" s="25"/>
      <c r="D268" s="73"/>
    </row>
    <row r="269" spans="1:4" x14ac:dyDescent="0.2">
      <c r="A269" s="345">
        <v>35703</v>
      </c>
      <c r="B269" s="73"/>
      <c r="C269" s="25"/>
      <c r="D269" s="73"/>
    </row>
    <row r="270" spans="1:4" x14ac:dyDescent="0.2">
      <c r="A270" s="345">
        <v>35734</v>
      </c>
      <c r="B270" s="73"/>
      <c r="C270" s="25"/>
      <c r="D270" s="73"/>
    </row>
    <row r="271" spans="1:4" x14ac:dyDescent="0.2">
      <c r="A271" s="345">
        <v>35764</v>
      </c>
      <c r="B271" s="73"/>
      <c r="C271" s="25"/>
      <c r="D271" s="73"/>
    </row>
    <row r="272" spans="1:4" x14ac:dyDescent="0.2">
      <c r="A272" s="345">
        <v>35795</v>
      </c>
      <c r="B272" s="73"/>
      <c r="C272" s="25"/>
      <c r="D272" s="73"/>
    </row>
    <row r="273" spans="1:4" x14ac:dyDescent="0.2">
      <c r="A273" s="345">
        <v>35826</v>
      </c>
      <c r="B273" s="73"/>
      <c r="C273" s="25"/>
      <c r="D273" s="73"/>
    </row>
    <row r="274" spans="1:4" x14ac:dyDescent="0.2">
      <c r="A274" s="345">
        <v>35854</v>
      </c>
      <c r="B274" s="73"/>
      <c r="C274" s="32"/>
      <c r="D274" s="73"/>
    </row>
    <row r="275" spans="1:4" x14ac:dyDescent="0.2">
      <c r="A275" s="345">
        <v>35885</v>
      </c>
      <c r="B275" s="73"/>
      <c r="C275" s="32"/>
      <c r="D275" s="73"/>
    </row>
    <row r="276" spans="1:4" x14ac:dyDescent="0.2">
      <c r="A276" s="345">
        <v>35915</v>
      </c>
      <c r="B276" s="73"/>
      <c r="C276" s="32"/>
      <c r="D276" s="73"/>
    </row>
    <row r="277" spans="1:4" x14ac:dyDescent="0.2">
      <c r="A277" s="345">
        <v>35946</v>
      </c>
      <c r="B277" s="73"/>
      <c r="C277" s="32"/>
      <c r="D277" s="73"/>
    </row>
    <row r="278" spans="1:4" x14ac:dyDescent="0.2">
      <c r="A278" s="345">
        <v>35976</v>
      </c>
      <c r="B278" s="73"/>
      <c r="C278" s="32"/>
      <c r="D278" s="73"/>
    </row>
    <row r="279" spans="1:4" x14ac:dyDescent="0.2">
      <c r="A279" s="345">
        <v>36007</v>
      </c>
      <c r="B279" s="73"/>
      <c r="C279" s="32"/>
      <c r="D279" s="73"/>
    </row>
    <row r="280" spans="1:4" x14ac:dyDescent="0.2">
      <c r="A280" s="345">
        <v>36038</v>
      </c>
      <c r="B280" s="73"/>
      <c r="C280" s="32"/>
      <c r="D280" s="73"/>
    </row>
    <row r="281" spans="1:4" x14ac:dyDescent="0.2">
      <c r="A281" s="345">
        <v>36068</v>
      </c>
      <c r="B281" s="73"/>
      <c r="C281" s="32"/>
      <c r="D281" s="73"/>
    </row>
    <row r="282" spans="1:4" x14ac:dyDescent="0.2">
      <c r="A282" s="345">
        <v>36099</v>
      </c>
      <c r="B282" s="73"/>
      <c r="C282" s="32"/>
      <c r="D282" s="73"/>
    </row>
    <row r="283" spans="1:4" x14ac:dyDescent="0.2">
      <c r="A283" s="345">
        <v>36129</v>
      </c>
      <c r="B283" s="73"/>
      <c r="C283" s="32"/>
      <c r="D283" s="73"/>
    </row>
    <row r="284" spans="1:4" x14ac:dyDescent="0.2">
      <c r="A284" s="345">
        <v>36160</v>
      </c>
      <c r="B284" s="73"/>
      <c r="C284" s="32"/>
      <c r="D284" s="73"/>
    </row>
    <row r="285" spans="1:4" x14ac:dyDescent="0.2">
      <c r="A285" s="345">
        <v>36191</v>
      </c>
      <c r="B285" s="73"/>
      <c r="C285" s="32"/>
      <c r="D285" s="73"/>
    </row>
    <row r="286" spans="1:4" x14ac:dyDescent="0.2">
      <c r="A286" s="345">
        <v>36219</v>
      </c>
      <c r="B286" s="73"/>
      <c r="C286" s="32"/>
      <c r="D286" s="73"/>
    </row>
    <row r="287" spans="1:4" x14ac:dyDescent="0.2">
      <c r="A287" s="345">
        <v>36250</v>
      </c>
      <c r="B287" s="73"/>
      <c r="C287" s="32"/>
      <c r="D287" s="73"/>
    </row>
    <row r="288" spans="1:4" x14ac:dyDescent="0.2">
      <c r="A288" s="345">
        <v>36280</v>
      </c>
      <c r="B288" s="73"/>
      <c r="C288" s="32"/>
      <c r="D288" s="73"/>
    </row>
    <row r="289" spans="1:4" x14ac:dyDescent="0.2">
      <c r="A289" s="345">
        <v>36311</v>
      </c>
      <c r="B289" s="73"/>
      <c r="C289" s="32"/>
      <c r="D289" s="73"/>
    </row>
    <row r="290" spans="1:4" x14ac:dyDescent="0.2">
      <c r="A290" s="345">
        <v>36341</v>
      </c>
      <c r="B290" s="73"/>
      <c r="C290" s="32"/>
      <c r="D290" s="73"/>
    </row>
    <row r="291" spans="1:4" x14ac:dyDescent="0.2">
      <c r="A291" s="345">
        <v>36372</v>
      </c>
      <c r="B291" s="73"/>
      <c r="C291" s="32"/>
      <c r="D291" s="73"/>
    </row>
    <row r="292" spans="1:4" x14ac:dyDescent="0.2">
      <c r="A292" s="345">
        <v>36403</v>
      </c>
      <c r="B292" s="73"/>
      <c r="C292" s="32"/>
      <c r="D292" s="73"/>
    </row>
    <row r="293" spans="1:4" x14ac:dyDescent="0.2">
      <c r="A293" s="345">
        <v>36433</v>
      </c>
      <c r="B293" s="73"/>
      <c r="C293" s="32"/>
      <c r="D293" s="73"/>
    </row>
    <row r="294" spans="1:4" x14ac:dyDescent="0.2">
      <c r="A294" s="345">
        <v>36464</v>
      </c>
      <c r="B294" s="73"/>
      <c r="C294" s="32"/>
      <c r="D294" s="73"/>
    </row>
    <row r="295" spans="1:4" x14ac:dyDescent="0.2">
      <c r="A295" s="345">
        <v>36494</v>
      </c>
      <c r="B295" s="73"/>
      <c r="C295" s="32"/>
      <c r="D295" s="73"/>
    </row>
    <row r="296" spans="1:4" x14ac:dyDescent="0.2">
      <c r="A296" s="345">
        <v>36525</v>
      </c>
      <c r="B296" s="73"/>
      <c r="C296" s="32"/>
      <c r="D296" s="73"/>
    </row>
    <row r="297" spans="1:4" x14ac:dyDescent="0.2">
      <c r="A297" s="345">
        <v>36556</v>
      </c>
      <c r="B297" s="73"/>
      <c r="C297" s="32"/>
      <c r="D297" s="73"/>
    </row>
    <row r="298" spans="1:4" x14ac:dyDescent="0.2">
      <c r="A298" s="345">
        <v>36585</v>
      </c>
      <c r="B298" s="73"/>
      <c r="C298" s="32"/>
      <c r="D298" s="73"/>
    </row>
    <row r="299" spans="1:4" x14ac:dyDescent="0.2">
      <c r="A299" s="345">
        <v>36616</v>
      </c>
      <c r="B299" s="73"/>
      <c r="C299" s="32"/>
      <c r="D299" s="73"/>
    </row>
    <row r="300" spans="1:4" x14ac:dyDescent="0.2">
      <c r="A300" s="345">
        <v>36646</v>
      </c>
      <c r="B300" s="73"/>
      <c r="C300" s="32"/>
      <c r="D300" s="73"/>
    </row>
    <row r="301" spans="1:4" x14ac:dyDescent="0.2">
      <c r="A301" s="345">
        <v>36677</v>
      </c>
      <c r="B301" s="73"/>
      <c r="C301" s="32"/>
      <c r="D301" s="73"/>
    </row>
    <row r="302" spans="1:4" x14ac:dyDescent="0.2">
      <c r="A302" s="345">
        <v>36707</v>
      </c>
      <c r="B302" s="73"/>
      <c r="C302" s="32"/>
      <c r="D302" s="73"/>
    </row>
    <row r="303" spans="1:4" x14ac:dyDescent="0.2">
      <c r="A303" s="345">
        <v>36738</v>
      </c>
      <c r="B303" s="73"/>
      <c r="C303" s="32"/>
      <c r="D303" s="73"/>
    </row>
    <row r="304" spans="1:4" x14ac:dyDescent="0.2">
      <c r="A304" s="345">
        <v>36769</v>
      </c>
      <c r="B304" s="73"/>
      <c r="C304" s="32"/>
      <c r="D304" s="73"/>
    </row>
    <row r="305" spans="1:4" x14ac:dyDescent="0.2">
      <c r="A305" s="345">
        <v>36799</v>
      </c>
      <c r="B305" s="79"/>
      <c r="C305" s="33"/>
      <c r="D305" s="73"/>
    </row>
    <row r="306" spans="1:4" x14ac:dyDescent="0.2">
      <c r="A306" s="345">
        <v>36830</v>
      </c>
      <c r="B306" s="253"/>
      <c r="C306" s="33"/>
      <c r="D306" s="253"/>
    </row>
    <row r="307" spans="1:4" x14ac:dyDescent="0.2">
      <c r="A307" s="345">
        <v>36860</v>
      </c>
      <c r="B307" s="253"/>
      <c r="C307" s="33"/>
      <c r="D307" s="253"/>
    </row>
    <row r="308" spans="1:4" x14ac:dyDescent="0.2">
      <c r="A308" s="345">
        <v>36891</v>
      </c>
      <c r="B308" s="253"/>
      <c r="C308" s="33"/>
      <c r="D308" s="253"/>
    </row>
    <row r="309" spans="1:4" x14ac:dyDescent="0.2">
      <c r="A309" s="345">
        <v>36922</v>
      </c>
      <c r="B309" s="253"/>
      <c r="C309" s="33"/>
      <c r="D309" s="253"/>
    </row>
    <row r="310" spans="1:4" x14ac:dyDescent="0.2">
      <c r="A310" s="345">
        <v>36950</v>
      </c>
      <c r="B310" s="253"/>
      <c r="C310" s="33"/>
      <c r="D310" s="253"/>
    </row>
    <row r="311" spans="1:4" x14ac:dyDescent="0.2">
      <c r="A311" s="345">
        <v>36981</v>
      </c>
      <c r="B311" s="253"/>
      <c r="C311" s="33"/>
      <c r="D311" s="253"/>
    </row>
    <row r="312" spans="1:4" x14ac:dyDescent="0.2">
      <c r="A312" s="345">
        <v>37011</v>
      </c>
      <c r="B312" s="253"/>
      <c r="C312" s="33"/>
      <c r="D312" s="253"/>
    </row>
    <row r="313" spans="1:4" x14ac:dyDescent="0.2">
      <c r="A313" s="345">
        <v>37042</v>
      </c>
      <c r="B313" s="253"/>
      <c r="C313" s="33"/>
      <c r="D313" s="253"/>
    </row>
    <row r="314" spans="1:4" x14ac:dyDescent="0.2">
      <c r="A314" s="345">
        <v>37072</v>
      </c>
      <c r="B314" s="253"/>
      <c r="C314" s="33"/>
      <c r="D314" s="253"/>
    </row>
    <row r="315" spans="1:4" x14ac:dyDescent="0.2">
      <c r="A315" s="345">
        <v>37103</v>
      </c>
      <c r="B315" s="253"/>
      <c r="C315" s="33"/>
      <c r="D315" s="253"/>
    </row>
    <row r="316" spans="1:4" x14ac:dyDescent="0.2">
      <c r="A316" s="345">
        <v>37134</v>
      </c>
      <c r="B316" s="253"/>
      <c r="C316" s="33"/>
      <c r="D316" s="253"/>
    </row>
    <row r="317" spans="1:4" x14ac:dyDescent="0.2">
      <c r="A317" s="345">
        <v>37164</v>
      </c>
      <c r="B317" s="253"/>
      <c r="C317" s="33"/>
      <c r="D317" s="253"/>
    </row>
    <row r="318" spans="1:4" x14ac:dyDescent="0.2">
      <c r="A318" s="345">
        <v>37195</v>
      </c>
      <c r="B318" s="253"/>
      <c r="C318" s="33"/>
      <c r="D318" s="253"/>
    </row>
    <row r="319" spans="1:4" x14ac:dyDescent="0.2">
      <c r="A319" s="345">
        <v>37225</v>
      </c>
      <c r="B319" s="253"/>
      <c r="C319" s="33"/>
      <c r="D319" s="253"/>
    </row>
    <row r="320" spans="1:4" x14ac:dyDescent="0.2">
      <c r="A320" s="345">
        <v>37256</v>
      </c>
      <c r="B320" s="253"/>
      <c r="C320" s="33"/>
      <c r="D320" s="253"/>
    </row>
    <row r="321" spans="1:4" x14ac:dyDescent="0.2">
      <c r="A321" s="345">
        <v>37287</v>
      </c>
      <c r="B321" s="253"/>
      <c r="C321" s="33"/>
      <c r="D321" s="253"/>
    </row>
    <row r="322" spans="1:4" x14ac:dyDescent="0.2">
      <c r="A322" s="345">
        <v>37315</v>
      </c>
      <c r="B322" s="253"/>
      <c r="C322" s="33"/>
      <c r="D322" s="253"/>
    </row>
    <row r="323" spans="1:4" x14ac:dyDescent="0.2">
      <c r="A323" s="345">
        <v>37346</v>
      </c>
      <c r="B323" s="253"/>
      <c r="C323" s="33"/>
      <c r="D323" s="253"/>
    </row>
    <row r="324" spans="1:4" x14ac:dyDescent="0.2">
      <c r="A324" s="345">
        <v>37376</v>
      </c>
      <c r="B324" s="253"/>
      <c r="C324" s="33"/>
      <c r="D324" s="253"/>
    </row>
    <row r="325" spans="1:4" x14ac:dyDescent="0.2">
      <c r="A325" s="345">
        <v>37407</v>
      </c>
      <c r="B325" s="253"/>
      <c r="C325" s="33"/>
      <c r="D325" s="253"/>
    </row>
    <row r="326" spans="1:4" x14ac:dyDescent="0.2">
      <c r="A326" s="345">
        <v>37437</v>
      </c>
      <c r="B326" s="253"/>
      <c r="C326" s="33"/>
      <c r="D326" s="253"/>
    </row>
    <row r="327" spans="1:4" x14ac:dyDescent="0.2">
      <c r="A327" s="345">
        <v>37468</v>
      </c>
      <c r="B327" s="253"/>
      <c r="C327" s="33"/>
      <c r="D327" s="253"/>
    </row>
    <row r="328" spans="1:4" x14ac:dyDescent="0.2">
      <c r="A328" s="345">
        <v>37499</v>
      </c>
      <c r="B328" s="253"/>
      <c r="C328" s="33"/>
      <c r="D328" s="253"/>
    </row>
    <row r="329" spans="1:4" x14ac:dyDescent="0.2">
      <c r="A329" s="345">
        <v>37529</v>
      </c>
      <c r="B329" s="253"/>
      <c r="C329" s="33"/>
      <c r="D329" s="253"/>
    </row>
    <row r="330" spans="1:4" x14ac:dyDescent="0.2">
      <c r="A330" s="345">
        <v>37560</v>
      </c>
      <c r="B330" s="253"/>
      <c r="C330" s="33"/>
      <c r="D330" s="253"/>
    </row>
    <row r="331" spans="1:4" x14ac:dyDescent="0.2">
      <c r="A331" s="345">
        <v>37590</v>
      </c>
      <c r="B331" s="253"/>
      <c r="C331" s="33"/>
      <c r="D331" s="253"/>
    </row>
    <row r="332" spans="1:4" x14ac:dyDescent="0.2">
      <c r="A332" s="345">
        <v>37621</v>
      </c>
      <c r="B332" s="253"/>
      <c r="C332" s="33"/>
      <c r="D332" s="253"/>
    </row>
    <row r="333" spans="1:4" x14ac:dyDescent="0.2">
      <c r="A333" s="345">
        <v>37652</v>
      </c>
      <c r="B333" s="253"/>
      <c r="C333" s="33"/>
      <c r="D333" s="253"/>
    </row>
    <row r="334" spans="1:4" x14ac:dyDescent="0.2">
      <c r="A334" s="345">
        <v>37680</v>
      </c>
      <c r="B334" s="253"/>
      <c r="C334" s="33"/>
      <c r="D334" s="253"/>
    </row>
    <row r="335" spans="1:4" x14ac:dyDescent="0.2">
      <c r="A335" s="345">
        <v>37711</v>
      </c>
      <c r="B335" s="253"/>
      <c r="C335" s="33"/>
      <c r="D335" s="253"/>
    </row>
    <row r="336" spans="1:4" x14ac:dyDescent="0.2">
      <c r="A336" s="345">
        <v>37741</v>
      </c>
      <c r="B336" s="253"/>
      <c r="C336" s="33"/>
      <c r="D336" s="253"/>
    </row>
    <row r="337" spans="1:4" x14ac:dyDescent="0.2">
      <c r="A337" s="345">
        <v>37772</v>
      </c>
      <c r="B337" s="253"/>
      <c r="C337" s="33"/>
      <c r="D337" s="253"/>
    </row>
    <row r="338" spans="1:4" x14ac:dyDescent="0.2">
      <c r="A338" s="345">
        <v>37802</v>
      </c>
      <c r="B338" s="253"/>
      <c r="C338" s="33"/>
      <c r="D338" s="253"/>
    </row>
    <row r="339" spans="1:4" x14ac:dyDescent="0.2">
      <c r="A339" s="345">
        <v>37833</v>
      </c>
      <c r="B339" s="253"/>
      <c r="C339" s="33"/>
      <c r="D339" s="253"/>
    </row>
    <row r="340" spans="1:4" x14ac:dyDescent="0.2">
      <c r="A340" s="345">
        <v>37864</v>
      </c>
      <c r="B340" s="253"/>
      <c r="C340" s="33"/>
      <c r="D340" s="253"/>
    </row>
    <row r="341" spans="1:4" x14ac:dyDescent="0.2">
      <c r="A341" s="345">
        <v>37894</v>
      </c>
      <c r="B341" s="253"/>
      <c r="C341" s="34"/>
      <c r="D341" s="253"/>
    </row>
    <row r="342" spans="1:4" x14ac:dyDescent="0.2">
      <c r="A342" s="345">
        <v>37925</v>
      </c>
      <c r="B342" s="253"/>
      <c r="C342" s="34"/>
      <c r="D342" s="253"/>
    </row>
    <row r="343" spans="1:4" x14ac:dyDescent="0.2">
      <c r="A343" s="345">
        <v>37955</v>
      </c>
      <c r="B343" s="253"/>
      <c r="C343" s="34"/>
      <c r="D343" s="253"/>
    </row>
    <row r="344" spans="1:4" x14ac:dyDescent="0.2">
      <c r="A344" s="345">
        <v>37986</v>
      </c>
      <c r="B344" s="253"/>
      <c r="C344" s="34"/>
      <c r="D344" s="253"/>
    </row>
    <row r="345" spans="1:4" x14ac:dyDescent="0.2">
      <c r="A345" s="345">
        <v>38017</v>
      </c>
      <c r="B345" s="253"/>
      <c r="C345" s="34"/>
      <c r="D345" s="253"/>
    </row>
    <row r="346" spans="1:4" x14ac:dyDescent="0.2">
      <c r="A346" s="345">
        <v>38046</v>
      </c>
      <c r="B346" s="253"/>
      <c r="C346" s="34"/>
      <c r="D346" s="253"/>
    </row>
    <row r="347" spans="1:4" x14ac:dyDescent="0.2">
      <c r="A347" s="345">
        <v>38077</v>
      </c>
      <c r="B347" s="253"/>
      <c r="C347" s="34"/>
      <c r="D347" s="255"/>
    </row>
    <row r="348" spans="1:4" x14ac:dyDescent="0.2">
      <c r="A348" s="345">
        <v>38107</v>
      </c>
      <c r="B348" s="253"/>
      <c r="C348" s="34"/>
      <c r="D348" s="253"/>
    </row>
    <row r="349" spans="1:4" x14ac:dyDescent="0.2">
      <c r="A349" s="345">
        <v>38138</v>
      </c>
      <c r="B349" s="253"/>
      <c r="C349" s="34"/>
      <c r="D349" s="253"/>
    </row>
    <row r="350" spans="1:4" x14ac:dyDescent="0.2">
      <c r="A350" s="345">
        <v>38168</v>
      </c>
      <c r="B350" s="253"/>
      <c r="C350" s="34"/>
      <c r="D350" s="253"/>
    </row>
    <row r="351" spans="1:4" x14ac:dyDescent="0.2">
      <c r="A351" s="345">
        <v>38199</v>
      </c>
      <c r="B351" s="253"/>
      <c r="C351" s="34"/>
      <c r="D351" s="253"/>
    </row>
    <row r="352" spans="1:4" x14ac:dyDescent="0.2">
      <c r="A352" s="345">
        <v>38230</v>
      </c>
      <c r="B352" s="253"/>
      <c r="C352" s="34"/>
      <c r="D352" s="253"/>
    </row>
    <row r="353" spans="1:4" x14ac:dyDescent="0.2">
      <c r="A353" s="345">
        <v>38260</v>
      </c>
      <c r="B353" s="253"/>
      <c r="C353" s="34"/>
      <c r="D353" s="253"/>
    </row>
    <row r="354" spans="1:4" x14ac:dyDescent="0.2">
      <c r="A354" s="345">
        <v>38291</v>
      </c>
      <c r="B354" s="253"/>
      <c r="C354" s="34"/>
      <c r="D354" s="253"/>
    </row>
    <row r="355" spans="1:4" x14ac:dyDescent="0.2">
      <c r="A355" s="345">
        <v>38321</v>
      </c>
      <c r="B355" s="253"/>
      <c r="C355" s="34"/>
      <c r="D355" s="253"/>
    </row>
    <row r="356" spans="1:4" x14ac:dyDescent="0.2">
      <c r="A356" s="345">
        <v>38352</v>
      </c>
      <c r="B356" s="253"/>
      <c r="C356" s="256"/>
      <c r="D356" s="253"/>
    </row>
    <row r="357" spans="1:4" x14ac:dyDescent="0.2">
      <c r="A357" s="345">
        <v>38383</v>
      </c>
      <c r="B357" s="253"/>
      <c r="C357" s="34"/>
      <c r="D357" s="253"/>
    </row>
    <row r="358" spans="1:4" x14ac:dyDescent="0.2">
      <c r="A358" s="345">
        <v>38411</v>
      </c>
      <c r="B358" s="253"/>
      <c r="C358" s="34"/>
      <c r="D358" s="253"/>
    </row>
    <row r="359" spans="1:4" x14ac:dyDescent="0.2">
      <c r="A359" s="345">
        <v>38442</v>
      </c>
      <c r="B359" s="253"/>
      <c r="C359" s="256"/>
      <c r="D359" s="253"/>
    </row>
    <row r="360" spans="1:4" x14ac:dyDescent="0.2">
      <c r="A360" s="345">
        <v>38472</v>
      </c>
      <c r="B360" s="253"/>
      <c r="C360" s="256"/>
      <c r="D360" s="253"/>
    </row>
    <row r="361" spans="1:4" x14ac:dyDescent="0.2">
      <c r="A361" s="345">
        <v>38503</v>
      </c>
      <c r="B361" s="253"/>
      <c r="C361" s="256"/>
      <c r="D361" s="253"/>
    </row>
    <row r="362" spans="1:4" x14ac:dyDescent="0.2">
      <c r="A362" s="345">
        <v>38533</v>
      </c>
      <c r="B362" s="253"/>
      <c r="C362" s="256"/>
      <c r="D362" s="253"/>
    </row>
    <row r="363" spans="1:4" x14ac:dyDescent="0.2">
      <c r="A363" s="345">
        <v>38564</v>
      </c>
      <c r="B363" s="253"/>
      <c r="C363" s="256"/>
      <c r="D363" s="253"/>
    </row>
    <row r="364" spans="1:4" x14ac:dyDescent="0.2">
      <c r="A364" s="345">
        <v>38595</v>
      </c>
      <c r="B364" s="253"/>
      <c r="C364" s="256"/>
      <c r="D364" s="253"/>
    </row>
    <row r="365" spans="1:4" x14ac:dyDescent="0.2">
      <c r="A365" s="345">
        <v>38625</v>
      </c>
      <c r="B365" s="253"/>
      <c r="C365" s="256"/>
      <c r="D365" s="253"/>
    </row>
    <row r="366" spans="1:4" x14ac:dyDescent="0.2">
      <c r="A366" s="345">
        <v>38656</v>
      </c>
      <c r="B366" s="253"/>
      <c r="C366" s="256"/>
      <c r="D366" s="253"/>
    </row>
    <row r="367" spans="1:4" x14ac:dyDescent="0.2">
      <c r="A367" s="345">
        <v>38686</v>
      </c>
      <c r="B367" s="253"/>
      <c r="C367" s="256"/>
      <c r="D367" s="253"/>
    </row>
    <row r="368" spans="1:4" x14ac:dyDescent="0.2">
      <c r="A368" s="345">
        <v>38717</v>
      </c>
      <c r="B368" s="253"/>
      <c r="C368" s="256"/>
      <c r="D368" s="253"/>
    </row>
    <row r="369" spans="1:6" x14ac:dyDescent="0.2">
      <c r="A369" s="345">
        <v>38748</v>
      </c>
      <c r="B369" s="253"/>
      <c r="C369" s="256"/>
      <c r="D369" s="253"/>
    </row>
    <row r="370" spans="1:6" x14ac:dyDescent="0.2">
      <c r="A370" s="345">
        <v>38776</v>
      </c>
      <c r="B370" s="253"/>
      <c r="C370" s="256"/>
      <c r="D370" s="253"/>
    </row>
    <row r="371" spans="1:6" x14ac:dyDescent="0.2">
      <c r="A371" s="345">
        <v>38807</v>
      </c>
      <c r="B371" s="253"/>
      <c r="C371" s="33"/>
      <c r="D371" s="253"/>
    </row>
    <row r="372" spans="1:6" x14ac:dyDescent="0.2">
      <c r="A372" s="345">
        <v>38837</v>
      </c>
      <c r="B372" s="253"/>
      <c r="C372" s="33"/>
      <c r="D372" s="253"/>
    </row>
    <row r="373" spans="1:6" x14ac:dyDescent="0.2">
      <c r="A373" s="345">
        <v>38868</v>
      </c>
      <c r="B373" s="253"/>
      <c r="C373" s="33"/>
      <c r="D373" s="253"/>
    </row>
    <row r="374" spans="1:6" x14ac:dyDescent="0.2">
      <c r="A374" s="345">
        <v>38898</v>
      </c>
      <c r="B374" s="76"/>
      <c r="C374" s="354"/>
      <c r="D374" s="253"/>
    </row>
    <row r="375" spans="1:6" x14ac:dyDescent="0.2">
      <c r="A375" s="345">
        <v>38929</v>
      </c>
      <c r="B375" s="253"/>
      <c r="C375" s="34"/>
      <c r="D375" s="253"/>
    </row>
    <row r="376" spans="1:6" x14ac:dyDescent="0.2">
      <c r="A376" s="345">
        <v>38960</v>
      </c>
      <c r="B376" s="253"/>
      <c r="C376" s="34"/>
      <c r="D376" s="253"/>
    </row>
    <row r="377" spans="1:6" x14ac:dyDescent="0.2">
      <c r="A377" s="345">
        <v>38990</v>
      </c>
      <c r="B377" s="253"/>
      <c r="C377" s="34"/>
      <c r="D377" s="253"/>
    </row>
    <row r="378" spans="1:6" x14ac:dyDescent="0.2">
      <c r="A378" s="345">
        <v>39021</v>
      </c>
      <c r="B378" s="253"/>
      <c r="C378" s="34"/>
      <c r="D378" s="253"/>
      <c r="F378" s="352"/>
    </row>
    <row r="379" spans="1:6" x14ac:dyDescent="0.2">
      <c r="A379" s="345">
        <v>39051</v>
      </c>
      <c r="B379" s="253"/>
      <c r="C379" s="34"/>
      <c r="D379" s="253"/>
      <c r="F379" s="352"/>
    </row>
    <row r="380" spans="1:6" x14ac:dyDescent="0.2">
      <c r="A380" s="345">
        <v>39082</v>
      </c>
      <c r="B380" s="253"/>
      <c r="C380" s="34"/>
      <c r="D380" s="253"/>
      <c r="F380" s="352"/>
    </row>
    <row r="381" spans="1:6" x14ac:dyDescent="0.2">
      <c r="A381" s="345">
        <v>39113</v>
      </c>
      <c r="B381" s="253"/>
      <c r="F381" s="352"/>
    </row>
    <row r="382" spans="1:6" x14ac:dyDescent="0.2">
      <c r="A382" s="345">
        <v>39141</v>
      </c>
      <c r="B382" s="253"/>
      <c r="F382" s="352"/>
    </row>
    <row r="383" spans="1:6" x14ac:dyDescent="0.2">
      <c r="A383" s="345">
        <v>39172</v>
      </c>
      <c r="B383" s="253"/>
    </row>
    <row r="384" spans="1:6" x14ac:dyDescent="0.2">
      <c r="A384" s="345">
        <v>39202</v>
      </c>
      <c r="B384" s="253"/>
    </row>
    <row r="385" spans="1:3" x14ac:dyDescent="0.2">
      <c r="A385" s="345">
        <v>39233</v>
      </c>
      <c r="B385" s="253"/>
    </row>
    <row r="386" spans="1:3" x14ac:dyDescent="0.2">
      <c r="A386" s="345">
        <v>39263</v>
      </c>
      <c r="B386" s="253"/>
    </row>
    <row r="387" spans="1:3" x14ac:dyDescent="0.2">
      <c r="A387" s="345">
        <v>39294</v>
      </c>
      <c r="B387" s="253"/>
    </row>
    <row r="388" spans="1:3" x14ac:dyDescent="0.2">
      <c r="A388" s="345">
        <v>39325</v>
      </c>
      <c r="B388" s="253"/>
    </row>
    <row r="389" spans="1:3" x14ac:dyDescent="0.2">
      <c r="A389" s="345">
        <v>39355</v>
      </c>
      <c r="B389" s="253"/>
    </row>
    <row r="390" spans="1:3" x14ac:dyDescent="0.2">
      <c r="A390" s="345">
        <v>39386</v>
      </c>
      <c r="B390" s="253"/>
    </row>
    <row r="391" spans="1:3" x14ac:dyDescent="0.2">
      <c r="A391" s="345">
        <v>39416</v>
      </c>
      <c r="B391" s="253"/>
    </row>
    <row r="392" spans="1:3" x14ac:dyDescent="0.2">
      <c r="A392" s="345">
        <v>39447</v>
      </c>
      <c r="B392" s="253"/>
    </row>
    <row r="393" spans="1:3" x14ac:dyDescent="0.2">
      <c r="A393" s="345">
        <v>39478</v>
      </c>
      <c r="B393" s="253"/>
    </row>
    <row r="394" spans="1:3" x14ac:dyDescent="0.2">
      <c r="A394" s="345">
        <v>39507</v>
      </c>
      <c r="B394" s="253"/>
    </row>
    <row r="395" spans="1:3" x14ac:dyDescent="0.2">
      <c r="A395" s="345">
        <v>39538</v>
      </c>
      <c r="B395" s="253"/>
    </row>
    <row r="396" spans="1:3" x14ac:dyDescent="0.2">
      <c r="A396" s="345">
        <v>39568</v>
      </c>
      <c r="B396" s="253"/>
    </row>
    <row r="397" spans="1:3" x14ac:dyDescent="0.2">
      <c r="A397" s="345">
        <v>39599</v>
      </c>
      <c r="B397" s="253"/>
    </row>
    <row r="398" spans="1:3" x14ac:dyDescent="0.2">
      <c r="A398" s="345">
        <v>39629</v>
      </c>
      <c r="B398" s="253"/>
    </row>
    <row r="399" spans="1:3" x14ac:dyDescent="0.2">
      <c r="A399" s="345">
        <v>39660</v>
      </c>
      <c r="B399" s="253"/>
      <c r="C399" s="33"/>
    </row>
    <row r="400" spans="1:3" x14ac:dyDescent="0.2">
      <c r="A400" s="345">
        <v>39691</v>
      </c>
      <c r="B400" s="253"/>
      <c r="C400" s="33"/>
    </row>
    <row r="401" spans="1:5" x14ac:dyDescent="0.2">
      <c r="A401" s="345">
        <v>39721</v>
      </c>
      <c r="B401" s="253"/>
      <c r="C401" s="33"/>
    </row>
    <row r="402" spans="1:5" x14ac:dyDescent="0.2">
      <c r="A402" s="345">
        <v>39752</v>
      </c>
      <c r="B402" s="253"/>
    </row>
    <row r="403" spans="1:5" x14ac:dyDescent="0.2">
      <c r="A403" s="345">
        <v>39782</v>
      </c>
      <c r="B403" s="1369">
        <v>3.33</v>
      </c>
      <c r="C403" s="346">
        <v>25420542</v>
      </c>
    </row>
    <row r="404" spans="1:5" x14ac:dyDescent="0.2">
      <c r="A404" s="345">
        <v>39813</v>
      </c>
      <c r="B404" s="1369">
        <v>2.94</v>
      </c>
      <c r="C404" s="346">
        <v>26168931</v>
      </c>
      <c r="D404" s="258">
        <v>2.95</v>
      </c>
      <c r="E404" s="14">
        <f>B404-Index_Returns!Y404</f>
        <v>4.9999999999998934E-3</v>
      </c>
    </row>
    <row r="405" spans="1:5" x14ac:dyDescent="0.2">
      <c r="A405" s="345">
        <v>39844</v>
      </c>
      <c r="B405" s="1369">
        <v>-0.38</v>
      </c>
      <c r="C405" s="346">
        <v>26069602</v>
      </c>
      <c r="D405" s="258">
        <v>-0.37959999999999999</v>
      </c>
      <c r="E405" s="14">
        <f>B405-Index_Returns!Y405</f>
        <v>1.3000000000000012E-2</v>
      </c>
    </row>
    <row r="406" spans="1:5" x14ac:dyDescent="0.2">
      <c r="A406" s="345">
        <v>39872</v>
      </c>
      <c r="B406" s="1369">
        <v>-0.62</v>
      </c>
      <c r="C406" s="346">
        <v>25908755</v>
      </c>
      <c r="D406" s="258">
        <v>-0.61699999999999999</v>
      </c>
      <c r="E406" s="14">
        <f>B406-Index_Returns!Y406</f>
        <v>-2.0000000000000018E-2</v>
      </c>
    </row>
    <row r="407" spans="1:5" x14ac:dyDescent="0.2">
      <c r="A407" s="345">
        <v>39903</v>
      </c>
      <c r="B407" s="1369">
        <v>0.93</v>
      </c>
      <c r="C407" s="346">
        <v>26150261</v>
      </c>
      <c r="D407" s="258">
        <v>0.93210000000000004</v>
      </c>
      <c r="E407" s="14">
        <f>B407-Index_Returns!Y407</f>
        <v>-1.8999999999999906E-2</v>
      </c>
    </row>
    <row r="408" spans="1:5" x14ac:dyDescent="0.2">
      <c r="A408" s="345">
        <v>39933</v>
      </c>
      <c r="B408" s="1369">
        <v>0.48</v>
      </c>
      <c r="C408" s="346">
        <v>26276253</v>
      </c>
      <c r="E408" s="14">
        <f>B408-Index_Returns!Y408</f>
        <v>2.7999999999999969E-2</v>
      </c>
    </row>
    <row r="409" spans="1:5" x14ac:dyDescent="0.2">
      <c r="A409" s="345">
        <v>39964</v>
      </c>
      <c r="B409" s="1369">
        <v>0.86</v>
      </c>
      <c r="C409" s="346">
        <v>26503220</v>
      </c>
      <c r="E409" s="14">
        <f>B409-Index_Returns!Y409</f>
        <v>0.11899999999999999</v>
      </c>
    </row>
    <row r="410" spans="1:5" x14ac:dyDescent="0.2">
      <c r="A410" s="345">
        <v>39994</v>
      </c>
      <c r="B410" s="1369">
        <v>0.39</v>
      </c>
      <c r="C410" s="346">
        <v>26607238</v>
      </c>
      <c r="E410" s="14">
        <f>B410-Index_Returns!Y410</f>
        <v>-7.6000000000000012E-2</v>
      </c>
    </row>
    <row r="411" spans="1:5" x14ac:dyDescent="0.2">
      <c r="A411" s="345">
        <v>40025</v>
      </c>
      <c r="B411" s="1369">
        <v>1.36</v>
      </c>
      <c r="C411" s="346">
        <v>26970141</v>
      </c>
      <c r="D411" s="258">
        <v>1.3638999999999999</v>
      </c>
      <c r="E411" s="14">
        <f>B411-Index_Returns!Y411</f>
        <v>-1.4999999999999902E-2</v>
      </c>
    </row>
    <row r="412" spans="1:5" x14ac:dyDescent="0.2">
      <c r="A412" s="345">
        <v>40056</v>
      </c>
      <c r="B412" s="1369">
        <v>1</v>
      </c>
      <c r="C412" s="346">
        <v>27239580</v>
      </c>
      <c r="D412" s="258">
        <v>0.999</v>
      </c>
      <c r="E412" s="14">
        <f>B412-Index_Returns!Y412</f>
        <v>9.000000000000008E-3</v>
      </c>
    </row>
    <row r="413" spans="1:5" x14ac:dyDescent="0.2">
      <c r="A413" s="345">
        <v>40086</v>
      </c>
      <c r="B413" s="1369">
        <v>0.85</v>
      </c>
      <c r="C413" s="346">
        <v>27472841.780000001</v>
      </c>
      <c r="D413" s="258">
        <v>0.85629999999999995</v>
      </c>
      <c r="E413" s="14">
        <f>B413-Index_Returns!Y413</f>
        <v>-4.0000000000000036E-3</v>
      </c>
    </row>
    <row r="414" spans="1:5" x14ac:dyDescent="0.2">
      <c r="A414" s="345">
        <v>40117</v>
      </c>
      <c r="B414" s="1369">
        <v>0.44800000000000001</v>
      </c>
      <c r="C414" s="346">
        <v>27595995.329999998</v>
      </c>
      <c r="D414" s="258">
        <v>0.45</v>
      </c>
      <c r="E414" s="14">
        <f>B414-Index_Returns!Y414</f>
        <v>5.0000000000000044E-3</v>
      </c>
    </row>
    <row r="415" spans="1:5" x14ac:dyDescent="0.2">
      <c r="A415" s="345">
        <v>40147</v>
      </c>
      <c r="B415" s="1369">
        <v>1.3460000000000001</v>
      </c>
      <c r="C415" s="346">
        <v>27967390.050000001</v>
      </c>
      <c r="D415" s="258">
        <v>1.3460000000000001</v>
      </c>
      <c r="E415" s="14">
        <f>B415-Index_Returns!Y415</f>
        <v>4.0000000000000036E-3</v>
      </c>
    </row>
    <row r="416" spans="1:5" x14ac:dyDescent="0.2">
      <c r="A416" s="345">
        <v>40178</v>
      </c>
      <c r="B416" s="1369">
        <v>-1.5169999999999999</v>
      </c>
      <c r="C416" s="346">
        <v>20130742.949999999</v>
      </c>
      <c r="D416" s="258">
        <v>-1.51722</v>
      </c>
      <c r="E416" s="14">
        <f>B416-Index_Returns!Y416</f>
        <v>-5.7999999999999829E-2</v>
      </c>
    </row>
    <row r="417" spans="1:5" x14ac:dyDescent="0.2">
      <c r="A417" s="345">
        <v>40209</v>
      </c>
      <c r="B417" s="253">
        <v>1.3939999999999999</v>
      </c>
      <c r="C417" s="346">
        <v>20411396.920000002</v>
      </c>
      <c r="D417" s="258">
        <v>1.3942699999999999</v>
      </c>
      <c r="E417" s="14">
        <f>B417-Index_Returns!Y417</f>
        <v>9.9999999999988987E-4</v>
      </c>
    </row>
    <row r="418" spans="1:5" x14ac:dyDescent="0.2">
      <c r="A418" s="345">
        <v>40237</v>
      </c>
      <c r="B418" s="253">
        <v>0.439</v>
      </c>
      <c r="C418" s="346">
        <v>20501068.460000001</v>
      </c>
      <c r="D418" s="258">
        <v>0.43942999999999999</v>
      </c>
      <c r="E418" s="14">
        <f>B418-Index_Returns!Y418</f>
        <v>7.0000000000000062E-3</v>
      </c>
    </row>
    <row r="419" spans="1:5" x14ac:dyDescent="0.2">
      <c r="A419" s="345">
        <v>40268</v>
      </c>
      <c r="B419" s="253">
        <v>-0.29099999999999998</v>
      </c>
      <c r="C419" s="1334">
        <v>20441312.120000001</v>
      </c>
      <c r="D419" s="1311">
        <v>-0.27859</v>
      </c>
      <c r="E419" s="14">
        <f>B419-Index_Returns!Y419</f>
        <v>-9.000000000000008E-3</v>
      </c>
    </row>
    <row r="420" spans="1:5" x14ac:dyDescent="0.2">
      <c r="A420" s="345">
        <v>40298</v>
      </c>
      <c r="B420" s="253">
        <v>0.875</v>
      </c>
      <c r="C420" s="346">
        <v>20620262.989999998</v>
      </c>
      <c r="D420" s="258">
        <v>0.87544</v>
      </c>
      <c r="E420" s="14">
        <f>B420-Index_Returns!Y420</f>
        <v>6.0000000000000053E-3</v>
      </c>
    </row>
    <row r="421" spans="1:5" x14ac:dyDescent="0.2">
      <c r="A421" s="345">
        <v>40329</v>
      </c>
      <c r="B421" s="253">
        <v>0.71399999999999997</v>
      </c>
      <c r="C421" s="346">
        <v>20767462.120000001</v>
      </c>
      <c r="D421" s="258">
        <v>0.71386000000000005</v>
      </c>
      <c r="E421" s="14">
        <f>B421-Index_Returns!Y421</f>
        <v>4.0000000000000036E-3</v>
      </c>
    </row>
    <row r="422" spans="1:5" x14ac:dyDescent="0.2">
      <c r="A422" s="345">
        <v>40359</v>
      </c>
      <c r="B422" s="253">
        <v>1.3520000000000001</v>
      </c>
      <c r="C422" s="346">
        <v>21048320.670000002</v>
      </c>
      <c r="D422" s="258">
        <v>1.35737</v>
      </c>
      <c r="E422" s="14">
        <f>B422-Index_Returns!Y422</f>
        <v>-1.0999999999999899E-2</v>
      </c>
    </row>
    <row r="423" spans="1:5" x14ac:dyDescent="0.2">
      <c r="A423" s="345">
        <v>40390</v>
      </c>
      <c r="B423" s="253">
        <v>1.1040000000000001</v>
      </c>
      <c r="C423" s="346">
        <v>21280684.030000001</v>
      </c>
      <c r="D423" s="258">
        <v>1.10395</v>
      </c>
      <c r="E423" s="14">
        <f>B423-Index_Returns!Y423</f>
        <v>1.3000000000000123E-2</v>
      </c>
    </row>
    <row r="424" spans="1:5" x14ac:dyDescent="0.2">
      <c r="A424" s="345">
        <v>40421</v>
      </c>
      <c r="B424" s="253">
        <v>1.1819999999999999</v>
      </c>
      <c r="C424" s="346">
        <v>21532223.850000001</v>
      </c>
      <c r="D424" s="258">
        <v>1.18201</v>
      </c>
      <c r="E424" s="14">
        <f>B424-Index_Returns!Y424</f>
        <v>1.0999999999999899E-2</v>
      </c>
    </row>
    <row r="425" spans="1:5" x14ac:dyDescent="0.2">
      <c r="A425" s="345">
        <v>40451</v>
      </c>
      <c r="B425" s="258">
        <v>0.47699999999999998</v>
      </c>
      <c r="C425" s="346">
        <v>21634948.920000002</v>
      </c>
      <c r="D425" s="258">
        <v>0.47708</v>
      </c>
      <c r="E425" s="14">
        <f>B425-Index_Returns!Y425</f>
        <v>4.0000000000000036E-3</v>
      </c>
    </row>
    <row r="426" spans="1:5" x14ac:dyDescent="0.2">
      <c r="A426" s="345">
        <v>40482</v>
      </c>
      <c r="B426" s="258">
        <v>0.49091000000000001</v>
      </c>
      <c r="C426" s="346">
        <v>21741156.870000001</v>
      </c>
      <c r="D426" s="258">
        <v>0.49091000000000001</v>
      </c>
      <c r="E426" s="14">
        <f>B426-Index_Returns!Y426</f>
        <v>1.2759999999999994E-2</v>
      </c>
    </row>
    <row r="427" spans="1:5" x14ac:dyDescent="0.2">
      <c r="A427" s="345">
        <v>40512</v>
      </c>
      <c r="B427" s="253">
        <f>D427</f>
        <v>-0.65651000000000004</v>
      </c>
      <c r="C427" s="346">
        <v>21598423.870000001</v>
      </c>
      <c r="D427" s="258">
        <v>-0.65651000000000004</v>
      </c>
      <c r="E427" s="14">
        <f>B427-Index_Returns!Y427</f>
        <v>1.6100000000000003E-2</v>
      </c>
    </row>
    <row r="428" spans="1:5" x14ac:dyDescent="0.2">
      <c r="A428" s="345">
        <v>40543</v>
      </c>
      <c r="B428" s="253">
        <v>-1.23275</v>
      </c>
      <c r="C428" s="346">
        <v>21332169.449999999</v>
      </c>
      <c r="D428" s="258">
        <v>-1.23275</v>
      </c>
      <c r="E428" s="14">
        <f>B428-Index_Returns!Y428</f>
        <v>1.5979999999999883E-2</v>
      </c>
    </row>
    <row r="429" spans="1:5" x14ac:dyDescent="0.2">
      <c r="A429" s="345">
        <v>40574</v>
      </c>
      <c r="B429" s="253">
        <f>D429</f>
        <v>0.39606000000000002</v>
      </c>
      <c r="C429" s="346">
        <v>21416657.719999999</v>
      </c>
      <c r="D429" s="258">
        <v>0.39606000000000002</v>
      </c>
      <c r="E429" s="14">
        <f>B429-Index_Returns!Y429</f>
        <v>8.2500000000000351E-3</v>
      </c>
    </row>
    <row r="430" spans="1:5" x14ac:dyDescent="0.2">
      <c r="A430" s="345">
        <v>40602</v>
      </c>
      <c r="B430" s="253">
        <v>-1.17E-2</v>
      </c>
      <c r="C430" s="346">
        <v>21414152.59</v>
      </c>
      <c r="D430" s="258">
        <v>-1.17E-2</v>
      </c>
      <c r="E430" s="14">
        <f>B430-Index_Returns!Y430</f>
        <v>1.4959999999999999E-2</v>
      </c>
    </row>
    <row r="431" spans="1:5" x14ac:dyDescent="0.2">
      <c r="A431" s="345">
        <v>40633</v>
      </c>
      <c r="B431" s="253">
        <f>D431</f>
        <v>-1.426E-2</v>
      </c>
      <c r="C431" s="346">
        <v>21411099.460000001</v>
      </c>
      <c r="D431" s="258">
        <v>-1.426E-2</v>
      </c>
      <c r="E431" s="14">
        <f>B431-Index_Returns!Y431</f>
        <v>8.7900000000000009E-3</v>
      </c>
    </row>
    <row r="432" spans="1:5" x14ac:dyDescent="0.2">
      <c r="A432" s="345">
        <v>40663</v>
      </c>
      <c r="B432" s="253">
        <f t="shared" ref="B432:B488" si="0">D432</f>
        <v>1.1454</v>
      </c>
      <c r="C432" s="346">
        <v>21656341.57</v>
      </c>
      <c r="D432" s="258">
        <v>1.1454</v>
      </c>
      <c r="E432" s="14">
        <f>B432-Index_Returns!Y432</f>
        <v>1.205999999999996E-2</v>
      </c>
    </row>
    <row r="433" spans="1:5" x14ac:dyDescent="0.2">
      <c r="A433" s="345">
        <v>40694</v>
      </c>
      <c r="B433" s="253">
        <f t="shared" si="0"/>
        <v>1.15574</v>
      </c>
      <c r="C433" s="346">
        <v>21906631.559999999</v>
      </c>
      <c r="D433" s="258">
        <v>1.15574</v>
      </c>
      <c r="E433" s="14">
        <f>B433-Index_Returns!Y433</f>
        <v>1.1269999999999891E-2</v>
      </c>
    </row>
    <row r="434" spans="1:5" x14ac:dyDescent="0.2">
      <c r="A434" s="345">
        <v>40724</v>
      </c>
      <c r="B434" s="253">
        <f t="shared" si="0"/>
        <v>-0.17135</v>
      </c>
      <c r="C434" s="346">
        <v>21869095.239999998</v>
      </c>
      <c r="D434" s="258">
        <v>-0.17135</v>
      </c>
      <c r="E434" s="14">
        <f>B434-Index_Returns!Y434</f>
        <v>-6.9500000000000117E-3</v>
      </c>
    </row>
    <row r="435" spans="1:5" x14ac:dyDescent="0.2">
      <c r="A435" s="345">
        <v>40755</v>
      </c>
      <c r="B435" s="253">
        <f t="shared" si="0"/>
        <v>1.4431499999999999</v>
      </c>
      <c r="C435" s="346">
        <v>22184699.059999999</v>
      </c>
      <c r="D435" s="258">
        <v>1.4431499999999999</v>
      </c>
      <c r="E435" s="14">
        <f>B435-Index_Returns!Y435</f>
        <v>1.3419999999999987E-2</v>
      </c>
    </row>
    <row r="436" spans="1:5" x14ac:dyDescent="0.2">
      <c r="A436" s="345">
        <v>40786</v>
      </c>
      <c r="B436" s="253">
        <f t="shared" si="0"/>
        <v>1.0796600000000001</v>
      </c>
      <c r="C436" s="346">
        <v>22424217.890000001</v>
      </c>
      <c r="D436" s="258">
        <v>1.0796600000000001</v>
      </c>
      <c r="E436" s="14">
        <f>B436-Index_Returns!Y436</f>
        <v>1.3750000000000151E-2</v>
      </c>
    </row>
    <row r="437" spans="1:5" x14ac:dyDescent="0.2">
      <c r="A437" s="345">
        <v>40816</v>
      </c>
      <c r="B437" s="253">
        <f t="shared" si="0"/>
        <v>-9.5070000000000002E-2</v>
      </c>
      <c r="C437" s="346">
        <v>22402899.699999999</v>
      </c>
      <c r="D437" s="258">
        <v>-9.5070000000000002E-2</v>
      </c>
      <c r="E437" s="14">
        <f>B437-Index_Returns!Y437</f>
        <v>2.1139999999999992E-2</v>
      </c>
    </row>
    <row r="438" spans="1:5" x14ac:dyDescent="0.2">
      <c r="A438" s="345">
        <v>40847</v>
      </c>
      <c r="B438" s="253">
        <f t="shared" si="0"/>
        <v>0.30897999999999998</v>
      </c>
      <c r="C438" s="346">
        <v>22472119.359999999</v>
      </c>
      <c r="D438" s="258">
        <v>0.30897999999999998</v>
      </c>
      <c r="E438" s="14">
        <f>B438-Index_Returns!Y438</f>
        <v>5.7999999999999718E-3</v>
      </c>
    </row>
    <row r="439" spans="1:5" x14ac:dyDescent="0.2">
      <c r="A439" s="345">
        <v>40877</v>
      </c>
      <c r="B439" s="253">
        <f t="shared" si="0"/>
        <v>-0.19653000000000001</v>
      </c>
      <c r="C439" s="346">
        <v>22427954.100000001</v>
      </c>
      <c r="D439" s="258">
        <v>-0.19653000000000001</v>
      </c>
      <c r="E439" s="14">
        <f>B439-Index_Returns!Y439</f>
        <v>4.7039999999999998E-2</v>
      </c>
    </row>
    <row r="440" spans="1:5" x14ac:dyDescent="0.2">
      <c r="A440" s="345">
        <v>40908</v>
      </c>
      <c r="B440" s="253">
        <f t="shared" si="0"/>
        <v>0.75705999999999996</v>
      </c>
      <c r="C440" s="346">
        <v>22597747.5</v>
      </c>
      <c r="D440" s="258">
        <v>0.75705999999999996</v>
      </c>
      <c r="E440" s="14">
        <f>B440-Index_Returns!Y440</f>
        <v>-2.589000000000008E-2</v>
      </c>
    </row>
    <row r="441" spans="1:5" x14ac:dyDescent="0.2">
      <c r="A441" s="345">
        <v>40939</v>
      </c>
      <c r="B441" s="253">
        <f t="shared" si="0"/>
        <v>1.0358400000000001</v>
      </c>
      <c r="C441" s="346">
        <v>22832950.66</v>
      </c>
      <c r="D441" s="258">
        <v>1.0358400000000001</v>
      </c>
      <c r="E441" s="14">
        <f>B441-Index_Returns!Y441</f>
        <v>1.4130000000000198E-2</v>
      </c>
    </row>
    <row r="442" spans="1:5" x14ac:dyDescent="0.2">
      <c r="A442" s="345">
        <v>40968</v>
      </c>
      <c r="B442" s="253">
        <f t="shared" si="0"/>
        <v>-2.5739999999999999E-2</v>
      </c>
      <c r="C442" s="346">
        <v>22828199.809999999</v>
      </c>
      <c r="D442" s="258">
        <v>-2.5739999999999999E-2</v>
      </c>
      <c r="E442" s="14">
        <f>B442-Index_Returns!Y442</f>
        <v>2.2620000000000001E-2</v>
      </c>
    </row>
    <row r="443" spans="1:5" x14ac:dyDescent="0.2">
      <c r="A443" s="345">
        <v>40999</v>
      </c>
      <c r="B443" s="253">
        <f t="shared" si="0"/>
        <v>-0.36660999999999999</v>
      </c>
      <c r="C443" s="346">
        <v>22744510.390000001</v>
      </c>
      <c r="D443" s="258">
        <v>-0.36660999999999999</v>
      </c>
      <c r="E443" s="14">
        <f>B443-Index_Returns!Y443</f>
        <v>-7.0899999999999852E-3</v>
      </c>
    </row>
    <row r="444" spans="1:5" x14ac:dyDescent="0.2">
      <c r="A444" s="345">
        <v>41029</v>
      </c>
      <c r="B444" s="253">
        <f t="shared" si="0"/>
        <v>0.92844000000000004</v>
      </c>
      <c r="C444" s="346">
        <v>22955679.93</v>
      </c>
      <c r="D444" s="258">
        <v>0.92844000000000004</v>
      </c>
      <c r="E444" s="14">
        <f>B444-Index_Returns!Y444</f>
        <v>9.4700000000000895E-3</v>
      </c>
    </row>
    <row r="445" spans="1:5" x14ac:dyDescent="0.2">
      <c r="A445" s="345">
        <v>41060</v>
      </c>
      <c r="B445" s="253">
        <f t="shared" si="0"/>
        <v>0.48881999999999998</v>
      </c>
      <c r="C445" s="346">
        <v>23067891.329999998</v>
      </c>
      <c r="D445" s="258">
        <v>0.48881999999999998</v>
      </c>
      <c r="E445" s="14">
        <f>B445-Index_Returns!Y445</f>
        <v>1.1119999999999963E-2</v>
      </c>
    </row>
    <row r="446" spans="1:5" x14ac:dyDescent="0.2">
      <c r="A446" s="345">
        <v>41090</v>
      </c>
      <c r="B446" s="253">
        <f t="shared" si="0"/>
        <v>8.0310000000000006E-2</v>
      </c>
      <c r="C446" s="346">
        <v>23087558.620000001</v>
      </c>
      <c r="D446" s="258">
        <v>8.0310000000000006E-2</v>
      </c>
      <c r="E446" s="14">
        <f>B446-Index_Returns!Y446</f>
        <v>3.6100000000000021E-3</v>
      </c>
    </row>
    <row r="447" spans="1:5" x14ac:dyDescent="0.2">
      <c r="A447" s="345">
        <v>41121</v>
      </c>
      <c r="B447" s="253">
        <f t="shared" si="0"/>
        <v>0.98</v>
      </c>
      <c r="C447" s="346">
        <v>23313815.75</v>
      </c>
      <c r="D447" s="258">
        <v>0.98</v>
      </c>
      <c r="E447" s="14">
        <f>B447-Index_Returns!Y447</f>
        <v>1.1630000000000029E-2</v>
      </c>
    </row>
    <row r="448" spans="1:5" x14ac:dyDescent="0.2">
      <c r="A448" s="345">
        <v>41152</v>
      </c>
      <c r="B448" s="253">
        <f t="shared" si="0"/>
        <v>0.20269999999999999</v>
      </c>
      <c r="C448" s="346">
        <v>23362231.449999999</v>
      </c>
      <c r="D448" s="258">
        <v>0.20269999999999999</v>
      </c>
      <c r="E448" s="14">
        <f>B448-Index_Returns!Y448</f>
        <v>8.5099999999999898E-3</v>
      </c>
    </row>
    <row r="449" spans="1:5" x14ac:dyDescent="0.2">
      <c r="A449" s="345">
        <v>41182</v>
      </c>
      <c r="B449" s="253">
        <f t="shared" si="0"/>
        <v>0.24947</v>
      </c>
      <c r="C449" s="346">
        <v>23420514.170000002</v>
      </c>
      <c r="D449" s="258">
        <v>0.24947</v>
      </c>
      <c r="E449" s="14">
        <f>B449-Index_Returns!Y449</f>
        <v>1.2660000000000005E-2</v>
      </c>
    </row>
    <row r="450" spans="1:5" x14ac:dyDescent="0.2">
      <c r="A450" s="345">
        <v>41213</v>
      </c>
      <c r="B450" s="253">
        <f t="shared" si="0"/>
        <v>0.1469</v>
      </c>
      <c r="C450" s="346">
        <v>23454918.309999999</v>
      </c>
      <c r="D450" s="258">
        <v>0.1469</v>
      </c>
      <c r="E450" s="14">
        <f>B450-Index_Returns!Y450</f>
        <v>2.2000000000000075E-3</v>
      </c>
    </row>
    <row r="451" spans="1:5" x14ac:dyDescent="0.2">
      <c r="A451" s="345">
        <v>41243</v>
      </c>
      <c r="B451" s="253">
        <f t="shared" si="0"/>
        <v>0.30908999999999998</v>
      </c>
      <c r="C451" s="346">
        <v>23527414.440000001</v>
      </c>
      <c r="D451" s="258">
        <v>0.30908999999999998</v>
      </c>
      <c r="E451" s="14">
        <f>B451-Index_Returns!Y451</f>
        <v>7.0599999999999552E-3</v>
      </c>
    </row>
    <row r="452" spans="1:5" x14ac:dyDescent="0.2">
      <c r="A452" s="345">
        <v>41274</v>
      </c>
      <c r="B452" s="253">
        <f t="shared" si="0"/>
        <v>-8.8870000000000005E-2</v>
      </c>
      <c r="C452" s="346">
        <v>23506506.859999999</v>
      </c>
      <c r="D452" s="258">
        <v>-8.8870000000000005E-2</v>
      </c>
      <c r="E452" s="14">
        <f>B452-Index_Returns!Y452</f>
        <v>9.5299999999999968E-3</v>
      </c>
    </row>
    <row r="453" spans="1:5" x14ac:dyDescent="0.2">
      <c r="A453" s="345">
        <v>41305</v>
      </c>
      <c r="B453" s="253">
        <f t="shared" si="0"/>
        <v>-0.35804000000000002</v>
      </c>
      <c r="C453" s="346">
        <v>23422343.129999999</v>
      </c>
      <c r="D453" s="258">
        <v>-0.35804000000000002</v>
      </c>
      <c r="E453" s="14">
        <f>B453-Index_Returns!Y453</f>
        <v>5.6299999999999684E-3</v>
      </c>
    </row>
    <row r="454" spans="1:5" x14ac:dyDescent="0.2">
      <c r="A454" s="345">
        <v>41333</v>
      </c>
      <c r="B454" s="253">
        <f t="shared" si="0"/>
        <v>0.49098000000000003</v>
      </c>
      <c r="C454" s="346">
        <v>23537342.879999999</v>
      </c>
      <c r="D454" s="258">
        <v>0.49098000000000003</v>
      </c>
      <c r="E454" s="14">
        <f>B454-Index_Returns!Y454</f>
        <v>7.4600000000000222E-3</v>
      </c>
    </row>
    <row r="455" spans="1:5" x14ac:dyDescent="0.2">
      <c r="A455" s="345">
        <v>41364</v>
      </c>
      <c r="B455" s="253">
        <f t="shared" si="0"/>
        <v>0.13586999999999999</v>
      </c>
      <c r="C455" s="346">
        <v>23571674.100000001</v>
      </c>
      <c r="D455" s="258">
        <v>0.13586999999999999</v>
      </c>
      <c r="E455" s="14">
        <f>B455-Index_Returns!Y455</f>
        <v>-3.7300000000000111E-3</v>
      </c>
    </row>
    <row r="456" spans="1:5" x14ac:dyDescent="0.2">
      <c r="A456" s="345">
        <v>41394</v>
      </c>
      <c r="B456" s="253">
        <f t="shared" si="0"/>
        <v>0.63563000000000003</v>
      </c>
      <c r="C456" s="346">
        <v>23721502.41</v>
      </c>
      <c r="D456" s="258">
        <v>0.63563000000000003</v>
      </c>
      <c r="E456" s="14">
        <f>B456-Index_Returns!Y456</f>
        <v>8.6700000000000665E-3</v>
      </c>
    </row>
    <row r="457" spans="1:5" x14ac:dyDescent="0.2">
      <c r="A457" s="345">
        <v>41425</v>
      </c>
      <c r="B457" s="253">
        <f t="shared" si="0"/>
        <v>-1.11694</v>
      </c>
      <c r="C457" s="346">
        <v>23457712.789999999</v>
      </c>
      <c r="D457" s="258">
        <v>-1.11694</v>
      </c>
      <c r="E457" s="14">
        <f>B457-Index_Returns!Y457</f>
        <v>1.5519999999999978E-2</v>
      </c>
    </row>
    <row r="458" spans="1:5" x14ac:dyDescent="0.2">
      <c r="A458" s="345">
        <v>41455</v>
      </c>
      <c r="B458" s="253">
        <f t="shared" si="0"/>
        <v>-1.16473</v>
      </c>
      <c r="C458" s="1307">
        <v>23184494.390000001</v>
      </c>
      <c r="D458" s="1306">
        <v>-1.16473</v>
      </c>
      <c r="E458" s="14">
        <f>B458-Index_Returns!Y458</f>
        <v>3.0669999999999975E-2</v>
      </c>
    </row>
    <row r="459" spans="1:5" x14ac:dyDescent="0.2">
      <c r="A459" s="345">
        <v>41486</v>
      </c>
      <c r="B459" s="253">
        <f t="shared" si="0"/>
        <v>0.29415999999999998</v>
      </c>
      <c r="C459" s="346">
        <v>23252693.260000002</v>
      </c>
      <c r="D459" s="258">
        <v>0.29415999999999998</v>
      </c>
      <c r="E459" s="14">
        <f>B459-Index_Returns!Y459</f>
        <v>-1.2319999999999998E-2</v>
      </c>
    </row>
    <row r="460" spans="1:5" x14ac:dyDescent="0.2">
      <c r="A460" s="345">
        <v>41517</v>
      </c>
      <c r="B460" s="253">
        <f t="shared" si="0"/>
        <v>-0.48142000000000001</v>
      </c>
      <c r="C460" s="346">
        <v>23140749.719999999</v>
      </c>
      <c r="D460" s="258">
        <v>-0.48142000000000001</v>
      </c>
      <c r="E460" s="14">
        <f>B460-Index_Returns!Y460</f>
        <v>1.5059999999999962E-2</v>
      </c>
    </row>
    <row r="461" spans="1:5" x14ac:dyDescent="0.2">
      <c r="A461" s="345">
        <v>41547</v>
      </c>
      <c r="B461" s="253">
        <f t="shared" si="0"/>
        <v>0.82601000000000002</v>
      </c>
      <c r="C461" s="346">
        <v>23331894.309999999</v>
      </c>
      <c r="D461" s="258">
        <v>0.82601000000000002</v>
      </c>
      <c r="E461" s="14">
        <f>B461-Index_Returns!Y461</f>
        <v>1.646000000000003E-2</v>
      </c>
    </row>
    <row r="462" spans="1:5" x14ac:dyDescent="0.2">
      <c r="A462" s="345">
        <v>41578</v>
      </c>
      <c r="B462" s="253">
        <f t="shared" si="0"/>
        <v>0.64861999999999997</v>
      </c>
      <c r="C462" s="346">
        <v>23483228.469999999</v>
      </c>
      <c r="D462" s="258">
        <v>0.64861999999999997</v>
      </c>
      <c r="E462" s="14">
        <f>B462-Index_Returns!Y462</f>
        <v>3.1349999999999989E-2</v>
      </c>
    </row>
    <row r="463" spans="1:5" x14ac:dyDescent="0.2">
      <c r="A463" s="345">
        <v>41608</v>
      </c>
      <c r="B463" s="253">
        <f t="shared" si="0"/>
        <v>-3.4849999999999999E-2</v>
      </c>
      <c r="C463" s="346">
        <v>23477378.550000001</v>
      </c>
      <c r="D463" s="258">
        <v>-3.4849999999999999E-2</v>
      </c>
      <c r="E463" s="14">
        <f>B463-Index_Returns!Y463</f>
        <v>-2.8989999999999998E-2</v>
      </c>
    </row>
    <row r="464" spans="1:5" x14ac:dyDescent="0.2">
      <c r="A464" s="345">
        <v>41639</v>
      </c>
      <c r="B464" s="253">
        <f t="shared" si="0"/>
        <v>-0.62072000000000005</v>
      </c>
      <c r="C464" s="346">
        <v>23331648.710000001</v>
      </c>
      <c r="D464" s="258">
        <v>-0.62072000000000005</v>
      </c>
      <c r="E464" s="14">
        <f>B464-Index_Returns!Y464</f>
        <v>8.5499999999999465E-3</v>
      </c>
    </row>
    <row r="465" spans="1:5" x14ac:dyDescent="0.2">
      <c r="A465" s="345">
        <v>41670</v>
      </c>
      <c r="B465" s="253">
        <f t="shared" si="0"/>
        <v>0.93315000000000003</v>
      </c>
      <c r="C465" s="346">
        <v>23550547.02</v>
      </c>
      <c r="D465" s="258">
        <v>0.93315000000000003</v>
      </c>
      <c r="E465" s="14">
        <f>B465-Index_Returns!Y465</f>
        <v>1.3400000000000079E-2</v>
      </c>
    </row>
    <row r="466" spans="1:5" x14ac:dyDescent="0.2">
      <c r="A466" s="345">
        <v>41698</v>
      </c>
      <c r="B466" s="253">
        <f t="shared" si="0"/>
        <v>0.41165000000000002</v>
      </c>
      <c r="C466" s="346">
        <v>23647493.530000001</v>
      </c>
      <c r="D466" s="258">
        <v>0.41165000000000002</v>
      </c>
      <c r="E466" s="14">
        <f>B466-Index_Returns!Y466</f>
        <v>2.907000000000004E-2</v>
      </c>
    </row>
    <row r="467" spans="1:5" x14ac:dyDescent="0.2">
      <c r="A467" s="345">
        <v>41729</v>
      </c>
      <c r="B467" s="253">
        <f t="shared" si="0"/>
        <v>-0.28449999999999998</v>
      </c>
      <c r="C467" s="346">
        <v>23580215.649999999</v>
      </c>
      <c r="D467" s="258">
        <v>-0.28449999999999998</v>
      </c>
      <c r="E467" s="14">
        <f>B467-Index_Returns!Y467</f>
        <v>1.3980000000000048E-2</v>
      </c>
    </row>
    <row r="468" spans="1:5" x14ac:dyDescent="0.2">
      <c r="A468" s="345">
        <v>41759</v>
      </c>
      <c r="B468" s="253">
        <f t="shared" si="0"/>
        <v>0.50890999999999997</v>
      </c>
      <c r="C468" s="346">
        <v>23700217.219999999</v>
      </c>
      <c r="D468" s="258">
        <v>0.50890999999999997</v>
      </c>
      <c r="E468" s="14">
        <f>B468-Index_Returns!Y468</f>
        <v>-3.4600000000000186E-3</v>
      </c>
    </row>
    <row r="469" spans="1:5" x14ac:dyDescent="0.2">
      <c r="A469" s="345">
        <v>41790</v>
      </c>
      <c r="B469" s="253">
        <f t="shared" si="0"/>
        <v>0.79088999999999998</v>
      </c>
      <c r="C469" s="346">
        <v>23888848.23</v>
      </c>
      <c r="D469" s="258">
        <v>0.79088999999999998</v>
      </c>
      <c r="E469" s="14">
        <f>B469-Index_Returns!Y469</f>
        <v>9.700000000000264E-4</v>
      </c>
    </row>
    <row r="470" spans="1:5" x14ac:dyDescent="0.2">
      <c r="A470" s="345">
        <v>41820</v>
      </c>
      <c r="B470" s="253">
        <f t="shared" si="0"/>
        <v>-1.6889999999999999E-2</v>
      </c>
      <c r="C470" s="346">
        <v>23884813.460000001</v>
      </c>
      <c r="D470" s="258">
        <v>-1.6889999999999999E-2</v>
      </c>
      <c r="E470" s="14">
        <f>B470-Index_Returns!Y470</f>
        <v>5.3790000000000004E-2</v>
      </c>
    </row>
    <row r="471" spans="1:5" x14ac:dyDescent="0.2">
      <c r="A471" s="345">
        <v>41851</v>
      </c>
      <c r="B471" s="253">
        <f t="shared" si="0"/>
        <v>-0.22231999999999999</v>
      </c>
      <c r="C471" s="346">
        <v>23831712.93</v>
      </c>
      <c r="D471" s="258">
        <v>-0.22231999999999999</v>
      </c>
      <c r="E471" s="14">
        <f>B471-Index_Returns!Y471</f>
        <v>-3.5299999999999776E-3</v>
      </c>
    </row>
    <row r="472" spans="1:5" x14ac:dyDescent="0.2">
      <c r="A472" s="345">
        <v>41882</v>
      </c>
      <c r="B472" s="253">
        <f>D472</f>
        <v>0.67515999999999998</v>
      </c>
      <c r="C472" s="346">
        <v>23993808.25</v>
      </c>
      <c r="D472" s="258">
        <v>0.67515999999999998</v>
      </c>
      <c r="E472" s="14">
        <f>B472-Index_Returns!Y472</f>
        <v>-2.3179999999999978E-2</v>
      </c>
    </row>
    <row r="473" spans="1:5" x14ac:dyDescent="0.2">
      <c r="A473" s="345">
        <v>41912</v>
      </c>
      <c r="B473" s="253">
        <f t="shared" si="0"/>
        <v>0</v>
      </c>
      <c r="E473" s="14">
        <f>B473-Index_Returns!Y473</f>
        <v>0</v>
      </c>
    </row>
    <row r="474" spans="1:5" x14ac:dyDescent="0.2">
      <c r="A474" s="345">
        <v>41943</v>
      </c>
      <c r="B474" s="253">
        <f t="shared" si="0"/>
        <v>0</v>
      </c>
      <c r="E474" s="14">
        <f>B474-Index_Returns!Y474</f>
        <v>0</v>
      </c>
    </row>
    <row r="475" spans="1:5" x14ac:dyDescent="0.2">
      <c r="A475" s="345">
        <v>41973</v>
      </c>
      <c r="B475" s="253">
        <f t="shared" si="0"/>
        <v>0</v>
      </c>
      <c r="E475" s="14">
        <f>B475-Index_Returns!Y475</f>
        <v>0</v>
      </c>
    </row>
    <row r="476" spans="1:5" x14ac:dyDescent="0.2">
      <c r="A476" s="345">
        <v>42004</v>
      </c>
      <c r="B476" s="253">
        <f t="shared" si="0"/>
        <v>0</v>
      </c>
      <c r="E476" s="14">
        <f>B476-Index_Returns!Y476</f>
        <v>0</v>
      </c>
    </row>
    <row r="477" spans="1:5" x14ac:dyDescent="0.2">
      <c r="A477" s="345">
        <v>42035</v>
      </c>
      <c r="B477" s="253">
        <f t="shared" si="0"/>
        <v>0</v>
      </c>
      <c r="E477" s="14">
        <f>B477-Index_Returns!Y477</f>
        <v>0</v>
      </c>
    </row>
    <row r="478" spans="1:5" x14ac:dyDescent="0.2">
      <c r="A478" s="345">
        <v>42063</v>
      </c>
      <c r="B478" s="253">
        <f t="shared" si="0"/>
        <v>0</v>
      </c>
      <c r="E478" s="14">
        <f>B478-Index_Returns!Y478</f>
        <v>0</v>
      </c>
    </row>
    <row r="479" spans="1:5" x14ac:dyDescent="0.2">
      <c r="A479" s="345">
        <v>42094</v>
      </c>
      <c r="B479" s="253">
        <f t="shared" si="0"/>
        <v>0</v>
      </c>
      <c r="E479" s="14">
        <f>B479-Index_Returns!Y479</f>
        <v>0</v>
      </c>
    </row>
    <row r="480" spans="1:5" x14ac:dyDescent="0.2">
      <c r="A480" s="345">
        <v>42124</v>
      </c>
      <c r="B480" s="253">
        <f t="shared" si="0"/>
        <v>0</v>
      </c>
      <c r="E480" s="14">
        <f>B480-Index_Returns!Y480</f>
        <v>0</v>
      </c>
    </row>
    <row r="481" spans="1:5" x14ac:dyDescent="0.2">
      <c r="A481" s="345">
        <v>42155</v>
      </c>
      <c r="B481" s="253">
        <f t="shared" si="0"/>
        <v>0</v>
      </c>
      <c r="E481" s="14">
        <f>B481-Index_Returns!Y481</f>
        <v>0</v>
      </c>
    </row>
    <row r="482" spans="1:5" x14ac:dyDescent="0.2">
      <c r="A482" s="345">
        <v>42185</v>
      </c>
      <c r="B482" s="253">
        <f t="shared" si="0"/>
        <v>0</v>
      </c>
      <c r="E482" s="14">
        <f>B482-Index_Returns!Y482</f>
        <v>0</v>
      </c>
    </row>
    <row r="483" spans="1:5" x14ac:dyDescent="0.2">
      <c r="A483" s="345">
        <v>42216</v>
      </c>
      <c r="B483" s="253">
        <f t="shared" si="0"/>
        <v>0</v>
      </c>
      <c r="E483" s="14">
        <f>B483-Index_Returns!Y483</f>
        <v>0</v>
      </c>
    </row>
    <row r="484" spans="1:5" x14ac:dyDescent="0.2">
      <c r="A484" s="345">
        <v>42247</v>
      </c>
      <c r="B484" s="253">
        <f t="shared" si="0"/>
        <v>0</v>
      </c>
      <c r="E484" s="14">
        <f>B484-Index_Returns!Y484</f>
        <v>0</v>
      </c>
    </row>
    <row r="485" spans="1:5" x14ac:dyDescent="0.2">
      <c r="A485" s="345">
        <v>42277</v>
      </c>
      <c r="B485" s="253">
        <f t="shared" si="0"/>
        <v>0</v>
      </c>
      <c r="E485" s="14">
        <f>B485-Index_Returns!Y485</f>
        <v>0</v>
      </c>
    </row>
    <row r="486" spans="1:5" x14ac:dyDescent="0.2">
      <c r="A486" s="345">
        <v>42308</v>
      </c>
      <c r="B486" s="253">
        <f t="shared" si="0"/>
        <v>0</v>
      </c>
      <c r="E486" s="14">
        <f>B486-Index_Returns!Y486</f>
        <v>0</v>
      </c>
    </row>
    <row r="487" spans="1:5" x14ac:dyDescent="0.2">
      <c r="A487" s="345">
        <v>42338</v>
      </c>
      <c r="B487" s="253">
        <f t="shared" si="0"/>
        <v>0</v>
      </c>
      <c r="E487" s="14">
        <f>B487-Index_Returns!Y487</f>
        <v>0</v>
      </c>
    </row>
    <row r="488" spans="1:5" x14ac:dyDescent="0.2">
      <c r="A488" s="345">
        <v>42369</v>
      </c>
      <c r="B488" s="253">
        <f t="shared" si="0"/>
        <v>0</v>
      </c>
      <c r="E488" s="14">
        <f>B488-Index_Returns!Y488</f>
        <v>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I488"/>
  <sheetViews>
    <sheetView workbookViewId="0">
      <pane xSplit="1" ySplit="2" topLeftCell="B448" activePane="bottomRight" state="frozen"/>
      <selection pane="topRight" activeCell="B1" sqref="B1"/>
      <selection pane="bottomLeft" activeCell="A3" sqref="A3"/>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4" width="18.7109375" style="258" customWidth="1"/>
    <col min="5" max="5" width="9.140625" style="14"/>
    <col min="6" max="6" width="12.42578125" bestFit="1" customWidth="1"/>
    <col min="7" max="8" width="9.140625" style="14"/>
  </cols>
  <sheetData>
    <row r="1" spans="1:6" x14ac:dyDescent="0.2">
      <c r="A1" s="1420" t="s">
        <v>859</v>
      </c>
      <c r="B1" s="1281"/>
      <c r="C1" s="1388" t="s">
        <v>654</v>
      </c>
      <c r="D1" s="1375">
        <v>40</v>
      </c>
      <c r="F1" s="21" t="s">
        <v>654</v>
      </c>
    </row>
    <row r="2" spans="1:6" x14ac:dyDescent="0.2">
      <c r="A2" s="3" t="s">
        <v>27</v>
      </c>
      <c r="B2" s="71" t="s">
        <v>91</v>
      </c>
      <c r="C2" s="226" t="s">
        <v>92</v>
      </c>
      <c r="D2" s="71" t="s">
        <v>90</v>
      </c>
      <c r="E2" s="734" t="s">
        <v>80</v>
      </c>
    </row>
    <row r="3" spans="1:6" x14ac:dyDescent="0.2">
      <c r="A3" s="345">
        <v>27606</v>
      </c>
      <c r="B3" s="71"/>
      <c r="C3" s="226"/>
      <c r="D3" s="71"/>
    </row>
    <row r="4" spans="1:6" x14ac:dyDescent="0.2">
      <c r="A4" s="345">
        <v>27637</v>
      </c>
      <c r="B4" s="71"/>
      <c r="C4" s="226"/>
      <c r="D4" s="71"/>
    </row>
    <row r="5" spans="1:6" x14ac:dyDescent="0.2">
      <c r="A5" s="345">
        <v>27667</v>
      </c>
      <c r="B5" s="71"/>
      <c r="C5" s="226"/>
      <c r="D5" s="71"/>
    </row>
    <row r="6" spans="1:6" x14ac:dyDescent="0.2">
      <c r="A6" s="345">
        <v>27698</v>
      </c>
      <c r="B6" s="71"/>
      <c r="C6" s="226"/>
      <c r="D6" s="71"/>
    </row>
    <row r="7" spans="1:6" x14ac:dyDescent="0.2">
      <c r="A7" s="345">
        <v>27728</v>
      </c>
      <c r="B7" s="71"/>
      <c r="C7" s="226"/>
      <c r="D7" s="71"/>
    </row>
    <row r="8" spans="1:6" x14ac:dyDescent="0.2">
      <c r="A8" s="345">
        <v>27759</v>
      </c>
      <c r="B8" s="71"/>
      <c r="C8" s="226"/>
      <c r="D8" s="71"/>
    </row>
    <row r="9" spans="1:6" x14ac:dyDescent="0.2">
      <c r="A9" s="345">
        <v>27790</v>
      </c>
      <c r="B9" s="71"/>
      <c r="C9" s="226"/>
      <c r="D9" s="71"/>
    </row>
    <row r="10" spans="1:6" x14ac:dyDescent="0.2">
      <c r="A10" s="345">
        <v>27819</v>
      </c>
      <c r="B10" s="71"/>
      <c r="C10" s="226"/>
      <c r="D10" s="71"/>
    </row>
    <row r="11" spans="1:6" x14ac:dyDescent="0.2">
      <c r="A11" s="345">
        <v>27850</v>
      </c>
      <c r="B11" s="71"/>
      <c r="C11" s="226"/>
      <c r="D11" s="71"/>
    </row>
    <row r="12" spans="1:6" x14ac:dyDescent="0.2">
      <c r="A12" s="345">
        <v>27880</v>
      </c>
      <c r="B12" s="71"/>
      <c r="C12" s="226"/>
      <c r="D12" s="71"/>
    </row>
    <row r="13" spans="1:6" x14ac:dyDescent="0.2">
      <c r="A13" s="345">
        <v>27911</v>
      </c>
      <c r="B13" s="71"/>
      <c r="C13" s="226"/>
      <c r="D13" s="71"/>
    </row>
    <row r="14" spans="1:6" x14ac:dyDescent="0.2">
      <c r="A14" s="345">
        <v>27941</v>
      </c>
      <c r="B14" s="71"/>
      <c r="C14" s="226"/>
      <c r="D14" s="71"/>
    </row>
    <row r="15" spans="1:6" x14ac:dyDescent="0.2">
      <c r="A15" s="345">
        <v>27972</v>
      </c>
      <c r="B15" s="71"/>
      <c r="C15" s="226"/>
      <c r="D15" s="71"/>
    </row>
    <row r="16" spans="1:6" x14ac:dyDescent="0.2">
      <c r="A16" s="345">
        <v>28003</v>
      </c>
      <c r="B16" s="71"/>
      <c r="C16" s="226"/>
      <c r="D16" s="71"/>
    </row>
    <row r="17" spans="1:4" x14ac:dyDescent="0.2">
      <c r="A17" s="345">
        <v>28033</v>
      </c>
      <c r="B17" s="71"/>
      <c r="C17" s="226"/>
      <c r="D17" s="71"/>
    </row>
    <row r="18" spans="1:4" x14ac:dyDescent="0.2">
      <c r="A18" s="345">
        <v>28064</v>
      </c>
      <c r="B18" s="71"/>
      <c r="C18" s="226"/>
      <c r="D18" s="71"/>
    </row>
    <row r="19" spans="1:4" x14ac:dyDescent="0.2">
      <c r="A19" s="345">
        <v>28094</v>
      </c>
      <c r="B19" s="71"/>
      <c r="C19" s="226"/>
      <c r="D19" s="71"/>
    </row>
    <row r="20" spans="1:4" x14ac:dyDescent="0.2">
      <c r="A20" s="345">
        <v>28125</v>
      </c>
      <c r="B20" s="71"/>
      <c r="C20" s="226"/>
      <c r="D20" s="71"/>
    </row>
    <row r="21" spans="1:4" x14ac:dyDescent="0.2">
      <c r="A21" s="345">
        <v>28156</v>
      </c>
      <c r="B21" s="71"/>
      <c r="C21" s="226"/>
      <c r="D21" s="71"/>
    </row>
    <row r="22" spans="1:4" x14ac:dyDescent="0.2">
      <c r="A22" s="345">
        <v>28184</v>
      </c>
      <c r="B22" s="71"/>
      <c r="C22" s="226"/>
      <c r="D22" s="71"/>
    </row>
    <row r="23" spans="1:4" x14ac:dyDescent="0.2">
      <c r="A23" s="345">
        <v>28215</v>
      </c>
      <c r="B23" s="71"/>
      <c r="C23" s="226"/>
      <c r="D23" s="71"/>
    </row>
    <row r="24" spans="1:4" x14ac:dyDescent="0.2">
      <c r="A24" s="345">
        <v>28245</v>
      </c>
      <c r="B24" s="71"/>
      <c r="C24" s="226"/>
      <c r="D24" s="71"/>
    </row>
    <row r="25" spans="1:4" x14ac:dyDescent="0.2">
      <c r="A25" s="345">
        <v>28276</v>
      </c>
      <c r="B25" s="71"/>
      <c r="C25" s="226"/>
      <c r="D25" s="71"/>
    </row>
    <row r="26" spans="1:4" x14ac:dyDescent="0.2">
      <c r="A26" s="345">
        <v>28306</v>
      </c>
      <c r="B26" s="71"/>
      <c r="C26" s="226"/>
      <c r="D26" s="71"/>
    </row>
    <row r="27" spans="1:4" x14ac:dyDescent="0.2">
      <c r="A27" s="345">
        <v>28337</v>
      </c>
      <c r="B27" s="71"/>
      <c r="C27" s="226"/>
      <c r="D27" s="71"/>
    </row>
    <row r="28" spans="1:4" x14ac:dyDescent="0.2">
      <c r="A28" s="345">
        <v>28368</v>
      </c>
      <c r="B28" s="71"/>
      <c r="C28" s="226"/>
      <c r="D28" s="71"/>
    </row>
    <row r="29" spans="1:4" x14ac:dyDescent="0.2">
      <c r="A29" s="345">
        <v>28398</v>
      </c>
      <c r="B29" s="71"/>
      <c r="C29" s="226"/>
      <c r="D29" s="71"/>
    </row>
    <row r="30" spans="1:4" x14ac:dyDescent="0.2">
      <c r="A30" s="345">
        <v>28429</v>
      </c>
      <c r="B30" s="71"/>
      <c r="C30" s="226"/>
      <c r="D30" s="71"/>
    </row>
    <row r="31" spans="1:4" x14ac:dyDescent="0.2">
      <c r="A31" s="345">
        <v>28459</v>
      </c>
      <c r="B31" s="71"/>
      <c r="C31" s="226"/>
      <c r="D31" s="71"/>
    </row>
    <row r="32" spans="1:4" x14ac:dyDescent="0.2">
      <c r="A32" s="345">
        <v>28490</v>
      </c>
      <c r="B32" s="71"/>
      <c r="C32" s="226"/>
      <c r="D32" s="71"/>
    </row>
    <row r="33" spans="1:4" x14ac:dyDescent="0.2">
      <c r="A33" s="345">
        <v>28521</v>
      </c>
      <c r="B33" s="71"/>
      <c r="C33" s="226"/>
      <c r="D33" s="71"/>
    </row>
    <row r="34" spans="1:4" x14ac:dyDescent="0.2">
      <c r="A34" s="345">
        <v>28549</v>
      </c>
      <c r="B34" s="71"/>
      <c r="C34" s="226"/>
      <c r="D34" s="71"/>
    </row>
    <row r="35" spans="1:4" x14ac:dyDescent="0.2">
      <c r="A35" s="345">
        <v>28580</v>
      </c>
      <c r="B35" s="71"/>
      <c r="C35" s="226"/>
      <c r="D35" s="71"/>
    </row>
    <row r="36" spans="1:4" x14ac:dyDescent="0.2">
      <c r="A36" s="345">
        <v>28610</v>
      </c>
      <c r="B36" s="71"/>
      <c r="C36" s="226"/>
      <c r="D36" s="71"/>
    </row>
    <row r="37" spans="1:4" x14ac:dyDescent="0.2">
      <c r="A37" s="345">
        <v>28641</v>
      </c>
      <c r="B37" s="71"/>
      <c r="C37" s="226"/>
      <c r="D37" s="71"/>
    </row>
    <row r="38" spans="1:4" x14ac:dyDescent="0.2">
      <c r="A38" s="345">
        <v>28671</v>
      </c>
      <c r="B38" s="71"/>
      <c r="C38" s="226"/>
      <c r="D38" s="71"/>
    </row>
    <row r="39" spans="1:4" x14ac:dyDescent="0.2">
      <c r="A39" s="345">
        <v>28702</v>
      </c>
      <c r="B39" s="71"/>
      <c r="C39" s="226"/>
      <c r="D39" s="71"/>
    </row>
    <row r="40" spans="1:4" x14ac:dyDescent="0.2">
      <c r="A40" s="345">
        <v>28733</v>
      </c>
      <c r="B40" s="71"/>
      <c r="C40" s="226"/>
      <c r="D40" s="71"/>
    </row>
    <row r="41" spans="1:4" x14ac:dyDescent="0.2">
      <c r="A41" s="345">
        <v>28763</v>
      </c>
      <c r="B41" s="71"/>
      <c r="C41" s="226"/>
      <c r="D41" s="71"/>
    </row>
    <row r="42" spans="1:4" x14ac:dyDescent="0.2">
      <c r="A42" s="345">
        <v>28794</v>
      </c>
      <c r="B42" s="71"/>
      <c r="C42" s="226"/>
      <c r="D42" s="71"/>
    </row>
    <row r="43" spans="1:4" x14ac:dyDescent="0.2">
      <c r="A43" s="345">
        <v>28824</v>
      </c>
      <c r="B43" s="71"/>
      <c r="C43" s="226"/>
      <c r="D43" s="71"/>
    </row>
    <row r="44" spans="1:4" x14ac:dyDescent="0.2">
      <c r="A44" s="345">
        <v>28855</v>
      </c>
      <c r="B44" s="71"/>
      <c r="C44" s="226"/>
      <c r="D44" s="71"/>
    </row>
    <row r="45" spans="1:4" x14ac:dyDescent="0.2">
      <c r="A45" s="345">
        <v>28886</v>
      </c>
      <c r="B45" s="71"/>
      <c r="C45" s="226"/>
      <c r="D45" s="71"/>
    </row>
    <row r="46" spans="1:4" x14ac:dyDescent="0.2">
      <c r="A46" s="345">
        <v>28914</v>
      </c>
      <c r="B46" s="71"/>
      <c r="C46" s="226"/>
      <c r="D46" s="71"/>
    </row>
    <row r="47" spans="1:4" x14ac:dyDescent="0.2">
      <c r="A47" s="345">
        <v>28945</v>
      </c>
      <c r="B47" s="71"/>
      <c r="C47" s="226"/>
      <c r="D47" s="71"/>
    </row>
    <row r="48" spans="1:4" x14ac:dyDescent="0.2">
      <c r="A48" s="345">
        <v>28975</v>
      </c>
      <c r="B48" s="71"/>
      <c r="C48" s="226"/>
      <c r="D48" s="71"/>
    </row>
    <row r="49" spans="1:4" x14ac:dyDescent="0.2">
      <c r="A49" s="345">
        <v>29006</v>
      </c>
      <c r="B49" s="71"/>
      <c r="C49" s="226"/>
      <c r="D49" s="71"/>
    </row>
    <row r="50" spans="1:4" x14ac:dyDescent="0.2">
      <c r="A50" s="345">
        <v>29036</v>
      </c>
      <c r="B50" s="71"/>
      <c r="C50" s="226"/>
      <c r="D50" s="71"/>
    </row>
    <row r="51" spans="1:4" x14ac:dyDescent="0.2">
      <c r="A51" s="345">
        <v>29067</v>
      </c>
      <c r="B51" s="71"/>
      <c r="C51" s="226"/>
      <c r="D51" s="71"/>
    </row>
    <row r="52" spans="1:4" x14ac:dyDescent="0.2">
      <c r="A52" s="345">
        <v>29098</v>
      </c>
      <c r="B52" s="71"/>
      <c r="C52" s="226"/>
      <c r="D52" s="71"/>
    </row>
    <row r="53" spans="1:4" x14ac:dyDescent="0.2">
      <c r="A53" s="345">
        <v>29128</v>
      </c>
      <c r="B53" s="71"/>
      <c r="C53" s="226"/>
      <c r="D53" s="71"/>
    </row>
    <row r="54" spans="1:4" x14ac:dyDescent="0.2">
      <c r="A54" s="345">
        <v>29159</v>
      </c>
      <c r="B54" s="71"/>
      <c r="C54" s="226"/>
      <c r="D54" s="71"/>
    </row>
    <row r="55" spans="1:4" x14ac:dyDescent="0.2">
      <c r="A55" s="345">
        <v>29189</v>
      </c>
      <c r="B55" s="71"/>
      <c r="C55" s="226"/>
      <c r="D55" s="71"/>
    </row>
    <row r="56" spans="1:4" x14ac:dyDescent="0.2">
      <c r="A56" s="345">
        <v>29220</v>
      </c>
      <c r="B56" s="71"/>
      <c r="C56" s="226"/>
      <c r="D56" s="71"/>
    </row>
    <row r="57" spans="1:4" x14ac:dyDescent="0.2">
      <c r="A57" s="345">
        <v>29251</v>
      </c>
      <c r="B57" s="71"/>
      <c r="C57" s="226"/>
      <c r="D57" s="71"/>
    </row>
    <row r="58" spans="1:4" x14ac:dyDescent="0.2">
      <c r="A58" s="345">
        <v>29280</v>
      </c>
      <c r="B58" s="71"/>
      <c r="C58" s="226"/>
      <c r="D58" s="71"/>
    </row>
    <row r="59" spans="1:4" x14ac:dyDescent="0.2">
      <c r="A59" s="345">
        <v>29311</v>
      </c>
      <c r="B59" s="71"/>
      <c r="C59" s="226"/>
      <c r="D59" s="71"/>
    </row>
    <row r="60" spans="1:4" x14ac:dyDescent="0.2">
      <c r="A60" s="345">
        <v>29341</v>
      </c>
      <c r="B60" s="71"/>
      <c r="C60" s="226"/>
      <c r="D60" s="71"/>
    </row>
    <row r="61" spans="1:4" x14ac:dyDescent="0.2">
      <c r="A61" s="345">
        <v>29372</v>
      </c>
      <c r="B61" s="71"/>
      <c r="C61" s="226"/>
      <c r="D61" s="71"/>
    </row>
    <row r="62" spans="1:4" x14ac:dyDescent="0.2">
      <c r="A62" s="345">
        <v>29402</v>
      </c>
      <c r="B62" s="71"/>
      <c r="C62" s="226"/>
      <c r="D62" s="71"/>
    </row>
    <row r="63" spans="1:4" x14ac:dyDescent="0.2">
      <c r="A63" s="345">
        <v>29433</v>
      </c>
      <c r="B63" s="71"/>
      <c r="C63" s="226"/>
      <c r="D63" s="71"/>
    </row>
    <row r="64" spans="1:4" x14ac:dyDescent="0.2">
      <c r="A64" s="345">
        <v>29464</v>
      </c>
      <c r="B64" s="71"/>
      <c r="C64" s="226"/>
      <c r="D64" s="71"/>
    </row>
    <row r="65" spans="1:4" x14ac:dyDescent="0.2">
      <c r="A65" s="345">
        <v>29494</v>
      </c>
      <c r="B65" s="71"/>
      <c r="C65" s="226"/>
      <c r="D65" s="71"/>
    </row>
    <row r="66" spans="1:4" x14ac:dyDescent="0.2">
      <c r="A66" s="345">
        <v>29525</v>
      </c>
      <c r="B66" s="71"/>
      <c r="C66" s="226"/>
      <c r="D66" s="71"/>
    </row>
    <row r="67" spans="1:4" x14ac:dyDescent="0.2">
      <c r="A67" s="345">
        <v>29555</v>
      </c>
      <c r="B67" s="71"/>
      <c r="C67" s="226"/>
      <c r="D67" s="71"/>
    </row>
    <row r="68" spans="1:4" x14ac:dyDescent="0.2">
      <c r="A68" s="345">
        <v>29586</v>
      </c>
      <c r="B68" s="71"/>
      <c r="C68" s="226"/>
      <c r="D68" s="71"/>
    </row>
    <row r="69" spans="1:4" x14ac:dyDescent="0.2">
      <c r="A69" s="345">
        <v>29617</v>
      </c>
      <c r="B69" s="71"/>
      <c r="C69" s="226"/>
      <c r="D69" s="71"/>
    </row>
    <row r="70" spans="1:4" x14ac:dyDescent="0.2">
      <c r="A70" s="345">
        <v>29645</v>
      </c>
      <c r="B70" s="71"/>
      <c r="C70" s="226"/>
      <c r="D70" s="71"/>
    </row>
    <row r="71" spans="1:4" x14ac:dyDescent="0.2">
      <c r="A71" s="345">
        <v>29676</v>
      </c>
      <c r="B71" s="71"/>
      <c r="C71" s="226"/>
      <c r="D71" s="71"/>
    </row>
    <row r="72" spans="1:4" x14ac:dyDescent="0.2">
      <c r="A72" s="345">
        <v>29706</v>
      </c>
      <c r="B72" s="71"/>
      <c r="C72" s="226"/>
      <c r="D72" s="71"/>
    </row>
    <row r="73" spans="1:4" x14ac:dyDescent="0.2">
      <c r="A73" s="345">
        <v>29737</v>
      </c>
      <c r="B73" s="71"/>
      <c r="C73" s="226"/>
      <c r="D73" s="71"/>
    </row>
    <row r="74" spans="1:4" x14ac:dyDescent="0.2">
      <c r="A74" s="345">
        <v>29767</v>
      </c>
      <c r="B74" s="71"/>
      <c r="C74" s="226"/>
      <c r="D74" s="71"/>
    </row>
    <row r="75" spans="1:4" x14ac:dyDescent="0.2">
      <c r="A75" s="345">
        <v>29798</v>
      </c>
      <c r="B75" s="71"/>
      <c r="C75" s="226"/>
      <c r="D75" s="71"/>
    </row>
    <row r="76" spans="1:4" x14ac:dyDescent="0.2">
      <c r="A76" s="345">
        <v>29829</v>
      </c>
      <c r="B76" s="71"/>
      <c r="C76" s="226"/>
      <c r="D76" s="71"/>
    </row>
    <row r="77" spans="1:4" x14ac:dyDescent="0.2">
      <c r="A77" s="345">
        <v>29859</v>
      </c>
      <c r="B77" s="71"/>
      <c r="C77" s="226"/>
      <c r="D77" s="71"/>
    </row>
    <row r="78" spans="1:4" x14ac:dyDescent="0.2">
      <c r="A78" s="345">
        <v>29890</v>
      </c>
      <c r="B78" s="71"/>
      <c r="C78" s="226"/>
      <c r="D78" s="71"/>
    </row>
    <row r="79" spans="1:4" x14ac:dyDescent="0.2">
      <c r="A79" s="345">
        <v>29920</v>
      </c>
      <c r="B79" s="71"/>
      <c r="C79" s="226"/>
      <c r="D79" s="71"/>
    </row>
    <row r="80" spans="1:4" x14ac:dyDescent="0.2">
      <c r="A80" s="345">
        <v>29951</v>
      </c>
      <c r="B80" s="71"/>
      <c r="C80" s="226"/>
      <c r="D80" s="71"/>
    </row>
    <row r="81" spans="1:4" x14ac:dyDescent="0.2">
      <c r="A81" s="345">
        <v>29982</v>
      </c>
      <c r="B81" s="71"/>
      <c r="C81" s="226"/>
      <c r="D81" s="71"/>
    </row>
    <row r="82" spans="1:4" x14ac:dyDescent="0.2">
      <c r="A82" s="345">
        <v>30010</v>
      </c>
      <c r="B82" s="71"/>
      <c r="C82" s="226"/>
      <c r="D82" s="71"/>
    </row>
    <row r="83" spans="1:4" x14ac:dyDescent="0.2">
      <c r="A83" s="345">
        <v>30041</v>
      </c>
      <c r="B83" s="71"/>
      <c r="C83" s="226"/>
      <c r="D83" s="71"/>
    </row>
    <row r="84" spans="1:4" x14ac:dyDescent="0.2">
      <c r="A84" s="345">
        <v>30071</v>
      </c>
      <c r="B84" s="71"/>
      <c r="C84" s="226"/>
      <c r="D84" s="71"/>
    </row>
    <row r="85" spans="1:4" x14ac:dyDescent="0.2">
      <c r="A85" s="345">
        <v>30102</v>
      </c>
      <c r="B85" s="71"/>
      <c r="C85" s="226"/>
      <c r="D85" s="71"/>
    </row>
    <row r="86" spans="1:4" x14ac:dyDescent="0.2">
      <c r="A86" s="345">
        <v>30132</v>
      </c>
      <c r="B86" s="71"/>
      <c r="C86" s="226"/>
      <c r="D86" s="71"/>
    </row>
    <row r="87" spans="1:4" x14ac:dyDescent="0.2">
      <c r="A87" s="345">
        <v>30163</v>
      </c>
      <c r="B87" s="71"/>
      <c r="C87" s="226"/>
      <c r="D87" s="71"/>
    </row>
    <row r="88" spans="1:4" x14ac:dyDescent="0.2">
      <c r="A88" s="345">
        <v>30194</v>
      </c>
      <c r="B88" s="71"/>
      <c r="C88" s="226"/>
      <c r="D88" s="71"/>
    </row>
    <row r="89" spans="1:4" x14ac:dyDescent="0.2">
      <c r="A89" s="345">
        <v>30224</v>
      </c>
      <c r="B89" s="71"/>
      <c r="C89" s="226"/>
      <c r="D89" s="71"/>
    </row>
    <row r="90" spans="1:4" x14ac:dyDescent="0.2">
      <c r="A90" s="345">
        <v>30255</v>
      </c>
      <c r="B90" s="71"/>
      <c r="C90" s="226"/>
      <c r="D90" s="71"/>
    </row>
    <row r="91" spans="1:4" x14ac:dyDescent="0.2">
      <c r="A91" s="345">
        <v>30285</v>
      </c>
      <c r="B91" s="71"/>
      <c r="C91" s="226"/>
      <c r="D91" s="71"/>
    </row>
    <row r="92" spans="1:4" x14ac:dyDescent="0.2">
      <c r="A92" s="345">
        <v>30316</v>
      </c>
      <c r="B92" s="71"/>
      <c r="C92" s="226"/>
      <c r="D92" s="71"/>
    </row>
    <row r="93" spans="1:4" x14ac:dyDescent="0.2">
      <c r="A93" s="345">
        <v>30347</v>
      </c>
      <c r="B93" s="71"/>
      <c r="C93" s="226"/>
      <c r="D93" s="71"/>
    </row>
    <row r="94" spans="1:4" x14ac:dyDescent="0.2">
      <c r="A94" s="345">
        <v>30375</v>
      </c>
      <c r="B94" s="71"/>
      <c r="C94" s="226"/>
      <c r="D94" s="71"/>
    </row>
    <row r="95" spans="1:4" x14ac:dyDescent="0.2">
      <c r="A95" s="345">
        <v>30406</v>
      </c>
      <c r="B95" s="71"/>
      <c r="C95" s="226"/>
      <c r="D95" s="71"/>
    </row>
    <row r="96" spans="1:4" x14ac:dyDescent="0.2">
      <c r="A96" s="345">
        <v>30436</v>
      </c>
      <c r="B96" s="71"/>
      <c r="C96" s="226"/>
      <c r="D96" s="71"/>
    </row>
    <row r="97" spans="1:4" x14ac:dyDescent="0.2">
      <c r="A97" s="345">
        <v>30467</v>
      </c>
      <c r="B97" s="71"/>
      <c r="C97" s="226"/>
      <c r="D97" s="71"/>
    </row>
    <row r="98" spans="1:4" x14ac:dyDescent="0.2">
      <c r="A98" s="345">
        <v>30497</v>
      </c>
      <c r="B98" s="71"/>
      <c r="C98" s="226"/>
      <c r="D98" s="71"/>
    </row>
    <row r="99" spans="1:4" x14ac:dyDescent="0.2">
      <c r="A99" s="345">
        <v>30528</v>
      </c>
      <c r="B99" s="71"/>
      <c r="C99" s="226"/>
      <c r="D99" s="71"/>
    </row>
    <row r="100" spans="1:4" x14ac:dyDescent="0.2">
      <c r="A100" s="345">
        <v>30559</v>
      </c>
      <c r="B100" s="71"/>
      <c r="C100" s="226"/>
      <c r="D100" s="71"/>
    </row>
    <row r="101" spans="1:4" x14ac:dyDescent="0.2">
      <c r="A101" s="345">
        <v>30589</v>
      </c>
      <c r="B101" s="71"/>
      <c r="C101" s="226"/>
      <c r="D101" s="71"/>
    </row>
    <row r="102" spans="1:4" x14ac:dyDescent="0.2">
      <c r="A102" s="345">
        <v>30620</v>
      </c>
      <c r="B102" s="71"/>
      <c r="C102" s="226"/>
      <c r="D102" s="71"/>
    </row>
    <row r="103" spans="1:4" x14ac:dyDescent="0.2">
      <c r="A103" s="345">
        <v>30650</v>
      </c>
      <c r="B103" s="71"/>
      <c r="C103" s="226"/>
      <c r="D103" s="71"/>
    </row>
    <row r="104" spans="1:4" x14ac:dyDescent="0.2">
      <c r="A104" s="345">
        <v>30681</v>
      </c>
      <c r="B104" s="71"/>
      <c r="C104" s="226"/>
      <c r="D104" s="71"/>
    </row>
    <row r="105" spans="1:4" x14ac:dyDescent="0.2">
      <c r="A105" s="345">
        <v>30712</v>
      </c>
      <c r="B105" s="71"/>
      <c r="C105" s="226"/>
      <c r="D105" s="71"/>
    </row>
    <row r="106" spans="1:4" x14ac:dyDescent="0.2">
      <c r="A106" s="345">
        <v>30741</v>
      </c>
      <c r="B106" s="71"/>
      <c r="C106" s="226"/>
      <c r="D106" s="71"/>
    </row>
    <row r="107" spans="1:4" x14ac:dyDescent="0.2">
      <c r="A107" s="345">
        <v>30772</v>
      </c>
      <c r="B107" s="71"/>
      <c r="C107" s="226"/>
      <c r="D107" s="71"/>
    </row>
    <row r="108" spans="1:4" x14ac:dyDescent="0.2">
      <c r="A108" s="345">
        <v>30802</v>
      </c>
      <c r="B108" s="71"/>
      <c r="C108" s="226"/>
      <c r="D108" s="71"/>
    </row>
    <row r="109" spans="1:4" x14ac:dyDescent="0.2">
      <c r="A109" s="345">
        <v>30833</v>
      </c>
      <c r="B109" s="71"/>
      <c r="C109" s="226"/>
      <c r="D109" s="71"/>
    </row>
    <row r="110" spans="1:4" x14ac:dyDescent="0.2">
      <c r="A110" s="345">
        <v>30863</v>
      </c>
      <c r="B110" s="71"/>
      <c r="C110" s="226"/>
      <c r="D110" s="71"/>
    </row>
    <row r="111" spans="1:4" x14ac:dyDescent="0.2">
      <c r="A111" s="345">
        <v>30894</v>
      </c>
      <c r="B111" s="71"/>
      <c r="C111" s="226"/>
      <c r="D111" s="71"/>
    </row>
    <row r="112" spans="1:4" x14ac:dyDescent="0.2">
      <c r="A112" s="345">
        <v>30925</v>
      </c>
      <c r="B112" s="71"/>
      <c r="C112" s="226"/>
      <c r="D112" s="71"/>
    </row>
    <row r="113" spans="1:4" x14ac:dyDescent="0.2">
      <c r="A113" s="345">
        <v>30955</v>
      </c>
      <c r="B113" s="71"/>
      <c r="C113" s="226"/>
      <c r="D113" s="71"/>
    </row>
    <row r="114" spans="1:4" x14ac:dyDescent="0.2">
      <c r="A114" s="345">
        <v>30986</v>
      </c>
      <c r="B114" s="71"/>
      <c r="C114" s="226"/>
      <c r="D114" s="71"/>
    </row>
    <row r="115" spans="1:4" x14ac:dyDescent="0.2">
      <c r="A115" s="345">
        <v>31016</v>
      </c>
      <c r="B115" s="71"/>
      <c r="C115" s="226"/>
      <c r="D115" s="71"/>
    </row>
    <row r="116" spans="1:4" x14ac:dyDescent="0.2">
      <c r="A116" s="345">
        <v>31047</v>
      </c>
      <c r="B116" s="71"/>
      <c r="C116" s="226"/>
      <c r="D116" s="71"/>
    </row>
    <row r="117" spans="1:4" x14ac:dyDescent="0.2">
      <c r="A117" s="345">
        <v>31078</v>
      </c>
      <c r="B117" s="71"/>
      <c r="C117" s="226"/>
      <c r="D117" s="71"/>
    </row>
    <row r="118" spans="1:4" x14ac:dyDescent="0.2">
      <c r="A118" s="345">
        <v>31106</v>
      </c>
      <c r="B118" s="71"/>
      <c r="C118" s="226"/>
      <c r="D118" s="71"/>
    </row>
    <row r="119" spans="1:4" x14ac:dyDescent="0.2">
      <c r="A119" s="345">
        <v>31137</v>
      </c>
      <c r="B119" s="71"/>
      <c r="C119" s="226"/>
      <c r="D119" s="71"/>
    </row>
    <row r="120" spans="1:4" x14ac:dyDescent="0.2">
      <c r="A120" s="345">
        <v>31167</v>
      </c>
      <c r="B120" s="71"/>
      <c r="C120" s="226"/>
      <c r="D120" s="71"/>
    </row>
    <row r="121" spans="1:4" x14ac:dyDescent="0.2">
      <c r="A121" s="345">
        <v>31198</v>
      </c>
      <c r="B121" s="71"/>
      <c r="C121" s="226"/>
      <c r="D121" s="71"/>
    </row>
    <row r="122" spans="1:4" x14ac:dyDescent="0.2">
      <c r="A122" s="345">
        <v>31228</v>
      </c>
      <c r="B122" s="71"/>
      <c r="C122" s="226"/>
      <c r="D122" s="71"/>
    </row>
    <row r="123" spans="1:4" x14ac:dyDescent="0.2">
      <c r="A123" s="345">
        <v>31259</v>
      </c>
      <c r="B123" s="71"/>
      <c r="C123" s="226"/>
      <c r="D123" s="71"/>
    </row>
    <row r="124" spans="1:4" x14ac:dyDescent="0.2">
      <c r="A124" s="345">
        <v>31290</v>
      </c>
      <c r="B124" s="71"/>
      <c r="C124" s="226"/>
      <c r="D124" s="71"/>
    </row>
    <row r="125" spans="1:4" x14ac:dyDescent="0.2">
      <c r="A125" s="345">
        <v>31320</v>
      </c>
      <c r="B125" s="71"/>
      <c r="C125" s="226"/>
      <c r="D125" s="71"/>
    </row>
    <row r="126" spans="1:4" x14ac:dyDescent="0.2">
      <c r="A126" s="345">
        <v>31351</v>
      </c>
      <c r="B126" s="71"/>
      <c r="C126" s="226"/>
      <c r="D126" s="71"/>
    </row>
    <row r="127" spans="1:4" x14ac:dyDescent="0.2">
      <c r="A127" s="345">
        <v>31381</v>
      </c>
      <c r="B127" s="71"/>
      <c r="C127" s="226"/>
      <c r="D127" s="71"/>
    </row>
    <row r="128" spans="1:4" x14ac:dyDescent="0.2">
      <c r="A128" s="345">
        <v>31412</v>
      </c>
      <c r="B128" s="71"/>
      <c r="C128" s="226"/>
      <c r="D128" s="71"/>
    </row>
    <row r="129" spans="1:4" x14ac:dyDescent="0.2">
      <c r="A129" s="345">
        <v>31443</v>
      </c>
      <c r="B129" s="71"/>
      <c r="C129" s="226"/>
      <c r="D129" s="71"/>
    </row>
    <row r="130" spans="1:4" x14ac:dyDescent="0.2">
      <c r="A130" s="345">
        <v>31471</v>
      </c>
      <c r="B130" s="71"/>
      <c r="C130" s="226"/>
      <c r="D130" s="71"/>
    </row>
    <row r="131" spans="1:4" x14ac:dyDescent="0.2">
      <c r="A131" s="345">
        <v>31502</v>
      </c>
      <c r="B131" s="71"/>
      <c r="C131" s="226"/>
      <c r="D131" s="71"/>
    </row>
    <row r="132" spans="1:4" x14ac:dyDescent="0.2">
      <c r="A132" s="345">
        <v>31532</v>
      </c>
      <c r="B132" s="71"/>
      <c r="C132" s="226"/>
      <c r="D132" s="71"/>
    </row>
    <row r="133" spans="1:4" x14ac:dyDescent="0.2">
      <c r="A133" s="345">
        <v>31563</v>
      </c>
      <c r="B133" s="71"/>
      <c r="C133" s="226"/>
      <c r="D133" s="71"/>
    </row>
    <row r="134" spans="1:4" x14ac:dyDescent="0.2">
      <c r="A134" s="345">
        <v>31593</v>
      </c>
      <c r="B134" s="71"/>
      <c r="C134" s="226"/>
      <c r="D134" s="71"/>
    </row>
    <row r="135" spans="1:4" x14ac:dyDescent="0.2">
      <c r="A135" s="345">
        <v>31624</v>
      </c>
      <c r="B135" s="71"/>
      <c r="C135" s="226"/>
      <c r="D135" s="71"/>
    </row>
    <row r="136" spans="1:4" x14ac:dyDescent="0.2">
      <c r="A136" s="345">
        <v>31655</v>
      </c>
      <c r="B136" s="71"/>
      <c r="C136" s="226"/>
      <c r="D136" s="71"/>
    </row>
    <row r="137" spans="1:4" x14ac:dyDescent="0.2">
      <c r="A137" s="345">
        <v>31685</v>
      </c>
      <c r="B137" s="71"/>
      <c r="C137" s="226"/>
      <c r="D137" s="71"/>
    </row>
    <row r="138" spans="1:4" x14ac:dyDescent="0.2">
      <c r="A138" s="345">
        <v>31716</v>
      </c>
      <c r="B138" s="71"/>
      <c r="C138" s="226"/>
      <c r="D138" s="71"/>
    </row>
    <row r="139" spans="1:4" x14ac:dyDescent="0.2">
      <c r="A139" s="345">
        <v>31746</v>
      </c>
      <c r="B139" s="71"/>
      <c r="C139" s="226"/>
      <c r="D139" s="71"/>
    </row>
    <row r="140" spans="1:4" x14ac:dyDescent="0.2">
      <c r="A140" s="345">
        <v>31777</v>
      </c>
      <c r="B140" s="71"/>
      <c r="C140" s="226"/>
      <c r="D140" s="71"/>
    </row>
    <row r="141" spans="1:4" x14ac:dyDescent="0.2">
      <c r="A141" s="345">
        <v>31808</v>
      </c>
      <c r="B141" s="73"/>
      <c r="C141" s="25"/>
      <c r="D141" s="73"/>
    </row>
    <row r="142" spans="1:4" x14ac:dyDescent="0.2">
      <c r="A142" s="345">
        <v>31836</v>
      </c>
      <c r="B142" s="73"/>
      <c r="C142" s="25"/>
      <c r="D142" s="73"/>
    </row>
    <row r="143" spans="1:4" x14ac:dyDescent="0.2">
      <c r="A143" s="345">
        <v>31867</v>
      </c>
      <c r="B143" s="73"/>
      <c r="C143" s="25"/>
      <c r="D143" s="73"/>
    </row>
    <row r="144" spans="1:4" x14ac:dyDescent="0.2">
      <c r="A144" s="345">
        <v>31897</v>
      </c>
      <c r="B144" s="73"/>
      <c r="C144" s="25"/>
      <c r="D144" s="73"/>
    </row>
    <row r="145" spans="1:4" x14ac:dyDescent="0.2">
      <c r="A145" s="345">
        <v>31928</v>
      </c>
      <c r="B145" s="73"/>
      <c r="C145" s="25"/>
      <c r="D145" s="73"/>
    </row>
    <row r="146" spans="1:4" x14ac:dyDescent="0.2">
      <c r="A146" s="345">
        <v>31958</v>
      </c>
      <c r="B146" s="73"/>
      <c r="C146" s="25"/>
      <c r="D146" s="73"/>
    </row>
    <row r="147" spans="1:4" x14ac:dyDescent="0.2">
      <c r="A147" s="345">
        <v>31989</v>
      </c>
      <c r="B147" s="73"/>
      <c r="C147" s="25"/>
      <c r="D147" s="73"/>
    </row>
    <row r="148" spans="1:4" x14ac:dyDescent="0.2">
      <c r="A148" s="345">
        <v>32020</v>
      </c>
      <c r="B148" s="73"/>
      <c r="C148" s="25"/>
      <c r="D148" s="73"/>
    </row>
    <row r="149" spans="1:4" x14ac:dyDescent="0.2">
      <c r="A149" s="345">
        <v>32050</v>
      </c>
      <c r="B149" s="73"/>
      <c r="C149" s="25"/>
      <c r="D149" s="73"/>
    </row>
    <row r="150" spans="1:4" x14ac:dyDescent="0.2">
      <c r="A150" s="345">
        <v>32081</v>
      </c>
      <c r="B150" s="73"/>
      <c r="C150" s="25"/>
      <c r="D150" s="73"/>
    </row>
    <row r="151" spans="1:4" x14ac:dyDescent="0.2">
      <c r="A151" s="345">
        <v>32111</v>
      </c>
      <c r="B151" s="73"/>
      <c r="C151" s="25"/>
      <c r="D151" s="73"/>
    </row>
    <row r="152" spans="1:4" x14ac:dyDescent="0.2">
      <c r="A152" s="345">
        <v>32142</v>
      </c>
      <c r="B152" s="73"/>
      <c r="C152" s="25"/>
      <c r="D152" s="73"/>
    </row>
    <row r="153" spans="1:4" x14ac:dyDescent="0.2">
      <c r="A153" s="345">
        <v>32173</v>
      </c>
      <c r="B153" s="73"/>
      <c r="C153" s="25"/>
      <c r="D153" s="73"/>
    </row>
    <row r="154" spans="1:4" x14ac:dyDescent="0.2">
      <c r="A154" s="345">
        <v>32202</v>
      </c>
      <c r="B154" s="73"/>
      <c r="C154" s="25"/>
      <c r="D154" s="73"/>
    </row>
    <row r="155" spans="1:4" x14ac:dyDescent="0.2">
      <c r="A155" s="345">
        <v>32233</v>
      </c>
      <c r="B155" s="73"/>
      <c r="C155" s="25"/>
      <c r="D155" s="73"/>
    </row>
    <row r="156" spans="1:4" x14ac:dyDescent="0.2">
      <c r="A156" s="345">
        <v>32263</v>
      </c>
      <c r="B156" s="73"/>
      <c r="C156" s="25"/>
      <c r="D156" s="73"/>
    </row>
    <row r="157" spans="1:4" x14ac:dyDescent="0.2">
      <c r="A157" s="345">
        <v>32294</v>
      </c>
      <c r="B157" s="73"/>
      <c r="C157" s="25"/>
      <c r="D157" s="73"/>
    </row>
    <row r="158" spans="1:4" x14ac:dyDescent="0.2">
      <c r="A158" s="345">
        <v>32324</v>
      </c>
      <c r="B158" s="73"/>
      <c r="C158" s="25"/>
      <c r="D158" s="73"/>
    </row>
    <row r="159" spans="1:4" x14ac:dyDescent="0.2">
      <c r="A159" s="345">
        <v>32355</v>
      </c>
      <c r="B159" s="73"/>
      <c r="C159" s="25"/>
      <c r="D159" s="73"/>
    </row>
    <row r="160" spans="1:4" x14ac:dyDescent="0.2">
      <c r="A160" s="345">
        <v>32386</v>
      </c>
      <c r="B160" s="73"/>
      <c r="C160" s="25"/>
      <c r="D160" s="73"/>
    </row>
    <row r="161" spans="1:4" x14ac:dyDescent="0.2">
      <c r="A161" s="345">
        <v>32416</v>
      </c>
      <c r="B161" s="73"/>
      <c r="C161" s="25"/>
      <c r="D161" s="73"/>
    </row>
    <row r="162" spans="1:4" x14ac:dyDescent="0.2">
      <c r="A162" s="345">
        <v>32447</v>
      </c>
      <c r="B162" s="73"/>
      <c r="C162" s="25"/>
      <c r="D162" s="73"/>
    </row>
    <row r="163" spans="1:4" x14ac:dyDescent="0.2">
      <c r="A163" s="345">
        <v>32477</v>
      </c>
      <c r="B163" s="73"/>
      <c r="C163" s="25"/>
      <c r="D163" s="73"/>
    </row>
    <row r="164" spans="1:4" x14ac:dyDescent="0.2">
      <c r="A164" s="345">
        <v>32508</v>
      </c>
      <c r="B164" s="73"/>
      <c r="C164" s="25"/>
      <c r="D164" s="73"/>
    </row>
    <row r="165" spans="1:4" x14ac:dyDescent="0.2">
      <c r="A165" s="345">
        <v>32539</v>
      </c>
      <c r="B165" s="73"/>
      <c r="C165" s="25"/>
      <c r="D165" s="73"/>
    </row>
    <row r="166" spans="1:4" x14ac:dyDescent="0.2">
      <c r="A166" s="345">
        <v>32567</v>
      </c>
      <c r="B166" s="73"/>
      <c r="C166" s="25"/>
      <c r="D166" s="73"/>
    </row>
    <row r="167" spans="1:4" x14ac:dyDescent="0.2">
      <c r="A167" s="345">
        <v>32598</v>
      </c>
      <c r="B167" s="73"/>
      <c r="C167" s="25"/>
      <c r="D167" s="73"/>
    </row>
    <row r="168" spans="1:4" x14ac:dyDescent="0.2">
      <c r="A168" s="345">
        <v>32628</v>
      </c>
      <c r="B168" s="73"/>
      <c r="C168" s="25"/>
      <c r="D168" s="73"/>
    </row>
    <row r="169" spans="1:4" x14ac:dyDescent="0.2">
      <c r="A169" s="345">
        <v>32659</v>
      </c>
      <c r="B169" s="73"/>
      <c r="C169" s="25"/>
      <c r="D169" s="73"/>
    </row>
    <row r="170" spans="1:4" x14ac:dyDescent="0.2">
      <c r="A170" s="345">
        <v>32689</v>
      </c>
      <c r="B170" s="73"/>
      <c r="C170" s="25"/>
      <c r="D170" s="73"/>
    </row>
    <row r="171" spans="1:4" x14ac:dyDescent="0.2">
      <c r="A171" s="345">
        <v>32720</v>
      </c>
      <c r="B171" s="73"/>
      <c r="C171" s="25"/>
      <c r="D171" s="73"/>
    </row>
    <row r="172" spans="1:4" x14ac:dyDescent="0.2">
      <c r="A172" s="345">
        <v>32751</v>
      </c>
      <c r="B172" s="73"/>
      <c r="C172" s="25"/>
      <c r="D172" s="73"/>
    </row>
    <row r="173" spans="1:4" x14ac:dyDescent="0.2">
      <c r="A173" s="345">
        <v>32781</v>
      </c>
      <c r="B173" s="73"/>
      <c r="C173" s="25"/>
      <c r="D173" s="73"/>
    </row>
    <row r="174" spans="1:4" x14ac:dyDescent="0.2">
      <c r="A174" s="345">
        <v>32812</v>
      </c>
      <c r="B174" s="73"/>
      <c r="C174" s="25"/>
      <c r="D174" s="73"/>
    </row>
    <row r="175" spans="1:4" x14ac:dyDescent="0.2">
      <c r="A175" s="345">
        <v>32842</v>
      </c>
      <c r="B175" s="73"/>
      <c r="C175" s="25"/>
      <c r="D175" s="73"/>
    </row>
    <row r="176" spans="1:4" x14ac:dyDescent="0.2">
      <c r="A176" s="345">
        <v>32873</v>
      </c>
      <c r="B176" s="73"/>
      <c r="C176" s="25"/>
      <c r="D176" s="73"/>
    </row>
    <row r="177" spans="1:4" x14ac:dyDescent="0.2">
      <c r="A177" s="345">
        <v>32904</v>
      </c>
      <c r="B177" s="73"/>
      <c r="C177" s="25"/>
      <c r="D177" s="73"/>
    </row>
    <row r="178" spans="1:4" x14ac:dyDescent="0.2">
      <c r="A178" s="345">
        <v>32932</v>
      </c>
      <c r="B178" s="73"/>
      <c r="C178" s="25"/>
      <c r="D178" s="73"/>
    </row>
    <row r="179" spans="1:4" x14ac:dyDescent="0.2">
      <c r="A179" s="345">
        <v>32963</v>
      </c>
      <c r="B179" s="73"/>
      <c r="C179" s="25"/>
      <c r="D179" s="73"/>
    </row>
    <row r="180" spans="1:4" x14ac:dyDescent="0.2">
      <c r="A180" s="345">
        <v>32993</v>
      </c>
      <c r="B180" s="73"/>
      <c r="C180" s="25"/>
      <c r="D180" s="73"/>
    </row>
    <row r="181" spans="1:4" x14ac:dyDescent="0.2">
      <c r="A181" s="345">
        <v>33024</v>
      </c>
      <c r="B181" s="73"/>
      <c r="C181" s="25"/>
      <c r="D181" s="73"/>
    </row>
    <row r="182" spans="1:4" x14ac:dyDescent="0.2">
      <c r="A182" s="345">
        <v>33054</v>
      </c>
      <c r="B182" s="73"/>
      <c r="C182" s="25"/>
      <c r="D182" s="73"/>
    </row>
    <row r="183" spans="1:4" x14ac:dyDescent="0.2">
      <c r="A183" s="345">
        <v>33085</v>
      </c>
      <c r="B183" s="73"/>
      <c r="C183" s="25"/>
      <c r="D183" s="73"/>
    </row>
    <row r="184" spans="1:4" x14ac:dyDescent="0.2">
      <c r="A184" s="345">
        <v>33116</v>
      </c>
      <c r="B184" s="73"/>
      <c r="C184" s="25"/>
      <c r="D184" s="73"/>
    </row>
    <row r="185" spans="1:4" x14ac:dyDescent="0.2">
      <c r="A185" s="345">
        <v>33146</v>
      </c>
      <c r="B185" s="73"/>
      <c r="C185" s="25"/>
      <c r="D185" s="73"/>
    </row>
    <row r="186" spans="1:4" x14ac:dyDescent="0.2">
      <c r="A186" s="345">
        <v>33177</v>
      </c>
      <c r="B186" s="73"/>
      <c r="C186" s="25"/>
      <c r="D186" s="73"/>
    </row>
    <row r="187" spans="1:4" x14ac:dyDescent="0.2">
      <c r="A187" s="345">
        <v>33207</v>
      </c>
      <c r="B187" s="73"/>
      <c r="C187" s="25"/>
      <c r="D187" s="73"/>
    </row>
    <row r="188" spans="1:4" x14ac:dyDescent="0.2">
      <c r="A188" s="345">
        <v>33238</v>
      </c>
      <c r="B188" s="73"/>
      <c r="C188" s="25"/>
      <c r="D188" s="73"/>
    </row>
    <row r="189" spans="1:4" x14ac:dyDescent="0.2">
      <c r="A189" s="345">
        <v>33269</v>
      </c>
      <c r="B189" s="73"/>
      <c r="C189" s="25"/>
      <c r="D189" s="73"/>
    </row>
    <row r="190" spans="1:4" x14ac:dyDescent="0.2">
      <c r="A190" s="345">
        <v>33297</v>
      </c>
      <c r="B190" s="73"/>
      <c r="C190" s="25"/>
      <c r="D190" s="73"/>
    </row>
    <row r="191" spans="1:4" x14ac:dyDescent="0.2">
      <c r="A191" s="345">
        <v>33328</v>
      </c>
      <c r="B191" s="73"/>
      <c r="C191" s="25"/>
      <c r="D191" s="73"/>
    </row>
    <row r="192" spans="1:4" x14ac:dyDescent="0.2">
      <c r="A192" s="345">
        <v>33358</v>
      </c>
      <c r="B192" s="73"/>
      <c r="C192" s="25"/>
      <c r="D192" s="73"/>
    </row>
    <row r="193" spans="1:4" x14ac:dyDescent="0.2">
      <c r="A193" s="345">
        <v>33389</v>
      </c>
      <c r="B193" s="73"/>
      <c r="C193" s="25"/>
      <c r="D193" s="73"/>
    </row>
    <row r="194" spans="1:4" x14ac:dyDescent="0.2">
      <c r="A194" s="345">
        <v>33419</v>
      </c>
      <c r="B194" s="73"/>
      <c r="C194" s="25"/>
      <c r="D194" s="73"/>
    </row>
    <row r="195" spans="1:4" x14ac:dyDescent="0.2">
      <c r="A195" s="345">
        <v>33450</v>
      </c>
      <c r="B195" s="73"/>
      <c r="C195" s="25"/>
      <c r="D195" s="73"/>
    </row>
    <row r="196" spans="1:4" x14ac:dyDescent="0.2">
      <c r="A196" s="345">
        <v>33481</v>
      </c>
      <c r="B196" s="73"/>
      <c r="C196" s="25"/>
      <c r="D196" s="73"/>
    </row>
    <row r="197" spans="1:4" x14ac:dyDescent="0.2">
      <c r="A197" s="345">
        <v>33511</v>
      </c>
      <c r="B197" s="73"/>
      <c r="C197" s="25"/>
      <c r="D197" s="73"/>
    </row>
    <row r="198" spans="1:4" x14ac:dyDescent="0.2">
      <c r="A198" s="345">
        <v>33542</v>
      </c>
      <c r="B198" s="73"/>
      <c r="C198" s="25"/>
      <c r="D198" s="73"/>
    </row>
    <row r="199" spans="1:4" x14ac:dyDescent="0.2">
      <c r="A199" s="345">
        <v>33572</v>
      </c>
      <c r="B199" s="73"/>
      <c r="C199" s="25"/>
      <c r="D199" s="73"/>
    </row>
    <row r="200" spans="1:4" x14ac:dyDescent="0.2">
      <c r="A200" s="345">
        <v>33603</v>
      </c>
      <c r="B200" s="73"/>
      <c r="C200" s="25"/>
      <c r="D200" s="73"/>
    </row>
    <row r="201" spans="1:4" x14ac:dyDescent="0.2">
      <c r="A201" s="345">
        <v>33634</v>
      </c>
      <c r="B201" s="73"/>
      <c r="C201" s="25"/>
      <c r="D201" s="73"/>
    </row>
    <row r="202" spans="1:4" x14ac:dyDescent="0.2">
      <c r="A202" s="345">
        <v>33663</v>
      </c>
      <c r="B202" s="73"/>
      <c r="C202" s="25"/>
      <c r="D202" s="73"/>
    </row>
    <row r="203" spans="1:4" x14ac:dyDescent="0.2">
      <c r="A203" s="345">
        <v>33694</v>
      </c>
      <c r="B203" s="73"/>
      <c r="C203" s="25"/>
      <c r="D203" s="73"/>
    </row>
    <row r="204" spans="1:4" x14ac:dyDescent="0.2">
      <c r="A204" s="345">
        <v>33724</v>
      </c>
      <c r="B204" s="73"/>
      <c r="C204" s="25"/>
      <c r="D204" s="73"/>
    </row>
    <row r="205" spans="1:4" x14ac:dyDescent="0.2">
      <c r="A205" s="345">
        <v>33755</v>
      </c>
      <c r="B205" s="73"/>
      <c r="C205" s="25"/>
      <c r="D205" s="73"/>
    </row>
    <row r="206" spans="1:4" x14ac:dyDescent="0.2">
      <c r="A206" s="345">
        <v>33785</v>
      </c>
      <c r="B206" s="73"/>
      <c r="C206" s="25"/>
      <c r="D206" s="73"/>
    </row>
    <row r="207" spans="1:4" x14ac:dyDescent="0.2">
      <c r="A207" s="345">
        <v>33816</v>
      </c>
      <c r="B207" s="73"/>
      <c r="C207" s="25"/>
      <c r="D207" s="73"/>
    </row>
    <row r="208" spans="1:4" x14ac:dyDescent="0.2">
      <c r="A208" s="345">
        <v>33847</v>
      </c>
      <c r="B208" s="73"/>
      <c r="C208" s="25"/>
      <c r="D208" s="73"/>
    </row>
    <row r="209" spans="1:4" x14ac:dyDescent="0.2">
      <c r="A209" s="345">
        <v>33877</v>
      </c>
      <c r="B209" s="73"/>
      <c r="C209" s="25"/>
      <c r="D209" s="73"/>
    </row>
    <row r="210" spans="1:4" x14ac:dyDescent="0.2">
      <c r="A210" s="345">
        <v>33908</v>
      </c>
      <c r="B210" s="73"/>
      <c r="C210" s="25"/>
      <c r="D210" s="73"/>
    </row>
    <row r="211" spans="1:4" x14ac:dyDescent="0.2">
      <c r="A211" s="345">
        <v>33938</v>
      </c>
      <c r="B211" s="73"/>
      <c r="C211" s="25"/>
      <c r="D211" s="73"/>
    </row>
    <row r="212" spans="1:4" x14ac:dyDescent="0.2">
      <c r="A212" s="345">
        <v>33969</v>
      </c>
      <c r="B212" s="73"/>
      <c r="C212" s="25"/>
      <c r="D212" s="73"/>
    </row>
    <row r="213" spans="1:4" x14ac:dyDescent="0.2">
      <c r="A213" s="345">
        <v>34000</v>
      </c>
      <c r="B213" s="73"/>
      <c r="C213" s="25"/>
      <c r="D213" s="73"/>
    </row>
    <row r="214" spans="1:4" x14ac:dyDescent="0.2">
      <c r="A214" s="345">
        <v>34028</v>
      </c>
      <c r="B214" s="73"/>
      <c r="C214" s="25"/>
      <c r="D214" s="73"/>
    </row>
    <row r="215" spans="1:4" x14ac:dyDescent="0.2">
      <c r="A215" s="345">
        <v>34059</v>
      </c>
      <c r="B215" s="73"/>
      <c r="C215" s="25"/>
      <c r="D215" s="73"/>
    </row>
    <row r="216" spans="1:4" x14ac:dyDescent="0.2">
      <c r="A216" s="345">
        <v>34089</v>
      </c>
      <c r="B216" s="73"/>
      <c r="C216" s="25"/>
      <c r="D216" s="73"/>
    </row>
    <row r="217" spans="1:4" x14ac:dyDescent="0.2">
      <c r="A217" s="345">
        <v>34120</v>
      </c>
      <c r="B217" s="73"/>
      <c r="C217" s="25"/>
      <c r="D217" s="73"/>
    </row>
    <row r="218" spans="1:4" x14ac:dyDescent="0.2">
      <c r="A218" s="345">
        <v>34150</v>
      </c>
      <c r="B218" s="73"/>
      <c r="C218" s="25"/>
      <c r="D218" s="73"/>
    </row>
    <row r="219" spans="1:4" x14ac:dyDescent="0.2">
      <c r="A219" s="345">
        <v>34181</v>
      </c>
      <c r="B219" s="73"/>
      <c r="C219" s="25"/>
      <c r="D219" s="73"/>
    </row>
    <row r="220" spans="1:4" x14ac:dyDescent="0.2">
      <c r="A220" s="345">
        <v>34212</v>
      </c>
      <c r="B220" s="73"/>
      <c r="C220" s="25"/>
      <c r="D220" s="73"/>
    </row>
    <row r="221" spans="1:4" x14ac:dyDescent="0.2">
      <c r="A221" s="345">
        <v>34242</v>
      </c>
      <c r="B221" s="73"/>
      <c r="C221" s="25"/>
      <c r="D221" s="73"/>
    </row>
    <row r="222" spans="1:4" x14ac:dyDescent="0.2">
      <c r="A222" s="345">
        <v>34273</v>
      </c>
      <c r="B222" s="73"/>
      <c r="C222" s="25"/>
      <c r="D222" s="73"/>
    </row>
    <row r="223" spans="1:4" x14ac:dyDescent="0.2">
      <c r="A223" s="345">
        <v>34303</v>
      </c>
      <c r="B223" s="73"/>
      <c r="C223" s="25"/>
      <c r="D223" s="73"/>
    </row>
    <row r="224" spans="1:4" x14ac:dyDescent="0.2">
      <c r="A224" s="345">
        <v>34334</v>
      </c>
      <c r="B224" s="73"/>
      <c r="C224" s="25"/>
      <c r="D224" s="73"/>
    </row>
    <row r="225" spans="1:4" x14ac:dyDescent="0.2">
      <c r="A225" s="345">
        <v>34365</v>
      </c>
      <c r="B225" s="73"/>
      <c r="C225" s="25"/>
      <c r="D225" s="73"/>
    </row>
    <row r="226" spans="1:4" x14ac:dyDescent="0.2">
      <c r="A226" s="345">
        <v>34393</v>
      </c>
      <c r="B226" s="73"/>
      <c r="C226" s="25"/>
      <c r="D226" s="73"/>
    </row>
    <row r="227" spans="1:4" x14ac:dyDescent="0.2">
      <c r="A227" s="345">
        <v>34424</v>
      </c>
      <c r="B227" s="73"/>
      <c r="C227" s="25"/>
      <c r="D227" s="73"/>
    </row>
    <row r="228" spans="1:4" x14ac:dyDescent="0.2">
      <c r="A228" s="345">
        <v>34454</v>
      </c>
      <c r="B228" s="73"/>
      <c r="C228" s="25"/>
      <c r="D228" s="73"/>
    </row>
    <row r="229" spans="1:4" x14ac:dyDescent="0.2">
      <c r="A229" s="345">
        <v>34485</v>
      </c>
      <c r="B229" s="73"/>
      <c r="C229" s="25"/>
      <c r="D229" s="73"/>
    </row>
    <row r="230" spans="1:4" x14ac:dyDescent="0.2">
      <c r="A230" s="345">
        <v>34515</v>
      </c>
      <c r="B230" s="73"/>
      <c r="C230" s="25"/>
      <c r="D230" s="73"/>
    </row>
    <row r="231" spans="1:4" x14ac:dyDescent="0.2">
      <c r="A231" s="345">
        <v>34546</v>
      </c>
      <c r="B231" s="73"/>
      <c r="C231" s="25"/>
      <c r="D231" s="73"/>
    </row>
    <row r="232" spans="1:4" x14ac:dyDescent="0.2">
      <c r="A232" s="345">
        <v>34577</v>
      </c>
      <c r="B232" s="73"/>
      <c r="C232" s="25"/>
      <c r="D232" s="73"/>
    </row>
    <row r="233" spans="1:4" x14ac:dyDescent="0.2">
      <c r="A233" s="345">
        <v>34607</v>
      </c>
      <c r="B233" s="73"/>
      <c r="C233" s="25"/>
      <c r="D233" s="73"/>
    </row>
    <row r="234" spans="1:4" x14ac:dyDescent="0.2">
      <c r="A234" s="345">
        <v>34638</v>
      </c>
      <c r="B234" s="73"/>
      <c r="C234" s="25"/>
      <c r="D234" s="73"/>
    </row>
    <row r="235" spans="1:4" x14ac:dyDescent="0.2">
      <c r="A235" s="345">
        <v>34668</v>
      </c>
      <c r="B235" s="73"/>
      <c r="C235" s="25"/>
      <c r="D235" s="73"/>
    </row>
    <row r="236" spans="1:4" x14ac:dyDescent="0.2">
      <c r="A236" s="345">
        <v>34699</v>
      </c>
      <c r="B236" s="73"/>
      <c r="C236" s="25"/>
      <c r="D236" s="73"/>
    </row>
    <row r="237" spans="1:4" x14ac:dyDescent="0.2">
      <c r="A237" s="345">
        <v>34730</v>
      </c>
      <c r="B237" s="73"/>
      <c r="C237" s="25"/>
      <c r="D237" s="73"/>
    </row>
    <row r="238" spans="1:4" x14ac:dyDescent="0.2">
      <c r="A238" s="345">
        <v>34758</v>
      </c>
      <c r="B238" s="73"/>
      <c r="C238" s="25"/>
      <c r="D238" s="73"/>
    </row>
    <row r="239" spans="1:4" x14ac:dyDescent="0.2">
      <c r="A239" s="345">
        <v>34789</v>
      </c>
      <c r="B239" s="73"/>
      <c r="C239" s="25"/>
      <c r="D239" s="73"/>
    </row>
    <row r="240" spans="1:4" x14ac:dyDescent="0.2">
      <c r="A240" s="345">
        <v>34819</v>
      </c>
      <c r="B240" s="73"/>
      <c r="C240" s="25"/>
      <c r="D240" s="73"/>
    </row>
    <row r="241" spans="1:4" x14ac:dyDescent="0.2">
      <c r="A241" s="345">
        <v>34850</v>
      </c>
      <c r="B241" s="73"/>
      <c r="C241" s="25"/>
      <c r="D241" s="73"/>
    </row>
    <row r="242" spans="1:4" x14ac:dyDescent="0.2">
      <c r="A242" s="345">
        <v>34880</v>
      </c>
      <c r="B242" s="73"/>
      <c r="C242" s="25"/>
      <c r="D242" s="73"/>
    </row>
    <row r="243" spans="1:4" x14ac:dyDescent="0.2">
      <c r="A243" s="345">
        <v>34911</v>
      </c>
      <c r="B243" s="73"/>
      <c r="C243" s="25"/>
      <c r="D243" s="73"/>
    </row>
    <row r="244" spans="1:4" x14ac:dyDescent="0.2">
      <c r="A244" s="345">
        <v>34942</v>
      </c>
      <c r="B244" s="73"/>
      <c r="C244" s="25"/>
      <c r="D244" s="73"/>
    </row>
    <row r="245" spans="1:4" x14ac:dyDescent="0.2">
      <c r="A245" s="345">
        <v>34972</v>
      </c>
      <c r="B245" s="73"/>
      <c r="C245" s="25"/>
      <c r="D245" s="73"/>
    </row>
    <row r="246" spans="1:4" x14ac:dyDescent="0.2">
      <c r="A246" s="345">
        <v>35003</v>
      </c>
      <c r="B246" s="73"/>
      <c r="C246" s="25"/>
      <c r="D246" s="73"/>
    </row>
    <row r="247" spans="1:4" x14ac:dyDescent="0.2">
      <c r="A247" s="345">
        <v>35033</v>
      </c>
      <c r="B247" s="73"/>
      <c r="C247" s="25"/>
      <c r="D247" s="73"/>
    </row>
    <row r="248" spans="1:4" x14ac:dyDescent="0.2">
      <c r="A248" s="345">
        <v>35064</v>
      </c>
      <c r="B248" s="73"/>
      <c r="C248" s="25"/>
      <c r="D248" s="73"/>
    </row>
    <row r="249" spans="1:4" x14ac:dyDescent="0.2">
      <c r="A249" s="345">
        <v>35095</v>
      </c>
      <c r="B249" s="73"/>
      <c r="C249" s="25"/>
      <c r="D249" s="73"/>
    </row>
    <row r="250" spans="1:4" x14ac:dyDescent="0.2">
      <c r="A250" s="345">
        <v>35124</v>
      </c>
      <c r="B250" s="73"/>
      <c r="C250" s="25"/>
      <c r="D250" s="73"/>
    </row>
    <row r="251" spans="1:4" x14ac:dyDescent="0.2">
      <c r="A251" s="345">
        <v>35155</v>
      </c>
      <c r="B251" s="73"/>
      <c r="C251" s="25"/>
      <c r="D251" s="73"/>
    </row>
    <row r="252" spans="1:4" x14ac:dyDescent="0.2">
      <c r="A252" s="345">
        <v>35185</v>
      </c>
      <c r="B252" s="73"/>
      <c r="C252" s="25"/>
      <c r="D252" s="73"/>
    </row>
    <row r="253" spans="1:4" x14ac:dyDescent="0.2">
      <c r="A253" s="345">
        <v>35216</v>
      </c>
      <c r="B253" s="73"/>
      <c r="C253" s="25"/>
      <c r="D253" s="73"/>
    </row>
    <row r="254" spans="1:4" x14ac:dyDescent="0.2">
      <c r="A254" s="345">
        <v>35246</v>
      </c>
      <c r="B254" s="73"/>
      <c r="C254" s="25"/>
      <c r="D254" s="73"/>
    </row>
    <row r="255" spans="1:4" x14ac:dyDescent="0.2">
      <c r="A255" s="345">
        <v>35277</v>
      </c>
      <c r="B255" s="73"/>
      <c r="C255" s="25"/>
      <c r="D255" s="73"/>
    </row>
    <row r="256" spans="1:4" x14ac:dyDescent="0.2">
      <c r="A256" s="345">
        <v>35308</v>
      </c>
      <c r="B256" s="73"/>
      <c r="C256" s="25"/>
      <c r="D256" s="73"/>
    </row>
    <row r="257" spans="1:4" x14ac:dyDescent="0.2">
      <c r="A257" s="345">
        <v>35338</v>
      </c>
      <c r="B257" s="73"/>
      <c r="C257" s="25"/>
      <c r="D257" s="73"/>
    </row>
    <row r="258" spans="1:4" x14ac:dyDescent="0.2">
      <c r="A258" s="345">
        <v>35369</v>
      </c>
      <c r="B258" s="73"/>
      <c r="C258" s="25"/>
      <c r="D258" s="73"/>
    </row>
    <row r="259" spans="1:4" x14ac:dyDescent="0.2">
      <c r="A259" s="345">
        <v>35399</v>
      </c>
      <c r="B259" s="73"/>
      <c r="C259" s="25"/>
      <c r="D259" s="73"/>
    </row>
    <row r="260" spans="1:4" x14ac:dyDescent="0.2">
      <c r="A260" s="345">
        <v>35430</v>
      </c>
      <c r="B260" s="73"/>
      <c r="C260" s="25"/>
      <c r="D260" s="73"/>
    </row>
    <row r="261" spans="1:4" x14ac:dyDescent="0.2">
      <c r="A261" s="345">
        <v>35461</v>
      </c>
      <c r="B261" s="73"/>
      <c r="C261" s="25"/>
      <c r="D261" s="73"/>
    </row>
    <row r="262" spans="1:4" x14ac:dyDescent="0.2">
      <c r="A262" s="345">
        <v>35489</v>
      </c>
      <c r="B262" s="73"/>
      <c r="C262" s="25"/>
      <c r="D262" s="73"/>
    </row>
    <row r="263" spans="1:4" x14ac:dyDescent="0.2">
      <c r="A263" s="345">
        <v>35520</v>
      </c>
      <c r="B263" s="73"/>
      <c r="C263" s="25"/>
      <c r="D263" s="73"/>
    </row>
    <row r="264" spans="1:4" x14ac:dyDescent="0.2">
      <c r="A264" s="345">
        <v>35550</v>
      </c>
      <c r="B264" s="73"/>
      <c r="C264" s="25"/>
      <c r="D264" s="73"/>
    </row>
    <row r="265" spans="1:4" x14ac:dyDescent="0.2">
      <c r="A265" s="345">
        <v>35581</v>
      </c>
      <c r="B265" s="73"/>
      <c r="C265" s="25"/>
      <c r="D265" s="73"/>
    </row>
    <row r="266" spans="1:4" x14ac:dyDescent="0.2">
      <c r="A266" s="345">
        <v>35611</v>
      </c>
      <c r="B266" s="73"/>
      <c r="C266" s="25"/>
      <c r="D266" s="73"/>
    </row>
    <row r="267" spans="1:4" x14ac:dyDescent="0.2">
      <c r="A267" s="345">
        <v>35642</v>
      </c>
      <c r="B267" s="73"/>
      <c r="C267" s="25"/>
      <c r="D267" s="73"/>
    </row>
    <row r="268" spans="1:4" x14ac:dyDescent="0.2">
      <c r="A268" s="345">
        <v>35673</v>
      </c>
      <c r="B268" s="73"/>
      <c r="C268" s="25"/>
      <c r="D268" s="73"/>
    </row>
    <row r="269" spans="1:4" x14ac:dyDescent="0.2">
      <c r="A269" s="345">
        <v>35703</v>
      </c>
      <c r="B269" s="73"/>
      <c r="C269" s="25"/>
      <c r="D269" s="73"/>
    </row>
    <row r="270" spans="1:4" x14ac:dyDescent="0.2">
      <c r="A270" s="345">
        <v>35734</v>
      </c>
      <c r="B270" s="73"/>
      <c r="C270" s="25"/>
      <c r="D270" s="73"/>
    </row>
    <row r="271" spans="1:4" x14ac:dyDescent="0.2">
      <c r="A271" s="345">
        <v>35764</v>
      </c>
      <c r="B271" s="73"/>
      <c r="C271" s="25"/>
      <c r="D271" s="73"/>
    </row>
    <row r="272" spans="1:4" x14ac:dyDescent="0.2">
      <c r="A272" s="345">
        <v>35795</v>
      </c>
      <c r="B272" s="73"/>
      <c r="C272" s="25"/>
      <c r="D272" s="73"/>
    </row>
    <row r="273" spans="1:4" x14ac:dyDescent="0.2">
      <c r="A273" s="345">
        <v>35826</v>
      </c>
      <c r="B273" s="73"/>
      <c r="C273" s="25"/>
      <c r="D273" s="73"/>
    </row>
    <row r="274" spans="1:4" x14ac:dyDescent="0.2">
      <c r="A274" s="345">
        <v>35854</v>
      </c>
      <c r="B274" s="73"/>
      <c r="C274" s="32"/>
      <c r="D274" s="73"/>
    </row>
    <row r="275" spans="1:4" x14ac:dyDescent="0.2">
      <c r="A275" s="345">
        <v>35885</v>
      </c>
      <c r="B275" s="73"/>
      <c r="C275" s="32"/>
      <c r="D275" s="73"/>
    </row>
    <row r="276" spans="1:4" x14ac:dyDescent="0.2">
      <c r="A276" s="345">
        <v>35915</v>
      </c>
      <c r="B276" s="73"/>
      <c r="C276" s="32"/>
      <c r="D276" s="73"/>
    </row>
    <row r="277" spans="1:4" x14ac:dyDescent="0.2">
      <c r="A277" s="345">
        <v>35946</v>
      </c>
      <c r="B277" s="73"/>
      <c r="C277" s="32"/>
      <c r="D277" s="73"/>
    </row>
    <row r="278" spans="1:4" x14ac:dyDescent="0.2">
      <c r="A278" s="345">
        <v>35976</v>
      </c>
      <c r="B278" s="73"/>
      <c r="C278" s="32"/>
      <c r="D278" s="73"/>
    </row>
    <row r="279" spans="1:4" x14ac:dyDescent="0.2">
      <c r="A279" s="345">
        <v>36007</v>
      </c>
      <c r="B279" s="73"/>
      <c r="C279" s="32"/>
      <c r="D279" s="73"/>
    </row>
    <row r="280" spans="1:4" x14ac:dyDescent="0.2">
      <c r="A280" s="345">
        <v>36038</v>
      </c>
      <c r="B280" s="73"/>
      <c r="C280" s="32"/>
      <c r="D280" s="73"/>
    </row>
    <row r="281" spans="1:4" x14ac:dyDescent="0.2">
      <c r="A281" s="345">
        <v>36068</v>
      </c>
      <c r="B281" s="73"/>
      <c r="C281" s="32"/>
      <c r="D281" s="73"/>
    </row>
    <row r="282" spans="1:4" x14ac:dyDescent="0.2">
      <c r="A282" s="345">
        <v>36099</v>
      </c>
      <c r="B282" s="73"/>
      <c r="C282" s="32"/>
      <c r="D282" s="73"/>
    </row>
    <row r="283" spans="1:4" x14ac:dyDescent="0.2">
      <c r="A283" s="345">
        <v>36129</v>
      </c>
      <c r="B283" s="73"/>
      <c r="C283" s="32"/>
      <c r="D283" s="73"/>
    </row>
    <row r="284" spans="1:4" x14ac:dyDescent="0.2">
      <c r="A284" s="345">
        <v>36160</v>
      </c>
      <c r="B284" s="73"/>
      <c r="C284" s="32"/>
      <c r="D284" s="73"/>
    </row>
    <row r="285" spans="1:4" x14ac:dyDescent="0.2">
      <c r="A285" s="345">
        <v>36191</v>
      </c>
      <c r="B285" s="73"/>
      <c r="C285" s="32"/>
      <c r="D285" s="73"/>
    </row>
    <row r="286" spans="1:4" x14ac:dyDescent="0.2">
      <c r="A286" s="345">
        <v>36219</v>
      </c>
      <c r="B286" s="73"/>
      <c r="C286" s="32"/>
      <c r="D286" s="73"/>
    </row>
    <row r="287" spans="1:4" x14ac:dyDescent="0.2">
      <c r="A287" s="345">
        <v>36250</v>
      </c>
      <c r="B287" s="73"/>
      <c r="C287" s="32"/>
      <c r="D287" s="73"/>
    </row>
    <row r="288" spans="1:4" x14ac:dyDescent="0.2">
      <c r="A288" s="345">
        <v>36280</v>
      </c>
      <c r="B288" s="73"/>
      <c r="C288" s="32"/>
      <c r="D288" s="73"/>
    </row>
    <row r="289" spans="1:4" x14ac:dyDescent="0.2">
      <c r="A289" s="345">
        <v>36311</v>
      </c>
      <c r="B289" s="73"/>
      <c r="C289" s="32"/>
      <c r="D289" s="73"/>
    </row>
    <row r="290" spans="1:4" x14ac:dyDescent="0.2">
      <c r="A290" s="345">
        <v>36341</v>
      </c>
      <c r="B290" s="73"/>
      <c r="C290" s="32"/>
      <c r="D290" s="73"/>
    </row>
    <row r="291" spans="1:4" x14ac:dyDescent="0.2">
      <c r="A291" s="345">
        <v>36372</v>
      </c>
      <c r="B291" s="73"/>
      <c r="C291" s="32"/>
      <c r="D291" s="73"/>
    </row>
    <row r="292" spans="1:4" x14ac:dyDescent="0.2">
      <c r="A292" s="345">
        <v>36403</v>
      </c>
      <c r="B292" s="73"/>
      <c r="C292" s="32"/>
      <c r="D292" s="73"/>
    </row>
    <row r="293" spans="1:4" x14ac:dyDescent="0.2">
      <c r="A293" s="345">
        <v>36433</v>
      </c>
      <c r="B293" s="73"/>
      <c r="C293" s="32"/>
      <c r="D293" s="73"/>
    </row>
    <row r="294" spans="1:4" x14ac:dyDescent="0.2">
      <c r="A294" s="345">
        <v>36464</v>
      </c>
      <c r="B294" s="73"/>
      <c r="C294" s="32"/>
      <c r="D294" s="73"/>
    </row>
    <row r="295" spans="1:4" x14ac:dyDescent="0.2">
      <c r="A295" s="345">
        <v>36494</v>
      </c>
      <c r="B295" s="73"/>
      <c r="C295" s="32"/>
      <c r="D295" s="73"/>
    </row>
    <row r="296" spans="1:4" x14ac:dyDescent="0.2">
      <c r="A296" s="345">
        <v>36525</v>
      </c>
      <c r="B296" s="73"/>
      <c r="C296" s="32"/>
      <c r="D296" s="73"/>
    </row>
    <row r="297" spans="1:4" x14ac:dyDescent="0.2">
      <c r="A297" s="345">
        <v>36556</v>
      </c>
      <c r="B297" s="73"/>
      <c r="C297" s="32"/>
      <c r="D297" s="73"/>
    </row>
    <row r="298" spans="1:4" x14ac:dyDescent="0.2">
      <c r="A298" s="345">
        <v>36585</v>
      </c>
      <c r="B298" s="73"/>
      <c r="C298" s="32"/>
      <c r="D298" s="73"/>
    </row>
    <row r="299" spans="1:4" x14ac:dyDescent="0.2">
      <c r="A299" s="345">
        <v>36616</v>
      </c>
      <c r="B299" s="73"/>
      <c r="C299" s="32"/>
      <c r="D299" s="73"/>
    </row>
    <row r="300" spans="1:4" x14ac:dyDescent="0.2">
      <c r="A300" s="345">
        <v>36646</v>
      </c>
      <c r="B300" s="73"/>
      <c r="C300" s="32"/>
      <c r="D300" s="73"/>
    </row>
    <row r="301" spans="1:4" x14ac:dyDescent="0.2">
      <c r="A301" s="345">
        <v>36677</v>
      </c>
      <c r="B301" s="73"/>
      <c r="C301" s="32"/>
      <c r="D301" s="73"/>
    </row>
    <row r="302" spans="1:4" x14ac:dyDescent="0.2">
      <c r="A302" s="345">
        <v>36707</v>
      </c>
      <c r="B302" s="73"/>
      <c r="C302" s="32"/>
      <c r="D302" s="73"/>
    </row>
    <row r="303" spans="1:4" x14ac:dyDescent="0.2">
      <c r="A303" s="345">
        <v>36738</v>
      </c>
      <c r="B303" s="73"/>
      <c r="C303" s="32"/>
      <c r="D303" s="73"/>
    </row>
    <row r="304" spans="1:4" x14ac:dyDescent="0.2">
      <c r="A304" s="345">
        <v>36769</v>
      </c>
      <c r="B304" s="73"/>
      <c r="C304" s="32"/>
      <c r="D304" s="73"/>
    </row>
    <row r="305" spans="1:4" x14ac:dyDescent="0.2">
      <c r="A305" s="345">
        <v>36799</v>
      </c>
      <c r="B305" s="79"/>
      <c r="C305" s="33"/>
      <c r="D305" s="73"/>
    </row>
    <row r="306" spans="1:4" x14ac:dyDescent="0.2">
      <c r="A306" s="345">
        <v>36830</v>
      </c>
      <c r="B306" s="253"/>
      <c r="C306" s="33"/>
      <c r="D306" s="253"/>
    </row>
    <row r="307" spans="1:4" x14ac:dyDescent="0.2">
      <c r="A307" s="345">
        <v>36860</v>
      </c>
      <c r="B307" s="253"/>
      <c r="C307" s="33"/>
      <c r="D307" s="253"/>
    </row>
    <row r="308" spans="1:4" x14ac:dyDescent="0.2">
      <c r="A308" s="345">
        <v>36891</v>
      </c>
      <c r="B308" s="253"/>
      <c r="C308" s="33"/>
      <c r="D308" s="253"/>
    </row>
    <row r="309" spans="1:4" x14ac:dyDescent="0.2">
      <c r="A309" s="345">
        <v>36922</v>
      </c>
      <c r="B309" s="253"/>
      <c r="C309" s="33"/>
      <c r="D309" s="253"/>
    </row>
    <row r="310" spans="1:4" x14ac:dyDescent="0.2">
      <c r="A310" s="345">
        <v>36950</v>
      </c>
      <c r="B310" s="253"/>
      <c r="C310" s="33"/>
      <c r="D310" s="253"/>
    </row>
    <row r="311" spans="1:4" x14ac:dyDescent="0.2">
      <c r="A311" s="345">
        <v>36981</v>
      </c>
      <c r="B311" s="253"/>
      <c r="C311" s="33"/>
      <c r="D311" s="253"/>
    </row>
    <row r="312" spans="1:4" x14ac:dyDescent="0.2">
      <c r="A312" s="345">
        <v>37011</v>
      </c>
      <c r="B312" s="253"/>
      <c r="C312" s="33"/>
      <c r="D312" s="253"/>
    </row>
    <row r="313" spans="1:4" x14ac:dyDescent="0.2">
      <c r="A313" s="345">
        <v>37042</v>
      </c>
      <c r="B313" s="253"/>
      <c r="C313" s="33"/>
      <c r="D313" s="253"/>
    </row>
    <row r="314" spans="1:4" x14ac:dyDescent="0.2">
      <c r="A314" s="345">
        <v>37072</v>
      </c>
      <c r="B314" s="253"/>
      <c r="C314" s="33"/>
      <c r="D314" s="253"/>
    </row>
    <row r="315" spans="1:4" x14ac:dyDescent="0.2">
      <c r="A315" s="345">
        <v>37103</v>
      </c>
      <c r="B315" s="253"/>
      <c r="C315" s="33"/>
      <c r="D315" s="253"/>
    </row>
    <row r="316" spans="1:4" x14ac:dyDescent="0.2">
      <c r="A316" s="345">
        <v>37134</v>
      </c>
      <c r="B316" s="253"/>
      <c r="C316" s="33"/>
      <c r="D316" s="253"/>
    </row>
    <row r="317" spans="1:4" x14ac:dyDescent="0.2">
      <c r="A317" s="345">
        <v>37164</v>
      </c>
      <c r="B317" s="253"/>
      <c r="C317" s="33"/>
      <c r="D317" s="253"/>
    </row>
    <row r="318" spans="1:4" x14ac:dyDescent="0.2">
      <c r="A318" s="345">
        <v>37195</v>
      </c>
      <c r="B318" s="253"/>
      <c r="C318" s="33"/>
      <c r="D318" s="253"/>
    </row>
    <row r="319" spans="1:4" x14ac:dyDescent="0.2">
      <c r="A319" s="345">
        <v>37225</v>
      </c>
      <c r="B319" s="253"/>
      <c r="C319" s="33"/>
      <c r="D319" s="253"/>
    </row>
    <row r="320" spans="1:4" x14ac:dyDescent="0.2">
      <c r="A320" s="345">
        <v>37256</v>
      </c>
      <c r="B320" s="253"/>
      <c r="C320" s="33"/>
      <c r="D320" s="253"/>
    </row>
    <row r="321" spans="1:4" x14ac:dyDescent="0.2">
      <c r="A321" s="345">
        <v>37287</v>
      </c>
      <c r="B321" s="253"/>
      <c r="C321" s="33"/>
      <c r="D321" s="253"/>
    </row>
    <row r="322" spans="1:4" x14ac:dyDescent="0.2">
      <c r="A322" s="345">
        <v>37315</v>
      </c>
      <c r="B322" s="253"/>
      <c r="C322" s="33"/>
      <c r="D322" s="253"/>
    </row>
    <row r="323" spans="1:4" x14ac:dyDescent="0.2">
      <c r="A323" s="345">
        <v>37346</v>
      </c>
      <c r="B323" s="253"/>
      <c r="C323" s="33"/>
      <c r="D323" s="253"/>
    </row>
    <row r="324" spans="1:4" x14ac:dyDescent="0.2">
      <c r="A324" s="345">
        <v>37376</v>
      </c>
      <c r="B324" s="253"/>
      <c r="C324" s="33"/>
      <c r="D324" s="253"/>
    </row>
    <row r="325" spans="1:4" x14ac:dyDescent="0.2">
      <c r="A325" s="345">
        <v>37407</v>
      </c>
      <c r="B325" s="253"/>
      <c r="C325" s="33"/>
      <c r="D325" s="253"/>
    </row>
    <row r="326" spans="1:4" x14ac:dyDescent="0.2">
      <c r="A326" s="345">
        <v>37437</v>
      </c>
      <c r="B326" s="253"/>
      <c r="C326" s="33"/>
      <c r="D326" s="253"/>
    </row>
    <row r="327" spans="1:4" x14ac:dyDescent="0.2">
      <c r="A327" s="345">
        <v>37468</v>
      </c>
      <c r="B327" s="253"/>
      <c r="C327" s="33"/>
      <c r="D327" s="253"/>
    </row>
    <row r="328" spans="1:4" x14ac:dyDescent="0.2">
      <c r="A328" s="345">
        <v>37499</v>
      </c>
      <c r="B328" s="253"/>
      <c r="C328" s="33"/>
      <c r="D328" s="253"/>
    </row>
    <row r="329" spans="1:4" x14ac:dyDescent="0.2">
      <c r="A329" s="345">
        <v>37529</v>
      </c>
      <c r="B329" s="253"/>
      <c r="C329" s="33"/>
      <c r="D329" s="253"/>
    </row>
    <row r="330" spans="1:4" x14ac:dyDescent="0.2">
      <c r="A330" s="345">
        <v>37560</v>
      </c>
      <c r="B330" s="253"/>
      <c r="C330" s="33"/>
      <c r="D330" s="253"/>
    </row>
    <row r="331" spans="1:4" x14ac:dyDescent="0.2">
      <c r="A331" s="345">
        <v>37590</v>
      </c>
      <c r="B331" s="253"/>
      <c r="C331" s="33"/>
      <c r="D331" s="253"/>
    </row>
    <row r="332" spans="1:4" x14ac:dyDescent="0.2">
      <c r="A332" s="345">
        <v>37621</v>
      </c>
      <c r="B332" s="253"/>
      <c r="C332" s="33"/>
      <c r="D332" s="253"/>
    </row>
    <row r="333" spans="1:4" x14ac:dyDescent="0.2">
      <c r="A333" s="345">
        <v>37652</v>
      </c>
      <c r="B333" s="253"/>
      <c r="C333" s="33"/>
      <c r="D333" s="253"/>
    </row>
    <row r="334" spans="1:4" x14ac:dyDescent="0.2">
      <c r="A334" s="345">
        <v>37680</v>
      </c>
      <c r="B334" s="253"/>
      <c r="C334" s="33"/>
      <c r="D334" s="253"/>
    </row>
    <row r="335" spans="1:4" x14ac:dyDescent="0.2">
      <c r="A335" s="345">
        <v>37711</v>
      </c>
      <c r="B335" s="253"/>
      <c r="C335" s="33"/>
      <c r="D335" s="253"/>
    </row>
    <row r="336" spans="1:4" x14ac:dyDescent="0.2">
      <c r="A336" s="345">
        <v>37741</v>
      </c>
      <c r="B336" s="253"/>
      <c r="C336" s="33"/>
      <c r="D336" s="253"/>
    </row>
    <row r="337" spans="1:4" x14ac:dyDescent="0.2">
      <c r="A337" s="345">
        <v>37772</v>
      </c>
      <c r="B337" s="253"/>
      <c r="C337" s="33"/>
      <c r="D337" s="253"/>
    </row>
    <row r="338" spans="1:4" x14ac:dyDescent="0.2">
      <c r="A338" s="345">
        <v>37802</v>
      </c>
      <c r="B338" s="253"/>
      <c r="C338" s="33"/>
      <c r="D338" s="253"/>
    </row>
    <row r="339" spans="1:4" x14ac:dyDescent="0.2">
      <c r="A339" s="345">
        <v>37833</v>
      </c>
      <c r="B339" s="253"/>
      <c r="C339" s="33"/>
      <c r="D339" s="253"/>
    </row>
    <row r="340" spans="1:4" x14ac:dyDescent="0.2">
      <c r="A340" s="345">
        <v>37864</v>
      </c>
      <c r="B340" s="253"/>
      <c r="C340" s="33"/>
      <c r="D340" s="253"/>
    </row>
    <row r="341" spans="1:4" x14ac:dyDescent="0.2">
      <c r="A341" s="345">
        <v>37894</v>
      </c>
      <c r="B341" s="253"/>
      <c r="C341" s="34"/>
      <c r="D341" s="253"/>
    </row>
    <row r="342" spans="1:4" x14ac:dyDescent="0.2">
      <c r="A342" s="345">
        <v>37925</v>
      </c>
      <c r="B342" s="253"/>
      <c r="C342" s="34"/>
      <c r="D342" s="253"/>
    </row>
    <row r="343" spans="1:4" x14ac:dyDescent="0.2">
      <c r="A343" s="345">
        <v>37955</v>
      </c>
      <c r="B343" s="253"/>
      <c r="C343" s="34"/>
      <c r="D343" s="253"/>
    </row>
    <row r="344" spans="1:4" x14ac:dyDescent="0.2">
      <c r="A344" s="345">
        <v>37986</v>
      </c>
      <c r="B344" s="253"/>
      <c r="C344" s="34"/>
      <c r="D344" s="253"/>
    </row>
    <row r="345" spans="1:4" x14ac:dyDescent="0.2">
      <c r="A345" s="345">
        <v>38017</v>
      </c>
      <c r="B345" s="253"/>
      <c r="C345" s="34"/>
      <c r="D345" s="253"/>
    </row>
    <row r="346" spans="1:4" x14ac:dyDescent="0.2">
      <c r="A346" s="345">
        <v>38046</v>
      </c>
      <c r="B346" s="253"/>
      <c r="C346" s="34"/>
      <c r="D346" s="253"/>
    </row>
    <row r="347" spans="1:4" x14ac:dyDescent="0.2">
      <c r="A347" s="345">
        <v>38077</v>
      </c>
      <c r="B347" s="253"/>
      <c r="C347" s="34"/>
      <c r="D347" s="255"/>
    </row>
    <row r="348" spans="1:4" x14ac:dyDescent="0.2">
      <c r="A348" s="345">
        <v>38107</v>
      </c>
      <c r="B348" s="253"/>
      <c r="C348" s="34"/>
      <c r="D348" s="253"/>
    </row>
    <row r="349" spans="1:4" x14ac:dyDescent="0.2">
      <c r="A349" s="345">
        <v>38138</v>
      </c>
      <c r="B349" s="253"/>
      <c r="C349" s="34"/>
      <c r="D349" s="253"/>
    </row>
    <row r="350" spans="1:4" x14ac:dyDescent="0.2">
      <c r="A350" s="345">
        <v>38168</v>
      </c>
      <c r="B350" s="253"/>
      <c r="C350" s="34"/>
      <c r="D350" s="253"/>
    </row>
    <row r="351" spans="1:4" x14ac:dyDescent="0.2">
      <c r="A351" s="345">
        <v>38199</v>
      </c>
      <c r="B351" s="253"/>
      <c r="C351" s="34"/>
      <c r="D351" s="253"/>
    </row>
    <row r="352" spans="1:4" x14ac:dyDescent="0.2">
      <c r="A352" s="345">
        <v>38230</v>
      </c>
      <c r="B352" s="253"/>
      <c r="C352" s="34"/>
      <c r="D352" s="253"/>
    </row>
    <row r="353" spans="1:4" x14ac:dyDescent="0.2">
      <c r="A353" s="345">
        <v>38260</v>
      </c>
      <c r="B353" s="253"/>
      <c r="C353" s="34"/>
      <c r="D353" s="253"/>
    </row>
    <row r="354" spans="1:4" x14ac:dyDescent="0.2">
      <c r="A354" s="345">
        <v>38291</v>
      </c>
      <c r="B354" s="253"/>
      <c r="C354" s="34"/>
      <c r="D354" s="253"/>
    </row>
    <row r="355" spans="1:4" x14ac:dyDescent="0.2">
      <c r="A355" s="345">
        <v>38321</v>
      </c>
      <c r="B355" s="253"/>
      <c r="C355" s="34"/>
      <c r="D355" s="253"/>
    </row>
    <row r="356" spans="1:4" x14ac:dyDescent="0.2">
      <c r="A356" s="345">
        <v>38352</v>
      </c>
      <c r="B356" s="253"/>
      <c r="C356" s="256"/>
      <c r="D356" s="253"/>
    </row>
    <row r="357" spans="1:4" x14ac:dyDescent="0.2">
      <c r="A357" s="345">
        <v>38383</v>
      </c>
      <c r="B357" s="253"/>
      <c r="C357" s="34"/>
      <c r="D357" s="253"/>
    </row>
    <row r="358" spans="1:4" x14ac:dyDescent="0.2">
      <c r="A358" s="345">
        <v>38411</v>
      </c>
      <c r="B358" s="253"/>
      <c r="C358" s="34"/>
      <c r="D358" s="253"/>
    </row>
    <row r="359" spans="1:4" x14ac:dyDescent="0.2">
      <c r="A359" s="345">
        <v>38442</v>
      </c>
      <c r="B359" s="253"/>
      <c r="C359" s="256"/>
      <c r="D359" s="253"/>
    </row>
    <row r="360" spans="1:4" x14ac:dyDescent="0.2">
      <c r="A360" s="345">
        <v>38472</v>
      </c>
      <c r="B360" s="253"/>
      <c r="C360" s="256"/>
      <c r="D360" s="253"/>
    </row>
    <row r="361" spans="1:4" x14ac:dyDescent="0.2">
      <c r="A361" s="345">
        <v>38503</v>
      </c>
      <c r="B361" s="253"/>
      <c r="C361" s="256"/>
      <c r="D361" s="253"/>
    </row>
    <row r="362" spans="1:4" x14ac:dyDescent="0.2">
      <c r="A362" s="345">
        <v>38533</v>
      </c>
      <c r="B362" s="253"/>
      <c r="C362" s="256"/>
      <c r="D362" s="253"/>
    </row>
    <row r="363" spans="1:4" x14ac:dyDescent="0.2">
      <c r="A363" s="345">
        <v>38564</v>
      </c>
      <c r="B363" s="253"/>
      <c r="C363" s="256"/>
      <c r="D363" s="253"/>
    </row>
    <row r="364" spans="1:4" x14ac:dyDescent="0.2">
      <c r="A364" s="345">
        <v>38595</v>
      </c>
      <c r="B364" s="253"/>
      <c r="C364" s="256"/>
      <c r="D364" s="253"/>
    </row>
    <row r="365" spans="1:4" x14ac:dyDescent="0.2">
      <c r="A365" s="345">
        <v>38625</v>
      </c>
      <c r="B365" s="253"/>
      <c r="C365" s="256"/>
      <c r="D365" s="253"/>
    </row>
    <row r="366" spans="1:4" x14ac:dyDescent="0.2">
      <c r="A366" s="345">
        <v>38656</v>
      </c>
      <c r="B366" s="253"/>
      <c r="C366" s="256"/>
      <c r="D366" s="253"/>
    </row>
    <row r="367" spans="1:4" x14ac:dyDescent="0.2">
      <c r="A367" s="345">
        <v>38686</v>
      </c>
      <c r="B367" s="253"/>
      <c r="C367" s="256"/>
      <c r="D367" s="253"/>
    </row>
    <row r="368" spans="1:4" x14ac:dyDescent="0.2">
      <c r="A368" s="345">
        <v>38717</v>
      </c>
      <c r="B368" s="253"/>
      <c r="C368" s="256"/>
      <c r="D368" s="253"/>
    </row>
    <row r="369" spans="1:6" x14ac:dyDescent="0.2">
      <c r="A369" s="345">
        <v>38748</v>
      </c>
      <c r="B369" s="253"/>
      <c r="C369" s="256"/>
      <c r="D369" s="253"/>
    </row>
    <row r="370" spans="1:6" x14ac:dyDescent="0.2">
      <c r="A370" s="345">
        <v>38776</v>
      </c>
      <c r="B370" s="253"/>
      <c r="C370" s="256"/>
      <c r="D370" s="253"/>
    </row>
    <row r="371" spans="1:6" x14ac:dyDescent="0.2">
      <c r="A371" s="345">
        <v>38807</v>
      </c>
      <c r="B371" s="253"/>
      <c r="C371" s="33"/>
      <c r="D371" s="253"/>
    </row>
    <row r="372" spans="1:6" x14ac:dyDescent="0.2">
      <c r="A372" s="345">
        <v>38837</v>
      </c>
      <c r="B372" s="253"/>
      <c r="C372" s="33"/>
      <c r="D372" s="253"/>
    </row>
    <row r="373" spans="1:6" x14ac:dyDescent="0.2">
      <c r="A373" s="345">
        <v>38868</v>
      </c>
      <c r="B373" s="253"/>
      <c r="C373" s="33"/>
      <c r="D373" s="253"/>
    </row>
    <row r="374" spans="1:6" x14ac:dyDescent="0.2">
      <c r="A374" s="345">
        <v>38898</v>
      </c>
      <c r="B374" s="76"/>
      <c r="C374" s="354"/>
      <c r="D374" s="253"/>
    </row>
    <row r="375" spans="1:6" x14ac:dyDescent="0.2">
      <c r="A375" s="345">
        <v>38929</v>
      </c>
      <c r="B375" s="253"/>
      <c r="C375" s="34"/>
      <c r="D375" s="253"/>
    </row>
    <row r="376" spans="1:6" x14ac:dyDescent="0.2">
      <c r="A376" s="345">
        <v>38960</v>
      </c>
      <c r="B376" s="253"/>
      <c r="C376" s="34"/>
      <c r="D376" s="253"/>
    </row>
    <row r="377" spans="1:6" x14ac:dyDescent="0.2">
      <c r="A377" s="345">
        <v>38990</v>
      </c>
      <c r="B377" s="253"/>
      <c r="C377" s="34"/>
      <c r="D377" s="253"/>
    </row>
    <row r="378" spans="1:6" x14ac:dyDescent="0.2">
      <c r="A378" s="345">
        <v>39021</v>
      </c>
      <c r="B378" s="253"/>
      <c r="C378" s="34"/>
      <c r="D378" s="253"/>
      <c r="F378" s="352"/>
    </row>
    <row r="379" spans="1:6" x14ac:dyDescent="0.2">
      <c r="A379" s="345">
        <v>39051</v>
      </c>
      <c r="B379" s="253"/>
      <c r="C379" s="34"/>
      <c r="D379" s="253"/>
      <c r="F379" s="352"/>
    </row>
    <row r="380" spans="1:6" x14ac:dyDescent="0.2">
      <c r="A380" s="345">
        <v>39082</v>
      </c>
      <c r="B380" s="253"/>
      <c r="C380" s="34"/>
      <c r="D380" s="253"/>
      <c r="F380" s="352"/>
    </row>
    <row r="381" spans="1:6" x14ac:dyDescent="0.2">
      <c r="A381" s="345">
        <v>39113</v>
      </c>
      <c r="B381" s="253"/>
      <c r="F381" s="352"/>
    </row>
    <row r="382" spans="1:6" x14ac:dyDescent="0.2">
      <c r="A382" s="345">
        <v>39141</v>
      </c>
      <c r="B382" s="253"/>
      <c r="F382" s="352"/>
    </row>
    <row r="383" spans="1:6" x14ac:dyDescent="0.2">
      <c r="A383" s="345">
        <v>39172</v>
      </c>
      <c r="B383" s="253"/>
    </row>
    <row r="384" spans="1:6" x14ac:dyDescent="0.2">
      <c r="A384" s="345">
        <v>39202</v>
      </c>
      <c r="B384" s="253"/>
    </row>
    <row r="385" spans="1:3" x14ac:dyDescent="0.2">
      <c r="A385" s="345">
        <v>39233</v>
      </c>
      <c r="B385" s="253"/>
    </row>
    <row r="386" spans="1:3" x14ac:dyDescent="0.2">
      <c r="A386" s="345">
        <v>39263</v>
      </c>
      <c r="B386" s="253"/>
    </row>
    <row r="387" spans="1:3" x14ac:dyDescent="0.2">
      <c r="A387" s="345">
        <v>39294</v>
      </c>
      <c r="B387" s="253"/>
    </row>
    <row r="388" spans="1:3" x14ac:dyDescent="0.2">
      <c r="A388" s="345">
        <v>39325</v>
      </c>
      <c r="B388" s="253"/>
    </row>
    <row r="389" spans="1:3" x14ac:dyDescent="0.2">
      <c r="A389" s="345">
        <v>39355</v>
      </c>
      <c r="B389" s="253"/>
    </row>
    <row r="390" spans="1:3" x14ac:dyDescent="0.2">
      <c r="A390" s="345">
        <v>39386</v>
      </c>
      <c r="B390" s="253"/>
    </row>
    <row r="391" spans="1:3" x14ac:dyDescent="0.2">
      <c r="A391" s="345">
        <v>39416</v>
      </c>
      <c r="B391" s="253"/>
    </row>
    <row r="392" spans="1:3" x14ac:dyDescent="0.2">
      <c r="A392" s="345">
        <v>39447</v>
      </c>
      <c r="B392" s="253"/>
    </row>
    <row r="393" spans="1:3" x14ac:dyDescent="0.2">
      <c r="A393" s="345">
        <v>39478</v>
      </c>
      <c r="B393" s="253"/>
    </row>
    <row r="394" spans="1:3" x14ac:dyDescent="0.2">
      <c r="A394" s="345">
        <v>39507</v>
      </c>
      <c r="B394" s="253"/>
    </row>
    <row r="395" spans="1:3" x14ac:dyDescent="0.2">
      <c r="A395" s="345">
        <v>39538</v>
      </c>
      <c r="B395" s="253"/>
    </row>
    <row r="396" spans="1:3" x14ac:dyDescent="0.2">
      <c r="A396" s="345">
        <v>39568</v>
      </c>
      <c r="B396" s="253"/>
    </row>
    <row r="397" spans="1:3" x14ac:dyDescent="0.2">
      <c r="A397" s="345">
        <v>39599</v>
      </c>
      <c r="B397" s="253"/>
    </row>
    <row r="398" spans="1:3" x14ac:dyDescent="0.2">
      <c r="A398" s="345">
        <v>39629</v>
      </c>
      <c r="B398" s="253"/>
    </row>
    <row r="399" spans="1:3" x14ac:dyDescent="0.2">
      <c r="A399" s="345">
        <v>39660</v>
      </c>
      <c r="B399" s="253"/>
      <c r="C399" s="33"/>
    </row>
    <row r="400" spans="1:3" x14ac:dyDescent="0.2">
      <c r="A400" s="345">
        <v>39691</v>
      </c>
      <c r="B400" s="253"/>
      <c r="C400" s="33"/>
    </row>
    <row r="401" spans="1:9" x14ac:dyDescent="0.2">
      <c r="A401" s="345">
        <v>39721</v>
      </c>
      <c r="B401" s="253"/>
      <c r="C401" s="33"/>
    </row>
    <row r="402" spans="1:9" x14ac:dyDescent="0.2">
      <c r="A402" s="345">
        <v>39752</v>
      </c>
      <c r="B402" s="253"/>
    </row>
    <row r="403" spans="1:9" x14ac:dyDescent="0.2">
      <c r="A403" s="345">
        <v>39782</v>
      </c>
      <c r="B403" s="253"/>
    </row>
    <row r="404" spans="1:9" x14ac:dyDescent="0.2">
      <c r="A404" s="345">
        <v>39813</v>
      </c>
      <c r="B404" s="253"/>
    </row>
    <row r="405" spans="1:9" x14ac:dyDescent="0.2">
      <c r="A405" s="345">
        <v>39844</v>
      </c>
      <c r="B405" s="253"/>
    </row>
    <row r="406" spans="1:9" x14ac:dyDescent="0.2">
      <c r="A406" s="345">
        <v>39872</v>
      </c>
      <c r="B406" s="253"/>
    </row>
    <row r="407" spans="1:9" x14ac:dyDescent="0.2">
      <c r="A407" s="345">
        <v>39903</v>
      </c>
      <c r="B407" s="253"/>
    </row>
    <row r="408" spans="1:9" x14ac:dyDescent="0.2">
      <c r="A408" s="345">
        <v>39933</v>
      </c>
      <c r="B408" s="253"/>
    </row>
    <row r="409" spans="1:9" x14ac:dyDescent="0.2">
      <c r="A409" s="345">
        <v>39964</v>
      </c>
      <c r="B409" s="253"/>
    </row>
    <row r="410" spans="1:9" x14ac:dyDescent="0.2">
      <c r="A410" s="345">
        <v>39994</v>
      </c>
      <c r="B410" s="253"/>
    </row>
    <row r="411" spans="1:9" x14ac:dyDescent="0.2">
      <c r="A411" s="345">
        <v>40025</v>
      </c>
      <c r="B411" s="253"/>
    </row>
    <row r="412" spans="1:9" x14ac:dyDescent="0.2">
      <c r="A412" s="345">
        <v>40056</v>
      </c>
      <c r="B412" s="253"/>
    </row>
    <row r="413" spans="1:9" x14ac:dyDescent="0.2">
      <c r="A413" s="345">
        <v>40086</v>
      </c>
      <c r="B413" s="253"/>
      <c r="F413" s="52"/>
      <c r="G413" s="1063"/>
      <c r="H413" s="1063"/>
      <c r="I413" s="52"/>
    </row>
    <row r="414" spans="1:9" x14ac:dyDescent="0.2">
      <c r="A414" s="345">
        <v>40117</v>
      </c>
      <c r="B414" s="253">
        <f t="shared" ref="B414:B447" si="0">D414</f>
        <v>1.0237000000000001</v>
      </c>
      <c r="C414" s="346">
        <v>80160074</v>
      </c>
      <c r="D414" s="258">
        <v>1.0237000000000001</v>
      </c>
      <c r="E414" s="14">
        <f>B414-Index_Returns!AI414</f>
        <v>-0.77629999999999999</v>
      </c>
      <c r="F414" s="52"/>
      <c r="G414" s="1311"/>
      <c r="H414" s="781"/>
      <c r="I414" s="52"/>
    </row>
    <row r="415" spans="1:9" x14ac:dyDescent="0.2">
      <c r="A415" s="345">
        <v>40147</v>
      </c>
      <c r="B415" s="253">
        <f t="shared" si="0"/>
        <v>0.64710000000000001</v>
      </c>
      <c r="C415" s="346">
        <v>105852605</v>
      </c>
      <c r="D415" s="258">
        <v>0.64710000000000001</v>
      </c>
      <c r="E415" s="14">
        <f>B415-Index_Returns!AI415</f>
        <v>-0.3629</v>
      </c>
      <c r="F415" s="52"/>
      <c r="G415" s="1311"/>
      <c r="H415" s="781"/>
      <c r="I415" s="52"/>
    </row>
    <row r="416" spans="1:9" x14ac:dyDescent="0.2">
      <c r="A416" s="345">
        <v>40178</v>
      </c>
      <c r="B416" s="253">
        <f t="shared" si="0"/>
        <v>2.7222</v>
      </c>
      <c r="C416" s="346">
        <v>118579852.28</v>
      </c>
      <c r="D416" s="258">
        <v>2.7222</v>
      </c>
      <c r="E416" s="14">
        <f>B416-Index_Returns!AI416</f>
        <v>-0.55779999999999985</v>
      </c>
      <c r="F416" s="52"/>
      <c r="G416" s="1311"/>
      <c r="H416" s="781"/>
      <c r="I416" s="52"/>
    </row>
    <row r="417" spans="1:9" x14ac:dyDescent="0.2">
      <c r="A417" s="345">
        <v>40209</v>
      </c>
      <c r="B417" s="253">
        <f t="shared" si="0"/>
        <v>0.95179999999999998</v>
      </c>
      <c r="C417" s="346">
        <v>139542775.59</v>
      </c>
      <c r="D417" s="258">
        <v>0.95179999999999998</v>
      </c>
      <c r="E417" s="14">
        <f>B417-Index_Returns!AI417</f>
        <v>-0.31820000000000004</v>
      </c>
      <c r="F417" s="52"/>
      <c r="G417" s="1311"/>
      <c r="H417" s="781"/>
      <c r="I417" s="52"/>
    </row>
    <row r="418" spans="1:9" x14ac:dyDescent="0.2">
      <c r="A418" s="345">
        <v>40237</v>
      </c>
      <c r="B418" s="253">
        <f t="shared" si="0"/>
        <v>-6.3E-2</v>
      </c>
      <c r="C418" s="346">
        <v>139402311.69999999</v>
      </c>
      <c r="D418" s="258">
        <v>-6.3E-2</v>
      </c>
      <c r="E418" s="14">
        <f>B418-Index_Returns!AI418</f>
        <v>-0.23300000000000001</v>
      </c>
      <c r="F418" s="52"/>
      <c r="G418" s="1311"/>
      <c r="H418" s="781"/>
      <c r="I418" s="52"/>
    </row>
    <row r="419" spans="1:9" x14ac:dyDescent="0.2">
      <c r="A419" s="345">
        <v>40268</v>
      </c>
      <c r="B419" s="253">
        <f t="shared" si="0"/>
        <v>2.625</v>
      </c>
      <c r="C419" s="1334">
        <v>159224087.65000001</v>
      </c>
      <c r="D419" s="1311">
        <v>2.625</v>
      </c>
      <c r="E419" s="14">
        <f>B419-Index_Returns!AI419</f>
        <v>-0.50499999999999989</v>
      </c>
      <c r="F419" s="52"/>
      <c r="G419" s="1311"/>
      <c r="H419" s="781"/>
      <c r="I419" s="52"/>
    </row>
    <row r="420" spans="1:9" x14ac:dyDescent="0.2">
      <c r="A420" s="345">
        <v>40298</v>
      </c>
      <c r="B420" s="253">
        <f t="shared" si="0"/>
        <v>1.8479000000000001</v>
      </c>
      <c r="C420" s="346">
        <v>162189560.93000001</v>
      </c>
      <c r="D420" s="258">
        <v>1.8479000000000001</v>
      </c>
      <c r="E420" s="14">
        <f>B420-Index_Returns!AI420</f>
        <v>-0.49209999999999976</v>
      </c>
      <c r="F420" s="52"/>
      <c r="G420" s="1311"/>
      <c r="H420" s="781"/>
      <c r="I420" s="52"/>
    </row>
    <row r="421" spans="1:9" x14ac:dyDescent="0.2">
      <c r="A421" s="345">
        <v>40329</v>
      </c>
      <c r="B421" s="253">
        <f t="shared" si="0"/>
        <v>-3.4695</v>
      </c>
      <c r="C421" s="346">
        <v>156574682.96000001</v>
      </c>
      <c r="D421" s="258">
        <v>-3.4695</v>
      </c>
      <c r="E421" s="14">
        <f>B421-Index_Returns!AI421</f>
        <v>0.12362999999999991</v>
      </c>
      <c r="F421" s="52"/>
      <c r="G421" s="1311"/>
      <c r="H421" s="781"/>
      <c r="I421" s="52"/>
    </row>
    <row r="422" spans="1:9" x14ac:dyDescent="0.2">
      <c r="A422" s="345">
        <v>40359</v>
      </c>
      <c r="B422" s="253">
        <f t="shared" si="0"/>
        <v>1.2749999999999999</v>
      </c>
      <c r="C422" s="346">
        <v>158560629.13999999</v>
      </c>
      <c r="D422" s="258">
        <v>1.2749999999999999</v>
      </c>
      <c r="E422" s="14">
        <f>B422-Index_Returns!AI422</f>
        <v>3.0529999999999946E-2</v>
      </c>
      <c r="F422" s="52"/>
      <c r="G422" s="1311"/>
      <c r="H422" s="781"/>
      <c r="I422" s="52"/>
    </row>
    <row r="423" spans="1:9" x14ac:dyDescent="0.2">
      <c r="A423" s="345">
        <v>40390</v>
      </c>
      <c r="B423" s="253">
        <f t="shared" si="0"/>
        <v>3.9773999999999998</v>
      </c>
      <c r="C423" s="346">
        <v>164846103.53</v>
      </c>
      <c r="D423" s="258">
        <v>3.9773999999999998</v>
      </c>
      <c r="E423" s="14">
        <f>B423-Index_Returns!AI423</f>
        <v>0.42138999999999971</v>
      </c>
      <c r="F423" s="52"/>
      <c r="G423" s="1311"/>
      <c r="H423" s="781"/>
      <c r="I423" s="52"/>
    </row>
    <row r="424" spans="1:9" x14ac:dyDescent="0.2">
      <c r="A424" s="345">
        <v>40421</v>
      </c>
      <c r="B424" s="253">
        <f t="shared" si="0"/>
        <v>-0.1792</v>
      </c>
      <c r="C424" s="346">
        <v>164579052.31999999</v>
      </c>
      <c r="D424" s="258">
        <v>-0.1792</v>
      </c>
      <c r="E424" s="14">
        <f>B424-Index_Returns!AI424</f>
        <v>-0.21573000000000001</v>
      </c>
      <c r="F424" s="52"/>
      <c r="G424" s="1311"/>
      <c r="H424" s="781"/>
      <c r="I424" s="52"/>
    </row>
    <row r="425" spans="1:9" x14ac:dyDescent="0.2">
      <c r="A425" s="345">
        <v>40451</v>
      </c>
      <c r="B425" s="253">
        <f t="shared" si="0"/>
        <v>3.1166</v>
      </c>
      <c r="C425" s="346">
        <v>220953640.28999999</v>
      </c>
      <c r="D425" s="258">
        <v>3.1166</v>
      </c>
      <c r="E425" s="14">
        <f>B425-Index_Returns!AI425</f>
        <v>0.10395000000000021</v>
      </c>
      <c r="F425" s="52"/>
      <c r="G425" s="1311"/>
      <c r="H425" s="781"/>
      <c r="I425" s="52"/>
    </row>
    <row r="426" spans="1:9" x14ac:dyDescent="0.2">
      <c r="A426" s="345">
        <v>40482</v>
      </c>
      <c r="B426" s="253">
        <f t="shared" si="0"/>
        <v>2.8494999999999999</v>
      </c>
      <c r="C426" s="346">
        <v>247620032.40000001</v>
      </c>
      <c r="D426" s="258">
        <v>2.8494999999999999</v>
      </c>
      <c r="E426" s="14">
        <f>B426-Index_Returns!AI426</f>
        <v>0.26679999999999993</v>
      </c>
      <c r="G426" s="1311"/>
      <c r="H426" s="781"/>
    </row>
    <row r="427" spans="1:9" x14ac:dyDescent="0.2">
      <c r="A427" s="345">
        <v>40512</v>
      </c>
      <c r="B427" s="253">
        <f t="shared" si="0"/>
        <v>-1.5751999999999999</v>
      </c>
      <c r="C427" s="346">
        <v>243728786.87</v>
      </c>
      <c r="D427" s="258">
        <v>-1.5751999999999999</v>
      </c>
      <c r="E427" s="14">
        <f>B427-Index_Returns!AI427</f>
        <v>-0.40649000000000002</v>
      </c>
      <c r="G427" s="1311"/>
      <c r="H427" s="781"/>
    </row>
    <row r="428" spans="1:9" x14ac:dyDescent="0.2">
      <c r="A428" s="345">
        <v>40543</v>
      </c>
      <c r="B428" s="253">
        <f t="shared" si="0"/>
        <v>2.1543999999999999</v>
      </c>
      <c r="C428" s="346">
        <v>248970246.02000001</v>
      </c>
      <c r="D428" s="258">
        <v>2.1543999999999999</v>
      </c>
      <c r="E428" s="14">
        <f>B428-Index_Returns!AI428</f>
        <v>0.34120999999999979</v>
      </c>
      <c r="G428" s="1311"/>
      <c r="H428" s="781"/>
    </row>
    <row r="429" spans="1:9" x14ac:dyDescent="0.2">
      <c r="A429" s="345">
        <v>40574</v>
      </c>
      <c r="B429" s="253">
        <f t="shared" si="0"/>
        <v>2.2683</v>
      </c>
      <c r="C429" s="346">
        <v>254609231.25</v>
      </c>
      <c r="D429" s="258">
        <v>2.2683</v>
      </c>
      <c r="E429" s="14">
        <f>B429-Index_Returns!AI429</f>
        <v>6.2059999999999782E-2</v>
      </c>
      <c r="G429" s="1311"/>
      <c r="H429" s="781"/>
    </row>
    <row r="430" spans="1:9" x14ac:dyDescent="0.2">
      <c r="A430" s="345">
        <v>40602</v>
      </c>
      <c r="B430" s="253">
        <f t="shared" si="0"/>
        <v>1.2232000000000001</v>
      </c>
      <c r="C430" s="346">
        <v>137880167.63</v>
      </c>
      <c r="D430" s="258">
        <v>1.2232000000000001</v>
      </c>
      <c r="E430" s="14">
        <f>B430-Index_Returns!AI430</f>
        <v>-8.7520000000000042E-2</v>
      </c>
      <c r="G430" s="1311"/>
      <c r="H430" s="781"/>
    </row>
    <row r="431" spans="1:9" x14ac:dyDescent="0.2">
      <c r="A431" s="345">
        <v>40633</v>
      </c>
      <c r="B431" s="253">
        <f t="shared" si="0"/>
        <v>0.41860000000000003</v>
      </c>
      <c r="C431" s="346">
        <v>138456402.97999999</v>
      </c>
      <c r="D431" s="258">
        <v>0.41860000000000003</v>
      </c>
      <c r="E431" s="14">
        <f>B431-Index_Returns!AI431</f>
        <v>9.5120000000000038E-2</v>
      </c>
      <c r="G431" s="1311"/>
      <c r="H431" s="781"/>
    </row>
    <row r="432" spans="1:9" x14ac:dyDescent="0.2">
      <c r="A432" s="345">
        <v>40663</v>
      </c>
      <c r="B432" s="253">
        <f t="shared" si="0"/>
        <v>1.7568999999999999</v>
      </c>
      <c r="C432" s="346">
        <v>140896800.84999999</v>
      </c>
      <c r="D432" s="258">
        <v>1.7568999999999999</v>
      </c>
      <c r="E432" s="14">
        <f>B432-Index_Returns!AI432</f>
        <v>0.20709999999999984</v>
      </c>
      <c r="G432" s="1311"/>
      <c r="H432" s="781"/>
    </row>
    <row r="433" spans="1:8" x14ac:dyDescent="0.2">
      <c r="A433" s="345">
        <v>40694</v>
      </c>
      <c r="B433" s="253">
        <f t="shared" si="0"/>
        <v>0.22209999999999999</v>
      </c>
      <c r="C433" s="346">
        <v>141409697.41999999</v>
      </c>
      <c r="D433" s="258">
        <v>0.22209999999999999</v>
      </c>
      <c r="E433" s="14">
        <f>B433-Index_Returns!AI433</f>
        <v>-0.26568999999999998</v>
      </c>
      <c r="G433" s="1311"/>
      <c r="H433" s="781"/>
    </row>
    <row r="434" spans="1:8" x14ac:dyDescent="0.2">
      <c r="A434" s="345">
        <v>40724</v>
      </c>
      <c r="B434" s="253">
        <f t="shared" si="0"/>
        <v>-1.1773</v>
      </c>
      <c r="C434" s="346">
        <v>139640562.72</v>
      </c>
      <c r="D434" s="258">
        <v>-1.1773</v>
      </c>
      <c r="E434" s="14">
        <f>B434-Index_Returns!AI434</f>
        <v>-0.20367000000000002</v>
      </c>
      <c r="G434" s="1311"/>
      <c r="H434" s="781"/>
    </row>
    <row r="435" spans="1:8" x14ac:dyDescent="0.2">
      <c r="A435" s="345">
        <v>40755</v>
      </c>
      <c r="B435" s="253">
        <f t="shared" si="0"/>
        <v>1.7855000000000001</v>
      </c>
      <c r="C435" s="346">
        <v>142231086.38999999</v>
      </c>
      <c r="D435" s="258">
        <v>1.7855000000000001</v>
      </c>
      <c r="E435" s="14">
        <f>B435-Index_Returns!AI435</f>
        <v>0.62653000000000003</v>
      </c>
      <c r="G435" s="1311"/>
      <c r="H435" s="781"/>
    </row>
    <row r="436" spans="1:8" x14ac:dyDescent="0.2">
      <c r="A436" s="345">
        <v>40786</v>
      </c>
      <c r="B436" s="253">
        <f t="shared" si="0"/>
        <v>-4.1154000000000002</v>
      </c>
      <c r="C436" s="346">
        <v>136511472.43000001</v>
      </c>
      <c r="D436" s="258">
        <v>-4.1154000000000002</v>
      </c>
      <c r="E436" s="14">
        <f>B436-Index_Returns!AI436</f>
        <v>-0.11289999999999978</v>
      </c>
      <c r="G436" s="1311"/>
      <c r="H436" s="781"/>
    </row>
    <row r="437" spans="1:8" x14ac:dyDescent="0.2">
      <c r="A437" s="345">
        <v>40816</v>
      </c>
      <c r="B437" s="253">
        <f t="shared" si="0"/>
        <v>-3.0497999999999998</v>
      </c>
      <c r="C437" s="346">
        <v>132353682.22</v>
      </c>
      <c r="D437" s="258">
        <v>-3.0497999999999998</v>
      </c>
      <c r="E437" s="14">
        <f>B437-Index_Returns!AI437</f>
        <v>0.21905000000000019</v>
      </c>
      <c r="G437" s="1311"/>
      <c r="H437" s="781"/>
    </row>
    <row r="438" spans="1:8" x14ac:dyDescent="0.2">
      <c r="A438" s="345">
        <v>40847</v>
      </c>
      <c r="B438" s="253">
        <f t="shared" si="0"/>
        <v>6.7754000000000003</v>
      </c>
      <c r="C438" s="346">
        <v>141316161.49000001</v>
      </c>
      <c r="D438" s="258">
        <v>6.7754000000000003</v>
      </c>
      <c r="E438" s="14">
        <f>B438-Index_Returns!AI438</f>
        <v>0.78238000000000074</v>
      </c>
      <c r="G438" s="1311"/>
      <c r="H438" s="781"/>
    </row>
    <row r="439" spans="1:8" x14ac:dyDescent="0.2">
      <c r="A439" s="345">
        <v>40877</v>
      </c>
      <c r="B439" s="253">
        <f t="shared" si="0"/>
        <v>-2.4278</v>
      </c>
      <c r="C439" s="346">
        <v>138016617.55000001</v>
      </c>
      <c r="D439" s="258">
        <v>-2.4278</v>
      </c>
      <c r="E439" s="14">
        <f>B439-Index_Returns!AI439</f>
        <v>-0.27154999999999996</v>
      </c>
      <c r="G439" s="1311"/>
      <c r="H439" s="781"/>
    </row>
    <row r="440" spans="1:8" x14ac:dyDescent="0.2">
      <c r="A440" s="345">
        <v>40908</v>
      </c>
      <c r="B440" s="253">
        <f t="shared" si="0"/>
        <v>2.5217000000000001</v>
      </c>
      <c r="C440" s="346">
        <v>382392030.66000003</v>
      </c>
      <c r="D440" s="258">
        <v>2.5217000000000001</v>
      </c>
      <c r="E440" s="14">
        <f>B440-Index_Returns!AI440</f>
        <v>-0.13493999999999984</v>
      </c>
      <c r="G440" s="1311"/>
      <c r="H440" s="781"/>
    </row>
    <row r="441" spans="1:8" x14ac:dyDescent="0.2">
      <c r="A441" s="345">
        <v>40939</v>
      </c>
      <c r="B441" s="253">
        <f t="shared" si="0"/>
        <v>3.0240999999999998</v>
      </c>
      <c r="C441" s="346">
        <v>393919634.00999999</v>
      </c>
      <c r="D441" s="258">
        <v>3.0240999999999998</v>
      </c>
      <c r="E441" s="14">
        <f>B441-Index_Returns!AI441</f>
        <v>-1.1750000000000149E-2</v>
      </c>
      <c r="G441" s="1311"/>
      <c r="H441" s="781"/>
    </row>
    <row r="442" spans="1:8" x14ac:dyDescent="0.2">
      <c r="A442" s="345">
        <v>40968</v>
      </c>
      <c r="B442" s="253">
        <f t="shared" si="0"/>
        <v>2.2858000000000001</v>
      </c>
      <c r="C442" s="346">
        <v>403107193.62</v>
      </c>
      <c r="D442" s="258">
        <v>2.2858000000000001</v>
      </c>
      <c r="E442" s="14">
        <f>B442-Index_Returns!AI442</f>
        <v>-8.9049999999999851E-2</v>
      </c>
      <c r="G442" s="1311"/>
      <c r="H442" s="781"/>
    </row>
    <row r="443" spans="1:8" x14ac:dyDescent="0.2">
      <c r="A443" s="345">
        <v>40999</v>
      </c>
      <c r="B443" s="253">
        <f t="shared" si="0"/>
        <v>-0.52490000000000003</v>
      </c>
      <c r="C443" s="346">
        <v>401035802.17000002</v>
      </c>
      <c r="D443" s="258">
        <v>-0.52490000000000003</v>
      </c>
      <c r="E443" s="14">
        <f>B443-Index_Returns!AI443</f>
        <v>-0.38574000000000003</v>
      </c>
      <c r="G443" s="1311"/>
      <c r="H443" s="781"/>
    </row>
    <row r="444" spans="1:8" x14ac:dyDescent="0.2">
      <c r="A444" s="345">
        <v>41029</v>
      </c>
      <c r="B444" s="253">
        <f t="shared" si="0"/>
        <v>1.2164999999999999</v>
      </c>
      <c r="C444" s="346">
        <v>405891484.56</v>
      </c>
      <c r="D444" s="258">
        <v>1.2164999999999999</v>
      </c>
      <c r="E444" s="14">
        <f>B444-Index_Returns!AI444</f>
        <v>0.1696899999999999</v>
      </c>
      <c r="G444" s="1311"/>
      <c r="H444" s="781"/>
    </row>
    <row r="445" spans="1:8" x14ac:dyDescent="0.2">
      <c r="A445" s="345">
        <v>41060</v>
      </c>
      <c r="B445" s="253">
        <f t="shared" si="0"/>
        <v>-1.4941</v>
      </c>
      <c r="C445" s="346">
        <v>400270619.01999998</v>
      </c>
      <c r="D445" s="258">
        <v>-1.4941</v>
      </c>
      <c r="E445" s="14">
        <f>B445-Index_Returns!AI445</f>
        <v>-0.18815999999999988</v>
      </c>
      <c r="G445" s="1311"/>
      <c r="H445" s="781"/>
    </row>
    <row r="446" spans="1:8" x14ac:dyDescent="0.2">
      <c r="A446" s="345">
        <v>41090</v>
      </c>
      <c r="B446" s="253">
        <f t="shared" si="0"/>
        <v>2.1071499999999999</v>
      </c>
      <c r="C446" s="346">
        <v>613480849.85000002</v>
      </c>
      <c r="D446" s="1311">
        <v>2.1071499999999999</v>
      </c>
      <c r="E446" s="14">
        <f>B446-Index_Returns!AI446</f>
        <v>-4.570000000000185E-3</v>
      </c>
      <c r="G446" s="1311"/>
      <c r="H446" s="781"/>
    </row>
    <row r="447" spans="1:8" x14ac:dyDescent="0.2">
      <c r="A447" s="345">
        <v>41121</v>
      </c>
      <c r="B447" s="253">
        <f t="shared" si="0"/>
        <v>2.2523</v>
      </c>
      <c r="C447" s="346">
        <v>627305076.87</v>
      </c>
      <c r="D447" s="258">
        <v>2.2523</v>
      </c>
      <c r="E447" s="14">
        <f>B447-Index_Returns!AI447</f>
        <v>0.35002</v>
      </c>
      <c r="G447" s="1311"/>
      <c r="H447" s="781"/>
    </row>
    <row r="448" spans="1:8" x14ac:dyDescent="0.2">
      <c r="A448" s="345">
        <v>41152</v>
      </c>
      <c r="B448" s="253">
        <f>D448</f>
        <v>0.93940000000000001</v>
      </c>
      <c r="C448" s="346">
        <v>633643968.83000004</v>
      </c>
      <c r="D448" s="258">
        <v>0.93940000000000001</v>
      </c>
      <c r="E448" s="14">
        <f>B448-Index_Returns!AI448</f>
        <v>-0.23120000000000007</v>
      </c>
      <c r="G448" s="1311"/>
      <c r="H448" s="781"/>
    </row>
    <row r="449" spans="1:8" x14ac:dyDescent="0.2">
      <c r="A449" s="345">
        <v>41182</v>
      </c>
      <c r="B449" s="253">
        <f>D449</f>
        <v>1.26153</v>
      </c>
      <c r="C449" s="346">
        <v>641554394.63999999</v>
      </c>
      <c r="D449" s="1311">
        <v>1.26153</v>
      </c>
      <c r="E449" s="14">
        <f>B449-Index_Returns!AI449</f>
        <v>-0.13013999999999992</v>
      </c>
      <c r="G449" s="1311"/>
      <c r="H449" s="781"/>
    </row>
    <row r="450" spans="1:8" x14ac:dyDescent="0.2">
      <c r="A450" s="345">
        <v>41213</v>
      </c>
      <c r="B450" s="253">
        <f>D450</f>
        <v>0.87507000000000001</v>
      </c>
      <c r="C450" s="346">
        <v>647183810.30999994</v>
      </c>
      <c r="D450" s="258">
        <v>0.87507000000000001</v>
      </c>
      <c r="E450" s="14">
        <f>B450-Index_Returns!AI450</f>
        <v>-3.5399999999999876E-3</v>
      </c>
      <c r="G450" s="1311"/>
      <c r="H450" s="781"/>
    </row>
    <row r="451" spans="1:8" x14ac:dyDescent="0.2">
      <c r="A451" s="345">
        <v>41243</v>
      </c>
      <c r="B451" s="253">
        <f>D451</f>
        <v>1.0130600000000001</v>
      </c>
      <c r="C451" s="346">
        <v>654348829.21000004</v>
      </c>
      <c r="D451" s="1311">
        <v>1.0130600000000001</v>
      </c>
      <c r="E451" s="14">
        <f>B451-Index_Returns!AI451</f>
        <v>0.2129700000000001</v>
      </c>
      <c r="G451" s="1311"/>
      <c r="H451" s="781"/>
    </row>
    <row r="452" spans="1:8" x14ac:dyDescent="0.2">
      <c r="A452" s="345">
        <v>41274</v>
      </c>
      <c r="B452" s="253">
        <f>D452</f>
        <v>1.52251</v>
      </c>
      <c r="C452" s="346">
        <v>664305950.78999996</v>
      </c>
      <c r="D452" s="1311">
        <v>1.52251</v>
      </c>
      <c r="E452" s="14">
        <f>B452-Index_Returns!AI452</f>
        <v>-5.3059999999999885E-2</v>
      </c>
      <c r="G452" s="1311"/>
      <c r="H452" s="781"/>
    </row>
    <row r="453" spans="1:8" x14ac:dyDescent="0.2">
      <c r="A453" s="345">
        <v>41305</v>
      </c>
      <c r="B453" s="253">
        <f t="shared" ref="B453:B488" si="1">D453</f>
        <v>1.1430499999999999</v>
      </c>
      <c r="C453" s="346">
        <v>671907640.73000002</v>
      </c>
      <c r="D453" s="1311">
        <v>1.1430499999999999</v>
      </c>
      <c r="E453" s="14">
        <f>B453-Index_Returns!AI453</f>
        <v>-0.1974800000000001</v>
      </c>
      <c r="G453" s="1311"/>
      <c r="H453" s="781"/>
    </row>
    <row r="454" spans="1:8" x14ac:dyDescent="0.2">
      <c r="A454" s="345">
        <v>41333</v>
      </c>
      <c r="B454" s="253">
        <f t="shared" si="1"/>
        <v>0.41327000000000003</v>
      </c>
      <c r="C454" s="346">
        <v>675391019.82000005</v>
      </c>
      <c r="D454" s="258">
        <v>0.41327000000000003</v>
      </c>
      <c r="E454" s="14">
        <f>B454-Index_Returns!AI454</f>
        <v>-9.4539999999999957E-2</v>
      </c>
      <c r="G454" s="1311"/>
      <c r="H454" s="781"/>
    </row>
    <row r="455" spans="1:8" x14ac:dyDescent="0.2">
      <c r="A455" s="345">
        <v>41364</v>
      </c>
      <c r="B455" s="253">
        <f t="shared" si="1"/>
        <v>1.0391999999999999</v>
      </c>
      <c r="C455" s="346">
        <v>682154391.77999997</v>
      </c>
      <c r="D455" s="258">
        <v>1.0391999999999999</v>
      </c>
      <c r="E455" s="14">
        <f>B455-Index_Returns!AI455</f>
        <v>2.0899999999999919E-2</v>
      </c>
      <c r="G455" s="1311"/>
      <c r="H455" s="781"/>
    </row>
    <row r="456" spans="1:8" x14ac:dyDescent="0.2">
      <c r="A456" s="345">
        <v>41394</v>
      </c>
      <c r="B456" s="253">
        <f t="shared" si="1"/>
        <v>2.2326899999999998</v>
      </c>
      <c r="C456" s="346">
        <v>697538358.20000005</v>
      </c>
      <c r="D456" s="258">
        <v>2.2326899999999998</v>
      </c>
      <c r="E456" s="14">
        <f>B456-Index_Returns!AI456</f>
        <v>0.42359999999999975</v>
      </c>
      <c r="G456" s="1311"/>
      <c r="H456" s="781"/>
    </row>
    <row r="457" spans="1:8" x14ac:dyDescent="0.2">
      <c r="A457" s="345">
        <v>41425</v>
      </c>
      <c r="B457" s="253">
        <f t="shared" si="1"/>
        <v>-1.27525</v>
      </c>
      <c r="C457" s="346">
        <v>689265991.41999996</v>
      </c>
      <c r="D457" s="1311">
        <v>-1.27525</v>
      </c>
      <c r="E457" s="14">
        <f>B457-Index_Returns!AI457</f>
        <v>-0.69523000000000001</v>
      </c>
      <c r="G457" s="1311"/>
      <c r="H457" s="781"/>
    </row>
    <row r="458" spans="1:8" x14ac:dyDescent="0.2">
      <c r="A458" s="345">
        <v>41455</v>
      </c>
      <c r="B458" s="253">
        <f t="shared" si="1"/>
        <v>-2.5034399999999999</v>
      </c>
      <c r="C458" s="1307">
        <v>671962838.21000004</v>
      </c>
      <c r="D458" s="1311">
        <v>-2.5034399999999999</v>
      </c>
      <c r="E458" s="14">
        <f>B458-Index_Returns!AI458</f>
        <v>0.11875999999999998</v>
      </c>
      <c r="G458" s="1311"/>
      <c r="H458" s="781"/>
    </row>
    <row r="459" spans="1:8" x14ac:dyDescent="0.2">
      <c r="A459" s="345">
        <v>41486</v>
      </c>
      <c r="B459" s="253">
        <f t="shared" si="1"/>
        <v>2.0787800000000001</v>
      </c>
      <c r="C459" s="346">
        <v>685946219.91999996</v>
      </c>
      <c r="D459" s="258">
        <v>2.0787800000000001</v>
      </c>
      <c r="E459" s="14">
        <f>B459-Index_Returns!AI459</f>
        <v>0.18348000000000009</v>
      </c>
      <c r="G459" s="1311"/>
      <c r="H459" s="781"/>
    </row>
    <row r="460" spans="1:8" x14ac:dyDescent="0.2">
      <c r="A460" s="345">
        <v>41517</v>
      </c>
      <c r="B460" s="253">
        <f t="shared" si="1"/>
        <v>-1.0198700000000001</v>
      </c>
      <c r="C460" s="346">
        <v>679537470.45000005</v>
      </c>
      <c r="D460" s="258">
        <v>-1.0198700000000001</v>
      </c>
      <c r="E460" s="14">
        <f>B460-Index_Returns!AI460</f>
        <v>-0.41252000000000011</v>
      </c>
    </row>
    <row r="461" spans="1:8" x14ac:dyDescent="0.2">
      <c r="A461" s="345">
        <v>41547</v>
      </c>
      <c r="B461" s="253">
        <f t="shared" si="1"/>
        <v>1.20329</v>
      </c>
      <c r="C461" s="346">
        <v>687714241.50999999</v>
      </c>
      <c r="D461" s="258">
        <v>1.20329</v>
      </c>
      <c r="E461" s="14">
        <f>B461-Index_Returns!AI461</f>
        <v>0.21017999999999992</v>
      </c>
    </row>
    <row r="462" spans="1:8" x14ac:dyDescent="0.2">
      <c r="A462" s="345">
        <v>41578</v>
      </c>
      <c r="B462" s="253">
        <f t="shared" si="1"/>
        <v>2.5499299999999998</v>
      </c>
      <c r="C462" s="346">
        <v>705250482.73000002</v>
      </c>
      <c r="D462" s="258">
        <v>2.5499299999999998</v>
      </c>
      <c r="E462" s="14">
        <f>B462-Index_Returns!AI462</f>
        <v>4.4599999999999973E-2</v>
      </c>
    </row>
    <row r="463" spans="1:8" x14ac:dyDescent="0.2">
      <c r="A463" s="345">
        <v>41608</v>
      </c>
      <c r="B463" s="253">
        <f t="shared" si="1"/>
        <v>0.19950999999999999</v>
      </c>
      <c r="C463" s="346">
        <v>706657490.13999999</v>
      </c>
      <c r="D463" s="258">
        <v>0.19950999999999999</v>
      </c>
      <c r="E463" s="14">
        <f>B463-Index_Returns!AI463</f>
        <v>-0.30802000000000007</v>
      </c>
    </row>
    <row r="464" spans="1:8" x14ac:dyDescent="0.2">
      <c r="A464" s="345">
        <v>41639</v>
      </c>
      <c r="B464" s="253">
        <f t="shared" si="1"/>
        <v>0.49929000000000001</v>
      </c>
      <c r="C464" s="346">
        <v>710185783.47000003</v>
      </c>
      <c r="D464" s="258">
        <v>0.49929000000000001</v>
      </c>
      <c r="E464" s="14">
        <f>B464-Index_Returns!AI464</f>
        <v>-4.0390000000000037E-2</v>
      </c>
    </row>
    <row r="465" spans="1:5" x14ac:dyDescent="0.2">
      <c r="A465" s="345">
        <v>41670</v>
      </c>
      <c r="B465" s="253">
        <f t="shared" si="1"/>
        <v>0.53247</v>
      </c>
      <c r="C465" s="346">
        <v>714560347.57000005</v>
      </c>
      <c r="D465" s="258">
        <v>0.53247</v>
      </c>
      <c r="E465" s="14">
        <f>B465-Index_Returns!AI465</f>
        <v>-0.16868000000000005</v>
      </c>
    </row>
    <row r="466" spans="1:5" x14ac:dyDescent="0.2">
      <c r="A466" s="345">
        <v>41698</v>
      </c>
      <c r="B466" s="253">
        <f t="shared" si="1"/>
        <v>2.1594600000000002</v>
      </c>
      <c r="C466" s="346">
        <v>730607155.50999999</v>
      </c>
      <c r="D466" s="258">
        <v>2.1594600000000002</v>
      </c>
      <c r="E466" s="14">
        <f>B466-Index_Returns!AI466</f>
        <v>0.13635000000000019</v>
      </c>
    </row>
    <row r="467" spans="1:5" x14ac:dyDescent="0.2">
      <c r="A467" s="345">
        <v>41729</v>
      </c>
      <c r="B467" s="253">
        <f t="shared" si="1"/>
        <v>0.16098000000000001</v>
      </c>
      <c r="C467" s="346">
        <v>731783267.73000002</v>
      </c>
      <c r="D467" s="258">
        <v>0.16098000000000001</v>
      </c>
      <c r="E467" s="14">
        <f>B467-Index_Returns!AI467</f>
        <v>-7.5389999999999985E-2</v>
      </c>
    </row>
    <row r="468" spans="1:5" x14ac:dyDescent="0.2">
      <c r="A468" s="345">
        <v>41759</v>
      </c>
      <c r="B468" s="253">
        <f t="shared" si="1"/>
        <v>0.66222000000000003</v>
      </c>
      <c r="C468" s="346">
        <v>736629253.47000003</v>
      </c>
      <c r="D468" s="258">
        <v>0.66222000000000003</v>
      </c>
      <c r="E468" s="14">
        <f>B468-Index_Returns!AI468</f>
        <v>2.8870000000000062E-2</v>
      </c>
    </row>
    <row r="469" spans="1:5" x14ac:dyDescent="0.2">
      <c r="A469" s="345">
        <v>41790</v>
      </c>
      <c r="B469" s="253">
        <f t="shared" si="1"/>
        <v>0.83679999999999999</v>
      </c>
      <c r="C469" s="346">
        <v>743423656.21000004</v>
      </c>
      <c r="D469" s="258">
        <v>0.83679999999999999</v>
      </c>
      <c r="E469" s="14">
        <f>B469-Index_Returns!AI469</f>
        <v>-8.3069999999999977E-2</v>
      </c>
    </row>
    <row r="470" spans="1:5" x14ac:dyDescent="0.2">
      <c r="A470" s="345">
        <v>41820</v>
      </c>
      <c r="B470" s="253">
        <f t="shared" si="1"/>
        <v>0.79815999999999998</v>
      </c>
      <c r="C470" s="346">
        <v>749357384.36000001</v>
      </c>
      <c r="D470" s="258">
        <v>0.79815999999999998</v>
      </c>
      <c r="E470" s="14">
        <f>B470-Index_Returns!AI470</f>
        <v>-3.7070000000000047E-2</v>
      </c>
    </row>
    <row r="471" spans="1:5" x14ac:dyDescent="0.2">
      <c r="A471" s="345">
        <v>41851</v>
      </c>
      <c r="B471" s="253">
        <f t="shared" si="1"/>
        <v>-1.53931</v>
      </c>
      <c r="C471" s="346">
        <v>638648229.54299998</v>
      </c>
      <c r="D471" s="258">
        <v>-1.53931</v>
      </c>
      <c r="E471" s="14">
        <f>B471-Index_Returns!AI471</f>
        <v>-0.20589999999999997</v>
      </c>
    </row>
    <row r="472" spans="1:5" x14ac:dyDescent="0.2">
      <c r="A472" s="345">
        <v>41882</v>
      </c>
      <c r="B472" s="253">
        <f t="shared" si="1"/>
        <v>1.86328</v>
      </c>
      <c r="C472" s="346">
        <v>651202825.72000003</v>
      </c>
      <c r="D472" s="258">
        <v>1.86328</v>
      </c>
      <c r="E472" s="14">
        <f>B472-Index_Returns!AI472</f>
        <v>0.27808999999999995</v>
      </c>
    </row>
    <row r="473" spans="1:5" x14ac:dyDescent="0.2">
      <c r="A473" s="345">
        <v>41912</v>
      </c>
      <c r="B473" s="253">
        <f t="shared" si="1"/>
        <v>0</v>
      </c>
      <c r="E473" s="14">
        <f>B473-Index_Returns!AI473</f>
        <v>0</v>
      </c>
    </row>
    <row r="474" spans="1:5" x14ac:dyDescent="0.2">
      <c r="A474" s="345">
        <v>41943</v>
      </c>
      <c r="B474" s="253">
        <f t="shared" si="1"/>
        <v>0</v>
      </c>
      <c r="E474" s="14">
        <f>B474-Index_Returns!AI474</f>
        <v>0</v>
      </c>
    </row>
    <row r="475" spans="1:5" x14ac:dyDescent="0.2">
      <c r="A475" s="345">
        <v>41973</v>
      </c>
      <c r="B475" s="253">
        <f t="shared" si="1"/>
        <v>0</v>
      </c>
      <c r="E475" s="14">
        <f>B475-Index_Returns!AI475</f>
        <v>0</v>
      </c>
    </row>
    <row r="476" spans="1:5" x14ac:dyDescent="0.2">
      <c r="A476" s="345">
        <v>42004</v>
      </c>
      <c r="B476" s="253">
        <f t="shared" si="1"/>
        <v>0</v>
      </c>
      <c r="E476" s="14">
        <f>B476-Index_Returns!AI476</f>
        <v>0</v>
      </c>
    </row>
    <row r="477" spans="1:5" x14ac:dyDescent="0.2">
      <c r="A477" s="345">
        <v>42035</v>
      </c>
      <c r="B477" s="253">
        <f t="shared" si="1"/>
        <v>0</v>
      </c>
      <c r="E477" s="14">
        <f>B477-Index_Returns!AI477</f>
        <v>0</v>
      </c>
    </row>
    <row r="478" spans="1:5" x14ac:dyDescent="0.2">
      <c r="A478" s="345">
        <v>42063</v>
      </c>
      <c r="B478" s="253">
        <f t="shared" si="1"/>
        <v>0</v>
      </c>
      <c r="E478" s="14">
        <f>B478-Index_Returns!AI478</f>
        <v>0</v>
      </c>
    </row>
    <row r="479" spans="1:5" x14ac:dyDescent="0.2">
      <c r="A479" s="345">
        <v>42094</v>
      </c>
      <c r="B479" s="253">
        <f t="shared" si="1"/>
        <v>0</v>
      </c>
      <c r="E479" s="14">
        <f>B479-Index_Returns!AI479</f>
        <v>0</v>
      </c>
    </row>
    <row r="480" spans="1:5" x14ac:dyDescent="0.2">
      <c r="A480" s="345">
        <v>42124</v>
      </c>
      <c r="B480" s="253">
        <f t="shared" si="1"/>
        <v>0</v>
      </c>
      <c r="E480" s="14">
        <f>B480-Index_Returns!AI480</f>
        <v>0</v>
      </c>
    </row>
    <row r="481" spans="1:5" x14ac:dyDescent="0.2">
      <c r="A481" s="345">
        <v>42155</v>
      </c>
      <c r="B481" s="253">
        <f t="shared" si="1"/>
        <v>0</v>
      </c>
      <c r="E481" s="14">
        <f>B481-Index_Returns!AI481</f>
        <v>0</v>
      </c>
    </row>
    <row r="482" spans="1:5" x14ac:dyDescent="0.2">
      <c r="A482" s="345">
        <v>42185</v>
      </c>
      <c r="B482" s="253">
        <f t="shared" si="1"/>
        <v>0</v>
      </c>
      <c r="E482" s="14">
        <f>B482-Index_Returns!AI482</f>
        <v>0</v>
      </c>
    </row>
    <row r="483" spans="1:5" x14ac:dyDescent="0.2">
      <c r="A483" s="345">
        <v>42216</v>
      </c>
      <c r="B483" s="253">
        <f t="shared" si="1"/>
        <v>0</v>
      </c>
      <c r="E483" s="14">
        <f>B483-Index_Returns!AI483</f>
        <v>0</v>
      </c>
    </row>
    <row r="484" spans="1:5" x14ac:dyDescent="0.2">
      <c r="A484" s="345">
        <v>42247</v>
      </c>
      <c r="B484" s="253">
        <f t="shared" si="1"/>
        <v>0</v>
      </c>
      <c r="E484" s="14">
        <f>B484-Index_Returns!AI484</f>
        <v>0</v>
      </c>
    </row>
    <row r="485" spans="1:5" x14ac:dyDescent="0.2">
      <c r="A485" s="345">
        <v>42277</v>
      </c>
      <c r="B485" s="253">
        <f t="shared" si="1"/>
        <v>0</v>
      </c>
      <c r="E485" s="14">
        <f>B485-Index_Returns!AI485</f>
        <v>0</v>
      </c>
    </row>
    <row r="486" spans="1:5" x14ac:dyDescent="0.2">
      <c r="A486" s="345">
        <v>42308</v>
      </c>
      <c r="B486" s="253">
        <f t="shared" si="1"/>
        <v>0</v>
      </c>
      <c r="E486" s="14">
        <f>B486-Index_Returns!AI486</f>
        <v>0</v>
      </c>
    </row>
    <row r="487" spans="1:5" x14ac:dyDescent="0.2">
      <c r="A487" s="345">
        <v>42338</v>
      </c>
      <c r="B487" s="253">
        <f t="shared" si="1"/>
        <v>0</v>
      </c>
      <c r="E487" s="14">
        <f>B487-Index_Returns!AI487</f>
        <v>0</v>
      </c>
    </row>
    <row r="488" spans="1:5" x14ac:dyDescent="0.2">
      <c r="A488" s="345">
        <v>42369</v>
      </c>
      <c r="B488" s="253">
        <f t="shared" si="1"/>
        <v>0</v>
      </c>
      <c r="E488" s="14">
        <f>B488-Index_Returns!AI488</f>
        <v>0</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I488"/>
  <sheetViews>
    <sheetView workbookViewId="0">
      <pane xSplit="1" ySplit="2" topLeftCell="B453" activePane="bottomRight" state="frozen"/>
      <selection pane="topRight" activeCell="B1" sqref="B1"/>
      <selection pane="bottomLeft" activeCell="A3" sqref="A3"/>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4" width="18.7109375" style="258" customWidth="1"/>
    <col min="5" max="5" width="9.140625" style="14"/>
    <col min="6" max="6" width="12.42578125" bestFit="1" customWidth="1"/>
    <col min="7" max="8" width="9.140625" style="352"/>
  </cols>
  <sheetData>
    <row r="1" spans="1:6" x14ac:dyDescent="0.2">
      <c r="A1" s="1420" t="s">
        <v>892</v>
      </c>
      <c r="B1" s="1281"/>
      <c r="C1" s="1388" t="s">
        <v>654</v>
      </c>
      <c r="D1" s="1375">
        <v>40</v>
      </c>
      <c r="F1" s="21" t="s">
        <v>893</v>
      </c>
    </row>
    <row r="2" spans="1:6" x14ac:dyDescent="0.2">
      <c r="A2" s="3" t="s">
        <v>27</v>
      </c>
      <c r="B2" s="71" t="s">
        <v>91</v>
      </c>
      <c r="C2" s="226" t="s">
        <v>92</v>
      </c>
      <c r="D2" s="71" t="s">
        <v>90</v>
      </c>
      <c r="E2" s="734" t="s">
        <v>80</v>
      </c>
    </row>
    <row r="3" spans="1:6" x14ac:dyDescent="0.2">
      <c r="A3" s="345">
        <v>27606</v>
      </c>
      <c r="B3" s="71"/>
      <c r="C3" s="226"/>
      <c r="D3" s="71"/>
    </row>
    <row r="4" spans="1:6" x14ac:dyDescent="0.2">
      <c r="A4" s="345">
        <v>27637</v>
      </c>
      <c r="B4" s="71"/>
      <c r="C4" s="226"/>
      <c r="D4" s="71"/>
    </row>
    <row r="5" spans="1:6" x14ac:dyDescent="0.2">
      <c r="A5" s="345">
        <v>27667</v>
      </c>
      <c r="B5" s="71"/>
      <c r="C5" s="226"/>
      <c r="D5" s="71"/>
    </row>
    <row r="6" spans="1:6" x14ac:dyDescent="0.2">
      <c r="A6" s="345">
        <v>27698</v>
      </c>
      <c r="B6" s="71"/>
      <c r="C6" s="226"/>
      <c r="D6" s="71"/>
    </row>
    <row r="7" spans="1:6" x14ac:dyDescent="0.2">
      <c r="A7" s="345">
        <v>27728</v>
      </c>
      <c r="B7" s="71"/>
      <c r="C7" s="226"/>
      <c r="D7" s="71"/>
    </row>
    <row r="8" spans="1:6" x14ac:dyDescent="0.2">
      <c r="A8" s="345">
        <v>27759</v>
      </c>
      <c r="B8" s="71"/>
      <c r="C8" s="226"/>
      <c r="D8" s="71"/>
    </row>
    <row r="9" spans="1:6" x14ac:dyDescent="0.2">
      <c r="A9" s="345">
        <v>27790</v>
      </c>
      <c r="B9" s="71"/>
      <c r="C9" s="226"/>
      <c r="D9" s="71"/>
    </row>
    <row r="10" spans="1:6" x14ac:dyDescent="0.2">
      <c r="A10" s="345">
        <v>27819</v>
      </c>
      <c r="B10" s="71"/>
      <c r="C10" s="226"/>
      <c r="D10" s="71"/>
    </row>
    <row r="11" spans="1:6" x14ac:dyDescent="0.2">
      <c r="A11" s="345">
        <v>27850</v>
      </c>
      <c r="B11" s="71"/>
      <c r="C11" s="226"/>
      <c r="D11" s="71"/>
    </row>
    <row r="12" spans="1:6" x14ac:dyDescent="0.2">
      <c r="A12" s="345">
        <v>27880</v>
      </c>
      <c r="B12" s="71"/>
      <c r="C12" s="226"/>
      <c r="D12" s="71"/>
    </row>
    <row r="13" spans="1:6" x14ac:dyDescent="0.2">
      <c r="A13" s="345">
        <v>27911</v>
      </c>
      <c r="B13" s="71"/>
      <c r="C13" s="226"/>
      <c r="D13" s="71"/>
    </row>
    <row r="14" spans="1:6" x14ac:dyDescent="0.2">
      <c r="A14" s="345">
        <v>27941</v>
      </c>
      <c r="B14" s="71"/>
      <c r="C14" s="226"/>
      <c r="D14" s="71"/>
    </row>
    <row r="15" spans="1:6" x14ac:dyDescent="0.2">
      <c r="A15" s="345">
        <v>27972</v>
      </c>
      <c r="B15" s="71"/>
      <c r="C15" s="226"/>
      <c r="D15" s="71"/>
    </row>
    <row r="16" spans="1:6" x14ac:dyDescent="0.2">
      <c r="A16" s="345">
        <v>28003</v>
      </c>
      <c r="B16" s="71"/>
      <c r="C16" s="226"/>
      <c r="D16" s="71"/>
    </row>
    <row r="17" spans="1:4" x14ac:dyDescent="0.2">
      <c r="A17" s="345">
        <v>28033</v>
      </c>
      <c r="B17" s="71"/>
      <c r="C17" s="226"/>
      <c r="D17" s="71"/>
    </row>
    <row r="18" spans="1:4" x14ac:dyDescent="0.2">
      <c r="A18" s="345">
        <v>28064</v>
      </c>
      <c r="B18" s="71"/>
      <c r="C18" s="226"/>
      <c r="D18" s="71"/>
    </row>
    <row r="19" spans="1:4" x14ac:dyDescent="0.2">
      <c r="A19" s="345">
        <v>28094</v>
      </c>
      <c r="B19" s="71"/>
      <c r="C19" s="226"/>
      <c r="D19" s="71"/>
    </row>
    <row r="20" spans="1:4" x14ac:dyDescent="0.2">
      <c r="A20" s="345">
        <v>28125</v>
      </c>
      <c r="B20" s="71"/>
      <c r="C20" s="226"/>
      <c r="D20" s="71"/>
    </row>
    <row r="21" spans="1:4" x14ac:dyDescent="0.2">
      <c r="A21" s="345">
        <v>28156</v>
      </c>
      <c r="B21" s="71"/>
      <c r="C21" s="226"/>
      <c r="D21" s="71"/>
    </row>
    <row r="22" spans="1:4" x14ac:dyDescent="0.2">
      <c r="A22" s="345">
        <v>28184</v>
      </c>
      <c r="B22" s="71"/>
      <c r="C22" s="226"/>
      <c r="D22" s="71"/>
    </row>
    <row r="23" spans="1:4" x14ac:dyDescent="0.2">
      <c r="A23" s="345">
        <v>28215</v>
      </c>
      <c r="B23" s="71"/>
      <c r="C23" s="226"/>
      <c r="D23" s="71"/>
    </row>
    <row r="24" spans="1:4" x14ac:dyDescent="0.2">
      <c r="A24" s="345">
        <v>28245</v>
      </c>
      <c r="B24" s="71"/>
      <c r="C24" s="226"/>
      <c r="D24" s="71"/>
    </row>
    <row r="25" spans="1:4" x14ac:dyDescent="0.2">
      <c r="A25" s="345">
        <v>28276</v>
      </c>
      <c r="B25" s="71"/>
      <c r="C25" s="226"/>
      <c r="D25" s="71"/>
    </row>
    <row r="26" spans="1:4" x14ac:dyDescent="0.2">
      <c r="A26" s="345">
        <v>28306</v>
      </c>
      <c r="B26" s="71"/>
      <c r="C26" s="226"/>
      <c r="D26" s="71"/>
    </row>
    <row r="27" spans="1:4" x14ac:dyDescent="0.2">
      <c r="A27" s="345">
        <v>28337</v>
      </c>
      <c r="B27" s="71"/>
      <c r="C27" s="226"/>
      <c r="D27" s="71"/>
    </row>
    <row r="28" spans="1:4" x14ac:dyDescent="0.2">
      <c r="A28" s="345">
        <v>28368</v>
      </c>
      <c r="B28" s="71"/>
      <c r="C28" s="226"/>
      <c r="D28" s="71"/>
    </row>
    <row r="29" spans="1:4" x14ac:dyDescent="0.2">
      <c r="A29" s="345">
        <v>28398</v>
      </c>
      <c r="B29" s="71"/>
      <c r="C29" s="226"/>
      <c r="D29" s="71"/>
    </row>
    <row r="30" spans="1:4" x14ac:dyDescent="0.2">
      <c r="A30" s="345">
        <v>28429</v>
      </c>
      <c r="B30" s="71"/>
      <c r="C30" s="226"/>
      <c r="D30" s="71"/>
    </row>
    <row r="31" spans="1:4" x14ac:dyDescent="0.2">
      <c r="A31" s="345">
        <v>28459</v>
      </c>
      <c r="B31" s="71"/>
      <c r="C31" s="226"/>
      <c r="D31" s="71"/>
    </row>
    <row r="32" spans="1:4" x14ac:dyDescent="0.2">
      <c r="A32" s="345">
        <v>28490</v>
      </c>
      <c r="B32" s="71"/>
      <c r="C32" s="226"/>
      <c r="D32" s="71"/>
    </row>
    <row r="33" spans="1:4" x14ac:dyDescent="0.2">
      <c r="A33" s="345">
        <v>28521</v>
      </c>
      <c r="B33" s="71"/>
      <c r="C33" s="226"/>
      <c r="D33" s="71"/>
    </row>
    <row r="34" spans="1:4" x14ac:dyDescent="0.2">
      <c r="A34" s="345">
        <v>28549</v>
      </c>
      <c r="B34" s="71"/>
      <c r="C34" s="226"/>
      <c r="D34" s="71"/>
    </row>
    <row r="35" spans="1:4" x14ac:dyDescent="0.2">
      <c r="A35" s="345">
        <v>28580</v>
      </c>
      <c r="B35" s="71"/>
      <c r="C35" s="226"/>
      <c r="D35" s="71"/>
    </row>
    <row r="36" spans="1:4" x14ac:dyDescent="0.2">
      <c r="A36" s="345">
        <v>28610</v>
      </c>
      <c r="B36" s="71"/>
      <c r="C36" s="226"/>
      <c r="D36" s="71"/>
    </row>
    <row r="37" spans="1:4" x14ac:dyDescent="0.2">
      <c r="A37" s="345">
        <v>28641</v>
      </c>
      <c r="B37" s="71"/>
      <c r="C37" s="226"/>
      <c r="D37" s="71"/>
    </row>
    <row r="38" spans="1:4" x14ac:dyDescent="0.2">
      <c r="A38" s="345">
        <v>28671</v>
      </c>
      <c r="B38" s="71"/>
      <c r="C38" s="226"/>
      <c r="D38" s="71"/>
    </row>
    <row r="39" spans="1:4" x14ac:dyDescent="0.2">
      <c r="A39" s="345">
        <v>28702</v>
      </c>
      <c r="B39" s="71"/>
      <c r="C39" s="226"/>
      <c r="D39" s="71"/>
    </row>
    <row r="40" spans="1:4" x14ac:dyDescent="0.2">
      <c r="A40" s="345">
        <v>28733</v>
      </c>
      <c r="B40" s="71"/>
      <c r="C40" s="226"/>
      <c r="D40" s="71"/>
    </row>
    <row r="41" spans="1:4" x14ac:dyDescent="0.2">
      <c r="A41" s="345">
        <v>28763</v>
      </c>
      <c r="B41" s="71"/>
      <c r="C41" s="226"/>
      <c r="D41" s="71"/>
    </row>
    <row r="42" spans="1:4" x14ac:dyDescent="0.2">
      <c r="A42" s="345">
        <v>28794</v>
      </c>
      <c r="B42" s="71"/>
      <c r="C42" s="226"/>
      <c r="D42" s="71"/>
    </row>
    <row r="43" spans="1:4" x14ac:dyDescent="0.2">
      <c r="A43" s="345">
        <v>28824</v>
      </c>
      <c r="B43" s="71"/>
      <c r="C43" s="226"/>
      <c r="D43" s="71"/>
    </row>
    <row r="44" spans="1:4" x14ac:dyDescent="0.2">
      <c r="A44" s="345">
        <v>28855</v>
      </c>
      <c r="B44" s="71"/>
      <c r="C44" s="226"/>
      <c r="D44" s="71"/>
    </row>
    <row r="45" spans="1:4" x14ac:dyDescent="0.2">
      <c r="A45" s="345">
        <v>28886</v>
      </c>
      <c r="B45" s="71"/>
      <c r="C45" s="226"/>
      <c r="D45" s="71"/>
    </row>
    <row r="46" spans="1:4" x14ac:dyDescent="0.2">
      <c r="A46" s="345">
        <v>28914</v>
      </c>
      <c r="B46" s="71"/>
      <c r="C46" s="226"/>
      <c r="D46" s="71"/>
    </row>
    <row r="47" spans="1:4" x14ac:dyDescent="0.2">
      <c r="A47" s="345">
        <v>28945</v>
      </c>
      <c r="B47" s="71"/>
      <c r="C47" s="226"/>
      <c r="D47" s="71"/>
    </row>
    <row r="48" spans="1:4" x14ac:dyDescent="0.2">
      <c r="A48" s="345">
        <v>28975</v>
      </c>
      <c r="B48" s="71"/>
      <c r="C48" s="226"/>
      <c r="D48" s="71"/>
    </row>
    <row r="49" spans="1:4" x14ac:dyDescent="0.2">
      <c r="A49" s="345">
        <v>29006</v>
      </c>
      <c r="B49" s="71"/>
      <c r="C49" s="226"/>
      <c r="D49" s="71"/>
    </row>
    <row r="50" spans="1:4" x14ac:dyDescent="0.2">
      <c r="A50" s="345">
        <v>29036</v>
      </c>
      <c r="B50" s="71"/>
      <c r="C50" s="226"/>
      <c r="D50" s="71"/>
    </row>
    <row r="51" spans="1:4" x14ac:dyDescent="0.2">
      <c r="A51" s="345">
        <v>29067</v>
      </c>
      <c r="B51" s="71"/>
      <c r="C51" s="226"/>
      <c r="D51" s="71"/>
    </row>
    <row r="52" spans="1:4" x14ac:dyDescent="0.2">
      <c r="A52" s="345">
        <v>29098</v>
      </c>
      <c r="B52" s="71"/>
      <c r="C52" s="226"/>
      <c r="D52" s="71"/>
    </row>
    <row r="53" spans="1:4" x14ac:dyDescent="0.2">
      <c r="A53" s="345">
        <v>29128</v>
      </c>
      <c r="B53" s="71"/>
      <c r="C53" s="226"/>
      <c r="D53" s="71"/>
    </row>
    <row r="54" spans="1:4" x14ac:dyDescent="0.2">
      <c r="A54" s="345">
        <v>29159</v>
      </c>
      <c r="B54" s="71"/>
      <c r="C54" s="226"/>
      <c r="D54" s="71"/>
    </row>
    <row r="55" spans="1:4" x14ac:dyDescent="0.2">
      <c r="A55" s="345">
        <v>29189</v>
      </c>
      <c r="B55" s="71"/>
      <c r="C55" s="226"/>
      <c r="D55" s="71"/>
    </row>
    <row r="56" spans="1:4" x14ac:dyDescent="0.2">
      <c r="A56" s="345">
        <v>29220</v>
      </c>
      <c r="B56" s="71"/>
      <c r="C56" s="226"/>
      <c r="D56" s="71"/>
    </row>
    <row r="57" spans="1:4" x14ac:dyDescent="0.2">
      <c r="A57" s="345">
        <v>29251</v>
      </c>
      <c r="B57" s="71"/>
      <c r="C57" s="226"/>
      <c r="D57" s="71"/>
    </row>
    <row r="58" spans="1:4" x14ac:dyDescent="0.2">
      <c r="A58" s="345">
        <v>29280</v>
      </c>
      <c r="B58" s="71"/>
      <c r="C58" s="226"/>
      <c r="D58" s="71"/>
    </row>
    <row r="59" spans="1:4" x14ac:dyDescent="0.2">
      <c r="A59" s="345">
        <v>29311</v>
      </c>
      <c r="B59" s="71"/>
      <c r="C59" s="226"/>
      <c r="D59" s="71"/>
    </row>
    <row r="60" spans="1:4" x14ac:dyDescent="0.2">
      <c r="A60" s="345">
        <v>29341</v>
      </c>
      <c r="B60" s="71"/>
      <c r="C60" s="226"/>
      <c r="D60" s="71"/>
    </row>
    <row r="61" spans="1:4" x14ac:dyDescent="0.2">
      <c r="A61" s="345">
        <v>29372</v>
      </c>
      <c r="B61" s="71"/>
      <c r="C61" s="226"/>
      <c r="D61" s="71"/>
    </row>
    <row r="62" spans="1:4" x14ac:dyDescent="0.2">
      <c r="A62" s="345">
        <v>29402</v>
      </c>
      <c r="B62" s="71"/>
      <c r="C62" s="226"/>
      <c r="D62" s="71"/>
    </row>
    <row r="63" spans="1:4" x14ac:dyDescent="0.2">
      <c r="A63" s="345">
        <v>29433</v>
      </c>
      <c r="B63" s="71"/>
      <c r="C63" s="226"/>
      <c r="D63" s="71"/>
    </row>
    <row r="64" spans="1:4" x14ac:dyDescent="0.2">
      <c r="A64" s="345">
        <v>29464</v>
      </c>
      <c r="B64" s="71"/>
      <c r="C64" s="226"/>
      <c r="D64" s="71"/>
    </row>
    <row r="65" spans="1:4" x14ac:dyDescent="0.2">
      <c r="A65" s="345">
        <v>29494</v>
      </c>
      <c r="B65" s="71"/>
      <c r="C65" s="226"/>
      <c r="D65" s="71"/>
    </row>
    <row r="66" spans="1:4" x14ac:dyDescent="0.2">
      <c r="A66" s="345">
        <v>29525</v>
      </c>
      <c r="B66" s="71"/>
      <c r="C66" s="226"/>
      <c r="D66" s="71"/>
    </row>
    <row r="67" spans="1:4" x14ac:dyDescent="0.2">
      <c r="A67" s="345">
        <v>29555</v>
      </c>
      <c r="B67" s="71"/>
      <c r="C67" s="226"/>
      <c r="D67" s="71"/>
    </row>
    <row r="68" spans="1:4" x14ac:dyDescent="0.2">
      <c r="A68" s="345">
        <v>29586</v>
      </c>
      <c r="B68" s="71"/>
      <c r="C68" s="226"/>
      <c r="D68" s="71"/>
    </row>
    <row r="69" spans="1:4" x14ac:dyDescent="0.2">
      <c r="A69" s="345">
        <v>29617</v>
      </c>
      <c r="B69" s="71"/>
      <c r="C69" s="226"/>
      <c r="D69" s="71"/>
    </row>
    <row r="70" spans="1:4" x14ac:dyDescent="0.2">
      <c r="A70" s="345">
        <v>29645</v>
      </c>
      <c r="B70" s="71"/>
      <c r="C70" s="226"/>
      <c r="D70" s="71"/>
    </row>
    <row r="71" spans="1:4" x14ac:dyDescent="0.2">
      <c r="A71" s="345">
        <v>29676</v>
      </c>
      <c r="B71" s="71"/>
      <c r="C71" s="226"/>
      <c r="D71" s="71"/>
    </row>
    <row r="72" spans="1:4" x14ac:dyDescent="0.2">
      <c r="A72" s="345">
        <v>29706</v>
      </c>
      <c r="B72" s="71"/>
      <c r="C72" s="226"/>
      <c r="D72" s="71"/>
    </row>
    <row r="73" spans="1:4" x14ac:dyDescent="0.2">
      <c r="A73" s="345">
        <v>29737</v>
      </c>
      <c r="B73" s="71"/>
      <c r="C73" s="226"/>
      <c r="D73" s="71"/>
    </row>
    <row r="74" spans="1:4" x14ac:dyDescent="0.2">
      <c r="A74" s="345">
        <v>29767</v>
      </c>
      <c r="B74" s="71"/>
      <c r="C74" s="226"/>
      <c r="D74" s="71"/>
    </row>
    <row r="75" spans="1:4" x14ac:dyDescent="0.2">
      <c r="A75" s="345">
        <v>29798</v>
      </c>
      <c r="B75" s="71"/>
      <c r="C75" s="226"/>
      <c r="D75" s="71"/>
    </row>
    <row r="76" spans="1:4" x14ac:dyDescent="0.2">
      <c r="A76" s="345">
        <v>29829</v>
      </c>
      <c r="B76" s="71"/>
      <c r="C76" s="226"/>
      <c r="D76" s="71"/>
    </row>
    <row r="77" spans="1:4" x14ac:dyDescent="0.2">
      <c r="A77" s="345">
        <v>29859</v>
      </c>
      <c r="B77" s="71"/>
      <c r="C77" s="226"/>
      <c r="D77" s="71"/>
    </row>
    <row r="78" spans="1:4" x14ac:dyDescent="0.2">
      <c r="A78" s="345">
        <v>29890</v>
      </c>
      <c r="B78" s="71"/>
      <c r="C78" s="226"/>
      <c r="D78" s="71"/>
    </row>
    <row r="79" spans="1:4" x14ac:dyDescent="0.2">
      <c r="A79" s="345">
        <v>29920</v>
      </c>
      <c r="B79" s="71"/>
      <c r="C79" s="226"/>
      <c r="D79" s="71"/>
    </row>
    <row r="80" spans="1:4" x14ac:dyDescent="0.2">
      <c r="A80" s="345">
        <v>29951</v>
      </c>
      <c r="B80" s="71"/>
      <c r="C80" s="226"/>
      <c r="D80" s="71"/>
    </row>
    <row r="81" spans="1:4" x14ac:dyDescent="0.2">
      <c r="A81" s="345">
        <v>29982</v>
      </c>
      <c r="B81" s="71"/>
      <c r="C81" s="226"/>
      <c r="D81" s="71"/>
    </row>
    <row r="82" spans="1:4" x14ac:dyDescent="0.2">
      <c r="A82" s="345">
        <v>30010</v>
      </c>
      <c r="B82" s="71"/>
      <c r="C82" s="226"/>
      <c r="D82" s="71"/>
    </row>
    <row r="83" spans="1:4" x14ac:dyDescent="0.2">
      <c r="A83" s="345">
        <v>30041</v>
      </c>
      <c r="B83" s="71"/>
      <c r="C83" s="226"/>
      <c r="D83" s="71"/>
    </row>
    <row r="84" spans="1:4" x14ac:dyDescent="0.2">
      <c r="A84" s="345">
        <v>30071</v>
      </c>
      <c r="B84" s="71"/>
      <c r="C84" s="226"/>
      <c r="D84" s="71"/>
    </row>
    <row r="85" spans="1:4" x14ac:dyDescent="0.2">
      <c r="A85" s="345">
        <v>30102</v>
      </c>
      <c r="B85" s="71"/>
      <c r="C85" s="226"/>
      <c r="D85" s="71"/>
    </row>
    <row r="86" spans="1:4" x14ac:dyDescent="0.2">
      <c r="A86" s="345">
        <v>30132</v>
      </c>
      <c r="B86" s="71"/>
      <c r="C86" s="226"/>
      <c r="D86" s="71"/>
    </row>
    <row r="87" spans="1:4" x14ac:dyDescent="0.2">
      <c r="A87" s="345">
        <v>30163</v>
      </c>
      <c r="B87" s="71"/>
      <c r="C87" s="226"/>
      <c r="D87" s="71"/>
    </row>
    <row r="88" spans="1:4" x14ac:dyDescent="0.2">
      <c r="A88" s="345">
        <v>30194</v>
      </c>
      <c r="B88" s="71"/>
      <c r="C88" s="226"/>
      <c r="D88" s="71"/>
    </row>
    <row r="89" spans="1:4" x14ac:dyDescent="0.2">
      <c r="A89" s="345">
        <v>30224</v>
      </c>
      <c r="B89" s="71"/>
      <c r="C89" s="226"/>
      <c r="D89" s="71"/>
    </row>
    <row r="90" spans="1:4" x14ac:dyDescent="0.2">
      <c r="A90" s="345">
        <v>30255</v>
      </c>
      <c r="B90" s="71"/>
      <c r="C90" s="226"/>
      <c r="D90" s="71"/>
    </row>
    <row r="91" spans="1:4" x14ac:dyDescent="0.2">
      <c r="A91" s="345">
        <v>30285</v>
      </c>
      <c r="B91" s="71"/>
      <c r="C91" s="226"/>
      <c r="D91" s="71"/>
    </row>
    <row r="92" spans="1:4" x14ac:dyDescent="0.2">
      <c r="A92" s="345">
        <v>30316</v>
      </c>
      <c r="B92" s="71"/>
      <c r="C92" s="226"/>
      <c r="D92" s="71"/>
    </row>
    <row r="93" spans="1:4" x14ac:dyDescent="0.2">
      <c r="A93" s="345">
        <v>30347</v>
      </c>
      <c r="B93" s="71"/>
      <c r="C93" s="226"/>
      <c r="D93" s="71"/>
    </row>
    <row r="94" spans="1:4" x14ac:dyDescent="0.2">
      <c r="A94" s="345">
        <v>30375</v>
      </c>
      <c r="B94" s="71"/>
      <c r="C94" s="226"/>
      <c r="D94" s="71"/>
    </row>
    <row r="95" spans="1:4" x14ac:dyDescent="0.2">
      <c r="A95" s="345">
        <v>30406</v>
      </c>
      <c r="B95" s="71"/>
      <c r="C95" s="226"/>
      <c r="D95" s="71"/>
    </row>
    <row r="96" spans="1:4" x14ac:dyDescent="0.2">
      <c r="A96" s="345">
        <v>30436</v>
      </c>
      <c r="B96" s="71"/>
      <c r="C96" s="226"/>
      <c r="D96" s="71"/>
    </row>
    <row r="97" spans="1:4" x14ac:dyDescent="0.2">
      <c r="A97" s="345">
        <v>30467</v>
      </c>
      <c r="B97" s="71"/>
      <c r="C97" s="226"/>
      <c r="D97" s="71"/>
    </row>
    <row r="98" spans="1:4" x14ac:dyDescent="0.2">
      <c r="A98" s="345">
        <v>30497</v>
      </c>
      <c r="B98" s="71"/>
      <c r="C98" s="226"/>
      <c r="D98" s="71"/>
    </row>
    <row r="99" spans="1:4" x14ac:dyDescent="0.2">
      <c r="A99" s="345">
        <v>30528</v>
      </c>
      <c r="B99" s="71"/>
      <c r="C99" s="226"/>
      <c r="D99" s="71"/>
    </row>
    <row r="100" spans="1:4" x14ac:dyDescent="0.2">
      <c r="A100" s="345">
        <v>30559</v>
      </c>
      <c r="B100" s="71"/>
      <c r="C100" s="226"/>
      <c r="D100" s="71"/>
    </row>
    <row r="101" spans="1:4" x14ac:dyDescent="0.2">
      <c r="A101" s="345">
        <v>30589</v>
      </c>
      <c r="B101" s="71"/>
      <c r="C101" s="226"/>
      <c r="D101" s="71"/>
    </row>
    <row r="102" spans="1:4" x14ac:dyDescent="0.2">
      <c r="A102" s="345">
        <v>30620</v>
      </c>
      <c r="B102" s="71"/>
      <c r="C102" s="226"/>
      <c r="D102" s="71"/>
    </row>
    <row r="103" spans="1:4" x14ac:dyDescent="0.2">
      <c r="A103" s="345">
        <v>30650</v>
      </c>
      <c r="B103" s="71"/>
      <c r="C103" s="226"/>
      <c r="D103" s="71"/>
    </row>
    <row r="104" spans="1:4" x14ac:dyDescent="0.2">
      <c r="A104" s="345">
        <v>30681</v>
      </c>
      <c r="B104" s="71"/>
      <c r="C104" s="226"/>
      <c r="D104" s="71"/>
    </row>
    <row r="105" spans="1:4" x14ac:dyDescent="0.2">
      <c r="A105" s="345">
        <v>30712</v>
      </c>
      <c r="B105" s="71"/>
      <c r="C105" s="226"/>
      <c r="D105" s="71"/>
    </row>
    <row r="106" spans="1:4" x14ac:dyDescent="0.2">
      <c r="A106" s="345">
        <v>30741</v>
      </c>
      <c r="B106" s="71"/>
      <c r="C106" s="226"/>
      <c r="D106" s="71"/>
    </row>
    <row r="107" spans="1:4" x14ac:dyDescent="0.2">
      <c r="A107" s="345">
        <v>30772</v>
      </c>
      <c r="B107" s="71"/>
      <c r="C107" s="226"/>
      <c r="D107" s="71"/>
    </row>
    <row r="108" spans="1:4" x14ac:dyDescent="0.2">
      <c r="A108" s="345">
        <v>30802</v>
      </c>
      <c r="B108" s="71"/>
      <c r="C108" s="226"/>
      <c r="D108" s="71"/>
    </row>
    <row r="109" spans="1:4" x14ac:dyDescent="0.2">
      <c r="A109" s="345">
        <v>30833</v>
      </c>
      <c r="B109" s="71"/>
      <c r="C109" s="226"/>
      <c r="D109" s="71"/>
    </row>
    <row r="110" spans="1:4" x14ac:dyDescent="0.2">
      <c r="A110" s="345">
        <v>30863</v>
      </c>
      <c r="B110" s="71"/>
      <c r="C110" s="226"/>
      <c r="D110" s="71"/>
    </row>
    <row r="111" spans="1:4" x14ac:dyDescent="0.2">
      <c r="A111" s="345">
        <v>30894</v>
      </c>
      <c r="B111" s="71"/>
      <c r="C111" s="226"/>
      <c r="D111" s="71"/>
    </row>
    <row r="112" spans="1:4" x14ac:dyDescent="0.2">
      <c r="A112" s="345">
        <v>30925</v>
      </c>
      <c r="B112" s="71"/>
      <c r="C112" s="226"/>
      <c r="D112" s="71"/>
    </row>
    <row r="113" spans="1:4" x14ac:dyDescent="0.2">
      <c r="A113" s="345">
        <v>30955</v>
      </c>
      <c r="B113" s="71"/>
      <c r="C113" s="226"/>
      <c r="D113" s="71"/>
    </row>
    <row r="114" spans="1:4" x14ac:dyDescent="0.2">
      <c r="A114" s="345">
        <v>30986</v>
      </c>
      <c r="B114" s="71"/>
      <c r="C114" s="226"/>
      <c r="D114" s="71"/>
    </row>
    <row r="115" spans="1:4" x14ac:dyDescent="0.2">
      <c r="A115" s="345">
        <v>31016</v>
      </c>
      <c r="B115" s="71"/>
      <c r="C115" s="226"/>
      <c r="D115" s="71"/>
    </row>
    <row r="116" spans="1:4" x14ac:dyDescent="0.2">
      <c r="A116" s="345">
        <v>31047</v>
      </c>
      <c r="B116" s="71"/>
      <c r="C116" s="226"/>
      <c r="D116" s="71"/>
    </row>
    <row r="117" spans="1:4" x14ac:dyDescent="0.2">
      <c r="A117" s="345">
        <v>31078</v>
      </c>
      <c r="B117" s="71"/>
      <c r="C117" s="226"/>
      <c r="D117" s="71"/>
    </row>
    <row r="118" spans="1:4" x14ac:dyDescent="0.2">
      <c r="A118" s="345">
        <v>31106</v>
      </c>
      <c r="B118" s="71"/>
      <c r="C118" s="226"/>
      <c r="D118" s="71"/>
    </row>
    <row r="119" spans="1:4" x14ac:dyDescent="0.2">
      <c r="A119" s="345">
        <v>31137</v>
      </c>
      <c r="B119" s="71"/>
      <c r="C119" s="226"/>
      <c r="D119" s="71"/>
    </row>
    <row r="120" spans="1:4" x14ac:dyDescent="0.2">
      <c r="A120" s="345">
        <v>31167</v>
      </c>
      <c r="B120" s="71"/>
      <c r="C120" s="226"/>
      <c r="D120" s="71"/>
    </row>
    <row r="121" spans="1:4" x14ac:dyDescent="0.2">
      <c r="A121" s="345">
        <v>31198</v>
      </c>
      <c r="B121" s="71"/>
      <c r="C121" s="226"/>
      <c r="D121" s="71"/>
    </row>
    <row r="122" spans="1:4" x14ac:dyDescent="0.2">
      <c r="A122" s="345">
        <v>31228</v>
      </c>
      <c r="B122" s="71"/>
      <c r="C122" s="226"/>
      <c r="D122" s="71"/>
    </row>
    <row r="123" spans="1:4" x14ac:dyDescent="0.2">
      <c r="A123" s="345">
        <v>31259</v>
      </c>
      <c r="B123" s="71"/>
      <c r="C123" s="226"/>
      <c r="D123" s="71"/>
    </row>
    <row r="124" spans="1:4" x14ac:dyDescent="0.2">
      <c r="A124" s="345">
        <v>31290</v>
      </c>
      <c r="B124" s="71"/>
      <c r="C124" s="226"/>
      <c r="D124" s="71"/>
    </row>
    <row r="125" spans="1:4" x14ac:dyDescent="0.2">
      <c r="A125" s="345">
        <v>31320</v>
      </c>
      <c r="B125" s="71"/>
      <c r="C125" s="226"/>
      <c r="D125" s="71"/>
    </row>
    <row r="126" spans="1:4" x14ac:dyDescent="0.2">
      <c r="A126" s="345">
        <v>31351</v>
      </c>
      <c r="B126" s="71"/>
      <c r="C126" s="226"/>
      <c r="D126" s="71"/>
    </row>
    <row r="127" spans="1:4" x14ac:dyDescent="0.2">
      <c r="A127" s="345">
        <v>31381</v>
      </c>
      <c r="B127" s="71"/>
      <c r="C127" s="226"/>
      <c r="D127" s="71"/>
    </row>
    <row r="128" spans="1:4" x14ac:dyDescent="0.2">
      <c r="A128" s="345">
        <v>31412</v>
      </c>
      <c r="B128" s="71"/>
      <c r="C128" s="226"/>
      <c r="D128" s="71"/>
    </row>
    <row r="129" spans="1:4" x14ac:dyDescent="0.2">
      <c r="A129" s="345">
        <v>31443</v>
      </c>
      <c r="B129" s="71"/>
      <c r="C129" s="226"/>
      <c r="D129" s="71"/>
    </row>
    <row r="130" spans="1:4" x14ac:dyDescent="0.2">
      <c r="A130" s="345">
        <v>31471</v>
      </c>
      <c r="B130" s="71"/>
      <c r="C130" s="226"/>
      <c r="D130" s="71"/>
    </row>
    <row r="131" spans="1:4" x14ac:dyDescent="0.2">
      <c r="A131" s="345">
        <v>31502</v>
      </c>
      <c r="B131" s="71"/>
      <c r="C131" s="226"/>
      <c r="D131" s="71"/>
    </row>
    <row r="132" spans="1:4" x14ac:dyDescent="0.2">
      <c r="A132" s="345">
        <v>31532</v>
      </c>
      <c r="B132" s="71"/>
      <c r="C132" s="226"/>
      <c r="D132" s="71"/>
    </row>
    <row r="133" spans="1:4" x14ac:dyDescent="0.2">
      <c r="A133" s="345">
        <v>31563</v>
      </c>
      <c r="B133" s="71"/>
      <c r="C133" s="226"/>
      <c r="D133" s="71"/>
    </row>
    <row r="134" spans="1:4" x14ac:dyDescent="0.2">
      <c r="A134" s="345">
        <v>31593</v>
      </c>
      <c r="B134" s="71"/>
      <c r="C134" s="226"/>
      <c r="D134" s="71"/>
    </row>
    <row r="135" spans="1:4" x14ac:dyDescent="0.2">
      <c r="A135" s="345">
        <v>31624</v>
      </c>
      <c r="B135" s="71"/>
      <c r="C135" s="226"/>
      <c r="D135" s="71"/>
    </row>
    <row r="136" spans="1:4" x14ac:dyDescent="0.2">
      <c r="A136" s="345">
        <v>31655</v>
      </c>
      <c r="B136" s="71"/>
      <c r="C136" s="226"/>
      <c r="D136" s="71"/>
    </row>
    <row r="137" spans="1:4" x14ac:dyDescent="0.2">
      <c r="A137" s="345">
        <v>31685</v>
      </c>
      <c r="B137" s="71"/>
      <c r="C137" s="226"/>
      <c r="D137" s="71"/>
    </row>
    <row r="138" spans="1:4" x14ac:dyDescent="0.2">
      <c r="A138" s="345">
        <v>31716</v>
      </c>
      <c r="B138" s="71"/>
      <c r="C138" s="226"/>
      <c r="D138" s="71"/>
    </row>
    <row r="139" spans="1:4" x14ac:dyDescent="0.2">
      <c r="A139" s="345">
        <v>31746</v>
      </c>
      <c r="B139" s="71"/>
      <c r="C139" s="226"/>
      <c r="D139" s="71"/>
    </row>
    <row r="140" spans="1:4" x14ac:dyDescent="0.2">
      <c r="A140" s="345">
        <v>31777</v>
      </c>
      <c r="B140" s="71"/>
      <c r="C140" s="226"/>
      <c r="D140" s="71"/>
    </row>
    <row r="141" spans="1:4" x14ac:dyDescent="0.2">
      <c r="A141" s="345">
        <v>31808</v>
      </c>
      <c r="B141" s="73"/>
      <c r="C141" s="25"/>
      <c r="D141" s="73"/>
    </row>
    <row r="142" spans="1:4" x14ac:dyDescent="0.2">
      <c r="A142" s="345">
        <v>31836</v>
      </c>
      <c r="B142" s="73"/>
      <c r="C142" s="25"/>
      <c r="D142" s="73"/>
    </row>
    <row r="143" spans="1:4" x14ac:dyDescent="0.2">
      <c r="A143" s="345">
        <v>31867</v>
      </c>
      <c r="B143" s="73"/>
      <c r="C143" s="25"/>
      <c r="D143" s="73"/>
    </row>
    <row r="144" spans="1:4" x14ac:dyDescent="0.2">
      <c r="A144" s="345">
        <v>31897</v>
      </c>
      <c r="B144" s="73"/>
      <c r="C144" s="25"/>
      <c r="D144" s="73"/>
    </row>
    <row r="145" spans="1:4" x14ac:dyDescent="0.2">
      <c r="A145" s="345">
        <v>31928</v>
      </c>
      <c r="B145" s="73"/>
      <c r="C145" s="25"/>
      <c r="D145" s="73"/>
    </row>
    <row r="146" spans="1:4" x14ac:dyDescent="0.2">
      <c r="A146" s="345">
        <v>31958</v>
      </c>
      <c r="B146" s="73"/>
      <c r="C146" s="25"/>
      <c r="D146" s="73"/>
    </row>
    <row r="147" spans="1:4" x14ac:dyDescent="0.2">
      <c r="A147" s="345">
        <v>31989</v>
      </c>
      <c r="B147" s="73"/>
      <c r="C147" s="25"/>
      <c r="D147" s="73"/>
    </row>
    <row r="148" spans="1:4" x14ac:dyDescent="0.2">
      <c r="A148" s="345">
        <v>32020</v>
      </c>
      <c r="B148" s="73"/>
      <c r="C148" s="25"/>
      <c r="D148" s="73"/>
    </row>
    <row r="149" spans="1:4" x14ac:dyDescent="0.2">
      <c r="A149" s="345">
        <v>32050</v>
      </c>
      <c r="B149" s="73"/>
      <c r="C149" s="25"/>
      <c r="D149" s="73"/>
    </row>
    <row r="150" spans="1:4" x14ac:dyDescent="0.2">
      <c r="A150" s="345">
        <v>32081</v>
      </c>
      <c r="B150" s="73"/>
      <c r="C150" s="25"/>
      <c r="D150" s="73"/>
    </row>
    <row r="151" spans="1:4" x14ac:dyDescent="0.2">
      <c r="A151" s="345">
        <v>32111</v>
      </c>
      <c r="B151" s="73"/>
      <c r="C151" s="25"/>
      <c r="D151" s="73"/>
    </row>
    <row r="152" spans="1:4" x14ac:dyDescent="0.2">
      <c r="A152" s="345">
        <v>32142</v>
      </c>
      <c r="B152" s="73"/>
      <c r="C152" s="25"/>
      <c r="D152" s="73"/>
    </row>
    <row r="153" spans="1:4" x14ac:dyDescent="0.2">
      <c r="A153" s="345">
        <v>32173</v>
      </c>
      <c r="B153" s="73"/>
      <c r="C153" s="25"/>
      <c r="D153" s="73"/>
    </row>
    <row r="154" spans="1:4" x14ac:dyDescent="0.2">
      <c r="A154" s="345">
        <v>32202</v>
      </c>
      <c r="B154" s="73"/>
      <c r="C154" s="25"/>
      <c r="D154" s="73"/>
    </row>
    <row r="155" spans="1:4" x14ac:dyDescent="0.2">
      <c r="A155" s="345">
        <v>32233</v>
      </c>
      <c r="B155" s="73"/>
      <c r="C155" s="25"/>
      <c r="D155" s="73"/>
    </row>
    <row r="156" spans="1:4" x14ac:dyDescent="0.2">
      <c r="A156" s="345">
        <v>32263</v>
      </c>
      <c r="B156" s="73"/>
      <c r="C156" s="25"/>
      <c r="D156" s="73"/>
    </row>
    <row r="157" spans="1:4" x14ac:dyDescent="0.2">
      <c r="A157" s="345">
        <v>32294</v>
      </c>
      <c r="B157" s="73"/>
      <c r="C157" s="25"/>
      <c r="D157" s="73"/>
    </row>
    <row r="158" spans="1:4" x14ac:dyDescent="0.2">
      <c r="A158" s="345">
        <v>32324</v>
      </c>
      <c r="B158" s="73"/>
      <c r="C158" s="25"/>
      <c r="D158" s="73"/>
    </row>
    <row r="159" spans="1:4" x14ac:dyDescent="0.2">
      <c r="A159" s="345">
        <v>32355</v>
      </c>
      <c r="B159" s="73"/>
      <c r="C159" s="25"/>
      <c r="D159" s="73"/>
    </row>
    <row r="160" spans="1:4" x14ac:dyDescent="0.2">
      <c r="A160" s="345">
        <v>32386</v>
      </c>
      <c r="B160" s="73"/>
      <c r="C160" s="25"/>
      <c r="D160" s="73"/>
    </row>
    <row r="161" spans="1:4" x14ac:dyDescent="0.2">
      <c r="A161" s="345">
        <v>32416</v>
      </c>
      <c r="B161" s="73"/>
      <c r="C161" s="25"/>
      <c r="D161" s="73"/>
    </row>
    <row r="162" spans="1:4" x14ac:dyDescent="0.2">
      <c r="A162" s="345">
        <v>32447</v>
      </c>
      <c r="B162" s="73"/>
      <c r="C162" s="25"/>
      <c r="D162" s="73"/>
    </row>
    <row r="163" spans="1:4" x14ac:dyDescent="0.2">
      <c r="A163" s="345">
        <v>32477</v>
      </c>
      <c r="B163" s="73"/>
      <c r="C163" s="25"/>
      <c r="D163" s="73"/>
    </row>
    <row r="164" spans="1:4" x14ac:dyDescent="0.2">
      <c r="A164" s="345">
        <v>32508</v>
      </c>
      <c r="B164" s="73"/>
      <c r="C164" s="25"/>
      <c r="D164" s="73"/>
    </row>
    <row r="165" spans="1:4" x14ac:dyDescent="0.2">
      <c r="A165" s="345">
        <v>32539</v>
      </c>
      <c r="B165" s="73"/>
      <c r="C165" s="25"/>
      <c r="D165" s="73"/>
    </row>
    <row r="166" spans="1:4" x14ac:dyDescent="0.2">
      <c r="A166" s="345">
        <v>32567</v>
      </c>
      <c r="B166" s="73"/>
      <c r="C166" s="25"/>
      <c r="D166" s="73"/>
    </row>
    <row r="167" spans="1:4" x14ac:dyDescent="0.2">
      <c r="A167" s="345">
        <v>32598</v>
      </c>
      <c r="B167" s="73"/>
      <c r="C167" s="25"/>
      <c r="D167" s="73"/>
    </row>
    <row r="168" spans="1:4" x14ac:dyDescent="0.2">
      <c r="A168" s="345">
        <v>32628</v>
      </c>
      <c r="B168" s="73"/>
      <c r="C168" s="25"/>
      <c r="D168" s="73"/>
    </row>
    <row r="169" spans="1:4" x14ac:dyDescent="0.2">
      <c r="A169" s="345">
        <v>32659</v>
      </c>
      <c r="B169" s="73"/>
      <c r="C169" s="25"/>
      <c r="D169" s="73"/>
    </row>
    <row r="170" spans="1:4" x14ac:dyDescent="0.2">
      <c r="A170" s="345">
        <v>32689</v>
      </c>
      <c r="B170" s="73"/>
      <c r="C170" s="25"/>
      <c r="D170" s="73"/>
    </row>
    <row r="171" spans="1:4" x14ac:dyDescent="0.2">
      <c r="A171" s="345">
        <v>32720</v>
      </c>
      <c r="B171" s="73"/>
      <c r="C171" s="25"/>
      <c r="D171" s="73"/>
    </row>
    <row r="172" spans="1:4" x14ac:dyDescent="0.2">
      <c r="A172" s="345">
        <v>32751</v>
      </c>
      <c r="B172" s="73"/>
      <c r="C172" s="25"/>
      <c r="D172" s="73"/>
    </row>
    <row r="173" spans="1:4" x14ac:dyDescent="0.2">
      <c r="A173" s="345">
        <v>32781</v>
      </c>
      <c r="B173" s="73"/>
      <c r="C173" s="25"/>
      <c r="D173" s="73"/>
    </row>
    <row r="174" spans="1:4" x14ac:dyDescent="0.2">
      <c r="A174" s="345">
        <v>32812</v>
      </c>
      <c r="B174" s="73"/>
      <c r="C174" s="25"/>
      <c r="D174" s="73"/>
    </row>
    <row r="175" spans="1:4" x14ac:dyDescent="0.2">
      <c r="A175" s="345">
        <v>32842</v>
      </c>
      <c r="B175" s="73"/>
      <c r="C175" s="25"/>
      <c r="D175" s="73"/>
    </row>
    <row r="176" spans="1:4" x14ac:dyDescent="0.2">
      <c r="A176" s="345">
        <v>32873</v>
      </c>
      <c r="B176" s="73"/>
      <c r="C176" s="25"/>
      <c r="D176" s="73"/>
    </row>
    <row r="177" spans="1:4" x14ac:dyDescent="0.2">
      <c r="A177" s="345">
        <v>32904</v>
      </c>
      <c r="B177" s="73"/>
      <c r="C177" s="25"/>
      <c r="D177" s="73"/>
    </row>
    <row r="178" spans="1:4" x14ac:dyDescent="0.2">
      <c r="A178" s="345">
        <v>32932</v>
      </c>
      <c r="B178" s="73"/>
      <c r="C178" s="25"/>
      <c r="D178" s="73"/>
    </row>
    <row r="179" spans="1:4" x14ac:dyDescent="0.2">
      <c r="A179" s="345">
        <v>32963</v>
      </c>
      <c r="B179" s="73"/>
      <c r="C179" s="25"/>
      <c r="D179" s="73"/>
    </row>
    <row r="180" spans="1:4" x14ac:dyDescent="0.2">
      <c r="A180" s="345">
        <v>32993</v>
      </c>
      <c r="B180" s="73"/>
      <c r="C180" s="25"/>
      <c r="D180" s="73"/>
    </row>
    <row r="181" spans="1:4" x14ac:dyDescent="0.2">
      <c r="A181" s="345">
        <v>33024</v>
      </c>
      <c r="B181" s="73"/>
      <c r="C181" s="25"/>
      <c r="D181" s="73"/>
    </row>
    <row r="182" spans="1:4" x14ac:dyDescent="0.2">
      <c r="A182" s="345">
        <v>33054</v>
      </c>
      <c r="B182" s="73"/>
      <c r="C182" s="25"/>
      <c r="D182" s="73"/>
    </row>
    <row r="183" spans="1:4" x14ac:dyDescent="0.2">
      <c r="A183" s="345">
        <v>33085</v>
      </c>
      <c r="B183" s="73"/>
      <c r="C183" s="25"/>
      <c r="D183" s="73"/>
    </row>
    <row r="184" spans="1:4" x14ac:dyDescent="0.2">
      <c r="A184" s="345">
        <v>33116</v>
      </c>
      <c r="B184" s="73"/>
      <c r="C184" s="25"/>
      <c r="D184" s="73"/>
    </row>
    <row r="185" spans="1:4" x14ac:dyDescent="0.2">
      <c r="A185" s="345">
        <v>33146</v>
      </c>
      <c r="B185" s="73"/>
      <c r="C185" s="25"/>
      <c r="D185" s="73"/>
    </row>
    <row r="186" spans="1:4" x14ac:dyDescent="0.2">
      <c r="A186" s="345">
        <v>33177</v>
      </c>
      <c r="B186" s="73"/>
      <c r="C186" s="25"/>
      <c r="D186" s="73"/>
    </row>
    <row r="187" spans="1:4" x14ac:dyDescent="0.2">
      <c r="A187" s="345">
        <v>33207</v>
      </c>
      <c r="B187" s="73"/>
      <c r="C187" s="25"/>
      <c r="D187" s="73"/>
    </row>
    <row r="188" spans="1:4" x14ac:dyDescent="0.2">
      <c r="A188" s="345">
        <v>33238</v>
      </c>
      <c r="B188" s="73"/>
      <c r="C188" s="25"/>
      <c r="D188" s="73"/>
    </row>
    <row r="189" spans="1:4" x14ac:dyDescent="0.2">
      <c r="A189" s="345">
        <v>33269</v>
      </c>
      <c r="B189" s="73"/>
      <c r="C189" s="25"/>
      <c r="D189" s="73"/>
    </row>
    <row r="190" spans="1:4" x14ac:dyDescent="0.2">
      <c r="A190" s="345">
        <v>33297</v>
      </c>
      <c r="B190" s="73"/>
      <c r="C190" s="25"/>
      <c r="D190" s="73"/>
    </row>
    <row r="191" spans="1:4" x14ac:dyDescent="0.2">
      <c r="A191" s="345">
        <v>33328</v>
      </c>
      <c r="B191" s="73"/>
      <c r="C191" s="25"/>
      <c r="D191" s="73"/>
    </row>
    <row r="192" spans="1:4" x14ac:dyDescent="0.2">
      <c r="A192" s="345">
        <v>33358</v>
      </c>
      <c r="B192" s="73"/>
      <c r="C192" s="25"/>
      <c r="D192" s="73"/>
    </row>
    <row r="193" spans="1:4" x14ac:dyDescent="0.2">
      <c r="A193" s="345">
        <v>33389</v>
      </c>
      <c r="B193" s="73"/>
      <c r="C193" s="25"/>
      <c r="D193" s="73"/>
    </row>
    <row r="194" spans="1:4" x14ac:dyDescent="0.2">
      <c r="A194" s="345">
        <v>33419</v>
      </c>
      <c r="B194" s="73"/>
      <c r="C194" s="25"/>
      <c r="D194" s="73"/>
    </row>
    <row r="195" spans="1:4" x14ac:dyDescent="0.2">
      <c r="A195" s="345">
        <v>33450</v>
      </c>
      <c r="B195" s="73"/>
      <c r="C195" s="25"/>
      <c r="D195" s="73"/>
    </row>
    <row r="196" spans="1:4" x14ac:dyDescent="0.2">
      <c r="A196" s="345">
        <v>33481</v>
      </c>
      <c r="B196" s="73"/>
      <c r="C196" s="25"/>
      <c r="D196" s="73"/>
    </row>
    <row r="197" spans="1:4" x14ac:dyDescent="0.2">
      <c r="A197" s="345">
        <v>33511</v>
      </c>
      <c r="B197" s="73"/>
      <c r="C197" s="25"/>
      <c r="D197" s="73"/>
    </row>
    <row r="198" spans="1:4" x14ac:dyDescent="0.2">
      <c r="A198" s="345">
        <v>33542</v>
      </c>
      <c r="B198" s="73"/>
      <c r="C198" s="25"/>
      <c r="D198" s="73"/>
    </row>
    <row r="199" spans="1:4" x14ac:dyDescent="0.2">
      <c r="A199" s="345">
        <v>33572</v>
      </c>
      <c r="B199" s="73"/>
      <c r="C199" s="25"/>
      <c r="D199" s="73"/>
    </row>
    <row r="200" spans="1:4" x14ac:dyDescent="0.2">
      <c r="A200" s="345">
        <v>33603</v>
      </c>
      <c r="B200" s="73"/>
      <c r="C200" s="25"/>
      <c r="D200" s="73"/>
    </row>
    <row r="201" spans="1:4" x14ac:dyDescent="0.2">
      <c r="A201" s="345">
        <v>33634</v>
      </c>
      <c r="B201" s="73"/>
      <c r="C201" s="25"/>
      <c r="D201" s="73"/>
    </row>
    <row r="202" spans="1:4" x14ac:dyDescent="0.2">
      <c r="A202" s="345">
        <v>33663</v>
      </c>
      <c r="B202" s="73"/>
      <c r="C202" s="25"/>
      <c r="D202" s="73"/>
    </row>
    <row r="203" spans="1:4" x14ac:dyDescent="0.2">
      <c r="A203" s="345">
        <v>33694</v>
      </c>
      <c r="B203" s="73"/>
      <c r="C203" s="25"/>
      <c r="D203" s="73"/>
    </row>
    <row r="204" spans="1:4" x14ac:dyDescent="0.2">
      <c r="A204" s="345">
        <v>33724</v>
      </c>
      <c r="B204" s="73"/>
      <c r="C204" s="25"/>
      <c r="D204" s="73"/>
    </row>
    <row r="205" spans="1:4" x14ac:dyDescent="0.2">
      <c r="A205" s="345">
        <v>33755</v>
      </c>
      <c r="B205" s="73"/>
      <c r="C205" s="25"/>
      <c r="D205" s="73"/>
    </row>
    <row r="206" spans="1:4" x14ac:dyDescent="0.2">
      <c r="A206" s="345">
        <v>33785</v>
      </c>
      <c r="B206" s="73"/>
      <c r="C206" s="25"/>
      <c r="D206" s="73"/>
    </row>
    <row r="207" spans="1:4" x14ac:dyDescent="0.2">
      <c r="A207" s="345">
        <v>33816</v>
      </c>
      <c r="B207" s="73"/>
      <c r="C207" s="25"/>
      <c r="D207" s="73"/>
    </row>
    <row r="208" spans="1:4" x14ac:dyDescent="0.2">
      <c r="A208" s="345">
        <v>33847</v>
      </c>
      <c r="B208" s="73"/>
      <c r="C208" s="25"/>
      <c r="D208" s="73"/>
    </row>
    <row r="209" spans="1:4" x14ac:dyDescent="0.2">
      <c r="A209" s="345">
        <v>33877</v>
      </c>
      <c r="B209" s="73"/>
      <c r="C209" s="25"/>
      <c r="D209" s="73"/>
    </row>
    <row r="210" spans="1:4" x14ac:dyDescent="0.2">
      <c r="A210" s="345">
        <v>33908</v>
      </c>
      <c r="B210" s="73"/>
      <c r="C210" s="25"/>
      <c r="D210" s="73"/>
    </row>
    <row r="211" spans="1:4" x14ac:dyDescent="0.2">
      <c r="A211" s="345">
        <v>33938</v>
      </c>
      <c r="B211" s="73"/>
      <c r="C211" s="25"/>
      <c r="D211" s="73"/>
    </row>
    <row r="212" spans="1:4" x14ac:dyDescent="0.2">
      <c r="A212" s="345">
        <v>33969</v>
      </c>
      <c r="B212" s="73"/>
      <c r="C212" s="25"/>
      <c r="D212" s="73"/>
    </row>
    <row r="213" spans="1:4" x14ac:dyDescent="0.2">
      <c r="A213" s="345">
        <v>34000</v>
      </c>
      <c r="B213" s="73"/>
      <c r="C213" s="25"/>
      <c r="D213" s="73"/>
    </row>
    <row r="214" spans="1:4" x14ac:dyDescent="0.2">
      <c r="A214" s="345">
        <v>34028</v>
      </c>
      <c r="B214" s="73"/>
      <c r="C214" s="25"/>
      <c r="D214" s="73"/>
    </row>
    <row r="215" spans="1:4" x14ac:dyDescent="0.2">
      <c r="A215" s="345">
        <v>34059</v>
      </c>
      <c r="B215" s="73"/>
      <c r="C215" s="25"/>
      <c r="D215" s="73"/>
    </row>
    <row r="216" spans="1:4" x14ac:dyDescent="0.2">
      <c r="A216" s="345">
        <v>34089</v>
      </c>
      <c r="B216" s="73"/>
      <c r="C216" s="25"/>
      <c r="D216" s="73"/>
    </row>
    <row r="217" spans="1:4" x14ac:dyDescent="0.2">
      <c r="A217" s="345">
        <v>34120</v>
      </c>
      <c r="B217" s="73"/>
      <c r="C217" s="25"/>
      <c r="D217" s="73"/>
    </row>
    <row r="218" spans="1:4" x14ac:dyDescent="0.2">
      <c r="A218" s="345">
        <v>34150</v>
      </c>
      <c r="B218" s="73"/>
      <c r="C218" s="25"/>
      <c r="D218" s="73"/>
    </row>
    <row r="219" spans="1:4" x14ac:dyDescent="0.2">
      <c r="A219" s="345">
        <v>34181</v>
      </c>
      <c r="B219" s="73"/>
      <c r="C219" s="25"/>
      <c r="D219" s="73"/>
    </row>
    <row r="220" spans="1:4" x14ac:dyDescent="0.2">
      <c r="A220" s="345">
        <v>34212</v>
      </c>
      <c r="B220" s="73"/>
      <c r="C220" s="25"/>
      <c r="D220" s="73"/>
    </row>
    <row r="221" spans="1:4" x14ac:dyDescent="0.2">
      <c r="A221" s="345">
        <v>34242</v>
      </c>
      <c r="B221" s="73"/>
      <c r="C221" s="25"/>
      <c r="D221" s="73"/>
    </row>
    <row r="222" spans="1:4" x14ac:dyDescent="0.2">
      <c r="A222" s="345">
        <v>34273</v>
      </c>
      <c r="B222" s="73"/>
      <c r="C222" s="25"/>
      <c r="D222" s="73"/>
    </row>
    <row r="223" spans="1:4" x14ac:dyDescent="0.2">
      <c r="A223" s="345">
        <v>34303</v>
      </c>
      <c r="B223" s="73"/>
      <c r="C223" s="25"/>
      <c r="D223" s="73"/>
    </row>
    <row r="224" spans="1:4" x14ac:dyDescent="0.2">
      <c r="A224" s="345">
        <v>34334</v>
      </c>
      <c r="B224" s="73"/>
      <c r="C224" s="25"/>
      <c r="D224" s="73"/>
    </row>
    <row r="225" spans="1:4" x14ac:dyDescent="0.2">
      <c r="A225" s="345">
        <v>34365</v>
      </c>
      <c r="B225" s="73"/>
      <c r="C225" s="25"/>
      <c r="D225" s="73"/>
    </row>
    <row r="226" spans="1:4" x14ac:dyDescent="0.2">
      <c r="A226" s="345">
        <v>34393</v>
      </c>
      <c r="B226" s="73"/>
      <c r="C226" s="25"/>
      <c r="D226" s="73"/>
    </row>
    <row r="227" spans="1:4" x14ac:dyDescent="0.2">
      <c r="A227" s="345">
        <v>34424</v>
      </c>
      <c r="B227" s="73"/>
      <c r="C227" s="25"/>
      <c r="D227" s="73"/>
    </row>
    <row r="228" spans="1:4" x14ac:dyDescent="0.2">
      <c r="A228" s="345">
        <v>34454</v>
      </c>
      <c r="B228" s="73"/>
      <c r="C228" s="25"/>
      <c r="D228" s="73"/>
    </row>
    <row r="229" spans="1:4" x14ac:dyDescent="0.2">
      <c r="A229" s="345">
        <v>34485</v>
      </c>
      <c r="B229" s="73"/>
      <c r="C229" s="25"/>
      <c r="D229" s="73"/>
    </row>
    <row r="230" spans="1:4" x14ac:dyDescent="0.2">
      <c r="A230" s="345">
        <v>34515</v>
      </c>
      <c r="B230" s="73"/>
      <c r="C230" s="25"/>
      <c r="D230" s="73"/>
    </row>
    <row r="231" spans="1:4" x14ac:dyDescent="0.2">
      <c r="A231" s="345">
        <v>34546</v>
      </c>
      <c r="B231" s="73"/>
      <c r="C231" s="25"/>
      <c r="D231" s="73"/>
    </row>
    <row r="232" spans="1:4" x14ac:dyDescent="0.2">
      <c r="A232" s="345">
        <v>34577</v>
      </c>
      <c r="B232" s="73"/>
      <c r="C232" s="25"/>
      <c r="D232" s="73"/>
    </row>
    <row r="233" spans="1:4" x14ac:dyDescent="0.2">
      <c r="A233" s="345">
        <v>34607</v>
      </c>
      <c r="B233" s="73"/>
      <c r="C233" s="25"/>
      <c r="D233" s="73"/>
    </row>
    <row r="234" spans="1:4" x14ac:dyDescent="0.2">
      <c r="A234" s="345">
        <v>34638</v>
      </c>
      <c r="B234" s="73"/>
      <c r="C234" s="25"/>
      <c r="D234" s="73"/>
    </row>
    <row r="235" spans="1:4" x14ac:dyDescent="0.2">
      <c r="A235" s="345">
        <v>34668</v>
      </c>
      <c r="B235" s="73"/>
      <c r="C235" s="25"/>
      <c r="D235" s="73"/>
    </row>
    <row r="236" spans="1:4" x14ac:dyDescent="0.2">
      <c r="A236" s="345">
        <v>34699</v>
      </c>
      <c r="B236" s="73"/>
      <c r="C236" s="25"/>
      <c r="D236" s="73"/>
    </row>
    <row r="237" spans="1:4" x14ac:dyDescent="0.2">
      <c r="A237" s="345">
        <v>34730</v>
      </c>
      <c r="B237" s="73"/>
      <c r="C237" s="25"/>
      <c r="D237" s="73"/>
    </row>
    <row r="238" spans="1:4" x14ac:dyDescent="0.2">
      <c r="A238" s="345">
        <v>34758</v>
      </c>
      <c r="B238" s="73"/>
      <c r="C238" s="25"/>
      <c r="D238" s="73"/>
    </row>
    <row r="239" spans="1:4" x14ac:dyDescent="0.2">
      <c r="A239" s="345">
        <v>34789</v>
      </c>
      <c r="B239" s="73"/>
      <c r="C239" s="25"/>
      <c r="D239" s="73"/>
    </row>
    <row r="240" spans="1:4" x14ac:dyDescent="0.2">
      <c r="A240" s="345">
        <v>34819</v>
      </c>
      <c r="B240" s="73"/>
      <c r="C240" s="25"/>
      <c r="D240" s="73"/>
    </row>
    <row r="241" spans="1:4" x14ac:dyDescent="0.2">
      <c r="A241" s="345">
        <v>34850</v>
      </c>
      <c r="B241" s="73"/>
      <c r="C241" s="25"/>
      <c r="D241" s="73"/>
    </row>
    <row r="242" spans="1:4" x14ac:dyDescent="0.2">
      <c r="A242" s="345">
        <v>34880</v>
      </c>
      <c r="B242" s="73"/>
      <c r="C242" s="25"/>
      <c r="D242" s="73"/>
    </row>
    <row r="243" spans="1:4" x14ac:dyDescent="0.2">
      <c r="A243" s="345">
        <v>34911</v>
      </c>
      <c r="B243" s="73"/>
      <c r="C243" s="25"/>
      <c r="D243" s="73"/>
    </row>
    <row r="244" spans="1:4" x14ac:dyDescent="0.2">
      <c r="A244" s="345">
        <v>34942</v>
      </c>
      <c r="B244" s="73"/>
      <c r="C244" s="25"/>
      <c r="D244" s="73"/>
    </row>
    <row r="245" spans="1:4" x14ac:dyDescent="0.2">
      <c r="A245" s="345">
        <v>34972</v>
      </c>
      <c r="B245" s="73"/>
      <c r="C245" s="25"/>
      <c r="D245" s="73"/>
    </row>
    <row r="246" spans="1:4" x14ac:dyDescent="0.2">
      <c r="A246" s="345">
        <v>35003</v>
      </c>
      <c r="B246" s="73"/>
      <c r="C246" s="25"/>
      <c r="D246" s="73"/>
    </row>
    <row r="247" spans="1:4" x14ac:dyDescent="0.2">
      <c r="A247" s="345">
        <v>35033</v>
      </c>
      <c r="B247" s="73"/>
      <c r="C247" s="25"/>
      <c r="D247" s="73"/>
    </row>
    <row r="248" spans="1:4" x14ac:dyDescent="0.2">
      <c r="A248" s="345">
        <v>35064</v>
      </c>
      <c r="B248" s="73"/>
      <c r="C248" s="25"/>
      <c r="D248" s="73"/>
    </row>
    <row r="249" spans="1:4" x14ac:dyDescent="0.2">
      <c r="A249" s="345">
        <v>35095</v>
      </c>
      <c r="B249" s="73"/>
      <c r="C249" s="25"/>
      <c r="D249" s="73"/>
    </row>
    <row r="250" spans="1:4" x14ac:dyDescent="0.2">
      <c r="A250" s="345">
        <v>35124</v>
      </c>
      <c r="B250" s="73"/>
      <c r="C250" s="25"/>
      <c r="D250" s="73"/>
    </row>
    <row r="251" spans="1:4" x14ac:dyDescent="0.2">
      <c r="A251" s="345">
        <v>35155</v>
      </c>
      <c r="B251" s="73"/>
      <c r="C251" s="25"/>
      <c r="D251" s="73"/>
    </row>
    <row r="252" spans="1:4" x14ac:dyDescent="0.2">
      <c r="A252" s="345">
        <v>35185</v>
      </c>
      <c r="B252" s="73"/>
      <c r="C252" s="25"/>
      <c r="D252" s="73"/>
    </row>
    <row r="253" spans="1:4" x14ac:dyDescent="0.2">
      <c r="A253" s="345">
        <v>35216</v>
      </c>
      <c r="B253" s="73"/>
      <c r="C253" s="25"/>
      <c r="D253" s="73"/>
    </row>
    <row r="254" spans="1:4" x14ac:dyDescent="0.2">
      <c r="A254" s="345">
        <v>35246</v>
      </c>
      <c r="B254" s="73"/>
      <c r="C254" s="25"/>
      <c r="D254" s="73"/>
    </row>
    <row r="255" spans="1:4" x14ac:dyDescent="0.2">
      <c r="A255" s="345">
        <v>35277</v>
      </c>
      <c r="B255" s="73"/>
      <c r="C255" s="25"/>
      <c r="D255" s="73"/>
    </row>
    <row r="256" spans="1:4" x14ac:dyDescent="0.2">
      <c r="A256" s="345">
        <v>35308</v>
      </c>
      <c r="B256" s="73"/>
      <c r="C256" s="25"/>
      <c r="D256" s="73"/>
    </row>
    <row r="257" spans="1:4" x14ac:dyDescent="0.2">
      <c r="A257" s="345">
        <v>35338</v>
      </c>
      <c r="B257" s="73"/>
      <c r="C257" s="25"/>
      <c r="D257" s="73"/>
    </row>
    <row r="258" spans="1:4" x14ac:dyDescent="0.2">
      <c r="A258" s="345">
        <v>35369</v>
      </c>
      <c r="B258" s="73"/>
      <c r="C258" s="25"/>
      <c r="D258" s="73"/>
    </row>
    <row r="259" spans="1:4" x14ac:dyDescent="0.2">
      <c r="A259" s="345">
        <v>35399</v>
      </c>
      <c r="B259" s="73"/>
      <c r="C259" s="25"/>
      <c r="D259" s="73"/>
    </row>
    <row r="260" spans="1:4" x14ac:dyDescent="0.2">
      <c r="A260" s="345">
        <v>35430</v>
      </c>
      <c r="B260" s="73"/>
      <c r="C260" s="25"/>
      <c r="D260" s="73"/>
    </row>
    <row r="261" spans="1:4" x14ac:dyDescent="0.2">
      <c r="A261" s="345">
        <v>35461</v>
      </c>
      <c r="B261" s="73"/>
      <c r="C261" s="25"/>
      <c r="D261" s="73"/>
    </row>
    <row r="262" spans="1:4" x14ac:dyDescent="0.2">
      <c r="A262" s="345">
        <v>35489</v>
      </c>
      <c r="B262" s="73"/>
      <c r="C262" s="25"/>
      <c r="D262" s="73"/>
    </row>
    <row r="263" spans="1:4" x14ac:dyDescent="0.2">
      <c r="A263" s="345">
        <v>35520</v>
      </c>
      <c r="B263" s="73"/>
      <c r="C263" s="25"/>
      <c r="D263" s="73"/>
    </row>
    <row r="264" spans="1:4" x14ac:dyDescent="0.2">
      <c r="A264" s="345">
        <v>35550</v>
      </c>
      <c r="B264" s="73"/>
      <c r="C264" s="25"/>
      <c r="D264" s="73"/>
    </row>
    <row r="265" spans="1:4" x14ac:dyDescent="0.2">
      <c r="A265" s="345">
        <v>35581</v>
      </c>
      <c r="B265" s="73"/>
      <c r="C265" s="25"/>
      <c r="D265" s="73"/>
    </row>
    <row r="266" spans="1:4" x14ac:dyDescent="0.2">
      <c r="A266" s="345">
        <v>35611</v>
      </c>
      <c r="B266" s="73"/>
      <c r="C266" s="25"/>
      <c r="D266" s="73"/>
    </row>
    <row r="267" spans="1:4" x14ac:dyDescent="0.2">
      <c r="A267" s="345">
        <v>35642</v>
      </c>
      <c r="B267" s="73"/>
      <c r="C267" s="25"/>
      <c r="D267" s="73"/>
    </row>
    <row r="268" spans="1:4" x14ac:dyDescent="0.2">
      <c r="A268" s="345">
        <v>35673</v>
      </c>
      <c r="B268" s="73"/>
      <c r="C268" s="25"/>
      <c r="D268" s="73"/>
    </row>
    <row r="269" spans="1:4" x14ac:dyDescent="0.2">
      <c r="A269" s="345">
        <v>35703</v>
      </c>
      <c r="B269" s="73"/>
      <c r="C269" s="25"/>
      <c r="D269" s="73"/>
    </row>
    <row r="270" spans="1:4" x14ac:dyDescent="0.2">
      <c r="A270" s="345">
        <v>35734</v>
      </c>
      <c r="B270" s="73"/>
      <c r="C270" s="25"/>
      <c r="D270" s="73"/>
    </row>
    <row r="271" spans="1:4" x14ac:dyDescent="0.2">
      <c r="A271" s="345">
        <v>35764</v>
      </c>
      <c r="B271" s="73"/>
      <c r="C271" s="25"/>
      <c r="D271" s="73"/>
    </row>
    <row r="272" spans="1:4" x14ac:dyDescent="0.2">
      <c r="A272" s="345">
        <v>35795</v>
      </c>
      <c r="B272" s="73"/>
      <c r="C272" s="25"/>
      <c r="D272" s="73"/>
    </row>
    <row r="273" spans="1:4" x14ac:dyDescent="0.2">
      <c r="A273" s="345">
        <v>35826</v>
      </c>
      <c r="B273" s="73"/>
      <c r="C273" s="25"/>
      <c r="D273" s="73"/>
    </row>
    <row r="274" spans="1:4" x14ac:dyDescent="0.2">
      <c r="A274" s="345">
        <v>35854</v>
      </c>
      <c r="B274" s="73"/>
      <c r="C274" s="32"/>
      <c r="D274" s="73"/>
    </row>
    <row r="275" spans="1:4" x14ac:dyDescent="0.2">
      <c r="A275" s="345">
        <v>35885</v>
      </c>
      <c r="B275" s="73"/>
      <c r="C275" s="32"/>
      <c r="D275" s="73"/>
    </row>
    <row r="276" spans="1:4" x14ac:dyDescent="0.2">
      <c r="A276" s="345">
        <v>35915</v>
      </c>
      <c r="B276" s="73"/>
      <c r="C276" s="32"/>
      <c r="D276" s="73"/>
    </row>
    <row r="277" spans="1:4" x14ac:dyDescent="0.2">
      <c r="A277" s="345">
        <v>35946</v>
      </c>
      <c r="B277" s="73"/>
      <c r="C277" s="32"/>
      <c r="D277" s="73"/>
    </row>
    <row r="278" spans="1:4" x14ac:dyDescent="0.2">
      <c r="A278" s="345">
        <v>35976</v>
      </c>
      <c r="B278" s="73"/>
      <c r="C278" s="32"/>
      <c r="D278" s="73"/>
    </row>
    <row r="279" spans="1:4" x14ac:dyDescent="0.2">
      <c r="A279" s="345">
        <v>36007</v>
      </c>
      <c r="B279" s="73"/>
      <c r="C279" s="32"/>
      <c r="D279" s="73"/>
    </row>
    <row r="280" spans="1:4" x14ac:dyDescent="0.2">
      <c r="A280" s="345">
        <v>36038</v>
      </c>
      <c r="B280" s="73"/>
      <c r="C280" s="32"/>
      <c r="D280" s="73"/>
    </row>
    <row r="281" spans="1:4" x14ac:dyDescent="0.2">
      <c r="A281" s="345">
        <v>36068</v>
      </c>
      <c r="B281" s="73"/>
      <c r="C281" s="32"/>
      <c r="D281" s="73"/>
    </row>
    <row r="282" spans="1:4" x14ac:dyDescent="0.2">
      <c r="A282" s="345">
        <v>36099</v>
      </c>
      <c r="B282" s="73"/>
      <c r="C282" s="32"/>
      <c r="D282" s="73"/>
    </row>
    <row r="283" spans="1:4" x14ac:dyDescent="0.2">
      <c r="A283" s="345">
        <v>36129</v>
      </c>
      <c r="B283" s="73"/>
      <c r="C283" s="32"/>
      <c r="D283" s="73"/>
    </row>
    <row r="284" spans="1:4" x14ac:dyDescent="0.2">
      <c r="A284" s="345">
        <v>36160</v>
      </c>
      <c r="B284" s="73"/>
      <c r="C284" s="32"/>
      <c r="D284" s="73"/>
    </row>
    <row r="285" spans="1:4" x14ac:dyDescent="0.2">
      <c r="A285" s="345">
        <v>36191</v>
      </c>
      <c r="B285" s="73"/>
      <c r="C285" s="32"/>
      <c r="D285" s="73"/>
    </row>
    <row r="286" spans="1:4" x14ac:dyDescent="0.2">
      <c r="A286" s="345">
        <v>36219</v>
      </c>
      <c r="B286" s="73"/>
      <c r="C286" s="32"/>
      <c r="D286" s="73"/>
    </row>
    <row r="287" spans="1:4" x14ac:dyDescent="0.2">
      <c r="A287" s="345">
        <v>36250</v>
      </c>
      <c r="B287" s="73"/>
      <c r="C287" s="32"/>
      <c r="D287" s="73"/>
    </row>
    <row r="288" spans="1:4" x14ac:dyDescent="0.2">
      <c r="A288" s="345">
        <v>36280</v>
      </c>
      <c r="B288" s="73"/>
      <c r="C288" s="32"/>
      <c r="D288" s="73"/>
    </row>
    <row r="289" spans="1:4" x14ac:dyDescent="0.2">
      <c r="A289" s="345">
        <v>36311</v>
      </c>
      <c r="B289" s="73"/>
      <c r="C289" s="32"/>
      <c r="D289" s="73"/>
    </row>
    <row r="290" spans="1:4" x14ac:dyDescent="0.2">
      <c r="A290" s="345">
        <v>36341</v>
      </c>
      <c r="B290" s="73"/>
      <c r="C290" s="32"/>
      <c r="D290" s="73"/>
    </row>
    <row r="291" spans="1:4" x14ac:dyDescent="0.2">
      <c r="A291" s="345">
        <v>36372</v>
      </c>
      <c r="B291" s="73"/>
      <c r="C291" s="32"/>
      <c r="D291" s="73"/>
    </row>
    <row r="292" spans="1:4" x14ac:dyDescent="0.2">
      <c r="A292" s="345">
        <v>36403</v>
      </c>
      <c r="B292" s="73"/>
      <c r="C292" s="32"/>
      <c r="D292" s="73"/>
    </row>
    <row r="293" spans="1:4" x14ac:dyDescent="0.2">
      <c r="A293" s="345">
        <v>36433</v>
      </c>
      <c r="B293" s="73"/>
      <c r="C293" s="32"/>
      <c r="D293" s="73"/>
    </row>
    <row r="294" spans="1:4" x14ac:dyDescent="0.2">
      <c r="A294" s="345">
        <v>36464</v>
      </c>
      <c r="B294" s="73"/>
      <c r="C294" s="32"/>
      <c r="D294" s="73"/>
    </row>
    <row r="295" spans="1:4" x14ac:dyDescent="0.2">
      <c r="A295" s="345">
        <v>36494</v>
      </c>
      <c r="B295" s="73"/>
      <c r="C295" s="32"/>
      <c r="D295" s="73"/>
    </row>
    <row r="296" spans="1:4" x14ac:dyDescent="0.2">
      <c r="A296" s="345">
        <v>36525</v>
      </c>
      <c r="B296" s="73"/>
      <c r="C296" s="32"/>
      <c r="D296" s="73"/>
    </row>
    <row r="297" spans="1:4" x14ac:dyDescent="0.2">
      <c r="A297" s="345">
        <v>36556</v>
      </c>
      <c r="B297" s="73"/>
      <c r="C297" s="32"/>
      <c r="D297" s="73"/>
    </row>
    <row r="298" spans="1:4" x14ac:dyDescent="0.2">
      <c r="A298" s="345">
        <v>36585</v>
      </c>
      <c r="B298" s="73"/>
      <c r="C298" s="32"/>
      <c r="D298" s="73"/>
    </row>
    <row r="299" spans="1:4" x14ac:dyDescent="0.2">
      <c r="A299" s="345">
        <v>36616</v>
      </c>
      <c r="B299" s="73"/>
      <c r="C299" s="32"/>
      <c r="D299" s="73"/>
    </row>
    <row r="300" spans="1:4" x14ac:dyDescent="0.2">
      <c r="A300" s="345">
        <v>36646</v>
      </c>
      <c r="B300" s="73"/>
      <c r="C300" s="32"/>
      <c r="D300" s="73"/>
    </row>
    <row r="301" spans="1:4" x14ac:dyDescent="0.2">
      <c r="A301" s="345">
        <v>36677</v>
      </c>
      <c r="B301" s="73"/>
      <c r="C301" s="32"/>
      <c r="D301" s="73"/>
    </row>
    <row r="302" spans="1:4" x14ac:dyDescent="0.2">
      <c r="A302" s="345">
        <v>36707</v>
      </c>
      <c r="B302" s="73"/>
      <c r="C302" s="32"/>
      <c r="D302" s="73"/>
    </row>
    <row r="303" spans="1:4" x14ac:dyDescent="0.2">
      <c r="A303" s="345">
        <v>36738</v>
      </c>
      <c r="B303" s="73"/>
      <c r="C303" s="32"/>
      <c r="D303" s="73"/>
    </row>
    <row r="304" spans="1:4" x14ac:dyDescent="0.2">
      <c r="A304" s="345">
        <v>36769</v>
      </c>
      <c r="B304" s="73"/>
      <c r="C304" s="32"/>
      <c r="D304" s="73"/>
    </row>
    <row r="305" spans="1:4" x14ac:dyDescent="0.2">
      <c r="A305" s="345">
        <v>36799</v>
      </c>
      <c r="B305" s="79"/>
      <c r="C305" s="33"/>
      <c r="D305" s="73"/>
    </row>
    <row r="306" spans="1:4" x14ac:dyDescent="0.2">
      <c r="A306" s="345">
        <v>36830</v>
      </c>
      <c r="B306" s="253"/>
      <c r="C306" s="33"/>
      <c r="D306" s="253"/>
    </row>
    <row r="307" spans="1:4" x14ac:dyDescent="0.2">
      <c r="A307" s="345">
        <v>36860</v>
      </c>
      <c r="B307" s="253"/>
      <c r="C307" s="33"/>
      <c r="D307" s="253"/>
    </row>
    <row r="308" spans="1:4" x14ac:dyDescent="0.2">
      <c r="A308" s="345">
        <v>36891</v>
      </c>
      <c r="B308" s="253"/>
      <c r="C308" s="33"/>
      <c r="D308" s="253"/>
    </row>
    <row r="309" spans="1:4" x14ac:dyDescent="0.2">
      <c r="A309" s="345">
        <v>36922</v>
      </c>
      <c r="B309" s="253"/>
      <c r="C309" s="33"/>
      <c r="D309" s="253"/>
    </row>
    <row r="310" spans="1:4" x14ac:dyDescent="0.2">
      <c r="A310" s="345">
        <v>36950</v>
      </c>
      <c r="B310" s="253"/>
      <c r="C310" s="33"/>
      <c r="D310" s="253"/>
    </row>
    <row r="311" spans="1:4" x14ac:dyDescent="0.2">
      <c r="A311" s="345">
        <v>36981</v>
      </c>
      <c r="B311" s="253"/>
      <c r="C311" s="33"/>
      <c r="D311" s="253"/>
    </row>
    <row r="312" spans="1:4" x14ac:dyDescent="0.2">
      <c r="A312" s="345">
        <v>37011</v>
      </c>
      <c r="B312" s="253"/>
      <c r="C312" s="33"/>
      <c r="D312" s="253"/>
    </row>
    <row r="313" spans="1:4" x14ac:dyDescent="0.2">
      <c r="A313" s="345">
        <v>37042</v>
      </c>
      <c r="B313" s="253"/>
      <c r="C313" s="33"/>
      <c r="D313" s="253"/>
    </row>
    <row r="314" spans="1:4" x14ac:dyDescent="0.2">
      <c r="A314" s="345">
        <v>37072</v>
      </c>
      <c r="B314" s="253"/>
      <c r="C314" s="33"/>
      <c r="D314" s="253"/>
    </row>
    <row r="315" spans="1:4" x14ac:dyDescent="0.2">
      <c r="A315" s="345">
        <v>37103</v>
      </c>
      <c r="B315" s="253"/>
      <c r="C315" s="33"/>
      <c r="D315" s="253"/>
    </row>
    <row r="316" spans="1:4" x14ac:dyDescent="0.2">
      <c r="A316" s="345">
        <v>37134</v>
      </c>
      <c r="B316" s="253"/>
      <c r="C316" s="33"/>
      <c r="D316" s="253"/>
    </row>
    <row r="317" spans="1:4" x14ac:dyDescent="0.2">
      <c r="A317" s="345">
        <v>37164</v>
      </c>
      <c r="B317" s="253"/>
      <c r="C317" s="33"/>
      <c r="D317" s="253"/>
    </row>
    <row r="318" spans="1:4" x14ac:dyDescent="0.2">
      <c r="A318" s="345">
        <v>37195</v>
      </c>
      <c r="B318" s="253"/>
      <c r="C318" s="33"/>
      <c r="D318" s="253"/>
    </row>
    <row r="319" spans="1:4" x14ac:dyDescent="0.2">
      <c r="A319" s="345">
        <v>37225</v>
      </c>
      <c r="B319" s="253"/>
      <c r="C319" s="33"/>
      <c r="D319" s="253"/>
    </row>
    <row r="320" spans="1:4" x14ac:dyDescent="0.2">
      <c r="A320" s="345">
        <v>37256</v>
      </c>
      <c r="B320" s="253"/>
      <c r="C320" s="33"/>
      <c r="D320" s="253"/>
    </row>
    <row r="321" spans="1:4" x14ac:dyDescent="0.2">
      <c r="A321" s="345">
        <v>37287</v>
      </c>
      <c r="B321" s="253"/>
      <c r="C321" s="33"/>
      <c r="D321" s="253"/>
    </row>
    <row r="322" spans="1:4" x14ac:dyDescent="0.2">
      <c r="A322" s="345">
        <v>37315</v>
      </c>
      <c r="B322" s="253"/>
      <c r="C322" s="33"/>
      <c r="D322" s="253"/>
    </row>
    <row r="323" spans="1:4" x14ac:dyDescent="0.2">
      <c r="A323" s="345">
        <v>37346</v>
      </c>
      <c r="B323" s="253"/>
      <c r="C323" s="33"/>
      <c r="D323" s="253"/>
    </row>
    <row r="324" spans="1:4" x14ac:dyDescent="0.2">
      <c r="A324" s="345">
        <v>37376</v>
      </c>
      <c r="B324" s="253"/>
      <c r="C324" s="33"/>
      <c r="D324" s="253"/>
    </row>
    <row r="325" spans="1:4" x14ac:dyDescent="0.2">
      <c r="A325" s="345">
        <v>37407</v>
      </c>
      <c r="B325" s="253"/>
      <c r="C325" s="33"/>
      <c r="D325" s="253"/>
    </row>
    <row r="326" spans="1:4" x14ac:dyDescent="0.2">
      <c r="A326" s="345">
        <v>37437</v>
      </c>
      <c r="B326" s="253"/>
      <c r="C326" s="33"/>
      <c r="D326" s="253"/>
    </row>
    <row r="327" spans="1:4" x14ac:dyDescent="0.2">
      <c r="A327" s="345">
        <v>37468</v>
      </c>
      <c r="B327" s="253"/>
      <c r="C327" s="33"/>
      <c r="D327" s="253"/>
    </row>
    <row r="328" spans="1:4" x14ac:dyDescent="0.2">
      <c r="A328" s="345">
        <v>37499</v>
      </c>
      <c r="B328" s="253"/>
      <c r="C328" s="33"/>
      <c r="D328" s="253"/>
    </row>
    <row r="329" spans="1:4" x14ac:dyDescent="0.2">
      <c r="A329" s="345">
        <v>37529</v>
      </c>
      <c r="B329" s="253"/>
      <c r="C329" s="33"/>
      <c r="D329" s="253"/>
    </row>
    <row r="330" spans="1:4" x14ac:dyDescent="0.2">
      <c r="A330" s="345">
        <v>37560</v>
      </c>
      <c r="B330" s="253"/>
      <c r="C330" s="33"/>
      <c r="D330" s="253"/>
    </row>
    <row r="331" spans="1:4" x14ac:dyDescent="0.2">
      <c r="A331" s="345">
        <v>37590</v>
      </c>
      <c r="B331" s="253"/>
      <c r="C331" s="33"/>
      <c r="D331" s="253"/>
    </row>
    <row r="332" spans="1:4" x14ac:dyDescent="0.2">
      <c r="A332" s="345">
        <v>37621</v>
      </c>
      <c r="B332" s="253"/>
      <c r="C332" s="33"/>
      <c r="D332" s="253"/>
    </row>
    <row r="333" spans="1:4" x14ac:dyDescent="0.2">
      <c r="A333" s="345">
        <v>37652</v>
      </c>
      <c r="B333" s="253"/>
      <c r="C333" s="33"/>
      <c r="D333" s="253"/>
    </row>
    <row r="334" spans="1:4" x14ac:dyDescent="0.2">
      <c r="A334" s="345">
        <v>37680</v>
      </c>
      <c r="B334" s="253"/>
      <c r="C334" s="33"/>
      <c r="D334" s="253"/>
    </row>
    <row r="335" spans="1:4" x14ac:dyDescent="0.2">
      <c r="A335" s="345">
        <v>37711</v>
      </c>
      <c r="B335" s="253"/>
      <c r="C335" s="33"/>
      <c r="D335" s="253"/>
    </row>
    <row r="336" spans="1:4" x14ac:dyDescent="0.2">
      <c r="A336" s="345">
        <v>37741</v>
      </c>
      <c r="B336" s="253"/>
      <c r="C336" s="33"/>
      <c r="D336" s="253"/>
    </row>
    <row r="337" spans="1:4" x14ac:dyDescent="0.2">
      <c r="A337" s="345">
        <v>37772</v>
      </c>
      <c r="B337" s="253"/>
      <c r="C337" s="33"/>
      <c r="D337" s="253"/>
    </row>
    <row r="338" spans="1:4" x14ac:dyDescent="0.2">
      <c r="A338" s="345">
        <v>37802</v>
      </c>
      <c r="B338" s="253"/>
      <c r="C338" s="33"/>
      <c r="D338" s="253"/>
    </row>
    <row r="339" spans="1:4" x14ac:dyDescent="0.2">
      <c r="A339" s="345">
        <v>37833</v>
      </c>
      <c r="B339" s="253"/>
      <c r="C339" s="33"/>
      <c r="D339" s="253"/>
    </row>
    <row r="340" spans="1:4" x14ac:dyDescent="0.2">
      <c r="A340" s="345">
        <v>37864</v>
      </c>
      <c r="B340" s="253"/>
      <c r="C340" s="33"/>
      <c r="D340" s="253"/>
    </row>
    <row r="341" spans="1:4" x14ac:dyDescent="0.2">
      <c r="A341" s="345">
        <v>37894</v>
      </c>
      <c r="B341" s="253"/>
      <c r="C341" s="34"/>
      <c r="D341" s="253"/>
    </row>
    <row r="342" spans="1:4" x14ac:dyDescent="0.2">
      <c r="A342" s="345">
        <v>37925</v>
      </c>
      <c r="B342" s="253"/>
      <c r="C342" s="34"/>
      <c r="D342" s="253"/>
    </row>
    <row r="343" spans="1:4" x14ac:dyDescent="0.2">
      <c r="A343" s="345">
        <v>37955</v>
      </c>
      <c r="B343" s="253"/>
      <c r="C343" s="34"/>
      <c r="D343" s="253"/>
    </row>
    <row r="344" spans="1:4" x14ac:dyDescent="0.2">
      <c r="A344" s="345">
        <v>37986</v>
      </c>
      <c r="B344" s="253"/>
      <c r="C344" s="34"/>
      <c r="D344" s="253"/>
    </row>
    <row r="345" spans="1:4" x14ac:dyDescent="0.2">
      <c r="A345" s="345">
        <v>38017</v>
      </c>
      <c r="B345" s="253"/>
      <c r="C345" s="34"/>
      <c r="D345" s="253"/>
    </row>
    <row r="346" spans="1:4" x14ac:dyDescent="0.2">
      <c r="A346" s="345">
        <v>38046</v>
      </c>
      <c r="B346" s="253"/>
      <c r="C346" s="34"/>
      <c r="D346" s="253"/>
    </row>
    <row r="347" spans="1:4" x14ac:dyDescent="0.2">
      <c r="A347" s="345">
        <v>38077</v>
      </c>
      <c r="B347" s="253"/>
      <c r="C347" s="34"/>
      <c r="D347" s="255"/>
    </row>
    <row r="348" spans="1:4" x14ac:dyDescent="0.2">
      <c r="A348" s="345">
        <v>38107</v>
      </c>
      <c r="B348" s="253"/>
      <c r="C348" s="34"/>
      <c r="D348" s="253"/>
    </row>
    <row r="349" spans="1:4" x14ac:dyDescent="0.2">
      <c r="A349" s="345">
        <v>38138</v>
      </c>
      <c r="B349" s="253"/>
      <c r="C349" s="34"/>
      <c r="D349" s="253"/>
    </row>
    <row r="350" spans="1:4" x14ac:dyDescent="0.2">
      <c r="A350" s="345">
        <v>38168</v>
      </c>
      <c r="B350" s="253"/>
      <c r="C350" s="34"/>
      <c r="D350" s="253"/>
    </row>
    <row r="351" spans="1:4" x14ac:dyDescent="0.2">
      <c r="A351" s="345">
        <v>38199</v>
      </c>
      <c r="B351" s="253"/>
      <c r="C351" s="34"/>
      <c r="D351" s="253"/>
    </row>
    <row r="352" spans="1:4" x14ac:dyDescent="0.2">
      <c r="A352" s="345">
        <v>38230</v>
      </c>
      <c r="B352" s="253"/>
      <c r="C352" s="34"/>
      <c r="D352" s="253"/>
    </row>
    <row r="353" spans="1:4" x14ac:dyDescent="0.2">
      <c r="A353" s="345">
        <v>38260</v>
      </c>
      <c r="B353" s="253"/>
      <c r="C353" s="34"/>
      <c r="D353" s="253"/>
    </row>
    <row r="354" spans="1:4" x14ac:dyDescent="0.2">
      <c r="A354" s="345">
        <v>38291</v>
      </c>
      <c r="B354" s="253"/>
      <c r="C354" s="34"/>
      <c r="D354" s="253"/>
    </row>
    <row r="355" spans="1:4" x14ac:dyDescent="0.2">
      <c r="A355" s="345">
        <v>38321</v>
      </c>
      <c r="B355" s="253"/>
      <c r="C355" s="34"/>
      <c r="D355" s="253"/>
    </row>
    <row r="356" spans="1:4" x14ac:dyDescent="0.2">
      <c r="A356" s="345">
        <v>38352</v>
      </c>
      <c r="B356" s="253"/>
      <c r="C356" s="256"/>
      <c r="D356" s="253"/>
    </row>
    <row r="357" spans="1:4" x14ac:dyDescent="0.2">
      <c r="A357" s="345">
        <v>38383</v>
      </c>
      <c r="B357" s="253"/>
      <c r="C357" s="34"/>
      <c r="D357" s="253"/>
    </row>
    <row r="358" spans="1:4" x14ac:dyDescent="0.2">
      <c r="A358" s="345">
        <v>38411</v>
      </c>
      <c r="B358" s="253"/>
      <c r="C358" s="34"/>
      <c r="D358" s="253"/>
    </row>
    <row r="359" spans="1:4" x14ac:dyDescent="0.2">
      <c r="A359" s="345">
        <v>38442</v>
      </c>
      <c r="B359" s="253"/>
      <c r="C359" s="256"/>
      <c r="D359" s="253"/>
    </row>
    <row r="360" spans="1:4" x14ac:dyDescent="0.2">
      <c r="A360" s="345">
        <v>38472</v>
      </c>
      <c r="B360" s="253"/>
      <c r="C360" s="256"/>
      <c r="D360" s="253"/>
    </row>
    <row r="361" spans="1:4" x14ac:dyDescent="0.2">
      <c r="A361" s="345">
        <v>38503</v>
      </c>
      <c r="B361" s="253"/>
      <c r="C361" s="256"/>
      <c r="D361" s="253"/>
    </row>
    <row r="362" spans="1:4" x14ac:dyDescent="0.2">
      <c r="A362" s="345">
        <v>38533</v>
      </c>
      <c r="B362" s="253"/>
      <c r="C362" s="256"/>
      <c r="D362" s="253"/>
    </row>
    <row r="363" spans="1:4" x14ac:dyDescent="0.2">
      <c r="A363" s="345">
        <v>38564</v>
      </c>
      <c r="B363" s="253"/>
      <c r="C363" s="256"/>
      <c r="D363" s="253"/>
    </row>
    <row r="364" spans="1:4" x14ac:dyDescent="0.2">
      <c r="A364" s="345">
        <v>38595</v>
      </c>
      <c r="B364" s="253"/>
      <c r="C364" s="256"/>
      <c r="D364" s="253"/>
    </row>
    <row r="365" spans="1:4" x14ac:dyDescent="0.2">
      <c r="A365" s="345">
        <v>38625</v>
      </c>
      <c r="B365" s="253"/>
      <c r="C365" s="256"/>
      <c r="D365" s="253"/>
    </row>
    <row r="366" spans="1:4" x14ac:dyDescent="0.2">
      <c r="A366" s="345">
        <v>38656</v>
      </c>
      <c r="B366" s="253"/>
      <c r="C366" s="256"/>
      <c r="D366" s="253"/>
    </row>
    <row r="367" spans="1:4" x14ac:dyDescent="0.2">
      <c r="A367" s="345">
        <v>38686</v>
      </c>
      <c r="B367" s="253"/>
      <c r="C367" s="256"/>
      <c r="D367" s="253"/>
    </row>
    <row r="368" spans="1:4" x14ac:dyDescent="0.2">
      <c r="A368" s="345">
        <v>38717</v>
      </c>
      <c r="B368" s="253"/>
      <c r="C368" s="256"/>
      <c r="D368" s="253"/>
    </row>
    <row r="369" spans="1:6" x14ac:dyDescent="0.2">
      <c r="A369" s="345">
        <v>38748</v>
      </c>
      <c r="B369" s="253"/>
      <c r="C369" s="256"/>
      <c r="D369" s="253"/>
    </row>
    <row r="370" spans="1:6" x14ac:dyDescent="0.2">
      <c r="A370" s="345">
        <v>38776</v>
      </c>
      <c r="B370" s="253"/>
      <c r="C370" s="256"/>
      <c r="D370" s="253"/>
    </row>
    <row r="371" spans="1:6" x14ac:dyDescent="0.2">
      <c r="A371" s="345">
        <v>38807</v>
      </c>
      <c r="B371" s="253"/>
      <c r="C371" s="33"/>
      <c r="D371" s="253"/>
    </row>
    <row r="372" spans="1:6" x14ac:dyDescent="0.2">
      <c r="A372" s="345">
        <v>38837</v>
      </c>
      <c r="B372" s="253"/>
      <c r="C372" s="33"/>
      <c r="D372" s="253"/>
    </row>
    <row r="373" spans="1:6" x14ac:dyDescent="0.2">
      <c r="A373" s="345">
        <v>38868</v>
      </c>
      <c r="B373" s="253"/>
      <c r="C373" s="33"/>
      <c r="D373" s="253"/>
    </row>
    <row r="374" spans="1:6" x14ac:dyDescent="0.2">
      <c r="A374" s="345">
        <v>38898</v>
      </c>
      <c r="B374" s="76"/>
      <c r="C374" s="354"/>
      <c r="D374" s="253"/>
    </row>
    <row r="375" spans="1:6" x14ac:dyDescent="0.2">
      <c r="A375" s="345">
        <v>38929</v>
      </c>
      <c r="B375" s="253"/>
      <c r="C375" s="34"/>
      <c r="D375" s="253"/>
    </row>
    <row r="376" spans="1:6" x14ac:dyDescent="0.2">
      <c r="A376" s="345">
        <v>38960</v>
      </c>
      <c r="B376" s="253"/>
      <c r="C376" s="34"/>
      <c r="D376" s="253"/>
    </row>
    <row r="377" spans="1:6" x14ac:dyDescent="0.2">
      <c r="A377" s="345">
        <v>38990</v>
      </c>
      <c r="B377" s="253"/>
      <c r="C377" s="34"/>
      <c r="D377" s="253"/>
    </row>
    <row r="378" spans="1:6" x14ac:dyDescent="0.2">
      <c r="A378" s="345">
        <v>39021</v>
      </c>
      <c r="B378" s="253"/>
      <c r="C378" s="34"/>
      <c r="D378" s="253"/>
      <c r="F378" s="352"/>
    </row>
    <row r="379" spans="1:6" x14ac:dyDescent="0.2">
      <c r="A379" s="345">
        <v>39051</v>
      </c>
      <c r="B379" s="253"/>
      <c r="C379" s="34"/>
      <c r="D379" s="253"/>
      <c r="F379" s="352"/>
    </row>
    <row r="380" spans="1:6" x14ac:dyDescent="0.2">
      <c r="A380" s="345">
        <v>39082</v>
      </c>
      <c r="B380" s="253"/>
      <c r="C380" s="34"/>
      <c r="D380" s="253"/>
      <c r="F380" s="352"/>
    </row>
    <row r="381" spans="1:6" x14ac:dyDescent="0.2">
      <c r="A381" s="345">
        <v>39113</v>
      </c>
      <c r="B381" s="253"/>
      <c r="F381" s="352"/>
    </row>
    <row r="382" spans="1:6" x14ac:dyDescent="0.2">
      <c r="A382" s="345">
        <v>39141</v>
      </c>
      <c r="B382" s="253"/>
      <c r="F382" s="352"/>
    </row>
    <row r="383" spans="1:6" x14ac:dyDescent="0.2">
      <c r="A383" s="345">
        <v>39172</v>
      </c>
      <c r="B383" s="253"/>
    </row>
    <row r="384" spans="1:6" x14ac:dyDescent="0.2">
      <c r="A384" s="345">
        <v>39202</v>
      </c>
      <c r="B384" s="253"/>
    </row>
    <row r="385" spans="1:3" x14ac:dyDescent="0.2">
      <c r="A385" s="345">
        <v>39233</v>
      </c>
      <c r="B385" s="253"/>
    </row>
    <row r="386" spans="1:3" x14ac:dyDescent="0.2">
      <c r="A386" s="345">
        <v>39263</v>
      </c>
      <c r="B386" s="253"/>
    </row>
    <row r="387" spans="1:3" x14ac:dyDescent="0.2">
      <c r="A387" s="345">
        <v>39294</v>
      </c>
      <c r="B387" s="253"/>
    </row>
    <row r="388" spans="1:3" x14ac:dyDescent="0.2">
      <c r="A388" s="345">
        <v>39325</v>
      </c>
      <c r="B388" s="253"/>
    </row>
    <row r="389" spans="1:3" x14ac:dyDescent="0.2">
      <c r="A389" s="345">
        <v>39355</v>
      </c>
      <c r="B389" s="253"/>
    </row>
    <row r="390" spans="1:3" x14ac:dyDescent="0.2">
      <c r="A390" s="345">
        <v>39386</v>
      </c>
      <c r="B390" s="253"/>
    </row>
    <row r="391" spans="1:3" x14ac:dyDescent="0.2">
      <c r="A391" s="345">
        <v>39416</v>
      </c>
      <c r="B391" s="253"/>
    </row>
    <row r="392" spans="1:3" x14ac:dyDescent="0.2">
      <c r="A392" s="345">
        <v>39447</v>
      </c>
      <c r="B392" s="253"/>
    </row>
    <row r="393" spans="1:3" x14ac:dyDescent="0.2">
      <c r="A393" s="345">
        <v>39478</v>
      </c>
      <c r="B393" s="253"/>
    </row>
    <row r="394" spans="1:3" x14ac:dyDescent="0.2">
      <c r="A394" s="345">
        <v>39507</v>
      </c>
      <c r="B394" s="253"/>
    </row>
    <row r="395" spans="1:3" x14ac:dyDescent="0.2">
      <c r="A395" s="345">
        <v>39538</v>
      </c>
      <c r="B395" s="253"/>
    </row>
    <row r="396" spans="1:3" x14ac:dyDescent="0.2">
      <c r="A396" s="345">
        <v>39568</v>
      </c>
      <c r="B396" s="253"/>
    </row>
    <row r="397" spans="1:3" x14ac:dyDescent="0.2">
      <c r="A397" s="345">
        <v>39599</v>
      </c>
      <c r="B397" s="253"/>
    </row>
    <row r="398" spans="1:3" x14ac:dyDescent="0.2">
      <c r="A398" s="345">
        <v>39629</v>
      </c>
      <c r="B398" s="253"/>
    </row>
    <row r="399" spans="1:3" x14ac:dyDescent="0.2">
      <c r="A399" s="345">
        <v>39660</v>
      </c>
      <c r="B399" s="253"/>
      <c r="C399" s="33"/>
    </row>
    <row r="400" spans="1:3" x14ac:dyDescent="0.2">
      <c r="A400" s="345">
        <v>39691</v>
      </c>
      <c r="B400" s="253"/>
      <c r="C400" s="33"/>
    </row>
    <row r="401" spans="1:9" x14ac:dyDescent="0.2">
      <c r="A401" s="345">
        <v>39721</v>
      </c>
      <c r="B401" s="253"/>
      <c r="C401" s="33"/>
    </row>
    <row r="402" spans="1:9" x14ac:dyDescent="0.2">
      <c r="A402" s="345">
        <v>39752</v>
      </c>
      <c r="B402" s="253"/>
    </row>
    <row r="403" spans="1:9" x14ac:dyDescent="0.2">
      <c r="A403" s="345">
        <v>39782</v>
      </c>
      <c r="B403" s="253"/>
      <c r="G403" s="14"/>
    </row>
    <row r="404" spans="1:9" x14ac:dyDescent="0.2">
      <c r="A404" s="345">
        <v>39813</v>
      </c>
      <c r="B404" s="253"/>
    </row>
    <row r="405" spans="1:9" x14ac:dyDescent="0.2">
      <c r="A405" s="345">
        <v>39844</v>
      </c>
      <c r="B405" s="253"/>
    </row>
    <row r="406" spans="1:9" x14ac:dyDescent="0.2">
      <c r="A406" s="345">
        <v>39872</v>
      </c>
      <c r="B406" s="253"/>
    </row>
    <row r="407" spans="1:9" x14ac:dyDescent="0.2">
      <c r="A407" s="345">
        <v>39903</v>
      </c>
      <c r="B407" s="253"/>
    </row>
    <row r="408" spans="1:9" x14ac:dyDescent="0.2">
      <c r="A408" s="345">
        <v>39933</v>
      </c>
      <c r="B408" s="253"/>
    </row>
    <row r="409" spans="1:9" x14ac:dyDescent="0.2">
      <c r="A409" s="345">
        <v>39964</v>
      </c>
      <c r="B409" s="253"/>
    </row>
    <row r="410" spans="1:9" x14ac:dyDescent="0.2">
      <c r="A410" s="345">
        <v>39994</v>
      </c>
      <c r="B410" s="253"/>
    </row>
    <row r="411" spans="1:9" x14ac:dyDescent="0.2">
      <c r="A411" s="345">
        <v>40025</v>
      </c>
      <c r="B411" s="253"/>
    </row>
    <row r="412" spans="1:9" x14ac:dyDescent="0.2">
      <c r="A412" s="345">
        <v>40056</v>
      </c>
      <c r="B412" s="253"/>
    </row>
    <row r="413" spans="1:9" x14ac:dyDescent="0.2">
      <c r="A413" s="345">
        <v>40086</v>
      </c>
      <c r="B413" s="253"/>
      <c r="F413" s="52"/>
      <c r="G413" s="749"/>
      <c r="H413" s="749"/>
      <c r="I413" s="52"/>
    </row>
    <row r="414" spans="1:9" x14ac:dyDescent="0.2">
      <c r="A414" s="345">
        <v>40117</v>
      </c>
      <c r="B414" s="253"/>
      <c r="F414" s="52"/>
      <c r="G414" s="781"/>
      <c r="H414" s="782"/>
      <c r="I414" s="52"/>
    </row>
    <row r="415" spans="1:9" x14ac:dyDescent="0.2">
      <c r="A415" s="345">
        <v>40147</v>
      </c>
      <c r="B415" s="253"/>
      <c r="F415" s="52"/>
      <c r="G415" s="781"/>
      <c r="H415" s="782"/>
      <c r="I415" s="52"/>
    </row>
    <row r="416" spans="1:9" x14ac:dyDescent="0.2">
      <c r="A416" s="345">
        <v>40178</v>
      </c>
      <c r="B416" s="253"/>
      <c r="F416" s="52"/>
      <c r="G416" s="781"/>
      <c r="H416" s="782"/>
      <c r="I416" s="52"/>
    </row>
    <row r="417" spans="1:9" x14ac:dyDescent="0.2">
      <c r="A417" s="345">
        <v>40209</v>
      </c>
      <c r="B417" s="253"/>
      <c r="F417" s="52"/>
      <c r="G417" s="781"/>
      <c r="H417" s="782"/>
      <c r="I417" s="52"/>
    </row>
    <row r="418" spans="1:9" x14ac:dyDescent="0.2">
      <c r="A418" s="345">
        <v>40237</v>
      </c>
      <c r="B418" s="253"/>
      <c r="F418" s="52"/>
      <c r="G418" s="781"/>
      <c r="H418" s="782"/>
      <c r="I418" s="52"/>
    </row>
    <row r="419" spans="1:9" x14ac:dyDescent="0.2">
      <c r="A419" s="345">
        <v>40268</v>
      </c>
      <c r="B419" s="253"/>
      <c r="C419" s="1334"/>
      <c r="D419" s="1311"/>
      <c r="F419" s="52"/>
      <c r="G419" s="781"/>
      <c r="H419" s="782"/>
      <c r="I419" s="52"/>
    </row>
    <row r="420" spans="1:9" x14ac:dyDescent="0.2">
      <c r="A420" s="345">
        <v>40298</v>
      </c>
      <c r="B420" s="253"/>
      <c r="F420" s="52"/>
      <c r="G420" s="781"/>
      <c r="H420" s="782"/>
      <c r="I420" s="52"/>
    </row>
    <row r="421" spans="1:9" x14ac:dyDescent="0.2">
      <c r="A421" s="345">
        <v>40329</v>
      </c>
      <c r="B421" s="253"/>
      <c r="F421" s="52"/>
      <c r="G421" s="781"/>
      <c r="H421" s="782"/>
      <c r="I421" s="52"/>
    </row>
    <row r="422" spans="1:9" x14ac:dyDescent="0.2">
      <c r="A422" s="345">
        <v>40359</v>
      </c>
      <c r="B422" s="253"/>
      <c r="F422" s="52"/>
      <c r="G422" s="781"/>
      <c r="H422" s="782"/>
      <c r="I422" s="52"/>
    </row>
    <row r="423" spans="1:9" x14ac:dyDescent="0.2">
      <c r="A423" s="345">
        <v>40390</v>
      </c>
      <c r="B423" s="253"/>
      <c r="F423" s="52"/>
      <c r="G423" s="781"/>
      <c r="H423" s="782"/>
      <c r="I423" s="52"/>
    </row>
    <row r="424" spans="1:9" x14ac:dyDescent="0.2">
      <c r="A424" s="345">
        <v>40421</v>
      </c>
      <c r="B424" s="253"/>
      <c r="F424" s="52"/>
      <c r="G424" s="781"/>
      <c r="H424" s="782"/>
      <c r="I424" s="52"/>
    </row>
    <row r="425" spans="1:9" x14ac:dyDescent="0.2">
      <c r="A425" s="345">
        <v>40451</v>
      </c>
      <c r="B425" s="253"/>
      <c r="F425" s="52"/>
      <c r="G425" s="781"/>
      <c r="H425" s="782"/>
      <c r="I425" s="52"/>
    </row>
    <row r="426" spans="1:9" x14ac:dyDescent="0.2">
      <c r="A426" s="345">
        <v>40482</v>
      </c>
      <c r="B426" s="253"/>
      <c r="G426" s="781"/>
    </row>
    <row r="427" spans="1:9" x14ac:dyDescent="0.2">
      <c r="A427" s="345">
        <v>40512</v>
      </c>
      <c r="B427" s="253"/>
      <c r="G427" s="781"/>
    </row>
    <row r="428" spans="1:9" x14ac:dyDescent="0.2">
      <c r="A428" s="345">
        <v>40543</v>
      </c>
      <c r="B428" s="253"/>
      <c r="G428" s="781"/>
    </row>
    <row r="429" spans="1:9" x14ac:dyDescent="0.2">
      <c r="A429" s="345">
        <v>40574</v>
      </c>
      <c r="B429" s="253"/>
      <c r="G429" s="781"/>
    </row>
    <row r="430" spans="1:9" x14ac:dyDescent="0.2">
      <c r="A430" s="345">
        <v>40602</v>
      </c>
      <c r="B430" s="253"/>
      <c r="G430" s="781"/>
    </row>
    <row r="431" spans="1:9" x14ac:dyDescent="0.2">
      <c r="A431" s="345">
        <v>40633</v>
      </c>
      <c r="B431" s="253"/>
      <c r="G431" s="781"/>
    </row>
    <row r="432" spans="1:9" x14ac:dyDescent="0.2">
      <c r="A432" s="345">
        <v>40663</v>
      </c>
      <c r="B432" s="253"/>
      <c r="G432" s="781"/>
    </row>
    <row r="433" spans="1:7" x14ac:dyDescent="0.2">
      <c r="A433" s="345">
        <v>40694</v>
      </c>
      <c r="B433" s="253"/>
      <c r="G433" s="781"/>
    </row>
    <row r="434" spans="1:7" x14ac:dyDescent="0.2">
      <c r="A434" s="345">
        <v>40724</v>
      </c>
      <c r="B434" s="253"/>
      <c r="G434" s="781"/>
    </row>
    <row r="435" spans="1:7" x14ac:dyDescent="0.2">
      <c r="A435" s="345">
        <v>40755</v>
      </c>
      <c r="B435" s="253"/>
      <c r="G435" s="781"/>
    </row>
    <row r="436" spans="1:7" x14ac:dyDescent="0.2">
      <c r="A436" s="345">
        <v>40786</v>
      </c>
      <c r="B436" s="253"/>
      <c r="G436" s="781"/>
    </row>
    <row r="437" spans="1:7" x14ac:dyDescent="0.2">
      <c r="A437" s="345">
        <v>40816</v>
      </c>
      <c r="B437" s="253"/>
      <c r="G437" s="781"/>
    </row>
    <row r="438" spans="1:7" x14ac:dyDescent="0.2">
      <c r="A438" s="345">
        <v>40847</v>
      </c>
      <c r="B438" s="253"/>
      <c r="G438" s="781"/>
    </row>
    <row r="439" spans="1:7" x14ac:dyDescent="0.2">
      <c r="A439" s="345">
        <v>40877</v>
      </c>
      <c r="B439" s="253"/>
      <c r="G439" s="781"/>
    </row>
    <row r="440" spans="1:7" x14ac:dyDescent="0.2">
      <c r="A440" s="345">
        <v>40908</v>
      </c>
      <c r="B440" s="253"/>
      <c r="G440" s="781"/>
    </row>
    <row r="441" spans="1:7" x14ac:dyDescent="0.2">
      <c r="A441" s="345">
        <v>40939</v>
      </c>
      <c r="B441" s="253"/>
      <c r="G441" s="781"/>
    </row>
    <row r="442" spans="1:7" x14ac:dyDescent="0.2">
      <c r="A442" s="345">
        <v>40968</v>
      </c>
      <c r="B442" s="253"/>
      <c r="G442" s="781"/>
    </row>
    <row r="443" spans="1:7" x14ac:dyDescent="0.2">
      <c r="A443" s="345">
        <v>40999</v>
      </c>
      <c r="B443" s="253"/>
      <c r="G443" s="781"/>
    </row>
    <row r="444" spans="1:7" x14ac:dyDescent="0.2">
      <c r="A444" s="345">
        <v>41029</v>
      </c>
      <c r="B444" s="253"/>
      <c r="G444" s="781"/>
    </row>
    <row r="445" spans="1:7" x14ac:dyDescent="0.2">
      <c r="A445" s="345">
        <v>41060</v>
      </c>
      <c r="B445" s="253"/>
      <c r="G445" s="781"/>
    </row>
    <row r="446" spans="1:7" x14ac:dyDescent="0.2">
      <c r="A446" s="345">
        <v>41090</v>
      </c>
      <c r="B446" s="253"/>
      <c r="G446" s="781"/>
    </row>
    <row r="447" spans="1:7" x14ac:dyDescent="0.2">
      <c r="A447" s="345">
        <v>41121</v>
      </c>
      <c r="B447" s="253"/>
      <c r="G447" s="781"/>
    </row>
    <row r="448" spans="1:7" x14ac:dyDescent="0.2">
      <c r="A448" s="345">
        <v>41152</v>
      </c>
      <c r="B448" s="253"/>
      <c r="G448" s="781"/>
    </row>
    <row r="449" spans="1:5" x14ac:dyDescent="0.2">
      <c r="A449" s="345">
        <v>41182</v>
      </c>
      <c r="B449" s="253"/>
    </row>
    <row r="450" spans="1:5" x14ac:dyDescent="0.2">
      <c r="A450" s="345">
        <v>41213</v>
      </c>
      <c r="B450" s="253"/>
    </row>
    <row r="451" spans="1:5" x14ac:dyDescent="0.2">
      <c r="A451" s="345">
        <v>41243</v>
      </c>
      <c r="B451" s="253"/>
    </row>
    <row r="452" spans="1:5" x14ac:dyDescent="0.2">
      <c r="A452" s="345">
        <v>41274</v>
      </c>
      <c r="B452" s="253"/>
    </row>
    <row r="453" spans="1:5" x14ac:dyDescent="0.2">
      <c r="A453" s="345">
        <v>41305</v>
      </c>
      <c r="B453" s="253"/>
    </row>
    <row r="454" spans="1:5" x14ac:dyDescent="0.2">
      <c r="A454" s="345">
        <v>41333</v>
      </c>
      <c r="B454" s="253"/>
    </row>
    <row r="455" spans="1:5" x14ac:dyDescent="0.2">
      <c r="A455" s="345">
        <v>41364</v>
      </c>
      <c r="B455" s="253"/>
    </row>
    <row r="456" spans="1:5" x14ac:dyDescent="0.2">
      <c r="A456" s="345">
        <v>41394</v>
      </c>
      <c r="B456" s="253"/>
    </row>
    <row r="457" spans="1:5" x14ac:dyDescent="0.2">
      <c r="A457" s="345">
        <v>41425</v>
      </c>
      <c r="B457" s="253"/>
    </row>
    <row r="458" spans="1:5" x14ac:dyDescent="0.2">
      <c r="A458" s="345">
        <v>41455</v>
      </c>
      <c r="B458" s="253"/>
      <c r="C458" s="1307"/>
      <c r="D458" s="1306"/>
    </row>
    <row r="459" spans="1:5" x14ac:dyDescent="0.2">
      <c r="A459" s="345">
        <v>41486</v>
      </c>
      <c r="B459" s="253">
        <f t="shared" ref="B459:B488" si="0">D459</f>
        <v>1.8882300000000001</v>
      </c>
      <c r="C459" s="346">
        <v>302964402.93000001</v>
      </c>
      <c r="D459" s="258">
        <v>1.8882300000000001</v>
      </c>
      <c r="E459" s="14">
        <f>B459-Index_Returns!AI459</f>
        <v>-7.0699999999999097E-3</v>
      </c>
    </row>
    <row r="460" spans="1:5" x14ac:dyDescent="0.2">
      <c r="A460" s="345">
        <v>41517</v>
      </c>
      <c r="B460" s="253">
        <f t="shared" si="0"/>
        <v>-0.87370999999999999</v>
      </c>
      <c r="C460" s="346">
        <v>300369604.42000002</v>
      </c>
      <c r="D460" s="258">
        <v>-0.87370999999999999</v>
      </c>
      <c r="E460" s="14">
        <f>B460-Index_Returns!AI460</f>
        <v>-0.26636000000000004</v>
      </c>
    </row>
    <row r="461" spans="1:5" x14ac:dyDescent="0.2">
      <c r="A461" s="345">
        <v>41547</v>
      </c>
      <c r="B461" s="253">
        <f t="shared" si="0"/>
        <v>1.17841</v>
      </c>
      <c r="C461" s="346">
        <v>303909191.91000003</v>
      </c>
      <c r="D461" s="258">
        <v>1.17841</v>
      </c>
      <c r="E461" s="14">
        <f>B461-Index_Returns!AI461</f>
        <v>0.18529999999999991</v>
      </c>
    </row>
    <row r="462" spans="1:5" x14ac:dyDescent="0.2">
      <c r="A462" s="345">
        <v>41578</v>
      </c>
      <c r="B462" s="253">
        <f t="shared" si="0"/>
        <v>2.7159</v>
      </c>
      <c r="C462" s="346">
        <v>312163057.55000001</v>
      </c>
      <c r="D462" s="258">
        <v>2.7159</v>
      </c>
      <c r="E462" s="14">
        <f>B462-Index_Returns!AI462</f>
        <v>0.21057000000000015</v>
      </c>
    </row>
    <row r="463" spans="1:5" x14ac:dyDescent="0.2">
      <c r="A463" s="345">
        <v>41608</v>
      </c>
      <c r="B463" s="253">
        <f t="shared" si="0"/>
        <v>0.53344999999999998</v>
      </c>
      <c r="C463" s="346">
        <v>313828279.86000001</v>
      </c>
      <c r="D463" s="258">
        <v>0.53344999999999998</v>
      </c>
      <c r="E463" s="14">
        <f>B463-Index_Returns!AI463</f>
        <v>2.5919999999999943E-2</v>
      </c>
    </row>
    <row r="464" spans="1:5" x14ac:dyDescent="0.2">
      <c r="A464" s="345">
        <v>41639</v>
      </c>
      <c r="B464" s="253">
        <f t="shared" si="0"/>
        <v>0.48355999999999999</v>
      </c>
      <c r="C464" s="346">
        <v>315345828.47000003</v>
      </c>
      <c r="D464" s="258">
        <v>0.48355999999999999</v>
      </c>
      <c r="E464" s="14">
        <f>B464-Index_Returns!AI464</f>
        <v>-5.6120000000000059E-2</v>
      </c>
    </row>
    <row r="465" spans="1:5" x14ac:dyDescent="0.2">
      <c r="A465" s="345">
        <v>41670</v>
      </c>
      <c r="B465" s="253">
        <f t="shared" si="0"/>
        <v>0.43617</v>
      </c>
      <c r="C465" s="346">
        <v>316987605.12</v>
      </c>
      <c r="D465" s="258">
        <v>0.43617</v>
      </c>
      <c r="E465" s="14">
        <f>B465-Index_Returns!AI465</f>
        <v>-0.26498000000000005</v>
      </c>
    </row>
    <row r="466" spans="1:5" x14ac:dyDescent="0.2">
      <c r="A466" s="345">
        <v>41698</v>
      </c>
      <c r="B466" s="253">
        <f t="shared" si="0"/>
        <v>2.1501999999999999</v>
      </c>
      <c r="C466" s="346">
        <v>323803483.81999999</v>
      </c>
      <c r="D466" s="258">
        <v>2.1501999999999999</v>
      </c>
      <c r="E466" s="14">
        <f>B466-Index_Returns!AI466</f>
        <v>0.12708999999999993</v>
      </c>
    </row>
    <row r="467" spans="1:5" x14ac:dyDescent="0.2">
      <c r="A467" s="345">
        <v>41729</v>
      </c>
      <c r="B467" s="253">
        <f t="shared" si="0"/>
        <v>0.13095000000000001</v>
      </c>
      <c r="C467" s="346">
        <v>324227506.93000001</v>
      </c>
      <c r="D467" s="258">
        <v>0.13095000000000001</v>
      </c>
      <c r="E467" s="14">
        <f>B467-Index_Returns!AI467</f>
        <v>-0.10541999999999999</v>
      </c>
    </row>
    <row r="468" spans="1:5" x14ac:dyDescent="0.2">
      <c r="A468" s="345">
        <v>41759</v>
      </c>
      <c r="B468" s="253">
        <f t="shared" si="0"/>
        <v>0.39911000000000002</v>
      </c>
      <c r="C468" s="346">
        <v>325795881.88</v>
      </c>
      <c r="D468" s="258">
        <v>0.39911000000000002</v>
      </c>
      <c r="E468" s="14">
        <f>B468-Index_Returns!AI468</f>
        <v>-0.23423999999999995</v>
      </c>
    </row>
    <row r="469" spans="1:5" x14ac:dyDescent="0.2">
      <c r="A469" s="345">
        <v>41790</v>
      </c>
      <c r="B469" s="253">
        <f t="shared" si="0"/>
        <v>0.71335999999999999</v>
      </c>
      <c r="C469" s="346">
        <v>328119975.37</v>
      </c>
      <c r="D469" s="258">
        <v>0.71335999999999999</v>
      </c>
      <c r="E469" s="14">
        <f>B469-Index_Returns!AI469</f>
        <v>-0.20650999999999997</v>
      </c>
    </row>
    <row r="470" spans="1:5" x14ac:dyDescent="0.2">
      <c r="A470" s="345">
        <v>41820</v>
      </c>
      <c r="B470" s="253">
        <f t="shared" si="0"/>
        <v>0.88944999999999996</v>
      </c>
      <c r="C470" s="346">
        <v>331038441.31</v>
      </c>
      <c r="D470" s="258">
        <v>0.88944999999999996</v>
      </c>
      <c r="E470" s="14">
        <f>B470-Index_Returns!AI470</f>
        <v>5.4219999999999935E-2</v>
      </c>
    </row>
    <row r="471" spans="1:5" x14ac:dyDescent="0.2">
      <c r="A471" s="345">
        <v>41851</v>
      </c>
      <c r="B471" s="253">
        <f t="shared" si="0"/>
        <v>-1.59534</v>
      </c>
      <c r="C471" s="346">
        <v>326322585.30400002</v>
      </c>
      <c r="D471" s="258">
        <v>-1.59534</v>
      </c>
      <c r="E471" s="14">
        <f>B471-Index_Returns!AI471</f>
        <v>-0.26193</v>
      </c>
    </row>
    <row r="472" spans="1:5" x14ac:dyDescent="0.2">
      <c r="A472" s="345">
        <v>41882</v>
      </c>
      <c r="B472" s="253">
        <f t="shared" si="0"/>
        <v>1.63428</v>
      </c>
      <c r="C472" s="346">
        <v>331655613.83999997</v>
      </c>
      <c r="D472" s="258">
        <v>1.63428</v>
      </c>
      <c r="E472" s="14">
        <f>B472-Index_Returns!AI472</f>
        <v>4.9089999999999856E-2</v>
      </c>
    </row>
    <row r="473" spans="1:5" x14ac:dyDescent="0.2">
      <c r="A473" s="345">
        <v>41912</v>
      </c>
      <c r="B473" s="253">
        <f t="shared" si="0"/>
        <v>0</v>
      </c>
      <c r="E473" s="14">
        <f>B473-Index_Returns!AI473</f>
        <v>0</v>
      </c>
    </row>
    <row r="474" spans="1:5" x14ac:dyDescent="0.2">
      <c r="A474" s="345">
        <v>41943</v>
      </c>
      <c r="B474" s="253">
        <f t="shared" si="0"/>
        <v>0</v>
      </c>
      <c r="E474" s="14">
        <f>B474-Index_Returns!AI474</f>
        <v>0</v>
      </c>
    </row>
    <row r="475" spans="1:5" x14ac:dyDescent="0.2">
      <c r="A475" s="345">
        <v>41973</v>
      </c>
      <c r="B475" s="253">
        <f t="shared" si="0"/>
        <v>0</v>
      </c>
      <c r="E475" s="14">
        <f>B475-Index_Returns!AI475</f>
        <v>0</v>
      </c>
    </row>
    <row r="476" spans="1:5" x14ac:dyDescent="0.2">
      <c r="A476" s="345">
        <v>42004</v>
      </c>
      <c r="B476" s="253">
        <f t="shared" si="0"/>
        <v>0</v>
      </c>
      <c r="E476" s="14">
        <f>B476-Index_Returns!AI476</f>
        <v>0</v>
      </c>
    </row>
    <row r="477" spans="1:5" x14ac:dyDescent="0.2">
      <c r="A477" s="345">
        <v>42035</v>
      </c>
      <c r="B477" s="253">
        <f t="shared" si="0"/>
        <v>0</v>
      </c>
      <c r="E477" s="14">
        <f>B477-Index_Returns!AI477</f>
        <v>0</v>
      </c>
    </row>
    <row r="478" spans="1:5" x14ac:dyDescent="0.2">
      <c r="A478" s="345">
        <v>42063</v>
      </c>
      <c r="B478" s="253">
        <f t="shared" si="0"/>
        <v>0</v>
      </c>
      <c r="E478" s="14">
        <f>B478-Index_Returns!AI478</f>
        <v>0</v>
      </c>
    </row>
    <row r="479" spans="1:5" x14ac:dyDescent="0.2">
      <c r="A479" s="345">
        <v>42094</v>
      </c>
      <c r="B479" s="253">
        <f t="shared" si="0"/>
        <v>0</v>
      </c>
      <c r="E479" s="14">
        <f>B479-Index_Returns!AI479</f>
        <v>0</v>
      </c>
    </row>
    <row r="480" spans="1:5" x14ac:dyDescent="0.2">
      <c r="A480" s="345">
        <v>42124</v>
      </c>
      <c r="B480" s="253">
        <f t="shared" si="0"/>
        <v>0</v>
      </c>
      <c r="E480" s="14">
        <f>B480-Index_Returns!AI480</f>
        <v>0</v>
      </c>
    </row>
    <row r="481" spans="1:5" x14ac:dyDescent="0.2">
      <c r="A481" s="345">
        <v>42155</v>
      </c>
      <c r="B481" s="253">
        <f t="shared" si="0"/>
        <v>0</v>
      </c>
      <c r="E481" s="14">
        <f>B481-Index_Returns!AI481</f>
        <v>0</v>
      </c>
    </row>
    <row r="482" spans="1:5" x14ac:dyDescent="0.2">
      <c r="A482" s="345">
        <v>42185</v>
      </c>
      <c r="B482" s="253">
        <f t="shared" si="0"/>
        <v>0</v>
      </c>
      <c r="E482" s="14">
        <f>B482-Index_Returns!AI482</f>
        <v>0</v>
      </c>
    </row>
    <row r="483" spans="1:5" x14ac:dyDescent="0.2">
      <c r="A483" s="345">
        <v>42216</v>
      </c>
      <c r="B483" s="253">
        <f t="shared" si="0"/>
        <v>0</v>
      </c>
      <c r="E483" s="14">
        <f>B483-Index_Returns!AI483</f>
        <v>0</v>
      </c>
    </row>
    <row r="484" spans="1:5" x14ac:dyDescent="0.2">
      <c r="A484" s="345">
        <v>42247</v>
      </c>
      <c r="B484" s="253">
        <f t="shared" si="0"/>
        <v>0</v>
      </c>
      <c r="E484" s="14">
        <f>B484-Index_Returns!AI484</f>
        <v>0</v>
      </c>
    </row>
    <row r="485" spans="1:5" x14ac:dyDescent="0.2">
      <c r="A485" s="345">
        <v>42277</v>
      </c>
      <c r="B485" s="253">
        <f t="shared" si="0"/>
        <v>0</v>
      </c>
      <c r="E485" s="14">
        <f>B485-Index_Returns!AI485</f>
        <v>0</v>
      </c>
    </row>
    <row r="486" spans="1:5" x14ac:dyDescent="0.2">
      <c r="A486" s="345">
        <v>42308</v>
      </c>
      <c r="B486" s="253">
        <f t="shared" si="0"/>
        <v>0</v>
      </c>
      <c r="E486" s="14">
        <f>B486-Index_Returns!AI486</f>
        <v>0</v>
      </c>
    </row>
    <row r="487" spans="1:5" x14ac:dyDescent="0.2">
      <c r="A487" s="345">
        <v>42338</v>
      </c>
      <c r="B487" s="253">
        <f t="shared" si="0"/>
        <v>0</v>
      </c>
      <c r="E487" s="14">
        <f>B487-Index_Returns!AI487</f>
        <v>0</v>
      </c>
    </row>
    <row r="488" spans="1:5" x14ac:dyDescent="0.2">
      <c r="A488" s="345">
        <v>42369</v>
      </c>
      <c r="B488" s="253">
        <f t="shared" si="0"/>
        <v>0</v>
      </c>
      <c r="E488" s="14">
        <f>B488-Index_Returns!AI488</f>
        <v>0</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I488"/>
  <sheetViews>
    <sheetView workbookViewId="0">
      <pane xSplit="1" ySplit="2" topLeftCell="B452" activePane="bottomRight" state="frozen"/>
      <selection pane="topRight" activeCell="B1" sqref="B1"/>
      <selection pane="bottomLeft" activeCell="A3" sqref="A3"/>
      <selection pane="bottomRight" activeCell="C472" sqref="C472:D472"/>
    </sheetView>
  </sheetViews>
  <sheetFormatPr defaultRowHeight="12.75" x14ac:dyDescent="0.2"/>
  <cols>
    <col min="1" max="1" width="18.7109375" style="1308" customWidth="1"/>
    <col min="2" max="2" width="18.7109375" style="1309" customWidth="1"/>
    <col min="3" max="3" width="18.7109375" style="1307" customWidth="1"/>
    <col min="4" max="4" width="18.7109375" style="1306" customWidth="1"/>
    <col min="5" max="5" width="9.140625" style="1301"/>
    <col min="6" max="6" width="12.42578125" style="1266" bestFit="1" customWidth="1"/>
    <col min="7" max="8" width="9.140625" style="1305"/>
    <col min="9" max="16384" width="9.140625" style="1266"/>
  </cols>
  <sheetData>
    <row r="1" spans="1:6" x14ac:dyDescent="0.2">
      <c r="A1" s="1289" t="s">
        <v>886</v>
      </c>
      <c r="B1" s="1290"/>
      <c r="C1" s="1386" t="s">
        <v>666</v>
      </c>
      <c r="D1" s="1373">
        <v>25</v>
      </c>
      <c r="F1" s="1308" t="s">
        <v>834</v>
      </c>
    </row>
    <row r="2" spans="1:6" x14ac:dyDescent="0.2">
      <c r="A2" s="1291" t="s">
        <v>27</v>
      </c>
      <c r="B2" s="1292" t="s">
        <v>91</v>
      </c>
      <c r="C2" s="1294" t="s">
        <v>92</v>
      </c>
      <c r="D2" s="1292" t="s">
        <v>90</v>
      </c>
      <c r="E2" s="1374" t="s">
        <v>80</v>
      </c>
    </row>
    <row r="3" spans="1:6" x14ac:dyDescent="0.2">
      <c r="A3" s="1293">
        <v>27606</v>
      </c>
      <c r="B3" s="1292"/>
      <c r="C3" s="1294"/>
      <c r="D3" s="1292"/>
    </row>
    <row r="4" spans="1:6" x14ac:dyDescent="0.2">
      <c r="A4" s="1293">
        <v>27637</v>
      </c>
      <c r="B4" s="1292"/>
      <c r="C4" s="1294"/>
      <c r="D4" s="1292"/>
    </row>
    <row r="5" spans="1:6" x14ac:dyDescent="0.2">
      <c r="A5" s="1293">
        <v>27667</v>
      </c>
      <c r="B5" s="1292"/>
      <c r="C5" s="1294"/>
      <c r="D5" s="1292"/>
    </row>
    <row r="6" spans="1:6" x14ac:dyDescent="0.2">
      <c r="A6" s="1293">
        <v>27698</v>
      </c>
      <c r="B6" s="1292"/>
      <c r="C6" s="1294"/>
      <c r="D6" s="1292"/>
    </row>
    <row r="7" spans="1:6" x14ac:dyDescent="0.2">
      <c r="A7" s="1293">
        <v>27728</v>
      </c>
      <c r="B7" s="1292"/>
      <c r="C7" s="1294"/>
      <c r="D7" s="1292"/>
    </row>
    <row r="8" spans="1:6" x14ac:dyDescent="0.2">
      <c r="A8" s="1293">
        <v>27759</v>
      </c>
      <c r="B8" s="1292"/>
      <c r="C8" s="1294"/>
      <c r="D8" s="1292"/>
    </row>
    <row r="9" spans="1:6" x14ac:dyDescent="0.2">
      <c r="A9" s="1293">
        <v>27790</v>
      </c>
      <c r="B9" s="1292"/>
      <c r="C9" s="1294"/>
      <c r="D9" s="1292"/>
    </row>
    <row r="10" spans="1:6" x14ac:dyDescent="0.2">
      <c r="A10" s="1293">
        <v>27819</v>
      </c>
      <c r="B10" s="1292"/>
      <c r="C10" s="1294"/>
      <c r="D10" s="1292"/>
    </row>
    <row r="11" spans="1:6" x14ac:dyDescent="0.2">
      <c r="A11" s="1293">
        <v>27850</v>
      </c>
      <c r="B11" s="1292"/>
      <c r="C11" s="1294"/>
      <c r="D11" s="1292"/>
    </row>
    <row r="12" spans="1:6" x14ac:dyDescent="0.2">
      <c r="A12" s="1293">
        <v>27880</v>
      </c>
      <c r="B12" s="1292"/>
      <c r="C12" s="1294"/>
      <c r="D12" s="1292"/>
    </row>
    <row r="13" spans="1:6" x14ac:dyDescent="0.2">
      <c r="A13" s="1293">
        <v>27911</v>
      </c>
      <c r="B13" s="1292"/>
      <c r="C13" s="1294"/>
      <c r="D13" s="1292"/>
    </row>
    <row r="14" spans="1:6" x14ac:dyDescent="0.2">
      <c r="A14" s="1293">
        <v>27941</v>
      </c>
      <c r="B14" s="1292"/>
      <c r="C14" s="1294"/>
      <c r="D14" s="1292"/>
    </row>
    <row r="15" spans="1:6" x14ac:dyDescent="0.2">
      <c r="A15" s="1293">
        <v>27972</v>
      </c>
      <c r="B15" s="1292"/>
      <c r="C15" s="1294"/>
      <c r="D15" s="1292"/>
    </row>
    <row r="16" spans="1:6" x14ac:dyDescent="0.2">
      <c r="A16" s="1293">
        <v>28003</v>
      </c>
      <c r="B16" s="1292"/>
      <c r="C16" s="1294"/>
      <c r="D16" s="1292"/>
    </row>
    <row r="17" spans="1:4" x14ac:dyDescent="0.2">
      <c r="A17" s="1293">
        <v>28033</v>
      </c>
      <c r="B17" s="1292"/>
      <c r="C17" s="1294"/>
      <c r="D17" s="1292"/>
    </row>
    <row r="18" spans="1:4" x14ac:dyDescent="0.2">
      <c r="A18" s="1293">
        <v>28064</v>
      </c>
      <c r="B18" s="1292"/>
      <c r="C18" s="1294"/>
      <c r="D18" s="1292"/>
    </row>
    <row r="19" spans="1:4" x14ac:dyDescent="0.2">
      <c r="A19" s="1293">
        <v>28094</v>
      </c>
      <c r="B19" s="1292"/>
      <c r="C19" s="1294"/>
      <c r="D19" s="1292"/>
    </row>
    <row r="20" spans="1:4" x14ac:dyDescent="0.2">
      <c r="A20" s="1293">
        <v>28125</v>
      </c>
      <c r="B20" s="1292"/>
      <c r="C20" s="1294"/>
      <c r="D20" s="1292"/>
    </row>
    <row r="21" spans="1:4" x14ac:dyDescent="0.2">
      <c r="A21" s="1293">
        <v>28156</v>
      </c>
      <c r="B21" s="1292"/>
      <c r="C21" s="1294"/>
      <c r="D21" s="1292"/>
    </row>
    <row r="22" spans="1:4" x14ac:dyDescent="0.2">
      <c r="A22" s="1293">
        <v>28184</v>
      </c>
      <c r="B22" s="1292"/>
      <c r="C22" s="1294"/>
      <c r="D22" s="1292"/>
    </row>
    <row r="23" spans="1:4" x14ac:dyDescent="0.2">
      <c r="A23" s="1293">
        <v>28215</v>
      </c>
      <c r="B23" s="1292"/>
      <c r="C23" s="1294"/>
      <c r="D23" s="1292"/>
    </row>
    <row r="24" spans="1:4" x14ac:dyDescent="0.2">
      <c r="A24" s="1293">
        <v>28245</v>
      </c>
      <c r="B24" s="1292"/>
      <c r="C24" s="1294"/>
      <c r="D24" s="1292"/>
    </row>
    <row r="25" spans="1:4" x14ac:dyDescent="0.2">
      <c r="A25" s="1293">
        <v>28276</v>
      </c>
      <c r="B25" s="1292"/>
      <c r="C25" s="1294"/>
      <c r="D25" s="1292"/>
    </row>
    <row r="26" spans="1:4" x14ac:dyDescent="0.2">
      <c r="A26" s="1293">
        <v>28306</v>
      </c>
      <c r="B26" s="1292"/>
      <c r="C26" s="1294"/>
      <c r="D26" s="1292"/>
    </row>
    <row r="27" spans="1:4" x14ac:dyDescent="0.2">
      <c r="A27" s="1293">
        <v>28337</v>
      </c>
      <c r="B27" s="1292"/>
      <c r="C27" s="1294"/>
      <c r="D27" s="1292"/>
    </row>
    <row r="28" spans="1:4" x14ac:dyDescent="0.2">
      <c r="A28" s="1293">
        <v>28368</v>
      </c>
      <c r="B28" s="1292"/>
      <c r="C28" s="1294"/>
      <c r="D28" s="1292"/>
    </row>
    <row r="29" spans="1:4" x14ac:dyDescent="0.2">
      <c r="A29" s="1293">
        <v>28398</v>
      </c>
      <c r="B29" s="1292"/>
      <c r="C29" s="1294"/>
      <c r="D29" s="1292"/>
    </row>
    <row r="30" spans="1:4" x14ac:dyDescent="0.2">
      <c r="A30" s="1293">
        <v>28429</v>
      </c>
      <c r="B30" s="1292"/>
      <c r="C30" s="1294"/>
      <c r="D30" s="1292"/>
    </row>
    <row r="31" spans="1:4" x14ac:dyDescent="0.2">
      <c r="A31" s="1293">
        <v>28459</v>
      </c>
      <c r="B31" s="1292"/>
      <c r="C31" s="1294"/>
      <c r="D31" s="1292"/>
    </row>
    <row r="32" spans="1:4" x14ac:dyDescent="0.2">
      <c r="A32" s="1293">
        <v>28490</v>
      </c>
      <c r="B32" s="1292"/>
      <c r="C32" s="1294"/>
      <c r="D32" s="1292"/>
    </row>
    <row r="33" spans="1:4" x14ac:dyDescent="0.2">
      <c r="A33" s="1293">
        <v>28521</v>
      </c>
      <c r="B33" s="1292"/>
      <c r="C33" s="1294"/>
      <c r="D33" s="1292"/>
    </row>
    <row r="34" spans="1:4" x14ac:dyDescent="0.2">
      <c r="A34" s="1293">
        <v>28549</v>
      </c>
      <c r="B34" s="1292"/>
      <c r="C34" s="1294"/>
      <c r="D34" s="1292"/>
    </row>
    <row r="35" spans="1:4" x14ac:dyDescent="0.2">
      <c r="A35" s="1293">
        <v>28580</v>
      </c>
      <c r="B35" s="1292"/>
      <c r="C35" s="1294"/>
      <c r="D35" s="1292"/>
    </row>
    <row r="36" spans="1:4" x14ac:dyDescent="0.2">
      <c r="A36" s="1293">
        <v>28610</v>
      </c>
      <c r="B36" s="1292"/>
      <c r="C36" s="1294"/>
      <c r="D36" s="1292"/>
    </row>
    <row r="37" spans="1:4" x14ac:dyDescent="0.2">
      <c r="A37" s="1293">
        <v>28641</v>
      </c>
      <c r="B37" s="1292"/>
      <c r="C37" s="1294"/>
      <c r="D37" s="1292"/>
    </row>
    <row r="38" spans="1:4" x14ac:dyDescent="0.2">
      <c r="A38" s="1293">
        <v>28671</v>
      </c>
      <c r="B38" s="1292"/>
      <c r="C38" s="1294"/>
      <c r="D38" s="1292"/>
    </row>
    <row r="39" spans="1:4" x14ac:dyDescent="0.2">
      <c r="A39" s="1293">
        <v>28702</v>
      </c>
      <c r="B39" s="1292"/>
      <c r="C39" s="1294"/>
      <c r="D39" s="1292"/>
    </row>
    <row r="40" spans="1:4" x14ac:dyDescent="0.2">
      <c r="A40" s="1293">
        <v>28733</v>
      </c>
      <c r="B40" s="1292"/>
      <c r="C40" s="1294"/>
      <c r="D40" s="1292"/>
    </row>
    <row r="41" spans="1:4" x14ac:dyDescent="0.2">
      <c r="A41" s="1293">
        <v>28763</v>
      </c>
      <c r="B41" s="1292"/>
      <c r="C41" s="1294"/>
      <c r="D41" s="1292"/>
    </row>
    <row r="42" spans="1:4" x14ac:dyDescent="0.2">
      <c r="A42" s="1293">
        <v>28794</v>
      </c>
      <c r="B42" s="1292"/>
      <c r="C42" s="1294"/>
      <c r="D42" s="1292"/>
    </row>
    <row r="43" spans="1:4" x14ac:dyDescent="0.2">
      <c r="A43" s="1293">
        <v>28824</v>
      </c>
      <c r="B43" s="1292"/>
      <c r="C43" s="1294"/>
      <c r="D43" s="1292"/>
    </row>
    <row r="44" spans="1:4" x14ac:dyDescent="0.2">
      <c r="A44" s="1293">
        <v>28855</v>
      </c>
      <c r="B44" s="1292"/>
      <c r="C44" s="1294"/>
      <c r="D44" s="1292"/>
    </row>
    <row r="45" spans="1:4" x14ac:dyDescent="0.2">
      <c r="A45" s="1293">
        <v>28886</v>
      </c>
      <c r="B45" s="1292"/>
      <c r="C45" s="1294"/>
      <c r="D45" s="1292"/>
    </row>
    <row r="46" spans="1:4" x14ac:dyDescent="0.2">
      <c r="A46" s="1293">
        <v>28914</v>
      </c>
      <c r="B46" s="1292"/>
      <c r="C46" s="1294"/>
      <c r="D46" s="1292"/>
    </row>
    <row r="47" spans="1:4" x14ac:dyDescent="0.2">
      <c r="A47" s="1293">
        <v>28945</v>
      </c>
      <c r="B47" s="1292"/>
      <c r="C47" s="1294"/>
      <c r="D47" s="1292"/>
    </row>
    <row r="48" spans="1:4" x14ac:dyDescent="0.2">
      <c r="A48" s="1293">
        <v>28975</v>
      </c>
      <c r="B48" s="1292"/>
      <c r="C48" s="1294"/>
      <c r="D48" s="1292"/>
    </row>
    <row r="49" spans="1:4" x14ac:dyDescent="0.2">
      <c r="A49" s="1293">
        <v>29006</v>
      </c>
      <c r="B49" s="1292"/>
      <c r="C49" s="1294"/>
      <c r="D49" s="1292"/>
    </row>
    <row r="50" spans="1:4" x14ac:dyDescent="0.2">
      <c r="A50" s="1293">
        <v>29036</v>
      </c>
      <c r="B50" s="1292"/>
      <c r="C50" s="1294"/>
      <c r="D50" s="1292"/>
    </row>
    <row r="51" spans="1:4" x14ac:dyDescent="0.2">
      <c r="A51" s="1293">
        <v>29067</v>
      </c>
      <c r="B51" s="1292"/>
      <c r="C51" s="1294"/>
      <c r="D51" s="1292"/>
    </row>
    <row r="52" spans="1:4" x14ac:dyDescent="0.2">
      <c r="A52" s="1293">
        <v>29098</v>
      </c>
      <c r="B52" s="1292"/>
      <c r="C52" s="1294"/>
      <c r="D52" s="1292"/>
    </row>
    <row r="53" spans="1:4" x14ac:dyDescent="0.2">
      <c r="A53" s="1293">
        <v>29128</v>
      </c>
      <c r="B53" s="1292"/>
      <c r="C53" s="1294"/>
      <c r="D53" s="1292"/>
    </row>
    <row r="54" spans="1:4" x14ac:dyDescent="0.2">
      <c r="A54" s="1293">
        <v>29159</v>
      </c>
      <c r="B54" s="1292"/>
      <c r="C54" s="1294"/>
      <c r="D54" s="1292"/>
    </row>
    <row r="55" spans="1:4" x14ac:dyDescent="0.2">
      <c r="A55" s="1293">
        <v>29189</v>
      </c>
      <c r="B55" s="1292"/>
      <c r="C55" s="1294"/>
      <c r="D55" s="1292"/>
    </row>
    <row r="56" spans="1:4" x14ac:dyDescent="0.2">
      <c r="A56" s="1293">
        <v>29220</v>
      </c>
      <c r="B56" s="1292"/>
      <c r="C56" s="1294"/>
      <c r="D56" s="1292"/>
    </row>
    <row r="57" spans="1:4" x14ac:dyDescent="0.2">
      <c r="A57" s="1293">
        <v>29251</v>
      </c>
      <c r="B57" s="1292"/>
      <c r="C57" s="1294"/>
      <c r="D57" s="1292"/>
    </row>
    <row r="58" spans="1:4" x14ac:dyDescent="0.2">
      <c r="A58" s="1293">
        <v>29280</v>
      </c>
      <c r="B58" s="1292"/>
      <c r="C58" s="1294"/>
      <c r="D58" s="1292"/>
    </row>
    <row r="59" spans="1:4" x14ac:dyDescent="0.2">
      <c r="A59" s="1293">
        <v>29311</v>
      </c>
      <c r="B59" s="1292"/>
      <c r="C59" s="1294"/>
      <c r="D59" s="1292"/>
    </row>
    <row r="60" spans="1:4" x14ac:dyDescent="0.2">
      <c r="A60" s="1293">
        <v>29341</v>
      </c>
      <c r="B60" s="1292"/>
      <c r="C60" s="1294"/>
      <c r="D60" s="1292"/>
    </row>
    <row r="61" spans="1:4" x14ac:dyDescent="0.2">
      <c r="A61" s="1293">
        <v>29372</v>
      </c>
      <c r="B61" s="1292"/>
      <c r="C61" s="1294"/>
      <c r="D61" s="1292"/>
    </row>
    <row r="62" spans="1:4" x14ac:dyDescent="0.2">
      <c r="A62" s="1293">
        <v>29402</v>
      </c>
      <c r="B62" s="1292"/>
      <c r="C62" s="1294"/>
      <c r="D62" s="1292"/>
    </row>
    <row r="63" spans="1:4" x14ac:dyDescent="0.2">
      <c r="A63" s="1293">
        <v>29433</v>
      </c>
      <c r="B63" s="1292"/>
      <c r="C63" s="1294"/>
      <c r="D63" s="1292"/>
    </row>
    <row r="64" spans="1:4" x14ac:dyDescent="0.2">
      <c r="A64" s="1293">
        <v>29464</v>
      </c>
      <c r="B64" s="1292"/>
      <c r="C64" s="1294"/>
      <c r="D64" s="1292"/>
    </row>
    <row r="65" spans="1:4" x14ac:dyDescent="0.2">
      <c r="A65" s="1293">
        <v>29494</v>
      </c>
      <c r="B65" s="1292"/>
      <c r="C65" s="1294"/>
      <c r="D65" s="1292"/>
    </row>
    <row r="66" spans="1:4" x14ac:dyDescent="0.2">
      <c r="A66" s="1293">
        <v>29525</v>
      </c>
      <c r="B66" s="1292"/>
      <c r="C66" s="1294"/>
      <c r="D66" s="1292"/>
    </row>
    <row r="67" spans="1:4" x14ac:dyDescent="0.2">
      <c r="A67" s="1293">
        <v>29555</v>
      </c>
      <c r="B67" s="1292"/>
      <c r="C67" s="1294"/>
      <c r="D67" s="1292"/>
    </row>
    <row r="68" spans="1:4" x14ac:dyDescent="0.2">
      <c r="A68" s="1293">
        <v>29586</v>
      </c>
      <c r="B68" s="1292"/>
      <c r="C68" s="1294"/>
      <c r="D68" s="1292"/>
    </row>
    <row r="69" spans="1:4" x14ac:dyDescent="0.2">
      <c r="A69" s="1293">
        <v>29617</v>
      </c>
      <c r="B69" s="1292"/>
      <c r="C69" s="1294"/>
      <c r="D69" s="1292"/>
    </row>
    <row r="70" spans="1:4" x14ac:dyDescent="0.2">
      <c r="A70" s="1293">
        <v>29645</v>
      </c>
      <c r="B70" s="1292"/>
      <c r="C70" s="1294"/>
      <c r="D70" s="1292"/>
    </row>
    <row r="71" spans="1:4" x14ac:dyDescent="0.2">
      <c r="A71" s="1293">
        <v>29676</v>
      </c>
      <c r="B71" s="1292"/>
      <c r="C71" s="1294"/>
      <c r="D71" s="1292"/>
    </row>
    <row r="72" spans="1:4" x14ac:dyDescent="0.2">
      <c r="A72" s="1293">
        <v>29706</v>
      </c>
      <c r="B72" s="1292"/>
      <c r="C72" s="1294"/>
      <c r="D72" s="1292"/>
    </row>
    <row r="73" spans="1:4" x14ac:dyDescent="0.2">
      <c r="A73" s="1293">
        <v>29737</v>
      </c>
      <c r="B73" s="1292"/>
      <c r="C73" s="1294"/>
      <c r="D73" s="1292"/>
    </row>
    <row r="74" spans="1:4" x14ac:dyDescent="0.2">
      <c r="A74" s="1293">
        <v>29767</v>
      </c>
      <c r="B74" s="1292"/>
      <c r="C74" s="1294"/>
      <c r="D74" s="1292"/>
    </row>
    <row r="75" spans="1:4" x14ac:dyDescent="0.2">
      <c r="A75" s="1293">
        <v>29798</v>
      </c>
      <c r="B75" s="1292"/>
      <c r="C75" s="1294"/>
      <c r="D75" s="1292"/>
    </row>
    <row r="76" spans="1:4" x14ac:dyDescent="0.2">
      <c r="A76" s="1293">
        <v>29829</v>
      </c>
      <c r="B76" s="1292"/>
      <c r="C76" s="1294"/>
      <c r="D76" s="1292"/>
    </row>
    <row r="77" spans="1:4" x14ac:dyDescent="0.2">
      <c r="A77" s="1293">
        <v>29859</v>
      </c>
      <c r="B77" s="1292"/>
      <c r="C77" s="1294"/>
      <c r="D77" s="1292"/>
    </row>
    <row r="78" spans="1:4" x14ac:dyDescent="0.2">
      <c r="A78" s="1293">
        <v>29890</v>
      </c>
      <c r="B78" s="1292"/>
      <c r="C78" s="1294"/>
      <c r="D78" s="1292"/>
    </row>
    <row r="79" spans="1:4" x14ac:dyDescent="0.2">
      <c r="A79" s="1293">
        <v>29920</v>
      </c>
      <c r="B79" s="1292"/>
      <c r="C79" s="1294"/>
      <c r="D79" s="1292"/>
    </row>
    <row r="80" spans="1:4" x14ac:dyDescent="0.2">
      <c r="A80" s="1293">
        <v>29951</v>
      </c>
      <c r="B80" s="1292"/>
      <c r="C80" s="1294"/>
      <c r="D80" s="1292"/>
    </row>
    <row r="81" spans="1:4" x14ac:dyDescent="0.2">
      <c r="A81" s="1293">
        <v>29982</v>
      </c>
      <c r="B81" s="1292"/>
      <c r="C81" s="1294"/>
      <c r="D81" s="1292"/>
    </row>
    <row r="82" spans="1:4" x14ac:dyDescent="0.2">
      <c r="A82" s="1293">
        <v>30010</v>
      </c>
      <c r="B82" s="1292"/>
      <c r="C82" s="1294"/>
      <c r="D82" s="1292"/>
    </row>
    <row r="83" spans="1:4" x14ac:dyDescent="0.2">
      <c r="A83" s="1293">
        <v>30041</v>
      </c>
      <c r="B83" s="1292"/>
      <c r="C83" s="1294"/>
      <c r="D83" s="1292"/>
    </row>
    <row r="84" spans="1:4" x14ac:dyDescent="0.2">
      <c r="A84" s="1293">
        <v>30071</v>
      </c>
      <c r="B84" s="1292"/>
      <c r="C84" s="1294"/>
      <c r="D84" s="1292"/>
    </row>
    <row r="85" spans="1:4" x14ac:dyDescent="0.2">
      <c r="A85" s="1293">
        <v>30102</v>
      </c>
      <c r="B85" s="1292"/>
      <c r="C85" s="1294"/>
      <c r="D85" s="1292"/>
    </row>
    <row r="86" spans="1:4" x14ac:dyDescent="0.2">
      <c r="A86" s="1293">
        <v>30132</v>
      </c>
      <c r="B86" s="1292"/>
      <c r="C86" s="1294"/>
      <c r="D86" s="1292"/>
    </row>
    <row r="87" spans="1:4" x14ac:dyDescent="0.2">
      <c r="A87" s="1293">
        <v>30163</v>
      </c>
      <c r="B87" s="1292"/>
      <c r="C87" s="1294"/>
      <c r="D87" s="1292"/>
    </row>
    <row r="88" spans="1:4" x14ac:dyDescent="0.2">
      <c r="A88" s="1293">
        <v>30194</v>
      </c>
      <c r="B88" s="1292"/>
      <c r="C88" s="1294"/>
      <c r="D88" s="1292"/>
    </row>
    <row r="89" spans="1:4" x14ac:dyDescent="0.2">
      <c r="A89" s="1293">
        <v>30224</v>
      </c>
      <c r="B89" s="1292"/>
      <c r="C89" s="1294"/>
      <c r="D89" s="1292"/>
    </row>
    <row r="90" spans="1:4" x14ac:dyDescent="0.2">
      <c r="A90" s="1293">
        <v>30255</v>
      </c>
      <c r="B90" s="1292"/>
      <c r="C90" s="1294"/>
      <c r="D90" s="1292"/>
    </row>
    <row r="91" spans="1:4" x14ac:dyDescent="0.2">
      <c r="A91" s="1293">
        <v>30285</v>
      </c>
      <c r="B91" s="1292"/>
      <c r="C91" s="1294"/>
      <c r="D91" s="1292"/>
    </row>
    <row r="92" spans="1:4" x14ac:dyDescent="0.2">
      <c r="A92" s="1293">
        <v>30316</v>
      </c>
      <c r="B92" s="1292"/>
      <c r="C92" s="1294"/>
      <c r="D92" s="1292"/>
    </row>
    <row r="93" spans="1:4" x14ac:dyDescent="0.2">
      <c r="A93" s="1293">
        <v>30347</v>
      </c>
      <c r="B93" s="1292"/>
      <c r="C93" s="1294"/>
      <c r="D93" s="1292"/>
    </row>
    <row r="94" spans="1:4" x14ac:dyDescent="0.2">
      <c r="A94" s="1293">
        <v>30375</v>
      </c>
      <c r="B94" s="1292"/>
      <c r="C94" s="1294"/>
      <c r="D94" s="1292"/>
    </row>
    <row r="95" spans="1:4" x14ac:dyDescent="0.2">
      <c r="A95" s="1293">
        <v>30406</v>
      </c>
      <c r="B95" s="1292"/>
      <c r="C95" s="1294"/>
      <c r="D95" s="1292"/>
    </row>
    <row r="96" spans="1:4" x14ac:dyDescent="0.2">
      <c r="A96" s="1293">
        <v>30436</v>
      </c>
      <c r="B96" s="1292"/>
      <c r="C96" s="1294"/>
      <c r="D96" s="1292"/>
    </row>
    <row r="97" spans="1:4" x14ac:dyDescent="0.2">
      <c r="A97" s="1293">
        <v>30467</v>
      </c>
      <c r="B97" s="1292"/>
      <c r="C97" s="1294"/>
      <c r="D97" s="1292"/>
    </row>
    <row r="98" spans="1:4" x14ac:dyDescent="0.2">
      <c r="A98" s="1293">
        <v>30497</v>
      </c>
      <c r="B98" s="1292"/>
      <c r="C98" s="1294"/>
      <c r="D98" s="1292"/>
    </row>
    <row r="99" spans="1:4" x14ac:dyDescent="0.2">
      <c r="A99" s="1293">
        <v>30528</v>
      </c>
      <c r="B99" s="1292"/>
      <c r="C99" s="1294"/>
      <c r="D99" s="1292"/>
    </row>
    <row r="100" spans="1:4" x14ac:dyDescent="0.2">
      <c r="A100" s="1293">
        <v>30559</v>
      </c>
      <c r="B100" s="1292"/>
      <c r="C100" s="1294"/>
      <c r="D100" s="1292"/>
    </row>
    <row r="101" spans="1:4" x14ac:dyDescent="0.2">
      <c r="A101" s="1293">
        <v>30589</v>
      </c>
      <c r="B101" s="1292"/>
      <c r="C101" s="1294"/>
      <c r="D101" s="1292"/>
    </row>
    <row r="102" spans="1:4" x14ac:dyDescent="0.2">
      <c r="A102" s="1293">
        <v>30620</v>
      </c>
      <c r="B102" s="1292"/>
      <c r="C102" s="1294"/>
      <c r="D102" s="1292"/>
    </row>
    <row r="103" spans="1:4" x14ac:dyDescent="0.2">
      <c r="A103" s="1293">
        <v>30650</v>
      </c>
      <c r="B103" s="1292"/>
      <c r="C103" s="1294"/>
      <c r="D103" s="1292"/>
    </row>
    <row r="104" spans="1:4" x14ac:dyDescent="0.2">
      <c r="A104" s="1293">
        <v>30681</v>
      </c>
      <c r="B104" s="1292"/>
      <c r="C104" s="1294"/>
      <c r="D104" s="1292"/>
    </row>
    <row r="105" spans="1:4" x14ac:dyDescent="0.2">
      <c r="A105" s="1293">
        <v>30712</v>
      </c>
      <c r="B105" s="1292"/>
      <c r="C105" s="1294"/>
      <c r="D105" s="1292"/>
    </row>
    <row r="106" spans="1:4" x14ac:dyDescent="0.2">
      <c r="A106" s="1293">
        <v>30741</v>
      </c>
      <c r="B106" s="1292"/>
      <c r="C106" s="1294"/>
      <c r="D106" s="1292"/>
    </row>
    <row r="107" spans="1:4" x14ac:dyDescent="0.2">
      <c r="A107" s="1293">
        <v>30772</v>
      </c>
      <c r="B107" s="1292"/>
      <c r="C107" s="1294"/>
      <c r="D107" s="1292"/>
    </row>
    <row r="108" spans="1:4" x14ac:dyDescent="0.2">
      <c r="A108" s="1293">
        <v>30802</v>
      </c>
      <c r="B108" s="1292"/>
      <c r="C108" s="1294"/>
      <c r="D108" s="1292"/>
    </row>
    <row r="109" spans="1:4" x14ac:dyDescent="0.2">
      <c r="A109" s="1293">
        <v>30833</v>
      </c>
      <c r="B109" s="1292"/>
      <c r="C109" s="1294"/>
      <c r="D109" s="1292"/>
    </row>
    <row r="110" spans="1:4" x14ac:dyDescent="0.2">
      <c r="A110" s="1293">
        <v>30863</v>
      </c>
      <c r="B110" s="1292"/>
      <c r="C110" s="1294"/>
      <c r="D110" s="1292"/>
    </row>
    <row r="111" spans="1:4" x14ac:dyDescent="0.2">
      <c r="A111" s="1293">
        <v>30894</v>
      </c>
      <c r="B111" s="1292"/>
      <c r="C111" s="1294"/>
      <c r="D111" s="1292"/>
    </row>
    <row r="112" spans="1:4" x14ac:dyDescent="0.2">
      <c r="A112" s="1293">
        <v>30925</v>
      </c>
      <c r="B112" s="1292"/>
      <c r="C112" s="1294"/>
      <c r="D112" s="1292"/>
    </row>
    <row r="113" spans="1:4" x14ac:dyDescent="0.2">
      <c r="A113" s="1293">
        <v>30955</v>
      </c>
      <c r="B113" s="1292"/>
      <c r="C113" s="1294"/>
      <c r="D113" s="1292"/>
    </row>
    <row r="114" spans="1:4" x14ac:dyDescent="0.2">
      <c r="A114" s="1293">
        <v>30986</v>
      </c>
      <c r="B114" s="1292"/>
      <c r="C114" s="1294"/>
      <c r="D114" s="1292"/>
    </row>
    <row r="115" spans="1:4" x14ac:dyDescent="0.2">
      <c r="A115" s="1293">
        <v>31016</v>
      </c>
      <c r="B115" s="1292"/>
      <c r="C115" s="1294"/>
      <c r="D115" s="1292"/>
    </row>
    <row r="116" spans="1:4" x14ac:dyDescent="0.2">
      <c r="A116" s="1293">
        <v>31047</v>
      </c>
      <c r="B116" s="1292"/>
      <c r="C116" s="1294"/>
      <c r="D116" s="1292"/>
    </row>
    <row r="117" spans="1:4" x14ac:dyDescent="0.2">
      <c r="A117" s="1293">
        <v>31078</v>
      </c>
      <c r="B117" s="1292"/>
      <c r="C117" s="1294"/>
      <c r="D117" s="1292"/>
    </row>
    <row r="118" spans="1:4" x14ac:dyDescent="0.2">
      <c r="A118" s="1293">
        <v>31106</v>
      </c>
      <c r="B118" s="1292"/>
      <c r="C118" s="1294"/>
      <c r="D118" s="1292"/>
    </row>
    <row r="119" spans="1:4" x14ac:dyDescent="0.2">
      <c r="A119" s="1293">
        <v>31137</v>
      </c>
      <c r="B119" s="1292"/>
      <c r="C119" s="1294"/>
      <c r="D119" s="1292"/>
    </row>
    <row r="120" spans="1:4" x14ac:dyDescent="0.2">
      <c r="A120" s="1293">
        <v>31167</v>
      </c>
      <c r="B120" s="1292"/>
      <c r="C120" s="1294"/>
      <c r="D120" s="1292"/>
    </row>
    <row r="121" spans="1:4" x14ac:dyDescent="0.2">
      <c r="A121" s="1293">
        <v>31198</v>
      </c>
      <c r="B121" s="1292"/>
      <c r="C121" s="1294"/>
      <c r="D121" s="1292"/>
    </row>
    <row r="122" spans="1:4" x14ac:dyDescent="0.2">
      <c r="A122" s="1293">
        <v>31228</v>
      </c>
      <c r="B122" s="1292"/>
      <c r="C122" s="1294"/>
      <c r="D122" s="1292"/>
    </row>
    <row r="123" spans="1:4" x14ac:dyDescent="0.2">
      <c r="A123" s="1293">
        <v>31259</v>
      </c>
      <c r="B123" s="1292"/>
      <c r="C123" s="1294"/>
      <c r="D123" s="1292"/>
    </row>
    <row r="124" spans="1:4" x14ac:dyDescent="0.2">
      <c r="A124" s="1293">
        <v>31290</v>
      </c>
      <c r="B124" s="1292"/>
      <c r="C124" s="1294"/>
      <c r="D124" s="1292"/>
    </row>
    <row r="125" spans="1:4" x14ac:dyDescent="0.2">
      <c r="A125" s="1293">
        <v>31320</v>
      </c>
      <c r="B125" s="1292"/>
      <c r="C125" s="1294"/>
      <c r="D125" s="1292"/>
    </row>
    <row r="126" spans="1:4" x14ac:dyDescent="0.2">
      <c r="A126" s="1293">
        <v>31351</v>
      </c>
      <c r="B126" s="1292"/>
      <c r="C126" s="1294"/>
      <c r="D126" s="1292"/>
    </row>
    <row r="127" spans="1:4" x14ac:dyDescent="0.2">
      <c r="A127" s="1293">
        <v>31381</v>
      </c>
      <c r="B127" s="1292"/>
      <c r="C127" s="1294"/>
      <c r="D127" s="1292"/>
    </row>
    <row r="128" spans="1:4" x14ac:dyDescent="0.2">
      <c r="A128" s="1293">
        <v>31412</v>
      </c>
      <c r="B128" s="1292"/>
      <c r="C128" s="1294"/>
      <c r="D128" s="1292"/>
    </row>
    <row r="129" spans="1:4" x14ac:dyDescent="0.2">
      <c r="A129" s="1293">
        <v>31443</v>
      </c>
      <c r="B129" s="1292"/>
      <c r="C129" s="1294"/>
      <c r="D129" s="1292"/>
    </row>
    <row r="130" spans="1:4" x14ac:dyDescent="0.2">
      <c r="A130" s="1293">
        <v>31471</v>
      </c>
      <c r="B130" s="1292"/>
      <c r="C130" s="1294"/>
      <c r="D130" s="1292"/>
    </row>
    <row r="131" spans="1:4" x14ac:dyDescent="0.2">
      <c r="A131" s="1293">
        <v>31502</v>
      </c>
      <c r="B131" s="1292"/>
      <c r="C131" s="1294"/>
      <c r="D131" s="1292"/>
    </row>
    <row r="132" spans="1:4" x14ac:dyDescent="0.2">
      <c r="A132" s="1293">
        <v>31532</v>
      </c>
      <c r="B132" s="1292"/>
      <c r="C132" s="1294"/>
      <c r="D132" s="1292"/>
    </row>
    <row r="133" spans="1:4" x14ac:dyDescent="0.2">
      <c r="A133" s="1293">
        <v>31563</v>
      </c>
      <c r="B133" s="1292"/>
      <c r="C133" s="1294"/>
      <c r="D133" s="1292"/>
    </row>
    <row r="134" spans="1:4" x14ac:dyDescent="0.2">
      <c r="A134" s="1293">
        <v>31593</v>
      </c>
      <c r="B134" s="1292"/>
      <c r="C134" s="1294"/>
      <c r="D134" s="1292"/>
    </row>
    <row r="135" spans="1:4" x14ac:dyDescent="0.2">
      <c r="A135" s="1293">
        <v>31624</v>
      </c>
      <c r="B135" s="1292"/>
      <c r="C135" s="1294"/>
      <c r="D135" s="1292"/>
    </row>
    <row r="136" spans="1:4" x14ac:dyDescent="0.2">
      <c r="A136" s="1293">
        <v>31655</v>
      </c>
      <c r="B136" s="1292"/>
      <c r="C136" s="1294"/>
      <c r="D136" s="1292"/>
    </row>
    <row r="137" spans="1:4" x14ac:dyDescent="0.2">
      <c r="A137" s="1293">
        <v>31685</v>
      </c>
      <c r="B137" s="1292"/>
      <c r="C137" s="1294"/>
      <c r="D137" s="1292"/>
    </row>
    <row r="138" spans="1:4" x14ac:dyDescent="0.2">
      <c r="A138" s="1293">
        <v>31716</v>
      </c>
      <c r="B138" s="1292"/>
      <c r="C138" s="1294"/>
      <c r="D138" s="1292"/>
    </row>
    <row r="139" spans="1:4" x14ac:dyDescent="0.2">
      <c r="A139" s="1293">
        <v>31746</v>
      </c>
      <c r="B139" s="1292"/>
      <c r="C139" s="1294"/>
      <c r="D139" s="1292"/>
    </row>
    <row r="140" spans="1:4" x14ac:dyDescent="0.2">
      <c r="A140" s="1293">
        <v>31777</v>
      </c>
      <c r="B140" s="1292"/>
      <c r="C140" s="1294"/>
      <c r="D140" s="1292"/>
    </row>
    <row r="141" spans="1:4" x14ac:dyDescent="0.2">
      <c r="A141" s="1293">
        <v>31808</v>
      </c>
      <c r="B141" s="1295"/>
      <c r="C141" s="1296"/>
      <c r="D141" s="1295"/>
    </row>
    <row r="142" spans="1:4" x14ac:dyDescent="0.2">
      <c r="A142" s="1293">
        <v>31836</v>
      </c>
      <c r="B142" s="1295"/>
      <c r="C142" s="1296"/>
      <c r="D142" s="1295"/>
    </row>
    <row r="143" spans="1:4" x14ac:dyDescent="0.2">
      <c r="A143" s="1293">
        <v>31867</v>
      </c>
      <c r="B143" s="1295"/>
      <c r="C143" s="1296"/>
      <c r="D143" s="1295"/>
    </row>
    <row r="144" spans="1:4" x14ac:dyDescent="0.2">
      <c r="A144" s="1293">
        <v>31897</v>
      </c>
      <c r="B144" s="1295"/>
      <c r="C144" s="1296"/>
      <c r="D144" s="1295"/>
    </row>
    <row r="145" spans="1:4" x14ac:dyDescent="0.2">
      <c r="A145" s="1293">
        <v>31928</v>
      </c>
      <c r="B145" s="1295"/>
      <c r="C145" s="1296"/>
      <c r="D145" s="1295"/>
    </row>
    <row r="146" spans="1:4" x14ac:dyDescent="0.2">
      <c r="A146" s="1293">
        <v>31958</v>
      </c>
      <c r="B146" s="1295"/>
      <c r="C146" s="1296"/>
      <c r="D146" s="1295"/>
    </row>
    <row r="147" spans="1:4" x14ac:dyDescent="0.2">
      <c r="A147" s="1293">
        <v>31989</v>
      </c>
      <c r="B147" s="1295"/>
      <c r="C147" s="1296"/>
      <c r="D147" s="1295"/>
    </row>
    <row r="148" spans="1:4" x14ac:dyDescent="0.2">
      <c r="A148" s="1293">
        <v>32020</v>
      </c>
      <c r="B148" s="1295"/>
      <c r="C148" s="1296"/>
      <c r="D148" s="1295"/>
    </row>
    <row r="149" spans="1:4" x14ac:dyDescent="0.2">
      <c r="A149" s="1293">
        <v>32050</v>
      </c>
      <c r="B149" s="1295"/>
      <c r="C149" s="1296"/>
      <c r="D149" s="1295"/>
    </row>
    <row r="150" spans="1:4" x14ac:dyDescent="0.2">
      <c r="A150" s="1293">
        <v>32081</v>
      </c>
      <c r="B150" s="1295"/>
      <c r="C150" s="1296"/>
      <c r="D150" s="1295"/>
    </row>
    <row r="151" spans="1:4" x14ac:dyDescent="0.2">
      <c r="A151" s="1293">
        <v>32111</v>
      </c>
      <c r="B151" s="1295"/>
      <c r="C151" s="1296"/>
      <c r="D151" s="1295"/>
    </row>
    <row r="152" spans="1:4" x14ac:dyDescent="0.2">
      <c r="A152" s="1293">
        <v>32142</v>
      </c>
      <c r="B152" s="1295"/>
      <c r="C152" s="1296"/>
      <c r="D152" s="1295"/>
    </row>
    <row r="153" spans="1:4" x14ac:dyDescent="0.2">
      <c r="A153" s="1293">
        <v>32173</v>
      </c>
      <c r="B153" s="1295"/>
      <c r="C153" s="1296"/>
      <c r="D153" s="1295"/>
    </row>
    <row r="154" spans="1:4" x14ac:dyDescent="0.2">
      <c r="A154" s="1293">
        <v>32202</v>
      </c>
      <c r="B154" s="1295"/>
      <c r="C154" s="1296"/>
      <c r="D154" s="1295"/>
    </row>
    <row r="155" spans="1:4" x14ac:dyDescent="0.2">
      <c r="A155" s="1293">
        <v>32233</v>
      </c>
      <c r="B155" s="1295"/>
      <c r="C155" s="1296"/>
      <c r="D155" s="1295"/>
    </row>
    <row r="156" spans="1:4" x14ac:dyDescent="0.2">
      <c r="A156" s="1293">
        <v>32263</v>
      </c>
      <c r="B156" s="1295"/>
      <c r="C156" s="1296"/>
      <c r="D156" s="1295"/>
    </row>
    <row r="157" spans="1:4" x14ac:dyDescent="0.2">
      <c r="A157" s="1293">
        <v>32294</v>
      </c>
      <c r="B157" s="1295"/>
      <c r="C157" s="1296"/>
      <c r="D157" s="1295"/>
    </row>
    <row r="158" spans="1:4" x14ac:dyDescent="0.2">
      <c r="A158" s="1293">
        <v>32324</v>
      </c>
      <c r="B158" s="1295"/>
      <c r="C158" s="1296"/>
      <c r="D158" s="1295"/>
    </row>
    <row r="159" spans="1:4" x14ac:dyDescent="0.2">
      <c r="A159" s="1293">
        <v>32355</v>
      </c>
      <c r="B159" s="1295"/>
      <c r="C159" s="1296"/>
      <c r="D159" s="1295"/>
    </row>
    <row r="160" spans="1:4" x14ac:dyDescent="0.2">
      <c r="A160" s="1293">
        <v>32386</v>
      </c>
      <c r="B160" s="1295"/>
      <c r="C160" s="1296"/>
      <c r="D160" s="1295"/>
    </row>
    <row r="161" spans="1:4" x14ac:dyDescent="0.2">
      <c r="A161" s="1293">
        <v>32416</v>
      </c>
      <c r="B161" s="1295"/>
      <c r="C161" s="1296"/>
      <c r="D161" s="1295"/>
    </row>
    <row r="162" spans="1:4" x14ac:dyDescent="0.2">
      <c r="A162" s="1293">
        <v>32447</v>
      </c>
      <c r="B162" s="1295"/>
      <c r="C162" s="1296"/>
      <c r="D162" s="1295"/>
    </row>
    <row r="163" spans="1:4" x14ac:dyDescent="0.2">
      <c r="A163" s="1293">
        <v>32477</v>
      </c>
      <c r="B163" s="1295"/>
      <c r="C163" s="1296"/>
      <c r="D163" s="1295"/>
    </row>
    <row r="164" spans="1:4" x14ac:dyDescent="0.2">
      <c r="A164" s="1293">
        <v>32508</v>
      </c>
      <c r="B164" s="1295"/>
      <c r="C164" s="1296"/>
      <c r="D164" s="1295"/>
    </row>
    <row r="165" spans="1:4" x14ac:dyDescent="0.2">
      <c r="A165" s="1293">
        <v>32539</v>
      </c>
      <c r="B165" s="1295"/>
      <c r="C165" s="1296"/>
      <c r="D165" s="1295"/>
    </row>
    <row r="166" spans="1:4" x14ac:dyDescent="0.2">
      <c r="A166" s="1293">
        <v>32567</v>
      </c>
      <c r="B166" s="1295"/>
      <c r="C166" s="1296"/>
      <c r="D166" s="1295"/>
    </row>
    <row r="167" spans="1:4" x14ac:dyDescent="0.2">
      <c r="A167" s="1293">
        <v>32598</v>
      </c>
      <c r="B167" s="1295"/>
      <c r="C167" s="1296"/>
      <c r="D167" s="1295"/>
    </row>
    <row r="168" spans="1:4" x14ac:dyDescent="0.2">
      <c r="A168" s="1293">
        <v>32628</v>
      </c>
      <c r="B168" s="1295"/>
      <c r="C168" s="1296"/>
      <c r="D168" s="1295"/>
    </row>
    <row r="169" spans="1:4" x14ac:dyDescent="0.2">
      <c r="A169" s="1293">
        <v>32659</v>
      </c>
      <c r="B169" s="1295"/>
      <c r="C169" s="1296"/>
      <c r="D169" s="1295"/>
    </row>
    <row r="170" spans="1:4" x14ac:dyDescent="0.2">
      <c r="A170" s="1293">
        <v>32689</v>
      </c>
      <c r="B170" s="1295"/>
      <c r="C170" s="1296"/>
      <c r="D170" s="1295"/>
    </row>
    <row r="171" spans="1:4" x14ac:dyDescent="0.2">
      <c r="A171" s="1293">
        <v>32720</v>
      </c>
      <c r="B171" s="1295"/>
      <c r="C171" s="1296"/>
      <c r="D171" s="1295"/>
    </row>
    <row r="172" spans="1:4" x14ac:dyDescent="0.2">
      <c r="A172" s="1293">
        <v>32751</v>
      </c>
      <c r="B172" s="1295"/>
      <c r="C172" s="1296"/>
      <c r="D172" s="1295"/>
    </row>
    <row r="173" spans="1:4" x14ac:dyDescent="0.2">
      <c r="A173" s="1293">
        <v>32781</v>
      </c>
      <c r="B173" s="1295"/>
      <c r="C173" s="1296"/>
      <c r="D173" s="1295"/>
    </row>
    <row r="174" spans="1:4" x14ac:dyDescent="0.2">
      <c r="A174" s="1293">
        <v>32812</v>
      </c>
      <c r="B174" s="1295"/>
      <c r="C174" s="1296"/>
      <c r="D174" s="1295"/>
    </row>
    <row r="175" spans="1:4" x14ac:dyDescent="0.2">
      <c r="A175" s="1293">
        <v>32842</v>
      </c>
      <c r="B175" s="1295"/>
      <c r="C175" s="1296"/>
      <c r="D175" s="1295"/>
    </row>
    <row r="176" spans="1:4" x14ac:dyDescent="0.2">
      <c r="A176" s="1293">
        <v>32873</v>
      </c>
      <c r="B176" s="1295"/>
      <c r="C176" s="1296"/>
      <c r="D176" s="1295"/>
    </row>
    <row r="177" spans="1:4" x14ac:dyDescent="0.2">
      <c r="A177" s="1293">
        <v>32904</v>
      </c>
      <c r="B177" s="1295"/>
      <c r="C177" s="1296"/>
      <c r="D177" s="1295"/>
    </row>
    <row r="178" spans="1:4" x14ac:dyDescent="0.2">
      <c r="A178" s="1293">
        <v>32932</v>
      </c>
      <c r="B178" s="1295"/>
      <c r="C178" s="1296"/>
      <c r="D178" s="1295"/>
    </row>
    <row r="179" spans="1:4" x14ac:dyDescent="0.2">
      <c r="A179" s="1293">
        <v>32963</v>
      </c>
      <c r="B179" s="1295"/>
      <c r="C179" s="1296"/>
      <c r="D179" s="1295"/>
    </row>
    <row r="180" spans="1:4" x14ac:dyDescent="0.2">
      <c r="A180" s="1293">
        <v>32993</v>
      </c>
      <c r="B180" s="1295"/>
      <c r="C180" s="1296"/>
      <c r="D180" s="1295"/>
    </row>
    <row r="181" spans="1:4" x14ac:dyDescent="0.2">
      <c r="A181" s="1293">
        <v>33024</v>
      </c>
      <c r="B181" s="1295"/>
      <c r="C181" s="1296"/>
      <c r="D181" s="1295"/>
    </row>
    <row r="182" spans="1:4" x14ac:dyDescent="0.2">
      <c r="A182" s="1293">
        <v>33054</v>
      </c>
      <c r="B182" s="1295"/>
      <c r="C182" s="1296"/>
      <c r="D182" s="1295"/>
    </row>
    <row r="183" spans="1:4" x14ac:dyDescent="0.2">
      <c r="A183" s="1293">
        <v>33085</v>
      </c>
      <c r="B183" s="1295"/>
      <c r="C183" s="1296"/>
      <c r="D183" s="1295"/>
    </row>
    <row r="184" spans="1:4" x14ac:dyDescent="0.2">
      <c r="A184" s="1293">
        <v>33116</v>
      </c>
      <c r="B184" s="1295"/>
      <c r="C184" s="1296"/>
      <c r="D184" s="1295"/>
    </row>
    <row r="185" spans="1:4" x14ac:dyDescent="0.2">
      <c r="A185" s="1293">
        <v>33146</v>
      </c>
      <c r="B185" s="1295"/>
      <c r="C185" s="1296"/>
      <c r="D185" s="1295"/>
    </row>
    <row r="186" spans="1:4" x14ac:dyDescent="0.2">
      <c r="A186" s="1293">
        <v>33177</v>
      </c>
      <c r="B186" s="1295"/>
      <c r="C186" s="1296"/>
      <c r="D186" s="1295"/>
    </row>
    <row r="187" spans="1:4" x14ac:dyDescent="0.2">
      <c r="A187" s="1293">
        <v>33207</v>
      </c>
      <c r="B187" s="1295"/>
      <c r="C187" s="1296"/>
      <c r="D187" s="1295"/>
    </row>
    <row r="188" spans="1:4" x14ac:dyDescent="0.2">
      <c r="A188" s="1293">
        <v>33238</v>
      </c>
      <c r="B188" s="1295"/>
      <c r="C188" s="1296"/>
      <c r="D188" s="1295"/>
    </row>
    <row r="189" spans="1:4" x14ac:dyDescent="0.2">
      <c r="A189" s="1293">
        <v>33269</v>
      </c>
      <c r="B189" s="1295"/>
      <c r="C189" s="1296"/>
      <c r="D189" s="1295"/>
    </row>
    <row r="190" spans="1:4" x14ac:dyDescent="0.2">
      <c r="A190" s="1293">
        <v>33297</v>
      </c>
      <c r="B190" s="1295"/>
      <c r="C190" s="1296"/>
      <c r="D190" s="1295"/>
    </row>
    <row r="191" spans="1:4" x14ac:dyDescent="0.2">
      <c r="A191" s="1293">
        <v>33328</v>
      </c>
      <c r="B191" s="1295"/>
      <c r="C191" s="1296"/>
      <c r="D191" s="1295"/>
    </row>
    <row r="192" spans="1:4" x14ac:dyDescent="0.2">
      <c r="A192" s="1293">
        <v>33358</v>
      </c>
      <c r="B192" s="1295"/>
      <c r="C192" s="1296"/>
      <c r="D192" s="1295"/>
    </row>
    <row r="193" spans="1:4" x14ac:dyDescent="0.2">
      <c r="A193" s="1293">
        <v>33389</v>
      </c>
      <c r="B193" s="1295"/>
      <c r="C193" s="1296"/>
      <c r="D193" s="1295"/>
    </row>
    <row r="194" spans="1:4" x14ac:dyDescent="0.2">
      <c r="A194" s="1293">
        <v>33419</v>
      </c>
      <c r="B194" s="1295"/>
      <c r="C194" s="1296"/>
      <c r="D194" s="1295"/>
    </row>
    <row r="195" spans="1:4" x14ac:dyDescent="0.2">
      <c r="A195" s="1293">
        <v>33450</v>
      </c>
      <c r="B195" s="1295"/>
      <c r="C195" s="1296"/>
      <c r="D195" s="1295"/>
    </row>
    <row r="196" spans="1:4" x14ac:dyDescent="0.2">
      <c r="A196" s="1293">
        <v>33481</v>
      </c>
      <c r="B196" s="1295"/>
      <c r="C196" s="1296"/>
      <c r="D196" s="1295"/>
    </row>
    <row r="197" spans="1:4" x14ac:dyDescent="0.2">
      <c r="A197" s="1293">
        <v>33511</v>
      </c>
      <c r="B197" s="1295"/>
      <c r="C197" s="1296"/>
      <c r="D197" s="1295"/>
    </row>
    <row r="198" spans="1:4" x14ac:dyDescent="0.2">
      <c r="A198" s="1293">
        <v>33542</v>
      </c>
      <c r="B198" s="1295"/>
      <c r="C198" s="1296"/>
      <c r="D198" s="1295"/>
    </row>
    <row r="199" spans="1:4" x14ac:dyDescent="0.2">
      <c r="A199" s="1293">
        <v>33572</v>
      </c>
      <c r="B199" s="1295"/>
      <c r="C199" s="1296"/>
      <c r="D199" s="1295"/>
    </row>
    <row r="200" spans="1:4" x14ac:dyDescent="0.2">
      <c r="A200" s="1293">
        <v>33603</v>
      </c>
      <c r="B200" s="1295"/>
      <c r="C200" s="1296"/>
      <c r="D200" s="1295"/>
    </row>
    <row r="201" spans="1:4" x14ac:dyDescent="0.2">
      <c r="A201" s="1293">
        <v>33634</v>
      </c>
      <c r="B201" s="1295"/>
      <c r="C201" s="1296"/>
      <c r="D201" s="1295"/>
    </row>
    <row r="202" spans="1:4" x14ac:dyDescent="0.2">
      <c r="A202" s="1293">
        <v>33663</v>
      </c>
      <c r="B202" s="1295"/>
      <c r="C202" s="1296"/>
      <c r="D202" s="1295"/>
    </row>
    <row r="203" spans="1:4" x14ac:dyDescent="0.2">
      <c r="A203" s="1293">
        <v>33694</v>
      </c>
      <c r="B203" s="1295"/>
      <c r="C203" s="1296"/>
      <c r="D203" s="1295"/>
    </row>
    <row r="204" spans="1:4" x14ac:dyDescent="0.2">
      <c r="A204" s="1293">
        <v>33724</v>
      </c>
      <c r="B204" s="1295"/>
      <c r="C204" s="1296"/>
      <c r="D204" s="1295"/>
    </row>
    <row r="205" spans="1:4" x14ac:dyDescent="0.2">
      <c r="A205" s="1293">
        <v>33755</v>
      </c>
      <c r="B205" s="1295"/>
      <c r="C205" s="1296"/>
      <c r="D205" s="1295"/>
    </row>
    <row r="206" spans="1:4" x14ac:dyDescent="0.2">
      <c r="A206" s="1293">
        <v>33785</v>
      </c>
      <c r="B206" s="1295"/>
      <c r="C206" s="1296"/>
      <c r="D206" s="1295"/>
    </row>
    <row r="207" spans="1:4" x14ac:dyDescent="0.2">
      <c r="A207" s="1293">
        <v>33816</v>
      </c>
      <c r="B207" s="1295"/>
      <c r="C207" s="1296"/>
      <c r="D207" s="1295"/>
    </row>
    <row r="208" spans="1:4" x14ac:dyDescent="0.2">
      <c r="A208" s="1293">
        <v>33847</v>
      </c>
      <c r="B208" s="1295"/>
      <c r="C208" s="1296"/>
      <c r="D208" s="1295"/>
    </row>
    <row r="209" spans="1:4" x14ac:dyDescent="0.2">
      <c r="A209" s="1293">
        <v>33877</v>
      </c>
      <c r="B209" s="1295"/>
      <c r="C209" s="1296"/>
      <c r="D209" s="1295"/>
    </row>
    <row r="210" spans="1:4" x14ac:dyDescent="0.2">
      <c r="A210" s="1293">
        <v>33908</v>
      </c>
      <c r="B210" s="1295"/>
      <c r="C210" s="1296"/>
      <c r="D210" s="1295"/>
    </row>
    <row r="211" spans="1:4" x14ac:dyDescent="0.2">
      <c r="A211" s="1293">
        <v>33938</v>
      </c>
      <c r="B211" s="1295"/>
      <c r="C211" s="1296"/>
      <c r="D211" s="1295"/>
    </row>
    <row r="212" spans="1:4" x14ac:dyDescent="0.2">
      <c r="A212" s="1293">
        <v>33969</v>
      </c>
      <c r="B212" s="1295"/>
      <c r="C212" s="1296"/>
      <c r="D212" s="1295"/>
    </row>
    <row r="213" spans="1:4" x14ac:dyDescent="0.2">
      <c r="A213" s="1293">
        <v>34000</v>
      </c>
      <c r="B213" s="1295"/>
      <c r="C213" s="1296"/>
      <c r="D213" s="1295"/>
    </row>
    <row r="214" spans="1:4" x14ac:dyDescent="0.2">
      <c r="A214" s="1293">
        <v>34028</v>
      </c>
      <c r="B214" s="1295"/>
      <c r="C214" s="1296"/>
      <c r="D214" s="1295"/>
    </row>
    <row r="215" spans="1:4" x14ac:dyDescent="0.2">
      <c r="A215" s="1293">
        <v>34059</v>
      </c>
      <c r="B215" s="1295"/>
      <c r="C215" s="1296"/>
      <c r="D215" s="1295"/>
    </row>
    <row r="216" spans="1:4" x14ac:dyDescent="0.2">
      <c r="A216" s="1293">
        <v>34089</v>
      </c>
      <c r="B216" s="1295"/>
      <c r="C216" s="1296"/>
      <c r="D216" s="1295"/>
    </row>
    <row r="217" spans="1:4" x14ac:dyDescent="0.2">
      <c r="A217" s="1293">
        <v>34120</v>
      </c>
      <c r="B217" s="1295"/>
      <c r="C217" s="1296"/>
      <c r="D217" s="1295"/>
    </row>
    <row r="218" spans="1:4" x14ac:dyDescent="0.2">
      <c r="A218" s="1293">
        <v>34150</v>
      </c>
      <c r="B218" s="1295"/>
      <c r="C218" s="1296"/>
      <c r="D218" s="1295"/>
    </row>
    <row r="219" spans="1:4" x14ac:dyDescent="0.2">
      <c r="A219" s="1293">
        <v>34181</v>
      </c>
      <c r="B219" s="1295"/>
      <c r="C219" s="1296"/>
      <c r="D219" s="1295"/>
    </row>
    <row r="220" spans="1:4" x14ac:dyDescent="0.2">
      <c r="A220" s="1293">
        <v>34212</v>
      </c>
      <c r="B220" s="1295"/>
      <c r="C220" s="1296"/>
      <c r="D220" s="1295"/>
    </row>
    <row r="221" spans="1:4" x14ac:dyDescent="0.2">
      <c r="A221" s="1293">
        <v>34242</v>
      </c>
      <c r="B221" s="1295"/>
      <c r="C221" s="1296"/>
      <c r="D221" s="1295"/>
    </row>
    <row r="222" spans="1:4" x14ac:dyDescent="0.2">
      <c r="A222" s="1293">
        <v>34273</v>
      </c>
      <c r="B222" s="1295"/>
      <c r="C222" s="1296"/>
      <c r="D222" s="1295"/>
    </row>
    <row r="223" spans="1:4" x14ac:dyDescent="0.2">
      <c r="A223" s="1293">
        <v>34303</v>
      </c>
      <c r="B223" s="1295"/>
      <c r="C223" s="1296"/>
      <c r="D223" s="1295"/>
    </row>
    <row r="224" spans="1:4" x14ac:dyDescent="0.2">
      <c r="A224" s="1293">
        <v>34334</v>
      </c>
      <c r="B224" s="1295"/>
      <c r="C224" s="1296"/>
      <c r="D224" s="1295"/>
    </row>
    <row r="225" spans="1:4" x14ac:dyDescent="0.2">
      <c r="A225" s="1293">
        <v>34365</v>
      </c>
      <c r="B225" s="1295"/>
      <c r="C225" s="1296"/>
      <c r="D225" s="1295"/>
    </row>
    <row r="226" spans="1:4" x14ac:dyDescent="0.2">
      <c r="A226" s="1293">
        <v>34393</v>
      </c>
      <c r="B226" s="1295"/>
      <c r="C226" s="1296"/>
      <c r="D226" s="1295"/>
    </row>
    <row r="227" spans="1:4" x14ac:dyDescent="0.2">
      <c r="A227" s="1293">
        <v>34424</v>
      </c>
      <c r="B227" s="1295"/>
      <c r="C227" s="1296"/>
      <c r="D227" s="1295"/>
    </row>
    <row r="228" spans="1:4" x14ac:dyDescent="0.2">
      <c r="A228" s="1293">
        <v>34454</v>
      </c>
      <c r="B228" s="1295"/>
      <c r="C228" s="1296"/>
      <c r="D228" s="1295"/>
    </row>
    <row r="229" spans="1:4" x14ac:dyDescent="0.2">
      <c r="A229" s="1293">
        <v>34485</v>
      </c>
      <c r="B229" s="1295"/>
      <c r="C229" s="1296"/>
      <c r="D229" s="1295"/>
    </row>
    <row r="230" spans="1:4" x14ac:dyDescent="0.2">
      <c r="A230" s="1293">
        <v>34515</v>
      </c>
      <c r="B230" s="1295"/>
      <c r="C230" s="1296"/>
      <c r="D230" s="1295"/>
    </row>
    <row r="231" spans="1:4" x14ac:dyDescent="0.2">
      <c r="A231" s="1293">
        <v>34546</v>
      </c>
      <c r="B231" s="1295"/>
      <c r="C231" s="1296"/>
      <c r="D231" s="1295"/>
    </row>
    <row r="232" spans="1:4" x14ac:dyDescent="0.2">
      <c r="A232" s="1293">
        <v>34577</v>
      </c>
      <c r="B232" s="1295"/>
      <c r="C232" s="1296"/>
      <c r="D232" s="1295"/>
    </row>
    <row r="233" spans="1:4" x14ac:dyDescent="0.2">
      <c r="A233" s="1293">
        <v>34607</v>
      </c>
      <c r="B233" s="1295"/>
      <c r="C233" s="1296"/>
      <c r="D233" s="1295"/>
    </row>
    <row r="234" spans="1:4" x14ac:dyDescent="0.2">
      <c r="A234" s="1293">
        <v>34638</v>
      </c>
      <c r="B234" s="1295"/>
      <c r="C234" s="1296"/>
      <c r="D234" s="1295"/>
    </row>
    <row r="235" spans="1:4" x14ac:dyDescent="0.2">
      <c r="A235" s="1293">
        <v>34668</v>
      </c>
      <c r="B235" s="1295"/>
      <c r="C235" s="1296"/>
      <c r="D235" s="1295"/>
    </row>
    <row r="236" spans="1:4" x14ac:dyDescent="0.2">
      <c r="A236" s="1293">
        <v>34699</v>
      </c>
      <c r="B236" s="1295"/>
      <c r="C236" s="1296"/>
      <c r="D236" s="1295"/>
    </row>
    <row r="237" spans="1:4" x14ac:dyDescent="0.2">
      <c r="A237" s="1293">
        <v>34730</v>
      </c>
      <c r="B237" s="1295"/>
      <c r="C237" s="1296"/>
      <c r="D237" s="1295"/>
    </row>
    <row r="238" spans="1:4" x14ac:dyDescent="0.2">
      <c r="A238" s="1293">
        <v>34758</v>
      </c>
      <c r="B238" s="1295"/>
      <c r="C238" s="1296"/>
      <c r="D238" s="1295"/>
    </row>
    <row r="239" spans="1:4" x14ac:dyDescent="0.2">
      <c r="A239" s="1293">
        <v>34789</v>
      </c>
      <c r="B239" s="1295"/>
      <c r="C239" s="1296"/>
      <c r="D239" s="1295"/>
    </row>
    <row r="240" spans="1:4" x14ac:dyDescent="0.2">
      <c r="A240" s="1293">
        <v>34819</v>
      </c>
      <c r="B240" s="1295"/>
      <c r="C240" s="1296"/>
      <c r="D240" s="1295"/>
    </row>
    <row r="241" spans="1:4" x14ac:dyDescent="0.2">
      <c r="A241" s="1293">
        <v>34850</v>
      </c>
      <c r="B241" s="1295"/>
      <c r="C241" s="1296"/>
      <c r="D241" s="1295"/>
    </row>
    <row r="242" spans="1:4" x14ac:dyDescent="0.2">
      <c r="A242" s="1293">
        <v>34880</v>
      </c>
      <c r="B242" s="1295"/>
      <c r="C242" s="1296"/>
      <c r="D242" s="1295"/>
    </row>
    <row r="243" spans="1:4" x14ac:dyDescent="0.2">
      <c r="A243" s="1293">
        <v>34911</v>
      </c>
      <c r="B243" s="1295"/>
      <c r="C243" s="1296"/>
      <c r="D243" s="1295"/>
    </row>
    <row r="244" spans="1:4" x14ac:dyDescent="0.2">
      <c r="A244" s="1293">
        <v>34942</v>
      </c>
      <c r="B244" s="1295"/>
      <c r="C244" s="1296"/>
      <c r="D244" s="1295"/>
    </row>
    <row r="245" spans="1:4" x14ac:dyDescent="0.2">
      <c r="A245" s="1293">
        <v>34972</v>
      </c>
      <c r="B245" s="1295"/>
      <c r="C245" s="1296"/>
      <c r="D245" s="1295"/>
    </row>
    <row r="246" spans="1:4" x14ac:dyDescent="0.2">
      <c r="A246" s="1293">
        <v>35003</v>
      </c>
      <c r="B246" s="1295"/>
      <c r="C246" s="1296"/>
      <c r="D246" s="1295"/>
    </row>
    <row r="247" spans="1:4" x14ac:dyDescent="0.2">
      <c r="A247" s="1293">
        <v>35033</v>
      </c>
      <c r="B247" s="1295"/>
      <c r="C247" s="1296"/>
      <c r="D247" s="1295"/>
    </row>
    <row r="248" spans="1:4" x14ac:dyDescent="0.2">
      <c r="A248" s="1293">
        <v>35064</v>
      </c>
      <c r="B248" s="1295"/>
      <c r="C248" s="1296"/>
      <c r="D248" s="1295"/>
    </row>
    <row r="249" spans="1:4" x14ac:dyDescent="0.2">
      <c r="A249" s="1293">
        <v>35095</v>
      </c>
      <c r="B249" s="1295"/>
      <c r="C249" s="1296"/>
      <c r="D249" s="1295"/>
    </row>
    <row r="250" spans="1:4" x14ac:dyDescent="0.2">
      <c r="A250" s="1293">
        <v>35124</v>
      </c>
      <c r="B250" s="1295"/>
      <c r="C250" s="1296"/>
      <c r="D250" s="1295"/>
    </row>
    <row r="251" spans="1:4" x14ac:dyDescent="0.2">
      <c r="A251" s="1293">
        <v>35155</v>
      </c>
      <c r="B251" s="1295"/>
      <c r="C251" s="1296"/>
      <c r="D251" s="1295"/>
    </row>
    <row r="252" spans="1:4" x14ac:dyDescent="0.2">
      <c r="A252" s="1293">
        <v>35185</v>
      </c>
      <c r="B252" s="1295"/>
      <c r="C252" s="1296"/>
      <c r="D252" s="1295"/>
    </row>
    <row r="253" spans="1:4" x14ac:dyDescent="0.2">
      <c r="A253" s="1293">
        <v>35216</v>
      </c>
      <c r="B253" s="1295"/>
      <c r="C253" s="1296"/>
      <c r="D253" s="1295"/>
    </row>
    <row r="254" spans="1:4" x14ac:dyDescent="0.2">
      <c r="A254" s="1293">
        <v>35246</v>
      </c>
      <c r="B254" s="1295"/>
      <c r="C254" s="1296"/>
      <c r="D254" s="1295"/>
    </row>
    <row r="255" spans="1:4" x14ac:dyDescent="0.2">
      <c r="A255" s="1293">
        <v>35277</v>
      </c>
      <c r="B255" s="1295"/>
      <c r="C255" s="1296"/>
      <c r="D255" s="1295"/>
    </row>
    <row r="256" spans="1:4" x14ac:dyDescent="0.2">
      <c r="A256" s="1293">
        <v>35308</v>
      </c>
      <c r="B256" s="1295"/>
      <c r="C256" s="1296"/>
      <c r="D256" s="1295"/>
    </row>
    <row r="257" spans="1:4" x14ac:dyDescent="0.2">
      <c r="A257" s="1293">
        <v>35338</v>
      </c>
      <c r="B257" s="1295"/>
      <c r="C257" s="1296"/>
      <c r="D257" s="1295"/>
    </row>
    <row r="258" spans="1:4" x14ac:dyDescent="0.2">
      <c r="A258" s="1293">
        <v>35369</v>
      </c>
      <c r="B258" s="1295"/>
      <c r="C258" s="1296"/>
      <c r="D258" s="1295"/>
    </row>
    <row r="259" spans="1:4" x14ac:dyDescent="0.2">
      <c r="A259" s="1293">
        <v>35399</v>
      </c>
      <c r="B259" s="1295"/>
      <c r="C259" s="1296"/>
      <c r="D259" s="1295"/>
    </row>
    <row r="260" spans="1:4" x14ac:dyDescent="0.2">
      <c r="A260" s="1293">
        <v>35430</v>
      </c>
      <c r="B260" s="1295"/>
      <c r="C260" s="1296"/>
      <c r="D260" s="1295"/>
    </row>
    <row r="261" spans="1:4" x14ac:dyDescent="0.2">
      <c r="A261" s="1293">
        <v>35461</v>
      </c>
      <c r="B261" s="1295"/>
      <c r="C261" s="1296"/>
      <c r="D261" s="1295"/>
    </row>
    <row r="262" spans="1:4" x14ac:dyDescent="0.2">
      <c r="A262" s="1293">
        <v>35489</v>
      </c>
      <c r="B262" s="1295"/>
      <c r="C262" s="1296"/>
      <c r="D262" s="1295"/>
    </row>
    <row r="263" spans="1:4" x14ac:dyDescent="0.2">
      <c r="A263" s="1293">
        <v>35520</v>
      </c>
      <c r="B263" s="1295"/>
      <c r="C263" s="1296"/>
      <c r="D263" s="1295"/>
    </row>
    <row r="264" spans="1:4" x14ac:dyDescent="0.2">
      <c r="A264" s="1293">
        <v>35550</v>
      </c>
      <c r="B264" s="1295"/>
      <c r="C264" s="1296"/>
      <c r="D264" s="1295"/>
    </row>
    <row r="265" spans="1:4" x14ac:dyDescent="0.2">
      <c r="A265" s="1293">
        <v>35581</v>
      </c>
      <c r="B265" s="1295"/>
      <c r="C265" s="1296"/>
      <c r="D265" s="1295"/>
    </row>
    <row r="266" spans="1:4" x14ac:dyDescent="0.2">
      <c r="A266" s="1293">
        <v>35611</v>
      </c>
      <c r="B266" s="1295"/>
      <c r="C266" s="1296"/>
      <c r="D266" s="1295"/>
    </row>
    <row r="267" spans="1:4" x14ac:dyDescent="0.2">
      <c r="A267" s="1293">
        <v>35642</v>
      </c>
      <c r="B267" s="1295"/>
      <c r="C267" s="1296"/>
      <c r="D267" s="1295"/>
    </row>
    <row r="268" spans="1:4" x14ac:dyDescent="0.2">
      <c r="A268" s="1293">
        <v>35673</v>
      </c>
      <c r="B268" s="1295"/>
      <c r="C268" s="1296"/>
      <c r="D268" s="1295"/>
    </row>
    <row r="269" spans="1:4" x14ac:dyDescent="0.2">
      <c r="A269" s="1293">
        <v>35703</v>
      </c>
      <c r="B269" s="1295"/>
      <c r="C269" s="1296"/>
      <c r="D269" s="1295"/>
    </row>
    <row r="270" spans="1:4" x14ac:dyDescent="0.2">
      <c r="A270" s="1293">
        <v>35734</v>
      </c>
      <c r="B270" s="1295"/>
      <c r="C270" s="1296"/>
      <c r="D270" s="1295"/>
    </row>
    <row r="271" spans="1:4" x14ac:dyDescent="0.2">
      <c r="A271" s="1293">
        <v>35764</v>
      </c>
      <c r="B271" s="1295"/>
      <c r="C271" s="1296"/>
      <c r="D271" s="1295"/>
    </row>
    <row r="272" spans="1:4" x14ac:dyDescent="0.2">
      <c r="A272" s="1293">
        <v>35795</v>
      </c>
      <c r="B272" s="1295"/>
      <c r="C272" s="1296"/>
      <c r="D272" s="1295"/>
    </row>
    <row r="273" spans="1:4" x14ac:dyDescent="0.2">
      <c r="A273" s="1293">
        <v>35826</v>
      </c>
      <c r="B273" s="1295"/>
      <c r="C273" s="1296"/>
      <c r="D273" s="1295"/>
    </row>
    <row r="274" spans="1:4" x14ac:dyDescent="0.2">
      <c r="A274" s="1293">
        <v>35854</v>
      </c>
      <c r="B274" s="1295"/>
      <c r="C274" s="1297"/>
      <c r="D274" s="1295"/>
    </row>
    <row r="275" spans="1:4" x14ac:dyDescent="0.2">
      <c r="A275" s="1293">
        <v>35885</v>
      </c>
      <c r="B275" s="1295"/>
      <c r="C275" s="1297"/>
      <c r="D275" s="1295"/>
    </row>
    <row r="276" spans="1:4" x14ac:dyDescent="0.2">
      <c r="A276" s="1293">
        <v>35915</v>
      </c>
      <c r="B276" s="1295"/>
      <c r="C276" s="1297"/>
      <c r="D276" s="1295"/>
    </row>
    <row r="277" spans="1:4" x14ac:dyDescent="0.2">
      <c r="A277" s="1293">
        <v>35946</v>
      </c>
      <c r="B277" s="1295"/>
      <c r="C277" s="1297"/>
      <c r="D277" s="1295"/>
    </row>
    <row r="278" spans="1:4" x14ac:dyDescent="0.2">
      <c r="A278" s="1293">
        <v>35976</v>
      </c>
      <c r="B278" s="1295"/>
      <c r="C278" s="1297"/>
      <c r="D278" s="1295"/>
    </row>
    <row r="279" spans="1:4" x14ac:dyDescent="0.2">
      <c r="A279" s="1293">
        <v>36007</v>
      </c>
      <c r="B279" s="1295"/>
      <c r="C279" s="1297"/>
      <c r="D279" s="1295"/>
    </row>
    <row r="280" spans="1:4" x14ac:dyDescent="0.2">
      <c r="A280" s="1293">
        <v>36038</v>
      </c>
      <c r="B280" s="1295"/>
      <c r="C280" s="1297"/>
      <c r="D280" s="1295"/>
    </row>
    <row r="281" spans="1:4" x14ac:dyDescent="0.2">
      <c r="A281" s="1293">
        <v>36068</v>
      </c>
      <c r="B281" s="1295"/>
      <c r="C281" s="1297"/>
      <c r="D281" s="1295"/>
    </row>
    <row r="282" spans="1:4" x14ac:dyDescent="0.2">
      <c r="A282" s="1293">
        <v>36099</v>
      </c>
      <c r="B282" s="1295"/>
      <c r="C282" s="1297"/>
      <c r="D282" s="1295"/>
    </row>
    <row r="283" spans="1:4" x14ac:dyDescent="0.2">
      <c r="A283" s="1293">
        <v>36129</v>
      </c>
      <c r="B283" s="1295"/>
      <c r="C283" s="1297"/>
      <c r="D283" s="1295"/>
    </row>
    <row r="284" spans="1:4" x14ac:dyDescent="0.2">
      <c r="A284" s="1293">
        <v>36160</v>
      </c>
      <c r="B284" s="1295"/>
      <c r="C284" s="1297"/>
      <c r="D284" s="1295"/>
    </row>
    <row r="285" spans="1:4" x14ac:dyDescent="0.2">
      <c r="A285" s="1293">
        <v>36191</v>
      </c>
      <c r="B285" s="1295"/>
      <c r="C285" s="1297"/>
      <c r="D285" s="1295"/>
    </row>
    <row r="286" spans="1:4" x14ac:dyDescent="0.2">
      <c r="A286" s="1293">
        <v>36219</v>
      </c>
      <c r="B286" s="1295"/>
      <c r="C286" s="1297"/>
      <c r="D286" s="1295"/>
    </row>
    <row r="287" spans="1:4" x14ac:dyDescent="0.2">
      <c r="A287" s="1293">
        <v>36250</v>
      </c>
      <c r="B287" s="1295"/>
      <c r="C287" s="1297"/>
      <c r="D287" s="1295"/>
    </row>
    <row r="288" spans="1:4" x14ac:dyDescent="0.2">
      <c r="A288" s="1293">
        <v>36280</v>
      </c>
      <c r="B288" s="1295"/>
      <c r="C288" s="1297"/>
      <c r="D288" s="1295"/>
    </row>
    <row r="289" spans="1:4" x14ac:dyDescent="0.2">
      <c r="A289" s="1293">
        <v>36311</v>
      </c>
      <c r="B289" s="1295"/>
      <c r="C289" s="1297"/>
      <c r="D289" s="1295"/>
    </row>
    <row r="290" spans="1:4" x14ac:dyDescent="0.2">
      <c r="A290" s="1293">
        <v>36341</v>
      </c>
      <c r="B290" s="1295"/>
      <c r="C290" s="1297"/>
      <c r="D290" s="1295"/>
    </row>
    <row r="291" spans="1:4" x14ac:dyDescent="0.2">
      <c r="A291" s="1293">
        <v>36372</v>
      </c>
      <c r="B291" s="1295"/>
      <c r="C291" s="1297"/>
      <c r="D291" s="1295"/>
    </row>
    <row r="292" spans="1:4" x14ac:dyDescent="0.2">
      <c r="A292" s="1293">
        <v>36403</v>
      </c>
      <c r="B292" s="1295"/>
      <c r="C292" s="1297"/>
      <c r="D292" s="1295"/>
    </row>
    <row r="293" spans="1:4" x14ac:dyDescent="0.2">
      <c r="A293" s="1293">
        <v>36433</v>
      </c>
      <c r="B293" s="1295"/>
      <c r="C293" s="1297"/>
      <c r="D293" s="1295"/>
    </row>
    <row r="294" spans="1:4" x14ac:dyDescent="0.2">
      <c r="A294" s="1293">
        <v>36464</v>
      </c>
      <c r="B294" s="1295"/>
      <c r="C294" s="1297"/>
      <c r="D294" s="1295"/>
    </row>
    <row r="295" spans="1:4" x14ac:dyDescent="0.2">
      <c r="A295" s="1293">
        <v>36494</v>
      </c>
      <c r="B295" s="1295"/>
      <c r="C295" s="1297"/>
      <c r="D295" s="1295"/>
    </row>
    <row r="296" spans="1:4" x14ac:dyDescent="0.2">
      <c r="A296" s="1293">
        <v>36525</v>
      </c>
      <c r="B296" s="1295"/>
      <c r="C296" s="1297"/>
      <c r="D296" s="1295"/>
    </row>
    <row r="297" spans="1:4" x14ac:dyDescent="0.2">
      <c r="A297" s="1293">
        <v>36556</v>
      </c>
      <c r="B297" s="1295"/>
      <c r="C297" s="1297"/>
      <c r="D297" s="1295"/>
    </row>
    <row r="298" spans="1:4" x14ac:dyDescent="0.2">
      <c r="A298" s="1293">
        <v>36585</v>
      </c>
      <c r="B298" s="1295"/>
      <c r="C298" s="1297"/>
      <c r="D298" s="1295"/>
    </row>
    <row r="299" spans="1:4" x14ac:dyDescent="0.2">
      <c r="A299" s="1293">
        <v>36616</v>
      </c>
      <c r="B299" s="1295"/>
      <c r="C299" s="1297"/>
      <c r="D299" s="1295"/>
    </row>
    <row r="300" spans="1:4" x14ac:dyDescent="0.2">
      <c r="A300" s="1293">
        <v>36646</v>
      </c>
      <c r="B300" s="1295"/>
      <c r="C300" s="1297"/>
      <c r="D300" s="1295"/>
    </row>
    <row r="301" spans="1:4" x14ac:dyDescent="0.2">
      <c r="A301" s="1293">
        <v>36677</v>
      </c>
      <c r="B301" s="1295"/>
      <c r="C301" s="1297"/>
      <c r="D301" s="1295"/>
    </row>
    <row r="302" spans="1:4" x14ac:dyDescent="0.2">
      <c r="A302" s="1293">
        <v>36707</v>
      </c>
      <c r="B302" s="1295"/>
      <c r="C302" s="1297"/>
      <c r="D302" s="1295"/>
    </row>
    <row r="303" spans="1:4" x14ac:dyDescent="0.2">
      <c r="A303" s="1293">
        <v>36738</v>
      </c>
      <c r="B303" s="1295"/>
      <c r="C303" s="1297"/>
      <c r="D303" s="1295"/>
    </row>
    <row r="304" spans="1:4" x14ac:dyDescent="0.2">
      <c r="A304" s="1293">
        <v>36769</v>
      </c>
      <c r="B304" s="1295"/>
      <c r="C304" s="1297"/>
      <c r="D304" s="1295"/>
    </row>
    <row r="305" spans="1:4" x14ac:dyDescent="0.2">
      <c r="A305" s="1293">
        <v>36799</v>
      </c>
      <c r="B305" s="1298"/>
      <c r="C305" s="1299"/>
      <c r="D305" s="1295"/>
    </row>
    <row r="306" spans="1:4" x14ac:dyDescent="0.2">
      <c r="A306" s="1293">
        <v>36830</v>
      </c>
      <c r="B306" s="1300"/>
      <c r="C306" s="1299"/>
      <c r="D306" s="1300"/>
    </row>
    <row r="307" spans="1:4" x14ac:dyDescent="0.2">
      <c r="A307" s="1293">
        <v>36860</v>
      </c>
      <c r="B307" s="1300"/>
      <c r="C307" s="1299"/>
      <c r="D307" s="1300"/>
    </row>
    <row r="308" spans="1:4" x14ac:dyDescent="0.2">
      <c r="A308" s="1293">
        <v>36891</v>
      </c>
      <c r="B308" s="1300"/>
      <c r="C308" s="1299"/>
      <c r="D308" s="1300"/>
    </row>
    <row r="309" spans="1:4" x14ac:dyDescent="0.2">
      <c r="A309" s="1293">
        <v>36922</v>
      </c>
      <c r="B309" s="1300"/>
      <c r="C309" s="1299"/>
      <c r="D309" s="1300"/>
    </row>
    <row r="310" spans="1:4" x14ac:dyDescent="0.2">
      <c r="A310" s="1293">
        <v>36950</v>
      </c>
      <c r="B310" s="1300"/>
      <c r="C310" s="1299"/>
      <c r="D310" s="1300"/>
    </row>
    <row r="311" spans="1:4" x14ac:dyDescent="0.2">
      <c r="A311" s="1293">
        <v>36981</v>
      </c>
      <c r="B311" s="1300"/>
      <c r="C311" s="1299"/>
      <c r="D311" s="1300"/>
    </row>
    <row r="312" spans="1:4" x14ac:dyDescent="0.2">
      <c r="A312" s="1293">
        <v>37011</v>
      </c>
      <c r="B312" s="1300"/>
      <c r="C312" s="1299"/>
      <c r="D312" s="1300"/>
    </row>
    <row r="313" spans="1:4" x14ac:dyDescent="0.2">
      <c r="A313" s="1293">
        <v>37042</v>
      </c>
      <c r="B313" s="1300"/>
      <c r="C313" s="1299"/>
      <c r="D313" s="1300"/>
    </row>
    <row r="314" spans="1:4" x14ac:dyDescent="0.2">
      <c r="A314" s="1293">
        <v>37072</v>
      </c>
      <c r="B314" s="1300"/>
      <c r="C314" s="1299"/>
      <c r="D314" s="1300"/>
    </row>
    <row r="315" spans="1:4" x14ac:dyDescent="0.2">
      <c r="A315" s="1293">
        <v>37103</v>
      </c>
      <c r="B315" s="1300"/>
      <c r="C315" s="1299"/>
      <c r="D315" s="1300"/>
    </row>
    <row r="316" spans="1:4" x14ac:dyDescent="0.2">
      <c r="A316" s="1293">
        <v>37134</v>
      </c>
      <c r="B316" s="1300"/>
      <c r="C316" s="1299"/>
      <c r="D316" s="1300"/>
    </row>
    <row r="317" spans="1:4" x14ac:dyDescent="0.2">
      <c r="A317" s="1293">
        <v>37164</v>
      </c>
      <c r="B317" s="1300"/>
      <c r="C317" s="1299"/>
      <c r="D317" s="1300"/>
    </row>
    <row r="318" spans="1:4" x14ac:dyDescent="0.2">
      <c r="A318" s="1293">
        <v>37195</v>
      </c>
      <c r="B318" s="1300"/>
      <c r="C318" s="1299"/>
      <c r="D318" s="1300"/>
    </row>
    <row r="319" spans="1:4" x14ac:dyDescent="0.2">
      <c r="A319" s="1293">
        <v>37225</v>
      </c>
      <c r="B319" s="1300"/>
      <c r="C319" s="1299"/>
      <c r="D319" s="1300"/>
    </row>
    <row r="320" spans="1:4" x14ac:dyDescent="0.2">
      <c r="A320" s="1293">
        <v>37256</v>
      </c>
      <c r="B320" s="1300"/>
      <c r="C320" s="1299"/>
      <c r="D320" s="1300"/>
    </row>
    <row r="321" spans="1:4" x14ac:dyDescent="0.2">
      <c r="A321" s="1293">
        <v>37287</v>
      </c>
      <c r="B321" s="1300"/>
      <c r="C321" s="1299"/>
      <c r="D321" s="1300"/>
    </row>
    <row r="322" spans="1:4" x14ac:dyDescent="0.2">
      <c r="A322" s="1293">
        <v>37315</v>
      </c>
      <c r="B322" s="1300"/>
      <c r="C322" s="1299"/>
      <c r="D322" s="1300"/>
    </row>
    <row r="323" spans="1:4" x14ac:dyDescent="0.2">
      <c r="A323" s="1293">
        <v>37346</v>
      </c>
      <c r="B323" s="1300"/>
      <c r="C323" s="1299"/>
      <c r="D323" s="1300"/>
    </row>
    <row r="324" spans="1:4" x14ac:dyDescent="0.2">
      <c r="A324" s="1293">
        <v>37376</v>
      </c>
      <c r="B324" s="1300"/>
      <c r="C324" s="1299"/>
      <c r="D324" s="1300"/>
    </row>
    <row r="325" spans="1:4" x14ac:dyDescent="0.2">
      <c r="A325" s="1293">
        <v>37407</v>
      </c>
      <c r="B325" s="1300"/>
      <c r="C325" s="1299"/>
      <c r="D325" s="1300"/>
    </row>
    <row r="326" spans="1:4" x14ac:dyDescent="0.2">
      <c r="A326" s="1293">
        <v>37437</v>
      </c>
      <c r="B326" s="1300"/>
      <c r="C326" s="1299"/>
      <c r="D326" s="1300"/>
    </row>
    <row r="327" spans="1:4" x14ac:dyDescent="0.2">
      <c r="A327" s="1293">
        <v>37468</v>
      </c>
      <c r="B327" s="1300"/>
      <c r="C327" s="1299"/>
      <c r="D327" s="1300"/>
    </row>
    <row r="328" spans="1:4" x14ac:dyDescent="0.2">
      <c r="A328" s="1293">
        <v>37499</v>
      </c>
      <c r="B328" s="1300"/>
      <c r="C328" s="1299"/>
      <c r="D328" s="1300"/>
    </row>
    <row r="329" spans="1:4" x14ac:dyDescent="0.2">
      <c r="A329" s="1293">
        <v>37529</v>
      </c>
      <c r="B329" s="1300"/>
      <c r="C329" s="1299"/>
      <c r="D329" s="1300"/>
    </row>
    <row r="330" spans="1:4" x14ac:dyDescent="0.2">
      <c r="A330" s="1293">
        <v>37560</v>
      </c>
      <c r="B330" s="1300"/>
      <c r="C330" s="1299"/>
      <c r="D330" s="1300"/>
    </row>
    <row r="331" spans="1:4" x14ac:dyDescent="0.2">
      <c r="A331" s="1293">
        <v>37590</v>
      </c>
      <c r="B331" s="1300"/>
      <c r="C331" s="1299"/>
      <c r="D331" s="1300"/>
    </row>
    <row r="332" spans="1:4" x14ac:dyDescent="0.2">
      <c r="A332" s="1293">
        <v>37621</v>
      </c>
      <c r="B332" s="1300"/>
      <c r="C332" s="1299"/>
      <c r="D332" s="1300"/>
    </row>
    <row r="333" spans="1:4" x14ac:dyDescent="0.2">
      <c r="A333" s="1293">
        <v>37652</v>
      </c>
      <c r="B333" s="1300"/>
      <c r="C333" s="1299"/>
      <c r="D333" s="1300"/>
    </row>
    <row r="334" spans="1:4" x14ac:dyDescent="0.2">
      <c r="A334" s="1293">
        <v>37680</v>
      </c>
      <c r="B334" s="1300"/>
      <c r="C334" s="1299"/>
      <c r="D334" s="1300"/>
    </row>
    <row r="335" spans="1:4" x14ac:dyDescent="0.2">
      <c r="A335" s="1293">
        <v>37711</v>
      </c>
      <c r="B335" s="1300"/>
      <c r="C335" s="1299"/>
      <c r="D335" s="1300"/>
    </row>
    <row r="336" spans="1:4" x14ac:dyDescent="0.2">
      <c r="A336" s="1293">
        <v>37741</v>
      </c>
      <c r="B336" s="1300"/>
      <c r="C336" s="1299"/>
      <c r="D336" s="1300"/>
    </row>
    <row r="337" spans="1:4" x14ac:dyDescent="0.2">
      <c r="A337" s="1293">
        <v>37772</v>
      </c>
      <c r="B337" s="1300"/>
      <c r="C337" s="1299"/>
      <c r="D337" s="1300"/>
    </row>
    <row r="338" spans="1:4" x14ac:dyDescent="0.2">
      <c r="A338" s="1293">
        <v>37802</v>
      </c>
      <c r="B338" s="1300"/>
      <c r="C338" s="1299"/>
      <c r="D338" s="1300"/>
    </row>
    <row r="339" spans="1:4" x14ac:dyDescent="0.2">
      <c r="A339" s="1293">
        <v>37833</v>
      </c>
      <c r="B339" s="1300"/>
      <c r="C339" s="1299"/>
      <c r="D339" s="1300"/>
    </row>
    <row r="340" spans="1:4" x14ac:dyDescent="0.2">
      <c r="A340" s="1293">
        <v>37864</v>
      </c>
      <c r="B340" s="1300"/>
      <c r="C340" s="1299"/>
      <c r="D340" s="1300"/>
    </row>
    <row r="341" spans="1:4" x14ac:dyDescent="0.2">
      <c r="A341" s="1293">
        <v>37894</v>
      </c>
      <c r="B341" s="1300"/>
      <c r="C341" s="1302"/>
      <c r="D341" s="1300"/>
    </row>
    <row r="342" spans="1:4" x14ac:dyDescent="0.2">
      <c r="A342" s="1293">
        <v>37925</v>
      </c>
      <c r="B342" s="1300"/>
      <c r="C342" s="1302"/>
      <c r="D342" s="1300"/>
    </row>
    <row r="343" spans="1:4" x14ac:dyDescent="0.2">
      <c r="A343" s="1293">
        <v>37955</v>
      </c>
      <c r="B343" s="1300"/>
      <c r="C343" s="1302"/>
      <c r="D343" s="1300"/>
    </row>
    <row r="344" spans="1:4" x14ac:dyDescent="0.2">
      <c r="A344" s="1293">
        <v>37986</v>
      </c>
      <c r="B344" s="1300"/>
      <c r="C344" s="1302"/>
      <c r="D344" s="1300"/>
    </row>
    <row r="345" spans="1:4" x14ac:dyDescent="0.2">
      <c r="A345" s="1293">
        <v>38017</v>
      </c>
      <c r="B345" s="1300"/>
      <c r="C345" s="1302"/>
      <c r="D345" s="1300"/>
    </row>
    <row r="346" spans="1:4" x14ac:dyDescent="0.2">
      <c r="A346" s="1293">
        <v>38046</v>
      </c>
      <c r="B346" s="1300"/>
      <c r="C346" s="1302"/>
      <c r="D346" s="1300"/>
    </row>
    <row r="347" spans="1:4" x14ac:dyDescent="0.2">
      <c r="A347" s="1293">
        <v>38077</v>
      </c>
      <c r="B347" s="1300"/>
      <c r="C347" s="1302"/>
      <c r="D347" s="1303"/>
    </row>
    <row r="348" spans="1:4" x14ac:dyDescent="0.2">
      <c r="A348" s="1293">
        <v>38107</v>
      </c>
      <c r="B348" s="1300"/>
      <c r="C348" s="1302"/>
      <c r="D348" s="1300"/>
    </row>
    <row r="349" spans="1:4" x14ac:dyDescent="0.2">
      <c r="A349" s="1293">
        <v>38138</v>
      </c>
      <c r="B349" s="1300"/>
      <c r="C349" s="1302"/>
      <c r="D349" s="1300"/>
    </row>
    <row r="350" spans="1:4" x14ac:dyDescent="0.2">
      <c r="A350" s="1293">
        <v>38168</v>
      </c>
      <c r="B350" s="1300"/>
      <c r="C350" s="1302"/>
      <c r="D350" s="1300"/>
    </row>
    <row r="351" spans="1:4" x14ac:dyDescent="0.2">
      <c r="A351" s="1293">
        <v>38199</v>
      </c>
      <c r="B351" s="1300"/>
      <c r="C351" s="1302"/>
      <c r="D351" s="1300"/>
    </row>
    <row r="352" spans="1:4" x14ac:dyDescent="0.2">
      <c r="A352" s="1293">
        <v>38230</v>
      </c>
      <c r="B352" s="1300"/>
      <c r="C352" s="1302"/>
      <c r="D352" s="1300"/>
    </row>
    <row r="353" spans="1:4" x14ac:dyDescent="0.2">
      <c r="A353" s="1293">
        <v>38260</v>
      </c>
      <c r="B353" s="1300"/>
      <c r="C353" s="1302"/>
      <c r="D353" s="1300"/>
    </row>
    <row r="354" spans="1:4" x14ac:dyDescent="0.2">
      <c r="A354" s="1293">
        <v>38291</v>
      </c>
      <c r="B354" s="1300"/>
      <c r="C354" s="1302"/>
      <c r="D354" s="1300"/>
    </row>
    <row r="355" spans="1:4" x14ac:dyDescent="0.2">
      <c r="A355" s="1293">
        <v>38321</v>
      </c>
      <c r="B355" s="1300"/>
      <c r="C355" s="1302"/>
      <c r="D355" s="1300"/>
    </row>
    <row r="356" spans="1:4" x14ac:dyDescent="0.2">
      <c r="A356" s="1293">
        <v>38352</v>
      </c>
      <c r="B356" s="1300"/>
      <c r="C356" s="1304"/>
      <c r="D356" s="1300"/>
    </row>
    <row r="357" spans="1:4" x14ac:dyDescent="0.2">
      <c r="A357" s="1293">
        <v>38383</v>
      </c>
      <c r="B357" s="1300"/>
      <c r="C357" s="1302"/>
      <c r="D357" s="1300"/>
    </row>
    <row r="358" spans="1:4" x14ac:dyDescent="0.2">
      <c r="A358" s="1293">
        <v>38411</v>
      </c>
      <c r="B358" s="1300"/>
      <c r="C358" s="1302"/>
      <c r="D358" s="1300"/>
    </row>
    <row r="359" spans="1:4" x14ac:dyDescent="0.2">
      <c r="A359" s="1293">
        <v>38442</v>
      </c>
      <c r="B359" s="1300"/>
      <c r="C359" s="1304"/>
      <c r="D359" s="1300"/>
    </row>
    <row r="360" spans="1:4" x14ac:dyDescent="0.2">
      <c r="A360" s="1293">
        <v>38472</v>
      </c>
      <c r="B360" s="1300"/>
      <c r="C360" s="1304"/>
      <c r="D360" s="1300"/>
    </row>
    <row r="361" spans="1:4" x14ac:dyDescent="0.2">
      <c r="A361" s="1293">
        <v>38503</v>
      </c>
      <c r="B361" s="1300"/>
      <c r="C361" s="1304"/>
      <c r="D361" s="1300"/>
    </row>
    <row r="362" spans="1:4" x14ac:dyDescent="0.2">
      <c r="A362" s="1293">
        <v>38533</v>
      </c>
      <c r="B362" s="1300"/>
      <c r="C362" s="1304"/>
      <c r="D362" s="1300"/>
    </row>
    <row r="363" spans="1:4" x14ac:dyDescent="0.2">
      <c r="A363" s="1293">
        <v>38564</v>
      </c>
      <c r="B363" s="1300"/>
      <c r="C363" s="1304"/>
      <c r="D363" s="1300"/>
    </row>
    <row r="364" spans="1:4" x14ac:dyDescent="0.2">
      <c r="A364" s="1293">
        <v>38595</v>
      </c>
      <c r="B364" s="1300"/>
      <c r="C364" s="1304"/>
      <c r="D364" s="1300"/>
    </row>
    <row r="365" spans="1:4" x14ac:dyDescent="0.2">
      <c r="A365" s="1293">
        <v>38625</v>
      </c>
      <c r="B365" s="1300"/>
      <c r="C365" s="1304"/>
      <c r="D365" s="1300"/>
    </row>
    <row r="366" spans="1:4" x14ac:dyDescent="0.2">
      <c r="A366" s="1293">
        <v>38656</v>
      </c>
      <c r="B366" s="1300"/>
      <c r="C366" s="1304"/>
      <c r="D366" s="1300"/>
    </row>
    <row r="367" spans="1:4" x14ac:dyDescent="0.2">
      <c r="A367" s="1293">
        <v>38686</v>
      </c>
      <c r="B367" s="1300"/>
      <c r="C367" s="1304"/>
      <c r="D367" s="1300"/>
    </row>
    <row r="368" spans="1:4" x14ac:dyDescent="0.2">
      <c r="A368" s="1293">
        <v>38717</v>
      </c>
      <c r="B368" s="1300"/>
      <c r="C368" s="1304"/>
      <c r="D368" s="1300"/>
    </row>
    <row r="369" spans="1:6" x14ac:dyDescent="0.2">
      <c r="A369" s="1293">
        <v>38748</v>
      </c>
      <c r="B369" s="1300"/>
      <c r="C369" s="1304"/>
      <c r="D369" s="1300"/>
    </row>
    <row r="370" spans="1:6" x14ac:dyDescent="0.2">
      <c r="A370" s="1293">
        <v>38776</v>
      </c>
      <c r="B370" s="1300"/>
      <c r="C370" s="1304"/>
      <c r="D370" s="1300"/>
    </row>
    <row r="371" spans="1:6" x14ac:dyDescent="0.2">
      <c r="A371" s="1293">
        <v>38807</v>
      </c>
      <c r="B371" s="1300"/>
      <c r="C371" s="1299"/>
      <c r="D371" s="1300"/>
    </row>
    <row r="372" spans="1:6" x14ac:dyDescent="0.2">
      <c r="A372" s="1293">
        <v>38837</v>
      </c>
      <c r="B372" s="1300"/>
      <c r="C372" s="1299"/>
      <c r="D372" s="1300"/>
    </row>
    <row r="373" spans="1:6" x14ac:dyDescent="0.2">
      <c r="A373" s="1293">
        <v>38868</v>
      </c>
      <c r="B373" s="1300"/>
      <c r="C373" s="1299"/>
      <c r="D373" s="1300"/>
    </row>
    <row r="374" spans="1:6" x14ac:dyDescent="0.2">
      <c r="A374" s="1293">
        <v>38898</v>
      </c>
      <c r="B374" s="1372"/>
      <c r="C374" s="1387"/>
      <c r="D374" s="1300"/>
    </row>
    <row r="375" spans="1:6" x14ac:dyDescent="0.2">
      <c r="A375" s="1293">
        <v>38929</v>
      </c>
      <c r="B375" s="1300"/>
      <c r="C375" s="1302"/>
      <c r="D375" s="1300"/>
    </row>
    <row r="376" spans="1:6" x14ac:dyDescent="0.2">
      <c r="A376" s="1293">
        <v>38960</v>
      </c>
      <c r="B376" s="1300"/>
      <c r="C376" s="1302"/>
      <c r="D376" s="1300"/>
    </row>
    <row r="377" spans="1:6" x14ac:dyDescent="0.2">
      <c r="A377" s="1293">
        <v>38990</v>
      </c>
      <c r="B377" s="1300"/>
      <c r="C377" s="1302"/>
      <c r="D377" s="1300"/>
    </row>
    <row r="378" spans="1:6" x14ac:dyDescent="0.2">
      <c r="A378" s="1293">
        <v>39021</v>
      </c>
      <c r="B378" s="1300"/>
      <c r="C378" s="1302"/>
      <c r="D378" s="1300"/>
      <c r="F378" s="1305"/>
    </row>
    <row r="379" spans="1:6" x14ac:dyDescent="0.2">
      <c r="A379" s="1293">
        <v>39051</v>
      </c>
      <c r="B379" s="1300"/>
      <c r="C379" s="1302"/>
      <c r="D379" s="1300"/>
      <c r="F379" s="1305"/>
    </row>
    <row r="380" spans="1:6" x14ac:dyDescent="0.2">
      <c r="A380" s="1293">
        <v>39082</v>
      </c>
      <c r="B380" s="1300"/>
      <c r="C380" s="1302"/>
      <c r="D380" s="1300"/>
      <c r="F380" s="1305"/>
    </row>
    <row r="381" spans="1:6" x14ac:dyDescent="0.2">
      <c r="A381" s="1293">
        <v>39113</v>
      </c>
      <c r="B381" s="1300"/>
      <c r="F381" s="1305"/>
    </row>
    <row r="382" spans="1:6" x14ac:dyDescent="0.2">
      <c r="A382" s="1293">
        <v>39141</v>
      </c>
      <c r="B382" s="1300"/>
      <c r="F382" s="1305"/>
    </row>
    <row r="383" spans="1:6" x14ac:dyDescent="0.2">
      <c r="A383" s="1293">
        <v>39172</v>
      </c>
      <c r="B383" s="1300"/>
    </row>
    <row r="384" spans="1:6" x14ac:dyDescent="0.2">
      <c r="A384" s="1293">
        <v>39202</v>
      </c>
      <c r="B384" s="1300"/>
    </row>
    <row r="385" spans="1:3" x14ac:dyDescent="0.2">
      <c r="A385" s="1293">
        <v>39233</v>
      </c>
      <c r="B385" s="1300"/>
    </row>
    <row r="386" spans="1:3" x14ac:dyDescent="0.2">
      <c r="A386" s="1293">
        <v>39263</v>
      </c>
      <c r="B386" s="1300"/>
    </row>
    <row r="387" spans="1:3" x14ac:dyDescent="0.2">
      <c r="A387" s="1293">
        <v>39294</v>
      </c>
      <c r="B387" s="1300"/>
    </row>
    <row r="388" spans="1:3" x14ac:dyDescent="0.2">
      <c r="A388" s="1293">
        <v>39325</v>
      </c>
      <c r="B388" s="1300"/>
    </row>
    <row r="389" spans="1:3" x14ac:dyDescent="0.2">
      <c r="A389" s="1293">
        <v>39355</v>
      </c>
      <c r="B389" s="1300"/>
    </row>
    <row r="390" spans="1:3" x14ac:dyDescent="0.2">
      <c r="A390" s="1293">
        <v>39386</v>
      </c>
      <c r="B390" s="1300"/>
    </row>
    <row r="391" spans="1:3" x14ac:dyDescent="0.2">
      <c r="A391" s="1293">
        <v>39416</v>
      </c>
      <c r="B391" s="1300"/>
    </row>
    <row r="392" spans="1:3" x14ac:dyDescent="0.2">
      <c r="A392" s="1293">
        <v>39447</v>
      </c>
      <c r="B392" s="1300"/>
    </row>
    <row r="393" spans="1:3" x14ac:dyDescent="0.2">
      <c r="A393" s="1293">
        <v>39478</v>
      </c>
      <c r="B393" s="1300"/>
    </row>
    <row r="394" spans="1:3" x14ac:dyDescent="0.2">
      <c r="A394" s="1293">
        <v>39507</v>
      </c>
      <c r="B394" s="1300"/>
    </row>
    <row r="395" spans="1:3" x14ac:dyDescent="0.2">
      <c r="A395" s="1293">
        <v>39538</v>
      </c>
      <c r="B395" s="1300"/>
    </row>
    <row r="396" spans="1:3" x14ac:dyDescent="0.2">
      <c r="A396" s="1293">
        <v>39568</v>
      </c>
      <c r="B396" s="1300"/>
    </row>
    <row r="397" spans="1:3" x14ac:dyDescent="0.2">
      <c r="A397" s="1293">
        <v>39599</v>
      </c>
      <c r="B397" s="1300"/>
    </row>
    <row r="398" spans="1:3" x14ac:dyDescent="0.2">
      <c r="A398" s="1293">
        <v>39629</v>
      </c>
      <c r="B398" s="1300"/>
    </row>
    <row r="399" spans="1:3" x14ac:dyDescent="0.2">
      <c r="A399" s="1293">
        <v>39660</v>
      </c>
      <c r="B399" s="1300"/>
      <c r="C399" s="1299"/>
    </row>
    <row r="400" spans="1:3" x14ac:dyDescent="0.2">
      <c r="A400" s="1293">
        <v>39691</v>
      </c>
      <c r="B400" s="1300"/>
      <c r="C400" s="1299"/>
    </row>
    <row r="401" spans="1:7" x14ac:dyDescent="0.2">
      <c r="A401" s="1293">
        <v>39721</v>
      </c>
      <c r="B401" s="1300"/>
      <c r="C401" s="1299"/>
    </row>
    <row r="402" spans="1:7" x14ac:dyDescent="0.2">
      <c r="A402" s="1293">
        <v>39752</v>
      </c>
      <c r="B402" s="1300"/>
    </row>
    <row r="403" spans="1:7" x14ac:dyDescent="0.2">
      <c r="A403" s="1293">
        <v>39782</v>
      </c>
      <c r="B403" s="1300"/>
      <c r="G403" s="1301"/>
    </row>
    <row r="404" spans="1:7" x14ac:dyDescent="0.2">
      <c r="A404" s="1293">
        <v>39813</v>
      </c>
      <c r="B404" s="1300"/>
    </row>
    <row r="405" spans="1:7" x14ac:dyDescent="0.2">
      <c r="A405" s="1293">
        <v>39844</v>
      </c>
      <c r="B405" s="1300"/>
    </row>
    <row r="406" spans="1:7" x14ac:dyDescent="0.2">
      <c r="A406" s="1293">
        <v>39872</v>
      </c>
      <c r="B406" s="1300"/>
    </row>
    <row r="407" spans="1:7" x14ac:dyDescent="0.2">
      <c r="A407" s="1293">
        <v>39903</v>
      </c>
      <c r="B407" s="1300"/>
    </row>
    <row r="408" spans="1:7" x14ac:dyDescent="0.2">
      <c r="A408" s="1293">
        <v>39933</v>
      </c>
      <c r="B408" s="1300"/>
    </row>
    <row r="409" spans="1:7" x14ac:dyDescent="0.2">
      <c r="A409" s="1293">
        <v>39964</v>
      </c>
      <c r="B409" s="1300"/>
    </row>
    <row r="410" spans="1:7" x14ac:dyDescent="0.2">
      <c r="A410" s="1293">
        <v>39994</v>
      </c>
      <c r="B410" s="1300"/>
    </row>
    <row r="411" spans="1:7" x14ac:dyDescent="0.2">
      <c r="A411" s="1293">
        <v>40025</v>
      </c>
      <c r="B411" s="1300"/>
    </row>
    <row r="412" spans="1:7" x14ac:dyDescent="0.2">
      <c r="A412" s="1293">
        <v>40056</v>
      </c>
      <c r="B412" s="1300"/>
    </row>
    <row r="413" spans="1:7" x14ac:dyDescent="0.2">
      <c r="A413" s="1293">
        <v>40086</v>
      </c>
      <c r="B413" s="1300"/>
    </row>
    <row r="414" spans="1:7" x14ac:dyDescent="0.2">
      <c r="A414" s="1293">
        <v>40117</v>
      </c>
      <c r="B414" s="1300"/>
    </row>
    <row r="415" spans="1:7" x14ac:dyDescent="0.2">
      <c r="A415" s="1293">
        <v>40147</v>
      </c>
      <c r="B415" s="1300"/>
    </row>
    <row r="416" spans="1:7" x14ac:dyDescent="0.2">
      <c r="A416" s="1293">
        <v>40178</v>
      </c>
      <c r="B416" s="1300"/>
    </row>
    <row r="417" spans="1:9" x14ac:dyDescent="0.2">
      <c r="A417" s="1293">
        <v>40209</v>
      </c>
      <c r="B417" s="1300"/>
    </row>
    <row r="418" spans="1:9" x14ac:dyDescent="0.2">
      <c r="A418" s="1293">
        <v>40237</v>
      </c>
      <c r="B418" s="1300"/>
    </row>
    <row r="419" spans="1:9" x14ac:dyDescent="0.2">
      <c r="A419" s="1293">
        <v>40268</v>
      </c>
      <c r="B419" s="1300"/>
      <c r="C419" s="1334"/>
      <c r="D419" s="1311"/>
    </row>
    <row r="420" spans="1:9" x14ac:dyDescent="0.2">
      <c r="A420" s="1293">
        <v>40298</v>
      </c>
      <c r="B420" s="1300"/>
    </row>
    <row r="421" spans="1:9" x14ac:dyDescent="0.2">
      <c r="A421" s="1293">
        <v>40329</v>
      </c>
      <c r="B421" s="1300"/>
      <c r="I421" s="1305"/>
    </row>
    <row r="422" spans="1:9" x14ac:dyDescent="0.2">
      <c r="A422" s="1293">
        <v>40359</v>
      </c>
      <c r="B422" s="1300"/>
    </row>
    <row r="423" spans="1:9" x14ac:dyDescent="0.2">
      <c r="A423" s="1293">
        <v>40390</v>
      </c>
      <c r="B423" s="1300"/>
    </row>
    <row r="424" spans="1:9" x14ac:dyDescent="0.2">
      <c r="A424" s="1293">
        <v>40421</v>
      </c>
      <c r="B424" s="1300"/>
    </row>
    <row r="425" spans="1:9" x14ac:dyDescent="0.2">
      <c r="A425" s="1293">
        <v>40451</v>
      </c>
      <c r="B425" s="1300"/>
    </row>
    <row r="426" spans="1:9" x14ac:dyDescent="0.2">
      <c r="A426" s="1293">
        <v>40482</v>
      </c>
      <c r="B426" s="1306"/>
    </row>
    <row r="427" spans="1:9" x14ac:dyDescent="0.2">
      <c r="A427" s="1293">
        <v>40512</v>
      </c>
      <c r="B427" s="1300"/>
    </row>
    <row r="428" spans="1:9" x14ac:dyDescent="0.2">
      <c r="A428" s="1293">
        <v>40543</v>
      </c>
      <c r="B428" s="1300"/>
    </row>
    <row r="429" spans="1:9" x14ac:dyDescent="0.2">
      <c r="A429" s="1293">
        <v>40574</v>
      </c>
      <c r="B429" s="1300"/>
    </row>
    <row r="430" spans="1:9" x14ac:dyDescent="0.2">
      <c r="A430" s="1293">
        <v>40602</v>
      </c>
      <c r="B430" s="1300"/>
    </row>
    <row r="431" spans="1:9" x14ac:dyDescent="0.2">
      <c r="A431" s="1293">
        <v>40633</v>
      </c>
      <c r="B431" s="1300"/>
    </row>
    <row r="432" spans="1:9" x14ac:dyDescent="0.2">
      <c r="A432" s="1293">
        <v>40663</v>
      </c>
      <c r="B432" s="1300"/>
    </row>
    <row r="433" spans="1:2" x14ac:dyDescent="0.2">
      <c r="A433" s="1293">
        <v>40694</v>
      </c>
      <c r="B433" s="1300"/>
    </row>
    <row r="434" spans="1:2" x14ac:dyDescent="0.2">
      <c r="A434" s="1293">
        <v>40724</v>
      </c>
      <c r="B434" s="1300"/>
    </row>
    <row r="435" spans="1:2" x14ac:dyDescent="0.2">
      <c r="A435" s="1293">
        <v>40755</v>
      </c>
      <c r="B435" s="1300"/>
    </row>
    <row r="436" spans="1:2" x14ac:dyDescent="0.2">
      <c r="A436" s="1293">
        <v>40786</v>
      </c>
      <c r="B436" s="1300"/>
    </row>
    <row r="437" spans="1:2" x14ac:dyDescent="0.2">
      <c r="A437" s="1293">
        <v>40816</v>
      </c>
      <c r="B437" s="1300"/>
    </row>
    <row r="438" spans="1:2" x14ac:dyDescent="0.2">
      <c r="A438" s="1293">
        <v>40847</v>
      </c>
      <c r="B438" s="1300"/>
    </row>
    <row r="439" spans="1:2" x14ac:dyDescent="0.2">
      <c r="A439" s="1293">
        <v>40877</v>
      </c>
      <c r="B439" s="1300"/>
    </row>
    <row r="440" spans="1:2" x14ac:dyDescent="0.2">
      <c r="A440" s="1293">
        <v>40908</v>
      </c>
      <c r="B440" s="1300"/>
    </row>
    <row r="441" spans="1:2" x14ac:dyDescent="0.2">
      <c r="A441" s="345">
        <v>40939</v>
      </c>
      <c r="B441" s="1300"/>
    </row>
    <row r="442" spans="1:2" x14ac:dyDescent="0.2">
      <c r="A442" s="345">
        <v>40968</v>
      </c>
      <c r="B442" s="1300"/>
    </row>
    <row r="443" spans="1:2" x14ac:dyDescent="0.2">
      <c r="A443" s="345">
        <v>40999</v>
      </c>
      <c r="B443" s="1300"/>
    </row>
    <row r="444" spans="1:2" x14ac:dyDescent="0.2">
      <c r="A444" s="345">
        <v>41029</v>
      </c>
      <c r="B444" s="1300"/>
    </row>
    <row r="445" spans="1:2" x14ac:dyDescent="0.2">
      <c r="A445" s="345">
        <v>41060</v>
      </c>
      <c r="B445" s="1300"/>
    </row>
    <row r="446" spans="1:2" x14ac:dyDescent="0.2">
      <c r="A446" s="345">
        <v>41090</v>
      </c>
      <c r="B446" s="1300"/>
    </row>
    <row r="447" spans="1:2" x14ac:dyDescent="0.2">
      <c r="A447" s="345">
        <v>41121</v>
      </c>
      <c r="B447" s="1300"/>
    </row>
    <row r="448" spans="1:2" x14ac:dyDescent="0.2">
      <c r="A448" s="345">
        <v>41152</v>
      </c>
      <c r="B448" s="1300"/>
    </row>
    <row r="449" spans="1:6" x14ac:dyDescent="0.2">
      <c r="A449" s="345">
        <v>41182</v>
      </c>
      <c r="B449" s="1300"/>
    </row>
    <row r="450" spans="1:6" x14ac:dyDescent="0.2">
      <c r="A450" s="345">
        <v>41213</v>
      </c>
      <c r="B450" s="1300"/>
    </row>
    <row r="451" spans="1:6" x14ac:dyDescent="0.2">
      <c r="A451" s="345">
        <v>41243</v>
      </c>
      <c r="B451" s="1300"/>
    </row>
    <row r="452" spans="1:6" x14ac:dyDescent="0.2">
      <c r="A452" s="345">
        <v>41274</v>
      </c>
      <c r="B452" s="1300"/>
    </row>
    <row r="453" spans="1:6" x14ac:dyDescent="0.2">
      <c r="A453" s="345">
        <v>41305</v>
      </c>
      <c r="B453" s="1300">
        <f t="shared" ref="B453:B488" si="0">D453</f>
        <v>0.77981999999999996</v>
      </c>
      <c r="C453" s="1307">
        <v>602987144.83000004</v>
      </c>
      <c r="D453" s="1306">
        <v>0.77981999999999996</v>
      </c>
      <c r="E453" s="1405">
        <f>B453-Index_Returns!AS453</f>
        <v>6.0969999999999969E-2</v>
      </c>
      <c r="F453" s="1406"/>
    </row>
    <row r="454" spans="1:6" x14ac:dyDescent="0.2">
      <c r="A454" s="345">
        <v>41333</v>
      </c>
      <c r="B454" s="1300">
        <f t="shared" si="0"/>
        <v>-0.25946000000000002</v>
      </c>
      <c r="C454" s="1307">
        <v>601491499.58000004</v>
      </c>
      <c r="D454" s="1306">
        <v>-0.25946000000000002</v>
      </c>
      <c r="E454" s="1405">
        <f>B454-Index_Returns!AS454</f>
        <v>6.2419999999999976E-2</v>
      </c>
    </row>
    <row r="455" spans="1:6" x14ac:dyDescent="0.2">
      <c r="A455" s="345">
        <v>41364</v>
      </c>
      <c r="B455" s="1300">
        <f t="shared" si="0"/>
        <v>-0.50490999999999997</v>
      </c>
      <c r="C455" s="1307">
        <v>600487678.13</v>
      </c>
      <c r="D455" s="1306">
        <v>-0.50490999999999997</v>
      </c>
      <c r="E455" s="1405">
        <f>B455-Index_Returns!AS455</f>
        <v>1.0600000000000054E-2</v>
      </c>
    </row>
    <row r="456" spans="1:6" x14ac:dyDescent="0.2">
      <c r="A456" s="345">
        <v>41394</v>
      </c>
      <c r="B456" s="1300">
        <f t="shared" si="0"/>
        <v>3.3325</v>
      </c>
      <c r="C456" s="1307">
        <v>618903038.5</v>
      </c>
      <c r="D456" s="1306">
        <v>3.3325</v>
      </c>
      <c r="E456" s="1405">
        <f>B456-Index_Returns!AS456</f>
        <v>-9.7500000000000142E-2</v>
      </c>
    </row>
    <row r="457" spans="1:6" x14ac:dyDescent="0.2">
      <c r="A457" s="345">
        <v>41425</v>
      </c>
      <c r="B457" s="1300">
        <f t="shared" si="0"/>
        <v>-6.99275</v>
      </c>
      <c r="C457" s="1307">
        <v>575578957.92999995</v>
      </c>
      <c r="D457" s="1306">
        <v>-6.99275</v>
      </c>
      <c r="E457" s="1405">
        <f>B457-Index_Returns!AS457</f>
        <v>-0.73991000000000007</v>
      </c>
    </row>
    <row r="458" spans="1:6" x14ac:dyDescent="0.2">
      <c r="A458" s="345">
        <v>41455</v>
      </c>
      <c r="B458" s="1300">
        <f t="shared" si="0"/>
        <v>-4.5655799999999997</v>
      </c>
      <c r="C458" s="1307">
        <v>549491438.44000006</v>
      </c>
      <c r="D458" s="1306">
        <v>-4.5655799999999997</v>
      </c>
      <c r="E458" s="1405">
        <f>B458-Index_Returns!AS458</f>
        <v>-0.43537999999999943</v>
      </c>
    </row>
    <row r="459" spans="1:6" x14ac:dyDescent="0.2">
      <c r="A459" s="345">
        <v>41486</v>
      </c>
      <c r="B459" s="1300">
        <f t="shared" si="0"/>
        <v>-0.27043</v>
      </c>
      <c r="C459" s="1307">
        <v>548566958.42999995</v>
      </c>
      <c r="D459" s="1306">
        <v>-0.27043</v>
      </c>
      <c r="E459" s="1405">
        <f>B459-Index_Returns!AS459</f>
        <v>0.28714000000000001</v>
      </c>
    </row>
    <row r="460" spans="1:6" x14ac:dyDescent="0.2">
      <c r="A460" s="345">
        <v>41517</v>
      </c>
      <c r="B460" s="1300">
        <f t="shared" si="0"/>
        <v>-4.2877000000000001</v>
      </c>
      <c r="C460" s="1307">
        <v>525046033.63</v>
      </c>
      <c r="D460" s="1306">
        <v>-4.2877000000000001</v>
      </c>
      <c r="E460" s="1405">
        <f>B460-Index_Returns!AS460</f>
        <v>-0.19455000000000044</v>
      </c>
    </row>
    <row r="461" spans="1:6" x14ac:dyDescent="0.2">
      <c r="A461" s="345">
        <v>41547</v>
      </c>
      <c r="B461" s="1300">
        <f t="shared" si="0"/>
        <v>4.0685000000000002</v>
      </c>
      <c r="C461" s="1307">
        <v>546407528.49000001</v>
      </c>
      <c r="D461" s="1306">
        <v>4.0685000000000002</v>
      </c>
      <c r="E461" s="1405">
        <f>B461-Index_Returns!AS461</f>
        <v>-0.32963999999999949</v>
      </c>
    </row>
    <row r="462" spans="1:6" x14ac:dyDescent="0.2">
      <c r="A462" s="345">
        <v>41578</v>
      </c>
      <c r="B462" s="1300">
        <f t="shared" si="0"/>
        <v>2.75271</v>
      </c>
      <c r="C462" s="1307">
        <v>561973048.54999995</v>
      </c>
      <c r="D462" s="1306">
        <v>2.75271</v>
      </c>
      <c r="E462" s="1405">
        <f>B462-Index_Returns!AS462</f>
        <v>4.7000000000001485E-3</v>
      </c>
    </row>
    <row r="463" spans="1:6" x14ac:dyDescent="0.2">
      <c r="A463" s="345">
        <v>41608</v>
      </c>
      <c r="B463" s="1300">
        <f t="shared" si="0"/>
        <v>-3.93709</v>
      </c>
      <c r="C463" s="1307">
        <v>539847690.36000001</v>
      </c>
      <c r="D463" s="1306">
        <v>-3.93709</v>
      </c>
      <c r="E463" s="1405">
        <f>B463-Index_Returns!AS463</f>
        <v>-0.2959299999999998</v>
      </c>
    </row>
    <row r="464" spans="1:6" x14ac:dyDescent="0.2">
      <c r="A464" s="345">
        <v>41639</v>
      </c>
      <c r="B464" s="1300">
        <f t="shared" si="0"/>
        <v>-0.72855000000000003</v>
      </c>
      <c r="C464" s="1307">
        <v>535914653.87</v>
      </c>
      <c r="D464" s="1306">
        <v>-0.72855000000000003</v>
      </c>
      <c r="E464" s="1405">
        <f>B464-Index_Returns!AS464</f>
        <v>-0.18022000000000005</v>
      </c>
    </row>
    <row r="465" spans="1:5" x14ac:dyDescent="0.2">
      <c r="A465" s="345">
        <v>41670</v>
      </c>
      <c r="B465" s="1300">
        <f t="shared" si="0"/>
        <v>-4.4190100000000001</v>
      </c>
      <c r="C465" s="1307">
        <v>314206811.29000002</v>
      </c>
      <c r="D465" s="1306">
        <v>-4.4190100000000001</v>
      </c>
      <c r="E465" s="1405">
        <f>B465-Index_Returns!AS465</f>
        <v>0.21189999999999998</v>
      </c>
    </row>
    <row r="466" spans="1:5" x14ac:dyDescent="0.2">
      <c r="A466" s="345">
        <v>41698</v>
      </c>
      <c r="B466" s="1300">
        <f t="shared" si="0"/>
        <v>4.1787200000000002</v>
      </c>
      <c r="C466" s="1307">
        <v>327336629.20999998</v>
      </c>
      <c r="D466" s="1306">
        <v>4.1787200000000002</v>
      </c>
      <c r="E466" s="1405">
        <f>B466-Index_Returns!AS466</f>
        <v>0.25393000000000043</v>
      </c>
    </row>
    <row r="467" spans="1:5" x14ac:dyDescent="0.2">
      <c r="A467" s="345">
        <v>41729</v>
      </c>
      <c r="B467" s="1300">
        <f t="shared" si="0"/>
        <v>2.80443</v>
      </c>
      <c r="C467" s="1307">
        <v>336516563.72000003</v>
      </c>
      <c r="D467" s="1306">
        <v>2.80443</v>
      </c>
      <c r="E467" s="1405">
        <f>B467-Index_Returns!AS467</f>
        <v>-5.050000000000221E-3</v>
      </c>
    </row>
    <row r="468" spans="1:5" x14ac:dyDescent="0.2">
      <c r="A468" s="345">
        <v>41759</v>
      </c>
      <c r="B468" s="1300">
        <f t="shared" si="0"/>
        <v>1.2280800000000001</v>
      </c>
      <c r="C468" s="1307">
        <v>340649244.83999997</v>
      </c>
      <c r="D468" s="1306">
        <v>1.2280800000000001</v>
      </c>
      <c r="E468" s="1405">
        <f>B468-Index_Returns!AS468</f>
        <v>0.33613000000000004</v>
      </c>
    </row>
    <row r="469" spans="1:5" x14ac:dyDescent="0.2">
      <c r="A469" s="345">
        <v>41790</v>
      </c>
      <c r="B469" s="1300">
        <f t="shared" si="0"/>
        <v>2.20166</v>
      </c>
      <c r="C469" s="1307">
        <v>348550836.41000003</v>
      </c>
      <c r="D469" s="1306">
        <v>2.20166</v>
      </c>
      <c r="E469" s="1405">
        <f>B469-Index_Returns!AS469</f>
        <v>0.12236000000000002</v>
      </c>
    </row>
    <row r="470" spans="1:5" x14ac:dyDescent="0.2">
      <c r="A470" s="345">
        <v>41820</v>
      </c>
      <c r="B470" s="1300">
        <f t="shared" si="0"/>
        <v>0.18224000000000001</v>
      </c>
      <c r="C470" s="1307">
        <v>349186034.94999999</v>
      </c>
      <c r="D470" s="1306">
        <v>0.18224000000000001</v>
      </c>
      <c r="E470" s="1405">
        <f>B470-Index_Returns!AS470</f>
        <v>-0.81974000000000014</v>
      </c>
    </row>
    <row r="471" spans="1:5" x14ac:dyDescent="0.2">
      <c r="A471" s="345">
        <v>41851</v>
      </c>
      <c r="B471" s="1300">
        <f t="shared" si="0"/>
        <v>-0.25374999999999998</v>
      </c>
      <c r="C471" s="1307">
        <v>348633712.16299999</v>
      </c>
      <c r="D471" s="1306">
        <v>-0.25374999999999998</v>
      </c>
      <c r="E471" s="1405">
        <f>B471-Index_Returns!AS471</f>
        <v>0.80544000000000016</v>
      </c>
    </row>
    <row r="472" spans="1:5" x14ac:dyDescent="0.2">
      <c r="A472" s="345">
        <v>41882</v>
      </c>
      <c r="B472" s="1300">
        <f t="shared" si="0"/>
        <v>1.2839499999999999</v>
      </c>
      <c r="C472" s="1307">
        <v>353109992.95999998</v>
      </c>
      <c r="D472" s="1306">
        <v>1.2839499999999999</v>
      </c>
      <c r="E472" s="1405">
        <f>B472-Index_Returns!AS472</f>
        <v>0.80389999999999995</v>
      </c>
    </row>
    <row r="473" spans="1:5" x14ac:dyDescent="0.2">
      <c r="A473" s="345">
        <v>41912</v>
      </c>
      <c r="B473" s="1300">
        <f t="shared" si="0"/>
        <v>0</v>
      </c>
      <c r="E473" s="1405">
        <f>B473-Index_Returns!AS473</f>
        <v>0</v>
      </c>
    </row>
    <row r="474" spans="1:5" x14ac:dyDescent="0.2">
      <c r="A474" s="345">
        <v>41943</v>
      </c>
      <c r="B474" s="1300">
        <f t="shared" si="0"/>
        <v>0</v>
      </c>
      <c r="E474" s="1405">
        <f>B474-Index_Returns!AS474</f>
        <v>0</v>
      </c>
    </row>
    <row r="475" spans="1:5" x14ac:dyDescent="0.2">
      <c r="A475" s="345">
        <v>41973</v>
      </c>
      <c r="B475" s="1300">
        <f t="shared" si="0"/>
        <v>0</v>
      </c>
      <c r="E475" s="1405">
        <f>B475-Index_Returns!AS475</f>
        <v>0</v>
      </c>
    </row>
    <row r="476" spans="1:5" x14ac:dyDescent="0.2">
      <c r="A476" s="345">
        <v>42004</v>
      </c>
      <c r="B476" s="1300">
        <f t="shared" si="0"/>
        <v>0</v>
      </c>
      <c r="E476" s="1405">
        <f>B476-Index_Returns!AS476</f>
        <v>0</v>
      </c>
    </row>
    <row r="477" spans="1:5" x14ac:dyDescent="0.2">
      <c r="A477" s="345">
        <v>42035</v>
      </c>
      <c r="B477" s="1300">
        <f t="shared" si="0"/>
        <v>0</v>
      </c>
      <c r="E477" s="1405">
        <f>B477-Index_Returns!AS477</f>
        <v>0</v>
      </c>
    </row>
    <row r="478" spans="1:5" x14ac:dyDescent="0.2">
      <c r="A478" s="345">
        <v>42063</v>
      </c>
      <c r="B478" s="1300">
        <f t="shared" si="0"/>
        <v>0</v>
      </c>
      <c r="E478" s="1405">
        <f>B478-Index_Returns!AS478</f>
        <v>0</v>
      </c>
    </row>
    <row r="479" spans="1:5" x14ac:dyDescent="0.2">
      <c r="A479" s="345">
        <v>42094</v>
      </c>
      <c r="B479" s="1300">
        <f t="shared" si="0"/>
        <v>0</v>
      </c>
      <c r="E479" s="1405">
        <f>B479-Index_Returns!AS479</f>
        <v>0</v>
      </c>
    </row>
    <row r="480" spans="1:5" x14ac:dyDescent="0.2">
      <c r="A480" s="345">
        <v>42124</v>
      </c>
      <c r="B480" s="1300">
        <f t="shared" si="0"/>
        <v>0</v>
      </c>
      <c r="E480" s="1405">
        <f>B480-Index_Returns!AS480</f>
        <v>0</v>
      </c>
    </row>
    <row r="481" spans="1:5" x14ac:dyDescent="0.2">
      <c r="A481" s="345">
        <v>42155</v>
      </c>
      <c r="B481" s="1300">
        <f t="shared" si="0"/>
        <v>0</v>
      </c>
      <c r="E481" s="1405">
        <f>B481-Index_Returns!AS481</f>
        <v>0</v>
      </c>
    </row>
    <row r="482" spans="1:5" x14ac:dyDescent="0.2">
      <c r="A482" s="345">
        <v>42185</v>
      </c>
      <c r="B482" s="1300">
        <f t="shared" si="0"/>
        <v>0</v>
      </c>
      <c r="E482" s="1405">
        <f>B482-Index_Returns!AS482</f>
        <v>0</v>
      </c>
    </row>
    <row r="483" spans="1:5" x14ac:dyDescent="0.2">
      <c r="A483" s="345">
        <v>42216</v>
      </c>
      <c r="B483" s="1300">
        <f t="shared" si="0"/>
        <v>0</v>
      </c>
      <c r="E483" s="1405">
        <f>B483-Index_Returns!AS483</f>
        <v>0</v>
      </c>
    </row>
    <row r="484" spans="1:5" x14ac:dyDescent="0.2">
      <c r="A484" s="345">
        <v>42247</v>
      </c>
      <c r="B484" s="1300">
        <f t="shared" si="0"/>
        <v>0</v>
      </c>
      <c r="E484" s="1405">
        <f>B484-Index_Returns!AS484</f>
        <v>0</v>
      </c>
    </row>
    <row r="485" spans="1:5" x14ac:dyDescent="0.2">
      <c r="A485" s="345">
        <v>42277</v>
      </c>
      <c r="B485" s="1300">
        <f t="shared" si="0"/>
        <v>0</v>
      </c>
      <c r="E485" s="1405">
        <f>B485-Index_Returns!AS485</f>
        <v>0</v>
      </c>
    </row>
    <row r="486" spans="1:5" x14ac:dyDescent="0.2">
      <c r="A486" s="345">
        <v>42308</v>
      </c>
      <c r="B486" s="1300">
        <f t="shared" si="0"/>
        <v>0</v>
      </c>
      <c r="E486" s="1405">
        <f>B486-Index_Returns!AS486</f>
        <v>0</v>
      </c>
    </row>
    <row r="487" spans="1:5" x14ac:dyDescent="0.2">
      <c r="A487" s="345">
        <v>42338</v>
      </c>
      <c r="B487" s="1300">
        <f t="shared" si="0"/>
        <v>0</v>
      </c>
      <c r="E487" s="1405">
        <f>B487-Index_Returns!AS487</f>
        <v>0</v>
      </c>
    </row>
    <row r="488" spans="1:5" x14ac:dyDescent="0.2">
      <c r="A488" s="345">
        <v>42369</v>
      </c>
      <c r="B488" s="1300">
        <f t="shared" si="0"/>
        <v>0</v>
      </c>
      <c r="E488" s="1405">
        <f>B488-Index_Returns!AS488</f>
        <v>0</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I488"/>
  <sheetViews>
    <sheetView workbookViewId="0">
      <pane xSplit="1" ySplit="2" topLeftCell="B447" activePane="bottomRight" state="frozen"/>
      <selection pane="topRight" activeCell="B1" sqref="B1"/>
      <selection pane="bottomLeft" activeCell="A3" sqref="A3"/>
      <selection pane="bottomRight" activeCell="C472" sqref="C472:D472"/>
    </sheetView>
  </sheetViews>
  <sheetFormatPr defaultRowHeight="12.75" x14ac:dyDescent="0.2"/>
  <cols>
    <col min="1" max="1" width="18.7109375" style="1308" customWidth="1"/>
    <col min="2" max="2" width="18.7109375" style="1309" customWidth="1"/>
    <col min="3" max="3" width="18.7109375" style="1307" customWidth="1"/>
    <col min="4" max="4" width="18.7109375" style="1306" customWidth="1"/>
    <col min="5" max="5" width="9.140625" style="1301"/>
    <col min="6" max="6" width="12.42578125" style="1266" bestFit="1" customWidth="1"/>
    <col min="7" max="8" width="9.140625" style="1305"/>
    <col min="9" max="16384" width="9.140625" style="1266"/>
  </cols>
  <sheetData>
    <row r="1" spans="1:6" x14ac:dyDescent="0.2">
      <c r="A1" s="1420" t="s">
        <v>861</v>
      </c>
      <c r="B1" s="1290"/>
      <c r="C1" s="1386" t="s">
        <v>666</v>
      </c>
      <c r="D1" s="1373">
        <v>25</v>
      </c>
      <c r="F1" s="1308" t="s">
        <v>837</v>
      </c>
    </row>
    <row r="2" spans="1:6" x14ac:dyDescent="0.2">
      <c r="A2" s="1291" t="s">
        <v>27</v>
      </c>
      <c r="B2" s="1292" t="s">
        <v>91</v>
      </c>
      <c r="C2" s="1294" t="s">
        <v>92</v>
      </c>
      <c r="D2" s="1292" t="s">
        <v>90</v>
      </c>
      <c r="E2" s="1374" t="s">
        <v>80</v>
      </c>
    </row>
    <row r="3" spans="1:6" x14ac:dyDescent="0.2">
      <c r="A3" s="1293">
        <v>27606</v>
      </c>
      <c r="B3" s="1292"/>
      <c r="C3" s="1294"/>
      <c r="D3" s="1292"/>
    </row>
    <row r="4" spans="1:6" x14ac:dyDescent="0.2">
      <c r="A4" s="1293">
        <v>27637</v>
      </c>
      <c r="B4" s="1292"/>
      <c r="C4" s="1294"/>
      <c r="D4" s="1292"/>
    </row>
    <row r="5" spans="1:6" x14ac:dyDescent="0.2">
      <c r="A5" s="1293">
        <v>27667</v>
      </c>
      <c r="B5" s="1292"/>
      <c r="C5" s="1294"/>
      <c r="D5" s="1292"/>
    </row>
    <row r="6" spans="1:6" x14ac:dyDescent="0.2">
      <c r="A6" s="1293">
        <v>27698</v>
      </c>
      <c r="B6" s="1292"/>
      <c r="C6" s="1294"/>
      <c r="D6" s="1292"/>
    </row>
    <row r="7" spans="1:6" x14ac:dyDescent="0.2">
      <c r="A7" s="1293">
        <v>27728</v>
      </c>
      <c r="B7" s="1292"/>
      <c r="C7" s="1294"/>
      <c r="D7" s="1292"/>
    </row>
    <row r="8" spans="1:6" x14ac:dyDescent="0.2">
      <c r="A8" s="1293">
        <v>27759</v>
      </c>
      <c r="B8" s="1292"/>
      <c r="C8" s="1294"/>
      <c r="D8" s="1292"/>
    </row>
    <row r="9" spans="1:6" x14ac:dyDescent="0.2">
      <c r="A9" s="1293">
        <v>27790</v>
      </c>
      <c r="B9" s="1292"/>
      <c r="C9" s="1294"/>
      <c r="D9" s="1292"/>
    </row>
    <row r="10" spans="1:6" x14ac:dyDescent="0.2">
      <c r="A10" s="1293">
        <v>27819</v>
      </c>
      <c r="B10" s="1292"/>
      <c r="C10" s="1294"/>
      <c r="D10" s="1292"/>
    </row>
    <row r="11" spans="1:6" x14ac:dyDescent="0.2">
      <c r="A11" s="1293">
        <v>27850</v>
      </c>
      <c r="B11" s="1292"/>
      <c r="C11" s="1294"/>
      <c r="D11" s="1292"/>
    </row>
    <row r="12" spans="1:6" x14ac:dyDescent="0.2">
      <c r="A12" s="1293">
        <v>27880</v>
      </c>
      <c r="B12" s="1292"/>
      <c r="C12" s="1294"/>
      <c r="D12" s="1292"/>
    </row>
    <row r="13" spans="1:6" x14ac:dyDescent="0.2">
      <c r="A13" s="1293">
        <v>27911</v>
      </c>
      <c r="B13" s="1292"/>
      <c r="C13" s="1294"/>
      <c r="D13" s="1292"/>
    </row>
    <row r="14" spans="1:6" x14ac:dyDescent="0.2">
      <c r="A14" s="1293">
        <v>27941</v>
      </c>
      <c r="B14" s="1292"/>
      <c r="C14" s="1294"/>
      <c r="D14" s="1292"/>
    </row>
    <row r="15" spans="1:6" x14ac:dyDescent="0.2">
      <c r="A15" s="1293">
        <v>27972</v>
      </c>
      <c r="B15" s="1292"/>
      <c r="C15" s="1294"/>
      <c r="D15" s="1292"/>
    </row>
    <row r="16" spans="1:6" x14ac:dyDescent="0.2">
      <c r="A16" s="1293">
        <v>28003</v>
      </c>
      <c r="B16" s="1292"/>
      <c r="C16" s="1294"/>
      <c r="D16" s="1292"/>
    </row>
    <row r="17" spans="1:4" x14ac:dyDescent="0.2">
      <c r="A17" s="1293">
        <v>28033</v>
      </c>
      <c r="B17" s="1292"/>
      <c r="C17" s="1294"/>
      <c r="D17" s="1292"/>
    </row>
    <row r="18" spans="1:4" x14ac:dyDescent="0.2">
      <c r="A18" s="1293">
        <v>28064</v>
      </c>
      <c r="B18" s="1292"/>
      <c r="C18" s="1294"/>
      <c r="D18" s="1292"/>
    </row>
    <row r="19" spans="1:4" x14ac:dyDescent="0.2">
      <c r="A19" s="1293">
        <v>28094</v>
      </c>
      <c r="B19" s="1292"/>
      <c r="C19" s="1294"/>
      <c r="D19" s="1292"/>
    </row>
    <row r="20" spans="1:4" x14ac:dyDescent="0.2">
      <c r="A20" s="1293">
        <v>28125</v>
      </c>
      <c r="B20" s="1292"/>
      <c r="C20" s="1294"/>
      <c r="D20" s="1292"/>
    </row>
    <row r="21" spans="1:4" x14ac:dyDescent="0.2">
      <c r="A21" s="1293">
        <v>28156</v>
      </c>
      <c r="B21" s="1292"/>
      <c r="C21" s="1294"/>
      <c r="D21" s="1292"/>
    </row>
    <row r="22" spans="1:4" x14ac:dyDescent="0.2">
      <c r="A22" s="1293">
        <v>28184</v>
      </c>
      <c r="B22" s="1292"/>
      <c r="C22" s="1294"/>
      <c r="D22" s="1292"/>
    </row>
    <row r="23" spans="1:4" x14ac:dyDescent="0.2">
      <c r="A23" s="1293">
        <v>28215</v>
      </c>
      <c r="B23" s="1292"/>
      <c r="C23" s="1294"/>
      <c r="D23" s="1292"/>
    </row>
    <row r="24" spans="1:4" x14ac:dyDescent="0.2">
      <c r="A24" s="1293">
        <v>28245</v>
      </c>
      <c r="B24" s="1292"/>
      <c r="C24" s="1294"/>
      <c r="D24" s="1292"/>
    </row>
    <row r="25" spans="1:4" x14ac:dyDescent="0.2">
      <c r="A25" s="1293">
        <v>28276</v>
      </c>
      <c r="B25" s="1292"/>
      <c r="C25" s="1294"/>
      <c r="D25" s="1292"/>
    </row>
    <row r="26" spans="1:4" x14ac:dyDescent="0.2">
      <c r="A26" s="1293">
        <v>28306</v>
      </c>
      <c r="B26" s="1292"/>
      <c r="C26" s="1294"/>
      <c r="D26" s="1292"/>
    </row>
    <row r="27" spans="1:4" x14ac:dyDescent="0.2">
      <c r="A27" s="1293">
        <v>28337</v>
      </c>
      <c r="B27" s="1292"/>
      <c r="C27" s="1294"/>
      <c r="D27" s="1292"/>
    </row>
    <row r="28" spans="1:4" x14ac:dyDescent="0.2">
      <c r="A28" s="1293">
        <v>28368</v>
      </c>
      <c r="B28" s="1292"/>
      <c r="C28" s="1294"/>
      <c r="D28" s="1292"/>
    </row>
    <row r="29" spans="1:4" x14ac:dyDescent="0.2">
      <c r="A29" s="1293">
        <v>28398</v>
      </c>
      <c r="B29" s="1292"/>
      <c r="C29" s="1294"/>
      <c r="D29" s="1292"/>
    </row>
    <row r="30" spans="1:4" x14ac:dyDescent="0.2">
      <c r="A30" s="1293">
        <v>28429</v>
      </c>
      <c r="B30" s="1292"/>
      <c r="C30" s="1294"/>
      <c r="D30" s="1292"/>
    </row>
    <row r="31" spans="1:4" x14ac:dyDescent="0.2">
      <c r="A31" s="1293">
        <v>28459</v>
      </c>
      <c r="B31" s="1292"/>
      <c r="C31" s="1294"/>
      <c r="D31" s="1292"/>
    </row>
    <row r="32" spans="1:4" x14ac:dyDescent="0.2">
      <c r="A32" s="1293">
        <v>28490</v>
      </c>
      <c r="B32" s="1292"/>
      <c r="C32" s="1294"/>
      <c r="D32" s="1292"/>
    </row>
    <row r="33" spans="1:4" x14ac:dyDescent="0.2">
      <c r="A33" s="1293">
        <v>28521</v>
      </c>
      <c r="B33" s="1292"/>
      <c r="C33" s="1294"/>
      <c r="D33" s="1292"/>
    </row>
    <row r="34" spans="1:4" x14ac:dyDescent="0.2">
      <c r="A34" s="1293">
        <v>28549</v>
      </c>
      <c r="B34" s="1292"/>
      <c r="C34" s="1294"/>
      <c r="D34" s="1292"/>
    </row>
    <row r="35" spans="1:4" x14ac:dyDescent="0.2">
      <c r="A35" s="1293">
        <v>28580</v>
      </c>
      <c r="B35" s="1292"/>
      <c r="C35" s="1294"/>
      <c r="D35" s="1292"/>
    </row>
    <row r="36" spans="1:4" x14ac:dyDescent="0.2">
      <c r="A36" s="1293">
        <v>28610</v>
      </c>
      <c r="B36" s="1292"/>
      <c r="C36" s="1294"/>
      <c r="D36" s="1292"/>
    </row>
    <row r="37" spans="1:4" x14ac:dyDescent="0.2">
      <c r="A37" s="1293">
        <v>28641</v>
      </c>
      <c r="B37" s="1292"/>
      <c r="C37" s="1294"/>
      <c r="D37" s="1292"/>
    </row>
    <row r="38" spans="1:4" x14ac:dyDescent="0.2">
      <c r="A38" s="1293">
        <v>28671</v>
      </c>
      <c r="B38" s="1292"/>
      <c r="C38" s="1294"/>
      <c r="D38" s="1292"/>
    </row>
    <row r="39" spans="1:4" x14ac:dyDescent="0.2">
      <c r="A39" s="1293">
        <v>28702</v>
      </c>
      <c r="B39" s="1292"/>
      <c r="C39" s="1294"/>
      <c r="D39" s="1292"/>
    </row>
    <row r="40" spans="1:4" x14ac:dyDescent="0.2">
      <c r="A40" s="1293">
        <v>28733</v>
      </c>
      <c r="B40" s="1292"/>
      <c r="C40" s="1294"/>
      <c r="D40" s="1292"/>
    </row>
    <row r="41" spans="1:4" x14ac:dyDescent="0.2">
      <c r="A41" s="1293">
        <v>28763</v>
      </c>
      <c r="B41" s="1292"/>
      <c r="C41" s="1294"/>
      <c r="D41" s="1292"/>
    </row>
    <row r="42" spans="1:4" x14ac:dyDescent="0.2">
      <c r="A42" s="1293">
        <v>28794</v>
      </c>
      <c r="B42" s="1292"/>
      <c r="C42" s="1294"/>
      <c r="D42" s="1292"/>
    </row>
    <row r="43" spans="1:4" x14ac:dyDescent="0.2">
      <c r="A43" s="1293">
        <v>28824</v>
      </c>
      <c r="B43" s="1292"/>
      <c r="C43" s="1294"/>
      <c r="D43" s="1292"/>
    </row>
    <row r="44" spans="1:4" x14ac:dyDescent="0.2">
      <c r="A44" s="1293">
        <v>28855</v>
      </c>
      <c r="B44" s="1292"/>
      <c r="C44" s="1294"/>
      <c r="D44" s="1292"/>
    </row>
    <row r="45" spans="1:4" x14ac:dyDescent="0.2">
      <c r="A45" s="1293">
        <v>28886</v>
      </c>
      <c r="B45" s="1292"/>
      <c r="C45" s="1294"/>
      <c r="D45" s="1292"/>
    </row>
    <row r="46" spans="1:4" x14ac:dyDescent="0.2">
      <c r="A46" s="1293">
        <v>28914</v>
      </c>
      <c r="B46" s="1292"/>
      <c r="C46" s="1294"/>
      <c r="D46" s="1292"/>
    </row>
    <row r="47" spans="1:4" x14ac:dyDescent="0.2">
      <c r="A47" s="1293">
        <v>28945</v>
      </c>
      <c r="B47" s="1292"/>
      <c r="C47" s="1294"/>
      <c r="D47" s="1292"/>
    </row>
    <row r="48" spans="1:4" x14ac:dyDescent="0.2">
      <c r="A48" s="1293">
        <v>28975</v>
      </c>
      <c r="B48" s="1292"/>
      <c r="C48" s="1294"/>
      <c r="D48" s="1292"/>
    </row>
    <row r="49" spans="1:4" x14ac:dyDescent="0.2">
      <c r="A49" s="1293">
        <v>29006</v>
      </c>
      <c r="B49" s="1292"/>
      <c r="C49" s="1294"/>
      <c r="D49" s="1292"/>
    </row>
    <row r="50" spans="1:4" x14ac:dyDescent="0.2">
      <c r="A50" s="1293">
        <v>29036</v>
      </c>
      <c r="B50" s="1292"/>
      <c r="C50" s="1294"/>
      <c r="D50" s="1292"/>
    </row>
    <row r="51" spans="1:4" x14ac:dyDescent="0.2">
      <c r="A51" s="1293">
        <v>29067</v>
      </c>
      <c r="B51" s="1292"/>
      <c r="C51" s="1294"/>
      <c r="D51" s="1292"/>
    </row>
    <row r="52" spans="1:4" x14ac:dyDescent="0.2">
      <c r="A52" s="1293">
        <v>29098</v>
      </c>
      <c r="B52" s="1292"/>
      <c r="C52" s="1294"/>
      <c r="D52" s="1292"/>
    </row>
    <row r="53" spans="1:4" x14ac:dyDescent="0.2">
      <c r="A53" s="1293">
        <v>29128</v>
      </c>
      <c r="B53" s="1292"/>
      <c r="C53" s="1294"/>
      <c r="D53" s="1292"/>
    </row>
    <row r="54" spans="1:4" x14ac:dyDescent="0.2">
      <c r="A54" s="1293">
        <v>29159</v>
      </c>
      <c r="B54" s="1292"/>
      <c r="C54" s="1294"/>
      <c r="D54" s="1292"/>
    </row>
    <row r="55" spans="1:4" x14ac:dyDescent="0.2">
      <c r="A55" s="1293">
        <v>29189</v>
      </c>
      <c r="B55" s="1292"/>
      <c r="C55" s="1294"/>
      <c r="D55" s="1292"/>
    </row>
    <row r="56" spans="1:4" x14ac:dyDescent="0.2">
      <c r="A56" s="1293">
        <v>29220</v>
      </c>
      <c r="B56" s="1292"/>
      <c r="C56" s="1294"/>
      <c r="D56" s="1292"/>
    </row>
    <row r="57" spans="1:4" x14ac:dyDescent="0.2">
      <c r="A57" s="1293">
        <v>29251</v>
      </c>
      <c r="B57" s="1292"/>
      <c r="C57" s="1294"/>
      <c r="D57" s="1292"/>
    </row>
    <row r="58" spans="1:4" x14ac:dyDescent="0.2">
      <c r="A58" s="1293">
        <v>29280</v>
      </c>
      <c r="B58" s="1292"/>
      <c r="C58" s="1294"/>
      <c r="D58" s="1292"/>
    </row>
    <row r="59" spans="1:4" x14ac:dyDescent="0.2">
      <c r="A59" s="1293">
        <v>29311</v>
      </c>
      <c r="B59" s="1292"/>
      <c r="C59" s="1294"/>
      <c r="D59" s="1292"/>
    </row>
    <row r="60" spans="1:4" x14ac:dyDescent="0.2">
      <c r="A60" s="1293">
        <v>29341</v>
      </c>
      <c r="B60" s="1292"/>
      <c r="C60" s="1294"/>
      <c r="D60" s="1292"/>
    </row>
    <row r="61" spans="1:4" x14ac:dyDescent="0.2">
      <c r="A61" s="1293">
        <v>29372</v>
      </c>
      <c r="B61" s="1292"/>
      <c r="C61" s="1294"/>
      <c r="D61" s="1292"/>
    </row>
    <row r="62" spans="1:4" x14ac:dyDescent="0.2">
      <c r="A62" s="1293">
        <v>29402</v>
      </c>
      <c r="B62" s="1292"/>
      <c r="C62" s="1294"/>
      <c r="D62" s="1292"/>
    </row>
    <row r="63" spans="1:4" x14ac:dyDescent="0.2">
      <c r="A63" s="1293">
        <v>29433</v>
      </c>
      <c r="B63" s="1292"/>
      <c r="C63" s="1294"/>
      <c r="D63" s="1292"/>
    </row>
    <row r="64" spans="1:4" x14ac:dyDescent="0.2">
      <c r="A64" s="1293">
        <v>29464</v>
      </c>
      <c r="B64" s="1292"/>
      <c r="C64" s="1294"/>
      <c r="D64" s="1292"/>
    </row>
    <row r="65" spans="1:4" x14ac:dyDescent="0.2">
      <c r="A65" s="1293">
        <v>29494</v>
      </c>
      <c r="B65" s="1292"/>
      <c r="C65" s="1294"/>
      <c r="D65" s="1292"/>
    </row>
    <row r="66" spans="1:4" x14ac:dyDescent="0.2">
      <c r="A66" s="1293">
        <v>29525</v>
      </c>
      <c r="B66" s="1292"/>
      <c r="C66" s="1294"/>
      <c r="D66" s="1292"/>
    </row>
    <row r="67" spans="1:4" x14ac:dyDescent="0.2">
      <c r="A67" s="1293">
        <v>29555</v>
      </c>
      <c r="B67" s="1292"/>
      <c r="C67" s="1294"/>
      <c r="D67" s="1292"/>
    </row>
    <row r="68" spans="1:4" x14ac:dyDescent="0.2">
      <c r="A68" s="1293">
        <v>29586</v>
      </c>
      <c r="B68" s="1292"/>
      <c r="C68" s="1294"/>
      <c r="D68" s="1292"/>
    </row>
    <row r="69" spans="1:4" x14ac:dyDescent="0.2">
      <c r="A69" s="1293">
        <v>29617</v>
      </c>
      <c r="B69" s="1292"/>
      <c r="C69" s="1294"/>
      <c r="D69" s="1292"/>
    </row>
    <row r="70" spans="1:4" x14ac:dyDescent="0.2">
      <c r="A70" s="1293">
        <v>29645</v>
      </c>
      <c r="B70" s="1292"/>
      <c r="C70" s="1294"/>
      <c r="D70" s="1292"/>
    </row>
    <row r="71" spans="1:4" x14ac:dyDescent="0.2">
      <c r="A71" s="1293">
        <v>29676</v>
      </c>
      <c r="B71" s="1292"/>
      <c r="C71" s="1294"/>
      <c r="D71" s="1292"/>
    </row>
    <row r="72" spans="1:4" x14ac:dyDescent="0.2">
      <c r="A72" s="1293">
        <v>29706</v>
      </c>
      <c r="B72" s="1292"/>
      <c r="C72" s="1294"/>
      <c r="D72" s="1292"/>
    </row>
    <row r="73" spans="1:4" x14ac:dyDescent="0.2">
      <c r="A73" s="1293">
        <v>29737</v>
      </c>
      <c r="B73" s="1292"/>
      <c r="C73" s="1294"/>
      <c r="D73" s="1292"/>
    </row>
    <row r="74" spans="1:4" x14ac:dyDescent="0.2">
      <c r="A74" s="1293">
        <v>29767</v>
      </c>
      <c r="B74" s="1292"/>
      <c r="C74" s="1294"/>
      <c r="D74" s="1292"/>
    </row>
    <row r="75" spans="1:4" x14ac:dyDescent="0.2">
      <c r="A75" s="1293">
        <v>29798</v>
      </c>
      <c r="B75" s="1292"/>
      <c r="C75" s="1294"/>
      <c r="D75" s="1292"/>
    </row>
    <row r="76" spans="1:4" x14ac:dyDescent="0.2">
      <c r="A76" s="1293">
        <v>29829</v>
      </c>
      <c r="B76" s="1292"/>
      <c r="C76" s="1294"/>
      <c r="D76" s="1292"/>
    </row>
    <row r="77" spans="1:4" x14ac:dyDescent="0.2">
      <c r="A77" s="1293">
        <v>29859</v>
      </c>
      <c r="B77" s="1292"/>
      <c r="C77" s="1294"/>
      <c r="D77" s="1292"/>
    </row>
    <row r="78" spans="1:4" x14ac:dyDescent="0.2">
      <c r="A78" s="1293">
        <v>29890</v>
      </c>
      <c r="B78" s="1292"/>
      <c r="C78" s="1294"/>
      <c r="D78" s="1292"/>
    </row>
    <row r="79" spans="1:4" x14ac:dyDescent="0.2">
      <c r="A79" s="1293">
        <v>29920</v>
      </c>
      <c r="B79" s="1292"/>
      <c r="C79" s="1294"/>
      <c r="D79" s="1292"/>
    </row>
    <row r="80" spans="1:4" x14ac:dyDescent="0.2">
      <c r="A80" s="1293">
        <v>29951</v>
      </c>
      <c r="B80" s="1292"/>
      <c r="C80" s="1294"/>
      <c r="D80" s="1292"/>
    </row>
    <row r="81" spans="1:4" x14ac:dyDescent="0.2">
      <c r="A81" s="1293">
        <v>29982</v>
      </c>
      <c r="B81" s="1292"/>
      <c r="C81" s="1294"/>
      <c r="D81" s="1292"/>
    </row>
    <row r="82" spans="1:4" x14ac:dyDescent="0.2">
      <c r="A82" s="1293">
        <v>30010</v>
      </c>
      <c r="B82" s="1292"/>
      <c r="C82" s="1294"/>
      <c r="D82" s="1292"/>
    </row>
    <row r="83" spans="1:4" x14ac:dyDescent="0.2">
      <c r="A83" s="1293">
        <v>30041</v>
      </c>
      <c r="B83" s="1292"/>
      <c r="C83" s="1294"/>
      <c r="D83" s="1292"/>
    </row>
    <row r="84" spans="1:4" x14ac:dyDescent="0.2">
      <c r="A84" s="1293">
        <v>30071</v>
      </c>
      <c r="B84" s="1292"/>
      <c r="C84" s="1294"/>
      <c r="D84" s="1292"/>
    </row>
    <row r="85" spans="1:4" x14ac:dyDescent="0.2">
      <c r="A85" s="1293">
        <v>30102</v>
      </c>
      <c r="B85" s="1292"/>
      <c r="C85" s="1294"/>
      <c r="D85" s="1292"/>
    </row>
    <row r="86" spans="1:4" x14ac:dyDescent="0.2">
      <c r="A86" s="1293">
        <v>30132</v>
      </c>
      <c r="B86" s="1292"/>
      <c r="C86" s="1294"/>
      <c r="D86" s="1292"/>
    </row>
    <row r="87" spans="1:4" x14ac:dyDescent="0.2">
      <c r="A87" s="1293">
        <v>30163</v>
      </c>
      <c r="B87" s="1292"/>
      <c r="C87" s="1294"/>
      <c r="D87" s="1292"/>
    </row>
    <row r="88" spans="1:4" x14ac:dyDescent="0.2">
      <c r="A88" s="1293">
        <v>30194</v>
      </c>
      <c r="B88" s="1292"/>
      <c r="C88" s="1294"/>
      <c r="D88" s="1292"/>
    </row>
    <row r="89" spans="1:4" x14ac:dyDescent="0.2">
      <c r="A89" s="1293">
        <v>30224</v>
      </c>
      <c r="B89" s="1292"/>
      <c r="C89" s="1294"/>
      <c r="D89" s="1292"/>
    </row>
    <row r="90" spans="1:4" x14ac:dyDescent="0.2">
      <c r="A90" s="1293">
        <v>30255</v>
      </c>
      <c r="B90" s="1292"/>
      <c r="C90" s="1294"/>
      <c r="D90" s="1292"/>
    </row>
    <row r="91" spans="1:4" x14ac:dyDescent="0.2">
      <c r="A91" s="1293">
        <v>30285</v>
      </c>
      <c r="B91" s="1292"/>
      <c r="C91" s="1294"/>
      <c r="D91" s="1292"/>
    </row>
    <row r="92" spans="1:4" x14ac:dyDescent="0.2">
      <c r="A92" s="1293">
        <v>30316</v>
      </c>
      <c r="B92" s="1292"/>
      <c r="C92" s="1294"/>
      <c r="D92" s="1292"/>
    </row>
    <row r="93" spans="1:4" x14ac:dyDescent="0.2">
      <c r="A93" s="1293">
        <v>30347</v>
      </c>
      <c r="B93" s="1292"/>
      <c r="C93" s="1294"/>
      <c r="D93" s="1292"/>
    </row>
    <row r="94" spans="1:4" x14ac:dyDescent="0.2">
      <c r="A94" s="1293">
        <v>30375</v>
      </c>
      <c r="B94" s="1292"/>
      <c r="C94" s="1294"/>
      <c r="D94" s="1292"/>
    </row>
    <row r="95" spans="1:4" x14ac:dyDescent="0.2">
      <c r="A95" s="1293">
        <v>30406</v>
      </c>
      <c r="B95" s="1292"/>
      <c r="C95" s="1294"/>
      <c r="D95" s="1292"/>
    </row>
    <row r="96" spans="1:4" x14ac:dyDescent="0.2">
      <c r="A96" s="1293">
        <v>30436</v>
      </c>
      <c r="B96" s="1292"/>
      <c r="C96" s="1294"/>
      <c r="D96" s="1292"/>
    </row>
    <row r="97" spans="1:4" x14ac:dyDescent="0.2">
      <c r="A97" s="1293">
        <v>30467</v>
      </c>
      <c r="B97" s="1292"/>
      <c r="C97" s="1294"/>
      <c r="D97" s="1292"/>
    </row>
    <row r="98" spans="1:4" x14ac:dyDescent="0.2">
      <c r="A98" s="1293">
        <v>30497</v>
      </c>
      <c r="B98" s="1292"/>
      <c r="C98" s="1294"/>
      <c r="D98" s="1292"/>
    </row>
    <row r="99" spans="1:4" x14ac:dyDescent="0.2">
      <c r="A99" s="1293">
        <v>30528</v>
      </c>
      <c r="B99" s="1292"/>
      <c r="C99" s="1294"/>
      <c r="D99" s="1292"/>
    </row>
    <row r="100" spans="1:4" x14ac:dyDescent="0.2">
      <c r="A100" s="1293">
        <v>30559</v>
      </c>
      <c r="B100" s="1292"/>
      <c r="C100" s="1294"/>
      <c r="D100" s="1292"/>
    </row>
    <row r="101" spans="1:4" x14ac:dyDescent="0.2">
      <c r="A101" s="1293">
        <v>30589</v>
      </c>
      <c r="B101" s="1292"/>
      <c r="C101" s="1294"/>
      <c r="D101" s="1292"/>
    </row>
    <row r="102" spans="1:4" x14ac:dyDescent="0.2">
      <c r="A102" s="1293">
        <v>30620</v>
      </c>
      <c r="B102" s="1292"/>
      <c r="C102" s="1294"/>
      <c r="D102" s="1292"/>
    </row>
    <row r="103" spans="1:4" x14ac:dyDescent="0.2">
      <c r="A103" s="1293">
        <v>30650</v>
      </c>
      <c r="B103" s="1292"/>
      <c r="C103" s="1294"/>
      <c r="D103" s="1292"/>
    </row>
    <row r="104" spans="1:4" x14ac:dyDescent="0.2">
      <c r="A104" s="1293">
        <v>30681</v>
      </c>
      <c r="B104" s="1292"/>
      <c r="C104" s="1294"/>
      <c r="D104" s="1292"/>
    </row>
    <row r="105" spans="1:4" x14ac:dyDescent="0.2">
      <c r="A105" s="1293">
        <v>30712</v>
      </c>
      <c r="B105" s="1292"/>
      <c r="C105" s="1294"/>
      <c r="D105" s="1292"/>
    </row>
    <row r="106" spans="1:4" x14ac:dyDescent="0.2">
      <c r="A106" s="1293">
        <v>30741</v>
      </c>
      <c r="B106" s="1292"/>
      <c r="C106" s="1294"/>
      <c r="D106" s="1292"/>
    </row>
    <row r="107" spans="1:4" x14ac:dyDescent="0.2">
      <c r="A107" s="1293">
        <v>30772</v>
      </c>
      <c r="B107" s="1292"/>
      <c r="C107" s="1294"/>
      <c r="D107" s="1292"/>
    </row>
    <row r="108" spans="1:4" x14ac:dyDescent="0.2">
      <c r="A108" s="1293">
        <v>30802</v>
      </c>
      <c r="B108" s="1292"/>
      <c r="C108" s="1294"/>
      <c r="D108" s="1292"/>
    </row>
    <row r="109" spans="1:4" x14ac:dyDescent="0.2">
      <c r="A109" s="1293">
        <v>30833</v>
      </c>
      <c r="B109" s="1292"/>
      <c r="C109" s="1294"/>
      <c r="D109" s="1292"/>
    </row>
    <row r="110" spans="1:4" x14ac:dyDescent="0.2">
      <c r="A110" s="1293">
        <v>30863</v>
      </c>
      <c r="B110" s="1292"/>
      <c r="C110" s="1294"/>
      <c r="D110" s="1292"/>
    </row>
    <row r="111" spans="1:4" x14ac:dyDescent="0.2">
      <c r="A111" s="1293">
        <v>30894</v>
      </c>
      <c r="B111" s="1292"/>
      <c r="C111" s="1294"/>
      <c r="D111" s="1292"/>
    </row>
    <row r="112" spans="1:4" x14ac:dyDescent="0.2">
      <c r="A112" s="1293">
        <v>30925</v>
      </c>
      <c r="B112" s="1292"/>
      <c r="C112" s="1294"/>
      <c r="D112" s="1292"/>
    </row>
    <row r="113" spans="1:4" x14ac:dyDescent="0.2">
      <c r="A113" s="1293">
        <v>30955</v>
      </c>
      <c r="B113" s="1292"/>
      <c r="C113" s="1294"/>
      <c r="D113" s="1292"/>
    </row>
    <row r="114" spans="1:4" x14ac:dyDescent="0.2">
      <c r="A114" s="1293">
        <v>30986</v>
      </c>
      <c r="B114" s="1292"/>
      <c r="C114" s="1294"/>
      <c r="D114" s="1292"/>
    </row>
    <row r="115" spans="1:4" x14ac:dyDescent="0.2">
      <c r="A115" s="1293">
        <v>31016</v>
      </c>
      <c r="B115" s="1292"/>
      <c r="C115" s="1294"/>
      <c r="D115" s="1292"/>
    </row>
    <row r="116" spans="1:4" x14ac:dyDescent="0.2">
      <c r="A116" s="1293">
        <v>31047</v>
      </c>
      <c r="B116" s="1292"/>
      <c r="C116" s="1294"/>
      <c r="D116" s="1292"/>
    </row>
    <row r="117" spans="1:4" x14ac:dyDescent="0.2">
      <c r="A117" s="1293">
        <v>31078</v>
      </c>
      <c r="B117" s="1292"/>
      <c r="C117" s="1294"/>
      <c r="D117" s="1292"/>
    </row>
    <row r="118" spans="1:4" x14ac:dyDescent="0.2">
      <c r="A118" s="1293">
        <v>31106</v>
      </c>
      <c r="B118" s="1292"/>
      <c r="C118" s="1294"/>
      <c r="D118" s="1292"/>
    </row>
    <row r="119" spans="1:4" x14ac:dyDescent="0.2">
      <c r="A119" s="1293">
        <v>31137</v>
      </c>
      <c r="B119" s="1292"/>
      <c r="C119" s="1294"/>
      <c r="D119" s="1292"/>
    </row>
    <row r="120" spans="1:4" x14ac:dyDescent="0.2">
      <c r="A120" s="1293">
        <v>31167</v>
      </c>
      <c r="B120" s="1292"/>
      <c r="C120" s="1294"/>
      <c r="D120" s="1292"/>
    </row>
    <row r="121" spans="1:4" x14ac:dyDescent="0.2">
      <c r="A121" s="1293">
        <v>31198</v>
      </c>
      <c r="B121" s="1292"/>
      <c r="C121" s="1294"/>
      <c r="D121" s="1292"/>
    </row>
    <row r="122" spans="1:4" x14ac:dyDescent="0.2">
      <c r="A122" s="1293">
        <v>31228</v>
      </c>
      <c r="B122" s="1292"/>
      <c r="C122" s="1294"/>
      <c r="D122" s="1292"/>
    </row>
    <row r="123" spans="1:4" x14ac:dyDescent="0.2">
      <c r="A123" s="1293">
        <v>31259</v>
      </c>
      <c r="B123" s="1292"/>
      <c r="C123" s="1294"/>
      <c r="D123" s="1292"/>
    </row>
    <row r="124" spans="1:4" x14ac:dyDescent="0.2">
      <c r="A124" s="1293">
        <v>31290</v>
      </c>
      <c r="B124" s="1292"/>
      <c r="C124" s="1294"/>
      <c r="D124" s="1292"/>
    </row>
    <row r="125" spans="1:4" x14ac:dyDescent="0.2">
      <c r="A125" s="1293">
        <v>31320</v>
      </c>
      <c r="B125" s="1292"/>
      <c r="C125" s="1294"/>
      <c r="D125" s="1292"/>
    </row>
    <row r="126" spans="1:4" x14ac:dyDescent="0.2">
      <c r="A126" s="1293">
        <v>31351</v>
      </c>
      <c r="B126" s="1292"/>
      <c r="C126" s="1294"/>
      <c r="D126" s="1292"/>
    </row>
    <row r="127" spans="1:4" x14ac:dyDescent="0.2">
      <c r="A127" s="1293">
        <v>31381</v>
      </c>
      <c r="B127" s="1292"/>
      <c r="C127" s="1294"/>
      <c r="D127" s="1292"/>
    </row>
    <row r="128" spans="1:4" x14ac:dyDescent="0.2">
      <c r="A128" s="1293">
        <v>31412</v>
      </c>
      <c r="B128" s="1292"/>
      <c r="C128" s="1294"/>
      <c r="D128" s="1292"/>
    </row>
    <row r="129" spans="1:4" x14ac:dyDescent="0.2">
      <c r="A129" s="1293">
        <v>31443</v>
      </c>
      <c r="B129" s="1292"/>
      <c r="C129" s="1294"/>
      <c r="D129" s="1292"/>
    </row>
    <row r="130" spans="1:4" x14ac:dyDescent="0.2">
      <c r="A130" s="1293">
        <v>31471</v>
      </c>
      <c r="B130" s="1292"/>
      <c r="C130" s="1294"/>
      <c r="D130" s="1292"/>
    </row>
    <row r="131" spans="1:4" x14ac:dyDescent="0.2">
      <c r="A131" s="1293">
        <v>31502</v>
      </c>
      <c r="B131" s="1292"/>
      <c r="C131" s="1294"/>
      <c r="D131" s="1292"/>
    </row>
    <row r="132" spans="1:4" x14ac:dyDescent="0.2">
      <c r="A132" s="1293">
        <v>31532</v>
      </c>
      <c r="B132" s="1292"/>
      <c r="C132" s="1294"/>
      <c r="D132" s="1292"/>
    </row>
    <row r="133" spans="1:4" x14ac:dyDescent="0.2">
      <c r="A133" s="1293">
        <v>31563</v>
      </c>
      <c r="B133" s="1292"/>
      <c r="C133" s="1294"/>
      <c r="D133" s="1292"/>
    </row>
    <row r="134" spans="1:4" x14ac:dyDescent="0.2">
      <c r="A134" s="1293">
        <v>31593</v>
      </c>
      <c r="B134" s="1292"/>
      <c r="C134" s="1294"/>
      <c r="D134" s="1292"/>
    </row>
    <row r="135" spans="1:4" x14ac:dyDescent="0.2">
      <c r="A135" s="1293">
        <v>31624</v>
      </c>
      <c r="B135" s="1292"/>
      <c r="C135" s="1294"/>
      <c r="D135" s="1292"/>
    </row>
    <row r="136" spans="1:4" x14ac:dyDescent="0.2">
      <c r="A136" s="1293">
        <v>31655</v>
      </c>
      <c r="B136" s="1292"/>
      <c r="C136" s="1294"/>
      <c r="D136" s="1292"/>
    </row>
    <row r="137" spans="1:4" x14ac:dyDescent="0.2">
      <c r="A137" s="1293">
        <v>31685</v>
      </c>
      <c r="B137" s="1292"/>
      <c r="C137" s="1294"/>
      <c r="D137" s="1292"/>
    </row>
    <row r="138" spans="1:4" x14ac:dyDescent="0.2">
      <c r="A138" s="1293">
        <v>31716</v>
      </c>
      <c r="B138" s="1292"/>
      <c r="C138" s="1294"/>
      <c r="D138" s="1292"/>
    </row>
    <row r="139" spans="1:4" x14ac:dyDescent="0.2">
      <c r="A139" s="1293">
        <v>31746</v>
      </c>
      <c r="B139" s="1292"/>
      <c r="C139" s="1294"/>
      <c r="D139" s="1292"/>
    </row>
    <row r="140" spans="1:4" x14ac:dyDescent="0.2">
      <c r="A140" s="1293">
        <v>31777</v>
      </c>
      <c r="B140" s="1292"/>
      <c r="C140" s="1294"/>
      <c r="D140" s="1292"/>
    </row>
    <row r="141" spans="1:4" x14ac:dyDescent="0.2">
      <c r="A141" s="1293">
        <v>31808</v>
      </c>
      <c r="B141" s="1295"/>
      <c r="C141" s="1296"/>
      <c r="D141" s="1295"/>
    </row>
    <row r="142" spans="1:4" x14ac:dyDescent="0.2">
      <c r="A142" s="1293">
        <v>31836</v>
      </c>
      <c r="B142" s="1295"/>
      <c r="C142" s="1296"/>
      <c r="D142" s="1295"/>
    </row>
    <row r="143" spans="1:4" x14ac:dyDescent="0.2">
      <c r="A143" s="1293">
        <v>31867</v>
      </c>
      <c r="B143" s="1295"/>
      <c r="C143" s="1296"/>
      <c r="D143" s="1295"/>
    </row>
    <row r="144" spans="1:4" x14ac:dyDescent="0.2">
      <c r="A144" s="1293">
        <v>31897</v>
      </c>
      <c r="B144" s="1295"/>
      <c r="C144" s="1296"/>
      <c r="D144" s="1295"/>
    </row>
    <row r="145" spans="1:4" x14ac:dyDescent="0.2">
      <c r="A145" s="1293">
        <v>31928</v>
      </c>
      <c r="B145" s="1295"/>
      <c r="C145" s="1296"/>
      <c r="D145" s="1295"/>
    </row>
    <row r="146" spans="1:4" x14ac:dyDescent="0.2">
      <c r="A146" s="1293">
        <v>31958</v>
      </c>
      <c r="B146" s="1295"/>
      <c r="C146" s="1296"/>
      <c r="D146" s="1295"/>
    </row>
    <row r="147" spans="1:4" x14ac:dyDescent="0.2">
      <c r="A147" s="1293">
        <v>31989</v>
      </c>
      <c r="B147" s="1295"/>
      <c r="C147" s="1296"/>
      <c r="D147" s="1295"/>
    </row>
    <row r="148" spans="1:4" x14ac:dyDescent="0.2">
      <c r="A148" s="1293">
        <v>32020</v>
      </c>
      <c r="B148" s="1295"/>
      <c r="C148" s="1296"/>
      <c r="D148" s="1295"/>
    </row>
    <row r="149" spans="1:4" x14ac:dyDescent="0.2">
      <c r="A149" s="1293">
        <v>32050</v>
      </c>
      <c r="B149" s="1295"/>
      <c r="C149" s="1296"/>
      <c r="D149" s="1295"/>
    </row>
    <row r="150" spans="1:4" x14ac:dyDescent="0.2">
      <c r="A150" s="1293">
        <v>32081</v>
      </c>
      <c r="B150" s="1295"/>
      <c r="C150" s="1296"/>
      <c r="D150" s="1295"/>
    </row>
    <row r="151" spans="1:4" x14ac:dyDescent="0.2">
      <c r="A151" s="1293">
        <v>32111</v>
      </c>
      <c r="B151" s="1295"/>
      <c r="C151" s="1296"/>
      <c r="D151" s="1295"/>
    </row>
    <row r="152" spans="1:4" x14ac:dyDescent="0.2">
      <c r="A152" s="1293">
        <v>32142</v>
      </c>
      <c r="B152" s="1295"/>
      <c r="C152" s="1296"/>
      <c r="D152" s="1295"/>
    </row>
    <row r="153" spans="1:4" x14ac:dyDescent="0.2">
      <c r="A153" s="1293">
        <v>32173</v>
      </c>
      <c r="B153" s="1295"/>
      <c r="C153" s="1296"/>
      <c r="D153" s="1295"/>
    </row>
    <row r="154" spans="1:4" x14ac:dyDescent="0.2">
      <c r="A154" s="1293">
        <v>32202</v>
      </c>
      <c r="B154" s="1295"/>
      <c r="C154" s="1296"/>
      <c r="D154" s="1295"/>
    </row>
    <row r="155" spans="1:4" x14ac:dyDescent="0.2">
      <c r="A155" s="1293">
        <v>32233</v>
      </c>
      <c r="B155" s="1295"/>
      <c r="C155" s="1296"/>
      <c r="D155" s="1295"/>
    </row>
    <row r="156" spans="1:4" x14ac:dyDescent="0.2">
      <c r="A156" s="1293">
        <v>32263</v>
      </c>
      <c r="B156" s="1295"/>
      <c r="C156" s="1296"/>
      <c r="D156" s="1295"/>
    </row>
    <row r="157" spans="1:4" x14ac:dyDescent="0.2">
      <c r="A157" s="1293">
        <v>32294</v>
      </c>
      <c r="B157" s="1295"/>
      <c r="C157" s="1296"/>
      <c r="D157" s="1295"/>
    </row>
    <row r="158" spans="1:4" x14ac:dyDescent="0.2">
      <c r="A158" s="1293">
        <v>32324</v>
      </c>
      <c r="B158" s="1295"/>
      <c r="C158" s="1296"/>
      <c r="D158" s="1295"/>
    </row>
    <row r="159" spans="1:4" x14ac:dyDescent="0.2">
      <c r="A159" s="1293">
        <v>32355</v>
      </c>
      <c r="B159" s="1295"/>
      <c r="C159" s="1296"/>
      <c r="D159" s="1295"/>
    </row>
    <row r="160" spans="1:4" x14ac:dyDescent="0.2">
      <c r="A160" s="1293">
        <v>32386</v>
      </c>
      <c r="B160" s="1295"/>
      <c r="C160" s="1296"/>
      <c r="D160" s="1295"/>
    </row>
    <row r="161" spans="1:4" x14ac:dyDescent="0.2">
      <c r="A161" s="1293">
        <v>32416</v>
      </c>
      <c r="B161" s="1295"/>
      <c r="C161" s="1296"/>
      <c r="D161" s="1295"/>
    </row>
    <row r="162" spans="1:4" x14ac:dyDescent="0.2">
      <c r="A162" s="1293">
        <v>32447</v>
      </c>
      <c r="B162" s="1295"/>
      <c r="C162" s="1296"/>
      <c r="D162" s="1295"/>
    </row>
    <row r="163" spans="1:4" x14ac:dyDescent="0.2">
      <c r="A163" s="1293">
        <v>32477</v>
      </c>
      <c r="B163" s="1295"/>
      <c r="C163" s="1296"/>
      <c r="D163" s="1295"/>
    </row>
    <row r="164" spans="1:4" x14ac:dyDescent="0.2">
      <c r="A164" s="1293">
        <v>32508</v>
      </c>
      <c r="B164" s="1295"/>
      <c r="C164" s="1296"/>
      <c r="D164" s="1295"/>
    </row>
    <row r="165" spans="1:4" x14ac:dyDescent="0.2">
      <c r="A165" s="1293">
        <v>32539</v>
      </c>
      <c r="B165" s="1295"/>
      <c r="C165" s="1296"/>
      <c r="D165" s="1295"/>
    </row>
    <row r="166" spans="1:4" x14ac:dyDescent="0.2">
      <c r="A166" s="1293">
        <v>32567</v>
      </c>
      <c r="B166" s="1295"/>
      <c r="C166" s="1296"/>
      <c r="D166" s="1295"/>
    </row>
    <row r="167" spans="1:4" x14ac:dyDescent="0.2">
      <c r="A167" s="1293">
        <v>32598</v>
      </c>
      <c r="B167" s="1295"/>
      <c r="C167" s="1296"/>
      <c r="D167" s="1295"/>
    </row>
    <row r="168" spans="1:4" x14ac:dyDescent="0.2">
      <c r="A168" s="1293">
        <v>32628</v>
      </c>
      <c r="B168" s="1295"/>
      <c r="C168" s="1296"/>
      <c r="D168" s="1295"/>
    </row>
    <row r="169" spans="1:4" x14ac:dyDescent="0.2">
      <c r="A169" s="1293">
        <v>32659</v>
      </c>
      <c r="B169" s="1295"/>
      <c r="C169" s="1296"/>
      <c r="D169" s="1295"/>
    </row>
    <row r="170" spans="1:4" x14ac:dyDescent="0.2">
      <c r="A170" s="1293">
        <v>32689</v>
      </c>
      <c r="B170" s="1295"/>
      <c r="C170" s="1296"/>
      <c r="D170" s="1295"/>
    </row>
    <row r="171" spans="1:4" x14ac:dyDescent="0.2">
      <c r="A171" s="1293">
        <v>32720</v>
      </c>
      <c r="B171" s="1295"/>
      <c r="C171" s="1296"/>
      <c r="D171" s="1295"/>
    </row>
    <row r="172" spans="1:4" x14ac:dyDescent="0.2">
      <c r="A172" s="1293">
        <v>32751</v>
      </c>
      <c r="B172" s="1295"/>
      <c r="C172" s="1296"/>
      <c r="D172" s="1295"/>
    </row>
    <row r="173" spans="1:4" x14ac:dyDescent="0.2">
      <c r="A173" s="1293">
        <v>32781</v>
      </c>
      <c r="B173" s="1295"/>
      <c r="C173" s="1296"/>
      <c r="D173" s="1295"/>
    </row>
    <row r="174" spans="1:4" x14ac:dyDescent="0.2">
      <c r="A174" s="1293">
        <v>32812</v>
      </c>
      <c r="B174" s="1295"/>
      <c r="C174" s="1296"/>
      <c r="D174" s="1295"/>
    </row>
    <row r="175" spans="1:4" x14ac:dyDescent="0.2">
      <c r="A175" s="1293">
        <v>32842</v>
      </c>
      <c r="B175" s="1295"/>
      <c r="C175" s="1296"/>
      <c r="D175" s="1295"/>
    </row>
    <row r="176" spans="1:4" x14ac:dyDescent="0.2">
      <c r="A176" s="1293">
        <v>32873</v>
      </c>
      <c r="B176" s="1295"/>
      <c r="C176" s="1296"/>
      <c r="D176" s="1295"/>
    </row>
    <row r="177" spans="1:4" x14ac:dyDescent="0.2">
      <c r="A177" s="1293">
        <v>32904</v>
      </c>
      <c r="B177" s="1295"/>
      <c r="C177" s="1296"/>
      <c r="D177" s="1295"/>
    </row>
    <row r="178" spans="1:4" x14ac:dyDescent="0.2">
      <c r="A178" s="1293">
        <v>32932</v>
      </c>
      <c r="B178" s="1295"/>
      <c r="C178" s="1296"/>
      <c r="D178" s="1295"/>
    </row>
    <row r="179" spans="1:4" x14ac:dyDescent="0.2">
      <c r="A179" s="1293">
        <v>32963</v>
      </c>
      <c r="B179" s="1295"/>
      <c r="C179" s="1296"/>
      <c r="D179" s="1295"/>
    </row>
    <row r="180" spans="1:4" x14ac:dyDescent="0.2">
      <c r="A180" s="1293">
        <v>32993</v>
      </c>
      <c r="B180" s="1295"/>
      <c r="C180" s="1296"/>
      <c r="D180" s="1295"/>
    </row>
    <row r="181" spans="1:4" x14ac:dyDescent="0.2">
      <c r="A181" s="1293">
        <v>33024</v>
      </c>
      <c r="B181" s="1295"/>
      <c r="C181" s="1296"/>
      <c r="D181" s="1295"/>
    </row>
    <row r="182" spans="1:4" x14ac:dyDescent="0.2">
      <c r="A182" s="1293">
        <v>33054</v>
      </c>
      <c r="B182" s="1295"/>
      <c r="C182" s="1296"/>
      <c r="D182" s="1295"/>
    </row>
    <row r="183" spans="1:4" x14ac:dyDescent="0.2">
      <c r="A183" s="1293">
        <v>33085</v>
      </c>
      <c r="B183" s="1295"/>
      <c r="C183" s="1296"/>
      <c r="D183" s="1295"/>
    </row>
    <row r="184" spans="1:4" x14ac:dyDescent="0.2">
      <c r="A184" s="1293">
        <v>33116</v>
      </c>
      <c r="B184" s="1295"/>
      <c r="C184" s="1296"/>
      <c r="D184" s="1295"/>
    </row>
    <row r="185" spans="1:4" x14ac:dyDescent="0.2">
      <c r="A185" s="1293">
        <v>33146</v>
      </c>
      <c r="B185" s="1295"/>
      <c r="C185" s="1296"/>
      <c r="D185" s="1295"/>
    </row>
    <row r="186" spans="1:4" x14ac:dyDescent="0.2">
      <c r="A186" s="1293">
        <v>33177</v>
      </c>
      <c r="B186" s="1295"/>
      <c r="C186" s="1296"/>
      <c r="D186" s="1295"/>
    </row>
    <row r="187" spans="1:4" x14ac:dyDescent="0.2">
      <c r="A187" s="1293">
        <v>33207</v>
      </c>
      <c r="B187" s="1295"/>
      <c r="C187" s="1296"/>
      <c r="D187" s="1295"/>
    </row>
    <row r="188" spans="1:4" x14ac:dyDescent="0.2">
      <c r="A188" s="1293">
        <v>33238</v>
      </c>
      <c r="B188" s="1295"/>
      <c r="C188" s="1296"/>
      <c r="D188" s="1295"/>
    </row>
    <row r="189" spans="1:4" x14ac:dyDescent="0.2">
      <c r="A189" s="1293">
        <v>33269</v>
      </c>
      <c r="B189" s="1295"/>
      <c r="C189" s="1296"/>
      <c r="D189" s="1295"/>
    </row>
    <row r="190" spans="1:4" x14ac:dyDescent="0.2">
      <c r="A190" s="1293">
        <v>33297</v>
      </c>
      <c r="B190" s="1295"/>
      <c r="C190" s="1296"/>
      <c r="D190" s="1295"/>
    </row>
    <row r="191" spans="1:4" x14ac:dyDescent="0.2">
      <c r="A191" s="1293">
        <v>33328</v>
      </c>
      <c r="B191" s="1295"/>
      <c r="C191" s="1296"/>
      <c r="D191" s="1295"/>
    </row>
    <row r="192" spans="1:4" x14ac:dyDescent="0.2">
      <c r="A192" s="1293">
        <v>33358</v>
      </c>
      <c r="B192" s="1295"/>
      <c r="C192" s="1296"/>
      <c r="D192" s="1295"/>
    </row>
    <row r="193" spans="1:4" x14ac:dyDescent="0.2">
      <c r="A193" s="1293">
        <v>33389</v>
      </c>
      <c r="B193" s="1295"/>
      <c r="C193" s="1296"/>
      <c r="D193" s="1295"/>
    </row>
    <row r="194" spans="1:4" x14ac:dyDescent="0.2">
      <c r="A194" s="1293">
        <v>33419</v>
      </c>
      <c r="B194" s="1295"/>
      <c r="C194" s="1296"/>
      <c r="D194" s="1295"/>
    </row>
    <row r="195" spans="1:4" x14ac:dyDescent="0.2">
      <c r="A195" s="1293">
        <v>33450</v>
      </c>
      <c r="B195" s="1295"/>
      <c r="C195" s="1296"/>
      <c r="D195" s="1295"/>
    </row>
    <row r="196" spans="1:4" x14ac:dyDescent="0.2">
      <c r="A196" s="1293">
        <v>33481</v>
      </c>
      <c r="B196" s="1295"/>
      <c r="C196" s="1296"/>
      <c r="D196" s="1295"/>
    </row>
    <row r="197" spans="1:4" x14ac:dyDescent="0.2">
      <c r="A197" s="1293">
        <v>33511</v>
      </c>
      <c r="B197" s="1295"/>
      <c r="C197" s="1296"/>
      <c r="D197" s="1295"/>
    </row>
    <row r="198" spans="1:4" x14ac:dyDescent="0.2">
      <c r="A198" s="1293">
        <v>33542</v>
      </c>
      <c r="B198" s="1295"/>
      <c r="C198" s="1296"/>
      <c r="D198" s="1295"/>
    </row>
    <row r="199" spans="1:4" x14ac:dyDescent="0.2">
      <c r="A199" s="1293">
        <v>33572</v>
      </c>
      <c r="B199" s="1295"/>
      <c r="C199" s="1296"/>
      <c r="D199" s="1295"/>
    </row>
    <row r="200" spans="1:4" x14ac:dyDescent="0.2">
      <c r="A200" s="1293">
        <v>33603</v>
      </c>
      <c r="B200" s="1295"/>
      <c r="C200" s="1296"/>
      <c r="D200" s="1295"/>
    </row>
    <row r="201" spans="1:4" x14ac:dyDescent="0.2">
      <c r="A201" s="1293">
        <v>33634</v>
      </c>
      <c r="B201" s="1295"/>
      <c r="C201" s="1296"/>
      <c r="D201" s="1295"/>
    </row>
    <row r="202" spans="1:4" x14ac:dyDescent="0.2">
      <c r="A202" s="1293">
        <v>33663</v>
      </c>
      <c r="B202" s="1295"/>
      <c r="C202" s="1296"/>
      <c r="D202" s="1295"/>
    </row>
    <row r="203" spans="1:4" x14ac:dyDescent="0.2">
      <c r="A203" s="1293">
        <v>33694</v>
      </c>
      <c r="B203" s="1295"/>
      <c r="C203" s="1296"/>
      <c r="D203" s="1295"/>
    </row>
    <row r="204" spans="1:4" x14ac:dyDescent="0.2">
      <c r="A204" s="1293">
        <v>33724</v>
      </c>
      <c r="B204" s="1295"/>
      <c r="C204" s="1296"/>
      <c r="D204" s="1295"/>
    </row>
    <row r="205" spans="1:4" x14ac:dyDescent="0.2">
      <c r="A205" s="1293">
        <v>33755</v>
      </c>
      <c r="B205" s="1295"/>
      <c r="C205" s="1296"/>
      <c r="D205" s="1295"/>
    </row>
    <row r="206" spans="1:4" x14ac:dyDescent="0.2">
      <c r="A206" s="1293">
        <v>33785</v>
      </c>
      <c r="B206" s="1295"/>
      <c r="C206" s="1296"/>
      <c r="D206" s="1295"/>
    </row>
    <row r="207" spans="1:4" x14ac:dyDescent="0.2">
      <c r="A207" s="1293">
        <v>33816</v>
      </c>
      <c r="B207" s="1295"/>
      <c r="C207" s="1296"/>
      <c r="D207" s="1295"/>
    </row>
    <row r="208" spans="1:4" x14ac:dyDescent="0.2">
      <c r="A208" s="1293">
        <v>33847</v>
      </c>
      <c r="B208" s="1295"/>
      <c r="C208" s="1296"/>
      <c r="D208" s="1295"/>
    </row>
    <row r="209" spans="1:4" x14ac:dyDescent="0.2">
      <c r="A209" s="1293">
        <v>33877</v>
      </c>
      <c r="B209" s="1295"/>
      <c r="C209" s="1296"/>
      <c r="D209" s="1295"/>
    </row>
    <row r="210" spans="1:4" x14ac:dyDescent="0.2">
      <c r="A210" s="1293">
        <v>33908</v>
      </c>
      <c r="B210" s="1295"/>
      <c r="C210" s="1296"/>
      <c r="D210" s="1295"/>
    </row>
    <row r="211" spans="1:4" x14ac:dyDescent="0.2">
      <c r="A211" s="1293">
        <v>33938</v>
      </c>
      <c r="B211" s="1295"/>
      <c r="C211" s="1296"/>
      <c r="D211" s="1295"/>
    </row>
    <row r="212" spans="1:4" x14ac:dyDescent="0.2">
      <c r="A212" s="1293">
        <v>33969</v>
      </c>
      <c r="B212" s="1295"/>
      <c r="C212" s="1296"/>
      <c r="D212" s="1295"/>
    </row>
    <row r="213" spans="1:4" x14ac:dyDescent="0.2">
      <c r="A213" s="1293">
        <v>34000</v>
      </c>
      <c r="B213" s="1295"/>
      <c r="C213" s="1296"/>
      <c r="D213" s="1295"/>
    </row>
    <row r="214" spans="1:4" x14ac:dyDescent="0.2">
      <c r="A214" s="1293">
        <v>34028</v>
      </c>
      <c r="B214" s="1295"/>
      <c r="C214" s="1296"/>
      <c r="D214" s="1295"/>
    </row>
    <row r="215" spans="1:4" x14ac:dyDescent="0.2">
      <c r="A215" s="1293">
        <v>34059</v>
      </c>
      <c r="B215" s="1295"/>
      <c r="C215" s="1296"/>
      <c r="D215" s="1295"/>
    </row>
    <row r="216" spans="1:4" x14ac:dyDescent="0.2">
      <c r="A216" s="1293">
        <v>34089</v>
      </c>
      <c r="B216" s="1295"/>
      <c r="C216" s="1296"/>
      <c r="D216" s="1295"/>
    </row>
    <row r="217" spans="1:4" x14ac:dyDescent="0.2">
      <c r="A217" s="1293">
        <v>34120</v>
      </c>
      <c r="B217" s="1295"/>
      <c r="C217" s="1296"/>
      <c r="D217" s="1295"/>
    </row>
    <row r="218" spans="1:4" x14ac:dyDescent="0.2">
      <c r="A218" s="1293">
        <v>34150</v>
      </c>
      <c r="B218" s="1295"/>
      <c r="C218" s="1296"/>
      <c r="D218" s="1295"/>
    </row>
    <row r="219" spans="1:4" x14ac:dyDescent="0.2">
      <c r="A219" s="1293">
        <v>34181</v>
      </c>
      <c r="B219" s="1295"/>
      <c r="C219" s="1296"/>
      <c r="D219" s="1295"/>
    </row>
    <row r="220" spans="1:4" x14ac:dyDescent="0.2">
      <c r="A220" s="1293">
        <v>34212</v>
      </c>
      <c r="B220" s="1295"/>
      <c r="C220" s="1296"/>
      <c r="D220" s="1295"/>
    </row>
    <row r="221" spans="1:4" x14ac:dyDescent="0.2">
      <c r="A221" s="1293">
        <v>34242</v>
      </c>
      <c r="B221" s="1295"/>
      <c r="C221" s="1296"/>
      <c r="D221" s="1295"/>
    </row>
    <row r="222" spans="1:4" x14ac:dyDescent="0.2">
      <c r="A222" s="1293">
        <v>34273</v>
      </c>
      <c r="B222" s="1295"/>
      <c r="C222" s="1296"/>
      <c r="D222" s="1295"/>
    </row>
    <row r="223" spans="1:4" x14ac:dyDescent="0.2">
      <c r="A223" s="1293">
        <v>34303</v>
      </c>
      <c r="B223" s="1295"/>
      <c r="C223" s="1296"/>
      <c r="D223" s="1295"/>
    </row>
    <row r="224" spans="1:4" x14ac:dyDescent="0.2">
      <c r="A224" s="1293">
        <v>34334</v>
      </c>
      <c r="B224" s="1295"/>
      <c r="C224" s="1296"/>
      <c r="D224" s="1295"/>
    </row>
    <row r="225" spans="1:4" x14ac:dyDescent="0.2">
      <c r="A225" s="1293">
        <v>34365</v>
      </c>
      <c r="B225" s="1295"/>
      <c r="C225" s="1296"/>
      <c r="D225" s="1295"/>
    </row>
    <row r="226" spans="1:4" x14ac:dyDescent="0.2">
      <c r="A226" s="1293">
        <v>34393</v>
      </c>
      <c r="B226" s="1295"/>
      <c r="C226" s="1296"/>
      <c r="D226" s="1295"/>
    </row>
    <row r="227" spans="1:4" x14ac:dyDescent="0.2">
      <c r="A227" s="1293">
        <v>34424</v>
      </c>
      <c r="B227" s="1295"/>
      <c r="C227" s="1296"/>
      <c r="D227" s="1295"/>
    </row>
    <row r="228" spans="1:4" x14ac:dyDescent="0.2">
      <c r="A228" s="1293">
        <v>34454</v>
      </c>
      <c r="B228" s="1295"/>
      <c r="C228" s="1296"/>
      <c r="D228" s="1295"/>
    </row>
    <row r="229" spans="1:4" x14ac:dyDescent="0.2">
      <c r="A229" s="1293">
        <v>34485</v>
      </c>
      <c r="B229" s="1295"/>
      <c r="C229" s="1296"/>
      <c r="D229" s="1295"/>
    </row>
    <row r="230" spans="1:4" x14ac:dyDescent="0.2">
      <c r="A230" s="1293">
        <v>34515</v>
      </c>
      <c r="B230" s="1295"/>
      <c r="C230" s="1296"/>
      <c r="D230" s="1295"/>
    </row>
    <row r="231" spans="1:4" x14ac:dyDescent="0.2">
      <c r="A231" s="1293">
        <v>34546</v>
      </c>
      <c r="B231" s="1295"/>
      <c r="C231" s="1296"/>
      <c r="D231" s="1295"/>
    </row>
    <row r="232" spans="1:4" x14ac:dyDescent="0.2">
      <c r="A232" s="1293">
        <v>34577</v>
      </c>
      <c r="B232" s="1295"/>
      <c r="C232" s="1296"/>
      <c r="D232" s="1295"/>
    </row>
    <row r="233" spans="1:4" x14ac:dyDescent="0.2">
      <c r="A233" s="1293">
        <v>34607</v>
      </c>
      <c r="B233" s="1295"/>
      <c r="C233" s="1296"/>
      <c r="D233" s="1295"/>
    </row>
    <row r="234" spans="1:4" x14ac:dyDescent="0.2">
      <c r="A234" s="1293">
        <v>34638</v>
      </c>
      <c r="B234" s="1295"/>
      <c r="C234" s="1296"/>
      <c r="D234" s="1295"/>
    </row>
    <row r="235" spans="1:4" x14ac:dyDescent="0.2">
      <c r="A235" s="1293">
        <v>34668</v>
      </c>
      <c r="B235" s="1295"/>
      <c r="C235" s="1296"/>
      <c r="D235" s="1295"/>
    </row>
    <row r="236" spans="1:4" x14ac:dyDescent="0.2">
      <c r="A236" s="1293">
        <v>34699</v>
      </c>
      <c r="B236" s="1295"/>
      <c r="C236" s="1296"/>
      <c r="D236" s="1295"/>
    </row>
    <row r="237" spans="1:4" x14ac:dyDescent="0.2">
      <c r="A237" s="1293">
        <v>34730</v>
      </c>
      <c r="B237" s="1295"/>
      <c r="C237" s="1296"/>
      <c r="D237" s="1295"/>
    </row>
    <row r="238" spans="1:4" x14ac:dyDescent="0.2">
      <c r="A238" s="1293">
        <v>34758</v>
      </c>
      <c r="B238" s="1295"/>
      <c r="C238" s="1296"/>
      <c r="D238" s="1295"/>
    </row>
    <row r="239" spans="1:4" x14ac:dyDescent="0.2">
      <c r="A239" s="1293">
        <v>34789</v>
      </c>
      <c r="B239" s="1295"/>
      <c r="C239" s="1296"/>
      <c r="D239" s="1295"/>
    </row>
    <row r="240" spans="1:4" x14ac:dyDescent="0.2">
      <c r="A240" s="1293">
        <v>34819</v>
      </c>
      <c r="B240" s="1295"/>
      <c r="C240" s="1296"/>
      <c r="D240" s="1295"/>
    </row>
    <row r="241" spans="1:4" x14ac:dyDescent="0.2">
      <c r="A241" s="1293">
        <v>34850</v>
      </c>
      <c r="B241" s="1295"/>
      <c r="C241" s="1296"/>
      <c r="D241" s="1295"/>
    </row>
    <row r="242" spans="1:4" x14ac:dyDescent="0.2">
      <c r="A242" s="1293">
        <v>34880</v>
      </c>
      <c r="B242" s="1295"/>
      <c r="C242" s="1296"/>
      <c r="D242" s="1295"/>
    </row>
    <row r="243" spans="1:4" x14ac:dyDescent="0.2">
      <c r="A243" s="1293">
        <v>34911</v>
      </c>
      <c r="B243" s="1295"/>
      <c r="C243" s="1296"/>
      <c r="D243" s="1295"/>
    </row>
    <row r="244" spans="1:4" x14ac:dyDescent="0.2">
      <c r="A244" s="1293">
        <v>34942</v>
      </c>
      <c r="B244" s="1295"/>
      <c r="C244" s="1296"/>
      <c r="D244" s="1295"/>
    </row>
    <row r="245" spans="1:4" x14ac:dyDescent="0.2">
      <c r="A245" s="1293">
        <v>34972</v>
      </c>
      <c r="B245" s="1295"/>
      <c r="C245" s="1296"/>
      <c r="D245" s="1295"/>
    </row>
    <row r="246" spans="1:4" x14ac:dyDescent="0.2">
      <c r="A246" s="1293">
        <v>35003</v>
      </c>
      <c r="B246" s="1295"/>
      <c r="C246" s="1296"/>
      <c r="D246" s="1295"/>
    </row>
    <row r="247" spans="1:4" x14ac:dyDescent="0.2">
      <c r="A247" s="1293">
        <v>35033</v>
      </c>
      <c r="B247" s="1295"/>
      <c r="C247" s="1296"/>
      <c r="D247" s="1295"/>
    </row>
    <row r="248" spans="1:4" x14ac:dyDescent="0.2">
      <c r="A248" s="1293">
        <v>35064</v>
      </c>
      <c r="B248" s="1295"/>
      <c r="C248" s="1296"/>
      <c r="D248" s="1295"/>
    </row>
    <row r="249" spans="1:4" x14ac:dyDescent="0.2">
      <c r="A249" s="1293">
        <v>35095</v>
      </c>
      <c r="B249" s="1295"/>
      <c r="C249" s="1296"/>
      <c r="D249" s="1295"/>
    </row>
    <row r="250" spans="1:4" x14ac:dyDescent="0.2">
      <c r="A250" s="1293">
        <v>35124</v>
      </c>
      <c r="B250" s="1295"/>
      <c r="C250" s="1296"/>
      <c r="D250" s="1295"/>
    </row>
    <row r="251" spans="1:4" x14ac:dyDescent="0.2">
      <c r="A251" s="1293">
        <v>35155</v>
      </c>
      <c r="B251" s="1295"/>
      <c r="C251" s="1296"/>
      <c r="D251" s="1295"/>
    </row>
    <row r="252" spans="1:4" x14ac:dyDescent="0.2">
      <c r="A252" s="1293">
        <v>35185</v>
      </c>
      <c r="B252" s="1295"/>
      <c r="C252" s="1296"/>
      <c r="D252" s="1295"/>
    </row>
    <row r="253" spans="1:4" x14ac:dyDescent="0.2">
      <c r="A253" s="1293">
        <v>35216</v>
      </c>
      <c r="B253" s="1295"/>
      <c r="C253" s="1296"/>
      <c r="D253" s="1295"/>
    </row>
    <row r="254" spans="1:4" x14ac:dyDescent="0.2">
      <c r="A254" s="1293">
        <v>35246</v>
      </c>
      <c r="B254" s="1295"/>
      <c r="C254" s="1296"/>
      <c r="D254" s="1295"/>
    </row>
    <row r="255" spans="1:4" x14ac:dyDescent="0.2">
      <c r="A255" s="1293">
        <v>35277</v>
      </c>
      <c r="B255" s="1295"/>
      <c r="C255" s="1296"/>
      <c r="D255" s="1295"/>
    </row>
    <row r="256" spans="1:4" x14ac:dyDescent="0.2">
      <c r="A256" s="1293">
        <v>35308</v>
      </c>
      <c r="B256" s="1295"/>
      <c r="C256" s="1296"/>
      <c r="D256" s="1295"/>
    </row>
    <row r="257" spans="1:4" x14ac:dyDescent="0.2">
      <c r="A257" s="1293">
        <v>35338</v>
      </c>
      <c r="B257" s="1295"/>
      <c r="C257" s="1296"/>
      <c r="D257" s="1295"/>
    </row>
    <row r="258" spans="1:4" x14ac:dyDescent="0.2">
      <c r="A258" s="1293">
        <v>35369</v>
      </c>
      <c r="B258" s="1295"/>
      <c r="C258" s="1296"/>
      <c r="D258" s="1295"/>
    </row>
    <row r="259" spans="1:4" x14ac:dyDescent="0.2">
      <c r="A259" s="1293">
        <v>35399</v>
      </c>
      <c r="B259" s="1295"/>
      <c r="C259" s="1296"/>
      <c r="D259" s="1295"/>
    </row>
    <row r="260" spans="1:4" x14ac:dyDescent="0.2">
      <c r="A260" s="1293">
        <v>35430</v>
      </c>
      <c r="B260" s="1295"/>
      <c r="C260" s="1296"/>
      <c r="D260" s="1295"/>
    </row>
    <row r="261" spans="1:4" x14ac:dyDescent="0.2">
      <c r="A261" s="1293">
        <v>35461</v>
      </c>
      <c r="B261" s="1295"/>
      <c r="C261" s="1296"/>
      <c r="D261" s="1295"/>
    </row>
    <row r="262" spans="1:4" x14ac:dyDescent="0.2">
      <c r="A262" s="1293">
        <v>35489</v>
      </c>
      <c r="B262" s="1295"/>
      <c r="C262" s="1296"/>
      <c r="D262" s="1295"/>
    </row>
    <row r="263" spans="1:4" x14ac:dyDescent="0.2">
      <c r="A263" s="1293">
        <v>35520</v>
      </c>
      <c r="B263" s="1295"/>
      <c r="C263" s="1296"/>
      <c r="D263" s="1295"/>
    </row>
    <row r="264" spans="1:4" x14ac:dyDescent="0.2">
      <c r="A264" s="1293">
        <v>35550</v>
      </c>
      <c r="B264" s="1295"/>
      <c r="C264" s="1296"/>
      <c r="D264" s="1295"/>
    </row>
    <row r="265" spans="1:4" x14ac:dyDescent="0.2">
      <c r="A265" s="1293">
        <v>35581</v>
      </c>
      <c r="B265" s="1295"/>
      <c r="C265" s="1296"/>
      <c r="D265" s="1295"/>
    </row>
    <row r="266" spans="1:4" x14ac:dyDescent="0.2">
      <c r="A266" s="1293">
        <v>35611</v>
      </c>
      <c r="B266" s="1295"/>
      <c r="C266" s="1296"/>
      <c r="D266" s="1295"/>
    </row>
    <row r="267" spans="1:4" x14ac:dyDescent="0.2">
      <c r="A267" s="1293">
        <v>35642</v>
      </c>
      <c r="B267" s="1295"/>
      <c r="C267" s="1296"/>
      <c r="D267" s="1295"/>
    </row>
    <row r="268" spans="1:4" x14ac:dyDescent="0.2">
      <c r="A268" s="1293">
        <v>35673</v>
      </c>
      <c r="B268" s="1295"/>
      <c r="C268" s="1296"/>
      <c r="D268" s="1295"/>
    </row>
    <row r="269" spans="1:4" x14ac:dyDescent="0.2">
      <c r="A269" s="1293">
        <v>35703</v>
      </c>
      <c r="B269" s="1295"/>
      <c r="C269" s="1296"/>
      <c r="D269" s="1295"/>
    </row>
    <row r="270" spans="1:4" x14ac:dyDescent="0.2">
      <c r="A270" s="1293">
        <v>35734</v>
      </c>
      <c r="B270" s="1295"/>
      <c r="C270" s="1296"/>
      <c r="D270" s="1295"/>
    </row>
    <row r="271" spans="1:4" x14ac:dyDescent="0.2">
      <c r="A271" s="1293">
        <v>35764</v>
      </c>
      <c r="B271" s="1295"/>
      <c r="C271" s="1296"/>
      <c r="D271" s="1295"/>
    </row>
    <row r="272" spans="1:4" x14ac:dyDescent="0.2">
      <c r="A272" s="1293">
        <v>35795</v>
      </c>
      <c r="B272" s="1295"/>
      <c r="C272" s="1296"/>
      <c r="D272" s="1295"/>
    </row>
    <row r="273" spans="1:4" x14ac:dyDescent="0.2">
      <c r="A273" s="1293">
        <v>35826</v>
      </c>
      <c r="B273" s="1295"/>
      <c r="C273" s="1296"/>
      <c r="D273" s="1295"/>
    </row>
    <row r="274" spans="1:4" x14ac:dyDescent="0.2">
      <c r="A274" s="1293">
        <v>35854</v>
      </c>
      <c r="B274" s="1295"/>
      <c r="C274" s="1297"/>
      <c r="D274" s="1295"/>
    </row>
    <row r="275" spans="1:4" x14ac:dyDescent="0.2">
      <c r="A275" s="1293">
        <v>35885</v>
      </c>
      <c r="B275" s="1295"/>
      <c r="C275" s="1297"/>
      <c r="D275" s="1295"/>
    </row>
    <row r="276" spans="1:4" x14ac:dyDescent="0.2">
      <c r="A276" s="1293">
        <v>35915</v>
      </c>
      <c r="B276" s="1295"/>
      <c r="C276" s="1297"/>
      <c r="D276" s="1295"/>
    </row>
    <row r="277" spans="1:4" x14ac:dyDescent="0.2">
      <c r="A277" s="1293">
        <v>35946</v>
      </c>
      <c r="B277" s="1295"/>
      <c r="C277" s="1297"/>
      <c r="D277" s="1295"/>
    </row>
    <row r="278" spans="1:4" x14ac:dyDescent="0.2">
      <c r="A278" s="1293">
        <v>35976</v>
      </c>
      <c r="B278" s="1295"/>
      <c r="C278" s="1297"/>
      <c r="D278" s="1295"/>
    </row>
    <row r="279" spans="1:4" x14ac:dyDescent="0.2">
      <c r="A279" s="1293">
        <v>36007</v>
      </c>
      <c r="B279" s="1295"/>
      <c r="C279" s="1297"/>
      <c r="D279" s="1295"/>
    </row>
    <row r="280" spans="1:4" x14ac:dyDescent="0.2">
      <c r="A280" s="1293">
        <v>36038</v>
      </c>
      <c r="B280" s="1295"/>
      <c r="C280" s="1297"/>
      <c r="D280" s="1295"/>
    </row>
    <row r="281" spans="1:4" x14ac:dyDescent="0.2">
      <c r="A281" s="1293">
        <v>36068</v>
      </c>
      <c r="B281" s="1295"/>
      <c r="C281" s="1297"/>
      <c r="D281" s="1295"/>
    </row>
    <row r="282" spans="1:4" x14ac:dyDescent="0.2">
      <c r="A282" s="1293">
        <v>36099</v>
      </c>
      <c r="B282" s="1295"/>
      <c r="C282" s="1297"/>
      <c r="D282" s="1295"/>
    </row>
    <row r="283" spans="1:4" x14ac:dyDescent="0.2">
      <c r="A283" s="1293">
        <v>36129</v>
      </c>
      <c r="B283" s="1295"/>
      <c r="C283" s="1297"/>
      <c r="D283" s="1295"/>
    </row>
    <row r="284" spans="1:4" x14ac:dyDescent="0.2">
      <c r="A284" s="1293">
        <v>36160</v>
      </c>
      <c r="B284" s="1295"/>
      <c r="C284" s="1297"/>
      <c r="D284" s="1295"/>
    </row>
    <row r="285" spans="1:4" x14ac:dyDescent="0.2">
      <c r="A285" s="1293">
        <v>36191</v>
      </c>
      <c r="B285" s="1295"/>
      <c r="C285" s="1297"/>
      <c r="D285" s="1295"/>
    </row>
    <row r="286" spans="1:4" x14ac:dyDescent="0.2">
      <c r="A286" s="1293">
        <v>36219</v>
      </c>
      <c r="B286" s="1295"/>
      <c r="C286" s="1297"/>
      <c r="D286" s="1295"/>
    </row>
    <row r="287" spans="1:4" x14ac:dyDescent="0.2">
      <c r="A287" s="1293">
        <v>36250</v>
      </c>
      <c r="B287" s="1295"/>
      <c r="C287" s="1297"/>
      <c r="D287" s="1295"/>
    </row>
    <row r="288" spans="1:4" x14ac:dyDescent="0.2">
      <c r="A288" s="1293">
        <v>36280</v>
      </c>
      <c r="B288" s="1295"/>
      <c r="C288" s="1297"/>
      <c r="D288" s="1295"/>
    </row>
    <row r="289" spans="1:4" x14ac:dyDescent="0.2">
      <c r="A289" s="1293">
        <v>36311</v>
      </c>
      <c r="B289" s="1295"/>
      <c r="C289" s="1297"/>
      <c r="D289" s="1295"/>
    </row>
    <row r="290" spans="1:4" x14ac:dyDescent="0.2">
      <c r="A290" s="1293">
        <v>36341</v>
      </c>
      <c r="B290" s="1295"/>
      <c r="C290" s="1297"/>
      <c r="D290" s="1295"/>
    </row>
    <row r="291" spans="1:4" x14ac:dyDescent="0.2">
      <c r="A291" s="1293">
        <v>36372</v>
      </c>
      <c r="B291" s="1295"/>
      <c r="C291" s="1297"/>
      <c r="D291" s="1295"/>
    </row>
    <row r="292" spans="1:4" x14ac:dyDescent="0.2">
      <c r="A292" s="1293">
        <v>36403</v>
      </c>
      <c r="B292" s="1295"/>
      <c r="C292" s="1297"/>
      <c r="D292" s="1295"/>
    </row>
    <row r="293" spans="1:4" x14ac:dyDescent="0.2">
      <c r="A293" s="1293">
        <v>36433</v>
      </c>
      <c r="B293" s="1295"/>
      <c r="C293" s="1297"/>
      <c r="D293" s="1295"/>
    </row>
    <row r="294" spans="1:4" x14ac:dyDescent="0.2">
      <c r="A294" s="1293">
        <v>36464</v>
      </c>
      <c r="B294" s="1295"/>
      <c r="C294" s="1297"/>
      <c r="D294" s="1295"/>
    </row>
    <row r="295" spans="1:4" x14ac:dyDescent="0.2">
      <c r="A295" s="1293">
        <v>36494</v>
      </c>
      <c r="B295" s="1295"/>
      <c r="C295" s="1297"/>
      <c r="D295" s="1295"/>
    </row>
    <row r="296" spans="1:4" x14ac:dyDescent="0.2">
      <c r="A296" s="1293">
        <v>36525</v>
      </c>
      <c r="B296" s="1295"/>
      <c r="C296" s="1297"/>
      <c r="D296" s="1295"/>
    </row>
    <row r="297" spans="1:4" x14ac:dyDescent="0.2">
      <c r="A297" s="1293">
        <v>36556</v>
      </c>
      <c r="B297" s="1295"/>
      <c r="C297" s="1297"/>
      <c r="D297" s="1295"/>
    </row>
    <row r="298" spans="1:4" x14ac:dyDescent="0.2">
      <c r="A298" s="1293">
        <v>36585</v>
      </c>
      <c r="B298" s="1295"/>
      <c r="C298" s="1297"/>
      <c r="D298" s="1295"/>
    </row>
    <row r="299" spans="1:4" x14ac:dyDescent="0.2">
      <c r="A299" s="1293">
        <v>36616</v>
      </c>
      <c r="B299" s="1295"/>
      <c r="C299" s="1297"/>
      <c r="D299" s="1295"/>
    </row>
    <row r="300" spans="1:4" x14ac:dyDescent="0.2">
      <c r="A300" s="1293">
        <v>36646</v>
      </c>
      <c r="B300" s="1295"/>
      <c r="C300" s="1297"/>
      <c r="D300" s="1295"/>
    </row>
    <row r="301" spans="1:4" x14ac:dyDescent="0.2">
      <c r="A301" s="1293">
        <v>36677</v>
      </c>
      <c r="B301" s="1295"/>
      <c r="C301" s="1297"/>
      <c r="D301" s="1295"/>
    </row>
    <row r="302" spans="1:4" x14ac:dyDescent="0.2">
      <c r="A302" s="1293">
        <v>36707</v>
      </c>
      <c r="B302" s="1295"/>
      <c r="C302" s="1297"/>
      <c r="D302" s="1295"/>
    </row>
    <row r="303" spans="1:4" x14ac:dyDescent="0.2">
      <c r="A303" s="1293">
        <v>36738</v>
      </c>
      <c r="B303" s="1295"/>
      <c r="C303" s="1297"/>
      <c r="D303" s="1295"/>
    </row>
    <row r="304" spans="1:4" x14ac:dyDescent="0.2">
      <c r="A304" s="1293">
        <v>36769</v>
      </c>
      <c r="B304" s="1295"/>
      <c r="C304" s="1297"/>
      <c r="D304" s="1295"/>
    </row>
    <row r="305" spans="1:4" x14ac:dyDescent="0.2">
      <c r="A305" s="1293">
        <v>36799</v>
      </c>
      <c r="B305" s="1298"/>
      <c r="C305" s="1299"/>
      <c r="D305" s="1295"/>
    </row>
    <row r="306" spans="1:4" x14ac:dyDescent="0.2">
      <c r="A306" s="1293">
        <v>36830</v>
      </c>
      <c r="B306" s="1300"/>
      <c r="C306" s="1299"/>
      <c r="D306" s="1300"/>
    </row>
    <row r="307" spans="1:4" x14ac:dyDescent="0.2">
      <c r="A307" s="1293">
        <v>36860</v>
      </c>
      <c r="B307" s="1300"/>
      <c r="C307" s="1299"/>
      <c r="D307" s="1300"/>
    </row>
    <row r="308" spans="1:4" x14ac:dyDescent="0.2">
      <c r="A308" s="1293">
        <v>36891</v>
      </c>
      <c r="B308" s="1300"/>
      <c r="C308" s="1299"/>
      <c r="D308" s="1300"/>
    </row>
    <row r="309" spans="1:4" x14ac:dyDescent="0.2">
      <c r="A309" s="1293">
        <v>36922</v>
      </c>
      <c r="B309" s="1300"/>
      <c r="C309" s="1299"/>
      <c r="D309" s="1300"/>
    </row>
    <row r="310" spans="1:4" x14ac:dyDescent="0.2">
      <c r="A310" s="1293">
        <v>36950</v>
      </c>
      <c r="B310" s="1300"/>
      <c r="C310" s="1299"/>
      <c r="D310" s="1300"/>
    </row>
    <row r="311" spans="1:4" x14ac:dyDescent="0.2">
      <c r="A311" s="1293">
        <v>36981</v>
      </c>
      <c r="B311" s="1300"/>
      <c r="C311" s="1299"/>
      <c r="D311" s="1300"/>
    </row>
    <row r="312" spans="1:4" x14ac:dyDescent="0.2">
      <c r="A312" s="1293">
        <v>37011</v>
      </c>
      <c r="B312" s="1300"/>
      <c r="C312" s="1299"/>
      <c r="D312" s="1300"/>
    </row>
    <row r="313" spans="1:4" x14ac:dyDescent="0.2">
      <c r="A313" s="1293">
        <v>37042</v>
      </c>
      <c r="B313" s="1300"/>
      <c r="C313" s="1299"/>
      <c r="D313" s="1300"/>
    </row>
    <row r="314" spans="1:4" x14ac:dyDescent="0.2">
      <c r="A314" s="1293">
        <v>37072</v>
      </c>
      <c r="B314" s="1300"/>
      <c r="C314" s="1299"/>
      <c r="D314" s="1300"/>
    </row>
    <row r="315" spans="1:4" x14ac:dyDescent="0.2">
      <c r="A315" s="1293">
        <v>37103</v>
      </c>
      <c r="B315" s="1300"/>
      <c r="C315" s="1299"/>
      <c r="D315" s="1300"/>
    </row>
    <row r="316" spans="1:4" x14ac:dyDescent="0.2">
      <c r="A316" s="1293">
        <v>37134</v>
      </c>
      <c r="B316" s="1300"/>
      <c r="C316" s="1299"/>
      <c r="D316" s="1300"/>
    </row>
    <row r="317" spans="1:4" x14ac:dyDescent="0.2">
      <c r="A317" s="1293">
        <v>37164</v>
      </c>
      <c r="B317" s="1300"/>
      <c r="C317" s="1299"/>
      <c r="D317" s="1300"/>
    </row>
    <row r="318" spans="1:4" x14ac:dyDescent="0.2">
      <c r="A318" s="1293">
        <v>37195</v>
      </c>
      <c r="B318" s="1300"/>
      <c r="C318" s="1299"/>
      <c r="D318" s="1300"/>
    </row>
    <row r="319" spans="1:4" x14ac:dyDescent="0.2">
      <c r="A319" s="1293">
        <v>37225</v>
      </c>
      <c r="B319" s="1300"/>
      <c r="C319" s="1299"/>
      <c r="D319" s="1300"/>
    </row>
    <row r="320" spans="1:4" x14ac:dyDescent="0.2">
      <c r="A320" s="1293">
        <v>37256</v>
      </c>
      <c r="B320" s="1300"/>
      <c r="C320" s="1299"/>
      <c r="D320" s="1300"/>
    </row>
    <row r="321" spans="1:4" x14ac:dyDescent="0.2">
      <c r="A321" s="1293">
        <v>37287</v>
      </c>
      <c r="B321" s="1300"/>
      <c r="C321" s="1299"/>
      <c r="D321" s="1300"/>
    </row>
    <row r="322" spans="1:4" x14ac:dyDescent="0.2">
      <c r="A322" s="1293">
        <v>37315</v>
      </c>
      <c r="B322" s="1300"/>
      <c r="C322" s="1299"/>
      <c r="D322" s="1300"/>
    </row>
    <row r="323" spans="1:4" x14ac:dyDescent="0.2">
      <c r="A323" s="1293">
        <v>37346</v>
      </c>
      <c r="B323" s="1300"/>
      <c r="C323" s="1299"/>
      <c r="D323" s="1300"/>
    </row>
    <row r="324" spans="1:4" x14ac:dyDescent="0.2">
      <c r="A324" s="1293">
        <v>37376</v>
      </c>
      <c r="B324" s="1300"/>
      <c r="C324" s="1299"/>
      <c r="D324" s="1300"/>
    </row>
    <row r="325" spans="1:4" x14ac:dyDescent="0.2">
      <c r="A325" s="1293">
        <v>37407</v>
      </c>
      <c r="B325" s="1300"/>
      <c r="C325" s="1299"/>
      <c r="D325" s="1300"/>
    </row>
    <row r="326" spans="1:4" x14ac:dyDescent="0.2">
      <c r="A326" s="1293">
        <v>37437</v>
      </c>
      <c r="B326" s="1300"/>
      <c r="C326" s="1299"/>
      <c r="D326" s="1300"/>
    </row>
    <row r="327" spans="1:4" x14ac:dyDescent="0.2">
      <c r="A327" s="1293">
        <v>37468</v>
      </c>
      <c r="B327" s="1300"/>
      <c r="C327" s="1299"/>
      <c r="D327" s="1300"/>
    </row>
    <row r="328" spans="1:4" x14ac:dyDescent="0.2">
      <c r="A328" s="1293">
        <v>37499</v>
      </c>
      <c r="B328" s="1300"/>
      <c r="C328" s="1299"/>
      <c r="D328" s="1300"/>
    </row>
    <row r="329" spans="1:4" x14ac:dyDescent="0.2">
      <c r="A329" s="1293">
        <v>37529</v>
      </c>
      <c r="B329" s="1300"/>
      <c r="C329" s="1299"/>
      <c r="D329" s="1300"/>
    </row>
    <row r="330" spans="1:4" x14ac:dyDescent="0.2">
      <c r="A330" s="1293">
        <v>37560</v>
      </c>
      <c r="B330" s="1300"/>
      <c r="C330" s="1299"/>
      <c r="D330" s="1300"/>
    </row>
    <row r="331" spans="1:4" x14ac:dyDescent="0.2">
      <c r="A331" s="1293">
        <v>37590</v>
      </c>
      <c r="B331" s="1300"/>
      <c r="C331" s="1299"/>
      <c r="D331" s="1300"/>
    </row>
    <row r="332" spans="1:4" x14ac:dyDescent="0.2">
      <c r="A332" s="1293">
        <v>37621</v>
      </c>
      <c r="B332" s="1300"/>
      <c r="C332" s="1299"/>
      <c r="D332" s="1300"/>
    </row>
    <row r="333" spans="1:4" x14ac:dyDescent="0.2">
      <c r="A333" s="1293">
        <v>37652</v>
      </c>
      <c r="B333" s="1300"/>
      <c r="C333" s="1299"/>
      <c r="D333" s="1300"/>
    </row>
    <row r="334" spans="1:4" x14ac:dyDescent="0.2">
      <c r="A334" s="1293">
        <v>37680</v>
      </c>
      <c r="B334" s="1300"/>
      <c r="C334" s="1299"/>
      <c r="D334" s="1300"/>
    </row>
    <row r="335" spans="1:4" x14ac:dyDescent="0.2">
      <c r="A335" s="1293">
        <v>37711</v>
      </c>
      <c r="B335" s="1300"/>
      <c r="C335" s="1299"/>
      <c r="D335" s="1300"/>
    </row>
    <row r="336" spans="1:4" x14ac:dyDescent="0.2">
      <c r="A336" s="1293">
        <v>37741</v>
      </c>
      <c r="B336" s="1300"/>
      <c r="C336" s="1299"/>
      <c r="D336" s="1300"/>
    </row>
    <row r="337" spans="1:4" x14ac:dyDescent="0.2">
      <c r="A337" s="1293">
        <v>37772</v>
      </c>
      <c r="B337" s="1300"/>
      <c r="C337" s="1299"/>
      <c r="D337" s="1300"/>
    </row>
    <row r="338" spans="1:4" x14ac:dyDescent="0.2">
      <c r="A338" s="1293">
        <v>37802</v>
      </c>
      <c r="B338" s="1300"/>
      <c r="C338" s="1299"/>
      <c r="D338" s="1300"/>
    </row>
    <row r="339" spans="1:4" x14ac:dyDescent="0.2">
      <c r="A339" s="1293">
        <v>37833</v>
      </c>
      <c r="B339" s="1300"/>
      <c r="C339" s="1299"/>
      <c r="D339" s="1300"/>
    </row>
    <row r="340" spans="1:4" x14ac:dyDescent="0.2">
      <c r="A340" s="1293">
        <v>37864</v>
      </c>
      <c r="B340" s="1300"/>
      <c r="C340" s="1299"/>
      <c r="D340" s="1300"/>
    </row>
    <row r="341" spans="1:4" x14ac:dyDescent="0.2">
      <c r="A341" s="1293">
        <v>37894</v>
      </c>
      <c r="B341" s="1300"/>
      <c r="C341" s="1302"/>
      <c r="D341" s="1300"/>
    </row>
    <row r="342" spans="1:4" x14ac:dyDescent="0.2">
      <c r="A342" s="1293">
        <v>37925</v>
      </c>
      <c r="B342" s="1300"/>
      <c r="C342" s="1302"/>
      <c r="D342" s="1300"/>
    </row>
    <row r="343" spans="1:4" x14ac:dyDescent="0.2">
      <c r="A343" s="1293">
        <v>37955</v>
      </c>
      <c r="B343" s="1300"/>
      <c r="C343" s="1302"/>
      <c r="D343" s="1300"/>
    </row>
    <row r="344" spans="1:4" x14ac:dyDescent="0.2">
      <c r="A344" s="1293">
        <v>37986</v>
      </c>
      <c r="B344" s="1300"/>
      <c r="C344" s="1302"/>
      <c r="D344" s="1300"/>
    </row>
    <row r="345" spans="1:4" x14ac:dyDescent="0.2">
      <c r="A345" s="1293">
        <v>38017</v>
      </c>
      <c r="B345" s="1300"/>
      <c r="C345" s="1302"/>
      <c r="D345" s="1300"/>
    </row>
    <row r="346" spans="1:4" x14ac:dyDescent="0.2">
      <c r="A346" s="1293">
        <v>38046</v>
      </c>
      <c r="B346" s="1300"/>
      <c r="C346" s="1302"/>
      <c r="D346" s="1300"/>
    </row>
    <row r="347" spans="1:4" x14ac:dyDescent="0.2">
      <c r="A347" s="1293">
        <v>38077</v>
      </c>
      <c r="B347" s="1300"/>
      <c r="C347" s="1302"/>
      <c r="D347" s="1303"/>
    </row>
    <row r="348" spans="1:4" x14ac:dyDescent="0.2">
      <c r="A348" s="1293">
        <v>38107</v>
      </c>
      <c r="B348" s="1300"/>
      <c r="C348" s="1302"/>
      <c r="D348" s="1300"/>
    </row>
    <row r="349" spans="1:4" x14ac:dyDescent="0.2">
      <c r="A349" s="1293">
        <v>38138</v>
      </c>
      <c r="B349" s="1300"/>
      <c r="C349" s="1302"/>
      <c r="D349" s="1300"/>
    </row>
    <row r="350" spans="1:4" x14ac:dyDescent="0.2">
      <c r="A350" s="1293">
        <v>38168</v>
      </c>
      <c r="B350" s="1300"/>
      <c r="C350" s="1302"/>
      <c r="D350" s="1300"/>
    </row>
    <row r="351" spans="1:4" x14ac:dyDescent="0.2">
      <c r="A351" s="1293">
        <v>38199</v>
      </c>
      <c r="B351" s="1300"/>
      <c r="C351" s="1302"/>
      <c r="D351" s="1300"/>
    </row>
    <row r="352" spans="1:4" x14ac:dyDescent="0.2">
      <c r="A352" s="1293">
        <v>38230</v>
      </c>
      <c r="B352" s="1300"/>
      <c r="C352" s="1302"/>
      <c r="D352" s="1300"/>
    </row>
    <row r="353" spans="1:4" x14ac:dyDescent="0.2">
      <c r="A353" s="1293">
        <v>38260</v>
      </c>
      <c r="B353" s="1300"/>
      <c r="C353" s="1302"/>
      <c r="D353" s="1300"/>
    </row>
    <row r="354" spans="1:4" x14ac:dyDescent="0.2">
      <c r="A354" s="1293">
        <v>38291</v>
      </c>
      <c r="B354" s="1300"/>
      <c r="C354" s="1302"/>
      <c r="D354" s="1300"/>
    </row>
    <row r="355" spans="1:4" x14ac:dyDescent="0.2">
      <c r="A355" s="1293">
        <v>38321</v>
      </c>
      <c r="B355" s="1300"/>
      <c r="C355" s="1302"/>
      <c r="D355" s="1300"/>
    </row>
    <row r="356" spans="1:4" x14ac:dyDescent="0.2">
      <c r="A356" s="1293">
        <v>38352</v>
      </c>
      <c r="B356" s="1300"/>
      <c r="C356" s="1304"/>
      <c r="D356" s="1300"/>
    </row>
    <row r="357" spans="1:4" x14ac:dyDescent="0.2">
      <c r="A357" s="1293">
        <v>38383</v>
      </c>
      <c r="B357" s="1300"/>
      <c r="C357" s="1302"/>
      <c r="D357" s="1300"/>
    </row>
    <row r="358" spans="1:4" x14ac:dyDescent="0.2">
      <c r="A358" s="1293">
        <v>38411</v>
      </c>
      <c r="B358" s="1300"/>
      <c r="C358" s="1302"/>
      <c r="D358" s="1300"/>
    </row>
    <row r="359" spans="1:4" x14ac:dyDescent="0.2">
      <c r="A359" s="1293">
        <v>38442</v>
      </c>
      <c r="B359" s="1300"/>
      <c r="C359" s="1304"/>
      <c r="D359" s="1300"/>
    </row>
    <row r="360" spans="1:4" x14ac:dyDescent="0.2">
      <c r="A360" s="1293">
        <v>38472</v>
      </c>
      <c r="B360" s="1300"/>
      <c r="C360" s="1304"/>
      <c r="D360" s="1300"/>
    </row>
    <row r="361" spans="1:4" x14ac:dyDescent="0.2">
      <c r="A361" s="1293">
        <v>38503</v>
      </c>
      <c r="B361" s="1300"/>
      <c r="C361" s="1304"/>
      <c r="D361" s="1300"/>
    </row>
    <row r="362" spans="1:4" x14ac:dyDescent="0.2">
      <c r="A362" s="1293">
        <v>38533</v>
      </c>
      <c r="B362" s="1300"/>
      <c r="C362" s="1304"/>
      <c r="D362" s="1300"/>
    </row>
    <row r="363" spans="1:4" x14ac:dyDescent="0.2">
      <c r="A363" s="1293">
        <v>38564</v>
      </c>
      <c r="B363" s="1300"/>
      <c r="C363" s="1304"/>
      <c r="D363" s="1300"/>
    </row>
    <row r="364" spans="1:4" x14ac:dyDescent="0.2">
      <c r="A364" s="1293">
        <v>38595</v>
      </c>
      <c r="B364" s="1300"/>
      <c r="C364" s="1304"/>
      <c r="D364" s="1300"/>
    </row>
    <row r="365" spans="1:4" x14ac:dyDescent="0.2">
      <c r="A365" s="1293">
        <v>38625</v>
      </c>
      <c r="B365" s="1300"/>
      <c r="C365" s="1304"/>
      <c r="D365" s="1300"/>
    </row>
    <row r="366" spans="1:4" x14ac:dyDescent="0.2">
      <c r="A366" s="1293">
        <v>38656</v>
      </c>
      <c r="B366" s="1300"/>
      <c r="C366" s="1304"/>
      <c r="D366" s="1300"/>
    </row>
    <row r="367" spans="1:4" x14ac:dyDescent="0.2">
      <c r="A367" s="1293">
        <v>38686</v>
      </c>
      <c r="B367" s="1300"/>
      <c r="C367" s="1304"/>
      <c r="D367" s="1300"/>
    </row>
    <row r="368" spans="1:4" x14ac:dyDescent="0.2">
      <c r="A368" s="1293">
        <v>38717</v>
      </c>
      <c r="B368" s="1300"/>
      <c r="C368" s="1304"/>
      <c r="D368" s="1300"/>
    </row>
    <row r="369" spans="1:6" x14ac:dyDescent="0.2">
      <c r="A369" s="1293">
        <v>38748</v>
      </c>
      <c r="B369" s="1300"/>
      <c r="C369" s="1304"/>
      <c r="D369" s="1300"/>
    </row>
    <row r="370" spans="1:6" x14ac:dyDescent="0.2">
      <c r="A370" s="1293">
        <v>38776</v>
      </c>
      <c r="B370" s="1300"/>
      <c r="C370" s="1304"/>
      <c r="D370" s="1300"/>
    </row>
    <row r="371" spans="1:6" x14ac:dyDescent="0.2">
      <c r="A371" s="1293">
        <v>38807</v>
      </c>
      <c r="B371" s="1300"/>
      <c r="C371" s="1299"/>
      <c r="D371" s="1300"/>
    </row>
    <row r="372" spans="1:6" x14ac:dyDescent="0.2">
      <c r="A372" s="1293">
        <v>38837</v>
      </c>
      <c r="B372" s="1300"/>
      <c r="C372" s="1299"/>
      <c r="D372" s="1300"/>
    </row>
    <row r="373" spans="1:6" x14ac:dyDescent="0.2">
      <c r="A373" s="1293">
        <v>38868</v>
      </c>
      <c r="B373" s="1300"/>
      <c r="C373" s="1299"/>
      <c r="D373" s="1300"/>
    </row>
    <row r="374" spans="1:6" x14ac:dyDescent="0.2">
      <c r="A374" s="1293">
        <v>38898</v>
      </c>
      <c r="B374" s="1372"/>
      <c r="C374" s="1387"/>
      <c r="D374" s="1300"/>
    </row>
    <row r="375" spans="1:6" x14ac:dyDescent="0.2">
      <c r="A375" s="1293">
        <v>38929</v>
      </c>
      <c r="B375" s="1300"/>
      <c r="C375" s="1302"/>
      <c r="D375" s="1300"/>
    </row>
    <row r="376" spans="1:6" x14ac:dyDescent="0.2">
      <c r="A376" s="1293">
        <v>38960</v>
      </c>
      <c r="B376" s="1300"/>
      <c r="C376" s="1302"/>
      <c r="D376" s="1300"/>
    </row>
    <row r="377" spans="1:6" x14ac:dyDescent="0.2">
      <c r="A377" s="1293">
        <v>38990</v>
      </c>
      <c r="B377" s="1300"/>
      <c r="C377" s="1302"/>
      <c r="D377" s="1300"/>
    </row>
    <row r="378" spans="1:6" x14ac:dyDescent="0.2">
      <c r="A378" s="1293">
        <v>39021</v>
      </c>
      <c r="B378" s="1300"/>
      <c r="C378" s="1302"/>
      <c r="D378" s="1300"/>
      <c r="F378" s="1305"/>
    </row>
    <row r="379" spans="1:6" x14ac:dyDescent="0.2">
      <c r="A379" s="1293">
        <v>39051</v>
      </c>
      <c r="B379" s="1300"/>
      <c r="C379" s="1302"/>
      <c r="D379" s="1300"/>
      <c r="F379" s="1305"/>
    </row>
    <row r="380" spans="1:6" x14ac:dyDescent="0.2">
      <c r="A380" s="1293">
        <v>39082</v>
      </c>
      <c r="B380" s="1300"/>
      <c r="C380" s="1302"/>
      <c r="D380" s="1300"/>
      <c r="F380" s="1305"/>
    </row>
    <row r="381" spans="1:6" x14ac:dyDescent="0.2">
      <c r="A381" s="1293">
        <v>39113</v>
      </c>
      <c r="B381" s="1300"/>
      <c r="F381" s="1305"/>
    </row>
    <row r="382" spans="1:6" x14ac:dyDescent="0.2">
      <c r="A382" s="1293">
        <v>39141</v>
      </c>
      <c r="B382" s="1300"/>
      <c r="F382" s="1305"/>
    </row>
    <row r="383" spans="1:6" x14ac:dyDescent="0.2">
      <c r="A383" s="1293">
        <v>39172</v>
      </c>
      <c r="B383" s="1300"/>
    </row>
    <row r="384" spans="1:6" x14ac:dyDescent="0.2">
      <c r="A384" s="1293">
        <v>39202</v>
      </c>
      <c r="B384" s="1300"/>
    </row>
    <row r="385" spans="1:3" x14ac:dyDescent="0.2">
      <c r="A385" s="1293">
        <v>39233</v>
      </c>
      <c r="B385" s="1300"/>
    </row>
    <row r="386" spans="1:3" x14ac:dyDescent="0.2">
      <c r="A386" s="1293">
        <v>39263</v>
      </c>
      <c r="B386" s="1300"/>
    </row>
    <row r="387" spans="1:3" x14ac:dyDescent="0.2">
      <c r="A387" s="1293">
        <v>39294</v>
      </c>
      <c r="B387" s="1300"/>
    </row>
    <row r="388" spans="1:3" x14ac:dyDescent="0.2">
      <c r="A388" s="1293">
        <v>39325</v>
      </c>
      <c r="B388" s="1300"/>
    </row>
    <row r="389" spans="1:3" x14ac:dyDescent="0.2">
      <c r="A389" s="1293">
        <v>39355</v>
      </c>
      <c r="B389" s="1300"/>
    </row>
    <row r="390" spans="1:3" x14ac:dyDescent="0.2">
      <c r="A390" s="1293">
        <v>39386</v>
      </c>
      <c r="B390" s="1300"/>
    </row>
    <row r="391" spans="1:3" x14ac:dyDescent="0.2">
      <c r="A391" s="1293">
        <v>39416</v>
      </c>
      <c r="B391" s="1300"/>
    </row>
    <row r="392" spans="1:3" x14ac:dyDescent="0.2">
      <c r="A392" s="1293">
        <v>39447</v>
      </c>
      <c r="B392" s="1300"/>
    </row>
    <row r="393" spans="1:3" x14ac:dyDescent="0.2">
      <c r="A393" s="1293">
        <v>39478</v>
      </c>
      <c r="B393" s="1300"/>
    </row>
    <row r="394" spans="1:3" x14ac:dyDescent="0.2">
      <c r="A394" s="1293">
        <v>39507</v>
      </c>
      <c r="B394" s="1300"/>
    </row>
    <row r="395" spans="1:3" x14ac:dyDescent="0.2">
      <c r="A395" s="1293">
        <v>39538</v>
      </c>
      <c r="B395" s="1300"/>
    </row>
    <row r="396" spans="1:3" x14ac:dyDescent="0.2">
      <c r="A396" s="1293">
        <v>39568</v>
      </c>
      <c r="B396" s="1300"/>
    </row>
    <row r="397" spans="1:3" x14ac:dyDescent="0.2">
      <c r="A397" s="1293">
        <v>39599</v>
      </c>
      <c r="B397" s="1300"/>
    </row>
    <row r="398" spans="1:3" x14ac:dyDescent="0.2">
      <c r="A398" s="1293">
        <v>39629</v>
      </c>
      <c r="B398" s="1300"/>
    </row>
    <row r="399" spans="1:3" x14ac:dyDescent="0.2">
      <c r="A399" s="1293">
        <v>39660</v>
      </c>
      <c r="B399" s="1300"/>
      <c r="C399" s="1299"/>
    </row>
    <row r="400" spans="1:3" x14ac:dyDescent="0.2">
      <c r="A400" s="1293">
        <v>39691</v>
      </c>
      <c r="B400" s="1300"/>
      <c r="C400" s="1299"/>
    </row>
    <row r="401" spans="1:7" x14ac:dyDescent="0.2">
      <c r="A401" s="1293">
        <v>39721</v>
      </c>
      <c r="B401" s="1300"/>
      <c r="C401" s="1299"/>
    </row>
    <row r="402" spans="1:7" x14ac:dyDescent="0.2">
      <c r="A402" s="1293">
        <v>39752</v>
      </c>
      <c r="B402" s="1300"/>
    </row>
    <row r="403" spans="1:7" x14ac:dyDescent="0.2">
      <c r="A403" s="1293">
        <v>39782</v>
      </c>
      <c r="B403" s="1300"/>
      <c r="G403" s="1301"/>
    </row>
    <row r="404" spans="1:7" x14ac:dyDescent="0.2">
      <c r="A404" s="1293">
        <v>39813</v>
      </c>
      <c r="B404" s="1300"/>
    </row>
    <row r="405" spans="1:7" x14ac:dyDescent="0.2">
      <c r="A405" s="1293">
        <v>39844</v>
      </c>
      <c r="B405" s="1300"/>
    </row>
    <row r="406" spans="1:7" x14ac:dyDescent="0.2">
      <c r="A406" s="1293">
        <v>39872</v>
      </c>
      <c r="B406" s="1300"/>
    </row>
    <row r="407" spans="1:7" x14ac:dyDescent="0.2">
      <c r="A407" s="1293">
        <v>39903</v>
      </c>
      <c r="B407" s="1300"/>
    </row>
    <row r="408" spans="1:7" x14ac:dyDescent="0.2">
      <c r="A408" s="1293">
        <v>39933</v>
      </c>
      <c r="B408" s="1300"/>
    </row>
    <row r="409" spans="1:7" x14ac:dyDescent="0.2">
      <c r="A409" s="1293">
        <v>39964</v>
      </c>
      <c r="B409" s="1300"/>
    </row>
    <row r="410" spans="1:7" x14ac:dyDescent="0.2">
      <c r="A410" s="1293">
        <v>39994</v>
      </c>
      <c r="B410" s="1300"/>
    </row>
    <row r="411" spans="1:7" x14ac:dyDescent="0.2">
      <c r="A411" s="1293">
        <v>40025</v>
      </c>
      <c r="B411" s="1300"/>
    </row>
    <row r="412" spans="1:7" x14ac:dyDescent="0.2">
      <c r="A412" s="1293">
        <v>40056</v>
      </c>
      <c r="B412" s="1300"/>
    </row>
    <row r="413" spans="1:7" x14ac:dyDescent="0.2">
      <c r="A413" s="1293">
        <v>40086</v>
      </c>
      <c r="B413" s="1300"/>
    </row>
    <row r="414" spans="1:7" x14ac:dyDescent="0.2">
      <c r="A414" s="1293">
        <v>40117</v>
      </c>
      <c r="B414" s="1300"/>
    </row>
    <row r="415" spans="1:7" x14ac:dyDescent="0.2">
      <c r="A415" s="1293">
        <v>40147</v>
      </c>
      <c r="B415" s="1300"/>
    </row>
    <row r="416" spans="1:7" x14ac:dyDescent="0.2">
      <c r="A416" s="1293">
        <v>40178</v>
      </c>
      <c r="B416" s="1300"/>
    </row>
    <row r="417" spans="1:9" x14ac:dyDescent="0.2">
      <c r="A417" s="1293">
        <v>40209</v>
      </c>
      <c r="B417" s="1300"/>
    </row>
    <row r="418" spans="1:9" x14ac:dyDescent="0.2">
      <c r="A418" s="1293">
        <v>40237</v>
      </c>
      <c r="B418" s="1300"/>
    </row>
    <row r="419" spans="1:9" x14ac:dyDescent="0.2">
      <c r="A419" s="1293">
        <v>40268</v>
      </c>
      <c r="B419" s="1300"/>
      <c r="C419" s="1334"/>
      <c r="D419" s="1311"/>
    </row>
    <row r="420" spans="1:9" x14ac:dyDescent="0.2">
      <c r="A420" s="1293">
        <v>40298</v>
      </c>
      <c r="B420" s="1300"/>
    </row>
    <row r="421" spans="1:9" x14ac:dyDescent="0.2">
      <c r="A421" s="1293">
        <v>40329</v>
      </c>
      <c r="B421" s="1300"/>
      <c r="I421" s="1305"/>
    </row>
    <row r="422" spans="1:9" x14ac:dyDescent="0.2">
      <c r="A422" s="1293">
        <v>40359</v>
      </c>
      <c r="B422" s="1300"/>
    </row>
    <row r="423" spans="1:9" x14ac:dyDescent="0.2">
      <c r="A423" s="1293">
        <v>40390</v>
      </c>
      <c r="B423" s="1300"/>
    </row>
    <row r="424" spans="1:9" x14ac:dyDescent="0.2">
      <c r="A424" s="1293">
        <v>40421</v>
      </c>
      <c r="B424" s="1300"/>
    </row>
    <row r="425" spans="1:9" x14ac:dyDescent="0.2">
      <c r="A425" s="1293">
        <v>40451</v>
      </c>
      <c r="B425" s="1300"/>
    </row>
    <row r="426" spans="1:9" x14ac:dyDescent="0.2">
      <c r="A426" s="1293">
        <v>40482</v>
      </c>
      <c r="B426" s="1306"/>
    </row>
    <row r="427" spans="1:9" x14ac:dyDescent="0.2">
      <c r="A427" s="1293">
        <v>40512</v>
      </c>
      <c r="B427" s="1300"/>
    </row>
    <row r="428" spans="1:9" x14ac:dyDescent="0.2">
      <c r="A428" s="1293">
        <v>40543</v>
      </c>
      <c r="B428" s="1300"/>
    </row>
    <row r="429" spans="1:9" x14ac:dyDescent="0.2">
      <c r="A429" s="1293">
        <v>40574</v>
      </c>
      <c r="B429" s="1300"/>
    </row>
    <row r="430" spans="1:9" x14ac:dyDescent="0.2">
      <c r="A430" s="1293">
        <v>40602</v>
      </c>
      <c r="B430" s="1300"/>
    </row>
    <row r="431" spans="1:9" x14ac:dyDescent="0.2">
      <c r="A431" s="1293">
        <v>40633</v>
      </c>
      <c r="B431" s="1300"/>
    </row>
    <row r="432" spans="1:9" x14ac:dyDescent="0.2">
      <c r="A432" s="1293">
        <v>40663</v>
      </c>
      <c r="B432" s="1300"/>
    </row>
    <row r="433" spans="1:2" x14ac:dyDescent="0.2">
      <c r="A433" s="1293">
        <v>40694</v>
      </c>
      <c r="B433" s="1300"/>
    </row>
    <row r="434" spans="1:2" x14ac:dyDescent="0.2">
      <c r="A434" s="1293">
        <v>40724</v>
      </c>
      <c r="B434" s="1300"/>
    </row>
    <row r="435" spans="1:2" x14ac:dyDescent="0.2">
      <c r="A435" s="1293">
        <v>40755</v>
      </c>
      <c r="B435" s="1300"/>
    </row>
    <row r="436" spans="1:2" x14ac:dyDescent="0.2">
      <c r="A436" s="1293">
        <v>40786</v>
      </c>
      <c r="B436" s="1300"/>
    </row>
    <row r="437" spans="1:2" x14ac:dyDescent="0.2">
      <c r="A437" s="1293">
        <v>40816</v>
      </c>
      <c r="B437" s="1300"/>
    </row>
    <row r="438" spans="1:2" x14ac:dyDescent="0.2">
      <c r="A438" s="1293">
        <v>40847</v>
      </c>
      <c r="B438" s="1300"/>
    </row>
    <row r="439" spans="1:2" x14ac:dyDescent="0.2">
      <c r="A439" s="1293">
        <v>40877</v>
      </c>
      <c r="B439" s="1300"/>
    </row>
    <row r="440" spans="1:2" x14ac:dyDescent="0.2">
      <c r="A440" s="1293">
        <v>40908</v>
      </c>
      <c r="B440" s="1300"/>
    </row>
    <row r="441" spans="1:2" x14ac:dyDescent="0.2">
      <c r="A441" s="345">
        <v>40939</v>
      </c>
      <c r="B441" s="1300"/>
    </row>
    <row r="442" spans="1:2" x14ac:dyDescent="0.2">
      <c r="A442" s="345">
        <v>40968</v>
      </c>
      <c r="B442" s="1300"/>
    </row>
    <row r="443" spans="1:2" x14ac:dyDescent="0.2">
      <c r="A443" s="345">
        <v>40999</v>
      </c>
      <c r="B443" s="1300"/>
    </row>
    <row r="444" spans="1:2" x14ac:dyDescent="0.2">
      <c r="A444" s="345">
        <v>41029</v>
      </c>
      <c r="B444" s="1300"/>
    </row>
    <row r="445" spans="1:2" x14ac:dyDescent="0.2">
      <c r="A445" s="345">
        <v>41060</v>
      </c>
      <c r="B445" s="1300"/>
    </row>
    <row r="446" spans="1:2" x14ac:dyDescent="0.2">
      <c r="A446" s="345">
        <v>41090</v>
      </c>
      <c r="B446" s="1300"/>
    </row>
    <row r="447" spans="1:2" x14ac:dyDescent="0.2">
      <c r="A447" s="345">
        <v>41121</v>
      </c>
      <c r="B447" s="1300"/>
    </row>
    <row r="448" spans="1:2" x14ac:dyDescent="0.2">
      <c r="A448" s="345">
        <v>41152</v>
      </c>
      <c r="B448" s="1300"/>
    </row>
    <row r="449" spans="1:5" x14ac:dyDescent="0.2">
      <c r="A449" s="345">
        <v>41182</v>
      </c>
      <c r="B449" s="1300"/>
    </row>
    <row r="450" spans="1:5" x14ac:dyDescent="0.2">
      <c r="A450" s="345">
        <v>41213</v>
      </c>
      <c r="B450" s="1300"/>
    </row>
    <row r="451" spans="1:5" x14ac:dyDescent="0.2">
      <c r="A451" s="345">
        <v>41243</v>
      </c>
      <c r="B451" s="1300"/>
    </row>
    <row r="452" spans="1:5" x14ac:dyDescent="0.2">
      <c r="A452" s="345">
        <v>41274</v>
      </c>
      <c r="B452" s="1300"/>
    </row>
    <row r="453" spans="1:5" x14ac:dyDescent="0.2">
      <c r="A453" s="345">
        <v>41305</v>
      </c>
      <c r="B453" s="1300">
        <f t="shared" ref="B453:B488" si="0">D453</f>
        <v>0.75390000000000001</v>
      </c>
      <c r="C453" s="1307">
        <v>277616770.88</v>
      </c>
      <c r="D453" s="1306">
        <v>0.75390000000000001</v>
      </c>
      <c r="E453" s="1405">
        <f>B453-Index_Returns!AT453</f>
        <v>0.71338999999999997</v>
      </c>
    </row>
    <row r="454" spans="1:5" x14ac:dyDescent="0.2">
      <c r="A454" s="345">
        <v>41333</v>
      </c>
      <c r="B454" s="1300">
        <f t="shared" si="0"/>
        <v>-1.66E-2</v>
      </c>
      <c r="C454" s="1307">
        <v>276612292.06</v>
      </c>
      <c r="D454" s="1306">
        <v>-1.66E-2</v>
      </c>
      <c r="E454" s="1405">
        <f>B454-Index_Returns!AT454</f>
        <v>8.4449999999999997E-2</v>
      </c>
    </row>
    <row r="455" spans="1:5" x14ac:dyDescent="0.2">
      <c r="A455" s="345">
        <v>41364</v>
      </c>
      <c r="B455" s="1300">
        <f t="shared" si="0"/>
        <v>-0.22131999999999999</v>
      </c>
      <c r="C455" s="1307">
        <v>276382885.69999999</v>
      </c>
      <c r="D455" s="1306">
        <v>-0.22131999999999999</v>
      </c>
      <c r="E455" s="1405">
        <f>B455-Index_Returns!AT455</f>
        <v>0.20946000000000001</v>
      </c>
    </row>
    <row r="456" spans="1:5" x14ac:dyDescent="0.2">
      <c r="A456" s="345">
        <v>41394</v>
      </c>
      <c r="B456" s="1300">
        <f t="shared" si="0"/>
        <v>2.2900999999999998</v>
      </c>
      <c r="C456" s="1307">
        <v>282669319.29000002</v>
      </c>
      <c r="D456" s="1306">
        <v>2.2900999999999998</v>
      </c>
      <c r="E456" s="1405">
        <f>B456-Index_Returns!AT456</f>
        <v>-0.47726000000000024</v>
      </c>
    </row>
    <row r="457" spans="1:5" x14ac:dyDescent="0.2">
      <c r="A457" s="345">
        <v>41425</v>
      </c>
      <c r="B457" s="1300">
        <f t="shared" si="0"/>
        <v>-3.8323399999999999</v>
      </c>
      <c r="C457" s="1307">
        <v>272262258.38999999</v>
      </c>
      <c r="D457" s="1306">
        <v>-3.8323399999999999</v>
      </c>
      <c r="E457" s="1405">
        <f>B457-Index_Returns!AT457</f>
        <v>0.69506999999999985</v>
      </c>
    </row>
    <row r="458" spans="1:5" x14ac:dyDescent="0.2">
      <c r="A458" s="345">
        <v>41455</v>
      </c>
      <c r="B458" s="1300">
        <f t="shared" si="0"/>
        <v>-4.7144599999999999</v>
      </c>
      <c r="C458" s="1307">
        <v>259426556.25</v>
      </c>
      <c r="D458" s="1306">
        <v>-4.7144599999999999</v>
      </c>
      <c r="E458" s="1405">
        <f>B458-Index_Returns!AT458</f>
        <v>-0.42056000000000004</v>
      </c>
    </row>
    <row r="459" spans="1:5" x14ac:dyDescent="0.2">
      <c r="A459" s="345">
        <v>41486</v>
      </c>
      <c r="B459" s="1300">
        <f t="shared" si="0"/>
        <v>0.78290000000000004</v>
      </c>
      <c r="C459" s="1307">
        <v>261457602.94999999</v>
      </c>
      <c r="D459" s="1306">
        <v>0.78290000000000004</v>
      </c>
      <c r="E459" s="1405">
        <f>B459-Index_Returns!AT459</f>
        <v>0.54636000000000007</v>
      </c>
    </row>
    <row r="460" spans="1:5" x14ac:dyDescent="0.2">
      <c r="A460" s="345">
        <v>41517</v>
      </c>
      <c r="B460" s="1300">
        <f t="shared" si="0"/>
        <v>-2.7294200000000002</v>
      </c>
      <c r="C460" s="1307">
        <v>254321338.93000001</v>
      </c>
      <c r="D460" s="1306">
        <v>-2.7294200000000002</v>
      </c>
      <c r="E460" s="1405">
        <f>B460-Index_Returns!AT460</f>
        <v>0.26268999999999965</v>
      </c>
    </row>
    <row r="461" spans="1:5" x14ac:dyDescent="0.2">
      <c r="A461" s="345">
        <v>41547</v>
      </c>
      <c r="B461" s="1300">
        <f t="shared" si="0"/>
        <v>2.2127300000000001</v>
      </c>
      <c r="C461" s="1307">
        <v>536684981.42000002</v>
      </c>
      <c r="D461" s="1306">
        <v>2.2127300000000001</v>
      </c>
      <c r="E461" s="1405">
        <f>B461-Index_Returns!AT461</f>
        <v>-1.0833300000000001</v>
      </c>
    </row>
    <row r="462" spans="1:5" x14ac:dyDescent="0.2">
      <c r="A462" s="345">
        <v>41578</v>
      </c>
      <c r="B462" s="1300">
        <f t="shared" si="0"/>
        <v>2.35941</v>
      </c>
      <c r="C462" s="1307">
        <v>549347557.36000001</v>
      </c>
      <c r="D462" s="1306">
        <v>2.35941</v>
      </c>
      <c r="E462" s="1405">
        <f>B462-Index_Returns!AT462</f>
        <v>-0.23622999999999994</v>
      </c>
    </row>
    <row r="463" spans="1:5" x14ac:dyDescent="0.2">
      <c r="A463" s="345">
        <v>41608</v>
      </c>
      <c r="B463" s="1300">
        <f t="shared" si="0"/>
        <v>-2.3812700000000002</v>
      </c>
      <c r="C463" s="1307">
        <v>536266126.79000002</v>
      </c>
      <c r="D463" s="1306">
        <v>-2.3812700000000002</v>
      </c>
      <c r="E463" s="1405">
        <f>B463-Index_Returns!AT463</f>
        <v>4.0999999999957737E-4</v>
      </c>
    </row>
    <row r="464" spans="1:5" x14ac:dyDescent="0.2">
      <c r="A464" s="345">
        <v>41639</v>
      </c>
      <c r="B464" s="1300">
        <f t="shared" si="0"/>
        <v>-0.29826999999999998</v>
      </c>
      <c r="C464" s="1307">
        <v>534666620.45999998</v>
      </c>
      <c r="D464" s="1306">
        <v>-0.29826999999999998</v>
      </c>
      <c r="E464" s="1405">
        <f>B464-Index_Returns!AT464</f>
        <v>-0.17762</v>
      </c>
    </row>
    <row r="465" spans="1:5" x14ac:dyDescent="0.2">
      <c r="A465" s="345">
        <v>41670</v>
      </c>
      <c r="B465" s="1300">
        <f t="shared" si="0"/>
        <v>-2.67143</v>
      </c>
      <c r="C465" s="1307">
        <v>521496362.79000002</v>
      </c>
      <c r="D465" s="1306">
        <v>-2.67143</v>
      </c>
      <c r="E465" s="1405">
        <f>B465-Index_Returns!AT465</f>
        <v>-0.26460999999999979</v>
      </c>
    </row>
    <row r="466" spans="1:5" x14ac:dyDescent="0.2">
      <c r="A466" s="345">
        <v>41698</v>
      </c>
      <c r="B466" s="1300">
        <f t="shared" si="0"/>
        <v>2.3410099999999998</v>
      </c>
      <c r="C466" s="1307">
        <v>533704639.99000001</v>
      </c>
      <c r="D466" s="1306">
        <v>2.3410099999999998</v>
      </c>
      <c r="E466" s="1405">
        <f>B466-Index_Returns!AT466</f>
        <v>-0.80096000000000034</v>
      </c>
    </row>
    <row r="467" spans="1:5" x14ac:dyDescent="0.2">
      <c r="A467" s="345">
        <v>41729</v>
      </c>
      <c r="B467" s="1300">
        <f t="shared" si="0"/>
        <v>1.87645</v>
      </c>
      <c r="C467" s="1307">
        <v>543719313.26999998</v>
      </c>
      <c r="D467" s="1306">
        <v>1.87645</v>
      </c>
      <c r="E467" s="1405">
        <f>B467-Index_Returns!AT467</f>
        <v>4.3930000000000025E-2</v>
      </c>
    </row>
    <row r="468" spans="1:5" x14ac:dyDescent="0.2">
      <c r="A468" s="345">
        <v>41759</v>
      </c>
      <c r="B468" s="1300">
        <f t="shared" si="0"/>
        <v>0.73021000000000003</v>
      </c>
      <c r="C468" s="1307">
        <v>547689618.05999994</v>
      </c>
      <c r="D468" s="1306">
        <v>0.73021000000000003</v>
      </c>
      <c r="E468" s="1405">
        <f>B468-Index_Returns!AT468</f>
        <v>-0.18872999999999995</v>
      </c>
    </row>
    <row r="469" spans="1:5" x14ac:dyDescent="0.2">
      <c r="A469" s="345">
        <v>41790</v>
      </c>
      <c r="B469" s="1300">
        <f t="shared" si="0"/>
        <v>2.8283</v>
      </c>
      <c r="C469" s="1307">
        <v>563879755.98000002</v>
      </c>
      <c r="D469" s="1306">
        <v>2.8283</v>
      </c>
      <c r="E469" s="1405">
        <f>B469-Index_Returns!AT469</f>
        <v>0.41021000000000019</v>
      </c>
    </row>
    <row r="470" spans="1:5" x14ac:dyDescent="0.2">
      <c r="A470" s="345">
        <v>41820</v>
      </c>
      <c r="B470" s="1300">
        <f t="shared" si="0"/>
        <v>1.0650299999999999</v>
      </c>
      <c r="C470" s="1307">
        <v>569885227.34000003</v>
      </c>
      <c r="D470" s="1306">
        <v>1.0650299999999999</v>
      </c>
      <c r="E470" s="1405">
        <f>B470-Index_Returns!AT470</f>
        <v>0.29918999999999996</v>
      </c>
    </row>
    <row r="471" spans="1:5" x14ac:dyDescent="0.2">
      <c r="A471" s="345">
        <v>41851</v>
      </c>
      <c r="B471" s="1300">
        <f t="shared" si="0"/>
        <v>-0.76593999999999995</v>
      </c>
      <c r="C471" s="1307">
        <v>417349140.04299998</v>
      </c>
      <c r="D471" s="1306">
        <v>-0.76593999999999995</v>
      </c>
      <c r="E471" s="1405">
        <f>B471-Index_Returns!AT471</f>
        <v>-0.24871999999999994</v>
      </c>
    </row>
    <row r="472" spans="1:5" x14ac:dyDescent="0.2">
      <c r="A472" s="345">
        <v>41882</v>
      </c>
      <c r="B472" s="1300">
        <f t="shared" si="0"/>
        <v>0.13059000000000001</v>
      </c>
      <c r="C472" s="1307">
        <v>417894145.43000001</v>
      </c>
      <c r="D472" s="1306">
        <v>0.13059000000000001</v>
      </c>
      <c r="E472" s="1405">
        <f>B472-Index_Returns!AT472</f>
        <v>-0.5786</v>
      </c>
    </row>
    <row r="473" spans="1:5" x14ac:dyDescent="0.2">
      <c r="A473" s="345">
        <v>41912</v>
      </c>
      <c r="B473" s="1300">
        <f t="shared" si="0"/>
        <v>0</v>
      </c>
      <c r="E473" s="1405">
        <f>B473-Index_Returns!AT473</f>
        <v>0</v>
      </c>
    </row>
    <row r="474" spans="1:5" x14ac:dyDescent="0.2">
      <c r="A474" s="345">
        <v>41943</v>
      </c>
      <c r="B474" s="1300">
        <f t="shared" si="0"/>
        <v>0</v>
      </c>
      <c r="E474" s="1405">
        <f>B474-Index_Returns!AT474</f>
        <v>0</v>
      </c>
    </row>
    <row r="475" spans="1:5" x14ac:dyDescent="0.2">
      <c r="A475" s="345">
        <v>41973</v>
      </c>
      <c r="B475" s="1300">
        <f t="shared" si="0"/>
        <v>0</v>
      </c>
      <c r="E475" s="1405">
        <f>B475-Index_Returns!AT475</f>
        <v>0</v>
      </c>
    </row>
    <row r="476" spans="1:5" x14ac:dyDescent="0.2">
      <c r="A476" s="345">
        <v>42004</v>
      </c>
      <c r="B476" s="1300">
        <f t="shared" si="0"/>
        <v>0</v>
      </c>
      <c r="E476" s="1405">
        <f>B476-Index_Returns!AT476</f>
        <v>0</v>
      </c>
    </row>
    <row r="477" spans="1:5" x14ac:dyDescent="0.2">
      <c r="A477" s="345">
        <v>42035</v>
      </c>
      <c r="B477" s="1300">
        <f t="shared" si="0"/>
        <v>0</v>
      </c>
      <c r="E477" s="1405">
        <f>B477-Index_Returns!AT477</f>
        <v>0</v>
      </c>
    </row>
    <row r="478" spans="1:5" x14ac:dyDescent="0.2">
      <c r="A478" s="345">
        <v>42063</v>
      </c>
      <c r="B478" s="1300">
        <f t="shared" si="0"/>
        <v>0</v>
      </c>
      <c r="E478" s="1405">
        <f>B478-Index_Returns!AT478</f>
        <v>0</v>
      </c>
    </row>
    <row r="479" spans="1:5" x14ac:dyDescent="0.2">
      <c r="A479" s="345">
        <v>42094</v>
      </c>
      <c r="B479" s="1300">
        <f t="shared" si="0"/>
        <v>0</v>
      </c>
      <c r="E479" s="1405">
        <f>B479-Index_Returns!AT479</f>
        <v>0</v>
      </c>
    </row>
    <row r="480" spans="1:5" x14ac:dyDescent="0.2">
      <c r="A480" s="345">
        <v>42124</v>
      </c>
      <c r="B480" s="1300">
        <f t="shared" si="0"/>
        <v>0</v>
      </c>
      <c r="E480" s="1405">
        <f>B480-Index_Returns!AT480</f>
        <v>0</v>
      </c>
    </row>
    <row r="481" spans="1:5" x14ac:dyDescent="0.2">
      <c r="A481" s="345">
        <v>42155</v>
      </c>
      <c r="B481" s="1300">
        <f t="shared" si="0"/>
        <v>0</v>
      </c>
      <c r="E481" s="1405">
        <f>B481-Index_Returns!AT481</f>
        <v>0</v>
      </c>
    </row>
    <row r="482" spans="1:5" x14ac:dyDescent="0.2">
      <c r="A482" s="345">
        <v>42185</v>
      </c>
      <c r="B482" s="1300">
        <f t="shared" si="0"/>
        <v>0</v>
      </c>
      <c r="E482" s="1405">
        <f>B482-Index_Returns!AT482</f>
        <v>0</v>
      </c>
    </row>
    <row r="483" spans="1:5" x14ac:dyDescent="0.2">
      <c r="A483" s="345">
        <v>42216</v>
      </c>
      <c r="B483" s="1300">
        <f t="shared" si="0"/>
        <v>0</v>
      </c>
      <c r="E483" s="1405">
        <f>B483-Index_Returns!AT483</f>
        <v>0</v>
      </c>
    </row>
    <row r="484" spans="1:5" x14ac:dyDescent="0.2">
      <c r="A484" s="345">
        <v>42247</v>
      </c>
      <c r="B484" s="1300">
        <f t="shared" si="0"/>
        <v>0</v>
      </c>
      <c r="E484" s="1405">
        <f>B484-Index_Returns!AT484</f>
        <v>0</v>
      </c>
    </row>
    <row r="485" spans="1:5" x14ac:dyDescent="0.2">
      <c r="A485" s="345">
        <v>42277</v>
      </c>
      <c r="B485" s="1300">
        <f t="shared" si="0"/>
        <v>0</v>
      </c>
      <c r="E485" s="1405">
        <f>B485-Index_Returns!AT485</f>
        <v>0</v>
      </c>
    </row>
    <row r="486" spans="1:5" x14ac:dyDescent="0.2">
      <c r="A486" s="345">
        <v>42308</v>
      </c>
      <c r="B486" s="1300">
        <f t="shared" si="0"/>
        <v>0</v>
      </c>
      <c r="E486" s="1405">
        <f>B486-Index_Returns!AT486</f>
        <v>0</v>
      </c>
    </row>
    <row r="487" spans="1:5" x14ac:dyDescent="0.2">
      <c r="A487" s="345">
        <v>42338</v>
      </c>
      <c r="B487" s="1300">
        <f t="shared" si="0"/>
        <v>0</v>
      </c>
      <c r="E487" s="1405">
        <f>B487-Index_Returns!AT487</f>
        <v>0</v>
      </c>
    </row>
    <row r="488" spans="1:5" x14ac:dyDescent="0.2">
      <c r="A488" s="345">
        <v>42369</v>
      </c>
      <c r="B488" s="1300">
        <f t="shared" si="0"/>
        <v>0</v>
      </c>
      <c r="E488" s="1405">
        <f>B488-Index_Returns!AT488</f>
        <v>0</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H488"/>
  <sheetViews>
    <sheetView workbookViewId="0">
      <pane xSplit="1" ySplit="2" topLeftCell="B447" activePane="bottomRight" state="frozen"/>
      <selection pane="topRight" activeCell="B1" sqref="B1"/>
      <selection pane="bottomLeft" activeCell="A3" sqref="A3"/>
      <selection pane="bottomRight" activeCell="C472" sqref="C472:D472"/>
    </sheetView>
  </sheetViews>
  <sheetFormatPr defaultRowHeight="12.75" x14ac:dyDescent="0.2"/>
  <cols>
    <col min="1" max="1" width="18.7109375" style="1308" customWidth="1"/>
    <col min="2" max="2" width="18.7109375" style="1309" customWidth="1"/>
    <col min="3" max="3" width="18.7109375" style="1307" customWidth="1"/>
    <col min="4" max="4" width="18.7109375" style="1306" customWidth="1"/>
    <col min="5" max="5" width="9.140625" style="1301"/>
    <col min="6" max="6" width="12.42578125" style="1266" bestFit="1" customWidth="1"/>
    <col min="7" max="8" width="9.140625" style="1305"/>
    <col min="9" max="16384" width="9.140625" style="1266"/>
  </cols>
  <sheetData>
    <row r="1" spans="1:6" x14ac:dyDescent="0.2">
      <c r="A1" s="1289" t="s">
        <v>863</v>
      </c>
      <c r="B1" s="1290"/>
      <c r="C1" s="1386" t="s">
        <v>680</v>
      </c>
      <c r="D1" s="1373">
        <v>40</v>
      </c>
      <c r="F1" s="1308" t="s">
        <v>680</v>
      </c>
    </row>
    <row r="2" spans="1:6" x14ac:dyDescent="0.2">
      <c r="A2" s="1291" t="s">
        <v>27</v>
      </c>
      <c r="B2" s="1292" t="s">
        <v>91</v>
      </c>
      <c r="C2" s="1294" t="s">
        <v>92</v>
      </c>
      <c r="D2" s="1292" t="s">
        <v>90</v>
      </c>
      <c r="E2" s="1374" t="s">
        <v>80</v>
      </c>
    </row>
    <row r="3" spans="1:6" x14ac:dyDescent="0.2">
      <c r="A3" s="1293">
        <v>27606</v>
      </c>
      <c r="B3" s="1292"/>
      <c r="C3" s="1294"/>
      <c r="D3" s="1292"/>
    </row>
    <row r="4" spans="1:6" x14ac:dyDescent="0.2">
      <c r="A4" s="1293">
        <v>27637</v>
      </c>
      <c r="B4" s="1292"/>
      <c r="C4" s="1294"/>
      <c r="D4" s="1292"/>
    </row>
    <row r="5" spans="1:6" x14ac:dyDescent="0.2">
      <c r="A5" s="1293">
        <v>27667</v>
      </c>
      <c r="B5" s="1292"/>
      <c r="C5" s="1294"/>
      <c r="D5" s="1292"/>
    </row>
    <row r="6" spans="1:6" x14ac:dyDescent="0.2">
      <c r="A6" s="1293">
        <v>27698</v>
      </c>
      <c r="B6" s="1292"/>
      <c r="C6" s="1294"/>
      <c r="D6" s="1292"/>
    </row>
    <row r="7" spans="1:6" x14ac:dyDescent="0.2">
      <c r="A7" s="1293">
        <v>27728</v>
      </c>
      <c r="B7" s="1292"/>
      <c r="C7" s="1294"/>
      <c r="D7" s="1292"/>
    </row>
    <row r="8" spans="1:6" x14ac:dyDescent="0.2">
      <c r="A8" s="1293">
        <v>27759</v>
      </c>
      <c r="B8" s="1292"/>
      <c r="C8" s="1294"/>
      <c r="D8" s="1292"/>
    </row>
    <row r="9" spans="1:6" x14ac:dyDescent="0.2">
      <c r="A9" s="1293">
        <v>27790</v>
      </c>
      <c r="B9" s="1292"/>
      <c r="C9" s="1294"/>
      <c r="D9" s="1292"/>
    </row>
    <row r="10" spans="1:6" x14ac:dyDescent="0.2">
      <c r="A10" s="1293">
        <v>27819</v>
      </c>
      <c r="B10" s="1292"/>
      <c r="C10" s="1294"/>
      <c r="D10" s="1292"/>
    </row>
    <row r="11" spans="1:6" x14ac:dyDescent="0.2">
      <c r="A11" s="1293">
        <v>27850</v>
      </c>
      <c r="B11" s="1292"/>
      <c r="C11" s="1294"/>
      <c r="D11" s="1292"/>
    </row>
    <row r="12" spans="1:6" x14ac:dyDescent="0.2">
      <c r="A12" s="1293">
        <v>27880</v>
      </c>
      <c r="B12" s="1292"/>
      <c r="C12" s="1294"/>
      <c r="D12" s="1292"/>
    </row>
    <row r="13" spans="1:6" x14ac:dyDescent="0.2">
      <c r="A13" s="1293">
        <v>27911</v>
      </c>
      <c r="B13" s="1292"/>
      <c r="C13" s="1294"/>
      <c r="D13" s="1292"/>
    </row>
    <row r="14" spans="1:6" x14ac:dyDescent="0.2">
      <c r="A14" s="1293">
        <v>27941</v>
      </c>
      <c r="B14" s="1292"/>
      <c r="C14" s="1294"/>
      <c r="D14" s="1292"/>
    </row>
    <row r="15" spans="1:6" x14ac:dyDescent="0.2">
      <c r="A15" s="1293">
        <v>27972</v>
      </c>
      <c r="B15" s="1292"/>
      <c r="C15" s="1294"/>
      <c r="D15" s="1292"/>
    </row>
    <row r="16" spans="1:6" x14ac:dyDescent="0.2">
      <c r="A16" s="1293">
        <v>28003</v>
      </c>
      <c r="B16" s="1292"/>
      <c r="C16" s="1294"/>
      <c r="D16" s="1292"/>
    </row>
    <row r="17" spans="1:4" x14ac:dyDescent="0.2">
      <c r="A17" s="1293">
        <v>28033</v>
      </c>
      <c r="B17" s="1292"/>
      <c r="C17" s="1294"/>
      <c r="D17" s="1292"/>
    </row>
    <row r="18" spans="1:4" x14ac:dyDescent="0.2">
      <c r="A18" s="1293">
        <v>28064</v>
      </c>
      <c r="B18" s="1292"/>
      <c r="C18" s="1294"/>
      <c r="D18" s="1292"/>
    </row>
    <row r="19" spans="1:4" x14ac:dyDescent="0.2">
      <c r="A19" s="1293">
        <v>28094</v>
      </c>
      <c r="B19" s="1292"/>
      <c r="C19" s="1294"/>
      <c r="D19" s="1292"/>
    </row>
    <row r="20" spans="1:4" x14ac:dyDescent="0.2">
      <c r="A20" s="1293">
        <v>28125</v>
      </c>
      <c r="B20" s="1292"/>
      <c r="C20" s="1294"/>
      <c r="D20" s="1292"/>
    </row>
    <row r="21" spans="1:4" x14ac:dyDescent="0.2">
      <c r="A21" s="1293">
        <v>28156</v>
      </c>
      <c r="B21" s="1292"/>
      <c r="C21" s="1294"/>
      <c r="D21" s="1292"/>
    </row>
    <row r="22" spans="1:4" x14ac:dyDescent="0.2">
      <c r="A22" s="1293">
        <v>28184</v>
      </c>
      <c r="B22" s="1292"/>
      <c r="C22" s="1294"/>
      <c r="D22" s="1292"/>
    </row>
    <row r="23" spans="1:4" x14ac:dyDescent="0.2">
      <c r="A23" s="1293">
        <v>28215</v>
      </c>
      <c r="B23" s="1292"/>
      <c r="C23" s="1294"/>
      <c r="D23" s="1292"/>
    </row>
    <row r="24" spans="1:4" x14ac:dyDescent="0.2">
      <c r="A24" s="1293">
        <v>28245</v>
      </c>
      <c r="B24" s="1292"/>
      <c r="C24" s="1294"/>
      <c r="D24" s="1292"/>
    </row>
    <row r="25" spans="1:4" x14ac:dyDescent="0.2">
      <c r="A25" s="1293">
        <v>28276</v>
      </c>
      <c r="B25" s="1292"/>
      <c r="C25" s="1294"/>
      <c r="D25" s="1292"/>
    </row>
    <row r="26" spans="1:4" x14ac:dyDescent="0.2">
      <c r="A26" s="1293">
        <v>28306</v>
      </c>
      <c r="B26" s="1292"/>
      <c r="C26" s="1294"/>
      <c r="D26" s="1292"/>
    </row>
    <row r="27" spans="1:4" x14ac:dyDescent="0.2">
      <c r="A27" s="1293">
        <v>28337</v>
      </c>
      <c r="B27" s="1292"/>
      <c r="C27" s="1294"/>
      <c r="D27" s="1292"/>
    </row>
    <row r="28" spans="1:4" x14ac:dyDescent="0.2">
      <c r="A28" s="1293">
        <v>28368</v>
      </c>
      <c r="B28" s="1292"/>
      <c r="C28" s="1294"/>
      <c r="D28" s="1292"/>
    </row>
    <row r="29" spans="1:4" x14ac:dyDescent="0.2">
      <c r="A29" s="1293">
        <v>28398</v>
      </c>
      <c r="B29" s="1292"/>
      <c r="C29" s="1294"/>
      <c r="D29" s="1292"/>
    </row>
    <row r="30" spans="1:4" x14ac:dyDescent="0.2">
      <c r="A30" s="1293">
        <v>28429</v>
      </c>
      <c r="B30" s="1292"/>
      <c r="C30" s="1294"/>
      <c r="D30" s="1292"/>
    </row>
    <row r="31" spans="1:4" x14ac:dyDescent="0.2">
      <c r="A31" s="1293">
        <v>28459</v>
      </c>
      <c r="B31" s="1292"/>
      <c r="C31" s="1294"/>
      <c r="D31" s="1292"/>
    </row>
    <row r="32" spans="1:4" x14ac:dyDescent="0.2">
      <c r="A32" s="1293">
        <v>28490</v>
      </c>
      <c r="B32" s="1292"/>
      <c r="C32" s="1294"/>
      <c r="D32" s="1292"/>
    </row>
    <row r="33" spans="1:4" x14ac:dyDescent="0.2">
      <c r="A33" s="1293">
        <v>28521</v>
      </c>
      <c r="B33" s="1292"/>
      <c r="C33" s="1294"/>
      <c r="D33" s="1292"/>
    </row>
    <row r="34" spans="1:4" x14ac:dyDescent="0.2">
      <c r="A34" s="1293">
        <v>28549</v>
      </c>
      <c r="B34" s="1292"/>
      <c r="C34" s="1294"/>
      <c r="D34" s="1292"/>
    </row>
    <row r="35" spans="1:4" x14ac:dyDescent="0.2">
      <c r="A35" s="1293">
        <v>28580</v>
      </c>
      <c r="B35" s="1292"/>
      <c r="C35" s="1294"/>
      <c r="D35" s="1292"/>
    </row>
    <row r="36" spans="1:4" x14ac:dyDescent="0.2">
      <c r="A36" s="1293">
        <v>28610</v>
      </c>
      <c r="B36" s="1292"/>
      <c r="C36" s="1294"/>
      <c r="D36" s="1292"/>
    </row>
    <row r="37" spans="1:4" x14ac:dyDescent="0.2">
      <c r="A37" s="1293">
        <v>28641</v>
      </c>
      <c r="B37" s="1292"/>
      <c r="C37" s="1294"/>
      <c r="D37" s="1292"/>
    </row>
    <row r="38" spans="1:4" x14ac:dyDescent="0.2">
      <c r="A38" s="1293">
        <v>28671</v>
      </c>
      <c r="B38" s="1292"/>
      <c r="C38" s="1294"/>
      <c r="D38" s="1292"/>
    </row>
    <row r="39" spans="1:4" x14ac:dyDescent="0.2">
      <c r="A39" s="1293">
        <v>28702</v>
      </c>
      <c r="B39" s="1292"/>
      <c r="C39" s="1294"/>
      <c r="D39" s="1292"/>
    </row>
    <row r="40" spans="1:4" x14ac:dyDescent="0.2">
      <c r="A40" s="1293">
        <v>28733</v>
      </c>
      <c r="B40" s="1292"/>
      <c r="C40" s="1294"/>
      <c r="D40" s="1292"/>
    </row>
    <row r="41" spans="1:4" x14ac:dyDescent="0.2">
      <c r="A41" s="1293">
        <v>28763</v>
      </c>
      <c r="B41" s="1292"/>
      <c r="C41" s="1294"/>
      <c r="D41" s="1292"/>
    </row>
    <row r="42" spans="1:4" x14ac:dyDescent="0.2">
      <c r="A42" s="1293">
        <v>28794</v>
      </c>
      <c r="B42" s="1292"/>
      <c r="C42" s="1294"/>
      <c r="D42" s="1292"/>
    </row>
    <row r="43" spans="1:4" x14ac:dyDescent="0.2">
      <c r="A43" s="1293">
        <v>28824</v>
      </c>
      <c r="B43" s="1292"/>
      <c r="C43" s="1294"/>
      <c r="D43" s="1292"/>
    </row>
    <row r="44" spans="1:4" x14ac:dyDescent="0.2">
      <c r="A44" s="1293">
        <v>28855</v>
      </c>
      <c r="B44" s="1292"/>
      <c r="C44" s="1294"/>
      <c r="D44" s="1292"/>
    </row>
    <row r="45" spans="1:4" x14ac:dyDescent="0.2">
      <c r="A45" s="1293">
        <v>28886</v>
      </c>
      <c r="B45" s="1292"/>
      <c r="C45" s="1294"/>
      <c r="D45" s="1292"/>
    </row>
    <row r="46" spans="1:4" x14ac:dyDescent="0.2">
      <c r="A46" s="1293">
        <v>28914</v>
      </c>
      <c r="B46" s="1292"/>
      <c r="C46" s="1294"/>
      <c r="D46" s="1292"/>
    </row>
    <row r="47" spans="1:4" x14ac:dyDescent="0.2">
      <c r="A47" s="1293">
        <v>28945</v>
      </c>
      <c r="B47" s="1292"/>
      <c r="C47" s="1294"/>
      <c r="D47" s="1292"/>
    </row>
    <row r="48" spans="1:4" x14ac:dyDescent="0.2">
      <c r="A48" s="1293">
        <v>28975</v>
      </c>
      <c r="B48" s="1292"/>
      <c r="C48" s="1294"/>
      <c r="D48" s="1292"/>
    </row>
    <row r="49" spans="1:4" x14ac:dyDescent="0.2">
      <c r="A49" s="1293">
        <v>29006</v>
      </c>
      <c r="B49" s="1292"/>
      <c r="C49" s="1294"/>
      <c r="D49" s="1292"/>
    </row>
    <row r="50" spans="1:4" x14ac:dyDescent="0.2">
      <c r="A50" s="1293">
        <v>29036</v>
      </c>
      <c r="B50" s="1292"/>
      <c r="C50" s="1294"/>
      <c r="D50" s="1292"/>
    </row>
    <row r="51" spans="1:4" x14ac:dyDescent="0.2">
      <c r="A51" s="1293">
        <v>29067</v>
      </c>
      <c r="B51" s="1292"/>
      <c r="C51" s="1294"/>
      <c r="D51" s="1292"/>
    </row>
    <row r="52" spans="1:4" x14ac:dyDescent="0.2">
      <c r="A52" s="1293">
        <v>29098</v>
      </c>
      <c r="B52" s="1292"/>
      <c r="C52" s="1294"/>
      <c r="D52" s="1292"/>
    </row>
    <row r="53" spans="1:4" x14ac:dyDescent="0.2">
      <c r="A53" s="1293">
        <v>29128</v>
      </c>
      <c r="B53" s="1292"/>
      <c r="C53" s="1294"/>
      <c r="D53" s="1292"/>
    </row>
    <row r="54" spans="1:4" x14ac:dyDescent="0.2">
      <c r="A54" s="1293">
        <v>29159</v>
      </c>
      <c r="B54" s="1292"/>
      <c r="C54" s="1294"/>
      <c r="D54" s="1292"/>
    </row>
    <row r="55" spans="1:4" x14ac:dyDescent="0.2">
      <c r="A55" s="1293">
        <v>29189</v>
      </c>
      <c r="B55" s="1292"/>
      <c r="C55" s="1294"/>
      <c r="D55" s="1292"/>
    </row>
    <row r="56" spans="1:4" x14ac:dyDescent="0.2">
      <c r="A56" s="1293">
        <v>29220</v>
      </c>
      <c r="B56" s="1292"/>
      <c r="C56" s="1294"/>
      <c r="D56" s="1292"/>
    </row>
    <row r="57" spans="1:4" x14ac:dyDescent="0.2">
      <c r="A57" s="1293">
        <v>29251</v>
      </c>
      <c r="B57" s="1292"/>
      <c r="C57" s="1294"/>
      <c r="D57" s="1292"/>
    </row>
    <row r="58" spans="1:4" x14ac:dyDescent="0.2">
      <c r="A58" s="1293">
        <v>29280</v>
      </c>
      <c r="B58" s="1292"/>
      <c r="C58" s="1294"/>
      <c r="D58" s="1292"/>
    </row>
    <row r="59" spans="1:4" x14ac:dyDescent="0.2">
      <c r="A59" s="1293">
        <v>29311</v>
      </c>
      <c r="B59" s="1292"/>
      <c r="C59" s="1294"/>
      <c r="D59" s="1292"/>
    </row>
    <row r="60" spans="1:4" x14ac:dyDescent="0.2">
      <c r="A60" s="1293">
        <v>29341</v>
      </c>
      <c r="B60" s="1292"/>
      <c r="C60" s="1294"/>
      <c r="D60" s="1292"/>
    </row>
    <row r="61" spans="1:4" x14ac:dyDescent="0.2">
      <c r="A61" s="1293">
        <v>29372</v>
      </c>
      <c r="B61" s="1292"/>
      <c r="C61" s="1294"/>
      <c r="D61" s="1292"/>
    </row>
    <row r="62" spans="1:4" x14ac:dyDescent="0.2">
      <c r="A62" s="1293">
        <v>29402</v>
      </c>
      <c r="B62" s="1292"/>
      <c r="C62" s="1294"/>
      <c r="D62" s="1292"/>
    </row>
    <row r="63" spans="1:4" x14ac:dyDescent="0.2">
      <c r="A63" s="1293">
        <v>29433</v>
      </c>
      <c r="B63" s="1292"/>
      <c r="C63" s="1294"/>
      <c r="D63" s="1292"/>
    </row>
    <row r="64" spans="1:4" x14ac:dyDescent="0.2">
      <c r="A64" s="1293">
        <v>29464</v>
      </c>
      <c r="B64" s="1292"/>
      <c r="C64" s="1294"/>
      <c r="D64" s="1292"/>
    </row>
    <row r="65" spans="1:4" x14ac:dyDescent="0.2">
      <c r="A65" s="1293">
        <v>29494</v>
      </c>
      <c r="B65" s="1292"/>
      <c r="C65" s="1294"/>
      <c r="D65" s="1292"/>
    </row>
    <row r="66" spans="1:4" x14ac:dyDescent="0.2">
      <c r="A66" s="1293">
        <v>29525</v>
      </c>
      <c r="B66" s="1292"/>
      <c r="C66" s="1294"/>
      <c r="D66" s="1292"/>
    </row>
    <row r="67" spans="1:4" x14ac:dyDescent="0.2">
      <c r="A67" s="1293">
        <v>29555</v>
      </c>
      <c r="B67" s="1292"/>
      <c r="C67" s="1294"/>
      <c r="D67" s="1292"/>
    </row>
    <row r="68" spans="1:4" x14ac:dyDescent="0.2">
      <c r="A68" s="1293">
        <v>29586</v>
      </c>
      <c r="B68" s="1292"/>
      <c r="C68" s="1294"/>
      <c r="D68" s="1292"/>
    </row>
    <row r="69" spans="1:4" x14ac:dyDescent="0.2">
      <c r="A69" s="1293">
        <v>29617</v>
      </c>
      <c r="B69" s="1292"/>
      <c r="C69" s="1294"/>
      <c r="D69" s="1292"/>
    </row>
    <row r="70" spans="1:4" x14ac:dyDescent="0.2">
      <c r="A70" s="1293">
        <v>29645</v>
      </c>
      <c r="B70" s="1292"/>
      <c r="C70" s="1294"/>
      <c r="D70" s="1292"/>
    </row>
    <row r="71" spans="1:4" x14ac:dyDescent="0.2">
      <c r="A71" s="1293">
        <v>29676</v>
      </c>
      <c r="B71" s="1292"/>
      <c r="C71" s="1294"/>
      <c r="D71" s="1292"/>
    </row>
    <row r="72" spans="1:4" x14ac:dyDescent="0.2">
      <c r="A72" s="1293">
        <v>29706</v>
      </c>
      <c r="B72" s="1292"/>
      <c r="C72" s="1294"/>
      <c r="D72" s="1292"/>
    </row>
    <row r="73" spans="1:4" x14ac:dyDescent="0.2">
      <c r="A73" s="1293">
        <v>29737</v>
      </c>
      <c r="B73" s="1292"/>
      <c r="C73" s="1294"/>
      <c r="D73" s="1292"/>
    </row>
    <row r="74" spans="1:4" x14ac:dyDescent="0.2">
      <c r="A74" s="1293">
        <v>29767</v>
      </c>
      <c r="B74" s="1292"/>
      <c r="C74" s="1294"/>
      <c r="D74" s="1292"/>
    </row>
    <row r="75" spans="1:4" x14ac:dyDescent="0.2">
      <c r="A75" s="1293">
        <v>29798</v>
      </c>
      <c r="B75" s="1292"/>
      <c r="C75" s="1294"/>
      <c r="D75" s="1292"/>
    </row>
    <row r="76" spans="1:4" x14ac:dyDescent="0.2">
      <c r="A76" s="1293">
        <v>29829</v>
      </c>
      <c r="B76" s="1292"/>
      <c r="C76" s="1294"/>
      <c r="D76" s="1292"/>
    </row>
    <row r="77" spans="1:4" x14ac:dyDescent="0.2">
      <c r="A77" s="1293">
        <v>29859</v>
      </c>
      <c r="B77" s="1292"/>
      <c r="C77" s="1294"/>
      <c r="D77" s="1292"/>
    </row>
    <row r="78" spans="1:4" x14ac:dyDescent="0.2">
      <c r="A78" s="1293">
        <v>29890</v>
      </c>
      <c r="B78" s="1292"/>
      <c r="C78" s="1294"/>
      <c r="D78" s="1292"/>
    </row>
    <row r="79" spans="1:4" x14ac:dyDescent="0.2">
      <c r="A79" s="1293">
        <v>29920</v>
      </c>
      <c r="B79" s="1292"/>
      <c r="C79" s="1294"/>
      <c r="D79" s="1292"/>
    </row>
    <row r="80" spans="1:4" x14ac:dyDescent="0.2">
      <c r="A80" s="1293">
        <v>29951</v>
      </c>
      <c r="B80" s="1292"/>
      <c r="C80" s="1294"/>
      <c r="D80" s="1292"/>
    </row>
    <row r="81" spans="1:4" x14ac:dyDescent="0.2">
      <c r="A81" s="1293">
        <v>29982</v>
      </c>
      <c r="B81" s="1292"/>
      <c r="C81" s="1294"/>
      <c r="D81" s="1292"/>
    </row>
    <row r="82" spans="1:4" x14ac:dyDescent="0.2">
      <c r="A82" s="1293">
        <v>30010</v>
      </c>
      <c r="B82" s="1292"/>
      <c r="C82" s="1294"/>
      <c r="D82" s="1292"/>
    </row>
    <row r="83" spans="1:4" x14ac:dyDescent="0.2">
      <c r="A83" s="1293">
        <v>30041</v>
      </c>
      <c r="B83" s="1292"/>
      <c r="C83" s="1294"/>
      <c r="D83" s="1292"/>
    </row>
    <row r="84" spans="1:4" x14ac:dyDescent="0.2">
      <c r="A84" s="1293">
        <v>30071</v>
      </c>
      <c r="B84" s="1292"/>
      <c r="C84" s="1294"/>
      <c r="D84" s="1292"/>
    </row>
    <row r="85" spans="1:4" x14ac:dyDescent="0.2">
      <c r="A85" s="1293">
        <v>30102</v>
      </c>
      <c r="B85" s="1292"/>
      <c r="C85" s="1294"/>
      <c r="D85" s="1292"/>
    </row>
    <row r="86" spans="1:4" x14ac:dyDescent="0.2">
      <c r="A86" s="1293">
        <v>30132</v>
      </c>
      <c r="B86" s="1292"/>
      <c r="C86" s="1294"/>
      <c r="D86" s="1292"/>
    </row>
    <row r="87" spans="1:4" x14ac:dyDescent="0.2">
      <c r="A87" s="1293">
        <v>30163</v>
      </c>
      <c r="B87" s="1292"/>
      <c r="C87" s="1294"/>
      <c r="D87" s="1292"/>
    </row>
    <row r="88" spans="1:4" x14ac:dyDescent="0.2">
      <c r="A88" s="1293">
        <v>30194</v>
      </c>
      <c r="B88" s="1292"/>
      <c r="C88" s="1294"/>
      <c r="D88" s="1292"/>
    </row>
    <row r="89" spans="1:4" x14ac:dyDescent="0.2">
      <c r="A89" s="1293">
        <v>30224</v>
      </c>
      <c r="B89" s="1292"/>
      <c r="C89" s="1294"/>
      <c r="D89" s="1292"/>
    </row>
    <row r="90" spans="1:4" x14ac:dyDescent="0.2">
      <c r="A90" s="1293">
        <v>30255</v>
      </c>
      <c r="B90" s="1292"/>
      <c r="C90" s="1294"/>
      <c r="D90" s="1292"/>
    </row>
    <row r="91" spans="1:4" x14ac:dyDescent="0.2">
      <c r="A91" s="1293">
        <v>30285</v>
      </c>
      <c r="B91" s="1292"/>
      <c r="C91" s="1294"/>
      <c r="D91" s="1292"/>
    </row>
    <row r="92" spans="1:4" x14ac:dyDescent="0.2">
      <c r="A92" s="1293">
        <v>30316</v>
      </c>
      <c r="B92" s="1292"/>
      <c r="C92" s="1294"/>
      <c r="D92" s="1292"/>
    </row>
    <row r="93" spans="1:4" x14ac:dyDescent="0.2">
      <c r="A93" s="1293">
        <v>30347</v>
      </c>
      <c r="B93" s="1292"/>
      <c r="C93" s="1294"/>
      <c r="D93" s="1292"/>
    </row>
    <row r="94" spans="1:4" x14ac:dyDescent="0.2">
      <c r="A94" s="1293">
        <v>30375</v>
      </c>
      <c r="B94" s="1292"/>
      <c r="C94" s="1294"/>
      <c r="D94" s="1292"/>
    </row>
    <row r="95" spans="1:4" x14ac:dyDescent="0.2">
      <c r="A95" s="1293">
        <v>30406</v>
      </c>
      <c r="B95" s="1292"/>
      <c r="C95" s="1294"/>
      <c r="D95" s="1292"/>
    </row>
    <row r="96" spans="1:4" x14ac:dyDescent="0.2">
      <c r="A96" s="1293">
        <v>30436</v>
      </c>
      <c r="B96" s="1292"/>
      <c r="C96" s="1294"/>
      <c r="D96" s="1292"/>
    </row>
    <row r="97" spans="1:4" x14ac:dyDescent="0.2">
      <c r="A97" s="1293">
        <v>30467</v>
      </c>
      <c r="B97" s="1292"/>
      <c r="C97" s="1294"/>
      <c r="D97" s="1292"/>
    </row>
    <row r="98" spans="1:4" x14ac:dyDescent="0.2">
      <c r="A98" s="1293">
        <v>30497</v>
      </c>
      <c r="B98" s="1292"/>
      <c r="C98" s="1294"/>
      <c r="D98" s="1292"/>
    </row>
    <row r="99" spans="1:4" x14ac:dyDescent="0.2">
      <c r="A99" s="1293">
        <v>30528</v>
      </c>
      <c r="B99" s="1292"/>
      <c r="C99" s="1294"/>
      <c r="D99" s="1292"/>
    </row>
    <row r="100" spans="1:4" x14ac:dyDescent="0.2">
      <c r="A100" s="1293">
        <v>30559</v>
      </c>
      <c r="B100" s="1292"/>
      <c r="C100" s="1294"/>
      <c r="D100" s="1292"/>
    </row>
    <row r="101" spans="1:4" x14ac:dyDescent="0.2">
      <c r="A101" s="1293">
        <v>30589</v>
      </c>
      <c r="B101" s="1292"/>
      <c r="C101" s="1294"/>
      <c r="D101" s="1292"/>
    </row>
    <row r="102" spans="1:4" x14ac:dyDescent="0.2">
      <c r="A102" s="1293">
        <v>30620</v>
      </c>
      <c r="B102" s="1292"/>
      <c r="C102" s="1294"/>
      <c r="D102" s="1292"/>
    </row>
    <row r="103" spans="1:4" x14ac:dyDescent="0.2">
      <c r="A103" s="1293">
        <v>30650</v>
      </c>
      <c r="B103" s="1292"/>
      <c r="C103" s="1294"/>
      <c r="D103" s="1292"/>
    </row>
    <row r="104" spans="1:4" x14ac:dyDescent="0.2">
      <c r="A104" s="1293">
        <v>30681</v>
      </c>
      <c r="B104" s="1292"/>
      <c r="C104" s="1294"/>
      <c r="D104" s="1292"/>
    </row>
    <row r="105" spans="1:4" x14ac:dyDescent="0.2">
      <c r="A105" s="1293">
        <v>30712</v>
      </c>
      <c r="B105" s="1292"/>
      <c r="C105" s="1294"/>
      <c r="D105" s="1292"/>
    </row>
    <row r="106" spans="1:4" x14ac:dyDescent="0.2">
      <c r="A106" s="1293">
        <v>30741</v>
      </c>
      <c r="B106" s="1292"/>
      <c r="C106" s="1294"/>
      <c r="D106" s="1292"/>
    </row>
    <row r="107" spans="1:4" x14ac:dyDescent="0.2">
      <c r="A107" s="1293">
        <v>30772</v>
      </c>
      <c r="B107" s="1292"/>
      <c r="C107" s="1294"/>
      <c r="D107" s="1292"/>
    </row>
    <row r="108" spans="1:4" x14ac:dyDescent="0.2">
      <c r="A108" s="1293">
        <v>30802</v>
      </c>
      <c r="B108" s="1292"/>
      <c r="C108" s="1294"/>
      <c r="D108" s="1292"/>
    </row>
    <row r="109" spans="1:4" x14ac:dyDescent="0.2">
      <c r="A109" s="1293">
        <v>30833</v>
      </c>
      <c r="B109" s="1292"/>
      <c r="C109" s="1294"/>
      <c r="D109" s="1292"/>
    </row>
    <row r="110" spans="1:4" x14ac:dyDescent="0.2">
      <c r="A110" s="1293">
        <v>30863</v>
      </c>
      <c r="B110" s="1292"/>
      <c r="C110" s="1294"/>
      <c r="D110" s="1292"/>
    </row>
    <row r="111" spans="1:4" x14ac:dyDescent="0.2">
      <c r="A111" s="1293">
        <v>30894</v>
      </c>
      <c r="B111" s="1292"/>
      <c r="C111" s="1294"/>
      <c r="D111" s="1292"/>
    </row>
    <row r="112" spans="1:4" x14ac:dyDescent="0.2">
      <c r="A112" s="1293">
        <v>30925</v>
      </c>
      <c r="B112" s="1292"/>
      <c r="C112" s="1294"/>
      <c r="D112" s="1292"/>
    </row>
    <row r="113" spans="1:4" x14ac:dyDescent="0.2">
      <c r="A113" s="1293">
        <v>30955</v>
      </c>
      <c r="B113" s="1292"/>
      <c r="C113" s="1294"/>
      <c r="D113" s="1292"/>
    </row>
    <row r="114" spans="1:4" x14ac:dyDescent="0.2">
      <c r="A114" s="1293">
        <v>30986</v>
      </c>
      <c r="B114" s="1292"/>
      <c r="C114" s="1294"/>
      <c r="D114" s="1292"/>
    </row>
    <row r="115" spans="1:4" x14ac:dyDescent="0.2">
      <c r="A115" s="1293">
        <v>31016</v>
      </c>
      <c r="B115" s="1292"/>
      <c r="C115" s="1294"/>
      <c r="D115" s="1292"/>
    </row>
    <row r="116" spans="1:4" x14ac:dyDescent="0.2">
      <c r="A116" s="1293">
        <v>31047</v>
      </c>
      <c r="B116" s="1292"/>
      <c r="C116" s="1294"/>
      <c r="D116" s="1292"/>
    </row>
    <row r="117" spans="1:4" x14ac:dyDescent="0.2">
      <c r="A117" s="1293">
        <v>31078</v>
      </c>
      <c r="B117" s="1292"/>
      <c r="C117" s="1294"/>
      <c r="D117" s="1292"/>
    </row>
    <row r="118" spans="1:4" x14ac:dyDescent="0.2">
      <c r="A118" s="1293">
        <v>31106</v>
      </c>
      <c r="B118" s="1292"/>
      <c r="C118" s="1294"/>
      <c r="D118" s="1292"/>
    </row>
    <row r="119" spans="1:4" x14ac:dyDescent="0.2">
      <c r="A119" s="1293">
        <v>31137</v>
      </c>
      <c r="B119" s="1292"/>
      <c r="C119" s="1294"/>
      <c r="D119" s="1292"/>
    </row>
    <row r="120" spans="1:4" x14ac:dyDescent="0.2">
      <c r="A120" s="1293">
        <v>31167</v>
      </c>
      <c r="B120" s="1292"/>
      <c r="C120" s="1294"/>
      <c r="D120" s="1292"/>
    </row>
    <row r="121" spans="1:4" x14ac:dyDescent="0.2">
      <c r="A121" s="1293">
        <v>31198</v>
      </c>
      <c r="B121" s="1292"/>
      <c r="C121" s="1294"/>
      <c r="D121" s="1292"/>
    </row>
    <row r="122" spans="1:4" x14ac:dyDescent="0.2">
      <c r="A122" s="1293">
        <v>31228</v>
      </c>
      <c r="B122" s="1292"/>
      <c r="C122" s="1294"/>
      <c r="D122" s="1292"/>
    </row>
    <row r="123" spans="1:4" x14ac:dyDescent="0.2">
      <c r="A123" s="1293">
        <v>31259</v>
      </c>
      <c r="B123" s="1292"/>
      <c r="C123" s="1294"/>
      <c r="D123" s="1292"/>
    </row>
    <row r="124" spans="1:4" x14ac:dyDescent="0.2">
      <c r="A124" s="1293">
        <v>31290</v>
      </c>
      <c r="B124" s="1292"/>
      <c r="C124" s="1294"/>
      <c r="D124" s="1292"/>
    </row>
    <row r="125" spans="1:4" x14ac:dyDescent="0.2">
      <c r="A125" s="1293">
        <v>31320</v>
      </c>
      <c r="B125" s="1292"/>
      <c r="C125" s="1294"/>
      <c r="D125" s="1292"/>
    </row>
    <row r="126" spans="1:4" x14ac:dyDescent="0.2">
      <c r="A126" s="1293">
        <v>31351</v>
      </c>
      <c r="B126" s="1292"/>
      <c r="C126" s="1294"/>
      <c r="D126" s="1292"/>
    </row>
    <row r="127" spans="1:4" x14ac:dyDescent="0.2">
      <c r="A127" s="1293">
        <v>31381</v>
      </c>
      <c r="B127" s="1292"/>
      <c r="C127" s="1294"/>
      <c r="D127" s="1292"/>
    </row>
    <row r="128" spans="1:4" x14ac:dyDescent="0.2">
      <c r="A128" s="1293">
        <v>31412</v>
      </c>
      <c r="B128" s="1292"/>
      <c r="C128" s="1294"/>
      <c r="D128" s="1292"/>
    </row>
    <row r="129" spans="1:4" x14ac:dyDescent="0.2">
      <c r="A129" s="1293">
        <v>31443</v>
      </c>
      <c r="B129" s="1292"/>
      <c r="C129" s="1294"/>
      <c r="D129" s="1292"/>
    </row>
    <row r="130" spans="1:4" x14ac:dyDescent="0.2">
      <c r="A130" s="1293">
        <v>31471</v>
      </c>
      <c r="B130" s="1292"/>
      <c r="C130" s="1294"/>
      <c r="D130" s="1292"/>
    </row>
    <row r="131" spans="1:4" x14ac:dyDescent="0.2">
      <c r="A131" s="1293">
        <v>31502</v>
      </c>
      <c r="B131" s="1292"/>
      <c r="C131" s="1294"/>
      <c r="D131" s="1292"/>
    </row>
    <row r="132" spans="1:4" x14ac:dyDescent="0.2">
      <c r="A132" s="1293">
        <v>31532</v>
      </c>
      <c r="B132" s="1292"/>
      <c r="C132" s="1294"/>
      <c r="D132" s="1292"/>
    </row>
    <row r="133" spans="1:4" x14ac:dyDescent="0.2">
      <c r="A133" s="1293">
        <v>31563</v>
      </c>
      <c r="B133" s="1292"/>
      <c r="C133" s="1294"/>
      <c r="D133" s="1292"/>
    </row>
    <row r="134" spans="1:4" x14ac:dyDescent="0.2">
      <c r="A134" s="1293">
        <v>31593</v>
      </c>
      <c r="B134" s="1292"/>
      <c r="C134" s="1294"/>
      <c r="D134" s="1292"/>
    </row>
    <row r="135" spans="1:4" x14ac:dyDescent="0.2">
      <c r="A135" s="1293">
        <v>31624</v>
      </c>
      <c r="B135" s="1292"/>
      <c r="C135" s="1294"/>
      <c r="D135" s="1292"/>
    </row>
    <row r="136" spans="1:4" x14ac:dyDescent="0.2">
      <c r="A136" s="1293">
        <v>31655</v>
      </c>
      <c r="B136" s="1292"/>
      <c r="C136" s="1294"/>
      <c r="D136" s="1292"/>
    </row>
    <row r="137" spans="1:4" x14ac:dyDescent="0.2">
      <c r="A137" s="1293">
        <v>31685</v>
      </c>
      <c r="B137" s="1292"/>
      <c r="C137" s="1294"/>
      <c r="D137" s="1292"/>
    </row>
    <row r="138" spans="1:4" x14ac:dyDescent="0.2">
      <c r="A138" s="1293">
        <v>31716</v>
      </c>
      <c r="B138" s="1292"/>
      <c r="C138" s="1294"/>
      <c r="D138" s="1292"/>
    </row>
    <row r="139" spans="1:4" x14ac:dyDescent="0.2">
      <c r="A139" s="1293">
        <v>31746</v>
      </c>
      <c r="B139" s="1292"/>
      <c r="C139" s="1294"/>
      <c r="D139" s="1292"/>
    </row>
    <row r="140" spans="1:4" x14ac:dyDescent="0.2">
      <c r="A140" s="1293">
        <v>31777</v>
      </c>
      <c r="B140" s="1292"/>
      <c r="C140" s="1294"/>
      <c r="D140" s="1292"/>
    </row>
    <row r="141" spans="1:4" x14ac:dyDescent="0.2">
      <c r="A141" s="1293">
        <v>31808</v>
      </c>
      <c r="B141" s="1295"/>
      <c r="C141" s="1296"/>
      <c r="D141" s="1295"/>
    </row>
    <row r="142" spans="1:4" x14ac:dyDescent="0.2">
      <c r="A142" s="1293">
        <v>31836</v>
      </c>
      <c r="B142" s="1295"/>
      <c r="C142" s="1296"/>
      <c r="D142" s="1295"/>
    </row>
    <row r="143" spans="1:4" x14ac:dyDescent="0.2">
      <c r="A143" s="1293">
        <v>31867</v>
      </c>
      <c r="B143" s="1295"/>
      <c r="C143" s="1296"/>
      <c r="D143" s="1295"/>
    </row>
    <row r="144" spans="1:4" x14ac:dyDescent="0.2">
      <c r="A144" s="1293">
        <v>31897</v>
      </c>
      <c r="B144" s="1295"/>
      <c r="C144" s="1296"/>
      <c r="D144" s="1295"/>
    </row>
    <row r="145" spans="1:4" x14ac:dyDescent="0.2">
      <c r="A145" s="1293">
        <v>31928</v>
      </c>
      <c r="B145" s="1295"/>
      <c r="C145" s="1296"/>
      <c r="D145" s="1295"/>
    </row>
    <row r="146" spans="1:4" x14ac:dyDescent="0.2">
      <c r="A146" s="1293">
        <v>31958</v>
      </c>
      <c r="B146" s="1295"/>
      <c r="C146" s="1296"/>
      <c r="D146" s="1295"/>
    </row>
    <row r="147" spans="1:4" x14ac:dyDescent="0.2">
      <c r="A147" s="1293">
        <v>31989</v>
      </c>
      <c r="B147" s="1295"/>
      <c r="C147" s="1296"/>
      <c r="D147" s="1295"/>
    </row>
    <row r="148" spans="1:4" x14ac:dyDescent="0.2">
      <c r="A148" s="1293">
        <v>32020</v>
      </c>
      <c r="B148" s="1295"/>
      <c r="C148" s="1296"/>
      <c r="D148" s="1295"/>
    </row>
    <row r="149" spans="1:4" x14ac:dyDescent="0.2">
      <c r="A149" s="1293">
        <v>32050</v>
      </c>
      <c r="B149" s="1295"/>
      <c r="C149" s="1296"/>
      <c r="D149" s="1295"/>
    </row>
    <row r="150" spans="1:4" x14ac:dyDescent="0.2">
      <c r="A150" s="1293">
        <v>32081</v>
      </c>
      <c r="B150" s="1295"/>
      <c r="C150" s="1296"/>
      <c r="D150" s="1295"/>
    </row>
    <row r="151" spans="1:4" x14ac:dyDescent="0.2">
      <c r="A151" s="1293">
        <v>32111</v>
      </c>
      <c r="B151" s="1295"/>
      <c r="C151" s="1296"/>
      <c r="D151" s="1295"/>
    </row>
    <row r="152" spans="1:4" x14ac:dyDescent="0.2">
      <c r="A152" s="1293">
        <v>32142</v>
      </c>
      <c r="B152" s="1295"/>
      <c r="C152" s="1296"/>
      <c r="D152" s="1295"/>
    </row>
    <row r="153" spans="1:4" x14ac:dyDescent="0.2">
      <c r="A153" s="1293">
        <v>32173</v>
      </c>
      <c r="B153" s="1295"/>
      <c r="C153" s="1296"/>
      <c r="D153" s="1295"/>
    </row>
    <row r="154" spans="1:4" x14ac:dyDescent="0.2">
      <c r="A154" s="1293">
        <v>32202</v>
      </c>
      <c r="B154" s="1295"/>
      <c r="C154" s="1296"/>
      <c r="D154" s="1295"/>
    </row>
    <row r="155" spans="1:4" x14ac:dyDescent="0.2">
      <c r="A155" s="1293">
        <v>32233</v>
      </c>
      <c r="B155" s="1295"/>
      <c r="C155" s="1296"/>
      <c r="D155" s="1295"/>
    </row>
    <row r="156" spans="1:4" x14ac:dyDescent="0.2">
      <c r="A156" s="1293">
        <v>32263</v>
      </c>
      <c r="B156" s="1295"/>
      <c r="C156" s="1296"/>
      <c r="D156" s="1295"/>
    </row>
    <row r="157" spans="1:4" x14ac:dyDescent="0.2">
      <c r="A157" s="1293">
        <v>32294</v>
      </c>
      <c r="B157" s="1295"/>
      <c r="C157" s="1296"/>
      <c r="D157" s="1295"/>
    </row>
    <row r="158" spans="1:4" x14ac:dyDescent="0.2">
      <c r="A158" s="1293">
        <v>32324</v>
      </c>
      <c r="B158" s="1295"/>
      <c r="C158" s="1296"/>
      <c r="D158" s="1295"/>
    </row>
    <row r="159" spans="1:4" x14ac:dyDescent="0.2">
      <c r="A159" s="1293">
        <v>32355</v>
      </c>
      <c r="B159" s="1295"/>
      <c r="C159" s="1296"/>
      <c r="D159" s="1295"/>
    </row>
    <row r="160" spans="1:4" x14ac:dyDescent="0.2">
      <c r="A160" s="1293">
        <v>32386</v>
      </c>
      <c r="B160" s="1295"/>
      <c r="C160" s="1296"/>
      <c r="D160" s="1295"/>
    </row>
    <row r="161" spans="1:4" x14ac:dyDescent="0.2">
      <c r="A161" s="1293">
        <v>32416</v>
      </c>
      <c r="B161" s="1295"/>
      <c r="C161" s="1296"/>
      <c r="D161" s="1295"/>
    </row>
    <row r="162" spans="1:4" x14ac:dyDescent="0.2">
      <c r="A162" s="1293">
        <v>32447</v>
      </c>
      <c r="B162" s="1295"/>
      <c r="C162" s="1296"/>
      <c r="D162" s="1295"/>
    </row>
    <row r="163" spans="1:4" x14ac:dyDescent="0.2">
      <c r="A163" s="1293">
        <v>32477</v>
      </c>
      <c r="B163" s="1295"/>
      <c r="C163" s="1296"/>
      <c r="D163" s="1295"/>
    </row>
    <row r="164" spans="1:4" x14ac:dyDescent="0.2">
      <c r="A164" s="1293">
        <v>32508</v>
      </c>
      <c r="B164" s="1295"/>
      <c r="C164" s="1296"/>
      <c r="D164" s="1295"/>
    </row>
    <row r="165" spans="1:4" x14ac:dyDescent="0.2">
      <c r="A165" s="1293">
        <v>32539</v>
      </c>
      <c r="B165" s="1295"/>
      <c r="C165" s="1296"/>
      <c r="D165" s="1295"/>
    </row>
    <row r="166" spans="1:4" x14ac:dyDescent="0.2">
      <c r="A166" s="1293">
        <v>32567</v>
      </c>
      <c r="B166" s="1295"/>
      <c r="C166" s="1296"/>
      <c r="D166" s="1295"/>
    </row>
    <row r="167" spans="1:4" x14ac:dyDescent="0.2">
      <c r="A167" s="1293">
        <v>32598</v>
      </c>
      <c r="B167" s="1295"/>
      <c r="C167" s="1296"/>
      <c r="D167" s="1295"/>
    </row>
    <row r="168" spans="1:4" x14ac:dyDescent="0.2">
      <c r="A168" s="1293">
        <v>32628</v>
      </c>
      <c r="B168" s="1295"/>
      <c r="C168" s="1296"/>
      <c r="D168" s="1295"/>
    </row>
    <row r="169" spans="1:4" x14ac:dyDescent="0.2">
      <c r="A169" s="1293">
        <v>32659</v>
      </c>
      <c r="B169" s="1295"/>
      <c r="C169" s="1296"/>
      <c r="D169" s="1295"/>
    </row>
    <row r="170" spans="1:4" x14ac:dyDescent="0.2">
      <c r="A170" s="1293">
        <v>32689</v>
      </c>
      <c r="B170" s="1295"/>
      <c r="C170" s="1296"/>
      <c r="D170" s="1295"/>
    </row>
    <row r="171" spans="1:4" x14ac:dyDescent="0.2">
      <c r="A171" s="1293">
        <v>32720</v>
      </c>
      <c r="B171" s="1295"/>
      <c r="C171" s="1296"/>
      <c r="D171" s="1295"/>
    </row>
    <row r="172" spans="1:4" x14ac:dyDescent="0.2">
      <c r="A172" s="1293">
        <v>32751</v>
      </c>
      <c r="B172" s="1295"/>
      <c r="C172" s="1296"/>
      <c r="D172" s="1295"/>
    </row>
    <row r="173" spans="1:4" x14ac:dyDescent="0.2">
      <c r="A173" s="1293">
        <v>32781</v>
      </c>
      <c r="B173" s="1295"/>
      <c r="C173" s="1296"/>
      <c r="D173" s="1295"/>
    </row>
    <row r="174" spans="1:4" x14ac:dyDescent="0.2">
      <c r="A174" s="1293">
        <v>32812</v>
      </c>
      <c r="B174" s="1295"/>
      <c r="C174" s="1296"/>
      <c r="D174" s="1295"/>
    </row>
    <row r="175" spans="1:4" x14ac:dyDescent="0.2">
      <c r="A175" s="1293">
        <v>32842</v>
      </c>
      <c r="B175" s="1295"/>
      <c r="C175" s="1296"/>
      <c r="D175" s="1295"/>
    </row>
    <row r="176" spans="1:4" x14ac:dyDescent="0.2">
      <c r="A176" s="1293">
        <v>32873</v>
      </c>
      <c r="B176" s="1295"/>
      <c r="C176" s="1296"/>
      <c r="D176" s="1295"/>
    </row>
    <row r="177" spans="1:4" x14ac:dyDescent="0.2">
      <c r="A177" s="1293">
        <v>32904</v>
      </c>
      <c r="B177" s="1295"/>
      <c r="C177" s="1296"/>
      <c r="D177" s="1295"/>
    </row>
    <row r="178" spans="1:4" x14ac:dyDescent="0.2">
      <c r="A178" s="1293">
        <v>32932</v>
      </c>
      <c r="B178" s="1295"/>
      <c r="C178" s="1296"/>
      <c r="D178" s="1295"/>
    </row>
    <row r="179" spans="1:4" x14ac:dyDescent="0.2">
      <c r="A179" s="1293">
        <v>32963</v>
      </c>
      <c r="B179" s="1295"/>
      <c r="C179" s="1296"/>
      <c r="D179" s="1295"/>
    </row>
    <row r="180" spans="1:4" x14ac:dyDescent="0.2">
      <c r="A180" s="1293">
        <v>32993</v>
      </c>
      <c r="B180" s="1295"/>
      <c r="C180" s="1296"/>
      <c r="D180" s="1295"/>
    </row>
    <row r="181" spans="1:4" x14ac:dyDescent="0.2">
      <c r="A181" s="1293">
        <v>33024</v>
      </c>
      <c r="B181" s="1295"/>
      <c r="C181" s="1296"/>
      <c r="D181" s="1295"/>
    </row>
    <row r="182" spans="1:4" x14ac:dyDescent="0.2">
      <c r="A182" s="1293">
        <v>33054</v>
      </c>
      <c r="B182" s="1295"/>
      <c r="C182" s="1296"/>
      <c r="D182" s="1295"/>
    </row>
    <row r="183" spans="1:4" x14ac:dyDescent="0.2">
      <c r="A183" s="1293">
        <v>33085</v>
      </c>
      <c r="B183" s="1295"/>
      <c r="C183" s="1296"/>
      <c r="D183" s="1295"/>
    </row>
    <row r="184" spans="1:4" x14ac:dyDescent="0.2">
      <c r="A184" s="1293">
        <v>33116</v>
      </c>
      <c r="B184" s="1295"/>
      <c r="C184" s="1296"/>
      <c r="D184" s="1295"/>
    </row>
    <row r="185" spans="1:4" x14ac:dyDescent="0.2">
      <c r="A185" s="1293">
        <v>33146</v>
      </c>
      <c r="B185" s="1295"/>
      <c r="C185" s="1296"/>
      <c r="D185" s="1295"/>
    </row>
    <row r="186" spans="1:4" x14ac:dyDescent="0.2">
      <c r="A186" s="1293">
        <v>33177</v>
      </c>
      <c r="B186" s="1295"/>
      <c r="C186" s="1296"/>
      <c r="D186" s="1295"/>
    </row>
    <row r="187" spans="1:4" x14ac:dyDescent="0.2">
      <c r="A187" s="1293">
        <v>33207</v>
      </c>
      <c r="B187" s="1295"/>
      <c r="C187" s="1296"/>
      <c r="D187" s="1295"/>
    </row>
    <row r="188" spans="1:4" x14ac:dyDescent="0.2">
      <c r="A188" s="1293">
        <v>33238</v>
      </c>
      <c r="B188" s="1295"/>
      <c r="C188" s="1296"/>
      <c r="D188" s="1295"/>
    </row>
    <row r="189" spans="1:4" x14ac:dyDescent="0.2">
      <c r="A189" s="1293">
        <v>33269</v>
      </c>
      <c r="B189" s="1295"/>
      <c r="C189" s="1296"/>
      <c r="D189" s="1295"/>
    </row>
    <row r="190" spans="1:4" x14ac:dyDescent="0.2">
      <c r="A190" s="1293">
        <v>33297</v>
      </c>
      <c r="B190" s="1295"/>
      <c r="C190" s="1296"/>
      <c r="D190" s="1295"/>
    </row>
    <row r="191" spans="1:4" x14ac:dyDescent="0.2">
      <c r="A191" s="1293">
        <v>33328</v>
      </c>
      <c r="B191" s="1295"/>
      <c r="C191" s="1296"/>
      <c r="D191" s="1295"/>
    </row>
    <row r="192" spans="1:4" x14ac:dyDescent="0.2">
      <c r="A192" s="1293">
        <v>33358</v>
      </c>
      <c r="B192" s="1295"/>
      <c r="C192" s="1296"/>
      <c r="D192" s="1295"/>
    </row>
    <row r="193" spans="1:4" x14ac:dyDescent="0.2">
      <c r="A193" s="1293">
        <v>33389</v>
      </c>
      <c r="B193" s="1295"/>
      <c r="C193" s="1296"/>
      <c r="D193" s="1295"/>
    </row>
    <row r="194" spans="1:4" x14ac:dyDescent="0.2">
      <c r="A194" s="1293">
        <v>33419</v>
      </c>
      <c r="B194" s="1295"/>
      <c r="C194" s="1296"/>
      <c r="D194" s="1295"/>
    </row>
    <row r="195" spans="1:4" x14ac:dyDescent="0.2">
      <c r="A195" s="1293">
        <v>33450</v>
      </c>
      <c r="B195" s="1295"/>
      <c r="C195" s="1296"/>
      <c r="D195" s="1295"/>
    </row>
    <row r="196" spans="1:4" x14ac:dyDescent="0.2">
      <c r="A196" s="1293">
        <v>33481</v>
      </c>
      <c r="B196" s="1295"/>
      <c r="C196" s="1296"/>
      <c r="D196" s="1295"/>
    </row>
    <row r="197" spans="1:4" x14ac:dyDescent="0.2">
      <c r="A197" s="1293">
        <v>33511</v>
      </c>
      <c r="B197" s="1295"/>
      <c r="C197" s="1296"/>
      <c r="D197" s="1295"/>
    </row>
    <row r="198" spans="1:4" x14ac:dyDescent="0.2">
      <c r="A198" s="1293">
        <v>33542</v>
      </c>
      <c r="B198" s="1295"/>
      <c r="C198" s="1296"/>
      <c r="D198" s="1295"/>
    </row>
    <row r="199" spans="1:4" x14ac:dyDescent="0.2">
      <c r="A199" s="1293">
        <v>33572</v>
      </c>
      <c r="B199" s="1295"/>
      <c r="C199" s="1296"/>
      <c r="D199" s="1295"/>
    </row>
    <row r="200" spans="1:4" x14ac:dyDescent="0.2">
      <c r="A200" s="1293">
        <v>33603</v>
      </c>
      <c r="B200" s="1295"/>
      <c r="C200" s="1296"/>
      <c r="D200" s="1295"/>
    </row>
    <row r="201" spans="1:4" x14ac:dyDescent="0.2">
      <c r="A201" s="1293">
        <v>33634</v>
      </c>
      <c r="B201" s="1295"/>
      <c r="C201" s="1296"/>
      <c r="D201" s="1295"/>
    </row>
    <row r="202" spans="1:4" x14ac:dyDescent="0.2">
      <c r="A202" s="1293">
        <v>33663</v>
      </c>
      <c r="B202" s="1295"/>
      <c r="C202" s="1296"/>
      <c r="D202" s="1295"/>
    </row>
    <row r="203" spans="1:4" x14ac:dyDescent="0.2">
      <c r="A203" s="1293">
        <v>33694</v>
      </c>
      <c r="B203" s="1295"/>
      <c r="C203" s="1296"/>
      <c r="D203" s="1295"/>
    </row>
    <row r="204" spans="1:4" x14ac:dyDescent="0.2">
      <c r="A204" s="1293">
        <v>33724</v>
      </c>
      <c r="B204" s="1295"/>
      <c r="C204" s="1296"/>
      <c r="D204" s="1295"/>
    </row>
    <row r="205" spans="1:4" x14ac:dyDescent="0.2">
      <c r="A205" s="1293">
        <v>33755</v>
      </c>
      <c r="B205" s="1295"/>
      <c r="C205" s="1296"/>
      <c r="D205" s="1295"/>
    </row>
    <row r="206" spans="1:4" x14ac:dyDescent="0.2">
      <c r="A206" s="1293">
        <v>33785</v>
      </c>
      <c r="B206" s="1295"/>
      <c r="C206" s="1296"/>
      <c r="D206" s="1295"/>
    </row>
    <row r="207" spans="1:4" x14ac:dyDescent="0.2">
      <c r="A207" s="1293">
        <v>33816</v>
      </c>
      <c r="B207" s="1295"/>
      <c r="C207" s="1296"/>
      <c r="D207" s="1295"/>
    </row>
    <row r="208" spans="1:4" x14ac:dyDescent="0.2">
      <c r="A208" s="1293">
        <v>33847</v>
      </c>
      <c r="B208" s="1295"/>
      <c r="C208" s="1296"/>
      <c r="D208" s="1295"/>
    </row>
    <row r="209" spans="1:4" x14ac:dyDescent="0.2">
      <c r="A209" s="1293">
        <v>33877</v>
      </c>
      <c r="B209" s="1295"/>
      <c r="C209" s="1296"/>
      <c r="D209" s="1295"/>
    </row>
    <row r="210" spans="1:4" x14ac:dyDescent="0.2">
      <c r="A210" s="1293">
        <v>33908</v>
      </c>
      <c r="B210" s="1295"/>
      <c r="C210" s="1296"/>
      <c r="D210" s="1295"/>
    </row>
    <row r="211" spans="1:4" x14ac:dyDescent="0.2">
      <c r="A211" s="1293">
        <v>33938</v>
      </c>
      <c r="B211" s="1295"/>
      <c r="C211" s="1296"/>
      <c r="D211" s="1295"/>
    </row>
    <row r="212" spans="1:4" x14ac:dyDescent="0.2">
      <c r="A212" s="1293">
        <v>33969</v>
      </c>
      <c r="B212" s="1295"/>
      <c r="C212" s="1296"/>
      <c r="D212" s="1295"/>
    </row>
    <row r="213" spans="1:4" x14ac:dyDescent="0.2">
      <c r="A213" s="1293">
        <v>34000</v>
      </c>
      <c r="B213" s="1295"/>
      <c r="C213" s="1296"/>
      <c r="D213" s="1295"/>
    </row>
    <row r="214" spans="1:4" x14ac:dyDescent="0.2">
      <c r="A214" s="1293">
        <v>34028</v>
      </c>
      <c r="B214" s="1295"/>
      <c r="C214" s="1296"/>
      <c r="D214" s="1295"/>
    </row>
    <row r="215" spans="1:4" x14ac:dyDescent="0.2">
      <c r="A215" s="1293">
        <v>34059</v>
      </c>
      <c r="B215" s="1295"/>
      <c r="C215" s="1296"/>
      <c r="D215" s="1295"/>
    </row>
    <row r="216" spans="1:4" x14ac:dyDescent="0.2">
      <c r="A216" s="1293">
        <v>34089</v>
      </c>
      <c r="B216" s="1295"/>
      <c r="C216" s="1296"/>
      <c r="D216" s="1295"/>
    </row>
    <row r="217" spans="1:4" x14ac:dyDescent="0.2">
      <c r="A217" s="1293">
        <v>34120</v>
      </c>
      <c r="B217" s="1295"/>
      <c r="C217" s="1296"/>
      <c r="D217" s="1295"/>
    </row>
    <row r="218" spans="1:4" x14ac:dyDescent="0.2">
      <c r="A218" s="1293">
        <v>34150</v>
      </c>
      <c r="B218" s="1295"/>
      <c r="C218" s="1296"/>
      <c r="D218" s="1295"/>
    </row>
    <row r="219" spans="1:4" x14ac:dyDescent="0.2">
      <c r="A219" s="1293">
        <v>34181</v>
      </c>
      <c r="B219" s="1295"/>
      <c r="C219" s="1296"/>
      <c r="D219" s="1295"/>
    </row>
    <row r="220" spans="1:4" x14ac:dyDescent="0.2">
      <c r="A220" s="1293">
        <v>34212</v>
      </c>
      <c r="B220" s="1295"/>
      <c r="C220" s="1296"/>
      <c r="D220" s="1295"/>
    </row>
    <row r="221" spans="1:4" x14ac:dyDescent="0.2">
      <c r="A221" s="1293">
        <v>34242</v>
      </c>
      <c r="B221" s="1295"/>
      <c r="C221" s="1296"/>
      <c r="D221" s="1295"/>
    </row>
    <row r="222" spans="1:4" x14ac:dyDescent="0.2">
      <c r="A222" s="1293">
        <v>34273</v>
      </c>
      <c r="B222" s="1295"/>
      <c r="C222" s="1296"/>
      <c r="D222" s="1295"/>
    </row>
    <row r="223" spans="1:4" x14ac:dyDescent="0.2">
      <c r="A223" s="1293">
        <v>34303</v>
      </c>
      <c r="B223" s="1295"/>
      <c r="C223" s="1296"/>
      <c r="D223" s="1295"/>
    </row>
    <row r="224" spans="1:4" x14ac:dyDescent="0.2">
      <c r="A224" s="1293">
        <v>34334</v>
      </c>
      <c r="B224" s="1295"/>
      <c r="C224" s="1296"/>
      <c r="D224" s="1295"/>
    </row>
    <row r="225" spans="1:4" x14ac:dyDescent="0.2">
      <c r="A225" s="1293">
        <v>34365</v>
      </c>
      <c r="B225" s="1295"/>
      <c r="C225" s="1296"/>
      <c r="D225" s="1295"/>
    </row>
    <row r="226" spans="1:4" x14ac:dyDescent="0.2">
      <c r="A226" s="1293">
        <v>34393</v>
      </c>
      <c r="B226" s="1295"/>
      <c r="C226" s="1296"/>
      <c r="D226" s="1295"/>
    </row>
    <row r="227" spans="1:4" x14ac:dyDescent="0.2">
      <c r="A227" s="1293">
        <v>34424</v>
      </c>
      <c r="B227" s="1295"/>
      <c r="C227" s="1296"/>
      <c r="D227" s="1295"/>
    </row>
    <row r="228" spans="1:4" x14ac:dyDescent="0.2">
      <c r="A228" s="1293">
        <v>34454</v>
      </c>
      <c r="B228" s="1295"/>
      <c r="C228" s="1296"/>
      <c r="D228" s="1295"/>
    </row>
    <row r="229" spans="1:4" x14ac:dyDescent="0.2">
      <c r="A229" s="1293">
        <v>34485</v>
      </c>
      <c r="B229" s="1295"/>
      <c r="C229" s="1296"/>
      <c r="D229" s="1295"/>
    </row>
    <row r="230" spans="1:4" x14ac:dyDescent="0.2">
      <c r="A230" s="1293">
        <v>34515</v>
      </c>
      <c r="B230" s="1295"/>
      <c r="C230" s="1296"/>
      <c r="D230" s="1295"/>
    </row>
    <row r="231" spans="1:4" x14ac:dyDescent="0.2">
      <c r="A231" s="1293">
        <v>34546</v>
      </c>
      <c r="B231" s="1295"/>
      <c r="C231" s="1296"/>
      <c r="D231" s="1295"/>
    </row>
    <row r="232" spans="1:4" x14ac:dyDescent="0.2">
      <c r="A232" s="1293">
        <v>34577</v>
      </c>
      <c r="B232" s="1295"/>
      <c r="C232" s="1296"/>
      <c r="D232" s="1295"/>
    </row>
    <row r="233" spans="1:4" x14ac:dyDescent="0.2">
      <c r="A233" s="1293">
        <v>34607</v>
      </c>
      <c r="B233" s="1295"/>
      <c r="C233" s="1296"/>
      <c r="D233" s="1295"/>
    </row>
    <row r="234" spans="1:4" x14ac:dyDescent="0.2">
      <c r="A234" s="1293">
        <v>34638</v>
      </c>
      <c r="B234" s="1295"/>
      <c r="C234" s="1296"/>
      <c r="D234" s="1295"/>
    </row>
    <row r="235" spans="1:4" x14ac:dyDescent="0.2">
      <c r="A235" s="1293">
        <v>34668</v>
      </c>
      <c r="B235" s="1295"/>
      <c r="C235" s="1296"/>
      <c r="D235" s="1295"/>
    </row>
    <row r="236" spans="1:4" x14ac:dyDescent="0.2">
      <c r="A236" s="1293">
        <v>34699</v>
      </c>
      <c r="B236" s="1295"/>
      <c r="C236" s="1296"/>
      <c r="D236" s="1295"/>
    </row>
    <row r="237" spans="1:4" x14ac:dyDescent="0.2">
      <c r="A237" s="1293">
        <v>34730</v>
      </c>
      <c r="B237" s="1295"/>
      <c r="C237" s="1296"/>
      <c r="D237" s="1295"/>
    </row>
    <row r="238" spans="1:4" x14ac:dyDescent="0.2">
      <c r="A238" s="1293">
        <v>34758</v>
      </c>
      <c r="B238" s="1295"/>
      <c r="C238" s="1296"/>
      <c r="D238" s="1295"/>
    </row>
    <row r="239" spans="1:4" x14ac:dyDescent="0.2">
      <c r="A239" s="1293">
        <v>34789</v>
      </c>
      <c r="B239" s="1295"/>
      <c r="C239" s="1296"/>
      <c r="D239" s="1295"/>
    </row>
    <row r="240" spans="1:4" x14ac:dyDescent="0.2">
      <c r="A240" s="1293">
        <v>34819</v>
      </c>
      <c r="B240" s="1295"/>
      <c r="C240" s="1296"/>
      <c r="D240" s="1295"/>
    </row>
    <row r="241" spans="1:4" x14ac:dyDescent="0.2">
      <c r="A241" s="1293">
        <v>34850</v>
      </c>
      <c r="B241" s="1295"/>
      <c r="C241" s="1296"/>
      <c r="D241" s="1295"/>
    </row>
    <row r="242" spans="1:4" x14ac:dyDescent="0.2">
      <c r="A242" s="1293">
        <v>34880</v>
      </c>
      <c r="B242" s="1295"/>
      <c r="C242" s="1296"/>
      <c r="D242" s="1295"/>
    </row>
    <row r="243" spans="1:4" x14ac:dyDescent="0.2">
      <c r="A243" s="1293">
        <v>34911</v>
      </c>
      <c r="B243" s="1295"/>
      <c r="C243" s="1296"/>
      <c r="D243" s="1295"/>
    </row>
    <row r="244" spans="1:4" x14ac:dyDescent="0.2">
      <c r="A244" s="1293">
        <v>34942</v>
      </c>
      <c r="B244" s="1295"/>
      <c r="C244" s="1296"/>
      <c r="D244" s="1295"/>
    </row>
    <row r="245" spans="1:4" x14ac:dyDescent="0.2">
      <c r="A245" s="1293">
        <v>34972</v>
      </c>
      <c r="B245" s="1295"/>
      <c r="C245" s="1296"/>
      <c r="D245" s="1295"/>
    </row>
    <row r="246" spans="1:4" x14ac:dyDescent="0.2">
      <c r="A246" s="1293">
        <v>35003</v>
      </c>
      <c r="B246" s="1295"/>
      <c r="C246" s="1296"/>
      <c r="D246" s="1295"/>
    </row>
    <row r="247" spans="1:4" x14ac:dyDescent="0.2">
      <c r="A247" s="1293">
        <v>35033</v>
      </c>
      <c r="B247" s="1295"/>
      <c r="C247" s="1296"/>
      <c r="D247" s="1295"/>
    </row>
    <row r="248" spans="1:4" x14ac:dyDescent="0.2">
      <c r="A248" s="1293">
        <v>35064</v>
      </c>
      <c r="B248" s="1295"/>
      <c r="C248" s="1296"/>
      <c r="D248" s="1295"/>
    </row>
    <row r="249" spans="1:4" x14ac:dyDescent="0.2">
      <c r="A249" s="1293">
        <v>35095</v>
      </c>
      <c r="B249" s="1295"/>
      <c r="C249" s="1296"/>
      <c r="D249" s="1295"/>
    </row>
    <row r="250" spans="1:4" x14ac:dyDescent="0.2">
      <c r="A250" s="1293">
        <v>35124</v>
      </c>
      <c r="B250" s="1295"/>
      <c r="C250" s="1296"/>
      <c r="D250" s="1295"/>
    </row>
    <row r="251" spans="1:4" x14ac:dyDescent="0.2">
      <c r="A251" s="1293">
        <v>35155</v>
      </c>
      <c r="B251" s="1295"/>
      <c r="C251" s="1296"/>
      <c r="D251" s="1295"/>
    </row>
    <row r="252" spans="1:4" x14ac:dyDescent="0.2">
      <c r="A252" s="1293">
        <v>35185</v>
      </c>
      <c r="B252" s="1295"/>
      <c r="C252" s="1296"/>
      <c r="D252" s="1295"/>
    </row>
    <row r="253" spans="1:4" x14ac:dyDescent="0.2">
      <c r="A253" s="1293">
        <v>35216</v>
      </c>
      <c r="B253" s="1295"/>
      <c r="C253" s="1296"/>
      <c r="D253" s="1295"/>
    </row>
    <row r="254" spans="1:4" x14ac:dyDescent="0.2">
      <c r="A254" s="1293">
        <v>35246</v>
      </c>
      <c r="B254" s="1295"/>
      <c r="C254" s="1296"/>
      <c r="D254" s="1295"/>
    </row>
    <row r="255" spans="1:4" x14ac:dyDescent="0.2">
      <c r="A255" s="1293">
        <v>35277</v>
      </c>
      <c r="B255" s="1295"/>
      <c r="C255" s="1296"/>
      <c r="D255" s="1295"/>
    </row>
    <row r="256" spans="1:4" x14ac:dyDescent="0.2">
      <c r="A256" s="1293">
        <v>35308</v>
      </c>
      <c r="B256" s="1295"/>
      <c r="C256" s="1296"/>
      <c r="D256" s="1295"/>
    </row>
    <row r="257" spans="1:4" x14ac:dyDescent="0.2">
      <c r="A257" s="1293">
        <v>35338</v>
      </c>
      <c r="B257" s="1295"/>
      <c r="C257" s="1296"/>
      <c r="D257" s="1295"/>
    </row>
    <row r="258" spans="1:4" x14ac:dyDescent="0.2">
      <c r="A258" s="1293">
        <v>35369</v>
      </c>
      <c r="B258" s="1295"/>
      <c r="C258" s="1296"/>
      <c r="D258" s="1295"/>
    </row>
    <row r="259" spans="1:4" x14ac:dyDescent="0.2">
      <c r="A259" s="1293">
        <v>35399</v>
      </c>
      <c r="B259" s="1295"/>
      <c r="C259" s="1296"/>
      <c r="D259" s="1295"/>
    </row>
    <row r="260" spans="1:4" x14ac:dyDescent="0.2">
      <c r="A260" s="1293">
        <v>35430</v>
      </c>
      <c r="B260" s="1295"/>
      <c r="C260" s="1296"/>
      <c r="D260" s="1295"/>
    </row>
    <row r="261" spans="1:4" x14ac:dyDescent="0.2">
      <c r="A261" s="1293">
        <v>35461</v>
      </c>
      <c r="B261" s="1295"/>
      <c r="C261" s="1296"/>
      <c r="D261" s="1295"/>
    </row>
    <row r="262" spans="1:4" x14ac:dyDescent="0.2">
      <c r="A262" s="1293">
        <v>35489</v>
      </c>
      <c r="B262" s="1295"/>
      <c r="C262" s="1296"/>
      <c r="D262" s="1295"/>
    </row>
    <row r="263" spans="1:4" x14ac:dyDescent="0.2">
      <c r="A263" s="1293">
        <v>35520</v>
      </c>
      <c r="B263" s="1295"/>
      <c r="C263" s="1296"/>
      <c r="D263" s="1295"/>
    </row>
    <row r="264" spans="1:4" x14ac:dyDescent="0.2">
      <c r="A264" s="1293">
        <v>35550</v>
      </c>
      <c r="B264" s="1295"/>
      <c r="C264" s="1296"/>
      <c r="D264" s="1295"/>
    </row>
    <row r="265" spans="1:4" x14ac:dyDescent="0.2">
      <c r="A265" s="1293">
        <v>35581</v>
      </c>
      <c r="B265" s="1295"/>
      <c r="C265" s="1296"/>
      <c r="D265" s="1295"/>
    </row>
    <row r="266" spans="1:4" x14ac:dyDescent="0.2">
      <c r="A266" s="1293">
        <v>35611</v>
      </c>
      <c r="B266" s="1295"/>
      <c r="C266" s="1296"/>
      <c r="D266" s="1295"/>
    </row>
    <row r="267" spans="1:4" x14ac:dyDescent="0.2">
      <c r="A267" s="1293">
        <v>35642</v>
      </c>
      <c r="B267" s="1295"/>
      <c r="C267" s="1296"/>
      <c r="D267" s="1295"/>
    </row>
    <row r="268" spans="1:4" x14ac:dyDescent="0.2">
      <c r="A268" s="1293">
        <v>35673</v>
      </c>
      <c r="B268" s="1295"/>
      <c r="C268" s="1296"/>
      <c r="D268" s="1295"/>
    </row>
    <row r="269" spans="1:4" x14ac:dyDescent="0.2">
      <c r="A269" s="1293">
        <v>35703</v>
      </c>
      <c r="B269" s="1295"/>
      <c r="C269" s="1296"/>
      <c r="D269" s="1295"/>
    </row>
    <row r="270" spans="1:4" x14ac:dyDescent="0.2">
      <c r="A270" s="1293">
        <v>35734</v>
      </c>
      <c r="B270" s="1295"/>
      <c r="C270" s="1296"/>
      <c r="D270" s="1295"/>
    </row>
    <row r="271" spans="1:4" x14ac:dyDescent="0.2">
      <c r="A271" s="1293">
        <v>35764</v>
      </c>
      <c r="B271" s="1295"/>
      <c r="C271" s="1296"/>
      <c r="D271" s="1295"/>
    </row>
    <row r="272" spans="1:4" x14ac:dyDescent="0.2">
      <c r="A272" s="1293">
        <v>35795</v>
      </c>
      <c r="B272" s="1295"/>
      <c r="C272" s="1296"/>
      <c r="D272" s="1295"/>
    </row>
    <row r="273" spans="1:4" x14ac:dyDescent="0.2">
      <c r="A273" s="1293">
        <v>35826</v>
      </c>
      <c r="B273" s="1295"/>
      <c r="C273" s="1296"/>
      <c r="D273" s="1295"/>
    </row>
    <row r="274" spans="1:4" x14ac:dyDescent="0.2">
      <c r="A274" s="1293">
        <v>35854</v>
      </c>
      <c r="B274" s="1295"/>
      <c r="C274" s="1297"/>
      <c r="D274" s="1295"/>
    </row>
    <row r="275" spans="1:4" x14ac:dyDescent="0.2">
      <c r="A275" s="1293">
        <v>35885</v>
      </c>
      <c r="B275" s="1295"/>
      <c r="C275" s="1297"/>
      <c r="D275" s="1295"/>
    </row>
    <row r="276" spans="1:4" x14ac:dyDescent="0.2">
      <c r="A276" s="1293">
        <v>35915</v>
      </c>
      <c r="B276" s="1295"/>
      <c r="C276" s="1297"/>
      <c r="D276" s="1295"/>
    </row>
    <row r="277" spans="1:4" x14ac:dyDescent="0.2">
      <c r="A277" s="1293">
        <v>35946</v>
      </c>
      <c r="B277" s="1295"/>
      <c r="C277" s="1297"/>
      <c r="D277" s="1295"/>
    </row>
    <row r="278" spans="1:4" x14ac:dyDescent="0.2">
      <c r="A278" s="1293">
        <v>35976</v>
      </c>
      <c r="B278" s="1295"/>
      <c r="C278" s="1297"/>
      <c r="D278" s="1295"/>
    </row>
    <row r="279" spans="1:4" x14ac:dyDescent="0.2">
      <c r="A279" s="1293">
        <v>36007</v>
      </c>
      <c r="B279" s="1295"/>
      <c r="C279" s="1297"/>
      <c r="D279" s="1295"/>
    </row>
    <row r="280" spans="1:4" x14ac:dyDescent="0.2">
      <c r="A280" s="1293">
        <v>36038</v>
      </c>
      <c r="B280" s="1295"/>
      <c r="C280" s="1297"/>
      <c r="D280" s="1295"/>
    </row>
    <row r="281" spans="1:4" x14ac:dyDescent="0.2">
      <c r="A281" s="1293">
        <v>36068</v>
      </c>
      <c r="B281" s="1295"/>
      <c r="C281" s="1297"/>
      <c r="D281" s="1295"/>
    </row>
    <row r="282" spans="1:4" x14ac:dyDescent="0.2">
      <c r="A282" s="1293">
        <v>36099</v>
      </c>
      <c r="B282" s="1295"/>
      <c r="C282" s="1297"/>
      <c r="D282" s="1295"/>
    </row>
    <row r="283" spans="1:4" x14ac:dyDescent="0.2">
      <c r="A283" s="1293">
        <v>36129</v>
      </c>
      <c r="B283" s="1295"/>
      <c r="C283" s="1297"/>
      <c r="D283" s="1295"/>
    </row>
    <row r="284" spans="1:4" x14ac:dyDescent="0.2">
      <c r="A284" s="1293">
        <v>36160</v>
      </c>
      <c r="B284" s="1295"/>
      <c r="C284" s="1297"/>
      <c r="D284" s="1295"/>
    </row>
    <row r="285" spans="1:4" x14ac:dyDescent="0.2">
      <c r="A285" s="1293">
        <v>36191</v>
      </c>
      <c r="B285" s="1295"/>
      <c r="C285" s="1297"/>
      <c r="D285" s="1295"/>
    </row>
    <row r="286" spans="1:4" x14ac:dyDescent="0.2">
      <c r="A286" s="1293">
        <v>36219</v>
      </c>
      <c r="B286" s="1295"/>
      <c r="C286" s="1297"/>
      <c r="D286" s="1295"/>
    </row>
    <row r="287" spans="1:4" x14ac:dyDescent="0.2">
      <c r="A287" s="1293">
        <v>36250</v>
      </c>
      <c r="B287" s="1295"/>
      <c r="C287" s="1297"/>
      <c r="D287" s="1295"/>
    </row>
    <row r="288" spans="1:4" x14ac:dyDescent="0.2">
      <c r="A288" s="1293">
        <v>36280</v>
      </c>
      <c r="B288" s="1295"/>
      <c r="C288" s="1297"/>
      <c r="D288" s="1295"/>
    </row>
    <row r="289" spans="1:4" x14ac:dyDescent="0.2">
      <c r="A289" s="1293">
        <v>36311</v>
      </c>
      <c r="B289" s="1295"/>
      <c r="C289" s="1297"/>
      <c r="D289" s="1295"/>
    </row>
    <row r="290" spans="1:4" x14ac:dyDescent="0.2">
      <c r="A290" s="1293">
        <v>36341</v>
      </c>
      <c r="B290" s="1295"/>
      <c r="C290" s="1297"/>
      <c r="D290" s="1295"/>
    </row>
    <row r="291" spans="1:4" x14ac:dyDescent="0.2">
      <c r="A291" s="1293">
        <v>36372</v>
      </c>
      <c r="B291" s="1295"/>
      <c r="C291" s="1297"/>
      <c r="D291" s="1295"/>
    </row>
    <row r="292" spans="1:4" x14ac:dyDescent="0.2">
      <c r="A292" s="1293">
        <v>36403</v>
      </c>
      <c r="B292" s="1295"/>
      <c r="C292" s="1297"/>
      <c r="D292" s="1295"/>
    </row>
    <row r="293" spans="1:4" x14ac:dyDescent="0.2">
      <c r="A293" s="1293">
        <v>36433</v>
      </c>
      <c r="B293" s="1295"/>
      <c r="C293" s="1297"/>
      <c r="D293" s="1295"/>
    </row>
    <row r="294" spans="1:4" x14ac:dyDescent="0.2">
      <c r="A294" s="1293">
        <v>36464</v>
      </c>
      <c r="B294" s="1295"/>
      <c r="C294" s="1297"/>
      <c r="D294" s="1295"/>
    </row>
    <row r="295" spans="1:4" x14ac:dyDescent="0.2">
      <c r="A295" s="1293">
        <v>36494</v>
      </c>
      <c r="B295" s="1295"/>
      <c r="C295" s="1297"/>
      <c r="D295" s="1295"/>
    </row>
    <row r="296" spans="1:4" x14ac:dyDescent="0.2">
      <c r="A296" s="1293">
        <v>36525</v>
      </c>
      <c r="B296" s="1295"/>
      <c r="C296" s="1297"/>
      <c r="D296" s="1295"/>
    </row>
    <row r="297" spans="1:4" x14ac:dyDescent="0.2">
      <c r="A297" s="1293">
        <v>36556</v>
      </c>
      <c r="B297" s="1295"/>
      <c r="C297" s="1297"/>
      <c r="D297" s="1295"/>
    </row>
    <row r="298" spans="1:4" x14ac:dyDescent="0.2">
      <c r="A298" s="1293">
        <v>36585</v>
      </c>
      <c r="B298" s="1295"/>
      <c r="C298" s="1297"/>
      <c r="D298" s="1295"/>
    </row>
    <row r="299" spans="1:4" x14ac:dyDescent="0.2">
      <c r="A299" s="1293">
        <v>36616</v>
      </c>
      <c r="B299" s="1295"/>
      <c r="C299" s="1297"/>
      <c r="D299" s="1295"/>
    </row>
    <row r="300" spans="1:4" x14ac:dyDescent="0.2">
      <c r="A300" s="1293">
        <v>36646</v>
      </c>
      <c r="B300" s="1295"/>
      <c r="C300" s="1297"/>
      <c r="D300" s="1295"/>
    </row>
    <row r="301" spans="1:4" x14ac:dyDescent="0.2">
      <c r="A301" s="1293">
        <v>36677</v>
      </c>
      <c r="B301" s="1295"/>
      <c r="C301" s="1297"/>
      <c r="D301" s="1295"/>
    </row>
    <row r="302" spans="1:4" x14ac:dyDescent="0.2">
      <c r="A302" s="1293">
        <v>36707</v>
      </c>
      <c r="B302" s="1295"/>
      <c r="C302" s="1297"/>
      <c r="D302" s="1295"/>
    </row>
    <row r="303" spans="1:4" x14ac:dyDescent="0.2">
      <c r="A303" s="1293">
        <v>36738</v>
      </c>
      <c r="B303" s="1295"/>
      <c r="C303" s="1297"/>
      <c r="D303" s="1295"/>
    </row>
    <row r="304" spans="1:4" x14ac:dyDescent="0.2">
      <c r="A304" s="1293">
        <v>36769</v>
      </c>
      <c r="B304" s="1295"/>
      <c r="C304" s="1297"/>
      <c r="D304" s="1295"/>
    </row>
    <row r="305" spans="1:4" x14ac:dyDescent="0.2">
      <c r="A305" s="1293">
        <v>36799</v>
      </c>
      <c r="B305" s="1298"/>
      <c r="C305" s="1299"/>
      <c r="D305" s="1295"/>
    </row>
    <row r="306" spans="1:4" x14ac:dyDescent="0.2">
      <c r="A306" s="1293">
        <v>36830</v>
      </c>
      <c r="B306" s="1300"/>
      <c r="C306" s="1299"/>
      <c r="D306" s="1300"/>
    </row>
    <row r="307" spans="1:4" x14ac:dyDescent="0.2">
      <c r="A307" s="1293">
        <v>36860</v>
      </c>
      <c r="B307" s="1300"/>
      <c r="C307" s="1299"/>
      <c r="D307" s="1300"/>
    </row>
    <row r="308" spans="1:4" x14ac:dyDescent="0.2">
      <c r="A308" s="1293">
        <v>36891</v>
      </c>
      <c r="B308" s="1300"/>
      <c r="C308" s="1299"/>
      <c r="D308" s="1300"/>
    </row>
    <row r="309" spans="1:4" x14ac:dyDescent="0.2">
      <c r="A309" s="1293">
        <v>36922</v>
      </c>
      <c r="B309" s="1300"/>
      <c r="C309" s="1299"/>
      <c r="D309" s="1300"/>
    </row>
    <row r="310" spans="1:4" x14ac:dyDescent="0.2">
      <c r="A310" s="1293">
        <v>36950</v>
      </c>
      <c r="B310" s="1300"/>
      <c r="C310" s="1299"/>
      <c r="D310" s="1300"/>
    </row>
    <row r="311" spans="1:4" x14ac:dyDescent="0.2">
      <c r="A311" s="1293">
        <v>36981</v>
      </c>
      <c r="B311" s="1300"/>
      <c r="C311" s="1299"/>
      <c r="D311" s="1300"/>
    </row>
    <row r="312" spans="1:4" x14ac:dyDescent="0.2">
      <c r="A312" s="1293">
        <v>37011</v>
      </c>
      <c r="B312" s="1300"/>
      <c r="C312" s="1299"/>
      <c r="D312" s="1300"/>
    </row>
    <row r="313" spans="1:4" x14ac:dyDescent="0.2">
      <c r="A313" s="1293">
        <v>37042</v>
      </c>
      <c r="B313" s="1300"/>
      <c r="C313" s="1299"/>
      <c r="D313" s="1300"/>
    </row>
    <row r="314" spans="1:4" x14ac:dyDescent="0.2">
      <c r="A314" s="1293">
        <v>37072</v>
      </c>
      <c r="B314" s="1300"/>
      <c r="C314" s="1299"/>
      <c r="D314" s="1300"/>
    </row>
    <row r="315" spans="1:4" x14ac:dyDescent="0.2">
      <c r="A315" s="1293">
        <v>37103</v>
      </c>
      <c r="B315" s="1300"/>
      <c r="C315" s="1299"/>
      <c r="D315" s="1300"/>
    </row>
    <row r="316" spans="1:4" x14ac:dyDescent="0.2">
      <c r="A316" s="1293">
        <v>37134</v>
      </c>
      <c r="B316" s="1300"/>
      <c r="C316" s="1299"/>
      <c r="D316" s="1300"/>
    </row>
    <row r="317" spans="1:4" x14ac:dyDescent="0.2">
      <c r="A317" s="1293">
        <v>37164</v>
      </c>
      <c r="B317" s="1300"/>
      <c r="C317" s="1299"/>
      <c r="D317" s="1300"/>
    </row>
    <row r="318" spans="1:4" x14ac:dyDescent="0.2">
      <c r="A318" s="1293">
        <v>37195</v>
      </c>
      <c r="B318" s="1300"/>
      <c r="C318" s="1299"/>
      <c r="D318" s="1300"/>
    </row>
    <row r="319" spans="1:4" x14ac:dyDescent="0.2">
      <c r="A319" s="1293">
        <v>37225</v>
      </c>
      <c r="B319" s="1300"/>
      <c r="C319" s="1299"/>
      <c r="D319" s="1300"/>
    </row>
    <row r="320" spans="1:4" x14ac:dyDescent="0.2">
      <c r="A320" s="1293">
        <v>37256</v>
      </c>
      <c r="B320" s="1300"/>
      <c r="C320" s="1299"/>
      <c r="D320" s="1300"/>
    </row>
    <row r="321" spans="1:4" x14ac:dyDescent="0.2">
      <c r="A321" s="1293">
        <v>37287</v>
      </c>
      <c r="B321" s="1300"/>
      <c r="C321" s="1299"/>
      <c r="D321" s="1300"/>
    </row>
    <row r="322" spans="1:4" x14ac:dyDescent="0.2">
      <c r="A322" s="1293">
        <v>37315</v>
      </c>
      <c r="B322" s="1300"/>
      <c r="C322" s="1299"/>
      <c r="D322" s="1300"/>
    </row>
    <row r="323" spans="1:4" x14ac:dyDescent="0.2">
      <c r="A323" s="1293">
        <v>37346</v>
      </c>
      <c r="B323" s="1300"/>
      <c r="C323" s="1299"/>
      <c r="D323" s="1300"/>
    </row>
    <row r="324" spans="1:4" x14ac:dyDescent="0.2">
      <c r="A324" s="1293">
        <v>37376</v>
      </c>
      <c r="B324" s="1300"/>
      <c r="C324" s="1299"/>
      <c r="D324" s="1300"/>
    </row>
    <row r="325" spans="1:4" x14ac:dyDescent="0.2">
      <c r="A325" s="1293">
        <v>37407</v>
      </c>
      <c r="B325" s="1300"/>
      <c r="C325" s="1299"/>
      <c r="D325" s="1300"/>
    </row>
    <row r="326" spans="1:4" x14ac:dyDescent="0.2">
      <c r="A326" s="1293">
        <v>37437</v>
      </c>
      <c r="B326" s="1300"/>
      <c r="C326" s="1299"/>
      <c r="D326" s="1300"/>
    </row>
    <row r="327" spans="1:4" x14ac:dyDescent="0.2">
      <c r="A327" s="1293">
        <v>37468</v>
      </c>
      <c r="B327" s="1300"/>
      <c r="C327" s="1299"/>
      <c r="D327" s="1300"/>
    </row>
    <row r="328" spans="1:4" x14ac:dyDescent="0.2">
      <c r="A328" s="1293">
        <v>37499</v>
      </c>
      <c r="B328" s="1300"/>
      <c r="C328" s="1299"/>
      <c r="D328" s="1300"/>
    </row>
    <row r="329" spans="1:4" x14ac:dyDescent="0.2">
      <c r="A329" s="1293">
        <v>37529</v>
      </c>
      <c r="B329" s="1300"/>
      <c r="C329" s="1299"/>
      <c r="D329" s="1300"/>
    </row>
    <row r="330" spans="1:4" x14ac:dyDescent="0.2">
      <c r="A330" s="1293">
        <v>37560</v>
      </c>
      <c r="B330" s="1300"/>
      <c r="C330" s="1299"/>
      <c r="D330" s="1300"/>
    </row>
    <row r="331" spans="1:4" x14ac:dyDescent="0.2">
      <c r="A331" s="1293">
        <v>37590</v>
      </c>
      <c r="B331" s="1300"/>
      <c r="C331" s="1299"/>
      <c r="D331" s="1300"/>
    </row>
    <row r="332" spans="1:4" x14ac:dyDescent="0.2">
      <c r="A332" s="1293">
        <v>37621</v>
      </c>
      <c r="B332" s="1300"/>
      <c r="C332" s="1299"/>
      <c r="D332" s="1300"/>
    </row>
    <row r="333" spans="1:4" x14ac:dyDescent="0.2">
      <c r="A333" s="1293">
        <v>37652</v>
      </c>
      <c r="B333" s="1300"/>
      <c r="C333" s="1299"/>
      <c r="D333" s="1300"/>
    </row>
    <row r="334" spans="1:4" x14ac:dyDescent="0.2">
      <c r="A334" s="1293">
        <v>37680</v>
      </c>
      <c r="B334" s="1300"/>
      <c r="C334" s="1299"/>
      <c r="D334" s="1300"/>
    </row>
    <row r="335" spans="1:4" x14ac:dyDescent="0.2">
      <c r="A335" s="1293">
        <v>37711</v>
      </c>
      <c r="B335" s="1300"/>
      <c r="C335" s="1299"/>
      <c r="D335" s="1300"/>
    </row>
    <row r="336" spans="1:4" x14ac:dyDescent="0.2">
      <c r="A336" s="1293">
        <v>37741</v>
      </c>
      <c r="B336" s="1300"/>
      <c r="C336" s="1299"/>
      <c r="D336" s="1300"/>
    </row>
    <row r="337" spans="1:4" x14ac:dyDescent="0.2">
      <c r="A337" s="1293">
        <v>37772</v>
      </c>
      <c r="B337" s="1300"/>
      <c r="C337" s="1299"/>
      <c r="D337" s="1300"/>
    </row>
    <row r="338" spans="1:4" x14ac:dyDescent="0.2">
      <c r="A338" s="1293">
        <v>37802</v>
      </c>
      <c r="B338" s="1300"/>
      <c r="C338" s="1299"/>
      <c r="D338" s="1300"/>
    </row>
    <row r="339" spans="1:4" x14ac:dyDescent="0.2">
      <c r="A339" s="1293">
        <v>37833</v>
      </c>
      <c r="B339" s="1300"/>
      <c r="C339" s="1299"/>
      <c r="D339" s="1300"/>
    </row>
    <row r="340" spans="1:4" x14ac:dyDescent="0.2">
      <c r="A340" s="1293">
        <v>37864</v>
      </c>
      <c r="B340" s="1300"/>
      <c r="C340" s="1299"/>
      <c r="D340" s="1300"/>
    </row>
    <row r="341" spans="1:4" x14ac:dyDescent="0.2">
      <c r="A341" s="1293">
        <v>37894</v>
      </c>
      <c r="B341" s="1300"/>
      <c r="C341" s="1302"/>
      <c r="D341" s="1300"/>
    </row>
    <row r="342" spans="1:4" x14ac:dyDescent="0.2">
      <c r="A342" s="1293">
        <v>37925</v>
      </c>
      <c r="B342" s="1300"/>
      <c r="C342" s="1302"/>
      <c r="D342" s="1300"/>
    </row>
    <row r="343" spans="1:4" x14ac:dyDescent="0.2">
      <c r="A343" s="1293">
        <v>37955</v>
      </c>
      <c r="B343" s="1300"/>
      <c r="C343" s="1302"/>
      <c r="D343" s="1300"/>
    </row>
    <row r="344" spans="1:4" x14ac:dyDescent="0.2">
      <c r="A344" s="1293">
        <v>37986</v>
      </c>
      <c r="B344" s="1300"/>
      <c r="C344" s="1302"/>
      <c r="D344" s="1300"/>
    </row>
    <row r="345" spans="1:4" x14ac:dyDescent="0.2">
      <c r="A345" s="1293">
        <v>38017</v>
      </c>
      <c r="B345" s="1300"/>
      <c r="C345" s="1302"/>
      <c r="D345" s="1300"/>
    </row>
    <row r="346" spans="1:4" x14ac:dyDescent="0.2">
      <c r="A346" s="1293">
        <v>38046</v>
      </c>
      <c r="B346" s="1300"/>
      <c r="C346" s="1302"/>
      <c r="D346" s="1300"/>
    </row>
    <row r="347" spans="1:4" x14ac:dyDescent="0.2">
      <c r="A347" s="1293">
        <v>38077</v>
      </c>
      <c r="B347" s="1300"/>
      <c r="C347" s="1302"/>
      <c r="D347" s="1303"/>
    </row>
    <row r="348" spans="1:4" x14ac:dyDescent="0.2">
      <c r="A348" s="1293">
        <v>38107</v>
      </c>
      <c r="B348" s="1300"/>
      <c r="C348" s="1302"/>
      <c r="D348" s="1300"/>
    </row>
    <row r="349" spans="1:4" x14ac:dyDescent="0.2">
      <c r="A349" s="1293">
        <v>38138</v>
      </c>
      <c r="B349" s="1300"/>
      <c r="C349" s="1302"/>
      <c r="D349" s="1300"/>
    </row>
    <row r="350" spans="1:4" x14ac:dyDescent="0.2">
      <c r="A350" s="1293">
        <v>38168</v>
      </c>
      <c r="B350" s="1300"/>
      <c r="C350" s="1302"/>
      <c r="D350" s="1300"/>
    </row>
    <row r="351" spans="1:4" x14ac:dyDescent="0.2">
      <c r="A351" s="1293">
        <v>38199</v>
      </c>
      <c r="B351" s="1300"/>
      <c r="C351" s="1302"/>
      <c r="D351" s="1300"/>
    </row>
    <row r="352" spans="1:4" x14ac:dyDescent="0.2">
      <c r="A352" s="1293">
        <v>38230</v>
      </c>
      <c r="B352" s="1300"/>
      <c r="C352" s="1302"/>
      <c r="D352" s="1300"/>
    </row>
    <row r="353" spans="1:4" x14ac:dyDescent="0.2">
      <c r="A353" s="1293">
        <v>38260</v>
      </c>
      <c r="B353" s="1300"/>
      <c r="C353" s="1302"/>
      <c r="D353" s="1300"/>
    </row>
    <row r="354" spans="1:4" x14ac:dyDescent="0.2">
      <c r="A354" s="1293">
        <v>38291</v>
      </c>
      <c r="B354" s="1300"/>
      <c r="C354" s="1302"/>
      <c r="D354" s="1300"/>
    </row>
    <row r="355" spans="1:4" x14ac:dyDescent="0.2">
      <c r="A355" s="1293">
        <v>38321</v>
      </c>
      <c r="B355" s="1300"/>
      <c r="C355" s="1302"/>
      <c r="D355" s="1300"/>
    </row>
    <row r="356" spans="1:4" x14ac:dyDescent="0.2">
      <c r="A356" s="1293">
        <v>38352</v>
      </c>
      <c r="B356" s="1300"/>
      <c r="C356" s="1304"/>
      <c r="D356" s="1300"/>
    </row>
    <row r="357" spans="1:4" x14ac:dyDescent="0.2">
      <c r="A357" s="1293">
        <v>38383</v>
      </c>
      <c r="B357" s="1300"/>
      <c r="C357" s="1302"/>
      <c r="D357" s="1300"/>
    </row>
    <row r="358" spans="1:4" x14ac:dyDescent="0.2">
      <c r="A358" s="1293">
        <v>38411</v>
      </c>
      <c r="B358" s="1300"/>
      <c r="C358" s="1302"/>
      <c r="D358" s="1300"/>
    </row>
    <row r="359" spans="1:4" x14ac:dyDescent="0.2">
      <c r="A359" s="1293">
        <v>38442</v>
      </c>
      <c r="B359" s="1300"/>
      <c r="C359" s="1304"/>
      <c r="D359" s="1300"/>
    </row>
    <row r="360" spans="1:4" x14ac:dyDescent="0.2">
      <c r="A360" s="1293">
        <v>38472</v>
      </c>
      <c r="B360" s="1300"/>
      <c r="C360" s="1304"/>
      <c r="D360" s="1300"/>
    </row>
    <row r="361" spans="1:4" x14ac:dyDescent="0.2">
      <c r="A361" s="1293">
        <v>38503</v>
      </c>
      <c r="B361" s="1300"/>
      <c r="C361" s="1304"/>
      <c r="D361" s="1300"/>
    </row>
    <row r="362" spans="1:4" x14ac:dyDescent="0.2">
      <c r="A362" s="1293">
        <v>38533</v>
      </c>
      <c r="B362" s="1300"/>
      <c r="C362" s="1304"/>
      <c r="D362" s="1300"/>
    </row>
    <row r="363" spans="1:4" x14ac:dyDescent="0.2">
      <c r="A363" s="1293">
        <v>38564</v>
      </c>
      <c r="B363" s="1300"/>
      <c r="C363" s="1304"/>
      <c r="D363" s="1300"/>
    </row>
    <row r="364" spans="1:4" x14ac:dyDescent="0.2">
      <c r="A364" s="1293">
        <v>38595</v>
      </c>
      <c r="B364" s="1300"/>
      <c r="C364" s="1304"/>
      <c r="D364" s="1300"/>
    </row>
    <row r="365" spans="1:4" x14ac:dyDescent="0.2">
      <c r="A365" s="1293">
        <v>38625</v>
      </c>
      <c r="B365" s="1300"/>
      <c r="C365" s="1304"/>
      <c r="D365" s="1300"/>
    </row>
    <row r="366" spans="1:4" x14ac:dyDescent="0.2">
      <c r="A366" s="1293">
        <v>38656</v>
      </c>
      <c r="B366" s="1300"/>
      <c r="C366" s="1304"/>
      <c r="D366" s="1300"/>
    </row>
    <row r="367" spans="1:4" x14ac:dyDescent="0.2">
      <c r="A367" s="1293">
        <v>38686</v>
      </c>
      <c r="B367" s="1300"/>
      <c r="C367" s="1304"/>
      <c r="D367" s="1300"/>
    </row>
    <row r="368" spans="1:4" x14ac:dyDescent="0.2">
      <c r="A368" s="1293">
        <v>38717</v>
      </c>
      <c r="B368" s="1300"/>
      <c r="C368" s="1304"/>
      <c r="D368" s="1300"/>
    </row>
    <row r="369" spans="1:6" x14ac:dyDescent="0.2">
      <c r="A369" s="1293">
        <v>38748</v>
      </c>
      <c r="B369" s="1300"/>
      <c r="C369" s="1304"/>
      <c r="D369" s="1300"/>
    </row>
    <row r="370" spans="1:6" x14ac:dyDescent="0.2">
      <c r="A370" s="1293">
        <v>38776</v>
      </c>
      <c r="B370" s="1300"/>
      <c r="C370" s="1304"/>
      <c r="D370" s="1300"/>
    </row>
    <row r="371" spans="1:6" x14ac:dyDescent="0.2">
      <c r="A371" s="1293">
        <v>38807</v>
      </c>
      <c r="B371" s="1300"/>
      <c r="C371" s="1299"/>
      <c r="D371" s="1300"/>
    </row>
    <row r="372" spans="1:6" x14ac:dyDescent="0.2">
      <c r="A372" s="1293">
        <v>38837</v>
      </c>
      <c r="B372" s="1300"/>
      <c r="C372" s="1299"/>
      <c r="D372" s="1300"/>
    </row>
    <row r="373" spans="1:6" x14ac:dyDescent="0.2">
      <c r="A373" s="1293">
        <v>38868</v>
      </c>
      <c r="B373" s="1300"/>
      <c r="C373" s="1299"/>
      <c r="D373" s="1300"/>
    </row>
    <row r="374" spans="1:6" x14ac:dyDescent="0.2">
      <c r="A374" s="1293">
        <v>38898</v>
      </c>
      <c r="B374" s="1372"/>
      <c r="C374" s="1387"/>
      <c r="D374" s="1300"/>
    </row>
    <row r="375" spans="1:6" x14ac:dyDescent="0.2">
      <c r="A375" s="1293">
        <v>38929</v>
      </c>
      <c r="B375" s="1300"/>
      <c r="C375" s="1302"/>
      <c r="D375" s="1300"/>
    </row>
    <row r="376" spans="1:6" x14ac:dyDescent="0.2">
      <c r="A376" s="1293">
        <v>38960</v>
      </c>
      <c r="B376" s="1300"/>
      <c r="C376" s="1302"/>
      <c r="D376" s="1300"/>
    </row>
    <row r="377" spans="1:6" x14ac:dyDescent="0.2">
      <c r="A377" s="1293">
        <v>38990</v>
      </c>
      <c r="B377" s="1300"/>
      <c r="C377" s="1302"/>
      <c r="D377" s="1300"/>
    </row>
    <row r="378" spans="1:6" x14ac:dyDescent="0.2">
      <c r="A378" s="1293">
        <v>39021</v>
      </c>
      <c r="B378" s="1300"/>
      <c r="C378" s="1302"/>
      <c r="D378" s="1300"/>
      <c r="F378" s="1305"/>
    </row>
    <row r="379" spans="1:6" x14ac:dyDescent="0.2">
      <c r="A379" s="1293">
        <v>39051</v>
      </c>
      <c r="B379" s="1300"/>
      <c r="C379" s="1302"/>
      <c r="D379" s="1300"/>
      <c r="F379" s="1305"/>
    </row>
    <row r="380" spans="1:6" x14ac:dyDescent="0.2">
      <c r="A380" s="1293">
        <v>39082</v>
      </c>
      <c r="B380" s="1300"/>
      <c r="C380" s="1302"/>
      <c r="D380" s="1300"/>
      <c r="F380" s="1305"/>
    </row>
    <row r="381" spans="1:6" x14ac:dyDescent="0.2">
      <c r="A381" s="1293">
        <v>39113</v>
      </c>
      <c r="B381" s="1300"/>
      <c r="F381" s="1305"/>
    </row>
    <row r="382" spans="1:6" x14ac:dyDescent="0.2">
      <c r="A382" s="1293">
        <v>39141</v>
      </c>
      <c r="B382" s="1300"/>
      <c r="F382" s="1305"/>
    </row>
    <row r="383" spans="1:6" x14ac:dyDescent="0.2">
      <c r="A383" s="1293">
        <v>39172</v>
      </c>
      <c r="B383" s="1300"/>
    </row>
    <row r="384" spans="1:6" x14ac:dyDescent="0.2">
      <c r="A384" s="1293">
        <v>39202</v>
      </c>
      <c r="B384" s="1300"/>
    </row>
    <row r="385" spans="1:3" x14ac:dyDescent="0.2">
      <c r="A385" s="1293">
        <v>39233</v>
      </c>
      <c r="B385" s="1300"/>
    </row>
    <row r="386" spans="1:3" x14ac:dyDescent="0.2">
      <c r="A386" s="1293">
        <v>39263</v>
      </c>
      <c r="B386" s="1300"/>
    </row>
    <row r="387" spans="1:3" x14ac:dyDescent="0.2">
      <c r="A387" s="1293">
        <v>39294</v>
      </c>
      <c r="B387" s="1300"/>
    </row>
    <row r="388" spans="1:3" x14ac:dyDescent="0.2">
      <c r="A388" s="1293">
        <v>39325</v>
      </c>
      <c r="B388" s="1300"/>
    </row>
    <row r="389" spans="1:3" x14ac:dyDescent="0.2">
      <c r="A389" s="1293">
        <v>39355</v>
      </c>
      <c r="B389" s="1300"/>
    </row>
    <row r="390" spans="1:3" x14ac:dyDescent="0.2">
      <c r="A390" s="1293">
        <v>39386</v>
      </c>
      <c r="B390" s="1300"/>
    </row>
    <row r="391" spans="1:3" x14ac:dyDescent="0.2">
      <c r="A391" s="1293">
        <v>39416</v>
      </c>
      <c r="B391" s="1300"/>
    </row>
    <row r="392" spans="1:3" x14ac:dyDescent="0.2">
      <c r="A392" s="1293">
        <v>39447</v>
      </c>
      <c r="B392" s="1300"/>
    </row>
    <row r="393" spans="1:3" x14ac:dyDescent="0.2">
      <c r="A393" s="1293">
        <v>39478</v>
      </c>
      <c r="B393" s="1300"/>
    </row>
    <row r="394" spans="1:3" x14ac:dyDescent="0.2">
      <c r="A394" s="1293">
        <v>39507</v>
      </c>
      <c r="B394" s="1300"/>
    </row>
    <row r="395" spans="1:3" x14ac:dyDescent="0.2">
      <c r="A395" s="1293">
        <v>39538</v>
      </c>
      <c r="B395" s="1300"/>
    </row>
    <row r="396" spans="1:3" x14ac:dyDescent="0.2">
      <c r="A396" s="1293">
        <v>39568</v>
      </c>
      <c r="B396" s="1300"/>
    </row>
    <row r="397" spans="1:3" x14ac:dyDescent="0.2">
      <c r="A397" s="1293">
        <v>39599</v>
      </c>
      <c r="B397" s="1300"/>
    </row>
    <row r="398" spans="1:3" x14ac:dyDescent="0.2">
      <c r="A398" s="1293">
        <v>39629</v>
      </c>
      <c r="B398" s="1300"/>
    </row>
    <row r="399" spans="1:3" x14ac:dyDescent="0.2">
      <c r="A399" s="1293">
        <v>39660</v>
      </c>
      <c r="B399" s="1300"/>
      <c r="C399" s="1299"/>
    </row>
    <row r="400" spans="1:3" x14ac:dyDescent="0.2">
      <c r="A400" s="1293">
        <v>39691</v>
      </c>
      <c r="B400" s="1300"/>
      <c r="C400" s="1299"/>
    </row>
    <row r="401" spans="1:7" x14ac:dyDescent="0.2">
      <c r="A401" s="1293">
        <v>39721</v>
      </c>
      <c r="B401" s="1300"/>
      <c r="C401" s="1299"/>
    </row>
    <row r="402" spans="1:7" x14ac:dyDescent="0.2">
      <c r="A402" s="1293">
        <v>39752</v>
      </c>
      <c r="B402" s="1300"/>
    </row>
    <row r="403" spans="1:7" x14ac:dyDescent="0.2">
      <c r="A403" s="1293">
        <v>39782</v>
      </c>
      <c r="B403" s="1300"/>
      <c r="G403" s="1301"/>
    </row>
    <row r="404" spans="1:7" x14ac:dyDescent="0.2">
      <c r="A404" s="1293">
        <v>39813</v>
      </c>
      <c r="B404" s="1300"/>
    </row>
    <row r="405" spans="1:7" x14ac:dyDescent="0.2">
      <c r="A405" s="1293">
        <v>39844</v>
      </c>
      <c r="B405" s="1300"/>
    </row>
    <row r="406" spans="1:7" x14ac:dyDescent="0.2">
      <c r="A406" s="1293">
        <v>39872</v>
      </c>
      <c r="B406" s="1300"/>
    </row>
    <row r="407" spans="1:7" x14ac:dyDescent="0.2">
      <c r="A407" s="1293">
        <v>39903</v>
      </c>
      <c r="B407" s="1300"/>
    </row>
    <row r="408" spans="1:7" x14ac:dyDescent="0.2">
      <c r="A408" s="1293">
        <v>39933</v>
      </c>
      <c r="B408" s="1300"/>
    </row>
    <row r="409" spans="1:7" x14ac:dyDescent="0.2">
      <c r="A409" s="1293">
        <v>39964</v>
      </c>
      <c r="B409" s="1300"/>
    </row>
    <row r="410" spans="1:7" x14ac:dyDescent="0.2">
      <c r="A410" s="1293">
        <v>39994</v>
      </c>
      <c r="B410" s="1300"/>
    </row>
    <row r="411" spans="1:7" x14ac:dyDescent="0.2">
      <c r="A411" s="1293">
        <v>40025</v>
      </c>
      <c r="B411" s="1300"/>
    </row>
    <row r="412" spans="1:7" x14ac:dyDescent="0.2">
      <c r="A412" s="1293">
        <v>40056</v>
      </c>
      <c r="B412" s="1300"/>
    </row>
    <row r="413" spans="1:7" x14ac:dyDescent="0.2">
      <c r="A413" s="1293">
        <v>40086</v>
      </c>
      <c r="B413" s="1300"/>
    </row>
    <row r="414" spans="1:7" x14ac:dyDescent="0.2">
      <c r="A414" s="1293">
        <v>40117</v>
      </c>
      <c r="B414" s="1300"/>
    </row>
    <row r="415" spans="1:7" x14ac:dyDescent="0.2">
      <c r="A415" s="1293">
        <v>40147</v>
      </c>
      <c r="B415" s="1300"/>
    </row>
    <row r="416" spans="1:7" x14ac:dyDescent="0.2">
      <c r="A416" s="1293">
        <v>40178</v>
      </c>
      <c r="B416" s="1300"/>
    </row>
    <row r="417" spans="1:5" x14ac:dyDescent="0.2">
      <c r="A417" s="1293">
        <v>40209</v>
      </c>
      <c r="B417" s="1300"/>
    </row>
    <row r="418" spans="1:5" x14ac:dyDescent="0.2">
      <c r="A418" s="1293">
        <v>40237</v>
      </c>
      <c r="B418" s="1300"/>
    </row>
    <row r="419" spans="1:5" x14ac:dyDescent="0.2">
      <c r="A419" s="1293">
        <v>40268</v>
      </c>
      <c r="B419" s="1300"/>
      <c r="C419" s="1334"/>
      <c r="D419" s="1311"/>
    </row>
    <row r="420" spans="1:5" x14ac:dyDescent="0.2">
      <c r="A420" s="1293">
        <v>40298</v>
      </c>
      <c r="B420" s="1300"/>
    </row>
    <row r="421" spans="1:5" x14ac:dyDescent="0.2">
      <c r="A421" s="1293">
        <v>40329</v>
      </c>
      <c r="B421" s="1300"/>
    </row>
    <row r="422" spans="1:5" x14ac:dyDescent="0.2">
      <c r="A422" s="1293">
        <v>40359</v>
      </c>
      <c r="B422" s="1300"/>
    </row>
    <row r="423" spans="1:5" x14ac:dyDescent="0.2">
      <c r="A423" s="1293">
        <v>40390</v>
      </c>
      <c r="B423" s="1300"/>
    </row>
    <row r="424" spans="1:5" x14ac:dyDescent="0.2">
      <c r="A424" s="1293">
        <v>40421</v>
      </c>
      <c r="B424" s="1300"/>
      <c r="C424" s="1307">
        <v>200001251.63999999</v>
      </c>
    </row>
    <row r="425" spans="1:5" x14ac:dyDescent="0.2">
      <c r="A425" s="1293">
        <v>40451</v>
      </c>
      <c r="B425" s="1300">
        <f t="shared" ref="B425:B430" si="0">D425</f>
        <v>7.7240000000000002</v>
      </c>
      <c r="C425" s="1307">
        <v>215449411.61000001</v>
      </c>
      <c r="D425" s="1306">
        <v>7.7240000000000002</v>
      </c>
      <c r="E425" s="1301">
        <f>B425-Index_Returns!AK425</f>
        <v>0.46370000000000022</v>
      </c>
    </row>
    <row r="426" spans="1:5" x14ac:dyDescent="0.2">
      <c r="A426" s="1293">
        <v>40482</v>
      </c>
      <c r="B426" s="1300">
        <f t="shared" si="0"/>
        <v>4.5926999999999998</v>
      </c>
      <c r="C426" s="1307">
        <v>225353934.38</v>
      </c>
      <c r="D426" s="1306">
        <v>4.5926999999999998</v>
      </c>
      <c r="E426" s="1301">
        <f>B426-Index_Returns!AK426</f>
        <v>-0.39010000000000034</v>
      </c>
    </row>
    <row r="427" spans="1:5" x14ac:dyDescent="0.2">
      <c r="A427" s="1293">
        <v>40512</v>
      </c>
      <c r="B427" s="1300">
        <f t="shared" si="0"/>
        <v>0.62390000000000001</v>
      </c>
      <c r="C427" s="1307">
        <v>226760010.33000001</v>
      </c>
      <c r="D427" s="1306">
        <v>0.62390000000000001</v>
      </c>
      <c r="E427" s="1301">
        <f>B427-Index_Returns!AK427</f>
        <v>0.97789999999999999</v>
      </c>
    </row>
    <row r="428" spans="1:5" x14ac:dyDescent="0.2">
      <c r="A428" s="1293">
        <v>40543</v>
      </c>
      <c r="B428" s="1300">
        <f t="shared" si="0"/>
        <v>10.2211</v>
      </c>
      <c r="C428" s="1307">
        <v>249936460.90000001</v>
      </c>
      <c r="D428" s="1306">
        <v>10.2211</v>
      </c>
      <c r="E428" s="1301">
        <f>B428-Index_Returns!AK428</f>
        <v>-0.4679000000000002</v>
      </c>
    </row>
    <row r="429" spans="1:5" x14ac:dyDescent="0.2">
      <c r="A429" s="1293">
        <v>40574</v>
      </c>
      <c r="B429" s="1300">
        <f t="shared" si="0"/>
        <v>2.0194999999999999</v>
      </c>
      <c r="C429" s="1307">
        <v>254987290.09999999</v>
      </c>
      <c r="D429" s="1306">
        <v>2.0194999999999999</v>
      </c>
      <c r="E429" s="1301">
        <f>B429-Index_Returns!AK429</f>
        <v>1.0165</v>
      </c>
    </row>
    <row r="430" spans="1:5" x14ac:dyDescent="0.2">
      <c r="A430" s="1293">
        <v>40602</v>
      </c>
      <c r="B430" s="1300">
        <f t="shared" si="0"/>
        <v>2.6968000000000001</v>
      </c>
      <c r="C430" s="1307">
        <v>362211638.91000003</v>
      </c>
      <c r="D430" s="1306">
        <v>2.6968000000000001</v>
      </c>
      <c r="E430" s="1301">
        <f>B430-Index_Returns!AK430</f>
        <v>1.3789</v>
      </c>
    </row>
    <row r="431" spans="1:5" x14ac:dyDescent="0.2">
      <c r="A431" s="1293">
        <v>40633</v>
      </c>
      <c r="B431" s="1300">
        <f>D431</f>
        <v>2.2475000000000001</v>
      </c>
      <c r="C431" s="1307">
        <v>370352181.24000001</v>
      </c>
      <c r="D431" s="1306">
        <v>2.2475000000000001</v>
      </c>
      <c r="E431" s="1301">
        <f>B431-Index_Returns!AK431</f>
        <v>0.18300000000000027</v>
      </c>
    </row>
    <row r="432" spans="1:5" x14ac:dyDescent="0.2">
      <c r="A432" s="1293">
        <v>40663</v>
      </c>
      <c r="B432" s="1300">
        <f t="shared" ref="B432:B488" si="1">D432</f>
        <v>3.1101999999999999</v>
      </c>
      <c r="C432" s="1307">
        <v>381928786.37</v>
      </c>
      <c r="D432" s="1306">
        <v>3.1101999999999999</v>
      </c>
      <c r="E432" s="1301">
        <f>B432-Index_Returns!AK432</f>
        <v>-0.35289999999999999</v>
      </c>
    </row>
    <row r="433" spans="1:5" x14ac:dyDescent="0.2">
      <c r="A433" s="1293">
        <v>40694</v>
      </c>
      <c r="B433" s="1300">
        <f t="shared" si="1"/>
        <v>-5.1714000000000002</v>
      </c>
      <c r="C433" s="1307">
        <v>362431037.29000002</v>
      </c>
      <c r="D433" s="1306">
        <v>-5.1714000000000002</v>
      </c>
      <c r="E433" s="1301">
        <f>B433-Index_Returns!AK433</f>
        <v>-0.11319999999999997</v>
      </c>
    </row>
    <row r="434" spans="1:5" x14ac:dyDescent="0.2">
      <c r="A434" s="1293">
        <v>40724</v>
      </c>
      <c r="B434" s="1300">
        <f t="shared" si="1"/>
        <v>-3.6999</v>
      </c>
      <c r="C434" s="1307">
        <v>348902198.49000001</v>
      </c>
      <c r="D434" s="1306">
        <v>-3.6999</v>
      </c>
      <c r="E434" s="1301">
        <f>B434-Index_Returns!AK434</f>
        <v>1.3443000000000001</v>
      </c>
    </row>
    <row r="435" spans="1:5" x14ac:dyDescent="0.2">
      <c r="A435" s="1293">
        <v>40755</v>
      </c>
      <c r="B435" s="1300">
        <f t="shared" si="1"/>
        <v>3.2919</v>
      </c>
      <c r="C435" s="1307">
        <v>360445704.35000002</v>
      </c>
      <c r="D435" s="1306">
        <v>3.2919</v>
      </c>
      <c r="E435" s="1301">
        <f>B435-Index_Returns!AK435</f>
        <v>0.33009999999999984</v>
      </c>
    </row>
    <row r="436" spans="1:5" x14ac:dyDescent="0.2">
      <c r="A436" s="1293">
        <v>40786</v>
      </c>
      <c r="B436" s="1300">
        <f t="shared" si="1"/>
        <v>0.26619999999999999</v>
      </c>
      <c r="C436" s="1307">
        <v>361834465.69999999</v>
      </c>
      <c r="D436" s="1306">
        <v>0.26619999999999999</v>
      </c>
      <c r="E436" s="1301">
        <f>B436-Index_Returns!AK436</f>
        <v>-0.73240000000000005</v>
      </c>
    </row>
    <row r="437" spans="1:5" x14ac:dyDescent="0.2">
      <c r="A437" s="1293">
        <v>40816</v>
      </c>
      <c r="B437" s="1300">
        <f t="shared" si="1"/>
        <v>-13.7158</v>
      </c>
      <c r="C437" s="1307">
        <v>312212767.69</v>
      </c>
      <c r="D437" s="1306">
        <v>-13.7158</v>
      </c>
      <c r="E437" s="1301">
        <f>B437-Index_Returns!AK437</f>
        <v>1.0191999999999997</v>
      </c>
    </row>
    <row r="438" spans="1:5" x14ac:dyDescent="0.2">
      <c r="A438" s="1293">
        <v>40847</v>
      </c>
      <c r="B438" s="1300">
        <f t="shared" si="1"/>
        <v>7.2088999999999999</v>
      </c>
      <c r="C438" s="1307">
        <v>206064658.56</v>
      </c>
      <c r="D438" s="1306">
        <v>7.2088999999999999</v>
      </c>
      <c r="E438" s="1301">
        <f>B438-Index_Returns!AK438</f>
        <v>0.59049999999999958</v>
      </c>
    </row>
    <row r="439" spans="1:5" x14ac:dyDescent="0.2">
      <c r="A439" s="1293">
        <v>40877</v>
      </c>
      <c r="B439" s="1300">
        <f t="shared" si="1"/>
        <v>-1.3919999999999999</v>
      </c>
      <c r="C439" s="1307">
        <v>203685621.25999999</v>
      </c>
      <c r="D439" s="1306">
        <v>-1.3919999999999999</v>
      </c>
      <c r="E439" s="1301">
        <f>B439-Index_Returns!AK439</f>
        <v>0.82699999999999996</v>
      </c>
    </row>
    <row r="440" spans="1:5" x14ac:dyDescent="0.2">
      <c r="A440" s="1293">
        <v>40908</v>
      </c>
      <c r="B440" s="1300">
        <f t="shared" si="1"/>
        <v>-2.8365999999999998</v>
      </c>
      <c r="C440" s="1307">
        <v>197764898.18000001</v>
      </c>
      <c r="D440" s="1306">
        <v>-2.8365999999999998</v>
      </c>
      <c r="E440" s="1301">
        <f>B440-Index_Returns!AK440</f>
        <v>0.91130000000000022</v>
      </c>
    </row>
    <row r="441" spans="1:5" x14ac:dyDescent="0.2">
      <c r="A441" s="345">
        <v>40939</v>
      </c>
      <c r="B441" s="1300">
        <f t="shared" si="1"/>
        <v>3.4336000000000002</v>
      </c>
      <c r="C441" s="1307">
        <v>204557902.12</v>
      </c>
      <c r="D441" s="1306">
        <v>3.4336000000000002</v>
      </c>
      <c r="E441" s="1301">
        <f>B441-Index_Returns!AK441</f>
        <v>0.96070000000000011</v>
      </c>
    </row>
    <row r="442" spans="1:5" x14ac:dyDescent="0.2">
      <c r="A442" s="345">
        <v>40968</v>
      </c>
      <c r="B442" s="1300">
        <f t="shared" si="1"/>
        <v>2.9095</v>
      </c>
      <c r="C442" s="1307">
        <v>330352068.89999998</v>
      </c>
      <c r="D442" s="1306">
        <v>2.9095</v>
      </c>
      <c r="E442" s="1301">
        <f>B442-Index_Returns!AK442</f>
        <v>0.21079999999999988</v>
      </c>
    </row>
    <row r="443" spans="1:5" x14ac:dyDescent="0.2">
      <c r="A443" s="345">
        <v>40999</v>
      </c>
      <c r="B443" s="1300">
        <f t="shared" si="1"/>
        <v>-3.6446000000000001</v>
      </c>
      <c r="C443" s="1307">
        <v>539943999</v>
      </c>
      <c r="D443" s="1306">
        <v>-3.6446000000000001</v>
      </c>
      <c r="E443" s="1301">
        <f>B443-Index_Returns!AK443</f>
        <v>0.49189999999999978</v>
      </c>
    </row>
    <row r="444" spans="1:5" x14ac:dyDescent="0.2">
      <c r="A444" s="345">
        <v>41029</v>
      </c>
      <c r="B444" s="1300">
        <f t="shared" si="1"/>
        <v>-0.83889999999999998</v>
      </c>
      <c r="C444" s="1307">
        <v>535408450.62</v>
      </c>
      <c r="D444" s="1306">
        <v>-0.83889999999999998</v>
      </c>
      <c r="E444" s="1301">
        <f>B444-Index_Returns!AK444</f>
        <v>-0.41569999999999996</v>
      </c>
    </row>
    <row r="445" spans="1:5" x14ac:dyDescent="0.2">
      <c r="A445" s="345">
        <v>41060</v>
      </c>
      <c r="B445" s="1300">
        <f t="shared" si="1"/>
        <v>-9.1686999999999994</v>
      </c>
      <c r="C445" s="1307">
        <v>486615301.82999998</v>
      </c>
      <c r="D445" s="1306">
        <v>-9.1686999999999994</v>
      </c>
      <c r="E445" s="1301">
        <f>B445-Index_Returns!AK445</f>
        <v>-3.6699999999999733E-2</v>
      </c>
    </row>
    <row r="446" spans="1:5" x14ac:dyDescent="0.2">
      <c r="A446" s="345">
        <v>41090</v>
      </c>
      <c r="B446" s="1300">
        <f t="shared" si="1"/>
        <v>3.5169999999999999</v>
      </c>
      <c r="C446" s="1307">
        <v>503734293.89999998</v>
      </c>
      <c r="D446" s="1306">
        <v>3.5169999999999999</v>
      </c>
      <c r="E446" s="1301">
        <f>B446-Index_Returns!AK446</f>
        <v>-1.9760000000000004</v>
      </c>
    </row>
    <row r="447" spans="1:5" x14ac:dyDescent="0.2">
      <c r="A447" s="345">
        <v>41121</v>
      </c>
      <c r="B447" s="1300">
        <f t="shared" si="1"/>
        <v>5.0526</v>
      </c>
      <c r="C447" s="1307">
        <v>529186145.27999997</v>
      </c>
      <c r="D447" s="1306">
        <v>5.0526</v>
      </c>
      <c r="E447" s="1301">
        <f>B447-Index_Returns!AK447</f>
        <v>-1.4160000000000004</v>
      </c>
    </row>
    <row r="448" spans="1:5" x14ac:dyDescent="0.2">
      <c r="A448" s="345">
        <v>41152</v>
      </c>
      <c r="B448" s="1300">
        <f t="shared" si="1"/>
        <v>2.9956999999999998</v>
      </c>
      <c r="C448" s="1307">
        <v>545585107.92999995</v>
      </c>
      <c r="D448" s="1306">
        <v>2.9956999999999998</v>
      </c>
      <c r="E448" s="1301">
        <f>B448-Index_Returns!AK448</f>
        <v>1.6972999999999998</v>
      </c>
    </row>
    <row r="449" spans="1:5" x14ac:dyDescent="0.2">
      <c r="A449" s="345">
        <v>41182</v>
      </c>
      <c r="B449" s="1300">
        <f t="shared" si="1"/>
        <v>1.5986</v>
      </c>
      <c r="C449" s="1307">
        <v>755375523.11000001</v>
      </c>
      <c r="D449" s="1306">
        <v>1.5986</v>
      </c>
      <c r="E449" s="1301">
        <f>B449-Index_Returns!AK449</f>
        <v>-0.10699999999999998</v>
      </c>
    </row>
    <row r="450" spans="1:5" x14ac:dyDescent="0.2">
      <c r="A450" s="345">
        <v>41213</v>
      </c>
      <c r="B450" s="1300">
        <f t="shared" si="1"/>
        <v>-3.8500999999999999</v>
      </c>
      <c r="C450" s="1307">
        <v>871178269.21000004</v>
      </c>
      <c r="D450" s="1306">
        <v>-3.8500999999999999</v>
      </c>
      <c r="E450" s="1301">
        <f>B450-Index_Returns!AK450</f>
        <v>2.2800000000000153E-2</v>
      </c>
    </row>
    <row r="451" spans="1:5" x14ac:dyDescent="0.2">
      <c r="A451" s="345">
        <v>41243</v>
      </c>
      <c r="B451" s="1300">
        <f t="shared" si="1"/>
        <v>0.83630000000000004</v>
      </c>
      <c r="C451" s="1307">
        <v>878418935.00999999</v>
      </c>
      <c r="D451" s="1306">
        <v>0.83630000000000004</v>
      </c>
      <c r="E451" s="1301">
        <f>B451-Index_Returns!AK451</f>
        <v>0.78470000000000006</v>
      </c>
    </row>
    <row r="452" spans="1:5" x14ac:dyDescent="0.2">
      <c r="A452" s="345">
        <v>41274</v>
      </c>
      <c r="B452" s="1300">
        <f t="shared" si="1"/>
        <v>-1.7822</v>
      </c>
      <c r="C452" s="1307">
        <v>863300124.44000006</v>
      </c>
      <c r="D452" s="1306">
        <v>-1.7822</v>
      </c>
      <c r="E452" s="1301">
        <f>B452-Index_Returns!AK452</f>
        <v>0.82489999999999997</v>
      </c>
    </row>
    <row r="453" spans="1:5" x14ac:dyDescent="0.2">
      <c r="A453" s="345">
        <v>41305</v>
      </c>
      <c r="B453" s="1300">
        <f t="shared" si="1"/>
        <v>2.8176800000000002</v>
      </c>
      <c r="C453" s="1307">
        <v>887607043.46000004</v>
      </c>
      <c r="D453" s="1306">
        <v>2.8176800000000002</v>
      </c>
      <c r="E453" s="1301">
        <f>B453-Index_Returns!AK453</f>
        <v>0.42020000000000035</v>
      </c>
    </row>
    <row r="454" spans="1:5" x14ac:dyDescent="0.2">
      <c r="A454" s="345">
        <v>41333</v>
      </c>
      <c r="B454" s="1300">
        <f t="shared" si="1"/>
        <v>-4.1740000000000004</v>
      </c>
      <c r="C454" s="1307">
        <v>851304649.92999995</v>
      </c>
      <c r="D454" s="1306">
        <v>-4.1740000000000004</v>
      </c>
      <c r="E454" s="1301">
        <f>B454-Index_Returns!AK454</f>
        <v>-8.7030000000000385E-2</v>
      </c>
    </row>
    <row r="455" spans="1:5" x14ac:dyDescent="0.2">
      <c r="A455" s="345">
        <v>41364</v>
      </c>
      <c r="B455" s="1300">
        <f t="shared" si="1"/>
        <v>0.24942</v>
      </c>
      <c r="C455" s="1307">
        <v>853429809.85000002</v>
      </c>
      <c r="D455" s="1306">
        <v>0.24942</v>
      </c>
      <c r="E455" s="1301">
        <f>B455-Index_Returns!AK455</f>
        <v>-0.42442999999999997</v>
      </c>
    </row>
    <row r="456" spans="1:5" x14ac:dyDescent="0.2">
      <c r="A456" s="345">
        <v>41394</v>
      </c>
      <c r="B456" s="1300">
        <f t="shared" si="1"/>
        <v>-3.4928599999999999</v>
      </c>
      <c r="C456" s="1307">
        <v>823680664.02999997</v>
      </c>
      <c r="D456" s="1306">
        <v>-3.4928599999999999</v>
      </c>
      <c r="E456" s="1301">
        <f>B456-Index_Returns!AK456</f>
        <v>-0.70196999999999976</v>
      </c>
    </row>
    <row r="457" spans="1:5" x14ac:dyDescent="0.2">
      <c r="A457" s="345">
        <v>41425</v>
      </c>
      <c r="B457" s="1300">
        <f t="shared" si="1"/>
        <v>-1.1381300000000001</v>
      </c>
      <c r="C457" s="1307">
        <v>814286130.09000003</v>
      </c>
      <c r="D457" s="1306">
        <v>-1.1381300000000001</v>
      </c>
      <c r="E457" s="1301">
        <f>B457-Index_Returns!AK457</f>
        <v>1.1049200000000001</v>
      </c>
    </row>
    <row r="458" spans="1:5" x14ac:dyDescent="0.2">
      <c r="A458" s="345">
        <v>41455</v>
      </c>
      <c r="B458" s="1300">
        <f t="shared" si="1"/>
        <v>-4.2630999999999997</v>
      </c>
      <c r="C458" s="1307">
        <v>781240511.14999998</v>
      </c>
      <c r="D458" s="1306">
        <v>-4.2630999999999997</v>
      </c>
      <c r="E458" s="1301">
        <f>B458-Index_Returns!AK458</f>
        <v>0.45140000000000047</v>
      </c>
    </row>
    <row r="459" spans="1:5" x14ac:dyDescent="0.2">
      <c r="A459" s="345">
        <v>41486</v>
      </c>
      <c r="B459" s="1300">
        <f t="shared" si="1"/>
        <v>2.3061600000000002</v>
      </c>
      <c r="C459" s="1307">
        <v>798284365.74000001</v>
      </c>
      <c r="D459" s="1306">
        <v>2.3061600000000002</v>
      </c>
      <c r="E459" s="1301">
        <f>B459-Index_Returns!AK459</f>
        <v>0.94348000000000032</v>
      </c>
    </row>
    <row r="460" spans="1:5" x14ac:dyDescent="0.2">
      <c r="A460" s="345">
        <v>41517</v>
      </c>
      <c r="B460" s="1300">
        <f t="shared" si="1"/>
        <v>3.89988</v>
      </c>
      <c r="C460" s="1307">
        <v>830167229.76999998</v>
      </c>
      <c r="D460" s="1306">
        <v>3.89988</v>
      </c>
      <c r="E460" s="1301">
        <f>B460-Index_Returns!AK460</f>
        <v>0.49761999999999995</v>
      </c>
    </row>
    <row r="461" spans="1:5" x14ac:dyDescent="0.2">
      <c r="A461" s="345">
        <v>41547</v>
      </c>
      <c r="B461" s="1300">
        <f t="shared" si="1"/>
        <v>-2.3450799999999998</v>
      </c>
      <c r="C461" s="1307">
        <v>810699135.13</v>
      </c>
      <c r="D461" s="1306">
        <v>-2.3450799999999998</v>
      </c>
      <c r="E461" s="1301">
        <f>B461-Index_Returns!AK461</f>
        <v>0.20910000000000029</v>
      </c>
    </row>
    <row r="462" spans="1:5" x14ac:dyDescent="0.2">
      <c r="A462" s="345">
        <v>41578</v>
      </c>
      <c r="B462" s="1300">
        <f t="shared" si="1"/>
        <v>-0.92727000000000004</v>
      </c>
      <c r="C462" s="1307">
        <v>803918978.42999995</v>
      </c>
      <c r="D462" s="1306">
        <v>-0.92727000000000004</v>
      </c>
      <c r="E462" s="1301">
        <f>B462-Index_Returns!AK462</f>
        <v>0.54957999999999996</v>
      </c>
    </row>
    <row r="463" spans="1:5" x14ac:dyDescent="0.2">
      <c r="A463" s="345">
        <v>41608</v>
      </c>
      <c r="B463" s="1300">
        <f t="shared" si="1"/>
        <v>-1.04898</v>
      </c>
      <c r="C463" s="1307">
        <v>795486057.20000005</v>
      </c>
      <c r="D463" s="1306">
        <v>-1.04898</v>
      </c>
      <c r="E463" s="1301">
        <f>B463-Index_Returns!AK463</f>
        <v>-0.24891000000000008</v>
      </c>
    </row>
    <row r="464" spans="1:5" x14ac:dyDescent="0.2">
      <c r="A464" s="345">
        <v>41639</v>
      </c>
      <c r="B464" s="1300">
        <f t="shared" si="1"/>
        <v>1.01207</v>
      </c>
      <c r="C464" s="1307">
        <v>803536891.10000002</v>
      </c>
      <c r="D464" s="1306">
        <v>1.01207</v>
      </c>
      <c r="E464" s="1301">
        <f>B464-Index_Returns!AK464</f>
        <v>-0.22784000000000004</v>
      </c>
    </row>
    <row r="465" spans="1:5" x14ac:dyDescent="0.2">
      <c r="A465" s="345">
        <v>41670</v>
      </c>
      <c r="B465" s="1300">
        <f t="shared" si="1"/>
        <v>-0.72350999999999999</v>
      </c>
      <c r="C465" s="1307">
        <v>797723244.66999996</v>
      </c>
      <c r="D465" s="1306">
        <v>-0.72350999999999999</v>
      </c>
      <c r="E465" s="1301">
        <f>B465-Index_Returns!AK465</f>
        <v>-1.0211699999999999</v>
      </c>
    </row>
    <row r="466" spans="1:5" x14ac:dyDescent="0.2">
      <c r="A466" s="345">
        <v>41698</v>
      </c>
      <c r="B466" s="1300">
        <f t="shared" si="1"/>
        <v>5.50258</v>
      </c>
      <c r="C466" s="1307">
        <v>842418502.73000002</v>
      </c>
      <c r="D466" s="1306">
        <v>5.50258</v>
      </c>
      <c r="E466" s="1301">
        <f>B466-Index_Returns!AK466</f>
        <v>-0.73266999999999971</v>
      </c>
    </row>
    <row r="467" spans="1:5" x14ac:dyDescent="0.2">
      <c r="A467" s="345">
        <v>41729</v>
      </c>
      <c r="B467" s="1300">
        <f t="shared" si="1"/>
        <v>0.35787000000000002</v>
      </c>
      <c r="C467" s="1307">
        <v>845433279.02999997</v>
      </c>
      <c r="D467" s="1306">
        <v>0.35787000000000002</v>
      </c>
      <c r="E467" s="1301">
        <f>B467-Index_Returns!AK467</f>
        <v>-5.3309999999999969E-2</v>
      </c>
    </row>
    <row r="468" spans="1:5" x14ac:dyDescent="0.2">
      <c r="A468" s="345">
        <v>41759</v>
      </c>
      <c r="B468" s="1300">
        <f t="shared" si="1"/>
        <v>1.929</v>
      </c>
      <c r="C468" s="1307">
        <v>861741650.00999999</v>
      </c>
      <c r="D468" s="1306">
        <v>1.929</v>
      </c>
      <c r="E468" s="1301">
        <f>B468-Index_Returns!AK468</f>
        <v>-0.50685999999999987</v>
      </c>
    </row>
    <row r="469" spans="1:5" x14ac:dyDescent="0.2">
      <c r="A469" s="345">
        <v>41790</v>
      </c>
      <c r="B469" s="1300">
        <f t="shared" si="1"/>
        <v>-1.50702</v>
      </c>
      <c r="C469" s="1307">
        <v>849505678.89999998</v>
      </c>
      <c r="D469" s="1306">
        <v>-1.50702</v>
      </c>
      <c r="E469" s="1301">
        <f>B469-Index_Returns!AK469</f>
        <v>1.36764</v>
      </c>
    </row>
    <row r="470" spans="1:5" x14ac:dyDescent="0.2">
      <c r="A470" s="345">
        <v>41820</v>
      </c>
      <c r="B470" s="1300">
        <f t="shared" si="1"/>
        <v>1.50451</v>
      </c>
      <c r="C470" s="1307">
        <v>862286559.71000004</v>
      </c>
      <c r="D470" s="1306">
        <v>1.50451</v>
      </c>
      <c r="E470" s="1301">
        <f>B470-Index_Returns!AK470</f>
        <v>0.90817000000000003</v>
      </c>
    </row>
    <row r="471" spans="1:5" x14ac:dyDescent="0.2">
      <c r="A471" s="345">
        <v>41851</v>
      </c>
      <c r="B471" s="1300">
        <f t="shared" si="1"/>
        <v>-4.1497799999999998</v>
      </c>
      <c r="C471" s="1307">
        <v>826503563.26900005</v>
      </c>
      <c r="D471" s="1306">
        <v>-4.1497799999999998</v>
      </c>
      <c r="E471" s="1301">
        <f>B471-Index_Returns!AK471</f>
        <v>0.83377000000000034</v>
      </c>
    </row>
    <row r="472" spans="1:5" x14ac:dyDescent="0.2">
      <c r="A472" s="345">
        <v>41882</v>
      </c>
      <c r="B472" s="1300">
        <f t="shared" si="1"/>
        <v>-1.1815100000000001</v>
      </c>
      <c r="C472" s="1307">
        <v>817509815.36000001</v>
      </c>
      <c r="D472" s="1306">
        <v>-1.1815100000000001</v>
      </c>
      <c r="E472" s="1301">
        <f>B472-Index_Returns!AK472</f>
        <v>-0.1363700000000001</v>
      </c>
    </row>
    <row r="473" spans="1:5" x14ac:dyDescent="0.2">
      <c r="A473" s="345">
        <v>41912</v>
      </c>
      <c r="B473" s="1300">
        <f t="shared" si="1"/>
        <v>0</v>
      </c>
      <c r="E473" s="1301">
        <f>B473-Index_Returns!AK473</f>
        <v>0</v>
      </c>
    </row>
    <row r="474" spans="1:5" x14ac:dyDescent="0.2">
      <c r="A474" s="345">
        <v>41943</v>
      </c>
      <c r="B474" s="1300">
        <f t="shared" si="1"/>
        <v>0</v>
      </c>
      <c r="E474" s="1301">
        <f>B474-Index_Returns!AK474</f>
        <v>0</v>
      </c>
    </row>
    <row r="475" spans="1:5" x14ac:dyDescent="0.2">
      <c r="A475" s="345">
        <v>41973</v>
      </c>
      <c r="B475" s="1300">
        <f t="shared" si="1"/>
        <v>0</v>
      </c>
      <c r="E475" s="1301">
        <f>B475-Index_Returns!AK475</f>
        <v>0</v>
      </c>
    </row>
    <row r="476" spans="1:5" x14ac:dyDescent="0.2">
      <c r="A476" s="345">
        <v>42004</v>
      </c>
      <c r="B476" s="1300">
        <f t="shared" si="1"/>
        <v>0</v>
      </c>
      <c r="E476" s="1301">
        <f>B476-Index_Returns!AK476</f>
        <v>0</v>
      </c>
    </row>
    <row r="477" spans="1:5" x14ac:dyDescent="0.2">
      <c r="A477" s="345">
        <v>42035</v>
      </c>
      <c r="B477" s="1300">
        <f t="shared" si="1"/>
        <v>0</v>
      </c>
      <c r="E477" s="1301">
        <f>B477-Index_Returns!AK477</f>
        <v>0</v>
      </c>
    </row>
    <row r="478" spans="1:5" x14ac:dyDescent="0.2">
      <c r="A478" s="345">
        <v>42063</v>
      </c>
      <c r="B478" s="1300">
        <f t="shared" si="1"/>
        <v>0</v>
      </c>
      <c r="E478" s="1301">
        <f>B478-Index_Returns!AK478</f>
        <v>0</v>
      </c>
    </row>
    <row r="479" spans="1:5" x14ac:dyDescent="0.2">
      <c r="A479" s="345">
        <v>42094</v>
      </c>
      <c r="B479" s="1300">
        <f t="shared" si="1"/>
        <v>0</v>
      </c>
      <c r="E479" s="1301">
        <f>B479-Index_Returns!AK479</f>
        <v>0</v>
      </c>
    </row>
    <row r="480" spans="1:5" x14ac:dyDescent="0.2">
      <c r="A480" s="345">
        <v>42124</v>
      </c>
      <c r="B480" s="1300">
        <f t="shared" si="1"/>
        <v>0</v>
      </c>
      <c r="E480" s="1301">
        <f>B480-Index_Returns!AK480</f>
        <v>0</v>
      </c>
    </row>
    <row r="481" spans="1:5" x14ac:dyDescent="0.2">
      <c r="A481" s="345">
        <v>42155</v>
      </c>
      <c r="B481" s="1300">
        <f t="shared" si="1"/>
        <v>0</v>
      </c>
      <c r="E481" s="1301">
        <f>B481-Index_Returns!AK481</f>
        <v>0</v>
      </c>
    </row>
    <row r="482" spans="1:5" x14ac:dyDescent="0.2">
      <c r="A482" s="345">
        <v>42185</v>
      </c>
      <c r="B482" s="1300">
        <f t="shared" si="1"/>
        <v>0</v>
      </c>
      <c r="E482" s="1301">
        <f>B482-Index_Returns!AK482</f>
        <v>0</v>
      </c>
    </row>
    <row r="483" spans="1:5" x14ac:dyDescent="0.2">
      <c r="A483" s="345">
        <v>42216</v>
      </c>
      <c r="B483" s="1300">
        <f t="shared" si="1"/>
        <v>0</v>
      </c>
      <c r="E483" s="1301">
        <f>B483-Index_Returns!AK483</f>
        <v>0</v>
      </c>
    </row>
    <row r="484" spans="1:5" x14ac:dyDescent="0.2">
      <c r="A484" s="345">
        <v>42247</v>
      </c>
      <c r="B484" s="1300">
        <f t="shared" si="1"/>
        <v>0</v>
      </c>
      <c r="E484" s="1301">
        <f>B484-Index_Returns!AK484</f>
        <v>0</v>
      </c>
    </row>
    <row r="485" spans="1:5" x14ac:dyDescent="0.2">
      <c r="A485" s="345">
        <v>42277</v>
      </c>
      <c r="B485" s="1300">
        <f t="shared" si="1"/>
        <v>0</v>
      </c>
      <c r="E485" s="1301">
        <f>B485-Index_Returns!AK485</f>
        <v>0</v>
      </c>
    </row>
    <row r="486" spans="1:5" x14ac:dyDescent="0.2">
      <c r="A486" s="345">
        <v>42308</v>
      </c>
      <c r="B486" s="1300">
        <f t="shared" si="1"/>
        <v>0</v>
      </c>
      <c r="E486" s="1301">
        <f>B486-Index_Returns!AK486</f>
        <v>0</v>
      </c>
    </row>
    <row r="487" spans="1:5" x14ac:dyDescent="0.2">
      <c r="A487" s="345">
        <v>42338</v>
      </c>
      <c r="B487" s="1300">
        <f t="shared" si="1"/>
        <v>0</v>
      </c>
      <c r="E487" s="1301">
        <f>B487-Index_Returns!AK487</f>
        <v>0</v>
      </c>
    </row>
    <row r="488" spans="1:5" x14ac:dyDescent="0.2">
      <c r="A488" s="345">
        <v>42369</v>
      </c>
      <c r="B488" s="1300">
        <f t="shared" si="1"/>
        <v>0</v>
      </c>
      <c r="E488" s="1301">
        <f>B488-Index_Returns!AK488</f>
        <v>0</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K488"/>
  <sheetViews>
    <sheetView workbookViewId="0">
      <pane xSplit="1" ySplit="2" topLeftCell="B444" activePane="bottomRight" state="frozen"/>
      <selection activeCell="E452" sqref="E452:E464"/>
      <selection pane="topRight" activeCell="E452" sqref="E452:E464"/>
      <selection pane="bottomLeft" activeCell="E452" sqref="E452:E464"/>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5" width="18.7109375" style="258" customWidth="1"/>
    <col min="6" max="6" width="12.42578125" bestFit="1" customWidth="1"/>
    <col min="7" max="7" width="13.7109375" style="352" bestFit="1" customWidth="1"/>
    <col min="8" max="8" width="13.7109375" style="14" bestFit="1" customWidth="1"/>
    <col min="9" max="9" width="9.140625" style="14"/>
  </cols>
  <sheetData>
    <row r="1" spans="1:6" x14ac:dyDescent="0.2">
      <c r="A1" s="265" t="s">
        <v>67</v>
      </c>
      <c r="B1" s="1370" t="s">
        <v>531</v>
      </c>
      <c r="C1" s="1382" t="s">
        <v>78</v>
      </c>
      <c r="D1" s="1370">
        <f>Fees!F254</f>
        <v>62.608781761363979</v>
      </c>
      <c r="E1" s="74" t="s">
        <v>81</v>
      </c>
      <c r="F1" s="21" t="s">
        <v>769</v>
      </c>
    </row>
    <row r="2" spans="1:6" x14ac:dyDescent="0.2">
      <c r="A2" s="3" t="s">
        <v>27</v>
      </c>
      <c r="B2" s="71" t="s">
        <v>91</v>
      </c>
      <c r="C2" s="226" t="s">
        <v>92</v>
      </c>
      <c r="D2" s="71" t="s">
        <v>90</v>
      </c>
      <c r="E2" s="71" t="s">
        <v>80</v>
      </c>
    </row>
    <row r="3" spans="1:6" x14ac:dyDescent="0.2">
      <c r="A3" s="345">
        <v>27606</v>
      </c>
      <c r="B3" s="71"/>
      <c r="C3" s="226"/>
      <c r="D3" s="71"/>
      <c r="E3" s="71"/>
    </row>
    <row r="4" spans="1:6" x14ac:dyDescent="0.2">
      <c r="A4" s="345">
        <v>27637</v>
      </c>
      <c r="B4" s="71"/>
      <c r="C4" s="226"/>
      <c r="D4" s="71"/>
      <c r="E4" s="71"/>
    </row>
    <row r="5" spans="1:6" x14ac:dyDescent="0.2">
      <c r="A5" s="345">
        <v>27667</v>
      </c>
      <c r="B5" s="71"/>
      <c r="C5" s="226"/>
      <c r="D5" s="71"/>
      <c r="E5" s="71"/>
    </row>
    <row r="6" spans="1:6" x14ac:dyDescent="0.2">
      <c r="A6" s="345">
        <v>27698</v>
      </c>
      <c r="B6" s="71"/>
      <c r="C6" s="226"/>
      <c r="D6" s="71"/>
      <c r="E6" s="71"/>
    </row>
    <row r="7" spans="1:6" x14ac:dyDescent="0.2">
      <c r="A7" s="345">
        <v>27728</v>
      </c>
      <c r="B7" s="71"/>
      <c r="C7" s="226"/>
      <c r="D7" s="71"/>
      <c r="E7" s="71"/>
    </row>
    <row r="8" spans="1:6" x14ac:dyDescent="0.2">
      <c r="A8" s="345">
        <v>27759</v>
      </c>
      <c r="B8" s="71"/>
      <c r="C8" s="226"/>
      <c r="D8" s="71"/>
      <c r="E8" s="71"/>
    </row>
    <row r="9" spans="1:6" x14ac:dyDescent="0.2">
      <c r="A9" s="345">
        <v>27790</v>
      </c>
      <c r="B9" s="71"/>
      <c r="C9" s="226"/>
      <c r="D9" s="71"/>
      <c r="E9" s="71"/>
    </row>
    <row r="10" spans="1:6" x14ac:dyDescent="0.2">
      <c r="A10" s="345">
        <v>27819</v>
      </c>
      <c r="B10" s="71"/>
      <c r="C10" s="226"/>
      <c r="D10" s="71"/>
      <c r="E10" s="71"/>
    </row>
    <row r="11" spans="1:6" x14ac:dyDescent="0.2">
      <c r="A11" s="345">
        <v>27850</v>
      </c>
      <c r="B11" s="71"/>
      <c r="C11" s="226"/>
      <c r="D11" s="71"/>
      <c r="E11" s="71"/>
    </row>
    <row r="12" spans="1:6" x14ac:dyDescent="0.2">
      <c r="A12" s="345">
        <v>27880</v>
      </c>
      <c r="B12" s="71"/>
      <c r="C12" s="226"/>
      <c r="D12" s="71"/>
      <c r="E12" s="71"/>
    </row>
    <row r="13" spans="1:6" x14ac:dyDescent="0.2">
      <c r="A13" s="345">
        <v>27911</v>
      </c>
      <c r="B13" s="71"/>
      <c r="C13" s="226"/>
      <c r="D13" s="71"/>
      <c r="E13" s="71"/>
    </row>
    <row r="14" spans="1:6" x14ac:dyDescent="0.2">
      <c r="A14" s="345">
        <v>27941</v>
      </c>
      <c r="B14" s="71"/>
      <c r="C14" s="226"/>
      <c r="D14" s="71"/>
      <c r="E14" s="71"/>
    </row>
    <row r="15" spans="1:6" x14ac:dyDescent="0.2">
      <c r="A15" s="345">
        <v>27972</v>
      </c>
      <c r="B15" s="71"/>
      <c r="C15" s="226"/>
      <c r="D15" s="71"/>
      <c r="E15" s="71"/>
    </row>
    <row r="16" spans="1:6"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3"/>
      <c r="C147" s="25"/>
      <c r="D147" s="73"/>
      <c r="E147" s="73"/>
    </row>
    <row r="148" spans="1:5" x14ac:dyDescent="0.2">
      <c r="A148" s="345">
        <v>32020</v>
      </c>
      <c r="B148" s="73"/>
      <c r="C148" s="25"/>
      <c r="D148" s="73"/>
      <c r="E148" s="73"/>
    </row>
    <row r="149" spans="1:5" x14ac:dyDescent="0.2">
      <c r="A149" s="345">
        <v>32050</v>
      </c>
      <c r="B149" s="73"/>
      <c r="C149" s="25"/>
      <c r="D149" s="73"/>
      <c r="E149" s="73"/>
    </row>
    <row r="150" spans="1:5" x14ac:dyDescent="0.2">
      <c r="A150" s="345">
        <v>32081</v>
      </c>
      <c r="B150" s="73"/>
      <c r="C150" s="25"/>
      <c r="D150" s="73"/>
      <c r="E150" s="73"/>
    </row>
    <row r="151" spans="1:5" x14ac:dyDescent="0.2">
      <c r="A151" s="345">
        <v>32111</v>
      </c>
      <c r="B151" s="73"/>
      <c r="C151" s="25"/>
      <c r="D151" s="73"/>
      <c r="E151" s="73"/>
    </row>
    <row r="152" spans="1:5" x14ac:dyDescent="0.2">
      <c r="A152" s="345">
        <v>32142</v>
      </c>
      <c r="B152" s="73"/>
      <c r="C152" s="25"/>
      <c r="D152" s="73"/>
      <c r="E152" s="73"/>
    </row>
    <row r="153" spans="1:5" x14ac:dyDescent="0.2">
      <c r="A153" s="345">
        <v>32173</v>
      </c>
      <c r="B153" s="73"/>
      <c r="C153" s="25"/>
      <c r="D153" s="73"/>
      <c r="E153" s="73"/>
    </row>
    <row r="154" spans="1:5" x14ac:dyDescent="0.2">
      <c r="A154" s="345">
        <v>32202</v>
      </c>
      <c r="B154" s="73"/>
      <c r="C154" s="25"/>
      <c r="D154" s="73"/>
      <c r="E154" s="73"/>
    </row>
    <row r="155" spans="1:5" x14ac:dyDescent="0.2">
      <c r="A155" s="345">
        <v>32233</v>
      </c>
      <c r="B155" s="73"/>
      <c r="C155" s="25"/>
      <c r="D155" s="73"/>
      <c r="E155" s="73"/>
    </row>
    <row r="156" spans="1:5" x14ac:dyDescent="0.2">
      <c r="A156" s="345">
        <v>32263</v>
      </c>
      <c r="B156" s="73"/>
      <c r="C156" s="25"/>
      <c r="D156" s="73"/>
      <c r="E156" s="73"/>
    </row>
    <row r="157" spans="1:5" x14ac:dyDescent="0.2">
      <c r="A157" s="345">
        <v>32294</v>
      </c>
      <c r="B157" s="73"/>
      <c r="C157" s="25"/>
      <c r="D157" s="73"/>
      <c r="E157" s="73"/>
    </row>
    <row r="158" spans="1:5" x14ac:dyDescent="0.2">
      <c r="A158" s="345">
        <v>32324</v>
      </c>
      <c r="B158" s="73"/>
      <c r="C158" s="25"/>
      <c r="D158" s="73"/>
      <c r="E158" s="73"/>
    </row>
    <row r="159" spans="1:5" x14ac:dyDescent="0.2">
      <c r="A159" s="345">
        <v>32355</v>
      </c>
      <c r="B159" s="73"/>
      <c r="C159" s="25"/>
      <c r="D159" s="73"/>
      <c r="E159" s="73"/>
    </row>
    <row r="160" spans="1:5" x14ac:dyDescent="0.2">
      <c r="A160" s="345">
        <v>32386</v>
      </c>
      <c r="B160" s="73"/>
      <c r="C160" s="25"/>
      <c r="D160" s="73"/>
      <c r="E160" s="73"/>
    </row>
    <row r="161" spans="1:5" x14ac:dyDescent="0.2">
      <c r="A161" s="345">
        <v>32416</v>
      </c>
      <c r="B161" s="73"/>
      <c r="C161" s="25"/>
      <c r="D161" s="73"/>
      <c r="E161" s="73"/>
    </row>
    <row r="162" spans="1:5" x14ac:dyDescent="0.2">
      <c r="A162" s="345">
        <v>32447</v>
      </c>
      <c r="B162" s="73"/>
      <c r="C162" s="25"/>
      <c r="D162" s="73"/>
      <c r="E162" s="73"/>
    </row>
    <row r="163" spans="1:5" x14ac:dyDescent="0.2">
      <c r="A163" s="345">
        <v>32477</v>
      </c>
      <c r="B163" s="73"/>
      <c r="C163" s="25"/>
      <c r="D163" s="73"/>
      <c r="E163" s="73"/>
    </row>
    <row r="164" spans="1:5" x14ac:dyDescent="0.2">
      <c r="A164" s="345">
        <v>32508</v>
      </c>
      <c r="B164" s="73"/>
      <c r="C164" s="25"/>
      <c r="D164" s="73"/>
      <c r="E164" s="73"/>
    </row>
    <row r="165" spans="1:5" x14ac:dyDescent="0.2">
      <c r="A165" s="345">
        <v>32539</v>
      </c>
      <c r="B165" s="73"/>
      <c r="C165" s="25"/>
      <c r="D165" s="73"/>
      <c r="E165" s="73"/>
    </row>
    <row r="166" spans="1:5" x14ac:dyDescent="0.2">
      <c r="A166" s="345">
        <v>32567</v>
      </c>
      <c r="B166" s="73"/>
      <c r="C166" s="25"/>
      <c r="D166" s="73"/>
      <c r="E166" s="73"/>
    </row>
    <row r="167" spans="1:5" x14ac:dyDescent="0.2">
      <c r="A167" s="345">
        <v>32598</v>
      </c>
      <c r="B167" s="73"/>
      <c r="C167" s="25"/>
      <c r="D167" s="73"/>
      <c r="E167" s="73"/>
    </row>
    <row r="168" spans="1:5" x14ac:dyDescent="0.2">
      <c r="A168" s="345">
        <v>32628</v>
      </c>
      <c r="B168" s="73"/>
      <c r="C168" s="25"/>
      <c r="D168" s="73"/>
      <c r="E168" s="73"/>
    </row>
    <row r="169" spans="1:5" x14ac:dyDescent="0.2">
      <c r="A169" s="345">
        <v>32659</v>
      </c>
      <c r="B169" s="73"/>
      <c r="C169" s="25"/>
      <c r="D169" s="73"/>
      <c r="E169" s="73"/>
    </row>
    <row r="170" spans="1:5" x14ac:dyDescent="0.2">
      <c r="A170" s="345">
        <v>32689</v>
      </c>
      <c r="B170" s="73"/>
      <c r="C170" s="25"/>
      <c r="D170" s="73"/>
      <c r="E170" s="73"/>
    </row>
    <row r="171" spans="1:5" x14ac:dyDescent="0.2">
      <c r="A171" s="345">
        <v>32720</v>
      </c>
      <c r="B171" s="73"/>
      <c r="C171" s="25"/>
      <c r="D171" s="73"/>
      <c r="E171" s="73"/>
    </row>
    <row r="172" spans="1:5" x14ac:dyDescent="0.2">
      <c r="A172" s="345">
        <v>32751</v>
      </c>
      <c r="B172" s="73"/>
      <c r="C172" s="25"/>
      <c r="D172" s="73"/>
      <c r="E172" s="73"/>
    </row>
    <row r="173" spans="1:5" x14ac:dyDescent="0.2">
      <c r="A173" s="345">
        <v>32781</v>
      </c>
      <c r="B173" s="73"/>
      <c r="C173" s="25"/>
      <c r="D173" s="73"/>
      <c r="E173" s="73"/>
    </row>
    <row r="174" spans="1:5" x14ac:dyDescent="0.2">
      <c r="A174" s="345">
        <v>32812</v>
      </c>
      <c r="B174" s="73"/>
      <c r="C174" s="25"/>
      <c r="D174" s="73"/>
      <c r="E174" s="73"/>
    </row>
    <row r="175" spans="1:5" x14ac:dyDescent="0.2">
      <c r="A175" s="345">
        <v>32842</v>
      </c>
      <c r="B175" s="73"/>
      <c r="C175" s="25"/>
      <c r="D175" s="73"/>
      <c r="E175" s="73"/>
    </row>
    <row r="176" spans="1:5" x14ac:dyDescent="0.2">
      <c r="A176" s="345">
        <v>32873</v>
      </c>
      <c r="B176" s="73"/>
      <c r="C176" s="25"/>
      <c r="D176" s="73"/>
      <c r="E176" s="73"/>
    </row>
    <row r="177" spans="1:5" x14ac:dyDescent="0.2">
      <c r="A177" s="345">
        <v>32904</v>
      </c>
      <c r="B177" s="255"/>
      <c r="C177" s="259"/>
      <c r="D177" s="73"/>
      <c r="E177" s="73"/>
    </row>
    <row r="178" spans="1:5" x14ac:dyDescent="0.2">
      <c r="A178" s="345">
        <v>32932</v>
      </c>
      <c r="B178" s="255"/>
      <c r="C178" s="259"/>
      <c r="D178" s="73"/>
      <c r="E178" s="73"/>
    </row>
    <row r="179" spans="1:5" x14ac:dyDescent="0.2">
      <c r="A179" s="345">
        <v>32963</v>
      </c>
      <c r="B179" s="255"/>
      <c r="C179" s="259"/>
      <c r="D179" s="73"/>
      <c r="E179" s="73"/>
    </row>
    <row r="180" spans="1:5" x14ac:dyDescent="0.2">
      <c r="A180" s="345">
        <v>32993</v>
      </c>
      <c r="B180" s="255"/>
      <c r="C180" s="259"/>
      <c r="D180" s="73"/>
      <c r="E180" s="73"/>
    </row>
    <row r="181" spans="1:5" x14ac:dyDescent="0.2">
      <c r="A181" s="345">
        <v>33024</v>
      </c>
      <c r="B181" s="255"/>
      <c r="C181" s="259"/>
      <c r="D181" s="73"/>
      <c r="E181" s="73"/>
    </row>
    <row r="182" spans="1:5" x14ac:dyDescent="0.2">
      <c r="A182" s="345">
        <v>33054</v>
      </c>
      <c r="B182" s="255"/>
      <c r="C182" s="259"/>
      <c r="D182" s="73"/>
      <c r="E182" s="73"/>
    </row>
    <row r="183" spans="1:5" x14ac:dyDescent="0.2">
      <c r="A183" s="345">
        <v>33085</v>
      </c>
      <c r="B183" s="255"/>
      <c r="C183" s="259"/>
      <c r="D183" s="73"/>
      <c r="E183" s="73"/>
    </row>
    <row r="184" spans="1:5" x14ac:dyDescent="0.2">
      <c r="A184" s="345">
        <v>33116</v>
      </c>
      <c r="B184" s="255"/>
      <c r="C184" s="259"/>
      <c r="D184" s="73"/>
      <c r="E184" s="73"/>
    </row>
    <row r="185" spans="1:5" x14ac:dyDescent="0.2">
      <c r="A185" s="345">
        <v>33146</v>
      </c>
      <c r="B185" s="255"/>
      <c r="C185" s="259"/>
      <c r="D185" s="73"/>
      <c r="E185" s="73"/>
    </row>
    <row r="186" spans="1:5" x14ac:dyDescent="0.2">
      <c r="A186" s="345">
        <v>33177</v>
      </c>
      <c r="B186" s="255"/>
      <c r="C186" s="259"/>
      <c r="D186" s="73"/>
      <c r="E186" s="73"/>
    </row>
    <row r="187" spans="1:5" x14ac:dyDescent="0.2">
      <c r="A187" s="345">
        <v>33207</v>
      </c>
      <c r="B187" s="255"/>
      <c r="C187" s="259"/>
      <c r="D187" s="73"/>
      <c r="E187" s="73"/>
    </row>
    <row r="188" spans="1:5" x14ac:dyDescent="0.2">
      <c r="A188" s="345">
        <v>33238</v>
      </c>
      <c r="B188" s="255"/>
      <c r="C188" s="259"/>
      <c r="D188" s="73"/>
      <c r="E188" s="73"/>
    </row>
    <row r="189" spans="1:5" x14ac:dyDescent="0.2">
      <c r="A189" s="345">
        <v>33269</v>
      </c>
      <c r="B189" s="255"/>
      <c r="C189" s="259"/>
      <c r="D189" s="73"/>
      <c r="E189" s="73"/>
    </row>
    <row r="190" spans="1:5" x14ac:dyDescent="0.2">
      <c r="A190" s="345">
        <v>33297</v>
      </c>
      <c r="B190" s="255"/>
      <c r="C190" s="259"/>
      <c r="D190" s="73"/>
      <c r="E190" s="73"/>
    </row>
    <row r="191" spans="1:5" x14ac:dyDescent="0.2">
      <c r="A191" s="345">
        <v>33328</v>
      </c>
      <c r="B191" s="255"/>
      <c r="C191" s="259"/>
      <c r="D191" s="73"/>
      <c r="E191" s="73"/>
    </row>
    <row r="192" spans="1:5" x14ac:dyDescent="0.2">
      <c r="A192" s="345">
        <v>33358</v>
      </c>
      <c r="B192" s="255"/>
      <c r="C192" s="259"/>
      <c r="D192" s="73"/>
      <c r="E192" s="73"/>
    </row>
    <row r="193" spans="1:5" x14ac:dyDescent="0.2">
      <c r="A193" s="345">
        <v>33389</v>
      </c>
      <c r="B193" s="255"/>
      <c r="C193" s="259"/>
      <c r="D193" s="73"/>
      <c r="E193" s="73"/>
    </row>
    <row r="194" spans="1:5" x14ac:dyDescent="0.2">
      <c r="A194" s="345">
        <v>33419</v>
      </c>
      <c r="B194" s="255"/>
      <c r="C194" s="259"/>
      <c r="D194" s="73"/>
      <c r="E194" s="73"/>
    </row>
    <row r="195" spans="1:5" x14ac:dyDescent="0.2">
      <c r="A195" s="345">
        <v>33450</v>
      </c>
      <c r="B195" s="255"/>
      <c r="C195" s="259"/>
      <c r="D195" s="73"/>
      <c r="E195" s="73"/>
    </row>
    <row r="196" spans="1:5" x14ac:dyDescent="0.2">
      <c r="A196" s="345">
        <v>33481</v>
      </c>
      <c r="B196" s="255"/>
      <c r="C196" s="259"/>
      <c r="D196" s="73"/>
      <c r="E196" s="73"/>
    </row>
    <row r="197" spans="1:5" x14ac:dyDescent="0.2">
      <c r="A197" s="345">
        <v>33511</v>
      </c>
      <c r="B197" s="255"/>
      <c r="C197" s="259"/>
      <c r="D197" s="73"/>
      <c r="E197" s="73"/>
    </row>
    <row r="198" spans="1:5" x14ac:dyDescent="0.2">
      <c r="A198" s="345">
        <v>33542</v>
      </c>
      <c r="B198" s="255"/>
      <c r="C198" s="259"/>
      <c r="D198" s="73"/>
      <c r="E198" s="73"/>
    </row>
    <row r="199" spans="1:5" x14ac:dyDescent="0.2">
      <c r="A199" s="345">
        <v>33572</v>
      </c>
      <c r="B199" s="255"/>
      <c r="C199" s="259"/>
      <c r="D199" s="73"/>
      <c r="E199" s="73"/>
    </row>
    <row r="200" spans="1:5" x14ac:dyDescent="0.2">
      <c r="A200" s="345">
        <v>33603</v>
      </c>
      <c r="B200" s="255"/>
      <c r="C200" s="259"/>
      <c r="D200" s="73"/>
      <c r="E200" s="73"/>
    </row>
    <row r="201" spans="1:5" x14ac:dyDescent="0.2">
      <c r="A201" s="345">
        <v>33634</v>
      </c>
      <c r="B201" s="255"/>
      <c r="C201" s="259"/>
      <c r="D201" s="73"/>
      <c r="E201" s="73"/>
    </row>
    <row r="202" spans="1:5" x14ac:dyDescent="0.2">
      <c r="A202" s="345">
        <v>33663</v>
      </c>
      <c r="B202" s="255"/>
      <c r="C202" s="259"/>
      <c r="D202" s="73"/>
      <c r="E202" s="73"/>
    </row>
    <row r="203" spans="1:5" x14ac:dyDescent="0.2">
      <c r="A203" s="345">
        <v>33694</v>
      </c>
      <c r="B203" s="255"/>
      <c r="C203" s="259"/>
      <c r="D203" s="73"/>
      <c r="E203" s="73"/>
    </row>
    <row r="204" spans="1:5" x14ac:dyDescent="0.2">
      <c r="A204" s="345">
        <v>33724</v>
      </c>
      <c r="B204" s="255"/>
      <c r="C204" s="259"/>
      <c r="D204" s="73"/>
      <c r="E204" s="73"/>
    </row>
    <row r="205" spans="1:5" x14ac:dyDescent="0.2">
      <c r="A205" s="345">
        <v>33755</v>
      </c>
      <c r="B205" s="255"/>
      <c r="C205" s="259"/>
      <c r="D205" s="73"/>
      <c r="E205" s="73"/>
    </row>
    <row r="206" spans="1:5" x14ac:dyDescent="0.2">
      <c r="A206" s="345">
        <v>33785</v>
      </c>
      <c r="B206" s="255"/>
      <c r="C206" s="259"/>
      <c r="D206" s="73"/>
      <c r="E206" s="73"/>
    </row>
    <row r="207" spans="1:5" x14ac:dyDescent="0.2">
      <c r="A207" s="345">
        <v>33816</v>
      </c>
      <c r="B207" s="255"/>
      <c r="C207" s="259"/>
      <c r="D207" s="73"/>
      <c r="E207" s="73"/>
    </row>
    <row r="208" spans="1:5" x14ac:dyDescent="0.2">
      <c r="A208" s="345">
        <v>33847</v>
      </c>
      <c r="B208" s="255"/>
      <c r="C208" s="259"/>
      <c r="D208" s="73"/>
      <c r="E208" s="73"/>
    </row>
    <row r="209" spans="1:5" x14ac:dyDescent="0.2">
      <c r="A209" s="345">
        <v>33877</v>
      </c>
      <c r="B209" s="255"/>
      <c r="C209" s="259"/>
      <c r="D209" s="73"/>
      <c r="E209" s="73"/>
    </row>
    <row r="210" spans="1:5" x14ac:dyDescent="0.2">
      <c r="A210" s="345">
        <v>33908</v>
      </c>
      <c r="B210" s="255"/>
      <c r="C210" s="259"/>
      <c r="D210" s="73"/>
      <c r="E210" s="73"/>
    </row>
    <row r="211" spans="1:5" x14ac:dyDescent="0.2">
      <c r="A211" s="345">
        <v>33938</v>
      </c>
      <c r="B211" s="255"/>
      <c r="C211" s="259"/>
      <c r="D211" s="73"/>
      <c r="E211" s="73"/>
    </row>
    <row r="212" spans="1:5" x14ac:dyDescent="0.2">
      <c r="A212" s="345">
        <v>33969</v>
      </c>
      <c r="B212" s="255"/>
      <c r="C212" s="259"/>
      <c r="D212" s="73"/>
      <c r="E212" s="73"/>
    </row>
    <row r="213" spans="1:5" x14ac:dyDescent="0.2">
      <c r="A213" s="345">
        <v>34000</v>
      </c>
      <c r="B213" s="255"/>
      <c r="C213" s="259"/>
      <c r="D213" s="73"/>
      <c r="E213" s="73"/>
    </row>
    <row r="214" spans="1:5" x14ac:dyDescent="0.2">
      <c r="A214" s="345">
        <v>34028</v>
      </c>
      <c r="B214" s="255"/>
      <c r="C214" s="259"/>
      <c r="D214" s="73"/>
      <c r="E214" s="73"/>
    </row>
    <row r="215" spans="1:5" x14ac:dyDescent="0.2">
      <c r="A215" s="345">
        <v>34059</v>
      </c>
      <c r="B215" s="255"/>
      <c r="C215" s="259"/>
      <c r="D215" s="73"/>
      <c r="E215" s="73"/>
    </row>
    <row r="216" spans="1:5" x14ac:dyDescent="0.2">
      <c r="A216" s="345">
        <v>34089</v>
      </c>
      <c r="B216" s="255"/>
      <c r="C216" s="259"/>
      <c r="D216" s="73"/>
      <c r="E216" s="73"/>
    </row>
    <row r="217" spans="1:5" x14ac:dyDescent="0.2">
      <c r="A217" s="345">
        <v>34120</v>
      </c>
      <c r="B217" s="255"/>
      <c r="C217" s="259"/>
      <c r="D217" s="73"/>
      <c r="E217" s="73"/>
    </row>
    <row r="218" spans="1:5" x14ac:dyDescent="0.2">
      <c r="A218" s="345">
        <v>34150</v>
      </c>
      <c r="B218" s="255"/>
      <c r="C218" s="259"/>
      <c r="D218" s="73"/>
      <c r="E218" s="73"/>
    </row>
    <row r="219" spans="1:5" x14ac:dyDescent="0.2">
      <c r="A219" s="345">
        <v>34181</v>
      </c>
      <c r="B219" s="255"/>
      <c r="C219" s="259"/>
      <c r="D219" s="73"/>
      <c r="E219" s="73"/>
    </row>
    <row r="220" spans="1:5" x14ac:dyDescent="0.2">
      <c r="A220" s="345">
        <v>34212</v>
      </c>
      <c r="B220" s="255"/>
      <c r="C220" s="259"/>
      <c r="D220" s="73"/>
      <c r="E220" s="73"/>
    </row>
    <row r="221" spans="1:5" x14ac:dyDescent="0.2">
      <c r="A221" s="345">
        <v>34242</v>
      </c>
      <c r="B221" s="255"/>
      <c r="C221" s="259"/>
      <c r="D221" s="73"/>
      <c r="E221" s="73"/>
    </row>
    <row r="222" spans="1:5" x14ac:dyDescent="0.2">
      <c r="A222" s="345">
        <v>34273</v>
      </c>
      <c r="B222" s="255"/>
      <c r="C222" s="259"/>
      <c r="D222" s="73"/>
      <c r="E222" s="73"/>
    </row>
    <row r="223" spans="1:5" x14ac:dyDescent="0.2">
      <c r="A223" s="345">
        <v>34303</v>
      </c>
      <c r="B223" s="255"/>
      <c r="C223" s="259"/>
      <c r="D223" s="73"/>
      <c r="E223" s="73"/>
    </row>
    <row r="224" spans="1:5" x14ac:dyDescent="0.2">
      <c r="A224" s="345">
        <v>34334</v>
      </c>
      <c r="B224" s="255"/>
      <c r="C224" s="259"/>
      <c r="D224" s="73"/>
      <c r="E224" s="73"/>
    </row>
    <row r="225" spans="1:5" x14ac:dyDescent="0.2">
      <c r="A225" s="345">
        <v>34365</v>
      </c>
      <c r="B225" s="255"/>
      <c r="C225" s="259"/>
      <c r="D225" s="73"/>
      <c r="E225" s="73"/>
    </row>
    <row r="226" spans="1:5" x14ac:dyDescent="0.2">
      <c r="A226" s="345">
        <v>34393</v>
      </c>
      <c r="B226" s="255"/>
      <c r="C226" s="259"/>
      <c r="D226" s="73"/>
      <c r="E226" s="73"/>
    </row>
    <row r="227" spans="1:5" x14ac:dyDescent="0.2">
      <c r="A227" s="345">
        <v>34424</v>
      </c>
      <c r="B227" s="255"/>
      <c r="C227" s="259"/>
      <c r="D227" s="73"/>
      <c r="E227" s="73"/>
    </row>
    <row r="228" spans="1:5" x14ac:dyDescent="0.2">
      <c r="A228" s="345">
        <v>34454</v>
      </c>
      <c r="B228" s="255"/>
      <c r="C228" s="259"/>
      <c r="D228" s="73"/>
      <c r="E228" s="73"/>
    </row>
    <row r="229" spans="1:5" x14ac:dyDescent="0.2">
      <c r="A229" s="345">
        <v>34485</v>
      </c>
      <c r="B229" s="255"/>
      <c r="C229" s="259"/>
      <c r="D229" s="73"/>
      <c r="E229" s="73"/>
    </row>
    <row r="230" spans="1:5" x14ac:dyDescent="0.2">
      <c r="A230" s="345">
        <v>34515</v>
      </c>
      <c r="B230" s="255"/>
      <c r="C230" s="259"/>
      <c r="D230" s="73"/>
      <c r="E230" s="73"/>
    </row>
    <row r="231" spans="1:5" x14ac:dyDescent="0.2">
      <c r="A231" s="345">
        <v>34546</v>
      </c>
      <c r="B231" s="255"/>
      <c r="C231" s="259"/>
      <c r="D231" s="73"/>
      <c r="E231" s="73"/>
    </row>
    <row r="232" spans="1:5" x14ac:dyDescent="0.2">
      <c r="A232" s="345">
        <v>34577</v>
      </c>
      <c r="B232" s="255"/>
      <c r="C232" s="259"/>
      <c r="D232" s="73"/>
      <c r="E232" s="73"/>
    </row>
    <row r="233" spans="1:5" x14ac:dyDescent="0.2">
      <c r="A233" s="345">
        <v>34607</v>
      </c>
      <c r="B233" s="255"/>
      <c r="C233" s="259"/>
      <c r="D233" s="73"/>
      <c r="E233" s="73"/>
    </row>
    <row r="234" spans="1:5" x14ac:dyDescent="0.2">
      <c r="A234" s="345">
        <v>34638</v>
      </c>
      <c r="B234" s="255"/>
      <c r="C234" s="259"/>
      <c r="D234" s="73"/>
      <c r="E234" s="73"/>
    </row>
    <row r="235" spans="1:5" x14ac:dyDescent="0.2">
      <c r="A235" s="345">
        <v>34668</v>
      </c>
      <c r="B235" s="255"/>
      <c r="C235" s="259"/>
      <c r="D235" s="73"/>
      <c r="E235" s="73"/>
    </row>
    <row r="236" spans="1:5" x14ac:dyDescent="0.2">
      <c r="A236" s="345">
        <v>34699</v>
      </c>
      <c r="B236" s="255"/>
      <c r="C236" s="259"/>
      <c r="D236" s="73"/>
      <c r="E236" s="73"/>
    </row>
    <row r="237" spans="1:5" x14ac:dyDescent="0.2">
      <c r="A237" s="345">
        <v>34730</v>
      </c>
      <c r="B237" s="255"/>
      <c r="C237" s="259"/>
      <c r="D237" s="73"/>
      <c r="E237" s="73"/>
    </row>
    <row r="238" spans="1:5" x14ac:dyDescent="0.2">
      <c r="A238" s="345">
        <v>34758</v>
      </c>
      <c r="B238" s="255"/>
      <c r="C238" s="259"/>
      <c r="D238" s="73"/>
      <c r="E238" s="73"/>
    </row>
    <row r="239" spans="1:5" x14ac:dyDescent="0.2">
      <c r="A239" s="345">
        <v>34789</v>
      </c>
      <c r="B239" s="255"/>
      <c r="C239" s="259"/>
      <c r="D239" s="73"/>
      <c r="E239" s="73"/>
    </row>
    <row r="240" spans="1:5" x14ac:dyDescent="0.2">
      <c r="A240" s="345">
        <v>34819</v>
      </c>
      <c r="B240" s="255"/>
      <c r="C240" s="259"/>
      <c r="D240" s="73"/>
      <c r="E240" s="73"/>
    </row>
    <row r="241" spans="1:5" x14ac:dyDescent="0.2">
      <c r="A241" s="345">
        <v>34850</v>
      </c>
      <c r="B241" s="255"/>
      <c r="C241" s="259"/>
      <c r="D241" s="73"/>
      <c r="E241" s="73"/>
    </row>
    <row r="242" spans="1:5" x14ac:dyDescent="0.2">
      <c r="A242" s="345">
        <v>34880</v>
      </c>
      <c r="B242" s="255"/>
      <c r="C242" s="259"/>
      <c r="D242" s="77"/>
      <c r="E242" s="77"/>
    </row>
    <row r="243" spans="1:5" x14ac:dyDescent="0.2">
      <c r="A243" s="345">
        <v>34911</v>
      </c>
      <c r="B243" s="255"/>
      <c r="C243" s="259"/>
      <c r="D243" s="77"/>
      <c r="E243" s="77"/>
    </row>
    <row r="244" spans="1:5" x14ac:dyDescent="0.2">
      <c r="A244" s="345">
        <v>34942</v>
      </c>
      <c r="B244" s="255"/>
      <c r="C244" s="259"/>
      <c r="D244" s="77"/>
      <c r="E244" s="77"/>
    </row>
    <row r="245" spans="1:5" x14ac:dyDescent="0.2">
      <c r="A245" s="345">
        <v>34972</v>
      </c>
      <c r="B245" s="255"/>
      <c r="C245" s="259"/>
      <c r="D245" s="77"/>
      <c r="E245" s="77"/>
    </row>
    <row r="246" spans="1:5" x14ac:dyDescent="0.2">
      <c r="A246" s="345">
        <v>35003</v>
      </c>
      <c r="B246" s="255"/>
      <c r="C246" s="259"/>
      <c r="D246" s="77"/>
      <c r="E246" s="77"/>
    </row>
    <row r="247" spans="1:5" x14ac:dyDescent="0.2">
      <c r="A247" s="345">
        <v>35033</v>
      </c>
      <c r="B247" s="255"/>
      <c r="C247" s="259"/>
      <c r="D247" s="77"/>
      <c r="E247" s="77"/>
    </row>
    <row r="248" spans="1:5" x14ac:dyDescent="0.2">
      <c r="A248" s="345">
        <v>35064</v>
      </c>
      <c r="B248" s="255"/>
      <c r="C248" s="259"/>
      <c r="D248" s="77"/>
      <c r="E248" s="77"/>
    </row>
    <row r="249" spans="1:5" x14ac:dyDescent="0.2">
      <c r="A249" s="345">
        <v>35095</v>
      </c>
      <c r="B249" s="255"/>
      <c r="C249" s="259"/>
      <c r="D249" s="77"/>
      <c r="E249" s="77"/>
    </row>
    <row r="250" spans="1:5" x14ac:dyDescent="0.2">
      <c r="A250" s="345">
        <v>35124</v>
      </c>
      <c r="B250" s="255"/>
      <c r="C250" s="259"/>
      <c r="D250" s="77"/>
      <c r="E250" s="77"/>
    </row>
    <row r="251" spans="1:5" x14ac:dyDescent="0.2">
      <c r="A251" s="345">
        <v>35155</v>
      </c>
      <c r="B251" s="255"/>
      <c r="C251" s="259"/>
      <c r="D251" s="77"/>
      <c r="E251" s="77"/>
    </row>
    <row r="252" spans="1:5" x14ac:dyDescent="0.2">
      <c r="A252" s="345">
        <v>35185</v>
      </c>
      <c r="B252" s="253"/>
      <c r="C252" s="259"/>
      <c r="D252" s="77"/>
      <c r="E252" s="77"/>
    </row>
    <row r="253" spans="1:5" x14ac:dyDescent="0.2">
      <c r="A253" s="345">
        <v>35216</v>
      </c>
      <c r="B253" s="253"/>
      <c r="C253" s="259"/>
      <c r="D253" s="77"/>
      <c r="E253" s="77"/>
    </row>
    <row r="254" spans="1:5" x14ac:dyDescent="0.2">
      <c r="A254" s="345">
        <v>35246</v>
      </c>
      <c r="B254" s="253"/>
      <c r="C254" s="259"/>
      <c r="D254" s="77"/>
      <c r="E254" s="77"/>
    </row>
    <row r="255" spans="1:5" x14ac:dyDescent="0.2">
      <c r="A255" s="345">
        <v>35277</v>
      </c>
      <c r="B255" s="253"/>
      <c r="C255" s="259"/>
      <c r="D255" s="77"/>
      <c r="E255" s="77"/>
    </row>
    <row r="256" spans="1:5" x14ac:dyDescent="0.2">
      <c r="A256" s="345">
        <v>35308</v>
      </c>
      <c r="B256" s="253"/>
      <c r="C256" s="259"/>
      <c r="D256" s="77"/>
      <c r="E256" s="77"/>
    </row>
    <row r="257" spans="1:5" x14ac:dyDescent="0.2">
      <c r="A257" s="345">
        <v>35338</v>
      </c>
      <c r="B257" s="253"/>
      <c r="C257" s="259"/>
      <c r="D257" s="77"/>
      <c r="E257" s="77"/>
    </row>
    <row r="258" spans="1:5" x14ac:dyDescent="0.2">
      <c r="A258" s="345">
        <v>35369</v>
      </c>
      <c r="B258" s="253"/>
      <c r="C258" s="259"/>
      <c r="D258" s="77"/>
      <c r="E258" s="77"/>
    </row>
    <row r="259" spans="1:5" x14ac:dyDescent="0.2">
      <c r="A259" s="345">
        <v>35399</v>
      </c>
      <c r="B259" s="253"/>
      <c r="C259" s="259"/>
      <c r="D259" s="77"/>
      <c r="E259" s="77"/>
    </row>
    <row r="260" spans="1:5" x14ac:dyDescent="0.2">
      <c r="A260" s="345">
        <v>35430</v>
      </c>
      <c r="B260" s="253"/>
      <c r="C260" s="259"/>
      <c r="D260" s="77"/>
      <c r="E260" s="77"/>
    </row>
    <row r="261" spans="1:5" x14ac:dyDescent="0.2">
      <c r="A261" s="345">
        <v>35461</v>
      </c>
      <c r="B261" s="253"/>
      <c r="C261" s="259"/>
      <c r="D261" s="77"/>
      <c r="E261" s="77"/>
    </row>
    <row r="262" spans="1:5" x14ac:dyDescent="0.2">
      <c r="A262" s="345">
        <v>35489</v>
      </c>
      <c r="B262" s="253"/>
      <c r="C262" s="259"/>
      <c r="D262" s="77"/>
      <c r="E262" s="77"/>
    </row>
    <row r="263" spans="1:5" x14ac:dyDescent="0.2">
      <c r="A263" s="345">
        <v>35520</v>
      </c>
      <c r="B263" s="253"/>
      <c r="C263" s="259"/>
      <c r="D263" s="77"/>
      <c r="E263" s="77"/>
    </row>
    <row r="264" spans="1:5" x14ac:dyDescent="0.2">
      <c r="A264" s="345">
        <v>35550</v>
      </c>
      <c r="B264" s="253"/>
      <c r="C264" s="259"/>
      <c r="D264" s="77"/>
      <c r="E264" s="77"/>
    </row>
    <row r="265" spans="1:5" x14ac:dyDescent="0.2">
      <c r="A265" s="345">
        <v>35581</v>
      </c>
      <c r="B265" s="253"/>
      <c r="C265" s="259"/>
      <c r="D265" s="77"/>
      <c r="E265" s="77"/>
    </row>
    <row r="266" spans="1:5" x14ac:dyDescent="0.2">
      <c r="A266" s="345">
        <v>35611</v>
      </c>
      <c r="B266" s="253"/>
      <c r="C266" s="259"/>
      <c r="D266" s="77"/>
      <c r="E266" s="77"/>
    </row>
    <row r="267" spans="1:5" x14ac:dyDescent="0.2">
      <c r="A267" s="345">
        <v>35642</v>
      </c>
      <c r="B267" s="253"/>
      <c r="C267" s="259"/>
      <c r="D267" s="77"/>
      <c r="E267" s="77"/>
    </row>
    <row r="268" spans="1:5" x14ac:dyDescent="0.2">
      <c r="A268" s="345">
        <v>35673</v>
      </c>
      <c r="B268" s="253"/>
      <c r="C268" s="259"/>
      <c r="D268" s="77"/>
      <c r="E268" s="77"/>
    </row>
    <row r="269" spans="1:5" x14ac:dyDescent="0.2">
      <c r="A269" s="345">
        <v>35703</v>
      </c>
      <c r="B269" s="253"/>
      <c r="C269" s="259"/>
      <c r="D269" s="77"/>
      <c r="E269" s="77"/>
    </row>
    <row r="270" spans="1:5" x14ac:dyDescent="0.2">
      <c r="A270" s="345">
        <v>35734</v>
      </c>
      <c r="B270" s="253"/>
      <c r="C270" s="259"/>
      <c r="D270" s="77"/>
      <c r="E270" s="77"/>
    </row>
    <row r="271" spans="1:5" x14ac:dyDescent="0.2">
      <c r="A271" s="345">
        <v>35764</v>
      </c>
      <c r="B271" s="253"/>
      <c r="C271" s="259"/>
      <c r="D271" s="77"/>
      <c r="E271" s="77"/>
    </row>
    <row r="272" spans="1:5" x14ac:dyDescent="0.2">
      <c r="A272" s="345">
        <v>35795</v>
      </c>
      <c r="B272" s="253"/>
      <c r="C272" s="259"/>
      <c r="D272" s="77"/>
      <c r="E272" s="77"/>
    </row>
    <row r="273" spans="1:5" x14ac:dyDescent="0.2">
      <c r="A273" s="345">
        <v>35826</v>
      </c>
      <c r="B273" s="253"/>
      <c r="C273" s="259"/>
      <c r="D273" s="77"/>
      <c r="E273" s="77"/>
    </row>
    <row r="274" spans="1:5" x14ac:dyDescent="0.2">
      <c r="A274" s="345">
        <v>35854</v>
      </c>
      <c r="B274" s="253"/>
      <c r="C274" s="259"/>
      <c r="D274" s="77"/>
      <c r="E274" s="77"/>
    </row>
    <row r="275" spans="1:5" x14ac:dyDescent="0.2">
      <c r="A275" s="345">
        <v>35885</v>
      </c>
      <c r="B275" s="253"/>
      <c r="C275" s="259"/>
      <c r="D275" s="77"/>
      <c r="E275" s="77"/>
    </row>
    <row r="276" spans="1:5" x14ac:dyDescent="0.2">
      <c r="A276" s="345">
        <v>35915</v>
      </c>
      <c r="B276" s="253"/>
      <c r="C276" s="259"/>
      <c r="D276" s="77"/>
      <c r="E276" s="77"/>
    </row>
    <row r="277" spans="1:5" x14ac:dyDescent="0.2">
      <c r="A277" s="345">
        <v>35946</v>
      </c>
      <c r="B277" s="253"/>
      <c r="C277" s="259"/>
      <c r="D277" s="77"/>
      <c r="E277" s="77"/>
    </row>
    <row r="278" spans="1:5" x14ac:dyDescent="0.2">
      <c r="A278" s="345">
        <v>35976</v>
      </c>
      <c r="B278" s="253"/>
      <c r="C278" s="259"/>
      <c r="D278" s="77"/>
      <c r="E278" s="77"/>
    </row>
    <row r="279" spans="1:5" x14ac:dyDescent="0.2">
      <c r="A279" s="345">
        <v>36007</v>
      </c>
      <c r="B279" s="253"/>
      <c r="C279" s="259"/>
      <c r="D279" s="77"/>
      <c r="E279" s="77"/>
    </row>
    <row r="280" spans="1:5" x14ac:dyDescent="0.2">
      <c r="A280" s="345">
        <v>36038</v>
      </c>
      <c r="B280" s="253"/>
      <c r="C280" s="259"/>
      <c r="D280" s="77"/>
      <c r="E280" s="77"/>
    </row>
    <row r="281" spans="1:5" x14ac:dyDescent="0.2">
      <c r="A281" s="345">
        <v>36068</v>
      </c>
      <c r="B281" s="253"/>
      <c r="C281" s="259"/>
      <c r="D281" s="77"/>
      <c r="E281" s="77"/>
    </row>
    <row r="282" spans="1:5" x14ac:dyDescent="0.2">
      <c r="A282" s="345">
        <v>36099</v>
      </c>
      <c r="B282" s="253"/>
      <c r="C282" s="259"/>
      <c r="D282" s="77"/>
      <c r="E282" s="77"/>
    </row>
    <row r="283" spans="1:5" x14ac:dyDescent="0.2">
      <c r="A283" s="345">
        <v>36129</v>
      </c>
      <c r="B283" s="253"/>
      <c r="C283" s="259"/>
      <c r="D283" s="77"/>
      <c r="E283" s="77"/>
    </row>
    <row r="284" spans="1:5" x14ac:dyDescent="0.2">
      <c r="A284" s="345">
        <v>36160</v>
      </c>
      <c r="B284" s="253"/>
      <c r="C284" s="33"/>
      <c r="D284" s="253"/>
      <c r="E284" s="253"/>
    </row>
    <row r="285" spans="1:5" x14ac:dyDescent="0.2">
      <c r="A285" s="345">
        <v>36191</v>
      </c>
      <c r="B285" s="253"/>
      <c r="C285" s="33"/>
      <c r="D285" s="253"/>
      <c r="E285" s="253"/>
    </row>
    <row r="286" spans="1:5" x14ac:dyDescent="0.2">
      <c r="A286" s="345">
        <v>36219</v>
      </c>
      <c r="B286" s="253"/>
      <c r="C286" s="33"/>
      <c r="D286" s="253"/>
      <c r="E286" s="253"/>
    </row>
    <row r="287" spans="1:5" x14ac:dyDescent="0.2">
      <c r="A287" s="345">
        <v>36250</v>
      </c>
      <c r="B287" s="253"/>
      <c r="C287" s="33"/>
      <c r="D287" s="253"/>
      <c r="E287" s="253"/>
    </row>
    <row r="288" spans="1:5" x14ac:dyDescent="0.2">
      <c r="A288" s="345">
        <v>36280</v>
      </c>
      <c r="B288" s="253"/>
      <c r="C288" s="33"/>
      <c r="D288" s="253"/>
      <c r="E288" s="253"/>
    </row>
    <row r="289" spans="1:5" x14ac:dyDescent="0.2">
      <c r="A289" s="345">
        <v>36311</v>
      </c>
      <c r="B289" s="253"/>
      <c r="C289" s="33"/>
      <c r="D289" s="253"/>
      <c r="E289" s="253"/>
    </row>
    <row r="290" spans="1:5" x14ac:dyDescent="0.2">
      <c r="A290" s="345">
        <v>36341</v>
      </c>
      <c r="B290" s="253"/>
      <c r="C290" s="33"/>
      <c r="D290" s="253"/>
      <c r="E290" s="253"/>
    </row>
    <row r="291" spans="1:5" x14ac:dyDescent="0.2">
      <c r="A291" s="345">
        <v>36372</v>
      </c>
      <c r="B291" s="253"/>
      <c r="C291" s="33"/>
      <c r="D291" s="253"/>
      <c r="E291" s="253"/>
    </row>
    <row r="292" spans="1:5" x14ac:dyDescent="0.2">
      <c r="A292" s="345">
        <v>36403</v>
      </c>
      <c r="B292" s="253"/>
      <c r="C292" s="33"/>
      <c r="D292" s="253"/>
      <c r="E292" s="253"/>
    </row>
    <row r="293" spans="1:5" x14ac:dyDescent="0.2">
      <c r="A293" s="345">
        <v>36433</v>
      </c>
      <c r="B293" s="253"/>
      <c r="C293" s="33"/>
      <c r="D293" s="253"/>
      <c r="E293" s="253"/>
    </row>
    <row r="294" spans="1:5" x14ac:dyDescent="0.2">
      <c r="A294" s="345">
        <v>36464</v>
      </c>
      <c r="B294" s="253"/>
      <c r="C294" s="33"/>
      <c r="D294" s="253"/>
      <c r="E294" s="253"/>
    </row>
    <row r="295" spans="1:5" x14ac:dyDescent="0.2">
      <c r="A295" s="345">
        <v>36494</v>
      </c>
      <c r="B295" s="253"/>
      <c r="C295" s="33"/>
      <c r="D295" s="253"/>
      <c r="E295" s="253"/>
    </row>
    <row r="296" spans="1:5" x14ac:dyDescent="0.2">
      <c r="A296" s="345">
        <v>36525</v>
      </c>
      <c r="B296" s="253"/>
      <c r="C296" s="33"/>
      <c r="D296" s="253"/>
      <c r="E296" s="253"/>
    </row>
    <row r="297" spans="1:5" x14ac:dyDescent="0.2">
      <c r="A297" s="345">
        <v>36556</v>
      </c>
      <c r="B297" s="253"/>
      <c r="C297" s="33"/>
      <c r="D297" s="253"/>
      <c r="E297" s="253"/>
    </row>
    <row r="298" spans="1:5" x14ac:dyDescent="0.2">
      <c r="A298" s="345">
        <v>36585</v>
      </c>
      <c r="B298" s="253"/>
      <c r="C298" s="33"/>
      <c r="D298" s="253"/>
      <c r="E298" s="253"/>
    </row>
    <row r="299" spans="1:5" x14ac:dyDescent="0.2">
      <c r="A299" s="345">
        <v>36616</v>
      </c>
      <c r="B299" s="253"/>
      <c r="C299" s="33"/>
      <c r="D299" s="253"/>
      <c r="E299" s="253"/>
    </row>
    <row r="300" spans="1:5" x14ac:dyDescent="0.2">
      <c r="A300" s="345">
        <v>36646</v>
      </c>
      <c r="B300" s="253"/>
      <c r="C300" s="33"/>
      <c r="D300" s="253"/>
      <c r="E300" s="253"/>
    </row>
    <row r="301" spans="1:5" x14ac:dyDescent="0.2">
      <c r="A301" s="345">
        <v>36677</v>
      </c>
      <c r="B301" s="253"/>
      <c r="C301" s="33"/>
      <c r="D301" s="253"/>
      <c r="E301" s="253"/>
    </row>
    <row r="302" spans="1:5" x14ac:dyDescent="0.2">
      <c r="A302" s="345">
        <v>36707</v>
      </c>
      <c r="B302" s="253"/>
      <c r="C302" s="33"/>
      <c r="D302" s="253"/>
      <c r="E302" s="253"/>
    </row>
    <row r="303" spans="1:5" x14ac:dyDescent="0.2">
      <c r="A303" s="345">
        <v>36738</v>
      </c>
      <c r="B303" s="253"/>
      <c r="C303" s="33"/>
      <c r="D303" s="253"/>
      <c r="E303" s="253"/>
    </row>
    <row r="304" spans="1:5" x14ac:dyDescent="0.2">
      <c r="A304" s="345">
        <v>36769</v>
      </c>
      <c r="B304" s="253"/>
      <c r="C304" s="33"/>
      <c r="D304" s="253"/>
      <c r="E304" s="253"/>
    </row>
    <row r="305" spans="1:5" x14ac:dyDescent="0.2">
      <c r="A305" s="345">
        <v>36799</v>
      </c>
      <c r="B305" s="253"/>
      <c r="C305" s="33"/>
      <c r="D305" s="253"/>
      <c r="E305" s="253"/>
    </row>
    <row r="306" spans="1:5" x14ac:dyDescent="0.2">
      <c r="A306" s="345">
        <v>36830</v>
      </c>
      <c r="B306" s="253"/>
      <c r="C306" s="33"/>
      <c r="D306" s="253"/>
      <c r="E306" s="253"/>
    </row>
    <row r="307" spans="1:5" x14ac:dyDescent="0.2">
      <c r="A307" s="345">
        <v>36860</v>
      </c>
      <c r="B307" s="253"/>
      <c r="C307" s="33"/>
      <c r="D307" s="253"/>
      <c r="E307" s="253"/>
    </row>
    <row r="308" spans="1:5" x14ac:dyDescent="0.2">
      <c r="A308" s="345">
        <v>36891</v>
      </c>
      <c r="B308" s="253"/>
      <c r="C308" s="33"/>
      <c r="D308" s="253"/>
      <c r="E308" s="253"/>
    </row>
    <row r="309" spans="1:5" x14ac:dyDescent="0.2">
      <c r="A309" s="345">
        <v>36922</v>
      </c>
      <c r="B309" s="253"/>
      <c r="C309" s="33"/>
      <c r="D309" s="253"/>
      <c r="E309" s="253"/>
    </row>
    <row r="310" spans="1:5" x14ac:dyDescent="0.2">
      <c r="A310" s="345">
        <v>36950</v>
      </c>
      <c r="B310" s="253"/>
      <c r="C310" s="33"/>
      <c r="D310" s="253"/>
      <c r="E310" s="253"/>
    </row>
    <row r="311" spans="1:5" x14ac:dyDescent="0.2">
      <c r="A311" s="345">
        <v>36981</v>
      </c>
      <c r="B311" s="253"/>
      <c r="C311" s="33"/>
      <c r="D311" s="253"/>
      <c r="E311" s="253"/>
    </row>
    <row r="312" spans="1:5" x14ac:dyDescent="0.2">
      <c r="A312" s="345">
        <v>37011</v>
      </c>
      <c r="B312" s="253"/>
      <c r="C312" s="33"/>
      <c r="D312" s="253"/>
      <c r="E312" s="253"/>
    </row>
    <row r="313" spans="1:5" x14ac:dyDescent="0.2">
      <c r="A313" s="345">
        <v>37042</v>
      </c>
      <c r="B313" s="253"/>
      <c r="C313" s="33"/>
      <c r="D313" s="253"/>
      <c r="E313" s="253"/>
    </row>
    <row r="314" spans="1:5" x14ac:dyDescent="0.2">
      <c r="A314" s="345">
        <v>37072</v>
      </c>
      <c r="B314" s="253"/>
      <c r="C314" s="33"/>
      <c r="D314" s="253"/>
      <c r="E314" s="253"/>
    </row>
    <row r="315" spans="1:5" x14ac:dyDescent="0.2">
      <c r="A315" s="345">
        <v>37103</v>
      </c>
      <c r="B315" s="253"/>
      <c r="C315" s="33"/>
      <c r="D315" s="253"/>
      <c r="E315" s="253"/>
    </row>
    <row r="316" spans="1:5" x14ac:dyDescent="0.2">
      <c r="A316" s="345">
        <v>37134</v>
      </c>
      <c r="B316" s="253"/>
      <c r="C316" s="33"/>
      <c r="D316" s="253"/>
      <c r="E316" s="253"/>
    </row>
    <row r="317" spans="1:5" x14ac:dyDescent="0.2">
      <c r="A317" s="345">
        <v>37164</v>
      </c>
      <c r="B317" s="253"/>
      <c r="C317" s="33"/>
      <c r="D317" s="253"/>
      <c r="E317" s="253"/>
    </row>
    <row r="318" spans="1:5" x14ac:dyDescent="0.2">
      <c r="A318" s="345">
        <v>37195</v>
      </c>
      <c r="B318" s="253"/>
      <c r="C318" s="33"/>
      <c r="D318" s="253"/>
      <c r="E318" s="253"/>
    </row>
    <row r="319" spans="1:5" x14ac:dyDescent="0.2">
      <c r="A319" s="345">
        <v>37225</v>
      </c>
      <c r="B319" s="253"/>
      <c r="C319" s="33"/>
      <c r="D319" s="253"/>
      <c r="E319" s="253"/>
    </row>
    <row r="320" spans="1:5" x14ac:dyDescent="0.2">
      <c r="A320" s="345">
        <v>37256</v>
      </c>
      <c r="B320" s="253"/>
      <c r="C320" s="33"/>
      <c r="D320" s="253"/>
      <c r="E320" s="253"/>
    </row>
    <row r="321" spans="1:5" x14ac:dyDescent="0.2">
      <c r="A321" s="345">
        <v>37287</v>
      </c>
      <c r="B321" s="253"/>
      <c r="C321" s="33"/>
      <c r="D321" s="253"/>
      <c r="E321" s="253"/>
    </row>
    <row r="322" spans="1:5" x14ac:dyDescent="0.2">
      <c r="A322" s="345">
        <v>37315</v>
      </c>
      <c r="B322" s="253"/>
      <c r="C322" s="33"/>
      <c r="D322" s="253"/>
      <c r="E322" s="253"/>
    </row>
    <row r="323" spans="1:5" x14ac:dyDescent="0.2">
      <c r="A323" s="345">
        <v>37346</v>
      </c>
      <c r="B323" s="253"/>
      <c r="C323" s="33"/>
      <c r="D323" s="253"/>
      <c r="E323" s="253"/>
    </row>
    <row r="324" spans="1:5" x14ac:dyDescent="0.2">
      <c r="A324" s="345">
        <v>37376</v>
      </c>
      <c r="B324" s="253"/>
      <c r="C324" s="33"/>
      <c r="D324" s="253"/>
      <c r="E324" s="253"/>
    </row>
    <row r="325" spans="1:5" x14ac:dyDescent="0.2">
      <c r="A325" s="345">
        <v>37407</v>
      </c>
      <c r="B325" s="253"/>
      <c r="C325" s="33"/>
      <c r="D325" s="253"/>
      <c r="E325" s="253"/>
    </row>
    <row r="326" spans="1:5" x14ac:dyDescent="0.2">
      <c r="A326" s="345">
        <v>37437</v>
      </c>
      <c r="B326" s="253"/>
      <c r="C326" s="33"/>
      <c r="D326" s="253"/>
      <c r="E326" s="253"/>
    </row>
    <row r="327" spans="1:5" x14ac:dyDescent="0.2">
      <c r="A327" s="345">
        <v>37468</v>
      </c>
      <c r="B327" s="253"/>
      <c r="C327" s="33"/>
      <c r="D327" s="253"/>
      <c r="E327" s="253"/>
    </row>
    <row r="328" spans="1:5" x14ac:dyDescent="0.2">
      <c r="A328" s="345">
        <v>37499</v>
      </c>
      <c r="B328" s="253"/>
      <c r="C328" s="33"/>
      <c r="D328" s="253"/>
      <c r="E328" s="253"/>
    </row>
    <row r="329" spans="1:5" x14ac:dyDescent="0.2">
      <c r="A329" s="345">
        <v>37529</v>
      </c>
      <c r="B329" s="253"/>
      <c r="C329" s="33"/>
      <c r="D329" s="253"/>
      <c r="E329" s="253"/>
    </row>
    <row r="330" spans="1:5" x14ac:dyDescent="0.2">
      <c r="A330" s="345">
        <v>37560</v>
      </c>
      <c r="B330" s="253"/>
      <c r="C330" s="33"/>
      <c r="D330" s="253"/>
      <c r="E330" s="253"/>
    </row>
    <row r="331" spans="1:5" x14ac:dyDescent="0.2">
      <c r="A331" s="345">
        <v>37590</v>
      </c>
      <c r="B331" s="253"/>
      <c r="C331" s="33"/>
      <c r="D331" s="253"/>
      <c r="E331" s="253"/>
    </row>
    <row r="332" spans="1:5" x14ac:dyDescent="0.2">
      <c r="A332" s="345">
        <v>37621</v>
      </c>
      <c r="B332" s="253"/>
      <c r="C332" s="33"/>
      <c r="D332" s="253"/>
      <c r="E332" s="253"/>
    </row>
    <row r="333" spans="1:5" x14ac:dyDescent="0.2">
      <c r="A333" s="345">
        <v>37652</v>
      </c>
      <c r="B333" s="253"/>
      <c r="C333" s="33"/>
      <c r="D333" s="253"/>
      <c r="E333" s="253"/>
    </row>
    <row r="334" spans="1:5" x14ac:dyDescent="0.2">
      <c r="A334" s="345">
        <v>37680</v>
      </c>
      <c r="B334" s="253"/>
      <c r="C334" s="33"/>
      <c r="D334" s="253"/>
      <c r="E334" s="253"/>
    </row>
    <row r="335" spans="1:5" x14ac:dyDescent="0.2">
      <c r="A335" s="345">
        <v>37711</v>
      </c>
      <c r="B335" s="253"/>
      <c r="C335" s="33"/>
      <c r="D335" s="253"/>
      <c r="E335" s="253"/>
    </row>
    <row r="336" spans="1:5" x14ac:dyDescent="0.2">
      <c r="A336" s="345">
        <v>37741</v>
      </c>
      <c r="B336" s="253"/>
      <c r="C336" s="33"/>
      <c r="D336" s="253"/>
      <c r="E336" s="253"/>
    </row>
    <row r="337" spans="1:5" x14ac:dyDescent="0.2">
      <c r="A337" s="345">
        <v>37772</v>
      </c>
      <c r="B337" s="253"/>
      <c r="C337" s="33"/>
      <c r="D337" s="253"/>
      <c r="E337" s="253"/>
    </row>
    <row r="338" spans="1:5" x14ac:dyDescent="0.2">
      <c r="A338" s="345">
        <v>37802</v>
      </c>
      <c r="B338" s="253"/>
      <c r="C338" s="33"/>
      <c r="D338" s="253"/>
      <c r="E338" s="253"/>
    </row>
    <row r="339" spans="1:5" x14ac:dyDescent="0.2">
      <c r="A339" s="345">
        <v>37833</v>
      </c>
      <c r="B339" s="253"/>
      <c r="C339" s="33"/>
      <c r="D339" s="253"/>
      <c r="E339" s="253"/>
    </row>
    <row r="340" spans="1:5" x14ac:dyDescent="0.2">
      <c r="A340" s="345">
        <v>37864</v>
      </c>
      <c r="B340" s="253"/>
      <c r="C340" s="33"/>
      <c r="D340" s="253"/>
      <c r="E340" s="253"/>
    </row>
    <row r="341" spans="1:5" x14ac:dyDescent="0.2">
      <c r="A341" s="345">
        <v>37894</v>
      </c>
      <c r="B341" s="253"/>
      <c r="C341" s="34"/>
      <c r="D341" s="253"/>
      <c r="E341" s="253"/>
    </row>
    <row r="342" spans="1:5" x14ac:dyDescent="0.2">
      <c r="A342" s="345">
        <v>37925</v>
      </c>
      <c r="B342" s="253"/>
      <c r="C342" s="34"/>
      <c r="D342" s="253"/>
      <c r="E342" s="253"/>
    </row>
    <row r="343" spans="1:5" x14ac:dyDescent="0.2">
      <c r="A343" s="345">
        <v>37955</v>
      </c>
      <c r="B343" s="253"/>
      <c r="C343" s="34"/>
      <c r="D343" s="253"/>
      <c r="E343" s="253"/>
    </row>
    <row r="344" spans="1:5" x14ac:dyDescent="0.2">
      <c r="A344" s="345">
        <v>37986</v>
      </c>
      <c r="B344" s="253"/>
      <c r="C344" s="34"/>
      <c r="D344" s="253"/>
      <c r="E344" s="253"/>
    </row>
    <row r="345" spans="1:5" x14ac:dyDescent="0.2">
      <c r="A345" s="345">
        <v>38017</v>
      </c>
      <c r="B345" s="1369">
        <v>1.65</v>
      </c>
      <c r="C345" s="34">
        <v>967728901.83000004</v>
      </c>
      <c r="D345" s="253"/>
      <c r="E345" s="253">
        <f>B345-Index_Returns!AD345</f>
        <v>0.17039999999999988</v>
      </c>
    </row>
    <row r="346" spans="1:5" x14ac:dyDescent="0.2">
      <c r="A346" s="345">
        <v>38046</v>
      </c>
      <c r="B346" s="1369">
        <v>1.22</v>
      </c>
      <c r="C346" s="34">
        <v>979536349.09000003</v>
      </c>
      <c r="D346" s="253"/>
      <c r="E346" s="253">
        <f>B346-Index_Returns!AD346</f>
        <v>-0.23290000000000011</v>
      </c>
    </row>
    <row r="347" spans="1:5" x14ac:dyDescent="0.2">
      <c r="A347" s="345">
        <v>38077</v>
      </c>
      <c r="B347" s="1369">
        <v>0.15</v>
      </c>
      <c r="C347" s="34">
        <v>981843956.37</v>
      </c>
      <c r="D347" s="255"/>
      <c r="E347" s="253">
        <f>B347-Index_Returns!AD347</f>
        <v>0.68869999999999998</v>
      </c>
    </row>
    <row r="348" spans="1:5" x14ac:dyDescent="0.2">
      <c r="A348" s="345">
        <v>38107</v>
      </c>
      <c r="B348" s="1369">
        <v>-3.14</v>
      </c>
      <c r="C348" s="34">
        <v>951035311.71000004</v>
      </c>
      <c r="D348" s="253"/>
      <c r="E348" s="253">
        <f>B348-Index_Returns!AD348</f>
        <v>-1.1844000000000001</v>
      </c>
    </row>
    <row r="349" spans="1:5" x14ac:dyDescent="0.2">
      <c r="A349" s="345">
        <v>38138</v>
      </c>
      <c r="B349" s="1369">
        <v>0.7</v>
      </c>
      <c r="C349" s="34">
        <v>957692974.82000005</v>
      </c>
      <c r="D349" s="253"/>
      <c r="E349" s="253">
        <f>B349-Index_Returns!AD349</f>
        <v>-2.5600000000000067E-2</v>
      </c>
    </row>
    <row r="350" spans="1:5" x14ac:dyDescent="0.2">
      <c r="A350" s="345">
        <v>38168</v>
      </c>
      <c r="B350" s="1369">
        <v>1.57</v>
      </c>
      <c r="C350" s="34">
        <v>973619808.05999994</v>
      </c>
      <c r="D350" s="253"/>
      <c r="E350" s="253">
        <f>B350-Index_Returns!AD350</f>
        <v>-3.499999999999992E-2</v>
      </c>
    </row>
    <row r="351" spans="1:5" x14ac:dyDescent="0.2">
      <c r="A351" s="345">
        <v>38199</v>
      </c>
      <c r="B351" s="1369">
        <v>-2.46</v>
      </c>
      <c r="C351" s="34">
        <v>949679843.64999998</v>
      </c>
      <c r="D351" s="253"/>
      <c r="E351" s="253">
        <f>B351-Index_Returns!AD351</f>
        <v>-0.36660000000000004</v>
      </c>
    </row>
    <row r="352" spans="1:5" x14ac:dyDescent="0.2">
      <c r="A352" s="345">
        <v>38230</v>
      </c>
      <c r="B352" s="1369">
        <v>1.04</v>
      </c>
      <c r="C352" s="34">
        <v>959579466.95000005</v>
      </c>
      <c r="D352" s="253"/>
      <c r="E352" s="253">
        <f>B352-Index_Returns!AD352</f>
        <v>0.20410000000000006</v>
      </c>
    </row>
    <row r="353" spans="1:7" x14ac:dyDescent="0.2">
      <c r="A353" s="345">
        <v>38260</v>
      </c>
      <c r="B353" s="1369">
        <v>1.39</v>
      </c>
      <c r="C353" s="34">
        <v>1075226433.1500001</v>
      </c>
      <c r="D353" s="253"/>
      <c r="E353" s="253">
        <f>B353-Index_Returns!AD353</f>
        <v>0.28739999999999988</v>
      </c>
    </row>
    <row r="354" spans="1:7" x14ac:dyDescent="0.2">
      <c r="A354" s="345">
        <v>38291</v>
      </c>
      <c r="B354" s="1369">
        <v>2.6</v>
      </c>
      <c r="C354" s="34">
        <v>1103176393.1800001</v>
      </c>
      <c r="D354" s="253"/>
      <c r="E354" s="253">
        <f>B354-Index_Returns!AD354</f>
        <v>0.9608000000000001</v>
      </c>
    </row>
    <row r="355" spans="1:7" x14ac:dyDescent="0.2">
      <c r="A355" s="345">
        <v>38321</v>
      </c>
      <c r="B355" s="1369">
        <v>4.21</v>
      </c>
      <c r="C355" s="34">
        <v>1149631140.0699999</v>
      </c>
      <c r="D355" s="253"/>
      <c r="E355" s="253">
        <f>B355-Index_Returns!AD355</f>
        <v>1.0705999999999998</v>
      </c>
    </row>
    <row r="356" spans="1:7" x14ac:dyDescent="0.2">
      <c r="A356" s="345">
        <v>38352</v>
      </c>
      <c r="B356" s="1369">
        <v>2.56</v>
      </c>
      <c r="C356" s="256">
        <v>1180035908.76</v>
      </c>
      <c r="D356" s="253"/>
      <c r="E356" s="253">
        <f>B356-Index_Returns!AD356</f>
        <v>-0.30569999999999986</v>
      </c>
    </row>
    <row r="357" spans="1:7" x14ac:dyDescent="0.2">
      <c r="A357" s="345">
        <v>38383</v>
      </c>
      <c r="B357" s="1369">
        <v>-0.92</v>
      </c>
      <c r="C357" s="34">
        <v>1169130102.3900001</v>
      </c>
      <c r="D357" s="253"/>
      <c r="E357" s="253">
        <f>B357-Index_Returns!AD357</f>
        <v>0.56069999999999987</v>
      </c>
    </row>
    <row r="358" spans="1:7" x14ac:dyDescent="0.2">
      <c r="A358" s="345">
        <v>38411</v>
      </c>
      <c r="B358" s="1369">
        <v>2.0699999999999998</v>
      </c>
      <c r="C358" s="34">
        <v>1193298909.6199999</v>
      </c>
      <c r="D358" s="253"/>
      <c r="E358" s="253">
        <f>B358-Index_Returns!AD358</f>
        <v>0.36199999999999988</v>
      </c>
    </row>
    <row r="359" spans="1:7" x14ac:dyDescent="0.2">
      <c r="A359" s="345">
        <v>38442</v>
      </c>
      <c r="B359" s="1369">
        <v>-1.6</v>
      </c>
      <c r="C359" s="256">
        <v>1175264078.5999999</v>
      </c>
      <c r="D359" s="253"/>
      <c r="E359" s="253">
        <f>B359-Index_Returns!AD359</f>
        <v>-6.9700000000000095E-2</v>
      </c>
    </row>
    <row r="360" spans="1:7" x14ac:dyDescent="0.2">
      <c r="A360" s="345">
        <v>38472</v>
      </c>
      <c r="B360" s="1369">
        <v>-0.86</v>
      </c>
      <c r="C360" s="256">
        <v>1165124743.1800001</v>
      </c>
      <c r="D360" s="253"/>
      <c r="E360" s="253">
        <f>B360-Index_Returns!AD360</f>
        <v>0.18240000000000001</v>
      </c>
    </row>
    <row r="361" spans="1:7" x14ac:dyDescent="0.2">
      <c r="A361" s="345">
        <v>38503</v>
      </c>
      <c r="B361" s="1369">
        <v>1.79</v>
      </c>
      <c r="C361" s="256">
        <v>1185923356.1900001</v>
      </c>
      <c r="D361" s="253"/>
      <c r="E361" s="253">
        <f>B361-Index_Returns!AD361</f>
        <v>-0.31879999999999997</v>
      </c>
    </row>
    <row r="362" spans="1:7" x14ac:dyDescent="0.2">
      <c r="A362" s="345">
        <v>38533</v>
      </c>
      <c r="B362" s="1369">
        <v>0.33</v>
      </c>
      <c r="C362" s="256">
        <v>1190867531.01</v>
      </c>
      <c r="D362" s="253"/>
      <c r="E362" s="253">
        <f>B362-Index_Returns!AD362</f>
        <v>-0.12090000000000001</v>
      </c>
    </row>
    <row r="363" spans="1:7" x14ac:dyDescent="0.2">
      <c r="A363" s="345">
        <v>38564</v>
      </c>
      <c r="B363" s="1369">
        <v>2.36</v>
      </c>
      <c r="C363" s="256">
        <v>1218939191.49</v>
      </c>
      <c r="D363" s="253"/>
      <c r="E363" s="253">
        <f>B363-Index_Returns!AD363</f>
        <v>4.0799999999999947E-2</v>
      </c>
    </row>
    <row r="364" spans="1:7" x14ac:dyDescent="0.2">
      <c r="A364" s="345">
        <v>38595</v>
      </c>
      <c r="B364" s="1369">
        <v>-0.17</v>
      </c>
      <c r="C364" s="256">
        <v>1216817047.9100001</v>
      </c>
      <c r="D364" s="253"/>
      <c r="E364" s="253">
        <f>B364-Index_Returns!AD364</f>
        <v>-0.42769999999999997</v>
      </c>
    </row>
    <row r="365" spans="1:7" x14ac:dyDescent="0.2">
      <c r="A365" s="345">
        <v>38625</v>
      </c>
      <c r="B365" s="1369">
        <v>1.0900000000000001</v>
      </c>
      <c r="C365" s="256">
        <v>1231146626.47</v>
      </c>
      <c r="D365" s="253"/>
      <c r="E365" s="253">
        <f>B365-Index_Returns!AD365</f>
        <v>0.20960000000000012</v>
      </c>
    </row>
    <row r="366" spans="1:7" x14ac:dyDescent="0.2">
      <c r="A366" s="345">
        <v>38656</v>
      </c>
      <c r="B366" s="1369">
        <v>-1.55</v>
      </c>
      <c r="C366" s="256">
        <v>1212008673.6199999</v>
      </c>
      <c r="D366" s="253"/>
      <c r="E366" s="253">
        <f>B366-Index_Returns!AD366</f>
        <v>7.2599999999999998E-2</v>
      </c>
    </row>
    <row r="367" spans="1:7" x14ac:dyDescent="0.2">
      <c r="A367" s="345">
        <v>38686</v>
      </c>
      <c r="B367" s="1369">
        <v>2.36</v>
      </c>
      <c r="C367" s="256">
        <v>1240588547.6099999</v>
      </c>
      <c r="D367" s="253"/>
      <c r="E367" s="253">
        <f>B367-Index_Returns!AD367</f>
        <v>-0.27560000000000029</v>
      </c>
      <c r="G367" s="779"/>
    </row>
    <row r="368" spans="1:7" x14ac:dyDescent="0.2">
      <c r="A368" s="345">
        <v>38717</v>
      </c>
      <c r="B368" s="1369">
        <v>0.86</v>
      </c>
      <c r="C368" s="256">
        <v>1252347421.9300001</v>
      </c>
      <c r="D368" s="253"/>
      <c r="E368" s="253">
        <f>B368-Index_Returns!AD368</f>
        <v>-0.17400000000000004</v>
      </c>
    </row>
    <row r="369" spans="1:7" x14ac:dyDescent="0.2">
      <c r="A369" s="345">
        <v>38748</v>
      </c>
      <c r="B369" s="1369">
        <v>2.52</v>
      </c>
      <c r="C369" s="256">
        <v>1283949523.52</v>
      </c>
      <c r="D369" s="253"/>
      <c r="E369" s="253">
        <f>B369-Index_Returns!AD369</f>
        <v>4.9700000000000077E-2</v>
      </c>
    </row>
    <row r="370" spans="1:7" x14ac:dyDescent="0.2">
      <c r="A370" s="345">
        <v>38776</v>
      </c>
      <c r="B370" s="1369">
        <v>0.56000000000000005</v>
      </c>
      <c r="C370" s="256">
        <v>1291131561.1900001</v>
      </c>
      <c r="D370" s="253"/>
      <c r="E370" s="253">
        <f>B370-Index_Returns!AD370</f>
        <v>0.34920000000000007</v>
      </c>
    </row>
    <row r="371" spans="1:7" x14ac:dyDescent="0.2">
      <c r="A371" s="345">
        <v>38807</v>
      </c>
      <c r="B371" s="1369">
        <v>0.17</v>
      </c>
      <c r="C371" s="33">
        <v>1294461930.4200001</v>
      </c>
      <c r="D371" s="253"/>
      <c r="E371" s="253">
        <f>B371-Index_Returns!AD371</f>
        <v>-0.78520000000000001</v>
      </c>
    </row>
    <row r="372" spans="1:7" x14ac:dyDescent="0.2">
      <c r="A372" s="345">
        <v>38837</v>
      </c>
      <c r="B372" s="1369">
        <v>1.96</v>
      </c>
      <c r="C372" s="33">
        <v>1319785718.8499999</v>
      </c>
      <c r="D372" s="253"/>
      <c r="E372" s="253">
        <f>B372-Index_Returns!AD372</f>
        <v>0.48399999999999999</v>
      </c>
    </row>
    <row r="373" spans="1:7" x14ac:dyDescent="0.2">
      <c r="A373" s="345">
        <v>38868</v>
      </c>
      <c r="B373" s="1369">
        <v>-1.63</v>
      </c>
      <c r="C373" s="33">
        <v>1298327196.8699999</v>
      </c>
      <c r="D373" s="253"/>
      <c r="E373" s="253">
        <f>B373-Index_Returns!AD373</f>
        <v>0.61569999999999991</v>
      </c>
    </row>
    <row r="374" spans="1:7" x14ac:dyDescent="0.2">
      <c r="A374" s="345">
        <v>38898</v>
      </c>
      <c r="B374" s="1369">
        <v>-0.4</v>
      </c>
      <c r="C374" s="354">
        <v>1294283172.78</v>
      </c>
      <c r="D374" s="253"/>
      <c r="E374" s="253">
        <f>B374-Index_Returns!AD374</f>
        <v>-0.54310000000000003</v>
      </c>
    </row>
    <row r="375" spans="1:7" x14ac:dyDescent="0.2">
      <c r="A375" s="345">
        <v>38929</v>
      </c>
      <c r="B375" s="1369">
        <v>0.75</v>
      </c>
      <c r="C375" s="34">
        <v>1303935026.8499999</v>
      </c>
      <c r="D375" s="253"/>
      <c r="E375" s="253">
        <f>B375-Index_Returns!AD375</f>
        <v>-0.13539999999999996</v>
      </c>
      <c r="F375" s="564"/>
    </row>
    <row r="376" spans="1:7" x14ac:dyDescent="0.2">
      <c r="A376" s="345">
        <v>38960</v>
      </c>
      <c r="B376" s="1369">
        <v>1.79</v>
      </c>
      <c r="C376" s="34">
        <v>1327305980.1099999</v>
      </c>
      <c r="D376" s="253"/>
      <c r="E376" s="253">
        <f>B376-Index_Returns!AD376</f>
        <v>-0.41549999999999976</v>
      </c>
      <c r="F376" s="564"/>
    </row>
    <row r="377" spans="1:7" x14ac:dyDescent="0.2">
      <c r="A377" s="345">
        <v>38990</v>
      </c>
      <c r="B377" s="1369">
        <v>1.03</v>
      </c>
      <c r="C377" s="34">
        <v>1342087624.95</v>
      </c>
      <c r="D377" s="253"/>
      <c r="E377" s="253">
        <f>B377-Index_Returns!AD377</f>
        <v>-0.68900000000000006</v>
      </c>
      <c r="F377" s="564"/>
    </row>
    <row r="378" spans="1:7" x14ac:dyDescent="0.2">
      <c r="A378" s="345">
        <v>39021</v>
      </c>
      <c r="B378" s="1369">
        <v>2.93</v>
      </c>
      <c r="C378" s="34">
        <v>1381382103.3</v>
      </c>
      <c r="D378" s="253"/>
      <c r="E378" s="253">
        <f>B378-Index_Returns!AD378</f>
        <v>0.29560000000000031</v>
      </c>
      <c r="F378" s="333"/>
    </row>
    <row r="379" spans="1:7" x14ac:dyDescent="0.2">
      <c r="A379" s="345">
        <v>39051</v>
      </c>
      <c r="B379" s="1369">
        <v>1.34</v>
      </c>
      <c r="C379" s="34">
        <v>1399914282.76</v>
      </c>
      <c r="D379" s="253"/>
      <c r="E379" s="253">
        <f>B379-Index_Returns!AD379</f>
        <v>-0.53200000000000003</v>
      </c>
      <c r="F379" s="352"/>
    </row>
    <row r="380" spans="1:7" x14ac:dyDescent="0.2">
      <c r="A380" s="345">
        <v>39082</v>
      </c>
      <c r="B380" s="1369">
        <v>1.2</v>
      </c>
      <c r="C380" s="34">
        <v>1417903291.6800001</v>
      </c>
      <c r="D380" s="253"/>
      <c r="E380" s="253">
        <f>B380-Index_Returns!AD380</f>
        <v>7.5099999999999945E-2</v>
      </c>
      <c r="F380" s="352"/>
    </row>
    <row r="381" spans="1:7" x14ac:dyDescent="0.2">
      <c r="A381" s="345">
        <v>39113</v>
      </c>
      <c r="B381" s="1369">
        <v>0.76</v>
      </c>
      <c r="C381" s="346">
        <v>1428705821.72</v>
      </c>
      <c r="E381" s="253">
        <f>B381-Index_Returns!AD381</f>
        <v>-0.18389999999999995</v>
      </c>
      <c r="F381" s="352"/>
    </row>
    <row r="382" spans="1:7" x14ac:dyDescent="0.2">
      <c r="A382" s="345">
        <v>39141</v>
      </c>
      <c r="B382" s="1369">
        <v>-0.68</v>
      </c>
      <c r="C382" s="346">
        <v>1418949490.2</v>
      </c>
      <c r="E382" s="253">
        <f>B382-Index_Returns!AD382</f>
        <v>-0.14480000000000004</v>
      </c>
      <c r="F382" s="352"/>
    </row>
    <row r="383" spans="1:7" x14ac:dyDescent="0.2">
      <c r="A383" s="345">
        <v>39172</v>
      </c>
      <c r="B383" s="1369">
        <v>1.38</v>
      </c>
      <c r="C383" s="346">
        <v>1847221863.55</v>
      </c>
      <c r="E383" s="253">
        <f>B383-Index_Returns!AD383</f>
        <v>0.3364999999999998</v>
      </c>
      <c r="F383" s="116"/>
      <c r="G383" s="116"/>
    </row>
    <row r="384" spans="1:7" x14ac:dyDescent="0.2">
      <c r="A384" s="345">
        <v>39202</v>
      </c>
      <c r="B384" s="1369">
        <v>3.58</v>
      </c>
      <c r="C384" s="8">
        <v>1913379000.01</v>
      </c>
      <c r="E384" s="253">
        <f>B384-Index_Returns!AD384</f>
        <v>0.22320000000000029</v>
      </c>
      <c r="G384" s="762"/>
    </row>
    <row r="385" spans="1:11" x14ac:dyDescent="0.2">
      <c r="A385" s="345">
        <v>39233</v>
      </c>
      <c r="B385" s="1369">
        <v>2.19</v>
      </c>
      <c r="C385" s="8">
        <v>1955284861.5999999</v>
      </c>
      <c r="E385" s="253">
        <f>B385-Index_Returns!AD385</f>
        <v>0.14599999999999991</v>
      </c>
      <c r="F385" s="333"/>
    </row>
    <row r="386" spans="1:11" x14ac:dyDescent="0.2">
      <c r="A386" s="345">
        <v>39263</v>
      </c>
      <c r="B386" s="1369">
        <v>-1.01</v>
      </c>
      <c r="C386" s="8">
        <v>1937610827.2</v>
      </c>
      <c r="E386" s="253">
        <f>B386-Index_Returns!AD386</f>
        <v>-2.0399999999999974E-2</v>
      </c>
    </row>
    <row r="387" spans="1:11" x14ac:dyDescent="0.2">
      <c r="A387" s="345">
        <v>39294</v>
      </c>
      <c r="B387" s="1369">
        <v>-1.74</v>
      </c>
      <c r="C387" s="346">
        <v>1903944071.6099999</v>
      </c>
      <c r="E387" s="253">
        <f>B387-Index_Returns!AD387</f>
        <v>-2.7999999999999137E-3</v>
      </c>
      <c r="J387" s="325"/>
      <c r="K387" s="352"/>
    </row>
    <row r="388" spans="1:11" x14ac:dyDescent="0.2">
      <c r="A388" s="345">
        <v>39325</v>
      </c>
      <c r="B388" s="1369">
        <v>1.35</v>
      </c>
      <c r="C388" s="346">
        <v>1929706962.3699999</v>
      </c>
      <c r="E388" s="253">
        <f>B388-Index_Returns!AD388</f>
        <v>0.41200000000000014</v>
      </c>
      <c r="J388" s="325"/>
      <c r="K388" s="352"/>
    </row>
    <row r="389" spans="1:11" x14ac:dyDescent="0.2">
      <c r="A389" s="345">
        <v>39355</v>
      </c>
      <c r="B389" s="1369">
        <v>3.37</v>
      </c>
      <c r="C389" s="346">
        <v>1997179134.55</v>
      </c>
      <c r="E389" s="253">
        <f>B389-Index_Returns!AD389</f>
        <v>0.20360000000000023</v>
      </c>
      <c r="J389" s="325"/>
      <c r="K389" s="352"/>
    </row>
    <row r="390" spans="1:11" x14ac:dyDescent="0.2">
      <c r="A390" s="345">
        <v>39386</v>
      </c>
      <c r="B390" s="1369">
        <v>2.0499999999999998</v>
      </c>
      <c r="C390" s="346">
        <v>2038124527.3199999</v>
      </c>
      <c r="E390" s="253">
        <f>B390-Index_Returns!AD390</f>
        <v>0.27719999999999989</v>
      </c>
      <c r="K390" s="325"/>
    </row>
    <row r="391" spans="1:11" x14ac:dyDescent="0.2">
      <c r="A391" s="345">
        <v>39416</v>
      </c>
      <c r="B391" s="1369">
        <v>-3.09</v>
      </c>
      <c r="C391" s="346">
        <v>1975239069.8</v>
      </c>
      <c r="E391" s="253">
        <f>B391-Index_Returns!AD391</f>
        <v>-0.73159999999999981</v>
      </c>
    </row>
    <row r="392" spans="1:11" x14ac:dyDescent="0.2">
      <c r="A392" s="345">
        <v>39447</v>
      </c>
      <c r="B392" s="1369">
        <v>-0.7</v>
      </c>
      <c r="C392" s="346">
        <v>1963756035.1600001</v>
      </c>
      <c r="E392" s="253">
        <f>B392-Index_Returns!AD392</f>
        <v>-3.1999999999999917E-2</v>
      </c>
    </row>
    <row r="393" spans="1:11" x14ac:dyDescent="0.2">
      <c r="A393" s="345">
        <v>39478</v>
      </c>
      <c r="B393" s="1369">
        <v>-3.62</v>
      </c>
      <c r="C393" s="346">
        <v>1892757678.3900001</v>
      </c>
      <c r="E393" s="253">
        <f>B393-Index_Returns!AD393</f>
        <v>0.74639999999999951</v>
      </c>
    </row>
    <row r="394" spans="1:11" x14ac:dyDescent="0.2">
      <c r="A394" s="345">
        <v>39507</v>
      </c>
      <c r="B394" s="1369">
        <v>-1.1000000000000001</v>
      </c>
      <c r="C394" s="346">
        <v>1871959103.7</v>
      </c>
      <c r="E394" s="253">
        <f>B394-Index_Returns!AD394</f>
        <v>0.44719999999999982</v>
      </c>
      <c r="F394" s="762"/>
    </row>
    <row r="395" spans="1:11" x14ac:dyDescent="0.2">
      <c r="A395" s="345">
        <v>39538</v>
      </c>
      <c r="B395" s="1369">
        <v>-0.09</v>
      </c>
      <c r="C395" s="346">
        <v>1872692008.6600001</v>
      </c>
      <c r="E395" s="253">
        <f>B395-Index_Returns!AD395</f>
        <v>0.21559999999999999</v>
      </c>
    </row>
    <row r="396" spans="1:11" x14ac:dyDescent="0.2">
      <c r="A396" s="345">
        <v>39568</v>
      </c>
      <c r="B396" s="1369">
        <v>2.02</v>
      </c>
      <c r="C396" s="346">
        <v>1910575125.4100001</v>
      </c>
      <c r="E396" s="253">
        <f>B396-Index_Returns!AD396</f>
        <v>-1.5379999999999998</v>
      </c>
    </row>
    <row r="397" spans="1:11" x14ac:dyDescent="0.2">
      <c r="A397" s="345">
        <v>39599</v>
      </c>
      <c r="B397" s="1369">
        <v>1.68</v>
      </c>
      <c r="C397" s="346">
        <v>1942765424.46</v>
      </c>
      <c r="E397" s="253">
        <f>B397-Index_Returns!AD397</f>
        <v>0.97079999999999989</v>
      </c>
    </row>
    <row r="398" spans="1:11" x14ac:dyDescent="0.2">
      <c r="A398" s="345">
        <v>39629</v>
      </c>
      <c r="B398" s="1369">
        <v>-5.21</v>
      </c>
      <c r="C398" s="346">
        <v>1843712722.8299999</v>
      </c>
      <c r="E398" s="253">
        <f>B398-Index_Returns!AD398</f>
        <v>0.83879999999999999</v>
      </c>
    </row>
    <row r="399" spans="1:11" x14ac:dyDescent="0.2">
      <c r="A399" s="345">
        <v>39660</v>
      </c>
      <c r="B399" s="1369">
        <v>-1.8</v>
      </c>
      <c r="C399" s="33">
        <v>1810459363.27</v>
      </c>
      <c r="E399" s="253">
        <f>B399-Index_Returns!AD399</f>
        <v>-0.79520000000000013</v>
      </c>
      <c r="G399" s="762"/>
    </row>
    <row r="400" spans="1:11" x14ac:dyDescent="0.2">
      <c r="A400" s="345">
        <v>39691</v>
      </c>
      <c r="B400" s="1369">
        <v>0.9</v>
      </c>
      <c r="C400" s="33">
        <v>1826787730.3800001</v>
      </c>
      <c r="E400" s="253">
        <f>B400-Index_Returns!AD400</f>
        <v>0.46680000000000005</v>
      </c>
    </row>
    <row r="401" spans="1:8" x14ac:dyDescent="0.2">
      <c r="A401" s="345">
        <v>39721</v>
      </c>
      <c r="B401" s="1369">
        <v>-7.39</v>
      </c>
      <c r="C401" s="33">
        <v>1693711290.4400001</v>
      </c>
      <c r="E401" s="253">
        <f>B401-Index_Returns!AD401</f>
        <v>0.28200000000000003</v>
      </c>
    </row>
    <row r="402" spans="1:8" x14ac:dyDescent="0.2">
      <c r="A402" s="345">
        <v>39752</v>
      </c>
      <c r="B402" s="1369">
        <v>-10.02</v>
      </c>
      <c r="C402" s="346">
        <v>1523865465</v>
      </c>
      <c r="E402" s="253">
        <f>B402-Index_Returns!AD402</f>
        <v>3.2759999999999998</v>
      </c>
    </row>
    <row r="403" spans="1:8" x14ac:dyDescent="0.2">
      <c r="A403" s="345">
        <v>39782</v>
      </c>
      <c r="B403" s="1369">
        <v>-1.44</v>
      </c>
      <c r="C403" s="346">
        <v>1500456114</v>
      </c>
      <c r="E403" s="253">
        <f>B403-Index_Returns!AD403</f>
        <v>2.5228000000000002</v>
      </c>
    </row>
    <row r="404" spans="1:8" x14ac:dyDescent="0.2">
      <c r="A404" s="345">
        <v>39813</v>
      </c>
      <c r="B404" s="1369">
        <v>2.64</v>
      </c>
      <c r="C404" s="346">
        <v>1543370455</v>
      </c>
      <c r="E404" s="253">
        <f>B404-Index_Returns!AD404</f>
        <v>3.8800000000000168E-2</v>
      </c>
      <c r="G404" s="116"/>
    </row>
    <row r="405" spans="1:8" x14ac:dyDescent="0.2">
      <c r="A405" s="345">
        <v>39844</v>
      </c>
      <c r="B405" s="1369">
        <v>-5.57</v>
      </c>
      <c r="C405" s="346">
        <v>1455214012</v>
      </c>
      <c r="D405" s="258">
        <v>-5.71</v>
      </c>
      <c r="E405" s="253">
        <f>B405-Index_Returns!AD405</f>
        <v>0.96519999999999939</v>
      </c>
    </row>
    <row r="406" spans="1:8" x14ac:dyDescent="0.2">
      <c r="A406" s="345">
        <v>39872</v>
      </c>
      <c r="B406" s="1369">
        <v>-7.75</v>
      </c>
      <c r="C406" s="346">
        <v>1342266351</v>
      </c>
      <c r="D406" s="258">
        <v>-7.7615842115736911</v>
      </c>
      <c r="E406" s="253">
        <f>B406-Index_Returns!AD406</f>
        <v>-4.2799999999999727E-2</v>
      </c>
    </row>
    <row r="407" spans="1:8" x14ac:dyDescent="0.2">
      <c r="A407" s="345">
        <v>39903</v>
      </c>
      <c r="B407" s="1369">
        <v>5.64</v>
      </c>
      <c r="C407" s="346">
        <v>1420793688</v>
      </c>
      <c r="D407" s="258">
        <v>5.8503542863528102</v>
      </c>
      <c r="E407" s="253">
        <f>B407-Index_Returns!AD407</f>
        <v>-0.67720000000000002</v>
      </c>
    </row>
    <row r="408" spans="1:8" x14ac:dyDescent="0.2">
      <c r="A408" s="345">
        <v>39933</v>
      </c>
      <c r="B408" s="1369">
        <v>7.49</v>
      </c>
      <c r="C408" s="346">
        <v>1526714288.3399999</v>
      </c>
      <c r="D408" s="258">
        <v>7.4550303280908059</v>
      </c>
      <c r="E408" s="253">
        <f>B408-Index_Returns!AD408</f>
        <v>-7.7199999999999491E-2</v>
      </c>
    </row>
    <row r="409" spans="1:8" x14ac:dyDescent="0.2">
      <c r="A409" s="345">
        <v>39964</v>
      </c>
      <c r="B409" s="1369">
        <v>4.4800000000000004</v>
      </c>
      <c r="C409" s="346">
        <v>1595073633.97</v>
      </c>
      <c r="D409" s="258">
        <v>4.4775467258073132</v>
      </c>
      <c r="E409" s="253">
        <f>B409-Index_Returns!AD409</f>
        <v>-0.77639999999999976</v>
      </c>
    </row>
    <row r="410" spans="1:8" x14ac:dyDescent="0.2">
      <c r="A410" s="345">
        <v>39994</v>
      </c>
      <c r="B410" s="1369">
        <v>-0.39</v>
      </c>
      <c r="C410" s="346">
        <v>1590025327.8900001</v>
      </c>
      <c r="D410" s="258">
        <v>-0.31649360709669061</v>
      </c>
      <c r="E410" s="253">
        <f>B410-Index_Returns!AD410</f>
        <v>-0.57520000000000004</v>
      </c>
    </row>
    <row r="411" spans="1:8" x14ac:dyDescent="0.2">
      <c r="A411" s="345">
        <v>40025</v>
      </c>
      <c r="B411" s="1369">
        <v>6.52</v>
      </c>
      <c r="C411" s="346">
        <v>1693852005</v>
      </c>
      <c r="D411" s="258">
        <v>6.529875674859853</v>
      </c>
      <c r="E411" s="253">
        <f>B411-Index_Returns!AD411</f>
        <v>0.36977999999999955</v>
      </c>
    </row>
    <row r="412" spans="1:8" x14ac:dyDescent="0.2">
      <c r="A412" s="345">
        <v>40056</v>
      </c>
      <c r="B412" s="1369">
        <v>3.48</v>
      </c>
      <c r="C412" s="346">
        <v>1752641030.71</v>
      </c>
      <c r="D412" s="258">
        <v>3.4707297648474356</v>
      </c>
      <c r="E412" s="253">
        <f>B412-Index_Returns!AD412</f>
        <v>0.29603000000000002</v>
      </c>
    </row>
    <row r="413" spans="1:8" x14ac:dyDescent="0.2">
      <c r="A413" s="345">
        <v>40086</v>
      </c>
      <c r="B413" s="1369">
        <v>3.9</v>
      </c>
      <c r="C413" s="346">
        <v>1822586098.3399999</v>
      </c>
      <c r="D413" s="258">
        <v>3.9944999999999999</v>
      </c>
      <c r="E413" s="253">
        <f>B413-Index_Returns!AD413</f>
        <v>0.9005099999999997</v>
      </c>
    </row>
    <row r="414" spans="1:8" x14ac:dyDescent="0.2">
      <c r="A414" s="345">
        <v>40117</v>
      </c>
      <c r="B414" s="1369">
        <v>-1.17</v>
      </c>
      <c r="C414" s="346">
        <v>1801184663</v>
      </c>
      <c r="D414" s="258">
        <v>-1.1742345318825897</v>
      </c>
      <c r="E414" s="253">
        <f>B414-Index_Returns!AD414</f>
        <v>-6.8789999999999907E-2</v>
      </c>
      <c r="H414" s="1311"/>
    </row>
    <row r="415" spans="1:8" x14ac:dyDescent="0.2">
      <c r="A415" s="345">
        <v>40147</v>
      </c>
      <c r="B415" s="1369">
        <v>5.85</v>
      </c>
      <c r="C415" s="346">
        <v>1906599734</v>
      </c>
      <c r="D415" s="1311">
        <v>5.8530300000000004</v>
      </c>
      <c r="E415" s="253">
        <f>B415-Index_Returns!AD415</f>
        <v>1.8041700000000001</v>
      </c>
      <c r="H415" s="1311"/>
    </row>
    <row r="416" spans="1:8" x14ac:dyDescent="0.2">
      <c r="A416" s="345">
        <v>40178</v>
      </c>
      <c r="B416" s="1369">
        <v>-0.42</v>
      </c>
      <c r="C416" s="346">
        <v>1898985515.7700002</v>
      </c>
      <c r="D416" s="1311">
        <v>-0.41774</v>
      </c>
      <c r="E416" s="253">
        <f>B416-Index_Returns!AD416</f>
        <v>-1.2963800000000001</v>
      </c>
      <c r="H416" s="1311"/>
    </row>
    <row r="417" spans="1:8" x14ac:dyDescent="0.2">
      <c r="A417" s="345">
        <v>40209</v>
      </c>
      <c r="B417" s="253">
        <v>-1.45</v>
      </c>
      <c r="C417" s="346">
        <v>1871740043.4899998</v>
      </c>
      <c r="D417" s="258">
        <v>-1.4516899999999999</v>
      </c>
      <c r="E417" s="253">
        <f>B417-Index_Returns!AD417</f>
        <v>0.84063999999999983</v>
      </c>
      <c r="H417" s="1311"/>
    </row>
    <row r="418" spans="1:8" x14ac:dyDescent="0.2">
      <c r="A418" s="345">
        <v>40237</v>
      </c>
      <c r="B418" s="253">
        <v>2.72</v>
      </c>
      <c r="C418" s="346">
        <v>1921680282.5699997</v>
      </c>
      <c r="D418" s="258">
        <v>2.7188400000000001</v>
      </c>
      <c r="E418" s="253">
        <f>B418-Index_Returns!AD418</f>
        <v>0.98886000000000029</v>
      </c>
      <c r="H418" s="1311"/>
    </row>
    <row r="419" spans="1:8" x14ac:dyDescent="0.2">
      <c r="A419" s="345">
        <v>40268</v>
      </c>
      <c r="B419" s="253">
        <v>3.79</v>
      </c>
      <c r="C419" s="1385">
        <v>1986695998</v>
      </c>
      <c r="D419" s="1311">
        <v>3.79379</v>
      </c>
      <c r="E419" s="253">
        <f>B419-Index_Returns!AD419</f>
        <v>-0.56386000000000003</v>
      </c>
      <c r="H419" s="1311"/>
    </row>
    <row r="420" spans="1:8" x14ac:dyDescent="0.2">
      <c r="A420" s="345">
        <v>40298</v>
      </c>
      <c r="B420" s="253">
        <v>1.6</v>
      </c>
      <c r="C420" s="346">
        <v>2026851332.55</v>
      </c>
      <c r="D420" s="1311">
        <v>1.60327</v>
      </c>
      <c r="E420" s="253">
        <f>B420-Index_Returns!AD420</f>
        <v>0.7007000000000001</v>
      </c>
      <c r="H420" s="1311"/>
    </row>
    <row r="421" spans="1:8" x14ac:dyDescent="0.2">
      <c r="A421" s="345">
        <v>40329</v>
      </c>
      <c r="B421" s="253">
        <v>-4.99</v>
      </c>
      <c r="C421" s="346">
        <v>1925739497.5999999</v>
      </c>
      <c r="D421" s="258">
        <v>-4.98861625054613</v>
      </c>
      <c r="E421" s="253">
        <f>B421-Index_Returns!AD421</f>
        <v>1.0648499999999999</v>
      </c>
      <c r="H421" s="1311"/>
    </row>
    <row r="422" spans="1:8" x14ac:dyDescent="0.2">
      <c r="A422" s="345">
        <v>40359</v>
      </c>
      <c r="B422" s="253">
        <v>-1.45</v>
      </c>
      <c r="C422" s="346">
        <v>1889528331.98</v>
      </c>
      <c r="D422" s="1311">
        <v>-1.45095</v>
      </c>
      <c r="E422" s="253">
        <f>B422-Index_Returns!AD422</f>
        <v>1.1981200000000001</v>
      </c>
      <c r="H422" s="1311"/>
    </row>
    <row r="423" spans="1:8" x14ac:dyDescent="0.2">
      <c r="A423" s="345">
        <v>40390</v>
      </c>
      <c r="B423" s="253">
        <v>6.27712</v>
      </c>
      <c r="C423" s="346">
        <v>2016925054.25</v>
      </c>
      <c r="D423" s="258">
        <v>6.27712</v>
      </c>
      <c r="E423" s="253">
        <f>B423-Index_Returns!AD423</f>
        <v>0.53591000000000033</v>
      </c>
      <c r="H423" s="1311"/>
    </row>
    <row r="424" spans="1:8" x14ac:dyDescent="0.2">
      <c r="A424" s="345">
        <v>40421</v>
      </c>
      <c r="B424" s="253">
        <v>-1.5546500000000001</v>
      </c>
      <c r="C424" s="346">
        <v>1985568933.3800001</v>
      </c>
      <c r="D424" s="1311">
        <v>-1.5546500000000001</v>
      </c>
      <c r="E424" s="253">
        <f>B424-Index_Returns!AD424</f>
        <v>1.1077699999999999</v>
      </c>
      <c r="H424" s="1311"/>
    </row>
    <row r="425" spans="1:8" x14ac:dyDescent="0.2">
      <c r="A425" s="345">
        <v>40451</v>
      </c>
      <c r="B425" s="253">
        <v>6.8055199999999996</v>
      </c>
      <c r="C425" s="346">
        <v>2120697265.7</v>
      </c>
      <c r="D425" s="258">
        <v>6.8055199999999996</v>
      </c>
      <c r="E425" s="253">
        <f>B425-Index_Returns!AD425</f>
        <v>0.20649999999999924</v>
      </c>
      <c r="H425" s="1311"/>
    </row>
    <row r="426" spans="1:8" x14ac:dyDescent="0.2">
      <c r="A426" s="345">
        <v>40482</v>
      </c>
      <c r="B426" s="258">
        <v>3.4114100000000001</v>
      </c>
      <c r="C426" s="346">
        <v>2193042993.75</v>
      </c>
      <c r="D426" s="258">
        <v>3.4114100000000001</v>
      </c>
      <c r="E426" s="253">
        <f>B426-Index_Returns!AD426</f>
        <v>0.60214999999999996</v>
      </c>
      <c r="H426" s="1311"/>
    </row>
    <row r="427" spans="1:8" x14ac:dyDescent="0.2">
      <c r="A427" s="345">
        <v>40512</v>
      </c>
      <c r="B427" s="253">
        <f>D427</f>
        <v>-1.34209</v>
      </c>
      <c r="C427" s="346">
        <v>2163605934.5999999</v>
      </c>
      <c r="D427" s="1311">
        <v>-1.34209</v>
      </c>
      <c r="E427" s="253">
        <f>B427-Index_Returns!AD427</f>
        <v>-0.42208999999999997</v>
      </c>
      <c r="H427" s="1311"/>
    </row>
    <row r="428" spans="1:8" x14ac:dyDescent="0.2">
      <c r="A428" s="345">
        <v>40543</v>
      </c>
      <c r="B428" s="253">
        <v>6.3321899999999998</v>
      </c>
      <c r="C428" s="346">
        <v>2300614179.27</v>
      </c>
      <c r="D428" s="1311">
        <v>6.3335100000000004</v>
      </c>
      <c r="E428" s="253">
        <f>B428-Index_Returns!AD428</f>
        <v>1.5945099999999996</v>
      </c>
      <c r="H428" s="1311"/>
    </row>
    <row r="429" spans="1:8" x14ac:dyDescent="0.2">
      <c r="A429" s="345">
        <v>40574</v>
      </c>
      <c r="B429" s="253">
        <f>D429</f>
        <v>1.7022600000000001</v>
      </c>
      <c r="C429" s="346">
        <v>2271081580.3800001</v>
      </c>
      <c r="D429" s="1311">
        <v>1.7022600000000001</v>
      </c>
      <c r="E429" s="253">
        <f>B429-Index_Returns!AD429</f>
        <v>-3.7219999999999809E-2</v>
      </c>
      <c r="H429" s="1311"/>
    </row>
    <row r="430" spans="1:8" x14ac:dyDescent="0.2">
      <c r="A430" s="345">
        <v>40602</v>
      </c>
      <c r="B430" s="253">
        <v>2.79305</v>
      </c>
      <c r="C430" s="346">
        <v>2333968758.8499999</v>
      </c>
      <c r="D430" s="258">
        <v>2.79305</v>
      </c>
      <c r="E430" s="253">
        <f>B430-Index_Returns!AD430</f>
        <v>0.27323999999999993</v>
      </c>
      <c r="H430" s="1311"/>
    </row>
    <row r="431" spans="1:8" x14ac:dyDescent="0.2">
      <c r="A431" s="345">
        <v>40633</v>
      </c>
      <c r="B431" s="253">
        <f>D431</f>
        <v>0.48403000000000002</v>
      </c>
      <c r="C431" s="346">
        <v>2345771535.73</v>
      </c>
      <c r="D431" s="1311">
        <v>0.48403000000000002</v>
      </c>
      <c r="E431" s="253">
        <f>B431-Index_Returns!AD431</f>
        <v>0.79764000000000002</v>
      </c>
      <c r="H431" s="1311"/>
    </row>
    <row r="432" spans="1:8" x14ac:dyDescent="0.2">
      <c r="A432" s="345">
        <v>40663</v>
      </c>
      <c r="B432" s="253">
        <f t="shared" ref="B432:B488" si="0">D432</f>
        <v>4.8106499999999999</v>
      </c>
      <c r="C432" s="346">
        <v>2452960090.1199999</v>
      </c>
      <c r="D432" s="258">
        <v>4.8106499999999999</v>
      </c>
      <c r="E432" s="253">
        <f>B432-Index_Returns!AD432</f>
        <v>1.8244899999999999</v>
      </c>
      <c r="H432" s="1311"/>
    </row>
    <row r="433" spans="1:8" x14ac:dyDescent="0.2">
      <c r="A433" s="345">
        <v>40694</v>
      </c>
      <c r="B433" s="253">
        <f t="shared" si="0"/>
        <v>-1.35022</v>
      </c>
      <c r="C433" s="346">
        <v>2428346199.52</v>
      </c>
      <c r="D433" s="1311">
        <v>-1.35022</v>
      </c>
      <c r="E433" s="253">
        <f>B433-Index_Returns!AD433</f>
        <v>-0.63276999999999994</v>
      </c>
      <c r="H433" s="1311"/>
    </row>
    <row r="434" spans="1:8" x14ac:dyDescent="0.2">
      <c r="A434" s="345">
        <v>40724</v>
      </c>
      <c r="B434" s="253">
        <f t="shared" si="0"/>
        <v>-1.01976</v>
      </c>
      <c r="C434" s="346">
        <v>2400610626.21</v>
      </c>
      <c r="D434" s="258">
        <v>-1.01976</v>
      </c>
      <c r="E434" s="253">
        <f>B434-Index_Returns!AD434</f>
        <v>0.19213999999999998</v>
      </c>
      <c r="H434" s="1311"/>
    </row>
    <row r="435" spans="1:8" x14ac:dyDescent="0.2">
      <c r="A435" s="345">
        <v>40755</v>
      </c>
      <c r="B435" s="253">
        <f t="shared" si="0"/>
        <v>-0.28619</v>
      </c>
      <c r="C435" s="346">
        <v>2396068426.1700001</v>
      </c>
      <c r="D435" s="258">
        <v>-0.28619</v>
      </c>
      <c r="E435" s="253">
        <f>B435-Index_Returns!AD435</f>
        <v>0.65989000000000009</v>
      </c>
      <c r="H435" s="1311"/>
    </row>
    <row r="436" spans="1:8" x14ac:dyDescent="0.2">
      <c r="A436" s="345">
        <v>40786</v>
      </c>
      <c r="B436" s="253">
        <f t="shared" si="0"/>
        <v>-2.0763500000000001</v>
      </c>
      <c r="C436" s="346">
        <v>2343637369.2800002</v>
      </c>
      <c r="D436" s="258">
        <v>-2.0763500000000001</v>
      </c>
      <c r="E436" s="253">
        <f>B436-Index_Returns!AD436</f>
        <v>1.9994000000000001</v>
      </c>
      <c r="H436" s="1311"/>
    </row>
    <row r="437" spans="1:8" x14ac:dyDescent="0.2">
      <c r="A437" s="345">
        <v>40816</v>
      </c>
      <c r="B437" s="253">
        <f t="shared" si="0"/>
        <v>-4.5298499999999997</v>
      </c>
      <c r="C437" s="346">
        <v>2244782097.2399998</v>
      </c>
      <c r="D437" s="258">
        <v>-4.5298499999999997</v>
      </c>
      <c r="E437" s="253">
        <f>B437-Index_Returns!AD437</f>
        <v>0.72271000000000019</v>
      </c>
      <c r="H437" s="1311"/>
    </row>
    <row r="438" spans="1:8" x14ac:dyDescent="0.2">
      <c r="A438" s="345">
        <v>40847</v>
      </c>
      <c r="B438" s="253">
        <f t="shared" si="0"/>
        <v>7.0895299999999999</v>
      </c>
      <c r="C438" s="346">
        <v>2385925035.79</v>
      </c>
      <c r="D438" s="258">
        <v>7.0895299999999999</v>
      </c>
      <c r="E438" s="253">
        <f>B438-Index_Returns!AD438</f>
        <v>-0.43681000000000036</v>
      </c>
      <c r="H438" s="1311"/>
    </row>
    <row r="439" spans="1:8" x14ac:dyDescent="0.2">
      <c r="A439" s="345">
        <v>40877</v>
      </c>
      <c r="B439" s="253">
        <f t="shared" si="0"/>
        <v>-0.82979000000000003</v>
      </c>
      <c r="C439" s="346">
        <v>2392920334.0700002</v>
      </c>
      <c r="D439" s="258">
        <v>-0.82979000000000003</v>
      </c>
      <c r="E439" s="253">
        <f>B439-Index_Returns!AD439</f>
        <v>0.28838999999999992</v>
      </c>
      <c r="H439" s="1311"/>
    </row>
    <row r="440" spans="1:8" x14ac:dyDescent="0.2">
      <c r="A440" s="345">
        <v>40908</v>
      </c>
      <c r="B440" s="253">
        <f t="shared" si="0"/>
        <v>0.65891</v>
      </c>
      <c r="C440" s="346">
        <v>2401829318.25</v>
      </c>
      <c r="D440" s="258">
        <v>0.65891</v>
      </c>
      <c r="E440" s="253">
        <f>B440-Index_Returns!AD440</f>
        <v>0.12983</v>
      </c>
      <c r="H440" s="1311"/>
    </row>
    <row r="441" spans="1:8" x14ac:dyDescent="0.2">
      <c r="A441" s="345">
        <v>40939</v>
      </c>
      <c r="B441" s="253">
        <f t="shared" si="0"/>
        <v>3.4418099999999998</v>
      </c>
      <c r="C441" s="346">
        <v>2439567811.25</v>
      </c>
      <c r="D441" s="258">
        <v>3.4418099999999998</v>
      </c>
      <c r="E441" s="253">
        <f>B441-Index_Returns!AD441</f>
        <v>-0.13595000000000024</v>
      </c>
      <c r="H441" s="1311"/>
    </row>
    <row r="442" spans="1:8" x14ac:dyDescent="0.2">
      <c r="A442" s="345">
        <v>40968</v>
      </c>
      <c r="B442" s="253">
        <f t="shared" si="0"/>
        <v>3.0979800000000002</v>
      </c>
      <c r="C442" s="346">
        <v>2334310792.6100001</v>
      </c>
      <c r="D442" s="258">
        <v>3.0979800000000002</v>
      </c>
      <c r="E442" s="253">
        <f>B442-Index_Returns!AD442</f>
        <v>-0.23475000000000001</v>
      </c>
      <c r="H442" s="1311"/>
    </row>
    <row r="443" spans="1:8" x14ac:dyDescent="0.2">
      <c r="A443" s="345">
        <v>40999</v>
      </c>
      <c r="B443" s="253">
        <f t="shared" si="0"/>
        <v>1.2041599999999999</v>
      </c>
      <c r="C443" s="346">
        <v>2365957544.8499999</v>
      </c>
      <c r="D443" s="258">
        <v>1.2041599999999999</v>
      </c>
      <c r="E443" s="253">
        <f>B443-Index_Returns!AD443</f>
        <v>-8.6980000000000057E-2</v>
      </c>
      <c r="H443" s="1311"/>
    </row>
    <row r="444" spans="1:8" x14ac:dyDescent="0.2">
      <c r="A444" s="345">
        <v>41029</v>
      </c>
      <c r="B444" s="253">
        <f t="shared" si="0"/>
        <v>-0.26112000000000002</v>
      </c>
      <c r="C444" s="346">
        <v>2364861259.6999998</v>
      </c>
      <c r="D444" s="258">
        <v>-0.26112000000000002</v>
      </c>
      <c r="E444" s="253">
        <f>B444-Index_Returns!AD444</f>
        <v>0.10489999999999999</v>
      </c>
      <c r="H444" s="1311"/>
    </row>
    <row r="445" spans="1:8" x14ac:dyDescent="0.2">
      <c r="A445" s="345">
        <v>41060</v>
      </c>
      <c r="B445" s="253">
        <f t="shared" si="0"/>
        <v>-5.3712200000000001</v>
      </c>
      <c r="C445" s="346">
        <v>2237885000.2199998</v>
      </c>
      <c r="D445" s="258">
        <v>-5.3712200000000001</v>
      </c>
      <c r="E445" s="253">
        <f>B445-Index_Returns!AD445</f>
        <v>-0.18843000000000032</v>
      </c>
      <c r="H445" s="1311"/>
    </row>
    <row r="446" spans="1:8" x14ac:dyDescent="0.2">
      <c r="A446" s="345">
        <v>41090</v>
      </c>
      <c r="B446" s="253">
        <f t="shared" si="0"/>
        <v>3.0124</v>
      </c>
      <c r="C446" s="346">
        <v>2300497676.6399999</v>
      </c>
      <c r="D446" s="258">
        <v>3.0124</v>
      </c>
      <c r="E446" s="253">
        <f>B446-Index_Returns!AD446</f>
        <v>-0.56289999999999996</v>
      </c>
      <c r="H446" s="1311"/>
    </row>
    <row r="447" spans="1:8" x14ac:dyDescent="0.2">
      <c r="A447" s="345">
        <v>41121</v>
      </c>
      <c r="B447" s="253">
        <f t="shared" si="0"/>
        <v>1.8454900000000001</v>
      </c>
      <c r="C447" s="346">
        <v>2331368070.4099998</v>
      </c>
      <c r="D447" s="258">
        <v>1.8454900000000001</v>
      </c>
      <c r="E447" s="253">
        <f>B447-Index_Returns!AD447</f>
        <v>0.31671000000000005</v>
      </c>
      <c r="H447" s="1311"/>
    </row>
    <row r="448" spans="1:8" x14ac:dyDescent="0.2">
      <c r="A448" s="345">
        <v>41152</v>
      </c>
      <c r="B448" s="253">
        <f t="shared" si="0"/>
        <v>1.9076</v>
      </c>
      <c r="C448" s="346">
        <v>2390951822.6900001</v>
      </c>
      <c r="D448" s="258">
        <v>1.9076</v>
      </c>
      <c r="E448" s="253">
        <f>B448-Index_Returns!AD448</f>
        <v>0.19479999999999986</v>
      </c>
      <c r="H448" s="1311"/>
    </row>
    <row r="449" spans="1:8" x14ac:dyDescent="0.2">
      <c r="A449" s="345">
        <v>41182</v>
      </c>
      <c r="B449" s="253">
        <f t="shared" si="0"/>
        <v>2.4025300000000001</v>
      </c>
      <c r="C449" s="346">
        <v>2441067351.1999998</v>
      </c>
      <c r="D449" s="258">
        <v>2.4025300000000001</v>
      </c>
      <c r="E449" s="253">
        <f>B449-Index_Returns!AD449</f>
        <v>0.43633999999999995</v>
      </c>
      <c r="H449" s="1311"/>
    </row>
    <row r="450" spans="1:8" x14ac:dyDescent="0.2">
      <c r="A450" s="345">
        <v>41213</v>
      </c>
      <c r="B450" s="253">
        <f t="shared" si="0"/>
        <v>-0.79983000000000004</v>
      </c>
      <c r="C450" s="346">
        <v>2428047043.3400002</v>
      </c>
      <c r="D450" s="258">
        <v>-0.79983000000000004</v>
      </c>
      <c r="E450" s="253">
        <f>B450-Index_Returns!AD450</f>
        <v>-0.11606000000000005</v>
      </c>
      <c r="H450" s="1311"/>
    </row>
    <row r="451" spans="1:8" x14ac:dyDescent="0.2">
      <c r="A451" s="345">
        <v>41243</v>
      </c>
      <c r="B451" s="253">
        <f t="shared" si="0"/>
        <v>0.66783999999999999</v>
      </c>
      <c r="C451" s="346">
        <v>2440541068.02</v>
      </c>
      <c r="D451" s="258">
        <v>0.66783999999999999</v>
      </c>
      <c r="E451" s="253">
        <f>B451-Index_Returns!AD451</f>
        <v>-0.23438999999999999</v>
      </c>
      <c r="H451" s="1311"/>
    </row>
    <row r="452" spans="1:8" x14ac:dyDescent="0.2">
      <c r="A452" s="345">
        <v>41274</v>
      </c>
      <c r="B452" s="253">
        <f t="shared" si="0"/>
        <v>1.4890399999999999</v>
      </c>
      <c r="C452" s="346">
        <v>2477745557.1700001</v>
      </c>
      <c r="D452" s="258">
        <v>1.4890399999999999</v>
      </c>
      <c r="E452" s="253">
        <f>B452-Index_Returns!AD452</f>
        <v>0.43830999999999998</v>
      </c>
      <c r="H452" s="1311"/>
    </row>
    <row r="453" spans="1:8" x14ac:dyDescent="0.2">
      <c r="A453" s="345">
        <v>41305</v>
      </c>
      <c r="B453" s="253">
        <f t="shared" si="0"/>
        <v>3.6579799999999998</v>
      </c>
      <c r="C453" s="346">
        <v>2571150467.8400002</v>
      </c>
      <c r="D453" s="258">
        <v>3.6579799999999998</v>
      </c>
      <c r="E453" s="253">
        <f>B453-Index_Returns!AD453</f>
        <v>0.20761999999999992</v>
      </c>
      <c r="H453" s="1311"/>
    </row>
    <row r="454" spans="1:8" x14ac:dyDescent="0.2">
      <c r="A454" s="345">
        <v>41333</v>
      </c>
      <c r="B454" s="253">
        <f t="shared" si="0"/>
        <v>-0.41732999999999998</v>
      </c>
      <c r="C454" s="346">
        <v>2584708214.1799998</v>
      </c>
      <c r="D454" s="258">
        <v>-0.41732999999999998</v>
      </c>
      <c r="E454" s="253">
        <f>B454-Index_Returns!AD454</f>
        <v>-0.74712000000000001</v>
      </c>
      <c r="H454" s="1311"/>
    </row>
    <row r="455" spans="1:8" x14ac:dyDescent="0.2">
      <c r="A455" s="345">
        <v>41364</v>
      </c>
      <c r="B455" s="253">
        <f t="shared" si="0"/>
        <v>1.93207</v>
      </c>
      <c r="C455" s="346">
        <v>2647121438.5100002</v>
      </c>
      <c r="D455" s="258">
        <v>1.93207</v>
      </c>
      <c r="E455" s="253">
        <f>B455-Index_Returns!AD455</f>
        <v>5.1239999999999952E-2</v>
      </c>
      <c r="H455" s="1311"/>
    </row>
    <row r="456" spans="1:8" x14ac:dyDescent="0.2">
      <c r="A456" s="345">
        <v>41394</v>
      </c>
      <c r="B456" s="253">
        <f t="shared" si="0"/>
        <v>2.5558100000000001</v>
      </c>
      <c r="C456" s="346">
        <v>2689348510</v>
      </c>
      <c r="D456" s="258">
        <v>2.5558100000000001</v>
      </c>
      <c r="E456" s="253">
        <f>B456-Index_Returns!AD456</f>
        <v>0.22298000000000018</v>
      </c>
      <c r="H456" s="1311"/>
    </row>
    <row r="457" spans="1:8" x14ac:dyDescent="0.2">
      <c r="A457" s="345">
        <v>41425</v>
      </c>
      <c r="B457" s="253">
        <f t="shared" si="0"/>
        <v>0.16162000000000001</v>
      </c>
      <c r="C457" s="346">
        <v>2697187713.1500001</v>
      </c>
      <c r="D457" s="258">
        <v>0.16162000000000001</v>
      </c>
      <c r="E457" s="253">
        <f>B457-Index_Returns!AD457</f>
        <v>0.32157000000000002</v>
      </c>
      <c r="H457" s="1311"/>
    </row>
    <row r="458" spans="1:8" x14ac:dyDescent="0.2">
      <c r="A458" s="345">
        <v>41455</v>
      </c>
      <c r="B458" s="253">
        <f t="shared" si="0"/>
        <v>-2.8101500000000001</v>
      </c>
      <c r="C458" s="1307">
        <v>2616819791.6900001</v>
      </c>
      <c r="D458" s="1306">
        <v>-2.8101500000000001</v>
      </c>
      <c r="E458" s="253">
        <f>B458-Index_Returns!AD458</f>
        <v>-0.72875000000000023</v>
      </c>
      <c r="H458" s="1311"/>
    </row>
    <row r="459" spans="1:8" x14ac:dyDescent="0.2">
      <c r="A459" s="345">
        <v>41486</v>
      </c>
      <c r="B459" s="253">
        <f t="shared" si="0"/>
        <v>4.4422499999999996</v>
      </c>
      <c r="C459" s="346">
        <v>2736837262.0500002</v>
      </c>
      <c r="D459" s="258">
        <v>4.4422499999999996</v>
      </c>
      <c r="E459" s="253">
        <f>B459-Index_Returns!AD459</f>
        <v>0.84034999999999949</v>
      </c>
      <c r="H459" s="1311"/>
    </row>
    <row r="460" spans="1:8" x14ac:dyDescent="0.2">
      <c r="A460" s="345">
        <v>41517</v>
      </c>
      <c r="B460" s="253">
        <f t="shared" si="0"/>
        <v>-1.5183599999999999</v>
      </c>
      <c r="C460" s="346">
        <v>2695282278.3299999</v>
      </c>
      <c r="D460" s="258">
        <v>-1.5183599999999999</v>
      </c>
      <c r="E460" s="253">
        <f>B460-Index_Returns!AD460</f>
        <v>6.2100000000000044E-2</v>
      </c>
      <c r="H460" s="1311"/>
    </row>
    <row r="461" spans="1:8" x14ac:dyDescent="0.2">
      <c r="A461" s="345">
        <v>41547</v>
      </c>
      <c r="B461" s="253">
        <f t="shared" si="0"/>
        <v>4.0251799999999998</v>
      </c>
      <c r="C461" s="346">
        <v>2803772272.8899999</v>
      </c>
      <c r="D461" s="258">
        <v>4.0251799999999998</v>
      </c>
      <c r="E461" s="253">
        <f>B461-Index_Returns!AD461</f>
        <v>0.65983999999999954</v>
      </c>
    </row>
    <row r="462" spans="1:8" x14ac:dyDescent="0.2">
      <c r="A462" s="345">
        <v>41578</v>
      </c>
      <c r="B462" s="253">
        <f t="shared" si="0"/>
        <v>3.4031899999999999</v>
      </c>
      <c r="C462" s="346">
        <v>2902957281.6700001</v>
      </c>
      <c r="D462" s="258">
        <v>3.4031899999999999</v>
      </c>
      <c r="E462" s="253">
        <f>B462-Index_Returns!AD462</f>
        <v>0.41825000000000001</v>
      </c>
    </row>
    <row r="463" spans="1:8" x14ac:dyDescent="0.2">
      <c r="A463" s="345">
        <v>41608</v>
      </c>
      <c r="B463" s="253">
        <f t="shared" si="0"/>
        <v>1.32799</v>
      </c>
      <c r="C463" s="346">
        <v>2941508141.1300001</v>
      </c>
      <c r="D463" s="258">
        <v>1.32799</v>
      </c>
      <c r="E463" s="253">
        <f>B463-Index_Returns!AD463</f>
        <v>-4.1339999999999932E-2</v>
      </c>
    </row>
    <row r="464" spans="1:8" x14ac:dyDescent="0.2">
      <c r="A464" s="345">
        <v>41639</v>
      </c>
      <c r="B464" s="253">
        <f t="shared" si="0"/>
        <v>1.1550800000000001</v>
      </c>
      <c r="C464" s="346">
        <v>2975484856.54</v>
      </c>
      <c r="D464" s="258">
        <v>1.1550800000000001</v>
      </c>
      <c r="E464" s="253">
        <f>B464-Index_Returns!AD464</f>
        <v>-0.20285999999999982</v>
      </c>
    </row>
    <row r="465" spans="1:5" x14ac:dyDescent="0.2">
      <c r="A465" s="345">
        <v>41670</v>
      </c>
      <c r="B465" s="253">
        <f t="shared" si="0"/>
        <v>-2.3142100000000001</v>
      </c>
      <c r="C465" s="346">
        <v>2910703620.27</v>
      </c>
      <c r="D465" s="258">
        <v>-2.3142100000000001</v>
      </c>
      <c r="E465" s="253">
        <f>B465-Index_Returns!AD465</f>
        <v>-0.24650000000000016</v>
      </c>
    </row>
    <row r="466" spans="1:5" x14ac:dyDescent="0.2">
      <c r="A466" s="345">
        <v>41698</v>
      </c>
      <c r="B466" s="253">
        <f t="shared" si="0"/>
        <v>4.53294</v>
      </c>
      <c r="C466" s="346">
        <v>3042644075.4400001</v>
      </c>
      <c r="D466" s="258">
        <v>4.53294</v>
      </c>
      <c r="E466" s="253">
        <f>B466-Index_Returns!AD466</f>
        <v>0.77793000000000001</v>
      </c>
    </row>
    <row r="467" spans="1:5" x14ac:dyDescent="0.2">
      <c r="A467" s="345">
        <v>41729</v>
      </c>
      <c r="B467" s="253">
        <f t="shared" si="0"/>
        <v>0.12113</v>
      </c>
      <c r="C467" s="346">
        <v>3046329581</v>
      </c>
      <c r="D467" s="258">
        <v>0.12113</v>
      </c>
      <c r="E467" s="253">
        <f>B467-Index_Returns!AD467</f>
        <v>-4.973000000000001E-2</v>
      </c>
    </row>
    <row r="468" spans="1:5" x14ac:dyDescent="0.2">
      <c r="A468" s="345">
        <v>41759</v>
      </c>
      <c r="B468" s="253">
        <f t="shared" si="0"/>
        <v>1.25579</v>
      </c>
      <c r="C468" s="346">
        <v>3089204535.8000002</v>
      </c>
      <c r="D468" s="258">
        <v>1.25579</v>
      </c>
      <c r="E468" s="253">
        <f>B468-Index_Returns!AD468</f>
        <v>0.24273999999999996</v>
      </c>
    </row>
    <row r="469" spans="1:5" x14ac:dyDescent="0.2">
      <c r="A469" s="345">
        <v>41790</v>
      </c>
      <c r="B469" s="253">
        <f t="shared" si="0"/>
        <v>2.23237</v>
      </c>
      <c r="C469" s="346">
        <v>3158166922.46</v>
      </c>
      <c r="D469" s="258">
        <v>2.23237</v>
      </c>
      <c r="E469" s="253">
        <f>B469-Index_Returns!AD469</f>
        <v>0.61325000000000007</v>
      </c>
    </row>
    <row r="470" spans="1:5" x14ac:dyDescent="0.2">
      <c r="A470" s="345">
        <v>41820</v>
      </c>
      <c r="B470" s="253">
        <f t="shared" si="0"/>
        <v>1.7050399999999999</v>
      </c>
      <c r="C470" s="346">
        <v>3212014836.46</v>
      </c>
      <c r="D470" s="258">
        <v>1.7050399999999999</v>
      </c>
      <c r="E470" s="253">
        <f>B470-Index_Returns!AD470</f>
        <v>0.53739999999999988</v>
      </c>
    </row>
    <row r="471" spans="1:5" x14ac:dyDescent="0.2">
      <c r="A471" s="345">
        <v>41851</v>
      </c>
      <c r="B471" s="253">
        <f t="shared" si="0"/>
        <v>-1.8621300000000001</v>
      </c>
      <c r="C471" s="346">
        <v>3152054080.6950002</v>
      </c>
      <c r="D471" s="258">
        <v>-1.8621300000000001</v>
      </c>
      <c r="E471" s="253">
        <f>B471-Index_Returns!AD471</f>
        <v>-0.50821000000000005</v>
      </c>
    </row>
    <row r="472" spans="1:5" x14ac:dyDescent="0.2">
      <c r="A472" s="345">
        <v>41882</v>
      </c>
      <c r="B472" s="253">
        <f t="shared" si="0"/>
        <v>1.6466499999999999</v>
      </c>
      <c r="C472" s="346">
        <v>3208847291.5700002</v>
      </c>
      <c r="D472" s="258">
        <v>1.6466499999999999</v>
      </c>
      <c r="E472" s="253">
        <f>B472-Index_Returns!AD472</f>
        <v>-0.30242999999999998</v>
      </c>
    </row>
    <row r="473" spans="1:5" x14ac:dyDescent="0.2">
      <c r="A473" s="345">
        <v>41912</v>
      </c>
      <c r="B473" s="253">
        <f t="shared" si="0"/>
        <v>0</v>
      </c>
      <c r="C473" s="779"/>
      <c r="E473" s="253">
        <f>B473-Index_Returns!AD473</f>
        <v>0</v>
      </c>
    </row>
    <row r="474" spans="1:5" x14ac:dyDescent="0.2">
      <c r="A474" s="345">
        <v>41943</v>
      </c>
      <c r="B474" s="253">
        <f t="shared" si="0"/>
        <v>0</v>
      </c>
      <c r="E474" s="253">
        <f>B474-Index_Returns!AD474</f>
        <v>0</v>
      </c>
    </row>
    <row r="475" spans="1:5" x14ac:dyDescent="0.2">
      <c r="A475" s="345">
        <v>41973</v>
      </c>
      <c r="B475" s="253">
        <f t="shared" si="0"/>
        <v>0</v>
      </c>
      <c r="C475" s="1470"/>
      <c r="E475" s="253">
        <f>B475-Index_Returns!AD475</f>
        <v>0</v>
      </c>
    </row>
    <row r="476" spans="1:5" x14ac:dyDescent="0.2">
      <c r="A476" s="345">
        <v>42004</v>
      </c>
      <c r="B476" s="253">
        <f t="shared" si="0"/>
        <v>0</v>
      </c>
      <c r="E476" s="253">
        <f>B476-Index_Returns!AD476</f>
        <v>0</v>
      </c>
    </row>
    <row r="477" spans="1:5" x14ac:dyDescent="0.2">
      <c r="A477" s="345">
        <v>42035</v>
      </c>
      <c r="B477" s="253">
        <f t="shared" si="0"/>
        <v>0</v>
      </c>
      <c r="E477" s="253">
        <f>B477-Index_Returns!AD477</f>
        <v>0</v>
      </c>
    </row>
    <row r="478" spans="1:5" x14ac:dyDescent="0.2">
      <c r="A478" s="345">
        <v>42063</v>
      </c>
      <c r="B478" s="253">
        <f t="shared" si="0"/>
        <v>0</v>
      </c>
      <c r="E478" s="253">
        <f>B478-Index_Returns!AD478</f>
        <v>0</v>
      </c>
    </row>
    <row r="479" spans="1:5" x14ac:dyDescent="0.2">
      <c r="A479" s="345">
        <v>42094</v>
      </c>
      <c r="B479" s="253">
        <f t="shared" si="0"/>
        <v>0</v>
      </c>
      <c r="E479" s="253">
        <f>B479-Index_Returns!AD479</f>
        <v>0</v>
      </c>
    </row>
    <row r="480" spans="1:5" x14ac:dyDescent="0.2">
      <c r="A480" s="345">
        <v>42124</v>
      </c>
      <c r="B480" s="253">
        <f t="shared" si="0"/>
        <v>0</v>
      </c>
      <c r="E480" s="253">
        <f>B480-Index_Returns!AD480</f>
        <v>0</v>
      </c>
    </row>
    <row r="481" spans="1:5" x14ac:dyDescent="0.2">
      <c r="A481" s="345">
        <v>42155</v>
      </c>
      <c r="B481" s="253">
        <f t="shared" si="0"/>
        <v>0</v>
      </c>
      <c r="E481" s="253">
        <f>B481-Index_Returns!AD481</f>
        <v>0</v>
      </c>
    </row>
    <row r="482" spans="1:5" x14ac:dyDescent="0.2">
      <c r="A482" s="345">
        <v>42185</v>
      </c>
      <c r="B482" s="253">
        <f t="shared" si="0"/>
        <v>0</v>
      </c>
      <c r="E482" s="253">
        <f>B482-Index_Returns!AD482</f>
        <v>0</v>
      </c>
    </row>
    <row r="483" spans="1:5" x14ac:dyDescent="0.2">
      <c r="A483" s="345">
        <v>42216</v>
      </c>
      <c r="B483" s="253">
        <f t="shared" si="0"/>
        <v>0</v>
      </c>
      <c r="E483" s="253">
        <f>B483-Index_Returns!AD483</f>
        <v>0</v>
      </c>
    </row>
    <row r="484" spans="1:5" x14ac:dyDescent="0.2">
      <c r="A484" s="345">
        <v>42247</v>
      </c>
      <c r="B484" s="253">
        <f t="shared" si="0"/>
        <v>0</v>
      </c>
      <c r="E484" s="253">
        <f>B484-Index_Returns!AD484</f>
        <v>0</v>
      </c>
    </row>
    <row r="485" spans="1:5" x14ac:dyDescent="0.2">
      <c r="A485" s="345">
        <v>42277</v>
      </c>
      <c r="B485" s="253">
        <f t="shared" si="0"/>
        <v>0</v>
      </c>
      <c r="E485" s="253">
        <f>B485-Index_Returns!AD485</f>
        <v>0</v>
      </c>
    </row>
    <row r="486" spans="1:5" x14ac:dyDescent="0.2">
      <c r="A486" s="345">
        <v>42308</v>
      </c>
      <c r="B486" s="253">
        <f t="shared" si="0"/>
        <v>0</v>
      </c>
      <c r="E486" s="253">
        <f>B486-Index_Returns!AD486</f>
        <v>0</v>
      </c>
    </row>
    <row r="487" spans="1:5" x14ac:dyDescent="0.2">
      <c r="A487" s="345">
        <v>42338</v>
      </c>
      <c r="B487" s="253">
        <f t="shared" si="0"/>
        <v>0</v>
      </c>
      <c r="E487" s="253">
        <f>B487-Index_Returns!AD487</f>
        <v>0</v>
      </c>
    </row>
    <row r="488" spans="1:5" x14ac:dyDescent="0.2">
      <c r="A488" s="345">
        <v>42369</v>
      </c>
      <c r="B488" s="253">
        <f t="shared" si="0"/>
        <v>0</v>
      </c>
      <c r="E488" s="253">
        <f>B488-Index_Returns!AD488</f>
        <v>0</v>
      </c>
    </row>
  </sheetData>
  <phoneticPr fontId="3" type="noConversion"/>
  <printOptions headings="1" gridLines="1"/>
  <pageMargins left="0.78740157480314965" right="0.78740157480314965" top="0.78740157480314965" bottom="0.78740157480314965" header="0.39370078740157483" footer="0.39370078740157483"/>
  <pageSetup scale="13" orientation="portrait" r:id="rId1"/>
  <headerFooter alignWithMargins="0">
    <oddHeader>&amp;L&amp;A</oddHead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K488"/>
  <sheetViews>
    <sheetView workbookViewId="0">
      <pane xSplit="1" ySplit="2" topLeftCell="B447" activePane="bottomRight" state="frozen"/>
      <selection pane="topRight" activeCell="B1" sqref="B1"/>
      <selection pane="bottomLeft" activeCell="A3" sqref="A3"/>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5" width="18.7109375" style="258" customWidth="1"/>
    <col min="6" max="6" width="12.42578125" bestFit="1" customWidth="1"/>
    <col min="7" max="7" width="12.85546875" style="352" bestFit="1" customWidth="1"/>
    <col min="8" max="8" width="14.85546875" style="352" bestFit="1" customWidth="1"/>
  </cols>
  <sheetData>
    <row r="1" spans="1:6" x14ac:dyDescent="0.2">
      <c r="A1" s="265" t="s">
        <v>864</v>
      </c>
      <c r="B1" s="1370" t="s">
        <v>529</v>
      </c>
      <c r="C1" s="1384" t="s">
        <v>394</v>
      </c>
      <c r="D1" s="1370">
        <v>60</v>
      </c>
      <c r="E1" s="74" t="s">
        <v>81</v>
      </c>
      <c r="F1" s="21" t="s">
        <v>803</v>
      </c>
    </row>
    <row r="2" spans="1:6" x14ac:dyDescent="0.2">
      <c r="A2" s="3" t="s">
        <v>27</v>
      </c>
      <c r="B2" s="71" t="s">
        <v>91</v>
      </c>
      <c r="C2" s="226" t="s">
        <v>92</v>
      </c>
      <c r="D2" s="71" t="s">
        <v>90</v>
      </c>
      <c r="E2" s="71" t="s">
        <v>80</v>
      </c>
    </row>
    <row r="3" spans="1:6" x14ac:dyDescent="0.2">
      <c r="A3" s="345">
        <v>27606</v>
      </c>
      <c r="B3" s="71"/>
      <c r="C3" s="226"/>
      <c r="D3" s="71"/>
      <c r="E3" s="71"/>
    </row>
    <row r="4" spans="1:6" x14ac:dyDescent="0.2">
      <c r="A4" s="345">
        <v>27637</v>
      </c>
      <c r="B4" s="71"/>
      <c r="C4" s="226"/>
      <c r="D4" s="71"/>
      <c r="E4" s="71"/>
    </row>
    <row r="5" spans="1:6" x14ac:dyDescent="0.2">
      <c r="A5" s="345">
        <v>27667</v>
      </c>
      <c r="B5" s="71"/>
      <c r="C5" s="226"/>
      <c r="D5" s="71"/>
      <c r="E5" s="71"/>
    </row>
    <row r="6" spans="1:6" x14ac:dyDescent="0.2">
      <c r="A6" s="345">
        <v>27698</v>
      </c>
      <c r="B6" s="71"/>
      <c r="C6" s="226"/>
      <c r="D6" s="71"/>
      <c r="E6" s="71"/>
    </row>
    <row r="7" spans="1:6" x14ac:dyDescent="0.2">
      <c r="A7" s="345">
        <v>27728</v>
      </c>
      <c r="B7" s="71"/>
      <c r="C7" s="226"/>
      <c r="D7" s="71"/>
      <c r="E7" s="71"/>
    </row>
    <row r="8" spans="1:6" x14ac:dyDescent="0.2">
      <c r="A8" s="345">
        <v>27759</v>
      </c>
      <c r="B8" s="71"/>
      <c r="C8" s="226"/>
      <c r="D8" s="71"/>
      <c r="E8" s="71"/>
    </row>
    <row r="9" spans="1:6" x14ac:dyDescent="0.2">
      <c r="A9" s="345">
        <v>27790</v>
      </c>
      <c r="B9" s="71"/>
      <c r="C9" s="226"/>
      <c r="D9" s="71"/>
      <c r="E9" s="71"/>
    </row>
    <row r="10" spans="1:6" x14ac:dyDescent="0.2">
      <c r="A10" s="345">
        <v>27819</v>
      </c>
      <c r="B10" s="71"/>
      <c r="C10" s="226"/>
      <c r="D10" s="71"/>
      <c r="E10" s="71"/>
    </row>
    <row r="11" spans="1:6" x14ac:dyDescent="0.2">
      <c r="A11" s="345">
        <v>27850</v>
      </c>
      <c r="B11" s="71"/>
      <c r="C11" s="226"/>
      <c r="D11" s="71"/>
      <c r="E11" s="71"/>
    </row>
    <row r="12" spans="1:6" x14ac:dyDescent="0.2">
      <c r="A12" s="345">
        <v>27880</v>
      </c>
      <c r="B12" s="71"/>
      <c r="C12" s="226"/>
      <c r="D12" s="71"/>
      <c r="E12" s="71"/>
    </row>
    <row r="13" spans="1:6" x14ac:dyDescent="0.2">
      <c r="A13" s="345">
        <v>27911</v>
      </c>
      <c r="B13" s="71"/>
      <c r="C13" s="226"/>
      <c r="D13" s="71"/>
      <c r="E13" s="71"/>
    </row>
    <row r="14" spans="1:6" x14ac:dyDescent="0.2">
      <c r="A14" s="345">
        <v>27941</v>
      </c>
      <c r="B14" s="71"/>
      <c r="C14" s="226"/>
      <c r="D14" s="71"/>
      <c r="E14" s="71"/>
    </row>
    <row r="15" spans="1:6" x14ac:dyDescent="0.2">
      <c r="A15" s="345">
        <v>27972</v>
      </c>
      <c r="B15" s="71"/>
      <c r="C15" s="226"/>
      <c r="D15" s="71"/>
      <c r="E15" s="71"/>
    </row>
    <row r="16" spans="1:6"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3"/>
      <c r="C147" s="25"/>
      <c r="D147" s="73"/>
      <c r="E147" s="73"/>
    </row>
    <row r="148" spans="1:5" x14ac:dyDescent="0.2">
      <c r="A148" s="345">
        <v>32020</v>
      </c>
      <c r="B148" s="73"/>
      <c r="C148" s="25"/>
      <c r="D148" s="73"/>
      <c r="E148" s="73"/>
    </row>
    <row r="149" spans="1:5" x14ac:dyDescent="0.2">
      <c r="A149" s="345">
        <v>32050</v>
      </c>
      <c r="B149" s="73"/>
      <c r="C149" s="25"/>
      <c r="D149" s="73"/>
      <c r="E149" s="73"/>
    </row>
    <row r="150" spans="1:5" x14ac:dyDescent="0.2">
      <c r="A150" s="345">
        <v>32081</v>
      </c>
      <c r="B150" s="73"/>
      <c r="C150" s="25"/>
      <c r="D150" s="73"/>
      <c r="E150" s="73"/>
    </row>
    <row r="151" spans="1:5" x14ac:dyDescent="0.2">
      <c r="A151" s="345">
        <v>32111</v>
      </c>
      <c r="B151" s="73"/>
      <c r="C151" s="25"/>
      <c r="D151" s="73"/>
      <c r="E151" s="73"/>
    </row>
    <row r="152" spans="1:5" x14ac:dyDescent="0.2">
      <c r="A152" s="345">
        <v>32142</v>
      </c>
      <c r="B152" s="73"/>
      <c r="C152" s="25"/>
      <c r="D152" s="73"/>
      <c r="E152" s="73"/>
    </row>
    <row r="153" spans="1:5" x14ac:dyDescent="0.2">
      <c r="A153" s="345">
        <v>32173</v>
      </c>
      <c r="B153" s="73"/>
      <c r="C153" s="25"/>
      <c r="D153" s="73"/>
      <c r="E153" s="73"/>
    </row>
    <row r="154" spans="1:5" x14ac:dyDescent="0.2">
      <c r="A154" s="345">
        <v>32202</v>
      </c>
      <c r="B154" s="73"/>
      <c r="C154" s="25"/>
      <c r="D154" s="73"/>
      <c r="E154" s="73"/>
    </row>
    <row r="155" spans="1:5" x14ac:dyDescent="0.2">
      <c r="A155" s="345">
        <v>32233</v>
      </c>
      <c r="B155" s="73"/>
      <c r="C155" s="25"/>
      <c r="D155" s="73"/>
      <c r="E155" s="73"/>
    </row>
    <row r="156" spans="1:5" x14ac:dyDescent="0.2">
      <c r="A156" s="345">
        <v>32263</v>
      </c>
      <c r="B156" s="73"/>
      <c r="C156" s="25"/>
      <c r="D156" s="73"/>
      <c r="E156" s="73"/>
    </row>
    <row r="157" spans="1:5" x14ac:dyDescent="0.2">
      <c r="A157" s="345">
        <v>32294</v>
      </c>
      <c r="B157" s="73"/>
      <c r="C157" s="25"/>
      <c r="D157" s="73"/>
      <c r="E157" s="73"/>
    </row>
    <row r="158" spans="1:5" x14ac:dyDescent="0.2">
      <c r="A158" s="345">
        <v>32324</v>
      </c>
      <c r="B158" s="73"/>
      <c r="C158" s="25"/>
      <c r="D158" s="73"/>
      <c r="E158" s="73"/>
    </row>
    <row r="159" spans="1:5" x14ac:dyDescent="0.2">
      <c r="A159" s="345">
        <v>32355</v>
      </c>
      <c r="B159" s="73"/>
      <c r="C159" s="25"/>
      <c r="D159" s="73"/>
      <c r="E159" s="73"/>
    </row>
    <row r="160" spans="1:5" x14ac:dyDescent="0.2">
      <c r="A160" s="345">
        <v>32386</v>
      </c>
      <c r="B160" s="73"/>
      <c r="C160" s="25"/>
      <c r="D160" s="73"/>
      <c r="E160" s="73"/>
    </row>
    <row r="161" spans="1:5" x14ac:dyDescent="0.2">
      <c r="A161" s="345">
        <v>32416</v>
      </c>
      <c r="B161" s="73"/>
      <c r="C161" s="25"/>
      <c r="D161" s="73"/>
      <c r="E161" s="73"/>
    </row>
    <row r="162" spans="1:5" x14ac:dyDescent="0.2">
      <c r="A162" s="345">
        <v>32447</v>
      </c>
      <c r="B162" s="73"/>
      <c r="C162" s="25"/>
      <c r="D162" s="73"/>
      <c r="E162" s="73"/>
    </row>
    <row r="163" spans="1:5" x14ac:dyDescent="0.2">
      <c r="A163" s="345">
        <v>32477</v>
      </c>
      <c r="B163" s="73"/>
      <c r="C163" s="25"/>
      <c r="D163" s="73"/>
      <c r="E163" s="73"/>
    </row>
    <row r="164" spans="1:5" x14ac:dyDescent="0.2">
      <c r="A164" s="345">
        <v>32508</v>
      </c>
      <c r="B164" s="73"/>
      <c r="C164" s="25"/>
      <c r="D164" s="73"/>
      <c r="E164" s="73"/>
    </row>
    <row r="165" spans="1:5" x14ac:dyDescent="0.2">
      <c r="A165" s="345">
        <v>32539</v>
      </c>
      <c r="B165" s="73"/>
      <c r="C165" s="25"/>
      <c r="D165" s="73"/>
      <c r="E165" s="73"/>
    </row>
    <row r="166" spans="1:5" x14ac:dyDescent="0.2">
      <c r="A166" s="345">
        <v>32567</v>
      </c>
      <c r="B166" s="73"/>
      <c r="C166" s="25"/>
      <c r="D166" s="73"/>
      <c r="E166" s="73"/>
    </row>
    <row r="167" spans="1:5" x14ac:dyDescent="0.2">
      <c r="A167" s="345">
        <v>32598</v>
      </c>
      <c r="B167" s="73"/>
      <c r="C167" s="25"/>
      <c r="D167" s="73"/>
      <c r="E167" s="73"/>
    </row>
    <row r="168" spans="1:5" x14ac:dyDescent="0.2">
      <c r="A168" s="345">
        <v>32628</v>
      </c>
      <c r="B168" s="73"/>
      <c r="C168" s="25"/>
      <c r="D168" s="73"/>
      <c r="E168" s="73"/>
    </row>
    <row r="169" spans="1:5" x14ac:dyDescent="0.2">
      <c r="A169" s="345">
        <v>32659</v>
      </c>
      <c r="B169" s="73"/>
      <c r="C169" s="25"/>
      <c r="D169" s="73"/>
      <c r="E169" s="73"/>
    </row>
    <row r="170" spans="1:5" x14ac:dyDescent="0.2">
      <c r="A170" s="345">
        <v>32689</v>
      </c>
      <c r="B170" s="73"/>
      <c r="C170" s="25"/>
      <c r="D170" s="73"/>
      <c r="E170" s="73"/>
    </row>
    <row r="171" spans="1:5" x14ac:dyDescent="0.2">
      <c r="A171" s="345">
        <v>32720</v>
      </c>
      <c r="B171" s="73"/>
      <c r="C171" s="25"/>
      <c r="D171" s="73"/>
      <c r="E171" s="73"/>
    </row>
    <row r="172" spans="1:5" x14ac:dyDescent="0.2">
      <c r="A172" s="345">
        <v>32751</v>
      </c>
      <c r="B172" s="73"/>
      <c r="C172" s="25"/>
      <c r="D172" s="73"/>
      <c r="E172" s="73"/>
    </row>
    <row r="173" spans="1:5" x14ac:dyDescent="0.2">
      <c r="A173" s="345">
        <v>32781</v>
      </c>
      <c r="B173" s="73"/>
      <c r="C173" s="25"/>
      <c r="D173" s="73"/>
      <c r="E173" s="73"/>
    </row>
    <row r="174" spans="1:5" x14ac:dyDescent="0.2">
      <c r="A174" s="345">
        <v>32812</v>
      </c>
      <c r="B174" s="73"/>
      <c r="C174" s="25"/>
      <c r="D174" s="73"/>
      <c r="E174" s="73"/>
    </row>
    <row r="175" spans="1:5" x14ac:dyDescent="0.2">
      <c r="A175" s="345">
        <v>32842</v>
      </c>
      <c r="B175" s="73"/>
      <c r="C175" s="25"/>
      <c r="D175" s="73"/>
      <c r="E175" s="73"/>
    </row>
    <row r="176" spans="1:5" x14ac:dyDescent="0.2">
      <c r="A176" s="345">
        <v>32873</v>
      </c>
      <c r="B176" s="73"/>
      <c r="C176" s="25"/>
      <c r="D176" s="73"/>
      <c r="E176" s="73"/>
    </row>
    <row r="177" spans="1:5" x14ac:dyDescent="0.2">
      <c r="A177" s="345">
        <v>32904</v>
      </c>
      <c r="B177" s="255"/>
      <c r="C177" s="259"/>
      <c r="D177" s="73"/>
      <c r="E177" s="73"/>
    </row>
    <row r="178" spans="1:5" x14ac:dyDescent="0.2">
      <c r="A178" s="345">
        <v>32932</v>
      </c>
      <c r="B178" s="255"/>
      <c r="C178" s="259"/>
      <c r="D178" s="73"/>
      <c r="E178" s="73"/>
    </row>
    <row r="179" spans="1:5" x14ac:dyDescent="0.2">
      <c r="A179" s="345">
        <v>32963</v>
      </c>
      <c r="B179" s="255"/>
      <c r="C179" s="259"/>
      <c r="D179" s="73"/>
      <c r="E179" s="73"/>
    </row>
    <row r="180" spans="1:5" x14ac:dyDescent="0.2">
      <c r="A180" s="345">
        <v>32993</v>
      </c>
      <c r="B180" s="255"/>
      <c r="C180" s="259"/>
      <c r="D180" s="73"/>
      <c r="E180" s="73"/>
    </row>
    <row r="181" spans="1:5" x14ac:dyDescent="0.2">
      <c r="A181" s="345">
        <v>33024</v>
      </c>
      <c r="B181" s="255"/>
      <c r="C181" s="259"/>
      <c r="D181" s="73"/>
      <c r="E181" s="73"/>
    </row>
    <row r="182" spans="1:5" x14ac:dyDescent="0.2">
      <c r="A182" s="345">
        <v>33054</v>
      </c>
      <c r="B182" s="255"/>
      <c r="C182" s="259"/>
      <c r="D182" s="73"/>
      <c r="E182" s="73"/>
    </row>
    <row r="183" spans="1:5" x14ac:dyDescent="0.2">
      <c r="A183" s="345">
        <v>33085</v>
      </c>
      <c r="B183" s="255"/>
      <c r="C183" s="259"/>
      <c r="D183" s="73"/>
      <c r="E183" s="73"/>
    </row>
    <row r="184" spans="1:5" x14ac:dyDescent="0.2">
      <c r="A184" s="345">
        <v>33116</v>
      </c>
      <c r="B184" s="255"/>
      <c r="C184" s="259"/>
      <c r="D184" s="73"/>
      <c r="E184" s="73"/>
    </row>
    <row r="185" spans="1:5" x14ac:dyDescent="0.2">
      <c r="A185" s="345">
        <v>33146</v>
      </c>
      <c r="B185" s="255"/>
      <c r="C185" s="259"/>
      <c r="D185" s="73"/>
      <c r="E185" s="73"/>
    </row>
    <row r="186" spans="1:5" x14ac:dyDescent="0.2">
      <c r="A186" s="345">
        <v>33177</v>
      </c>
      <c r="B186" s="255"/>
      <c r="C186" s="259"/>
      <c r="D186" s="73"/>
      <c r="E186" s="73"/>
    </row>
    <row r="187" spans="1:5" x14ac:dyDescent="0.2">
      <c r="A187" s="345">
        <v>33207</v>
      </c>
      <c r="B187" s="255"/>
      <c r="C187" s="259"/>
      <c r="D187" s="73"/>
      <c r="E187" s="73"/>
    </row>
    <row r="188" spans="1:5" x14ac:dyDescent="0.2">
      <c r="A188" s="345">
        <v>33238</v>
      </c>
      <c r="B188" s="255"/>
      <c r="C188" s="259"/>
      <c r="D188" s="73"/>
      <c r="E188" s="73"/>
    </row>
    <row r="189" spans="1:5" x14ac:dyDescent="0.2">
      <c r="A189" s="345">
        <v>33269</v>
      </c>
      <c r="B189" s="255"/>
      <c r="C189" s="259"/>
      <c r="D189" s="73"/>
      <c r="E189" s="73"/>
    </row>
    <row r="190" spans="1:5" x14ac:dyDescent="0.2">
      <c r="A190" s="345">
        <v>33297</v>
      </c>
      <c r="B190" s="255"/>
      <c r="C190" s="259"/>
      <c r="D190" s="73"/>
      <c r="E190" s="73"/>
    </row>
    <row r="191" spans="1:5" x14ac:dyDescent="0.2">
      <c r="A191" s="345">
        <v>33328</v>
      </c>
      <c r="B191" s="255"/>
      <c r="C191" s="259"/>
      <c r="D191" s="73"/>
      <c r="E191" s="73"/>
    </row>
    <row r="192" spans="1:5" x14ac:dyDescent="0.2">
      <c r="A192" s="345">
        <v>33358</v>
      </c>
      <c r="B192" s="255"/>
      <c r="C192" s="259"/>
      <c r="D192" s="73"/>
      <c r="E192" s="73"/>
    </row>
    <row r="193" spans="1:5" x14ac:dyDescent="0.2">
      <c r="A193" s="345">
        <v>33389</v>
      </c>
      <c r="B193" s="255"/>
      <c r="C193" s="259"/>
      <c r="D193" s="73"/>
      <c r="E193" s="73"/>
    </row>
    <row r="194" spans="1:5" x14ac:dyDescent="0.2">
      <c r="A194" s="345">
        <v>33419</v>
      </c>
      <c r="B194" s="255"/>
      <c r="C194" s="259"/>
      <c r="D194" s="73"/>
      <c r="E194" s="73"/>
    </row>
    <row r="195" spans="1:5" x14ac:dyDescent="0.2">
      <c r="A195" s="345">
        <v>33450</v>
      </c>
      <c r="B195" s="255"/>
      <c r="C195" s="259"/>
      <c r="D195" s="73"/>
      <c r="E195" s="73"/>
    </row>
    <row r="196" spans="1:5" x14ac:dyDescent="0.2">
      <c r="A196" s="345">
        <v>33481</v>
      </c>
      <c r="B196" s="255"/>
      <c r="C196" s="259"/>
      <c r="D196" s="73"/>
      <c r="E196" s="73"/>
    </row>
    <row r="197" spans="1:5" x14ac:dyDescent="0.2">
      <c r="A197" s="345">
        <v>33511</v>
      </c>
      <c r="B197" s="255"/>
      <c r="C197" s="259"/>
      <c r="D197" s="73"/>
      <c r="E197" s="73"/>
    </row>
    <row r="198" spans="1:5" x14ac:dyDescent="0.2">
      <c r="A198" s="345">
        <v>33542</v>
      </c>
      <c r="B198" s="255"/>
      <c r="C198" s="259"/>
      <c r="D198" s="73"/>
      <c r="E198" s="73"/>
    </row>
    <row r="199" spans="1:5" x14ac:dyDescent="0.2">
      <c r="A199" s="345">
        <v>33572</v>
      </c>
      <c r="B199" s="255"/>
      <c r="C199" s="259"/>
      <c r="D199" s="73"/>
      <c r="E199" s="73"/>
    </row>
    <row r="200" spans="1:5" x14ac:dyDescent="0.2">
      <c r="A200" s="345">
        <v>33603</v>
      </c>
      <c r="B200" s="255"/>
      <c r="C200" s="259"/>
      <c r="D200" s="73"/>
      <c r="E200" s="73"/>
    </row>
    <row r="201" spans="1:5" x14ac:dyDescent="0.2">
      <c r="A201" s="345">
        <v>33634</v>
      </c>
      <c r="B201" s="255"/>
      <c r="C201" s="259"/>
      <c r="D201" s="73"/>
      <c r="E201" s="73"/>
    </row>
    <row r="202" spans="1:5" x14ac:dyDescent="0.2">
      <c r="A202" s="345">
        <v>33663</v>
      </c>
      <c r="B202" s="255"/>
      <c r="C202" s="259"/>
      <c r="D202" s="73"/>
      <c r="E202" s="73"/>
    </row>
    <row r="203" spans="1:5" x14ac:dyDescent="0.2">
      <c r="A203" s="345">
        <v>33694</v>
      </c>
      <c r="B203" s="255"/>
      <c r="C203" s="259"/>
      <c r="D203" s="73"/>
      <c r="E203" s="73"/>
    </row>
    <row r="204" spans="1:5" x14ac:dyDescent="0.2">
      <c r="A204" s="345">
        <v>33724</v>
      </c>
      <c r="B204" s="255"/>
      <c r="C204" s="259"/>
      <c r="D204" s="73"/>
      <c r="E204" s="73"/>
    </row>
    <row r="205" spans="1:5" x14ac:dyDescent="0.2">
      <c r="A205" s="345">
        <v>33755</v>
      </c>
      <c r="B205" s="255"/>
      <c r="C205" s="259"/>
      <c r="D205" s="73"/>
      <c r="E205" s="73"/>
    </row>
    <row r="206" spans="1:5" x14ac:dyDescent="0.2">
      <c r="A206" s="345">
        <v>33785</v>
      </c>
      <c r="B206" s="255"/>
      <c r="C206" s="259"/>
      <c r="D206" s="73"/>
      <c r="E206" s="73"/>
    </row>
    <row r="207" spans="1:5" x14ac:dyDescent="0.2">
      <c r="A207" s="345">
        <v>33816</v>
      </c>
      <c r="B207" s="255"/>
      <c r="C207" s="259"/>
      <c r="D207" s="73"/>
      <c r="E207" s="73"/>
    </row>
    <row r="208" spans="1:5" x14ac:dyDescent="0.2">
      <c r="A208" s="345">
        <v>33847</v>
      </c>
      <c r="B208" s="255"/>
      <c r="C208" s="259"/>
      <c r="D208" s="73"/>
      <c r="E208" s="73"/>
    </row>
    <row r="209" spans="1:5" x14ac:dyDescent="0.2">
      <c r="A209" s="345">
        <v>33877</v>
      </c>
      <c r="B209" s="255"/>
      <c r="C209" s="259"/>
      <c r="D209" s="73"/>
      <c r="E209" s="73"/>
    </row>
    <row r="210" spans="1:5" x14ac:dyDescent="0.2">
      <c r="A210" s="345">
        <v>33908</v>
      </c>
      <c r="B210" s="255"/>
      <c r="C210" s="259"/>
      <c r="D210" s="73"/>
      <c r="E210" s="73"/>
    </row>
    <row r="211" spans="1:5" x14ac:dyDescent="0.2">
      <c r="A211" s="345">
        <v>33938</v>
      </c>
      <c r="B211" s="255"/>
      <c r="C211" s="259"/>
      <c r="D211" s="73"/>
      <c r="E211" s="73"/>
    </row>
    <row r="212" spans="1:5" x14ac:dyDescent="0.2">
      <c r="A212" s="345">
        <v>33969</v>
      </c>
      <c r="B212" s="255"/>
      <c r="C212" s="259"/>
      <c r="D212" s="73"/>
      <c r="E212" s="73"/>
    </row>
    <row r="213" spans="1:5" x14ac:dyDescent="0.2">
      <c r="A213" s="345">
        <v>34000</v>
      </c>
      <c r="B213" s="255"/>
      <c r="C213" s="259"/>
      <c r="D213" s="73"/>
      <c r="E213" s="73"/>
    </row>
    <row r="214" spans="1:5" x14ac:dyDescent="0.2">
      <c r="A214" s="345">
        <v>34028</v>
      </c>
      <c r="B214" s="255"/>
      <c r="C214" s="259"/>
      <c r="D214" s="73"/>
      <c r="E214" s="73"/>
    </row>
    <row r="215" spans="1:5" x14ac:dyDescent="0.2">
      <c r="A215" s="345">
        <v>34059</v>
      </c>
      <c r="B215" s="255"/>
      <c r="C215" s="259"/>
      <c r="D215" s="73"/>
      <c r="E215" s="73"/>
    </row>
    <row r="216" spans="1:5" x14ac:dyDescent="0.2">
      <c r="A216" s="345">
        <v>34089</v>
      </c>
      <c r="B216" s="255"/>
      <c r="C216" s="259"/>
      <c r="D216" s="73"/>
      <c r="E216" s="73"/>
    </row>
    <row r="217" spans="1:5" x14ac:dyDescent="0.2">
      <c r="A217" s="345">
        <v>34120</v>
      </c>
      <c r="B217" s="255"/>
      <c r="C217" s="259"/>
      <c r="D217" s="73"/>
      <c r="E217" s="73"/>
    </row>
    <row r="218" spans="1:5" x14ac:dyDescent="0.2">
      <c r="A218" s="345">
        <v>34150</v>
      </c>
      <c r="B218" s="255"/>
      <c r="C218" s="259"/>
      <c r="D218" s="73"/>
      <c r="E218" s="73"/>
    </row>
    <row r="219" spans="1:5" x14ac:dyDescent="0.2">
      <c r="A219" s="345">
        <v>34181</v>
      </c>
      <c r="B219" s="255"/>
      <c r="C219" s="259"/>
      <c r="D219" s="73"/>
      <c r="E219" s="73"/>
    </row>
    <row r="220" spans="1:5" x14ac:dyDescent="0.2">
      <c r="A220" s="345">
        <v>34212</v>
      </c>
      <c r="B220" s="255"/>
      <c r="C220" s="259"/>
      <c r="D220" s="73"/>
      <c r="E220" s="73"/>
    </row>
    <row r="221" spans="1:5" x14ac:dyDescent="0.2">
      <c r="A221" s="345">
        <v>34242</v>
      </c>
      <c r="B221" s="255"/>
      <c r="C221" s="259"/>
      <c r="D221" s="73"/>
      <c r="E221" s="73"/>
    </row>
    <row r="222" spans="1:5" x14ac:dyDescent="0.2">
      <c r="A222" s="345">
        <v>34273</v>
      </c>
      <c r="B222" s="255"/>
      <c r="C222" s="259"/>
      <c r="D222" s="73"/>
      <c r="E222" s="73"/>
    </row>
    <row r="223" spans="1:5" x14ac:dyDescent="0.2">
      <c r="A223" s="345">
        <v>34303</v>
      </c>
      <c r="B223" s="255"/>
      <c r="C223" s="259"/>
      <c r="D223" s="73"/>
      <c r="E223" s="73"/>
    </row>
    <row r="224" spans="1:5" x14ac:dyDescent="0.2">
      <c r="A224" s="345">
        <v>34334</v>
      </c>
      <c r="B224" s="255"/>
      <c r="C224" s="259"/>
      <c r="D224" s="73"/>
      <c r="E224" s="73"/>
    </row>
    <row r="225" spans="1:5" x14ac:dyDescent="0.2">
      <c r="A225" s="345">
        <v>34365</v>
      </c>
      <c r="B225" s="255"/>
      <c r="C225" s="259"/>
      <c r="D225" s="73"/>
      <c r="E225" s="73"/>
    </row>
    <row r="226" spans="1:5" x14ac:dyDescent="0.2">
      <c r="A226" s="345">
        <v>34393</v>
      </c>
      <c r="B226" s="255"/>
      <c r="C226" s="259"/>
      <c r="D226" s="73"/>
      <c r="E226" s="73"/>
    </row>
    <row r="227" spans="1:5" x14ac:dyDescent="0.2">
      <c r="A227" s="345">
        <v>34424</v>
      </c>
      <c r="B227" s="255"/>
      <c r="C227" s="259"/>
      <c r="D227" s="73"/>
      <c r="E227" s="73"/>
    </row>
    <row r="228" spans="1:5" x14ac:dyDescent="0.2">
      <c r="A228" s="345">
        <v>34454</v>
      </c>
      <c r="B228" s="255"/>
      <c r="C228" s="259"/>
      <c r="D228" s="73"/>
      <c r="E228" s="73"/>
    </row>
    <row r="229" spans="1:5" x14ac:dyDescent="0.2">
      <c r="A229" s="345">
        <v>34485</v>
      </c>
      <c r="B229" s="255"/>
      <c r="C229" s="259"/>
      <c r="D229" s="73"/>
      <c r="E229" s="73"/>
    </row>
    <row r="230" spans="1:5" x14ac:dyDescent="0.2">
      <c r="A230" s="345">
        <v>34515</v>
      </c>
      <c r="B230" s="255"/>
      <c r="C230" s="259"/>
      <c r="D230" s="73"/>
      <c r="E230" s="73"/>
    </row>
    <row r="231" spans="1:5" x14ac:dyDescent="0.2">
      <c r="A231" s="345">
        <v>34546</v>
      </c>
      <c r="B231" s="255"/>
      <c r="C231" s="259"/>
      <c r="D231" s="73"/>
      <c r="E231" s="73"/>
    </row>
    <row r="232" spans="1:5" x14ac:dyDescent="0.2">
      <c r="A232" s="345">
        <v>34577</v>
      </c>
      <c r="B232" s="255"/>
      <c r="C232" s="259"/>
      <c r="D232" s="73"/>
      <c r="E232" s="73"/>
    </row>
    <row r="233" spans="1:5" x14ac:dyDescent="0.2">
      <c r="A233" s="345">
        <v>34607</v>
      </c>
      <c r="B233" s="255"/>
      <c r="C233" s="259"/>
      <c r="D233" s="73"/>
      <c r="E233" s="73"/>
    </row>
    <row r="234" spans="1:5" x14ac:dyDescent="0.2">
      <c r="A234" s="345">
        <v>34638</v>
      </c>
      <c r="B234" s="255"/>
      <c r="C234" s="259"/>
      <c r="D234" s="73"/>
      <c r="E234" s="73"/>
    </row>
    <row r="235" spans="1:5" x14ac:dyDescent="0.2">
      <c r="A235" s="345">
        <v>34668</v>
      </c>
      <c r="B235" s="255"/>
      <c r="C235" s="259"/>
      <c r="D235" s="73"/>
      <c r="E235" s="73"/>
    </row>
    <row r="236" spans="1:5" x14ac:dyDescent="0.2">
      <c r="A236" s="345">
        <v>34699</v>
      </c>
      <c r="B236" s="255"/>
      <c r="C236" s="259"/>
      <c r="D236" s="73"/>
      <c r="E236" s="73"/>
    </row>
    <row r="237" spans="1:5" x14ac:dyDescent="0.2">
      <c r="A237" s="345">
        <v>34730</v>
      </c>
      <c r="B237" s="255"/>
      <c r="C237" s="259"/>
      <c r="D237" s="73"/>
      <c r="E237" s="73"/>
    </row>
    <row r="238" spans="1:5" x14ac:dyDescent="0.2">
      <c r="A238" s="345">
        <v>34758</v>
      </c>
      <c r="B238" s="255"/>
      <c r="C238" s="259"/>
      <c r="D238" s="73"/>
      <c r="E238" s="73"/>
    </row>
    <row r="239" spans="1:5" x14ac:dyDescent="0.2">
      <c r="A239" s="345">
        <v>34789</v>
      </c>
      <c r="B239" s="255"/>
      <c r="C239" s="259"/>
      <c r="D239" s="73"/>
      <c r="E239" s="73"/>
    </row>
    <row r="240" spans="1:5" x14ac:dyDescent="0.2">
      <c r="A240" s="345">
        <v>34819</v>
      </c>
      <c r="B240" s="255"/>
      <c r="C240" s="259"/>
      <c r="D240" s="73"/>
      <c r="E240" s="73"/>
    </row>
    <row r="241" spans="1:5" x14ac:dyDescent="0.2">
      <c r="A241" s="345">
        <v>34850</v>
      </c>
      <c r="B241" s="255"/>
      <c r="C241" s="259"/>
      <c r="D241" s="73"/>
      <c r="E241" s="73"/>
    </row>
    <row r="242" spans="1:5" x14ac:dyDescent="0.2">
      <c r="A242" s="345">
        <v>34880</v>
      </c>
      <c r="B242" s="255"/>
      <c r="C242" s="259"/>
      <c r="D242" s="77"/>
      <c r="E242" s="77"/>
    </row>
    <row r="243" spans="1:5" x14ac:dyDescent="0.2">
      <c r="A243" s="345">
        <v>34911</v>
      </c>
      <c r="B243" s="255"/>
      <c r="C243" s="259"/>
      <c r="D243" s="77"/>
      <c r="E243" s="77"/>
    </row>
    <row r="244" spans="1:5" x14ac:dyDescent="0.2">
      <c r="A244" s="345">
        <v>34942</v>
      </c>
      <c r="B244" s="255"/>
      <c r="C244" s="259"/>
      <c r="D244" s="77"/>
      <c r="E244" s="77"/>
    </row>
    <row r="245" spans="1:5" x14ac:dyDescent="0.2">
      <c r="A245" s="345">
        <v>34972</v>
      </c>
      <c r="B245" s="255"/>
      <c r="C245" s="259"/>
      <c r="D245" s="77"/>
      <c r="E245" s="77"/>
    </row>
    <row r="246" spans="1:5" x14ac:dyDescent="0.2">
      <c r="A246" s="345">
        <v>35003</v>
      </c>
      <c r="B246" s="255"/>
      <c r="C246" s="259"/>
      <c r="D246" s="77"/>
      <c r="E246" s="77"/>
    </row>
    <row r="247" spans="1:5" x14ac:dyDescent="0.2">
      <c r="A247" s="345">
        <v>35033</v>
      </c>
      <c r="B247" s="255"/>
      <c r="C247" s="259"/>
      <c r="D247" s="77"/>
      <c r="E247" s="77"/>
    </row>
    <row r="248" spans="1:5" x14ac:dyDescent="0.2">
      <c r="A248" s="345">
        <v>35064</v>
      </c>
      <c r="B248" s="255"/>
      <c r="C248" s="259"/>
      <c r="D248" s="77"/>
      <c r="E248" s="77"/>
    </row>
    <row r="249" spans="1:5" x14ac:dyDescent="0.2">
      <c r="A249" s="345">
        <v>35095</v>
      </c>
      <c r="B249" s="255"/>
      <c r="C249" s="259"/>
      <c r="D249" s="77"/>
      <c r="E249" s="77"/>
    </row>
    <row r="250" spans="1:5" x14ac:dyDescent="0.2">
      <c r="A250" s="345">
        <v>35124</v>
      </c>
      <c r="B250" s="255"/>
      <c r="C250" s="259"/>
      <c r="D250" s="77"/>
      <c r="E250" s="77"/>
    </row>
    <row r="251" spans="1:5" x14ac:dyDescent="0.2">
      <c r="A251" s="345">
        <v>35155</v>
      </c>
      <c r="B251" s="255"/>
      <c r="C251" s="259"/>
      <c r="D251" s="77"/>
      <c r="E251" s="77"/>
    </row>
    <row r="252" spans="1:5" x14ac:dyDescent="0.2">
      <c r="A252" s="345">
        <v>35185</v>
      </c>
      <c r="B252" s="253"/>
      <c r="C252" s="259"/>
      <c r="D252" s="77"/>
      <c r="E252" s="77"/>
    </row>
    <row r="253" spans="1:5" x14ac:dyDescent="0.2">
      <c r="A253" s="345">
        <v>35216</v>
      </c>
      <c r="B253" s="253"/>
      <c r="C253" s="259"/>
      <c r="D253" s="77"/>
      <c r="E253" s="77"/>
    </row>
    <row r="254" spans="1:5" x14ac:dyDescent="0.2">
      <c r="A254" s="345">
        <v>35246</v>
      </c>
      <c r="B254" s="253"/>
      <c r="C254" s="259"/>
      <c r="D254" s="77"/>
      <c r="E254" s="77"/>
    </row>
    <row r="255" spans="1:5" x14ac:dyDescent="0.2">
      <c r="A255" s="345">
        <v>35277</v>
      </c>
      <c r="B255" s="253"/>
      <c r="C255" s="259"/>
      <c r="D255" s="77"/>
      <c r="E255" s="77"/>
    </row>
    <row r="256" spans="1:5" x14ac:dyDescent="0.2">
      <c r="A256" s="345">
        <v>35308</v>
      </c>
      <c r="B256" s="253"/>
      <c r="C256" s="259"/>
      <c r="D256" s="77"/>
      <c r="E256" s="77"/>
    </row>
    <row r="257" spans="1:5" x14ac:dyDescent="0.2">
      <c r="A257" s="345">
        <v>35338</v>
      </c>
      <c r="B257" s="253"/>
      <c r="C257" s="259"/>
      <c r="D257" s="77"/>
      <c r="E257" s="77"/>
    </row>
    <row r="258" spans="1:5" x14ac:dyDescent="0.2">
      <c r="A258" s="345">
        <v>35369</v>
      </c>
      <c r="B258" s="253"/>
      <c r="C258" s="259"/>
      <c r="D258" s="77"/>
      <c r="E258" s="77"/>
    </row>
    <row r="259" spans="1:5" x14ac:dyDescent="0.2">
      <c r="A259" s="345">
        <v>35399</v>
      </c>
      <c r="B259" s="253"/>
      <c r="C259" s="259"/>
      <c r="D259" s="77"/>
      <c r="E259" s="77"/>
    </row>
    <row r="260" spans="1:5" x14ac:dyDescent="0.2">
      <c r="A260" s="345">
        <v>35430</v>
      </c>
      <c r="B260" s="253"/>
      <c r="C260" s="259"/>
      <c r="D260" s="77"/>
      <c r="E260" s="77"/>
    </row>
    <row r="261" spans="1:5" x14ac:dyDescent="0.2">
      <c r="A261" s="345">
        <v>35461</v>
      </c>
      <c r="B261" s="253"/>
      <c r="C261" s="259"/>
      <c r="D261" s="77"/>
      <c r="E261" s="77"/>
    </row>
    <row r="262" spans="1:5" x14ac:dyDescent="0.2">
      <c r="A262" s="345">
        <v>35489</v>
      </c>
      <c r="B262" s="253"/>
      <c r="C262" s="259"/>
      <c r="D262" s="77"/>
      <c r="E262" s="77"/>
    </row>
    <row r="263" spans="1:5" x14ac:dyDescent="0.2">
      <c r="A263" s="345">
        <v>35520</v>
      </c>
      <c r="B263" s="253"/>
      <c r="C263" s="259"/>
      <c r="D263" s="77"/>
      <c r="E263" s="77"/>
    </row>
    <row r="264" spans="1:5" x14ac:dyDescent="0.2">
      <c r="A264" s="345">
        <v>35550</v>
      </c>
      <c r="B264" s="253"/>
      <c r="C264" s="259"/>
      <c r="D264" s="77"/>
      <c r="E264" s="77"/>
    </row>
    <row r="265" spans="1:5" x14ac:dyDescent="0.2">
      <c r="A265" s="345">
        <v>35581</v>
      </c>
      <c r="B265" s="253"/>
      <c r="C265" s="259"/>
      <c r="D265" s="77"/>
      <c r="E265" s="77"/>
    </row>
    <row r="266" spans="1:5" x14ac:dyDescent="0.2">
      <c r="A266" s="345">
        <v>35611</v>
      </c>
      <c r="B266" s="253"/>
      <c r="C266" s="259"/>
      <c r="D266" s="77"/>
      <c r="E266" s="77"/>
    </row>
    <row r="267" spans="1:5" x14ac:dyDescent="0.2">
      <c r="A267" s="345">
        <v>35642</v>
      </c>
      <c r="B267" s="253"/>
      <c r="C267" s="259"/>
      <c r="D267" s="77"/>
      <c r="E267" s="77"/>
    </row>
    <row r="268" spans="1:5" x14ac:dyDescent="0.2">
      <c r="A268" s="345">
        <v>35673</v>
      </c>
      <c r="B268" s="253"/>
      <c r="C268" s="259"/>
      <c r="D268" s="77"/>
      <c r="E268" s="77"/>
    </row>
    <row r="269" spans="1:5" x14ac:dyDescent="0.2">
      <c r="A269" s="345">
        <v>35703</v>
      </c>
      <c r="B269" s="253"/>
      <c r="C269" s="259"/>
      <c r="D269" s="77"/>
      <c r="E269" s="77"/>
    </row>
    <row r="270" spans="1:5" x14ac:dyDescent="0.2">
      <c r="A270" s="345">
        <v>35734</v>
      </c>
      <c r="B270" s="253"/>
      <c r="C270" s="259"/>
      <c r="D270" s="77"/>
      <c r="E270" s="77"/>
    </row>
    <row r="271" spans="1:5" x14ac:dyDescent="0.2">
      <c r="A271" s="345">
        <v>35764</v>
      </c>
      <c r="B271" s="253"/>
      <c r="C271" s="259"/>
      <c r="D271" s="77"/>
      <c r="E271" s="77"/>
    </row>
    <row r="272" spans="1:5" x14ac:dyDescent="0.2">
      <c r="A272" s="345">
        <v>35795</v>
      </c>
      <c r="B272" s="253"/>
      <c r="C272" s="259"/>
      <c r="D272" s="77"/>
      <c r="E272" s="77"/>
    </row>
    <row r="273" spans="1:5" x14ac:dyDescent="0.2">
      <c r="A273" s="345">
        <v>35826</v>
      </c>
      <c r="B273" s="253"/>
      <c r="C273" s="259"/>
      <c r="D273" s="77"/>
      <c r="E273" s="77"/>
    </row>
    <row r="274" spans="1:5" x14ac:dyDescent="0.2">
      <c r="A274" s="345">
        <v>35854</v>
      </c>
      <c r="B274" s="253"/>
      <c r="C274" s="259"/>
      <c r="D274" s="77"/>
      <c r="E274" s="77"/>
    </row>
    <row r="275" spans="1:5" x14ac:dyDescent="0.2">
      <c r="A275" s="345">
        <v>35885</v>
      </c>
      <c r="B275" s="253"/>
      <c r="C275" s="259"/>
      <c r="D275" s="77"/>
      <c r="E275" s="77"/>
    </row>
    <row r="276" spans="1:5" x14ac:dyDescent="0.2">
      <c r="A276" s="345">
        <v>35915</v>
      </c>
      <c r="B276" s="253"/>
      <c r="C276" s="259"/>
      <c r="D276" s="77"/>
      <c r="E276" s="77"/>
    </row>
    <row r="277" spans="1:5" x14ac:dyDescent="0.2">
      <c r="A277" s="345">
        <v>35946</v>
      </c>
      <c r="B277" s="253"/>
      <c r="C277" s="259"/>
      <c r="D277" s="77"/>
      <c r="E277" s="77"/>
    </row>
    <row r="278" spans="1:5" x14ac:dyDescent="0.2">
      <c r="A278" s="345">
        <v>35976</v>
      </c>
      <c r="B278" s="253"/>
      <c r="C278" s="259"/>
      <c r="D278" s="77"/>
      <c r="E278" s="77"/>
    </row>
    <row r="279" spans="1:5" x14ac:dyDescent="0.2">
      <c r="A279" s="345">
        <v>36007</v>
      </c>
      <c r="B279" s="253"/>
      <c r="C279" s="259"/>
      <c r="D279" s="77"/>
      <c r="E279" s="77"/>
    </row>
    <row r="280" spans="1:5" x14ac:dyDescent="0.2">
      <c r="A280" s="345">
        <v>36038</v>
      </c>
      <c r="B280" s="253"/>
      <c r="C280" s="259"/>
      <c r="D280" s="77"/>
      <c r="E280" s="77"/>
    </row>
    <row r="281" spans="1:5" x14ac:dyDescent="0.2">
      <c r="A281" s="345">
        <v>36068</v>
      </c>
      <c r="B281" s="253"/>
      <c r="C281" s="259"/>
      <c r="D281" s="77"/>
      <c r="E281" s="77"/>
    </row>
    <row r="282" spans="1:5" x14ac:dyDescent="0.2">
      <c r="A282" s="345">
        <v>36099</v>
      </c>
      <c r="B282" s="253"/>
      <c r="C282" s="259"/>
      <c r="D282" s="77"/>
      <c r="E282" s="77"/>
    </row>
    <row r="283" spans="1:5" x14ac:dyDescent="0.2">
      <c r="A283" s="345">
        <v>36129</v>
      </c>
      <c r="B283" s="253"/>
      <c r="C283" s="259"/>
      <c r="D283" s="77"/>
      <c r="E283" s="77"/>
    </row>
    <row r="284" spans="1:5" x14ac:dyDescent="0.2">
      <c r="A284" s="345">
        <v>36160</v>
      </c>
      <c r="B284" s="253"/>
      <c r="C284" s="33"/>
      <c r="D284" s="253"/>
      <c r="E284" s="253"/>
    </row>
    <row r="285" spans="1:5" x14ac:dyDescent="0.2">
      <c r="A285" s="345">
        <v>36191</v>
      </c>
      <c r="B285" s="253"/>
      <c r="C285" s="33"/>
      <c r="D285" s="253"/>
      <c r="E285" s="253"/>
    </row>
    <row r="286" spans="1:5" x14ac:dyDescent="0.2">
      <c r="A286" s="345">
        <v>36219</v>
      </c>
      <c r="B286" s="253"/>
      <c r="C286" s="33"/>
      <c r="D286" s="253"/>
      <c r="E286" s="253"/>
    </row>
    <row r="287" spans="1:5" x14ac:dyDescent="0.2">
      <c r="A287" s="345">
        <v>36250</v>
      </c>
      <c r="B287" s="253"/>
      <c r="C287" s="33"/>
      <c r="D287" s="253"/>
      <c r="E287" s="253"/>
    </row>
    <row r="288" spans="1:5" x14ac:dyDescent="0.2">
      <c r="A288" s="345">
        <v>36280</v>
      </c>
      <c r="B288" s="253"/>
      <c r="C288" s="33"/>
      <c r="D288" s="253"/>
      <c r="E288" s="253"/>
    </row>
    <row r="289" spans="1:5" x14ac:dyDescent="0.2">
      <c r="A289" s="345">
        <v>36311</v>
      </c>
      <c r="B289" s="253"/>
      <c r="C289" s="33"/>
      <c r="D289" s="253"/>
      <c r="E289" s="253"/>
    </row>
    <row r="290" spans="1:5" x14ac:dyDescent="0.2">
      <c r="A290" s="345">
        <v>36341</v>
      </c>
      <c r="B290" s="253"/>
      <c r="C290" s="33"/>
      <c r="D290" s="253"/>
      <c r="E290" s="253"/>
    </row>
    <row r="291" spans="1:5" x14ac:dyDescent="0.2">
      <c r="A291" s="345">
        <v>36372</v>
      </c>
      <c r="B291" s="253"/>
      <c r="C291" s="33"/>
      <c r="D291" s="253"/>
      <c r="E291" s="253"/>
    </row>
    <row r="292" spans="1:5" x14ac:dyDescent="0.2">
      <c r="A292" s="345">
        <v>36403</v>
      </c>
      <c r="B292" s="253"/>
      <c r="C292" s="33"/>
      <c r="D292" s="253"/>
      <c r="E292" s="253"/>
    </row>
    <row r="293" spans="1:5" x14ac:dyDescent="0.2">
      <c r="A293" s="345">
        <v>36433</v>
      </c>
      <c r="B293" s="253"/>
      <c r="C293" s="33"/>
      <c r="D293" s="253"/>
      <c r="E293" s="253"/>
    </row>
    <row r="294" spans="1:5" x14ac:dyDescent="0.2">
      <c r="A294" s="345">
        <v>36464</v>
      </c>
      <c r="B294" s="253"/>
      <c r="C294" s="33"/>
      <c r="D294" s="253"/>
      <c r="E294" s="253"/>
    </row>
    <row r="295" spans="1:5" x14ac:dyDescent="0.2">
      <c r="A295" s="345">
        <v>36494</v>
      </c>
      <c r="B295" s="253"/>
      <c r="C295" s="33"/>
      <c r="D295" s="253"/>
      <c r="E295" s="253"/>
    </row>
    <row r="296" spans="1:5" x14ac:dyDescent="0.2">
      <c r="A296" s="345">
        <v>36525</v>
      </c>
      <c r="B296" s="253"/>
      <c r="C296" s="33"/>
      <c r="D296" s="253"/>
      <c r="E296" s="253"/>
    </row>
    <row r="297" spans="1:5" x14ac:dyDescent="0.2">
      <c r="A297" s="345">
        <v>36556</v>
      </c>
      <c r="B297" s="253"/>
      <c r="C297" s="33"/>
      <c r="D297" s="253"/>
      <c r="E297" s="253"/>
    </row>
    <row r="298" spans="1:5" x14ac:dyDescent="0.2">
      <c r="A298" s="345">
        <v>36585</v>
      </c>
      <c r="B298" s="253"/>
      <c r="C298" s="33"/>
      <c r="D298" s="253"/>
      <c r="E298" s="253"/>
    </row>
    <row r="299" spans="1:5" x14ac:dyDescent="0.2">
      <c r="A299" s="345">
        <v>36616</v>
      </c>
      <c r="B299" s="253"/>
      <c r="C299" s="33"/>
      <c r="D299" s="253"/>
      <c r="E299" s="253"/>
    </row>
    <row r="300" spans="1:5" x14ac:dyDescent="0.2">
      <c r="A300" s="345">
        <v>36646</v>
      </c>
      <c r="B300" s="253"/>
      <c r="C300" s="33"/>
      <c r="D300" s="253"/>
      <c r="E300" s="253"/>
    </row>
    <row r="301" spans="1:5" x14ac:dyDescent="0.2">
      <c r="A301" s="345">
        <v>36677</v>
      </c>
      <c r="B301" s="253"/>
      <c r="C301" s="33"/>
      <c r="D301" s="253"/>
      <c r="E301" s="253"/>
    </row>
    <row r="302" spans="1:5" x14ac:dyDescent="0.2">
      <c r="A302" s="345">
        <v>36707</v>
      </c>
      <c r="B302" s="253"/>
      <c r="C302" s="33"/>
      <c r="D302" s="253"/>
      <c r="E302" s="253"/>
    </row>
    <row r="303" spans="1:5" x14ac:dyDescent="0.2">
      <c r="A303" s="345">
        <v>36738</v>
      </c>
      <c r="B303" s="253"/>
      <c r="C303" s="33"/>
      <c r="D303" s="253"/>
      <c r="E303" s="253"/>
    </row>
    <row r="304" spans="1:5" x14ac:dyDescent="0.2">
      <c r="A304" s="345">
        <v>36769</v>
      </c>
      <c r="B304" s="253"/>
      <c r="C304" s="33"/>
      <c r="D304" s="253"/>
      <c r="E304" s="253"/>
    </row>
    <row r="305" spans="1:5" x14ac:dyDescent="0.2">
      <c r="A305" s="345">
        <v>36799</v>
      </c>
      <c r="B305" s="253"/>
      <c r="C305" s="33"/>
      <c r="D305" s="253"/>
      <c r="E305" s="253"/>
    </row>
    <row r="306" spans="1:5" x14ac:dyDescent="0.2">
      <c r="A306" s="345">
        <v>36830</v>
      </c>
      <c r="B306" s="253"/>
      <c r="C306" s="33"/>
      <c r="D306" s="253"/>
      <c r="E306" s="253"/>
    </row>
    <row r="307" spans="1:5" x14ac:dyDescent="0.2">
      <c r="A307" s="345">
        <v>36860</v>
      </c>
      <c r="B307" s="253"/>
      <c r="C307" s="33"/>
      <c r="D307" s="253"/>
      <c r="E307" s="253"/>
    </row>
    <row r="308" spans="1:5" x14ac:dyDescent="0.2">
      <c r="A308" s="345">
        <v>36891</v>
      </c>
      <c r="B308" s="253"/>
      <c r="C308" s="33"/>
      <c r="D308" s="253"/>
      <c r="E308" s="253"/>
    </row>
    <row r="309" spans="1:5" x14ac:dyDescent="0.2">
      <c r="A309" s="345">
        <v>36922</v>
      </c>
      <c r="B309" s="253"/>
      <c r="C309" s="33"/>
      <c r="D309" s="253"/>
      <c r="E309" s="253"/>
    </row>
    <row r="310" spans="1:5" x14ac:dyDescent="0.2">
      <c r="A310" s="345">
        <v>36950</v>
      </c>
      <c r="B310" s="253"/>
      <c r="C310" s="33"/>
      <c r="D310" s="253"/>
      <c r="E310" s="253"/>
    </row>
    <row r="311" spans="1:5" x14ac:dyDescent="0.2">
      <c r="A311" s="345">
        <v>36981</v>
      </c>
      <c r="B311" s="253"/>
      <c r="C311" s="33"/>
      <c r="D311" s="253"/>
      <c r="E311" s="253"/>
    </row>
    <row r="312" spans="1:5" x14ac:dyDescent="0.2">
      <c r="A312" s="345">
        <v>37011</v>
      </c>
      <c r="B312" s="253"/>
      <c r="C312" s="33"/>
      <c r="D312" s="253"/>
      <c r="E312" s="253"/>
    </row>
    <row r="313" spans="1:5" x14ac:dyDescent="0.2">
      <c r="A313" s="345">
        <v>37042</v>
      </c>
      <c r="B313" s="253"/>
      <c r="C313" s="33"/>
      <c r="D313" s="253"/>
      <c r="E313" s="253"/>
    </row>
    <row r="314" spans="1:5" x14ac:dyDescent="0.2">
      <c r="A314" s="345">
        <v>37072</v>
      </c>
      <c r="B314" s="253"/>
      <c r="C314" s="33"/>
      <c r="D314" s="253"/>
      <c r="E314" s="253"/>
    </row>
    <row r="315" spans="1:5" x14ac:dyDescent="0.2">
      <c r="A315" s="345">
        <v>37103</v>
      </c>
      <c r="B315" s="253"/>
      <c r="C315" s="33"/>
      <c r="D315" s="253"/>
      <c r="E315" s="253"/>
    </row>
    <row r="316" spans="1:5" x14ac:dyDescent="0.2">
      <c r="A316" s="345">
        <v>37134</v>
      </c>
      <c r="B316" s="253"/>
      <c r="C316" s="33"/>
      <c r="D316" s="253"/>
      <c r="E316" s="253"/>
    </row>
    <row r="317" spans="1:5" x14ac:dyDescent="0.2">
      <c r="A317" s="345">
        <v>37164</v>
      </c>
      <c r="B317" s="253"/>
      <c r="C317" s="33"/>
      <c r="D317" s="253"/>
      <c r="E317" s="253"/>
    </row>
    <row r="318" spans="1:5" x14ac:dyDescent="0.2">
      <c r="A318" s="345">
        <v>37195</v>
      </c>
      <c r="B318" s="253"/>
      <c r="C318" s="33"/>
      <c r="D318" s="253"/>
      <c r="E318" s="253"/>
    </row>
    <row r="319" spans="1:5" x14ac:dyDescent="0.2">
      <c r="A319" s="345">
        <v>37225</v>
      </c>
      <c r="B319" s="253"/>
      <c r="C319" s="33"/>
      <c r="D319" s="253"/>
      <c r="E319" s="253"/>
    </row>
    <row r="320" spans="1:5" x14ac:dyDescent="0.2">
      <c r="A320" s="345">
        <v>37256</v>
      </c>
      <c r="B320" s="253"/>
      <c r="C320" s="33"/>
      <c r="D320" s="253"/>
      <c r="E320" s="253"/>
    </row>
    <row r="321" spans="1:5" x14ac:dyDescent="0.2">
      <c r="A321" s="345">
        <v>37287</v>
      </c>
      <c r="B321" s="253"/>
      <c r="C321" s="33"/>
      <c r="D321" s="253"/>
      <c r="E321" s="253"/>
    </row>
    <row r="322" spans="1:5" x14ac:dyDescent="0.2">
      <c r="A322" s="345">
        <v>37315</v>
      </c>
      <c r="B322" s="253"/>
      <c r="C322" s="33"/>
      <c r="D322" s="253"/>
      <c r="E322" s="253"/>
    </row>
    <row r="323" spans="1:5" x14ac:dyDescent="0.2">
      <c r="A323" s="345">
        <v>37346</v>
      </c>
      <c r="B323" s="253"/>
      <c r="C323" s="33"/>
      <c r="D323" s="253"/>
      <c r="E323" s="253"/>
    </row>
    <row r="324" spans="1:5" x14ac:dyDescent="0.2">
      <c r="A324" s="345">
        <v>37376</v>
      </c>
      <c r="B324" s="253"/>
      <c r="C324" s="33"/>
      <c r="D324" s="253"/>
      <c r="E324" s="253"/>
    </row>
    <row r="325" spans="1:5" x14ac:dyDescent="0.2">
      <c r="A325" s="345">
        <v>37407</v>
      </c>
      <c r="B325" s="253"/>
      <c r="C325" s="33"/>
      <c r="D325" s="253"/>
      <c r="E325" s="253"/>
    </row>
    <row r="326" spans="1:5" x14ac:dyDescent="0.2">
      <c r="A326" s="345">
        <v>37437</v>
      </c>
      <c r="B326" s="253"/>
      <c r="C326" s="33"/>
      <c r="D326" s="253"/>
      <c r="E326" s="253"/>
    </row>
    <row r="327" spans="1:5" x14ac:dyDescent="0.2">
      <c r="A327" s="345">
        <v>37468</v>
      </c>
      <c r="B327" s="253"/>
      <c r="C327" s="33"/>
      <c r="D327" s="253"/>
      <c r="E327" s="253"/>
    </row>
    <row r="328" spans="1:5" x14ac:dyDescent="0.2">
      <c r="A328" s="345">
        <v>37499</v>
      </c>
      <c r="B328" s="253"/>
      <c r="C328" s="33"/>
      <c r="D328" s="253"/>
      <c r="E328" s="253"/>
    </row>
    <row r="329" spans="1:5" x14ac:dyDescent="0.2">
      <c r="A329" s="345">
        <v>37529</v>
      </c>
      <c r="B329" s="253"/>
      <c r="C329" s="33"/>
      <c r="D329" s="253"/>
      <c r="E329" s="253"/>
    </row>
    <row r="330" spans="1:5" x14ac:dyDescent="0.2">
      <c r="A330" s="345">
        <v>37560</v>
      </c>
      <c r="B330" s="253"/>
      <c r="C330" s="33"/>
      <c r="D330" s="253"/>
      <c r="E330" s="253"/>
    </row>
    <row r="331" spans="1:5" x14ac:dyDescent="0.2">
      <c r="A331" s="345">
        <v>37590</v>
      </c>
      <c r="B331" s="253"/>
      <c r="C331" s="33"/>
      <c r="D331" s="253"/>
      <c r="E331" s="253"/>
    </row>
    <row r="332" spans="1:5" x14ac:dyDescent="0.2">
      <c r="A332" s="345">
        <v>37621</v>
      </c>
      <c r="B332" s="253"/>
      <c r="C332" s="33"/>
      <c r="D332" s="253"/>
      <c r="E332" s="253"/>
    </row>
    <row r="333" spans="1:5" x14ac:dyDescent="0.2">
      <c r="A333" s="345">
        <v>37652</v>
      </c>
      <c r="B333" s="253"/>
      <c r="C333" s="33"/>
      <c r="D333" s="253"/>
      <c r="E333" s="253"/>
    </row>
    <row r="334" spans="1:5" x14ac:dyDescent="0.2">
      <c r="A334" s="345">
        <v>37680</v>
      </c>
      <c r="B334" s="253"/>
      <c r="C334" s="33"/>
      <c r="D334" s="253"/>
      <c r="E334" s="253"/>
    </row>
    <row r="335" spans="1:5" x14ac:dyDescent="0.2">
      <c r="A335" s="345">
        <v>37711</v>
      </c>
      <c r="B335" s="253"/>
      <c r="C335" s="33"/>
      <c r="D335" s="253"/>
      <c r="E335" s="253"/>
    </row>
    <row r="336" spans="1:5" x14ac:dyDescent="0.2">
      <c r="A336" s="345">
        <v>37741</v>
      </c>
      <c r="B336" s="253"/>
      <c r="C336" s="33"/>
      <c r="D336" s="253"/>
      <c r="E336" s="253"/>
    </row>
    <row r="337" spans="1:9" x14ac:dyDescent="0.2">
      <c r="A337" s="345">
        <v>37772</v>
      </c>
      <c r="B337" s="253"/>
      <c r="C337" s="33"/>
      <c r="D337" s="253"/>
      <c r="E337" s="253"/>
    </row>
    <row r="338" spans="1:9" x14ac:dyDescent="0.2">
      <c r="A338" s="345">
        <v>37802</v>
      </c>
      <c r="B338" s="253"/>
      <c r="C338" s="33"/>
      <c r="D338" s="253"/>
      <c r="E338" s="253"/>
    </row>
    <row r="339" spans="1:9" x14ac:dyDescent="0.2">
      <c r="A339" s="345">
        <v>37833</v>
      </c>
      <c r="B339" s="253"/>
      <c r="C339" s="33"/>
      <c r="D339" s="253"/>
      <c r="E339" s="253"/>
    </row>
    <row r="340" spans="1:9" x14ac:dyDescent="0.2">
      <c r="A340" s="345">
        <v>37864</v>
      </c>
      <c r="B340" s="253"/>
      <c r="C340" s="33"/>
      <c r="D340" s="253"/>
      <c r="E340" s="253"/>
    </row>
    <row r="341" spans="1:9" x14ac:dyDescent="0.2">
      <c r="A341" s="345">
        <v>37894</v>
      </c>
      <c r="B341" s="253"/>
      <c r="C341" s="34"/>
      <c r="D341" s="253"/>
      <c r="E341" s="253"/>
    </row>
    <row r="342" spans="1:9" x14ac:dyDescent="0.2">
      <c r="A342" s="345">
        <v>37925</v>
      </c>
      <c r="B342" s="253"/>
      <c r="C342" s="34"/>
      <c r="D342" s="253"/>
      <c r="E342" s="253"/>
    </row>
    <row r="343" spans="1:9" x14ac:dyDescent="0.2">
      <c r="A343" s="345">
        <v>37955</v>
      </c>
      <c r="B343" s="253"/>
      <c r="C343" s="34"/>
      <c r="D343" s="253"/>
      <c r="E343" s="253"/>
    </row>
    <row r="344" spans="1:9" x14ac:dyDescent="0.2">
      <c r="A344" s="345">
        <v>37986</v>
      </c>
      <c r="B344" s="253"/>
      <c r="C344" s="34"/>
      <c r="D344" s="253"/>
      <c r="E344" s="253"/>
    </row>
    <row r="345" spans="1:9" x14ac:dyDescent="0.2">
      <c r="A345" s="345">
        <v>38017</v>
      </c>
      <c r="B345" s="253"/>
      <c r="C345" s="34"/>
      <c r="D345" s="253"/>
      <c r="E345" s="253"/>
    </row>
    <row r="346" spans="1:9" x14ac:dyDescent="0.2">
      <c r="A346" s="345">
        <v>38046</v>
      </c>
      <c r="B346" s="253"/>
      <c r="C346" s="34"/>
      <c r="D346" s="253"/>
      <c r="E346" s="253"/>
    </row>
    <row r="347" spans="1:9" x14ac:dyDescent="0.2">
      <c r="A347" s="345">
        <v>38077</v>
      </c>
      <c r="B347" s="253"/>
      <c r="C347" s="34"/>
      <c r="D347" s="255"/>
      <c r="E347" s="253"/>
    </row>
    <row r="348" spans="1:9" x14ac:dyDescent="0.2">
      <c r="A348" s="345">
        <v>38107</v>
      </c>
      <c r="B348" s="253"/>
      <c r="C348" s="34"/>
      <c r="D348" s="253"/>
      <c r="E348" s="253"/>
      <c r="I348" s="14"/>
    </row>
    <row r="349" spans="1:9" x14ac:dyDescent="0.2">
      <c r="A349" s="345">
        <v>38138</v>
      </c>
      <c r="B349" s="253"/>
      <c r="C349" s="34"/>
      <c r="D349" s="253"/>
      <c r="E349" s="253"/>
      <c r="I349" s="14"/>
    </row>
    <row r="350" spans="1:9" x14ac:dyDescent="0.2">
      <c r="A350" s="345">
        <v>38168</v>
      </c>
      <c r="B350" s="253"/>
      <c r="C350" s="34"/>
      <c r="D350" s="253"/>
      <c r="E350" s="253"/>
      <c r="I350" s="14"/>
    </row>
    <row r="351" spans="1:9" x14ac:dyDescent="0.2">
      <c r="A351" s="345">
        <v>38199</v>
      </c>
      <c r="B351" s="253"/>
      <c r="C351" s="34"/>
      <c r="D351" s="253"/>
      <c r="E351" s="253"/>
    </row>
    <row r="352" spans="1:9" x14ac:dyDescent="0.2">
      <c r="A352" s="345">
        <v>38230</v>
      </c>
      <c r="B352" s="253"/>
      <c r="C352" s="34"/>
      <c r="D352" s="253"/>
      <c r="E352" s="253"/>
    </row>
    <row r="353" spans="1:7" x14ac:dyDescent="0.2">
      <c r="A353" s="345">
        <v>38260</v>
      </c>
      <c r="B353" s="253"/>
      <c r="C353" s="34"/>
      <c r="D353" s="253"/>
      <c r="E353" s="253"/>
    </row>
    <row r="354" spans="1:7" x14ac:dyDescent="0.2">
      <c r="A354" s="345">
        <v>38291</v>
      </c>
      <c r="B354" s="253"/>
      <c r="C354" s="34"/>
      <c r="D354" s="253"/>
      <c r="E354" s="253"/>
    </row>
    <row r="355" spans="1:7" x14ac:dyDescent="0.2">
      <c r="A355" s="345">
        <v>38321</v>
      </c>
      <c r="B355" s="253"/>
      <c r="C355" s="34"/>
      <c r="D355" s="253"/>
      <c r="E355" s="253"/>
    </row>
    <row r="356" spans="1:7" x14ac:dyDescent="0.2">
      <c r="A356" s="345">
        <v>38352</v>
      </c>
      <c r="B356" s="253"/>
      <c r="C356" s="256"/>
      <c r="D356" s="253"/>
      <c r="E356" s="253"/>
    </row>
    <row r="357" spans="1:7" x14ac:dyDescent="0.2">
      <c r="A357" s="345">
        <v>38383</v>
      </c>
      <c r="B357" s="253"/>
      <c r="C357" s="34"/>
      <c r="D357" s="253"/>
      <c r="E357" s="253"/>
    </row>
    <row r="358" spans="1:7" x14ac:dyDescent="0.2">
      <c r="A358" s="345">
        <v>38411</v>
      </c>
      <c r="B358" s="253"/>
      <c r="C358" s="34"/>
      <c r="D358" s="253"/>
      <c r="E358" s="253"/>
    </row>
    <row r="359" spans="1:7" x14ac:dyDescent="0.2">
      <c r="A359" s="345">
        <v>38442</v>
      </c>
      <c r="B359" s="253"/>
      <c r="C359" s="256"/>
      <c r="D359" s="253"/>
      <c r="E359" s="253"/>
    </row>
    <row r="360" spans="1:7" x14ac:dyDescent="0.2">
      <c r="A360" s="345">
        <v>38472</v>
      </c>
      <c r="B360" s="253"/>
      <c r="C360" s="256"/>
      <c r="D360" s="253"/>
      <c r="E360" s="253"/>
    </row>
    <row r="361" spans="1:7" x14ac:dyDescent="0.2">
      <c r="A361" s="345">
        <v>38503</v>
      </c>
      <c r="B361" s="253"/>
      <c r="C361" s="256"/>
      <c r="D361" s="253"/>
      <c r="E361" s="253"/>
    </row>
    <row r="362" spans="1:7" x14ac:dyDescent="0.2">
      <c r="A362" s="345">
        <v>38533</v>
      </c>
      <c r="B362" s="253"/>
      <c r="C362" s="256"/>
      <c r="D362" s="253"/>
      <c r="E362" s="253"/>
    </row>
    <row r="363" spans="1:7" x14ac:dyDescent="0.2">
      <c r="A363" s="345">
        <v>38564</v>
      </c>
      <c r="B363" s="253"/>
      <c r="C363" s="256"/>
      <c r="D363" s="253"/>
      <c r="E363" s="253"/>
    </row>
    <row r="364" spans="1:7" x14ac:dyDescent="0.2">
      <c r="A364" s="345">
        <v>38595</v>
      </c>
      <c r="B364" s="253"/>
      <c r="C364" s="256"/>
      <c r="D364" s="253"/>
      <c r="E364" s="253"/>
    </row>
    <row r="365" spans="1:7" x14ac:dyDescent="0.2">
      <c r="A365" s="345">
        <v>38625</v>
      </c>
      <c r="B365" s="253"/>
      <c r="C365" s="256"/>
      <c r="D365" s="253"/>
      <c r="E365" s="253"/>
    </row>
    <row r="366" spans="1:7" x14ac:dyDescent="0.2">
      <c r="A366" s="345">
        <v>38656</v>
      </c>
      <c r="B366" s="253"/>
      <c r="C366" s="256"/>
      <c r="D366" s="253"/>
      <c r="E366" s="253"/>
    </row>
    <row r="367" spans="1:7" x14ac:dyDescent="0.2">
      <c r="A367" s="345">
        <v>38686</v>
      </c>
      <c r="B367" s="253"/>
      <c r="C367" s="256"/>
      <c r="D367" s="253"/>
      <c r="E367" s="253"/>
      <c r="G367" s="779"/>
    </row>
    <row r="368" spans="1:7" x14ac:dyDescent="0.2">
      <c r="A368" s="345">
        <v>38717</v>
      </c>
      <c r="B368" s="253"/>
      <c r="C368" s="256"/>
      <c r="D368" s="253"/>
      <c r="E368" s="253"/>
    </row>
    <row r="369" spans="1:7" x14ac:dyDescent="0.2">
      <c r="A369" s="345">
        <v>38748</v>
      </c>
      <c r="B369" s="253"/>
      <c r="C369" s="256"/>
      <c r="D369" s="253"/>
      <c r="E369" s="253"/>
    </row>
    <row r="370" spans="1:7" x14ac:dyDescent="0.2">
      <c r="A370" s="345">
        <v>38776</v>
      </c>
      <c r="B370" s="253"/>
      <c r="C370" s="256"/>
      <c r="D370" s="253"/>
      <c r="E370" s="253"/>
    </row>
    <row r="371" spans="1:7" x14ac:dyDescent="0.2">
      <c r="A371" s="345">
        <v>38807</v>
      </c>
      <c r="B371" s="253"/>
      <c r="C371" s="33"/>
      <c r="D371" s="253"/>
      <c r="E371" s="253"/>
    </row>
    <row r="372" spans="1:7" x14ac:dyDescent="0.2">
      <c r="A372" s="345">
        <v>38837</v>
      </c>
      <c r="B372" s="253"/>
      <c r="C372" s="33"/>
      <c r="D372" s="253"/>
      <c r="E372" s="253"/>
    </row>
    <row r="373" spans="1:7" x14ac:dyDescent="0.2">
      <c r="A373" s="345">
        <v>38868</v>
      </c>
      <c r="B373" s="253"/>
      <c r="C373" s="33"/>
      <c r="D373" s="253"/>
      <c r="E373" s="253"/>
    </row>
    <row r="374" spans="1:7" x14ac:dyDescent="0.2">
      <c r="A374" s="345">
        <v>38898</v>
      </c>
      <c r="B374" s="76"/>
      <c r="C374" s="354"/>
      <c r="D374" s="253"/>
      <c r="E374" s="253"/>
    </row>
    <row r="375" spans="1:7" x14ac:dyDescent="0.2">
      <c r="A375" s="345">
        <v>38929</v>
      </c>
      <c r="B375" s="253"/>
      <c r="C375" s="34"/>
      <c r="D375" s="253"/>
      <c r="E375" s="253"/>
      <c r="F375" s="564"/>
    </row>
    <row r="376" spans="1:7" x14ac:dyDescent="0.2">
      <c r="A376" s="345">
        <v>38960</v>
      </c>
      <c r="B376" s="253"/>
      <c r="C376" s="34"/>
      <c r="D376" s="253"/>
      <c r="E376" s="253"/>
      <c r="F376" s="564"/>
    </row>
    <row r="377" spans="1:7" x14ac:dyDescent="0.2">
      <c r="A377" s="345">
        <v>38990</v>
      </c>
      <c r="B377" s="253"/>
      <c r="C377" s="34"/>
      <c r="D377" s="253"/>
      <c r="E377" s="253"/>
      <c r="F377" s="564"/>
    </row>
    <row r="378" spans="1:7" x14ac:dyDescent="0.2">
      <c r="A378" s="345">
        <v>39021</v>
      </c>
      <c r="B378" s="253"/>
      <c r="C378" s="34"/>
      <c r="D378" s="253"/>
      <c r="E378" s="253"/>
      <c r="F378" s="333"/>
    </row>
    <row r="379" spans="1:7" x14ac:dyDescent="0.2">
      <c r="A379" s="345">
        <v>39051</v>
      </c>
      <c r="B379" s="253"/>
      <c r="C379" s="34"/>
      <c r="D379" s="253"/>
      <c r="E379" s="253"/>
      <c r="F379" s="352"/>
    </row>
    <row r="380" spans="1:7" x14ac:dyDescent="0.2">
      <c r="A380" s="345">
        <v>39082</v>
      </c>
      <c r="B380" s="253"/>
      <c r="C380" s="34"/>
      <c r="D380" s="253"/>
      <c r="E380" s="253"/>
      <c r="F380" s="352"/>
    </row>
    <row r="381" spans="1:7" x14ac:dyDescent="0.2">
      <c r="A381" s="345">
        <v>39113</v>
      </c>
      <c r="B381" s="253"/>
      <c r="E381" s="253"/>
      <c r="F381" s="352"/>
    </row>
    <row r="382" spans="1:7" x14ac:dyDescent="0.2">
      <c r="A382" s="345">
        <v>39141</v>
      </c>
      <c r="B382" s="253"/>
      <c r="E382" s="253"/>
      <c r="F382" s="352"/>
    </row>
    <row r="383" spans="1:7" x14ac:dyDescent="0.2">
      <c r="A383" s="345">
        <v>39172</v>
      </c>
      <c r="B383" s="253"/>
      <c r="E383" s="253"/>
      <c r="F383" s="116"/>
      <c r="G383" s="116"/>
    </row>
    <row r="384" spans="1:7" x14ac:dyDescent="0.2">
      <c r="A384" s="345">
        <v>39202</v>
      </c>
      <c r="B384" s="14"/>
      <c r="C384" s="8"/>
      <c r="E384" s="253"/>
      <c r="G384" s="762"/>
    </row>
    <row r="385" spans="1:11" x14ac:dyDescent="0.2">
      <c r="A385" s="345">
        <v>39233</v>
      </c>
      <c r="B385" s="14"/>
      <c r="C385" s="8"/>
      <c r="E385" s="253"/>
      <c r="F385" s="333"/>
    </row>
    <row r="386" spans="1:11" x14ac:dyDescent="0.2">
      <c r="A386" s="345">
        <v>39263</v>
      </c>
      <c r="B386" s="14"/>
      <c r="C386" s="8"/>
      <c r="E386" s="253"/>
    </row>
    <row r="387" spans="1:11" x14ac:dyDescent="0.2">
      <c r="A387" s="345">
        <v>39294</v>
      </c>
      <c r="B387" s="253"/>
      <c r="E387" s="253"/>
      <c r="I387" s="352"/>
      <c r="J387" s="325"/>
      <c r="K387" s="352"/>
    </row>
    <row r="388" spans="1:11" x14ac:dyDescent="0.2">
      <c r="A388" s="345">
        <v>39325</v>
      </c>
      <c r="B388" s="253"/>
      <c r="E388" s="253"/>
      <c r="I388" s="352"/>
      <c r="J388" s="325"/>
      <c r="K388" s="352"/>
    </row>
    <row r="389" spans="1:11" x14ac:dyDescent="0.2">
      <c r="A389" s="345">
        <v>39355</v>
      </c>
      <c r="B389" s="253"/>
      <c r="E389" s="253"/>
      <c r="I389" s="352"/>
      <c r="J389" s="325"/>
      <c r="K389" s="352"/>
    </row>
    <row r="390" spans="1:11" x14ac:dyDescent="0.2">
      <c r="A390" s="345">
        <v>39386</v>
      </c>
      <c r="B390" s="253"/>
      <c r="E390" s="253"/>
      <c r="K390" s="325"/>
    </row>
    <row r="391" spans="1:11" x14ac:dyDescent="0.2">
      <c r="A391" s="345">
        <v>39416</v>
      </c>
      <c r="B391" s="253"/>
      <c r="E391" s="253"/>
    </row>
    <row r="392" spans="1:11" x14ac:dyDescent="0.2">
      <c r="A392" s="345">
        <v>39447</v>
      </c>
      <c r="B392" s="253"/>
      <c r="E392" s="253"/>
    </row>
    <row r="393" spans="1:11" x14ac:dyDescent="0.2">
      <c r="A393" s="345">
        <v>39478</v>
      </c>
      <c r="B393" s="253"/>
      <c r="E393" s="253"/>
    </row>
    <row r="394" spans="1:11" x14ac:dyDescent="0.2">
      <c r="A394" s="345">
        <v>39507</v>
      </c>
      <c r="B394" s="253"/>
      <c r="E394" s="253"/>
      <c r="F394" s="762"/>
    </row>
    <row r="395" spans="1:11" x14ac:dyDescent="0.2">
      <c r="A395" s="345">
        <v>39538</v>
      </c>
      <c r="B395" s="253"/>
      <c r="E395" s="253"/>
    </row>
    <row r="396" spans="1:11" x14ac:dyDescent="0.2">
      <c r="A396" s="345">
        <v>39568</v>
      </c>
      <c r="B396" s="253"/>
      <c r="E396" s="253"/>
    </row>
    <row r="397" spans="1:11" x14ac:dyDescent="0.2">
      <c r="A397" s="345">
        <v>39599</v>
      </c>
      <c r="B397" s="253"/>
      <c r="E397" s="253"/>
    </row>
    <row r="398" spans="1:11" x14ac:dyDescent="0.2">
      <c r="A398" s="345">
        <v>39629</v>
      </c>
      <c r="B398" s="1369"/>
      <c r="E398" s="253"/>
      <c r="G398" s="1210"/>
      <c r="H398" s="1211"/>
    </row>
    <row r="399" spans="1:11" x14ac:dyDescent="0.2">
      <c r="A399" s="345">
        <v>39660</v>
      </c>
      <c r="B399" s="1369"/>
      <c r="C399" s="33"/>
      <c r="E399" s="253"/>
      <c r="G399" s="1210"/>
      <c r="H399" s="1211"/>
    </row>
    <row r="400" spans="1:11" x14ac:dyDescent="0.2">
      <c r="A400" s="345">
        <v>39691</v>
      </c>
      <c r="B400" s="1369"/>
      <c r="C400" s="33"/>
      <c r="E400" s="253"/>
      <c r="G400" s="1210"/>
      <c r="H400" s="1211"/>
    </row>
    <row r="401" spans="1:6" x14ac:dyDescent="0.2">
      <c r="A401" s="345">
        <v>39721</v>
      </c>
      <c r="B401" s="1369"/>
      <c r="C401" s="33"/>
      <c r="E401" s="253"/>
    </row>
    <row r="402" spans="1:6" x14ac:dyDescent="0.2">
      <c r="A402" s="345">
        <v>39752</v>
      </c>
      <c r="B402" s="1369"/>
      <c r="E402" s="253"/>
    </row>
    <row r="403" spans="1:6" x14ac:dyDescent="0.2">
      <c r="A403" s="345">
        <v>39782</v>
      </c>
      <c r="B403" s="1369"/>
      <c r="E403" s="253"/>
    </row>
    <row r="404" spans="1:6" x14ac:dyDescent="0.2">
      <c r="A404" s="345">
        <v>39813</v>
      </c>
      <c r="B404" s="1369"/>
      <c r="E404" s="253"/>
      <c r="F404" s="116"/>
    </row>
    <row r="405" spans="1:6" x14ac:dyDescent="0.2">
      <c r="A405" s="345">
        <v>39844</v>
      </c>
      <c r="B405" s="1369"/>
      <c r="E405" s="253"/>
    </row>
    <row r="406" spans="1:6" x14ac:dyDescent="0.2">
      <c r="A406" s="345">
        <v>39872</v>
      </c>
      <c r="B406" s="1369"/>
      <c r="E406" s="253"/>
    </row>
    <row r="407" spans="1:6" x14ac:dyDescent="0.2">
      <c r="A407" s="345">
        <v>39903</v>
      </c>
      <c r="B407" s="1369"/>
      <c r="E407" s="253"/>
    </row>
    <row r="408" spans="1:6" x14ac:dyDescent="0.2">
      <c r="A408" s="345">
        <v>39933</v>
      </c>
      <c r="B408" s="1369"/>
      <c r="E408" s="253"/>
    </row>
    <row r="409" spans="1:6" x14ac:dyDescent="0.2">
      <c r="A409" s="345">
        <v>39964</v>
      </c>
      <c r="B409" s="1369"/>
      <c r="E409" s="253"/>
    </row>
    <row r="410" spans="1:6" x14ac:dyDescent="0.2">
      <c r="A410" s="345">
        <v>39994</v>
      </c>
      <c r="B410" s="1369"/>
      <c r="E410" s="253"/>
    </row>
    <row r="411" spans="1:6" x14ac:dyDescent="0.2">
      <c r="A411" s="345">
        <v>40025</v>
      </c>
      <c r="B411" s="1369"/>
      <c r="E411" s="253"/>
    </row>
    <row r="412" spans="1:6" x14ac:dyDescent="0.2">
      <c r="A412" s="345">
        <v>40056</v>
      </c>
      <c r="B412" s="1369"/>
      <c r="E412" s="253"/>
    </row>
    <row r="413" spans="1:6" x14ac:dyDescent="0.2">
      <c r="A413" s="345">
        <v>40086</v>
      </c>
      <c r="B413" s="1369"/>
      <c r="E413" s="253"/>
    </row>
    <row r="414" spans="1:6" x14ac:dyDescent="0.2">
      <c r="A414" s="345">
        <v>40117</v>
      </c>
      <c r="B414" s="1369"/>
      <c r="E414" s="253"/>
    </row>
    <row r="415" spans="1:6" x14ac:dyDescent="0.2">
      <c r="A415" s="345">
        <v>40147</v>
      </c>
      <c r="B415" s="1369"/>
      <c r="E415" s="253"/>
    </row>
    <row r="416" spans="1:6" x14ac:dyDescent="0.2">
      <c r="A416" s="345">
        <v>40178</v>
      </c>
      <c r="B416" s="1369"/>
      <c r="E416" s="253"/>
    </row>
    <row r="417" spans="1:5" x14ac:dyDescent="0.2">
      <c r="A417" s="345">
        <v>40209</v>
      </c>
      <c r="B417" s="253"/>
      <c r="E417" s="253"/>
    </row>
    <row r="418" spans="1:5" x14ac:dyDescent="0.2">
      <c r="A418" s="345">
        <v>40237</v>
      </c>
      <c r="B418" s="253"/>
      <c r="E418" s="253"/>
    </row>
    <row r="419" spans="1:5" x14ac:dyDescent="0.2">
      <c r="A419" s="345">
        <v>40268</v>
      </c>
      <c r="B419" s="253"/>
      <c r="E419" s="253"/>
    </row>
    <row r="420" spans="1:5" x14ac:dyDescent="0.2">
      <c r="A420" s="345">
        <v>40298</v>
      </c>
      <c r="B420" s="253"/>
      <c r="E420" s="253"/>
    </row>
    <row r="421" spans="1:5" x14ac:dyDescent="0.2">
      <c r="A421" s="345">
        <v>40329</v>
      </c>
      <c r="B421" s="253"/>
      <c r="E421" s="253"/>
    </row>
    <row r="422" spans="1:5" x14ac:dyDescent="0.2">
      <c r="A422" s="345">
        <v>40359</v>
      </c>
      <c r="B422" s="253"/>
      <c r="E422" s="253"/>
    </row>
    <row r="423" spans="1:5" x14ac:dyDescent="0.2">
      <c r="A423" s="345">
        <v>40390</v>
      </c>
      <c r="B423" s="253"/>
      <c r="E423" s="253"/>
    </row>
    <row r="424" spans="1:5" x14ac:dyDescent="0.2">
      <c r="A424" s="345">
        <v>40421</v>
      </c>
      <c r="B424" s="253"/>
      <c r="E424" s="253"/>
    </row>
    <row r="425" spans="1:5" x14ac:dyDescent="0.2">
      <c r="A425" s="345">
        <v>40451</v>
      </c>
      <c r="B425" s="258"/>
      <c r="E425" s="253"/>
    </row>
    <row r="426" spans="1:5" x14ac:dyDescent="0.2">
      <c r="A426" s="345">
        <v>40482</v>
      </c>
      <c r="B426" s="258"/>
      <c r="E426" s="253"/>
    </row>
    <row r="427" spans="1:5" x14ac:dyDescent="0.2">
      <c r="A427" s="345">
        <v>40512</v>
      </c>
      <c r="B427" s="253"/>
      <c r="E427" s="253"/>
    </row>
    <row r="428" spans="1:5" x14ac:dyDescent="0.2">
      <c r="A428" s="345">
        <v>40543</v>
      </c>
      <c r="B428" s="253"/>
      <c r="E428" s="253"/>
    </row>
    <row r="429" spans="1:5" x14ac:dyDescent="0.2">
      <c r="A429" s="345">
        <v>40574</v>
      </c>
      <c r="B429" s="253"/>
      <c r="E429" s="253"/>
    </row>
    <row r="430" spans="1:5" x14ac:dyDescent="0.2">
      <c r="A430" s="345">
        <v>40602</v>
      </c>
      <c r="B430" s="253"/>
      <c r="E430" s="253"/>
    </row>
    <row r="431" spans="1:5" x14ac:dyDescent="0.2">
      <c r="A431" s="345">
        <v>40633</v>
      </c>
      <c r="B431" s="253"/>
      <c r="E431" s="253"/>
    </row>
    <row r="432" spans="1:5" x14ac:dyDescent="0.2">
      <c r="A432" s="345">
        <v>40663</v>
      </c>
      <c r="B432" s="253"/>
      <c r="E432" s="253"/>
    </row>
    <row r="433" spans="1:9" x14ac:dyDescent="0.2">
      <c r="A433" s="345">
        <v>40694</v>
      </c>
      <c r="B433" s="253"/>
      <c r="E433" s="253"/>
    </row>
    <row r="434" spans="1:9" x14ac:dyDescent="0.2">
      <c r="A434" s="345">
        <v>40724</v>
      </c>
      <c r="B434" s="253"/>
      <c r="E434" s="253"/>
    </row>
    <row r="435" spans="1:9" x14ac:dyDescent="0.2">
      <c r="A435" s="345">
        <v>40755</v>
      </c>
      <c r="B435" s="253"/>
      <c r="E435" s="253"/>
    </row>
    <row r="436" spans="1:9" x14ac:dyDescent="0.2">
      <c r="A436" s="345">
        <v>40786</v>
      </c>
      <c r="B436" s="253"/>
      <c r="E436" s="253"/>
    </row>
    <row r="437" spans="1:9" x14ac:dyDescent="0.2">
      <c r="A437" s="345">
        <v>40816</v>
      </c>
      <c r="B437" s="253"/>
      <c r="E437" s="253"/>
    </row>
    <row r="438" spans="1:9" x14ac:dyDescent="0.2">
      <c r="A438" s="345">
        <v>40847</v>
      </c>
      <c r="B438" s="253">
        <f>D438</f>
        <v>6.8906799999999997</v>
      </c>
      <c r="C438" s="346">
        <v>461610985.81</v>
      </c>
      <c r="D438" s="258">
        <v>6.8906799999999997</v>
      </c>
      <c r="E438" s="253">
        <f>B438-Index_Returns!AD438</f>
        <v>-0.63566000000000056</v>
      </c>
      <c r="H438" s="1311"/>
      <c r="I438" s="14"/>
    </row>
    <row r="439" spans="1:9" x14ac:dyDescent="0.2">
      <c r="A439" s="345">
        <v>40877</v>
      </c>
      <c r="B439" s="253">
        <f>D439</f>
        <v>-1.15642</v>
      </c>
      <c r="C439" s="346">
        <v>456272824.12</v>
      </c>
      <c r="D439" s="258">
        <v>-1.15642</v>
      </c>
      <c r="E439" s="253">
        <f>B439-Index_Returns!AD439</f>
        <v>-3.8240000000000052E-2</v>
      </c>
      <c r="H439" s="1311"/>
      <c r="I439" s="14"/>
    </row>
    <row r="440" spans="1:9" x14ac:dyDescent="0.2">
      <c r="A440" s="345">
        <v>40908</v>
      </c>
      <c r="B440" s="253">
        <f>D440</f>
        <v>-1.2160000000000001E-2</v>
      </c>
      <c r="C440" s="346">
        <v>456217345.31</v>
      </c>
      <c r="D440" s="258">
        <v>-1.2160000000000001E-2</v>
      </c>
      <c r="E440" s="253">
        <f>B440-Index_Returns!AD440</f>
        <v>-0.54123999999999994</v>
      </c>
      <c r="H440" s="1311"/>
      <c r="I440" s="14"/>
    </row>
    <row r="441" spans="1:9" x14ac:dyDescent="0.2">
      <c r="A441" s="345">
        <v>40939</v>
      </c>
      <c r="B441" s="253">
        <f t="shared" ref="B441:B488" si="0">D441</f>
        <v>3.8970899999999999</v>
      </c>
      <c r="C441" s="346">
        <v>473996565.22000003</v>
      </c>
      <c r="D441" s="258">
        <v>3.8970899999999999</v>
      </c>
      <c r="E441" s="253">
        <f>B441-Index_Returns!AD441</f>
        <v>0.31932999999999989</v>
      </c>
      <c r="H441" s="1311"/>
      <c r="I441" s="14"/>
    </row>
    <row r="442" spans="1:9" x14ac:dyDescent="0.2">
      <c r="A442" s="345">
        <v>40968</v>
      </c>
      <c r="B442" s="253">
        <f t="shared" si="0"/>
        <v>2.55836</v>
      </c>
      <c r="C442" s="346">
        <v>486123099.05000001</v>
      </c>
      <c r="D442" s="258">
        <v>2.55836</v>
      </c>
      <c r="E442" s="253">
        <f>B442-Index_Returns!AD442</f>
        <v>-0.77437000000000022</v>
      </c>
      <c r="H442" s="1311"/>
      <c r="I442" s="14"/>
    </row>
    <row r="443" spans="1:9" x14ac:dyDescent="0.2">
      <c r="A443" s="345">
        <v>40999</v>
      </c>
      <c r="B443" s="253">
        <f t="shared" si="0"/>
        <v>0.34228999999999998</v>
      </c>
      <c r="C443" s="346">
        <v>488242498.63</v>
      </c>
      <c r="D443" s="258">
        <v>0.34228999999999998</v>
      </c>
      <c r="E443" s="253">
        <f>B443-Index_Returns!AD443</f>
        <v>-0.94884999999999997</v>
      </c>
      <c r="H443" s="1311"/>
      <c r="I443" s="14"/>
    </row>
    <row r="444" spans="1:9" x14ac:dyDescent="0.2">
      <c r="A444" s="345">
        <v>41029</v>
      </c>
      <c r="B444" s="253">
        <f t="shared" si="0"/>
        <v>-0.66679999999999995</v>
      </c>
      <c r="C444" s="346">
        <v>485483998.64999998</v>
      </c>
      <c r="D444" s="258">
        <v>-0.66679999999999995</v>
      </c>
      <c r="E444" s="253">
        <f>B444-Index_Returns!AD444</f>
        <v>-0.30077999999999994</v>
      </c>
      <c r="H444" s="1311"/>
      <c r="I444" s="14"/>
    </row>
    <row r="445" spans="1:9" x14ac:dyDescent="0.2">
      <c r="A445" s="345">
        <v>41060</v>
      </c>
      <c r="B445" s="253">
        <f t="shared" si="0"/>
        <v>-6.8825799999999999</v>
      </c>
      <c r="C445" s="346">
        <v>452070177.51999998</v>
      </c>
      <c r="D445" s="258">
        <v>-6.8825799999999999</v>
      </c>
      <c r="E445" s="253">
        <f>B445-Index_Returns!AD445</f>
        <v>-1.6997900000000001</v>
      </c>
      <c r="H445" s="1311"/>
      <c r="I445" s="14"/>
    </row>
    <row r="446" spans="1:9" x14ac:dyDescent="0.2">
      <c r="A446" s="345">
        <v>41090</v>
      </c>
      <c r="B446" s="253">
        <f t="shared" si="0"/>
        <v>4.1548400000000001</v>
      </c>
      <c r="C446" s="346">
        <v>470852959.60000002</v>
      </c>
      <c r="D446" s="258">
        <v>4.1548400000000001</v>
      </c>
      <c r="E446" s="253">
        <f>B446-Index_Returns!AD446</f>
        <v>0.57954000000000017</v>
      </c>
      <c r="H446" s="1311"/>
      <c r="I446" s="14"/>
    </row>
    <row r="447" spans="1:9" x14ac:dyDescent="0.2">
      <c r="A447" s="345">
        <v>41121</v>
      </c>
      <c r="B447" s="253">
        <f t="shared" si="0"/>
        <v>1.2310700000000001</v>
      </c>
      <c r="C447" s="346">
        <v>477121418.55000001</v>
      </c>
      <c r="D447" s="258">
        <v>1.2310700000000001</v>
      </c>
      <c r="E447" s="253">
        <f>B447-Index_Returns!AD447</f>
        <v>-0.29770999999999992</v>
      </c>
      <c r="H447" s="1311"/>
      <c r="I447" s="14"/>
    </row>
    <row r="448" spans="1:9" x14ac:dyDescent="0.2">
      <c r="A448" s="345">
        <v>41152</v>
      </c>
      <c r="B448" s="253">
        <f t="shared" si="0"/>
        <v>1.65001</v>
      </c>
      <c r="C448" s="346">
        <v>484993957.07999998</v>
      </c>
      <c r="D448" s="258">
        <v>1.65001</v>
      </c>
      <c r="E448" s="253">
        <f>B448-Index_Returns!AD448</f>
        <v>-6.2790000000000123E-2</v>
      </c>
      <c r="H448" s="1311"/>
      <c r="I448" s="14"/>
    </row>
    <row r="449" spans="1:9" x14ac:dyDescent="0.2">
      <c r="A449" s="345">
        <v>41182</v>
      </c>
      <c r="B449" s="253">
        <f t="shared" si="0"/>
        <v>2.01952</v>
      </c>
      <c r="C449" s="346">
        <v>494788490.56</v>
      </c>
      <c r="D449" s="258">
        <v>2.01952</v>
      </c>
      <c r="E449" s="253">
        <f>B449-Index_Returns!AD449</f>
        <v>5.3329999999999878E-2</v>
      </c>
      <c r="H449" s="1311"/>
      <c r="I449" s="14"/>
    </row>
    <row r="450" spans="1:9" x14ac:dyDescent="0.2">
      <c r="A450" s="345">
        <v>41213</v>
      </c>
      <c r="B450" s="253">
        <f t="shared" si="0"/>
        <v>-0.58311000000000002</v>
      </c>
      <c r="C450" s="346">
        <v>492398527.52999997</v>
      </c>
      <c r="D450" s="258">
        <v>-0.58311000000000002</v>
      </c>
      <c r="E450" s="253">
        <f>B450-Index_Returns!AD450</f>
        <v>0.10065999999999997</v>
      </c>
      <c r="H450" s="1311"/>
      <c r="I450" s="14"/>
    </row>
    <row r="451" spans="1:9" x14ac:dyDescent="0.2">
      <c r="A451" s="345">
        <v>41243</v>
      </c>
      <c r="B451" s="253">
        <f t="shared" si="0"/>
        <v>1.1274599999999999</v>
      </c>
      <c r="C451" s="346">
        <v>497950103.86000001</v>
      </c>
      <c r="D451" s="258">
        <v>1.1274599999999999</v>
      </c>
      <c r="E451" s="253">
        <f>B451-Index_Returns!AD451</f>
        <v>0.22522999999999993</v>
      </c>
      <c r="H451" s="1311"/>
      <c r="I451" s="14"/>
    </row>
    <row r="452" spans="1:9" x14ac:dyDescent="0.2">
      <c r="A452" s="345">
        <v>41274</v>
      </c>
      <c r="B452" s="253">
        <f t="shared" si="0"/>
        <v>2.6443099999999999</v>
      </c>
      <c r="C452" s="346">
        <v>511117465.12</v>
      </c>
      <c r="D452" s="258">
        <v>2.6443099999999999</v>
      </c>
      <c r="E452" s="253">
        <f>B452-Index_Returns!AD452</f>
        <v>1.59358</v>
      </c>
      <c r="H452" s="1311"/>
      <c r="I452" s="14"/>
    </row>
    <row r="453" spans="1:9" x14ac:dyDescent="0.2">
      <c r="A453" s="345">
        <v>41305</v>
      </c>
      <c r="B453" s="253">
        <f t="shared" si="0"/>
        <v>3.1909999999999998</v>
      </c>
      <c r="C453" s="346">
        <v>527940037.51999998</v>
      </c>
      <c r="D453" s="258">
        <v>3.1909999999999998</v>
      </c>
      <c r="E453" s="253">
        <f>B453-Index_Returns!AD453</f>
        <v>-0.25936000000000003</v>
      </c>
      <c r="H453" s="1311"/>
      <c r="I453" s="14"/>
    </row>
    <row r="454" spans="1:9" x14ac:dyDescent="0.2">
      <c r="A454" s="345">
        <v>41333</v>
      </c>
      <c r="B454" s="253">
        <f t="shared" si="0"/>
        <v>-0.49876999999999999</v>
      </c>
      <c r="C454" s="346">
        <v>525306822.80000001</v>
      </c>
      <c r="D454" s="258">
        <v>-0.49876999999999999</v>
      </c>
      <c r="E454" s="253">
        <f>B454-Index_Returns!AD454</f>
        <v>-0.82855999999999996</v>
      </c>
      <c r="H454" s="1311"/>
      <c r="I454" s="14"/>
    </row>
    <row r="455" spans="1:9" x14ac:dyDescent="0.2">
      <c r="A455" s="345">
        <v>41364</v>
      </c>
      <c r="B455" s="253">
        <f t="shared" si="0"/>
        <v>1.9443600000000001</v>
      </c>
      <c r="C455" s="346">
        <v>535520670.51999998</v>
      </c>
      <c r="D455" s="258">
        <v>1.9443600000000001</v>
      </c>
      <c r="E455" s="253">
        <f>B455-Index_Returns!AD455</f>
        <v>6.3530000000000086E-2</v>
      </c>
      <c r="H455" s="1311"/>
      <c r="I455" s="14"/>
    </row>
    <row r="456" spans="1:9" x14ac:dyDescent="0.2">
      <c r="A456" s="345">
        <v>41394</v>
      </c>
      <c r="B456" s="253">
        <f t="shared" si="0"/>
        <v>1.86226</v>
      </c>
      <c r="C456" s="346">
        <v>546039968.87</v>
      </c>
      <c r="D456" s="258">
        <v>1.86226</v>
      </c>
      <c r="E456" s="253">
        <f>B456-Index_Returns!AD456</f>
        <v>-0.47056999999999993</v>
      </c>
      <c r="H456" s="1311"/>
      <c r="I456" s="14"/>
    </row>
    <row r="457" spans="1:9" x14ac:dyDescent="0.2">
      <c r="A457" s="345">
        <v>41425</v>
      </c>
      <c r="B457" s="253">
        <f t="shared" si="0"/>
        <v>-1.74139</v>
      </c>
      <c r="C457" s="346">
        <v>536531296.19</v>
      </c>
      <c r="D457" s="258">
        <v>-1.74139</v>
      </c>
      <c r="E457" s="253">
        <f>B457-Index_Returns!AD457</f>
        <v>-1.58144</v>
      </c>
      <c r="H457" s="1311"/>
      <c r="I457" s="14"/>
    </row>
    <row r="458" spans="1:9" x14ac:dyDescent="0.2">
      <c r="A458" s="345">
        <v>41455</v>
      </c>
      <c r="B458" s="253">
        <f t="shared" si="0"/>
        <v>-2.7295400000000001</v>
      </c>
      <c r="C458" s="1307">
        <v>521886484.47000003</v>
      </c>
      <c r="D458" s="1306">
        <v>-2.7295400000000001</v>
      </c>
      <c r="E458" s="253">
        <f>B458-Index_Returns!AD458</f>
        <v>-0.64814000000000016</v>
      </c>
      <c r="H458" s="1311"/>
      <c r="I458" s="14"/>
    </row>
    <row r="459" spans="1:9" x14ac:dyDescent="0.2">
      <c r="A459" s="345">
        <v>41486</v>
      </c>
      <c r="B459" s="253">
        <f t="shared" si="0"/>
        <v>3.2603900000000001</v>
      </c>
      <c r="C459" s="346">
        <v>539419134.04999995</v>
      </c>
      <c r="D459" s="258">
        <v>3.2603900000000001</v>
      </c>
      <c r="E459" s="253">
        <f>B459-Index_Returns!AD459</f>
        <v>-0.34150999999999998</v>
      </c>
      <c r="H459" s="1311"/>
      <c r="I459" s="14"/>
    </row>
    <row r="460" spans="1:9" x14ac:dyDescent="0.2">
      <c r="A460" s="345">
        <v>41517</v>
      </c>
      <c r="B460" s="253">
        <f t="shared" si="0"/>
        <v>-1.8225100000000001</v>
      </c>
      <c r="C460" s="346">
        <v>529588158.42000002</v>
      </c>
      <c r="D460" s="258">
        <v>-1.8225100000000001</v>
      </c>
      <c r="E460" s="253">
        <f>B460-Index_Returns!AD460</f>
        <v>-0.2420500000000001</v>
      </c>
      <c r="G460" s="239"/>
    </row>
    <row r="461" spans="1:9" x14ac:dyDescent="0.2">
      <c r="A461" s="345">
        <v>41547</v>
      </c>
      <c r="B461" s="253">
        <f t="shared" si="0"/>
        <v>3.9487199999999998</v>
      </c>
      <c r="C461" s="346">
        <v>550500092.95000005</v>
      </c>
      <c r="D461" s="258">
        <v>3.9487199999999998</v>
      </c>
      <c r="E461" s="253">
        <f>B461-Index_Returns!AD461</f>
        <v>0.58337999999999957</v>
      </c>
    </row>
    <row r="462" spans="1:9" x14ac:dyDescent="0.2">
      <c r="A462" s="345">
        <v>41578</v>
      </c>
      <c r="B462" s="253">
        <f t="shared" si="0"/>
        <v>2.6383700000000001</v>
      </c>
      <c r="C462" s="346">
        <v>565578425.97000003</v>
      </c>
      <c r="D462" s="258">
        <v>2.6383700000000001</v>
      </c>
      <c r="E462" s="253">
        <f>B462-Index_Returns!AD462</f>
        <v>-0.34656999999999982</v>
      </c>
    </row>
    <row r="463" spans="1:9" x14ac:dyDescent="0.2">
      <c r="A463" s="345">
        <v>41608</v>
      </c>
      <c r="B463" s="253">
        <f t="shared" si="0"/>
        <v>0.38149</v>
      </c>
      <c r="C463" s="346">
        <v>567736062.09000003</v>
      </c>
      <c r="D463" s="258">
        <v>0.38149</v>
      </c>
      <c r="E463" s="253">
        <f>B463-Index_Returns!AD463</f>
        <v>-0.98783999999999994</v>
      </c>
    </row>
    <row r="464" spans="1:9" x14ac:dyDescent="0.2">
      <c r="A464" s="345">
        <v>41639</v>
      </c>
      <c r="B464" s="253">
        <f t="shared" si="0"/>
        <v>1.3790100000000001</v>
      </c>
      <c r="C464" s="346">
        <v>575565197.49000001</v>
      </c>
      <c r="D464" s="258">
        <v>1.3790100000000001</v>
      </c>
      <c r="E464" s="253">
        <f>B464-Index_Returns!AD464</f>
        <v>2.1070000000000144E-2</v>
      </c>
    </row>
    <row r="465" spans="1:5" x14ac:dyDescent="0.2">
      <c r="A465" s="345">
        <v>41670</v>
      </c>
      <c r="B465" s="253">
        <f t="shared" si="0"/>
        <v>-3.50169</v>
      </c>
      <c r="C465" s="346">
        <v>555973558.96000004</v>
      </c>
      <c r="D465" s="258">
        <v>-3.50169</v>
      </c>
      <c r="E465" s="253">
        <f>B465-Index_Returns!AD465</f>
        <v>-1.43398</v>
      </c>
    </row>
    <row r="466" spans="1:5" x14ac:dyDescent="0.2">
      <c r="A466" s="345">
        <v>41698</v>
      </c>
      <c r="B466" s="253">
        <f t="shared" si="0"/>
        <v>4.7628000000000004</v>
      </c>
      <c r="C466" s="346">
        <v>582453488.21000004</v>
      </c>
      <c r="D466" s="258">
        <v>4.7628000000000004</v>
      </c>
      <c r="E466" s="253">
        <f>B466-Index_Returns!AD466</f>
        <v>1.0077900000000004</v>
      </c>
    </row>
    <row r="467" spans="1:5" x14ac:dyDescent="0.2">
      <c r="A467" s="345">
        <v>41729</v>
      </c>
      <c r="B467" s="253">
        <f t="shared" si="0"/>
        <v>0.58070999999999995</v>
      </c>
      <c r="C467" s="346">
        <v>585835865.99000001</v>
      </c>
      <c r="D467" s="258">
        <v>0.58070999999999995</v>
      </c>
      <c r="E467" s="253">
        <f>B467-Index_Returns!AD467</f>
        <v>0.40984999999999994</v>
      </c>
    </row>
    <row r="468" spans="1:5" x14ac:dyDescent="0.2">
      <c r="A468" s="345">
        <v>41759</v>
      </c>
      <c r="B468" s="253">
        <f t="shared" si="0"/>
        <v>0.60268999999999995</v>
      </c>
      <c r="C468" s="346">
        <v>589951179.70000005</v>
      </c>
      <c r="D468" s="258">
        <v>0.60268999999999995</v>
      </c>
      <c r="E468" s="253">
        <f>B468-Index_Returns!AD468</f>
        <v>-0.41036000000000006</v>
      </c>
    </row>
    <row r="469" spans="1:5" x14ac:dyDescent="0.2">
      <c r="A469" s="345">
        <v>41790</v>
      </c>
      <c r="B469" s="253">
        <f t="shared" si="0"/>
        <v>1.7941100000000001</v>
      </c>
      <c r="C469" s="346">
        <v>600535540.30999994</v>
      </c>
      <c r="D469" s="258">
        <v>1.7941100000000001</v>
      </c>
      <c r="E469" s="253">
        <f>B469-Index_Returns!AD469</f>
        <v>0.1749900000000002</v>
      </c>
    </row>
    <row r="470" spans="1:5" x14ac:dyDescent="0.2">
      <c r="A470" s="345">
        <v>41820</v>
      </c>
      <c r="B470" s="253">
        <f t="shared" si="0"/>
        <v>2.1498599999999999</v>
      </c>
      <c r="C470" s="346">
        <v>613446225.53999996</v>
      </c>
      <c r="D470" s="258">
        <v>2.1498599999999999</v>
      </c>
      <c r="E470" s="253">
        <f>B470-Index_Returns!AD470</f>
        <v>0.98221999999999987</v>
      </c>
    </row>
    <row r="471" spans="1:5" x14ac:dyDescent="0.2">
      <c r="A471" s="345">
        <v>41851</v>
      </c>
      <c r="B471" s="253">
        <f t="shared" si="0"/>
        <v>-1.8314299999999999</v>
      </c>
      <c r="C471" s="346">
        <v>602813262.37</v>
      </c>
      <c r="D471" s="258">
        <v>-1.8314299999999999</v>
      </c>
      <c r="E471" s="253">
        <f>B471-Index_Returns!AD471</f>
        <v>-0.47750999999999988</v>
      </c>
    </row>
    <row r="472" spans="1:5" x14ac:dyDescent="0.2">
      <c r="A472" s="345">
        <v>41882</v>
      </c>
      <c r="B472" s="253">
        <f t="shared" si="0"/>
        <v>2.3191199999999998</v>
      </c>
      <c r="C472" s="346">
        <v>616793246.69000006</v>
      </c>
      <c r="D472" s="258">
        <v>2.3191199999999998</v>
      </c>
      <c r="E472" s="253">
        <f>B472-Index_Returns!AD472</f>
        <v>0.37003999999999992</v>
      </c>
    </row>
    <row r="473" spans="1:5" x14ac:dyDescent="0.2">
      <c r="A473" s="345">
        <v>41912</v>
      </c>
      <c r="B473" s="253">
        <f t="shared" si="0"/>
        <v>0</v>
      </c>
      <c r="E473" s="253">
        <f>B473-Index_Returns!AD473</f>
        <v>0</v>
      </c>
    </row>
    <row r="474" spans="1:5" x14ac:dyDescent="0.2">
      <c r="A474" s="345">
        <v>41943</v>
      </c>
      <c r="B474" s="253">
        <f t="shared" si="0"/>
        <v>0</v>
      </c>
      <c r="E474" s="253">
        <f>B474-Index_Returns!AD474</f>
        <v>0</v>
      </c>
    </row>
    <row r="475" spans="1:5" x14ac:dyDescent="0.2">
      <c r="A475" s="345">
        <v>41973</v>
      </c>
      <c r="B475" s="253">
        <f t="shared" si="0"/>
        <v>0</v>
      </c>
      <c r="E475" s="253">
        <f>B475-Index_Returns!AD475</f>
        <v>0</v>
      </c>
    </row>
    <row r="476" spans="1:5" x14ac:dyDescent="0.2">
      <c r="A476" s="345">
        <v>42004</v>
      </c>
      <c r="B476" s="253">
        <f t="shared" si="0"/>
        <v>0</v>
      </c>
      <c r="E476" s="253">
        <f>B476-Index_Returns!AD476</f>
        <v>0</v>
      </c>
    </row>
    <row r="477" spans="1:5" x14ac:dyDescent="0.2">
      <c r="A477" s="345">
        <v>42035</v>
      </c>
      <c r="B477" s="253">
        <f t="shared" si="0"/>
        <v>0</v>
      </c>
      <c r="E477" s="253">
        <f>B477-Index_Returns!AD477</f>
        <v>0</v>
      </c>
    </row>
    <row r="478" spans="1:5" x14ac:dyDescent="0.2">
      <c r="A478" s="345">
        <v>42063</v>
      </c>
      <c r="B478" s="253">
        <f t="shared" si="0"/>
        <v>0</v>
      </c>
      <c r="E478" s="253">
        <f>B478-Index_Returns!AD478</f>
        <v>0</v>
      </c>
    </row>
    <row r="479" spans="1:5" x14ac:dyDescent="0.2">
      <c r="A479" s="345">
        <v>42094</v>
      </c>
      <c r="B479" s="253">
        <f t="shared" si="0"/>
        <v>0</v>
      </c>
      <c r="E479" s="253">
        <f>B479-Index_Returns!AD479</f>
        <v>0</v>
      </c>
    </row>
    <row r="480" spans="1:5" x14ac:dyDescent="0.2">
      <c r="A480" s="345">
        <v>42124</v>
      </c>
      <c r="B480" s="253">
        <f t="shared" si="0"/>
        <v>0</v>
      </c>
      <c r="E480" s="253">
        <f>B480-Index_Returns!AD480</f>
        <v>0</v>
      </c>
    </row>
    <row r="481" spans="1:5" x14ac:dyDescent="0.2">
      <c r="A481" s="345">
        <v>42155</v>
      </c>
      <c r="B481" s="253">
        <f t="shared" si="0"/>
        <v>0</v>
      </c>
      <c r="E481" s="253">
        <f>B481-Index_Returns!AD481</f>
        <v>0</v>
      </c>
    </row>
    <row r="482" spans="1:5" x14ac:dyDescent="0.2">
      <c r="A482" s="345">
        <v>42185</v>
      </c>
      <c r="B482" s="253">
        <f t="shared" si="0"/>
        <v>0</v>
      </c>
      <c r="E482" s="253">
        <f>B482-Index_Returns!AD482</f>
        <v>0</v>
      </c>
    </row>
    <row r="483" spans="1:5" x14ac:dyDescent="0.2">
      <c r="A483" s="345">
        <v>42216</v>
      </c>
      <c r="B483" s="253">
        <f t="shared" si="0"/>
        <v>0</v>
      </c>
      <c r="E483" s="253">
        <f>B483-Index_Returns!AD483</f>
        <v>0</v>
      </c>
    </row>
    <row r="484" spans="1:5" x14ac:dyDescent="0.2">
      <c r="A484" s="345">
        <v>42247</v>
      </c>
      <c r="B484" s="253">
        <f t="shared" si="0"/>
        <v>0</v>
      </c>
      <c r="E484" s="253">
        <f>B484-Index_Returns!AD484</f>
        <v>0</v>
      </c>
    </row>
    <row r="485" spans="1:5" x14ac:dyDescent="0.2">
      <c r="A485" s="345">
        <v>42277</v>
      </c>
      <c r="B485" s="253">
        <f t="shared" si="0"/>
        <v>0</v>
      </c>
      <c r="E485" s="253">
        <f>B485-Index_Returns!AD485</f>
        <v>0</v>
      </c>
    </row>
    <row r="486" spans="1:5" x14ac:dyDescent="0.2">
      <c r="A486" s="345">
        <v>42308</v>
      </c>
      <c r="B486" s="253">
        <f t="shared" si="0"/>
        <v>0</v>
      </c>
      <c r="E486" s="253">
        <f>B486-Index_Returns!AD486</f>
        <v>0</v>
      </c>
    </row>
    <row r="487" spans="1:5" x14ac:dyDescent="0.2">
      <c r="A487" s="345">
        <v>42338</v>
      </c>
      <c r="B487" s="253">
        <f t="shared" si="0"/>
        <v>0</v>
      </c>
      <c r="E487" s="253">
        <f>B487-Index_Returns!AD487</f>
        <v>0</v>
      </c>
    </row>
    <row r="488" spans="1:5" x14ac:dyDescent="0.2">
      <c r="A488" s="345">
        <v>42369</v>
      </c>
      <c r="B488" s="253">
        <f t="shared" si="0"/>
        <v>0</v>
      </c>
      <c r="E488" s="253">
        <f>B488-Index_Returns!AD488</f>
        <v>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I490"/>
  <sheetViews>
    <sheetView workbookViewId="0">
      <pane xSplit="1" ySplit="2" topLeftCell="B449" activePane="bottomRight" state="frozen"/>
      <selection pane="topRight" activeCell="B1" sqref="B1"/>
      <selection pane="bottomLeft" activeCell="A3" sqref="A3"/>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5" width="18.7109375" style="258" customWidth="1"/>
    <col min="7" max="7" width="9.140625" style="352"/>
    <col min="8" max="8" width="11.140625" style="352" customWidth="1"/>
  </cols>
  <sheetData>
    <row r="1" spans="1:6" x14ac:dyDescent="0.2">
      <c r="A1" s="265" t="s">
        <v>865</v>
      </c>
      <c r="B1" s="1371" t="s">
        <v>309</v>
      </c>
      <c r="C1" s="1382" t="s">
        <v>302</v>
      </c>
      <c r="D1" s="1370">
        <v>15</v>
      </c>
      <c r="E1" s="74" t="s">
        <v>81</v>
      </c>
      <c r="F1" s="1448" t="s">
        <v>751</v>
      </c>
    </row>
    <row r="2" spans="1:6" x14ac:dyDescent="0.2">
      <c r="A2" s="3" t="s">
        <v>27</v>
      </c>
      <c r="B2" s="71" t="s">
        <v>91</v>
      </c>
      <c r="C2" s="226" t="s">
        <v>92</v>
      </c>
      <c r="D2" s="71" t="s">
        <v>90</v>
      </c>
      <c r="E2" s="71" t="s">
        <v>80</v>
      </c>
    </row>
    <row r="3" spans="1:6" x14ac:dyDescent="0.2">
      <c r="A3" s="345">
        <v>27606</v>
      </c>
      <c r="B3" s="71"/>
      <c r="C3" s="226"/>
      <c r="D3" s="71"/>
      <c r="E3" s="71"/>
    </row>
    <row r="4" spans="1:6" x14ac:dyDescent="0.2">
      <c r="A4" s="345">
        <v>27637</v>
      </c>
      <c r="B4" s="71"/>
      <c r="C4" s="226"/>
      <c r="D4" s="71"/>
      <c r="E4" s="71"/>
    </row>
    <row r="5" spans="1:6" x14ac:dyDescent="0.2">
      <c r="A5" s="345">
        <v>27667</v>
      </c>
      <c r="B5" s="71"/>
      <c r="C5" s="226"/>
      <c r="D5" s="71"/>
      <c r="E5" s="71"/>
    </row>
    <row r="6" spans="1:6" x14ac:dyDescent="0.2">
      <c r="A6" s="345">
        <v>27698</v>
      </c>
      <c r="B6" s="71"/>
      <c r="C6" s="226"/>
      <c r="D6" s="71"/>
      <c r="E6" s="71"/>
    </row>
    <row r="7" spans="1:6" x14ac:dyDescent="0.2">
      <c r="A7" s="345">
        <v>27728</v>
      </c>
      <c r="B7" s="71"/>
      <c r="C7" s="226"/>
      <c r="D7" s="71"/>
      <c r="E7" s="71"/>
    </row>
    <row r="8" spans="1:6" x14ac:dyDescent="0.2">
      <c r="A8" s="345">
        <v>27759</v>
      </c>
      <c r="B8" s="71"/>
      <c r="C8" s="226"/>
      <c r="D8" s="71"/>
      <c r="E8" s="71"/>
    </row>
    <row r="9" spans="1:6" x14ac:dyDescent="0.2">
      <c r="A9" s="345">
        <v>27790</v>
      </c>
      <c r="B9" s="71"/>
      <c r="C9" s="226"/>
      <c r="D9" s="71"/>
      <c r="E9" s="71"/>
    </row>
    <row r="10" spans="1:6" x14ac:dyDescent="0.2">
      <c r="A10" s="345">
        <v>27819</v>
      </c>
      <c r="B10" s="71"/>
      <c r="C10" s="226"/>
      <c r="D10" s="71"/>
      <c r="E10" s="71"/>
    </row>
    <row r="11" spans="1:6" x14ac:dyDescent="0.2">
      <c r="A11" s="345">
        <v>27850</v>
      </c>
      <c r="B11" s="71"/>
      <c r="C11" s="226"/>
      <c r="D11" s="71"/>
      <c r="E11" s="71"/>
    </row>
    <row r="12" spans="1:6" x14ac:dyDescent="0.2">
      <c r="A12" s="345">
        <v>27880</v>
      </c>
      <c r="B12" s="71"/>
      <c r="C12" s="226"/>
      <c r="D12" s="71"/>
      <c r="E12" s="71"/>
    </row>
    <row r="13" spans="1:6" x14ac:dyDescent="0.2">
      <c r="A13" s="345">
        <v>27911</v>
      </c>
      <c r="B13" s="71"/>
      <c r="C13" s="226"/>
      <c r="D13" s="71"/>
      <c r="E13" s="71"/>
    </row>
    <row r="14" spans="1:6" x14ac:dyDescent="0.2">
      <c r="A14" s="345">
        <v>27941</v>
      </c>
      <c r="B14" s="71"/>
      <c r="C14" s="226"/>
      <c r="D14" s="71"/>
      <c r="E14" s="71"/>
    </row>
    <row r="15" spans="1:6" x14ac:dyDescent="0.2">
      <c r="A15" s="345">
        <v>27972</v>
      </c>
      <c r="B15" s="71"/>
      <c r="C15" s="226"/>
      <c r="D15" s="71"/>
      <c r="E15" s="71"/>
    </row>
    <row r="16" spans="1:6"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3"/>
      <c r="C147" s="25"/>
      <c r="D147" s="73"/>
      <c r="E147" s="73"/>
    </row>
    <row r="148" spans="1:5" x14ac:dyDescent="0.2">
      <c r="A148" s="345">
        <v>32020</v>
      </c>
      <c r="B148" s="73"/>
      <c r="C148" s="25"/>
      <c r="D148" s="73"/>
      <c r="E148" s="73"/>
    </row>
    <row r="149" spans="1:5" x14ac:dyDescent="0.2">
      <c r="A149" s="345">
        <v>32050</v>
      </c>
      <c r="B149" s="73"/>
      <c r="C149" s="25"/>
      <c r="D149" s="73"/>
      <c r="E149" s="73"/>
    </row>
    <row r="150" spans="1:5" x14ac:dyDescent="0.2">
      <c r="A150" s="345">
        <v>32081</v>
      </c>
      <c r="B150" s="73"/>
      <c r="C150" s="25"/>
      <c r="D150" s="73"/>
      <c r="E150" s="73"/>
    </row>
    <row r="151" spans="1:5" x14ac:dyDescent="0.2">
      <c r="A151" s="345">
        <v>32111</v>
      </c>
      <c r="B151" s="73"/>
      <c r="C151" s="25"/>
      <c r="D151" s="73"/>
      <c r="E151" s="73"/>
    </row>
    <row r="152" spans="1:5" x14ac:dyDescent="0.2">
      <c r="A152" s="345">
        <v>32142</v>
      </c>
      <c r="B152" s="73"/>
      <c r="C152" s="25"/>
      <c r="D152" s="73"/>
      <c r="E152" s="73"/>
    </row>
    <row r="153" spans="1:5" x14ac:dyDescent="0.2">
      <c r="A153" s="345">
        <v>32173</v>
      </c>
      <c r="B153" s="73"/>
      <c r="C153" s="25"/>
      <c r="D153" s="73"/>
      <c r="E153" s="73"/>
    </row>
    <row r="154" spans="1:5" x14ac:dyDescent="0.2">
      <c r="A154" s="345">
        <v>32202</v>
      </c>
      <c r="B154" s="73"/>
      <c r="C154" s="25"/>
      <c r="D154" s="73"/>
      <c r="E154" s="73"/>
    </row>
    <row r="155" spans="1:5" x14ac:dyDescent="0.2">
      <c r="A155" s="345">
        <v>32233</v>
      </c>
      <c r="B155" s="73"/>
      <c r="C155" s="25"/>
      <c r="D155" s="73"/>
      <c r="E155" s="73"/>
    </row>
    <row r="156" spans="1:5" x14ac:dyDescent="0.2">
      <c r="A156" s="345">
        <v>32263</v>
      </c>
      <c r="B156" s="73"/>
      <c r="C156" s="25"/>
      <c r="D156" s="73"/>
      <c r="E156" s="73"/>
    </row>
    <row r="157" spans="1:5" x14ac:dyDescent="0.2">
      <c r="A157" s="345">
        <v>32294</v>
      </c>
      <c r="B157" s="73"/>
      <c r="C157" s="25"/>
      <c r="D157" s="73"/>
      <c r="E157" s="73"/>
    </row>
    <row r="158" spans="1:5" x14ac:dyDescent="0.2">
      <c r="A158" s="345">
        <v>32324</v>
      </c>
      <c r="B158" s="73"/>
      <c r="C158" s="25"/>
      <c r="D158" s="73"/>
      <c r="E158" s="73"/>
    </row>
    <row r="159" spans="1:5" x14ac:dyDescent="0.2">
      <c r="A159" s="345">
        <v>32355</v>
      </c>
      <c r="B159" s="73"/>
      <c r="C159" s="25"/>
      <c r="D159" s="73"/>
      <c r="E159" s="73"/>
    </row>
    <row r="160" spans="1:5" x14ac:dyDescent="0.2">
      <c r="A160" s="345">
        <v>32386</v>
      </c>
      <c r="B160" s="73"/>
      <c r="C160" s="25"/>
      <c r="D160" s="73"/>
      <c r="E160" s="73"/>
    </row>
    <row r="161" spans="1:5" x14ac:dyDescent="0.2">
      <c r="A161" s="345">
        <v>32416</v>
      </c>
      <c r="B161" s="73"/>
      <c r="C161" s="25"/>
      <c r="D161" s="73"/>
      <c r="E161" s="73"/>
    </row>
    <row r="162" spans="1:5" x14ac:dyDescent="0.2">
      <c r="A162" s="345">
        <v>32447</v>
      </c>
      <c r="B162" s="73"/>
      <c r="C162" s="25"/>
      <c r="D162" s="73"/>
      <c r="E162" s="73"/>
    </row>
    <row r="163" spans="1:5" x14ac:dyDescent="0.2">
      <c r="A163" s="345">
        <v>32477</v>
      </c>
      <c r="B163" s="73"/>
      <c r="C163" s="25"/>
      <c r="D163" s="73"/>
      <c r="E163" s="73"/>
    </row>
    <row r="164" spans="1:5" x14ac:dyDescent="0.2">
      <c r="A164" s="345">
        <v>32508</v>
      </c>
      <c r="B164" s="73"/>
      <c r="C164" s="25"/>
      <c r="D164" s="73"/>
      <c r="E164" s="73"/>
    </row>
    <row r="165" spans="1:5" x14ac:dyDescent="0.2">
      <c r="A165" s="345">
        <v>32539</v>
      </c>
      <c r="B165" s="73"/>
      <c r="C165" s="25"/>
      <c r="D165" s="73"/>
      <c r="E165" s="73"/>
    </row>
    <row r="166" spans="1:5" x14ac:dyDescent="0.2">
      <c r="A166" s="345">
        <v>32567</v>
      </c>
      <c r="B166" s="73"/>
      <c r="C166" s="25"/>
      <c r="D166" s="73"/>
      <c r="E166" s="73"/>
    </row>
    <row r="167" spans="1:5" x14ac:dyDescent="0.2">
      <c r="A167" s="345">
        <v>32598</v>
      </c>
      <c r="B167" s="73"/>
      <c r="C167" s="25"/>
      <c r="D167" s="73"/>
      <c r="E167" s="73"/>
    </row>
    <row r="168" spans="1:5" x14ac:dyDescent="0.2">
      <c r="A168" s="345">
        <v>32628</v>
      </c>
      <c r="B168" s="73"/>
      <c r="C168" s="25"/>
      <c r="D168" s="73"/>
      <c r="E168" s="73"/>
    </row>
    <row r="169" spans="1:5" x14ac:dyDescent="0.2">
      <c r="A169" s="345">
        <v>32659</v>
      </c>
      <c r="B169" s="73"/>
      <c r="C169" s="25"/>
      <c r="D169" s="73"/>
      <c r="E169" s="73"/>
    </row>
    <row r="170" spans="1:5" x14ac:dyDescent="0.2">
      <c r="A170" s="345">
        <v>32689</v>
      </c>
      <c r="B170" s="73"/>
      <c r="C170" s="25"/>
      <c r="D170" s="73"/>
      <c r="E170" s="73"/>
    </row>
    <row r="171" spans="1:5" x14ac:dyDescent="0.2">
      <c r="A171" s="345">
        <v>32720</v>
      </c>
      <c r="B171" s="73"/>
      <c r="C171" s="25"/>
      <c r="D171" s="73"/>
      <c r="E171" s="73"/>
    </row>
    <row r="172" spans="1:5" x14ac:dyDescent="0.2">
      <c r="A172" s="345">
        <v>32751</v>
      </c>
      <c r="B172" s="73"/>
      <c r="C172" s="25"/>
      <c r="D172" s="73"/>
      <c r="E172" s="73"/>
    </row>
    <row r="173" spans="1:5" x14ac:dyDescent="0.2">
      <c r="A173" s="345">
        <v>32781</v>
      </c>
      <c r="B173" s="73"/>
      <c r="C173" s="25"/>
      <c r="D173" s="73"/>
      <c r="E173" s="73"/>
    </row>
    <row r="174" spans="1:5" x14ac:dyDescent="0.2">
      <c r="A174" s="345">
        <v>32812</v>
      </c>
      <c r="B174" s="73"/>
      <c r="C174" s="25"/>
      <c r="D174" s="73"/>
      <c r="E174" s="73"/>
    </row>
    <row r="175" spans="1:5" x14ac:dyDescent="0.2">
      <c r="A175" s="345">
        <v>32842</v>
      </c>
      <c r="B175" s="73"/>
      <c r="C175" s="25"/>
      <c r="D175" s="73"/>
      <c r="E175" s="73"/>
    </row>
    <row r="176" spans="1:5" x14ac:dyDescent="0.2">
      <c r="A176" s="345">
        <v>32873</v>
      </c>
      <c r="B176" s="73"/>
      <c r="C176" s="25"/>
      <c r="D176" s="73"/>
      <c r="E176" s="73"/>
    </row>
    <row r="177" spans="1:5" x14ac:dyDescent="0.2">
      <c r="A177" s="345">
        <v>32904</v>
      </c>
      <c r="B177" s="255"/>
      <c r="C177" s="259"/>
      <c r="D177" s="73"/>
      <c r="E177" s="73"/>
    </row>
    <row r="178" spans="1:5" x14ac:dyDescent="0.2">
      <c r="A178" s="345">
        <v>32932</v>
      </c>
      <c r="B178" s="255"/>
      <c r="C178" s="259"/>
      <c r="D178" s="73"/>
      <c r="E178" s="73"/>
    </row>
    <row r="179" spans="1:5" x14ac:dyDescent="0.2">
      <c r="A179" s="345">
        <v>32963</v>
      </c>
      <c r="B179" s="255"/>
      <c r="C179" s="259"/>
      <c r="D179" s="73"/>
      <c r="E179" s="73"/>
    </row>
    <row r="180" spans="1:5" x14ac:dyDescent="0.2">
      <c r="A180" s="345">
        <v>32993</v>
      </c>
      <c r="B180" s="255"/>
      <c r="C180" s="259"/>
      <c r="D180" s="73"/>
      <c r="E180" s="73"/>
    </row>
    <row r="181" spans="1:5" x14ac:dyDescent="0.2">
      <c r="A181" s="345">
        <v>33024</v>
      </c>
      <c r="B181" s="255"/>
      <c r="C181" s="259"/>
      <c r="D181" s="73"/>
      <c r="E181" s="73"/>
    </row>
    <row r="182" spans="1:5" x14ac:dyDescent="0.2">
      <c r="A182" s="345">
        <v>33054</v>
      </c>
      <c r="B182" s="255"/>
      <c r="C182" s="259"/>
      <c r="D182" s="73"/>
      <c r="E182" s="73"/>
    </row>
    <row r="183" spans="1:5" x14ac:dyDescent="0.2">
      <c r="A183" s="345">
        <v>33085</v>
      </c>
      <c r="B183" s="255"/>
      <c r="C183" s="259"/>
      <c r="D183" s="73"/>
      <c r="E183" s="73"/>
    </row>
    <row r="184" spans="1:5" x14ac:dyDescent="0.2">
      <c r="A184" s="345">
        <v>33116</v>
      </c>
      <c r="B184" s="255"/>
      <c r="C184" s="259"/>
      <c r="D184" s="73"/>
      <c r="E184" s="73"/>
    </row>
    <row r="185" spans="1:5" x14ac:dyDescent="0.2">
      <c r="A185" s="345">
        <v>33146</v>
      </c>
      <c r="B185" s="255"/>
      <c r="C185" s="259"/>
      <c r="D185" s="73"/>
      <c r="E185" s="73"/>
    </row>
    <row r="186" spans="1:5" x14ac:dyDescent="0.2">
      <c r="A186" s="345">
        <v>33177</v>
      </c>
      <c r="B186" s="255"/>
      <c r="C186" s="259"/>
      <c r="D186" s="73"/>
      <c r="E186" s="73"/>
    </row>
    <row r="187" spans="1:5" x14ac:dyDescent="0.2">
      <c r="A187" s="345">
        <v>33207</v>
      </c>
      <c r="B187" s="255"/>
      <c r="C187" s="259"/>
      <c r="D187" s="73"/>
      <c r="E187" s="73"/>
    </row>
    <row r="188" spans="1:5" x14ac:dyDescent="0.2">
      <c r="A188" s="345">
        <v>33238</v>
      </c>
      <c r="B188" s="255"/>
      <c r="C188" s="259"/>
      <c r="D188" s="73"/>
      <c r="E188" s="73"/>
    </row>
    <row r="189" spans="1:5" x14ac:dyDescent="0.2">
      <c r="A189" s="345">
        <v>33269</v>
      </c>
      <c r="B189" s="255"/>
      <c r="C189" s="259"/>
      <c r="D189" s="73"/>
      <c r="E189" s="73"/>
    </row>
    <row r="190" spans="1:5" x14ac:dyDescent="0.2">
      <c r="A190" s="345">
        <v>33297</v>
      </c>
      <c r="B190" s="255"/>
      <c r="C190" s="259"/>
      <c r="D190" s="73"/>
      <c r="E190" s="73"/>
    </row>
    <row r="191" spans="1:5" x14ac:dyDescent="0.2">
      <c r="A191" s="345">
        <v>33328</v>
      </c>
      <c r="B191" s="255"/>
      <c r="C191" s="259"/>
      <c r="D191" s="73"/>
      <c r="E191" s="73"/>
    </row>
    <row r="192" spans="1:5" x14ac:dyDescent="0.2">
      <c r="A192" s="345">
        <v>33358</v>
      </c>
      <c r="B192" s="255"/>
      <c r="C192" s="259"/>
      <c r="D192" s="73"/>
      <c r="E192" s="73"/>
    </row>
    <row r="193" spans="1:5" x14ac:dyDescent="0.2">
      <c r="A193" s="345">
        <v>33389</v>
      </c>
      <c r="B193" s="255"/>
      <c r="C193" s="259"/>
      <c r="D193" s="73"/>
      <c r="E193" s="73"/>
    </row>
    <row r="194" spans="1:5" x14ac:dyDescent="0.2">
      <c r="A194" s="345">
        <v>33419</v>
      </c>
      <c r="B194" s="255"/>
      <c r="C194" s="259"/>
      <c r="D194" s="73"/>
      <c r="E194" s="73"/>
    </row>
    <row r="195" spans="1:5" x14ac:dyDescent="0.2">
      <c r="A195" s="345">
        <v>33450</v>
      </c>
      <c r="B195" s="255"/>
      <c r="C195" s="259"/>
      <c r="D195" s="73"/>
      <c r="E195" s="73"/>
    </row>
    <row r="196" spans="1:5" x14ac:dyDescent="0.2">
      <c r="A196" s="345">
        <v>33481</v>
      </c>
      <c r="B196" s="255"/>
      <c r="C196" s="259"/>
      <c r="D196" s="73"/>
      <c r="E196" s="73"/>
    </row>
    <row r="197" spans="1:5" x14ac:dyDescent="0.2">
      <c r="A197" s="345">
        <v>33511</v>
      </c>
      <c r="B197" s="255"/>
      <c r="C197" s="259"/>
      <c r="D197" s="73"/>
      <c r="E197" s="73"/>
    </row>
    <row r="198" spans="1:5" x14ac:dyDescent="0.2">
      <c r="A198" s="345">
        <v>33542</v>
      </c>
      <c r="B198" s="255"/>
      <c r="C198" s="259"/>
      <c r="D198" s="73"/>
      <c r="E198" s="73"/>
    </row>
    <row r="199" spans="1:5" x14ac:dyDescent="0.2">
      <c r="A199" s="345">
        <v>33572</v>
      </c>
      <c r="B199" s="255"/>
      <c r="C199" s="259"/>
      <c r="D199" s="73"/>
      <c r="E199" s="73"/>
    </row>
    <row r="200" spans="1:5" x14ac:dyDescent="0.2">
      <c r="A200" s="345">
        <v>33603</v>
      </c>
      <c r="B200" s="255"/>
      <c r="C200" s="259"/>
      <c r="D200" s="73"/>
      <c r="E200" s="73"/>
    </row>
    <row r="201" spans="1:5" x14ac:dyDescent="0.2">
      <c r="A201" s="345">
        <v>33634</v>
      </c>
      <c r="B201" s="255"/>
      <c r="C201" s="259"/>
      <c r="D201" s="73"/>
      <c r="E201" s="73"/>
    </row>
    <row r="202" spans="1:5" x14ac:dyDescent="0.2">
      <c r="A202" s="345">
        <v>33663</v>
      </c>
      <c r="B202" s="255"/>
      <c r="C202" s="259"/>
      <c r="D202" s="73"/>
      <c r="E202" s="73"/>
    </row>
    <row r="203" spans="1:5" x14ac:dyDescent="0.2">
      <c r="A203" s="345">
        <v>33694</v>
      </c>
      <c r="B203" s="255"/>
      <c r="C203" s="259"/>
      <c r="D203" s="73"/>
      <c r="E203" s="73"/>
    </row>
    <row r="204" spans="1:5" x14ac:dyDescent="0.2">
      <c r="A204" s="345">
        <v>33724</v>
      </c>
      <c r="B204" s="255"/>
      <c r="C204" s="259"/>
      <c r="D204" s="73"/>
      <c r="E204" s="73"/>
    </row>
    <row r="205" spans="1:5" x14ac:dyDescent="0.2">
      <c r="A205" s="345">
        <v>33755</v>
      </c>
      <c r="B205" s="255"/>
      <c r="C205" s="259"/>
      <c r="D205" s="73"/>
      <c r="E205" s="73"/>
    </row>
    <row r="206" spans="1:5" x14ac:dyDescent="0.2">
      <c r="A206" s="345">
        <v>33785</v>
      </c>
      <c r="B206" s="255"/>
      <c r="C206" s="259"/>
      <c r="D206" s="73"/>
      <c r="E206" s="73"/>
    </row>
    <row r="207" spans="1:5" x14ac:dyDescent="0.2">
      <c r="A207" s="345">
        <v>33816</v>
      </c>
      <c r="B207" s="255"/>
      <c r="C207" s="259"/>
      <c r="D207" s="73"/>
      <c r="E207" s="73"/>
    </row>
    <row r="208" spans="1:5" x14ac:dyDescent="0.2">
      <c r="A208" s="345">
        <v>33847</v>
      </c>
      <c r="B208" s="255"/>
      <c r="C208" s="259"/>
      <c r="D208" s="73"/>
      <c r="E208" s="73"/>
    </row>
    <row r="209" spans="1:5" x14ac:dyDescent="0.2">
      <c r="A209" s="345">
        <v>33877</v>
      </c>
      <c r="B209" s="255"/>
      <c r="C209" s="259"/>
      <c r="D209" s="73"/>
      <c r="E209" s="73"/>
    </row>
    <row r="210" spans="1:5" x14ac:dyDescent="0.2">
      <c r="A210" s="345">
        <v>33908</v>
      </c>
      <c r="B210" s="255"/>
      <c r="C210" s="259"/>
      <c r="D210" s="73"/>
      <c r="E210" s="73"/>
    </row>
    <row r="211" spans="1:5" x14ac:dyDescent="0.2">
      <c r="A211" s="345">
        <v>33938</v>
      </c>
      <c r="B211" s="255"/>
      <c r="C211" s="259"/>
      <c r="D211" s="73"/>
      <c r="E211" s="73"/>
    </row>
    <row r="212" spans="1:5" x14ac:dyDescent="0.2">
      <c r="A212" s="345">
        <v>33969</v>
      </c>
      <c r="B212" s="255"/>
      <c r="C212" s="259"/>
      <c r="D212" s="73"/>
      <c r="E212" s="73"/>
    </row>
    <row r="213" spans="1:5" x14ac:dyDescent="0.2">
      <c r="A213" s="345">
        <v>34000</v>
      </c>
      <c r="B213" s="255"/>
      <c r="C213" s="259"/>
      <c r="D213" s="73"/>
      <c r="E213" s="73"/>
    </row>
    <row r="214" spans="1:5" x14ac:dyDescent="0.2">
      <c r="A214" s="345">
        <v>34028</v>
      </c>
      <c r="B214" s="255"/>
      <c r="C214" s="259"/>
      <c r="D214" s="73"/>
      <c r="E214" s="73"/>
    </row>
    <row r="215" spans="1:5" x14ac:dyDescent="0.2">
      <c r="A215" s="345">
        <v>34059</v>
      </c>
      <c r="B215" s="255"/>
      <c r="C215" s="259"/>
      <c r="D215" s="73"/>
      <c r="E215" s="73"/>
    </row>
    <row r="216" spans="1:5" x14ac:dyDescent="0.2">
      <c r="A216" s="345">
        <v>34089</v>
      </c>
      <c r="B216" s="255"/>
      <c r="C216" s="259"/>
      <c r="D216" s="73"/>
      <c r="E216" s="73"/>
    </row>
    <row r="217" spans="1:5" x14ac:dyDescent="0.2">
      <c r="A217" s="345">
        <v>34120</v>
      </c>
      <c r="B217" s="255"/>
      <c r="C217" s="259"/>
      <c r="D217" s="73"/>
      <c r="E217" s="73"/>
    </row>
    <row r="218" spans="1:5" x14ac:dyDescent="0.2">
      <c r="A218" s="345">
        <v>34150</v>
      </c>
      <c r="B218" s="255"/>
      <c r="C218" s="259"/>
      <c r="D218" s="73"/>
      <c r="E218" s="73"/>
    </row>
    <row r="219" spans="1:5" x14ac:dyDescent="0.2">
      <c r="A219" s="345">
        <v>34181</v>
      </c>
      <c r="B219" s="255"/>
      <c r="C219" s="259"/>
      <c r="D219" s="73"/>
      <c r="E219" s="73"/>
    </row>
    <row r="220" spans="1:5" x14ac:dyDescent="0.2">
      <c r="A220" s="345">
        <v>34212</v>
      </c>
      <c r="B220" s="255"/>
      <c r="C220" s="259"/>
      <c r="D220" s="73"/>
      <c r="E220" s="73"/>
    </row>
    <row r="221" spans="1:5" x14ac:dyDescent="0.2">
      <c r="A221" s="345">
        <v>34242</v>
      </c>
      <c r="B221" s="255"/>
      <c r="C221" s="259"/>
      <c r="D221" s="73"/>
      <c r="E221" s="73"/>
    </row>
    <row r="222" spans="1:5" x14ac:dyDescent="0.2">
      <c r="A222" s="345">
        <v>34273</v>
      </c>
      <c r="B222" s="255"/>
      <c r="C222" s="259"/>
      <c r="D222" s="73"/>
      <c r="E222" s="73"/>
    </row>
    <row r="223" spans="1:5" x14ac:dyDescent="0.2">
      <c r="A223" s="345">
        <v>34303</v>
      </c>
      <c r="B223" s="255"/>
      <c r="C223" s="259"/>
      <c r="D223" s="73"/>
      <c r="E223" s="73"/>
    </row>
    <row r="224" spans="1:5" x14ac:dyDescent="0.2">
      <c r="A224" s="345">
        <v>34334</v>
      </c>
      <c r="B224" s="255"/>
      <c r="C224" s="259"/>
      <c r="D224" s="73"/>
      <c r="E224" s="73"/>
    </row>
    <row r="225" spans="1:5" x14ac:dyDescent="0.2">
      <c r="A225" s="345">
        <v>34365</v>
      </c>
      <c r="B225" s="255"/>
      <c r="C225" s="259"/>
      <c r="D225" s="73"/>
      <c r="E225" s="73"/>
    </row>
    <row r="226" spans="1:5" x14ac:dyDescent="0.2">
      <c r="A226" s="345">
        <v>34393</v>
      </c>
      <c r="B226" s="255"/>
      <c r="C226" s="259"/>
      <c r="D226" s="73"/>
      <c r="E226" s="73"/>
    </row>
    <row r="227" spans="1:5" x14ac:dyDescent="0.2">
      <c r="A227" s="345">
        <v>34424</v>
      </c>
      <c r="B227" s="255"/>
      <c r="C227" s="259"/>
      <c r="D227" s="73"/>
      <c r="E227" s="73"/>
    </row>
    <row r="228" spans="1:5" x14ac:dyDescent="0.2">
      <c r="A228" s="345">
        <v>34454</v>
      </c>
      <c r="B228" s="255"/>
      <c r="C228" s="259"/>
      <c r="D228" s="73"/>
      <c r="E228" s="73"/>
    </row>
    <row r="229" spans="1:5" x14ac:dyDescent="0.2">
      <c r="A229" s="345">
        <v>34485</v>
      </c>
      <c r="B229" s="255"/>
      <c r="C229" s="259"/>
      <c r="D229" s="73"/>
      <c r="E229" s="73"/>
    </row>
    <row r="230" spans="1:5" x14ac:dyDescent="0.2">
      <c r="A230" s="345">
        <v>34515</v>
      </c>
      <c r="B230" s="255"/>
      <c r="C230" s="259"/>
      <c r="D230" s="73"/>
      <c r="E230" s="73"/>
    </row>
    <row r="231" spans="1:5" x14ac:dyDescent="0.2">
      <c r="A231" s="345">
        <v>34546</v>
      </c>
      <c r="B231" s="255"/>
      <c r="C231" s="259"/>
      <c r="D231" s="73"/>
      <c r="E231" s="73"/>
    </row>
    <row r="232" spans="1:5" x14ac:dyDescent="0.2">
      <c r="A232" s="345">
        <v>34577</v>
      </c>
      <c r="B232" s="255"/>
      <c r="C232" s="259"/>
      <c r="D232" s="73"/>
      <c r="E232" s="73"/>
    </row>
    <row r="233" spans="1:5" x14ac:dyDescent="0.2">
      <c r="A233" s="345">
        <v>34607</v>
      </c>
      <c r="B233" s="255"/>
      <c r="C233" s="259"/>
      <c r="D233" s="73"/>
      <c r="E233" s="73"/>
    </row>
    <row r="234" spans="1:5" x14ac:dyDescent="0.2">
      <c r="A234" s="345">
        <v>34638</v>
      </c>
      <c r="B234" s="255"/>
      <c r="C234" s="259"/>
      <c r="D234" s="73"/>
      <c r="E234" s="73"/>
    </row>
    <row r="235" spans="1:5" x14ac:dyDescent="0.2">
      <c r="A235" s="345">
        <v>34668</v>
      </c>
      <c r="B235" s="255"/>
      <c r="C235" s="259"/>
      <c r="D235" s="73"/>
      <c r="E235" s="73"/>
    </row>
    <row r="236" spans="1:5" x14ac:dyDescent="0.2">
      <c r="A236" s="345">
        <v>34699</v>
      </c>
      <c r="B236" s="255"/>
      <c r="C236" s="259"/>
      <c r="D236" s="73"/>
      <c r="E236" s="73"/>
    </row>
    <row r="237" spans="1:5" x14ac:dyDescent="0.2">
      <c r="A237" s="345">
        <v>34730</v>
      </c>
      <c r="B237" s="255"/>
      <c r="C237" s="259"/>
      <c r="D237" s="73"/>
      <c r="E237" s="73"/>
    </row>
    <row r="238" spans="1:5" x14ac:dyDescent="0.2">
      <c r="A238" s="345">
        <v>34758</v>
      </c>
      <c r="B238" s="255"/>
      <c r="C238" s="259"/>
      <c r="D238" s="73"/>
      <c r="E238" s="73"/>
    </row>
    <row r="239" spans="1:5" x14ac:dyDescent="0.2">
      <c r="A239" s="345">
        <v>34789</v>
      </c>
      <c r="B239" s="255"/>
      <c r="C239" s="259"/>
      <c r="D239" s="73"/>
      <c r="E239" s="73"/>
    </row>
    <row r="240" spans="1:5" x14ac:dyDescent="0.2">
      <c r="A240" s="345">
        <v>34819</v>
      </c>
      <c r="B240" s="255"/>
      <c r="C240" s="259"/>
      <c r="D240" s="73"/>
      <c r="E240" s="73"/>
    </row>
    <row r="241" spans="1:5" x14ac:dyDescent="0.2">
      <c r="A241" s="345">
        <v>34850</v>
      </c>
      <c r="B241" s="255"/>
      <c r="C241" s="259"/>
      <c r="D241" s="73"/>
      <c r="E241" s="73"/>
    </row>
    <row r="242" spans="1:5" x14ac:dyDescent="0.2">
      <c r="A242" s="345">
        <v>34880</v>
      </c>
      <c r="B242" s="255"/>
      <c r="C242" s="259"/>
      <c r="D242" s="77"/>
      <c r="E242" s="77"/>
    </row>
    <row r="243" spans="1:5" x14ac:dyDescent="0.2">
      <c r="A243" s="345">
        <v>34911</v>
      </c>
      <c r="B243" s="255"/>
      <c r="C243" s="259"/>
      <c r="D243" s="77"/>
      <c r="E243" s="77"/>
    </row>
    <row r="244" spans="1:5" x14ac:dyDescent="0.2">
      <c r="A244" s="345">
        <v>34942</v>
      </c>
      <c r="B244" s="255"/>
      <c r="C244" s="259"/>
      <c r="D244" s="77"/>
      <c r="E244" s="77"/>
    </row>
    <row r="245" spans="1:5" x14ac:dyDescent="0.2">
      <c r="A245" s="345">
        <v>34972</v>
      </c>
      <c r="B245" s="255"/>
      <c r="C245" s="259"/>
      <c r="D245" s="77"/>
      <c r="E245" s="77"/>
    </row>
    <row r="246" spans="1:5" x14ac:dyDescent="0.2">
      <c r="A246" s="345">
        <v>35003</v>
      </c>
      <c r="B246" s="255"/>
      <c r="C246" s="259"/>
      <c r="D246" s="77"/>
      <c r="E246" s="77"/>
    </row>
    <row r="247" spans="1:5" x14ac:dyDescent="0.2">
      <c r="A247" s="345">
        <v>35033</v>
      </c>
      <c r="B247" s="255"/>
      <c r="C247" s="259"/>
      <c r="D247" s="77"/>
      <c r="E247" s="77"/>
    </row>
    <row r="248" spans="1:5" x14ac:dyDescent="0.2">
      <c r="A248" s="345">
        <v>35064</v>
      </c>
      <c r="B248" s="255"/>
      <c r="C248" s="259"/>
      <c r="D248" s="77"/>
      <c r="E248" s="77"/>
    </row>
    <row r="249" spans="1:5" x14ac:dyDescent="0.2">
      <c r="A249" s="345">
        <v>35095</v>
      </c>
      <c r="B249" s="255"/>
      <c r="C249" s="259"/>
      <c r="D249" s="77"/>
      <c r="E249" s="77"/>
    </row>
    <row r="250" spans="1:5" x14ac:dyDescent="0.2">
      <c r="A250" s="345">
        <v>35124</v>
      </c>
      <c r="B250" s="255"/>
      <c r="C250" s="259"/>
      <c r="D250" s="77"/>
      <c r="E250" s="77"/>
    </row>
    <row r="251" spans="1:5" x14ac:dyDescent="0.2">
      <c r="A251" s="345">
        <v>35155</v>
      </c>
      <c r="B251" s="255"/>
      <c r="C251" s="259"/>
      <c r="D251" s="77"/>
      <c r="E251" s="77"/>
    </row>
    <row r="252" spans="1:5" x14ac:dyDescent="0.2">
      <c r="A252" s="345">
        <v>35185</v>
      </c>
      <c r="B252" s="253"/>
      <c r="C252" s="259"/>
      <c r="D252" s="77"/>
      <c r="E252" s="77"/>
    </row>
    <row r="253" spans="1:5" x14ac:dyDescent="0.2">
      <c r="A253" s="345">
        <v>35216</v>
      </c>
      <c r="B253" s="253"/>
      <c r="C253" s="259"/>
      <c r="D253" s="77"/>
      <c r="E253" s="77"/>
    </row>
    <row r="254" spans="1:5" x14ac:dyDescent="0.2">
      <c r="A254" s="345">
        <v>35246</v>
      </c>
      <c r="B254" s="253"/>
      <c r="C254" s="259"/>
      <c r="D254" s="77"/>
      <c r="E254" s="77"/>
    </row>
    <row r="255" spans="1:5" x14ac:dyDescent="0.2">
      <c r="A255" s="345">
        <v>35277</v>
      </c>
      <c r="B255" s="253"/>
      <c r="C255" s="259"/>
      <c r="D255" s="77"/>
      <c r="E255" s="77"/>
    </row>
    <row r="256" spans="1:5" x14ac:dyDescent="0.2">
      <c r="A256" s="345">
        <v>35308</v>
      </c>
      <c r="B256" s="253"/>
      <c r="C256" s="259"/>
      <c r="D256" s="77"/>
      <c r="E256" s="77"/>
    </row>
    <row r="257" spans="1:5" x14ac:dyDescent="0.2">
      <c r="A257" s="345">
        <v>35338</v>
      </c>
      <c r="B257" s="253"/>
      <c r="C257" s="259"/>
      <c r="D257" s="77"/>
      <c r="E257" s="77"/>
    </row>
    <row r="258" spans="1:5" x14ac:dyDescent="0.2">
      <c r="A258" s="345">
        <v>35369</v>
      </c>
      <c r="B258" s="253"/>
      <c r="C258" s="259"/>
      <c r="D258" s="77"/>
      <c r="E258" s="77"/>
    </row>
    <row r="259" spans="1:5" x14ac:dyDescent="0.2">
      <c r="A259" s="345">
        <v>35399</v>
      </c>
      <c r="B259" s="253"/>
      <c r="C259" s="259"/>
      <c r="D259" s="77"/>
      <c r="E259" s="77"/>
    </row>
    <row r="260" spans="1:5" x14ac:dyDescent="0.2">
      <c r="A260" s="345">
        <v>35430</v>
      </c>
      <c r="B260" s="253"/>
      <c r="C260" s="259"/>
      <c r="D260" s="77"/>
      <c r="E260" s="77"/>
    </row>
    <row r="261" spans="1:5" x14ac:dyDescent="0.2">
      <c r="A261" s="345">
        <v>35461</v>
      </c>
      <c r="B261" s="253"/>
      <c r="C261" s="259"/>
      <c r="D261" s="77"/>
      <c r="E261" s="77"/>
    </row>
    <row r="262" spans="1:5" x14ac:dyDescent="0.2">
      <c r="A262" s="345">
        <v>35489</v>
      </c>
      <c r="B262" s="253"/>
      <c r="C262" s="259"/>
      <c r="D262" s="77"/>
      <c r="E262" s="77"/>
    </row>
    <row r="263" spans="1:5" x14ac:dyDescent="0.2">
      <c r="A263" s="345">
        <v>35520</v>
      </c>
      <c r="B263" s="253"/>
      <c r="C263" s="259"/>
      <c r="D263" s="77"/>
      <c r="E263" s="77"/>
    </row>
    <row r="264" spans="1:5" x14ac:dyDescent="0.2">
      <c r="A264" s="345">
        <v>35550</v>
      </c>
      <c r="B264" s="253"/>
      <c r="C264" s="259"/>
      <c r="D264" s="77"/>
      <c r="E264" s="77"/>
    </row>
    <row r="265" spans="1:5" x14ac:dyDescent="0.2">
      <c r="A265" s="345">
        <v>35581</v>
      </c>
      <c r="B265" s="253"/>
      <c r="C265" s="259"/>
      <c r="D265" s="77"/>
      <c r="E265" s="77"/>
    </row>
    <row r="266" spans="1:5" x14ac:dyDescent="0.2">
      <c r="A266" s="345">
        <v>35611</v>
      </c>
      <c r="B266" s="253"/>
      <c r="C266" s="259"/>
      <c r="D266" s="77"/>
      <c r="E266" s="77"/>
    </row>
    <row r="267" spans="1:5" x14ac:dyDescent="0.2">
      <c r="A267" s="345">
        <v>35642</v>
      </c>
      <c r="B267" s="253"/>
      <c r="C267" s="259"/>
      <c r="D267" s="77"/>
      <c r="E267" s="77"/>
    </row>
    <row r="268" spans="1:5" x14ac:dyDescent="0.2">
      <c r="A268" s="345">
        <v>35673</v>
      </c>
      <c r="B268" s="253"/>
      <c r="C268" s="259"/>
      <c r="D268" s="77"/>
      <c r="E268" s="77"/>
    </row>
    <row r="269" spans="1:5" x14ac:dyDescent="0.2">
      <c r="A269" s="345">
        <v>35703</v>
      </c>
      <c r="B269" s="253"/>
      <c r="C269" s="259"/>
      <c r="D269" s="77"/>
      <c r="E269" s="77"/>
    </row>
    <row r="270" spans="1:5" x14ac:dyDescent="0.2">
      <c r="A270" s="345">
        <v>35734</v>
      </c>
      <c r="B270" s="253"/>
      <c r="C270" s="259"/>
      <c r="D270" s="77"/>
      <c r="E270" s="77"/>
    </row>
    <row r="271" spans="1:5" x14ac:dyDescent="0.2">
      <c r="A271" s="345">
        <v>35764</v>
      </c>
      <c r="B271" s="253"/>
      <c r="C271" s="259"/>
      <c r="D271" s="77"/>
      <c r="E271" s="77"/>
    </row>
    <row r="272" spans="1:5" x14ac:dyDescent="0.2">
      <c r="A272" s="345">
        <v>35795</v>
      </c>
      <c r="B272" s="253"/>
      <c r="C272" s="259"/>
      <c r="D272" s="77"/>
      <c r="E272" s="77"/>
    </row>
    <row r="273" spans="1:5" x14ac:dyDescent="0.2">
      <c r="A273" s="345">
        <v>35826</v>
      </c>
      <c r="B273" s="253"/>
      <c r="C273" s="259"/>
      <c r="D273" s="77"/>
      <c r="E273" s="77"/>
    </row>
    <row r="274" spans="1:5" x14ac:dyDescent="0.2">
      <c r="A274" s="345">
        <v>35854</v>
      </c>
      <c r="B274" s="253"/>
      <c r="C274" s="259"/>
      <c r="D274" s="77"/>
      <c r="E274" s="77"/>
    </row>
    <row r="275" spans="1:5" x14ac:dyDescent="0.2">
      <c r="A275" s="345">
        <v>35885</v>
      </c>
      <c r="B275" s="253"/>
      <c r="C275" s="259"/>
      <c r="D275" s="77"/>
      <c r="E275" s="77"/>
    </row>
    <row r="276" spans="1:5" x14ac:dyDescent="0.2">
      <c r="A276" s="345">
        <v>35915</v>
      </c>
      <c r="B276" s="253"/>
      <c r="C276" s="259"/>
      <c r="D276" s="77"/>
      <c r="E276" s="77"/>
    </row>
    <row r="277" spans="1:5" x14ac:dyDescent="0.2">
      <c r="A277" s="345">
        <v>35946</v>
      </c>
      <c r="B277" s="253"/>
      <c r="C277" s="259"/>
      <c r="D277" s="77"/>
      <c r="E277" s="77"/>
    </row>
    <row r="278" spans="1:5" x14ac:dyDescent="0.2">
      <c r="A278" s="345">
        <v>35976</v>
      </c>
      <c r="B278" s="253"/>
      <c r="C278" s="259"/>
      <c r="D278" s="77"/>
      <c r="E278" s="77"/>
    </row>
    <row r="279" spans="1:5" x14ac:dyDescent="0.2">
      <c r="A279" s="345">
        <v>36007</v>
      </c>
      <c r="B279" s="253"/>
      <c r="C279" s="259"/>
      <c r="D279" s="77"/>
      <c r="E279" s="77"/>
    </row>
    <row r="280" spans="1:5" x14ac:dyDescent="0.2">
      <c r="A280" s="345">
        <v>36038</v>
      </c>
      <c r="B280" s="253"/>
      <c r="C280" s="259"/>
      <c r="D280" s="77"/>
      <c r="E280" s="77"/>
    </row>
    <row r="281" spans="1:5" x14ac:dyDescent="0.2">
      <c r="A281" s="345">
        <v>36068</v>
      </c>
      <c r="B281" s="253"/>
      <c r="C281" s="259"/>
      <c r="D281" s="77"/>
      <c r="E281" s="77"/>
    </row>
    <row r="282" spans="1:5" x14ac:dyDescent="0.2">
      <c r="A282" s="345">
        <v>36099</v>
      </c>
      <c r="B282" s="253"/>
      <c r="C282" s="259"/>
      <c r="D282" s="77"/>
      <c r="E282" s="77"/>
    </row>
    <row r="283" spans="1:5" x14ac:dyDescent="0.2">
      <c r="A283" s="345">
        <v>36129</v>
      </c>
      <c r="B283" s="253"/>
      <c r="C283" s="259"/>
      <c r="D283" s="77"/>
      <c r="E283" s="77"/>
    </row>
    <row r="284" spans="1:5" x14ac:dyDescent="0.2">
      <c r="A284" s="345">
        <v>36160</v>
      </c>
      <c r="B284" s="253"/>
      <c r="C284" s="33"/>
      <c r="D284" s="253"/>
      <c r="E284" s="253"/>
    </row>
    <row r="285" spans="1:5" x14ac:dyDescent="0.2">
      <c r="A285" s="345">
        <v>36191</v>
      </c>
      <c r="B285" s="253"/>
      <c r="C285" s="33"/>
      <c r="D285" s="253"/>
      <c r="E285" s="253"/>
    </row>
    <row r="286" spans="1:5" x14ac:dyDescent="0.2">
      <c r="A286" s="345">
        <v>36219</v>
      </c>
      <c r="B286" s="253"/>
      <c r="C286" s="33"/>
      <c r="D286" s="253"/>
      <c r="E286" s="253"/>
    </row>
    <row r="287" spans="1:5" x14ac:dyDescent="0.2">
      <c r="A287" s="345">
        <v>36250</v>
      </c>
      <c r="B287" s="253"/>
      <c r="C287" s="33"/>
      <c r="D287" s="253"/>
      <c r="E287" s="253"/>
    </row>
    <row r="288" spans="1:5" x14ac:dyDescent="0.2">
      <c r="A288" s="345">
        <v>36280</v>
      </c>
      <c r="B288" s="253"/>
      <c r="C288" s="33"/>
      <c r="D288" s="253"/>
      <c r="E288" s="253"/>
    </row>
    <row r="289" spans="1:5" x14ac:dyDescent="0.2">
      <c r="A289" s="345">
        <v>36311</v>
      </c>
      <c r="B289" s="253"/>
      <c r="C289" s="33"/>
      <c r="D289" s="253"/>
      <c r="E289" s="253"/>
    </row>
    <row r="290" spans="1:5" x14ac:dyDescent="0.2">
      <c r="A290" s="345">
        <v>36341</v>
      </c>
      <c r="B290" s="253"/>
      <c r="C290" s="33"/>
      <c r="D290" s="253"/>
      <c r="E290" s="253"/>
    </row>
    <row r="291" spans="1:5" x14ac:dyDescent="0.2">
      <c r="A291" s="345">
        <v>36372</v>
      </c>
      <c r="B291" s="253"/>
      <c r="C291" s="33"/>
      <c r="D291" s="253"/>
      <c r="E291" s="253"/>
    </row>
    <row r="292" spans="1:5" x14ac:dyDescent="0.2">
      <c r="A292" s="345">
        <v>36403</v>
      </c>
      <c r="B292" s="253"/>
      <c r="C292" s="33"/>
      <c r="D292" s="253"/>
      <c r="E292" s="253"/>
    </row>
    <row r="293" spans="1:5" x14ac:dyDescent="0.2">
      <c r="A293" s="345">
        <v>36433</v>
      </c>
      <c r="B293" s="253"/>
      <c r="C293" s="33"/>
      <c r="D293" s="253"/>
      <c r="E293" s="253"/>
    </row>
    <row r="294" spans="1:5" x14ac:dyDescent="0.2">
      <c r="A294" s="345">
        <v>36464</v>
      </c>
      <c r="B294" s="253"/>
      <c r="C294" s="33"/>
      <c r="D294" s="253"/>
      <c r="E294" s="253"/>
    </row>
    <row r="295" spans="1:5" x14ac:dyDescent="0.2">
      <c r="A295" s="345">
        <v>36494</v>
      </c>
      <c r="B295" s="253"/>
      <c r="C295" s="33"/>
      <c r="D295" s="253"/>
      <c r="E295" s="253"/>
    </row>
    <row r="296" spans="1:5" x14ac:dyDescent="0.2">
      <c r="A296" s="345">
        <v>36525</v>
      </c>
      <c r="B296" s="253"/>
      <c r="C296" s="33"/>
      <c r="D296" s="253"/>
      <c r="E296" s="253"/>
    </row>
    <row r="297" spans="1:5" x14ac:dyDescent="0.2">
      <c r="A297" s="345">
        <v>36556</v>
      </c>
      <c r="B297" s="253"/>
      <c r="C297" s="33"/>
      <c r="D297" s="253"/>
      <c r="E297" s="253"/>
    </row>
    <row r="298" spans="1:5" x14ac:dyDescent="0.2">
      <c r="A298" s="345">
        <v>36585</v>
      </c>
      <c r="B298" s="253"/>
      <c r="C298" s="33"/>
      <c r="D298" s="253"/>
      <c r="E298" s="253"/>
    </row>
    <row r="299" spans="1:5" x14ac:dyDescent="0.2">
      <c r="A299" s="345">
        <v>36616</v>
      </c>
      <c r="B299" s="253"/>
      <c r="C299" s="33"/>
      <c r="D299" s="253"/>
      <c r="E299" s="253"/>
    </row>
    <row r="300" spans="1:5" x14ac:dyDescent="0.2">
      <c r="A300" s="345">
        <v>36646</v>
      </c>
      <c r="B300" s="253"/>
      <c r="C300" s="33"/>
      <c r="D300" s="253"/>
      <c r="E300" s="253"/>
    </row>
    <row r="301" spans="1:5" x14ac:dyDescent="0.2">
      <c r="A301" s="345">
        <v>36677</v>
      </c>
      <c r="B301" s="253"/>
      <c r="C301" s="33"/>
      <c r="D301" s="253"/>
      <c r="E301" s="253"/>
    </row>
    <row r="302" spans="1:5" x14ac:dyDescent="0.2">
      <c r="A302" s="345">
        <v>36707</v>
      </c>
      <c r="B302" s="253"/>
      <c r="C302" s="33"/>
      <c r="D302" s="253"/>
      <c r="E302" s="253"/>
    </row>
    <row r="303" spans="1:5" x14ac:dyDescent="0.2">
      <c r="A303" s="345">
        <v>36738</v>
      </c>
      <c r="B303" s="253"/>
      <c r="C303" s="33"/>
      <c r="D303" s="253"/>
      <c r="E303" s="253"/>
    </row>
    <row r="304" spans="1:5" x14ac:dyDescent="0.2">
      <c r="A304" s="345">
        <v>36769</v>
      </c>
      <c r="B304" s="253"/>
      <c r="C304" s="33"/>
      <c r="D304" s="253"/>
      <c r="E304" s="253"/>
    </row>
    <row r="305" spans="1:5" x14ac:dyDescent="0.2">
      <c r="A305" s="345">
        <v>36799</v>
      </c>
      <c r="B305" s="253"/>
      <c r="C305" s="33"/>
      <c r="D305" s="253"/>
      <c r="E305" s="253"/>
    </row>
    <row r="306" spans="1:5" x14ac:dyDescent="0.2">
      <c r="A306" s="345">
        <v>36830</v>
      </c>
      <c r="B306" s="253"/>
      <c r="C306" s="33"/>
      <c r="D306" s="253"/>
      <c r="E306" s="253"/>
    </row>
    <row r="307" spans="1:5" x14ac:dyDescent="0.2">
      <c r="A307" s="345">
        <v>36860</v>
      </c>
      <c r="B307" s="253"/>
      <c r="C307" s="33"/>
      <c r="D307" s="253"/>
      <c r="E307" s="253"/>
    </row>
    <row r="308" spans="1:5" x14ac:dyDescent="0.2">
      <c r="A308" s="345">
        <v>36891</v>
      </c>
      <c r="B308" s="253"/>
      <c r="C308" s="33"/>
      <c r="D308" s="253"/>
      <c r="E308" s="253"/>
    </row>
    <row r="309" spans="1:5" x14ac:dyDescent="0.2">
      <c r="A309" s="345">
        <v>36922</v>
      </c>
      <c r="B309" s="253"/>
      <c r="C309" s="33"/>
      <c r="D309" s="253"/>
      <c r="E309" s="253"/>
    </row>
    <row r="310" spans="1:5" x14ac:dyDescent="0.2">
      <c r="A310" s="345">
        <v>36950</v>
      </c>
      <c r="B310" s="253"/>
      <c r="C310" s="33"/>
      <c r="D310" s="253"/>
      <c r="E310" s="253"/>
    </row>
    <row r="311" spans="1:5" x14ac:dyDescent="0.2">
      <c r="A311" s="345">
        <v>36981</v>
      </c>
      <c r="B311" s="253"/>
      <c r="C311" s="33"/>
      <c r="D311" s="253"/>
      <c r="E311" s="253"/>
    </row>
    <row r="312" spans="1:5" x14ac:dyDescent="0.2">
      <c r="A312" s="345">
        <v>37011</v>
      </c>
      <c r="B312" s="253"/>
      <c r="C312" s="33"/>
      <c r="D312" s="253"/>
      <c r="E312" s="253"/>
    </row>
    <row r="313" spans="1:5" x14ac:dyDescent="0.2">
      <c r="A313" s="345">
        <v>37042</v>
      </c>
      <c r="B313" s="253"/>
      <c r="C313" s="33"/>
      <c r="D313" s="253"/>
      <c r="E313" s="253"/>
    </row>
    <row r="314" spans="1:5" x14ac:dyDescent="0.2">
      <c r="A314" s="345">
        <v>37072</v>
      </c>
      <c r="B314" s="253"/>
      <c r="C314" s="33"/>
      <c r="D314" s="253"/>
      <c r="E314" s="253"/>
    </row>
    <row r="315" spans="1:5" x14ac:dyDescent="0.2">
      <c r="A315" s="345">
        <v>37103</v>
      </c>
      <c r="B315" s="253"/>
      <c r="C315" s="33"/>
      <c r="D315" s="253"/>
      <c r="E315" s="253"/>
    </row>
    <row r="316" spans="1:5" x14ac:dyDescent="0.2">
      <c r="A316" s="345">
        <v>37134</v>
      </c>
      <c r="B316" s="253"/>
      <c r="C316" s="33"/>
      <c r="D316" s="253"/>
      <c r="E316" s="253"/>
    </row>
    <row r="317" spans="1:5" x14ac:dyDescent="0.2">
      <c r="A317" s="345">
        <v>37164</v>
      </c>
      <c r="B317" s="253"/>
      <c r="C317" s="33"/>
      <c r="D317" s="253"/>
      <c r="E317" s="253"/>
    </row>
    <row r="318" spans="1:5" x14ac:dyDescent="0.2">
      <c r="A318" s="345">
        <v>37195</v>
      </c>
      <c r="B318" s="253"/>
      <c r="C318" s="33"/>
      <c r="D318" s="253"/>
      <c r="E318" s="253"/>
    </row>
    <row r="319" spans="1:5" x14ac:dyDescent="0.2">
      <c r="A319" s="345">
        <v>37225</v>
      </c>
      <c r="B319" s="253"/>
      <c r="C319" s="33"/>
      <c r="D319" s="253"/>
      <c r="E319" s="253"/>
    </row>
    <row r="320" spans="1:5" x14ac:dyDescent="0.2">
      <c r="A320" s="345">
        <v>37256</v>
      </c>
      <c r="B320" s="253"/>
      <c r="C320" s="33"/>
      <c r="D320" s="253"/>
      <c r="E320" s="253"/>
    </row>
    <row r="321" spans="1:5" x14ac:dyDescent="0.2">
      <c r="A321" s="345">
        <v>37287</v>
      </c>
      <c r="B321" s="253"/>
      <c r="C321" s="33"/>
      <c r="D321" s="253"/>
      <c r="E321" s="253"/>
    </row>
    <row r="322" spans="1:5" x14ac:dyDescent="0.2">
      <c r="A322" s="345">
        <v>37315</v>
      </c>
      <c r="B322" s="253"/>
      <c r="C322" s="33"/>
      <c r="D322" s="253"/>
      <c r="E322" s="253"/>
    </row>
    <row r="323" spans="1:5" x14ac:dyDescent="0.2">
      <c r="A323" s="345">
        <v>37346</v>
      </c>
      <c r="B323" s="253"/>
      <c r="C323" s="33"/>
      <c r="D323" s="253"/>
      <c r="E323" s="253"/>
    </row>
    <row r="324" spans="1:5" x14ac:dyDescent="0.2">
      <c r="A324" s="345">
        <v>37376</v>
      </c>
      <c r="B324" s="253"/>
      <c r="C324" s="33"/>
      <c r="D324" s="253"/>
      <c r="E324" s="253"/>
    </row>
    <row r="325" spans="1:5" x14ac:dyDescent="0.2">
      <c r="A325" s="345">
        <v>37407</v>
      </c>
      <c r="B325" s="253"/>
      <c r="C325" s="33"/>
      <c r="D325" s="253"/>
      <c r="E325" s="253"/>
    </row>
    <row r="326" spans="1:5" x14ac:dyDescent="0.2">
      <c r="A326" s="345">
        <v>37437</v>
      </c>
      <c r="B326" s="253"/>
      <c r="C326" s="33"/>
      <c r="D326" s="253"/>
      <c r="E326" s="253"/>
    </row>
    <row r="327" spans="1:5" x14ac:dyDescent="0.2">
      <c r="A327" s="345">
        <v>37468</v>
      </c>
      <c r="B327" s="253"/>
      <c r="C327" s="33"/>
      <c r="D327" s="253"/>
      <c r="E327" s="253"/>
    </row>
    <row r="328" spans="1:5" x14ac:dyDescent="0.2">
      <c r="A328" s="345">
        <v>37499</v>
      </c>
      <c r="B328" s="253"/>
      <c r="C328" s="33"/>
      <c r="D328" s="253"/>
      <c r="E328" s="253"/>
    </row>
    <row r="329" spans="1:5" x14ac:dyDescent="0.2">
      <c r="A329" s="345">
        <v>37529</v>
      </c>
      <c r="B329" s="253"/>
      <c r="C329" s="33"/>
      <c r="D329" s="253"/>
      <c r="E329" s="253"/>
    </row>
    <row r="330" spans="1:5" x14ac:dyDescent="0.2">
      <c r="A330" s="345">
        <v>37560</v>
      </c>
      <c r="B330" s="253"/>
      <c r="C330" s="33"/>
      <c r="D330" s="253"/>
      <c r="E330" s="253"/>
    </row>
    <row r="331" spans="1:5" x14ac:dyDescent="0.2">
      <c r="A331" s="345">
        <v>37590</v>
      </c>
      <c r="B331" s="253"/>
      <c r="C331" s="33"/>
      <c r="D331" s="253"/>
      <c r="E331" s="253"/>
    </row>
    <row r="332" spans="1:5" x14ac:dyDescent="0.2">
      <c r="A332" s="345">
        <v>37621</v>
      </c>
      <c r="B332" s="253"/>
      <c r="C332" s="33"/>
      <c r="D332" s="253"/>
      <c r="E332" s="253"/>
    </row>
    <row r="333" spans="1:5" x14ac:dyDescent="0.2">
      <c r="A333" s="345">
        <v>37652</v>
      </c>
      <c r="B333" s="253"/>
      <c r="C333" s="33"/>
      <c r="D333" s="253"/>
      <c r="E333" s="253"/>
    </row>
    <row r="334" spans="1:5" x14ac:dyDescent="0.2">
      <c r="A334" s="345">
        <v>37680</v>
      </c>
      <c r="B334" s="253"/>
      <c r="C334" s="33"/>
      <c r="D334" s="253"/>
      <c r="E334" s="253"/>
    </row>
    <row r="335" spans="1:5" x14ac:dyDescent="0.2">
      <c r="A335" s="345">
        <v>37711</v>
      </c>
      <c r="B335" s="253"/>
      <c r="C335" s="33"/>
      <c r="D335" s="253"/>
      <c r="E335" s="253"/>
    </row>
    <row r="336" spans="1:5" x14ac:dyDescent="0.2">
      <c r="A336" s="345">
        <v>37741</v>
      </c>
      <c r="B336" s="253"/>
      <c r="C336" s="33"/>
      <c r="D336" s="253"/>
      <c r="E336" s="253"/>
    </row>
    <row r="337" spans="1:9" x14ac:dyDescent="0.2">
      <c r="A337" s="345">
        <v>37772</v>
      </c>
      <c r="B337" s="253"/>
      <c r="C337" s="33"/>
      <c r="D337" s="253"/>
      <c r="E337" s="253"/>
    </row>
    <row r="338" spans="1:9" x14ac:dyDescent="0.2">
      <c r="A338" s="345">
        <v>37802</v>
      </c>
      <c r="B338" s="253"/>
      <c r="C338" s="33"/>
      <c r="D338" s="253"/>
      <c r="E338" s="253"/>
    </row>
    <row r="339" spans="1:9" x14ac:dyDescent="0.2">
      <c r="A339" s="345">
        <v>37833</v>
      </c>
      <c r="B339" s="253"/>
      <c r="C339" s="33"/>
      <c r="D339" s="253"/>
      <c r="E339" s="253"/>
    </row>
    <row r="340" spans="1:9" x14ac:dyDescent="0.2">
      <c r="A340" s="345">
        <v>37864</v>
      </c>
      <c r="B340" s="253"/>
      <c r="C340" s="33"/>
      <c r="D340" s="253"/>
      <c r="E340" s="253"/>
    </row>
    <row r="341" spans="1:9" x14ac:dyDescent="0.2">
      <c r="A341" s="345">
        <v>37894</v>
      </c>
      <c r="B341" s="253"/>
      <c r="C341" s="34"/>
      <c r="D341" s="253"/>
      <c r="E341" s="253"/>
    </row>
    <row r="342" spans="1:9" x14ac:dyDescent="0.2">
      <c r="A342" s="345">
        <v>37925</v>
      </c>
      <c r="B342" s="253"/>
      <c r="C342" s="34"/>
      <c r="D342" s="253"/>
      <c r="E342" s="253"/>
    </row>
    <row r="343" spans="1:9" x14ac:dyDescent="0.2">
      <c r="A343" s="345">
        <v>37955</v>
      </c>
      <c r="B343" s="253"/>
      <c r="C343" s="34"/>
      <c r="D343" s="253"/>
      <c r="E343" s="253"/>
    </row>
    <row r="344" spans="1:9" x14ac:dyDescent="0.2">
      <c r="A344" s="345">
        <v>37986</v>
      </c>
      <c r="B344" s="253"/>
      <c r="C344" s="34"/>
      <c r="D344" s="253"/>
      <c r="E344" s="253"/>
    </row>
    <row r="345" spans="1:9" x14ac:dyDescent="0.2">
      <c r="A345" s="345">
        <v>38017</v>
      </c>
      <c r="B345" s="253"/>
      <c r="C345" s="34"/>
      <c r="D345" s="253"/>
      <c r="E345" s="253"/>
    </row>
    <row r="346" spans="1:9" x14ac:dyDescent="0.2">
      <c r="A346" s="345">
        <v>38046</v>
      </c>
      <c r="B346" s="253"/>
      <c r="C346" s="34"/>
      <c r="D346" s="253"/>
      <c r="E346" s="253"/>
    </row>
    <row r="347" spans="1:9" x14ac:dyDescent="0.2">
      <c r="A347" s="345">
        <v>38077</v>
      </c>
      <c r="B347" s="253"/>
      <c r="C347" s="34"/>
      <c r="D347" s="255"/>
      <c r="E347" s="253"/>
    </row>
    <row r="348" spans="1:9" x14ac:dyDescent="0.2">
      <c r="A348" s="345">
        <v>38107</v>
      </c>
      <c r="B348" s="253"/>
      <c r="C348" s="34"/>
      <c r="D348" s="253"/>
      <c r="E348" s="253"/>
      <c r="I348" s="14"/>
    </row>
    <row r="349" spans="1:9" x14ac:dyDescent="0.2">
      <c r="A349" s="345">
        <v>38138</v>
      </c>
      <c r="B349" s="253"/>
      <c r="C349" s="34"/>
      <c r="D349" s="253"/>
      <c r="E349" s="253"/>
      <c r="I349" s="14"/>
    </row>
    <row r="350" spans="1:9" x14ac:dyDescent="0.2">
      <c r="A350" s="345">
        <v>38168</v>
      </c>
      <c r="B350" s="253"/>
      <c r="C350" s="34"/>
      <c r="D350" s="253"/>
      <c r="E350" s="253"/>
      <c r="I350" s="14"/>
    </row>
    <row r="351" spans="1:9" x14ac:dyDescent="0.2">
      <c r="A351" s="345">
        <v>38199</v>
      </c>
      <c r="B351" s="253"/>
      <c r="C351" s="34"/>
      <c r="D351" s="253"/>
      <c r="E351" s="253"/>
    </row>
    <row r="352" spans="1:9" x14ac:dyDescent="0.2">
      <c r="A352" s="345">
        <v>38230</v>
      </c>
      <c r="B352" s="253"/>
      <c r="C352" s="34"/>
      <c r="D352" s="253"/>
      <c r="E352" s="253"/>
    </row>
    <row r="353" spans="1:5" x14ac:dyDescent="0.2">
      <c r="A353" s="345">
        <v>38260</v>
      </c>
      <c r="B353" s="253"/>
      <c r="C353" s="34"/>
      <c r="D353" s="253"/>
      <c r="E353" s="253"/>
    </row>
    <row r="354" spans="1:5" x14ac:dyDescent="0.2">
      <c r="A354" s="345">
        <v>38291</v>
      </c>
      <c r="B354" s="253"/>
      <c r="C354" s="34"/>
      <c r="D354" s="253"/>
      <c r="E354" s="253"/>
    </row>
    <row r="355" spans="1:5" x14ac:dyDescent="0.2">
      <c r="A355" s="345">
        <v>38321</v>
      </c>
      <c r="B355" s="253"/>
      <c r="C355" s="34"/>
      <c r="D355" s="253"/>
      <c r="E355" s="253"/>
    </row>
    <row r="356" spans="1:5" x14ac:dyDescent="0.2">
      <c r="A356" s="345">
        <v>38352</v>
      </c>
      <c r="B356" s="253"/>
      <c r="C356" s="256"/>
      <c r="D356" s="253"/>
      <c r="E356" s="253"/>
    </row>
    <row r="357" spans="1:5" x14ac:dyDescent="0.2">
      <c r="A357" s="345">
        <v>38383</v>
      </c>
      <c r="B357" s="253"/>
      <c r="C357" s="34"/>
      <c r="D357" s="76"/>
      <c r="E357" s="253"/>
    </row>
    <row r="358" spans="1:5" x14ac:dyDescent="0.2">
      <c r="A358" s="345">
        <v>38411</v>
      </c>
      <c r="B358" s="253"/>
      <c r="C358" s="34"/>
      <c r="D358" s="76"/>
      <c r="E358" s="253"/>
    </row>
    <row r="359" spans="1:5" x14ac:dyDescent="0.2">
      <c r="A359" s="345">
        <v>38442</v>
      </c>
      <c r="B359" s="253"/>
      <c r="C359" s="256"/>
      <c r="D359" s="76"/>
      <c r="E359" s="253"/>
    </row>
    <row r="360" spans="1:5" x14ac:dyDescent="0.2">
      <c r="A360" s="345">
        <v>38472</v>
      </c>
      <c r="B360" s="253"/>
      <c r="C360" s="256"/>
      <c r="D360" s="76"/>
      <c r="E360" s="253"/>
    </row>
    <row r="361" spans="1:5" x14ac:dyDescent="0.2">
      <c r="A361" s="345">
        <v>38503</v>
      </c>
      <c r="B361" s="253"/>
      <c r="C361" s="256"/>
      <c r="D361" s="76"/>
      <c r="E361" s="253"/>
    </row>
    <row r="362" spans="1:5" x14ac:dyDescent="0.2">
      <c r="A362" s="345">
        <v>38533</v>
      </c>
      <c r="B362" s="253"/>
      <c r="C362" s="256"/>
      <c r="D362" s="76"/>
      <c r="E362" s="253"/>
    </row>
    <row r="363" spans="1:5" x14ac:dyDescent="0.2">
      <c r="A363" s="345">
        <v>38564</v>
      </c>
      <c r="B363" s="253"/>
      <c r="C363" s="256"/>
      <c r="D363" s="76"/>
      <c r="E363" s="253"/>
    </row>
    <row r="364" spans="1:5" x14ac:dyDescent="0.2">
      <c r="A364" s="345">
        <v>38595</v>
      </c>
      <c r="B364" s="253"/>
      <c r="C364" s="256"/>
      <c r="D364" s="76"/>
      <c r="E364" s="253"/>
    </row>
    <row r="365" spans="1:5" x14ac:dyDescent="0.2">
      <c r="A365" s="345">
        <v>38625</v>
      </c>
      <c r="B365" s="253"/>
      <c r="C365" s="334"/>
      <c r="D365" s="76"/>
      <c r="E365" s="253"/>
    </row>
    <row r="366" spans="1:5" x14ac:dyDescent="0.2">
      <c r="A366" s="345">
        <v>38656</v>
      </c>
      <c r="B366" s="253"/>
      <c r="C366" s="334"/>
      <c r="D366" s="76"/>
      <c r="E366" s="253"/>
    </row>
    <row r="367" spans="1:5" x14ac:dyDescent="0.2">
      <c r="A367" s="345">
        <v>38686</v>
      </c>
      <c r="B367" s="253"/>
      <c r="C367" s="334"/>
      <c r="D367" s="76"/>
      <c r="E367" s="253"/>
    </row>
    <row r="368" spans="1:5" x14ac:dyDescent="0.2">
      <c r="A368" s="345">
        <v>38717</v>
      </c>
      <c r="B368" s="253"/>
      <c r="C368" s="256"/>
      <c r="D368" s="76"/>
      <c r="E368" s="253"/>
    </row>
    <row r="369" spans="1:9" x14ac:dyDescent="0.2">
      <c r="A369" s="345">
        <v>38748</v>
      </c>
      <c r="B369" s="253"/>
      <c r="C369" s="256"/>
      <c r="D369" s="76"/>
      <c r="E369" s="253"/>
      <c r="F369" s="496"/>
      <c r="G369" s="700"/>
      <c r="H369" s="703"/>
      <c r="I369" s="253"/>
    </row>
    <row r="370" spans="1:9" x14ac:dyDescent="0.2">
      <c r="A370" s="345">
        <v>38776</v>
      </c>
      <c r="B370" s="253"/>
      <c r="C370" s="256"/>
      <c r="D370" s="76"/>
      <c r="E370" s="253"/>
      <c r="F370" s="496"/>
      <c r="G370" s="701"/>
      <c r="H370" s="703"/>
      <c r="I370" s="253"/>
    </row>
    <row r="371" spans="1:9" x14ac:dyDescent="0.2">
      <c r="A371" s="345">
        <v>38807</v>
      </c>
      <c r="B371" s="253"/>
      <c r="C371" s="256"/>
      <c r="D371" s="76"/>
      <c r="E371" s="253"/>
      <c r="F371" s="496"/>
      <c r="G371" s="701"/>
      <c r="H371" s="703"/>
      <c r="I371" s="253"/>
    </row>
    <row r="372" spans="1:9" x14ac:dyDescent="0.2">
      <c r="A372" s="345">
        <v>38837</v>
      </c>
      <c r="B372" s="253"/>
      <c r="C372" s="34"/>
      <c r="D372" s="76"/>
      <c r="E372" s="253"/>
      <c r="F372" s="496"/>
      <c r="G372" s="700"/>
      <c r="H372" s="703"/>
      <c r="I372" s="253"/>
    </row>
    <row r="373" spans="1:9" x14ac:dyDescent="0.2">
      <c r="A373" s="345">
        <v>38868</v>
      </c>
      <c r="B373" s="253"/>
      <c r="C373" s="34"/>
      <c r="D373" s="76"/>
      <c r="E373" s="253"/>
      <c r="F373" s="496"/>
      <c r="G373" s="700"/>
      <c r="H373" s="703"/>
      <c r="I373" s="253"/>
    </row>
    <row r="374" spans="1:9" x14ac:dyDescent="0.2">
      <c r="A374" s="345">
        <v>38898</v>
      </c>
      <c r="B374" s="76"/>
      <c r="C374" s="354"/>
      <c r="D374" s="253"/>
      <c r="E374" s="253"/>
      <c r="F374" s="496"/>
      <c r="G374" s="700"/>
      <c r="H374" s="703"/>
      <c r="I374" s="253"/>
    </row>
    <row r="375" spans="1:9" x14ac:dyDescent="0.2">
      <c r="A375" s="345">
        <v>38929</v>
      </c>
      <c r="B375" s="253"/>
      <c r="C375" s="34"/>
      <c r="D375" s="253"/>
      <c r="E375" s="253"/>
      <c r="F375" s="496"/>
      <c r="G375" s="700"/>
      <c r="H375" s="703"/>
      <c r="I375" s="253"/>
    </row>
    <row r="376" spans="1:9" x14ac:dyDescent="0.2">
      <c r="A376" s="345">
        <v>38960</v>
      </c>
      <c r="B376" s="253"/>
      <c r="C376" s="34"/>
      <c r="D376" s="253"/>
      <c r="E376" s="253"/>
    </row>
    <row r="377" spans="1:9" x14ac:dyDescent="0.2">
      <c r="A377" s="345">
        <v>38990</v>
      </c>
      <c r="B377" s="253"/>
      <c r="C377" s="34"/>
      <c r="D377" s="253"/>
      <c r="E377" s="253"/>
    </row>
    <row r="378" spans="1:9" x14ac:dyDescent="0.2">
      <c r="A378" s="345">
        <v>39021</v>
      </c>
      <c r="B378" s="253"/>
      <c r="C378" s="34"/>
      <c r="D378" s="253"/>
      <c r="E378" s="253"/>
    </row>
    <row r="379" spans="1:9" x14ac:dyDescent="0.2">
      <c r="A379" s="345">
        <v>39051</v>
      </c>
      <c r="B379" s="253"/>
      <c r="C379" s="34"/>
      <c r="D379" s="253"/>
      <c r="E379" s="253"/>
    </row>
    <row r="380" spans="1:9" x14ac:dyDescent="0.2">
      <c r="A380" s="345">
        <v>39082</v>
      </c>
      <c r="B380" s="253"/>
      <c r="C380" s="34"/>
      <c r="D380" s="253"/>
      <c r="E380" s="253"/>
    </row>
    <row r="381" spans="1:9" x14ac:dyDescent="0.2">
      <c r="A381" s="345">
        <v>39113</v>
      </c>
    </row>
    <row r="382" spans="1:9" x14ac:dyDescent="0.2">
      <c r="A382" s="345">
        <v>39141</v>
      </c>
    </row>
    <row r="383" spans="1:9" x14ac:dyDescent="0.2">
      <c r="A383" s="345">
        <v>39172</v>
      </c>
    </row>
    <row r="384" spans="1:9" x14ac:dyDescent="0.2">
      <c r="A384" s="345">
        <v>39202</v>
      </c>
    </row>
    <row r="385" spans="1:3" x14ac:dyDescent="0.2">
      <c r="A385" s="345">
        <v>39233</v>
      </c>
    </row>
    <row r="386" spans="1:3" x14ac:dyDescent="0.2">
      <c r="A386" s="345">
        <v>39263</v>
      </c>
    </row>
    <row r="387" spans="1:3" x14ac:dyDescent="0.2">
      <c r="A387" s="345">
        <v>39294</v>
      </c>
    </row>
    <row r="388" spans="1:3" x14ac:dyDescent="0.2">
      <c r="A388" s="345">
        <v>39325</v>
      </c>
    </row>
    <row r="389" spans="1:3" x14ac:dyDescent="0.2">
      <c r="A389" s="345">
        <v>39355</v>
      </c>
    </row>
    <row r="390" spans="1:3" x14ac:dyDescent="0.2">
      <c r="A390" s="345">
        <v>39386</v>
      </c>
    </row>
    <row r="391" spans="1:3" x14ac:dyDescent="0.2">
      <c r="A391" s="345">
        <v>39416</v>
      </c>
    </row>
    <row r="392" spans="1:3" x14ac:dyDescent="0.2">
      <c r="A392" s="345">
        <v>39447</v>
      </c>
    </row>
    <row r="393" spans="1:3" x14ac:dyDescent="0.2">
      <c r="A393" s="345">
        <v>39478</v>
      </c>
    </row>
    <row r="394" spans="1:3" x14ac:dyDescent="0.2">
      <c r="A394" s="345">
        <v>39507</v>
      </c>
    </row>
    <row r="395" spans="1:3" x14ac:dyDescent="0.2">
      <c r="A395" s="345">
        <v>39538</v>
      </c>
    </row>
    <row r="396" spans="1:3" x14ac:dyDescent="0.2">
      <c r="A396" s="345">
        <v>39568</v>
      </c>
    </row>
    <row r="397" spans="1:3" x14ac:dyDescent="0.2">
      <c r="A397" s="345">
        <v>39599</v>
      </c>
    </row>
    <row r="398" spans="1:3" x14ac:dyDescent="0.2">
      <c r="A398" s="345">
        <v>39629</v>
      </c>
    </row>
    <row r="399" spans="1:3" x14ac:dyDescent="0.2">
      <c r="A399" s="345">
        <v>39660</v>
      </c>
      <c r="C399" s="1383"/>
    </row>
    <row r="400" spans="1:3" x14ac:dyDescent="0.2">
      <c r="A400" s="345">
        <v>39691</v>
      </c>
      <c r="C400" s="1383"/>
    </row>
    <row r="401" spans="1:3" x14ac:dyDescent="0.2">
      <c r="A401" s="345">
        <v>39721</v>
      </c>
      <c r="C401" s="1383"/>
    </row>
    <row r="402" spans="1:3" x14ac:dyDescent="0.2">
      <c r="A402" s="345">
        <v>39752</v>
      </c>
    </row>
    <row r="403" spans="1:3" x14ac:dyDescent="0.2">
      <c r="A403" s="345">
        <v>39782</v>
      </c>
    </row>
    <row r="404" spans="1:3" x14ac:dyDescent="0.2">
      <c r="A404" s="345">
        <v>39813</v>
      </c>
    </row>
    <row r="405" spans="1:3" x14ac:dyDescent="0.2">
      <c r="A405" s="345">
        <v>39844</v>
      </c>
    </row>
    <row r="406" spans="1:3" x14ac:dyDescent="0.2">
      <c r="A406" s="345">
        <v>39872</v>
      </c>
    </row>
    <row r="407" spans="1:3" x14ac:dyDescent="0.2">
      <c r="A407" s="345">
        <v>39903</v>
      </c>
    </row>
    <row r="408" spans="1:3" x14ac:dyDescent="0.2">
      <c r="A408" s="345">
        <v>39933</v>
      </c>
    </row>
    <row r="409" spans="1:3" x14ac:dyDescent="0.2">
      <c r="A409" s="345">
        <v>39964</v>
      </c>
    </row>
    <row r="410" spans="1:3" x14ac:dyDescent="0.2">
      <c r="A410" s="345">
        <v>39994</v>
      </c>
    </row>
    <row r="411" spans="1:3" x14ac:dyDescent="0.2">
      <c r="A411" s="345">
        <v>40025</v>
      </c>
    </row>
    <row r="412" spans="1:3" x14ac:dyDescent="0.2">
      <c r="A412" s="345">
        <v>40056</v>
      </c>
    </row>
    <row r="413" spans="1:3" x14ac:dyDescent="0.2">
      <c r="A413" s="345">
        <v>40086</v>
      </c>
    </row>
    <row r="414" spans="1:3" x14ac:dyDescent="0.2">
      <c r="A414" s="345">
        <v>40117</v>
      </c>
    </row>
    <row r="415" spans="1:3" x14ac:dyDescent="0.2">
      <c r="A415" s="345">
        <v>40147</v>
      </c>
    </row>
    <row r="416" spans="1:3" x14ac:dyDescent="0.2">
      <c r="A416" s="345">
        <v>40178</v>
      </c>
    </row>
    <row r="417" spans="1:4" x14ac:dyDescent="0.2">
      <c r="A417" s="345">
        <v>40209</v>
      </c>
    </row>
    <row r="418" spans="1:4" x14ac:dyDescent="0.2">
      <c r="A418" s="345">
        <v>40237</v>
      </c>
    </row>
    <row r="419" spans="1:4" x14ac:dyDescent="0.2">
      <c r="A419" s="345">
        <v>40268</v>
      </c>
      <c r="C419" s="1334"/>
      <c r="D419" s="1311"/>
    </row>
    <row r="420" spans="1:4" x14ac:dyDescent="0.2">
      <c r="A420" s="345">
        <v>40298</v>
      </c>
    </row>
    <row r="421" spans="1:4" x14ac:dyDescent="0.2">
      <c r="A421" s="345">
        <v>40329</v>
      </c>
    </row>
    <row r="422" spans="1:4" x14ac:dyDescent="0.2">
      <c r="A422" s="345">
        <v>40359</v>
      </c>
    </row>
    <row r="423" spans="1:4" x14ac:dyDescent="0.2">
      <c r="A423" s="345">
        <v>40390</v>
      </c>
    </row>
    <row r="424" spans="1:4" x14ac:dyDescent="0.2">
      <c r="A424" s="345">
        <v>40421</v>
      </c>
      <c r="B424" s="1369"/>
    </row>
    <row r="425" spans="1:4" x14ac:dyDescent="0.2">
      <c r="A425" s="345">
        <v>40451</v>
      </c>
      <c r="B425" s="258"/>
    </row>
    <row r="426" spans="1:4" x14ac:dyDescent="0.2">
      <c r="A426" s="345">
        <v>40482</v>
      </c>
      <c r="B426" s="1311"/>
      <c r="D426" s="1311"/>
    </row>
    <row r="427" spans="1:4" x14ac:dyDescent="0.2">
      <c r="A427" s="345">
        <v>40512</v>
      </c>
    </row>
    <row r="428" spans="1:4" x14ac:dyDescent="0.2">
      <c r="A428" s="345">
        <v>40543</v>
      </c>
    </row>
    <row r="429" spans="1:4" x14ac:dyDescent="0.2">
      <c r="A429" s="345">
        <v>40574</v>
      </c>
      <c r="B429" s="257">
        <f>D429</f>
        <v>0.12429</v>
      </c>
      <c r="C429" s="346">
        <v>62338495.579999998</v>
      </c>
      <c r="D429" s="258">
        <v>0.12429</v>
      </c>
    </row>
    <row r="430" spans="1:4" x14ac:dyDescent="0.2">
      <c r="A430" s="345">
        <v>40602</v>
      </c>
      <c r="B430" s="257">
        <v>0.25097000000000003</v>
      </c>
      <c r="C430" s="346">
        <v>62494987.07</v>
      </c>
      <c r="D430" s="258">
        <v>0.25097000000000003</v>
      </c>
    </row>
    <row r="431" spans="1:4" x14ac:dyDescent="0.2">
      <c r="A431" s="345">
        <v>40633</v>
      </c>
      <c r="B431" s="257">
        <f>D431</f>
        <v>5.8520000000000003E-2</v>
      </c>
      <c r="C431" s="346">
        <v>61529189.759999998</v>
      </c>
      <c r="D431" s="258">
        <v>5.8520000000000003E-2</v>
      </c>
    </row>
    <row r="432" spans="1:4" x14ac:dyDescent="0.2">
      <c r="A432" s="345">
        <v>40663</v>
      </c>
      <c r="B432" s="257">
        <f t="shared" ref="B432:B488" si="0">D432</f>
        <v>1.27163</v>
      </c>
      <c r="C432" s="346">
        <v>61805153.759999998</v>
      </c>
      <c r="D432" s="258">
        <v>1.27163</v>
      </c>
    </row>
    <row r="433" spans="1:4" x14ac:dyDescent="0.2">
      <c r="A433" s="345">
        <v>40694</v>
      </c>
      <c r="B433" s="257">
        <f t="shared" si="0"/>
        <v>1.2892399999999999</v>
      </c>
      <c r="C433" s="346">
        <v>62611362.549999997</v>
      </c>
      <c r="D433" s="258">
        <v>1.2892399999999999</v>
      </c>
    </row>
    <row r="434" spans="1:4" x14ac:dyDescent="0.2">
      <c r="A434" s="345">
        <v>40724</v>
      </c>
      <c r="B434" s="257">
        <f t="shared" si="0"/>
        <v>-0.29865999999999998</v>
      </c>
      <c r="C434" s="346">
        <v>62424370.729999997</v>
      </c>
      <c r="D434" s="258">
        <v>-0.29865999999999998</v>
      </c>
    </row>
    <row r="435" spans="1:4" x14ac:dyDescent="0.2">
      <c r="A435" s="345">
        <v>40755</v>
      </c>
      <c r="B435" s="257">
        <f t="shared" si="0"/>
        <v>1.5883799999999999</v>
      </c>
      <c r="C435" s="346">
        <v>63415905.82</v>
      </c>
      <c r="D435" s="258">
        <v>1.5883799999999999</v>
      </c>
    </row>
    <row r="436" spans="1:4" x14ac:dyDescent="0.2">
      <c r="A436" s="345">
        <v>40786</v>
      </c>
      <c r="B436" s="257">
        <f t="shared" si="0"/>
        <v>1.4383999999999999</v>
      </c>
      <c r="C436" s="346">
        <v>62427481.630000003</v>
      </c>
      <c r="D436" s="258">
        <v>1.4383999999999999</v>
      </c>
    </row>
    <row r="437" spans="1:4" x14ac:dyDescent="0.2">
      <c r="A437" s="345">
        <v>40816</v>
      </c>
      <c r="B437" s="257">
        <f t="shared" si="0"/>
        <v>0.72792999999999997</v>
      </c>
      <c r="C437" s="346">
        <v>61069209.899999999</v>
      </c>
      <c r="D437" s="258">
        <v>0.72792999999999997</v>
      </c>
    </row>
    <row r="438" spans="1:4" x14ac:dyDescent="0.2">
      <c r="A438" s="345">
        <v>40847</v>
      </c>
      <c r="B438" s="257">
        <f t="shared" si="0"/>
        <v>0.10460999999999999</v>
      </c>
      <c r="C438" s="346">
        <v>61133092.880000003</v>
      </c>
      <c r="D438" s="258">
        <v>0.10460999999999999</v>
      </c>
    </row>
    <row r="439" spans="1:4" x14ac:dyDescent="0.2">
      <c r="A439" s="345">
        <v>40877</v>
      </c>
      <c r="B439" s="257">
        <f t="shared" si="0"/>
        <v>1.261E-2</v>
      </c>
      <c r="C439" s="346">
        <v>61140803.280000001</v>
      </c>
      <c r="D439" s="258">
        <v>1.261E-2</v>
      </c>
    </row>
    <row r="440" spans="1:4" x14ac:dyDescent="0.2">
      <c r="A440" s="345">
        <v>40908</v>
      </c>
      <c r="B440" s="257">
        <f t="shared" si="0"/>
        <v>1.0081199999999999</v>
      </c>
      <c r="C440" s="346">
        <v>61757172.780000001</v>
      </c>
      <c r="D440" s="258">
        <v>1.0081199999999999</v>
      </c>
    </row>
    <row r="441" spans="1:4" x14ac:dyDescent="0.2">
      <c r="A441" s="345">
        <v>40939</v>
      </c>
      <c r="B441" s="257">
        <f t="shared" si="0"/>
        <v>0.86807999999999996</v>
      </c>
      <c r="C441" s="346">
        <v>59476477.079999998</v>
      </c>
      <c r="D441" s="258">
        <v>0.86807999999999996</v>
      </c>
    </row>
    <row r="442" spans="1:4" x14ac:dyDescent="0.2">
      <c r="A442" s="345">
        <v>40968</v>
      </c>
      <c r="B442" s="257">
        <f t="shared" si="0"/>
        <v>3.1280000000000002E-2</v>
      </c>
      <c r="C442" s="346">
        <v>58701226.210000001</v>
      </c>
      <c r="D442" s="258">
        <v>3.1280000000000002E-2</v>
      </c>
    </row>
    <row r="443" spans="1:4" x14ac:dyDescent="0.2">
      <c r="A443" s="345">
        <v>40999</v>
      </c>
      <c r="B443" s="257">
        <f t="shared" si="0"/>
        <v>-0.61258000000000001</v>
      </c>
      <c r="C443" s="346">
        <v>58341637.409999996</v>
      </c>
      <c r="D443" s="258">
        <v>-0.61258000000000001</v>
      </c>
    </row>
    <row r="444" spans="1:4" x14ac:dyDescent="0.2">
      <c r="A444" s="345">
        <v>41029</v>
      </c>
      <c r="B444" s="257">
        <f t="shared" si="0"/>
        <v>1.1207499999999999</v>
      </c>
      <c r="C444" s="346">
        <v>58995503.649999999</v>
      </c>
      <c r="D444" s="258">
        <v>1.1207499999999999</v>
      </c>
    </row>
    <row r="445" spans="1:4" x14ac:dyDescent="0.2">
      <c r="A445" s="345">
        <v>41060</v>
      </c>
      <c r="B445" s="257">
        <f t="shared" si="0"/>
        <v>0.90627999999999997</v>
      </c>
      <c r="C445" s="346">
        <v>59530170.390000001</v>
      </c>
      <c r="D445" s="258">
        <v>0.90627999999999997</v>
      </c>
    </row>
    <row r="446" spans="1:4" x14ac:dyDescent="0.2">
      <c r="A446" s="345">
        <v>41090</v>
      </c>
      <c r="B446" s="257">
        <f t="shared" si="0"/>
        <v>3.2730000000000002E-2</v>
      </c>
      <c r="C446" s="346">
        <v>58856431.439999998</v>
      </c>
      <c r="D446" s="258">
        <v>3.2730000000000002E-2</v>
      </c>
    </row>
    <row r="447" spans="1:4" x14ac:dyDescent="0.2">
      <c r="A447" s="345">
        <v>41121</v>
      </c>
      <c r="B447" s="257">
        <f t="shared" si="0"/>
        <v>1.39459</v>
      </c>
      <c r="C447" s="346">
        <v>59677238.170000002</v>
      </c>
      <c r="D447" s="258">
        <v>1.39459</v>
      </c>
    </row>
    <row r="448" spans="1:4" x14ac:dyDescent="0.2">
      <c r="A448" s="345">
        <v>41152</v>
      </c>
      <c r="B448" s="257">
        <f t="shared" si="0"/>
        <v>7.288E-2</v>
      </c>
      <c r="C448" s="346">
        <v>56413988.049999997</v>
      </c>
      <c r="D448" s="258">
        <v>7.288E-2</v>
      </c>
    </row>
    <row r="449" spans="1:4" x14ac:dyDescent="0.2">
      <c r="A449" s="345">
        <v>41182</v>
      </c>
      <c r="B449" s="257">
        <f t="shared" si="0"/>
        <v>0.15221000000000001</v>
      </c>
      <c r="C449" s="346">
        <v>56499854.759999998</v>
      </c>
      <c r="D449" s="258">
        <v>0.15221000000000001</v>
      </c>
    </row>
    <row r="450" spans="1:4" x14ac:dyDescent="0.2">
      <c r="A450" s="345">
        <v>41213</v>
      </c>
      <c r="B450" s="257">
        <f t="shared" si="0"/>
        <v>0.20083000000000001</v>
      </c>
      <c r="C450" s="346">
        <v>56613323.729999997</v>
      </c>
      <c r="D450" s="258">
        <v>0.20083000000000001</v>
      </c>
    </row>
    <row r="451" spans="1:4" x14ac:dyDescent="0.2">
      <c r="A451" s="345">
        <v>41243</v>
      </c>
      <c r="B451" s="257">
        <f t="shared" si="0"/>
        <v>0.16883000000000001</v>
      </c>
      <c r="C451" s="346">
        <v>55508934.5</v>
      </c>
      <c r="D451" s="258">
        <v>0.16883000000000001</v>
      </c>
    </row>
    <row r="452" spans="1:4" x14ac:dyDescent="0.2">
      <c r="A452" s="345">
        <v>41274</v>
      </c>
      <c r="B452" s="257">
        <f t="shared" si="0"/>
        <v>-0.13519</v>
      </c>
      <c r="C452" s="346">
        <v>32475741.039999999</v>
      </c>
      <c r="D452" s="258">
        <v>-0.13519</v>
      </c>
    </row>
    <row r="453" spans="1:4" x14ac:dyDescent="0.2">
      <c r="A453" s="345">
        <v>41305</v>
      </c>
      <c r="B453" s="257">
        <f t="shared" si="0"/>
        <v>-0.55269000000000001</v>
      </c>
      <c r="C453" s="346">
        <v>32296250.809999999</v>
      </c>
      <c r="D453" s="258">
        <v>-0.55269000000000001</v>
      </c>
    </row>
    <row r="454" spans="1:4" x14ac:dyDescent="0.2">
      <c r="A454" s="345">
        <v>41333</v>
      </c>
      <c r="B454" s="257">
        <f t="shared" si="0"/>
        <v>0.51365000000000005</v>
      </c>
      <c r="C454" s="346">
        <v>30653799.530000001</v>
      </c>
      <c r="D454" s="258">
        <v>0.51365000000000005</v>
      </c>
    </row>
    <row r="455" spans="1:4" x14ac:dyDescent="0.2">
      <c r="A455" s="345">
        <v>41364</v>
      </c>
      <c r="B455" s="257">
        <f t="shared" si="0"/>
        <v>1.746E-2</v>
      </c>
      <c r="C455" s="346">
        <v>30675064.84</v>
      </c>
      <c r="D455" s="258">
        <v>1.746E-2</v>
      </c>
    </row>
    <row r="456" spans="1:4" x14ac:dyDescent="0.2">
      <c r="A456" s="345">
        <v>41394</v>
      </c>
      <c r="B456" s="257">
        <f t="shared" si="0"/>
        <v>1.01484</v>
      </c>
      <c r="C456" s="346">
        <v>28680933.329999998</v>
      </c>
      <c r="D456" s="258">
        <v>1.01484</v>
      </c>
    </row>
    <row r="457" spans="1:4" x14ac:dyDescent="0.2">
      <c r="A457" s="345">
        <v>41425</v>
      </c>
      <c r="B457" s="257">
        <f t="shared" si="0"/>
        <v>-1.7838799999999999</v>
      </c>
      <c r="C457" s="346">
        <v>28173915.379999999</v>
      </c>
      <c r="D457" s="258">
        <v>-1.7838799999999999</v>
      </c>
    </row>
    <row r="458" spans="1:4" x14ac:dyDescent="0.2">
      <c r="A458" s="345">
        <v>41455</v>
      </c>
      <c r="B458" s="257">
        <f t="shared" si="0"/>
        <v>-1.5666</v>
      </c>
      <c r="C458" s="346">
        <v>29216434</v>
      </c>
      <c r="D458" s="258">
        <v>-1.5666</v>
      </c>
    </row>
    <row r="459" spans="1:4" x14ac:dyDescent="0.2">
      <c r="A459" s="345">
        <v>41486</v>
      </c>
      <c r="B459" s="257">
        <f t="shared" si="0"/>
        <v>6.1690000000000002E-2</v>
      </c>
      <c r="C459" s="346">
        <v>30238309.59</v>
      </c>
      <c r="D459" s="258">
        <v>6.1690000000000002E-2</v>
      </c>
    </row>
    <row r="460" spans="1:4" x14ac:dyDescent="0.2">
      <c r="A460" s="345">
        <v>41517</v>
      </c>
      <c r="B460" s="257">
        <f t="shared" si="0"/>
        <v>-0.51049999999999995</v>
      </c>
      <c r="C460" s="346">
        <v>30083944.539999999</v>
      </c>
      <c r="D460" s="258">
        <v>-0.51049999999999995</v>
      </c>
    </row>
    <row r="461" spans="1:4" x14ac:dyDescent="0.2">
      <c r="A461" s="345">
        <v>41547</v>
      </c>
      <c r="B461" s="257">
        <f t="shared" si="0"/>
        <v>0.94964000000000004</v>
      </c>
      <c r="C461" s="346">
        <v>30369632.120000001</v>
      </c>
      <c r="D461" s="258">
        <v>0.94964000000000004</v>
      </c>
    </row>
    <row r="462" spans="1:4" x14ac:dyDescent="0.2">
      <c r="A462" s="345">
        <v>41578</v>
      </c>
      <c r="B462" s="257">
        <f t="shared" si="0"/>
        <v>0.83850999999999998</v>
      </c>
      <c r="C462" s="346">
        <v>30624285.75</v>
      </c>
      <c r="D462" s="258">
        <v>0.83850999999999998</v>
      </c>
    </row>
    <row r="463" spans="1:4" x14ac:dyDescent="0.2">
      <c r="A463" s="345">
        <v>41608</v>
      </c>
      <c r="B463" s="257">
        <f t="shared" si="0"/>
        <v>-0.41896</v>
      </c>
      <c r="C463" s="346">
        <v>30504782.329999998</v>
      </c>
      <c r="D463" s="258">
        <v>-0.41896</v>
      </c>
    </row>
    <row r="464" spans="1:4" x14ac:dyDescent="0.2">
      <c r="A464" s="345">
        <v>41639</v>
      </c>
      <c r="B464" s="257">
        <f t="shared" si="0"/>
        <v>-0.60421000000000002</v>
      </c>
      <c r="C464" s="346">
        <v>30320471.059999999</v>
      </c>
      <c r="D464" s="258">
        <v>-0.60421000000000002</v>
      </c>
    </row>
    <row r="465" spans="1:4" x14ac:dyDescent="0.2">
      <c r="A465" s="345">
        <v>41670</v>
      </c>
      <c r="B465" s="257">
        <f t="shared" si="0"/>
        <v>1.50979</v>
      </c>
      <c r="C465" s="346">
        <v>30782851.969999999</v>
      </c>
      <c r="D465" s="258">
        <v>1.50979</v>
      </c>
    </row>
    <row r="466" spans="1:4" x14ac:dyDescent="0.2">
      <c r="A466" s="345">
        <v>41698</v>
      </c>
      <c r="B466" s="257">
        <f t="shared" si="0"/>
        <v>0.58082999999999996</v>
      </c>
      <c r="C466" s="346">
        <v>30961647.449999999</v>
      </c>
      <c r="D466" s="258">
        <v>0.58082999999999996</v>
      </c>
    </row>
    <row r="467" spans="1:4" x14ac:dyDescent="0.2">
      <c r="A467" s="345">
        <v>41729</v>
      </c>
      <c r="B467" s="257">
        <f t="shared" si="0"/>
        <v>-0.20144000000000001</v>
      </c>
      <c r="C467" s="346">
        <v>30899277.030000001</v>
      </c>
      <c r="D467" s="258">
        <v>-0.20144000000000001</v>
      </c>
    </row>
    <row r="468" spans="1:4" x14ac:dyDescent="0.2">
      <c r="A468" s="345">
        <v>41759</v>
      </c>
      <c r="B468" s="257">
        <f t="shared" si="0"/>
        <v>0.84845999999999999</v>
      </c>
      <c r="C468" s="346">
        <v>31161444.899999999</v>
      </c>
      <c r="D468" s="258">
        <v>0.84845999999999999</v>
      </c>
    </row>
    <row r="469" spans="1:4" x14ac:dyDescent="0.2">
      <c r="A469" s="345">
        <v>41790</v>
      </c>
      <c r="B469" s="257">
        <f t="shared" si="0"/>
        <v>1.15089</v>
      </c>
      <c r="C469" s="346">
        <v>31524753.600000001</v>
      </c>
      <c r="D469" s="258">
        <v>1.15089</v>
      </c>
    </row>
    <row r="470" spans="1:4" x14ac:dyDescent="0.2">
      <c r="A470" s="345">
        <v>41820</v>
      </c>
      <c r="B470" s="257">
        <f t="shared" si="0"/>
        <v>0.10122</v>
      </c>
      <c r="C470" s="346">
        <v>31556662.399999999</v>
      </c>
      <c r="D470" s="258">
        <v>0.10122</v>
      </c>
    </row>
    <row r="471" spans="1:4" x14ac:dyDescent="0.2">
      <c r="A471" s="345">
        <v>41851</v>
      </c>
      <c r="B471" s="257">
        <f t="shared" si="0"/>
        <v>-0.23573</v>
      </c>
      <c r="C471" s="346">
        <v>31482272.469999999</v>
      </c>
      <c r="D471" s="258">
        <v>-0.23573</v>
      </c>
    </row>
    <row r="472" spans="1:4" x14ac:dyDescent="0.2">
      <c r="A472" s="345">
        <v>41882</v>
      </c>
      <c r="B472" s="257">
        <f t="shared" si="0"/>
        <v>1.07582</v>
      </c>
      <c r="C472" s="346">
        <v>31825713.710000001</v>
      </c>
      <c r="D472" s="258">
        <v>1.07582</v>
      </c>
    </row>
    <row r="473" spans="1:4" x14ac:dyDescent="0.2">
      <c r="A473" s="345">
        <v>41912</v>
      </c>
      <c r="B473" s="257">
        <f t="shared" si="0"/>
        <v>0</v>
      </c>
    </row>
    <row r="474" spans="1:4" x14ac:dyDescent="0.2">
      <c r="A474" s="345">
        <v>41943</v>
      </c>
      <c r="B474" s="257">
        <f t="shared" si="0"/>
        <v>0</v>
      </c>
    </row>
    <row r="475" spans="1:4" x14ac:dyDescent="0.2">
      <c r="A475" s="345">
        <v>41973</v>
      </c>
      <c r="B475" s="257">
        <f t="shared" si="0"/>
        <v>0</v>
      </c>
    </row>
    <row r="476" spans="1:4" x14ac:dyDescent="0.2">
      <c r="A476" s="345">
        <v>42004</v>
      </c>
      <c r="B476" s="257">
        <f t="shared" si="0"/>
        <v>0</v>
      </c>
    </row>
    <row r="477" spans="1:4" x14ac:dyDescent="0.2">
      <c r="A477" s="345">
        <v>42035</v>
      </c>
      <c r="B477" s="257">
        <f t="shared" si="0"/>
        <v>0</v>
      </c>
    </row>
    <row r="478" spans="1:4" x14ac:dyDescent="0.2">
      <c r="A478" s="345">
        <v>42063</v>
      </c>
      <c r="B478" s="257">
        <f t="shared" si="0"/>
        <v>0</v>
      </c>
    </row>
    <row r="479" spans="1:4" x14ac:dyDescent="0.2">
      <c r="A479" s="345">
        <v>42094</v>
      </c>
      <c r="B479" s="257">
        <f t="shared" si="0"/>
        <v>0</v>
      </c>
    </row>
    <row r="480" spans="1:4" x14ac:dyDescent="0.2">
      <c r="A480" s="345">
        <v>42124</v>
      </c>
      <c r="B480" s="257">
        <f t="shared" si="0"/>
        <v>0</v>
      </c>
    </row>
    <row r="481" spans="1:2" x14ac:dyDescent="0.2">
      <c r="A481" s="345">
        <v>42155</v>
      </c>
      <c r="B481" s="257">
        <f t="shared" si="0"/>
        <v>0</v>
      </c>
    </row>
    <row r="482" spans="1:2" x14ac:dyDescent="0.2">
      <c r="A482" s="345">
        <v>42185</v>
      </c>
      <c r="B482" s="257">
        <f t="shared" si="0"/>
        <v>0</v>
      </c>
    </row>
    <row r="483" spans="1:2" x14ac:dyDescent="0.2">
      <c r="A483" s="345">
        <v>42216</v>
      </c>
      <c r="B483" s="257">
        <f t="shared" si="0"/>
        <v>0</v>
      </c>
    </row>
    <row r="484" spans="1:2" x14ac:dyDescent="0.2">
      <c r="A484" s="345">
        <v>42247</v>
      </c>
      <c r="B484" s="257">
        <f t="shared" si="0"/>
        <v>0</v>
      </c>
    </row>
    <row r="485" spans="1:2" x14ac:dyDescent="0.2">
      <c r="A485" s="345">
        <v>42277</v>
      </c>
      <c r="B485" s="257">
        <f t="shared" si="0"/>
        <v>0</v>
      </c>
    </row>
    <row r="486" spans="1:2" x14ac:dyDescent="0.2">
      <c r="A486" s="345">
        <v>42308</v>
      </c>
      <c r="B486" s="257">
        <f t="shared" si="0"/>
        <v>0</v>
      </c>
    </row>
    <row r="487" spans="1:2" x14ac:dyDescent="0.2">
      <c r="A487" s="345">
        <v>42338</v>
      </c>
      <c r="B487" s="257">
        <f t="shared" si="0"/>
        <v>0</v>
      </c>
    </row>
    <row r="488" spans="1:2" x14ac:dyDescent="0.2">
      <c r="A488" s="345">
        <v>42369</v>
      </c>
      <c r="B488" s="257">
        <f t="shared" si="0"/>
        <v>0</v>
      </c>
    </row>
    <row r="489" spans="1:2" x14ac:dyDescent="0.2">
      <c r="A489" s="345"/>
    </row>
    <row r="490" spans="1:2" x14ac:dyDescent="0.2">
      <c r="A490" s="345"/>
    </row>
  </sheetData>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I491"/>
  <sheetViews>
    <sheetView workbookViewId="0">
      <pane xSplit="1" ySplit="2" topLeftCell="B450" activePane="bottomRight" state="frozen"/>
      <selection pane="topRight" activeCell="B1" sqref="B1"/>
      <selection pane="bottomLeft" activeCell="A3" sqref="A3"/>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5" width="18.7109375" style="258" customWidth="1"/>
    <col min="7" max="7" width="9.140625" style="352"/>
    <col min="8" max="8" width="11.140625" style="352" customWidth="1"/>
  </cols>
  <sheetData>
    <row r="1" spans="1:6" x14ac:dyDescent="0.2">
      <c r="A1" s="265" t="s">
        <v>866</v>
      </c>
      <c r="B1" s="1371" t="s">
        <v>309</v>
      </c>
      <c r="C1" s="1382" t="s">
        <v>302</v>
      </c>
      <c r="D1" s="1370">
        <v>15</v>
      </c>
      <c r="E1" s="74" t="s">
        <v>81</v>
      </c>
      <c r="F1" s="1448" t="s">
        <v>750</v>
      </c>
    </row>
    <row r="2" spans="1:6" x14ac:dyDescent="0.2">
      <c r="A2" s="3" t="s">
        <v>27</v>
      </c>
      <c r="B2" s="71" t="s">
        <v>91</v>
      </c>
      <c r="C2" s="226" t="s">
        <v>92</v>
      </c>
      <c r="D2" s="71" t="s">
        <v>90</v>
      </c>
      <c r="E2" s="71" t="s">
        <v>80</v>
      </c>
    </row>
    <row r="3" spans="1:6" x14ac:dyDescent="0.2">
      <c r="A3" s="345">
        <v>27606</v>
      </c>
      <c r="B3" s="71"/>
      <c r="C3" s="226"/>
      <c r="D3" s="71"/>
      <c r="E3" s="71"/>
    </row>
    <row r="4" spans="1:6" x14ac:dyDescent="0.2">
      <c r="A4" s="345">
        <v>27637</v>
      </c>
      <c r="B4" s="71"/>
      <c r="C4" s="226"/>
      <c r="D4" s="71"/>
      <c r="E4" s="71"/>
    </row>
    <row r="5" spans="1:6" x14ac:dyDescent="0.2">
      <c r="A5" s="345">
        <v>27667</v>
      </c>
      <c r="B5" s="71"/>
      <c r="C5" s="226"/>
      <c r="D5" s="71"/>
      <c r="E5" s="71"/>
    </row>
    <row r="6" spans="1:6" x14ac:dyDescent="0.2">
      <c r="A6" s="345">
        <v>27698</v>
      </c>
      <c r="B6" s="71"/>
      <c r="C6" s="226"/>
      <c r="D6" s="71"/>
      <c r="E6" s="71"/>
    </row>
    <row r="7" spans="1:6" x14ac:dyDescent="0.2">
      <c r="A7" s="345">
        <v>27728</v>
      </c>
      <c r="B7" s="71"/>
      <c r="C7" s="226"/>
      <c r="D7" s="71"/>
      <c r="E7" s="71"/>
    </row>
    <row r="8" spans="1:6" x14ac:dyDescent="0.2">
      <c r="A8" s="345">
        <v>27759</v>
      </c>
      <c r="B8" s="71"/>
      <c r="C8" s="226"/>
      <c r="D8" s="71"/>
      <c r="E8" s="71"/>
    </row>
    <row r="9" spans="1:6" x14ac:dyDescent="0.2">
      <c r="A9" s="345">
        <v>27790</v>
      </c>
      <c r="B9" s="71"/>
      <c r="C9" s="226"/>
      <c r="D9" s="71"/>
      <c r="E9" s="71"/>
    </row>
    <row r="10" spans="1:6" x14ac:dyDescent="0.2">
      <c r="A10" s="345">
        <v>27819</v>
      </c>
      <c r="B10" s="71"/>
      <c r="C10" s="226"/>
      <c r="D10" s="71"/>
      <c r="E10" s="71"/>
    </row>
    <row r="11" spans="1:6" x14ac:dyDescent="0.2">
      <c r="A11" s="345">
        <v>27850</v>
      </c>
      <c r="B11" s="71"/>
      <c r="C11" s="226"/>
      <c r="D11" s="71"/>
      <c r="E11" s="71"/>
    </row>
    <row r="12" spans="1:6" x14ac:dyDescent="0.2">
      <c r="A12" s="345">
        <v>27880</v>
      </c>
      <c r="B12" s="71"/>
      <c r="C12" s="226"/>
      <c r="D12" s="71"/>
      <c r="E12" s="71"/>
    </row>
    <row r="13" spans="1:6" x14ac:dyDescent="0.2">
      <c r="A13" s="345">
        <v>27911</v>
      </c>
      <c r="B13" s="71"/>
      <c r="C13" s="226"/>
      <c r="D13" s="71"/>
      <c r="E13" s="71"/>
    </row>
    <row r="14" spans="1:6" x14ac:dyDescent="0.2">
      <c r="A14" s="345">
        <v>27941</v>
      </c>
      <c r="B14" s="71"/>
      <c r="C14" s="226"/>
      <c r="D14" s="71"/>
      <c r="E14" s="71"/>
    </row>
    <row r="15" spans="1:6" x14ac:dyDescent="0.2">
      <c r="A15" s="345">
        <v>27972</v>
      </c>
      <c r="B15" s="71"/>
      <c r="C15" s="226"/>
      <c r="D15" s="71"/>
      <c r="E15" s="71"/>
    </row>
    <row r="16" spans="1:6"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3"/>
      <c r="C147" s="25"/>
      <c r="D147" s="73"/>
      <c r="E147" s="73"/>
    </row>
    <row r="148" spans="1:5" x14ac:dyDescent="0.2">
      <c r="A148" s="345">
        <v>32020</v>
      </c>
      <c r="B148" s="73"/>
      <c r="C148" s="25"/>
      <c r="D148" s="73"/>
      <c r="E148" s="73"/>
    </row>
    <row r="149" spans="1:5" x14ac:dyDescent="0.2">
      <c r="A149" s="345">
        <v>32050</v>
      </c>
      <c r="B149" s="73"/>
      <c r="C149" s="25"/>
      <c r="D149" s="73"/>
      <c r="E149" s="73"/>
    </row>
    <row r="150" spans="1:5" x14ac:dyDescent="0.2">
      <c r="A150" s="345">
        <v>32081</v>
      </c>
      <c r="B150" s="73"/>
      <c r="C150" s="25"/>
      <c r="D150" s="73"/>
      <c r="E150" s="73"/>
    </row>
    <row r="151" spans="1:5" x14ac:dyDescent="0.2">
      <c r="A151" s="345">
        <v>32111</v>
      </c>
      <c r="B151" s="73"/>
      <c r="C151" s="25"/>
      <c r="D151" s="73"/>
      <c r="E151" s="73"/>
    </row>
    <row r="152" spans="1:5" x14ac:dyDescent="0.2">
      <c r="A152" s="345">
        <v>32142</v>
      </c>
      <c r="B152" s="73"/>
      <c r="C152" s="25"/>
      <c r="D152" s="73"/>
      <c r="E152" s="73"/>
    </row>
    <row r="153" spans="1:5" x14ac:dyDescent="0.2">
      <c r="A153" s="345">
        <v>32173</v>
      </c>
      <c r="B153" s="73"/>
      <c r="C153" s="25"/>
      <c r="D153" s="73"/>
      <c r="E153" s="73"/>
    </row>
    <row r="154" spans="1:5" x14ac:dyDescent="0.2">
      <c r="A154" s="345">
        <v>32202</v>
      </c>
      <c r="B154" s="73"/>
      <c r="C154" s="25"/>
      <c r="D154" s="73"/>
      <c r="E154" s="73"/>
    </row>
    <row r="155" spans="1:5" x14ac:dyDescent="0.2">
      <c r="A155" s="345">
        <v>32233</v>
      </c>
      <c r="B155" s="73"/>
      <c r="C155" s="25"/>
      <c r="D155" s="73"/>
      <c r="E155" s="73"/>
    </row>
    <row r="156" spans="1:5" x14ac:dyDescent="0.2">
      <c r="A156" s="345">
        <v>32263</v>
      </c>
      <c r="B156" s="73"/>
      <c r="C156" s="25"/>
      <c r="D156" s="73"/>
      <c r="E156" s="73"/>
    </row>
    <row r="157" spans="1:5" x14ac:dyDescent="0.2">
      <c r="A157" s="345">
        <v>32294</v>
      </c>
      <c r="B157" s="73"/>
      <c r="C157" s="25"/>
      <c r="D157" s="73"/>
      <c r="E157" s="73"/>
    </row>
    <row r="158" spans="1:5" x14ac:dyDescent="0.2">
      <c r="A158" s="345">
        <v>32324</v>
      </c>
      <c r="B158" s="73"/>
      <c r="C158" s="25"/>
      <c r="D158" s="73"/>
      <c r="E158" s="73"/>
    </row>
    <row r="159" spans="1:5" x14ac:dyDescent="0.2">
      <c r="A159" s="345">
        <v>32355</v>
      </c>
      <c r="B159" s="73"/>
      <c r="C159" s="25"/>
      <c r="D159" s="73"/>
      <c r="E159" s="73"/>
    </row>
    <row r="160" spans="1:5" x14ac:dyDescent="0.2">
      <c r="A160" s="345">
        <v>32386</v>
      </c>
      <c r="B160" s="73"/>
      <c r="C160" s="25"/>
      <c r="D160" s="73"/>
      <c r="E160" s="73"/>
    </row>
    <row r="161" spans="1:5" x14ac:dyDescent="0.2">
      <c r="A161" s="345">
        <v>32416</v>
      </c>
      <c r="B161" s="73"/>
      <c r="C161" s="25"/>
      <c r="D161" s="73"/>
      <c r="E161" s="73"/>
    </row>
    <row r="162" spans="1:5" x14ac:dyDescent="0.2">
      <c r="A162" s="345">
        <v>32447</v>
      </c>
      <c r="B162" s="73"/>
      <c r="C162" s="25"/>
      <c r="D162" s="73"/>
      <c r="E162" s="73"/>
    </row>
    <row r="163" spans="1:5" x14ac:dyDescent="0.2">
      <c r="A163" s="345">
        <v>32477</v>
      </c>
      <c r="B163" s="73"/>
      <c r="C163" s="25"/>
      <c r="D163" s="73"/>
      <c r="E163" s="73"/>
    </row>
    <row r="164" spans="1:5" x14ac:dyDescent="0.2">
      <c r="A164" s="345">
        <v>32508</v>
      </c>
      <c r="B164" s="73"/>
      <c r="C164" s="25"/>
      <c r="D164" s="73"/>
      <c r="E164" s="73"/>
    </row>
    <row r="165" spans="1:5" x14ac:dyDescent="0.2">
      <c r="A165" s="345">
        <v>32539</v>
      </c>
      <c r="B165" s="73"/>
      <c r="C165" s="25"/>
      <c r="D165" s="73"/>
      <c r="E165" s="73"/>
    </row>
    <row r="166" spans="1:5" x14ac:dyDescent="0.2">
      <c r="A166" s="345">
        <v>32567</v>
      </c>
      <c r="B166" s="73"/>
      <c r="C166" s="25"/>
      <c r="D166" s="73"/>
      <c r="E166" s="73"/>
    </row>
    <row r="167" spans="1:5" x14ac:dyDescent="0.2">
      <c r="A167" s="345">
        <v>32598</v>
      </c>
      <c r="B167" s="73"/>
      <c r="C167" s="25"/>
      <c r="D167" s="73"/>
      <c r="E167" s="73"/>
    </row>
    <row r="168" spans="1:5" x14ac:dyDescent="0.2">
      <c r="A168" s="345">
        <v>32628</v>
      </c>
      <c r="B168" s="73"/>
      <c r="C168" s="25"/>
      <c r="D168" s="73"/>
      <c r="E168" s="73"/>
    </row>
    <row r="169" spans="1:5" x14ac:dyDescent="0.2">
      <c r="A169" s="345">
        <v>32659</v>
      </c>
      <c r="B169" s="73"/>
      <c r="C169" s="25"/>
      <c r="D169" s="73"/>
      <c r="E169" s="73"/>
    </row>
    <row r="170" spans="1:5" x14ac:dyDescent="0.2">
      <c r="A170" s="345">
        <v>32689</v>
      </c>
      <c r="B170" s="73"/>
      <c r="C170" s="25"/>
      <c r="D170" s="73"/>
      <c r="E170" s="73"/>
    </row>
    <row r="171" spans="1:5" x14ac:dyDescent="0.2">
      <c r="A171" s="345">
        <v>32720</v>
      </c>
      <c r="B171" s="73"/>
      <c r="C171" s="25"/>
      <c r="D171" s="73"/>
      <c r="E171" s="73"/>
    </row>
    <row r="172" spans="1:5" x14ac:dyDescent="0.2">
      <c r="A172" s="345">
        <v>32751</v>
      </c>
      <c r="B172" s="73"/>
      <c r="C172" s="25"/>
      <c r="D172" s="73"/>
      <c r="E172" s="73"/>
    </row>
    <row r="173" spans="1:5" x14ac:dyDescent="0.2">
      <c r="A173" s="345">
        <v>32781</v>
      </c>
      <c r="B173" s="73"/>
      <c r="C173" s="25"/>
      <c r="D173" s="73"/>
      <c r="E173" s="73"/>
    </row>
    <row r="174" spans="1:5" x14ac:dyDescent="0.2">
      <c r="A174" s="345">
        <v>32812</v>
      </c>
      <c r="B174" s="73"/>
      <c r="C174" s="25"/>
      <c r="D174" s="73"/>
      <c r="E174" s="73"/>
    </row>
    <row r="175" spans="1:5" x14ac:dyDescent="0.2">
      <c r="A175" s="345">
        <v>32842</v>
      </c>
      <c r="B175" s="73"/>
      <c r="C175" s="25"/>
      <c r="D175" s="73"/>
      <c r="E175" s="73"/>
    </row>
    <row r="176" spans="1:5" x14ac:dyDescent="0.2">
      <c r="A176" s="345">
        <v>32873</v>
      </c>
      <c r="B176" s="73"/>
      <c r="C176" s="25"/>
      <c r="D176" s="73"/>
      <c r="E176" s="73"/>
    </row>
    <row r="177" spans="1:5" x14ac:dyDescent="0.2">
      <c r="A177" s="345">
        <v>32904</v>
      </c>
      <c r="B177" s="255"/>
      <c r="C177" s="259"/>
      <c r="D177" s="73"/>
      <c r="E177" s="73"/>
    </row>
    <row r="178" spans="1:5" x14ac:dyDescent="0.2">
      <c r="A178" s="345">
        <v>32932</v>
      </c>
      <c r="B178" s="255"/>
      <c r="C178" s="259"/>
      <c r="D178" s="73"/>
      <c r="E178" s="73"/>
    </row>
    <row r="179" spans="1:5" x14ac:dyDescent="0.2">
      <c r="A179" s="345">
        <v>32963</v>
      </c>
      <c r="B179" s="255"/>
      <c r="C179" s="259"/>
      <c r="D179" s="73"/>
      <c r="E179" s="73"/>
    </row>
    <row r="180" spans="1:5" x14ac:dyDescent="0.2">
      <c r="A180" s="345">
        <v>32993</v>
      </c>
      <c r="B180" s="255"/>
      <c r="C180" s="259"/>
      <c r="D180" s="73"/>
      <c r="E180" s="73"/>
    </row>
    <row r="181" spans="1:5" x14ac:dyDescent="0.2">
      <c r="A181" s="345">
        <v>33024</v>
      </c>
      <c r="B181" s="255"/>
      <c r="C181" s="259"/>
      <c r="D181" s="73"/>
      <c r="E181" s="73"/>
    </row>
    <row r="182" spans="1:5" x14ac:dyDescent="0.2">
      <c r="A182" s="345">
        <v>33054</v>
      </c>
      <c r="B182" s="255"/>
      <c r="C182" s="259"/>
      <c r="D182" s="73"/>
      <c r="E182" s="73"/>
    </row>
    <row r="183" spans="1:5" x14ac:dyDescent="0.2">
      <c r="A183" s="345">
        <v>33085</v>
      </c>
      <c r="B183" s="255"/>
      <c r="C183" s="259"/>
      <c r="D183" s="73"/>
      <c r="E183" s="73"/>
    </row>
    <row r="184" spans="1:5" x14ac:dyDescent="0.2">
      <c r="A184" s="345">
        <v>33116</v>
      </c>
      <c r="B184" s="255"/>
      <c r="C184" s="259"/>
      <c r="D184" s="73"/>
      <c r="E184" s="73"/>
    </row>
    <row r="185" spans="1:5" x14ac:dyDescent="0.2">
      <c r="A185" s="345">
        <v>33146</v>
      </c>
      <c r="B185" s="255"/>
      <c r="C185" s="259"/>
      <c r="D185" s="73"/>
      <c r="E185" s="73"/>
    </row>
    <row r="186" spans="1:5" x14ac:dyDescent="0.2">
      <c r="A186" s="345">
        <v>33177</v>
      </c>
      <c r="B186" s="255"/>
      <c r="C186" s="259"/>
      <c r="D186" s="73"/>
      <c r="E186" s="73"/>
    </row>
    <row r="187" spans="1:5" x14ac:dyDescent="0.2">
      <c r="A187" s="345">
        <v>33207</v>
      </c>
      <c r="B187" s="255"/>
      <c r="C187" s="259"/>
      <c r="D187" s="73"/>
      <c r="E187" s="73"/>
    </row>
    <row r="188" spans="1:5" x14ac:dyDescent="0.2">
      <c r="A188" s="345">
        <v>33238</v>
      </c>
      <c r="B188" s="255"/>
      <c r="C188" s="259"/>
      <c r="D188" s="73"/>
      <c r="E188" s="73"/>
    </row>
    <row r="189" spans="1:5" x14ac:dyDescent="0.2">
      <c r="A189" s="345">
        <v>33269</v>
      </c>
      <c r="B189" s="255"/>
      <c r="C189" s="259"/>
      <c r="D189" s="73"/>
      <c r="E189" s="73"/>
    </row>
    <row r="190" spans="1:5" x14ac:dyDescent="0.2">
      <c r="A190" s="345">
        <v>33297</v>
      </c>
      <c r="B190" s="255"/>
      <c r="C190" s="259"/>
      <c r="D190" s="73"/>
      <c r="E190" s="73"/>
    </row>
    <row r="191" spans="1:5" x14ac:dyDescent="0.2">
      <c r="A191" s="345">
        <v>33328</v>
      </c>
      <c r="B191" s="255"/>
      <c r="C191" s="259"/>
      <c r="D191" s="73"/>
      <c r="E191" s="73"/>
    </row>
    <row r="192" spans="1:5" x14ac:dyDescent="0.2">
      <c r="A192" s="345">
        <v>33358</v>
      </c>
      <c r="B192" s="255"/>
      <c r="C192" s="259"/>
      <c r="D192" s="73"/>
      <c r="E192" s="73"/>
    </row>
    <row r="193" spans="1:5" x14ac:dyDescent="0.2">
      <c r="A193" s="345">
        <v>33389</v>
      </c>
      <c r="B193" s="255"/>
      <c r="C193" s="259"/>
      <c r="D193" s="73"/>
      <c r="E193" s="73"/>
    </row>
    <row r="194" spans="1:5" x14ac:dyDescent="0.2">
      <c r="A194" s="345">
        <v>33419</v>
      </c>
      <c r="B194" s="255"/>
      <c r="C194" s="259"/>
      <c r="D194" s="73"/>
      <c r="E194" s="73"/>
    </row>
    <row r="195" spans="1:5" x14ac:dyDescent="0.2">
      <c r="A195" s="345">
        <v>33450</v>
      </c>
      <c r="B195" s="255"/>
      <c r="C195" s="259"/>
      <c r="D195" s="73"/>
      <c r="E195" s="73"/>
    </row>
    <row r="196" spans="1:5" x14ac:dyDescent="0.2">
      <c r="A196" s="345">
        <v>33481</v>
      </c>
      <c r="B196" s="255"/>
      <c r="C196" s="259"/>
      <c r="D196" s="73"/>
      <c r="E196" s="73"/>
    </row>
    <row r="197" spans="1:5" x14ac:dyDescent="0.2">
      <c r="A197" s="345">
        <v>33511</v>
      </c>
      <c r="B197" s="255"/>
      <c r="C197" s="259"/>
      <c r="D197" s="73"/>
      <c r="E197" s="73"/>
    </row>
    <row r="198" spans="1:5" x14ac:dyDescent="0.2">
      <c r="A198" s="345">
        <v>33542</v>
      </c>
      <c r="B198" s="255"/>
      <c r="C198" s="259"/>
      <c r="D198" s="73"/>
      <c r="E198" s="73"/>
    </row>
    <row r="199" spans="1:5" x14ac:dyDescent="0.2">
      <c r="A199" s="345">
        <v>33572</v>
      </c>
      <c r="B199" s="255"/>
      <c r="C199" s="259"/>
      <c r="D199" s="73"/>
      <c r="E199" s="73"/>
    </row>
    <row r="200" spans="1:5" x14ac:dyDescent="0.2">
      <c r="A200" s="345">
        <v>33603</v>
      </c>
      <c r="B200" s="255"/>
      <c r="C200" s="259"/>
      <c r="D200" s="73"/>
      <c r="E200" s="73"/>
    </row>
    <row r="201" spans="1:5" x14ac:dyDescent="0.2">
      <c r="A201" s="345">
        <v>33634</v>
      </c>
      <c r="B201" s="255"/>
      <c r="C201" s="259"/>
      <c r="D201" s="73"/>
      <c r="E201" s="73"/>
    </row>
    <row r="202" spans="1:5" x14ac:dyDescent="0.2">
      <c r="A202" s="345">
        <v>33663</v>
      </c>
      <c r="B202" s="255"/>
      <c r="C202" s="259"/>
      <c r="D202" s="73"/>
      <c r="E202" s="73"/>
    </row>
    <row r="203" spans="1:5" x14ac:dyDescent="0.2">
      <c r="A203" s="345">
        <v>33694</v>
      </c>
      <c r="B203" s="255"/>
      <c r="C203" s="259"/>
      <c r="D203" s="73"/>
      <c r="E203" s="73"/>
    </row>
    <row r="204" spans="1:5" x14ac:dyDescent="0.2">
      <c r="A204" s="345">
        <v>33724</v>
      </c>
      <c r="B204" s="255"/>
      <c r="C204" s="259"/>
      <c r="D204" s="73"/>
      <c r="E204" s="73"/>
    </row>
    <row r="205" spans="1:5" x14ac:dyDescent="0.2">
      <c r="A205" s="345">
        <v>33755</v>
      </c>
      <c r="B205" s="255"/>
      <c r="C205" s="259"/>
      <c r="D205" s="73"/>
      <c r="E205" s="73"/>
    </row>
    <row r="206" spans="1:5" x14ac:dyDescent="0.2">
      <c r="A206" s="345">
        <v>33785</v>
      </c>
      <c r="B206" s="255"/>
      <c r="C206" s="259"/>
      <c r="D206" s="73"/>
      <c r="E206" s="73"/>
    </row>
    <row r="207" spans="1:5" x14ac:dyDescent="0.2">
      <c r="A207" s="345">
        <v>33816</v>
      </c>
      <c r="B207" s="255"/>
      <c r="C207" s="259"/>
      <c r="D207" s="73"/>
      <c r="E207" s="73"/>
    </row>
    <row r="208" spans="1:5" x14ac:dyDescent="0.2">
      <c r="A208" s="345">
        <v>33847</v>
      </c>
      <c r="B208" s="255"/>
      <c r="C208" s="259"/>
      <c r="D208" s="73"/>
      <c r="E208" s="73"/>
    </row>
    <row r="209" spans="1:5" x14ac:dyDescent="0.2">
      <c r="A209" s="345">
        <v>33877</v>
      </c>
      <c r="B209" s="255"/>
      <c r="C209" s="259"/>
      <c r="D209" s="73"/>
      <c r="E209" s="73"/>
    </row>
    <row r="210" spans="1:5" x14ac:dyDescent="0.2">
      <c r="A210" s="345">
        <v>33908</v>
      </c>
      <c r="B210" s="255"/>
      <c r="C210" s="259"/>
      <c r="D210" s="73"/>
      <c r="E210" s="73"/>
    </row>
    <row r="211" spans="1:5" x14ac:dyDescent="0.2">
      <c r="A211" s="345">
        <v>33938</v>
      </c>
      <c r="B211" s="255"/>
      <c r="C211" s="259"/>
      <c r="D211" s="73"/>
      <c r="E211" s="73"/>
    </row>
    <row r="212" spans="1:5" x14ac:dyDescent="0.2">
      <c r="A212" s="345">
        <v>33969</v>
      </c>
      <c r="B212" s="255"/>
      <c r="C212" s="259"/>
      <c r="D212" s="73"/>
      <c r="E212" s="73"/>
    </row>
    <row r="213" spans="1:5" x14ac:dyDescent="0.2">
      <c r="A213" s="345">
        <v>34000</v>
      </c>
      <c r="B213" s="255"/>
      <c r="C213" s="259"/>
      <c r="D213" s="73"/>
      <c r="E213" s="73"/>
    </row>
    <row r="214" spans="1:5" x14ac:dyDescent="0.2">
      <c r="A214" s="345">
        <v>34028</v>
      </c>
      <c r="B214" s="255"/>
      <c r="C214" s="259"/>
      <c r="D214" s="73"/>
      <c r="E214" s="73"/>
    </row>
    <row r="215" spans="1:5" x14ac:dyDescent="0.2">
      <c r="A215" s="345">
        <v>34059</v>
      </c>
      <c r="B215" s="255"/>
      <c r="C215" s="259"/>
      <c r="D215" s="73"/>
      <c r="E215" s="73"/>
    </row>
    <row r="216" spans="1:5" x14ac:dyDescent="0.2">
      <c r="A216" s="345">
        <v>34089</v>
      </c>
      <c r="B216" s="255"/>
      <c r="C216" s="259"/>
      <c r="D216" s="73"/>
      <c r="E216" s="73"/>
    </row>
    <row r="217" spans="1:5" x14ac:dyDescent="0.2">
      <c r="A217" s="345">
        <v>34120</v>
      </c>
      <c r="B217" s="255"/>
      <c r="C217" s="259"/>
      <c r="D217" s="73"/>
      <c r="E217" s="73"/>
    </row>
    <row r="218" spans="1:5" x14ac:dyDescent="0.2">
      <c r="A218" s="345">
        <v>34150</v>
      </c>
      <c r="B218" s="255"/>
      <c r="C218" s="259"/>
      <c r="D218" s="73"/>
      <c r="E218" s="73"/>
    </row>
    <row r="219" spans="1:5" x14ac:dyDescent="0.2">
      <c r="A219" s="345">
        <v>34181</v>
      </c>
      <c r="B219" s="255"/>
      <c r="C219" s="259"/>
      <c r="D219" s="73"/>
      <c r="E219" s="73"/>
    </row>
    <row r="220" spans="1:5" x14ac:dyDescent="0.2">
      <c r="A220" s="345">
        <v>34212</v>
      </c>
      <c r="B220" s="255"/>
      <c r="C220" s="259"/>
      <c r="D220" s="73"/>
      <c r="E220" s="73"/>
    </row>
    <row r="221" spans="1:5" x14ac:dyDescent="0.2">
      <c r="A221" s="345">
        <v>34242</v>
      </c>
      <c r="B221" s="255"/>
      <c r="C221" s="259"/>
      <c r="D221" s="73"/>
      <c r="E221" s="73"/>
    </row>
    <row r="222" spans="1:5" x14ac:dyDescent="0.2">
      <c r="A222" s="345">
        <v>34273</v>
      </c>
      <c r="B222" s="255"/>
      <c r="C222" s="259"/>
      <c r="D222" s="73"/>
      <c r="E222" s="73"/>
    </row>
    <row r="223" spans="1:5" x14ac:dyDescent="0.2">
      <c r="A223" s="345">
        <v>34303</v>
      </c>
      <c r="B223" s="255"/>
      <c r="C223" s="259"/>
      <c r="D223" s="73"/>
      <c r="E223" s="73"/>
    </row>
    <row r="224" spans="1:5" x14ac:dyDescent="0.2">
      <c r="A224" s="345">
        <v>34334</v>
      </c>
      <c r="B224" s="255"/>
      <c r="C224" s="259"/>
      <c r="D224" s="73"/>
      <c r="E224" s="73"/>
    </row>
    <row r="225" spans="1:5" x14ac:dyDescent="0.2">
      <c r="A225" s="345">
        <v>34365</v>
      </c>
      <c r="B225" s="255"/>
      <c r="C225" s="259"/>
      <c r="D225" s="73"/>
      <c r="E225" s="73"/>
    </row>
    <row r="226" spans="1:5" x14ac:dyDescent="0.2">
      <c r="A226" s="345">
        <v>34393</v>
      </c>
      <c r="B226" s="255"/>
      <c r="C226" s="259"/>
      <c r="D226" s="73"/>
      <c r="E226" s="73"/>
    </row>
    <row r="227" spans="1:5" x14ac:dyDescent="0.2">
      <c r="A227" s="345">
        <v>34424</v>
      </c>
      <c r="B227" s="255"/>
      <c r="C227" s="259"/>
      <c r="D227" s="73"/>
      <c r="E227" s="73"/>
    </row>
    <row r="228" spans="1:5" x14ac:dyDescent="0.2">
      <c r="A228" s="345">
        <v>34454</v>
      </c>
      <c r="B228" s="255"/>
      <c r="C228" s="259"/>
      <c r="D228" s="73"/>
      <c r="E228" s="73"/>
    </row>
    <row r="229" spans="1:5" x14ac:dyDescent="0.2">
      <c r="A229" s="345">
        <v>34485</v>
      </c>
      <c r="B229" s="255"/>
      <c r="C229" s="259"/>
      <c r="D229" s="73"/>
      <c r="E229" s="73"/>
    </row>
    <row r="230" spans="1:5" x14ac:dyDescent="0.2">
      <c r="A230" s="345">
        <v>34515</v>
      </c>
      <c r="B230" s="255"/>
      <c r="C230" s="259"/>
      <c r="D230" s="73"/>
      <c r="E230" s="73"/>
    </row>
    <row r="231" spans="1:5" x14ac:dyDescent="0.2">
      <c r="A231" s="345">
        <v>34546</v>
      </c>
      <c r="B231" s="255"/>
      <c r="C231" s="259"/>
      <c r="D231" s="73"/>
      <c r="E231" s="73"/>
    </row>
    <row r="232" spans="1:5" x14ac:dyDescent="0.2">
      <c r="A232" s="345">
        <v>34577</v>
      </c>
      <c r="B232" s="255"/>
      <c r="C232" s="259"/>
      <c r="D232" s="73"/>
      <c r="E232" s="73"/>
    </row>
    <row r="233" spans="1:5" x14ac:dyDescent="0.2">
      <c r="A233" s="345">
        <v>34607</v>
      </c>
      <c r="B233" s="255"/>
      <c r="C233" s="259"/>
      <c r="D233" s="73"/>
      <c r="E233" s="73"/>
    </row>
    <row r="234" spans="1:5" x14ac:dyDescent="0.2">
      <c r="A234" s="345">
        <v>34638</v>
      </c>
      <c r="B234" s="255"/>
      <c r="C234" s="259"/>
      <c r="D234" s="73"/>
      <c r="E234" s="73"/>
    </row>
    <row r="235" spans="1:5" x14ac:dyDescent="0.2">
      <c r="A235" s="345">
        <v>34668</v>
      </c>
      <c r="B235" s="255"/>
      <c r="C235" s="259"/>
      <c r="D235" s="73"/>
      <c r="E235" s="73"/>
    </row>
    <row r="236" spans="1:5" x14ac:dyDescent="0.2">
      <c r="A236" s="345">
        <v>34699</v>
      </c>
      <c r="B236" s="255"/>
      <c r="C236" s="259"/>
      <c r="D236" s="73"/>
      <c r="E236" s="73"/>
    </row>
    <row r="237" spans="1:5" x14ac:dyDescent="0.2">
      <c r="A237" s="345">
        <v>34730</v>
      </c>
      <c r="B237" s="255"/>
      <c r="C237" s="259"/>
      <c r="D237" s="73"/>
      <c r="E237" s="73"/>
    </row>
    <row r="238" spans="1:5" x14ac:dyDescent="0.2">
      <c r="A238" s="345">
        <v>34758</v>
      </c>
      <c r="B238" s="255"/>
      <c r="C238" s="259"/>
      <c r="D238" s="73"/>
      <c r="E238" s="73"/>
    </row>
    <row r="239" spans="1:5" x14ac:dyDescent="0.2">
      <c r="A239" s="345">
        <v>34789</v>
      </c>
      <c r="B239" s="255"/>
      <c r="C239" s="259"/>
      <c r="D239" s="73"/>
      <c r="E239" s="73"/>
    </row>
    <row r="240" spans="1:5" x14ac:dyDescent="0.2">
      <c r="A240" s="345">
        <v>34819</v>
      </c>
      <c r="B240" s="255"/>
      <c r="C240" s="259"/>
      <c r="D240" s="73"/>
      <c r="E240" s="73"/>
    </row>
    <row r="241" spans="1:5" x14ac:dyDescent="0.2">
      <c r="A241" s="345">
        <v>34850</v>
      </c>
      <c r="B241" s="255"/>
      <c r="C241" s="259"/>
      <c r="D241" s="73"/>
      <c r="E241" s="73"/>
    </row>
    <row r="242" spans="1:5" x14ac:dyDescent="0.2">
      <c r="A242" s="345">
        <v>34880</v>
      </c>
      <c r="B242" s="255"/>
      <c r="C242" s="259"/>
      <c r="D242" s="77"/>
      <c r="E242" s="77"/>
    </row>
    <row r="243" spans="1:5" x14ac:dyDescent="0.2">
      <c r="A243" s="345">
        <v>34911</v>
      </c>
      <c r="B243" s="255"/>
      <c r="C243" s="259"/>
      <c r="D243" s="77"/>
      <c r="E243" s="77"/>
    </row>
    <row r="244" spans="1:5" x14ac:dyDescent="0.2">
      <c r="A244" s="345">
        <v>34942</v>
      </c>
      <c r="B244" s="255"/>
      <c r="C244" s="259"/>
      <c r="D244" s="77"/>
      <c r="E244" s="77"/>
    </row>
    <row r="245" spans="1:5" x14ac:dyDescent="0.2">
      <c r="A245" s="345">
        <v>34972</v>
      </c>
      <c r="B245" s="255"/>
      <c r="C245" s="259"/>
      <c r="D245" s="77"/>
      <c r="E245" s="77"/>
    </row>
    <row r="246" spans="1:5" x14ac:dyDescent="0.2">
      <c r="A246" s="345">
        <v>35003</v>
      </c>
      <c r="B246" s="255"/>
      <c r="C246" s="259"/>
      <c r="D246" s="77"/>
      <c r="E246" s="77"/>
    </row>
    <row r="247" spans="1:5" x14ac:dyDescent="0.2">
      <c r="A247" s="345">
        <v>35033</v>
      </c>
      <c r="B247" s="255"/>
      <c r="C247" s="259"/>
      <c r="D247" s="77"/>
      <c r="E247" s="77"/>
    </row>
    <row r="248" spans="1:5" x14ac:dyDescent="0.2">
      <c r="A248" s="345">
        <v>35064</v>
      </c>
      <c r="B248" s="255"/>
      <c r="C248" s="259"/>
      <c r="D248" s="77"/>
      <c r="E248" s="77"/>
    </row>
    <row r="249" spans="1:5" x14ac:dyDescent="0.2">
      <c r="A249" s="345">
        <v>35095</v>
      </c>
      <c r="B249" s="255"/>
      <c r="C249" s="259"/>
      <c r="D249" s="77"/>
      <c r="E249" s="77"/>
    </row>
    <row r="250" spans="1:5" x14ac:dyDescent="0.2">
      <c r="A250" s="345">
        <v>35124</v>
      </c>
      <c r="B250" s="255"/>
      <c r="C250" s="259"/>
      <c r="D250" s="77"/>
      <c r="E250" s="77"/>
    </row>
    <row r="251" spans="1:5" x14ac:dyDescent="0.2">
      <c r="A251" s="345">
        <v>35155</v>
      </c>
      <c r="B251" s="255"/>
      <c r="C251" s="259"/>
      <c r="D251" s="77"/>
      <c r="E251" s="77"/>
    </row>
    <row r="252" spans="1:5" x14ac:dyDescent="0.2">
      <c r="A252" s="345">
        <v>35185</v>
      </c>
      <c r="B252" s="253"/>
      <c r="C252" s="259"/>
      <c r="D252" s="77"/>
      <c r="E252" s="77"/>
    </row>
    <row r="253" spans="1:5" x14ac:dyDescent="0.2">
      <c r="A253" s="345">
        <v>35216</v>
      </c>
      <c r="B253" s="253"/>
      <c r="C253" s="259"/>
      <c r="D253" s="77"/>
      <c r="E253" s="77"/>
    </row>
    <row r="254" spans="1:5" x14ac:dyDescent="0.2">
      <c r="A254" s="345">
        <v>35246</v>
      </c>
      <c r="B254" s="253"/>
      <c r="C254" s="259"/>
      <c r="D254" s="77"/>
      <c r="E254" s="77"/>
    </row>
    <row r="255" spans="1:5" x14ac:dyDescent="0.2">
      <c r="A255" s="345">
        <v>35277</v>
      </c>
      <c r="B255" s="253"/>
      <c r="C255" s="259"/>
      <c r="D255" s="77"/>
      <c r="E255" s="77"/>
    </row>
    <row r="256" spans="1:5" x14ac:dyDescent="0.2">
      <c r="A256" s="345">
        <v>35308</v>
      </c>
      <c r="B256" s="253"/>
      <c r="C256" s="259"/>
      <c r="D256" s="77"/>
      <c r="E256" s="77"/>
    </row>
    <row r="257" spans="1:5" x14ac:dyDescent="0.2">
      <c r="A257" s="345">
        <v>35338</v>
      </c>
      <c r="B257" s="253"/>
      <c r="C257" s="259"/>
      <c r="D257" s="77"/>
      <c r="E257" s="77"/>
    </row>
    <row r="258" spans="1:5" x14ac:dyDescent="0.2">
      <c r="A258" s="345">
        <v>35369</v>
      </c>
      <c r="B258" s="253"/>
      <c r="C258" s="259"/>
      <c r="D258" s="77"/>
      <c r="E258" s="77"/>
    </row>
    <row r="259" spans="1:5" x14ac:dyDescent="0.2">
      <c r="A259" s="345">
        <v>35399</v>
      </c>
      <c r="B259" s="253"/>
      <c r="C259" s="259"/>
      <c r="D259" s="77"/>
      <c r="E259" s="77"/>
    </row>
    <row r="260" spans="1:5" x14ac:dyDescent="0.2">
      <c r="A260" s="345">
        <v>35430</v>
      </c>
      <c r="B260" s="253"/>
      <c r="C260" s="259"/>
      <c r="D260" s="77"/>
      <c r="E260" s="77"/>
    </row>
    <row r="261" spans="1:5" x14ac:dyDescent="0.2">
      <c r="A261" s="345">
        <v>35461</v>
      </c>
      <c r="B261" s="253"/>
      <c r="C261" s="259"/>
      <c r="D261" s="77"/>
      <c r="E261" s="77"/>
    </row>
    <row r="262" spans="1:5" x14ac:dyDescent="0.2">
      <c r="A262" s="345">
        <v>35489</v>
      </c>
      <c r="B262" s="253"/>
      <c r="C262" s="259"/>
      <c r="D262" s="77"/>
      <c r="E262" s="77"/>
    </row>
    <row r="263" spans="1:5" x14ac:dyDescent="0.2">
      <c r="A263" s="345">
        <v>35520</v>
      </c>
      <c r="B263" s="253"/>
      <c r="C263" s="259"/>
      <c r="D263" s="77"/>
      <c r="E263" s="77"/>
    </row>
    <row r="264" spans="1:5" x14ac:dyDescent="0.2">
      <c r="A264" s="345">
        <v>35550</v>
      </c>
      <c r="B264" s="253"/>
      <c r="C264" s="259"/>
      <c r="D264" s="77"/>
      <c r="E264" s="77"/>
    </row>
    <row r="265" spans="1:5" x14ac:dyDescent="0.2">
      <c r="A265" s="345">
        <v>35581</v>
      </c>
      <c r="B265" s="253"/>
      <c r="C265" s="259"/>
      <c r="D265" s="77"/>
      <c r="E265" s="77"/>
    </row>
    <row r="266" spans="1:5" x14ac:dyDescent="0.2">
      <c r="A266" s="345">
        <v>35611</v>
      </c>
      <c r="B266" s="253"/>
      <c r="C266" s="259"/>
      <c r="D266" s="77"/>
      <c r="E266" s="77"/>
    </row>
    <row r="267" spans="1:5" x14ac:dyDescent="0.2">
      <c r="A267" s="345">
        <v>35642</v>
      </c>
      <c r="B267" s="253"/>
      <c r="C267" s="259"/>
      <c r="D267" s="77"/>
      <c r="E267" s="77"/>
    </row>
    <row r="268" spans="1:5" x14ac:dyDescent="0.2">
      <c r="A268" s="345">
        <v>35673</v>
      </c>
      <c r="B268" s="253"/>
      <c r="C268" s="259"/>
      <c r="D268" s="77"/>
      <c r="E268" s="77"/>
    </row>
    <row r="269" spans="1:5" x14ac:dyDescent="0.2">
      <c r="A269" s="345">
        <v>35703</v>
      </c>
      <c r="B269" s="253"/>
      <c r="C269" s="259"/>
      <c r="D269" s="77"/>
      <c r="E269" s="77"/>
    </row>
    <row r="270" spans="1:5" x14ac:dyDescent="0.2">
      <c r="A270" s="345">
        <v>35734</v>
      </c>
      <c r="B270" s="253"/>
      <c r="C270" s="259"/>
      <c r="D270" s="77"/>
      <c r="E270" s="77"/>
    </row>
    <row r="271" spans="1:5" x14ac:dyDescent="0.2">
      <c r="A271" s="345">
        <v>35764</v>
      </c>
      <c r="B271" s="253"/>
      <c r="C271" s="259"/>
      <c r="D271" s="77"/>
      <c r="E271" s="77"/>
    </row>
    <row r="272" spans="1:5" x14ac:dyDescent="0.2">
      <c r="A272" s="345">
        <v>35795</v>
      </c>
      <c r="B272" s="253"/>
      <c r="C272" s="259"/>
      <c r="D272" s="77"/>
      <c r="E272" s="77"/>
    </row>
    <row r="273" spans="1:5" x14ac:dyDescent="0.2">
      <c r="A273" s="345">
        <v>35826</v>
      </c>
      <c r="B273" s="253"/>
      <c r="C273" s="259"/>
      <c r="D273" s="77"/>
      <c r="E273" s="77"/>
    </row>
    <row r="274" spans="1:5" x14ac:dyDescent="0.2">
      <c r="A274" s="345">
        <v>35854</v>
      </c>
      <c r="B274" s="253"/>
      <c r="C274" s="259"/>
      <c r="D274" s="77"/>
      <c r="E274" s="77"/>
    </row>
    <row r="275" spans="1:5" x14ac:dyDescent="0.2">
      <c r="A275" s="345">
        <v>35885</v>
      </c>
      <c r="B275" s="253"/>
      <c r="C275" s="259"/>
      <c r="D275" s="77"/>
      <c r="E275" s="77"/>
    </row>
    <row r="276" spans="1:5" x14ac:dyDescent="0.2">
      <c r="A276" s="345">
        <v>35915</v>
      </c>
      <c r="B276" s="253"/>
      <c r="C276" s="259"/>
      <c r="D276" s="77"/>
      <c r="E276" s="77"/>
    </row>
    <row r="277" spans="1:5" x14ac:dyDescent="0.2">
      <c r="A277" s="345">
        <v>35946</v>
      </c>
      <c r="B277" s="253"/>
      <c r="C277" s="259"/>
      <c r="D277" s="77"/>
      <c r="E277" s="77"/>
    </row>
    <row r="278" spans="1:5" x14ac:dyDescent="0.2">
      <c r="A278" s="345">
        <v>35976</v>
      </c>
      <c r="B278" s="253"/>
      <c r="C278" s="259"/>
      <c r="D278" s="77"/>
      <c r="E278" s="77"/>
    </row>
    <row r="279" spans="1:5" x14ac:dyDescent="0.2">
      <c r="A279" s="345">
        <v>36007</v>
      </c>
      <c r="B279" s="253"/>
      <c r="C279" s="259"/>
      <c r="D279" s="77"/>
      <c r="E279" s="77"/>
    </row>
    <row r="280" spans="1:5" x14ac:dyDescent="0.2">
      <c r="A280" s="345">
        <v>36038</v>
      </c>
      <c r="B280" s="253"/>
      <c r="C280" s="259"/>
      <c r="D280" s="77"/>
      <c r="E280" s="77"/>
    </row>
    <row r="281" spans="1:5" x14ac:dyDescent="0.2">
      <c r="A281" s="345">
        <v>36068</v>
      </c>
      <c r="B281" s="253"/>
      <c r="C281" s="259"/>
      <c r="D281" s="77"/>
      <c r="E281" s="77"/>
    </row>
    <row r="282" spans="1:5" x14ac:dyDescent="0.2">
      <c r="A282" s="345">
        <v>36099</v>
      </c>
      <c r="B282" s="253"/>
      <c r="C282" s="259"/>
      <c r="D282" s="77"/>
      <c r="E282" s="77"/>
    </row>
    <row r="283" spans="1:5" x14ac:dyDescent="0.2">
      <c r="A283" s="345">
        <v>36129</v>
      </c>
      <c r="B283" s="253"/>
      <c r="C283" s="259"/>
      <c r="D283" s="77"/>
      <c r="E283" s="77"/>
    </row>
    <row r="284" spans="1:5" x14ac:dyDescent="0.2">
      <c r="A284" s="345">
        <v>36160</v>
      </c>
      <c r="B284" s="253"/>
      <c r="C284" s="33"/>
      <c r="D284" s="253"/>
      <c r="E284" s="253"/>
    </row>
    <row r="285" spans="1:5" x14ac:dyDescent="0.2">
      <c r="A285" s="345">
        <v>36191</v>
      </c>
      <c r="B285" s="253"/>
      <c r="C285" s="33"/>
      <c r="D285" s="253"/>
      <c r="E285" s="253"/>
    </row>
    <row r="286" spans="1:5" x14ac:dyDescent="0.2">
      <c r="A286" s="345">
        <v>36219</v>
      </c>
      <c r="B286" s="253"/>
      <c r="C286" s="33"/>
      <c r="D286" s="253"/>
      <c r="E286" s="253"/>
    </row>
    <row r="287" spans="1:5" x14ac:dyDescent="0.2">
      <c r="A287" s="345">
        <v>36250</v>
      </c>
      <c r="B287" s="253"/>
      <c r="C287" s="33"/>
      <c r="D287" s="253"/>
      <c r="E287" s="253"/>
    </row>
    <row r="288" spans="1:5" x14ac:dyDescent="0.2">
      <c r="A288" s="345">
        <v>36280</v>
      </c>
      <c r="B288" s="253"/>
      <c r="C288" s="33"/>
      <c r="D288" s="253"/>
      <c r="E288" s="253"/>
    </row>
    <row r="289" spans="1:5" x14ac:dyDescent="0.2">
      <c r="A289" s="345">
        <v>36311</v>
      </c>
      <c r="B289" s="253"/>
      <c r="C289" s="33"/>
      <c r="D289" s="253"/>
      <c r="E289" s="253"/>
    </row>
    <row r="290" spans="1:5" x14ac:dyDescent="0.2">
      <c r="A290" s="345">
        <v>36341</v>
      </c>
      <c r="B290" s="253"/>
      <c r="C290" s="33"/>
      <c r="D290" s="253"/>
      <c r="E290" s="253"/>
    </row>
    <row r="291" spans="1:5" x14ac:dyDescent="0.2">
      <c r="A291" s="345">
        <v>36372</v>
      </c>
      <c r="B291" s="253"/>
      <c r="C291" s="33"/>
      <c r="D291" s="253"/>
      <c r="E291" s="253"/>
    </row>
    <row r="292" spans="1:5" x14ac:dyDescent="0.2">
      <c r="A292" s="345">
        <v>36403</v>
      </c>
      <c r="B292" s="253"/>
      <c r="C292" s="33"/>
      <c r="D292" s="253"/>
      <c r="E292" s="253"/>
    </row>
    <row r="293" spans="1:5" x14ac:dyDescent="0.2">
      <c r="A293" s="345">
        <v>36433</v>
      </c>
      <c r="B293" s="253"/>
      <c r="C293" s="33"/>
      <c r="D293" s="253"/>
      <c r="E293" s="253"/>
    </row>
    <row r="294" spans="1:5" x14ac:dyDescent="0.2">
      <c r="A294" s="345">
        <v>36464</v>
      </c>
      <c r="B294" s="253"/>
      <c r="C294" s="33"/>
      <c r="D294" s="253"/>
      <c r="E294" s="253"/>
    </row>
    <row r="295" spans="1:5" x14ac:dyDescent="0.2">
      <c r="A295" s="345">
        <v>36494</v>
      </c>
      <c r="B295" s="253"/>
      <c r="C295" s="33"/>
      <c r="D295" s="253"/>
      <c r="E295" s="253"/>
    </row>
    <row r="296" spans="1:5" x14ac:dyDescent="0.2">
      <c r="A296" s="345">
        <v>36525</v>
      </c>
      <c r="B296" s="253"/>
      <c r="C296" s="33"/>
      <c r="D296" s="253"/>
      <c r="E296" s="253"/>
    </row>
    <row r="297" spans="1:5" x14ac:dyDescent="0.2">
      <c r="A297" s="345">
        <v>36556</v>
      </c>
      <c r="B297" s="253"/>
      <c r="C297" s="33"/>
      <c r="D297" s="253"/>
      <c r="E297" s="253"/>
    </row>
    <row r="298" spans="1:5" x14ac:dyDescent="0.2">
      <c r="A298" s="345">
        <v>36585</v>
      </c>
      <c r="B298" s="253"/>
      <c r="C298" s="33"/>
      <c r="D298" s="253"/>
      <c r="E298" s="253"/>
    </row>
    <row r="299" spans="1:5" x14ac:dyDescent="0.2">
      <c r="A299" s="345">
        <v>36616</v>
      </c>
      <c r="B299" s="253"/>
      <c r="C299" s="33"/>
      <c r="D299" s="253"/>
      <c r="E299" s="253"/>
    </row>
    <row r="300" spans="1:5" x14ac:dyDescent="0.2">
      <c r="A300" s="345">
        <v>36646</v>
      </c>
      <c r="B300" s="253"/>
      <c r="C300" s="33"/>
      <c r="D300" s="253"/>
      <c r="E300" s="253"/>
    </row>
    <row r="301" spans="1:5" x14ac:dyDescent="0.2">
      <c r="A301" s="345">
        <v>36677</v>
      </c>
      <c r="B301" s="253"/>
      <c r="C301" s="33"/>
      <c r="D301" s="253"/>
      <c r="E301" s="253"/>
    </row>
    <row r="302" spans="1:5" x14ac:dyDescent="0.2">
      <c r="A302" s="345">
        <v>36707</v>
      </c>
      <c r="B302" s="253"/>
      <c r="C302" s="33"/>
      <c r="D302" s="253"/>
      <c r="E302" s="253"/>
    </row>
    <row r="303" spans="1:5" x14ac:dyDescent="0.2">
      <c r="A303" s="345">
        <v>36738</v>
      </c>
      <c r="B303" s="253"/>
      <c r="C303" s="33"/>
      <c r="D303" s="253"/>
      <c r="E303" s="253"/>
    </row>
    <row r="304" spans="1:5" x14ac:dyDescent="0.2">
      <c r="A304" s="345">
        <v>36769</v>
      </c>
      <c r="B304" s="253"/>
      <c r="C304" s="33"/>
      <c r="D304" s="253"/>
      <c r="E304" s="253"/>
    </row>
    <row r="305" spans="1:5" x14ac:dyDescent="0.2">
      <c r="A305" s="345">
        <v>36799</v>
      </c>
      <c r="B305" s="253"/>
      <c r="C305" s="33"/>
      <c r="D305" s="253"/>
      <c r="E305" s="253"/>
    </row>
    <row r="306" spans="1:5" x14ac:dyDescent="0.2">
      <c r="A306" s="345">
        <v>36830</v>
      </c>
      <c r="B306" s="253"/>
      <c r="C306" s="33"/>
      <c r="D306" s="253"/>
      <c r="E306" s="253"/>
    </row>
    <row r="307" spans="1:5" x14ac:dyDescent="0.2">
      <c r="A307" s="345">
        <v>36860</v>
      </c>
      <c r="B307" s="253"/>
      <c r="C307" s="33"/>
      <c r="D307" s="253"/>
      <c r="E307" s="253"/>
    </row>
    <row r="308" spans="1:5" x14ac:dyDescent="0.2">
      <c r="A308" s="345">
        <v>36891</v>
      </c>
      <c r="B308" s="253"/>
      <c r="C308" s="33"/>
      <c r="D308" s="253"/>
      <c r="E308" s="253"/>
    </row>
    <row r="309" spans="1:5" x14ac:dyDescent="0.2">
      <c r="A309" s="345">
        <v>36922</v>
      </c>
      <c r="B309" s="253"/>
      <c r="C309" s="33"/>
      <c r="D309" s="253"/>
      <c r="E309" s="253"/>
    </row>
    <row r="310" spans="1:5" x14ac:dyDescent="0.2">
      <c r="A310" s="345">
        <v>36950</v>
      </c>
      <c r="B310" s="253"/>
      <c r="C310" s="33"/>
      <c r="D310" s="253"/>
      <c r="E310" s="253"/>
    </row>
    <row r="311" spans="1:5" x14ac:dyDescent="0.2">
      <c r="A311" s="345">
        <v>36981</v>
      </c>
      <c r="B311" s="253"/>
      <c r="C311" s="33"/>
      <c r="D311" s="253"/>
      <c r="E311" s="253"/>
    </row>
    <row r="312" spans="1:5" x14ac:dyDescent="0.2">
      <c r="A312" s="345">
        <v>37011</v>
      </c>
      <c r="B312" s="253"/>
      <c r="C312" s="33"/>
      <c r="D312" s="253"/>
      <c r="E312" s="253"/>
    </row>
    <row r="313" spans="1:5" x14ac:dyDescent="0.2">
      <c r="A313" s="345">
        <v>37042</v>
      </c>
      <c r="B313" s="253"/>
      <c r="C313" s="33"/>
      <c r="D313" s="253"/>
      <c r="E313" s="253"/>
    </row>
    <row r="314" spans="1:5" x14ac:dyDescent="0.2">
      <c r="A314" s="345">
        <v>37072</v>
      </c>
      <c r="B314" s="253"/>
      <c r="C314" s="33"/>
      <c r="D314" s="253"/>
      <c r="E314" s="253"/>
    </row>
    <row r="315" spans="1:5" x14ac:dyDescent="0.2">
      <c r="A315" s="345">
        <v>37103</v>
      </c>
      <c r="B315" s="253"/>
      <c r="C315" s="33"/>
      <c r="D315" s="253"/>
      <c r="E315" s="253"/>
    </row>
    <row r="316" spans="1:5" x14ac:dyDescent="0.2">
      <c r="A316" s="345">
        <v>37134</v>
      </c>
      <c r="B316" s="253"/>
      <c r="C316" s="33"/>
      <c r="D316" s="253"/>
      <c r="E316" s="253"/>
    </row>
    <row r="317" spans="1:5" x14ac:dyDescent="0.2">
      <c r="A317" s="345">
        <v>37164</v>
      </c>
      <c r="B317" s="253"/>
      <c r="C317" s="33"/>
      <c r="D317" s="253"/>
      <c r="E317" s="253"/>
    </row>
    <row r="318" spans="1:5" x14ac:dyDescent="0.2">
      <c r="A318" s="345">
        <v>37195</v>
      </c>
      <c r="B318" s="253"/>
      <c r="C318" s="33"/>
      <c r="D318" s="253"/>
      <c r="E318" s="253"/>
    </row>
    <row r="319" spans="1:5" x14ac:dyDescent="0.2">
      <c r="A319" s="345">
        <v>37225</v>
      </c>
      <c r="B319" s="253"/>
      <c r="C319" s="33"/>
      <c r="D319" s="253"/>
      <c r="E319" s="253"/>
    </row>
    <row r="320" spans="1:5" x14ac:dyDescent="0.2">
      <c r="A320" s="345">
        <v>37256</v>
      </c>
      <c r="B320" s="253"/>
      <c r="C320" s="33"/>
      <c r="D320" s="253"/>
      <c r="E320" s="253"/>
    </row>
    <row r="321" spans="1:5" x14ac:dyDescent="0.2">
      <c r="A321" s="345">
        <v>37287</v>
      </c>
      <c r="B321" s="253"/>
      <c r="C321" s="33"/>
      <c r="D321" s="253"/>
      <c r="E321" s="253"/>
    </row>
    <row r="322" spans="1:5" x14ac:dyDescent="0.2">
      <c r="A322" s="345">
        <v>37315</v>
      </c>
      <c r="B322" s="253"/>
      <c r="C322" s="33"/>
      <c r="D322" s="253"/>
      <c r="E322" s="253"/>
    </row>
    <row r="323" spans="1:5" x14ac:dyDescent="0.2">
      <c r="A323" s="345">
        <v>37346</v>
      </c>
      <c r="B323" s="253"/>
      <c r="C323" s="33"/>
      <c r="D323" s="253"/>
      <c r="E323" s="253"/>
    </row>
    <row r="324" spans="1:5" x14ac:dyDescent="0.2">
      <c r="A324" s="345">
        <v>37376</v>
      </c>
      <c r="B324" s="253"/>
      <c r="C324" s="33"/>
      <c r="D324" s="253"/>
      <c r="E324" s="253"/>
    </row>
    <row r="325" spans="1:5" x14ac:dyDescent="0.2">
      <c r="A325" s="345">
        <v>37407</v>
      </c>
      <c r="B325" s="253"/>
      <c r="C325" s="33"/>
      <c r="D325" s="253"/>
      <c r="E325" s="253"/>
    </row>
    <row r="326" spans="1:5" x14ac:dyDescent="0.2">
      <c r="A326" s="345">
        <v>37437</v>
      </c>
      <c r="B326" s="253"/>
      <c r="C326" s="33"/>
      <c r="D326" s="253"/>
      <c r="E326" s="253"/>
    </row>
    <row r="327" spans="1:5" x14ac:dyDescent="0.2">
      <c r="A327" s="345">
        <v>37468</v>
      </c>
      <c r="B327" s="253"/>
      <c r="C327" s="33"/>
      <c r="D327" s="253"/>
      <c r="E327" s="253"/>
    </row>
    <row r="328" spans="1:5" x14ac:dyDescent="0.2">
      <c r="A328" s="345">
        <v>37499</v>
      </c>
      <c r="B328" s="253"/>
      <c r="C328" s="33"/>
      <c r="D328" s="253"/>
      <c r="E328" s="253"/>
    </row>
    <row r="329" spans="1:5" x14ac:dyDescent="0.2">
      <c r="A329" s="345">
        <v>37529</v>
      </c>
      <c r="B329" s="253"/>
      <c r="C329" s="33"/>
      <c r="D329" s="253"/>
      <c r="E329" s="253"/>
    </row>
    <row r="330" spans="1:5" x14ac:dyDescent="0.2">
      <c r="A330" s="345">
        <v>37560</v>
      </c>
      <c r="B330" s="253"/>
      <c r="C330" s="33"/>
      <c r="D330" s="253"/>
      <c r="E330" s="253"/>
    </row>
    <row r="331" spans="1:5" x14ac:dyDescent="0.2">
      <c r="A331" s="345">
        <v>37590</v>
      </c>
      <c r="B331" s="253"/>
      <c r="C331" s="33"/>
      <c r="D331" s="253"/>
      <c r="E331" s="253"/>
    </row>
    <row r="332" spans="1:5" x14ac:dyDescent="0.2">
      <c r="A332" s="345">
        <v>37621</v>
      </c>
      <c r="B332" s="253"/>
      <c r="C332" s="33"/>
      <c r="D332" s="253"/>
      <c r="E332" s="253"/>
    </row>
    <row r="333" spans="1:5" x14ac:dyDescent="0.2">
      <c r="A333" s="345">
        <v>37652</v>
      </c>
      <c r="B333" s="253"/>
      <c r="C333" s="33"/>
      <c r="D333" s="253"/>
      <c r="E333" s="253"/>
    </row>
    <row r="334" spans="1:5" x14ac:dyDescent="0.2">
      <c r="A334" s="345">
        <v>37680</v>
      </c>
      <c r="B334" s="253"/>
      <c r="C334" s="33"/>
      <c r="D334" s="253"/>
      <c r="E334" s="253"/>
    </row>
    <row r="335" spans="1:5" x14ac:dyDescent="0.2">
      <c r="A335" s="345">
        <v>37711</v>
      </c>
      <c r="B335" s="253"/>
      <c r="C335" s="33"/>
      <c r="D335" s="253"/>
      <c r="E335" s="253"/>
    </row>
    <row r="336" spans="1:5" x14ac:dyDescent="0.2">
      <c r="A336" s="345">
        <v>37741</v>
      </c>
      <c r="B336" s="253"/>
      <c r="C336" s="33"/>
      <c r="D336" s="253"/>
      <c r="E336" s="253"/>
    </row>
    <row r="337" spans="1:9" x14ac:dyDescent="0.2">
      <c r="A337" s="345">
        <v>37772</v>
      </c>
      <c r="B337" s="253"/>
      <c r="C337" s="33"/>
      <c r="D337" s="253"/>
      <c r="E337" s="253"/>
    </row>
    <row r="338" spans="1:9" x14ac:dyDescent="0.2">
      <c r="A338" s="345">
        <v>37802</v>
      </c>
      <c r="B338" s="253"/>
      <c r="C338" s="33"/>
      <c r="D338" s="253"/>
      <c r="E338" s="253"/>
    </row>
    <row r="339" spans="1:9" x14ac:dyDescent="0.2">
      <c r="A339" s="345">
        <v>37833</v>
      </c>
      <c r="B339" s="253"/>
      <c r="C339" s="33"/>
      <c r="D339" s="253"/>
      <c r="E339" s="253"/>
    </row>
    <row r="340" spans="1:9" x14ac:dyDescent="0.2">
      <c r="A340" s="345">
        <v>37864</v>
      </c>
      <c r="B340" s="253"/>
      <c r="C340" s="33"/>
      <c r="D340" s="253"/>
      <c r="E340" s="253"/>
    </row>
    <row r="341" spans="1:9" x14ac:dyDescent="0.2">
      <c r="A341" s="345">
        <v>37894</v>
      </c>
      <c r="B341" s="253"/>
      <c r="C341" s="34"/>
      <c r="D341" s="253"/>
      <c r="E341" s="253"/>
    </row>
    <row r="342" spans="1:9" x14ac:dyDescent="0.2">
      <c r="A342" s="345">
        <v>37925</v>
      </c>
      <c r="B342" s="253"/>
      <c r="C342" s="34"/>
      <c r="D342" s="253"/>
      <c r="E342" s="253"/>
    </row>
    <row r="343" spans="1:9" x14ac:dyDescent="0.2">
      <c r="A343" s="345">
        <v>37955</v>
      </c>
      <c r="B343" s="253"/>
      <c r="C343" s="34"/>
      <c r="D343" s="253"/>
      <c r="E343" s="253"/>
    </row>
    <row r="344" spans="1:9" x14ac:dyDescent="0.2">
      <c r="A344" s="345">
        <v>37986</v>
      </c>
      <c r="B344" s="253"/>
      <c r="C344" s="34"/>
      <c r="D344" s="253"/>
      <c r="E344" s="253"/>
    </row>
    <row r="345" spans="1:9" x14ac:dyDescent="0.2">
      <c r="A345" s="345">
        <v>38017</v>
      </c>
      <c r="B345" s="253"/>
      <c r="C345" s="34"/>
      <c r="D345" s="253"/>
      <c r="E345" s="253"/>
    </row>
    <row r="346" spans="1:9" x14ac:dyDescent="0.2">
      <c r="A346" s="345">
        <v>38046</v>
      </c>
      <c r="B346" s="253"/>
      <c r="C346" s="34"/>
      <c r="D346" s="253"/>
      <c r="E346" s="253"/>
    </row>
    <row r="347" spans="1:9" x14ac:dyDescent="0.2">
      <c r="A347" s="345">
        <v>38077</v>
      </c>
      <c r="B347" s="253"/>
      <c r="C347" s="34"/>
      <c r="D347" s="255"/>
      <c r="E347" s="253"/>
    </row>
    <row r="348" spans="1:9" x14ac:dyDescent="0.2">
      <c r="A348" s="345">
        <v>38107</v>
      </c>
      <c r="B348" s="253"/>
      <c r="C348" s="34"/>
      <c r="D348" s="253"/>
      <c r="E348" s="253"/>
      <c r="I348" s="14"/>
    </row>
    <row r="349" spans="1:9" x14ac:dyDescent="0.2">
      <c r="A349" s="345">
        <v>38138</v>
      </c>
      <c r="B349" s="253"/>
      <c r="C349" s="34"/>
      <c r="D349" s="253"/>
      <c r="E349" s="253"/>
      <c r="I349" s="14"/>
    </row>
    <row r="350" spans="1:9" x14ac:dyDescent="0.2">
      <c r="A350" s="345">
        <v>38168</v>
      </c>
      <c r="B350" s="253"/>
      <c r="C350" s="34"/>
      <c r="D350" s="253"/>
      <c r="E350" s="253"/>
      <c r="I350" s="14"/>
    </row>
    <row r="351" spans="1:9" x14ac:dyDescent="0.2">
      <c r="A351" s="345">
        <v>38199</v>
      </c>
      <c r="B351" s="253"/>
      <c r="C351" s="34"/>
      <c r="D351" s="253"/>
      <c r="E351" s="253"/>
    </row>
    <row r="352" spans="1:9" x14ac:dyDescent="0.2">
      <c r="A352" s="345">
        <v>38230</v>
      </c>
      <c r="B352" s="253"/>
      <c r="C352" s="34"/>
      <c r="D352" s="253"/>
      <c r="E352" s="253"/>
    </row>
    <row r="353" spans="1:5" x14ac:dyDescent="0.2">
      <c r="A353" s="345">
        <v>38260</v>
      </c>
      <c r="B353" s="253"/>
      <c r="C353" s="34"/>
      <c r="D353" s="253"/>
      <c r="E353" s="253"/>
    </row>
    <row r="354" spans="1:5" x14ac:dyDescent="0.2">
      <c r="A354" s="345">
        <v>38291</v>
      </c>
      <c r="B354" s="253"/>
      <c r="C354" s="34"/>
      <c r="D354" s="253"/>
      <c r="E354" s="253"/>
    </row>
    <row r="355" spans="1:5" x14ac:dyDescent="0.2">
      <c r="A355" s="345">
        <v>38321</v>
      </c>
      <c r="B355" s="253"/>
      <c r="C355" s="34"/>
      <c r="D355" s="253"/>
      <c r="E355" s="253"/>
    </row>
    <row r="356" spans="1:5" x14ac:dyDescent="0.2">
      <c r="A356" s="345">
        <v>38352</v>
      </c>
      <c r="B356" s="253"/>
      <c r="C356" s="256"/>
      <c r="D356" s="253"/>
      <c r="E356" s="253"/>
    </row>
    <row r="357" spans="1:5" x14ac:dyDescent="0.2">
      <c r="A357" s="345">
        <v>38383</v>
      </c>
      <c r="B357" s="253"/>
      <c r="C357" s="34"/>
      <c r="D357" s="76"/>
      <c r="E357" s="253"/>
    </row>
    <row r="358" spans="1:5" x14ac:dyDescent="0.2">
      <c r="A358" s="345">
        <v>38411</v>
      </c>
      <c r="B358" s="253"/>
      <c r="C358" s="34"/>
      <c r="D358" s="76"/>
      <c r="E358" s="253"/>
    </row>
    <row r="359" spans="1:5" x14ac:dyDescent="0.2">
      <c r="A359" s="345">
        <v>38442</v>
      </c>
      <c r="B359" s="253"/>
      <c r="C359" s="256"/>
      <c r="D359" s="76"/>
      <c r="E359" s="253"/>
    </row>
    <row r="360" spans="1:5" x14ac:dyDescent="0.2">
      <c r="A360" s="345">
        <v>38472</v>
      </c>
      <c r="B360" s="253"/>
      <c r="C360" s="256"/>
      <c r="D360" s="76"/>
      <c r="E360" s="253"/>
    </row>
    <row r="361" spans="1:5" x14ac:dyDescent="0.2">
      <c r="A361" s="345">
        <v>38503</v>
      </c>
      <c r="B361" s="253"/>
      <c r="C361" s="256"/>
      <c r="D361" s="76"/>
      <c r="E361" s="253"/>
    </row>
    <row r="362" spans="1:5" x14ac:dyDescent="0.2">
      <c r="A362" s="345">
        <v>38533</v>
      </c>
      <c r="B362" s="253"/>
      <c r="C362" s="256"/>
      <c r="D362" s="76"/>
      <c r="E362" s="253"/>
    </row>
    <row r="363" spans="1:5" x14ac:dyDescent="0.2">
      <c r="A363" s="345">
        <v>38564</v>
      </c>
      <c r="B363" s="253"/>
      <c r="C363" s="256"/>
      <c r="D363" s="76"/>
      <c r="E363" s="253"/>
    </row>
    <row r="364" spans="1:5" x14ac:dyDescent="0.2">
      <c r="A364" s="345">
        <v>38595</v>
      </c>
      <c r="B364" s="253"/>
      <c r="C364" s="256"/>
      <c r="D364" s="76"/>
      <c r="E364" s="253"/>
    </row>
    <row r="365" spans="1:5" x14ac:dyDescent="0.2">
      <c r="A365" s="345">
        <v>38625</v>
      </c>
      <c r="B365" s="253"/>
      <c r="C365" s="334"/>
      <c r="D365" s="76"/>
      <c r="E365" s="253"/>
    </row>
    <row r="366" spans="1:5" x14ac:dyDescent="0.2">
      <c r="A366" s="345">
        <v>38656</v>
      </c>
      <c r="B366" s="253"/>
      <c r="C366" s="334"/>
      <c r="D366" s="76"/>
      <c r="E366" s="253"/>
    </row>
    <row r="367" spans="1:5" x14ac:dyDescent="0.2">
      <c r="A367" s="345">
        <v>38686</v>
      </c>
      <c r="B367" s="253"/>
      <c r="C367" s="334"/>
      <c r="D367" s="76"/>
      <c r="E367" s="253"/>
    </row>
    <row r="368" spans="1:5" x14ac:dyDescent="0.2">
      <c r="A368" s="345">
        <v>38717</v>
      </c>
      <c r="B368" s="253"/>
      <c r="C368" s="256"/>
      <c r="D368" s="76"/>
      <c r="E368" s="253"/>
    </row>
    <row r="369" spans="1:9" x14ac:dyDescent="0.2">
      <c r="A369" s="345">
        <v>38748</v>
      </c>
      <c r="B369" s="253"/>
      <c r="C369" s="256"/>
      <c r="D369" s="76"/>
      <c r="E369" s="253"/>
      <c r="F369" s="496"/>
      <c r="G369" s="700"/>
      <c r="H369" s="703"/>
      <c r="I369" s="253"/>
    </row>
    <row r="370" spans="1:9" x14ac:dyDescent="0.2">
      <c r="A370" s="345">
        <v>38776</v>
      </c>
      <c r="B370" s="253"/>
      <c r="C370" s="256"/>
      <c r="D370" s="76"/>
      <c r="E370" s="253"/>
      <c r="F370" s="496"/>
      <c r="G370" s="701"/>
      <c r="H370" s="703"/>
      <c r="I370" s="253"/>
    </row>
    <row r="371" spans="1:9" x14ac:dyDescent="0.2">
      <c r="A371" s="345">
        <v>38807</v>
      </c>
      <c r="B371" s="253"/>
      <c r="C371" s="256"/>
      <c r="D371" s="76"/>
      <c r="E371" s="253"/>
      <c r="F371" s="496"/>
      <c r="G371" s="701"/>
      <c r="H371" s="703"/>
      <c r="I371" s="253"/>
    </row>
    <row r="372" spans="1:9" x14ac:dyDescent="0.2">
      <c r="A372" s="345">
        <v>38837</v>
      </c>
      <c r="B372" s="253"/>
      <c r="C372" s="34"/>
      <c r="D372" s="76"/>
      <c r="E372" s="253"/>
      <c r="F372" s="496"/>
      <c r="G372" s="700"/>
      <c r="H372" s="703"/>
      <c r="I372" s="253"/>
    </row>
    <row r="373" spans="1:9" x14ac:dyDescent="0.2">
      <c r="A373" s="345">
        <v>38868</v>
      </c>
      <c r="B373" s="253"/>
      <c r="C373" s="34"/>
      <c r="D373" s="76"/>
      <c r="E373" s="253"/>
      <c r="F373" s="496"/>
      <c r="G373" s="700"/>
      <c r="H373" s="703"/>
      <c r="I373" s="253"/>
    </row>
    <row r="374" spans="1:9" x14ac:dyDescent="0.2">
      <c r="A374" s="345">
        <v>38898</v>
      </c>
      <c r="B374" s="76"/>
      <c r="C374" s="354"/>
      <c r="D374" s="253"/>
      <c r="E374" s="253"/>
      <c r="F374" s="496"/>
      <c r="G374" s="700"/>
      <c r="H374" s="703"/>
      <c r="I374" s="253"/>
    </row>
    <row r="375" spans="1:9" x14ac:dyDescent="0.2">
      <c r="A375" s="345">
        <v>38929</v>
      </c>
      <c r="B375" s="253"/>
      <c r="C375" s="34"/>
      <c r="D375" s="253"/>
      <c r="E375" s="253"/>
      <c r="F375" s="496"/>
      <c r="G375" s="700"/>
      <c r="H375" s="703"/>
      <c r="I375" s="253"/>
    </row>
    <row r="376" spans="1:9" x14ac:dyDescent="0.2">
      <c r="A376" s="345">
        <v>38960</v>
      </c>
      <c r="B376" s="253"/>
      <c r="C376" s="34"/>
      <c r="D376" s="253"/>
      <c r="E376" s="253"/>
    </row>
    <row r="377" spans="1:9" x14ac:dyDescent="0.2">
      <c r="A377" s="345">
        <v>38990</v>
      </c>
      <c r="B377" s="253"/>
      <c r="C377" s="34"/>
      <c r="D377" s="253"/>
      <c r="E377" s="253"/>
    </row>
    <row r="378" spans="1:9" x14ac:dyDescent="0.2">
      <c r="A378" s="345">
        <v>39021</v>
      </c>
      <c r="B378" s="253"/>
      <c r="C378" s="34"/>
      <c r="D378" s="253"/>
      <c r="E378" s="253"/>
    </row>
    <row r="379" spans="1:9" x14ac:dyDescent="0.2">
      <c r="A379" s="345">
        <v>39051</v>
      </c>
      <c r="B379" s="253"/>
      <c r="C379" s="34"/>
      <c r="D379" s="253"/>
      <c r="E379" s="253"/>
    </row>
    <row r="380" spans="1:9" x14ac:dyDescent="0.2">
      <c r="A380" s="345">
        <v>39082</v>
      </c>
      <c r="B380" s="253"/>
      <c r="C380" s="34"/>
      <c r="D380" s="253"/>
      <c r="E380" s="253"/>
    </row>
    <row r="381" spans="1:9" x14ac:dyDescent="0.2">
      <c r="A381" s="345">
        <v>39113</v>
      </c>
    </row>
    <row r="382" spans="1:9" x14ac:dyDescent="0.2">
      <c r="A382" s="345">
        <v>39141</v>
      </c>
    </row>
    <row r="383" spans="1:9" x14ac:dyDescent="0.2">
      <c r="A383" s="345">
        <v>39172</v>
      </c>
    </row>
    <row r="384" spans="1:9" x14ac:dyDescent="0.2">
      <c r="A384" s="345">
        <v>39202</v>
      </c>
    </row>
    <row r="385" spans="1:3" x14ac:dyDescent="0.2">
      <c r="A385" s="345">
        <v>39233</v>
      </c>
    </row>
    <row r="386" spans="1:3" x14ac:dyDescent="0.2">
      <c r="A386" s="345">
        <v>39263</v>
      </c>
    </row>
    <row r="387" spans="1:3" x14ac:dyDescent="0.2">
      <c r="A387" s="345">
        <v>39294</v>
      </c>
    </row>
    <row r="388" spans="1:3" x14ac:dyDescent="0.2">
      <c r="A388" s="345">
        <v>39325</v>
      </c>
    </row>
    <row r="389" spans="1:3" x14ac:dyDescent="0.2">
      <c r="A389" s="345">
        <v>39355</v>
      </c>
    </row>
    <row r="390" spans="1:3" x14ac:dyDescent="0.2">
      <c r="A390" s="345">
        <v>39386</v>
      </c>
    </row>
    <row r="391" spans="1:3" x14ac:dyDescent="0.2">
      <c r="A391" s="345">
        <v>39416</v>
      </c>
    </row>
    <row r="392" spans="1:3" x14ac:dyDescent="0.2">
      <c r="A392" s="345">
        <v>39447</v>
      </c>
    </row>
    <row r="393" spans="1:3" x14ac:dyDescent="0.2">
      <c r="A393" s="345">
        <v>39478</v>
      </c>
    </row>
    <row r="394" spans="1:3" x14ac:dyDescent="0.2">
      <c r="A394" s="345">
        <v>39507</v>
      </c>
    </row>
    <row r="395" spans="1:3" x14ac:dyDescent="0.2">
      <c r="A395" s="345">
        <v>39538</v>
      </c>
    </row>
    <row r="396" spans="1:3" x14ac:dyDescent="0.2">
      <c r="A396" s="345">
        <v>39568</v>
      </c>
    </row>
    <row r="397" spans="1:3" x14ac:dyDescent="0.2">
      <c r="A397" s="345">
        <v>39599</v>
      </c>
    </row>
    <row r="398" spans="1:3" x14ac:dyDescent="0.2">
      <c r="A398" s="345">
        <v>39629</v>
      </c>
    </row>
    <row r="399" spans="1:3" x14ac:dyDescent="0.2">
      <c r="A399" s="345">
        <v>39660</v>
      </c>
      <c r="C399" s="1383"/>
    </row>
    <row r="400" spans="1:3" x14ac:dyDescent="0.2">
      <c r="A400" s="345">
        <v>39691</v>
      </c>
      <c r="C400" s="1383"/>
    </row>
    <row r="401" spans="1:3" x14ac:dyDescent="0.2">
      <c r="A401" s="345">
        <v>39721</v>
      </c>
      <c r="C401" s="1383"/>
    </row>
    <row r="402" spans="1:3" x14ac:dyDescent="0.2">
      <c r="A402" s="345">
        <v>39752</v>
      </c>
    </row>
    <row r="403" spans="1:3" x14ac:dyDescent="0.2">
      <c r="A403" s="345">
        <v>39782</v>
      </c>
    </row>
    <row r="404" spans="1:3" x14ac:dyDescent="0.2">
      <c r="A404" s="345">
        <v>39813</v>
      </c>
    </row>
    <row r="405" spans="1:3" x14ac:dyDescent="0.2">
      <c r="A405" s="345">
        <v>39844</v>
      </c>
    </row>
    <row r="406" spans="1:3" x14ac:dyDescent="0.2">
      <c r="A406" s="345">
        <v>39872</v>
      </c>
    </row>
    <row r="407" spans="1:3" x14ac:dyDescent="0.2">
      <c r="A407" s="345">
        <v>39903</v>
      </c>
    </row>
    <row r="408" spans="1:3" x14ac:dyDescent="0.2">
      <c r="A408" s="345">
        <v>39933</v>
      </c>
    </row>
    <row r="409" spans="1:3" x14ac:dyDescent="0.2">
      <c r="A409" s="345">
        <v>39964</v>
      </c>
    </row>
    <row r="410" spans="1:3" x14ac:dyDescent="0.2">
      <c r="A410" s="345">
        <v>39994</v>
      </c>
    </row>
    <row r="411" spans="1:3" x14ac:dyDescent="0.2">
      <c r="A411" s="345">
        <v>40025</v>
      </c>
    </row>
    <row r="412" spans="1:3" x14ac:dyDescent="0.2">
      <c r="A412" s="345">
        <v>40056</v>
      </c>
    </row>
    <row r="413" spans="1:3" x14ac:dyDescent="0.2">
      <c r="A413" s="345">
        <v>40086</v>
      </c>
    </row>
    <row r="414" spans="1:3" x14ac:dyDescent="0.2">
      <c r="A414" s="345">
        <v>40117</v>
      </c>
    </row>
    <row r="415" spans="1:3" x14ac:dyDescent="0.2">
      <c r="A415" s="345">
        <v>40147</v>
      </c>
    </row>
    <row r="416" spans="1:3" x14ac:dyDescent="0.2">
      <c r="A416" s="345">
        <v>40178</v>
      </c>
    </row>
    <row r="417" spans="1:6" x14ac:dyDescent="0.2">
      <c r="A417" s="345">
        <v>40209</v>
      </c>
    </row>
    <row r="418" spans="1:6" x14ac:dyDescent="0.2">
      <c r="A418" s="345">
        <v>40237</v>
      </c>
    </row>
    <row r="419" spans="1:6" x14ac:dyDescent="0.2">
      <c r="A419" s="345">
        <v>40268</v>
      </c>
      <c r="C419" s="1334"/>
      <c r="D419" s="1311"/>
    </row>
    <row r="420" spans="1:6" x14ac:dyDescent="0.2">
      <c r="A420" s="345">
        <v>40298</v>
      </c>
    </row>
    <row r="421" spans="1:6" x14ac:dyDescent="0.2">
      <c r="A421" s="345">
        <v>40329</v>
      </c>
    </row>
    <row r="422" spans="1:6" x14ac:dyDescent="0.2">
      <c r="A422" s="345">
        <v>40359</v>
      </c>
    </row>
    <row r="423" spans="1:6" x14ac:dyDescent="0.2">
      <c r="A423" s="345">
        <v>40390</v>
      </c>
    </row>
    <row r="424" spans="1:6" x14ac:dyDescent="0.2">
      <c r="A424" s="345">
        <v>40421</v>
      </c>
      <c r="B424" s="1369"/>
    </row>
    <row r="425" spans="1:6" x14ac:dyDescent="0.2">
      <c r="A425" s="345">
        <v>40451</v>
      </c>
      <c r="B425" s="258"/>
    </row>
    <row r="426" spans="1:6" x14ac:dyDescent="0.2">
      <c r="A426" s="345">
        <v>40482</v>
      </c>
      <c r="B426" s="1311"/>
      <c r="D426" s="1311"/>
    </row>
    <row r="427" spans="1:6" x14ac:dyDescent="0.2">
      <c r="A427" s="345">
        <v>40512</v>
      </c>
    </row>
    <row r="428" spans="1:6" x14ac:dyDescent="0.2">
      <c r="A428" s="345">
        <v>40543</v>
      </c>
    </row>
    <row r="429" spans="1:6" x14ac:dyDescent="0.2">
      <c r="A429" s="345">
        <v>40574</v>
      </c>
      <c r="B429" s="257">
        <f>D429</f>
        <v>2.3906000000000001</v>
      </c>
      <c r="C429" s="346">
        <v>5482256.1699999999</v>
      </c>
      <c r="D429" s="258">
        <v>2.3906000000000001</v>
      </c>
      <c r="F429" s="1306"/>
    </row>
    <row r="430" spans="1:6" x14ac:dyDescent="0.2">
      <c r="A430" s="345">
        <v>40602</v>
      </c>
      <c r="B430" s="257">
        <f t="shared" ref="B430:B491" si="0">D430</f>
        <v>1.2863500000000001</v>
      </c>
      <c r="C430" s="346">
        <v>5552777.3799999999</v>
      </c>
      <c r="D430" s="258">
        <v>1.2863500000000001</v>
      </c>
      <c r="F430" s="1306"/>
    </row>
    <row r="431" spans="1:6" x14ac:dyDescent="0.2">
      <c r="A431" s="345">
        <v>40633</v>
      </c>
      <c r="B431" s="257">
        <f t="shared" si="0"/>
        <v>0.24224000000000001</v>
      </c>
      <c r="C431" s="346">
        <v>5566228.46</v>
      </c>
      <c r="D431" s="258">
        <v>0.24224000000000001</v>
      </c>
      <c r="F431" s="1306"/>
    </row>
    <row r="432" spans="1:6" x14ac:dyDescent="0.2">
      <c r="A432" s="345">
        <v>40663</v>
      </c>
      <c r="B432" s="257">
        <f t="shared" si="0"/>
        <v>1.6368799999999999</v>
      </c>
      <c r="C432" s="346">
        <v>5657650.6600000001</v>
      </c>
      <c r="D432" s="258">
        <v>1.6368799999999999</v>
      </c>
      <c r="F432" s="1306"/>
    </row>
    <row r="433" spans="1:6" x14ac:dyDescent="0.2">
      <c r="A433" s="345">
        <v>40694</v>
      </c>
      <c r="B433" s="257">
        <f t="shared" si="0"/>
        <v>0.36830000000000002</v>
      </c>
      <c r="C433" s="346">
        <v>5681252.8899999997</v>
      </c>
      <c r="D433" s="258">
        <v>0.36830000000000002</v>
      </c>
      <c r="F433" s="1306"/>
    </row>
    <row r="434" spans="1:6" x14ac:dyDescent="0.2">
      <c r="A434" s="345">
        <v>40724</v>
      </c>
      <c r="B434" s="257">
        <f t="shared" si="0"/>
        <v>-1.06751</v>
      </c>
      <c r="C434" s="346">
        <v>5620605.1600000001</v>
      </c>
      <c r="D434" s="258">
        <v>-1.06751</v>
      </c>
      <c r="F434" s="1306"/>
    </row>
    <row r="435" spans="1:6" x14ac:dyDescent="0.2">
      <c r="A435" s="345">
        <v>40755</v>
      </c>
      <c r="B435" s="257">
        <f t="shared" si="0"/>
        <v>1.0958600000000001</v>
      </c>
      <c r="C435" s="346">
        <v>5682198.9299999997</v>
      </c>
      <c r="D435" s="258">
        <v>1.0958600000000001</v>
      </c>
      <c r="F435" s="1306"/>
    </row>
    <row r="436" spans="1:6" x14ac:dyDescent="0.2">
      <c r="A436" s="345">
        <v>40786</v>
      </c>
      <c r="B436" s="257">
        <f t="shared" si="0"/>
        <v>-4.2808599999999997</v>
      </c>
      <c r="C436" s="346">
        <v>5441668.1399999997</v>
      </c>
      <c r="D436" s="258">
        <v>-4.2808599999999997</v>
      </c>
      <c r="F436" s="1306"/>
    </row>
    <row r="437" spans="1:6" x14ac:dyDescent="0.2">
      <c r="A437" s="345">
        <v>40816</v>
      </c>
      <c r="B437" s="257">
        <f t="shared" si="0"/>
        <v>-3.7619899999999999</v>
      </c>
      <c r="C437" s="346">
        <v>5236953.3</v>
      </c>
      <c r="D437" s="258">
        <v>-3.7619899999999999</v>
      </c>
      <c r="F437" s="1306"/>
    </row>
    <row r="438" spans="1:6" x14ac:dyDescent="0.2">
      <c r="A438" s="345">
        <v>40847</v>
      </c>
      <c r="B438" s="257">
        <f t="shared" si="0"/>
        <v>7.1098600000000003</v>
      </c>
      <c r="C438" s="346">
        <v>5609293.1399999997</v>
      </c>
      <c r="D438" s="258">
        <v>7.1098600000000003</v>
      </c>
      <c r="F438" s="1306"/>
    </row>
    <row r="439" spans="1:6" x14ac:dyDescent="0.2">
      <c r="A439" s="345">
        <v>40877</v>
      </c>
      <c r="B439" s="257">
        <f t="shared" si="0"/>
        <v>-2.7597499999999999</v>
      </c>
      <c r="C439" s="346">
        <v>5454490.7999999998</v>
      </c>
      <c r="D439" s="258">
        <v>-2.7597499999999999</v>
      </c>
      <c r="F439" s="1306"/>
    </row>
    <row r="440" spans="1:6" x14ac:dyDescent="0.2">
      <c r="A440" s="345">
        <v>40908</v>
      </c>
      <c r="B440" s="257">
        <f t="shared" si="0"/>
        <v>3.2505799999999998</v>
      </c>
      <c r="C440" s="346">
        <v>5631793.4400000004</v>
      </c>
      <c r="D440" s="258">
        <v>3.2505799999999998</v>
      </c>
      <c r="F440" s="1306"/>
    </row>
    <row r="441" spans="1:6" x14ac:dyDescent="0.2">
      <c r="A441" s="345">
        <v>40939</v>
      </c>
      <c r="B441" s="257">
        <f t="shared" si="0"/>
        <v>3.0750700000000002</v>
      </c>
      <c r="C441" s="346">
        <v>5807752.5300000003</v>
      </c>
      <c r="D441" s="258">
        <v>3.0750700000000002</v>
      </c>
      <c r="F441" s="1306"/>
    </row>
    <row r="442" spans="1:6" x14ac:dyDescent="0.2">
      <c r="A442" s="345">
        <v>40968</v>
      </c>
      <c r="B442" s="257">
        <f t="shared" si="0"/>
        <v>2.37967</v>
      </c>
      <c r="C442" s="346">
        <v>5948752.0800000001</v>
      </c>
      <c r="D442" s="258">
        <v>2.37967</v>
      </c>
      <c r="F442" s="1306"/>
    </row>
    <row r="443" spans="1:6" x14ac:dyDescent="0.2">
      <c r="A443" s="345">
        <v>40999</v>
      </c>
      <c r="B443" s="257">
        <f t="shared" si="0"/>
        <v>-0.49647999999999998</v>
      </c>
      <c r="C443" s="346">
        <v>5919217.8799999999</v>
      </c>
      <c r="D443" s="258">
        <v>-0.49647999999999998</v>
      </c>
      <c r="F443" s="1306"/>
    </row>
    <row r="444" spans="1:6" x14ac:dyDescent="0.2">
      <c r="A444" s="345">
        <v>41029</v>
      </c>
      <c r="B444" s="257">
        <f t="shared" si="0"/>
        <v>1.0307999999999999</v>
      </c>
      <c r="C444" s="346">
        <v>5980233.4100000001</v>
      </c>
      <c r="D444" s="258">
        <v>1.0307999999999999</v>
      </c>
      <c r="F444" s="1306"/>
    </row>
    <row r="445" spans="1:6" x14ac:dyDescent="0.2">
      <c r="A445" s="345">
        <v>41060</v>
      </c>
      <c r="B445" s="257">
        <f t="shared" si="0"/>
        <v>-1.77196</v>
      </c>
      <c r="C445" s="346">
        <v>5874265.9900000002</v>
      </c>
      <c r="D445" s="258">
        <v>-1.77196</v>
      </c>
      <c r="F445" s="1306"/>
    </row>
    <row r="446" spans="1:6" x14ac:dyDescent="0.2">
      <c r="A446" s="345">
        <v>41090</v>
      </c>
      <c r="B446" s="257">
        <f t="shared" si="0"/>
        <v>2.4472299999999998</v>
      </c>
      <c r="C446" s="346">
        <v>6021040.6500000004</v>
      </c>
      <c r="D446" s="258">
        <v>2.4472299999999998</v>
      </c>
      <c r="F446" s="1306"/>
    </row>
    <row r="447" spans="1:6" x14ac:dyDescent="0.2">
      <c r="A447" s="345">
        <v>41121</v>
      </c>
      <c r="B447" s="257">
        <f t="shared" si="0"/>
        <v>2.0183599999999999</v>
      </c>
      <c r="C447" s="346">
        <v>6142567.0300000003</v>
      </c>
      <c r="D447" s="258">
        <v>2.0183599999999999</v>
      </c>
      <c r="F447" s="1306"/>
    </row>
    <row r="448" spans="1:6" x14ac:dyDescent="0.2">
      <c r="A448" s="345">
        <v>41152</v>
      </c>
      <c r="B448" s="257">
        <f t="shared" si="0"/>
        <v>1.0753699999999999</v>
      </c>
      <c r="C448" s="346">
        <v>6211611.21</v>
      </c>
      <c r="D448" s="258">
        <v>1.0753699999999999</v>
      </c>
      <c r="F448" s="1306"/>
    </row>
    <row r="449" spans="1:6" x14ac:dyDescent="0.2">
      <c r="A449" s="345">
        <v>41182</v>
      </c>
      <c r="B449" s="257">
        <f t="shared" si="0"/>
        <v>1.2728600000000001</v>
      </c>
      <c r="C449" s="346">
        <v>6290676.4699999997</v>
      </c>
      <c r="D449" s="258">
        <v>1.2728600000000001</v>
      </c>
      <c r="F449" s="1306"/>
    </row>
    <row r="450" spans="1:6" x14ac:dyDescent="0.2">
      <c r="A450" s="345">
        <v>41213</v>
      </c>
      <c r="B450" s="257">
        <f t="shared" si="0"/>
        <v>0.87768999999999997</v>
      </c>
      <c r="C450" s="346">
        <v>6345889.1100000003</v>
      </c>
      <c r="D450" s="258">
        <v>0.87768999999999997</v>
      </c>
      <c r="F450" s="1306"/>
    </row>
    <row r="451" spans="1:6" x14ac:dyDescent="0.2">
      <c r="A451" s="345">
        <v>41243</v>
      </c>
      <c r="B451" s="257">
        <f t="shared" si="0"/>
        <v>0.93471000000000004</v>
      </c>
      <c r="C451" s="346">
        <v>6405204.5</v>
      </c>
      <c r="D451" s="258">
        <v>0.93471000000000004</v>
      </c>
      <c r="F451" s="1306"/>
    </row>
    <row r="452" spans="1:6" x14ac:dyDescent="0.2">
      <c r="A452" s="345">
        <v>41274</v>
      </c>
      <c r="B452" s="257">
        <f t="shared" si="0"/>
        <v>1.7437100000000001</v>
      </c>
      <c r="C452" s="346">
        <v>15823969.119999999</v>
      </c>
      <c r="D452" s="258">
        <v>1.7437100000000001</v>
      </c>
      <c r="F452" s="1306"/>
    </row>
    <row r="453" spans="1:6" x14ac:dyDescent="0.2">
      <c r="A453" s="345">
        <v>41305</v>
      </c>
      <c r="B453" s="257">
        <f t="shared" si="0"/>
        <v>1.13927</v>
      </c>
      <c r="C453" s="346">
        <v>14202178.939999999</v>
      </c>
      <c r="D453" s="258">
        <v>1.13927</v>
      </c>
      <c r="F453" s="1306"/>
    </row>
    <row r="454" spans="1:6" x14ac:dyDescent="0.2">
      <c r="A454" s="345">
        <v>41333</v>
      </c>
      <c r="B454" s="257">
        <f t="shared" si="0"/>
        <v>0.40043000000000001</v>
      </c>
      <c r="C454" s="346">
        <v>14259049.140000001</v>
      </c>
      <c r="D454" s="258">
        <v>0.40043000000000001</v>
      </c>
      <c r="F454" s="1306"/>
    </row>
    <row r="455" spans="1:6" x14ac:dyDescent="0.2">
      <c r="A455" s="345">
        <v>41364</v>
      </c>
      <c r="B455" s="257">
        <f t="shared" si="0"/>
        <v>0.83611999999999997</v>
      </c>
      <c r="C455" s="346">
        <v>14392403.710000001</v>
      </c>
      <c r="D455" s="258">
        <v>0.83611999999999997</v>
      </c>
      <c r="F455" s="1306"/>
    </row>
    <row r="456" spans="1:6" x14ac:dyDescent="0.2">
      <c r="A456" s="345">
        <v>41394</v>
      </c>
      <c r="B456" s="257">
        <f t="shared" si="0"/>
        <v>1.94475</v>
      </c>
      <c r="C456" s="346">
        <v>14672299.880000001</v>
      </c>
      <c r="D456" s="258">
        <v>1.94475</v>
      </c>
      <c r="F456" s="1306"/>
    </row>
    <row r="457" spans="1:6" x14ac:dyDescent="0.2">
      <c r="A457" s="345">
        <v>41425</v>
      </c>
      <c r="B457" s="257">
        <f t="shared" si="0"/>
        <v>-0.98767000000000005</v>
      </c>
      <c r="C457" s="346">
        <v>14534386.59</v>
      </c>
      <c r="D457" s="258">
        <v>-0.98767000000000005</v>
      </c>
      <c r="F457" s="1306"/>
    </row>
    <row r="458" spans="1:6" x14ac:dyDescent="0.2">
      <c r="A458" s="345">
        <v>41455</v>
      </c>
      <c r="B458" s="257">
        <f t="shared" si="0"/>
        <v>-2.8667899999999999</v>
      </c>
      <c r="C458" s="346">
        <v>16374644</v>
      </c>
      <c r="D458" s="258">
        <v>-2.8667899999999999</v>
      </c>
      <c r="F458" s="1306"/>
    </row>
    <row r="459" spans="1:6" x14ac:dyDescent="0.2">
      <c r="A459" s="345">
        <v>41486</v>
      </c>
      <c r="B459" s="257">
        <f t="shared" si="0"/>
        <v>2.0467399999999998</v>
      </c>
      <c r="C459" s="346">
        <v>16709790.59</v>
      </c>
      <c r="D459" s="258">
        <v>2.0467399999999998</v>
      </c>
    </row>
    <row r="460" spans="1:6" x14ac:dyDescent="0.2">
      <c r="A460" s="345">
        <v>41517</v>
      </c>
      <c r="B460" s="257">
        <f t="shared" si="0"/>
        <v>-0.79122000000000003</v>
      </c>
      <c r="C460" s="346">
        <v>16577579.949999999</v>
      </c>
      <c r="D460" s="258">
        <v>-0.79122000000000003</v>
      </c>
    </row>
    <row r="461" spans="1:6" x14ac:dyDescent="0.2">
      <c r="A461" s="345">
        <v>41547</v>
      </c>
      <c r="B461" s="257">
        <f t="shared" si="0"/>
        <v>1.0968599999999999</v>
      </c>
      <c r="C461" s="346">
        <v>16759412.779999999</v>
      </c>
      <c r="D461" s="258">
        <v>1.0968599999999999</v>
      </c>
    </row>
    <row r="462" spans="1:6" x14ac:dyDescent="0.2">
      <c r="A462" s="345">
        <v>41578</v>
      </c>
      <c r="B462" s="257">
        <f t="shared" si="0"/>
        <v>2.7063899999999999</v>
      </c>
      <c r="C462" s="346">
        <v>17212987.300000001</v>
      </c>
      <c r="D462" s="258">
        <v>2.7063899999999999</v>
      </c>
    </row>
    <row r="463" spans="1:6" x14ac:dyDescent="0.2">
      <c r="A463" s="345">
        <v>41608</v>
      </c>
      <c r="B463" s="257">
        <f t="shared" si="0"/>
        <v>0.34877999999999998</v>
      </c>
      <c r="C463" s="346">
        <v>17289015.84</v>
      </c>
      <c r="D463" s="258">
        <v>0.34877999999999998</v>
      </c>
    </row>
    <row r="464" spans="1:6" x14ac:dyDescent="0.2">
      <c r="A464" s="345">
        <v>41639</v>
      </c>
      <c r="B464" s="257">
        <f t="shared" si="0"/>
        <v>0.50843000000000005</v>
      </c>
      <c r="C464" s="346">
        <v>17376918.170000002</v>
      </c>
      <c r="D464" s="258">
        <v>0.50843000000000005</v>
      </c>
    </row>
    <row r="465" spans="1:4" x14ac:dyDescent="0.2">
      <c r="A465" s="345">
        <v>41670</v>
      </c>
      <c r="B465" s="257">
        <f t="shared" si="0"/>
        <v>0.60584000000000005</v>
      </c>
      <c r="C465" s="346">
        <v>17490791.239999998</v>
      </c>
      <c r="D465" s="258">
        <v>0.60584000000000005</v>
      </c>
    </row>
    <row r="466" spans="1:4" x14ac:dyDescent="0.2">
      <c r="A466" s="345">
        <v>41698</v>
      </c>
      <c r="B466" s="257">
        <f t="shared" si="0"/>
        <v>2.2216</v>
      </c>
      <c r="C466" s="346">
        <v>17879366.539999999</v>
      </c>
      <c r="D466" s="258">
        <v>2.2216</v>
      </c>
    </row>
    <row r="467" spans="1:4" x14ac:dyDescent="0.2">
      <c r="A467" s="345">
        <v>41729</v>
      </c>
      <c r="B467" s="257">
        <f t="shared" si="0"/>
        <v>0.10229000000000001</v>
      </c>
      <c r="C467" s="346">
        <v>17897655.440000001</v>
      </c>
      <c r="D467" s="258">
        <v>0.10229000000000001</v>
      </c>
    </row>
    <row r="468" spans="1:4" x14ac:dyDescent="0.2">
      <c r="A468" s="345">
        <v>41759</v>
      </c>
      <c r="B468" s="257">
        <f t="shared" si="0"/>
        <v>0.70172000000000001</v>
      </c>
      <c r="C468" s="346">
        <v>18023246.539999999</v>
      </c>
      <c r="D468" s="258">
        <v>0.70172000000000001</v>
      </c>
    </row>
    <row r="469" spans="1:4" x14ac:dyDescent="0.2">
      <c r="A469" s="345">
        <v>41790</v>
      </c>
      <c r="B469" s="257">
        <f t="shared" si="0"/>
        <v>0.88700000000000001</v>
      </c>
      <c r="C469" s="346">
        <v>18192065.41</v>
      </c>
      <c r="D469" s="258">
        <v>0.88700000000000001</v>
      </c>
    </row>
    <row r="470" spans="1:4" x14ac:dyDescent="0.2">
      <c r="A470" s="345">
        <v>41820</v>
      </c>
      <c r="B470" s="257">
        <f t="shared" si="0"/>
        <v>1.02227</v>
      </c>
      <c r="C470" s="346">
        <v>18378037.870000001</v>
      </c>
      <c r="D470" s="258">
        <v>1.02227</v>
      </c>
    </row>
    <row r="471" spans="1:4" x14ac:dyDescent="0.2">
      <c r="A471" s="345">
        <v>41851</v>
      </c>
      <c r="B471" s="257">
        <f t="shared" si="0"/>
        <v>-1.59517</v>
      </c>
      <c r="C471" s="346">
        <v>18084876.370000001</v>
      </c>
      <c r="D471" s="258">
        <v>-1.59517</v>
      </c>
    </row>
    <row r="472" spans="1:4" x14ac:dyDescent="0.2">
      <c r="A472" s="345">
        <v>41882</v>
      </c>
      <c r="B472" s="257">
        <f t="shared" si="0"/>
        <v>1.82579</v>
      </c>
      <c r="C472" s="346">
        <v>18424339.34</v>
      </c>
      <c r="D472" s="258">
        <v>1.82579</v>
      </c>
    </row>
    <row r="473" spans="1:4" x14ac:dyDescent="0.2">
      <c r="A473" s="345">
        <v>41912</v>
      </c>
      <c r="B473" s="257">
        <f t="shared" si="0"/>
        <v>0</v>
      </c>
    </row>
    <row r="474" spans="1:4" x14ac:dyDescent="0.2">
      <c r="A474" s="345">
        <v>41943</v>
      </c>
      <c r="B474" s="257">
        <f t="shared" si="0"/>
        <v>0</v>
      </c>
    </row>
    <row r="475" spans="1:4" x14ac:dyDescent="0.2">
      <c r="A475" s="345">
        <v>41973</v>
      </c>
      <c r="B475" s="257">
        <f t="shared" si="0"/>
        <v>0</v>
      </c>
    </row>
    <row r="476" spans="1:4" x14ac:dyDescent="0.2">
      <c r="A476" s="345">
        <v>42004</v>
      </c>
      <c r="B476" s="257">
        <f t="shared" si="0"/>
        <v>0</v>
      </c>
    </row>
    <row r="477" spans="1:4" x14ac:dyDescent="0.2">
      <c r="A477" s="345">
        <v>42035</v>
      </c>
      <c r="B477" s="257">
        <f t="shared" si="0"/>
        <v>0</v>
      </c>
    </row>
    <row r="478" spans="1:4" x14ac:dyDescent="0.2">
      <c r="A478" s="345">
        <v>42063</v>
      </c>
      <c r="B478" s="257">
        <f t="shared" si="0"/>
        <v>0</v>
      </c>
    </row>
    <row r="479" spans="1:4" x14ac:dyDescent="0.2">
      <c r="A479" s="345">
        <v>42094</v>
      </c>
      <c r="B479" s="257">
        <f t="shared" si="0"/>
        <v>0</v>
      </c>
    </row>
    <row r="480" spans="1:4" x14ac:dyDescent="0.2">
      <c r="A480" s="345">
        <v>42124</v>
      </c>
      <c r="B480" s="257">
        <f t="shared" si="0"/>
        <v>0</v>
      </c>
    </row>
    <row r="481" spans="1:2" x14ac:dyDescent="0.2">
      <c r="A481" s="345">
        <v>42155</v>
      </c>
      <c r="B481" s="257">
        <f t="shared" si="0"/>
        <v>0</v>
      </c>
    </row>
    <row r="482" spans="1:2" x14ac:dyDescent="0.2">
      <c r="A482" s="345">
        <v>42185</v>
      </c>
      <c r="B482" s="257">
        <f t="shared" si="0"/>
        <v>0</v>
      </c>
    </row>
    <row r="483" spans="1:2" x14ac:dyDescent="0.2">
      <c r="A483" s="345">
        <v>42216</v>
      </c>
      <c r="B483" s="257">
        <f t="shared" si="0"/>
        <v>0</v>
      </c>
    </row>
    <row r="484" spans="1:2" x14ac:dyDescent="0.2">
      <c r="A484" s="345">
        <v>42247</v>
      </c>
      <c r="B484" s="257">
        <f t="shared" si="0"/>
        <v>0</v>
      </c>
    </row>
    <row r="485" spans="1:2" x14ac:dyDescent="0.2">
      <c r="A485" s="345">
        <v>42277</v>
      </c>
      <c r="B485" s="257">
        <f t="shared" si="0"/>
        <v>0</v>
      </c>
    </row>
    <row r="486" spans="1:2" x14ac:dyDescent="0.2">
      <c r="A486" s="345">
        <v>42308</v>
      </c>
      <c r="B486" s="257">
        <f t="shared" si="0"/>
        <v>0</v>
      </c>
    </row>
    <row r="487" spans="1:2" x14ac:dyDescent="0.2">
      <c r="A487" s="345">
        <v>42338</v>
      </c>
      <c r="B487" s="257">
        <f t="shared" si="0"/>
        <v>0</v>
      </c>
    </row>
    <row r="488" spans="1:2" x14ac:dyDescent="0.2">
      <c r="A488" s="345">
        <v>42369</v>
      </c>
      <c r="B488" s="257">
        <f t="shared" si="0"/>
        <v>0</v>
      </c>
    </row>
    <row r="489" spans="1:2" x14ac:dyDescent="0.2">
      <c r="A489" s="345">
        <v>42400</v>
      </c>
      <c r="B489" s="257">
        <f t="shared" si="0"/>
        <v>0</v>
      </c>
    </row>
    <row r="490" spans="1:2" x14ac:dyDescent="0.2">
      <c r="A490" s="345">
        <v>42429</v>
      </c>
      <c r="B490" s="257">
        <f t="shared" si="0"/>
        <v>0</v>
      </c>
    </row>
    <row r="491" spans="1:2" x14ac:dyDescent="0.2">
      <c r="A491" s="345">
        <v>42460</v>
      </c>
      <c r="B491" s="257">
        <f t="shared" si="0"/>
        <v>0</v>
      </c>
    </row>
  </sheetData>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I488"/>
  <sheetViews>
    <sheetView workbookViewId="0">
      <pane xSplit="1" ySplit="2" topLeftCell="B447" activePane="bottomRight" state="frozen"/>
      <selection pane="topRight" activeCell="B1" sqref="B1"/>
      <selection pane="bottomLeft" activeCell="A3" sqref="A3"/>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5" width="18.7109375" style="258" customWidth="1"/>
    <col min="7" max="7" width="9.140625" style="352"/>
    <col min="8" max="8" width="11.140625" style="352" customWidth="1"/>
  </cols>
  <sheetData>
    <row r="1" spans="1:6" x14ac:dyDescent="0.2">
      <c r="A1" s="265" t="s">
        <v>867</v>
      </c>
      <c r="B1" s="1371" t="s">
        <v>309</v>
      </c>
      <c r="C1" s="1382" t="s">
        <v>302</v>
      </c>
      <c r="D1" s="1370">
        <v>15</v>
      </c>
      <c r="E1" s="74" t="s">
        <v>81</v>
      </c>
      <c r="F1" s="1449" t="s">
        <v>749</v>
      </c>
    </row>
    <row r="2" spans="1:6" x14ac:dyDescent="0.2">
      <c r="A2" s="3" t="s">
        <v>27</v>
      </c>
      <c r="B2" s="71" t="s">
        <v>91</v>
      </c>
      <c r="C2" s="226" t="s">
        <v>92</v>
      </c>
      <c r="D2" s="71" t="s">
        <v>90</v>
      </c>
      <c r="E2" s="71" t="s">
        <v>80</v>
      </c>
    </row>
    <row r="3" spans="1:6" x14ac:dyDescent="0.2">
      <c r="A3" s="345">
        <v>27606</v>
      </c>
      <c r="B3" s="71"/>
      <c r="C3" s="226"/>
      <c r="D3" s="71"/>
      <c r="E3" s="71"/>
    </row>
    <row r="4" spans="1:6" x14ac:dyDescent="0.2">
      <c r="A4" s="345">
        <v>27637</v>
      </c>
      <c r="B4" s="71"/>
      <c r="C4" s="226"/>
      <c r="D4" s="71"/>
      <c r="E4" s="71"/>
    </row>
    <row r="5" spans="1:6" x14ac:dyDescent="0.2">
      <c r="A5" s="345">
        <v>27667</v>
      </c>
      <c r="B5" s="71"/>
      <c r="C5" s="226"/>
      <c r="D5" s="71"/>
      <c r="E5" s="71"/>
    </row>
    <row r="6" spans="1:6" x14ac:dyDescent="0.2">
      <c r="A6" s="345">
        <v>27698</v>
      </c>
      <c r="B6" s="71"/>
      <c r="C6" s="226"/>
      <c r="D6" s="71"/>
      <c r="E6" s="71"/>
    </row>
    <row r="7" spans="1:6" x14ac:dyDescent="0.2">
      <c r="A7" s="345">
        <v>27728</v>
      </c>
      <c r="B7" s="71"/>
      <c r="C7" s="226"/>
      <c r="D7" s="71"/>
      <c r="E7" s="71"/>
    </row>
    <row r="8" spans="1:6" x14ac:dyDescent="0.2">
      <c r="A8" s="345">
        <v>27759</v>
      </c>
      <c r="B8" s="71"/>
      <c r="C8" s="226"/>
      <c r="D8" s="71"/>
      <c r="E8" s="71"/>
    </row>
    <row r="9" spans="1:6" x14ac:dyDescent="0.2">
      <c r="A9" s="345">
        <v>27790</v>
      </c>
      <c r="B9" s="71"/>
      <c r="C9" s="226"/>
      <c r="D9" s="71"/>
      <c r="E9" s="71"/>
    </row>
    <row r="10" spans="1:6" x14ac:dyDescent="0.2">
      <c r="A10" s="345">
        <v>27819</v>
      </c>
      <c r="B10" s="71"/>
      <c r="C10" s="226"/>
      <c r="D10" s="71"/>
      <c r="E10" s="71"/>
    </row>
    <row r="11" spans="1:6" x14ac:dyDescent="0.2">
      <c r="A11" s="345">
        <v>27850</v>
      </c>
      <c r="B11" s="71"/>
      <c r="C11" s="226"/>
      <c r="D11" s="71"/>
      <c r="E11" s="71"/>
    </row>
    <row r="12" spans="1:6" x14ac:dyDescent="0.2">
      <c r="A12" s="345">
        <v>27880</v>
      </c>
      <c r="B12" s="71"/>
      <c r="C12" s="226"/>
      <c r="D12" s="71"/>
      <c r="E12" s="71"/>
    </row>
    <row r="13" spans="1:6" x14ac:dyDescent="0.2">
      <c r="A13" s="345">
        <v>27911</v>
      </c>
      <c r="B13" s="71"/>
      <c r="C13" s="226"/>
      <c r="D13" s="71"/>
      <c r="E13" s="71"/>
    </row>
    <row r="14" spans="1:6" x14ac:dyDescent="0.2">
      <c r="A14" s="345">
        <v>27941</v>
      </c>
      <c r="B14" s="71"/>
      <c r="C14" s="226"/>
      <c r="D14" s="71"/>
      <c r="E14" s="71"/>
    </row>
    <row r="15" spans="1:6" x14ac:dyDescent="0.2">
      <c r="A15" s="345">
        <v>27972</v>
      </c>
      <c r="B15" s="71"/>
      <c r="C15" s="226"/>
      <c r="D15" s="71"/>
      <c r="E15" s="71"/>
    </row>
    <row r="16" spans="1:6"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3"/>
      <c r="C147" s="25"/>
      <c r="D147" s="73"/>
      <c r="E147" s="73"/>
    </row>
    <row r="148" spans="1:5" x14ac:dyDescent="0.2">
      <c r="A148" s="345">
        <v>32020</v>
      </c>
      <c r="B148" s="73"/>
      <c r="C148" s="25"/>
      <c r="D148" s="73"/>
      <c r="E148" s="73"/>
    </row>
    <row r="149" spans="1:5" x14ac:dyDescent="0.2">
      <c r="A149" s="345">
        <v>32050</v>
      </c>
      <c r="B149" s="73"/>
      <c r="C149" s="25"/>
      <c r="D149" s="73"/>
      <c r="E149" s="73"/>
    </row>
    <row r="150" spans="1:5" x14ac:dyDescent="0.2">
      <c r="A150" s="345">
        <v>32081</v>
      </c>
      <c r="B150" s="73"/>
      <c r="C150" s="25"/>
      <c r="D150" s="73"/>
      <c r="E150" s="73"/>
    </row>
    <row r="151" spans="1:5" x14ac:dyDescent="0.2">
      <c r="A151" s="345">
        <v>32111</v>
      </c>
      <c r="B151" s="73"/>
      <c r="C151" s="25"/>
      <c r="D151" s="73"/>
      <c r="E151" s="73"/>
    </row>
    <row r="152" spans="1:5" x14ac:dyDescent="0.2">
      <c r="A152" s="345">
        <v>32142</v>
      </c>
      <c r="B152" s="73"/>
      <c r="C152" s="25"/>
      <c r="D152" s="73"/>
      <c r="E152" s="73"/>
    </row>
    <row r="153" spans="1:5" x14ac:dyDescent="0.2">
      <c r="A153" s="345">
        <v>32173</v>
      </c>
      <c r="B153" s="73"/>
      <c r="C153" s="25"/>
      <c r="D153" s="73"/>
      <c r="E153" s="73"/>
    </row>
    <row r="154" spans="1:5" x14ac:dyDescent="0.2">
      <c r="A154" s="345">
        <v>32202</v>
      </c>
      <c r="B154" s="73"/>
      <c r="C154" s="25"/>
      <c r="D154" s="73"/>
      <c r="E154" s="73"/>
    </row>
    <row r="155" spans="1:5" x14ac:dyDescent="0.2">
      <c r="A155" s="345">
        <v>32233</v>
      </c>
      <c r="B155" s="73"/>
      <c r="C155" s="25"/>
      <c r="D155" s="73"/>
      <c r="E155" s="73"/>
    </row>
    <row r="156" spans="1:5" x14ac:dyDescent="0.2">
      <c r="A156" s="345">
        <v>32263</v>
      </c>
      <c r="B156" s="73"/>
      <c r="C156" s="25"/>
      <c r="D156" s="73"/>
      <c r="E156" s="73"/>
    </row>
    <row r="157" spans="1:5" x14ac:dyDescent="0.2">
      <c r="A157" s="345">
        <v>32294</v>
      </c>
      <c r="B157" s="73"/>
      <c r="C157" s="25"/>
      <c r="D157" s="73"/>
      <c r="E157" s="73"/>
    </row>
    <row r="158" spans="1:5" x14ac:dyDescent="0.2">
      <c r="A158" s="345">
        <v>32324</v>
      </c>
      <c r="B158" s="73"/>
      <c r="C158" s="25"/>
      <c r="D158" s="73"/>
      <c r="E158" s="73"/>
    </row>
    <row r="159" spans="1:5" x14ac:dyDescent="0.2">
      <c r="A159" s="345">
        <v>32355</v>
      </c>
      <c r="B159" s="73"/>
      <c r="C159" s="25"/>
      <c r="D159" s="73"/>
      <c r="E159" s="73"/>
    </row>
    <row r="160" spans="1:5" x14ac:dyDescent="0.2">
      <c r="A160" s="345">
        <v>32386</v>
      </c>
      <c r="B160" s="73"/>
      <c r="C160" s="25"/>
      <c r="D160" s="73"/>
      <c r="E160" s="73"/>
    </row>
    <row r="161" spans="1:5" x14ac:dyDescent="0.2">
      <c r="A161" s="345">
        <v>32416</v>
      </c>
      <c r="B161" s="73"/>
      <c r="C161" s="25"/>
      <c r="D161" s="73"/>
      <c r="E161" s="73"/>
    </row>
    <row r="162" spans="1:5" x14ac:dyDescent="0.2">
      <c r="A162" s="345">
        <v>32447</v>
      </c>
      <c r="B162" s="73"/>
      <c r="C162" s="25"/>
      <c r="D162" s="73"/>
      <c r="E162" s="73"/>
    </row>
    <row r="163" spans="1:5" x14ac:dyDescent="0.2">
      <c r="A163" s="345">
        <v>32477</v>
      </c>
      <c r="B163" s="73"/>
      <c r="C163" s="25"/>
      <c r="D163" s="73"/>
      <c r="E163" s="73"/>
    </row>
    <row r="164" spans="1:5" x14ac:dyDescent="0.2">
      <c r="A164" s="345">
        <v>32508</v>
      </c>
      <c r="B164" s="73"/>
      <c r="C164" s="25"/>
      <c r="D164" s="73"/>
      <c r="E164" s="73"/>
    </row>
    <row r="165" spans="1:5" x14ac:dyDescent="0.2">
      <c r="A165" s="345">
        <v>32539</v>
      </c>
      <c r="B165" s="73"/>
      <c r="C165" s="25"/>
      <c r="D165" s="73"/>
      <c r="E165" s="73"/>
    </row>
    <row r="166" spans="1:5" x14ac:dyDescent="0.2">
      <c r="A166" s="345">
        <v>32567</v>
      </c>
      <c r="B166" s="73"/>
      <c r="C166" s="25"/>
      <c r="D166" s="73"/>
      <c r="E166" s="73"/>
    </row>
    <row r="167" spans="1:5" x14ac:dyDescent="0.2">
      <c r="A167" s="345">
        <v>32598</v>
      </c>
      <c r="B167" s="73"/>
      <c r="C167" s="25"/>
      <c r="D167" s="73"/>
      <c r="E167" s="73"/>
    </row>
    <row r="168" spans="1:5" x14ac:dyDescent="0.2">
      <c r="A168" s="345">
        <v>32628</v>
      </c>
      <c r="B168" s="73"/>
      <c r="C168" s="25"/>
      <c r="D168" s="73"/>
      <c r="E168" s="73"/>
    </row>
    <row r="169" spans="1:5" x14ac:dyDescent="0.2">
      <c r="A169" s="345">
        <v>32659</v>
      </c>
      <c r="B169" s="73"/>
      <c r="C169" s="25"/>
      <c r="D169" s="73"/>
      <c r="E169" s="73"/>
    </row>
    <row r="170" spans="1:5" x14ac:dyDescent="0.2">
      <c r="A170" s="345">
        <v>32689</v>
      </c>
      <c r="B170" s="73"/>
      <c r="C170" s="25"/>
      <c r="D170" s="73"/>
      <c r="E170" s="73"/>
    </row>
    <row r="171" spans="1:5" x14ac:dyDescent="0.2">
      <c r="A171" s="345">
        <v>32720</v>
      </c>
      <c r="B171" s="73"/>
      <c r="C171" s="25"/>
      <c r="D171" s="73"/>
      <c r="E171" s="73"/>
    </row>
    <row r="172" spans="1:5" x14ac:dyDescent="0.2">
      <c r="A172" s="345">
        <v>32751</v>
      </c>
      <c r="B172" s="73"/>
      <c r="C172" s="25"/>
      <c r="D172" s="73"/>
      <c r="E172" s="73"/>
    </row>
    <row r="173" spans="1:5" x14ac:dyDescent="0.2">
      <c r="A173" s="345">
        <v>32781</v>
      </c>
      <c r="B173" s="73"/>
      <c r="C173" s="25"/>
      <c r="D173" s="73"/>
      <c r="E173" s="73"/>
    </row>
    <row r="174" spans="1:5" x14ac:dyDescent="0.2">
      <c r="A174" s="345">
        <v>32812</v>
      </c>
      <c r="B174" s="73"/>
      <c r="C174" s="25"/>
      <c r="D174" s="73"/>
      <c r="E174" s="73"/>
    </row>
    <row r="175" spans="1:5" x14ac:dyDescent="0.2">
      <c r="A175" s="345">
        <v>32842</v>
      </c>
      <c r="B175" s="73"/>
      <c r="C175" s="25"/>
      <c r="D175" s="73"/>
      <c r="E175" s="73"/>
    </row>
    <row r="176" spans="1:5" x14ac:dyDescent="0.2">
      <c r="A176" s="345">
        <v>32873</v>
      </c>
      <c r="B176" s="73"/>
      <c r="C176" s="25"/>
      <c r="D176" s="73"/>
      <c r="E176" s="73"/>
    </row>
    <row r="177" spans="1:5" x14ac:dyDescent="0.2">
      <c r="A177" s="345">
        <v>32904</v>
      </c>
      <c r="B177" s="255"/>
      <c r="C177" s="259"/>
      <c r="D177" s="73"/>
      <c r="E177" s="73"/>
    </row>
    <row r="178" spans="1:5" x14ac:dyDescent="0.2">
      <c r="A178" s="345">
        <v>32932</v>
      </c>
      <c r="B178" s="255"/>
      <c r="C178" s="259"/>
      <c r="D178" s="73"/>
      <c r="E178" s="73"/>
    </row>
    <row r="179" spans="1:5" x14ac:dyDescent="0.2">
      <c r="A179" s="345">
        <v>32963</v>
      </c>
      <c r="B179" s="255"/>
      <c r="C179" s="259"/>
      <c r="D179" s="73"/>
      <c r="E179" s="73"/>
    </row>
    <row r="180" spans="1:5" x14ac:dyDescent="0.2">
      <c r="A180" s="345">
        <v>32993</v>
      </c>
      <c r="B180" s="255"/>
      <c r="C180" s="259"/>
      <c r="D180" s="73"/>
      <c r="E180" s="73"/>
    </row>
    <row r="181" spans="1:5" x14ac:dyDescent="0.2">
      <c r="A181" s="345">
        <v>33024</v>
      </c>
      <c r="B181" s="255"/>
      <c r="C181" s="259"/>
      <c r="D181" s="73"/>
      <c r="E181" s="73"/>
    </row>
    <row r="182" spans="1:5" x14ac:dyDescent="0.2">
      <c r="A182" s="345">
        <v>33054</v>
      </c>
      <c r="B182" s="255"/>
      <c r="C182" s="259"/>
      <c r="D182" s="73"/>
      <c r="E182" s="73"/>
    </row>
    <row r="183" spans="1:5" x14ac:dyDescent="0.2">
      <c r="A183" s="345">
        <v>33085</v>
      </c>
      <c r="B183" s="255"/>
      <c r="C183" s="259"/>
      <c r="D183" s="73"/>
      <c r="E183" s="73"/>
    </row>
    <row r="184" spans="1:5" x14ac:dyDescent="0.2">
      <c r="A184" s="345">
        <v>33116</v>
      </c>
      <c r="B184" s="255"/>
      <c r="C184" s="259"/>
      <c r="D184" s="73"/>
      <c r="E184" s="73"/>
    </row>
    <row r="185" spans="1:5" x14ac:dyDescent="0.2">
      <c r="A185" s="345">
        <v>33146</v>
      </c>
      <c r="B185" s="255"/>
      <c r="C185" s="259"/>
      <c r="D185" s="73"/>
      <c r="E185" s="73"/>
    </row>
    <row r="186" spans="1:5" x14ac:dyDescent="0.2">
      <c r="A186" s="345">
        <v>33177</v>
      </c>
      <c r="B186" s="255"/>
      <c r="C186" s="259"/>
      <c r="D186" s="73"/>
      <c r="E186" s="73"/>
    </row>
    <row r="187" spans="1:5" x14ac:dyDescent="0.2">
      <c r="A187" s="345">
        <v>33207</v>
      </c>
      <c r="B187" s="255"/>
      <c r="C187" s="259"/>
      <c r="D187" s="73"/>
      <c r="E187" s="73"/>
    </row>
    <row r="188" spans="1:5" x14ac:dyDescent="0.2">
      <c r="A188" s="345">
        <v>33238</v>
      </c>
      <c r="B188" s="255"/>
      <c r="C188" s="259"/>
      <c r="D188" s="73"/>
      <c r="E188" s="73"/>
    </row>
    <row r="189" spans="1:5" x14ac:dyDescent="0.2">
      <c r="A189" s="345">
        <v>33269</v>
      </c>
      <c r="B189" s="255"/>
      <c r="C189" s="259"/>
      <c r="D189" s="73"/>
      <c r="E189" s="73"/>
    </row>
    <row r="190" spans="1:5" x14ac:dyDescent="0.2">
      <c r="A190" s="345">
        <v>33297</v>
      </c>
      <c r="B190" s="255"/>
      <c r="C190" s="259"/>
      <c r="D190" s="73"/>
      <c r="E190" s="73"/>
    </row>
    <row r="191" spans="1:5" x14ac:dyDescent="0.2">
      <c r="A191" s="345">
        <v>33328</v>
      </c>
      <c r="B191" s="255"/>
      <c r="C191" s="259"/>
      <c r="D191" s="73"/>
      <c r="E191" s="73"/>
    </row>
    <row r="192" spans="1:5" x14ac:dyDescent="0.2">
      <c r="A192" s="345">
        <v>33358</v>
      </c>
      <c r="B192" s="255"/>
      <c r="C192" s="259"/>
      <c r="D192" s="73"/>
      <c r="E192" s="73"/>
    </row>
    <row r="193" spans="1:5" x14ac:dyDescent="0.2">
      <c r="A193" s="345">
        <v>33389</v>
      </c>
      <c r="B193" s="255"/>
      <c r="C193" s="259"/>
      <c r="D193" s="73"/>
      <c r="E193" s="73"/>
    </row>
    <row r="194" spans="1:5" x14ac:dyDescent="0.2">
      <c r="A194" s="345">
        <v>33419</v>
      </c>
      <c r="B194" s="255"/>
      <c r="C194" s="259"/>
      <c r="D194" s="73"/>
      <c r="E194" s="73"/>
    </row>
    <row r="195" spans="1:5" x14ac:dyDescent="0.2">
      <c r="A195" s="345">
        <v>33450</v>
      </c>
      <c r="B195" s="255"/>
      <c r="C195" s="259"/>
      <c r="D195" s="73"/>
      <c r="E195" s="73"/>
    </row>
    <row r="196" spans="1:5" x14ac:dyDescent="0.2">
      <c r="A196" s="345">
        <v>33481</v>
      </c>
      <c r="B196" s="255"/>
      <c r="C196" s="259"/>
      <c r="D196" s="73"/>
      <c r="E196" s="73"/>
    </row>
    <row r="197" spans="1:5" x14ac:dyDescent="0.2">
      <c r="A197" s="345">
        <v>33511</v>
      </c>
      <c r="B197" s="255"/>
      <c r="C197" s="259"/>
      <c r="D197" s="73"/>
      <c r="E197" s="73"/>
    </row>
    <row r="198" spans="1:5" x14ac:dyDescent="0.2">
      <c r="A198" s="345">
        <v>33542</v>
      </c>
      <c r="B198" s="255"/>
      <c r="C198" s="259"/>
      <c r="D198" s="73"/>
      <c r="E198" s="73"/>
    </row>
    <row r="199" spans="1:5" x14ac:dyDescent="0.2">
      <c r="A199" s="345">
        <v>33572</v>
      </c>
      <c r="B199" s="255"/>
      <c r="C199" s="259"/>
      <c r="D199" s="73"/>
      <c r="E199" s="73"/>
    </row>
    <row r="200" spans="1:5" x14ac:dyDescent="0.2">
      <c r="A200" s="345">
        <v>33603</v>
      </c>
      <c r="B200" s="255"/>
      <c r="C200" s="259"/>
      <c r="D200" s="73"/>
      <c r="E200" s="73"/>
    </row>
    <row r="201" spans="1:5" x14ac:dyDescent="0.2">
      <c r="A201" s="345">
        <v>33634</v>
      </c>
      <c r="B201" s="255"/>
      <c r="C201" s="259"/>
      <c r="D201" s="73"/>
      <c r="E201" s="73"/>
    </row>
    <row r="202" spans="1:5" x14ac:dyDescent="0.2">
      <c r="A202" s="345">
        <v>33663</v>
      </c>
      <c r="B202" s="255"/>
      <c r="C202" s="259"/>
      <c r="D202" s="73"/>
      <c r="E202" s="73"/>
    </row>
    <row r="203" spans="1:5" x14ac:dyDescent="0.2">
      <c r="A203" s="345">
        <v>33694</v>
      </c>
      <c r="B203" s="255"/>
      <c r="C203" s="259"/>
      <c r="D203" s="73"/>
      <c r="E203" s="73"/>
    </row>
    <row r="204" spans="1:5" x14ac:dyDescent="0.2">
      <c r="A204" s="345">
        <v>33724</v>
      </c>
      <c r="B204" s="255"/>
      <c r="C204" s="259"/>
      <c r="D204" s="73"/>
      <c r="E204" s="73"/>
    </row>
    <row r="205" spans="1:5" x14ac:dyDescent="0.2">
      <c r="A205" s="345">
        <v>33755</v>
      </c>
      <c r="B205" s="255"/>
      <c r="C205" s="259"/>
      <c r="D205" s="73"/>
      <c r="E205" s="73"/>
    </row>
    <row r="206" spans="1:5" x14ac:dyDescent="0.2">
      <c r="A206" s="345">
        <v>33785</v>
      </c>
      <c r="B206" s="255"/>
      <c r="C206" s="259"/>
      <c r="D206" s="73"/>
      <c r="E206" s="73"/>
    </row>
    <row r="207" spans="1:5" x14ac:dyDescent="0.2">
      <c r="A207" s="345">
        <v>33816</v>
      </c>
      <c r="B207" s="255"/>
      <c r="C207" s="259"/>
      <c r="D207" s="73"/>
      <c r="E207" s="73"/>
    </row>
    <row r="208" spans="1:5" x14ac:dyDescent="0.2">
      <c r="A208" s="345">
        <v>33847</v>
      </c>
      <c r="B208" s="255"/>
      <c r="C208" s="259"/>
      <c r="D208" s="73"/>
      <c r="E208" s="73"/>
    </row>
    <row r="209" spans="1:5" x14ac:dyDescent="0.2">
      <c r="A209" s="345">
        <v>33877</v>
      </c>
      <c r="B209" s="255"/>
      <c r="C209" s="259"/>
      <c r="D209" s="73"/>
      <c r="E209" s="73"/>
    </row>
    <row r="210" spans="1:5" x14ac:dyDescent="0.2">
      <c r="A210" s="345">
        <v>33908</v>
      </c>
      <c r="B210" s="255"/>
      <c r="C210" s="259"/>
      <c r="D210" s="73"/>
      <c r="E210" s="73"/>
    </row>
    <row r="211" spans="1:5" x14ac:dyDescent="0.2">
      <c r="A211" s="345">
        <v>33938</v>
      </c>
      <c r="B211" s="255"/>
      <c r="C211" s="259"/>
      <c r="D211" s="73"/>
      <c r="E211" s="73"/>
    </row>
    <row r="212" spans="1:5" x14ac:dyDescent="0.2">
      <c r="A212" s="345">
        <v>33969</v>
      </c>
      <c r="B212" s="255"/>
      <c r="C212" s="259"/>
      <c r="D212" s="73"/>
      <c r="E212" s="73"/>
    </row>
    <row r="213" spans="1:5" x14ac:dyDescent="0.2">
      <c r="A213" s="345">
        <v>34000</v>
      </c>
      <c r="B213" s="255"/>
      <c r="C213" s="259"/>
      <c r="D213" s="73"/>
      <c r="E213" s="73"/>
    </row>
    <row r="214" spans="1:5" x14ac:dyDescent="0.2">
      <c r="A214" s="345">
        <v>34028</v>
      </c>
      <c r="B214" s="255"/>
      <c r="C214" s="259"/>
      <c r="D214" s="73"/>
      <c r="E214" s="73"/>
    </row>
    <row r="215" spans="1:5" x14ac:dyDescent="0.2">
      <c r="A215" s="345">
        <v>34059</v>
      </c>
      <c r="B215" s="255"/>
      <c r="C215" s="259"/>
      <c r="D215" s="73"/>
      <c r="E215" s="73"/>
    </row>
    <row r="216" spans="1:5" x14ac:dyDescent="0.2">
      <c r="A216" s="345">
        <v>34089</v>
      </c>
      <c r="B216" s="255"/>
      <c r="C216" s="259"/>
      <c r="D216" s="73"/>
      <c r="E216" s="73"/>
    </row>
    <row r="217" spans="1:5" x14ac:dyDescent="0.2">
      <c r="A217" s="345">
        <v>34120</v>
      </c>
      <c r="B217" s="255"/>
      <c r="C217" s="259"/>
      <c r="D217" s="73"/>
      <c r="E217" s="73"/>
    </row>
    <row r="218" spans="1:5" x14ac:dyDescent="0.2">
      <c r="A218" s="345">
        <v>34150</v>
      </c>
      <c r="B218" s="255"/>
      <c r="C218" s="259"/>
      <c r="D218" s="73"/>
      <c r="E218" s="73"/>
    </row>
    <row r="219" spans="1:5" x14ac:dyDescent="0.2">
      <c r="A219" s="345">
        <v>34181</v>
      </c>
      <c r="B219" s="255"/>
      <c r="C219" s="259"/>
      <c r="D219" s="73"/>
      <c r="E219" s="73"/>
    </row>
    <row r="220" spans="1:5" x14ac:dyDescent="0.2">
      <c r="A220" s="345">
        <v>34212</v>
      </c>
      <c r="B220" s="255"/>
      <c r="C220" s="259"/>
      <c r="D220" s="73"/>
      <c r="E220" s="73"/>
    </row>
    <row r="221" spans="1:5" x14ac:dyDescent="0.2">
      <c r="A221" s="345">
        <v>34242</v>
      </c>
      <c r="B221" s="255"/>
      <c r="C221" s="259"/>
      <c r="D221" s="73"/>
      <c r="E221" s="73"/>
    </row>
    <row r="222" spans="1:5" x14ac:dyDescent="0.2">
      <c r="A222" s="345">
        <v>34273</v>
      </c>
      <c r="B222" s="255"/>
      <c r="C222" s="259"/>
      <c r="D222" s="73"/>
      <c r="E222" s="73"/>
    </row>
    <row r="223" spans="1:5" x14ac:dyDescent="0.2">
      <c r="A223" s="345">
        <v>34303</v>
      </c>
      <c r="B223" s="255"/>
      <c r="C223" s="259"/>
      <c r="D223" s="73"/>
      <c r="E223" s="73"/>
    </row>
    <row r="224" spans="1:5" x14ac:dyDescent="0.2">
      <c r="A224" s="345">
        <v>34334</v>
      </c>
      <c r="B224" s="255"/>
      <c r="C224" s="259"/>
      <c r="D224" s="73"/>
      <c r="E224" s="73"/>
    </row>
    <row r="225" spans="1:5" x14ac:dyDescent="0.2">
      <c r="A225" s="345">
        <v>34365</v>
      </c>
      <c r="B225" s="255"/>
      <c r="C225" s="259"/>
      <c r="D225" s="73"/>
      <c r="E225" s="73"/>
    </row>
    <row r="226" spans="1:5" x14ac:dyDescent="0.2">
      <c r="A226" s="345">
        <v>34393</v>
      </c>
      <c r="B226" s="255"/>
      <c r="C226" s="259"/>
      <c r="D226" s="73"/>
      <c r="E226" s="73"/>
    </row>
    <row r="227" spans="1:5" x14ac:dyDescent="0.2">
      <c r="A227" s="345">
        <v>34424</v>
      </c>
      <c r="B227" s="255"/>
      <c r="C227" s="259"/>
      <c r="D227" s="73"/>
      <c r="E227" s="73"/>
    </row>
    <row r="228" spans="1:5" x14ac:dyDescent="0.2">
      <c r="A228" s="345">
        <v>34454</v>
      </c>
      <c r="B228" s="255"/>
      <c r="C228" s="259"/>
      <c r="D228" s="73"/>
      <c r="E228" s="73"/>
    </row>
    <row r="229" spans="1:5" x14ac:dyDescent="0.2">
      <c r="A229" s="345">
        <v>34485</v>
      </c>
      <c r="B229" s="255"/>
      <c r="C229" s="259"/>
      <c r="D229" s="73"/>
      <c r="E229" s="73"/>
    </row>
    <row r="230" spans="1:5" x14ac:dyDescent="0.2">
      <c r="A230" s="345">
        <v>34515</v>
      </c>
      <c r="B230" s="255"/>
      <c r="C230" s="259"/>
      <c r="D230" s="73"/>
      <c r="E230" s="73"/>
    </row>
    <row r="231" spans="1:5" x14ac:dyDescent="0.2">
      <c r="A231" s="345">
        <v>34546</v>
      </c>
      <c r="B231" s="255"/>
      <c r="C231" s="259"/>
      <c r="D231" s="73"/>
      <c r="E231" s="73"/>
    </row>
    <row r="232" spans="1:5" x14ac:dyDescent="0.2">
      <c r="A232" s="345">
        <v>34577</v>
      </c>
      <c r="B232" s="255"/>
      <c r="C232" s="259"/>
      <c r="D232" s="73"/>
      <c r="E232" s="73"/>
    </row>
    <row r="233" spans="1:5" x14ac:dyDescent="0.2">
      <c r="A233" s="345">
        <v>34607</v>
      </c>
      <c r="B233" s="255"/>
      <c r="C233" s="259"/>
      <c r="D233" s="73"/>
      <c r="E233" s="73"/>
    </row>
    <row r="234" spans="1:5" x14ac:dyDescent="0.2">
      <c r="A234" s="345">
        <v>34638</v>
      </c>
      <c r="B234" s="255"/>
      <c r="C234" s="259"/>
      <c r="D234" s="73"/>
      <c r="E234" s="73"/>
    </row>
    <row r="235" spans="1:5" x14ac:dyDescent="0.2">
      <c r="A235" s="345">
        <v>34668</v>
      </c>
      <c r="B235" s="255"/>
      <c r="C235" s="259"/>
      <c r="D235" s="73"/>
      <c r="E235" s="73"/>
    </row>
    <row r="236" spans="1:5" x14ac:dyDescent="0.2">
      <c r="A236" s="345">
        <v>34699</v>
      </c>
      <c r="B236" s="255"/>
      <c r="C236" s="259"/>
      <c r="D236" s="73"/>
      <c r="E236" s="73"/>
    </row>
    <row r="237" spans="1:5" x14ac:dyDescent="0.2">
      <c r="A237" s="345">
        <v>34730</v>
      </c>
      <c r="B237" s="255"/>
      <c r="C237" s="259"/>
      <c r="D237" s="73"/>
      <c r="E237" s="73"/>
    </row>
    <row r="238" spans="1:5" x14ac:dyDescent="0.2">
      <c r="A238" s="345">
        <v>34758</v>
      </c>
      <c r="B238" s="255"/>
      <c r="C238" s="259"/>
      <c r="D238" s="73"/>
      <c r="E238" s="73"/>
    </row>
    <row r="239" spans="1:5" x14ac:dyDescent="0.2">
      <c r="A239" s="345">
        <v>34789</v>
      </c>
      <c r="B239" s="255"/>
      <c r="C239" s="259"/>
      <c r="D239" s="73"/>
      <c r="E239" s="73"/>
    </row>
    <row r="240" spans="1:5" x14ac:dyDescent="0.2">
      <c r="A240" s="345">
        <v>34819</v>
      </c>
      <c r="B240" s="255"/>
      <c r="C240" s="259"/>
      <c r="D240" s="73"/>
      <c r="E240" s="73"/>
    </row>
    <row r="241" spans="1:5" x14ac:dyDescent="0.2">
      <c r="A241" s="345">
        <v>34850</v>
      </c>
      <c r="B241" s="255"/>
      <c r="C241" s="259"/>
      <c r="D241" s="73"/>
      <c r="E241" s="73"/>
    </row>
    <row r="242" spans="1:5" x14ac:dyDescent="0.2">
      <c r="A242" s="345">
        <v>34880</v>
      </c>
      <c r="B242" s="255"/>
      <c r="C242" s="259"/>
      <c r="D242" s="77"/>
      <c r="E242" s="77"/>
    </row>
    <row r="243" spans="1:5" x14ac:dyDescent="0.2">
      <c r="A243" s="345">
        <v>34911</v>
      </c>
      <c r="B243" s="255"/>
      <c r="C243" s="259"/>
      <c r="D243" s="77"/>
      <c r="E243" s="77"/>
    </row>
    <row r="244" spans="1:5" x14ac:dyDescent="0.2">
      <c r="A244" s="345">
        <v>34942</v>
      </c>
      <c r="B244" s="255"/>
      <c r="C244" s="259"/>
      <c r="D244" s="77"/>
      <c r="E244" s="77"/>
    </row>
    <row r="245" spans="1:5" x14ac:dyDescent="0.2">
      <c r="A245" s="345">
        <v>34972</v>
      </c>
      <c r="B245" s="255"/>
      <c r="C245" s="259"/>
      <c r="D245" s="77"/>
      <c r="E245" s="77"/>
    </row>
    <row r="246" spans="1:5" x14ac:dyDescent="0.2">
      <c r="A246" s="345">
        <v>35003</v>
      </c>
      <c r="B246" s="255"/>
      <c r="C246" s="259"/>
      <c r="D246" s="77"/>
      <c r="E246" s="77"/>
    </row>
    <row r="247" spans="1:5" x14ac:dyDescent="0.2">
      <c r="A247" s="345">
        <v>35033</v>
      </c>
      <c r="B247" s="255"/>
      <c r="C247" s="259"/>
      <c r="D247" s="77"/>
      <c r="E247" s="77"/>
    </row>
    <row r="248" spans="1:5" x14ac:dyDescent="0.2">
      <c r="A248" s="345">
        <v>35064</v>
      </c>
      <c r="B248" s="255"/>
      <c r="C248" s="259"/>
      <c r="D248" s="77"/>
      <c r="E248" s="77"/>
    </row>
    <row r="249" spans="1:5" x14ac:dyDescent="0.2">
      <c r="A249" s="345">
        <v>35095</v>
      </c>
      <c r="B249" s="255"/>
      <c r="C249" s="259"/>
      <c r="D249" s="77"/>
      <c r="E249" s="77"/>
    </row>
    <row r="250" spans="1:5" x14ac:dyDescent="0.2">
      <c r="A250" s="345">
        <v>35124</v>
      </c>
      <c r="B250" s="255"/>
      <c r="C250" s="259"/>
      <c r="D250" s="77"/>
      <c r="E250" s="77"/>
    </row>
    <row r="251" spans="1:5" x14ac:dyDescent="0.2">
      <c r="A251" s="345">
        <v>35155</v>
      </c>
      <c r="B251" s="255"/>
      <c r="C251" s="259"/>
      <c r="D251" s="77"/>
      <c r="E251" s="77"/>
    </row>
    <row r="252" spans="1:5" x14ac:dyDescent="0.2">
      <c r="A252" s="345">
        <v>35185</v>
      </c>
      <c r="B252" s="253"/>
      <c r="C252" s="259"/>
      <c r="D252" s="77"/>
      <c r="E252" s="77"/>
    </row>
    <row r="253" spans="1:5" x14ac:dyDescent="0.2">
      <c r="A253" s="345">
        <v>35216</v>
      </c>
      <c r="B253" s="253"/>
      <c r="C253" s="259"/>
      <c r="D253" s="77"/>
      <c r="E253" s="77"/>
    </row>
    <row r="254" spans="1:5" x14ac:dyDescent="0.2">
      <c r="A254" s="345">
        <v>35246</v>
      </c>
      <c r="B254" s="253"/>
      <c r="C254" s="259"/>
      <c r="D254" s="77"/>
      <c r="E254" s="77"/>
    </row>
    <row r="255" spans="1:5" x14ac:dyDescent="0.2">
      <c r="A255" s="345">
        <v>35277</v>
      </c>
      <c r="B255" s="253"/>
      <c r="C255" s="259"/>
      <c r="D255" s="77"/>
      <c r="E255" s="77"/>
    </row>
    <row r="256" spans="1:5" x14ac:dyDescent="0.2">
      <c r="A256" s="345">
        <v>35308</v>
      </c>
      <c r="B256" s="253"/>
      <c r="C256" s="259"/>
      <c r="D256" s="77"/>
      <c r="E256" s="77"/>
    </row>
    <row r="257" spans="1:5" x14ac:dyDescent="0.2">
      <c r="A257" s="345">
        <v>35338</v>
      </c>
      <c r="B257" s="253"/>
      <c r="C257" s="259"/>
      <c r="D257" s="77"/>
      <c r="E257" s="77"/>
    </row>
    <row r="258" spans="1:5" x14ac:dyDescent="0.2">
      <c r="A258" s="345">
        <v>35369</v>
      </c>
      <c r="B258" s="253"/>
      <c r="C258" s="259"/>
      <c r="D258" s="77"/>
      <c r="E258" s="77"/>
    </row>
    <row r="259" spans="1:5" x14ac:dyDescent="0.2">
      <c r="A259" s="345">
        <v>35399</v>
      </c>
      <c r="B259" s="253"/>
      <c r="C259" s="259"/>
      <c r="D259" s="77"/>
      <c r="E259" s="77"/>
    </row>
    <row r="260" spans="1:5" x14ac:dyDescent="0.2">
      <c r="A260" s="345">
        <v>35430</v>
      </c>
      <c r="B260" s="253"/>
      <c r="C260" s="259"/>
      <c r="D260" s="77"/>
      <c r="E260" s="77"/>
    </row>
    <row r="261" spans="1:5" x14ac:dyDescent="0.2">
      <c r="A261" s="345">
        <v>35461</v>
      </c>
      <c r="B261" s="253"/>
      <c r="C261" s="259"/>
      <c r="D261" s="77"/>
      <c r="E261" s="77"/>
    </row>
    <row r="262" spans="1:5" x14ac:dyDescent="0.2">
      <c r="A262" s="345">
        <v>35489</v>
      </c>
      <c r="B262" s="253"/>
      <c r="C262" s="259"/>
      <c r="D262" s="77"/>
      <c r="E262" s="77"/>
    </row>
    <row r="263" spans="1:5" x14ac:dyDescent="0.2">
      <c r="A263" s="345">
        <v>35520</v>
      </c>
      <c r="B263" s="253"/>
      <c r="C263" s="259"/>
      <c r="D263" s="77"/>
      <c r="E263" s="77"/>
    </row>
    <row r="264" spans="1:5" x14ac:dyDescent="0.2">
      <c r="A264" s="345">
        <v>35550</v>
      </c>
      <c r="B264" s="253"/>
      <c r="C264" s="259"/>
      <c r="D264" s="77"/>
      <c r="E264" s="77"/>
    </row>
    <row r="265" spans="1:5" x14ac:dyDescent="0.2">
      <c r="A265" s="345">
        <v>35581</v>
      </c>
      <c r="B265" s="253"/>
      <c r="C265" s="259"/>
      <c r="D265" s="77"/>
      <c r="E265" s="77"/>
    </row>
    <row r="266" spans="1:5" x14ac:dyDescent="0.2">
      <c r="A266" s="345">
        <v>35611</v>
      </c>
      <c r="B266" s="253"/>
      <c r="C266" s="259"/>
      <c r="D266" s="77"/>
      <c r="E266" s="77"/>
    </row>
    <row r="267" spans="1:5" x14ac:dyDescent="0.2">
      <c r="A267" s="345">
        <v>35642</v>
      </c>
      <c r="B267" s="253"/>
      <c r="C267" s="259"/>
      <c r="D267" s="77"/>
      <c r="E267" s="77"/>
    </row>
    <row r="268" spans="1:5" x14ac:dyDescent="0.2">
      <c r="A268" s="345">
        <v>35673</v>
      </c>
      <c r="B268" s="253"/>
      <c r="C268" s="259"/>
      <c r="D268" s="77"/>
      <c r="E268" s="77"/>
    </row>
    <row r="269" spans="1:5" x14ac:dyDescent="0.2">
      <c r="A269" s="345">
        <v>35703</v>
      </c>
      <c r="B269" s="253"/>
      <c r="C269" s="259"/>
      <c r="D269" s="77"/>
      <c r="E269" s="77"/>
    </row>
    <row r="270" spans="1:5" x14ac:dyDescent="0.2">
      <c r="A270" s="345">
        <v>35734</v>
      </c>
      <c r="B270" s="253"/>
      <c r="C270" s="259"/>
      <c r="D270" s="77"/>
      <c r="E270" s="77"/>
    </row>
    <row r="271" spans="1:5" x14ac:dyDescent="0.2">
      <c r="A271" s="345">
        <v>35764</v>
      </c>
      <c r="B271" s="253"/>
      <c r="C271" s="259"/>
      <c r="D271" s="77"/>
      <c r="E271" s="77"/>
    </row>
    <row r="272" spans="1:5" x14ac:dyDescent="0.2">
      <c r="A272" s="345">
        <v>35795</v>
      </c>
      <c r="B272" s="253"/>
      <c r="C272" s="259"/>
      <c r="D272" s="77"/>
      <c r="E272" s="77"/>
    </row>
    <row r="273" spans="1:5" x14ac:dyDescent="0.2">
      <c r="A273" s="345">
        <v>35826</v>
      </c>
      <c r="B273" s="253"/>
      <c r="C273" s="259"/>
      <c r="D273" s="77"/>
      <c r="E273" s="77"/>
    </row>
    <row r="274" spans="1:5" x14ac:dyDescent="0.2">
      <c r="A274" s="345">
        <v>35854</v>
      </c>
      <c r="B274" s="253"/>
      <c r="C274" s="259"/>
      <c r="D274" s="77"/>
      <c r="E274" s="77"/>
    </row>
    <row r="275" spans="1:5" x14ac:dyDescent="0.2">
      <c r="A275" s="345">
        <v>35885</v>
      </c>
      <c r="B275" s="253"/>
      <c r="C275" s="259"/>
      <c r="D275" s="77"/>
      <c r="E275" s="77"/>
    </row>
    <row r="276" spans="1:5" x14ac:dyDescent="0.2">
      <c r="A276" s="345">
        <v>35915</v>
      </c>
      <c r="B276" s="253"/>
      <c r="C276" s="259"/>
      <c r="D276" s="77"/>
      <c r="E276" s="77"/>
    </row>
    <row r="277" spans="1:5" x14ac:dyDescent="0.2">
      <c r="A277" s="345">
        <v>35946</v>
      </c>
      <c r="B277" s="253"/>
      <c r="C277" s="259"/>
      <c r="D277" s="77"/>
      <c r="E277" s="77"/>
    </row>
    <row r="278" spans="1:5" x14ac:dyDescent="0.2">
      <c r="A278" s="345">
        <v>35976</v>
      </c>
      <c r="B278" s="253"/>
      <c r="C278" s="259"/>
      <c r="D278" s="77"/>
      <c r="E278" s="77"/>
    </row>
    <row r="279" spans="1:5" x14ac:dyDescent="0.2">
      <c r="A279" s="345">
        <v>36007</v>
      </c>
      <c r="B279" s="253"/>
      <c r="C279" s="259"/>
      <c r="D279" s="77"/>
      <c r="E279" s="77"/>
    </row>
    <row r="280" spans="1:5" x14ac:dyDescent="0.2">
      <c r="A280" s="345">
        <v>36038</v>
      </c>
      <c r="B280" s="253"/>
      <c r="C280" s="259"/>
      <c r="D280" s="77"/>
      <c r="E280" s="77"/>
    </row>
    <row r="281" spans="1:5" x14ac:dyDescent="0.2">
      <c r="A281" s="345">
        <v>36068</v>
      </c>
      <c r="B281" s="253"/>
      <c r="C281" s="259"/>
      <c r="D281" s="77"/>
      <c r="E281" s="77"/>
    </row>
    <row r="282" spans="1:5" x14ac:dyDescent="0.2">
      <c r="A282" s="345">
        <v>36099</v>
      </c>
      <c r="B282" s="253"/>
      <c r="C282" s="259"/>
      <c r="D282" s="77"/>
      <c r="E282" s="77"/>
    </row>
    <row r="283" spans="1:5" x14ac:dyDescent="0.2">
      <c r="A283" s="345">
        <v>36129</v>
      </c>
      <c r="B283" s="253"/>
      <c r="C283" s="259"/>
      <c r="D283" s="77"/>
      <c r="E283" s="77"/>
    </row>
    <row r="284" spans="1:5" x14ac:dyDescent="0.2">
      <c r="A284" s="345">
        <v>36160</v>
      </c>
      <c r="B284" s="253"/>
      <c r="C284" s="33"/>
      <c r="D284" s="253"/>
      <c r="E284" s="253"/>
    </row>
    <row r="285" spans="1:5" x14ac:dyDescent="0.2">
      <c r="A285" s="345">
        <v>36191</v>
      </c>
      <c r="B285" s="253"/>
      <c r="C285" s="33"/>
      <c r="D285" s="253"/>
      <c r="E285" s="253"/>
    </row>
    <row r="286" spans="1:5" x14ac:dyDescent="0.2">
      <c r="A286" s="345">
        <v>36219</v>
      </c>
      <c r="B286" s="253"/>
      <c r="C286" s="33"/>
      <c r="D286" s="253"/>
      <c r="E286" s="253"/>
    </row>
    <row r="287" spans="1:5" x14ac:dyDescent="0.2">
      <c r="A287" s="345">
        <v>36250</v>
      </c>
      <c r="B287" s="253"/>
      <c r="C287" s="33"/>
      <c r="D287" s="253"/>
      <c r="E287" s="253"/>
    </row>
    <row r="288" spans="1:5" x14ac:dyDescent="0.2">
      <c r="A288" s="345">
        <v>36280</v>
      </c>
      <c r="B288" s="253"/>
      <c r="C288" s="33"/>
      <c r="D288" s="253"/>
      <c r="E288" s="253"/>
    </row>
    <row r="289" spans="1:5" x14ac:dyDescent="0.2">
      <c r="A289" s="345">
        <v>36311</v>
      </c>
      <c r="B289" s="253"/>
      <c r="C289" s="33"/>
      <c r="D289" s="253"/>
      <c r="E289" s="253"/>
    </row>
    <row r="290" spans="1:5" x14ac:dyDescent="0.2">
      <c r="A290" s="345">
        <v>36341</v>
      </c>
      <c r="B290" s="253"/>
      <c r="C290" s="33"/>
      <c r="D290" s="253"/>
      <c r="E290" s="253"/>
    </row>
    <row r="291" spans="1:5" x14ac:dyDescent="0.2">
      <c r="A291" s="345">
        <v>36372</v>
      </c>
      <c r="B291" s="253"/>
      <c r="C291" s="33"/>
      <c r="D291" s="253"/>
      <c r="E291" s="253"/>
    </row>
    <row r="292" spans="1:5" x14ac:dyDescent="0.2">
      <c r="A292" s="345">
        <v>36403</v>
      </c>
      <c r="B292" s="253"/>
      <c r="C292" s="33"/>
      <c r="D292" s="253"/>
      <c r="E292" s="253"/>
    </row>
    <row r="293" spans="1:5" x14ac:dyDescent="0.2">
      <c r="A293" s="345">
        <v>36433</v>
      </c>
      <c r="B293" s="253"/>
      <c r="C293" s="33"/>
      <c r="D293" s="253"/>
      <c r="E293" s="253"/>
    </row>
    <row r="294" spans="1:5" x14ac:dyDescent="0.2">
      <c r="A294" s="345">
        <v>36464</v>
      </c>
      <c r="B294" s="253"/>
      <c r="C294" s="33"/>
      <c r="D294" s="253"/>
      <c r="E294" s="253"/>
    </row>
    <row r="295" spans="1:5" x14ac:dyDescent="0.2">
      <c r="A295" s="345">
        <v>36494</v>
      </c>
      <c r="B295" s="253"/>
      <c r="C295" s="33"/>
      <c r="D295" s="253"/>
      <c r="E295" s="253"/>
    </row>
    <row r="296" spans="1:5" x14ac:dyDescent="0.2">
      <c r="A296" s="345">
        <v>36525</v>
      </c>
      <c r="B296" s="253"/>
      <c r="C296" s="33"/>
      <c r="D296" s="253"/>
      <c r="E296" s="253"/>
    </row>
    <row r="297" spans="1:5" x14ac:dyDescent="0.2">
      <c r="A297" s="345">
        <v>36556</v>
      </c>
      <c r="B297" s="253"/>
      <c r="C297" s="33"/>
      <c r="D297" s="253"/>
      <c r="E297" s="253"/>
    </row>
    <row r="298" spans="1:5" x14ac:dyDescent="0.2">
      <c r="A298" s="345">
        <v>36585</v>
      </c>
      <c r="B298" s="253"/>
      <c r="C298" s="33"/>
      <c r="D298" s="253"/>
      <c r="E298" s="253"/>
    </row>
    <row r="299" spans="1:5" x14ac:dyDescent="0.2">
      <c r="A299" s="345">
        <v>36616</v>
      </c>
      <c r="B299" s="253"/>
      <c r="C299" s="33"/>
      <c r="D299" s="253"/>
      <c r="E299" s="253"/>
    </row>
    <row r="300" spans="1:5" x14ac:dyDescent="0.2">
      <c r="A300" s="345">
        <v>36646</v>
      </c>
      <c r="B300" s="253"/>
      <c r="C300" s="33"/>
      <c r="D300" s="253"/>
      <c r="E300" s="253"/>
    </row>
    <row r="301" spans="1:5" x14ac:dyDescent="0.2">
      <c r="A301" s="345">
        <v>36677</v>
      </c>
      <c r="B301" s="253"/>
      <c r="C301" s="33"/>
      <c r="D301" s="253"/>
      <c r="E301" s="253"/>
    </row>
    <row r="302" spans="1:5" x14ac:dyDescent="0.2">
      <c r="A302" s="345">
        <v>36707</v>
      </c>
      <c r="B302" s="253"/>
      <c r="C302" s="33"/>
      <c r="D302" s="253"/>
      <c r="E302" s="253"/>
    </row>
    <row r="303" spans="1:5" x14ac:dyDescent="0.2">
      <c r="A303" s="345">
        <v>36738</v>
      </c>
      <c r="B303" s="253"/>
      <c r="C303" s="33"/>
      <c r="D303" s="253"/>
      <c r="E303" s="253"/>
    </row>
    <row r="304" spans="1:5" x14ac:dyDescent="0.2">
      <c r="A304" s="345">
        <v>36769</v>
      </c>
      <c r="B304" s="253"/>
      <c r="C304" s="33"/>
      <c r="D304" s="253"/>
      <c r="E304" s="253"/>
    </row>
    <row r="305" spans="1:5" x14ac:dyDescent="0.2">
      <c r="A305" s="345">
        <v>36799</v>
      </c>
      <c r="B305" s="253"/>
      <c r="C305" s="33"/>
      <c r="D305" s="253"/>
      <c r="E305" s="253"/>
    </row>
    <row r="306" spans="1:5" x14ac:dyDescent="0.2">
      <c r="A306" s="345">
        <v>36830</v>
      </c>
      <c r="B306" s="253"/>
      <c r="C306" s="33"/>
      <c r="D306" s="253"/>
      <c r="E306" s="253"/>
    </row>
    <row r="307" spans="1:5" x14ac:dyDescent="0.2">
      <c r="A307" s="345">
        <v>36860</v>
      </c>
      <c r="B307" s="253"/>
      <c r="C307" s="33"/>
      <c r="D307" s="253"/>
      <c r="E307" s="253"/>
    </row>
    <row r="308" spans="1:5" x14ac:dyDescent="0.2">
      <c r="A308" s="345">
        <v>36891</v>
      </c>
      <c r="B308" s="253"/>
      <c r="C308" s="33"/>
      <c r="D308" s="253"/>
      <c r="E308" s="253"/>
    </row>
    <row r="309" spans="1:5" x14ac:dyDescent="0.2">
      <c r="A309" s="345">
        <v>36922</v>
      </c>
      <c r="B309" s="253"/>
      <c r="C309" s="33"/>
      <c r="D309" s="253"/>
      <c r="E309" s="253"/>
    </row>
    <row r="310" spans="1:5" x14ac:dyDescent="0.2">
      <c r="A310" s="345">
        <v>36950</v>
      </c>
      <c r="B310" s="253"/>
      <c r="C310" s="33"/>
      <c r="D310" s="253"/>
      <c r="E310" s="253"/>
    </row>
    <row r="311" spans="1:5" x14ac:dyDescent="0.2">
      <c r="A311" s="345">
        <v>36981</v>
      </c>
      <c r="B311" s="253"/>
      <c r="C311" s="33"/>
      <c r="D311" s="253"/>
      <c r="E311" s="253"/>
    </row>
    <row r="312" spans="1:5" x14ac:dyDescent="0.2">
      <c r="A312" s="345">
        <v>37011</v>
      </c>
      <c r="B312" s="253"/>
      <c r="C312" s="33"/>
      <c r="D312" s="253"/>
      <c r="E312" s="253"/>
    </row>
    <row r="313" spans="1:5" x14ac:dyDescent="0.2">
      <c r="A313" s="345">
        <v>37042</v>
      </c>
      <c r="B313" s="253"/>
      <c r="C313" s="33"/>
      <c r="D313" s="253"/>
      <c r="E313" s="253"/>
    </row>
    <row r="314" spans="1:5" x14ac:dyDescent="0.2">
      <c r="A314" s="345">
        <v>37072</v>
      </c>
      <c r="B314" s="253"/>
      <c r="C314" s="33"/>
      <c r="D314" s="253"/>
      <c r="E314" s="253"/>
    </row>
    <row r="315" spans="1:5" x14ac:dyDescent="0.2">
      <c r="A315" s="345">
        <v>37103</v>
      </c>
      <c r="B315" s="253"/>
      <c r="C315" s="33"/>
      <c r="D315" s="253"/>
      <c r="E315" s="253"/>
    </row>
    <row r="316" spans="1:5" x14ac:dyDescent="0.2">
      <c r="A316" s="345">
        <v>37134</v>
      </c>
      <c r="B316" s="253"/>
      <c r="C316" s="33"/>
      <c r="D316" s="253"/>
      <c r="E316" s="253"/>
    </row>
    <row r="317" spans="1:5" x14ac:dyDescent="0.2">
      <c r="A317" s="345">
        <v>37164</v>
      </c>
      <c r="B317" s="253"/>
      <c r="C317" s="33"/>
      <c r="D317" s="253"/>
      <c r="E317" s="253"/>
    </row>
    <row r="318" spans="1:5" x14ac:dyDescent="0.2">
      <c r="A318" s="345">
        <v>37195</v>
      </c>
      <c r="B318" s="253"/>
      <c r="C318" s="33"/>
      <c r="D318" s="253"/>
      <c r="E318" s="253"/>
    </row>
    <row r="319" spans="1:5" x14ac:dyDescent="0.2">
      <c r="A319" s="345">
        <v>37225</v>
      </c>
      <c r="B319" s="253"/>
      <c r="C319" s="33"/>
      <c r="D319" s="253"/>
      <c r="E319" s="253"/>
    </row>
    <row r="320" spans="1:5" x14ac:dyDescent="0.2">
      <c r="A320" s="345">
        <v>37256</v>
      </c>
      <c r="B320" s="253"/>
      <c r="C320" s="33"/>
      <c r="D320" s="253"/>
      <c r="E320" s="253"/>
    </row>
    <row r="321" spans="1:5" x14ac:dyDescent="0.2">
      <c r="A321" s="345">
        <v>37287</v>
      </c>
      <c r="B321" s="253"/>
      <c r="C321" s="33"/>
      <c r="D321" s="253"/>
      <c r="E321" s="253"/>
    </row>
    <row r="322" spans="1:5" x14ac:dyDescent="0.2">
      <c r="A322" s="345">
        <v>37315</v>
      </c>
      <c r="B322" s="253"/>
      <c r="C322" s="33"/>
      <c r="D322" s="253"/>
      <c r="E322" s="253"/>
    </row>
    <row r="323" spans="1:5" x14ac:dyDescent="0.2">
      <c r="A323" s="345">
        <v>37346</v>
      </c>
      <c r="B323" s="253"/>
      <c r="C323" s="33"/>
      <c r="D323" s="253"/>
      <c r="E323" s="253"/>
    </row>
    <row r="324" spans="1:5" x14ac:dyDescent="0.2">
      <c r="A324" s="345">
        <v>37376</v>
      </c>
      <c r="B324" s="253"/>
      <c r="C324" s="33"/>
      <c r="D324" s="253"/>
      <c r="E324" s="253"/>
    </row>
    <row r="325" spans="1:5" x14ac:dyDescent="0.2">
      <c r="A325" s="345">
        <v>37407</v>
      </c>
      <c r="B325" s="253"/>
      <c r="C325" s="33"/>
      <c r="D325" s="253"/>
      <c r="E325" s="253"/>
    </row>
    <row r="326" spans="1:5" x14ac:dyDescent="0.2">
      <c r="A326" s="345">
        <v>37437</v>
      </c>
      <c r="B326" s="253"/>
      <c r="C326" s="33"/>
      <c r="D326" s="253"/>
      <c r="E326" s="253"/>
    </row>
    <row r="327" spans="1:5" x14ac:dyDescent="0.2">
      <c r="A327" s="345">
        <v>37468</v>
      </c>
      <c r="B327" s="253"/>
      <c r="C327" s="33"/>
      <c r="D327" s="253"/>
      <c r="E327" s="253"/>
    </row>
    <row r="328" spans="1:5" x14ac:dyDescent="0.2">
      <c r="A328" s="345">
        <v>37499</v>
      </c>
      <c r="B328" s="253"/>
      <c r="C328" s="33"/>
      <c r="D328" s="253"/>
      <c r="E328" s="253"/>
    </row>
    <row r="329" spans="1:5" x14ac:dyDescent="0.2">
      <c r="A329" s="345">
        <v>37529</v>
      </c>
      <c r="B329" s="253"/>
      <c r="C329" s="33"/>
      <c r="D329" s="253"/>
      <c r="E329" s="253"/>
    </row>
    <row r="330" spans="1:5" x14ac:dyDescent="0.2">
      <c r="A330" s="345">
        <v>37560</v>
      </c>
      <c r="B330" s="253"/>
      <c r="C330" s="33"/>
      <c r="D330" s="253"/>
      <c r="E330" s="253"/>
    </row>
    <row r="331" spans="1:5" x14ac:dyDescent="0.2">
      <c r="A331" s="345">
        <v>37590</v>
      </c>
      <c r="B331" s="253"/>
      <c r="C331" s="33"/>
      <c r="D331" s="253"/>
      <c r="E331" s="253"/>
    </row>
    <row r="332" spans="1:5" x14ac:dyDescent="0.2">
      <c r="A332" s="345">
        <v>37621</v>
      </c>
      <c r="B332" s="253"/>
      <c r="C332" s="33"/>
      <c r="D332" s="253"/>
      <c r="E332" s="253"/>
    </row>
    <row r="333" spans="1:5" x14ac:dyDescent="0.2">
      <c r="A333" s="345">
        <v>37652</v>
      </c>
      <c r="B333" s="253"/>
      <c r="C333" s="33"/>
      <c r="D333" s="253"/>
      <c r="E333" s="253"/>
    </row>
    <row r="334" spans="1:5" x14ac:dyDescent="0.2">
      <c r="A334" s="345">
        <v>37680</v>
      </c>
      <c r="B334" s="253"/>
      <c r="C334" s="33"/>
      <c r="D334" s="253"/>
      <c r="E334" s="253"/>
    </row>
    <row r="335" spans="1:5" x14ac:dyDescent="0.2">
      <c r="A335" s="345">
        <v>37711</v>
      </c>
      <c r="B335" s="253"/>
      <c r="C335" s="33"/>
      <c r="D335" s="253"/>
      <c r="E335" s="253"/>
    </row>
    <row r="336" spans="1:5" x14ac:dyDescent="0.2">
      <c r="A336" s="345">
        <v>37741</v>
      </c>
      <c r="B336" s="253"/>
      <c r="C336" s="33"/>
      <c r="D336" s="253"/>
      <c r="E336" s="253"/>
    </row>
    <row r="337" spans="1:9" x14ac:dyDescent="0.2">
      <c r="A337" s="345">
        <v>37772</v>
      </c>
      <c r="B337" s="253"/>
      <c r="C337" s="33"/>
      <c r="D337" s="253"/>
      <c r="E337" s="253"/>
    </row>
    <row r="338" spans="1:9" x14ac:dyDescent="0.2">
      <c r="A338" s="345">
        <v>37802</v>
      </c>
      <c r="B338" s="253"/>
      <c r="C338" s="33"/>
      <c r="D338" s="253"/>
      <c r="E338" s="253"/>
    </row>
    <row r="339" spans="1:9" x14ac:dyDescent="0.2">
      <c r="A339" s="345">
        <v>37833</v>
      </c>
      <c r="B339" s="253"/>
      <c r="C339" s="33"/>
      <c r="D339" s="253"/>
      <c r="E339" s="253"/>
    </row>
    <row r="340" spans="1:9" x14ac:dyDescent="0.2">
      <c r="A340" s="345">
        <v>37864</v>
      </c>
      <c r="B340" s="253"/>
      <c r="C340" s="33"/>
      <c r="D340" s="253"/>
      <c r="E340" s="253"/>
    </row>
    <row r="341" spans="1:9" x14ac:dyDescent="0.2">
      <c r="A341" s="345">
        <v>37894</v>
      </c>
      <c r="B341" s="253"/>
      <c r="C341" s="34"/>
      <c r="D341" s="253"/>
      <c r="E341" s="253"/>
    </row>
    <row r="342" spans="1:9" x14ac:dyDescent="0.2">
      <c r="A342" s="345">
        <v>37925</v>
      </c>
      <c r="B342" s="253"/>
      <c r="C342" s="34"/>
      <c r="D342" s="253"/>
      <c r="E342" s="253"/>
    </row>
    <row r="343" spans="1:9" x14ac:dyDescent="0.2">
      <c r="A343" s="345">
        <v>37955</v>
      </c>
      <c r="B343" s="253"/>
      <c r="C343" s="34"/>
      <c r="D343" s="253"/>
      <c r="E343" s="253"/>
    </row>
    <row r="344" spans="1:9" x14ac:dyDescent="0.2">
      <c r="A344" s="345">
        <v>37986</v>
      </c>
      <c r="B344" s="253"/>
      <c r="C344" s="34"/>
      <c r="D344" s="253"/>
      <c r="E344" s="253"/>
    </row>
    <row r="345" spans="1:9" x14ac:dyDescent="0.2">
      <c r="A345" s="345">
        <v>38017</v>
      </c>
      <c r="B345" s="253"/>
      <c r="C345" s="34"/>
      <c r="D345" s="253"/>
      <c r="E345" s="253"/>
    </row>
    <row r="346" spans="1:9" x14ac:dyDescent="0.2">
      <c r="A346" s="345">
        <v>38046</v>
      </c>
      <c r="B346" s="253"/>
      <c r="C346" s="34"/>
      <c r="D346" s="253"/>
      <c r="E346" s="253"/>
    </row>
    <row r="347" spans="1:9" x14ac:dyDescent="0.2">
      <c r="A347" s="345">
        <v>38077</v>
      </c>
      <c r="B347" s="253"/>
      <c r="C347" s="34"/>
      <c r="D347" s="255"/>
      <c r="E347" s="253"/>
    </row>
    <row r="348" spans="1:9" x14ac:dyDescent="0.2">
      <c r="A348" s="345">
        <v>38107</v>
      </c>
      <c r="B348" s="253"/>
      <c r="C348" s="34"/>
      <c r="D348" s="253"/>
      <c r="E348" s="253"/>
      <c r="I348" s="14"/>
    </row>
    <row r="349" spans="1:9" x14ac:dyDescent="0.2">
      <c r="A349" s="345">
        <v>38138</v>
      </c>
      <c r="B349" s="253"/>
      <c r="C349" s="34"/>
      <c r="D349" s="253"/>
      <c r="E349" s="253"/>
      <c r="I349" s="14"/>
    </row>
    <row r="350" spans="1:9" x14ac:dyDescent="0.2">
      <c r="A350" s="345">
        <v>38168</v>
      </c>
      <c r="B350" s="253"/>
      <c r="C350" s="34"/>
      <c r="D350" s="253"/>
      <c r="E350" s="253"/>
      <c r="I350" s="14"/>
    </row>
    <row r="351" spans="1:9" x14ac:dyDescent="0.2">
      <c r="A351" s="345">
        <v>38199</v>
      </c>
      <c r="B351" s="253"/>
      <c r="C351" s="34"/>
      <c r="D351" s="253"/>
      <c r="E351" s="253"/>
    </row>
    <row r="352" spans="1:9" x14ac:dyDescent="0.2">
      <c r="A352" s="345">
        <v>38230</v>
      </c>
      <c r="B352" s="253"/>
      <c r="C352" s="34"/>
      <c r="D352" s="253"/>
      <c r="E352" s="253"/>
    </row>
    <row r="353" spans="1:5" x14ac:dyDescent="0.2">
      <c r="A353" s="345">
        <v>38260</v>
      </c>
      <c r="B353" s="253"/>
      <c r="C353" s="34"/>
      <c r="D353" s="253"/>
      <c r="E353" s="253"/>
    </row>
    <row r="354" spans="1:5" x14ac:dyDescent="0.2">
      <c r="A354" s="345">
        <v>38291</v>
      </c>
      <c r="B354" s="253"/>
      <c r="C354" s="34"/>
      <c r="D354" s="253"/>
      <c r="E354" s="253"/>
    </row>
    <row r="355" spans="1:5" x14ac:dyDescent="0.2">
      <c r="A355" s="345">
        <v>38321</v>
      </c>
      <c r="B355" s="253"/>
      <c r="C355" s="34"/>
      <c r="D355" s="253"/>
      <c r="E355" s="253"/>
    </row>
    <row r="356" spans="1:5" x14ac:dyDescent="0.2">
      <c r="A356" s="345">
        <v>38352</v>
      </c>
      <c r="B356" s="253"/>
      <c r="C356" s="256"/>
      <c r="D356" s="253"/>
      <c r="E356" s="253"/>
    </row>
    <row r="357" spans="1:5" x14ac:dyDescent="0.2">
      <c r="A357" s="345">
        <v>38383</v>
      </c>
      <c r="B357" s="253"/>
      <c r="C357" s="34"/>
      <c r="D357" s="76"/>
      <c r="E357" s="253"/>
    </row>
    <row r="358" spans="1:5" x14ac:dyDescent="0.2">
      <c r="A358" s="345">
        <v>38411</v>
      </c>
      <c r="B358" s="253"/>
      <c r="C358" s="34"/>
      <c r="D358" s="76"/>
      <c r="E358" s="253"/>
    </row>
    <row r="359" spans="1:5" x14ac:dyDescent="0.2">
      <c r="A359" s="345">
        <v>38442</v>
      </c>
      <c r="B359" s="253"/>
      <c r="C359" s="256"/>
      <c r="D359" s="76"/>
      <c r="E359" s="253"/>
    </row>
    <row r="360" spans="1:5" x14ac:dyDescent="0.2">
      <c r="A360" s="345">
        <v>38472</v>
      </c>
      <c r="B360" s="253"/>
      <c r="C360" s="256"/>
      <c r="D360" s="76"/>
      <c r="E360" s="253"/>
    </row>
    <row r="361" spans="1:5" x14ac:dyDescent="0.2">
      <c r="A361" s="345">
        <v>38503</v>
      </c>
      <c r="B361" s="253"/>
      <c r="C361" s="256"/>
      <c r="D361" s="76"/>
      <c r="E361" s="253"/>
    </row>
    <row r="362" spans="1:5" x14ac:dyDescent="0.2">
      <c r="A362" s="345">
        <v>38533</v>
      </c>
      <c r="B362" s="253"/>
      <c r="C362" s="256"/>
      <c r="D362" s="76"/>
      <c r="E362" s="253"/>
    </row>
    <row r="363" spans="1:5" x14ac:dyDescent="0.2">
      <c r="A363" s="345">
        <v>38564</v>
      </c>
      <c r="B363" s="253"/>
      <c r="C363" s="256"/>
      <c r="D363" s="76"/>
      <c r="E363" s="253"/>
    </row>
    <row r="364" spans="1:5" x14ac:dyDescent="0.2">
      <c r="A364" s="345">
        <v>38595</v>
      </c>
      <c r="B364" s="253"/>
      <c r="C364" s="256"/>
      <c r="D364" s="76"/>
      <c r="E364" s="253"/>
    </row>
    <row r="365" spans="1:5" x14ac:dyDescent="0.2">
      <c r="A365" s="345">
        <v>38625</v>
      </c>
      <c r="B365" s="253"/>
      <c r="C365" s="334"/>
      <c r="D365" s="76"/>
      <c r="E365" s="253"/>
    </row>
    <row r="366" spans="1:5" x14ac:dyDescent="0.2">
      <c r="A366" s="345">
        <v>38656</v>
      </c>
      <c r="B366" s="253"/>
      <c r="C366" s="334"/>
      <c r="D366" s="76"/>
      <c r="E366" s="253"/>
    </row>
    <row r="367" spans="1:5" x14ac:dyDescent="0.2">
      <c r="A367" s="345">
        <v>38686</v>
      </c>
      <c r="B367" s="253"/>
      <c r="C367" s="334"/>
      <c r="D367" s="76"/>
      <c r="E367" s="253"/>
    </row>
    <row r="368" spans="1:5" x14ac:dyDescent="0.2">
      <c r="A368" s="345">
        <v>38717</v>
      </c>
      <c r="B368" s="253"/>
      <c r="C368" s="256"/>
      <c r="D368" s="76"/>
      <c r="E368" s="253"/>
    </row>
    <row r="369" spans="1:9" x14ac:dyDescent="0.2">
      <c r="A369" s="345">
        <v>38748</v>
      </c>
      <c r="B369" s="253"/>
      <c r="C369" s="256"/>
      <c r="D369" s="76"/>
      <c r="E369" s="253"/>
      <c r="F369" s="496"/>
      <c r="G369" s="700"/>
      <c r="H369" s="703"/>
      <c r="I369" s="253"/>
    </row>
    <row r="370" spans="1:9" x14ac:dyDescent="0.2">
      <c r="A370" s="345">
        <v>38776</v>
      </c>
      <c r="B370" s="253"/>
      <c r="C370" s="256"/>
      <c r="D370" s="76"/>
      <c r="E370" s="253"/>
      <c r="F370" s="496"/>
      <c r="G370" s="701"/>
      <c r="H370" s="703"/>
      <c r="I370" s="253"/>
    </row>
    <row r="371" spans="1:9" x14ac:dyDescent="0.2">
      <c r="A371" s="345">
        <v>38807</v>
      </c>
      <c r="B371" s="253"/>
      <c r="C371" s="256"/>
      <c r="D371" s="76"/>
      <c r="E371" s="253"/>
      <c r="F371" s="496"/>
      <c r="G371" s="701"/>
      <c r="H371" s="703"/>
      <c r="I371" s="253"/>
    </row>
    <row r="372" spans="1:9" x14ac:dyDescent="0.2">
      <c r="A372" s="345">
        <v>38837</v>
      </c>
      <c r="B372" s="253"/>
      <c r="C372" s="34"/>
      <c r="D372" s="76"/>
      <c r="E372" s="253"/>
      <c r="F372" s="496"/>
      <c r="G372" s="700"/>
      <c r="H372" s="703"/>
      <c r="I372" s="253"/>
    </row>
    <row r="373" spans="1:9" x14ac:dyDescent="0.2">
      <c r="A373" s="345">
        <v>38868</v>
      </c>
      <c r="B373" s="253"/>
      <c r="C373" s="34"/>
      <c r="D373" s="76"/>
      <c r="E373" s="253"/>
      <c r="F373" s="496"/>
      <c r="G373" s="700"/>
      <c r="H373" s="703"/>
      <c r="I373" s="253"/>
    </row>
    <row r="374" spans="1:9" x14ac:dyDescent="0.2">
      <c r="A374" s="345">
        <v>38898</v>
      </c>
      <c r="B374" s="76"/>
      <c r="C374" s="354"/>
      <c r="D374" s="253"/>
      <c r="E374" s="253"/>
      <c r="F374" s="496"/>
      <c r="G374" s="700"/>
      <c r="H374" s="703"/>
      <c r="I374" s="253"/>
    </row>
    <row r="375" spans="1:9" x14ac:dyDescent="0.2">
      <c r="A375" s="345">
        <v>38929</v>
      </c>
      <c r="B375" s="253"/>
      <c r="C375" s="34"/>
      <c r="D375" s="253"/>
      <c r="E375" s="253"/>
      <c r="F375" s="496"/>
      <c r="G375" s="700"/>
      <c r="H375" s="703"/>
      <c r="I375" s="253"/>
    </row>
    <row r="376" spans="1:9" x14ac:dyDescent="0.2">
      <c r="A376" s="345">
        <v>38960</v>
      </c>
      <c r="B376" s="253"/>
      <c r="C376" s="34"/>
      <c r="D376" s="253"/>
      <c r="E376" s="253"/>
    </row>
    <row r="377" spans="1:9" x14ac:dyDescent="0.2">
      <c r="A377" s="345">
        <v>38990</v>
      </c>
      <c r="B377" s="253"/>
      <c r="C377" s="34"/>
      <c r="D377" s="253"/>
      <c r="E377" s="253"/>
    </row>
    <row r="378" spans="1:9" x14ac:dyDescent="0.2">
      <c r="A378" s="345">
        <v>39021</v>
      </c>
      <c r="B378" s="253"/>
      <c r="C378" s="34"/>
      <c r="D378" s="253"/>
      <c r="E378" s="253"/>
    </row>
    <row r="379" spans="1:9" x14ac:dyDescent="0.2">
      <c r="A379" s="345">
        <v>39051</v>
      </c>
      <c r="B379" s="253"/>
      <c r="C379" s="34"/>
      <c r="D379" s="253"/>
      <c r="E379" s="253"/>
    </row>
    <row r="380" spans="1:9" x14ac:dyDescent="0.2">
      <c r="A380" s="345">
        <v>39082</v>
      </c>
      <c r="B380" s="253"/>
      <c r="C380" s="34"/>
      <c r="D380" s="253"/>
      <c r="E380" s="253"/>
    </row>
    <row r="381" spans="1:9" x14ac:dyDescent="0.2">
      <c r="A381" s="345">
        <v>39113</v>
      </c>
    </row>
    <row r="382" spans="1:9" x14ac:dyDescent="0.2">
      <c r="A382" s="345">
        <v>39141</v>
      </c>
    </row>
    <row r="383" spans="1:9" x14ac:dyDescent="0.2">
      <c r="A383" s="345">
        <v>39172</v>
      </c>
    </row>
    <row r="384" spans="1:9" x14ac:dyDescent="0.2">
      <c r="A384" s="345">
        <v>39202</v>
      </c>
    </row>
    <row r="385" spans="1:3" x14ac:dyDescent="0.2">
      <c r="A385" s="345">
        <v>39233</v>
      </c>
    </row>
    <row r="386" spans="1:3" x14ac:dyDescent="0.2">
      <c r="A386" s="345">
        <v>39263</v>
      </c>
    </row>
    <row r="387" spans="1:3" x14ac:dyDescent="0.2">
      <c r="A387" s="345">
        <v>39294</v>
      </c>
    </row>
    <row r="388" spans="1:3" x14ac:dyDescent="0.2">
      <c r="A388" s="345">
        <v>39325</v>
      </c>
    </row>
    <row r="389" spans="1:3" x14ac:dyDescent="0.2">
      <c r="A389" s="345">
        <v>39355</v>
      </c>
    </row>
    <row r="390" spans="1:3" x14ac:dyDescent="0.2">
      <c r="A390" s="345">
        <v>39386</v>
      </c>
    </row>
    <row r="391" spans="1:3" x14ac:dyDescent="0.2">
      <c r="A391" s="345">
        <v>39416</v>
      </c>
    </row>
    <row r="392" spans="1:3" x14ac:dyDescent="0.2">
      <c r="A392" s="345">
        <v>39447</v>
      </c>
    </row>
    <row r="393" spans="1:3" x14ac:dyDescent="0.2">
      <c r="A393" s="345">
        <v>39478</v>
      </c>
    </row>
    <row r="394" spans="1:3" x14ac:dyDescent="0.2">
      <c r="A394" s="345">
        <v>39507</v>
      </c>
    </row>
    <row r="395" spans="1:3" x14ac:dyDescent="0.2">
      <c r="A395" s="345">
        <v>39538</v>
      </c>
    </row>
    <row r="396" spans="1:3" x14ac:dyDescent="0.2">
      <c r="A396" s="345">
        <v>39568</v>
      </c>
    </row>
    <row r="397" spans="1:3" x14ac:dyDescent="0.2">
      <c r="A397" s="345">
        <v>39599</v>
      </c>
    </row>
    <row r="398" spans="1:3" x14ac:dyDescent="0.2">
      <c r="A398" s="345">
        <v>39629</v>
      </c>
    </row>
    <row r="399" spans="1:3" x14ac:dyDescent="0.2">
      <c r="A399" s="345">
        <v>39660</v>
      </c>
      <c r="C399" s="1383"/>
    </row>
    <row r="400" spans="1:3" x14ac:dyDescent="0.2">
      <c r="A400" s="345">
        <v>39691</v>
      </c>
      <c r="C400" s="1383"/>
    </row>
    <row r="401" spans="1:3" x14ac:dyDescent="0.2">
      <c r="A401" s="345">
        <v>39721</v>
      </c>
      <c r="C401" s="1383"/>
    </row>
    <row r="402" spans="1:3" x14ac:dyDescent="0.2">
      <c r="A402" s="345">
        <v>39752</v>
      </c>
    </row>
    <row r="403" spans="1:3" x14ac:dyDescent="0.2">
      <c r="A403" s="345">
        <v>39782</v>
      </c>
    </row>
    <row r="404" spans="1:3" x14ac:dyDescent="0.2">
      <c r="A404" s="345">
        <v>39813</v>
      </c>
    </row>
    <row r="405" spans="1:3" x14ac:dyDescent="0.2">
      <c r="A405" s="345">
        <v>39844</v>
      </c>
    </row>
    <row r="406" spans="1:3" x14ac:dyDescent="0.2">
      <c r="A406" s="345">
        <v>39872</v>
      </c>
    </row>
    <row r="407" spans="1:3" x14ac:dyDescent="0.2">
      <c r="A407" s="345">
        <v>39903</v>
      </c>
    </row>
    <row r="408" spans="1:3" x14ac:dyDescent="0.2">
      <c r="A408" s="345">
        <v>39933</v>
      </c>
    </row>
    <row r="409" spans="1:3" x14ac:dyDescent="0.2">
      <c r="A409" s="345">
        <v>39964</v>
      </c>
    </row>
    <row r="410" spans="1:3" x14ac:dyDescent="0.2">
      <c r="A410" s="345">
        <v>39994</v>
      </c>
    </row>
    <row r="411" spans="1:3" x14ac:dyDescent="0.2">
      <c r="A411" s="345">
        <v>40025</v>
      </c>
    </row>
    <row r="412" spans="1:3" x14ac:dyDescent="0.2">
      <c r="A412" s="345">
        <v>40056</v>
      </c>
    </row>
    <row r="413" spans="1:3" x14ac:dyDescent="0.2">
      <c r="A413" s="345">
        <v>40086</v>
      </c>
    </row>
    <row r="414" spans="1:3" x14ac:dyDescent="0.2">
      <c r="A414" s="345">
        <v>40117</v>
      </c>
    </row>
    <row r="415" spans="1:3" x14ac:dyDescent="0.2">
      <c r="A415" s="345">
        <v>40147</v>
      </c>
    </row>
    <row r="416" spans="1:3" x14ac:dyDescent="0.2">
      <c r="A416" s="345">
        <v>40178</v>
      </c>
    </row>
    <row r="417" spans="1:4" x14ac:dyDescent="0.2">
      <c r="A417" s="345">
        <v>40209</v>
      </c>
    </row>
    <row r="418" spans="1:4" x14ac:dyDescent="0.2">
      <c r="A418" s="345">
        <v>40237</v>
      </c>
    </row>
    <row r="419" spans="1:4" x14ac:dyDescent="0.2">
      <c r="A419" s="345">
        <v>40268</v>
      </c>
      <c r="C419" s="1334"/>
      <c r="D419" s="1311"/>
    </row>
    <row r="420" spans="1:4" x14ac:dyDescent="0.2">
      <c r="A420" s="345">
        <v>40298</v>
      </c>
    </row>
    <row r="421" spans="1:4" x14ac:dyDescent="0.2">
      <c r="A421" s="345">
        <v>40329</v>
      </c>
    </row>
    <row r="422" spans="1:4" x14ac:dyDescent="0.2">
      <c r="A422" s="345">
        <v>40359</v>
      </c>
    </row>
    <row r="423" spans="1:4" x14ac:dyDescent="0.2">
      <c r="A423" s="345">
        <v>40390</v>
      </c>
    </row>
    <row r="424" spans="1:4" x14ac:dyDescent="0.2">
      <c r="A424" s="345">
        <v>40421</v>
      </c>
      <c r="B424" s="1369"/>
    </row>
    <row r="425" spans="1:4" x14ac:dyDescent="0.2">
      <c r="A425" s="345">
        <v>40451</v>
      </c>
      <c r="B425" s="258"/>
    </row>
    <row r="426" spans="1:4" x14ac:dyDescent="0.2">
      <c r="A426" s="345">
        <v>40482</v>
      </c>
      <c r="B426" s="1311"/>
      <c r="D426" s="1311"/>
    </row>
    <row r="427" spans="1:4" x14ac:dyDescent="0.2">
      <c r="A427" s="345">
        <v>40512</v>
      </c>
    </row>
    <row r="428" spans="1:4" x14ac:dyDescent="0.2">
      <c r="A428" s="345">
        <v>40543</v>
      </c>
    </row>
    <row r="429" spans="1:4" x14ac:dyDescent="0.2">
      <c r="A429" s="345">
        <v>40574</v>
      </c>
      <c r="B429" s="257">
        <f>D429</f>
        <v>2.42041</v>
      </c>
      <c r="C429" s="346">
        <v>111253952.37</v>
      </c>
      <c r="D429" s="258">
        <v>2.42041</v>
      </c>
    </row>
    <row r="430" spans="1:4" x14ac:dyDescent="0.2">
      <c r="A430" s="345">
        <v>40602</v>
      </c>
      <c r="B430" s="257">
        <f t="shared" ref="B430:B488" si="0">D430</f>
        <v>3.4833799999999999</v>
      </c>
      <c r="C430" s="346">
        <v>113610430.29000001</v>
      </c>
      <c r="D430" s="258">
        <v>3.4833799999999999</v>
      </c>
    </row>
    <row r="431" spans="1:4" x14ac:dyDescent="0.2">
      <c r="A431" s="345">
        <v>40633</v>
      </c>
      <c r="B431" s="257">
        <f t="shared" si="0"/>
        <v>0.26057999999999998</v>
      </c>
      <c r="C431" s="346">
        <v>113906470.62</v>
      </c>
      <c r="D431" s="258">
        <v>0.26057999999999998</v>
      </c>
    </row>
    <row r="432" spans="1:4" x14ac:dyDescent="0.2">
      <c r="A432" s="345">
        <v>40663</v>
      </c>
      <c r="B432" s="257">
        <f t="shared" si="0"/>
        <v>3.00989</v>
      </c>
      <c r="C432" s="346">
        <v>116722393.98999999</v>
      </c>
      <c r="D432" s="258">
        <v>3.00989</v>
      </c>
    </row>
    <row r="433" spans="1:4" x14ac:dyDescent="0.2">
      <c r="A433" s="345">
        <v>40694</v>
      </c>
      <c r="B433" s="257">
        <f t="shared" si="0"/>
        <v>-1.0736000000000001</v>
      </c>
      <c r="C433" s="346">
        <v>114075128.45999999</v>
      </c>
      <c r="D433" s="258">
        <v>-1.0736000000000001</v>
      </c>
    </row>
    <row r="434" spans="1:4" x14ac:dyDescent="0.2">
      <c r="A434" s="345">
        <v>40724</v>
      </c>
      <c r="B434" s="257">
        <f t="shared" si="0"/>
        <v>-1.7292799999999999</v>
      </c>
      <c r="C434" s="346">
        <v>110815532.52</v>
      </c>
      <c r="D434" s="258">
        <v>-1.7292799999999999</v>
      </c>
    </row>
    <row r="435" spans="1:4" x14ac:dyDescent="0.2">
      <c r="A435" s="345">
        <v>40755</v>
      </c>
      <c r="B435" s="257">
        <f t="shared" si="0"/>
        <v>-2.16011</v>
      </c>
      <c r="C435" s="346">
        <v>106512592.68000001</v>
      </c>
      <c r="D435" s="258">
        <v>-2.16011</v>
      </c>
    </row>
    <row r="436" spans="1:4" x14ac:dyDescent="0.2">
      <c r="A436" s="345">
        <v>40786</v>
      </c>
      <c r="B436" s="257">
        <f t="shared" si="0"/>
        <v>-5.7442599999999997</v>
      </c>
      <c r="C436" s="346">
        <v>100079490.40000001</v>
      </c>
      <c r="D436" s="258">
        <v>-5.7442599999999997</v>
      </c>
    </row>
    <row r="437" spans="1:4" x14ac:dyDescent="0.2">
      <c r="A437" s="345">
        <v>40816</v>
      </c>
      <c r="B437" s="257">
        <f t="shared" si="0"/>
        <v>-7.44848</v>
      </c>
      <c r="C437" s="346">
        <v>91214165.650000006</v>
      </c>
      <c r="D437" s="258">
        <v>-7.44848</v>
      </c>
    </row>
    <row r="438" spans="1:4" x14ac:dyDescent="0.2">
      <c r="A438" s="345">
        <v>40847</v>
      </c>
      <c r="B438" s="257">
        <f t="shared" si="0"/>
        <v>11.201370000000001</v>
      </c>
      <c r="C438" s="346">
        <v>101431400.42</v>
      </c>
      <c r="D438" s="258">
        <v>11.201370000000001</v>
      </c>
    </row>
    <row r="439" spans="1:4" x14ac:dyDescent="0.2">
      <c r="A439" s="345">
        <v>40877</v>
      </c>
      <c r="B439" s="257">
        <f t="shared" si="0"/>
        <v>-0.25228</v>
      </c>
      <c r="C439" s="346">
        <v>101175511.09999999</v>
      </c>
      <c r="D439" s="258">
        <v>-0.25228</v>
      </c>
    </row>
    <row r="440" spans="1:4" x14ac:dyDescent="0.2">
      <c r="A440" s="345">
        <v>40908</v>
      </c>
      <c r="B440" s="257">
        <f t="shared" si="0"/>
        <v>0.83275999999999994</v>
      </c>
      <c r="C440" s="346">
        <v>100235707.72</v>
      </c>
      <c r="D440" s="258">
        <v>0.83275999999999994</v>
      </c>
    </row>
    <row r="441" spans="1:4" x14ac:dyDescent="0.2">
      <c r="A441" s="345">
        <v>40939</v>
      </c>
      <c r="B441" s="257">
        <f t="shared" si="0"/>
        <v>4.8643799999999997</v>
      </c>
      <c r="C441" s="346">
        <v>105124181.19</v>
      </c>
      <c r="D441" s="258">
        <v>4.8643799999999997</v>
      </c>
    </row>
    <row r="442" spans="1:4" x14ac:dyDescent="0.2">
      <c r="A442" s="345">
        <v>40968</v>
      </c>
      <c r="B442" s="257">
        <f t="shared" si="0"/>
        <v>4.3807</v>
      </c>
      <c r="C442" s="346">
        <v>108931779.5</v>
      </c>
      <c r="D442" s="258">
        <v>4.3807</v>
      </c>
    </row>
    <row r="443" spans="1:4" x14ac:dyDescent="0.2">
      <c r="A443" s="345">
        <v>40999</v>
      </c>
      <c r="B443" s="257">
        <f t="shared" si="0"/>
        <v>3.1371699999999998</v>
      </c>
      <c r="C443" s="346">
        <v>110370575.28</v>
      </c>
      <c r="D443" s="258">
        <v>3.1371699999999998</v>
      </c>
    </row>
    <row r="444" spans="1:4" x14ac:dyDescent="0.2">
      <c r="A444" s="345">
        <v>41029</v>
      </c>
      <c r="B444" s="257">
        <f t="shared" si="0"/>
        <v>-0.57738999999999996</v>
      </c>
      <c r="C444" s="346">
        <v>107532983.17</v>
      </c>
      <c r="D444" s="258">
        <v>-0.57738999999999996</v>
      </c>
    </row>
    <row r="445" spans="1:4" x14ac:dyDescent="0.2">
      <c r="A445" s="345">
        <v>41060</v>
      </c>
      <c r="B445" s="257">
        <f t="shared" si="0"/>
        <v>-6.1346600000000002</v>
      </c>
      <c r="C445" s="346">
        <v>98636143.670000002</v>
      </c>
      <c r="D445" s="258">
        <v>-6.1346600000000002</v>
      </c>
    </row>
    <row r="446" spans="1:4" x14ac:dyDescent="0.2">
      <c r="A446" s="345">
        <v>41090</v>
      </c>
      <c r="B446" s="257">
        <f t="shared" si="0"/>
        <v>3.81792</v>
      </c>
      <c r="C446" s="346">
        <v>102416030.73</v>
      </c>
      <c r="D446" s="258">
        <v>3.81792</v>
      </c>
    </row>
    <row r="447" spans="1:4" x14ac:dyDescent="0.2">
      <c r="A447" s="345">
        <v>41121</v>
      </c>
      <c r="B447" s="257">
        <f t="shared" si="0"/>
        <v>1.20103</v>
      </c>
      <c r="C447" s="346">
        <v>101662401.09</v>
      </c>
      <c r="D447" s="258">
        <v>1.20103</v>
      </c>
    </row>
    <row r="448" spans="1:4" x14ac:dyDescent="0.2">
      <c r="A448" s="345">
        <v>41152</v>
      </c>
      <c r="B448" s="257">
        <f t="shared" si="0"/>
        <v>2.4195799999999998</v>
      </c>
      <c r="C448" s="346">
        <v>104135150.04000001</v>
      </c>
      <c r="D448" s="258">
        <v>2.4195799999999998</v>
      </c>
    </row>
    <row r="449" spans="1:4" x14ac:dyDescent="0.2">
      <c r="A449" s="345">
        <v>41182</v>
      </c>
      <c r="B449" s="257">
        <f t="shared" si="0"/>
        <v>2.5720399999999999</v>
      </c>
      <c r="C449" s="346">
        <v>104208231.17</v>
      </c>
      <c r="D449" s="258">
        <v>2.5720399999999999</v>
      </c>
    </row>
    <row r="450" spans="1:4" x14ac:dyDescent="0.2">
      <c r="A450" s="345">
        <v>41213</v>
      </c>
      <c r="B450" s="257">
        <f t="shared" si="0"/>
        <v>-1.6926399999999999</v>
      </c>
      <c r="C450" s="346">
        <v>93842108.540000007</v>
      </c>
      <c r="D450" s="258">
        <v>-1.6926399999999999</v>
      </c>
    </row>
    <row r="451" spans="1:4" x14ac:dyDescent="0.2">
      <c r="A451" s="345">
        <v>41243</v>
      </c>
      <c r="B451" s="257">
        <f t="shared" si="0"/>
        <v>0.79340999999999995</v>
      </c>
      <c r="C451" s="346">
        <v>94586661.540000007</v>
      </c>
      <c r="D451" s="258">
        <v>0.79340999999999995</v>
      </c>
    </row>
    <row r="452" spans="1:4" x14ac:dyDescent="0.2">
      <c r="A452" s="345">
        <v>41274</v>
      </c>
      <c r="B452" s="257">
        <f t="shared" si="0"/>
        <v>1.0398700000000001</v>
      </c>
      <c r="C452" s="346">
        <v>95570243.799999997</v>
      </c>
      <c r="D452" s="258">
        <v>1.0398700000000001</v>
      </c>
    </row>
    <row r="453" spans="1:4" x14ac:dyDescent="0.2">
      <c r="A453" s="345">
        <v>41305</v>
      </c>
      <c r="B453" s="257">
        <f t="shared" si="0"/>
        <v>5.4188299999999998</v>
      </c>
      <c r="C453" s="346">
        <v>100749032.33</v>
      </c>
      <c r="D453" s="258">
        <v>5.4188299999999998</v>
      </c>
    </row>
    <row r="454" spans="1:4" x14ac:dyDescent="0.2">
      <c r="A454" s="345">
        <v>41333</v>
      </c>
      <c r="B454" s="257">
        <f t="shared" si="0"/>
        <v>1.3450899999999999</v>
      </c>
      <c r="C454" s="346">
        <v>94812836.540000007</v>
      </c>
      <c r="D454" s="258">
        <v>1.3450899999999999</v>
      </c>
    </row>
    <row r="455" spans="1:4" x14ac:dyDescent="0.2">
      <c r="A455" s="345">
        <v>41364</v>
      </c>
      <c r="B455" s="257">
        <f t="shared" si="0"/>
        <v>3.8609399999999998</v>
      </c>
      <c r="C455" s="346">
        <v>96641175.239999995</v>
      </c>
      <c r="D455" s="258">
        <v>3.8609399999999998</v>
      </c>
    </row>
    <row r="456" spans="1:4" x14ac:dyDescent="0.2">
      <c r="A456" s="345">
        <v>41394</v>
      </c>
      <c r="B456" s="257">
        <f t="shared" si="0"/>
        <v>1.8089299999999999</v>
      </c>
      <c r="C456" s="346">
        <v>98389344.959999993</v>
      </c>
      <c r="D456" s="258">
        <v>1.8089299999999999</v>
      </c>
    </row>
    <row r="457" spans="1:4" x14ac:dyDescent="0.2">
      <c r="A457" s="345">
        <v>41425</v>
      </c>
      <c r="B457" s="257">
        <f t="shared" si="0"/>
        <v>2.2209099999999999</v>
      </c>
      <c r="C457" s="346">
        <v>100586700.06999999</v>
      </c>
      <c r="D457" s="258">
        <v>2.2209099999999999</v>
      </c>
    </row>
    <row r="458" spans="1:4" x14ac:dyDescent="0.2">
      <c r="A458" s="345">
        <v>41455</v>
      </c>
      <c r="B458" s="257">
        <f t="shared" si="0"/>
        <v>-1.3500799999999999</v>
      </c>
      <c r="C458" s="346">
        <v>94624485</v>
      </c>
      <c r="D458" s="258">
        <v>-1.3500799999999999</v>
      </c>
    </row>
    <row r="459" spans="1:4" x14ac:dyDescent="0.2">
      <c r="A459" s="345">
        <v>41486</v>
      </c>
      <c r="B459" s="257">
        <f t="shared" si="0"/>
        <v>5.3374199999999998</v>
      </c>
      <c r="C459" s="346">
        <v>97764383.650000006</v>
      </c>
      <c r="D459" s="258">
        <v>5.3374199999999998</v>
      </c>
    </row>
    <row r="460" spans="1:4" x14ac:dyDescent="0.2">
      <c r="A460" s="345">
        <v>41517</v>
      </c>
      <c r="B460" s="257">
        <f t="shared" si="0"/>
        <v>-2.7518500000000001</v>
      </c>
      <c r="C460" s="346">
        <v>93135078.599999994</v>
      </c>
      <c r="D460" s="258">
        <v>-2.7518500000000001</v>
      </c>
    </row>
    <row r="461" spans="1:4" x14ac:dyDescent="0.2">
      <c r="A461" s="345">
        <v>41547</v>
      </c>
      <c r="B461" s="257">
        <f t="shared" si="0"/>
        <v>3.4859800000000001</v>
      </c>
      <c r="C461" s="346">
        <v>94596496.930000007</v>
      </c>
      <c r="D461" s="258">
        <v>3.4859800000000001</v>
      </c>
    </row>
    <row r="462" spans="1:4" x14ac:dyDescent="0.2">
      <c r="A462" s="345">
        <v>41578</v>
      </c>
      <c r="B462" s="257">
        <f t="shared" si="0"/>
        <v>4.4032099999999996</v>
      </c>
      <c r="C462" s="346">
        <v>96997567.299999997</v>
      </c>
      <c r="D462" s="258">
        <v>4.4032099999999996</v>
      </c>
    </row>
    <row r="463" spans="1:4" x14ac:dyDescent="0.2">
      <c r="A463" s="345">
        <v>41608</v>
      </c>
      <c r="B463" s="257">
        <f t="shared" si="0"/>
        <v>2.7812000000000001</v>
      </c>
      <c r="C463" s="346">
        <v>99720063.790000007</v>
      </c>
      <c r="D463" s="258">
        <v>2.7812000000000001</v>
      </c>
    </row>
    <row r="464" spans="1:4" x14ac:dyDescent="0.2">
      <c r="A464" s="345">
        <v>41639</v>
      </c>
      <c r="B464" s="257">
        <f t="shared" si="0"/>
        <v>2.6976</v>
      </c>
      <c r="C464" s="346">
        <v>100646211.73</v>
      </c>
      <c r="D464" s="258">
        <v>2.6976</v>
      </c>
    </row>
    <row r="465" spans="1:4" x14ac:dyDescent="0.2">
      <c r="A465" s="345">
        <v>41670</v>
      </c>
      <c r="B465" s="257">
        <f t="shared" si="0"/>
        <v>-3.2027100000000002</v>
      </c>
      <c r="C465" s="346">
        <v>95878264.739999995</v>
      </c>
      <c r="D465" s="258">
        <v>-3.2027100000000002</v>
      </c>
    </row>
    <row r="466" spans="1:4" x14ac:dyDescent="0.2">
      <c r="A466" s="345">
        <v>41698</v>
      </c>
      <c r="B466" s="257">
        <f t="shared" si="0"/>
        <v>4.7451600000000003</v>
      </c>
      <c r="C466" s="346">
        <v>98534036.790000007</v>
      </c>
      <c r="D466" s="258">
        <v>4.7451600000000003</v>
      </c>
    </row>
    <row r="467" spans="1:4" x14ac:dyDescent="0.2">
      <c r="A467" s="345">
        <v>41729</v>
      </c>
      <c r="B467" s="257">
        <f t="shared" si="0"/>
        <v>0.62919000000000003</v>
      </c>
      <c r="C467" s="346">
        <v>99154002.689999998</v>
      </c>
      <c r="D467" s="258">
        <v>0.62919000000000003</v>
      </c>
    </row>
    <row r="468" spans="1:4" x14ac:dyDescent="0.2">
      <c r="A468" s="345">
        <v>41759</v>
      </c>
      <c r="B468" s="257">
        <f t="shared" si="0"/>
        <v>0.47112999999999999</v>
      </c>
      <c r="C468" s="346">
        <v>97579294.670000002</v>
      </c>
      <c r="D468" s="258">
        <v>0.47112999999999999</v>
      </c>
    </row>
    <row r="469" spans="1:4" x14ac:dyDescent="0.2">
      <c r="A469" s="345">
        <v>41790</v>
      </c>
      <c r="B469" s="257">
        <f t="shared" si="0"/>
        <v>2.2869899999999999</v>
      </c>
      <c r="C469" s="346">
        <v>99823432.640000001</v>
      </c>
      <c r="D469" s="258">
        <v>2.2869899999999999</v>
      </c>
    </row>
    <row r="470" spans="1:4" x14ac:dyDescent="0.2">
      <c r="A470" s="345">
        <v>41820</v>
      </c>
      <c r="B470" s="257">
        <f t="shared" si="0"/>
        <v>2.2757999999999998</v>
      </c>
      <c r="C470" s="346">
        <v>100987691.36</v>
      </c>
      <c r="D470" s="258">
        <v>2.2757999999999998</v>
      </c>
    </row>
    <row r="471" spans="1:4" x14ac:dyDescent="0.2">
      <c r="A471" s="345">
        <v>41851</v>
      </c>
      <c r="B471" s="257">
        <f t="shared" si="0"/>
        <v>-1.5940300000000001</v>
      </c>
      <c r="C471" s="346">
        <v>97902322.930000007</v>
      </c>
      <c r="D471" s="258">
        <v>-1.5940300000000001</v>
      </c>
    </row>
    <row r="472" spans="1:4" x14ac:dyDescent="0.2">
      <c r="A472" s="345">
        <v>41882</v>
      </c>
      <c r="B472" s="257">
        <f t="shared" si="0"/>
        <v>4.0978899999999996</v>
      </c>
      <c r="C472" s="346">
        <v>100263351.64</v>
      </c>
      <c r="D472" s="258">
        <v>4.0978899999999996</v>
      </c>
    </row>
    <row r="473" spans="1:4" x14ac:dyDescent="0.2">
      <c r="A473" s="345">
        <v>41912</v>
      </c>
      <c r="B473" s="257">
        <f t="shared" si="0"/>
        <v>0</v>
      </c>
    </row>
    <row r="474" spans="1:4" x14ac:dyDescent="0.2">
      <c r="A474" s="345">
        <v>41943</v>
      </c>
      <c r="B474" s="257">
        <f t="shared" si="0"/>
        <v>0</v>
      </c>
    </row>
    <row r="475" spans="1:4" x14ac:dyDescent="0.2">
      <c r="A475" s="345">
        <v>41973</v>
      </c>
      <c r="B475" s="257">
        <f t="shared" si="0"/>
        <v>0</v>
      </c>
    </row>
    <row r="476" spans="1:4" x14ac:dyDescent="0.2">
      <c r="A476" s="345">
        <v>42004</v>
      </c>
      <c r="B476" s="257">
        <f t="shared" si="0"/>
        <v>0</v>
      </c>
    </row>
    <row r="477" spans="1:4" x14ac:dyDescent="0.2">
      <c r="A477" s="345">
        <v>42035</v>
      </c>
      <c r="B477" s="257">
        <f t="shared" si="0"/>
        <v>0</v>
      </c>
    </row>
    <row r="478" spans="1:4" x14ac:dyDescent="0.2">
      <c r="A478" s="345">
        <v>42063</v>
      </c>
      <c r="B478" s="257">
        <f t="shared" si="0"/>
        <v>0</v>
      </c>
    </row>
    <row r="479" spans="1:4" x14ac:dyDescent="0.2">
      <c r="A479" s="345">
        <v>42094</v>
      </c>
      <c r="B479" s="257">
        <f t="shared" si="0"/>
        <v>0</v>
      </c>
    </row>
    <row r="480" spans="1:4" x14ac:dyDescent="0.2">
      <c r="A480" s="345">
        <v>42124</v>
      </c>
      <c r="B480" s="257">
        <f t="shared" si="0"/>
        <v>0</v>
      </c>
    </row>
    <row r="481" spans="1:2" x14ac:dyDescent="0.2">
      <c r="A481" s="345">
        <v>42155</v>
      </c>
      <c r="B481" s="257">
        <f t="shared" si="0"/>
        <v>0</v>
      </c>
    </row>
    <row r="482" spans="1:2" x14ac:dyDescent="0.2">
      <c r="A482" s="345">
        <v>42185</v>
      </c>
      <c r="B482" s="257">
        <f t="shared" si="0"/>
        <v>0</v>
      </c>
    </row>
    <row r="483" spans="1:2" x14ac:dyDescent="0.2">
      <c r="A483" s="345">
        <v>42216</v>
      </c>
      <c r="B483" s="257">
        <f t="shared" si="0"/>
        <v>0</v>
      </c>
    </row>
    <row r="484" spans="1:2" x14ac:dyDescent="0.2">
      <c r="A484" s="345">
        <v>42247</v>
      </c>
      <c r="B484" s="257">
        <f t="shared" si="0"/>
        <v>0</v>
      </c>
    </row>
    <row r="485" spans="1:2" x14ac:dyDescent="0.2">
      <c r="A485" s="345">
        <v>42277</v>
      </c>
      <c r="B485" s="257">
        <f t="shared" si="0"/>
        <v>0</v>
      </c>
    </row>
    <row r="486" spans="1:2" x14ac:dyDescent="0.2">
      <c r="A486" s="345">
        <v>42308</v>
      </c>
      <c r="B486" s="257">
        <f t="shared" si="0"/>
        <v>0</v>
      </c>
    </row>
    <row r="487" spans="1:2" x14ac:dyDescent="0.2">
      <c r="A487" s="345">
        <v>42338</v>
      </c>
      <c r="B487" s="257">
        <f t="shared" si="0"/>
        <v>0</v>
      </c>
    </row>
    <row r="488" spans="1:2" x14ac:dyDescent="0.2">
      <c r="A488" s="345">
        <v>42369</v>
      </c>
      <c r="B488" s="257">
        <f t="shared" si="0"/>
        <v>0</v>
      </c>
    </row>
  </sheetData>
  <pageMargins left="0.75" right="0.75" top="1" bottom="1" header="0.5" footer="0.5"/>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I488"/>
  <sheetViews>
    <sheetView workbookViewId="0">
      <pane xSplit="1" ySplit="2" topLeftCell="B451" activePane="bottomRight" state="frozen"/>
      <selection pane="topRight" activeCell="B1" sqref="B1"/>
      <selection pane="bottomLeft" activeCell="A3" sqref="A3"/>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5" width="18.7109375" style="258" customWidth="1"/>
    <col min="7" max="7" width="9.140625" style="352"/>
    <col min="8" max="8" width="11.140625" style="352" customWidth="1"/>
  </cols>
  <sheetData>
    <row r="1" spans="1:6" x14ac:dyDescent="0.2">
      <c r="A1" s="265" t="s">
        <v>868</v>
      </c>
      <c r="B1" s="1371" t="s">
        <v>309</v>
      </c>
      <c r="C1" s="1382" t="s">
        <v>302</v>
      </c>
      <c r="D1" s="1370">
        <v>15</v>
      </c>
      <c r="E1" s="74" t="s">
        <v>81</v>
      </c>
      <c r="F1" s="1449" t="s">
        <v>748</v>
      </c>
    </row>
    <row r="2" spans="1:6" x14ac:dyDescent="0.2">
      <c r="A2" s="3" t="s">
        <v>27</v>
      </c>
      <c r="B2" s="71" t="s">
        <v>91</v>
      </c>
      <c r="C2" s="226" t="s">
        <v>92</v>
      </c>
      <c r="D2" s="71" t="s">
        <v>90</v>
      </c>
      <c r="E2" s="71" t="s">
        <v>80</v>
      </c>
    </row>
    <row r="3" spans="1:6" x14ac:dyDescent="0.2">
      <c r="A3" s="345">
        <v>27606</v>
      </c>
      <c r="B3" s="71"/>
      <c r="C3" s="226"/>
      <c r="D3" s="71"/>
      <c r="E3" s="71"/>
    </row>
    <row r="4" spans="1:6" x14ac:dyDescent="0.2">
      <c r="A4" s="345">
        <v>27637</v>
      </c>
      <c r="B4" s="71"/>
      <c r="C4" s="226"/>
      <c r="D4" s="71"/>
      <c r="E4" s="71"/>
    </row>
    <row r="5" spans="1:6" x14ac:dyDescent="0.2">
      <c r="A5" s="345">
        <v>27667</v>
      </c>
      <c r="B5" s="71"/>
      <c r="C5" s="226"/>
      <c r="D5" s="71"/>
      <c r="E5" s="71"/>
    </row>
    <row r="6" spans="1:6" x14ac:dyDescent="0.2">
      <c r="A6" s="345">
        <v>27698</v>
      </c>
      <c r="B6" s="71"/>
      <c r="C6" s="226"/>
      <c r="D6" s="71"/>
      <c r="E6" s="71"/>
    </row>
    <row r="7" spans="1:6" x14ac:dyDescent="0.2">
      <c r="A7" s="345">
        <v>27728</v>
      </c>
      <c r="B7" s="71"/>
      <c r="C7" s="226"/>
      <c r="D7" s="71"/>
      <c r="E7" s="71"/>
    </row>
    <row r="8" spans="1:6" x14ac:dyDescent="0.2">
      <c r="A8" s="345">
        <v>27759</v>
      </c>
      <c r="B8" s="71"/>
      <c r="C8" s="226"/>
      <c r="D8" s="71"/>
      <c r="E8" s="71"/>
    </row>
    <row r="9" spans="1:6" x14ac:dyDescent="0.2">
      <c r="A9" s="345">
        <v>27790</v>
      </c>
      <c r="B9" s="71"/>
      <c r="C9" s="226"/>
      <c r="D9" s="71"/>
      <c r="E9" s="71"/>
    </row>
    <row r="10" spans="1:6" x14ac:dyDescent="0.2">
      <c r="A10" s="345">
        <v>27819</v>
      </c>
      <c r="B10" s="71"/>
      <c r="C10" s="226"/>
      <c r="D10" s="71"/>
      <c r="E10" s="71"/>
    </row>
    <row r="11" spans="1:6" x14ac:dyDescent="0.2">
      <c r="A11" s="345">
        <v>27850</v>
      </c>
      <c r="B11" s="71"/>
      <c r="C11" s="226"/>
      <c r="D11" s="71"/>
      <c r="E11" s="71"/>
    </row>
    <row r="12" spans="1:6" x14ac:dyDescent="0.2">
      <c r="A12" s="345">
        <v>27880</v>
      </c>
      <c r="B12" s="71"/>
      <c r="C12" s="226"/>
      <c r="D12" s="71"/>
      <c r="E12" s="71"/>
    </row>
    <row r="13" spans="1:6" x14ac:dyDescent="0.2">
      <c r="A13" s="345">
        <v>27911</v>
      </c>
      <c r="B13" s="71"/>
      <c r="C13" s="226"/>
      <c r="D13" s="71"/>
      <c r="E13" s="71"/>
    </row>
    <row r="14" spans="1:6" x14ac:dyDescent="0.2">
      <c r="A14" s="345">
        <v>27941</v>
      </c>
      <c r="B14" s="71"/>
      <c r="C14" s="226"/>
      <c r="D14" s="71"/>
      <c r="E14" s="71"/>
    </row>
    <row r="15" spans="1:6" x14ac:dyDescent="0.2">
      <c r="A15" s="345">
        <v>27972</v>
      </c>
      <c r="B15" s="71"/>
      <c r="C15" s="226"/>
      <c r="D15" s="71"/>
      <c r="E15" s="71"/>
    </row>
    <row r="16" spans="1:6"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3"/>
      <c r="C147" s="25"/>
      <c r="D147" s="73"/>
      <c r="E147" s="73"/>
    </row>
    <row r="148" spans="1:5" x14ac:dyDescent="0.2">
      <c r="A148" s="345">
        <v>32020</v>
      </c>
      <c r="B148" s="73"/>
      <c r="C148" s="25"/>
      <c r="D148" s="73"/>
      <c r="E148" s="73"/>
    </row>
    <row r="149" spans="1:5" x14ac:dyDescent="0.2">
      <c r="A149" s="345">
        <v>32050</v>
      </c>
      <c r="B149" s="73"/>
      <c r="C149" s="25"/>
      <c r="D149" s="73"/>
      <c r="E149" s="73"/>
    </row>
    <row r="150" spans="1:5" x14ac:dyDescent="0.2">
      <c r="A150" s="345">
        <v>32081</v>
      </c>
      <c r="B150" s="73"/>
      <c r="C150" s="25"/>
      <c r="D150" s="73"/>
      <c r="E150" s="73"/>
    </row>
    <row r="151" spans="1:5" x14ac:dyDescent="0.2">
      <c r="A151" s="345">
        <v>32111</v>
      </c>
      <c r="B151" s="73"/>
      <c r="C151" s="25"/>
      <c r="D151" s="73"/>
      <c r="E151" s="73"/>
    </row>
    <row r="152" spans="1:5" x14ac:dyDescent="0.2">
      <c r="A152" s="345">
        <v>32142</v>
      </c>
      <c r="B152" s="73"/>
      <c r="C152" s="25"/>
      <c r="D152" s="73"/>
      <c r="E152" s="73"/>
    </row>
    <row r="153" spans="1:5" x14ac:dyDescent="0.2">
      <c r="A153" s="345">
        <v>32173</v>
      </c>
      <c r="B153" s="73"/>
      <c r="C153" s="25"/>
      <c r="D153" s="73"/>
      <c r="E153" s="73"/>
    </row>
    <row r="154" spans="1:5" x14ac:dyDescent="0.2">
      <c r="A154" s="345">
        <v>32202</v>
      </c>
      <c r="B154" s="73"/>
      <c r="C154" s="25"/>
      <c r="D154" s="73"/>
      <c r="E154" s="73"/>
    </row>
    <row r="155" spans="1:5" x14ac:dyDescent="0.2">
      <c r="A155" s="345">
        <v>32233</v>
      </c>
      <c r="B155" s="73"/>
      <c r="C155" s="25"/>
      <c r="D155" s="73"/>
      <c r="E155" s="73"/>
    </row>
    <row r="156" spans="1:5" x14ac:dyDescent="0.2">
      <c r="A156" s="345">
        <v>32263</v>
      </c>
      <c r="B156" s="73"/>
      <c r="C156" s="25"/>
      <c r="D156" s="73"/>
      <c r="E156" s="73"/>
    </row>
    <row r="157" spans="1:5" x14ac:dyDescent="0.2">
      <c r="A157" s="345">
        <v>32294</v>
      </c>
      <c r="B157" s="73"/>
      <c r="C157" s="25"/>
      <c r="D157" s="73"/>
      <c r="E157" s="73"/>
    </row>
    <row r="158" spans="1:5" x14ac:dyDescent="0.2">
      <c r="A158" s="345">
        <v>32324</v>
      </c>
      <c r="B158" s="73"/>
      <c r="C158" s="25"/>
      <c r="D158" s="73"/>
      <c r="E158" s="73"/>
    </row>
    <row r="159" spans="1:5" x14ac:dyDescent="0.2">
      <c r="A159" s="345">
        <v>32355</v>
      </c>
      <c r="B159" s="73"/>
      <c r="C159" s="25"/>
      <c r="D159" s="73"/>
      <c r="E159" s="73"/>
    </row>
    <row r="160" spans="1:5" x14ac:dyDescent="0.2">
      <c r="A160" s="345">
        <v>32386</v>
      </c>
      <c r="B160" s="73"/>
      <c r="C160" s="25"/>
      <c r="D160" s="73"/>
      <c r="E160" s="73"/>
    </row>
    <row r="161" spans="1:5" x14ac:dyDescent="0.2">
      <c r="A161" s="345">
        <v>32416</v>
      </c>
      <c r="B161" s="73"/>
      <c r="C161" s="25"/>
      <c r="D161" s="73"/>
      <c r="E161" s="73"/>
    </row>
    <row r="162" spans="1:5" x14ac:dyDescent="0.2">
      <c r="A162" s="345">
        <v>32447</v>
      </c>
      <c r="B162" s="73"/>
      <c r="C162" s="25"/>
      <c r="D162" s="73"/>
      <c r="E162" s="73"/>
    </row>
    <row r="163" spans="1:5" x14ac:dyDescent="0.2">
      <c r="A163" s="345">
        <v>32477</v>
      </c>
      <c r="B163" s="73"/>
      <c r="C163" s="25"/>
      <c r="D163" s="73"/>
      <c r="E163" s="73"/>
    </row>
    <row r="164" spans="1:5" x14ac:dyDescent="0.2">
      <c r="A164" s="345">
        <v>32508</v>
      </c>
      <c r="B164" s="73"/>
      <c r="C164" s="25"/>
      <c r="D164" s="73"/>
      <c r="E164" s="73"/>
    </row>
    <row r="165" spans="1:5" x14ac:dyDescent="0.2">
      <c r="A165" s="345">
        <v>32539</v>
      </c>
      <c r="B165" s="73"/>
      <c r="C165" s="25"/>
      <c r="D165" s="73"/>
      <c r="E165" s="73"/>
    </row>
    <row r="166" spans="1:5" x14ac:dyDescent="0.2">
      <c r="A166" s="345">
        <v>32567</v>
      </c>
      <c r="B166" s="73"/>
      <c r="C166" s="25"/>
      <c r="D166" s="73"/>
      <c r="E166" s="73"/>
    </row>
    <row r="167" spans="1:5" x14ac:dyDescent="0.2">
      <c r="A167" s="345">
        <v>32598</v>
      </c>
      <c r="B167" s="73"/>
      <c r="C167" s="25"/>
      <c r="D167" s="73"/>
      <c r="E167" s="73"/>
    </row>
    <row r="168" spans="1:5" x14ac:dyDescent="0.2">
      <c r="A168" s="345">
        <v>32628</v>
      </c>
      <c r="B168" s="73"/>
      <c r="C168" s="25"/>
      <c r="D168" s="73"/>
      <c r="E168" s="73"/>
    </row>
    <row r="169" spans="1:5" x14ac:dyDescent="0.2">
      <c r="A169" s="345">
        <v>32659</v>
      </c>
      <c r="B169" s="73"/>
      <c r="C169" s="25"/>
      <c r="D169" s="73"/>
      <c r="E169" s="73"/>
    </row>
    <row r="170" spans="1:5" x14ac:dyDescent="0.2">
      <c r="A170" s="345">
        <v>32689</v>
      </c>
      <c r="B170" s="73"/>
      <c r="C170" s="25"/>
      <c r="D170" s="73"/>
      <c r="E170" s="73"/>
    </row>
    <row r="171" spans="1:5" x14ac:dyDescent="0.2">
      <c r="A171" s="345">
        <v>32720</v>
      </c>
      <c r="B171" s="73"/>
      <c r="C171" s="25"/>
      <c r="D171" s="73"/>
      <c r="E171" s="73"/>
    </row>
    <row r="172" spans="1:5" x14ac:dyDescent="0.2">
      <c r="A172" s="345">
        <v>32751</v>
      </c>
      <c r="B172" s="73"/>
      <c r="C172" s="25"/>
      <c r="D172" s="73"/>
      <c r="E172" s="73"/>
    </row>
    <row r="173" spans="1:5" x14ac:dyDescent="0.2">
      <c r="A173" s="345">
        <v>32781</v>
      </c>
      <c r="B173" s="73"/>
      <c r="C173" s="25"/>
      <c r="D173" s="73"/>
      <c r="E173" s="73"/>
    </row>
    <row r="174" spans="1:5" x14ac:dyDescent="0.2">
      <c r="A174" s="345">
        <v>32812</v>
      </c>
      <c r="B174" s="73"/>
      <c r="C174" s="25"/>
      <c r="D174" s="73"/>
      <c r="E174" s="73"/>
    </row>
    <row r="175" spans="1:5" x14ac:dyDescent="0.2">
      <c r="A175" s="345">
        <v>32842</v>
      </c>
      <c r="B175" s="73"/>
      <c r="C175" s="25"/>
      <c r="D175" s="73"/>
      <c r="E175" s="73"/>
    </row>
    <row r="176" spans="1:5" x14ac:dyDescent="0.2">
      <c r="A176" s="345">
        <v>32873</v>
      </c>
      <c r="B176" s="73"/>
      <c r="C176" s="25"/>
      <c r="D176" s="73"/>
      <c r="E176" s="73"/>
    </row>
    <row r="177" spans="1:5" x14ac:dyDescent="0.2">
      <c r="A177" s="345">
        <v>32904</v>
      </c>
      <c r="B177" s="255"/>
      <c r="C177" s="259"/>
      <c r="D177" s="73"/>
      <c r="E177" s="73"/>
    </row>
    <row r="178" spans="1:5" x14ac:dyDescent="0.2">
      <c r="A178" s="345">
        <v>32932</v>
      </c>
      <c r="B178" s="255"/>
      <c r="C178" s="259"/>
      <c r="D178" s="73"/>
      <c r="E178" s="73"/>
    </row>
    <row r="179" spans="1:5" x14ac:dyDescent="0.2">
      <c r="A179" s="345">
        <v>32963</v>
      </c>
      <c r="B179" s="255"/>
      <c r="C179" s="259"/>
      <c r="D179" s="73"/>
      <c r="E179" s="73"/>
    </row>
    <row r="180" spans="1:5" x14ac:dyDescent="0.2">
      <c r="A180" s="345">
        <v>32993</v>
      </c>
      <c r="B180" s="255"/>
      <c r="C180" s="259"/>
      <c r="D180" s="73"/>
      <c r="E180" s="73"/>
    </row>
    <row r="181" spans="1:5" x14ac:dyDescent="0.2">
      <c r="A181" s="345">
        <v>33024</v>
      </c>
      <c r="B181" s="255"/>
      <c r="C181" s="259"/>
      <c r="D181" s="73"/>
      <c r="E181" s="73"/>
    </row>
    <row r="182" spans="1:5" x14ac:dyDescent="0.2">
      <c r="A182" s="345">
        <v>33054</v>
      </c>
      <c r="B182" s="255"/>
      <c r="C182" s="259"/>
      <c r="D182" s="73"/>
      <c r="E182" s="73"/>
    </row>
    <row r="183" spans="1:5" x14ac:dyDescent="0.2">
      <c r="A183" s="345">
        <v>33085</v>
      </c>
      <c r="B183" s="255"/>
      <c r="C183" s="259"/>
      <c r="D183" s="73"/>
      <c r="E183" s="73"/>
    </row>
    <row r="184" spans="1:5" x14ac:dyDescent="0.2">
      <c r="A184" s="345">
        <v>33116</v>
      </c>
      <c r="B184" s="255"/>
      <c r="C184" s="259"/>
      <c r="D184" s="73"/>
      <c r="E184" s="73"/>
    </row>
    <row r="185" spans="1:5" x14ac:dyDescent="0.2">
      <c r="A185" s="345">
        <v>33146</v>
      </c>
      <c r="B185" s="255"/>
      <c r="C185" s="259"/>
      <c r="D185" s="73"/>
      <c r="E185" s="73"/>
    </row>
    <row r="186" spans="1:5" x14ac:dyDescent="0.2">
      <c r="A186" s="345">
        <v>33177</v>
      </c>
      <c r="B186" s="255"/>
      <c r="C186" s="259"/>
      <c r="D186" s="73"/>
      <c r="E186" s="73"/>
    </row>
    <row r="187" spans="1:5" x14ac:dyDescent="0.2">
      <c r="A187" s="345">
        <v>33207</v>
      </c>
      <c r="B187" s="255"/>
      <c r="C187" s="259"/>
      <c r="D187" s="73"/>
      <c r="E187" s="73"/>
    </row>
    <row r="188" spans="1:5" x14ac:dyDescent="0.2">
      <c r="A188" s="345">
        <v>33238</v>
      </c>
      <c r="B188" s="255"/>
      <c r="C188" s="259"/>
      <c r="D188" s="73"/>
      <c r="E188" s="73"/>
    </row>
    <row r="189" spans="1:5" x14ac:dyDescent="0.2">
      <c r="A189" s="345">
        <v>33269</v>
      </c>
      <c r="B189" s="255"/>
      <c r="C189" s="259"/>
      <c r="D189" s="73"/>
      <c r="E189" s="73"/>
    </row>
    <row r="190" spans="1:5" x14ac:dyDescent="0.2">
      <c r="A190" s="345">
        <v>33297</v>
      </c>
      <c r="B190" s="255"/>
      <c r="C190" s="259"/>
      <c r="D190" s="73"/>
      <c r="E190" s="73"/>
    </row>
    <row r="191" spans="1:5" x14ac:dyDescent="0.2">
      <c r="A191" s="345">
        <v>33328</v>
      </c>
      <c r="B191" s="255"/>
      <c r="C191" s="259"/>
      <c r="D191" s="73"/>
      <c r="E191" s="73"/>
    </row>
    <row r="192" spans="1:5" x14ac:dyDescent="0.2">
      <c r="A192" s="345">
        <v>33358</v>
      </c>
      <c r="B192" s="255"/>
      <c r="C192" s="259"/>
      <c r="D192" s="73"/>
      <c r="E192" s="73"/>
    </row>
    <row r="193" spans="1:5" x14ac:dyDescent="0.2">
      <c r="A193" s="345">
        <v>33389</v>
      </c>
      <c r="B193" s="255"/>
      <c r="C193" s="259"/>
      <c r="D193" s="73"/>
      <c r="E193" s="73"/>
    </row>
    <row r="194" spans="1:5" x14ac:dyDescent="0.2">
      <c r="A194" s="345">
        <v>33419</v>
      </c>
      <c r="B194" s="255"/>
      <c r="C194" s="259"/>
      <c r="D194" s="73"/>
      <c r="E194" s="73"/>
    </row>
    <row r="195" spans="1:5" x14ac:dyDescent="0.2">
      <c r="A195" s="345">
        <v>33450</v>
      </c>
      <c r="B195" s="255"/>
      <c r="C195" s="259"/>
      <c r="D195" s="73"/>
      <c r="E195" s="73"/>
    </row>
    <row r="196" spans="1:5" x14ac:dyDescent="0.2">
      <c r="A196" s="345">
        <v>33481</v>
      </c>
      <c r="B196" s="255"/>
      <c r="C196" s="259"/>
      <c r="D196" s="73"/>
      <c r="E196" s="73"/>
    </row>
    <row r="197" spans="1:5" x14ac:dyDescent="0.2">
      <c r="A197" s="345">
        <v>33511</v>
      </c>
      <c r="B197" s="255"/>
      <c r="C197" s="259"/>
      <c r="D197" s="73"/>
      <c r="E197" s="73"/>
    </row>
    <row r="198" spans="1:5" x14ac:dyDescent="0.2">
      <c r="A198" s="345">
        <v>33542</v>
      </c>
      <c r="B198" s="255"/>
      <c r="C198" s="259"/>
      <c r="D198" s="73"/>
      <c r="E198" s="73"/>
    </row>
    <row r="199" spans="1:5" x14ac:dyDescent="0.2">
      <c r="A199" s="345">
        <v>33572</v>
      </c>
      <c r="B199" s="255"/>
      <c r="C199" s="259"/>
      <c r="D199" s="73"/>
      <c r="E199" s="73"/>
    </row>
    <row r="200" spans="1:5" x14ac:dyDescent="0.2">
      <c r="A200" s="345">
        <v>33603</v>
      </c>
      <c r="B200" s="255"/>
      <c r="C200" s="259"/>
      <c r="D200" s="73"/>
      <c r="E200" s="73"/>
    </row>
    <row r="201" spans="1:5" x14ac:dyDescent="0.2">
      <c r="A201" s="345">
        <v>33634</v>
      </c>
      <c r="B201" s="255"/>
      <c r="C201" s="259"/>
      <c r="D201" s="73"/>
      <c r="E201" s="73"/>
    </row>
    <row r="202" spans="1:5" x14ac:dyDescent="0.2">
      <c r="A202" s="345">
        <v>33663</v>
      </c>
      <c r="B202" s="255"/>
      <c r="C202" s="259"/>
      <c r="D202" s="73"/>
      <c r="E202" s="73"/>
    </row>
    <row r="203" spans="1:5" x14ac:dyDescent="0.2">
      <c r="A203" s="345">
        <v>33694</v>
      </c>
      <c r="B203" s="255"/>
      <c r="C203" s="259"/>
      <c r="D203" s="73"/>
      <c r="E203" s="73"/>
    </row>
    <row r="204" spans="1:5" x14ac:dyDescent="0.2">
      <c r="A204" s="345">
        <v>33724</v>
      </c>
      <c r="B204" s="255"/>
      <c r="C204" s="259"/>
      <c r="D204" s="73"/>
      <c r="E204" s="73"/>
    </row>
    <row r="205" spans="1:5" x14ac:dyDescent="0.2">
      <c r="A205" s="345">
        <v>33755</v>
      </c>
      <c r="B205" s="255"/>
      <c r="C205" s="259"/>
      <c r="D205" s="73"/>
      <c r="E205" s="73"/>
    </row>
    <row r="206" spans="1:5" x14ac:dyDescent="0.2">
      <c r="A206" s="345">
        <v>33785</v>
      </c>
      <c r="B206" s="255"/>
      <c r="C206" s="259"/>
      <c r="D206" s="73"/>
      <c r="E206" s="73"/>
    </row>
    <row r="207" spans="1:5" x14ac:dyDescent="0.2">
      <c r="A207" s="345">
        <v>33816</v>
      </c>
      <c r="B207" s="255"/>
      <c r="C207" s="259"/>
      <c r="D207" s="73"/>
      <c r="E207" s="73"/>
    </row>
    <row r="208" spans="1:5" x14ac:dyDescent="0.2">
      <c r="A208" s="345">
        <v>33847</v>
      </c>
      <c r="B208" s="255"/>
      <c r="C208" s="259"/>
      <c r="D208" s="73"/>
      <c r="E208" s="73"/>
    </row>
    <row r="209" spans="1:5" x14ac:dyDescent="0.2">
      <c r="A209" s="345">
        <v>33877</v>
      </c>
      <c r="B209" s="255"/>
      <c r="C209" s="259"/>
      <c r="D209" s="73"/>
      <c r="E209" s="73"/>
    </row>
    <row r="210" spans="1:5" x14ac:dyDescent="0.2">
      <c r="A210" s="345">
        <v>33908</v>
      </c>
      <c r="B210" s="255"/>
      <c r="C210" s="259"/>
      <c r="D210" s="73"/>
      <c r="E210" s="73"/>
    </row>
    <row r="211" spans="1:5" x14ac:dyDescent="0.2">
      <c r="A211" s="345">
        <v>33938</v>
      </c>
      <c r="B211" s="255"/>
      <c r="C211" s="259"/>
      <c r="D211" s="73"/>
      <c r="E211" s="73"/>
    </row>
    <row r="212" spans="1:5" x14ac:dyDescent="0.2">
      <c r="A212" s="345">
        <v>33969</v>
      </c>
      <c r="B212" s="255"/>
      <c r="C212" s="259"/>
      <c r="D212" s="73"/>
      <c r="E212" s="73"/>
    </row>
    <row r="213" spans="1:5" x14ac:dyDescent="0.2">
      <c r="A213" s="345">
        <v>34000</v>
      </c>
      <c r="B213" s="255"/>
      <c r="C213" s="259"/>
      <c r="D213" s="73"/>
      <c r="E213" s="73"/>
    </row>
    <row r="214" spans="1:5" x14ac:dyDescent="0.2">
      <c r="A214" s="345">
        <v>34028</v>
      </c>
      <c r="B214" s="255"/>
      <c r="C214" s="259"/>
      <c r="D214" s="73"/>
      <c r="E214" s="73"/>
    </row>
    <row r="215" spans="1:5" x14ac:dyDescent="0.2">
      <c r="A215" s="345">
        <v>34059</v>
      </c>
      <c r="B215" s="255"/>
      <c r="C215" s="259"/>
      <c r="D215" s="73"/>
      <c r="E215" s="73"/>
    </row>
    <row r="216" spans="1:5" x14ac:dyDescent="0.2">
      <c r="A216" s="345">
        <v>34089</v>
      </c>
      <c r="B216" s="255"/>
      <c r="C216" s="259"/>
      <c r="D216" s="73"/>
      <c r="E216" s="73"/>
    </row>
    <row r="217" spans="1:5" x14ac:dyDescent="0.2">
      <c r="A217" s="345">
        <v>34120</v>
      </c>
      <c r="B217" s="255"/>
      <c r="C217" s="259"/>
      <c r="D217" s="73"/>
      <c r="E217" s="73"/>
    </row>
    <row r="218" spans="1:5" x14ac:dyDescent="0.2">
      <c r="A218" s="345">
        <v>34150</v>
      </c>
      <c r="B218" s="255"/>
      <c r="C218" s="259"/>
      <c r="D218" s="73"/>
      <c r="E218" s="73"/>
    </row>
    <row r="219" spans="1:5" x14ac:dyDescent="0.2">
      <c r="A219" s="345">
        <v>34181</v>
      </c>
      <c r="B219" s="255"/>
      <c r="C219" s="259"/>
      <c r="D219" s="73"/>
      <c r="E219" s="73"/>
    </row>
    <row r="220" spans="1:5" x14ac:dyDescent="0.2">
      <c r="A220" s="345">
        <v>34212</v>
      </c>
      <c r="B220" s="255"/>
      <c r="C220" s="259"/>
      <c r="D220" s="73"/>
      <c r="E220" s="73"/>
    </row>
    <row r="221" spans="1:5" x14ac:dyDescent="0.2">
      <c r="A221" s="345">
        <v>34242</v>
      </c>
      <c r="B221" s="255"/>
      <c r="C221" s="259"/>
      <c r="D221" s="73"/>
      <c r="E221" s="73"/>
    </row>
    <row r="222" spans="1:5" x14ac:dyDescent="0.2">
      <c r="A222" s="345">
        <v>34273</v>
      </c>
      <c r="B222" s="255"/>
      <c r="C222" s="259"/>
      <c r="D222" s="73"/>
      <c r="E222" s="73"/>
    </row>
    <row r="223" spans="1:5" x14ac:dyDescent="0.2">
      <c r="A223" s="345">
        <v>34303</v>
      </c>
      <c r="B223" s="255"/>
      <c r="C223" s="259"/>
      <c r="D223" s="73"/>
      <c r="E223" s="73"/>
    </row>
    <row r="224" spans="1:5" x14ac:dyDescent="0.2">
      <c r="A224" s="345">
        <v>34334</v>
      </c>
      <c r="B224" s="255"/>
      <c r="C224" s="259"/>
      <c r="D224" s="73"/>
      <c r="E224" s="73"/>
    </row>
    <row r="225" spans="1:5" x14ac:dyDescent="0.2">
      <c r="A225" s="345">
        <v>34365</v>
      </c>
      <c r="B225" s="255"/>
      <c r="C225" s="259"/>
      <c r="D225" s="73"/>
      <c r="E225" s="73"/>
    </row>
    <row r="226" spans="1:5" x14ac:dyDescent="0.2">
      <c r="A226" s="345">
        <v>34393</v>
      </c>
      <c r="B226" s="255"/>
      <c r="C226" s="259"/>
      <c r="D226" s="73"/>
      <c r="E226" s="73"/>
    </row>
    <row r="227" spans="1:5" x14ac:dyDescent="0.2">
      <c r="A227" s="345">
        <v>34424</v>
      </c>
      <c r="B227" s="255"/>
      <c r="C227" s="259"/>
      <c r="D227" s="73"/>
      <c r="E227" s="73"/>
    </row>
    <row r="228" spans="1:5" x14ac:dyDescent="0.2">
      <c r="A228" s="345">
        <v>34454</v>
      </c>
      <c r="B228" s="255"/>
      <c r="C228" s="259"/>
      <c r="D228" s="73"/>
      <c r="E228" s="73"/>
    </row>
    <row r="229" spans="1:5" x14ac:dyDescent="0.2">
      <c r="A229" s="345">
        <v>34485</v>
      </c>
      <c r="B229" s="255"/>
      <c r="C229" s="259"/>
      <c r="D229" s="73"/>
      <c r="E229" s="73"/>
    </row>
    <row r="230" spans="1:5" x14ac:dyDescent="0.2">
      <c r="A230" s="345">
        <v>34515</v>
      </c>
      <c r="B230" s="255"/>
      <c r="C230" s="259"/>
      <c r="D230" s="73"/>
      <c r="E230" s="73"/>
    </row>
    <row r="231" spans="1:5" x14ac:dyDescent="0.2">
      <c r="A231" s="345">
        <v>34546</v>
      </c>
      <c r="B231" s="255"/>
      <c r="C231" s="259"/>
      <c r="D231" s="73"/>
      <c r="E231" s="73"/>
    </row>
    <row r="232" spans="1:5" x14ac:dyDescent="0.2">
      <c r="A232" s="345">
        <v>34577</v>
      </c>
      <c r="B232" s="255"/>
      <c r="C232" s="259"/>
      <c r="D232" s="73"/>
      <c r="E232" s="73"/>
    </row>
    <row r="233" spans="1:5" x14ac:dyDescent="0.2">
      <c r="A233" s="345">
        <v>34607</v>
      </c>
      <c r="B233" s="255"/>
      <c r="C233" s="259"/>
      <c r="D233" s="73"/>
      <c r="E233" s="73"/>
    </row>
    <row r="234" spans="1:5" x14ac:dyDescent="0.2">
      <c r="A234" s="345">
        <v>34638</v>
      </c>
      <c r="B234" s="255"/>
      <c r="C234" s="259"/>
      <c r="D234" s="73"/>
      <c r="E234" s="73"/>
    </row>
    <row r="235" spans="1:5" x14ac:dyDescent="0.2">
      <c r="A235" s="345">
        <v>34668</v>
      </c>
      <c r="B235" s="255"/>
      <c r="C235" s="259"/>
      <c r="D235" s="73"/>
      <c r="E235" s="73"/>
    </row>
    <row r="236" spans="1:5" x14ac:dyDescent="0.2">
      <c r="A236" s="345">
        <v>34699</v>
      </c>
      <c r="B236" s="255"/>
      <c r="C236" s="259"/>
      <c r="D236" s="73"/>
      <c r="E236" s="73"/>
    </row>
    <row r="237" spans="1:5" x14ac:dyDescent="0.2">
      <c r="A237" s="345">
        <v>34730</v>
      </c>
      <c r="B237" s="255"/>
      <c r="C237" s="259"/>
      <c r="D237" s="73"/>
      <c r="E237" s="73"/>
    </row>
    <row r="238" spans="1:5" x14ac:dyDescent="0.2">
      <c r="A238" s="345">
        <v>34758</v>
      </c>
      <c r="B238" s="255"/>
      <c r="C238" s="259"/>
      <c r="D238" s="73"/>
      <c r="E238" s="73"/>
    </row>
    <row r="239" spans="1:5" x14ac:dyDescent="0.2">
      <c r="A239" s="345">
        <v>34789</v>
      </c>
      <c r="B239" s="255"/>
      <c r="C239" s="259"/>
      <c r="D239" s="73"/>
      <c r="E239" s="73"/>
    </row>
    <row r="240" spans="1:5" x14ac:dyDescent="0.2">
      <c r="A240" s="345">
        <v>34819</v>
      </c>
      <c r="B240" s="255"/>
      <c r="C240" s="259"/>
      <c r="D240" s="73"/>
      <c r="E240" s="73"/>
    </row>
    <row r="241" spans="1:5" x14ac:dyDescent="0.2">
      <c r="A241" s="345">
        <v>34850</v>
      </c>
      <c r="B241" s="255"/>
      <c r="C241" s="259"/>
      <c r="D241" s="73"/>
      <c r="E241" s="73"/>
    </row>
    <row r="242" spans="1:5" x14ac:dyDescent="0.2">
      <c r="A242" s="345">
        <v>34880</v>
      </c>
      <c r="B242" s="255"/>
      <c r="C242" s="259"/>
      <c r="D242" s="77"/>
      <c r="E242" s="77"/>
    </row>
    <row r="243" spans="1:5" x14ac:dyDescent="0.2">
      <c r="A243" s="345">
        <v>34911</v>
      </c>
      <c r="B243" s="255"/>
      <c r="C243" s="259"/>
      <c r="D243" s="77"/>
      <c r="E243" s="77"/>
    </row>
    <row r="244" spans="1:5" x14ac:dyDescent="0.2">
      <c r="A244" s="345">
        <v>34942</v>
      </c>
      <c r="B244" s="255"/>
      <c r="C244" s="259"/>
      <c r="D244" s="77"/>
      <c r="E244" s="77"/>
    </row>
    <row r="245" spans="1:5" x14ac:dyDescent="0.2">
      <c r="A245" s="345">
        <v>34972</v>
      </c>
      <c r="B245" s="255"/>
      <c r="C245" s="259"/>
      <c r="D245" s="77"/>
      <c r="E245" s="77"/>
    </row>
    <row r="246" spans="1:5" x14ac:dyDescent="0.2">
      <c r="A246" s="345">
        <v>35003</v>
      </c>
      <c r="B246" s="255"/>
      <c r="C246" s="259"/>
      <c r="D246" s="77"/>
      <c r="E246" s="77"/>
    </row>
    <row r="247" spans="1:5" x14ac:dyDescent="0.2">
      <c r="A247" s="345">
        <v>35033</v>
      </c>
      <c r="B247" s="255"/>
      <c r="C247" s="259"/>
      <c r="D247" s="77"/>
      <c r="E247" s="77"/>
    </row>
    <row r="248" spans="1:5" x14ac:dyDescent="0.2">
      <c r="A248" s="345">
        <v>35064</v>
      </c>
      <c r="B248" s="255"/>
      <c r="C248" s="259"/>
      <c r="D248" s="77"/>
      <c r="E248" s="77"/>
    </row>
    <row r="249" spans="1:5" x14ac:dyDescent="0.2">
      <c r="A249" s="345">
        <v>35095</v>
      </c>
      <c r="B249" s="255"/>
      <c r="C249" s="259"/>
      <c r="D249" s="77"/>
      <c r="E249" s="77"/>
    </row>
    <row r="250" spans="1:5" x14ac:dyDescent="0.2">
      <c r="A250" s="345">
        <v>35124</v>
      </c>
      <c r="B250" s="255"/>
      <c r="C250" s="259"/>
      <c r="D250" s="77"/>
      <c r="E250" s="77"/>
    </row>
    <row r="251" spans="1:5" x14ac:dyDescent="0.2">
      <c r="A251" s="345">
        <v>35155</v>
      </c>
      <c r="B251" s="255"/>
      <c r="C251" s="259"/>
      <c r="D251" s="77"/>
      <c r="E251" s="77"/>
    </row>
    <row r="252" spans="1:5" x14ac:dyDescent="0.2">
      <c r="A252" s="345">
        <v>35185</v>
      </c>
      <c r="B252" s="253"/>
      <c r="C252" s="259"/>
      <c r="D252" s="77"/>
      <c r="E252" s="77"/>
    </row>
    <row r="253" spans="1:5" x14ac:dyDescent="0.2">
      <c r="A253" s="345">
        <v>35216</v>
      </c>
      <c r="B253" s="253"/>
      <c r="C253" s="259"/>
      <c r="D253" s="77"/>
      <c r="E253" s="77"/>
    </row>
    <row r="254" spans="1:5" x14ac:dyDescent="0.2">
      <c r="A254" s="345">
        <v>35246</v>
      </c>
      <c r="B254" s="253"/>
      <c r="C254" s="259"/>
      <c r="D254" s="77"/>
      <c r="E254" s="77"/>
    </row>
    <row r="255" spans="1:5" x14ac:dyDescent="0.2">
      <c r="A255" s="345">
        <v>35277</v>
      </c>
      <c r="B255" s="253"/>
      <c r="C255" s="259"/>
      <c r="D255" s="77"/>
      <c r="E255" s="77"/>
    </row>
    <row r="256" spans="1:5" x14ac:dyDescent="0.2">
      <c r="A256" s="345">
        <v>35308</v>
      </c>
      <c r="B256" s="253"/>
      <c r="C256" s="259"/>
      <c r="D256" s="77"/>
      <c r="E256" s="77"/>
    </row>
    <row r="257" spans="1:5" x14ac:dyDescent="0.2">
      <c r="A257" s="345">
        <v>35338</v>
      </c>
      <c r="B257" s="253"/>
      <c r="C257" s="259"/>
      <c r="D257" s="77"/>
      <c r="E257" s="77"/>
    </row>
    <row r="258" spans="1:5" x14ac:dyDescent="0.2">
      <c r="A258" s="345">
        <v>35369</v>
      </c>
      <c r="B258" s="253"/>
      <c r="C258" s="259"/>
      <c r="D258" s="77"/>
      <c r="E258" s="77"/>
    </row>
    <row r="259" spans="1:5" x14ac:dyDescent="0.2">
      <c r="A259" s="345">
        <v>35399</v>
      </c>
      <c r="B259" s="253"/>
      <c r="C259" s="259"/>
      <c r="D259" s="77"/>
      <c r="E259" s="77"/>
    </row>
    <row r="260" spans="1:5" x14ac:dyDescent="0.2">
      <c r="A260" s="345">
        <v>35430</v>
      </c>
      <c r="B260" s="253"/>
      <c r="C260" s="259"/>
      <c r="D260" s="77"/>
      <c r="E260" s="77"/>
    </row>
    <row r="261" spans="1:5" x14ac:dyDescent="0.2">
      <c r="A261" s="345">
        <v>35461</v>
      </c>
      <c r="B261" s="253"/>
      <c r="C261" s="259"/>
      <c r="D261" s="77"/>
      <c r="E261" s="77"/>
    </row>
    <row r="262" spans="1:5" x14ac:dyDescent="0.2">
      <c r="A262" s="345">
        <v>35489</v>
      </c>
      <c r="B262" s="253"/>
      <c r="C262" s="259"/>
      <c r="D262" s="77"/>
      <c r="E262" s="77"/>
    </row>
    <row r="263" spans="1:5" x14ac:dyDescent="0.2">
      <c r="A263" s="345">
        <v>35520</v>
      </c>
      <c r="B263" s="253"/>
      <c r="C263" s="259"/>
      <c r="D263" s="77"/>
      <c r="E263" s="77"/>
    </row>
    <row r="264" spans="1:5" x14ac:dyDescent="0.2">
      <c r="A264" s="345">
        <v>35550</v>
      </c>
      <c r="B264" s="253"/>
      <c r="C264" s="259"/>
      <c r="D264" s="77"/>
      <c r="E264" s="77"/>
    </row>
    <row r="265" spans="1:5" x14ac:dyDescent="0.2">
      <c r="A265" s="345">
        <v>35581</v>
      </c>
      <c r="B265" s="253"/>
      <c r="C265" s="259"/>
      <c r="D265" s="77"/>
      <c r="E265" s="77"/>
    </row>
    <row r="266" spans="1:5" x14ac:dyDescent="0.2">
      <c r="A266" s="345">
        <v>35611</v>
      </c>
      <c r="B266" s="253"/>
      <c r="C266" s="259"/>
      <c r="D266" s="77"/>
      <c r="E266" s="77"/>
    </row>
    <row r="267" spans="1:5" x14ac:dyDescent="0.2">
      <c r="A267" s="345">
        <v>35642</v>
      </c>
      <c r="B267" s="253"/>
      <c r="C267" s="259"/>
      <c r="D267" s="77"/>
      <c r="E267" s="77"/>
    </row>
    <row r="268" spans="1:5" x14ac:dyDescent="0.2">
      <c r="A268" s="345">
        <v>35673</v>
      </c>
      <c r="B268" s="253"/>
      <c r="C268" s="259"/>
      <c r="D268" s="77"/>
      <c r="E268" s="77"/>
    </row>
    <row r="269" spans="1:5" x14ac:dyDescent="0.2">
      <c r="A269" s="345">
        <v>35703</v>
      </c>
      <c r="B269" s="253"/>
      <c r="C269" s="259"/>
      <c r="D269" s="77"/>
      <c r="E269" s="77"/>
    </row>
    <row r="270" spans="1:5" x14ac:dyDescent="0.2">
      <c r="A270" s="345">
        <v>35734</v>
      </c>
      <c r="B270" s="253"/>
      <c r="C270" s="259"/>
      <c r="D270" s="77"/>
      <c r="E270" s="77"/>
    </row>
    <row r="271" spans="1:5" x14ac:dyDescent="0.2">
      <c r="A271" s="345">
        <v>35764</v>
      </c>
      <c r="B271" s="253"/>
      <c r="C271" s="259"/>
      <c r="D271" s="77"/>
      <c r="E271" s="77"/>
    </row>
    <row r="272" spans="1:5" x14ac:dyDescent="0.2">
      <c r="A272" s="345">
        <v>35795</v>
      </c>
      <c r="B272" s="253"/>
      <c r="C272" s="259"/>
      <c r="D272" s="77"/>
      <c r="E272" s="77"/>
    </row>
    <row r="273" spans="1:5" x14ac:dyDescent="0.2">
      <c r="A273" s="345">
        <v>35826</v>
      </c>
      <c r="B273" s="253"/>
      <c r="C273" s="259"/>
      <c r="D273" s="77"/>
      <c r="E273" s="77"/>
    </row>
    <row r="274" spans="1:5" x14ac:dyDescent="0.2">
      <c r="A274" s="345">
        <v>35854</v>
      </c>
      <c r="B274" s="253"/>
      <c r="C274" s="259"/>
      <c r="D274" s="77"/>
      <c r="E274" s="77"/>
    </row>
    <row r="275" spans="1:5" x14ac:dyDescent="0.2">
      <c r="A275" s="345">
        <v>35885</v>
      </c>
      <c r="B275" s="253"/>
      <c r="C275" s="259"/>
      <c r="D275" s="77"/>
      <c r="E275" s="77"/>
    </row>
    <row r="276" spans="1:5" x14ac:dyDescent="0.2">
      <c r="A276" s="345">
        <v>35915</v>
      </c>
      <c r="B276" s="253"/>
      <c r="C276" s="259"/>
      <c r="D276" s="77"/>
      <c r="E276" s="77"/>
    </row>
    <row r="277" spans="1:5" x14ac:dyDescent="0.2">
      <c r="A277" s="345">
        <v>35946</v>
      </c>
      <c r="B277" s="253"/>
      <c r="C277" s="259"/>
      <c r="D277" s="77"/>
      <c r="E277" s="77"/>
    </row>
    <row r="278" spans="1:5" x14ac:dyDescent="0.2">
      <c r="A278" s="345">
        <v>35976</v>
      </c>
      <c r="B278" s="253"/>
      <c r="C278" s="259"/>
      <c r="D278" s="77"/>
      <c r="E278" s="77"/>
    </row>
    <row r="279" spans="1:5" x14ac:dyDescent="0.2">
      <c r="A279" s="345">
        <v>36007</v>
      </c>
      <c r="B279" s="253"/>
      <c r="C279" s="259"/>
      <c r="D279" s="77"/>
      <c r="E279" s="77"/>
    </row>
    <row r="280" spans="1:5" x14ac:dyDescent="0.2">
      <c r="A280" s="345">
        <v>36038</v>
      </c>
      <c r="B280" s="253"/>
      <c r="C280" s="259"/>
      <c r="D280" s="77"/>
      <c r="E280" s="77"/>
    </row>
    <row r="281" spans="1:5" x14ac:dyDescent="0.2">
      <c r="A281" s="345">
        <v>36068</v>
      </c>
      <c r="B281" s="253"/>
      <c r="C281" s="259"/>
      <c r="D281" s="77"/>
      <c r="E281" s="77"/>
    </row>
    <row r="282" spans="1:5" x14ac:dyDescent="0.2">
      <c r="A282" s="345">
        <v>36099</v>
      </c>
      <c r="B282" s="253"/>
      <c r="C282" s="259"/>
      <c r="D282" s="77"/>
      <c r="E282" s="77"/>
    </row>
    <row r="283" spans="1:5" x14ac:dyDescent="0.2">
      <c r="A283" s="345">
        <v>36129</v>
      </c>
      <c r="B283" s="253"/>
      <c r="C283" s="259"/>
      <c r="D283" s="77"/>
      <c r="E283" s="77"/>
    </row>
    <row r="284" spans="1:5" x14ac:dyDescent="0.2">
      <c r="A284" s="345">
        <v>36160</v>
      </c>
      <c r="B284" s="253"/>
      <c r="C284" s="33"/>
      <c r="D284" s="253"/>
      <c r="E284" s="253"/>
    </row>
    <row r="285" spans="1:5" x14ac:dyDescent="0.2">
      <c r="A285" s="345">
        <v>36191</v>
      </c>
      <c r="B285" s="253"/>
      <c r="C285" s="33"/>
      <c r="D285" s="253"/>
      <c r="E285" s="253"/>
    </row>
    <row r="286" spans="1:5" x14ac:dyDescent="0.2">
      <c r="A286" s="345">
        <v>36219</v>
      </c>
      <c r="B286" s="253"/>
      <c r="C286" s="33"/>
      <c r="D286" s="253"/>
      <c r="E286" s="253"/>
    </row>
    <row r="287" spans="1:5" x14ac:dyDescent="0.2">
      <c r="A287" s="345">
        <v>36250</v>
      </c>
      <c r="B287" s="253"/>
      <c r="C287" s="33"/>
      <c r="D287" s="253"/>
      <c r="E287" s="253"/>
    </row>
    <row r="288" spans="1:5" x14ac:dyDescent="0.2">
      <c r="A288" s="345">
        <v>36280</v>
      </c>
      <c r="B288" s="253"/>
      <c r="C288" s="33"/>
      <c r="D288" s="253"/>
      <c r="E288" s="253"/>
    </row>
    <row r="289" spans="1:5" x14ac:dyDescent="0.2">
      <c r="A289" s="345">
        <v>36311</v>
      </c>
      <c r="B289" s="253"/>
      <c r="C289" s="33"/>
      <c r="D289" s="253"/>
      <c r="E289" s="253"/>
    </row>
    <row r="290" spans="1:5" x14ac:dyDescent="0.2">
      <c r="A290" s="345">
        <v>36341</v>
      </c>
      <c r="B290" s="253"/>
      <c r="C290" s="33"/>
      <c r="D290" s="253"/>
      <c r="E290" s="253"/>
    </row>
    <row r="291" spans="1:5" x14ac:dyDescent="0.2">
      <c r="A291" s="345">
        <v>36372</v>
      </c>
      <c r="B291" s="253"/>
      <c r="C291" s="33"/>
      <c r="D291" s="253"/>
      <c r="E291" s="253"/>
    </row>
    <row r="292" spans="1:5" x14ac:dyDescent="0.2">
      <c r="A292" s="345">
        <v>36403</v>
      </c>
      <c r="B292" s="253"/>
      <c r="C292" s="33"/>
      <c r="D292" s="253"/>
      <c r="E292" s="253"/>
    </row>
    <row r="293" spans="1:5" x14ac:dyDescent="0.2">
      <c r="A293" s="345">
        <v>36433</v>
      </c>
      <c r="B293" s="253"/>
      <c r="C293" s="33"/>
      <c r="D293" s="253"/>
      <c r="E293" s="253"/>
    </row>
    <row r="294" spans="1:5" x14ac:dyDescent="0.2">
      <c r="A294" s="345">
        <v>36464</v>
      </c>
      <c r="B294" s="253"/>
      <c r="C294" s="33"/>
      <c r="D294" s="253"/>
      <c r="E294" s="253"/>
    </row>
    <row r="295" spans="1:5" x14ac:dyDescent="0.2">
      <c r="A295" s="345">
        <v>36494</v>
      </c>
      <c r="B295" s="253"/>
      <c r="C295" s="33"/>
      <c r="D295" s="253"/>
      <c r="E295" s="253"/>
    </row>
    <row r="296" spans="1:5" x14ac:dyDescent="0.2">
      <c r="A296" s="345">
        <v>36525</v>
      </c>
      <c r="B296" s="253"/>
      <c r="C296" s="33"/>
      <c r="D296" s="253"/>
      <c r="E296" s="253"/>
    </row>
    <row r="297" spans="1:5" x14ac:dyDescent="0.2">
      <c r="A297" s="345">
        <v>36556</v>
      </c>
      <c r="B297" s="253"/>
      <c r="C297" s="33"/>
      <c r="D297" s="253"/>
      <c r="E297" s="253"/>
    </row>
    <row r="298" spans="1:5" x14ac:dyDescent="0.2">
      <c r="A298" s="345">
        <v>36585</v>
      </c>
      <c r="B298" s="253"/>
      <c r="C298" s="33"/>
      <c r="D298" s="253"/>
      <c r="E298" s="253"/>
    </row>
    <row r="299" spans="1:5" x14ac:dyDescent="0.2">
      <c r="A299" s="345">
        <v>36616</v>
      </c>
      <c r="B299" s="253"/>
      <c r="C299" s="33"/>
      <c r="D299" s="253"/>
      <c r="E299" s="253"/>
    </row>
    <row r="300" spans="1:5" x14ac:dyDescent="0.2">
      <c r="A300" s="345">
        <v>36646</v>
      </c>
      <c r="B300" s="253"/>
      <c r="C300" s="33"/>
      <c r="D300" s="253"/>
      <c r="E300" s="253"/>
    </row>
    <row r="301" spans="1:5" x14ac:dyDescent="0.2">
      <c r="A301" s="345">
        <v>36677</v>
      </c>
      <c r="B301" s="253"/>
      <c r="C301" s="33"/>
      <c r="D301" s="253"/>
      <c r="E301" s="253"/>
    </row>
    <row r="302" spans="1:5" x14ac:dyDescent="0.2">
      <c r="A302" s="345">
        <v>36707</v>
      </c>
      <c r="B302" s="253"/>
      <c r="C302" s="33"/>
      <c r="D302" s="253"/>
      <c r="E302" s="253"/>
    </row>
    <row r="303" spans="1:5" x14ac:dyDescent="0.2">
      <c r="A303" s="345">
        <v>36738</v>
      </c>
      <c r="B303" s="253"/>
      <c r="C303" s="33"/>
      <c r="D303" s="253"/>
      <c r="E303" s="253"/>
    </row>
    <row r="304" spans="1:5" x14ac:dyDescent="0.2">
      <c r="A304" s="345">
        <v>36769</v>
      </c>
      <c r="B304" s="253"/>
      <c r="C304" s="33"/>
      <c r="D304" s="253"/>
      <c r="E304" s="253"/>
    </row>
    <row r="305" spans="1:5" x14ac:dyDescent="0.2">
      <c r="A305" s="345">
        <v>36799</v>
      </c>
      <c r="B305" s="253"/>
      <c r="C305" s="33"/>
      <c r="D305" s="253"/>
      <c r="E305" s="253"/>
    </row>
    <row r="306" spans="1:5" x14ac:dyDescent="0.2">
      <c r="A306" s="345">
        <v>36830</v>
      </c>
      <c r="B306" s="253"/>
      <c r="C306" s="33"/>
      <c r="D306" s="253"/>
      <c r="E306" s="253"/>
    </row>
    <row r="307" spans="1:5" x14ac:dyDescent="0.2">
      <c r="A307" s="345">
        <v>36860</v>
      </c>
      <c r="B307" s="253"/>
      <c r="C307" s="33"/>
      <c r="D307" s="253"/>
      <c r="E307" s="253"/>
    </row>
    <row r="308" spans="1:5" x14ac:dyDescent="0.2">
      <c r="A308" s="345">
        <v>36891</v>
      </c>
      <c r="B308" s="253"/>
      <c r="C308" s="33"/>
      <c r="D308" s="253"/>
      <c r="E308" s="253"/>
    </row>
    <row r="309" spans="1:5" x14ac:dyDescent="0.2">
      <c r="A309" s="345">
        <v>36922</v>
      </c>
      <c r="B309" s="253"/>
      <c r="C309" s="33"/>
      <c r="D309" s="253"/>
      <c r="E309" s="253"/>
    </row>
    <row r="310" spans="1:5" x14ac:dyDescent="0.2">
      <c r="A310" s="345">
        <v>36950</v>
      </c>
      <c r="B310" s="253"/>
      <c r="C310" s="33"/>
      <c r="D310" s="253"/>
      <c r="E310" s="253"/>
    </row>
    <row r="311" spans="1:5" x14ac:dyDescent="0.2">
      <c r="A311" s="345">
        <v>36981</v>
      </c>
      <c r="B311" s="253"/>
      <c r="C311" s="33"/>
      <c r="D311" s="253"/>
      <c r="E311" s="253"/>
    </row>
    <row r="312" spans="1:5" x14ac:dyDescent="0.2">
      <c r="A312" s="345">
        <v>37011</v>
      </c>
      <c r="B312" s="253"/>
      <c r="C312" s="33"/>
      <c r="D312" s="253"/>
      <c r="E312" s="253"/>
    </row>
    <row r="313" spans="1:5" x14ac:dyDescent="0.2">
      <c r="A313" s="345">
        <v>37042</v>
      </c>
      <c r="B313" s="253"/>
      <c r="C313" s="33"/>
      <c r="D313" s="253"/>
      <c r="E313" s="253"/>
    </row>
    <row r="314" spans="1:5" x14ac:dyDescent="0.2">
      <c r="A314" s="345">
        <v>37072</v>
      </c>
      <c r="B314" s="253"/>
      <c r="C314" s="33"/>
      <c r="D314" s="253"/>
      <c r="E314" s="253"/>
    </row>
    <row r="315" spans="1:5" x14ac:dyDescent="0.2">
      <c r="A315" s="345">
        <v>37103</v>
      </c>
      <c r="B315" s="253"/>
      <c r="C315" s="33"/>
      <c r="D315" s="253"/>
      <c r="E315" s="253"/>
    </row>
    <row r="316" spans="1:5" x14ac:dyDescent="0.2">
      <c r="A316" s="345">
        <v>37134</v>
      </c>
      <c r="B316" s="253"/>
      <c r="C316" s="33"/>
      <c r="D316" s="253"/>
      <c r="E316" s="253"/>
    </row>
    <row r="317" spans="1:5" x14ac:dyDescent="0.2">
      <c r="A317" s="345">
        <v>37164</v>
      </c>
      <c r="B317" s="253"/>
      <c r="C317" s="33"/>
      <c r="D317" s="253"/>
      <c r="E317" s="253"/>
    </row>
    <row r="318" spans="1:5" x14ac:dyDescent="0.2">
      <c r="A318" s="345">
        <v>37195</v>
      </c>
      <c r="B318" s="253"/>
      <c r="C318" s="33"/>
      <c r="D318" s="253"/>
      <c r="E318" s="253"/>
    </row>
    <row r="319" spans="1:5" x14ac:dyDescent="0.2">
      <c r="A319" s="345">
        <v>37225</v>
      </c>
      <c r="B319" s="253"/>
      <c r="C319" s="33"/>
      <c r="D319" s="253"/>
      <c r="E319" s="253"/>
    </row>
    <row r="320" spans="1:5" x14ac:dyDescent="0.2">
      <c r="A320" s="345">
        <v>37256</v>
      </c>
      <c r="B320" s="253"/>
      <c r="C320" s="33"/>
      <c r="D320" s="253"/>
      <c r="E320" s="253"/>
    </row>
    <row r="321" spans="1:5" x14ac:dyDescent="0.2">
      <c r="A321" s="345">
        <v>37287</v>
      </c>
      <c r="B321" s="253"/>
      <c r="C321" s="33"/>
      <c r="D321" s="253"/>
      <c r="E321" s="253"/>
    </row>
    <row r="322" spans="1:5" x14ac:dyDescent="0.2">
      <c r="A322" s="345">
        <v>37315</v>
      </c>
      <c r="B322" s="253"/>
      <c r="C322" s="33"/>
      <c r="D322" s="253"/>
      <c r="E322" s="253"/>
    </row>
    <row r="323" spans="1:5" x14ac:dyDescent="0.2">
      <c r="A323" s="345">
        <v>37346</v>
      </c>
      <c r="B323" s="253"/>
      <c r="C323" s="33"/>
      <c r="D323" s="253"/>
      <c r="E323" s="253"/>
    </row>
    <row r="324" spans="1:5" x14ac:dyDescent="0.2">
      <c r="A324" s="345">
        <v>37376</v>
      </c>
      <c r="B324" s="253"/>
      <c r="C324" s="33"/>
      <c r="D324" s="253"/>
      <c r="E324" s="253"/>
    </row>
    <row r="325" spans="1:5" x14ac:dyDescent="0.2">
      <c r="A325" s="345">
        <v>37407</v>
      </c>
      <c r="B325" s="253"/>
      <c r="C325" s="33"/>
      <c r="D325" s="253"/>
      <c r="E325" s="253"/>
    </row>
    <row r="326" spans="1:5" x14ac:dyDescent="0.2">
      <c r="A326" s="345">
        <v>37437</v>
      </c>
      <c r="B326" s="253"/>
      <c r="C326" s="33"/>
      <c r="D326" s="253"/>
      <c r="E326" s="253"/>
    </row>
    <row r="327" spans="1:5" x14ac:dyDescent="0.2">
      <c r="A327" s="345">
        <v>37468</v>
      </c>
      <c r="B327" s="253"/>
      <c r="C327" s="33"/>
      <c r="D327" s="253"/>
      <c r="E327" s="253"/>
    </row>
    <row r="328" spans="1:5" x14ac:dyDescent="0.2">
      <c r="A328" s="345">
        <v>37499</v>
      </c>
      <c r="B328" s="253"/>
      <c r="C328" s="33"/>
      <c r="D328" s="253"/>
      <c r="E328" s="253"/>
    </row>
    <row r="329" spans="1:5" x14ac:dyDescent="0.2">
      <c r="A329" s="345">
        <v>37529</v>
      </c>
      <c r="B329" s="253"/>
      <c r="C329" s="33"/>
      <c r="D329" s="253"/>
      <c r="E329" s="253"/>
    </row>
    <row r="330" spans="1:5" x14ac:dyDescent="0.2">
      <c r="A330" s="345">
        <v>37560</v>
      </c>
      <c r="B330" s="253"/>
      <c r="C330" s="33"/>
      <c r="D330" s="253"/>
      <c r="E330" s="253"/>
    </row>
    <row r="331" spans="1:5" x14ac:dyDescent="0.2">
      <c r="A331" s="345">
        <v>37590</v>
      </c>
      <c r="B331" s="253"/>
      <c r="C331" s="33"/>
      <c r="D331" s="253"/>
      <c r="E331" s="253"/>
    </row>
    <row r="332" spans="1:5" x14ac:dyDescent="0.2">
      <c r="A332" s="345">
        <v>37621</v>
      </c>
      <c r="B332" s="253"/>
      <c r="C332" s="33"/>
      <c r="D332" s="253"/>
      <c r="E332" s="253"/>
    </row>
    <row r="333" spans="1:5" x14ac:dyDescent="0.2">
      <c r="A333" s="345">
        <v>37652</v>
      </c>
      <c r="B333" s="253"/>
      <c r="C333" s="33"/>
      <c r="D333" s="253"/>
      <c r="E333" s="253"/>
    </row>
    <row r="334" spans="1:5" x14ac:dyDescent="0.2">
      <c r="A334" s="345">
        <v>37680</v>
      </c>
      <c r="B334" s="253"/>
      <c r="C334" s="33"/>
      <c r="D334" s="253"/>
      <c r="E334" s="253"/>
    </row>
    <row r="335" spans="1:5" x14ac:dyDescent="0.2">
      <c r="A335" s="345">
        <v>37711</v>
      </c>
      <c r="B335" s="253"/>
      <c r="C335" s="33"/>
      <c r="D335" s="253"/>
      <c r="E335" s="253"/>
    </row>
    <row r="336" spans="1:5" x14ac:dyDescent="0.2">
      <c r="A336" s="345">
        <v>37741</v>
      </c>
      <c r="B336" s="253"/>
      <c r="C336" s="33"/>
      <c r="D336" s="253"/>
      <c r="E336" s="253"/>
    </row>
    <row r="337" spans="1:9" x14ac:dyDescent="0.2">
      <c r="A337" s="345">
        <v>37772</v>
      </c>
      <c r="B337" s="253"/>
      <c r="C337" s="33"/>
      <c r="D337" s="253"/>
      <c r="E337" s="253"/>
    </row>
    <row r="338" spans="1:9" x14ac:dyDescent="0.2">
      <c r="A338" s="345">
        <v>37802</v>
      </c>
      <c r="B338" s="253"/>
      <c r="C338" s="33"/>
      <c r="D338" s="253"/>
      <c r="E338" s="253"/>
    </row>
    <row r="339" spans="1:9" x14ac:dyDescent="0.2">
      <c r="A339" s="345">
        <v>37833</v>
      </c>
      <c r="B339" s="253"/>
      <c r="C339" s="33"/>
      <c r="D339" s="253"/>
      <c r="E339" s="253"/>
    </row>
    <row r="340" spans="1:9" x14ac:dyDescent="0.2">
      <c r="A340" s="345">
        <v>37864</v>
      </c>
      <c r="B340" s="253"/>
      <c r="C340" s="33"/>
      <c r="D340" s="253"/>
      <c r="E340" s="253"/>
    </row>
    <row r="341" spans="1:9" x14ac:dyDescent="0.2">
      <c r="A341" s="345">
        <v>37894</v>
      </c>
      <c r="B341" s="253"/>
      <c r="C341" s="34"/>
      <c r="D341" s="253"/>
      <c r="E341" s="253"/>
    </row>
    <row r="342" spans="1:9" x14ac:dyDescent="0.2">
      <c r="A342" s="345">
        <v>37925</v>
      </c>
      <c r="B342" s="253"/>
      <c r="C342" s="34"/>
      <c r="D342" s="253"/>
      <c r="E342" s="253"/>
    </row>
    <row r="343" spans="1:9" x14ac:dyDescent="0.2">
      <c r="A343" s="345">
        <v>37955</v>
      </c>
      <c r="B343" s="253"/>
      <c r="C343" s="34"/>
      <c r="D343" s="253"/>
      <c r="E343" s="253"/>
    </row>
    <row r="344" spans="1:9" x14ac:dyDescent="0.2">
      <c r="A344" s="345">
        <v>37986</v>
      </c>
      <c r="B344" s="253"/>
      <c r="C344" s="34"/>
      <c r="D344" s="253"/>
      <c r="E344" s="253"/>
    </row>
    <row r="345" spans="1:9" x14ac:dyDescent="0.2">
      <c r="A345" s="345">
        <v>38017</v>
      </c>
      <c r="B345" s="253"/>
      <c r="C345" s="34"/>
      <c r="D345" s="253"/>
      <c r="E345" s="253"/>
    </row>
    <row r="346" spans="1:9" x14ac:dyDescent="0.2">
      <c r="A346" s="345">
        <v>38046</v>
      </c>
      <c r="B346" s="253"/>
      <c r="C346" s="34"/>
      <c r="D346" s="253"/>
      <c r="E346" s="253"/>
    </row>
    <row r="347" spans="1:9" x14ac:dyDescent="0.2">
      <c r="A347" s="345">
        <v>38077</v>
      </c>
      <c r="B347" s="253"/>
      <c r="C347" s="34"/>
      <c r="D347" s="255"/>
      <c r="E347" s="253"/>
    </row>
    <row r="348" spans="1:9" x14ac:dyDescent="0.2">
      <c r="A348" s="345">
        <v>38107</v>
      </c>
      <c r="B348" s="253"/>
      <c r="C348" s="34"/>
      <c r="D348" s="253"/>
      <c r="E348" s="253"/>
      <c r="I348" s="14"/>
    </row>
    <row r="349" spans="1:9" x14ac:dyDescent="0.2">
      <c r="A349" s="345">
        <v>38138</v>
      </c>
      <c r="B349" s="253"/>
      <c r="C349" s="34"/>
      <c r="D349" s="253"/>
      <c r="E349" s="253"/>
      <c r="I349" s="14"/>
    </row>
    <row r="350" spans="1:9" x14ac:dyDescent="0.2">
      <c r="A350" s="345">
        <v>38168</v>
      </c>
      <c r="B350" s="253"/>
      <c r="C350" s="34"/>
      <c r="D350" s="253"/>
      <c r="E350" s="253"/>
      <c r="I350" s="14"/>
    </row>
    <row r="351" spans="1:9" x14ac:dyDescent="0.2">
      <c r="A351" s="345">
        <v>38199</v>
      </c>
      <c r="B351" s="253"/>
      <c r="C351" s="34"/>
      <c r="D351" s="253"/>
      <c r="E351" s="253"/>
    </row>
    <row r="352" spans="1:9" x14ac:dyDescent="0.2">
      <c r="A352" s="345">
        <v>38230</v>
      </c>
      <c r="B352" s="253"/>
      <c r="C352" s="34"/>
      <c r="D352" s="253"/>
      <c r="E352" s="253"/>
    </row>
    <row r="353" spans="1:5" x14ac:dyDescent="0.2">
      <c r="A353" s="345">
        <v>38260</v>
      </c>
      <c r="B353" s="253"/>
      <c r="C353" s="34"/>
      <c r="D353" s="253"/>
      <c r="E353" s="253"/>
    </row>
    <row r="354" spans="1:5" x14ac:dyDescent="0.2">
      <c r="A354" s="345">
        <v>38291</v>
      </c>
      <c r="B354" s="253"/>
      <c r="C354" s="34"/>
      <c r="D354" s="253"/>
      <c r="E354" s="253"/>
    </row>
    <row r="355" spans="1:5" x14ac:dyDescent="0.2">
      <c r="A355" s="345">
        <v>38321</v>
      </c>
      <c r="B355" s="253"/>
      <c r="C355" s="34"/>
      <c r="D355" s="253"/>
      <c r="E355" s="253"/>
    </row>
    <row r="356" spans="1:5" x14ac:dyDescent="0.2">
      <c r="A356" s="345">
        <v>38352</v>
      </c>
      <c r="B356" s="253"/>
      <c r="C356" s="256"/>
      <c r="D356" s="253"/>
      <c r="E356" s="253"/>
    </row>
    <row r="357" spans="1:5" x14ac:dyDescent="0.2">
      <c r="A357" s="345">
        <v>38383</v>
      </c>
      <c r="B357" s="253"/>
      <c r="C357" s="34"/>
      <c r="D357" s="76"/>
      <c r="E357" s="253"/>
    </row>
    <row r="358" spans="1:5" x14ac:dyDescent="0.2">
      <c r="A358" s="345">
        <v>38411</v>
      </c>
      <c r="B358" s="253"/>
      <c r="C358" s="34"/>
      <c r="D358" s="76"/>
      <c r="E358" s="253"/>
    </row>
    <row r="359" spans="1:5" x14ac:dyDescent="0.2">
      <c r="A359" s="345">
        <v>38442</v>
      </c>
      <c r="B359" s="253"/>
      <c r="C359" s="256"/>
      <c r="D359" s="76"/>
      <c r="E359" s="253"/>
    </row>
    <row r="360" spans="1:5" x14ac:dyDescent="0.2">
      <c r="A360" s="345">
        <v>38472</v>
      </c>
      <c r="B360" s="253"/>
      <c r="C360" s="256"/>
      <c r="D360" s="76"/>
      <c r="E360" s="253"/>
    </row>
    <row r="361" spans="1:5" x14ac:dyDescent="0.2">
      <c r="A361" s="345">
        <v>38503</v>
      </c>
      <c r="B361" s="253"/>
      <c r="C361" s="256"/>
      <c r="D361" s="76"/>
      <c r="E361" s="253"/>
    </row>
    <row r="362" spans="1:5" x14ac:dyDescent="0.2">
      <c r="A362" s="345">
        <v>38533</v>
      </c>
      <c r="B362" s="253"/>
      <c r="C362" s="256"/>
      <c r="D362" s="76"/>
      <c r="E362" s="253"/>
    </row>
    <row r="363" spans="1:5" x14ac:dyDescent="0.2">
      <c r="A363" s="345">
        <v>38564</v>
      </c>
      <c r="B363" s="253"/>
      <c r="C363" s="256"/>
      <c r="D363" s="76"/>
      <c r="E363" s="253"/>
    </row>
    <row r="364" spans="1:5" x14ac:dyDescent="0.2">
      <c r="A364" s="345">
        <v>38595</v>
      </c>
      <c r="B364" s="253"/>
      <c r="C364" s="256"/>
      <c r="D364" s="76"/>
      <c r="E364" s="253"/>
    </row>
    <row r="365" spans="1:5" x14ac:dyDescent="0.2">
      <c r="A365" s="345">
        <v>38625</v>
      </c>
      <c r="B365" s="253"/>
      <c r="C365" s="334"/>
      <c r="D365" s="76"/>
      <c r="E365" s="253"/>
    </row>
    <row r="366" spans="1:5" x14ac:dyDescent="0.2">
      <c r="A366" s="345">
        <v>38656</v>
      </c>
      <c r="B366" s="253"/>
      <c r="C366" s="334"/>
      <c r="D366" s="76"/>
      <c r="E366" s="253"/>
    </row>
    <row r="367" spans="1:5" x14ac:dyDescent="0.2">
      <c r="A367" s="345">
        <v>38686</v>
      </c>
      <c r="B367" s="253"/>
      <c r="C367" s="334"/>
      <c r="D367" s="76"/>
      <c r="E367" s="253"/>
    </row>
    <row r="368" spans="1:5" x14ac:dyDescent="0.2">
      <c r="A368" s="345">
        <v>38717</v>
      </c>
      <c r="B368" s="253"/>
      <c r="C368" s="256"/>
      <c r="D368" s="76"/>
      <c r="E368" s="253"/>
    </row>
    <row r="369" spans="1:9" x14ac:dyDescent="0.2">
      <c r="A369" s="345">
        <v>38748</v>
      </c>
      <c r="B369" s="253"/>
      <c r="C369" s="256"/>
      <c r="D369" s="76"/>
      <c r="E369" s="253"/>
      <c r="F369" s="496"/>
      <c r="G369" s="700"/>
      <c r="H369" s="703"/>
      <c r="I369" s="253"/>
    </row>
    <row r="370" spans="1:9" x14ac:dyDescent="0.2">
      <c r="A370" s="345">
        <v>38776</v>
      </c>
      <c r="B370" s="253"/>
      <c r="C370" s="256"/>
      <c r="D370" s="76"/>
      <c r="E370" s="253"/>
      <c r="F370" s="496"/>
      <c r="G370" s="701"/>
      <c r="H370" s="703"/>
      <c r="I370" s="253"/>
    </row>
    <row r="371" spans="1:9" x14ac:dyDescent="0.2">
      <c r="A371" s="345">
        <v>38807</v>
      </c>
      <c r="B371" s="253"/>
      <c r="C371" s="256"/>
      <c r="D371" s="76"/>
      <c r="E371" s="253"/>
      <c r="F371" s="496"/>
      <c r="G371" s="701"/>
      <c r="H371" s="703"/>
      <c r="I371" s="253"/>
    </row>
    <row r="372" spans="1:9" x14ac:dyDescent="0.2">
      <c r="A372" s="345">
        <v>38837</v>
      </c>
      <c r="B372" s="253"/>
      <c r="C372" s="34"/>
      <c r="D372" s="76"/>
      <c r="E372" s="253"/>
      <c r="F372" s="496"/>
      <c r="G372" s="700"/>
      <c r="H372" s="703"/>
      <c r="I372" s="253"/>
    </row>
    <row r="373" spans="1:9" x14ac:dyDescent="0.2">
      <c r="A373" s="345">
        <v>38868</v>
      </c>
      <c r="B373" s="253"/>
      <c r="C373" s="34"/>
      <c r="D373" s="76"/>
      <c r="E373" s="253"/>
      <c r="F373" s="496"/>
      <c r="G373" s="700"/>
      <c r="H373" s="703"/>
      <c r="I373" s="253"/>
    </row>
    <row r="374" spans="1:9" x14ac:dyDescent="0.2">
      <c r="A374" s="345">
        <v>38898</v>
      </c>
      <c r="B374" s="76"/>
      <c r="C374" s="354"/>
      <c r="D374" s="253"/>
      <c r="E374" s="253"/>
      <c r="F374" s="496"/>
      <c r="G374" s="700"/>
      <c r="H374" s="703"/>
      <c r="I374" s="253"/>
    </row>
    <row r="375" spans="1:9" x14ac:dyDescent="0.2">
      <c r="A375" s="345">
        <v>38929</v>
      </c>
      <c r="B375" s="253"/>
      <c r="C375" s="34"/>
      <c r="D375" s="253"/>
      <c r="E375" s="253"/>
      <c r="F375" s="496"/>
      <c r="G375" s="700"/>
      <c r="H375" s="703"/>
      <c r="I375" s="253"/>
    </row>
    <row r="376" spans="1:9" x14ac:dyDescent="0.2">
      <c r="A376" s="345">
        <v>38960</v>
      </c>
      <c r="B376" s="253"/>
      <c r="C376" s="34"/>
      <c r="D376" s="253"/>
      <c r="E376" s="253"/>
    </row>
    <row r="377" spans="1:9" x14ac:dyDescent="0.2">
      <c r="A377" s="345">
        <v>38990</v>
      </c>
      <c r="B377" s="253"/>
      <c r="C377" s="34"/>
      <c r="D377" s="253"/>
      <c r="E377" s="253"/>
    </row>
    <row r="378" spans="1:9" x14ac:dyDescent="0.2">
      <c r="A378" s="345">
        <v>39021</v>
      </c>
      <c r="B378" s="253"/>
      <c r="C378" s="34"/>
      <c r="D378" s="253"/>
      <c r="E378" s="253"/>
    </row>
    <row r="379" spans="1:9" x14ac:dyDescent="0.2">
      <c r="A379" s="345">
        <v>39051</v>
      </c>
      <c r="B379" s="253"/>
      <c r="C379" s="34"/>
      <c r="D379" s="253"/>
      <c r="E379" s="253"/>
    </row>
    <row r="380" spans="1:9" x14ac:dyDescent="0.2">
      <c r="A380" s="345">
        <v>39082</v>
      </c>
      <c r="B380" s="253"/>
      <c r="C380" s="34"/>
      <c r="D380" s="253"/>
      <c r="E380" s="253"/>
    </row>
    <row r="381" spans="1:9" x14ac:dyDescent="0.2">
      <c r="A381" s="345">
        <v>39113</v>
      </c>
    </row>
    <row r="382" spans="1:9" x14ac:dyDescent="0.2">
      <c r="A382" s="345">
        <v>39141</v>
      </c>
    </row>
    <row r="383" spans="1:9" x14ac:dyDescent="0.2">
      <c r="A383" s="345">
        <v>39172</v>
      </c>
    </row>
    <row r="384" spans="1:9" x14ac:dyDescent="0.2">
      <c r="A384" s="345">
        <v>39202</v>
      </c>
    </row>
    <row r="385" spans="1:3" x14ac:dyDescent="0.2">
      <c r="A385" s="345">
        <v>39233</v>
      </c>
    </row>
    <row r="386" spans="1:3" x14ac:dyDescent="0.2">
      <c r="A386" s="345">
        <v>39263</v>
      </c>
    </row>
    <row r="387" spans="1:3" x14ac:dyDescent="0.2">
      <c r="A387" s="345">
        <v>39294</v>
      </c>
    </row>
    <row r="388" spans="1:3" x14ac:dyDescent="0.2">
      <c r="A388" s="345">
        <v>39325</v>
      </c>
    </row>
    <row r="389" spans="1:3" x14ac:dyDescent="0.2">
      <c r="A389" s="345">
        <v>39355</v>
      </c>
    </row>
    <row r="390" spans="1:3" x14ac:dyDescent="0.2">
      <c r="A390" s="345">
        <v>39386</v>
      </c>
    </row>
    <row r="391" spans="1:3" x14ac:dyDescent="0.2">
      <c r="A391" s="345">
        <v>39416</v>
      </c>
    </row>
    <row r="392" spans="1:3" x14ac:dyDescent="0.2">
      <c r="A392" s="345">
        <v>39447</v>
      </c>
    </row>
    <row r="393" spans="1:3" x14ac:dyDescent="0.2">
      <c r="A393" s="345">
        <v>39478</v>
      </c>
    </row>
    <row r="394" spans="1:3" x14ac:dyDescent="0.2">
      <c r="A394" s="345">
        <v>39507</v>
      </c>
    </row>
    <row r="395" spans="1:3" x14ac:dyDescent="0.2">
      <c r="A395" s="345">
        <v>39538</v>
      </c>
    </row>
    <row r="396" spans="1:3" x14ac:dyDescent="0.2">
      <c r="A396" s="345">
        <v>39568</v>
      </c>
    </row>
    <row r="397" spans="1:3" x14ac:dyDescent="0.2">
      <c r="A397" s="345">
        <v>39599</v>
      </c>
    </row>
    <row r="398" spans="1:3" x14ac:dyDescent="0.2">
      <c r="A398" s="345">
        <v>39629</v>
      </c>
    </row>
    <row r="399" spans="1:3" x14ac:dyDescent="0.2">
      <c r="A399" s="345">
        <v>39660</v>
      </c>
      <c r="C399" s="1383"/>
    </row>
    <row r="400" spans="1:3" x14ac:dyDescent="0.2">
      <c r="A400" s="345">
        <v>39691</v>
      </c>
      <c r="C400" s="1383"/>
    </row>
    <row r="401" spans="1:3" x14ac:dyDescent="0.2">
      <c r="A401" s="345">
        <v>39721</v>
      </c>
      <c r="C401" s="1383"/>
    </row>
    <row r="402" spans="1:3" x14ac:dyDescent="0.2">
      <c r="A402" s="345">
        <v>39752</v>
      </c>
    </row>
    <row r="403" spans="1:3" x14ac:dyDescent="0.2">
      <c r="A403" s="345">
        <v>39782</v>
      </c>
    </row>
    <row r="404" spans="1:3" x14ac:dyDescent="0.2">
      <c r="A404" s="345">
        <v>39813</v>
      </c>
    </row>
    <row r="405" spans="1:3" x14ac:dyDescent="0.2">
      <c r="A405" s="345">
        <v>39844</v>
      </c>
    </row>
    <row r="406" spans="1:3" x14ac:dyDescent="0.2">
      <c r="A406" s="345">
        <v>39872</v>
      </c>
    </row>
    <row r="407" spans="1:3" x14ac:dyDescent="0.2">
      <c r="A407" s="345">
        <v>39903</v>
      </c>
    </row>
    <row r="408" spans="1:3" x14ac:dyDescent="0.2">
      <c r="A408" s="345">
        <v>39933</v>
      </c>
    </row>
    <row r="409" spans="1:3" x14ac:dyDescent="0.2">
      <c r="A409" s="345">
        <v>39964</v>
      </c>
    </row>
    <row r="410" spans="1:3" x14ac:dyDescent="0.2">
      <c r="A410" s="345">
        <v>39994</v>
      </c>
    </row>
    <row r="411" spans="1:3" x14ac:dyDescent="0.2">
      <c r="A411" s="345">
        <v>40025</v>
      </c>
    </row>
    <row r="412" spans="1:3" x14ac:dyDescent="0.2">
      <c r="A412" s="345">
        <v>40056</v>
      </c>
    </row>
    <row r="413" spans="1:3" x14ac:dyDescent="0.2">
      <c r="A413" s="345">
        <v>40086</v>
      </c>
    </row>
    <row r="414" spans="1:3" x14ac:dyDescent="0.2">
      <c r="A414" s="345">
        <v>40117</v>
      </c>
    </row>
    <row r="415" spans="1:3" x14ac:dyDescent="0.2">
      <c r="A415" s="345">
        <v>40147</v>
      </c>
    </row>
    <row r="416" spans="1:3" x14ac:dyDescent="0.2">
      <c r="A416" s="345">
        <v>40178</v>
      </c>
    </row>
    <row r="417" spans="1:4" x14ac:dyDescent="0.2">
      <c r="A417" s="345">
        <v>40209</v>
      </c>
    </row>
    <row r="418" spans="1:4" x14ac:dyDescent="0.2">
      <c r="A418" s="345">
        <v>40237</v>
      </c>
    </row>
    <row r="419" spans="1:4" x14ac:dyDescent="0.2">
      <c r="A419" s="345">
        <v>40268</v>
      </c>
      <c r="C419" s="1334"/>
      <c r="D419" s="1311"/>
    </row>
    <row r="420" spans="1:4" x14ac:dyDescent="0.2">
      <c r="A420" s="345">
        <v>40298</v>
      </c>
    </row>
    <row r="421" spans="1:4" x14ac:dyDescent="0.2">
      <c r="A421" s="345">
        <v>40329</v>
      </c>
    </row>
    <row r="422" spans="1:4" x14ac:dyDescent="0.2">
      <c r="A422" s="345">
        <v>40359</v>
      </c>
    </row>
    <row r="423" spans="1:4" x14ac:dyDescent="0.2">
      <c r="A423" s="345">
        <v>40390</v>
      </c>
    </row>
    <row r="424" spans="1:4" x14ac:dyDescent="0.2">
      <c r="A424" s="345">
        <v>40421</v>
      </c>
      <c r="B424" s="1369"/>
    </row>
    <row r="425" spans="1:4" x14ac:dyDescent="0.2">
      <c r="A425" s="345">
        <v>40451</v>
      </c>
      <c r="B425" s="258"/>
    </row>
    <row r="426" spans="1:4" x14ac:dyDescent="0.2">
      <c r="A426" s="345">
        <v>40482</v>
      </c>
      <c r="B426" s="1311"/>
      <c r="D426" s="1311"/>
    </row>
    <row r="427" spans="1:4" x14ac:dyDescent="0.2">
      <c r="A427" s="345">
        <v>40512</v>
      </c>
    </row>
    <row r="428" spans="1:4" x14ac:dyDescent="0.2">
      <c r="A428" s="345">
        <v>40543</v>
      </c>
    </row>
    <row r="429" spans="1:4" x14ac:dyDescent="0.2">
      <c r="A429" s="345">
        <v>40574</v>
      </c>
      <c r="B429" s="257">
        <f>D429</f>
        <v>-0.23799000000000001</v>
      </c>
      <c r="C429" s="346">
        <v>19060134.210000001</v>
      </c>
      <c r="D429" s="258">
        <v>-0.23799000000000001</v>
      </c>
    </row>
    <row r="430" spans="1:4" x14ac:dyDescent="0.2">
      <c r="A430" s="345">
        <v>40602</v>
      </c>
      <c r="B430" s="257">
        <f t="shared" ref="B430:B488" si="0">D430</f>
        <v>5.5224799999999998</v>
      </c>
      <c r="C430" s="346">
        <v>19093255.289999999</v>
      </c>
      <c r="D430" s="258">
        <v>5.5224799999999998</v>
      </c>
    </row>
    <row r="431" spans="1:4" x14ac:dyDescent="0.2">
      <c r="A431" s="345">
        <v>40633</v>
      </c>
      <c r="B431" s="257">
        <f t="shared" si="0"/>
        <v>2.62784</v>
      </c>
      <c r="C431" s="346">
        <v>18036771.77</v>
      </c>
      <c r="D431" s="258">
        <v>2.62784</v>
      </c>
    </row>
    <row r="432" spans="1:4" x14ac:dyDescent="0.2">
      <c r="A432" s="345">
        <v>40663</v>
      </c>
      <c r="B432" s="257">
        <f t="shared" si="0"/>
        <v>2.6566100000000001</v>
      </c>
      <c r="C432" s="346">
        <v>17803082.559999999</v>
      </c>
      <c r="D432" s="258">
        <v>2.6566100000000001</v>
      </c>
    </row>
    <row r="433" spans="1:4" x14ac:dyDescent="0.2">
      <c r="A433" s="345">
        <v>40694</v>
      </c>
      <c r="B433" s="257">
        <f t="shared" si="0"/>
        <v>-1.8915999999999999</v>
      </c>
      <c r="C433" s="346">
        <v>17469600.969999999</v>
      </c>
      <c r="D433" s="258">
        <v>-1.8915999999999999</v>
      </c>
    </row>
    <row r="434" spans="1:4" x14ac:dyDescent="0.2">
      <c r="A434" s="345">
        <v>40724</v>
      </c>
      <c r="B434" s="257">
        <f t="shared" si="0"/>
        <v>-2.3140000000000001</v>
      </c>
      <c r="C434" s="346">
        <v>17065354.350000001</v>
      </c>
      <c r="D434" s="258">
        <v>-2.3140000000000001</v>
      </c>
    </row>
    <row r="435" spans="1:4" x14ac:dyDescent="0.2">
      <c r="A435" s="345">
        <v>40755</v>
      </c>
      <c r="B435" s="257">
        <f t="shared" si="0"/>
        <v>-3.6092</v>
      </c>
      <c r="C435" s="346">
        <v>16449431.890000001</v>
      </c>
      <c r="D435" s="258">
        <v>-3.6092</v>
      </c>
    </row>
    <row r="436" spans="1:4" x14ac:dyDescent="0.2">
      <c r="A436" s="345">
        <v>40786</v>
      </c>
      <c r="B436" s="257">
        <f t="shared" si="0"/>
        <v>-8.6960200000000007</v>
      </c>
      <c r="C436" s="346">
        <v>15021881.92</v>
      </c>
      <c r="D436" s="258">
        <v>-8.6960200000000007</v>
      </c>
    </row>
    <row r="437" spans="1:4" x14ac:dyDescent="0.2">
      <c r="A437" s="345">
        <v>40816</v>
      </c>
      <c r="B437" s="257">
        <f t="shared" si="0"/>
        <v>-11.16844</v>
      </c>
      <c r="C437" s="346">
        <v>14944130.74</v>
      </c>
      <c r="D437" s="258">
        <v>-11.16844</v>
      </c>
    </row>
    <row r="438" spans="1:4" x14ac:dyDescent="0.2">
      <c r="A438" s="345">
        <v>40847</v>
      </c>
      <c r="B438" s="257">
        <f t="shared" si="0"/>
        <v>15.141529999999999</v>
      </c>
      <c r="C438" s="346">
        <v>16656793.189999999</v>
      </c>
      <c r="D438" s="258">
        <v>15.141529999999999</v>
      </c>
    </row>
    <row r="439" spans="1:4" x14ac:dyDescent="0.2">
      <c r="A439" s="345">
        <v>40877</v>
      </c>
      <c r="B439" s="257">
        <f t="shared" si="0"/>
        <v>-0.33956999999999998</v>
      </c>
      <c r="C439" s="346">
        <v>16600231.68</v>
      </c>
      <c r="D439" s="258">
        <v>-0.33956999999999998</v>
      </c>
    </row>
    <row r="440" spans="1:4" x14ac:dyDescent="0.2">
      <c r="A440" s="345">
        <v>40908</v>
      </c>
      <c r="B440" s="257">
        <f t="shared" si="0"/>
        <v>0.66900999999999999</v>
      </c>
      <c r="C440" s="346">
        <v>16711288.73</v>
      </c>
      <c r="D440" s="258">
        <v>0.66900999999999999</v>
      </c>
    </row>
    <row r="441" spans="1:4" x14ac:dyDescent="0.2">
      <c r="A441" s="345">
        <v>40939</v>
      </c>
      <c r="B441" s="257">
        <f t="shared" si="0"/>
        <v>7.0650700000000004</v>
      </c>
      <c r="C441" s="346">
        <v>17894751.609999999</v>
      </c>
      <c r="D441" s="258">
        <v>7.0650700000000004</v>
      </c>
    </row>
    <row r="442" spans="1:4" x14ac:dyDescent="0.2">
      <c r="A442" s="345">
        <v>40968</v>
      </c>
      <c r="B442" s="257">
        <f t="shared" si="0"/>
        <v>2.39236</v>
      </c>
      <c r="C442" s="346">
        <v>18129541.449999999</v>
      </c>
      <c r="D442" s="258">
        <v>2.39236</v>
      </c>
    </row>
    <row r="443" spans="1:4" x14ac:dyDescent="0.2">
      <c r="A443" s="345">
        <v>40999</v>
      </c>
      <c r="B443" s="257">
        <f t="shared" si="0"/>
        <v>2.5765899999999999</v>
      </c>
      <c r="C443" s="346">
        <v>18596666.18</v>
      </c>
      <c r="D443" s="258">
        <v>2.5765899999999999</v>
      </c>
    </row>
    <row r="444" spans="1:4" x14ac:dyDescent="0.2">
      <c r="A444" s="345">
        <v>41029</v>
      </c>
      <c r="B444" s="257">
        <f t="shared" si="0"/>
        <v>-1.5533699999999999</v>
      </c>
      <c r="C444" s="346">
        <v>18307791.25</v>
      </c>
      <c r="D444" s="258">
        <v>-1.5533699999999999</v>
      </c>
    </row>
    <row r="445" spans="1:4" x14ac:dyDescent="0.2">
      <c r="A445" s="345">
        <v>41060</v>
      </c>
      <c r="B445" s="257">
        <f t="shared" si="0"/>
        <v>-6.5846400000000003</v>
      </c>
      <c r="C445" s="346">
        <v>17102290.079999998</v>
      </c>
      <c r="D445" s="258">
        <v>-6.5846400000000003</v>
      </c>
    </row>
    <row r="446" spans="1:4" x14ac:dyDescent="0.2">
      <c r="A446" s="345">
        <v>41090</v>
      </c>
      <c r="B446" s="257">
        <f t="shared" si="0"/>
        <v>4.9973400000000003</v>
      </c>
      <c r="C446" s="346">
        <v>17960295.57</v>
      </c>
      <c r="D446" s="258">
        <v>4.9973400000000003</v>
      </c>
    </row>
    <row r="447" spans="1:4" x14ac:dyDescent="0.2">
      <c r="A447" s="345">
        <v>41121</v>
      </c>
      <c r="B447" s="257">
        <f t="shared" si="0"/>
        <v>-1.3428800000000001</v>
      </c>
      <c r="C447" s="346">
        <v>17036168.989999998</v>
      </c>
      <c r="D447" s="258">
        <v>-1.3428800000000001</v>
      </c>
    </row>
    <row r="448" spans="1:4" x14ac:dyDescent="0.2">
      <c r="A448" s="345">
        <v>41152</v>
      </c>
      <c r="B448" s="257">
        <f t="shared" si="0"/>
        <v>3.3505799999999999</v>
      </c>
      <c r="C448" s="346">
        <v>17610138.469999999</v>
      </c>
      <c r="D448" s="258">
        <v>3.3505799999999999</v>
      </c>
    </row>
    <row r="449" spans="1:4" x14ac:dyDescent="0.2">
      <c r="A449" s="345">
        <v>41182</v>
      </c>
      <c r="B449" s="257">
        <f t="shared" si="0"/>
        <v>3.2976800000000002</v>
      </c>
      <c r="C449" s="346">
        <v>18190864.91</v>
      </c>
      <c r="D449" s="258">
        <v>3.2976800000000002</v>
      </c>
    </row>
    <row r="450" spans="1:4" x14ac:dyDescent="0.2">
      <c r="A450" s="345">
        <v>41213</v>
      </c>
      <c r="B450" s="257">
        <f t="shared" si="0"/>
        <v>-2.1509800000000001</v>
      </c>
      <c r="C450" s="346">
        <v>16042778.15</v>
      </c>
      <c r="D450" s="258">
        <v>-2.1509800000000001</v>
      </c>
    </row>
    <row r="451" spans="1:4" x14ac:dyDescent="0.2">
      <c r="A451" s="345">
        <v>41243</v>
      </c>
      <c r="B451" s="257">
        <f t="shared" si="0"/>
        <v>0.54796</v>
      </c>
      <c r="C451" s="346">
        <v>16130686.359999999</v>
      </c>
      <c r="D451" s="258">
        <v>0.54796</v>
      </c>
    </row>
    <row r="452" spans="1:4" x14ac:dyDescent="0.2">
      <c r="A452" s="345">
        <v>41274</v>
      </c>
      <c r="B452" s="257">
        <f t="shared" si="0"/>
        <v>3.5719400000000001</v>
      </c>
      <c r="C452" s="346">
        <v>16706864.6</v>
      </c>
      <c r="D452" s="258">
        <v>3.5719400000000001</v>
      </c>
    </row>
    <row r="453" spans="1:4" x14ac:dyDescent="0.2">
      <c r="A453" s="345">
        <v>41305</v>
      </c>
      <c r="B453" s="257">
        <f t="shared" si="0"/>
        <v>6.2778700000000001</v>
      </c>
      <c r="C453" s="346">
        <v>17755700.010000002</v>
      </c>
      <c r="D453" s="258">
        <v>6.2778700000000001</v>
      </c>
    </row>
    <row r="454" spans="1:4" x14ac:dyDescent="0.2">
      <c r="A454" s="345">
        <v>41333</v>
      </c>
      <c r="B454" s="257">
        <f t="shared" si="0"/>
        <v>1.1178900000000001</v>
      </c>
      <c r="C454" s="346">
        <v>17954189.91</v>
      </c>
      <c r="D454" s="258">
        <v>1.1178900000000001</v>
      </c>
    </row>
    <row r="455" spans="1:4" x14ac:dyDescent="0.2">
      <c r="A455" s="345">
        <v>41364</v>
      </c>
      <c r="B455" s="257">
        <f t="shared" si="0"/>
        <v>4.5917300000000001</v>
      </c>
      <c r="C455" s="346">
        <v>18481288.440000001</v>
      </c>
      <c r="D455" s="258">
        <v>4.5917300000000001</v>
      </c>
    </row>
    <row r="456" spans="1:4" x14ac:dyDescent="0.2">
      <c r="A456" s="345">
        <v>41394</v>
      </c>
      <c r="B456" s="257">
        <f t="shared" si="0"/>
        <v>-0.34988000000000002</v>
      </c>
      <c r="C456" s="346">
        <v>18416625.530000001</v>
      </c>
      <c r="D456" s="258">
        <v>-0.34988000000000002</v>
      </c>
    </row>
    <row r="457" spans="1:4" x14ac:dyDescent="0.2">
      <c r="A457" s="345">
        <v>41425</v>
      </c>
      <c r="B457" s="257">
        <f t="shared" si="0"/>
        <v>3.99275</v>
      </c>
      <c r="C457" s="346">
        <v>19155176.84</v>
      </c>
      <c r="D457" s="258">
        <v>3.99275</v>
      </c>
    </row>
    <row r="458" spans="1:4" x14ac:dyDescent="0.2">
      <c r="A458" s="345">
        <v>41455</v>
      </c>
      <c r="B458" s="257">
        <f t="shared" si="0"/>
        <v>-0.49825999999999998</v>
      </c>
      <c r="C458" s="346">
        <v>19059733</v>
      </c>
      <c r="D458" s="258">
        <v>-0.49825999999999998</v>
      </c>
    </row>
    <row r="459" spans="1:4" x14ac:dyDescent="0.2">
      <c r="A459" s="345">
        <v>41486</v>
      </c>
      <c r="B459" s="257">
        <f t="shared" si="0"/>
        <v>7.0363199999999999</v>
      </c>
      <c r="C459" s="346">
        <v>20098147.390000001</v>
      </c>
      <c r="D459" s="258">
        <v>7.0363199999999999</v>
      </c>
    </row>
    <row r="460" spans="1:4" x14ac:dyDescent="0.2">
      <c r="A460" s="345">
        <v>41517</v>
      </c>
      <c r="B460" s="257">
        <f t="shared" si="0"/>
        <v>-3.1517900000000001</v>
      </c>
      <c r="C460" s="346">
        <v>18980178.82</v>
      </c>
      <c r="D460" s="258">
        <v>-3.1517900000000001</v>
      </c>
    </row>
    <row r="461" spans="1:4" x14ac:dyDescent="0.2">
      <c r="A461" s="345">
        <v>41547</v>
      </c>
      <c r="B461" s="257">
        <f t="shared" si="0"/>
        <v>6.3903800000000004</v>
      </c>
      <c r="C461" s="346">
        <v>19827542.620000001</v>
      </c>
      <c r="D461" s="258">
        <v>6.3903800000000004</v>
      </c>
    </row>
    <row r="462" spans="1:4" x14ac:dyDescent="0.2">
      <c r="A462" s="345">
        <v>41578</v>
      </c>
      <c r="B462" s="257">
        <f t="shared" si="0"/>
        <v>2.53851</v>
      </c>
      <c r="C462" s="346">
        <v>20330867.039999999</v>
      </c>
      <c r="D462" s="258">
        <v>2.53851</v>
      </c>
    </row>
    <row r="463" spans="1:4" x14ac:dyDescent="0.2">
      <c r="A463" s="345">
        <v>41608</v>
      </c>
      <c r="B463" s="257">
        <f t="shared" si="0"/>
        <v>3.9834499999999999</v>
      </c>
      <c r="C463" s="346">
        <v>21147745.710000001</v>
      </c>
      <c r="D463" s="258">
        <v>3.9834499999999999</v>
      </c>
    </row>
    <row r="464" spans="1:4" x14ac:dyDescent="0.2">
      <c r="A464" s="345">
        <v>41639</v>
      </c>
      <c r="B464" s="257">
        <f t="shared" si="0"/>
        <v>1.98611</v>
      </c>
      <c r="C464" s="346">
        <v>21152773.109999999</v>
      </c>
      <c r="D464" s="258">
        <v>1.98611</v>
      </c>
    </row>
    <row r="465" spans="1:4" x14ac:dyDescent="0.2">
      <c r="A465" s="345">
        <v>41670</v>
      </c>
      <c r="B465" s="257">
        <f t="shared" si="0"/>
        <v>-2.7695099999999999</v>
      </c>
      <c r="C465" s="346">
        <v>20570443.66</v>
      </c>
      <c r="D465" s="258">
        <v>-2.7695099999999999</v>
      </c>
    </row>
    <row r="466" spans="1:4" x14ac:dyDescent="0.2">
      <c r="A466" s="345">
        <v>41698</v>
      </c>
      <c r="B466" s="257">
        <f t="shared" si="0"/>
        <v>4.7194599999999998</v>
      </c>
      <c r="C466" s="346">
        <v>21112667.199999999</v>
      </c>
      <c r="D466" s="258">
        <v>4.7194599999999998</v>
      </c>
    </row>
    <row r="467" spans="1:4" x14ac:dyDescent="0.2">
      <c r="A467" s="345">
        <v>41729</v>
      </c>
      <c r="B467" s="257">
        <f t="shared" si="0"/>
        <v>-0.66578999999999999</v>
      </c>
      <c r="C467" s="346">
        <v>19214343.530000001</v>
      </c>
      <c r="D467" s="258">
        <v>-0.66578999999999999</v>
      </c>
    </row>
    <row r="468" spans="1:4" x14ac:dyDescent="0.2">
      <c r="A468" s="345">
        <v>41759</v>
      </c>
      <c r="B468" s="257">
        <f t="shared" si="0"/>
        <v>-3.8661699999999999</v>
      </c>
      <c r="C468" s="346">
        <v>18471484.649999999</v>
      </c>
      <c r="D468" s="258">
        <v>-3.8661699999999999</v>
      </c>
    </row>
    <row r="469" spans="1:4" x14ac:dyDescent="0.2">
      <c r="A469" s="345">
        <v>41790</v>
      </c>
      <c r="B469" s="257">
        <f t="shared" si="0"/>
        <v>0.79293000000000002</v>
      </c>
      <c r="C469" s="346">
        <v>18621534.420000002</v>
      </c>
      <c r="D469" s="258">
        <v>0.79293000000000002</v>
      </c>
    </row>
    <row r="470" spans="1:4" x14ac:dyDescent="0.2">
      <c r="A470" s="345">
        <v>41820</v>
      </c>
      <c r="B470" s="257">
        <f t="shared" si="0"/>
        <v>5.3435300000000003</v>
      </c>
      <c r="C470" s="346">
        <v>19616582.289999999</v>
      </c>
      <c r="D470" s="258">
        <v>5.3435300000000003</v>
      </c>
    </row>
    <row r="471" spans="1:4" x14ac:dyDescent="0.2">
      <c r="A471" s="345">
        <v>41851</v>
      </c>
      <c r="B471" s="257">
        <f t="shared" si="0"/>
        <v>-6.0020499999999997</v>
      </c>
      <c r="C471" s="346">
        <v>17961124.32</v>
      </c>
      <c r="D471" s="258">
        <v>-6.0020499999999997</v>
      </c>
    </row>
    <row r="472" spans="1:4" x14ac:dyDescent="0.2">
      <c r="A472" s="345">
        <v>41882</v>
      </c>
      <c r="B472" s="257">
        <f t="shared" si="0"/>
        <v>4.9615900000000002</v>
      </c>
      <c r="C472" s="346">
        <v>17175862.100000001</v>
      </c>
      <c r="D472" s="258">
        <v>4.9615900000000002</v>
      </c>
    </row>
    <row r="473" spans="1:4" x14ac:dyDescent="0.2">
      <c r="A473" s="345">
        <v>41912</v>
      </c>
      <c r="B473" s="257">
        <f t="shared" si="0"/>
        <v>0</v>
      </c>
    </row>
    <row r="474" spans="1:4" x14ac:dyDescent="0.2">
      <c r="A474" s="345">
        <v>41943</v>
      </c>
      <c r="B474" s="257">
        <f t="shared" si="0"/>
        <v>0</v>
      </c>
    </row>
    <row r="475" spans="1:4" x14ac:dyDescent="0.2">
      <c r="A475" s="345">
        <v>41973</v>
      </c>
      <c r="B475" s="257">
        <f t="shared" si="0"/>
        <v>0</v>
      </c>
    </row>
    <row r="476" spans="1:4" x14ac:dyDescent="0.2">
      <c r="A476" s="345">
        <v>42004</v>
      </c>
      <c r="B476" s="257">
        <f t="shared" si="0"/>
        <v>0</v>
      </c>
    </row>
    <row r="477" spans="1:4" x14ac:dyDescent="0.2">
      <c r="A477" s="345">
        <v>42035</v>
      </c>
      <c r="B477" s="257">
        <f t="shared" si="0"/>
        <v>0</v>
      </c>
    </row>
    <row r="478" spans="1:4" x14ac:dyDescent="0.2">
      <c r="A478" s="345">
        <v>42063</v>
      </c>
      <c r="B478" s="257">
        <f t="shared" si="0"/>
        <v>0</v>
      </c>
    </row>
    <row r="479" spans="1:4" x14ac:dyDescent="0.2">
      <c r="A479" s="345">
        <v>42094</v>
      </c>
      <c r="B479" s="257">
        <f t="shared" si="0"/>
        <v>0</v>
      </c>
    </row>
    <row r="480" spans="1:4" x14ac:dyDescent="0.2">
      <c r="A480" s="345">
        <v>42124</v>
      </c>
      <c r="B480" s="257">
        <f t="shared" si="0"/>
        <v>0</v>
      </c>
    </row>
    <row r="481" spans="1:2" x14ac:dyDescent="0.2">
      <c r="A481" s="345">
        <v>42155</v>
      </c>
      <c r="B481" s="257">
        <f t="shared" si="0"/>
        <v>0</v>
      </c>
    </row>
    <row r="482" spans="1:2" x14ac:dyDescent="0.2">
      <c r="A482" s="345">
        <v>42185</v>
      </c>
      <c r="B482" s="257">
        <f t="shared" si="0"/>
        <v>0</v>
      </c>
    </row>
    <row r="483" spans="1:2" x14ac:dyDescent="0.2">
      <c r="A483" s="345">
        <v>42216</v>
      </c>
      <c r="B483" s="257">
        <f t="shared" si="0"/>
        <v>0</v>
      </c>
    </row>
    <row r="484" spans="1:2" x14ac:dyDescent="0.2">
      <c r="A484" s="345">
        <v>42247</v>
      </c>
      <c r="B484" s="257">
        <f t="shared" si="0"/>
        <v>0</v>
      </c>
    </row>
    <row r="485" spans="1:2" x14ac:dyDescent="0.2">
      <c r="A485" s="345">
        <v>42277</v>
      </c>
      <c r="B485" s="257">
        <f t="shared" si="0"/>
        <v>0</v>
      </c>
    </row>
    <row r="486" spans="1:2" x14ac:dyDescent="0.2">
      <c r="A486" s="345">
        <v>42308</v>
      </c>
      <c r="B486" s="257">
        <f t="shared" si="0"/>
        <v>0</v>
      </c>
    </row>
    <row r="487" spans="1:2" x14ac:dyDescent="0.2">
      <c r="A487" s="345">
        <v>42338</v>
      </c>
      <c r="B487" s="257">
        <f t="shared" si="0"/>
        <v>0</v>
      </c>
    </row>
    <row r="488" spans="1:2" x14ac:dyDescent="0.2">
      <c r="A488" s="345">
        <v>42369</v>
      </c>
      <c r="B488" s="257">
        <f t="shared" si="0"/>
        <v>0</v>
      </c>
    </row>
  </sheetData>
  <pageMargins left="0.75" right="0.75" top="1" bottom="1" header="0.5" footer="0.5"/>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I488"/>
  <sheetViews>
    <sheetView workbookViewId="0">
      <pane xSplit="1" ySplit="2" topLeftCell="B448" activePane="bottomRight" state="frozen"/>
      <selection pane="topRight" activeCell="B1" sqref="B1"/>
      <selection pane="bottomLeft" activeCell="A3" sqref="A3"/>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5" width="18.7109375" style="258" customWidth="1"/>
    <col min="7" max="7" width="9.140625" style="352"/>
    <col min="8" max="8" width="11.140625" style="352" customWidth="1"/>
  </cols>
  <sheetData>
    <row r="1" spans="1:6" x14ac:dyDescent="0.2">
      <c r="A1" s="265" t="s">
        <v>869</v>
      </c>
      <c r="B1" s="1371" t="s">
        <v>309</v>
      </c>
      <c r="C1" s="1382" t="s">
        <v>302</v>
      </c>
      <c r="D1" s="1370">
        <v>15</v>
      </c>
      <c r="E1" s="74" t="s">
        <v>81</v>
      </c>
      <c r="F1" s="1450" t="s">
        <v>747</v>
      </c>
    </row>
    <row r="2" spans="1:6" x14ac:dyDescent="0.2">
      <c r="A2" s="3" t="s">
        <v>27</v>
      </c>
      <c r="B2" s="71" t="s">
        <v>91</v>
      </c>
      <c r="C2" s="226" t="s">
        <v>92</v>
      </c>
      <c r="D2" s="71" t="s">
        <v>90</v>
      </c>
      <c r="E2" s="71" t="s">
        <v>80</v>
      </c>
    </row>
    <row r="3" spans="1:6" x14ac:dyDescent="0.2">
      <c r="A3" s="345">
        <v>27606</v>
      </c>
      <c r="B3" s="71"/>
      <c r="C3" s="226"/>
      <c r="D3" s="71"/>
      <c r="E3" s="71"/>
    </row>
    <row r="4" spans="1:6" x14ac:dyDescent="0.2">
      <c r="A4" s="345">
        <v>27637</v>
      </c>
      <c r="B4" s="71"/>
      <c r="C4" s="226"/>
      <c r="D4" s="71"/>
      <c r="E4" s="71"/>
    </row>
    <row r="5" spans="1:6" x14ac:dyDescent="0.2">
      <c r="A5" s="345">
        <v>27667</v>
      </c>
      <c r="B5" s="71"/>
      <c r="C5" s="226"/>
      <c r="D5" s="71"/>
      <c r="E5" s="71"/>
    </row>
    <row r="6" spans="1:6" x14ac:dyDescent="0.2">
      <c r="A6" s="345">
        <v>27698</v>
      </c>
      <c r="B6" s="71"/>
      <c r="C6" s="226"/>
      <c r="D6" s="71"/>
      <c r="E6" s="71"/>
    </row>
    <row r="7" spans="1:6" x14ac:dyDescent="0.2">
      <c r="A7" s="345">
        <v>27728</v>
      </c>
      <c r="B7" s="71"/>
      <c r="C7" s="226"/>
      <c r="D7" s="71"/>
      <c r="E7" s="71"/>
    </row>
    <row r="8" spans="1:6" x14ac:dyDescent="0.2">
      <c r="A8" s="345">
        <v>27759</v>
      </c>
      <c r="B8" s="71"/>
      <c r="C8" s="226"/>
      <c r="D8" s="71"/>
      <c r="E8" s="71"/>
    </row>
    <row r="9" spans="1:6" x14ac:dyDescent="0.2">
      <c r="A9" s="345">
        <v>27790</v>
      </c>
      <c r="B9" s="71"/>
      <c r="C9" s="226"/>
      <c r="D9" s="71"/>
      <c r="E9" s="71"/>
    </row>
    <row r="10" spans="1:6" x14ac:dyDescent="0.2">
      <c r="A10" s="345">
        <v>27819</v>
      </c>
      <c r="B10" s="71"/>
      <c r="C10" s="226"/>
      <c r="D10" s="71"/>
      <c r="E10" s="71"/>
    </row>
    <row r="11" spans="1:6" x14ac:dyDescent="0.2">
      <c r="A11" s="345">
        <v>27850</v>
      </c>
      <c r="B11" s="71"/>
      <c r="C11" s="226"/>
      <c r="D11" s="71"/>
      <c r="E11" s="71"/>
    </row>
    <row r="12" spans="1:6" x14ac:dyDescent="0.2">
      <c r="A12" s="345">
        <v>27880</v>
      </c>
      <c r="B12" s="71"/>
      <c r="C12" s="226"/>
      <c r="D12" s="71"/>
      <c r="E12" s="71"/>
    </row>
    <row r="13" spans="1:6" x14ac:dyDescent="0.2">
      <c r="A13" s="345">
        <v>27911</v>
      </c>
      <c r="B13" s="71"/>
      <c r="C13" s="226"/>
      <c r="D13" s="71"/>
      <c r="E13" s="71"/>
    </row>
    <row r="14" spans="1:6" x14ac:dyDescent="0.2">
      <c r="A14" s="345">
        <v>27941</v>
      </c>
      <c r="B14" s="71"/>
      <c r="C14" s="226"/>
      <c r="D14" s="71"/>
      <c r="E14" s="71"/>
    </row>
    <row r="15" spans="1:6" x14ac:dyDescent="0.2">
      <c r="A15" s="345">
        <v>27972</v>
      </c>
      <c r="B15" s="71"/>
      <c r="C15" s="226"/>
      <c r="D15" s="71"/>
      <c r="E15" s="71"/>
    </row>
    <row r="16" spans="1:6"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3"/>
      <c r="C147" s="25"/>
      <c r="D147" s="73"/>
      <c r="E147" s="73"/>
    </row>
    <row r="148" spans="1:5" x14ac:dyDescent="0.2">
      <c r="A148" s="345">
        <v>32020</v>
      </c>
      <c r="B148" s="73"/>
      <c r="C148" s="25"/>
      <c r="D148" s="73"/>
      <c r="E148" s="73"/>
    </row>
    <row r="149" spans="1:5" x14ac:dyDescent="0.2">
      <c r="A149" s="345">
        <v>32050</v>
      </c>
      <c r="B149" s="73"/>
      <c r="C149" s="25"/>
      <c r="D149" s="73"/>
      <c r="E149" s="73"/>
    </row>
    <row r="150" spans="1:5" x14ac:dyDescent="0.2">
      <c r="A150" s="345">
        <v>32081</v>
      </c>
      <c r="B150" s="73"/>
      <c r="C150" s="25"/>
      <c r="D150" s="73"/>
      <c r="E150" s="73"/>
    </row>
    <row r="151" spans="1:5" x14ac:dyDescent="0.2">
      <c r="A151" s="345">
        <v>32111</v>
      </c>
      <c r="B151" s="73"/>
      <c r="C151" s="25"/>
      <c r="D151" s="73"/>
      <c r="E151" s="73"/>
    </row>
    <row r="152" spans="1:5" x14ac:dyDescent="0.2">
      <c r="A152" s="345">
        <v>32142</v>
      </c>
      <c r="B152" s="73"/>
      <c r="C152" s="25"/>
      <c r="D152" s="73"/>
      <c r="E152" s="73"/>
    </row>
    <row r="153" spans="1:5" x14ac:dyDescent="0.2">
      <c r="A153" s="345">
        <v>32173</v>
      </c>
      <c r="B153" s="73"/>
      <c r="C153" s="25"/>
      <c r="D153" s="73"/>
      <c r="E153" s="73"/>
    </row>
    <row r="154" spans="1:5" x14ac:dyDescent="0.2">
      <c r="A154" s="345">
        <v>32202</v>
      </c>
      <c r="B154" s="73"/>
      <c r="C154" s="25"/>
      <c r="D154" s="73"/>
      <c r="E154" s="73"/>
    </row>
    <row r="155" spans="1:5" x14ac:dyDescent="0.2">
      <c r="A155" s="345">
        <v>32233</v>
      </c>
      <c r="B155" s="73"/>
      <c r="C155" s="25"/>
      <c r="D155" s="73"/>
      <c r="E155" s="73"/>
    </row>
    <row r="156" spans="1:5" x14ac:dyDescent="0.2">
      <c r="A156" s="345">
        <v>32263</v>
      </c>
      <c r="B156" s="73"/>
      <c r="C156" s="25"/>
      <c r="D156" s="73"/>
      <c r="E156" s="73"/>
    </row>
    <row r="157" spans="1:5" x14ac:dyDescent="0.2">
      <c r="A157" s="345">
        <v>32294</v>
      </c>
      <c r="B157" s="73"/>
      <c r="C157" s="25"/>
      <c r="D157" s="73"/>
      <c r="E157" s="73"/>
    </row>
    <row r="158" spans="1:5" x14ac:dyDescent="0.2">
      <c r="A158" s="345">
        <v>32324</v>
      </c>
      <c r="B158" s="73"/>
      <c r="C158" s="25"/>
      <c r="D158" s="73"/>
      <c r="E158" s="73"/>
    </row>
    <row r="159" spans="1:5" x14ac:dyDescent="0.2">
      <c r="A159" s="345">
        <v>32355</v>
      </c>
      <c r="B159" s="73"/>
      <c r="C159" s="25"/>
      <c r="D159" s="73"/>
      <c r="E159" s="73"/>
    </row>
    <row r="160" spans="1:5" x14ac:dyDescent="0.2">
      <c r="A160" s="345">
        <v>32386</v>
      </c>
      <c r="B160" s="73"/>
      <c r="C160" s="25"/>
      <c r="D160" s="73"/>
      <c r="E160" s="73"/>
    </row>
    <row r="161" spans="1:5" x14ac:dyDescent="0.2">
      <c r="A161" s="345">
        <v>32416</v>
      </c>
      <c r="B161" s="73"/>
      <c r="C161" s="25"/>
      <c r="D161" s="73"/>
      <c r="E161" s="73"/>
    </row>
    <row r="162" spans="1:5" x14ac:dyDescent="0.2">
      <c r="A162" s="345">
        <v>32447</v>
      </c>
      <c r="B162" s="73"/>
      <c r="C162" s="25"/>
      <c r="D162" s="73"/>
      <c r="E162" s="73"/>
    </row>
    <row r="163" spans="1:5" x14ac:dyDescent="0.2">
      <c r="A163" s="345">
        <v>32477</v>
      </c>
      <c r="B163" s="73"/>
      <c r="C163" s="25"/>
      <c r="D163" s="73"/>
      <c r="E163" s="73"/>
    </row>
    <row r="164" spans="1:5" x14ac:dyDescent="0.2">
      <c r="A164" s="345">
        <v>32508</v>
      </c>
      <c r="B164" s="73"/>
      <c r="C164" s="25"/>
      <c r="D164" s="73"/>
      <c r="E164" s="73"/>
    </row>
    <row r="165" spans="1:5" x14ac:dyDescent="0.2">
      <c r="A165" s="345">
        <v>32539</v>
      </c>
      <c r="B165" s="73"/>
      <c r="C165" s="25"/>
      <c r="D165" s="73"/>
      <c r="E165" s="73"/>
    </row>
    <row r="166" spans="1:5" x14ac:dyDescent="0.2">
      <c r="A166" s="345">
        <v>32567</v>
      </c>
      <c r="B166" s="73"/>
      <c r="C166" s="25"/>
      <c r="D166" s="73"/>
      <c r="E166" s="73"/>
    </row>
    <row r="167" spans="1:5" x14ac:dyDescent="0.2">
      <c r="A167" s="345">
        <v>32598</v>
      </c>
      <c r="B167" s="73"/>
      <c r="C167" s="25"/>
      <c r="D167" s="73"/>
      <c r="E167" s="73"/>
    </row>
    <row r="168" spans="1:5" x14ac:dyDescent="0.2">
      <c r="A168" s="345">
        <v>32628</v>
      </c>
      <c r="B168" s="73"/>
      <c r="C168" s="25"/>
      <c r="D168" s="73"/>
      <c r="E168" s="73"/>
    </row>
    <row r="169" spans="1:5" x14ac:dyDescent="0.2">
      <c r="A169" s="345">
        <v>32659</v>
      </c>
      <c r="B169" s="73"/>
      <c r="C169" s="25"/>
      <c r="D169" s="73"/>
      <c r="E169" s="73"/>
    </row>
    <row r="170" spans="1:5" x14ac:dyDescent="0.2">
      <c r="A170" s="345">
        <v>32689</v>
      </c>
      <c r="B170" s="73"/>
      <c r="C170" s="25"/>
      <c r="D170" s="73"/>
      <c r="E170" s="73"/>
    </row>
    <row r="171" spans="1:5" x14ac:dyDescent="0.2">
      <c r="A171" s="345">
        <v>32720</v>
      </c>
      <c r="B171" s="73"/>
      <c r="C171" s="25"/>
      <c r="D171" s="73"/>
      <c r="E171" s="73"/>
    </row>
    <row r="172" spans="1:5" x14ac:dyDescent="0.2">
      <c r="A172" s="345">
        <v>32751</v>
      </c>
      <c r="B172" s="73"/>
      <c r="C172" s="25"/>
      <c r="D172" s="73"/>
      <c r="E172" s="73"/>
    </row>
    <row r="173" spans="1:5" x14ac:dyDescent="0.2">
      <c r="A173" s="345">
        <v>32781</v>
      </c>
      <c r="B173" s="73"/>
      <c r="C173" s="25"/>
      <c r="D173" s="73"/>
      <c r="E173" s="73"/>
    </row>
    <row r="174" spans="1:5" x14ac:dyDescent="0.2">
      <c r="A174" s="345">
        <v>32812</v>
      </c>
      <c r="B174" s="73"/>
      <c r="C174" s="25"/>
      <c r="D174" s="73"/>
      <c r="E174" s="73"/>
    </row>
    <row r="175" spans="1:5" x14ac:dyDescent="0.2">
      <c r="A175" s="345">
        <v>32842</v>
      </c>
      <c r="B175" s="73"/>
      <c r="C175" s="25"/>
      <c r="D175" s="73"/>
      <c r="E175" s="73"/>
    </row>
    <row r="176" spans="1:5" x14ac:dyDescent="0.2">
      <c r="A176" s="345">
        <v>32873</v>
      </c>
      <c r="B176" s="73"/>
      <c r="C176" s="25"/>
      <c r="D176" s="73"/>
      <c r="E176" s="73"/>
    </row>
    <row r="177" spans="1:5" x14ac:dyDescent="0.2">
      <c r="A177" s="345">
        <v>32904</v>
      </c>
      <c r="B177" s="255"/>
      <c r="C177" s="259"/>
      <c r="D177" s="73"/>
      <c r="E177" s="73"/>
    </row>
    <row r="178" spans="1:5" x14ac:dyDescent="0.2">
      <c r="A178" s="345">
        <v>32932</v>
      </c>
      <c r="B178" s="255"/>
      <c r="C178" s="259"/>
      <c r="D178" s="73"/>
      <c r="E178" s="73"/>
    </row>
    <row r="179" spans="1:5" x14ac:dyDescent="0.2">
      <c r="A179" s="345">
        <v>32963</v>
      </c>
      <c r="B179" s="255"/>
      <c r="C179" s="259"/>
      <c r="D179" s="73"/>
      <c r="E179" s="73"/>
    </row>
    <row r="180" spans="1:5" x14ac:dyDescent="0.2">
      <c r="A180" s="345">
        <v>32993</v>
      </c>
      <c r="B180" s="255"/>
      <c r="C180" s="259"/>
      <c r="D180" s="73"/>
      <c r="E180" s="73"/>
    </row>
    <row r="181" spans="1:5" x14ac:dyDescent="0.2">
      <c r="A181" s="345">
        <v>33024</v>
      </c>
      <c r="B181" s="255"/>
      <c r="C181" s="259"/>
      <c r="D181" s="73"/>
      <c r="E181" s="73"/>
    </row>
    <row r="182" spans="1:5" x14ac:dyDescent="0.2">
      <c r="A182" s="345">
        <v>33054</v>
      </c>
      <c r="B182" s="255"/>
      <c r="C182" s="259"/>
      <c r="D182" s="73"/>
      <c r="E182" s="73"/>
    </row>
    <row r="183" spans="1:5" x14ac:dyDescent="0.2">
      <c r="A183" s="345">
        <v>33085</v>
      </c>
      <c r="B183" s="255"/>
      <c r="C183" s="259"/>
      <c r="D183" s="73"/>
      <c r="E183" s="73"/>
    </row>
    <row r="184" spans="1:5" x14ac:dyDescent="0.2">
      <c r="A184" s="345">
        <v>33116</v>
      </c>
      <c r="B184" s="255"/>
      <c r="C184" s="259"/>
      <c r="D184" s="73"/>
      <c r="E184" s="73"/>
    </row>
    <row r="185" spans="1:5" x14ac:dyDescent="0.2">
      <c r="A185" s="345">
        <v>33146</v>
      </c>
      <c r="B185" s="255"/>
      <c r="C185" s="259"/>
      <c r="D185" s="73"/>
      <c r="E185" s="73"/>
    </row>
    <row r="186" spans="1:5" x14ac:dyDescent="0.2">
      <c r="A186" s="345">
        <v>33177</v>
      </c>
      <c r="B186" s="255"/>
      <c r="C186" s="259"/>
      <c r="D186" s="73"/>
      <c r="E186" s="73"/>
    </row>
    <row r="187" spans="1:5" x14ac:dyDescent="0.2">
      <c r="A187" s="345">
        <v>33207</v>
      </c>
      <c r="B187" s="255"/>
      <c r="C187" s="259"/>
      <c r="D187" s="73"/>
      <c r="E187" s="73"/>
    </row>
    <row r="188" spans="1:5" x14ac:dyDescent="0.2">
      <c r="A188" s="345">
        <v>33238</v>
      </c>
      <c r="B188" s="255"/>
      <c r="C188" s="259"/>
      <c r="D188" s="73"/>
      <c r="E188" s="73"/>
    </row>
    <row r="189" spans="1:5" x14ac:dyDescent="0.2">
      <c r="A189" s="345">
        <v>33269</v>
      </c>
      <c r="B189" s="255"/>
      <c r="C189" s="259"/>
      <c r="D189" s="73"/>
      <c r="E189" s="73"/>
    </row>
    <row r="190" spans="1:5" x14ac:dyDescent="0.2">
      <c r="A190" s="345">
        <v>33297</v>
      </c>
      <c r="B190" s="255"/>
      <c r="C190" s="259"/>
      <c r="D190" s="73"/>
      <c r="E190" s="73"/>
    </row>
    <row r="191" spans="1:5" x14ac:dyDescent="0.2">
      <c r="A191" s="345">
        <v>33328</v>
      </c>
      <c r="B191" s="255"/>
      <c r="C191" s="259"/>
      <c r="D191" s="73"/>
      <c r="E191" s="73"/>
    </row>
    <row r="192" spans="1:5" x14ac:dyDescent="0.2">
      <c r="A192" s="345">
        <v>33358</v>
      </c>
      <c r="B192" s="255"/>
      <c r="C192" s="259"/>
      <c r="D192" s="73"/>
      <c r="E192" s="73"/>
    </row>
    <row r="193" spans="1:5" x14ac:dyDescent="0.2">
      <c r="A193" s="345">
        <v>33389</v>
      </c>
      <c r="B193" s="255"/>
      <c r="C193" s="259"/>
      <c r="D193" s="73"/>
      <c r="E193" s="73"/>
    </row>
    <row r="194" spans="1:5" x14ac:dyDescent="0.2">
      <c r="A194" s="345">
        <v>33419</v>
      </c>
      <c r="B194" s="255"/>
      <c r="C194" s="259"/>
      <c r="D194" s="73"/>
      <c r="E194" s="73"/>
    </row>
    <row r="195" spans="1:5" x14ac:dyDescent="0.2">
      <c r="A195" s="345">
        <v>33450</v>
      </c>
      <c r="B195" s="255"/>
      <c r="C195" s="259"/>
      <c r="D195" s="73"/>
      <c r="E195" s="73"/>
    </row>
    <row r="196" spans="1:5" x14ac:dyDescent="0.2">
      <c r="A196" s="345">
        <v>33481</v>
      </c>
      <c r="B196" s="255"/>
      <c r="C196" s="259"/>
      <c r="D196" s="73"/>
      <c r="E196" s="73"/>
    </row>
    <row r="197" spans="1:5" x14ac:dyDescent="0.2">
      <c r="A197" s="345">
        <v>33511</v>
      </c>
      <c r="B197" s="255"/>
      <c r="C197" s="259"/>
      <c r="D197" s="73"/>
      <c r="E197" s="73"/>
    </row>
    <row r="198" spans="1:5" x14ac:dyDescent="0.2">
      <c r="A198" s="345">
        <v>33542</v>
      </c>
      <c r="B198" s="255"/>
      <c r="C198" s="259"/>
      <c r="D198" s="73"/>
      <c r="E198" s="73"/>
    </row>
    <row r="199" spans="1:5" x14ac:dyDescent="0.2">
      <c r="A199" s="345">
        <v>33572</v>
      </c>
      <c r="B199" s="255"/>
      <c r="C199" s="259"/>
      <c r="D199" s="73"/>
      <c r="E199" s="73"/>
    </row>
    <row r="200" spans="1:5" x14ac:dyDescent="0.2">
      <c r="A200" s="345">
        <v>33603</v>
      </c>
      <c r="B200" s="255"/>
      <c r="C200" s="259"/>
      <c r="D200" s="73"/>
      <c r="E200" s="73"/>
    </row>
    <row r="201" spans="1:5" x14ac:dyDescent="0.2">
      <c r="A201" s="345">
        <v>33634</v>
      </c>
      <c r="B201" s="255"/>
      <c r="C201" s="259"/>
      <c r="D201" s="73"/>
      <c r="E201" s="73"/>
    </row>
    <row r="202" spans="1:5" x14ac:dyDescent="0.2">
      <c r="A202" s="345">
        <v>33663</v>
      </c>
      <c r="B202" s="255"/>
      <c r="C202" s="259"/>
      <c r="D202" s="73"/>
      <c r="E202" s="73"/>
    </row>
    <row r="203" spans="1:5" x14ac:dyDescent="0.2">
      <c r="A203" s="345">
        <v>33694</v>
      </c>
      <c r="B203" s="255"/>
      <c r="C203" s="259"/>
      <c r="D203" s="73"/>
      <c r="E203" s="73"/>
    </row>
    <row r="204" spans="1:5" x14ac:dyDescent="0.2">
      <c r="A204" s="345">
        <v>33724</v>
      </c>
      <c r="B204" s="255"/>
      <c r="C204" s="259"/>
      <c r="D204" s="73"/>
      <c r="E204" s="73"/>
    </row>
    <row r="205" spans="1:5" x14ac:dyDescent="0.2">
      <c r="A205" s="345">
        <v>33755</v>
      </c>
      <c r="B205" s="255"/>
      <c r="C205" s="259"/>
      <c r="D205" s="73"/>
      <c r="E205" s="73"/>
    </row>
    <row r="206" spans="1:5" x14ac:dyDescent="0.2">
      <c r="A206" s="345">
        <v>33785</v>
      </c>
      <c r="B206" s="255"/>
      <c r="C206" s="259"/>
      <c r="D206" s="73"/>
      <c r="E206" s="73"/>
    </row>
    <row r="207" spans="1:5" x14ac:dyDescent="0.2">
      <c r="A207" s="345">
        <v>33816</v>
      </c>
      <c r="B207" s="255"/>
      <c r="C207" s="259"/>
      <c r="D207" s="73"/>
      <c r="E207" s="73"/>
    </row>
    <row r="208" spans="1:5" x14ac:dyDescent="0.2">
      <c r="A208" s="345">
        <v>33847</v>
      </c>
      <c r="B208" s="255"/>
      <c r="C208" s="259"/>
      <c r="D208" s="73"/>
      <c r="E208" s="73"/>
    </row>
    <row r="209" spans="1:5" x14ac:dyDescent="0.2">
      <c r="A209" s="345">
        <v>33877</v>
      </c>
      <c r="B209" s="255"/>
      <c r="C209" s="259"/>
      <c r="D209" s="73"/>
      <c r="E209" s="73"/>
    </row>
    <row r="210" spans="1:5" x14ac:dyDescent="0.2">
      <c r="A210" s="345">
        <v>33908</v>
      </c>
      <c r="B210" s="255"/>
      <c r="C210" s="259"/>
      <c r="D210" s="73"/>
      <c r="E210" s="73"/>
    </row>
    <row r="211" spans="1:5" x14ac:dyDescent="0.2">
      <c r="A211" s="345">
        <v>33938</v>
      </c>
      <c r="B211" s="255"/>
      <c r="C211" s="259"/>
      <c r="D211" s="73"/>
      <c r="E211" s="73"/>
    </row>
    <row r="212" spans="1:5" x14ac:dyDescent="0.2">
      <c r="A212" s="345">
        <v>33969</v>
      </c>
      <c r="B212" s="255"/>
      <c r="C212" s="259"/>
      <c r="D212" s="73"/>
      <c r="E212" s="73"/>
    </row>
    <row r="213" spans="1:5" x14ac:dyDescent="0.2">
      <c r="A213" s="345">
        <v>34000</v>
      </c>
      <c r="B213" s="255"/>
      <c r="C213" s="259"/>
      <c r="D213" s="73"/>
      <c r="E213" s="73"/>
    </row>
    <row r="214" spans="1:5" x14ac:dyDescent="0.2">
      <c r="A214" s="345">
        <v>34028</v>
      </c>
      <c r="B214" s="255"/>
      <c r="C214" s="259"/>
      <c r="D214" s="73"/>
      <c r="E214" s="73"/>
    </row>
    <row r="215" spans="1:5" x14ac:dyDescent="0.2">
      <c r="A215" s="345">
        <v>34059</v>
      </c>
      <c r="B215" s="255"/>
      <c r="C215" s="259"/>
      <c r="D215" s="73"/>
      <c r="E215" s="73"/>
    </row>
    <row r="216" spans="1:5" x14ac:dyDescent="0.2">
      <c r="A216" s="345">
        <v>34089</v>
      </c>
      <c r="B216" s="255"/>
      <c r="C216" s="259"/>
      <c r="D216" s="73"/>
      <c r="E216" s="73"/>
    </row>
    <row r="217" spans="1:5" x14ac:dyDescent="0.2">
      <c r="A217" s="345">
        <v>34120</v>
      </c>
      <c r="B217" s="255"/>
      <c r="C217" s="259"/>
      <c r="D217" s="73"/>
      <c r="E217" s="73"/>
    </row>
    <row r="218" spans="1:5" x14ac:dyDescent="0.2">
      <c r="A218" s="345">
        <v>34150</v>
      </c>
      <c r="B218" s="255"/>
      <c r="C218" s="259"/>
      <c r="D218" s="73"/>
      <c r="E218" s="73"/>
    </row>
    <row r="219" spans="1:5" x14ac:dyDescent="0.2">
      <c r="A219" s="345">
        <v>34181</v>
      </c>
      <c r="B219" s="255"/>
      <c r="C219" s="259"/>
      <c r="D219" s="73"/>
      <c r="E219" s="73"/>
    </row>
    <row r="220" spans="1:5" x14ac:dyDescent="0.2">
      <c r="A220" s="345">
        <v>34212</v>
      </c>
      <c r="B220" s="255"/>
      <c r="C220" s="259"/>
      <c r="D220" s="73"/>
      <c r="E220" s="73"/>
    </row>
    <row r="221" spans="1:5" x14ac:dyDescent="0.2">
      <c r="A221" s="345">
        <v>34242</v>
      </c>
      <c r="B221" s="255"/>
      <c r="C221" s="259"/>
      <c r="D221" s="73"/>
      <c r="E221" s="73"/>
    </row>
    <row r="222" spans="1:5" x14ac:dyDescent="0.2">
      <c r="A222" s="345">
        <v>34273</v>
      </c>
      <c r="B222" s="255"/>
      <c r="C222" s="259"/>
      <c r="D222" s="73"/>
      <c r="E222" s="73"/>
    </row>
    <row r="223" spans="1:5" x14ac:dyDescent="0.2">
      <c r="A223" s="345">
        <v>34303</v>
      </c>
      <c r="B223" s="255"/>
      <c r="C223" s="259"/>
      <c r="D223" s="73"/>
      <c r="E223" s="73"/>
    </row>
    <row r="224" spans="1:5" x14ac:dyDescent="0.2">
      <c r="A224" s="345">
        <v>34334</v>
      </c>
      <c r="B224" s="255"/>
      <c r="C224" s="259"/>
      <c r="D224" s="73"/>
      <c r="E224" s="73"/>
    </row>
    <row r="225" spans="1:5" x14ac:dyDescent="0.2">
      <c r="A225" s="345">
        <v>34365</v>
      </c>
      <c r="B225" s="255"/>
      <c r="C225" s="259"/>
      <c r="D225" s="73"/>
      <c r="E225" s="73"/>
    </row>
    <row r="226" spans="1:5" x14ac:dyDescent="0.2">
      <c r="A226" s="345">
        <v>34393</v>
      </c>
      <c r="B226" s="255"/>
      <c r="C226" s="259"/>
      <c r="D226" s="73"/>
      <c r="E226" s="73"/>
    </row>
    <row r="227" spans="1:5" x14ac:dyDescent="0.2">
      <c r="A227" s="345">
        <v>34424</v>
      </c>
      <c r="B227" s="255"/>
      <c r="C227" s="259"/>
      <c r="D227" s="73"/>
      <c r="E227" s="73"/>
    </row>
    <row r="228" spans="1:5" x14ac:dyDescent="0.2">
      <c r="A228" s="345">
        <v>34454</v>
      </c>
      <c r="B228" s="255"/>
      <c r="C228" s="259"/>
      <c r="D228" s="73"/>
      <c r="E228" s="73"/>
    </row>
    <row r="229" spans="1:5" x14ac:dyDescent="0.2">
      <c r="A229" s="345">
        <v>34485</v>
      </c>
      <c r="B229" s="255"/>
      <c r="C229" s="259"/>
      <c r="D229" s="73"/>
      <c r="E229" s="73"/>
    </row>
    <row r="230" spans="1:5" x14ac:dyDescent="0.2">
      <c r="A230" s="345">
        <v>34515</v>
      </c>
      <c r="B230" s="255"/>
      <c r="C230" s="259"/>
      <c r="D230" s="73"/>
      <c r="E230" s="73"/>
    </row>
    <row r="231" spans="1:5" x14ac:dyDescent="0.2">
      <c r="A231" s="345">
        <v>34546</v>
      </c>
      <c r="B231" s="255"/>
      <c r="C231" s="259"/>
      <c r="D231" s="73"/>
      <c r="E231" s="73"/>
    </row>
    <row r="232" spans="1:5" x14ac:dyDescent="0.2">
      <c r="A232" s="345">
        <v>34577</v>
      </c>
      <c r="B232" s="255"/>
      <c r="C232" s="259"/>
      <c r="D232" s="73"/>
      <c r="E232" s="73"/>
    </row>
    <row r="233" spans="1:5" x14ac:dyDescent="0.2">
      <c r="A233" s="345">
        <v>34607</v>
      </c>
      <c r="B233" s="255"/>
      <c r="C233" s="259"/>
      <c r="D233" s="73"/>
      <c r="E233" s="73"/>
    </row>
    <row r="234" spans="1:5" x14ac:dyDescent="0.2">
      <c r="A234" s="345">
        <v>34638</v>
      </c>
      <c r="B234" s="255"/>
      <c r="C234" s="259"/>
      <c r="D234" s="73"/>
      <c r="E234" s="73"/>
    </row>
    <row r="235" spans="1:5" x14ac:dyDescent="0.2">
      <c r="A235" s="345">
        <v>34668</v>
      </c>
      <c r="B235" s="255"/>
      <c r="C235" s="259"/>
      <c r="D235" s="73"/>
      <c r="E235" s="73"/>
    </row>
    <row r="236" spans="1:5" x14ac:dyDescent="0.2">
      <c r="A236" s="345">
        <v>34699</v>
      </c>
      <c r="B236" s="255"/>
      <c r="C236" s="259"/>
      <c r="D236" s="73"/>
      <c r="E236" s="73"/>
    </row>
    <row r="237" spans="1:5" x14ac:dyDescent="0.2">
      <c r="A237" s="345">
        <v>34730</v>
      </c>
      <c r="B237" s="255"/>
      <c r="C237" s="259"/>
      <c r="D237" s="73"/>
      <c r="E237" s="73"/>
    </row>
    <row r="238" spans="1:5" x14ac:dyDescent="0.2">
      <c r="A238" s="345">
        <v>34758</v>
      </c>
      <c r="B238" s="255"/>
      <c r="C238" s="259"/>
      <c r="D238" s="73"/>
      <c r="E238" s="73"/>
    </row>
    <row r="239" spans="1:5" x14ac:dyDescent="0.2">
      <c r="A239" s="345">
        <v>34789</v>
      </c>
      <c r="B239" s="255"/>
      <c r="C239" s="259"/>
      <c r="D239" s="73"/>
      <c r="E239" s="73"/>
    </row>
    <row r="240" spans="1:5" x14ac:dyDescent="0.2">
      <c r="A240" s="345">
        <v>34819</v>
      </c>
      <c r="B240" s="255"/>
      <c r="C240" s="259"/>
      <c r="D240" s="73"/>
      <c r="E240" s="73"/>
    </row>
    <row r="241" spans="1:5" x14ac:dyDescent="0.2">
      <c r="A241" s="345">
        <v>34850</v>
      </c>
      <c r="B241" s="255"/>
      <c r="C241" s="259"/>
      <c r="D241" s="73"/>
      <c r="E241" s="73"/>
    </row>
    <row r="242" spans="1:5" x14ac:dyDescent="0.2">
      <c r="A242" s="345">
        <v>34880</v>
      </c>
      <c r="B242" s="255"/>
      <c r="C242" s="259"/>
      <c r="D242" s="77"/>
      <c r="E242" s="77"/>
    </row>
    <row r="243" spans="1:5" x14ac:dyDescent="0.2">
      <c r="A243" s="345">
        <v>34911</v>
      </c>
      <c r="B243" s="255"/>
      <c r="C243" s="259"/>
      <c r="D243" s="77"/>
      <c r="E243" s="77"/>
    </row>
    <row r="244" spans="1:5" x14ac:dyDescent="0.2">
      <c r="A244" s="345">
        <v>34942</v>
      </c>
      <c r="B244" s="255"/>
      <c r="C244" s="259"/>
      <c r="D244" s="77"/>
      <c r="E244" s="77"/>
    </row>
    <row r="245" spans="1:5" x14ac:dyDescent="0.2">
      <c r="A245" s="345">
        <v>34972</v>
      </c>
      <c r="B245" s="255"/>
      <c r="C245" s="259"/>
      <c r="D245" s="77"/>
      <c r="E245" s="77"/>
    </row>
    <row r="246" spans="1:5" x14ac:dyDescent="0.2">
      <c r="A246" s="345">
        <v>35003</v>
      </c>
      <c r="B246" s="255"/>
      <c r="C246" s="259"/>
      <c r="D246" s="77"/>
      <c r="E246" s="77"/>
    </row>
    <row r="247" spans="1:5" x14ac:dyDescent="0.2">
      <c r="A247" s="345">
        <v>35033</v>
      </c>
      <c r="B247" s="255"/>
      <c r="C247" s="259"/>
      <c r="D247" s="77"/>
      <c r="E247" s="77"/>
    </row>
    <row r="248" spans="1:5" x14ac:dyDescent="0.2">
      <c r="A248" s="345">
        <v>35064</v>
      </c>
      <c r="B248" s="255"/>
      <c r="C248" s="259"/>
      <c r="D248" s="77"/>
      <c r="E248" s="77"/>
    </row>
    <row r="249" spans="1:5" x14ac:dyDescent="0.2">
      <c r="A249" s="345">
        <v>35095</v>
      </c>
      <c r="B249" s="255"/>
      <c r="C249" s="259"/>
      <c r="D249" s="77"/>
      <c r="E249" s="77"/>
    </row>
    <row r="250" spans="1:5" x14ac:dyDescent="0.2">
      <c r="A250" s="345">
        <v>35124</v>
      </c>
      <c r="B250" s="255"/>
      <c r="C250" s="259"/>
      <c r="D250" s="77"/>
      <c r="E250" s="77"/>
    </row>
    <row r="251" spans="1:5" x14ac:dyDescent="0.2">
      <c r="A251" s="345">
        <v>35155</v>
      </c>
      <c r="B251" s="255"/>
      <c r="C251" s="259"/>
      <c r="D251" s="77"/>
      <c r="E251" s="77"/>
    </row>
    <row r="252" spans="1:5" x14ac:dyDescent="0.2">
      <c r="A252" s="345">
        <v>35185</v>
      </c>
      <c r="B252" s="253"/>
      <c r="C252" s="259"/>
      <c r="D252" s="77"/>
      <c r="E252" s="77"/>
    </row>
    <row r="253" spans="1:5" x14ac:dyDescent="0.2">
      <c r="A253" s="345">
        <v>35216</v>
      </c>
      <c r="B253" s="253"/>
      <c r="C253" s="259"/>
      <c r="D253" s="77"/>
      <c r="E253" s="77"/>
    </row>
    <row r="254" spans="1:5" x14ac:dyDescent="0.2">
      <c r="A254" s="345">
        <v>35246</v>
      </c>
      <c r="B254" s="253"/>
      <c r="C254" s="259"/>
      <c r="D254" s="77"/>
      <c r="E254" s="77"/>
    </row>
    <row r="255" spans="1:5" x14ac:dyDescent="0.2">
      <c r="A255" s="345">
        <v>35277</v>
      </c>
      <c r="B255" s="253"/>
      <c r="C255" s="259"/>
      <c r="D255" s="77"/>
      <c r="E255" s="77"/>
    </row>
    <row r="256" spans="1:5" x14ac:dyDescent="0.2">
      <c r="A256" s="345">
        <v>35308</v>
      </c>
      <c r="B256" s="253"/>
      <c r="C256" s="259"/>
      <c r="D256" s="77"/>
      <c r="E256" s="77"/>
    </row>
    <row r="257" spans="1:5" x14ac:dyDescent="0.2">
      <c r="A257" s="345">
        <v>35338</v>
      </c>
      <c r="B257" s="253"/>
      <c r="C257" s="259"/>
      <c r="D257" s="77"/>
      <c r="E257" s="77"/>
    </row>
    <row r="258" spans="1:5" x14ac:dyDescent="0.2">
      <c r="A258" s="345">
        <v>35369</v>
      </c>
      <c r="B258" s="253"/>
      <c r="C258" s="259"/>
      <c r="D258" s="77"/>
      <c r="E258" s="77"/>
    </row>
    <row r="259" spans="1:5" x14ac:dyDescent="0.2">
      <c r="A259" s="345">
        <v>35399</v>
      </c>
      <c r="B259" s="253"/>
      <c r="C259" s="259"/>
      <c r="D259" s="77"/>
      <c r="E259" s="77"/>
    </row>
    <row r="260" spans="1:5" x14ac:dyDescent="0.2">
      <c r="A260" s="345">
        <v>35430</v>
      </c>
      <c r="B260" s="253"/>
      <c r="C260" s="259"/>
      <c r="D260" s="77"/>
      <c r="E260" s="77"/>
    </row>
    <row r="261" spans="1:5" x14ac:dyDescent="0.2">
      <c r="A261" s="345">
        <v>35461</v>
      </c>
      <c r="B261" s="253"/>
      <c r="C261" s="259"/>
      <c r="D261" s="77"/>
      <c r="E261" s="77"/>
    </row>
    <row r="262" spans="1:5" x14ac:dyDescent="0.2">
      <c r="A262" s="345">
        <v>35489</v>
      </c>
      <c r="B262" s="253"/>
      <c r="C262" s="259"/>
      <c r="D262" s="77"/>
      <c r="E262" s="77"/>
    </row>
    <row r="263" spans="1:5" x14ac:dyDescent="0.2">
      <c r="A263" s="345">
        <v>35520</v>
      </c>
      <c r="B263" s="253"/>
      <c r="C263" s="259"/>
      <c r="D263" s="77"/>
      <c r="E263" s="77"/>
    </row>
    <row r="264" spans="1:5" x14ac:dyDescent="0.2">
      <c r="A264" s="345">
        <v>35550</v>
      </c>
      <c r="B264" s="253"/>
      <c r="C264" s="259"/>
      <c r="D264" s="77"/>
      <c r="E264" s="77"/>
    </row>
    <row r="265" spans="1:5" x14ac:dyDescent="0.2">
      <c r="A265" s="345">
        <v>35581</v>
      </c>
      <c r="B265" s="253"/>
      <c r="C265" s="259"/>
      <c r="D265" s="77"/>
      <c r="E265" s="77"/>
    </row>
    <row r="266" spans="1:5" x14ac:dyDescent="0.2">
      <c r="A266" s="345">
        <v>35611</v>
      </c>
      <c r="B266" s="253"/>
      <c r="C266" s="259"/>
      <c r="D266" s="77"/>
      <c r="E266" s="77"/>
    </row>
    <row r="267" spans="1:5" x14ac:dyDescent="0.2">
      <c r="A267" s="345">
        <v>35642</v>
      </c>
      <c r="B267" s="253"/>
      <c r="C267" s="259"/>
      <c r="D267" s="77"/>
      <c r="E267" s="77"/>
    </row>
    <row r="268" spans="1:5" x14ac:dyDescent="0.2">
      <c r="A268" s="345">
        <v>35673</v>
      </c>
      <c r="B268" s="253"/>
      <c r="C268" s="259"/>
      <c r="D268" s="77"/>
      <c r="E268" s="77"/>
    </row>
    <row r="269" spans="1:5" x14ac:dyDescent="0.2">
      <c r="A269" s="345">
        <v>35703</v>
      </c>
      <c r="B269" s="253"/>
      <c r="C269" s="259"/>
      <c r="D269" s="77"/>
      <c r="E269" s="77"/>
    </row>
    <row r="270" spans="1:5" x14ac:dyDescent="0.2">
      <c r="A270" s="345">
        <v>35734</v>
      </c>
      <c r="B270" s="253"/>
      <c r="C270" s="259"/>
      <c r="D270" s="77"/>
      <c r="E270" s="77"/>
    </row>
    <row r="271" spans="1:5" x14ac:dyDescent="0.2">
      <c r="A271" s="345">
        <v>35764</v>
      </c>
      <c r="B271" s="253"/>
      <c r="C271" s="259"/>
      <c r="D271" s="77"/>
      <c r="E271" s="77"/>
    </row>
    <row r="272" spans="1:5" x14ac:dyDescent="0.2">
      <c r="A272" s="345">
        <v>35795</v>
      </c>
      <c r="B272" s="253"/>
      <c r="C272" s="259"/>
      <c r="D272" s="77"/>
      <c r="E272" s="77"/>
    </row>
    <row r="273" spans="1:5" x14ac:dyDescent="0.2">
      <c r="A273" s="345">
        <v>35826</v>
      </c>
      <c r="B273" s="253"/>
      <c r="C273" s="259"/>
      <c r="D273" s="77"/>
      <c r="E273" s="77"/>
    </row>
    <row r="274" spans="1:5" x14ac:dyDescent="0.2">
      <c r="A274" s="345">
        <v>35854</v>
      </c>
      <c r="B274" s="253"/>
      <c r="C274" s="259"/>
      <c r="D274" s="77"/>
      <c r="E274" s="77"/>
    </row>
    <row r="275" spans="1:5" x14ac:dyDescent="0.2">
      <c r="A275" s="345">
        <v>35885</v>
      </c>
      <c r="B275" s="253"/>
      <c r="C275" s="259"/>
      <c r="D275" s="77"/>
      <c r="E275" s="77"/>
    </row>
    <row r="276" spans="1:5" x14ac:dyDescent="0.2">
      <c r="A276" s="345">
        <v>35915</v>
      </c>
      <c r="B276" s="253"/>
      <c r="C276" s="259"/>
      <c r="D276" s="77"/>
      <c r="E276" s="77"/>
    </row>
    <row r="277" spans="1:5" x14ac:dyDescent="0.2">
      <c r="A277" s="345">
        <v>35946</v>
      </c>
      <c r="B277" s="253"/>
      <c r="C277" s="259"/>
      <c r="D277" s="77"/>
      <c r="E277" s="77"/>
    </row>
    <row r="278" spans="1:5" x14ac:dyDescent="0.2">
      <c r="A278" s="345">
        <v>35976</v>
      </c>
      <c r="B278" s="253"/>
      <c r="C278" s="259"/>
      <c r="D278" s="77"/>
      <c r="E278" s="77"/>
    </row>
    <row r="279" spans="1:5" x14ac:dyDescent="0.2">
      <c r="A279" s="345">
        <v>36007</v>
      </c>
      <c r="B279" s="253"/>
      <c r="C279" s="259"/>
      <c r="D279" s="77"/>
      <c r="E279" s="77"/>
    </row>
    <row r="280" spans="1:5" x14ac:dyDescent="0.2">
      <c r="A280" s="345">
        <v>36038</v>
      </c>
      <c r="B280" s="253"/>
      <c r="C280" s="259"/>
      <c r="D280" s="77"/>
      <c r="E280" s="77"/>
    </row>
    <row r="281" spans="1:5" x14ac:dyDescent="0.2">
      <c r="A281" s="345">
        <v>36068</v>
      </c>
      <c r="B281" s="253"/>
      <c r="C281" s="259"/>
      <c r="D281" s="77"/>
      <c r="E281" s="77"/>
    </row>
    <row r="282" spans="1:5" x14ac:dyDescent="0.2">
      <c r="A282" s="345">
        <v>36099</v>
      </c>
      <c r="B282" s="253"/>
      <c r="C282" s="259"/>
      <c r="D282" s="77"/>
      <c r="E282" s="77"/>
    </row>
    <row r="283" spans="1:5" x14ac:dyDescent="0.2">
      <c r="A283" s="345">
        <v>36129</v>
      </c>
      <c r="B283" s="253"/>
      <c r="C283" s="259"/>
      <c r="D283" s="77"/>
      <c r="E283" s="77"/>
    </row>
    <row r="284" spans="1:5" x14ac:dyDescent="0.2">
      <c r="A284" s="345">
        <v>36160</v>
      </c>
      <c r="B284" s="253"/>
      <c r="C284" s="33"/>
      <c r="D284" s="253"/>
      <c r="E284" s="253"/>
    </row>
    <row r="285" spans="1:5" x14ac:dyDescent="0.2">
      <c r="A285" s="345">
        <v>36191</v>
      </c>
      <c r="B285" s="253"/>
      <c r="C285" s="33"/>
      <c r="D285" s="253"/>
      <c r="E285" s="253"/>
    </row>
    <row r="286" spans="1:5" x14ac:dyDescent="0.2">
      <c r="A286" s="345">
        <v>36219</v>
      </c>
      <c r="B286" s="253"/>
      <c r="C286" s="33"/>
      <c r="D286" s="253"/>
      <c r="E286" s="253"/>
    </row>
    <row r="287" spans="1:5" x14ac:dyDescent="0.2">
      <c r="A287" s="345">
        <v>36250</v>
      </c>
      <c r="B287" s="253"/>
      <c r="C287" s="33"/>
      <c r="D287" s="253"/>
      <c r="E287" s="253"/>
    </row>
    <row r="288" spans="1:5" x14ac:dyDescent="0.2">
      <c r="A288" s="345">
        <v>36280</v>
      </c>
      <c r="B288" s="253"/>
      <c r="C288" s="33"/>
      <c r="D288" s="253"/>
      <c r="E288" s="253"/>
    </row>
    <row r="289" spans="1:5" x14ac:dyDescent="0.2">
      <c r="A289" s="345">
        <v>36311</v>
      </c>
      <c r="B289" s="253"/>
      <c r="C289" s="33"/>
      <c r="D289" s="253"/>
      <c r="E289" s="253"/>
    </row>
    <row r="290" spans="1:5" x14ac:dyDescent="0.2">
      <c r="A290" s="345">
        <v>36341</v>
      </c>
      <c r="B290" s="253"/>
      <c r="C290" s="33"/>
      <c r="D290" s="253"/>
      <c r="E290" s="253"/>
    </row>
    <row r="291" spans="1:5" x14ac:dyDescent="0.2">
      <c r="A291" s="345">
        <v>36372</v>
      </c>
      <c r="B291" s="253"/>
      <c r="C291" s="33"/>
      <c r="D291" s="253"/>
      <c r="E291" s="253"/>
    </row>
    <row r="292" spans="1:5" x14ac:dyDescent="0.2">
      <c r="A292" s="345">
        <v>36403</v>
      </c>
      <c r="B292" s="253"/>
      <c r="C292" s="33"/>
      <c r="D292" s="253"/>
      <c r="E292" s="253"/>
    </row>
    <row r="293" spans="1:5" x14ac:dyDescent="0.2">
      <c r="A293" s="345">
        <v>36433</v>
      </c>
      <c r="B293" s="253"/>
      <c r="C293" s="33"/>
      <c r="D293" s="253"/>
      <c r="E293" s="253"/>
    </row>
    <row r="294" spans="1:5" x14ac:dyDescent="0.2">
      <c r="A294" s="345">
        <v>36464</v>
      </c>
      <c r="B294" s="253"/>
      <c r="C294" s="33"/>
      <c r="D294" s="253"/>
      <c r="E294" s="253"/>
    </row>
    <row r="295" spans="1:5" x14ac:dyDescent="0.2">
      <c r="A295" s="345">
        <v>36494</v>
      </c>
      <c r="B295" s="253"/>
      <c r="C295" s="33"/>
      <c r="D295" s="253"/>
      <c r="E295" s="253"/>
    </row>
    <row r="296" spans="1:5" x14ac:dyDescent="0.2">
      <c r="A296" s="345">
        <v>36525</v>
      </c>
      <c r="B296" s="253"/>
      <c r="C296" s="33"/>
      <c r="D296" s="253"/>
      <c r="E296" s="253"/>
    </row>
    <row r="297" spans="1:5" x14ac:dyDescent="0.2">
      <c r="A297" s="345">
        <v>36556</v>
      </c>
      <c r="B297" s="253"/>
      <c r="C297" s="33"/>
      <c r="D297" s="253"/>
      <c r="E297" s="253"/>
    </row>
    <row r="298" spans="1:5" x14ac:dyDescent="0.2">
      <c r="A298" s="345">
        <v>36585</v>
      </c>
      <c r="B298" s="253"/>
      <c r="C298" s="33"/>
      <c r="D298" s="253"/>
      <c r="E298" s="253"/>
    </row>
    <row r="299" spans="1:5" x14ac:dyDescent="0.2">
      <c r="A299" s="345">
        <v>36616</v>
      </c>
      <c r="B299" s="253"/>
      <c r="C299" s="33"/>
      <c r="D299" s="253"/>
      <c r="E299" s="253"/>
    </row>
    <row r="300" spans="1:5" x14ac:dyDescent="0.2">
      <c r="A300" s="345">
        <v>36646</v>
      </c>
      <c r="B300" s="253"/>
      <c r="C300" s="33"/>
      <c r="D300" s="253"/>
      <c r="E300" s="253"/>
    </row>
    <row r="301" spans="1:5" x14ac:dyDescent="0.2">
      <c r="A301" s="345">
        <v>36677</v>
      </c>
      <c r="B301" s="253"/>
      <c r="C301" s="33"/>
      <c r="D301" s="253"/>
      <c r="E301" s="253"/>
    </row>
    <row r="302" spans="1:5" x14ac:dyDescent="0.2">
      <c r="A302" s="345">
        <v>36707</v>
      </c>
      <c r="B302" s="253"/>
      <c r="C302" s="33"/>
      <c r="D302" s="253"/>
      <c r="E302" s="253"/>
    </row>
    <row r="303" spans="1:5" x14ac:dyDescent="0.2">
      <c r="A303" s="345">
        <v>36738</v>
      </c>
      <c r="B303" s="253"/>
      <c r="C303" s="33"/>
      <c r="D303" s="253"/>
      <c r="E303" s="253"/>
    </row>
    <row r="304" spans="1:5" x14ac:dyDescent="0.2">
      <c r="A304" s="345">
        <v>36769</v>
      </c>
      <c r="B304" s="253"/>
      <c r="C304" s="33"/>
      <c r="D304" s="253"/>
      <c r="E304" s="253"/>
    </row>
    <row r="305" spans="1:5" x14ac:dyDescent="0.2">
      <c r="A305" s="345">
        <v>36799</v>
      </c>
      <c r="B305" s="253"/>
      <c r="C305" s="33"/>
      <c r="D305" s="253"/>
      <c r="E305" s="253"/>
    </row>
    <row r="306" spans="1:5" x14ac:dyDescent="0.2">
      <c r="A306" s="345">
        <v>36830</v>
      </c>
      <c r="B306" s="253"/>
      <c r="C306" s="33"/>
      <c r="D306" s="253"/>
      <c r="E306" s="253"/>
    </row>
    <row r="307" spans="1:5" x14ac:dyDescent="0.2">
      <c r="A307" s="345">
        <v>36860</v>
      </c>
      <c r="B307" s="253"/>
      <c r="C307" s="33"/>
      <c r="D307" s="253"/>
      <c r="E307" s="253"/>
    </row>
    <row r="308" spans="1:5" x14ac:dyDescent="0.2">
      <c r="A308" s="345">
        <v>36891</v>
      </c>
      <c r="B308" s="253"/>
      <c r="C308" s="33"/>
      <c r="D308" s="253"/>
      <c r="E308" s="253"/>
    </row>
    <row r="309" spans="1:5" x14ac:dyDescent="0.2">
      <c r="A309" s="345">
        <v>36922</v>
      </c>
      <c r="B309" s="253"/>
      <c r="C309" s="33"/>
      <c r="D309" s="253"/>
      <c r="E309" s="253"/>
    </row>
    <row r="310" spans="1:5" x14ac:dyDescent="0.2">
      <c r="A310" s="345">
        <v>36950</v>
      </c>
      <c r="B310" s="253"/>
      <c r="C310" s="33"/>
      <c r="D310" s="253"/>
      <c r="E310" s="253"/>
    </row>
    <row r="311" spans="1:5" x14ac:dyDescent="0.2">
      <c r="A311" s="345">
        <v>36981</v>
      </c>
      <c r="B311" s="253"/>
      <c r="C311" s="33"/>
      <c r="D311" s="253"/>
      <c r="E311" s="253"/>
    </row>
    <row r="312" spans="1:5" x14ac:dyDescent="0.2">
      <c r="A312" s="345">
        <v>37011</v>
      </c>
      <c r="B312" s="253"/>
      <c r="C312" s="33"/>
      <c r="D312" s="253"/>
      <c r="E312" s="253"/>
    </row>
    <row r="313" spans="1:5" x14ac:dyDescent="0.2">
      <c r="A313" s="345">
        <v>37042</v>
      </c>
      <c r="B313" s="253"/>
      <c r="C313" s="33"/>
      <c r="D313" s="253"/>
      <c r="E313" s="253"/>
    </row>
    <row r="314" spans="1:5" x14ac:dyDescent="0.2">
      <c r="A314" s="345">
        <v>37072</v>
      </c>
      <c r="B314" s="253"/>
      <c r="C314" s="33"/>
      <c r="D314" s="253"/>
      <c r="E314" s="253"/>
    </row>
    <row r="315" spans="1:5" x14ac:dyDescent="0.2">
      <c r="A315" s="345">
        <v>37103</v>
      </c>
      <c r="B315" s="253"/>
      <c r="C315" s="33"/>
      <c r="D315" s="253"/>
      <c r="E315" s="253"/>
    </row>
    <row r="316" spans="1:5" x14ac:dyDescent="0.2">
      <c r="A316" s="345">
        <v>37134</v>
      </c>
      <c r="B316" s="253"/>
      <c r="C316" s="33"/>
      <c r="D316" s="253"/>
      <c r="E316" s="253"/>
    </row>
    <row r="317" spans="1:5" x14ac:dyDescent="0.2">
      <c r="A317" s="345">
        <v>37164</v>
      </c>
      <c r="B317" s="253"/>
      <c r="C317" s="33"/>
      <c r="D317" s="253"/>
      <c r="E317" s="253"/>
    </row>
    <row r="318" spans="1:5" x14ac:dyDescent="0.2">
      <c r="A318" s="345">
        <v>37195</v>
      </c>
      <c r="B318" s="253"/>
      <c r="C318" s="33"/>
      <c r="D318" s="253"/>
      <c r="E318" s="253"/>
    </row>
    <row r="319" spans="1:5" x14ac:dyDescent="0.2">
      <c r="A319" s="345">
        <v>37225</v>
      </c>
      <c r="B319" s="253"/>
      <c r="C319" s="33"/>
      <c r="D319" s="253"/>
      <c r="E319" s="253"/>
    </row>
    <row r="320" spans="1:5" x14ac:dyDescent="0.2">
      <c r="A320" s="345">
        <v>37256</v>
      </c>
      <c r="B320" s="253"/>
      <c r="C320" s="33"/>
      <c r="D320" s="253"/>
      <c r="E320" s="253"/>
    </row>
    <row r="321" spans="1:5" x14ac:dyDescent="0.2">
      <c r="A321" s="345">
        <v>37287</v>
      </c>
      <c r="B321" s="253"/>
      <c r="C321" s="33"/>
      <c r="D321" s="253"/>
      <c r="E321" s="253"/>
    </row>
    <row r="322" spans="1:5" x14ac:dyDescent="0.2">
      <c r="A322" s="345">
        <v>37315</v>
      </c>
      <c r="B322" s="253"/>
      <c r="C322" s="33"/>
      <c r="D322" s="253"/>
      <c r="E322" s="253"/>
    </row>
    <row r="323" spans="1:5" x14ac:dyDescent="0.2">
      <c r="A323" s="345">
        <v>37346</v>
      </c>
      <c r="B323" s="253"/>
      <c r="C323" s="33"/>
      <c r="D323" s="253"/>
      <c r="E323" s="253"/>
    </row>
    <row r="324" spans="1:5" x14ac:dyDescent="0.2">
      <c r="A324" s="345">
        <v>37376</v>
      </c>
      <c r="B324" s="253"/>
      <c r="C324" s="33"/>
      <c r="D324" s="253"/>
      <c r="E324" s="253"/>
    </row>
    <row r="325" spans="1:5" x14ac:dyDescent="0.2">
      <c r="A325" s="345">
        <v>37407</v>
      </c>
      <c r="B325" s="253"/>
      <c r="C325" s="33"/>
      <c r="D325" s="253"/>
      <c r="E325" s="253"/>
    </row>
    <row r="326" spans="1:5" x14ac:dyDescent="0.2">
      <c r="A326" s="345">
        <v>37437</v>
      </c>
      <c r="B326" s="253"/>
      <c r="C326" s="33"/>
      <c r="D326" s="253"/>
      <c r="E326" s="253"/>
    </row>
    <row r="327" spans="1:5" x14ac:dyDescent="0.2">
      <c r="A327" s="345">
        <v>37468</v>
      </c>
      <c r="B327" s="253"/>
      <c r="C327" s="33"/>
      <c r="D327" s="253"/>
      <c r="E327" s="253"/>
    </row>
    <row r="328" spans="1:5" x14ac:dyDescent="0.2">
      <c r="A328" s="345">
        <v>37499</v>
      </c>
      <c r="B328" s="253"/>
      <c r="C328" s="33"/>
      <c r="D328" s="253"/>
      <c r="E328" s="253"/>
    </row>
    <row r="329" spans="1:5" x14ac:dyDescent="0.2">
      <c r="A329" s="345">
        <v>37529</v>
      </c>
      <c r="B329" s="253"/>
      <c r="C329" s="33"/>
      <c r="D329" s="253"/>
      <c r="E329" s="253"/>
    </row>
    <row r="330" spans="1:5" x14ac:dyDescent="0.2">
      <c r="A330" s="345">
        <v>37560</v>
      </c>
      <c r="B330" s="253"/>
      <c r="C330" s="33"/>
      <c r="D330" s="253"/>
      <c r="E330" s="253"/>
    </row>
    <row r="331" spans="1:5" x14ac:dyDescent="0.2">
      <c r="A331" s="345">
        <v>37590</v>
      </c>
      <c r="B331" s="253"/>
      <c r="C331" s="33"/>
      <c r="D331" s="253"/>
      <c r="E331" s="253"/>
    </row>
    <row r="332" spans="1:5" x14ac:dyDescent="0.2">
      <c r="A332" s="345">
        <v>37621</v>
      </c>
      <c r="B332" s="253"/>
      <c r="C332" s="33"/>
      <c r="D332" s="253"/>
      <c r="E332" s="253"/>
    </row>
    <row r="333" spans="1:5" x14ac:dyDescent="0.2">
      <c r="A333" s="345">
        <v>37652</v>
      </c>
      <c r="B333" s="253"/>
      <c r="C333" s="33"/>
      <c r="D333" s="253"/>
      <c r="E333" s="253"/>
    </row>
    <row r="334" spans="1:5" x14ac:dyDescent="0.2">
      <c r="A334" s="345">
        <v>37680</v>
      </c>
      <c r="B334" s="253"/>
      <c r="C334" s="33"/>
      <c r="D334" s="253"/>
      <c r="E334" s="253"/>
    </row>
    <row r="335" spans="1:5" x14ac:dyDescent="0.2">
      <c r="A335" s="345">
        <v>37711</v>
      </c>
      <c r="B335" s="253"/>
      <c r="C335" s="33"/>
      <c r="D335" s="253"/>
      <c r="E335" s="253"/>
    </row>
    <row r="336" spans="1:5" x14ac:dyDescent="0.2">
      <c r="A336" s="345">
        <v>37741</v>
      </c>
      <c r="B336" s="253"/>
      <c r="C336" s="33"/>
      <c r="D336" s="253"/>
      <c r="E336" s="253"/>
    </row>
    <row r="337" spans="1:9" x14ac:dyDescent="0.2">
      <c r="A337" s="345">
        <v>37772</v>
      </c>
      <c r="B337" s="253"/>
      <c r="C337" s="33"/>
      <c r="D337" s="253"/>
      <c r="E337" s="253"/>
    </row>
    <row r="338" spans="1:9" x14ac:dyDescent="0.2">
      <c r="A338" s="345">
        <v>37802</v>
      </c>
      <c r="B338" s="253"/>
      <c r="C338" s="33"/>
      <c r="D338" s="253"/>
      <c r="E338" s="253"/>
    </row>
    <row r="339" spans="1:9" x14ac:dyDescent="0.2">
      <c r="A339" s="345">
        <v>37833</v>
      </c>
      <c r="B339" s="253"/>
      <c r="C339" s="33"/>
      <c r="D339" s="253"/>
      <c r="E339" s="253"/>
    </row>
    <row r="340" spans="1:9" x14ac:dyDescent="0.2">
      <c r="A340" s="345">
        <v>37864</v>
      </c>
      <c r="B340" s="253"/>
      <c r="C340" s="33"/>
      <c r="D340" s="253"/>
      <c r="E340" s="253"/>
    </row>
    <row r="341" spans="1:9" x14ac:dyDescent="0.2">
      <c r="A341" s="345">
        <v>37894</v>
      </c>
      <c r="B341" s="253"/>
      <c r="C341" s="34"/>
      <c r="D341" s="253"/>
      <c r="E341" s="253"/>
    </row>
    <row r="342" spans="1:9" x14ac:dyDescent="0.2">
      <c r="A342" s="345">
        <v>37925</v>
      </c>
      <c r="B342" s="253"/>
      <c r="C342" s="34"/>
      <c r="D342" s="253"/>
      <c r="E342" s="253"/>
    </row>
    <row r="343" spans="1:9" x14ac:dyDescent="0.2">
      <c r="A343" s="345">
        <v>37955</v>
      </c>
      <c r="B343" s="253"/>
      <c r="C343" s="34"/>
      <c r="D343" s="253"/>
      <c r="E343" s="253"/>
    </row>
    <row r="344" spans="1:9" x14ac:dyDescent="0.2">
      <c r="A344" s="345">
        <v>37986</v>
      </c>
      <c r="B344" s="253"/>
      <c r="C344" s="34"/>
      <c r="D344" s="253"/>
      <c r="E344" s="253"/>
    </row>
    <row r="345" spans="1:9" x14ac:dyDescent="0.2">
      <c r="A345" s="345">
        <v>38017</v>
      </c>
      <c r="B345" s="253"/>
      <c r="C345" s="34"/>
      <c r="D345" s="253"/>
      <c r="E345" s="253"/>
    </row>
    <row r="346" spans="1:9" x14ac:dyDescent="0.2">
      <c r="A346" s="345">
        <v>38046</v>
      </c>
      <c r="B346" s="253"/>
      <c r="C346" s="34"/>
      <c r="D346" s="253"/>
      <c r="E346" s="253"/>
    </row>
    <row r="347" spans="1:9" x14ac:dyDescent="0.2">
      <c r="A347" s="345">
        <v>38077</v>
      </c>
      <c r="B347" s="253"/>
      <c r="C347" s="34"/>
      <c r="D347" s="255"/>
      <c r="E347" s="253"/>
    </row>
    <row r="348" spans="1:9" x14ac:dyDescent="0.2">
      <c r="A348" s="345">
        <v>38107</v>
      </c>
      <c r="B348" s="253"/>
      <c r="C348" s="34"/>
      <c r="D348" s="253"/>
      <c r="E348" s="253"/>
      <c r="I348" s="14"/>
    </row>
    <row r="349" spans="1:9" x14ac:dyDescent="0.2">
      <c r="A349" s="345">
        <v>38138</v>
      </c>
      <c r="B349" s="253"/>
      <c r="C349" s="34"/>
      <c r="D349" s="253"/>
      <c r="E349" s="253"/>
      <c r="I349" s="14"/>
    </row>
    <row r="350" spans="1:9" x14ac:dyDescent="0.2">
      <c r="A350" s="345">
        <v>38168</v>
      </c>
      <c r="B350" s="253"/>
      <c r="C350" s="34"/>
      <c r="D350" s="253"/>
      <c r="E350" s="253"/>
      <c r="I350" s="14"/>
    </row>
    <row r="351" spans="1:9" x14ac:dyDescent="0.2">
      <c r="A351" s="345">
        <v>38199</v>
      </c>
      <c r="B351" s="253"/>
      <c r="C351" s="34"/>
      <c r="D351" s="253"/>
      <c r="E351" s="253"/>
    </row>
    <row r="352" spans="1:9" x14ac:dyDescent="0.2">
      <c r="A352" s="345">
        <v>38230</v>
      </c>
      <c r="B352" s="253"/>
      <c r="C352" s="34"/>
      <c r="D352" s="253"/>
      <c r="E352" s="253"/>
    </row>
    <row r="353" spans="1:5" x14ac:dyDescent="0.2">
      <c r="A353" s="345">
        <v>38260</v>
      </c>
      <c r="B353" s="253"/>
      <c r="C353" s="34"/>
      <c r="D353" s="253"/>
      <c r="E353" s="253"/>
    </row>
    <row r="354" spans="1:5" x14ac:dyDescent="0.2">
      <c r="A354" s="345">
        <v>38291</v>
      </c>
      <c r="B354" s="253"/>
      <c r="C354" s="34"/>
      <c r="D354" s="253"/>
      <c r="E354" s="253"/>
    </row>
    <row r="355" spans="1:5" x14ac:dyDescent="0.2">
      <c r="A355" s="345">
        <v>38321</v>
      </c>
      <c r="B355" s="253"/>
      <c r="C355" s="34"/>
      <c r="D355" s="253"/>
      <c r="E355" s="253"/>
    </row>
    <row r="356" spans="1:5" x14ac:dyDescent="0.2">
      <c r="A356" s="345">
        <v>38352</v>
      </c>
      <c r="B356" s="253"/>
      <c r="C356" s="256"/>
      <c r="D356" s="253"/>
      <c r="E356" s="253"/>
    </row>
    <row r="357" spans="1:5" x14ac:dyDescent="0.2">
      <c r="A357" s="345">
        <v>38383</v>
      </c>
      <c r="B357" s="253"/>
      <c r="C357" s="34"/>
      <c r="D357" s="76"/>
      <c r="E357" s="253"/>
    </row>
    <row r="358" spans="1:5" x14ac:dyDescent="0.2">
      <c r="A358" s="345">
        <v>38411</v>
      </c>
      <c r="B358" s="253"/>
      <c r="C358" s="34"/>
      <c r="D358" s="76"/>
      <c r="E358" s="253"/>
    </row>
    <row r="359" spans="1:5" x14ac:dyDescent="0.2">
      <c r="A359" s="345">
        <v>38442</v>
      </c>
      <c r="B359" s="253"/>
      <c r="C359" s="256"/>
      <c r="D359" s="76"/>
      <c r="E359" s="253"/>
    </row>
    <row r="360" spans="1:5" x14ac:dyDescent="0.2">
      <c r="A360" s="345">
        <v>38472</v>
      </c>
      <c r="B360" s="253"/>
      <c r="C360" s="256"/>
      <c r="D360" s="76"/>
      <c r="E360" s="253"/>
    </row>
    <row r="361" spans="1:5" x14ac:dyDescent="0.2">
      <c r="A361" s="345">
        <v>38503</v>
      </c>
      <c r="B361" s="253"/>
      <c r="C361" s="256"/>
      <c r="D361" s="76"/>
      <c r="E361" s="253"/>
    </row>
    <row r="362" spans="1:5" x14ac:dyDescent="0.2">
      <c r="A362" s="345">
        <v>38533</v>
      </c>
      <c r="B362" s="253"/>
      <c r="C362" s="256"/>
      <c r="D362" s="76"/>
      <c r="E362" s="253"/>
    </row>
    <row r="363" spans="1:5" x14ac:dyDescent="0.2">
      <c r="A363" s="345">
        <v>38564</v>
      </c>
      <c r="B363" s="253"/>
      <c r="C363" s="256"/>
      <c r="D363" s="76"/>
      <c r="E363" s="253"/>
    </row>
    <row r="364" spans="1:5" x14ac:dyDescent="0.2">
      <c r="A364" s="345">
        <v>38595</v>
      </c>
      <c r="B364" s="253"/>
      <c r="C364" s="256"/>
      <c r="D364" s="76"/>
      <c r="E364" s="253"/>
    </row>
    <row r="365" spans="1:5" x14ac:dyDescent="0.2">
      <c r="A365" s="345">
        <v>38625</v>
      </c>
      <c r="B365" s="253"/>
      <c r="C365" s="334"/>
      <c r="D365" s="76"/>
      <c r="E365" s="253"/>
    </row>
    <row r="366" spans="1:5" x14ac:dyDescent="0.2">
      <c r="A366" s="345">
        <v>38656</v>
      </c>
      <c r="B366" s="253"/>
      <c r="C366" s="334"/>
      <c r="D366" s="76"/>
      <c r="E366" s="253"/>
    </row>
    <row r="367" spans="1:5" x14ac:dyDescent="0.2">
      <c r="A367" s="345">
        <v>38686</v>
      </c>
      <c r="B367" s="253"/>
      <c r="C367" s="334"/>
      <c r="D367" s="76"/>
      <c r="E367" s="253"/>
    </row>
    <row r="368" spans="1:5" x14ac:dyDescent="0.2">
      <c r="A368" s="345">
        <v>38717</v>
      </c>
      <c r="B368" s="253"/>
      <c r="C368" s="256"/>
      <c r="D368" s="76"/>
      <c r="E368" s="253"/>
    </row>
    <row r="369" spans="1:9" x14ac:dyDescent="0.2">
      <c r="A369" s="345">
        <v>38748</v>
      </c>
      <c r="B369" s="253"/>
      <c r="C369" s="256"/>
      <c r="D369" s="76"/>
      <c r="E369" s="253"/>
      <c r="F369" s="496"/>
      <c r="G369" s="700"/>
      <c r="H369" s="703"/>
      <c r="I369" s="253"/>
    </row>
    <row r="370" spans="1:9" x14ac:dyDescent="0.2">
      <c r="A370" s="345">
        <v>38776</v>
      </c>
      <c r="B370" s="253"/>
      <c r="C370" s="256"/>
      <c r="D370" s="76"/>
      <c r="E370" s="253"/>
      <c r="F370" s="496"/>
      <c r="G370" s="701"/>
      <c r="H370" s="703"/>
      <c r="I370" s="253"/>
    </row>
    <row r="371" spans="1:9" x14ac:dyDescent="0.2">
      <c r="A371" s="345">
        <v>38807</v>
      </c>
      <c r="B371" s="253"/>
      <c r="C371" s="256"/>
      <c r="D371" s="76"/>
      <c r="E371" s="253"/>
      <c r="F371" s="496"/>
      <c r="G371" s="701"/>
      <c r="H371" s="703"/>
      <c r="I371" s="253"/>
    </row>
    <row r="372" spans="1:9" x14ac:dyDescent="0.2">
      <c r="A372" s="345">
        <v>38837</v>
      </c>
      <c r="B372" s="253"/>
      <c r="C372" s="34"/>
      <c r="D372" s="76"/>
      <c r="E372" s="253"/>
      <c r="F372" s="496"/>
      <c r="G372" s="700"/>
      <c r="H372" s="703"/>
      <c r="I372" s="253"/>
    </row>
    <row r="373" spans="1:9" x14ac:dyDescent="0.2">
      <c r="A373" s="345">
        <v>38868</v>
      </c>
      <c r="B373" s="253"/>
      <c r="C373" s="34"/>
      <c r="D373" s="76"/>
      <c r="E373" s="253"/>
      <c r="F373" s="496"/>
      <c r="G373" s="700"/>
      <c r="H373" s="703"/>
      <c r="I373" s="253"/>
    </row>
    <row r="374" spans="1:9" x14ac:dyDescent="0.2">
      <c r="A374" s="345">
        <v>38898</v>
      </c>
      <c r="B374" s="76"/>
      <c r="C374" s="354"/>
      <c r="D374" s="253"/>
      <c r="E374" s="253"/>
      <c r="F374" s="496"/>
      <c r="G374" s="700"/>
      <c r="H374" s="703"/>
      <c r="I374" s="253"/>
    </row>
    <row r="375" spans="1:9" x14ac:dyDescent="0.2">
      <c r="A375" s="345">
        <v>38929</v>
      </c>
      <c r="B375" s="253"/>
      <c r="C375" s="34"/>
      <c r="D375" s="253"/>
      <c r="E375" s="253"/>
      <c r="F375" s="496"/>
      <c r="G375" s="700"/>
      <c r="H375" s="703"/>
      <c r="I375" s="253"/>
    </row>
    <row r="376" spans="1:9" x14ac:dyDescent="0.2">
      <c r="A376" s="345">
        <v>38960</v>
      </c>
      <c r="B376" s="253"/>
      <c r="C376" s="34"/>
      <c r="D376" s="253"/>
      <c r="E376" s="253"/>
    </row>
    <row r="377" spans="1:9" x14ac:dyDescent="0.2">
      <c r="A377" s="345">
        <v>38990</v>
      </c>
      <c r="B377" s="253"/>
      <c r="C377" s="34"/>
      <c r="D377" s="253"/>
      <c r="E377" s="253"/>
    </row>
    <row r="378" spans="1:9" x14ac:dyDescent="0.2">
      <c r="A378" s="345">
        <v>39021</v>
      </c>
      <c r="B378" s="253"/>
      <c r="C378" s="34"/>
      <c r="D378" s="253"/>
      <c r="E378" s="253"/>
    </row>
    <row r="379" spans="1:9" x14ac:dyDescent="0.2">
      <c r="A379" s="345">
        <v>39051</v>
      </c>
      <c r="B379" s="253"/>
      <c r="C379" s="34"/>
      <c r="D379" s="253"/>
      <c r="E379" s="253"/>
    </row>
    <row r="380" spans="1:9" x14ac:dyDescent="0.2">
      <c r="A380" s="345">
        <v>39082</v>
      </c>
      <c r="B380" s="253"/>
      <c r="C380" s="34"/>
      <c r="D380" s="253"/>
      <c r="E380" s="253"/>
    </row>
    <row r="381" spans="1:9" x14ac:dyDescent="0.2">
      <c r="A381" s="345">
        <v>39113</v>
      </c>
    </row>
    <row r="382" spans="1:9" x14ac:dyDescent="0.2">
      <c r="A382" s="345">
        <v>39141</v>
      </c>
    </row>
    <row r="383" spans="1:9" x14ac:dyDescent="0.2">
      <c r="A383" s="345">
        <v>39172</v>
      </c>
    </row>
    <row r="384" spans="1:9" x14ac:dyDescent="0.2">
      <c r="A384" s="345">
        <v>39202</v>
      </c>
    </row>
    <row r="385" spans="1:3" x14ac:dyDescent="0.2">
      <c r="A385" s="345">
        <v>39233</v>
      </c>
    </row>
    <row r="386" spans="1:3" x14ac:dyDescent="0.2">
      <c r="A386" s="345">
        <v>39263</v>
      </c>
    </row>
    <row r="387" spans="1:3" x14ac:dyDescent="0.2">
      <c r="A387" s="345">
        <v>39294</v>
      </c>
    </row>
    <row r="388" spans="1:3" x14ac:dyDescent="0.2">
      <c r="A388" s="345">
        <v>39325</v>
      </c>
    </row>
    <row r="389" spans="1:3" x14ac:dyDescent="0.2">
      <c r="A389" s="345">
        <v>39355</v>
      </c>
    </row>
    <row r="390" spans="1:3" x14ac:dyDescent="0.2">
      <c r="A390" s="345">
        <v>39386</v>
      </c>
    </row>
    <row r="391" spans="1:3" x14ac:dyDescent="0.2">
      <c r="A391" s="345">
        <v>39416</v>
      </c>
    </row>
    <row r="392" spans="1:3" x14ac:dyDescent="0.2">
      <c r="A392" s="345">
        <v>39447</v>
      </c>
    </row>
    <row r="393" spans="1:3" x14ac:dyDescent="0.2">
      <c r="A393" s="345">
        <v>39478</v>
      </c>
    </row>
    <row r="394" spans="1:3" x14ac:dyDescent="0.2">
      <c r="A394" s="345">
        <v>39507</v>
      </c>
    </row>
    <row r="395" spans="1:3" x14ac:dyDescent="0.2">
      <c r="A395" s="345">
        <v>39538</v>
      </c>
    </row>
    <row r="396" spans="1:3" x14ac:dyDescent="0.2">
      <c r="A396" s="345">
        <v>39568</v>
      </c>
    </row>
    <row r="397" spans="1:3" x14ac:dyDescent="0.2">
      <c r="A397" s="345">
        <v>39599</v>
      </c>
    </row>
    <row r="398" spans="1:3" x14ac:dyDescent="0.2">
      <c r="A398" s="345">
        <v>39629</v>
      </c>
    </row>
    <row r="399" spans="1:3" x14ac:dyDescent="0.2">
      <c r="A399" s="345">
        <v>39660</v>
      </c>
      <c r="C399" s="1383"/>
    </row>
    <row r="400" spans="1:3" x14ac:dyDescent="0.2">
      <c r="A400" s="345">
        <v>39691</v>
      </c>
      <c r="C400" s="1383"/>
    </row>
    <row r="401" spans="1:3" x14ac:dyDescent="0.2">
      <c r="A401" s="345">
        <v>39721</v>
      </c>
      <c r="C401" s="1383"/>
    </row>
    <row r="402" spans="1:3" x14ac:dyDescent="0.2">
      <c r="A402" s="345">
        <v>39752</v>
      </c>
    </row>
    <row r="403" spans="1:3" x14ac:dyDescent="0.2">
      <c r="A403" s="345">
        <v>39782</v>
      </c>
    </row>
    <row r="404" spans="1:3" x14ac:dyDescent="0.2">
      <c r="A404" s="345">
        <v>39813</v>
      </c>
    </row>
    <row r="405" spans="1:3" x14ac:dyDescent="0.2">
      <c r="A405" s="345">
        <v>39844</v>
      </c>
    </row>
    <row r="406" spans="1:3" x14ac:dyDescent="0.2">
      <c r="A406" s="345">
        <v>39872</v>
      </c>
    </row>
    <row r="407" spans="1:3" x14ac:dyDescent="0.2">
      <c r="A407" s="345">
        <v>39903</v>
      </c>
    </row>
    <row r="408" spans="1:3" x14ac:dyDescent="0.2">
      <c r="A408" s="345">
        <v>39933</v>
      </c>
    </row>
    <row r="409" spans="1:3" x14ac:dyDescent="0.2">
      <c r="A409" s="345">
        <v>39964</v>
      </c>
    </row>
    <row r="410" spans="1:3" x14ac:dyDescent="0.2">
      <c r="A410" s="345">
        <v>39994</v>
      </c>
    </row>
    <row r="411" spans="1:3" x14ac:dyDescent="0.2">
      <c r="A411" s="345">
        <v>40025</v>
      </c>
    </row>
    <row r="412" spans="1:3" x14ac:dyDescent="0.2">
      <c r="A412" s="345">
        <v>40056</v>
      </c>
    </row>
    <row r="413" spans="1:3" x14ac:dyDescent="0.2">
      <c r="A413" s="345">
        <v>40086</v>
      </c>
    </row>
    <row r="414" spans="1:3" x14ac:dyDescent="0.2">
      <c r="A414" s="345">
        <v>40117</v>
      </c>
    </row>
    <row r="415" spans="1:3" x14ac:dyDescent="0.2">
      <c r="A415" s="345">
        <v>40147</v>
      </c>
    </row>
    <row r="416" spans="1:3" x14ac:dyDescent="0.2">
      <c r="A416" s="345">
        <v>40178</v>
      </c>
    </row>
    <row r="417" spans="1:4" x14ac:dyDescent="0.2">
      <c r="A417" s="345">
        <v>40209</v>
      </c>
    </row>
    <row r="418" spans="1:4" x14ac:dyDescent="0.2">
      <c r="A418" s="345">
        <v>40237</v>
      </c>
    </row>
    <row r="419" spans="1:4" x14ac:dyDescent="0.2">
      <c r="A419" s="345">
        <v>40268</v>
      </c>
      <c r="C419" s="1334"/>
      <c r="D419" s="1311"/>
    </row>
    <row r="420" spans="1:4" x14ac:dyDescent="0.2">
      <c r="A420" s="345">
        <v>40298</v>
      </c>
    </row>
    <row r="421" spans="1:4" x14ac:dyDescent="0.2">
      <c r="A421" s="345">
        <v>40329</v>
      </c>
    </row>
    <row r="422" spans="1:4" x14ac:dyDescent="0.2">
      <c r="A422" s="345">
        <v>40359</v>
      </c>
    </row>
    <row r="423" spans="1:4" x14ac:dyDescent="0.2">
      <c r="A423" s="345">
        <v>40390</v>
      </c>
    </row>
    <row r="424" spans="1:4" x14ac:dyDescent="0.2">
      <c r="A424" s="345">
        <v>40421</v>
      </c>
      <c r="B424" s="1369"/>
    </row>
    <row r="425" spans="1:4" x14ac:dyDescent="0.2">
      <c r="A425" s="345">
        <v>40451</v>
      </c>
      <c r="B425" s="258"/>
    </row>
    <row r="426" spans="1:4" x14ac:dyDescent="0.2">
      <c r="A426" s="345">
        <v>40482</v>
      </c>
      <c r="B426" s="1311"/>
      <c r="D426" s="1311"/>
    </row>
    <row r="427" spans="1:4" x14ac:dyDescent="0.2">
      <c r="A427" s="345">
        <v>40512</v>
      </c>
    </row>
    <row r="428" spans="1:4" x14ac:dyDescent="0.2">
      <c r="A428" s="345">
        <v>40543</v>
      </c>
    </row>
    <row r="429" spans="1:4" x14ac:dyDescent="0.2">
      <c r="A429" s="345">
        <v>40574</v>
      </c>
      <c r="B429" s="257">
        <f>D429</f>
        <v>2.3748999999999998</v>
      </c>
      <c r="C429" s="346">
        <v>35806525.770000003</v>
      </c>
      <c r="D429" s="258">
        <v>2.3748999999999998</v>
      </c>
    </row>
    <row r="430" spans="1:4" x14ac:dyDescent="0.2">
      <c r="A430" s="345">
        <v>40602</v>
      </c>
      <c r="B430" s="257">
        <v>3.30714</v>
      </c>
      <c r="C430" s="346">
        <v>36990697.020000003</v>
      </c>
      <c r="D430" s="258">
        <v>3.30714</v>
      </c>
    </row>
    <row r="431" spans="1:4" x14ac:dyDescent="0.2">
      <c r="A431" s="345">
        <v>40633</v>
      </c>
      <c r="B431" s="257">
        <f>D431</f>
        <v>-2.23143</v>
      </c>
      <c r="C431" s="346">
        <v>36165274.32</v>
      </c>
      <c r="D431" s="258">
        <v>-2.23143</v>
      </c>
    </row>
    <row r="432" spans="1:4" x14ac:dyDescent="0.2">
      <c r="A432" s="345">
        <v>40663</v>
      </c>
      <c r="B432" s="257">
        <f t="shared" ref="B432:B488" si="0">D432</f>
        <v>6.0080999999999998</v>
      </c>
      <c r="C432" s="346">
        <v>38339224.530000001</v>
      </c>
      <c r="D432" s="258">
        <v>6.0080999999999998</v>
      </c>
    </row>
    <row r="433" spans="1:4" x14ac:dyDescent="0.2">
      <c r="A433" s="345">
        <v>40694</v>
      </c>
      <c r="B433" s="257">
        <f t="shared" si="0"/>
        <v>-2.8999100000000002</v>
      </c>
      <c r="C433" s="346">
        <v>37236572.740000002</v>
      </c>
      <c r="D433" s="258">
        <v>-2.8999100000000002</v>
      </c>
    </row>
    <row r="434" spans="1:4" x14ac:dyDescent="0.2">
      <c r="A434" s="345">
        <v>40724</v>
      </c>
      <c r="B434" s="257">
        <f t="shared" si="0"/>
        <v>-1.2074800000000001</v>
      </c>
      <c r="C434" s="346">
        <v>36786949.840000004</v>
      </c>
      <c r="D434" s="258">
        <v>-1.2074800000000001</v>
      </c>
    </row>
    <row r="435" spans="1:4" x14ac:dyDescent="0.2">
      <c r="A435" s="345">
        <v>40755</v>
      </c>
      <c r="B435" s="257">
        <f t="shared" si="0"/>
        <v>-1.5934200000000001</v>
      </c>
      <c r="C435" s="346">
        <v>36200778.130000003</v>
      </c>
      <c r="D435" s="258">
        <v>-1.5934200000000001</v>
      </c>
    </row>
    <row r="436" spans="1:4" x14ac:dyDescent="0.2">
      <c r="A436" s="345">
        <v>40786</v>
      </c>
      <c r="B436" s="257">
        <f t="shared" si="0"/>
        <v>-9.0539500000000004</v>
      </c>
      <c r="C436" s="346">
        <v>32931925.949999999</v>
      </c>
      <c r="D436" s="258">
        <v>-9.0539500000000004</v>
      </c>
    </row>
    <row r="437" spans="1:4" x14ac:dyDescent="0.2">
      <c r="A437" s="345">
        <v>40816</v>
      </c>
      <c r="B437" s="257">
        <f t="shared" si="0"/>
        <v>-9.4985900000000001</v>
      </c>
      <c r="C437" s="346">
        <v>29803857.629999999</v>
      </c>
      <c r="D437" s="258">
        <v>-9.4985900000000001</v>
      </c>
    </row>
    <row r="438" spans="1:4" x14ac:dyDescent="0.2">
      <c r="A438" s="345">
        <v>40847</v>
      </c>
      <c r="B438" s="257">
        <f t="shared" si="0"/>
        <v>9.6532</v>
      </c>
      <c r="C438" s="346">
        <v>32680883.68</v>
      </c>
      <c r="D438" s="258">
        <v>9.6532</v>
      </c>
    </row>
    <row r="439" spans="1:4" x14ac:dyDescent="0.2">
      <c r="A439" s="345">
        <v>40877</v>
      </c>
      <c r="B439" s="257">
        <f t="shared" si="0"/>
        <v>-4.8591699999999998</v>
      </c>
      <c r="C439" s="346">
        <v>31092865.52</v>
      </c>
      <c r="D439" s="258">
        <v>-4.8591699999999998</v>
      </c>
    </row>
    <row r="440" spans="1:4" x14ac:dyDescent="0.2">
      <c r="A440" s="345">
        <v>40908</v>
      </c>
      <c r="B440" s="257">
        <f t="shared" si="0"/>
        <v>-0.95357000000000003</v>
      </c>
      <c r="C440" s="346">
        <v>30796374.899999999</v>
      </c>
      <c r="D440" s="258">
        <v>-0.95357000000000003</v>
      </c>
    </row>
    <row r="441" spans="1:4" x14ac:dyDescent="0.2">
      <c r="A441" s="345">
        <v>40939</v>
      </c>
      <c r="B441" s="257">
        <f t="shared" si="0"/>
        <v>5.3135599999999998</v>
      </c>
      <c r="C441" s="346">
        <v>32441399.809999999</v>
      </c>
      <c r="D441" s="258">
        <v>5.3135599999999998</v>
      </c>
    </row>
    <row r="442" spans="1:4" x14ac:dyDescent="0.2">
      <c r="A442" s="345">
        <v>40968</v>
      </c>
      <c r="B442" s="257">
        <f t="shared" si="0"/>
        <v>5.7128199999999998</v>
      </c>
      <c r="C442" s="346">
        <v>34302575.82</v>
      </c>
      <c r="D442" s="258">
        <v>5.7128199999999998</v>
      </c>
    </row>
    <row r="443" spans="1:4" x14ac:dyDescent="0.2">
      <c r="A443" s="345">
        <v>40999</v>
      </c>
      <c r="B443" s="257">
        <f t="shared" si="0"/>
        <v>-0.45698</v>
      </c>
      <c r="C443" s="346">
        <v>34145818.420000002</v>
      </c>
      <c r="D443" s="258">
        <v>-0.45698</v>
      </c>
    </row>
    <row r="444" spans="1:4" x14ac:dyDescent="0.2">
      <c r="A444" s="345">
        <v>41029</v>
      </c>
      <c r="B444" s="257">
        <f t="shared" si="0"/>
        <v>-1.91818</v>
      </c>
      <c r="C444" s="346">
        <v>33490839.210000001</v>
      </c>
      <c r="D444" s="258">
        <v>-1.91818</v>
      </c>
    </row>
    <row r="445" spans="1:4" x14ac:dyDescent="0.2">
      <c r="A445" s="345">
        <v>41060</v>
      </c>
      <c r="B445" s="257">
        <f t="shared" si="0"/>
        <v>-11.40672</v>
      </c>
      <c r="C445" s="346">
        <v>29670634.73</v>
      </c>
      <c r="D445" s="258">
        <v>-11.40672</v>
      </c>
    </row>
    <row r="446" spans="1:4" x14ac:dyDescent="0.2">
      <c r="A446" s="345">
        <v>41090</v>
      </c>
      <c r="B446" s="257">
        <f t="shared" si="0"/>
        <v>7.0023200000000001</v>
      </c>
      <c r="C446" s="346">
        <v>31757262.600000001</v>
      </c>
      <c r="D446" s="258">
        <v>7.0023200000000001</v>
      </c>
    </row>
    <row r="447" spans="1:4" x14ac:dyDescent="0.2">
      <c r="A447" s="345">
        <v>41121</v>
      </c>
      <c r="B447" s="257">
        <f t="shared" si="0"/>
        <v>1.1393</v>
      </c>
      <c r="C447" s="346">
        <v>32119071.68</v>
      </c>
      <c r="D447" s="258">
        <v>1.1393</v>
      </c>
    </row>
    <row r="448" spans="1:4" x14ac:dyDescent="0.2">
      <c r="A448" s="345">
        <v>41152</v>
      </c>
      <c r="B448" s="257">
        <f t="shared" si="0"/>
        <v>2.6669900000000002</v>
      </c>
      <c r="C448" s="346">
        <v>32983595.550000001</v>
      </c>
      <c r="D448" s="258">
        <v>2.6669900000000002</v>
      </c>
    </row>
    <row r="449" spans="1:4" x14ac:dyDescent="0.2">
      <c r="A449" s="345">
        <v>41182</v>
      </c>
      <c r="B449" s="257">
        <f t="shared" si="0"/>
        <v>2.9524599999999999</v>
      </c>
      <c r="C449" s="346">
        <v>33957424.009999998</v>
      </c>
      <c r="D449" s="258">
        <v>2.9524599999999999</v>
      </c>
    </row>
    <row r="450" spans="1:4" x14ac:dyDescent="0.2">
      <c r="A450" s="345">
        <v>41213</v>
      </c>
      <c r="B450" s="257">
        <f t="shared" si="0"/>
        <v>0.84614</v>
      </c>
      <c r="C450" s="346">
        <v>31317299.039999999</v>
      </c>
      <c r="D450" s="258">
        <v>0.84614</v>
      </c>
    </row>
    <row r="451" spans="1:4" x14ac:dyDescent="0.2">
      <c r="A451" s="345">
        <v>41243</v>
      </c>
      <c r="B451" s="257">
        <f t="shared" si="0"/>
        <v>2.4140299999999999</v>
      </c>
      <c r="C451" s="346">
        <v>32073307.93</v>
      </c>
      <c r="D451" s="258">
        <v>2.4140299999999999</v>
      </c>
    </row>
    <row r="452" spans="1:4" x14ac:dyDescent="0.2">
      <c r="A452" s="345">
        <v>41274</v>
      </c>
      <c r="B452" s="257">
        <f t="shared" si="0"/>
        <v>3.1985399999999999</v>
      </c>
      <c r="C452" s="346">
        <v>33099183.800000001</v>
      </c>
      <c r="D452" s="258">
        <v>3.1985399999999999</v>
      </c>
    </row>
    <row r="453" spans="1:4" x14ac:dyDescent="0.2">
      <c r="A453" s="345">
        <v>41305</v>
      </c>
      <c r="B453" s="257">
        <f t="shared" si="0"/>
        <v>5.2920699999999998</v>
      </c>
      <c r="C453" s="346">
        <v>34851286.509999998</v>
      </c>
      <c r="D453" s="258">
        <v>5.2920699999999998</v>
      </c>
    </row>
    <row r="454" spans="1:4" x14ac:dyDescent="0.2">
      <c r="A454" s="345">
        <v>41333</v>
      </c>
      <c r="B454" s="257">
        <f t="shared" si="0"/>
        <v>-0.95204</v>
      </c>
      <c r="C454" s="346">
        <v>34519488.82</v>
      </c>
      <c r="D454" s="258">
        <v>-0.95204</v>
      </c>
    </row>
    <row r="455" spans="1:4" x14ac:dyDescent="0.2">
      <c r="A455" s="345">
        <v>41364</v>
      </c>
      <c r="B455" s="257">
        <f t="shared" si="0"/>
        <v>0.81018999999999997</v>
      </c>
      <c r="C455" s="346">
        <v>34815366.5</v>
      </c>
      <c r="D455" s="258">
        <v>0.81018999999999997</v>
      </c>
    </row>
    <row r="456" spans="1:4" x14ac:dyDescent="0.2">
      <c r="A456" s="345">
        <v>41394</v>
      </c>
      <c r="B456" s="257">
        <f t="shared" si="0"/>
        <v>5.2275799999999997</v>
      </c>
      <c r="C456" s="346">
        <v>36635366.07</v>
      </c>
      <c r="D456" s="258">
        <v>5.2275799999999997</v>
      </c>
    </row>
    <row r="457" spans="1:4" x14ac:dyDescent="0.2">
      <c r="A457" s="345">
        <v>41425</v>
      </c>
      <c r="B457" s="257">
        <f t="shared" si="0"/>
        <v>-2.37818</v>
      </c>
      <c r="C457" s="346">
        <v>35772501</v>
      </c>
      <c r="D457" s="258">
        <v>-2.37818</v>
      </c>
    </row>
    <row r="458" spans="1:4" x14ac:dyDescent="0.2">
      <c r="A458" s="345">
        <v>41455</v>
      </c>
      <c r="B458" s="257">
        <f t="shared" si="0"/>
        <v>-3.54854</v>
      </c>
      <c r="C458" s="346">
        <v>34503099</v>
      </c>
      <c r="D458" s="258">
        <v>-3.54854</v>
      </c>
    </row>
    <row r="459" spans="1:4" x14ac:dyDescent="0.2">
      <c r="A459" s="345">
        <v>41486</v>
      </c>
      <c r="B459" s="257">
        <f t="shared" si="0"/>
        <v>5.2770099999999998</v>
      </c>
      <c r="C459" s="346">
        <v>35114130.82</v>
      </c>
      <c r="D459" s="258">
        <v>5.2770099999999998</v>
      </c>
    </row>
    <row r="460" spans="1:4" x14ac:dyDescent="0.2">
      <c r="A460" s="345">
        <v>41517</v>
      </c>
      <c r="B460" s="257">
        <f t="shared" si="0"/>
        <v>-1.3163400000000001</v>
      </c>
      <c r="C460" s="346">
        <v>34651908.890000001</v>
      </c>
      <c r="D460" s="258">
        <v>-1.3163400000000001</v>
      </c>
    </row>
    <row r="461" spans="1:4" x14ac:dyDescent="0.2">
      <c r="A461" s="345">
        <v>41547</v>
      </c>
      <c r="B461" s="257">
        <f t="shared" si="0"/>
        <v>7.3997200000000003</v>
      </c>
      <c r="C461" s="346">
        <v>37216052.140000001</v>
      </c>
      <c r="D461" s="258">
        <v>7.3997200000000003</v>
      </c>
    </row>
    <row r="462" spans="1:4" x14ac:dyDescent="0.2">
      <c r="A462" s="345">
        <v>41578</v>
      </c>
      <c r="B462" s="257">
        <f t="shared" si="0"/>
        <v>3.3585600000000002</v>
      </c>
      <c r="C462" s="346">
        <v>38465973.869999997</v>
      </c>
      <c r="D462" s="258">
        <v>3.3585600000000002</v>
      </c>
    </row>
    <row r="463" spans="1:4" x14ac:dyDescent="0.2">
      <c r="A463" s="345">
        <v>41608</v>
      </c>
      <c r="B463" s="257">
        <f t="shared" si="0"/>
        <v>0.71191000000000004</v>
      </c>
      <c r="C463" s="346">
        <v>37220025.539999999</v>
      </c>
      <c r="D463" s="258">
        <v>0.71191000000000004</v>
      </c>
    </row>
    <row r="464" spans="1:4" x14ac:dyDescent="0.2">
      <c r="A464" s="345">
        <v>41639</v>
      </c>
      <c r="B464" s="257">
        <f t="shared" si="0"/>
        <v>1.49437</v>
      </c>
      <c r="C464" s="346">
        <v>37776229.140000001</v>
      </c>
      <c r="D464" s="258">
        <v>1.49437</v>
      </c>
    </row>
    <row r="465" spans="1:4" x14ac:dyDescent="0.2">
      <c r="A465" s="345">
        <v>41670</v>
      </c>
      <c r="B465" s="257">
        <f t="shared" si="0"/>
        <v>-4.0419799999999997</v>
      </c>
      <c r="C465" s="346">
        <v>36258354.57</v>
      </c>
      <c r="D465" s="258">
        <v>-4.0419799999999997</v>
      </c>
    </row>
    <row r="466" spans="1:4" x14ac:dyDescent="0.2">
      <c r="A466" s="345">
        <v>41698</v>
      </c>
      <c r="B466" s="257">
        <f t="shared" si="0"/>
        <v>5.5633499999999998</v>
      </c>
      <c r="C466" s="346">
        <v>38275533.700000003</v>
      </c>
      <c r="D466" s="258">
        <v>5.5633499999999998</v>
      </c>
    </row>
    <row r="467" spans="1:4" x14ac:dyDescent="0.2">
      <c r="A467" s="345">
        <v>41729</v>
      </c>
      <c r="B467" s="257">
        <f t="shared" si="0"/>
        <v>-0.61241000000000001</v>
      </c>
      <c r="C467" s="346">
        <v>38041130.689999998</v>
      </c>
      <c r="D467" s="258">
        <v>-0.61241000000000001</v>
      </c>
    </row>
    <row r="468" spans="1:4" x14ac:dyDescent="0.2">
      <c r="A468" s="345">
        <v>41759</v>
      </c>
      <c r="B468" s="257">
        <f t="shared" si="0"/>
        <v>1.4585600000000001</v>
      </c>
      <c r="C468" s="346">
        <v>38595984.170000002</v>
      </c>
      <c r="D468" s="258">
        <v>1.4585600000000001</v>
      </c>
    </row>
    <row r="469" spans="1:4" x14ac:dyDescent="0.2">
      <c r="A469" s="345">
        <v>41790</v>
      </c>
      <c r="B469" s="257">
        <f t="shared" si="0"/>
        <v>1.6611499999999999</v>
      </c>
      <c r="C469" s="346">
        <v>39246623.289999999</v>
      </c>
      <c r="D469" s="258">
        <v>1.6611499999999999</v>
      </c>
    </row>
    <row r="470" spans="1:4" x14ac:dyDescent="0.2">
      <c r="A470" s="345">
        <v>41820</v>
      </c>
      <c r="B470" s="257">
        <f t="shared" si="0"/>
        <v>0.95106000000000002</v>
      </c>
      <c r="C470" s="346">
        <v>39619881.640000001</v>
      </c>
      <c r="D470" s="258">
        <v>0.95106000000000002</v>
      </c>
    </row>
    <row r="471" spans="1:4" x14ac:dyDescent="0.2">
      <c r="A471" s="345">
        <v>41851</v>
      </c>
      <c r="B471" s="257">
        <f t="shared" si="0"/>
        <v>-1.95261</v>
      </c>
      <c r="C471" s="346">
        <v>38846259.659999996</v>
      </c>
      <c r="D471" s="258">
        <v>-1.95261</v>
      </c>
    </row>
    <row r="472" spans="1:4" x14ac:dyDescent="0.2">
      <c r="A472" s="345">
        <v>41882</v>
      </c>
      <c r="B472" s="257">
        <f t="shared" si="0"/>
        <v>-0.17965999999999999</v>
      </c>
      <c r="C472" s="346">
        <v>38786380.219999999</v>
      </c>
      <c r="D472" s="258">
        <v>-0.17965999999999999</v>
      </c>
    </row>
    <row r="473" spans="1:4" x14ac:dyDescent="0.2">
      <c r="A473" s="345">
        <v>41912</v>
      </c>
      <c r="B473" s="257">
        <f t="shared" si="0"/>
        <v>0</v>
      </c>
    </row>
    <row r="474" spans="1:4" x14ac:dyDescent="0.2">
      <c r="A474" s="345">
        <v>41943</v>
      </c>
      <c r="B474" s="257">
        <f t="shared" si="0"/>
        <v>0</v>
      </c>
    </row>
    <row r="475" spans="1:4" x14ac:dyDescent="0.2">
      <c r="A475" s="345">
        <v>41973</v>
      </c>
      <c r="B475" s="257">
        <f t="shared" si="0"/>
        <v>0</v>
      </c>
    </row>
    <row r="476" spans="1:4" x14ac:dyDescent="0.2">
      <c r="A476" s="345">
        <v>42004</v>
      </c>
      <c r="B476" s="257">
        <f t="shared" si="0"/>
        <v>0</v>
      </c>
    </row>
    <row r="477" spans="1:4" x14ac:dyDescent="0.2">
      <c r="A477" s="345">
        <v>42035</v>
      </c>
      <c r="B477" s="257">
        <f t="shared" si="0"/>
        <v>0</v>
      </c>
    </row>
    <row r="478" spans="1:4" x14ac:dyDescent="0.2">
      <c r="A478" s="345">
        <v>42063</v>
      </c>
      <c r="B478" s="257">
        <f t="shared" si="0"/>
        <v>0</v>
      </c>
    </row>
    <row r="479" spans="1:4" x14ac:dyDescent="0.2">
      <c r="A479" s="345">
        <v>42094</v>
      </c>
      <c r="B479" s="257">
        <f t="shared" si="0"/>
        <v>0</v>
      </c>
    </row>
    <row r="480" spans="1:4" x14ac:dyDescent="0.2">
      <c r="A480" s="345">
        <v>42124</v>
      </c>
      <c r="B480" s="257">
        <f t="shared" si="0"/>
        <v>0</v>
      </c>
    </row>
    <row r="481" spans="1:2" x14ac:dyDescent="0.2">
      <c r="A481" s="345">
        <v>42155</v>
      </c>
      <c r="B481" s="257">
        <f t="shared" si="0"/>
        <v>0</v>
      </c>
    </row>
    <row r="482" spans="1:2" x14ac:dyDescent="0.2">
      <c r="A482" s="345">
        <v>42185</v>
      </c>
      <c r="B482" s="257">
        <f t="shared" si="0"/>
        <v>0</v>
      </c>
    </row>
    <row r="483" spans="1:2" x14ac:dyDescent="0.2">
      <c r="A483" s="345">
        <v>42216</v>
      </c>
      <c r="B483" s="257">
        <f t="shared" si="0"/>
        <v>0</v>
      </c>
    </row>
    <row r="484" spans="1:2" x14ac:dyDescent="0.2">
      <c r="A484" s="345">
        <v>42247</v>
      </c>
      <c r="B484" s="257">
        <f t="shared" si="0"/>
        <v>0</v>
      </c>
    </row>
    <row r="485" spans="1:2" x14ac:dyDescent="0.2">
      <c r="A485" s="345">
        <v>42277</v>
      </c>
      <c r="B485" s="257">
        <f t="shared" si="0"/>
        <v>0</v>
      </c>
    </row>
    <row r="486" spans="1:2" x14ac:dyDescent="0.2">
      <c r="A486" s="345">
        <v>42308</v>
      </c>
      <c r="B486" s="257">
        <f t="shared" si="0"/>
        <v>0</v>
      </c>
    </row>
    <row r="487" spans="1:2" x14ac:dyDescent="0.2">
      <c r="A487" s="345">
        <v>42338</v>
      </c>
      <c r="B487" s="257">
        <f t="shared" si="0"/>
        <v>0</v>
      </c>
    </row>
    <row r="488" spans="1:2" x14ac:dyDescent="0.2">
      <c r="A488" s="345">
        <v>42369</v>
      </c>
      <c r="B488" s="257">
        <f t="shared" si="0"/>
        <v>0</v>
      </c>
    </row>
  </sheetData>
  <pageMargins left="0.75" right="0.75" top="1" bottom="1" header="0.5" footer="0.5"/>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I488"/>
  <sheetViews>
    <sheetView workbookViewId="0">
      <pane xSplit="1" ySplit="2" topLeftCell="B447" activePane="bottomRight" state="frozen"/>
      <selection pane="topRight" activeCell="B1" sqref="B1"/>
      <selection pane="bottomLeft" activeCell="A3" sqref="A3"/>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5" width="18.7109375" style="258" customWidth="1"/>
    <col min="7" max="7" width="9.140625" style="352"/>
    <col min="8" max="8" width="11.140625" style="352" customWidth="1"/>
  </cols>
  <sheetData>
    <row r="1" spans="1:6" x14ac:dyDescent="0.2">
      <c r="A1" s="265" t="s">
        <v>870</v>
      </c>
      <c r="B1" s="1371" t="s">
        <v>309</v>
      </c>
      <c r="C1" s="1382" t="s">
        <v>302</v>
      </c>
      <c r="D1" s="1370">
        <v>15</v>
      </c>
      <c r="E1" s="74" t="s">
        <v>81</v>
      </c>
      <c r="F1" s="1450" t="s">
        <v>746</v>
      </c>
    </row>
    <row r="2" spans="1:6" x14ac:dyDescent="0.2">
      <c r="A2" s="3" t="s">
        <v>27</v>
      </c>
      <c r="B2" s="71" t="s">
        <v>91</v>
      </c>
      <c r="C2" s="226" t="s">
        <v>92</v>
      </c>
      <c r="D2" s="71" t="s">
        <v>90</v>
      </c>
      <c r="E2" s="71" t="s">
        <v>80</v>
      </c>
    </row>
    <row r="3" spans="1:6" x14ac:dyDescent="0.2">
      <c r="A3" s="345">
        <v>27606</v>
      </c>
      <c r="B3" s="71"/>
      <c r="C3" s="226"/>
      <c r="D3" s="71"/>
      <c r="E3" s="71"/>
    </row>
    <row r="4" spans="1:6" x14ac:dyDescent="0.2">
      <c r="A4" s="345">
        <v>27637</v>
      </c>
      <c r="B4" s="71"/>
      <c r="C4" s="226"/>
      <c r="D4" s="71"/>
      <c r="E4" s="71"/>
    </row>
    <row r="5" spans="1:6" x14ac:dyDescent="0.2">
      <c r="A5" s="345">
        <v>27667</v>
      </c>
      <c r="B5" s="71"/>
      <c r="C5" s="226"/>
      <c r="D5" s="71"/>
      <c r="E5" s="71"/>
    </row>
    <row r="6" spans="1:6" x14ac:dyDescent="0.2">
      <c r="A6" s="345">
        <v>27698</v>
      </c>
      <c r="B6" s="71"/>
      <c r="C6" s="226"/>
      <c r="D6" s="71"/>
      <c r="E6" s="71"/>
    </row>
    <row r="7" spans="1:6" x14ac:dyDescent="0.2">
      <c r="A7" s="345">
        <v>27728</v>
      </c>
      <c r="B7" s="71"/>
      <c r="C7" s="226"/>
      <c r="D7" s="71"/>
      <c r="E7" s="71"/>
    </row>
    <row r="8" spans="1:6" x14ac:dyDescent="0.2">
      <c r="A8" s="345">
        <v>27759</v>
      </c>
      <c r="B8" s="71"/>
      <c r="C8" s="226"/>
      <c r="D8" s="71"/>
      <c r="E8" s="71"/>
    </row>
    <row r="9" spans="1:6" x14ac:dyDescent="0.2">
      <c r="A9" s="345">
        <v>27790</v>
      </c>
      <c r="B9" s="71"/>
      <c r="C9" s="226"/>
      <c r="D9" s="71"/>
      <c r="E9" s="71"/>
    </row>
    <row r="10" spans="1:6" x14ac:dyDescent="0.2">
      <c r="A10" s="345">
        <v>27819</v>
      </c>
      <c r="B10" s="71"/>
      <c r="C10" s="226"/>
      <c r="D10" s="71"/>
      <c r="E10" s="71"/>
    </row>
    <row r="11" spans="1:6" x14ac:dyDescent="0.2">
      <c r="A11" s="345">
        <v>27850</v>
      </c>
      <c r="B11" s="71"/>
      <c r="C11" s="226"/>
      <c r="D11" s="71"/>
      <c r="E11" s="71"/>
    </row>
    <row r="12" spans="1:6" x14ac:dyDescent="0.2">
      <c r="A12" s="345">
        <v>27880</v>
      </c>
      <c r="B12" s="71"/>
      <c r="C12" s="226"/>
      <c r="D12" s="71"/>
      <c r="E12" s="71"/>
    </row>
    <row r="13" spans="1:6" x14ac:dyDescent="0.2">
      <c r="A13" s="345">
        <v>27911</v>
      </c>
      <c r="B13" s="71"/>
      <c r="C13" s="226"/>
      <c r="D13" s="71"/>
      <c r="E13" s="71"/>
    </row>
    <row r="14" spans="1:6" x14ac:dyDescent="0.2">
      <c r="A14" s="345">
        <v>27941</v>
      </c>
      <c r="B14" s="71"/>
      <c r="C14" s="226"/>
      <c r="D14" s="71"/>
      <c r="E14" s="71"/>
    </row>
    <row r="15" spans="1:6" x14ac:dyDescent="0.2">
      <c r="A15" s="345">
        <v>27972</v>
      </c>
      <c r="B15" s="71"/>
      <c r="C15" s="226"/>
      <c r="D15" s="71"/>
      <c r="E15" s="71"/>
    </row>
    <row r="16" spans="1:6"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3"/>
      <c r="C147" s="25"/>
      <c r="D147" s="73"/>
      <c r="E147" s="73"/>
    </row>
    <row r="148" spans="1:5" x14ac:dyDescent="0.2">
      <c r="A148" s="345">
        <v>32020</v>
      </c>
      <c r="B148" s="73"/>
      <c r="C148" s="25"/>
      <c r="D148" s="73"/>
      <c r="E148" s="73"/>
    </row>
    <row r="149" spans="1:5" x14ac:dyDescent="0.2">
      <c r="A149" s="345">
        <v>32050</v>
      </c>
      <c r="B149" s="73"/>
      <c r="C149" s="25"/>
      <c r="D149" s="73"/>
      <c r="E149" s="73"/>
    </row>
    <row r="150" spans="1:5" x14ac:dyDescent="0.2">
      <c r="A150" s="345">
        <v>32081</v>
      </c>
      <c r="B150" s="73"/>
      <c r="C150" s="25"/>
      <c r="D150" s="73"/>
      <c r="E150" s="73"/>
    </row>
    <row r="151" spans="1:5" x14ac:dyDescent="0.2">
      <c r="A151" s="345">
        <v>32111</v>
      </c>
      <c r="B151" s="73"/>
      <c r="C151" s="25"/>
      <c r="D151" s="73"/>
      <c r="E151" s="73"/>
    </row>
    <row r="152" spans="1:5" x14ac:dyDescent="0.2">
      <c r="A152" s="345">
        <v>32142</v>
      </c>
      <c r="B152" s="73"/>
      <c r="C152" s="25"/>
      <c r="D152" s="73"/>
      <c r="E152" s="73"/>
    </row>
    <row r="153" spans="1:5" x14ac:dyDescent="0.2">
      <c r="A153" s="345">
        <v>32173</v>
      </c>
      <c r="B153" s="73"/>
      <c r="C153" s="25"/>
      <c r="D153" s="73"/>
      <c r="E153" s="73"/>
    </row>
    <row r="154" spans="1:5" x14ac:dyDescent="0.2">
      <c r="A154" s="345">
        <v>32202</v>
      </c>
      <c r="B154" s="73"/>
      <c r="C154" s="25"/>
      <c r="D154" s="73"/>
      <c r="E154" s="73"/>
    </row>
    <row r="155" spans="1:5" x14ac:dyDescent="0.2">
      <c r="A155" s="345">
        <v>32233</v>
      </c>
      <c r="B155" s="73"/>
      <c r="C155" s="25"/>
      <c r="D155" s="73"/>
      <c r="E155" s="73"/>
    </row>
    <row r="156" spans="1:5" x14ac:dyDescent="0.2">
      <c r="A156" s="345">
        <v>32263</v>
      </c>
      <c r="B156" s="73"/>
      <c r="C156" s="25"/>
      <c r="D156" s="73"/>
      <c r="E156" s="73"/>
    </row>
    <row r="157" spans="1:5" x14ac:dyDescent="0.2">
      <c r="A157" s="345">
        <v>32294</v>
      </c>
      <c r="B157" s="73"/>
      <c r="C157" s="25"/>
      <c r="D157" s="73"/>
      <c r="E157" s="73"/>
    </row>
    <row r="158" spans="1:5" x14ac:dyDescent="0.2">
      <c r="A158" s="345">
        <v>32324</v>
      </c>
      <c r="B158" s="73"/>
      <c r="C158" s="25"/>
      <c r="D158" s="73"/>
      <c r="E158" s="73"/>
    </row>
    <row r="159" spans="1:5" x14ac:dyDescent="0.2">
      <c r="A159" s="345">
        <v>32355</v>
      </c>
      <c r="B159" s="73"/>
      <c r="C159" s="25"/>
      <c r="D159" s="73"/>
      <c r="E159" s="73"/>
    </row>
    <row r="160" spans="1:5" x14ac:dyDescent="0.2">
      <c r="A160" s="345">
        <v>32386</v>
      </c>
      <c r="B160" s="73"/>
      <c r="C160" s="25"/>
      <c r="D160" s="73"/>
      <c r="E160" s="73"/>
    </row>
    <row r="161" spans="1:5" x14ac:dyDescent="0.2">
      <c r="A161" s="345">
        <v>32416</v>
      </c>
      <c r="B161" s="73"/>
      <c r="C161" s="25"/>
      <c r="D161" s="73"/>
      <c r="E161" s="73"/>
    </row>
    <row r="162" spans="1:5" x14ac:dyDescent="0.2">
      <c r="A162" s="345">
        <v>32447</v>
      </c>
      <c r="B162" s="73"/>
      <c r="C162" s="25"/>
      <c r="D162" s="73"/>
      <c r="E162" s="73"/>
    </row>
    <row r="163" spans="1:5" x14ac:dyDescent="0.2">
      <c r="A163" s="345">
        <v>32477</v>
      </c>
      <c r="B163" s="73"/>
      <c r="C163" s="25"/>
      <c r="D163" s="73"/>
      <c r="E163" s="73"/>
    </row>
    <row r="164" spans="1:5" x14ac:dyDescent="0.2">
      <c r="A164" s="345">
        <v>32508</v>
      </c>
      <c r="B164" s="73"/>
      <c r="C164" s="25"/>
      <c r="D164" s="73"/>
      <c r="E164" s="73"/>
    </row>
    <row r="165" spans="1:5" x14ac:dyDescent="0.2">
      <c r="A165" s="345">
        <v>32539</v>
      </c>
      <c r="B165" s="73"/>
      <c r="C165" s="25"/>
      <c r="D165" s="73"/>
      <c r="E165" s="73"/>
    </row>
    <row r="166" spans="1:5" x14ac:dyDescent="0.2">
      <c r="A166" s="345">
        <v>32567</v>
      </c>
      <c r="B166" s="73"/>
      <c r="C166" s="25"/>
      <c r="D166" s="73"/>
      <c r="E166" s="73"/>
    </row>
    <row r="167" spans="1:5" x14ac:dyDescent="0.2">
      <c r="A167" s="345">
        <v>32598</v>
      </c>
      <c r="B167" s="73"/>
      <c r="C167" s="25"/>
      <c r="D167" s="73"/>
      <c r="E167" s="73"/>
    </row>
    <row r="168" spans="1:5" x14ac:dyDescent="0.2">
      <c r="A168" s="345">
        <v>32628</v>
      </c>
      <c r="B168" s="73"/>
      <c r="C168" s="25"/>
      <c r="D168" s="73"/>
      <c r="E168" s="73"/>
    </row>
    <row r="169" spans="1:5" x14ac:dyDescent="0.2">
      <c r="A169" s="345">
        <v>32659</v>
      </c>
      <c r="B169" s="73"/>
      <c r="C169" s="25"/>
      <c r="D169" s="73"/>
      <c r="E169" s="73"/>
    </row>
    <row r="170" spans="1:5" x14ac:dyDescent="0.2">
      <c r="A170" s="345">
        <v>32689</v>
      </c>
      <c r="B170" s="73"/>
      <c r="C170" s="25"/>
      <c r="D170" s="73"/>
      <c r="E170" s="73"/>
    </row>
    <row r="171" spans="1:5" x14ac:dyDescent="0.2">
      <c r="A171" s="345">
        <v>32720</v>
      </c>
      <c r="B171" s="73"/>
      <c r="C171" s="25"/>
      <c r="D171" s="73"/>
      <c r="E171" s="73"/>
    </row>
    <row r="172" spans="1:5" x14ac:dyDescent="0.2">
      <c r="A172" s="345">
        <v>32751</v>
      </c>
      <c r="B172" s="73"/>
      <c r="C172" s="25"/>
      <c r="D172" s="73"/>
      <c r="E172" s="73"/>
    </row>
    <row r="173" spans="1:5" x14ac:dyDescent="0.2">
      <c r="A173" s="345">
        <v>32781</v>
      </c>
      <c r="B173" s="73"/>
      <c r="C173" s="25"/>
      <c r="D173" s="73"/>
      <c r="E173" s="73"/>
    </row>
    <row r="174" spans="1:5" x14ac:dyDescent="0.2">
      <c r="A174" s="345">
        <v>32812</v>
      </c>
      <c r="B174" s="73"/>
      <c r="C174" s="25"/>
      <c r="D174" s="73"/>
      <c r="E174" s="73"/>
    </row>
    <row r="175" spans="1:5" x14ac:dyDescent="0.2">
      <c r="A175" s="345">
        <v>32842</v>
      </c>
      <c r="B175" s="73"/>
      <c r="C175" s="25"/>
      <c r="D175" s="73"/>
      <c r="E175" s="73"/>
    </row>
    <row r="176" spans="1:5" x14ac:dyDescent="0.2">
      <c r="A176" s="345">
        <v>32873</v>
      </c>
      <c r="B176" s="73"/>
      <c r="C176" s="25"/>
      <c r="D176" s="73"/>
      <c r="E176" s="73"/>
    </row>
    <row r="177" spans="1:5" x14ac:dyDescent="0.2">
      <c r="A177" s="345">
        <v>32904</v>
      </c>
      <c r="B177" s="255"/>
      <c r="C177" s="259"/>
      <c r="D177" s="73"/>
      <c r="E177" s="73"/>
    </row>
    <row r="178" spans="1:5" x14ac:dyDescent="0.2">
      <c r="A178" s="345">
        <v>32932</v>
      </c>
      <c r="B178" s="255"/>
      <c r="C178" s="259"/>
      <c r="D178" s="73"/>
      <c r="E178" s="73"/>
    </row>
    <row r="179" spans="1:5" x14ac:dyDescent="0.2">
      <c r="A179" s="345">
        <v>32963</v>
      </c>
      <c r="B179" s="255"/>
      <c r="C179" s="259"/>
      <c r="D179" s="73"/>
      <c r="E179" s="73"/>
    </row>
    <row r="180" spans="1:5" x14ac:dyDescent="0.2">
      <c r="A180" s="345">
        <v>32993</v>
      </c>
      <c r="B180" s="255"/>
      <c r="C180" s="259"/>
      <c r="D180" s="73"/>
      <c r="E180" s="73"/>
    </row>
    <row r="181" spans="1:5" x14ac:dyDescent="0.2">
      <c r="A181" s="345">
        <v>33024</v>
      </c>
      <c r="B181" s="255"/>
      <c r="C181" s="259"/>
      <c r="D181" s="73"/>
      <c r="E181" s="73"/>
    </row>
    <row r="182" spans="1:5" x14ac:dyDescent="0.2">
      <c r="A182" s="345">
        <v>33054</v>
      </c>
      <c r="B182" s="255"/>
      <c r="C182" s="259"/>
      <c r="D182" s="73"/>
      <c r="E182" s="73"/>
    </row>
    <row r="183" spans="1:5" x14ac:dyDescent="0.2">
      <c r="A183" s="345">
        <v>33085</v>
      </c>
      <c r="B183" s="255"/>
      <c r="C183" s="259"/>
      <c r="D183" s="73"/>
      <c r="E183" s="73"/>
    </row>
    <row r="184" spans="1:5" x14ac:dyDescent="0.2">
      <c r="A184" s="345">
        <v>33116</v>
      </c>
      <c r="B184" s="255"/>
      <c r="C184" s="259"/>
      <c r="D184" s="73"/>
      <c r="E184" s="73"/>
    </row>
    <row r="185" spans="1:5" x14ac:dyDescent="0.2">
      <c r="A185" s="345">
        <v>33146</v>
      </c>
      <c r="B185" s="255"/>
      <c r="C185" s="259"/>
      <c r="D185" s="73"/>
      <c r="E185" s="73"/>
    </row>
    <row r="186" spans="1:5" x14ac:dyDescent="0.2">
      <c r="A186" s="345">
        <v>33177</v>
      </c>
      <c r="B186" s="255"/>
      <c r="C186" s="259"/>
      <c r="D186" s="73"/>
      <c r="E186" s="73"/>
    </row>
    <row r="187" spans="1:5" x14ac:dyDescent="0.2">
      <c r="A187" s="345">
        <v>33207</v>
      </c>
      <c r="B187" s="255"/>
      <c r="C187" s="259"/>
      <c r="D187" s="73"/>
      <c r="E187" s="73"/>
    </row>
    <row r="188" spans="1:5" x14ac:dyDescent="0.2">
      <c r="A188" s="345">
        <v>33238</v>
      </c>
      <c r="B188" s="255"/>
      <c r="C188" s="259"/>
      <c r="D188" s="73"/>
      <c r="E188" s="73"/>
    </row>
    <row r="189" spans="1:5" x14ac:dyDescent="0.2">
      <c r="A189" s="345">
        <v>33269</v>
      </c>
      <c r="B189" s="255"/>
      <c r="C189" s="259"/>
      <c r="D189" s="73"/>
      <c r="E189" s="73"/>
    </row>
    <row r="190" spans="1:5" x14ac:dyDescent="0.2">
      <c r="A190" s="345">
        <v>33297</v>
      </c>
      <c r="B190" s="255"/>
      <c r="C190" s="259"/>
      <c r="D190" s="73"/>
      <c r="E190" s="73"/>
    </row>
    <row r="191" spans="1:5" x14ac:dyDescent="0.2">
      <c r="A191" s="345">
        <v>33328</v>
      </c>
      <c r="B191" s="255"/>
      <c r="C191" s="259"/>
      <c r="D191" s="73"/>
      <c r="E191" s="73"/>
    </row>
    <row r="192" spans="1:5" x14ac:dyDescent="0.2">
      <c r="A192" s="345">
        <v>33358</v>
      </c>
      <c r="B192" s="255"/>
      <c r="C192" s="259"/>
      <c r="D192" s="73"/>
      <c r="E192" s="73"/>
    </row>
    <row r="193" spans="1:5" x14ac:dyDescent="0.2">
      <c r="A193" s="345">
        <v>33389</v>
      </c>
      <c r="B193" s="255"/>
      <c r="C193" s="259"/>
      <c r="D193" s="73"/>
      <c r="E193" s="73"/>
    </row>
    <row r="194" spans="1:5" x14ac:dyDescent="0.2">
      <c r="A194" s="345">
        <v>33419</v>
      </c>
      <c r="B194" s="255"/>
      <c r="C194" s="259"/>
      <c r="D194" s="73"/>
      <c r="E194" s="73"/>
    </row>
    <row r="195" spans="1:5" x14ac:dyDescent="0.2">
      <c r="A195" s="345">
        <v>33450</v>
      </c>
      <c r="B195" s="255"/>
      <c r="C195" s="259"/>
      <c r="D195" s="73"/>
      <c r="E195" s="73"/>
    </row>
    <row r="196" spans="1:5" x14ac:dyDescent="0.2">
      <c r="A196" s="345">
        <v>33481</v>
      </c>
      <c r="B196" s="255"/>
      <c r="C196" s="259"/>
      <c r="D196" s="73"/>
      <c r="E196" s="73"/>
    </row>
    <row r="197" spans="1:5" x14ac:dyDescent="0.2">
      <c r="A197" s="345">
        <v>33511</v>
      </c>
      <c r="B197" s="255"/>
      <c r="C197" s="259"/>
      <c r="D197" s="73"/>
      <c r="E197" s="73"/>
    </row>
    <row r="198" spans="1:5" x14ac:dyDescent="0.2">
      <c r="A198" s="345">
        <v>33542</v>
      </c>
      <c r="B198" s="255"/>
      <c r="C198" s="259"/>
      <c r="D198" s="73"/>
      <c r="E198" s="73"/>
    </row>
    <row r="199" spans="1:5" x14ac:dyDescent="0.2">
      <c r="A199" s="345">
        <v>33572</v>
      </c>
      <c r="B199" s="255"/>
      <c r="C199" s="259"/>
      <c r="D199" s="73"/>
      <c r="E199" s="73"/>
    </row>
    <row r="200" spans="1:5" x14ac:dyDescent="0.2">
      <c r="A200" s="345">
        <v>33603</v>
      </c>
      <c r="B200" s="255"/>
      <c r="C200" s="259"/>
      <c r="D200" s="73"/>
      <c r="E200" s="73"/>
    </row>
    <row r="201" spans="1:5" x14ac:dyDescent="0.2">
      <c r="A201" s="345">
        <v>33634</v>
      </c>
      <c r="B201" s="255"/>
      <c r="C201" s="259"/>
      <c r="D201" s="73"/>
      <c r="E201" s="73"/>
    </row>
    <row r="202" spans="1:5" x14ac:dyDescent="0.2">
      <c r="A202" s="345">
        <v>33663</v>
      </c>
      <c r="B202" s="255"/>
      <c r="C202" s="259"/>
      <c r="D202" s="73"/>
      <c r="E202" s="73"/>
    </row>
    <row r="203" spans="1:5" x14ac:dyDescent="0.2">
      <c r="A203" s="345">
        <v>33694</v>
      </c>
      <c r="B203" s="255"/>
      <c r="C203" s="259"/>
      <c r="D203" s="73"/>
      <c r="E203" s="73"/>
    </row>
    <row r="204" spans="1:5" x14ac:dyDescent="0.2">
      <c r="A204" s="345">
        <v>33724</v>
      </c>
      <c r="B204" s="255"/>
      <c r="C204" s="259"/>
      <c r="D204" s="73"/>
      <c r="E204" s="73"/>
    </row>
    <row r="205" spans="1:5" x14ac:dyDescent="0.2">
      <c r="A205" s="345">
        <v>33755</v>
      </c>
      <c r="B205" s="255"/>
      <c r="C205" s="259"/>
      <c r="D205" s="73"/>
      <c r="E205" s="73"/>
    </row>
    <row r="206" spans="1:5" x14ac:dyDescent="0.2">
      <c r="A206" s="345">
        <v>33785</v>
      </c>
      <c r="B206" s="255"/>
      <c r="C206" s="259"/>
      <c r="D206" s="73"/>
      <c r="E206" s="73"/>
    </row>
    <row r="207" spans="1:5" x14ac:dyDescent="0.2">
      <c r="A207" s="345">
        <v>33816</v>
      </c>
      <c r="B207" s="255"/>
      <c r="C207" s="259"/>
      <c r="D207" s="73"/>
      <c r="E207" s="73"/>
    </row>
    <row r="208" spans="1:5" x14ac:dyDescent="0.2">
      <c r="A208" s="345">
        <v>33847</v>
      </c>
      <c r="B208" s="255"/>
      <c r="C208" s="259"/>
      <c r="D208" s="73"/>
      <c r="E208" s="73"/>
    </row>
    <row r="209" spans="1:5" x14ac:dyDescent="0.2">
      <c r="A209" s="345">
        <v>33877</v>
      </c>
      <c r="B209" s="255"/>
      <c r="C209" s="259"/>
      <c r="D209" s="73"/>
      <c r="E209" s="73"/>
    </row>
    <row r="210" spans="1:5" x14ac:dyDescent="0.2">
      <c r="A210" s="345">
        <v>33908</v>
      </c>
      <c r="B210" s="255"/>
      <c r="C210" s="259"/>
      <c r="D210" s="73"/>
      <c r="E210" s="73"/>
    </row>
    <row r="211" spans="1:5" x14ac:dyDescent="0.2">
      <c r="A211" s="345">
        <v>33938</v>
      </c>
      <c r="B211" s="255"/>
      <c r="C211" s="259"/>
      <c r="D211" s="73"/>
      <c r="E211" s="73"/>
    </row>
    <row r="212" spans="1:5" x14ac:dyDescent="0.2">
      <c r="A212" s="345">
        <v>33969</v>
      </c>
      <c r="B212" s="255"/>
      <c r="C212" s="259"/>
      <c r="D212" s="73"/>
      <c r="E212" s="73"/>
    </row>
    <row r="213" spans="1:5" x14ac:dyDescent="0.2">
      <c r="A213" s="345">
        <v>34000</v>
      </c>
      <c r="B213" s="255"/>
      <c r="C213" s="259"/>
      <c r="D213" s="73"/>
      <c r="E213" s="73"/>
    </row>
    <row r="214" spans="1:5" x14ac:dyDescent="0.2">
      <c r="A214" s="345">
        <v>34028</v>
      </c>
      <c r="B214" s="255"/>
      <c r="C214" s="259"/>
      <c r="D214" s="73"/>
      <c r="E214" s="73"/>
    </row>
    <row r="215" spans="1:5" x14ac:dyDescent="0.2">
      <c r="A215" s="345">
        <v>34059</v>
      </c>
      <c r="B215" s="255"/>
      <c r="C215" s="259"/>
      <c r="D215" s="73"/>
      <c r="E215" s="73"/>
    </row>
    <row r="216" spans="1:5" x14ac:dyDescent="0.2">
      <c r="A216" s="345">
        <v>34089</v>
      </c>
      <c r="B216" s="255"/>
      <c r="C216" s="259"/>
      <c r="D216" s="73"/>
      <c r="E216" s="73"/>
    </row>
    <row r="217" spans="1:5" x14ac:dyDescent="0.2">
      <c r="A217" s="345">
        <v>34120</v>
      </c>
      <c r="B217" s="255"/>
      <c r="C217" s="259"/>
      <c r="D217" s="73"/>
      <c r="E217" s="73"/>
    </row>
    <row r="218" spans="1:5" x14ac:dyDescent="0.2">
      <c r="A218" s="345">
        <v>34150</v>
      </c>
      <c r="B218" s="255"/>
      <c r="C218" s="259"/>
      <c r="D218" s="73"/>
      <c r="E218" s="73"/>
    </row>
    <row r="219" spans="1:5" x14ac:dyDescent="0.2">
      <c r="A219" s="345">
        <v>34181</v>
      </c>
      <c r="B219" s="255"/>
      <c r="C219" s="259"/>
      <c r="D219" s="73"/>
      <c r="E219" s="73"/>
    </row>
    <row r="220" spans="1:5" x14ac:dyDescent="0.2">
      <c r="A220" s="345">
        <v>34212</v>
      </c>
      <c r="B220" s="255"/>
      <c r="C220" s="259"/>
      <c r="D220" s="73"/>
      <c r="E220" s="73"/>
    </row>
    <row r="221" spans="1:5" x14ac:dyDescent="0.2">
      <c r="A221" s="345">
        <v>34242</v>
      </c>
      <c r="B221" s="255"/>
      <c r="C221" s="259"/>
      <c r="D221" s="73"/>
      <c r="E221" s="73"/>
    </row>
    <row r="222" spans="1:5" x14ac:dyDescent="0.2">
      <c r="A222" s="345">
        <v>34273</v>
      </c>
      <c r="B222" s="255"/>
      <c r="C222" s="259"/>
      <c r="D222" s="73"/>
      <c r="E222" s="73"/>
    </row>
    <row r="223" spans="1:5" x14ac:dyDescent="0.2">
      <c r="A223" s="345">
        <v>34303</v>
      </c>
      <c r="B223" s="255"/>
      <c r="C223" s="259"/>
      <c r="D223" s="73"/>
      <c r="E223" s="73"/>
    </row>
    <row r="224" spans="1:5" x14ac:dyDescent="0.2">
      <c r="A224" s="345">
        <v>34334</v>
      </c>
      <c r="B224" s="255"/>
      <c r="C224" s="259"/>
      <c r="D224" s="73"/>
      <c r="E224" s="73"/>
    </row>
    <row r="225" spans="1:5" x14ac:dyDescent="0.2">
      <c r="A225" s="345">
        <v>34365</v>
      </c>
      <c r="B225" s="255"/>
      <c r="C225" s="259"/>
      <c r="D225" s="73"/>
      <c r="E225" s="73"/>
    </row>
    <row r="226" spans="1:5" x14ac:dyDescent="0.2">
      <c r="A226" s="345">
        <v>34393</v>
      </c>
      <c r="B226" s="255"/>
      <c r="C226" s="259"/>
      <c r="D226" s="73"/>
      <c r="E226" s="73"/>
    </row>
    <row r="227" spans="1:5" x14ac:dyDescent="0.2">
      <c r="A227" s="345">
        <v>34424</v>
      </c>
      <c r="B227" s="255"/>
      <c r="C227" s="259"/>
      <c r="D227" s="73"/>
      <c r="E227" s="73"/>
    </row>
    <row r="228" spans="1:5" x14ac:dyDescent="0.2">
      <c r="A228" s="345">
        <v>34454</v>
      </c>
      <c r="B228" s="255"/>
      <c r="C228" s="259"/>
      <c r="D228" s="73"/>
      <c r="E228" s="73"/>
    </row>
    <row r="229" spans="1:5" x14ac:dyDescent="0.2">
      <c r="A229" s="345">
        <v>34485</v>
      </c>
      <c r="B229" s="255"/>
      <c r="C229" s="259"/>
      <c r="D229" s="73"/>
      <c r="E229" s="73"/>
    </row>
    <row r="230" spans="1:5" x14ac:dyDescent="0.2">
      <c r="A230" s="345">
        <v>34515</v>
      </c>
      <c r="B230" s="255"/>
      <c r="C230" s="259"/>
      <c r="D230" s="73"/>
      <c r="E230" s="73"/>
    </row>
    <row r="231" spans="1:5" x14ac:dyDescent="0.2">
      <c r="A231" s="345">
        <v>34546</v>
      </c>
      <c r="B231" s="255"/>
      <c r="C231" s="259"/>
      <c r="D231" s="73"/>
      <c r="E231" s="73"/>
    </row>
    <row r="232" spans="1:5" x14ac:dyDescent="0.2">
      <c r="A232" s="345">
        <v>34577</v>
      </c>
      <c r="B232" s="255"/>
      <c r="C232" s="259"/>
      <c r="D232" s="73"/>
      <c r="E232" s="73"/>
    </row>
    <row r="233" spans="1:5" x14ac:dyDescent="0.2">
      <c r="A233" s="345">
        <v>34607</v>
      </c>
      <c r="B233" s="255"/>
      <c r="C233" s="259"/>
      <c r="D233" s="73"/>
      <c r="E233" s="73"/>
    </row>
    <row r="234" spans="1:5" x14ac:dyDescent="0.2">
      <c r="A234" s="345">
        <v>34638</v>
      </c>
      <c r="B234" s="255"/>
      <c r="C234" s="259"/>
      <c r="D234" s="73"/>
      <c r="E234" s="73"/>
    </row>
    <row r="235" spans="1:5" x14ac:dyDescent="0.2">
      <c r="A235" s="345">
        <v>34668</v>
      </c>
      <c r="B235" s="255"/>
      <c r="C235" s="259"/>
      <c r="D235" s="73"/>
      <c r="E235" s="73"/>
    </row>
    <row r="236" spans="1:5" x14ac:dyDescent="0.2">
      <c r="A236" s="345">
        <v>34699</v>
      </c>
      <c r="B236" s="255"/>
      <c r="C236" s="259"/>
      <c r="D236" s="73"/>
      <c r="E236" s="73"/>
    </row>
    <row r="237" spans="1:5" x14ac:dyDescent="0.2">
      <c r="A237" s="345">
        <v>34730</v>
      </c>
      <c r="B237" s="255"/>
      <c r="C237" s="259"/>
      <c r="D237" s="73"/>
      <c r="E237" s="73"/>
    </row>
    <row r="238" spans="1:5" x14ac:dyDescent="0.2">
      <c r="A238" s="345">
        <v>34758</v>
      </c>
      <c r="B238" s="255"/>
      <c r="C238" s="259"/>
      <c r="D238" s="73"/>
      <c r="E238" s="73"/>
    </row>
    <row r="239" spans="1:5" x14ac:dyDescent="0.2">
      <c r="A239" s="345">
        <v>34789</v>
      </c>
      <c r="B239" s="255"/>
      <c r="C239" s="259"/>
      <c r="D239" s="73"/>
      <c r="E239" s="73"/>
    </row>
    <row r="240" spans="1:5" x14ac:dyDescent="0.2">
      <c r="A240" s="345">
        <v>34819</v>
      </c>
      <c r="B240" s="255"/>
      <c r="C240" s="259"/>
      <c r="D240" s="73"/>
      <c r="E240" s="73"/>
    </row>
    <row r="241" spans="1:5" x14ac:dyDescent="0.2">
      <c r="A241" s="345">
        <v>34850</v>
      </c>
      <c r="B241" s="255"/>
      <c r="C241" s="259"/>
      <c r="D241" s="73"/>
      <c r="E241" s="73"/>
    </row>
    <row r="242" spans="1:5" x14ac:dyDescent="0.2">
      <c r="A242" s="345">
        <v>34880</v>
      </c>
      <c r="B242" s="255"/>
      <c r="C242" s="259"/>
      <c r="D242" s="77"/>
      <c r="E242" s="77"/>
    </row>
    <row r="243" spans="1:5" x14ac:dyDescent="0.2">
      <c r="A243" s="345">
        <v>34911</v>
      </c>
      <c r="B243" s="255"/>
      <c r="C243" s="259"/>
      <c r="D243" s="77"/>
      <c r="E243" s="77"/>
    </row>
    <row r="244" spans="1:5" x14ac:dyDescent="0.2">
      <c r="A244" s="345">
        <v>34942</v>
      </c>
      <c r="B244" s="255"/>
      <c r="C244" s="259"/>
      <c r="D244" s="77"/>
      <c r="E244" s="77"/>
    </row>
    <row r="245" spans="1:5" x14ac:dyDescent="0.2">
      <c r="A245" s="345">
        <v>34972</v>
      </c>
      <c r="B245" s="255"/>
      <c r="C245" s="259"/>
      <c r="D245" s="77"/>
      <c r="E245" s="77"/>
    </row>
    <row r="246" spans="1:5" x14ac:dyDescent="0.2">
      <c r="A246" s="345">
        <v>35003</v>
      </c>
      <c r="B246" s="255"/>
      <c r="C246" s="259"/>
      <c r="D246" s="77"/>
      <c r="E246" s="77"/>
    </row>
    <row r="247" spans="1:5" x14ac:dyDescent="0.2">
      <c r="A247" s="345">
        <v>35033</v>
      </c>
      <c r="B247" s="255"/>
      <c r="C247" s="259"/>
      <c r="D247" s="77"/>
      <c r="E247" s="77"/>
    </row>
    <row r="248" spans="1:5" x14ac:dyDescent="0.2">
      <c r="A248" s="345">
        <v>35064</v>
      </c>
      <c r="B248" s="255"/>
      <c r="C248" s="259"/>
      <c r="D248" s="77"/>
      <c r="E248" s="77"/>
    </row>
    <row r="249" spans="1:5" x14ac:dyDescent="0.2">
      <c r="A249" s="345">
        <v>35095</v>
      </c>
      <c r="B249" s="255"/>
      <c r="C249" s="259"/>
      <c r="D249" s="77"/>
      <c r="E249" s="77"/>
    </row>
    <row r="250" spans="1:5" x14ac:dyDescent="0.2">
      <c r="A250" s="345">
        <v>35124</v>
      </c>
      <c r="B250" s="255"/>
      <c r="C250" s="259"/>
      <c r="D250" s="77"/>
      <c r="E250" s="77"/>
    </row>
    <row r="251" spans="1:5" x14ac:dyDescent="0.2">
      <c r="A251" s="345">
        <v>35155</v>
      </c>
      <c r="B251" s="255"/>
      <c r="C251" s="259"/>
      <c r="D251" s="77"/>
      <c r="E251" s="77"/>
    </row>
    <row r="252" spans="1:5" x14ac:dyDescent="0.2">
      <c r="A252" s="345">
        <v>35185</v>
      </c>
      <c r="B252" s="253"/>
      <c r="C252" s="259"/>
      <c r="D252" s="77"/>
      <c r="E252" s="77"/>
    </row>
    <row r="253" spans="1:5" x14ac:dyDescent="0.2">
      <c r="A253" s="345">
        <v>35216</v>
      </c>
      <c r="B253" s="253"/>
      <c r="C253" s="259"/>
      <c r="D253" s="77"/>
      <c r="E253" s="77"/>
    </row>
    <row r="254" spans="1:5" x14ac:dyDescent="0.2">
      <c r="A254" s="345">
        <v>35246</v>
      </c>
      <c r="B254" s="253"/>
      <c r="C254" s="259"/>
      <c r="D254" s="77"/>
      <c r="E254" s="77"/>
    </row>
    <row r="255" spans="1:5" x14ac:dyDescent="0.2">
      <c r="A255" s="345">
        <v>35277</v>
      </c>
      <c r="B255" s="253"/>
      <c r="C255" s="259"/>
      <c r="D255" s="77"/>
      <c r="E255" s="77"/>
    </row>
    <row r="256" spans="1:5" x14ac:dyDescent="0.2">
      <c r="A256" s="345">
        <v>35308</v>
      </c>
      <c r="B256" s="253"/>
      <c r="C256" s="259"/>
      <c r="D256" s="77"/>
      <c r="E256" s="77"/>
    </row>
    <row r="257" spans="1:5" x14ac:dyDescent="0.2">
      <c r="A257" s="345">
        <v>35338</v>
      </c>
      <c r="B257" s="253"/>
      <c r="C257" s="259"/>
      <c r="D257" s="77"/>
      <c r="E257" s="77"/>
    </row>
    <row r="258" spans="1:5" x14ac:dyDescent="0.2">
      <c r="A258" s="345">
        <v>35369</v>
      </c>
      <c r="B258" s="253"/>
      <c r="C258" s="259"/>
      <c r="D258" s="77"/>
      <c r="E258" s="77"/>
    </row>
    <row r="259" spans="1:5" x14ac:dyDescent="0.2">
      <c r="A259" s="345">
        <v>35399</v>
      </c>
      <c r="B259" s="253"/>
      <c r="C259" s="259"/>
      <c r="D259" s="77"/>
      <c r="E259" s="77"/>
    </row>
    <row r="260" spans="1:5" x14ac:dyDescent="0.2">
      <c r="A260" s="345">
        <v>35430</v>
      </c>
      <c r="B260" s="253"/>
      <c r="C260" s="259"/>
      <c r="D260" s="77"/>
      <c r="E260" s="77"/>
    </row>
    <row r="261" spans="1:5" x14ac:dyDescent="0.2">
      <c r="A261" s="345">
        <v>35461</v>
      </c>
      <c r="B261" s="253"/>
      <c r="C261" s="259"/>
      <c r="D261" s="77"/>
      <c r="E261" s="77"/>
    </row>
    <row r="262" spans="1:5" x14ac:dyDescent="0.2">
      <c r="A262" s="345">
        <v>35489</v>
      </c>
      <c r="B262" s="253"/>
      <c r="C262" s="259"/>
      <c r="D262" s="77"/>
      <c r="E262" s="77"/>
    </row>
    <row r="263" spans="1:5" x14ac:dyDescent="0.2">
      <c r="A263" s="345">
        <v>35520</v>
      </c>
      <c r="B263" s="253"/>
      <c r="C263" s="259"/>
      <c r="D263" s="77"/>
      <c r="E263" s="77"/>
    </row>
    <row r="264" spans="1:5" x14ac:dyDescent="0.2">
      <c r="A264" s="345">
        <v>35550</v>
      </c>
      <c r="B264" s="253"/>
      <c r="C264" s="259"/>
      <c r="D264" s="77"/>
      <c r="E264" s="77"/>
    </row>
    <row r="265" spans="1:5" x14ac:dyDescent="0.2">
      <c r="A265" s="345">
        <v>35581</v>
      </c>
      <c r="B265" s="253"/>
      <c r="C265" s="259"/>
      <c r="D265" s="77"/>
      <c r="E265" s="77"/>
    </row>
    <row r="266" spans="1:5" x14ac:dyDescent="0.2">
      <c r="A266" s="345">
        <v>35611</v>
      </c>
      <c r="B266" s="253"/>
      <c r="C266" s="259"/>
      <c r="D266" s="77"/>
      <c r="E266" s="77"/>
    </row>
    <row r="267" spans="1:5" x14ac:dyDescent="0.2">
      <c r="A267" s="345">
        <v>35642</v>
      </c>
      <c r="B267" s="253"/>
      <c r="C267" s="259"/>
      <c r="D267" s="77"/>
      <c r="E267" s="77"/>
    </row>
    <row r="268" spans="1:5" x14ac:dyDescent="0.2">
      <c r="A268" s="345">
        <v>35673</v>
      </c>
      <c r="B268" s="253"/>
      <c r="C268" s="259"/>
      <c r="D268" s="77"/>
      <c r="E268" s="77"/>
    </row>
    <row r="269" spans="1:5" x14ac:dyDescent="0.2">
      <c r="A269" s="345">
        <v>35703</v>
      </c>
      <c r="B269" s="253"/>
      <c r="C269" s="259"/>
      <c r="D269" s="77"/>
      <c r="E269" s="77"/>
    </row>
    <row r="270" spans="1:5" x14ac:dyDescent="0.2">
      <c r="A270" s="345">
        <v>35734</v>
      </c>
      <c r="B270" s="253"/>
      <c r="C270" s="259"/>
      <c r="D270" s="77"/>
      <c r="E270" s="77"/>
    </row>
    <row r="271" spans="1:5" x14ac:dyDescent="0.2">
      <c r="A271" s="345">
        <v>35764</v>
      </c>
      <c r="B271" s="253"/>
      <c r="C271" s="259"/>
      <c r="D271" s="77"/>
      <c r="E271" s="77"/>
    </row>
    <row r="272" spans="1:5" x14ac:dyDescent="0.2">
      <c r="A272" s="345">
        <v>35795</v>
      </c>
      <c r="B272" s="253"/>
      <c r="C272" s="259"/>
      <c r="D272" s="77"/>
      <c r="E272" s="77"/>
    </row>
    <row r="273" spans="1:5" x14ac:dyDescent="0.2">
      <c r="A273" s="345">
        <v>35826</v>
      </c>
      <c r="B273" s="253"/>
      <c r="C273" s="259"/>
      <c r="D273" s="77"/>
      <c r="E273" s="77"/>
    </row>
    <row r="274" spans="1:5" x14ac:dyDescent="0.2">
      <c r="A274" s="345">
        <v>35854</v>
      </c>
      <c r="B274" s="253"/>
      <c r="C274" s="259"/>
      <c r="D274" s="77"/>
      <c r="E274" s="77"/>
    </row>
    <row r="275" spans="1:5" x14ac:dyDescent="0.2">
      <c r="A275" s="345">
        <v>35885</v>
      </c>
      <c r="B275" s="253"/>
      <c r="C275" s="259"/>
      <c r="D275" s="77"/>
      <c r="E275" s="77"/>
    </row>
    <row r="276" spans="1:5" x14ac:dyDescent="0.2">
      <c r="A276" s="345">
        <v>35915</v>
      </c>
      <c r="B276" s="253"/>
      <c r="C276" s="259"/>
      <c r="D276" s="77"/>
      <c r="E276" s="77"/>
    </row>
    <row r="277" spans="1:5" x14ac:dyDescent="0.2">
      <c r="A277" s="345">
        <v>35946</v>
      </c>
      <c r="B277" s="253"/>
      <c r="C277" s="259"/>
      <c r="D277" s="77"/>
      <c r="E277" s="77"/>
    </row>
    <row r="278" spans="1:5" x14ac:dyDescent="0.2">
      <c r="A278" s="345">
        <v>35976</v>
      </c>
      <c r="B278" s="253"/>
      <c r="C278" s="259"/>
      <c r="D278" s="77"/>
      <c r="E278" s="77"/>
    </row>
    <row r="279" spans="1:5" x14ac:dyDescent="0.2">
      <c r="A279" s="345">
        <v>36007</v>
      </c>
      <c r="B279" s="253"/>
      <c r="C279" s="259"/>
      <c r="D279" s="77"/>
      <c r="E279" s="77"/>
    </row>
    <row r="280" spans="1:5" x14ac:dyDescent="0.2">
      <c r="A280" s="345">
        <v>36038</v>
      </c>
      <c r="B280" s="253"/>
      <c r="C280" s="259"/>
      <c r="D280" s="77"/>
      <c r="E280" s="77"/>
    </row>
    <row r="281" spans="1:5" x14ac:dyDescent="0.2">
      <c r="A281" s="345">
        <v>36068</v>
      </c>
      <c r="B281" s="253"/>
      <c r="C281" s="259"/>
      <c r="D281" s="77"/>
      <c r="E281" s="77"/>
    </row>
    <row r="282" spans="1:5" x14ac:dyDescent="0.2">
      <c r="A282" s="345">
        <v>36099</v>
      </c>
      <c r="B282" s="253"/>
      <c r="C282" s="259"/>
      <c r="D282" s="77"/>
      <c r="E282" s="77"/>
    </row>
    <row r="283" spans="1:5" x14ac:dyDescent="0.2">
      <c r="A283" s="345">
        <v>36129</v>
      </c>
      <c r="B283" s="253"/>
      <c r="C283" s="259"/>
      <c r="D283" s="77"/>
      <c r="E283" s="77"/>
    </row>
    <row r="284" spans="1:5" x14ac:dyDescent="0.2">
      <c r="A284" s="345">
        <v>36160</v>
      </c>
      <c r="B284" s="253"/>
      <c r="C284" s="33"/>
      <c r="D284" s="253"/>
      <c r="E284" s="253"/>
    </row>
    <row r="285" spans="1:5" x14ac:dyDescent="0.2">
      <c r="A285" s="345">
        <v>36191</v>
      </c>
      <c r="B285" s="253"/>
      <c r="C285" s="33"/>
      <c r="D285" s="253"/>
      <c r="E285" s="253"/>
    </row>
    <row r="286" spans="1:5" x14ac:dyDescent="0.2">
      <c r="A286" s="345">
        <v>36219</v>
      </c>
      <c r="B286" s="253"/>
      <c r="C286" s="33"/>
      <c r="D286" s="253"/>
      <c r="E286" s="253"/>
    </row>
    <row r="287" spans="1:5" x14ac:dyDescent="0.2">
      <c r="A287" s="345">
        <v>36250</v>
      </c>
      <c r="B287" s="253"/>
      <c r="C287" s="33"/>
      <c r="D287" s="253"/>
      <c r="E287" s="253"/>
    </row>
    <row r="288" spans="1:5" x14ac:dyDescent="0.2">
      <c r="A288" s="345">
        <v>36280</v>
      </c>
      <c r="B288" s="253"/>
      <c r="C288" s="33"/>
      <c r="D288" s="253"/>
      <c r="E288" s="253"/>
    </row>
    <row r="289" spans="1:5" x14ac:dyDescent="0.2">
      <c r="A289" s="345">
        <v>36311</v>
      </c>
      <c r="B289" s="253"/>
      <c r="C289" s="33"/>
      <c r="D289" s="253"/>
      <c r="E289" s="253"/>
    </row>
    <row r="290" spans="1:5" x14ac:dyDescent="0.2">
      <c r="A290" s="345">
        <v>36341</v>
      </c>
      <c r="B290" s="253"/>
      <c r="C290" s="33"/>
      <c r="D290" s="253"/>
      <c r="E290" s="253"/>
    </row>
    <row r="291" spans="1:5" x14ac:dyDescent="0.2">
      <c r="A291" s="345">
        <v>36372</v>
      </c>
      <c r="B291" s="253"/>
      <c r="C291" s="33"/>
      <c r="D291" s="253"/>
      <c r="E291" s="253"/>
    </row>
    <row r="292" spans="1:5" x14ac:dyDescent="0.2">
      <c r="A292" s="345">
        <v>36403</v>
      </c>
      <c r="B292" s="253"/>
      <c r="C292" s="33"/>
      <c r="D292" s="253"/>
      <c r="E292" s="253"/>
    </row>
    <row r="293" spans="1:5" x14ac:dyDescent="0.2">
      <c r="A293" s="345">
        <v>36433</v>
      </c>
      <c r="B293" s="253"/>
      <c r="C293" s="33"/>
      <c r="D293" s="253"/>
      <c r="E293" s="253"/>
    </row>
    <row r="294" spans="1:5" x14ac:dyDescent="0.2">
      <c r="A294" s="345">
        <v>36464</v>
      </c>
      <c r="B294" s="253"/>
      <c r="C294" s="33"/>
      <c r="D294" s="253"/>
      <c r="E294" s="253"/>
    </row>
    <row r="295" spans="1:5" x14ac:dyDescent="0.2">
      <c r="A295" s="345">
        <v>36494</v>
      </c>
      <c r="B295" s="253"/>
      <c r="C295" s="33"/>
      <c r="D295" s="253"/>
      <c r="E295" s="253"/>
    </row>
    <row r="296" spans="1:5" x14ac:dyDescent="0.2">
      <c r="A296" s="345">
        <v>36525</v>
      </c>
      <c r="B296" s="253"/>
      <c r="C296" s="33"/>
      <c r="D296" s="253"/>
      <c r="E296" s="253"/>
    </row>
    <row r="297" spans="1:5" x14ac:dyDescent="0.2">
      <c r="A297" s="345">
        <v>36556</v>
      </c>
      <c r="B297" s="253"/>
      <c r="C297" s="33"/>
      <c r="D297" s="253"/>
      <c r="E297" s="253"/>
    </row>
    <row r="298" spans="1:5" x14ac:dyDescent="0.2">
      <c r="A298" s="345">
        <v>36585</v>
      </c>
      <c r="B298" s="253"/>
      <c r="C298" s="33"/>
      <c r="D298" s="253"/>
      <c r="E298" s="253"/>
    </row>
    <row r="299" spans="1:5" x14ac:dyDescent="0.2">
      <c r="A299" s="345">
        <v>36616</v>
      </c>
      <c r="B299" s="253"/>
      <c r="C299" s="33"/>
      <c r="D299" s="253"/>
      <c r="E299" s="253"/>
    </row>
    <row r="300" spans="1:5" x14ac:dyDescent="0.2">
      <c r="A300" s="345">
        <v>36646</v>
      </c>
      <c r="B300" s="253"/>
      <c r="C300" s="33"/>
      <c r="D300" s="253"/>
      <c r="E300" s="253"/>
    </row>
    <row r="301" spans="1:5" x14ac:dyDescent="0.2">
      <c r="A301" s="345">
        <v>36677</v>
      </c>
      <c r="B301" s="253"/>
      <c r="C301" s="33"/>
      <c r="D301" s="253"/>
      <c r="E301" s="253"/>
    </row>
    <row r="302" spans="1:5" x14ac:dyDescent="0.2">
      <c r="A302" s="345">
        <v>36707</v>
      </c>
      <c r="B302" s="253"/>
      <c r="C302" s="33"/>
      <c r="D302" s="253"/>
      <c r="E302" s="253"/>
    </row>
    <row r="303" spans="1:5" x14ac:dyDescent="0.2">
      <c r="A303" s="345">
        <v>36738</v>
      </c>
      <c r="B303" s="253"/>
      <c r="C303" s="33"/>
      <c r="D303" s="253"/>
      <c r="E303" s="253"/>
    </row>
    <row r="304" spans="1:5" x14ac:dyDescent="0.2">
      <c r="A304" s="345">
        <v>36769</v>
      </c>
      <c r="B304" s="253"/>
      <c r="C304" s="33"/>
      <c r="D304" s="253"/>
      <c r="E304" s="253"/>
    </row>
    <row r="305" spans="1:5" x14ac:dyDescent="0.2">
      <c r="A305" s="345">
        <v>36799</v>
      </c>
      <c r="B305" s="253"/>
      <c r="C305" s="33"/>
      <c r="D305" s="253"/>
      <c r="E305" s="253"/>
    </row>
    <row r="306" spans="1:5" x14ac:dyDescent="0.2">
      <c r="A306" s="345">
        <v>36830</v>
      </c>
      <c r="B306" s="253"/>
      <c r="C306" s="33"/>
      <c r="D306" s="253"/>
      <c r="E306" s="253"/>
    </row>
    <row r="307" spans="1:5" x14ac:dyDescent="0.2">
      <c r="A307" s="345">
        <v>36860</v>
      </c>
      <c r="B307" s="253"/>
      <c r="C307" s="33"/>
      <c r="D307" s="253"/>
      <c r="E307" s="253"/>
    </row>
    <row r="308" spans="1:5" x14ac:dyDescent="0.2">
      <c r="A308" s="345">
        <v>36891</v>
      </c>
      <c r="B308" s="253"/>
      <c r="C308" s="33"/>
      <c r="D308" s="253"/>
      <c r="E308" s="253"/>
    </row>
    <row r="309" spans="1:5" x14ac:dyDescent="0.2">
      <c r="A309" s="345">
        <v>36922</v>
      </c>
      <c r="B309" s="253"/>
      <c r="C309" s="33"/>
      <c r="D309" s="253"/>
      <c r="E309" s="253"/>
    </row>
    <row r="310" spans="1:5" x14ac:dyDescent="0.2">
      <c r="A310" s="345">
        <v>36950</v>
      </c>
      <c r="B310" s="253"/>
      <c r="C310" s="33"/>
      <c r="D310" s="253"/>
      <c r="E310" s="253"/>
    </row>
    <row r="311" spans="1:5" x14ac:dyDescent="0.2">
      <c r="A311" s="345">
        <v>36981</v>
      </c>
      <c r="B311" s="253"/>
      <c r="C311" s="33"/>
      <c r="D311" s="253"/>
      <c r="E311" s="253"/>
    </row>
    <row r="312" spans="1:5" x14ac:dyDescent="0.2">
      <c r="A312" s="345">
        <v>37011</v>
      </c>
      <c r="B312" s="253"/>
      <c r="C312" s="33"/>
      <c r="D312" s="253"/>
      <c r="E312" s="253"/>
    </row>
    <row r="313" spans="1:5" x14ac:dyDescent="0.2">
      <c r="A313" s="345">
        <v>37042</v>
      </c>
      <c r="B313" s="253"/>
      <c r="C313" s="33"/>
      <c r="D313" s="253"/>
      <c r="E313" s="253"/>
    </row>
    <row r="314" spans="1:5" x14ac:dyDescent="0.2">
      <c r="A314" s="345">
        <v>37072</v>
      </c>
      <c r="B314" s="253"/>
      <c r="C314" s="33"/>
      <c r="D314" s="253"/>
      <c r="E314" s="253"/>
    </row>
    <row r="315" spans="1:5" x14ac:dyDescent="0.2">
      <c r="A315" s="345">
        <v>37103</v>
      </c>
      <c r="B315" s="253"/>
      <c r="C315" s="33"/>
      <c r="D315" s="253"/>
      <c r="E315" s="253"/>
    </row>
    <row r="316" spans="1:5" x14ac:dyDescent="0.2">
      <c r="A316" s="345">
        <v>37134</v>
      </c>
      <c r="B316" s="253"/>
      <c r="C316" s="33"/>
      <c r="D316" s="253"/>
      <c r="E316" s="253"/>
    </row>
    <row r="317" spans="1:5" x14ac:dyDescent="0.2">
      <c r="A317" s="345">
        <v>37164</v>
      </c>
      <c r="B317" s="253"/>
      <c r="C317" s="33"/>
      <c r="D317" s="253"/>
      <c r="E317" s="253"/>
    </row>
    <row r="318" spans="1:5" x14ac:dyDescent="0.2">
      <c r="A318" s="345">
        <v>37195</v>
      </c>
      <c r="B318" s="253"/>
      <c r="C318" s="33"/>
      <c r="D318" s="253"/>
      <c r="E318" s="253"/>
    </row>
    <row r="319" spans="1:5" x14ac:dyDescent="0.2">
      <c r="A319" s="345">
        <v>37225</v>
      </c>
      <c r="B319" s="253"/>
      <c r="C319" s="33"/>
      <c r="D319" s="253"/>
      <c r="E319" s="253"/>
    </row>
    <row r="320" spans="1:5" x14ac:dyDescent="0.2">
      <c r="A320" s="345">
        <v>37256</v>
      </c>
      <c r="B320" s="253"/>
      <c r="C320" s="33"/>
      <c r="D320" s="253"/>
      <c r="E320" s="253"/>
    </row>
    <row r="321" spans="1:5" x14ac:dyDescent="0.2">
      <c r="A321" s="345">
        <v>37287</v>
      </c>
      <c r="B321" s="253"/>
      <c r="C321" s="33"/>
      <c r="D321" s="253"/>
      <c r="E321" s="253"/>
    </row>
    <row r="322" spans="1:5" x14ac:dyDescent="0.2">
      <c r="A322" s="345">
        <v>37315</v>
      </c>
      <c r="B322" s="253"/>
      <c r="C322" s="33"/>
      <c r="D322" s="253"/>
      <c r="E322" s="253"/>
    </row>
    <row r="323" spans="1:5" x14ac:dyDescent="0.2">
      <c r="A323" s="345">
        <v>37346</v>
      </c>
      <c r="B323" s="253"/>
      <c r="C323" s="33"/>
      <c r="D323" s="253"/>
      <c r="E323" s="253"/>
    </row>
    <row r="324" spans="1:5" x14ac:dyDescent="0.2">
      <c r="A324" s="345">
        <v>37376</v>
      </c>
      <c r="B324" s="253"/>
      <c r="C324" s="33"/>
      <c r="D324" s="253"/>
      <c r="E324" s="253"/>
    </row>
    <row r="325" spans="1:5" x14ac:dyDescent="0.2">
      <c r="A325" s="345">
        <v>37407</v>
      </c>
      <c r="B325" s="253"/>
      <c r="C325" s="33"/>
      <c r="D325" s="253"/>
      <c r="E325" s="253"/>
    </row>
    <row r="326" spans="1:5" x14ac:dyDescent="0.2">
      <c r="A326" s="345">
        <v>37437</v>
      </c>
      <c r="B326" s="253"/>
      <c r="C326" s="33"/>
      <c r="D326" s="253"/>
      <c r="E326" s="253"/>
    </row>
    <row r="327" spans="1:5" x14ac:dyDescent="0.2">
      <c r="A327" s="345">
        <v>37468</v>
      </c>
      <c r="B327" s="253"/>
      <c r="C327" s="33"/>
      <c r="D327" s="253"/>
      <c r="E327" s="253"/>
    </row>
    <row r="328" spans="1:5" x14ac:dyDescent="0.2">
      <c r="A328" s="345">
        <v>37499</v>
      </c>
      <c r="B328" s="253"/>
      <c r="C328" s="33"/>
      <c r="D328" s="253"/>
      <c r="E328" s="253"/>
    </row>
    <row r="329" spans="1:5" x14ac:dyDescent="0.2">
      <c r="A329" s="345">
        <v>37529</v>
      </c>
      <c r="B329" s="253"/>
      <c r="C329" s="33"/>
      <c r="D329" s="253"/>
      <c r="E329" s="253"/>
    </row>
    <row r="330" spans="1:5" x14ac:dyDescent="0.2">
      <c r="A330" s="345">
        <v>37560</v>
      </c>
      <c r="B330" s="253"/>
      <c r="C330" s="33"/>
      <c r="D330" s="253"/>
      <c r="E330" s="253"/>
    </row>
    <row r="331" spans="1:5" x14ac:dyDescent="0.2">
      <c r="A331" s="345">
        <v>37590</v>
      </c>
      <c r="B331" s="253"/>
      <c r="C331" s="33"/>
      <c r="D331" s="253"/>
      <c r="E331" s="253"/>
    </row>
    <row r="332" spans="1:5" x14ac:dyDescent="0.2">
      <c r="A332" s="345">
        <v>37621</v>
      </c>
      <c r="B332" s="253"/>
      <c r="C332" s="33"/>
      <c r="D332" s="253"/>
      <c r="E332" s="253"/>
    </row>
    <row r="333" spans="1:5" x14ac:dyDescent="0.2">
      <c r="A333" s="345">
        <v>37652</v>
      </c>
      <c r="B333" s="253"/>
      <c r="C333" s="33"/>
      <c r="D333" s="253"/>
      <c r="E333" s="253"/>
    </row>
    <row r="334" spans="1:5" x14ac:dyDescent="0.2">
      <c r="A334" s="345">
        <v>37680</v>
      </c>
      <c r="B334" s="253"/>
      <c r="C334" s="33"/>
      <c r="D334" s="253"/>
      <c r="E334" s="253"/>
    </row>
    <row r="335" spans="1:5" x14ac:dyDescent="0.2">
      <c r="A335" s="345">
        <v>37711</v>
      </c>
      <c r="B335" s="253"/>
      <c r="C335" s="33"/>
      <c r="D335" s="253"/>
      <c r="E335" s="253"/>
    </row>
    <row r="336" spans="1:5" x14ac:dyDescent="0.2">
      <c r="A336" s="345">
        <v>37741</v>
      </c>
      <c r="B336" s="253"/>
      <c r="C336" s="33"/>
      <c r="D336" s="253"/>
      <c r="E336" s="253"/>
    </row>
    <row r="337" spans="1:9" x14ac:dyDescent="0.2">
      <c r="A337" s="345">
        <v>37772</v>
      </c>
      <c r="B337" s="253"/>
      <c r="C337" s="33"/>
      <c r="D337" s="253"/>
      <c r="E337" s="253"/>
    </row>
    <row r="338" spans="1:9" x14ac:dyDescent="0.2">
      <c r="A338" s="345">
        <v>37802</v>
      </c>
      <c r="B338" s="253"/>
      <c r="C338" s="33"/>
      <c r="D338" s="253"/>
      <c r="E338" s="253"/>
    </row>
    <row r="339" spans="1:9" x14ac:dyDescent="0.2">
      <c r="A339" s="345">
        <v>37833</v>
      </c>
      <c r="B339" s="253"/>
      <c r="C339" s="33"/>
      <c r="D339" s="253"/>
      <c r="E339" s="253"/>
    </row>
    <row r="340" spans="1:9" x14ac:dyDescent="0.2">
      <c r="A340" s="345">
        <v>37864</v>
      </c>
      <c r="B340" s="253"/>
      <c r="C340" s="33"/>
      <c r="D340" s="253"/>
      <c r="E340" s="253"/>
    </row>
    <row r="341" spans="1:9" x14ac:dyDescent="0.2">
      <c r="A341" s="345">
        <v>37894</v>
      </c>
      <c r="B341" s="253"/>
      <c r="C341" s="34"/>
      <c r="D341" s="253"/>
      <c r="E341" s="253"/>
    </row>
    <row r="342" spans="1:9" x14ac:dyDescent="0.2">
      <c r="A342" s="345">
        <v>37925</v>
      </c>
      <c r="B342" s="253"/>
      <c r="C342" s="34"/>
      <c r="D342" s="253"/>
      <c r="E342" s="253"/>
    </row>
    <row r="343" spans="1:9" x14ac:dyDescent="0.2">
      <c r="A343" s="345">
        <v>37955</v>
      </c>
      <c r="B343" s="253"/>
      <c r="C343" s="34"/>
      <c r="D343" s="253"/>
      <c r="E343" s="253"/>
    </row>
    <row r="344" spans="1:9" x14ac:dyDescent="0.2">
      <c r="A344" s="345">
        <v>37986</v>
      </c>
      <c r="B344" s="253"/>
      <c r="C344" s="34"/>
      <c r="D344" s="253"/>
      <c r="E344" s="253"/>
    </row>
    <row r="345" spans="1:9" x14ac:dyDescent="0.2">
      <c r="A345" s="345">
        <v>38017</v>
      </c>
      <c r="B345" s="253"/>
      <c r="C345" s="34"/>
      <c r="D345" s="253"/>
      <c r="E345" s="253"/>
    </row>
    <row r="346" spans="1:9" x14ac:dyDescent="0.2">
      <c r="A346" s="345">
        <v>38046</v>
      </c>
      <c r="B346" s="253"/>
      <c r="C346" s="34"/>
      <c r="D346" s="253"/>
      <c r="E346" s="253"/>
    </row>
    <row r="347" spans="1:9" x14ac:dyDescent="0.2">
      <c r="A347" s="345">
        <v>38077</v>
      </c>
      <c r="B347" s="253"/>
      <c r="C347" s="34"/>
      <c r="D347" s="255"/>
      <c r="E347" s="253"/>
    </row>
    <row r="348" spans="1:9" x14ac:dyDescent="0.2">
      <c r="A348" s="345">
        <v>38107</v>
      </c>
      <c r="B348" s="253"/>
      <c r="C348" s="34"/>
      <c r="D348" s="253"/>
      <c r="E348" s="253"/>
      <c r="I348" s="14"/>
    </row>
    <row r="349" spans="1:9" x14ac:dyDescent="0.2">
      <c r="A349" s="345">
        <v>38138</v>
      </c>
      <c r="B349" s="253"/>
      <c r="C349" s="34"/>
      <c r="D349" s="253"/>
      <c r="E349" s="253"/>
      <c r="I349" s="14"/>
    </row>
    <row r="350" spans="1:9" x14ac:dyDescent="0.2">
      <c r="A350" s="345">
        <v>38168</v>
      </c>
      <c r="B350" s="253"/>
      <c r="C350" s="34"/>
      <c r="D350" s="253"/>
      <c r="E350" s="253"/>
      <c r="I350" s="14"/>
    </row>
    <row r="351" spans="1:9" x14ac:dyDescent="0.2">
      <c r="A351" s="345">
        <v>38199</v>
      </c>
      <c r="B351" s="253"/>
      <c r="C351" s="34"/>
      <c r="D351" s="253"/>
      <c r="E351" s="253"/>
    </row>
    <row r="352" spans="1:9" x14ac:dyDescent="0.2">
      <c r="A352" s="345">
        <v>38230</v>
      </c>
      <c r="B352" s="253"/>
      <c r="C352" s="34"/>
      <c r="D352" s="253"/>
      <c r="E352" s="253"/>
    </row>
    <row r="353" spans="1:5" x14ac:dyDescent="0.2">
      <c r="A353" s="345">
        <v>38260</v>
      </c>
      <c r="B353" s="253"/>
      <c r="C353" s="34"/>
      <c r="D353" s="253"/>
      <c r="E353" s="253"/>
    </row>
    <row r="354" spans="1:5" x14ac:dyDescent="0.2">
      <c r="A354" s="345">
        <v>38291</v>
      </c>
      <c r="B354" s="253"/>
      <c r="C354" s="34"/>
      <c r="D354" s="253"/>
      <c r="E354" s="253"/>
    </row>
    <row r="355" spans="1:5" x14ac:dyDescent="0.2">
      <c r="A355" s="345">
        <v>38321</v>
      </c>
      <c r="B355" s="253"/>
      <c r="C355" s="34"/>
      <c r="D355" s="253"/>
      <c r="E355" s="253"/>
    </row>
    <row r="356" spans="1:5" x14ac:dyDescent="0.2">
      <c r="A356" s="345">
        <v>38352</v>
      </c>
      <c r="B356" s="253"/>
      <c r="C356" s="256"/>
      <c r="D356" s="253"/>
      <c r="E356" s="253"/>
    </row>
    <row r="357" spans="1:5" x14ac:dyDescent="0.2">
      <c r="A357" s="345">
        <v>38383</v>
      </c>
      <c r="B357" s="253"/>
      <c r="C357" s="34"/>
      <c r="D357" s="76"/>
      <c r="E357" s="253"/>
    </row>
    <row r="358" spans="1:5" x14ac:dyDescent="0.2">
      <c r="A358" s="345">
        <v>38411</v>
      </c>
      <c r="B358" s="253"/>
      <c r="C358" s="34"/>
      <c r="D358" s="76"/>
      <c r="E358" s="253"/>
    </row>
    <row r="359" spans="1:5" x14ac:dyDescent="0.2">
      <c r="A359" s="345">
        <v>38442</v>
      </c>
      <c r="B359" s="253"/>
      <c r="C359" s="256"/>
      <c r="D359" s="76"/>
      <c r="E359" s="253"/>
    </row>
    <row r="360" spans="1:5" x14ac:dyDescent="0.2">
      <c r="A360" s="345">
        <v>38472</v>
      </c>
      <c r="B360" s="253"/>
      <c r="C360" s="256"/>
      <c r="D360" s="76"/>
      <c r="E360" s="253"/>
    </row>
    <row r="361" spans="1:5" x14ac:dyDescent="0.2">
      <c r="A361" s="345">
        <v>38503</v>
      </c>
      <c r="B361" s="253"/>
      <c r="C361" s="256"/>
      <c r="D361" s="76"/>
      <c r="E361" s="253"/>
    </row>
    <row r="362" spans="1:5" x14ac:dyDescent="0.2">
      <c r="A362" s="345">
        <v>38533</v>
      </c>
      <c r="B362" s="253"/>
      <c r="C362" s="256"/>
      <c r="D362" s="76"/>
      <c r="E362" s="253"/>
    </row>
    <row r="363" spans="1:5" x14ac:dyDescent="0.2">
      <c r="A363" s="345">
        <v>38564</v>
      </c>
      <c r="B363" s="253"/>
      <c r="C363" s="256"/>
      <c r="D363" s="76"/>
      <c r="E363" s="253"/>
    </row>
    <row r="364" spans="1:5" x14ac:dyDescent="0.2">
      <c r="A364" s="345">
        <v>38595</v>
      </c>
      <c r="B364" s="253"/>
      <c r="C364" s="256"/>
      <c r="D364" s="76"/>
      <c r="E364" s="253"/>
    </row>
    <row r="365" spans="1:5" x14ac:dyDescent="0.2">
      <c r="A365" s="345">
        <v>38625</v>
      </c>
      <c r="B365" s="253"/>
      <c r="C365" s="334"/>
      <c r="D365" s="76"/>
      <c r="E365" s="253"/>
    </row>
    <row r="366" spans="1:5" x14ac:dyDescent="0.2">
      <c r="A366" s="345">
        <v>38656</v>
      </c>
      <c r="B366" s="253"/>
      <c r="C366" s="334"/>
      <c r="D366" s="76"/>
      <c r="E366" s="253"/>
    </row>
    <row r="367" spans="1:5" x14ac:dyDescent="0.2">
      <c r="A367" s="345">
        <v>38686</v>
      </c>
      <c r="B367" s="253"/>
      <c r="C367" s="334"/>
      <c r="D367" s="76"/>
      <c r="E367" s="253"/>
    </row>
    <row r="368" spans="1:5" x14ac:dyDescent="0.2">
      <c r="A368" s="345">
        <v>38717</v>
      </c>
      <c r="B368" s="253"/>
      <c r="C368" s="256"/>
      <c r="D368" s="76"/>
      <c r="E368" s="253"/>
    </row>
    <row r="369" spans="1:9" x14ac:dyDescent="0.2">
      <c r="A369" s="345">
        <v>38748</v>
      </c>
      <c r="B369" s="253"/>
      <c r="C369" s="256"/>
      <c r="D369" s="76"/>
      <c r="E369" s="253"/>
      <c r="F369" s="496"/>
      <c r="G369" s="700"/>
      <c r="H369" s="703"/>
      <c r="I369" s="253"/>
    </row>
    <row r="370" spans="1:9" x14ac:dyDescent="0.2">
      <c r="A370" s="345">
        <v>38776</v>
      </c>
      <c r="B370" s="253"/>
      <c r="C370" s="256"/>
      <c r="D370" s="76"/>
      <c r="E370" s="253"/>
      <c r="F370" s="496"/>
      <c r="G370" s="701"/>
      <c r="H370" s="703"/>
      <c r="I370" s="253"/>
    </row>
    <row r="371" spans="1:9" x14ac:dyDescent="0.2">
      <c r="A371" s="345">
        <v>38807</v>
      </c>
      <c r="B371" s="253"/>
      <c r="C371" s="256"/>
      <c r="D371" s="76"/>
      <c r="E371" s="253"/>
      <c r="F371" s="496"/>
      <c r="G371" s="701"/>
      <c r="H371" s="703"/>
      <c r="I371" s="253"/>
    </row>
    <row r="372" spans="1:9" x14ac:dyDescent="0.2">
      <c r="A372" s="345">
        <v>38837</v>
      </c>
      <c r="B372" s="253"/>
      <c r="C372" s="34"/>
      <c r="D372" s="76"/>
      <c r="E372" s="253"/>
      <c r="F372" s="496"/>
      <c r="G372" s="700"/>
      <c r="H372" s="703"/>
      <c r="I372" s="253"/>
    </row>
    <row r="373" spans="1:9" x14ac:dyDescent="0.2">
      <c r="A373" s="345">
        <v>38868</v>
      </c>
      <c r="B373" s="253"/>
      <c r="C373" s="34"/>
      <c r="D373" s="76"/>
      <c r="E373" s="253"/>
      <c r="F373" s="496"/>
      <c r="G373" s="700"/>
      <c r="H373" s="703"/>
      <c r="I373" s="253"/>
    </row>
    <row r="374" spans="1:9" x14ac:dyDescent="0.2">
      <c r="A374" s="345">
        <v>38898</v>
      </c>
      <c r="B374" s="76"/>
      <c r="C374" s="354"/>
      <c r="D374" s="253"/>
      <c r="E374" s="253"/>
      <c r="F374" s="496"/>
      <c r="G374" s="700"/>
      <c r="H374" s="703"/>
      <c r="I374" s="253"/>
    </row>
    <row r="375" spans="1:9" x14ac:dyDescent="0.2">
      <c r="A375" s="345">
        <v>38929</v>
      </c>
      <c r="B375" s="253"/>
      <c r="C375" s="34"/>
      <c r="D375" s="253"/>
      <c r="E375" s="253"/>
      <c r="F375" s="496"/>
      <c r="G375" s="700"/>
      <c r="H375" s="703"/>
      <c r="I375" s="253"/>
    </row>
    <row r="376" spans="1:9" x14ac:dyDescent="0.2">
      <c r="A376" s="345">
        <v>38960</v>
      </c>
      <c r="B376" s="253"/>
      <c r="C376" s="34"/>
      <c r="D376" s="253"/>
      <c r="E376" s="253"/>
    </row>
    <row r="377" spans="1:9" x14ac:dyDescent="0.2">
      <c r="A377" s="345">
        <v>38990</v>
      </c>
      <c r="B377" s="253"/>
      <c r="C377" s="34"/>
      <c r="D377" s="253"/>
      <c r="E377" s="253"/>
    </row>
    <row r="378" spans="1:9" x14ac:dyDescent="0.2">
      <c r="A378" s="345">
        <v>39021</v>
      </c>
      <c r="B378" s="253"/>
      <c r="C378" s="34"/>
      <c r="D378" s="253"/>
      <c r="E378" s="253"/>
    </row>
    <row r="379" spans="1:9" x14ac:dyDescent="0.2">
      <c r="A379" s="345">
        <v>39051</v>
      </c>
      <c r="B379" s="253"/>
      <c r="C379" s="34"/>
      <c r="D379" s="253"/>
      <c r="E379" s="253"/>
    </row>
    <row r="380" spans="1:9" x14ac:dyDescent="0.2">
      <c r="A380" s="345">
        <v>39082</v>
      </c>
      <c r="B380" s="253"/>
      <c r="C380" s="34"/>
      <c r="D380" s="253"/>
      <c r="E380" s="253"/>
    </row>
    <row r="381" spans="1:9" x14ac:dyDescent="0.2">
      <c r="A381" s="345">
        <v>39113</v>
      </c>
    </row>
    <row r="382" spans="1:9" x14ac:dyDescent="0.2">
      <c r="A382" s="345">
        <v>39141</v>
      </c>
    </row>
    <row r="383" spans="1:9" x14ac:dyDescent="0.2">
      <c r="A383" s="345">
        <v>39172</v>
      </c>
    </row>
    <row r="384" spans="1:9" x14ac:dyDescent="0.2">
      <c r="A384" s="345">
        <v>39202</v>
      </c>
    </row>
    <row r="385" spans="1:3" x14ac:dyDescent="0.2">
      <c r="A385" s="345">
        <v>39233</v>
      </c>
    </row>
    <row r="386" spans="1:3" x14ac:dyDescent="0.2">
      <c r="A386" s="345">
        <v>39263</v>
      </c>
    </row>
    <row r="387" spans="1:3" x14ac:dyDescent="0.2">
      <c r="A387" s="345">
        <v>39294</v>
      </c>
    </row>
    <row r="388" spans="1:3" x14ac:dyDescent="0.2">
      <c r="A388" s="345">
        <v>39325</v>
      </c>
    </row>
    <row r="389" spans="1:3" x14ac:dyDescent="0.2">
      <c r="A389" s="345">
        <v>39355</v>
      </c>
    </row>
    <row r="390" spans="1:3" x14ac:dyDescent="0.2">
      <c r="A390" s="345">
        <v>39386</v>
      </c>
    </row>
    <row r="391" spans="1:3" x14ac:dyDescent="0.2">
      <c r="A391" s="345">
        <v>39416</v>
      </c>
    </row>
    <row r="392" spans="1:3" x14ac:dyDescent="0.2">
      <c r="A392" s="345">
        <v>39447</v>
      </c>
    </row>
    <row r="393" spans="1:3" x14ac:dyDescent="0.2">
      <c r="A393" s="345">
        <v>39478</v>
      </c>
    </row>
    <row r="394" spans="1:3" x14ac:dyDescent="0.2">
      <c r="A394" s="345">
        <v>39507</v>
      </c>
    </row>
    <row r="395" spans="1:3" x14ac:dyDescent="0.2">
      <c r="A395" s="345">
        <v>39538</v>
      </c>
    </row>
    <row r="396" spans="1:3" x14ac:dyDescent="0.2">
      <c r="A396" s="345">
        <v>39568</v>
      </c>
    </row>
    <row r="397" spans="1:3" x14ac:dyDescent="0.2">
      <c r="A397" s="345">
        <v>39599</v>
      </c>
    </row>
    <row r="398" spans="1:3" x14ac:dyDescent="0.2">
      <c r="A398" s="345">
        <v>39629</v>
      </c>
    </row>
    <row r="399" spans="1:3" x14ac:dyDescent="0.2">
      <c r="A399" s="345">
        <v>39660</v>
      </c>
      <c r="C399" s="1383"/>
    </row>
    <row r="400" spans="1:3" x14ac:dyDescent="0.2">
      <c r="A400" s="345">
        <v>39691</v>
      </c>
      <c r="C400" s="1383"/>
    </row>
    <row r="401" spans="1:3" x14ac:dyDescent="0.2">
      <c r="A401" s="345">
        <v>39721</v>
      </c>
      <c r="C401" s="1383"/>
    </row>
    <row r="402" spans="1:3" x14ac:dyDescent="0.2">
      <c r="A402" s="345">
        <v>39752</v>
      </c>
    </row>
    <row r="403" spans="1:3" x14ac:dyDescent="0.2">
      <c r="A403" s="345">
        <v>39782</v>
      </c>
    </row>
    <row r="404" spans="1:3" x14ac:dyDescent="0.2">
      <c r="A404" s="345">
        <v>39813</v>
      </c>
    </row>
    <row r="405" spans="1:3" x14ac:dyDescent="0.2">
      <c r="A405" s="345">
        <v>39844</v>
      </c>
    </row>
    <row r="406" spans="1:3" x14ac:dyDescent="0.2">
      <c r="A406" s="345">
        <v>39872</v>
      </c>
    </row>
    <row r="407" spans="1:3" x14ac:dyDescent="0.2">
      <c r="A407" s="345">
        <v>39903</v>
      </c>
    </row>
    <row r="408" spans="1:3" x14ac:dyDescent="0.2">
      <c r="A408" s="345">
        <v>39933</v>
      </c>
    </row>
    <row r="409" spans="1:3" x14ac:dyDescent="0.2">
      <c r="A409" s="345">
        <v>39964</v>
      </c>
    </row>
    <row r="410" spans="1:3" x14ac:dyDescent="0.2">
      <c r="A410" s="345">
        <v>39994</v>
      </c>
    </row>
    <row r="411" spans="1:3" x14ac:dyDescent="0.2">
      <c r="A411" s="345">
        <v>40025</v>
      </c>
    </row>
    <row r="412" spans="1:3" x14ac:dyDescent="0.2">
      <c r="A412" s="345">
        <v>40056</v>
      </c>
    </row>
    <row r="413" spans="1:3" x14ac:dyDescent="0.2">
      <c r="A413" s="345">
        <v>40086</v>
      </c>
    </row>
    <row r="414" spans="1:3" x14ac:dyDescent="0.2">
      <c r="A414" s="345">
        <v>40117</v>
      </c>
    </row>
    <row r="415" spans="1:3" x14ac:dyDescent="0.2">
      <c r="A415" s="345">
        <v>40147</v>
      </c>
    </row>
    <row r="416" spans="1:3" x14ac:dyDescent="0.2">
      <c r="A416" s="345">
        <v>40178</v>
      </c>
    </row>
    <row r="417" spans="1:4" x14ac:dyDescent="0.2">
      <c r="A417" s="345">
        <v>40209</v>
      </c>
    </row>
    <row r="418" spans="1:4" x14ac:dyDescent="0.2">
      <c r="A418" s="345">
        <v>40237</v>
      </c>
    </row>
    <row r="419" spans="1:4" x14ac:dyDescent="0.2">
      <c r="A419" s="345">
        <v>40268</v>
      </c>
      <c r="C419" s="1334"/>
      <c r="D419" s="1311"/>
    </row>
    <row r="420" spans="1:4" x14ac:dyDescent="0.2">
      <c r="A420" s="345">
        <v>40298</v>
      </c>
    </row>
    <row r="421" spans="1:4" x14ac:dyDescent="0.2">
      <c r="A421" s="345">
        <v>40329</v>
      </c>
    </row>
    <row r="422" spans="1:4" x14ac:dyDescent="0.2">
      <c r="A422" s="345">
        <v>40359</v>
      </c>
    </row>
    <row r="423" spans="1:4" x14ac:dyDescent="0.2">
      <c r="A423" s="345">
        <v>40390</v>
      </c>
    </row>
    <row r="424" spans="1:4" x14ac:dyDescent="0.2">
      <c r="A424" s="345">
        <v>40421</v>
      </c>
      <c r="B424" s="1369"/>
    </row>
    <row r="425" spans="1:4" x14ac:dyDescent="0.2">
      <c r="A425" s="345">
        <v>40451</v>
      </c>
      <c r="B425" s="258"/>
    </row>
    <row r="426" spans="1:4" x14ac:dyDescent="0.2">
      <c r="A426" s="345">
        <v>40482</v>
      </c>
      <c r="B426" s="1311"/>
      <c r="D426" s="1311"/>
    </row>
    <row r="427" spans="1:4" x14ac:dyDescent="0.2">
      <c r="A427" s="345">
        <v>40512</v>
      </c>
    </row>
    <row r="428" spans="1:4" x14ac:dyDescent="0.2">
      <c r="A428" s="345">
        <v>40543</v>
      </c>
    </row>
    <row r="429" spans="1:4" x14ac:dyDescent="0.2">
      <c r="A429" s="345">
        <v>40574</v>
      </c>
      <c r="B429" s="257">
        <f>D429</f>
        <v>0.80432999999999999</v>
      </c>
      <c r="C429" s="346">
        <v>5539938.1200000001</v>
      </c>
      <c r="D429" s="258">
        <v>0.80432999999999999</v>
      </c>
    </row>
    <row r="430" spans="1:4" x14ac:dyDescent="0.2">
      <c r="A430" s="345">
        <v>40602</v>
      </c>
      <c r="B430" s="257">
        <v>2.30348</v>
      </c>
      <c r="C430" s="346">
        <v>5667549.6799999997</v>
      </c>
      <c r="D430" s="258">
        <v>2.30348</v>
      </c>
    </row>
    <row r="431" spans="1:4" x14ac:dyDescent="0.2">
      <c r="A431" s="345">
        <v>40633</v>
      </c>
      <c r="B431" s="257">
        <f>D431</f>
        <v>-0.11591</v>
      </c>
      <c r="C431" s="346">
        <v>5660980.3399999999</v>
      </c>
      <c r="D431" s="258">
        <v>-0.11591</v>
      </c>
    </row>
    <row r="432" spans="1:4" x14ac:dyDescent="0.2">
      <c r="A432" s="345">
        <v>40663</v>
      </c>
      <c r="B432" s="257">
        <f t="shared" ref="B432:B488" si="0">D432</f>
        <v>5.30063</v>
      </c>
      <c r="C432" s="346">
        <v>5961279.2300000004</v>
      </c>
      <c r="D432" s="258">
        <v>5.30063</v>
      </c>
    </row>
    <row r="433" spans="1:4" x14ac:dyDescent="0.2">
      <c r="A433" s="345">
        <v>40694</v>
      </c>
      <c r="B433" s="257">
        <f t="shared" si="0"/>
        <v>-2.5579100000000001</v>
      </c>
      <c r="C433" s="346">
        <v>5810489.7199999997</v>
      </c>
      <c r="D433" s="258">
        <v>-2.5579100000000001</v>
      </c>
    </row>
    <row r="434" spans="1:4" x14ac:dyDescent="0.2">
      <c r="A434" s="345">
        <v>40724</v>
      </c>
      <c r="B434" s="257">
        <f t="shared" si="0"/>
        <v>-1.65137</v>
      </c>
      <c r="C434" s="346">
        <v>5714536.9199999999</v>
      </c>
      <c r="D434" s="258">
        <v>-1.65137</v>
      </c>
    </row>
    <row r="435" spans="1:4" x14ac:dyDescent="0.2">
      <c r="A435" s="345">
        <v>40755</v>
      </c>
      <c r="B435" s="257">
        <f t="shared" si="0"/>
        <v>-1.0485800000000001</v>
      </c>
      <c r="C435" s="346">
        <v>5654615.21</v>
      </c>
      <c r="D435" s="258">
        <v>-1.0485800000000001</v>
      </c>
    </row>
    <row r="436" spans="1:4" x14ac:dyDescent="0.2">
      <c r="A436" s="345">
        <v>40786</v>
      </c>
      <c r="B436" s="257">
        <f t="shared" si="0"/>
        <v>-8.2568800000000007</v>
      </c>
      <c r="C436" s="346">
        <v>5189368.83</v>
      </c>
      <c r="D436" s="258">
        <v>-8.2568800000000007</v>
      </c>
    </row>
    <row r="437" spans="1:4" x14ac:dyDescent="0.2">
      <c r="A437" s="345">
        <v>40816</v>
      </c>
      <c r="B437" s="257">
        <f t="shared" si="0"/>
        <v>-10.322789999999999</v>
      </c>
      <c r="C437" s="346">
        <v>4653681.3499999996</v>
      </c>
      <c r="D437" s="258">
        <v>-10.322789999999999</v>
      </c>
    </row>
    <row r="438" spans="1:4" x14ac:dyDescent="0.2">
      <c r="A438" s="345">
        <v>40847</v>
      </c>
      <c r="B438" s="257">
        <f t="shared" si="0"/>
        <v>7.1927199999999996</v>
      </c>
      <c r="C438" s="346">
        <v>4988407.71</v>
      </c>
      <c r="D438" s="258">
        <v>7.1927199999999996</v>
      </c>
    </row>
    <row r="439" spans="1:4" x14ac:dyDescent="0.2">
      <c r="A439" s="345">
        <v>40877</v>
      </c>
      <c r="B439" s="257">
        <f t="shared" si="0"/>
        <v>-5.4052800000000003</v>
      </c>
      <c r="C439" s="346">
        <v>4718770.58</v>
      </c>
      <c r="D439" s="258">
        <v>-5.4052800000000003</v>
      </c>
    </row>
    <row r="440" spans="1:4" x14ac:dyDescent="0.2">
      <c r="A440" s="345">
        <v>40908</v>
      </c>
      <c r="B440" s="257">
        <f t="shared" si="0"/>
        <v>-1.92181</v>
      </c>
      <c r="C440" s="346">
        <v>4628084.7</v>
      </c>
      <c r="D440" s="258">
        <v>-1.92181</v>
      </c>
    </row>
    <row r="441" spans="1:4" x14ac:dyDescent="0.2">
      <c r="A441" s="345">
        <v>40939</v>
      </c>
      <c r="B441" s="257">
        <f t="shared" si="0"/>
        <v>8.2116500000000006</v>
      </c>
      <c r="C441" s="346">
        <v>5009780.82</v>
      </c>
      <c r="D441" s="258">
        <v>8.2116500000000006</v>
      </c>
    </row>
    <row r="442" spans="1:4" x14ac:dyDescent="0.2">
      <c r="A442" s="345">
        <v>40968</v>
      </c>
      <c r="B442" s="257">
        <f t="shared" si="0"/>
        <v>5.984</v>
      </c>
      <c r="C442" s="346">
        <v>5310997.1900000004</v>
      </c>
      <c r="D442" s="258">
        <v>5.984</v>
      </c>
    </row>
    <row r="443" spans="1:4" x14ac:dyDescent="0.2">
      <c r="A443" s="345">
        <v>40999</v>
      </c>
      <c r="B443" s="257">
        <f t="shared" si="0"/>
        <v>8.8260000000000005E-2</v>
      </c>
      <c r="C443" s="346">
        <v>5315684.59</v>
      </c>
      <c r="D443" s="258">
        <v>8.8260000000000005E-2</v>
      </c>
    </row>
    <row r="444" spans="1:4" x14ac:dyDescent="0.2">
      <c r="A444" s="345">
        <v>41029</v>
      </c>
      <c r="B444" s="257">
        <f t="shared" si="0"/>
        <v>-0.49271999999999999</v>
      </c>
      <c r="C444" s="346">
        <v>5289493.3600000003</v>
      </c>
      <c r="D444" s="258">
        <v>-0.49271999999999999</v>
      </c>
    </row>
    <row r="445" spans="1:4" x14ac:dyDescent="0.2">
      <c r="A445" s="345">
        <v>41060</v>
      </c>
      <c r="B445" s="257">
        <f t="shared" si="0"/>
        <v>-11.69589</v>
      </c>
      <c r="C445" s="346">
        <v>4670839.96</v>
      </c>
      <c r="D445" s="258">
        <v>-11.69589</v>
      </c>
    </row>
    <row r="446" spans="1:4" x14ac:dyDescent="0.2">
      <c r="A446" s="345">
        <v>41090</v>
      </c>
      <c r="B446" s="257">
        <f t="shared" si="0"/>
        <v>4.03301</v>
      </c>
      <c r="C446" s="346">
        <v>4860841.93</v>
      </c>
      <c r="D446" s="258">
        <v>4.03301</v>
      </c>
    </row>
    <row r="447" spans="1:4" x14ac:dyDescent="0.2">
      <c r="A447" s="345">
        <v>41121</v>
      </c>
      <c r="B447" s="257">
        <f t="shared" si="0"/>
        <v>0.24395</v>
      </c>
      <c r="C447" s="346">
        <v>4872699.88</v>
      </c>
      <c r="D447" s="258">
        <v>0.24395</v>
      </c>
    </row>
    <row r="448" spans="1:4" x14ac:dyDescent="0.2">
      <c r="A448" s="345">
        <v>41152</v>
      </c>
      <c r="B448" s="257">
        <f t="shared" si="0"/>
        <v>2.6565300000000001</v>
      </c>
      <c r="C448" s="346">
        <v>5003642.8099999996</v>
      </c>
      <c r="D448" s="258">
        <v>2.6565300000000001</v>
      </c>
    </row>
    <row r="449" spans="1:4" x14ac:dyDescent="0.2">
      <c r="A449" s="345">
        <v>41182</v>
      </c>
      <c r="B449" s="257">
        <f t="shared" si="0"/>
        <v>4.6545399999999999</v>
      </c>
      <c r="C449" s="346">
        <v>5236539.1900000004</v>
      </c>
      <c r="D449" s="258">
        <v>4.6545399999999999</v>
      </c>
    </row>
    <row r="450" spans="1:4" x14ac:dyDescent="0.2">
      <c r="A450" s="345">
        <v>41213</v>
      </c>
      <c r="B450" s="257">
        <f t="shared" si="0"/>
        <v>0.85382999999999998</v>
      </c>
      <c r="C450" s="346">
        <v>3168639.86</v>
      </c>
      <c r="D450" s="258">
        <v>0.85382999999999998</v>
      </c>
    </row>
    <row r="451" spans="1:4" x14ac:dyDescent="0.2">
      <c r="A451" s="345">
        <v>41243</v>
      </c>
      <c r="B451" s="257">
        <f t="shared" si="0"/>
        <v>0.97924</v>
      </c>
      <c r="C451" s="346">
        <v>3199668.49</v>
      </c>
      <c r="D451" s="258">
        <v>0.97924</v>
      </c>
    </row>
    <row r="452" spans="1:4" x14ac:dyDescent="0.2">
      <c r="A452" s="345">
        <v>41274</v>
      </c>
      <c r="B452" s="257">
        <f t="shared" si="0"/>
        <v>4.1196000000000002</v>
      </c>
      <c r="C452" s="346">
        <v>3331482.01</v>
      </c>
      <c r="D452" s="258">
        <v>4.1196000000000002</v>
      </c>
    </row>
    <row r="453" spans="1:4" x14ac:dyDescent="0.2">
      <c r="A453" s="345">
        <v>41305</v>
      </c>
      <c r="B453" s="257">
        <f t="shared" si="0"/>
        <v>5.2457399999999996</v>
      </c>
      <c r="C453" s="346">
        <v>3506242.91</v>
      </c>
      <c r="D453" s="258">
        <v>5.2457399999999996</v>
      </c>
    </row>
    <row r="454" spans="1:4" x14ac:dyDescent="0.2">
      <c r="A454" s="345">
        <v>41333</v>
      </c>
      <c r="B454" s="257">
        <f t="shared" si="0"/>
        <v>1.1379600000000001</v>
      </c>
      <c r="C454" s="346">
        <v>7767259.3300000001</v>
      </c>
      <c r="D454" s="258">
        <v>1.1379600000000001</v>
      </c>
    </row>
    <row r="455" spans="1:4" x14ac:dyDescent="0.2">
      <c r="A455" s="345">
        <v>41364</v>
      </c>
      <c r="B455" s="257">
        <f t="shared" si="0"/>
        <v>2.0070999999999999</v>
      </c>
      <c r="C455" s="346">
        <v>7925664.5599999996</v>
      </c>
      <c r="D455" s="258">
        <v>2.0070999999999999</v>
      </c>
    </row>
    <row r="456" spans="1:4" x14ac:dyDescent="0.2">
      <c r="A456" s="345">
        <v>41394</v>
      </c>
      <c r="B456" s="257">
        <f t="shared" si="0"/>
        <v>3.5496500000000002</v>
      </c>
      <c r="C456" s="346">
        <v>8206997.9199999999</v>
      </c>
      <c r="D456" s="258">
        <v>3.5496500000000002</v>
      </c>
    </row>
    <row r="457" spans="1:4" x14ac:dyDescent="0.2">
      <c r="A457" s="345">
        <v>41425</v>
      </c>
      <c r="B457" s="257">
        <f t="shared" si="0"/>
        <v>-2.3402799999999999</v>
      </c>
      <c r="C457" s="346">
        <v>8016777.0599999996</v>
      </c>
      <c r="D457" s="258">
        <v>-2.3402799999999999</v>
      </c>
    </row>
    <row r="458" spans="1:4" x14ac:dyDescent="0.2">
      <c r="A458" s="345">
        <v>41455</v>
      </c>
      <c r="B458" s="257">
        <f t="shared" si="0"/>
        <v>-3.6198999999999999</v>
      </c>
      <c r="C458" s="346">
        <v>7726578</v>
      </c>
      <c r="D458" s="258">
        <v>-3.6198999999999999</v>
      </c>
    </row>
    <row r="459" spans="1:4" x14ac:dyDescent="0.2">
      <c r="A459" s="345">
        <v>41486</v>
      </c>
      <c r="B459" s="257">
        <f t="shared" si="0"/>
        <v>6.07118</v>
      </c>
      <c r="C459" s="346">
        <v>7893258.5899999999</v>
      </c>
      <c r="D459" s="258">
        <v>6.07118</v>
      </c>
    </row>
    <row r="460" spans="1:4" x14ac:dyDescent="0.2">
      <c r="A460" s="345">
        <v>41517</v>
      </c>
      <c r="B460" s="257">
        <f t="shared" si="0"/>
        <v>-5.1119999999999999E-2</v>
      </c>
      <c r="C460" s="346">
        <v>7889223.25</v>
      </c>
      <c r="D460" s="258">
        <v>-5.1119999999999999E-2</v>
      </c>
    </row>
    <row r="461" spans="1:4" x14ac:dyDescent="0.2">
      <c r="A461" s="345">
        <v>41547</v>
      </c>
      <c r="B461" s="257">
        <f t="shared" si="0"/>
        <v>8.9697600000000008</v>
      </c>
      <c r="C461" s="346">
        <v>8596867.5399999991</v>
      </c>
      <c r="D461" s="258">
        <v>8.9697600000000008</v>
      </c>
    </row>
    <row r="462" spans="1:4" x14ac:dyDescent="0.2">
      <c r="A462" s="345">
        <v>41578</v>
      </c>
      <c r="B462" s="257">
        <f t="shared" si="0"/>
        <v>3.0438200000000002</v>
      </c>
      <c r="C462" s="346">
        <v>8858540.9299999997</v>
      </c>
      <c r="D462" s="258">
        <v>3.0438200000000002</v>
      </c>
    </row>
    <row r="463" spans="1:4" x14ac:dyDescent="0.2">
      <c r="A463" s="345">
        <v>41608</v>
      </c>
      <c r="B463" s="257">
        <f t="shared" si="0"/>
        <v>0.40590999999999999</v>
      </c>
      <c r="C463" s="346">
        <v>8899350.9900000002</v>
      </c>
      <c r="D463" s="258">
        <v>0.40590999999999999</v>
      </c>
    </row>
    <row r="464" spans="1:4" x14ac:dyDescent="0.2">
      <c r="A464" s="345">
        <v>41639</v>
      </c>
      <c r="B464" s="257">
        <f t="shared" si="0"/>
        <v>2.32816</v>
      </c>
      <c r="C464" s="346">
        <v>9106542.3499999996</v>
      </c>
      <c r="D464" s="258">
        <v>2.32816</v>
      </c>
    </row>
    <row r="465" spans="1:4" x14ac:dyDescent="0.2">
      <c r="A465" s="345">
        <v>41670</v>
      </c>
      <c r="B465" s="257">
        <f t="shared" si="0"/>
        <v>-1.5979300000000001</v>
      </c>
      <c r="C465" s="346">
        <v>8963616.0299999993</v>
      </c>
      <c r="D465" s="258">
        <v>-1.5979300000000001</v>
      </c>
    </row>
    <row r="466" spans="1:4" x14ac:dyDescent="0.2">
      <c r="A466" s="345">
        <v>41698</v>
      </c>
      <c r="B466" s="257">
        <f t="shared" si="0"/>
        <v>5.5156400000000003</v>
      </c>
      <c r="C466" s="346">
        <v>9458017.0899999999</v>
      </c>
      <c r="D466" s="258">
        <v>5.5156400000000003</v>
      </c>
    </row>
    <row r="467" spans="1:4" x14ac:dyDescent="0.2">
      <c r="A467" s="345">
        <v>41729</v>
      </c>
      <c r="B467" s="257">
        <f t="shared" si="0"/>
        <v>-0.50278999999999996</v>
      </c>
      <c r="C467" s="346">
        <v>9410462.9100000001</v>
      </c>
      <c r="D467" s="258">
        <v>-0.50278999999999996</v>
      </c>
    </row>
    <row r="468" spans="1:4" x14ac:dyDescent="0.2">
      <c r="A468" s="345">
        <v>41759</v>
      </c>
      <c r="B468" s="257">
        <f t="shared" si="0"/>
        <v>-0.80101999999999995</v>
      </c>
      <c r="C468" s="346">
        <v>9335083.7300000004</v>
      </c>
      <c r="D468" s="258">
        <v>-0.80101999999999995</v>
      </c>
    </row>
    <row r="469" spans="1:4" x14ac:dyDescent="0.2">
      <c r="A469" s="345">
        <v>41790</v>
      </c>
      <c r="B469" s="257">
        <f t="shared" si="0"/>
        <v>1.4359</v>
      </c>
      <c r="C469" s="346">
        <v>9471936.0800000001</v>
      </c>
      <c r="D469" s="258">
        <v>1.4359</v>
      </c>
    </row>
    <row r="470" spans="1:4" x14ac:dyDescent="0.2">
      <c r="A470" s="345">
        <v>41820</v>
      </c>
      <c r="B470" s="257">
        <f t="shared" si="0"/>
        <v>1.5089999999999999</v>
      </c>
      <c r="C470" s="346">
        <v>9614867.7300000004</v>
      </c>
      <c r="D470" s="258">
        <v>1.5089999999999999</v>
      </c>
    </row>
    <row r="471" spans="1:4" x14ac:dyDescent="0.2">
      <c r="A471" s="345">
        <v>41851</v>
      </c>
      <c r="B471" s="257">
        <f t="shared" si="0"/>
        <v>-2.3801800000000002</v>
      </c>
      <c r="C471" s="346">
        <v>9386016.8300000001</v>
      </c>
      <c r="D471" s="258">
        <v>-2.3801800000000002</v>
      </c>
    </row>
    <row r="472" spans="1:4" x14ac:dyDescent="0.2">
      <c r="A472" s="345">
        <v>41882</v>
      </c>
      <c r="B472" s="257">
        <f t="shared" si="0"/>
        <v>-0.18174000000000001</v>
      </c>
      <c r="C472" s="346">
        <v>9371845.4900000002</v>
      </c>
      <c r="D472" s="258">
        <v>-0.18174000000000001</v>
      </c>
    </row>
    <row r="473" spans="1:4" x14ac:dyDescent="0.2">
      <c r="A473" s="345">
        <v>41912</v>
      </c>
      <c r="B473" s="257">
        <f t="shared" si="0"/>
        <v>0</v>
      </c>
    </row>
    <row r="474" spans="1:4" x14ac:dyDescent="0.2">
      <c r="A474" s="345">
        <v>41943</v>
      </c>
      <c r="B474" s="257">
        <f t="shared" si="0"/>
        <v>0</v>
      </c>
    </row>
    <row r="475" spans="1:4" x14ac:dyDescent="0.2">
      <c r="A475" s="345">
        <v>41973</v>
      </c>
      <c r="B475" s="257">
        <f t="shared" si="0"/>
        <v>0</v>
      </c>
    </row>
    <row r="476" spans="1:4" x14ac:dyDescent="0.2">
      <c r="A476" s="345">
        <v>42004</v>
      </c>
      <c r="B476" s="257">
        <f t="shared" si="0"/>
        <v>0</v>
      </c>
    </row>
    <row r="477" spans="1:4" x14ac:dyDescent="0.2">
      <c r="A477" s="345">
        <v>42035</v>
      </c>
      <c r="B477" s="257">
        <f t="shared" si="0"/>
        <v>0</v>
      </c>
    </row>
    <row r="478" spans="1:4" x14ac:dyDescent="0.2">
      <c r="A478" s="345">
        <v>42063</v>
      </c>
      <c r="B478" s="257">
        <f t="shared" si="0"/>
        <v>0</v>
      </c>
    </row>
    <row r="479" spans="1:4" x14ac:dyDescent="0.2">
      <c r="A479" s="345">
        <v>42094</v>
      </c>
      <c r="B479" s="257">
        <f t="shared" si="0"/>
        <v>0</v>
      </c>
    </row>
    <row r="480" spans="1:4" x14ac:dyDescent="0.2">
      <c r="A480" s="345">
        <v>42124</v>
      </c>
      <c r="B480" s="257">
        <f t="shared" si="0"/>
        <v>0</v>
      </c>
    </row>
    <row r="481" spans="1:2" x14ac:dyDescent="0.2">
      <c r="A481" s="345">
        <v>42155</v>
      </c>
      <c r="B481" s="257">
        <f t="shared" si="0"/>
        <v>0</v>
      </c>
    </row>
    <row r="482" spans="1:2" x14ac:dyDescent="0.2">
      <c r="A482" s="345">
        <v>42185</v>
      </c>
      <c r="B482" s="257">
        <f t="shared" si="0"/>
        <v>0</v>
      </c>
    </row>
    <row r="483" spans="1:2" x14ac:dyDescent="0.2">
      <c r="A483" s="345">
        <v>42216</v>
      </c>
      <c r="B483" s="257">
        <f t="shared" si="0"/>
        <v>0</v>
      </c>
    </row>
    <row r="484" spans="1:2" x14ac:dyDescent="0.2">
      <c r="A484" s="345">
        <v>42247</v>
      </c>
      <c r="B484" s="257">
        <f t="shared" si="0"/>
        <v>0</v>
      </c>
    </row>
    <row r="485" spans="1:2" x14ac:dyDescent="0.2">
      <c r="A485" s="345">
        <v>42277</v>
      </c>
      <c r="B485" s="257">
        <f t="shared" si="0"/>
        <v>0</v>
      </c>
    </row>
    <row r="486" spans="1:2" x14ac:dyDescent="0.2">
      <c r="A486" s="345">
        <v>42308</v>
      </c>
      <c r="B486" s="257">
        <f t="shared" si="0"/>
        <v>0</v>
      </c>
    </row>
    <row r="487" spans="1:2" x14ac:dyDescent="0.2">
      <c r="A487" s="345">
        <v>42338</v>
      </c>
      <c r="B487" s="257">
        <f t="shared" si="0"/>
        <v>0</v>
      </c>
    </row>
    <row r="488" spans="1:2" x14ac:dyDescent="0.2">
      <c r="A488" s="345">
        <v>42369</v>
      </c>
      <c r="B488" s="257">
        <f t="shared" si="0"/>
        <v>0</v>
      </c>
    </row>
  </sheetData>
  <pageMargins left="0.75" right="0.75" top="1" bottom="1" header="0.5" footer="0.5"/>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I488"/>
  <sheetViews>
    <sheetView workbookViewId="0">
      <pane xSplit="1" ySplit="2" topLeftCell="B446" activePane="bottomRight" state="frozen"/>
      <selection pane="topRight" activeCell="B1" sqref="B1"/>
      <selection pane="bottomLeft" activeCell="A3" sqref="A3"/>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5" width="18.7109375" style="258" customWidth="1"/>
    <col min="7" max="7" width="9.140625" style="352"/>
    <col min="8" max="8" width="11.140625" style="352" customWidth="1"/>
  </cols>
  <sheetData>
    <row r="1" spans="1:6" x14ac:dyDescent="0.2">
      <c r="A1" s="265" t="s">
        <v>871</v>
      </c>
      <c r="B1" s="1371" t="s">
        <v>309</v>
      </c>
      <c r="C1" s="1382" t="s">
        <v>302</v>
      </c>
      <c r="D1" s="1370">
        <v>15</v>
      </c>
      <c r="E1" s="74" t="s">
        <v>81</v>
      </c>
      <c r="F1" s="1450" t="s">
        <v>745</v>
      </c>
    </row>
    <row r="2" spans="1:6" x14ac:dyDescent="0.2">
      <c r="A2" s="3" t="s">
        <v>27</v>
      </c>
      <c r="B2" s="71" t="s">
        <v>91</v>
      </c>
      <c r="C2" s="226" t="s">
        <v>92</v>
      </c>
      <c r="D2" s="71" t="s">
        <v>90</v>
      </c>
      <c r="E2" s="71" t="s">
        <v>80</v>
      </c>
    </row>
    <row r="3" spans="1:6" x14ac:dyDescent="0.2">
      <c r="A3" s="345">
        <v>27606</v>
      </c>
      <c r="B3" s="71"/>
      <c r="C3" s="226"/>
      <c r="D3" s="71"/>
      <c r="E3" s="71"/>
    </row>
    <row r="4" spans="1:6" x14ac:dyDescent="0.2">
      <c r="A4" s="345">
        <v>27637</v>
      </c>
      <c r="B4" s="71"/>
      <c r="C4" s="226"/>
      <c r="D4" s="71"/>
      <c r="E4" s="71"/>
    </row>
    <row r="5" spans="1:6" x14ac:dyDescent="0.2">
      <c r="A5" s="345">
        <v>27667</v>
      </c>
      <c r="B5" s="71"/>
      <c r="C5" s="226"/>
      <c r="D5" s="71"/>
      <c r="E5" s="71"/>
    </row>
    <row r="6" spans="1:6" x14ac:dyDescent="0.2">
      <c r="A6" s="345">
        <v>27698</v>
      </c>
      <c r="B6" s="71"/>
      <c r="C6" s="226"/>
      <c r="D6" s="71"/>
      <c r="E6" s="71"/>
    </row>
    <row r="7" spans="1:6" x14ac:dyDescent="0.2">
      <c r="A7" s="345">
        <v>27728</v>
      </c>
      <c r="B7" s="71"/>
      <c r="C7" s="226"/>
      <c r="D7" s="71"/>
      <c r="E7" s="71"/>
    </row>
    <row r="8" spans="1:6" x14ac:dyDescent="0.2">
      <c r="A8" s="345">
        <v>27759</v>
      </c>
      <c r="B8" s="71"/>
      <c r="C8" s="226"/>
      <c r="D8" s="71"/>
      <c r="E8" s="71"/>
    </row>
    <row r="9" spans="1:6" x14ac:dyDescent="0.2">
      <c r="A9" s="345">
        <v>27790</v>
      </c>
      <c r="B9" s="71"/>
      <c r="C9" s="226"/>
      <c r="D9" s="71"/>
      <c r="E9" s="71"/>
    </row>
    <row r="10" spans="1:6" x14ac:dyDescent="0.2">
      <c r="A10" s="345">
        <v>27819</v>
      </c>
      <c r="B10" s="71"/>
      <c r="C10" s="226"/>
      <c r="D10" s="71"/>
      <c r="E10" s="71"/>
    </row>
    <row r="11" spans="1:6" x14ac:dyDescent="0.2">
      <c r="A11" s="345">
        <v>27850</v>
      </c>
      <c r="B11" s="71"/>
      <c r="C11" s="226"/>
      <c r="D11" s="71"/>
      <c r="E11" s="71"/>
    </row>
    <row r="12" spans="1:6" x14ac:dyDescent="0.2">
      <c r="A12" s="345">
        <v>27880</v>
      </c>
      <c r="B12" s="71"/>
      <c r="C12" s="226"/>
      <c r="D12" s="71"/>
      <c r="E12" s="71"/>
    </row>
    <row r="13" spans="1:6" x14ac:dyDescent="0.2">
      <c r="A13" s="345">
        <v>27911</v>
      </c>
      <c r="B13" s="71"/>
      <c r="C13" s="226"/>
      <c r="D13" s="71"/>
      <c r="E13" s="71"/>
    </row>
    <row r="14" spans="1:6" x14ac:dyDescent="0.2">
      <c r="A14" s="345">
        <v>27941</v>
      </c>
      <c r="B14" s="71"/>
      <c r="C14" s="226"/>
      <c r="D14" s="71"/>
      <c r="E14" s="71"/>
    </row>
    <row r="15" spans="1:6" x14ac:dyDescent="0.2">
      <c r="A15" s="345">
        <v>27972</v>
      </c>
      <c r="B15" s="71"/>
      <c r="C15" s="226"/>
      <c r="D15" s="71"/>
      <c r="E15" s="71"/>
    </row>
    <row r="16" spans="1:6"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3"/>
      <c r="C147" s="25"/>
      <c r="D147" s="73"/>
      <c r="E147" s="73"/>
    </row>
    <row r="148" spans="1:5" x14ac:dyDescent="0.2">
      <c r="A148" s="345">
        <v>32020</v>
      </c>
      <c r="B148" s="73"/>
      <c r="C148" s="25"/>
      <c r="D148" s="73"/>
      <c r="E148" s="73"/>
    </row>
    <row r="149" spans="1:5" x14ac:dyDescent="0.2">
      <c r="A149" s="345">
        <v>32050</v>
      </c>
      <c r="B149" s="73"/>
      <c r="C149" s="25"/>
      <c r="D149" s="73"/>
      <c r="E149" s="73"/>
    </row>
    <row r="150" spans="1:5" x14ac:dyDescent="0.2">
      <c r="A150" s="345">
        <v>32081</v>
      </c>
      <c r="B150" s="73"/>
      <c r="C150" s="25"/>
      <c r="D150" s="73"/>
      <c r="E150" s="73"/>
    </row>
    <row r="151" spans="1:5" x14ac:dyDescent="0.2">
      <c r="A151" s="345">
        <v>32111</v>
      </c>
      <c r="B151" s="73"/>
      <c r="C151" s="25"/>
      <c r="D151" s="73"/>
      <c r="E151" s="73"/>
    </row>
    <row r="152" spans="1:5" x14ac:dyDescent="0.2">
      <c r="A152" s="345">
        <v>32142</v>
      </c>
      <c r="B152" s="73"/>
      <c r="C152" s="25"/>
      <c r="D152" s="73"/>
      <c r="E152" s="73"/>
    </row>
    <row r="153" spans="1:5" x14ac:dyDescent="0.2">
      <c r="A153" s="345">
        <v>32173</v>
      </c>
      <c r="B153" s="73"/>
      <c r="C153" s="25"/>
      <c r="D153" s="73"/>
      <c r="E153" s="73"/>
    </row>
    <row r="154" spans="1:5" x14ac:dyDescent="0.2">
      <c r="A154" s="345">
        <v>32202</v>
      </c>
      <c r="B154" s="73"/>
      <c r="C154" s="25"/>
      <c r="D154" s="73"/>
      <c r="E154" s="73"/>
    </row>
    <row r="155" spans="1:5" x14ac:dyDescent="0.2">
      <c r="A155" s="345">
        <v>32233</v>
      </c>
      <c r="B155" s="73"/>
      <c r="C155" s="25"/>
      <c r="D155" s="73"/>
      <c r="E155" s="73"/>
    </row>
    <row r="156" spans="1:5" x14ac:dyDescent="0.2">
      <c r="A156" s="345">
        <v>32263</v>
      </c>
      <c r="B156" s="73"/>
      <c r="C156" s="25"/>
      <c r="D156" s="73"/>
      <c r="E156" s="73"/>
    </row>
    <row r="157" spans="1:5" x14ac:dyDescent="0.2">
      <c r="A157" s="345">
        <v>32294</v>
      </c>
      <c r="B157" s="73"/>
      <c r="C157" s="25"/>
      <c r="D157" s="73"/>
      <c r="E157" s="73"/>
    </row>
    <row r="158" spans="1:5" x14ac:dyDescent="0.2">
      <c r="A158" s="345">
        <v>32324</v>
      </c>
      <c r="B158" s="73"/>
      <c r="C158" s="25"/>
      <c r="D158" s="73"/>
      <c r="E158" s="73"/>
    </row>
    <row r="159" spans="1:5" x14ac:dyDescent="0.2">
      <c r="A159" s="345">
        <v>32355</v>
      </c>
      <c r="B159" s="73"/>
      <c r="C159" s="25"/>
      <c r="D159" s="73"/>
      <c r="E159" s="73"/>
    </row>
    <row r="160" spans="1:5" x14ac:dyDescent="0.2">
      <c r="A160" s="345">
        <v>32386</v>
      </c>
      <c r="B160" s="73"/>
      <c r="C160" s="25"/>
      <c r="D160" s="73"/>
      <c r="E160" s="73"/>
    </row>
    <row r="161" spans="1:5" x14ac:dyDescent="0.2">
      <c r="A161" s="345">
        <v>32416</v>
      </c>
      <c r="B161" s="73"/>
      <c r="C161" s="25"/>
      <c r="D161" s="73"/>
      <c r="E161" s="73"/>
    </row>
    <row r="162" spans="1:5" x14ac:dyDescent="0.2">
      <c r="A162" s="345">
        <v>32447</v>
      </c>
      <c r="B162" s="73"/>
      <c r="C162" s="25"/>
      <c r="D162" s="73"/>
      <c r="E162" s="73"/>
    </row>
    <row r="163" spans="1:5" x14ac:dyDescent="0.2">
      <c r="A163" s="345">
        <v>32477</v>
      </c>
      <c r="B163" s="73"/>
      <c r="C163" s="25"/>
      <c r="D163" s="73"/>
      <c r="E163" s="73"/>
    </row>
    <row r="164" spans="1:5" x14ac:dyDescent="0.2">
      <c r="A164" s="345">
        <v>32508</v>
      </c>
      <c r="B164" s="73"/>
      <c r="C164" s="25"/>
      <c r="D164" s="73"/>
      <c r="E164" s="73"/>
    </row>
    <row r="165" spans="1:5" x14ac:dyDescent="0.2">
      <c r="A165" s="345">
        <v>32539</v>
      </c>
      <c r="B165" s="73"/>
      <c r="C165" s="25"/>
      <c r="D165" s="73"/>
      <c r="E165" s="73"/>
    </row>
    <row r="166" spans="1:5" x14ac:dyDescent="0.2">
      <c r="A166" s="345">
        <v>32567</v>
      </c>
      <c r="B166" s="73"/>
      <c r="C166" s="25"/>
      <c r="D166" s="73"/>
      <c r="E166" s="73"/>
    </row>
    <row r="167" spans="1:5" x14ac:dyDescent="0.2">
      <c r="A167" s="345">
        <v>32598</v>
      </c>
      <c r="B167" s="73"/>
      <c r="C167" s="25"/>
      <c r="D167" s="73"/>
      <c r="E167" s="73"/>
    </row>
    <row r="168" spans="1:5" x14ac:dyDescent="0.2">
      <c r="A168" s="345">
        <v>32628</v>
      </c>
      <c r="B168" s="73"/>
      <c r="C168" s="25"/>
      <c r="D168" s="73"/>
      <c r="E168" s="73"/>
    </row>
    <row r="169" spans="1:5" x14ac:dyDescent="0.2">
      <c r="A169" s="345">
        <v>32659</v>
      </c>
      <c r="B169" s="73"/>
      <c r="C169" s="25"/>
      <c r="D169" s="73"/>
      <c r="E169" s="73"/>
    </row>
    <row r="170" spans="1:5" x14ac:dyDescent="0.2">
      <c r="A170" s="345">
        <v>32689</v>
      </c>
      <c r="B170" s="73"/>
      <c r="C170" s="25"/>
      <c r="D170" s="73"/>
      <c r="E170" s="73"/>
    </row>
    <row r="171" spans="1:5" x14ac:dyDescent="0.2">
      <c r="A171" s="345">
        <v>32720</v>
      </c>
      <c r="B171" s="73"/>
      <c r="C171" s="25"/>
      <c r="D171" s="73"/>
      <c r="E171" s="73"/>
    </row>
    <row r="172" spans="1:5" x14ac:dyDescent="0.2">
      <c r="A172" s="345">
        <v>32751</v>
      </c>
      <c r="B172" s="73"/>
      <c r="C172" s="25"/>
      <c r="D172" s="73"/>
      <c r="E172" s="73"/>
    </row>
    <row r="173" spans="1:5" x14ac:dyDescent="0.2">
      <c r="A173" s="345">
        <v>32781</v>
      </c>
      <c r="B173" s="73"/>
      <c r="C173" s="25"/>
      <c r="D173" s="73"/>
      <c r="E173" s="73"/>
    </row>
    <row r="174" spans="1:5" x14ac:dyDescent="0.2">
      <c r="A174" s="345">
        <v>32812</v>
      </c>
      <c r="B174" s="73"/>
      <c r="C174" s="25"/>
      <c r="D174" s="73"/>
      <c r="E174" s="73"/>
    </row>
    <row r="175" spans="1:5" x14ac:dyDescent="0.2">
      <c r="A175" s="345">
        <v>32842</v>
      </c>
      <c r="B175" s="73"/>
      <c r="C175" s="25"/>
      <c r="D175" s="73"/>
      <c r="E175" s="73"/>
    </row>
    <row r="176" spans="1:5" x14ac:dyDescent="0.2">
      <c r="A176" s="345">
        <v>32873</v>
      </c>
      <c r="B176" s="73"/>
      <c r="C176" s="25"/>
      <c r="D176" s="73"/>
      <c r="E176" s="73"/>
    </row>
    <row r="177" spans="1:5" x14ac:dyDescent="0.2">
      <c r="A177" s="345">
        <v>32904</v>
      </c>
      <c r="B177" s="255"/>
      <c r="C177" s="259"/>
      <c r="D177" s="73"/>
      <c r="E177" s="73"/>
    </row>
    <row r="178" spans="1:5" x14ac:dyDescent="0.2">
      <c r="A178" s="345">
        <v>32932</v>
      </c>
      <c r="B178" s="255"/>
      <c r="C178" s="259"/>
      <c r="D178" s="73"/>
      <c r="E178" s="73"/>
    </row>
    <row r="179" spans="1:5" x14ac:dyDescent="0.2">
      <c r="A179" s="345">
        <v>32963</v>
      </c>
      <c r="B179" s="255"/>
      <c r="C179" s="259"/>
      <c r="D179" s="73"/>
      <c r="E179" s="73"/>
    </row>
    <row r="180" spans="1:5" x14ac:dyDescent="0.2">
      <c r="A180" s="345">
        <v>32993</v>
      </c>
      <c r="B180" s="255"/>
      <c r="C180" s="259"/>
      <c r="D180" s="73"/>
      <c r="E180" s="73"/>
    </row>
    <row r="181" spans="1:5" x14ac:dyDescent="0.2">
      <c r="A181" s="345">
        <v>33024</v>
      </c>
      <c r="B181" s="255"/>
      <c r="C181" s="259"/>
      <c r="D181" s="73"/>
      <c r="E181" s="73"/>
    </row>
    <row r="182" spans="1:5" x14ac:dyDescent="0.2">
      <c r="A182" s="345">
        <v>33054</v>
      </c>
      <c r="B182" s="255"/>
      <c r="C182" s="259"/>
      <c r="D182" s="73"/>
      <c r="E182" s="73"/>
    </row>
    <row r="183" spans="1:5" x14ac:dyDescent="0.2">
      <c r="A183" s="345">
        <v>33085</v>
      </c>
      <c r="B183" s="255"/>
      <c r="C183" s="259"/>
      <c r="D183" s="73"/>
      <c r="E183" s="73"/>
    </row>
    <row r="184" spans="1:5" x14ac:dyDescent="0.2">
      <c r="A184" s="345">
        <v>33116</v>
      </c>
      <c r="B184" s="255"/>
      <c r="C184" s="259"/>
      <c r="D184" s="73"/>
      <c r="E184" s="73"/>
    </row>
    <row r="185" spans="1:5" x14ac:dyDescent="0.2">
      <c r="A185" s="345">
        <v>33146</v>
      </c>
      <c r="B185" s="255"/>
      <c r="C185" s="259"/>
      <c r="D185" s="73"/>
      <c r="E185" s="73"/>
    </row>
    <row r="186" spans="1:5" x14ac:dyDescent="0.2">
      <c r="A186" s="345">
        <v>33177</v>
      </c>
      <c r="B186" s="255"/>
      <c r="C186" s="259"/>
      <c r="D186" s="73"/>
      <c r="E186" s="73"/>
    </row>
    <row r="187" spans="1:5" x14ac:dyDescent="0.2">
      <c r="A187" s="345">
        <v>33207</v>
      </c>
      <c r="B187" s="255"/>
      <c r="C187" s="259"/>
      <c r="D187" s="73"/>
      <c r="E187" s="73"/>
    </row>
    <row r="188" spans="1:5" x14ac:dyDescent="0.2">
      <c r="A188" s="345">
        <v>33238</v>
      </c>
      <c r="B188" s="255"/>
      <c r="C188" s="259"/>
      <c r="D188" s="73"/>
      <c r="E188" s="73"/>
    </row>
    <row r="189" spans="1:5" x14ac:dyDescent="0.2">
      <c r="A189" s="345">
        <v>33269</v>
      </c>
      <c r="B189" s="255"/>
      <c r="C189" s="259"/>
      <c r="D189" s="73"/>
      <c r="E189" s="73"/>
    </row>
    <row r="190" spans="1:5" x14ac:dyDescent="0.2">
      <c r="A190" s="345">
        <v>33297</v>
      </c>
      <c r="B190" s="255"/>
      <c r="C190" s="259"/>
      <c r="D190" s="73"/>
      <c r="E190" s="73"/>
    </row>
    <row r="191" spans="1:5" x14ac:dyDescent="0.2">
      <c r="A191" s="345">
        <v>33328</v>
      </c>
      <c r="B191" s="255"/>
      <c r="C191" s="259"/>
      <c r="D191" s="73"/>
      <c r="E191" s="73"/>
    </row>
    <row r="192" spans="1:5" x14ac:dyDescent="0.2">
      <c r="A192" s="345">
        <v>33358</v>
      </c>
      <c r="B192" s="255"/>
      <c r="C192" s="259"/>
      <c r="D192" s="73"/>
      <c r="E192" s="73"/>
    </row>
    <row r="193" spans="1:5" x14ac:dyDescent="0.2">
      <c r="A193" s="345">
        <v>33389</v>
      </c>
      <c r="B193" s="255"/>
      <c r="C193" s="259"/>
      <c r="D193" s="73"/>
      <c r="E193" s="73"/>
    </row>
    <row r="194" spans="1:5" x14ac:dyDescent="0.2">
      <c r="A194" s="345">
        <v>33419</v>
      </c>
      <c r="B194" s="255"/>
      <c r="C194" s="259"/>
      <c r="D194" s="73"/>
      <c r="E194" s="73"/>
    </row>
    <row r="195" spans="1:5" x14ac:dyDescent="0.2">
      <c r="A195" s="345">
        <v>33450</v>
      </c>
      <c r="B195" s="255"/>
      <c r="C195" s="259"/>
      <c r="D195" s="73"/>
      <c r="E195" s="73"/>
    </row>
    <row r="196" spans="1:5" x14ac:dyDescent="0.2">
      <c r="A196" s="345">
        <v>33481</v>
      </c>
      <c r="B196" s="255"/>
      <c r="C196" s="259"/>
      <c r="D196" s="73"/>
      <c r="E196" s="73"/>
    </row>
    <row r="197" spans="1:5" x14ac:dyDescent="0.2">
      <c r="A197" s="345">
        <v>33511</v>
      </c>
      <c r="B197" s="255"/>
      <c r="C197" s="259"/>
      <c r="D197" s="73"/>
      <c r="E197" s="73"/>
    </row>
    <row r="198" spans="1:5" x14ac:dyDescent="0.2">
      <c r="A198" s="345">
        <v>33542</v>
      </c>
      <c r="B198" s="255"/>
      <c r="C198" s="259"/>
      <c r="D198" s="73"/>
      <c r="E198" s="73"/>
    </row>
    <row r="199" spans="1:5" x14ac:dyDescent="0.2">
      <c r="A199" s="345">
        <v>33572</v>
      </c>
      <c r="B199" s="255"/>
      <c r="C199" s="259"/>
      <c r="D199" s="73"/>
      <c r="E199" s="73"/>
    </row>
    <row r="200" spans="1:5" x14ac:dyDescent="0.2">
      <c r="A200" s="345">
        <v>33603</v>
      </c>
      <c r="B200" s="255"/>
      <c r="C200" s="259"/>
      <c r="D200" s="73"/>
      <c r="E200" s="73"/>
    </row>
    <row r="201" spans="1:5" x14ac:dyDescent="0.2">
      <c r="A201" s="345">
        <v>33634</v>
      </c>
      <c r="B201" s="255"/>
      <c r="C201" s="259"/>
      <c r="D201" s="73"/>
      <c r="E201" s="73"/>
    </row>
    <row r="202" spans="1:5" x14ac:dyDescent="0.2">
      <c r="A202" s="345">
        <v>33663</v>
      </c>
      <c r="B202" s="255"/>
      <c r="C202" s="259"/>
      <c r="D202" s="73"/>
      <c r="E202" s="73"/>
    </row>
    <row r="203" spans="1:5" x14ac:dyDescent="0.2">
      <c r="A203" s="345">
        <v>33694</v>
      </c>
      <c r="B203" s="255"/>
      <c r="C203" s="259"/>
      <c r="D203" s="73"/>
      <c r="E203" s="73"/>
    </row>
    <row r="204" spans="1:5" x14ac:dyDescent="0.2">
      <c r="A204" s="345">
        <v>33724</v>
      </c>
      <c r="B204" s="255"/>
      <c r="C204" s="259"/>
      <c r="D204" s="73"/>
      <c r="E204" s="73"/>
    </row>
    <row r="205" spans="1:5" x14ac:dyDescent="0.2">
      <c r="A205" s="345">
        <v>33755</v>
      </c>
      <c r="B205" s="255"/>
      <c r="C205" s="259"/>
      <c r="D205" s="73"/>
      <c r="E205" s="73"/>
    </row>
    <row r="206" spans="1:5" x14ac:dyDescent="0.2">
      <c r="A206" s="345">
        <v>33785</v>
      </c>
      <c r="B206" s="255"/>
      <c r="C206" s="259"/>
      <c r="D206" s="73"/>
      <c r="E206" s="73"/>
    </row>
    <row r="207" spans="1:5" x14ac:dyDescent="0.2">
      <c r="A207" s="345">
        <v>33816</v>
      </c>
      <c r="B207" s="255"/>
      <c r="C207" s="259"/>
      <c r="D207" s="73"/>
      <c r="E207" s="73"/>
    </row>
    <row r="208" spans="1:5" x14ac:dyDescent="0.2">
      <c r="A208" s="345">
        <v>33847</v>
      </c>
      <c r="B208" s="255"/>
      <c r="C208" s="259"/>
      <c r="D208" s="73"/>
      <c r="E208" s="73"/>
    </row>
    <row r="209" spans="1:5" x14ac:dyDescent="0.2">
      <c r="A209" s="345">
        <v>33877</v>
      </c>
      <c r="B209" s="255"/>
      <c r="C209" s="259"/>
      <c r="D209" s="73"/>
      <c r="E209" s="73"/>
    </row>
    <row r="210" spans="1:5" x14ac:dyDescent="0.2">
      <c r="A210" s="345">
        <v>33908</v>
      </c>
      <c r="B210" s="255"/>
      <c r="C210" s="259"/>
      <c r="D210" s="73"/>
      <c r="E210" s="73"/>
    </row>
    <row r="211" spans="1:5" x14ac:dyDescent="0.2">
      <c r="A211" s="345">
        <v>33938</v>
      </c>
      <c r="B211" s="255"/>
      <c r="C211" s="259"/>
      <c r="D211" s="73"/>
      <c r="E211" s="73"/>
    </row>
    <row r="212" spans="1:5" x14ac:dyDescent="0.2">
      <c r="A212" s="345">
        <v>33969</v>
      </c>
      <c r="B212" s="255"/>
      <c r="C212" s="259"/>
      <c r="D212" s="73"/>
      <c r="E212" s="73"/>
    </row>
    <row r="213" spans="1:5" x14ac:dyDescent="0.2">
      <c r="A213" s="345">
        <v>34000</v>
      </c>
      <c r="B213" s="255"/>
      <c r="C213" s="259"/>
      <c r="D213" s="73"/>
      <c r="E213" s="73"/>
    </row>
    <row r="214" spans="1:5" x14ac:dyDescent="0.2">
      <c r="A214" s="345">
        <v>34028</v>
      </c>
      <c r="B214" s="255"/>
      <c r="C214" s="259"/>
      <c r="D214" s="73"/>
      <c r="E214" s="73"/>
    </row>
    <row r="215" spans="1:5" x14ac:dyDescent="0.2">
      <c r="A215" s="345">
        <v>34059</v>
      </c>
      <c r="B215" s="255"/>
      <c r="C215" s="259"/>
      <c r="D215" s="73"/>
      <c r="E215" s="73"/>
    </row>
    <row r="216" spans="1:5" x14ac:dyDescent="0.2">
      <c r="A216" s="345">
        <v>34089</v>
      </c>
      <c r="B216" s="255"/>
      <c r="C216" s="259"/>
      <c r="D216" s="73"/>
      <c r="E216" s="73"/>
    </row>
    <row r="217" spans="1:5" x14ac:dyDescent="0.2">
      <c r="A217" s="345">
        <v>34120</v>
      </c>
      <c r="B217" s="255"/>
      <c r="C217" s="259"/>
      <c r="D217" s="73"/>
      <c r="E217" s="73"/>
    </row>
    <row r="218" spans="1:5" x14ac:dyDescent="0.2">
      <c r="A218" s="345">
        <v>34150</v>
      </c>
      <c r="B218" s="255"/>
      <c r="C218" s="259"/>
      <c r="D218" s="73"/>
      <c r="E218" s="73"/>
    </row>
    <row r="219" spans="1:5" x14ac:dyDescent="0.2">
      <c r="A219" s="345">
        <v>34181</v>
      </c>
      <c r="B219" s="255"/>
      <c r="C219" s="259"/>
      <c r="D219" s="73"/>
      <c r="E219" s="73"/>
    </row>
    <row r="220" spans="1:5" x14ac:dyDescent="0.2">
      <c r="A220" s="345">
        <v>34212</v>
      </c>
      <c r="B220" s="255"/>
      <c r="C220" s="259"/>
      <c r="D220" s="73"/>
      <c r="E220" s="73"/>
    </row>
    <row r="221" spans="1:5" x14ac:dyDescent="0.2">
      <c r="A221" s="345">
        <v>34242</v>
      </c>
      <c r="B221" s="255"/>
      <c r="C221" s="259"/>
      <c r="D221" s="73"/>
      <c r="E221" s="73"/>
    </row>
    <row r="222" spans="1:5" x14ac:dyDescent="0.2">
      <c r="A222" s="345">
        <v>34273</v>
      </c>
      <c r="B222" s="255"/>
      <c r="C222" s="259"/>
      <c r="D222" s="73"/>
      <c r="E222" s="73"/>
    </row>
    <row r="223" spans="1:5" x14ac:dyDescent="0.2">
      <c r="A223" s="345">
        <v>34303</v>
      </c>
      <c r="B223" s="255"/>
      <c r="C223" s="259"/>
      <c r="D223" s="73"/>
      <c r="E223" s="73"/>
    </row>
    <row r="224" spans="1:5" x14ac:dyDescent="0.2">
      <c r="A224" s="345">
        <v>34334</v>
      </c>
      <c r="B224" s="255"/>
      <c r="C224" s="259"/>
      <c r="D224" s="73"/>
      <c r="E224" s="73"/>
    </row>
    <row r="225" spans="1:5" x14ac:dyDescent="0.2">
      <c r="A225" s="345">
        <v>34365</v>
      </c>
      <c r="B225" s="255"/>
      <c r="C225" s="259"/>
      <c r="D225" s="73"/>
      <c r="E225" s="73"/>
    </row>
    <row r="226" spans="1:5" x14ac:dyDescent="0.2">
      <c r="A226" s="345">
        <v>34393</v>
      </c>
      <c r="B226" s="255"/>
      <c r="C226" s="259"/>
      <c r="D226" s="73"/>
      <c r="E226" s="73"/>
    </row>
    <row r="227" spans="1:5" x14ac:dyDescent="0.2">
      <c r="A227" s="345">
        <v>34424</v>
      </c>
      <c r="B227" s="255"/>
      <c r="C227" s="259"/>
      <c r="D227" s="73"/>
      <c r="E227" s="73"/>
    </row>
    <row r="228" spans="1:5" x14ac:dyDescent="0.2">
      <c r="A228" s="345">
        <v>34454</v>
      </c>
      <c r="B228" s="255"/>
      <c r="C228" s="259"/>
      <c r="D228" s="73"/>
      <c r="E228" s="73"/>
    </row>
    <row r="229" spans="1:5" x14ac:dyDescent="0.2">
      <c r="A229" s="345">
        <v>34485</v>
      </c>
      <c r="B229" s="255"/>
      <c r="C229" s="259"/>
      <c r="D229" s="73"/>
      <c r="E229" s="73"/>
    </row>
    <row r="230" spans="1:5" x14ac:dyDescent="0.2">
      <c r="A230" s="345">
        <v>34515</v>
      </c>
      <c r="B230" s="255"/>
      <c r="C230" s="259"/>
      <c r="D230" s="73"/>
      <c r="E230" s="73"/>
    </row>
    <row r="231" spans="1:5" x14ac:dyDescent="0.2">
      <c r="A231" s="345">
        <v>34546</v>
      </c>
      <c r="B231" s="255"/>
      <c r="C231" s="259"/>
      <c r="D231" s="73"/>
      <c r="E231" s="73"/>
    </row>
    <row r="232" spans="1:5" x14ac:dyDescent="0.2">
      <c r="A232" s="345">
        <v>34577</v>
      </c>
      <c r="B232" s="255"/>
      <c r="C232" s="259"/>
      <c r="D232" s="73"/>
      <c r="E232" s="73"/>
    </row>
    <row r="233" spans="1:5" x14ac:dyDescent="0.2">
      <c r="A233" s="345">
        <v>34607</v>
      </c>
      <c r="B233" s="255"/>
      <c r="C233" s="259"/>
      <c r="D233" s="73"/>
      <c r="E233" s="73"/>
    </row>
    <row r="234" spans="1:5" x14ac:dyDescent="0.2">
      <c r="A234" s="345">
        <v>34638</v>
      </c>
      <c r="B234" s="255"/>
      <c r="C234" s="259"/>
      <c r="D234" s="73"/>
      <c r="E234" s="73"/>
    </row>
    <row r="235" spans="1:5" x14ac:dyDescent="0.2">
      <c r="A235" s="345">
        <v>34668</v>
      </c>
      <c r="B235" s="255"/>
      <c r="C235" s="259"/>
      <c r="D235" s="73"/>
      <c r="E235" s="73"/>
    </row>
    <row r="236" spans="1:5" x14ac:dyDescent="0.2">
      <c r="A236" s="345">
        <v>34699</v>
      </c>
      <c r="B236" s="255"/>
      <c r="C236" s="259"/>
      <c r="D236" s="73"/>
      <c r="E236" s="73"/>
    </row>
    <row r="237" spans="1:5" x14ac:dyDescent="0.2">
      <c r="A237" s="345">
        <v>34730</v>
      </c>
      <c r="B237" s="255"/>
      <c r="C237" s="259"/>
      <c r="D237" s="73"/>
      <c r="E237" s="73"/>
    </row>
    <row r="238" spans="1:5" x14ac:dyDescent="0.2">
      <c r="A238" s="345">
        <v>34758</v>
      </c>
      <c r="B238" s="255"/>
      <c r="C238" s="259"/>
      <c r="D238" s="73"/>
      <c r="E238" s="73"/>
    </row>
    <row r="239" spans="1:5" x14ac:dyDescent="0.2">
      <c r="A239" s="345">
        <v>34789</v>
      </c>
      <c r="B239" s="255"/>
      <c r="C239" s="259"/>
      <c r="D239" s="73"/>
      <c r="E239" s="73"/>
    </row>
    <row r="240" spans="1:5" x14ac:dyDescent="0.2">
      <c r="A240" s="345">
        <v>34819</v>
      </c>
      <c r="B240" s="255"/>
      <c r="C240" s="259"/>
      <c r="D240" s="73"/>
      <c r="E240" s="73"/>
    </row>
    <row r="241" spans="1:5" x14ac:dyDescent="0.2">
      <c r="A241" s="345">
        <v>34850</v>
      </c>
      <c r="B241" s="255"/>
      <c r="C241" s="259"/>
      <c r="D241" s="73"/>
      <c r="E241" s="73"/>
    </row>
    <row r="242" spans="1:5" x14ac:dyDescent="0.2">
      <c r="A242" s="345">
        <v>34880</v>
      </c>
      <c r="B242" s="255"/>
      <c r="C242" s="259"/>
      <c r="D242" s="77"/>
      <c r="E242" s="77"/>
    </row>
    <row r="243" spans="1:5" x14ac:dyDescent="0.2">
      <c r="A243" s="345">
        <v>34911</v>
      </c>
      <c r="B243" s="255"/>
      <c r="C243" s="259"/>
      <c r="D243" s="77"/>
      <c r="E243" s="77"/>
    </row>
    <row r="244" spans="1:5" x14ac:dyDescent="0.2">
      <c r="A244" s="345">
        <v>34942</v>
      </c>
      <c r="B244" s="255"/>
      <c r="C244" s="259"/>
      <c r="D244" s="77"/>
      <c r="E244" s="77"/>
    </row>
    <row r="245" spans="1:5" x14ac:dyDescent="0.2">
      <c r="A245" s="345">
        <v>34972</v>
      </c>
      <c r="B245" s="255"/>
      <c r="C245" s="259"/>
      <c r="D245" s="77"/>
      <c r="E245" s="77"/>
    </row>
    <row r="246" spans="1:5" x14ac:dyDescent="0.2">
      <c r="A246" s="345">
        <v>35003</v>
      </c>
      <c r="B246" s="255"/>
      <c r="C246" s="259"/>
      <c r="D246" s="77"/>
      <c r="E246" s="77"/>
    </row>
    <row r="247" spans="1:5" x14ac:dyDescent="0.2">
      <c r="A247" s="345">
        <v>35033</v>
      </c>
      <c r="B247" s="255"/>
      <c r="C247" s="259"/>
      <c r="D247" s="77"/>
      <c r="E247" s="77"/>
    </row>
    <row r="248" spans="1:5" x14ac:dyDescent="0.2">
      <c r="A248" s="345">
        <v>35064</v>
      </c>
      <c r="B248" s="255"/>
      <c r="C248" s="259"/>
      <c r="D248" s="77"/>
      <c r="E248" s="77"/>
    </row>
    <row r="249" spans="1:5" x14ac:dyDescent="0.2">
      <c r="A249" s="345">
        <v>35095</v>
      </c>
      <c r="B249" s="255"/>
      <c r="C249" s="259"/>
      <c r="D249" s="77"/>
      <c r="E249" s="77"/>
    </row>
    <row r="250" spans="1:5" x14ac:dyDescent="0.2">
      <c r="A250" s="345">
        <v>35124</v>
      </c>
      <c r="B250" s="255"/>
      <c r="C250" s="259"/>
      <c r="D250" s="77"/>
      <c r="E250" s="77"/>
    </row>
    <row r="251" spans="1:5" x14ac:dyDescent="0.2">
      <c r="A251" s="345">
        <v>35155</v>
      </c>
      <c r="B251" s="255"/>
      <c r="C251" s="259"/>
      <c r="D251" s="77"/>
      <c r="E251" s="77"/>
    </row>
    <row r="252" spans="1:5" x14ac:dyDescent="0.2">
      <c r="A252" s="345">
        <v>35185</v>
      </c>
      <c r="B252" s="253"/>
      <c r="C252" s="259"/>
      <c r="D252" s="77"/>
      <c r="E252" s="77"/>
    </row>
    <row r="253" spans="1:5" x14ac:dyDescent="0.2">
      <c r="A253" s="345">
        <v>35216</v>
      </c>
      <c r="B253" s="253"/>
      <c r="C253" s="259"/>
      <c r="D253" s="77"/>
      <c r="E253" s="77"/>
    </row>
    <row r="254" spans="1:5" x14ac:dyDescent="0.2">
      <c r="A254" s="345">
        <v>35246</v>
      </c>
      <c r="B254" s="253"/>
      <c r="C254" s="259"/>
      <c r="D254" s="77"/>
      <c r="E254" s="77"/>
    </row>
    <row r="255" spans="1:5" x14ac:dyDescent="0.2">
      <c r="A255" s="345">
        <v>35277</v>
      </c>
      <c r="B255" s="253"/>
      <c r="C255" s="259"/>
      <c r="D255" s="77"/>
      <c r="E255" s="77"/>
    </row>
    <row r="256" spans="1:5" x14ac:dyDescent="0.2">
      <c r="A256" s="345">
        <v>35308</v>
      </c>
      <c r="B256" s="253"/>
      <c r="C256" s="259"/>
      <c r="D256" s="77"/>
      <c r="E256" s="77"/>
    </row>
    <row r="257" spans="1:5" x14ac:dyDescent="0.2">
      <c r="A257" s="345">
        <v>35338</v>
      </c>
      <c r="B257" s="253"/>
      <c r="C257" s="259"/>
      <c r="D257" s="77"/>
      <c r="E257" s="77"/>
    </row>
    <row r="258" spans="1:5" x14ac:dyDescent="0.2">
      <c r="A258" s="345">
        <v>35369</v>
      </c>
      <c r="B258" s="253"/>
      <c r="C258" s="259"/>
      <c r="D258" s="77"/>
      <c r="E258" s="77"/>
    </row>
    <row r="259" spans="1:5" x14ac:dyDescent="0.2">
      <c r="A259" s="345">
        <v>35399</v>
      </c>
      <c r="B259" s="253"/>
      <c r="C259" s="259"/>
      <c r="D259" s="77"/>
      <c r="E259" s="77"/>
    </row>
    <row r="260" spans="1:5" x14ac:dyDescent="0.2">
      <c r="A260" s="345">
        <v>35430</v>
      </c>
      <c r="B260" s="253"/>
      <c r="C260" s="259"/>
      <c r="D260" s="77"/>
      <c r="E260" s="77"/>
    </row>
    <row r="261" spans="1:5" x14ac:dyDescent="0.2">
      <c r="A261" s="345">
        <v>35461</v>
      </c>
      <c r="B261" s="253"/>
      <c r="C261" s="259"/>
      <c r="D261" s="77"/>
      <c r="E261" s="77"/>
    </row>
    <row r="262" spans="1:5" x14ac:dyDescent="0.2">
      <c r="A262" s="345">
        <v>35489</v>
      </c>
      <c r="B262" s="253"/>
      <c r="C262" s="259"/>
      <c r="D262" s="77"/>
      <c r="E262" s="77"/>
    </row>
    <row r="263" spans="1:5" x14ac:dyDescent="0.2">
      <c r="A263" s="345">
        <v>35520</v>
      </c>
      <c r="B263" s="253"/>
      <c r="C263" s="259"/>
      <c r="D263" s="77"/>
      <c r="E263" s="77"/>
    </row>
    <row r="264" spans="1:5" x14ac:dyDescent="0.2">
      <c r="A264" s="345">
        <v>35550</v>
      </c>
      <c r="B264" s="253"/>
      <c r="C264" s="259"/>
      <c r="D264" s="77"/>
      <c r="E264" s="77"/>
    </row>
    <row r="265" spans="1:5" x14ac:dyDescent="0.2">
      <c r="A265" s="345">
        <v>35581</v>
      </c>
      <c r="B265" s="253"/>
      <c r="C265" s="259"/>
      <c r="D265" s="77"/>
      <c r="E265" s="77"/>
    </row>
    <row r="266" spans="1:5" x14ac:dyDescent="0.2">
      <c r="A266" s="345">
        <v>35611</v>
      </c>
      <c r="B266" s="253"/>
      <c r="C266" s="259"/>
      <c r="D266" s="77"/>
      <c r="E266" s="77"/>
    </row>
    <row r="267" spans="1:5" x14ac:dyDescent="0.2">
      <c r="A267" s="345">
        <v>35642</v>
      </c>
      <c r="B267" s="253"/>
      <c r="C267" s="259"/>
      <c r="D267" s="77"/>
      <c r="E267" s="77"/>
    </row>
    <row r="268" spans="1:5" x14ac:dyDescent="0.2">
      <c r="A268" s="345">
        <v>35673</v>
      </c>
      <c r="B268" s="253"/>
      <c r="C268" s="259"/>
      <c r="D268" s="77"/>
      <c r="E268" s="77"/>
    </row>
    <row r="269" spans="1:5" x14ac:dyDescent="0.2">
      <c r="A269" s="345">
        <v>35703</v>
      </c>
      <c r="B269" s="253"/>
      <c r="C269" s="259"/>
      <c r="D269" s="77"/>
      <c r="E269" s="77"/>
    </row>
    <row r="270" spans="1:5" x14ac:dyDescent="0.2">
      <c r="A270" s="345">
        <v>35734</v>
      </c>
      <c r="B270" s="253"/>
      <c r="C270" s="259"/>
      <c r="D270" s="77"/>
      <c r="E270" s="77"/>
    </row>
    <row r="271" spans="1:5" x14ac:dyDescent="0.2">
      <c r="A271" s="345">
        <v>35764</v>
      </c>
      <c r="B271" s="253"/>
      <c r="C271" s="259"/>
      <c r="D271" s="77"/>
      <c r="E271" s="77"/>
    </row>
    <row r="272" spans="1:5" x14ac:dyDescent="0.2">
      <c r="A272" s="345">
        <v>35795</v>
      </c>
      <c r="B272" s="253"/>
      <c r="C272" s="259"/>
      <c r="D272" s="77"/>
      <c r="E272" s="77"/>
    </row>
    <row r="273" spans="1:5" x14ac:dyDescent="0.2">
      <c r="A273" s="345">
        <v>35826</v>
      </c>
      <c r="B273" s="253"/>
      <c r="C273" s="259"/>
      <c r="D273" s="77"/>
      <c r="E273" s="77"/>
    </row>
    <row r="274" spans="1:5" x14ac:dyDescent="0.2">
      <c r="A274" s="345">
        <v>35854</v>
      </c>
      <c r="B274" s="253"/>
      <c r="C274" s="259"/>
      <c r="D274" s="77"/>
      <c r="E274" s="77"/>
    </row>
    <row r="275" spans="1:5" x14ac:dyDescent="0.2">
      <c r="A275" s="345">
        <v>35885</v>
      </c>
      <c r="B275" s="253"/>
      <c r="C275" s="259"/>
      <c r="D275" s="77"/>
      <c r="E275" s="77"/>
    </row>
    <row r="276" spans="1:5" x14ac:dyDescent="0.2">
      <c r="A276" s="345">
        <v>35915</v>
      </c>
      <c r="B276" s="253"/>
      <c r="C276" s="259"/>
      <c r="D276" s="77"/>
      <c r="E276" s="77"/>
    </row>
    <row r="277" spans="1:5" x14ac:dyDescent="0.2">
      <c r="A277" s="345">
        <v>35946</v>
      </c>
      <c r="B277" s="253"/>
      <c r="C277" s="259"/>
      <c r="D277" s="77"/>
      <c r="E277" s="77"/>
    </row>
    <row r="278" spans="1:5" x14ac:dyDescent="0.2">
      <c r="A278" s="345">
        <v>35976</v>
      </c>
      <c r="B278" s="253"/>
      <c r="C278" s="259"/>
      <c r="D278" s="77"/>
      <c r="E278" s="77"/>
    </row>
    <row r="279" spans="1:5" x14ac:dyDescent="0.2">
      <c r="A279" s="345">
        <v>36007</v>
      </c>
      <c r="B279" s="253"/>
      <c r="C279" s="259"/>
      <c r="D279" s="77"/>
      <c r="E279" s="77"/>
    </row>
    <row r="280" spans="1:5" x14ac:dyDescent="0.2">
      <c r="A280" s="345">
        <v>36038</v>
      </c>
      <c r="B280" s="253"/>
      <c r="C280" s="259"/>
      <c r="D280" s="77"/>
      <c r="E280" s="77"/>
    </row>
    <row r="281" spans="1:5" x14ac:dyDescent="0.2">
      <c r="A281" s="345">
        <v>36068</v>
      </c>
      <c r="B281" s="253"/>
      <c r="C281" s="259"/>
      <c r="D281" s="77"/>
      <c r="E281" s="77"/>
    </row>
    <row r="282" spans="1:5" x14ac:dyDescent="0.2">
      <c r="A282" s="345">
        <v>36099</v>
      </c>
      <c r="B282" s="253"/>
      <c r="C282" s="259"/>
      <c r="D282" s="77"/>
      <c r="E282" s="77"/>
    </row>
    <row r="283" spans="1:5" x14ac:dyDescent="0.2">
      <c r="A283" s="345">
        <v>36129</v>
      </c>
      <c r="B283" s="253"/>
      <c r="C283" s="259"/>
      <c r="D283" s="77"/>
      <c r="E283" s="77"/>
    </row>
    <row r="284" spans="1:5" x14ac:dyDescent="0.2">
      <c r="A284" s="345">
        <v>36160</v>
      </c>
      <c r="B284" s="253"/>
      <c r="C284" s="33"/>
      <c r="D284" s="253"/>
      <c r="E284" s="253"/>
    </row>
    <row r="285" spans="1:5" x14ac:dyDescent="0.2">
      <c r="A285" s="345">
        <v>36191</v>
      </c>
      <c r="B285" s="253"/>
      <c r="C285" s="33"/>
      <c r="D285" s="253"/>
      <c r="E285" s="253"/>
    </row>
    <row r="286" spans="1:5" x14ac:dyDescent="0.2">
      <c r="A286" s="345">
        <v>36219</v>
      </c>
      <c r="B286" s="253"/>
      <c r="C286" s="33"/>
      <c r="D286" s="253"/>
      <c r="E286" s="253"/>
    </row>
    <row r="287" spans="1:5" x14ac:dyDescent="0.2">
      <c r="A287" s="345">
        <v>36250</v>
      </c>
      <c r="B287" s="253"/>
      <c r="C287" s="33"/>
      <c r="D287" s="253"/>
      <c r="E287" s="253"/>
    </row>
    <row r="288" spans="1:5" x14ac:dyDescent="0.2">
      <c r="A288" s="345">
        <v>36280</v>
      </c>
      <c r="B288" s="253"/>
      <c r="C288" s="33"/>
      <c r="D288" s="253"/>
      <c r="E288" s="253"/>
    </row>
    <row r="289" spans="1:5" x14ac:dyDescent="0.2">
      <c r="A289" s="345">
        <v>36311</v>
      </c>
      <c r="B289" s="253"/>
      <c r="C289" s="33"/>
      <c r="D289" s="253"/>
      <c r="E289" s="253"/>
    </row>
    <row r="290" spans="1:5" x14ac:dyDescent="0.2">
      <c r="A290" s="345">
        <v>36341</v>
      </c>
      <c r="B290" s="253"/>
      <c r="C290" s="33"/>
      <c r="D290" s="253"/>
      <c r="E290" s="253"/>
    </row>
    <row r="291" spans="1:5" x14ac:dyDescent="0.2">
      <c r="A291" s="345">
        <v>36372</v>
      </c>
      <c r="B291" s="253"/>
      <c r="C291" s="33"/>
      <c r="D291" s="253"/>
      <c r="E291" s="253"/>
    </row>
    <row r="292" spans="1:5" x14ac:dyDescent="0.2">
      <c r="A292" s="345">
        <v>36403</v>
      </c>
      <c r="B292" s="253"/>
      <c r="C292" s="33"/>
      <c r="D292" s="253"/>
      <c r="E292" s="253"/>
    </row>
    <row r="293" spans="1:5" x14ac:dyDescent="0.2">
      <c r="A293" s="345">
        <v>36433</v>
      </c>
      <c r="B293" s="253"/>
      <c r="C293" s="33"/>
      <c r="D293" s="253"/>
      <c r="E293" s="253"/>
    </row>
    <row r="294" spans="1:5" x14ac:dyDescent="0.2">
      <c r="A294" s="345">
        <v>36464</v>
      </c>
      <c r="B294" s="253"/>
      <c r="C294" s="33"/>
      <c r="D294" s="253"/>
      <c r="E294" s="253"/>
    </row>
    <row r="295" spans="1:5" x14ac:dyDescent="0.2">
      <c r="A295" s="345">
        <v>36494</v>
      </c>
      <c r="B295" s="253"/>
      <c r="C295" s="33"/>
      <c r="D295" s="253"/>
      <c r="E295" s="253"/>
    </row>
    <row r="296" spans="1:5" x14ac:dyDescent="0.2">
      <c r="A296" s="345">
        <v>36525</v>
      </c>
      <c r="B296" s="253"/>
      <c r="C296" s="33"/>
      <c r="D296" s="253"/>
      <c r="E296" s="253"/>
    </row>
    <row r="297" spans="1:5" x14ac:dyDescent="0.2">
      <c r="A297" s="345">
        <v>36556</v>
      </c>
      <c r="B297" s="253"/>
      <c r="C297" s="33"/>
      <c r="D297" s="253"/>
      <c r="E297" s="253"/>
    </row>
    <row r="298" spans="1:5" x14ac:dyDescent="0.2">
      <c r="A298" s="345">
        <v>36585</v>
      </c>
      <c r="B298" s="253"/>
      <c r="C298" s="33"/>
      <c r="D298" s="253"/>
      <c r="E298" s="253"/>
    </row>
    <row r="299" spans="1:5" x14ac:dyDescent="0.2">
      <c r="A299" s="345">
        <v>36616</v>
      </c>
      <c r="B299" s="253"/>
      <c r="C299" s="33"/>
      <c r="D299" s="253"/>
      <c r="E299" s="253"/>
    </row>
    <row r="300" spans="1:5" x14ac:dyDescent="0.2">
      <c r="A300" s="345">
        <v>36646</v>
      </c>
      <c r="B300" s="253"/>
      <c r="C300" s="33"/>
      <c r="D300" s="253"/>
      <c r="E300" s="253"/>
    </row>
    <row r="301" spans="1:5" x14ac:dyDescent="0.2">
      <c r="A301" s="345">
        <v>36677</v>
      </c>
      <c r="B301" s="253"/>
      <c r="C301" s="33"/>
      <c r="D301" s="253"/>
      <c r="E301" s="253"/>
    </row>
    <row r="302" spans="1:5" x14ac:dyDescent="0.2">
      <c r="A302" s="345">
        <v>36707</v>
      </c>
      <c r="B302" s="253"/>
      <c r="C302" s="33"/>
      <c r="D302" s="253"/>
      <c r="E302" s="253"/>
    </row>
    <row r="303" spans="1:5" x14ac:dyDescent="0.2">
      <c r="A303" s="345">
        <v>36738</v>
      </c>
      <c r="B303" s="253"/>
      <c r="C303" s="33"/>
      <c r="D303" s="253"/>
      <c r="E303" s="253"/>
    </row>
    <row r="304" spans="1:5" x14ac:dyDescent="0.2">
      <c r="A304" s="345">
        <v>36769</v>
      </c>
      <c r="B304" s="253"/>
      <c r="C304" s="33"/>
      <c r="D304" s="253"/>
      <c r="E304" s="253"/>
    </row>
    <row r="305" spans="1:5" x14ac:dyDescent="0.2">
      <c r="A305" s="345">
        <v>36799</v>
      </c>
      <c r="B305" s="253"/>
      <c r="C305" s="33"/>
      <c r="D305" s="253"/>
      <c r="E305" s="253"/>
    </row>
    <row r="306" spans="1:5" x14ac:dyDescent="0.2">
      <c r="A306" s="345">
        <v>36830</v>
      </c>
      <c r="B306" s="253"/>
      <c r="C306" s="33"/>
      <c r="D306" s="253"/>
      <c r="E306" s="253"/>
    </row>
    <row r="307" spans="1:5" x14ac:dyDescent="0.2">
      <c r="A307" s="345">
        <v>36860</v>
      </c>
      <c r="B307" s="253"/>
      <c r="C307" s="33"/>
      <c r="D307" s="253"/>
      <c r="E307" s="253"/>
    </row>
    <row r="308" spans="1:5" x14ac:dyDescent="0.2">
      <c r="A308" s="345">
        <v>36891</v>
      </c>
      <c r="B308" s="253"/>
      <c r="C308" s="33"/>
      <c r="D308" s="253"/>
      <c r="E308" s="253"/>
    </row>
    <row r="309" spans="1:5" x14ac:dyDescent="0.2">
      <c r="A309" s="345">
        <v>36922</v>
      </c>
      <c r="B309" s="253"/>
      <c r="C309" s="33"/>
      <c r="D309" s="253"/>
      <c r="E309" s="253"/>
    </row>
    <row r="310" spans="1:5" x14ac:dyDescent="0.2">
      <c r="A310" s="345">
        <v>36950</v>
      </c>
      <c r="B310" s="253"/>
      <c r="C310" s="33"/>
      <c r="D310" s="253"/>
      <c r="E310" s="253"/>
    </row>
    <row r="311" spans="1:5" x14ac:dyDescent="0.2">
      <c r="A311" s="345">
        <v>36981</v>
      </c>
      <c r="B311" s="253"/>
      <c r="C311" s="33"/>
      <c r="D311" s="253"/>
      <c r="E311" s="253"/>
    </row>
    <row r="312" spans="1:5" x14ac:dyDescent="0.2">
      <c r="A312" s="345">
        <v>37011</v>
      </c>
      <c r="B312" s="253"/>
      <c r="C312" s="33"/>
      <c r="D312" s="253"/>
      <c r="E312" s="253"/>
    </row>
    <row r="313" spans="1:5" x14ac:dyDescent="0.2">
      <c r="A313" s="345">
        <v>37042</v>
      </c>
      <c r="B313" s="253"/>
      <c r="C313" s="33"/>
      <c r="D313" s="253"/>
      <c r="E313" s="253"/>
    </row>
    <row r="314" spans="1:5" x14ac:dyDescent="0.2">
      <c r="A314" s="345">
        <v>37072</v>
      </c>
      <c r="B314" s="253"/>
      <c r="C314" s="33"/>
      <c r="D314" s="253"/>
      <c r="E314" s="253"/>
    </row>
    <row r="315" spans="1:5" x14ac:dyDescent="0.2">
      <c r="A315" s="345">
        <v>37103</v>
      </c>
      <c r="B315" s="253"/>
      <c r="C315" s="33"/>
      <c r="D315" s="253"/>
      <c r="E315" s="253"/>
    </row>
    <row r="316" spans="1:5" x14ac:dyDescent="0.2">
      <c r="A316" s="345">
        <v>37134</v>
      </c>
      <c r="B316" s="253"/>
      <c r="C316" s="33"/>
      <c r="D316" s="253"/>
      <c r="E316" s="253"/>
    </row>
    <row r="317" spans="1:5" x14ac:dyDescent="0.2">
      <c r="A317" s="345">
        <v>37164</v>
      </c>
      <c r="B317" s="253"/>
      <c r="C317" s="33"/>
      <c r="D317" s="253"/>
      <c r="E317" s="253"/>
    </row>
    <row r="318" spans="1:5" x14ac:dyDescent="0.2">
      <c r="A318" s="345">
        <v>37195</v>
      </c>
      <c r="B318" s="253"/>
      <c r="C318" s="33"/>
      <c r="D318" s="253"/>
      <c r="E318" s="253"/>
    </row>
    <row r="319" spans="1:5" x14ac:dyDescent="0.2">
      <c r="A319" s="345">
        <v>37225</v>
      </c>
      <c r="B319" s="253"/>
      <c r="C319" s="33"/>
      <c r="D319" s="253"/>
      <c r="E319" s="253"/>
    </row>
    <row r="320" spans="1:5" x14ac:dyDescent="0.2">
      <c r="A320" s="345">
        <v>37256</v>
      </c>
      <c r="B320" s="253"/>
      <c r="C320" s="33"/>
      <c r="D320" s="253"/>
      <c r="E320" s="253"/>
    </row>
    <row r="321" spans="1:5" x14ac:dyDescent="0.2">
      <c r="A321" s="345">
        <v>37287</v>
      </c>
      <c r="B321" s="253"/>
      <c r="C321" s="33"/>
      <c r="D321" s="253"/>
      <c r="E321" s="253"/>
    </row>
    <row r="322" spans="1:5" x14ac:dyDescent="0.2">
      <c r="A322" s="345">
        <v>37315</v>
      </c>
      <c r="B322" s="253"/>
      <c r="C322" s="33"/>
      <c r="D322" s="253"/>
      <c r="E322" s="253"/>
    </row>
    <row r="323" spans="1:5" x14ac:dyDescent="0.2">
      <c r="A323" s="345">
        <v>37346</v>
      </c>
      <c r="B323" s="253"/>
      <c r="C323" s="33"/>
      <c r="D323" s="253"/>
      <c r="E323" s="253"/>
    </row>
    <row r="324" spans="1:5" x14ac:dyDescent="0.2">
      <c r="A324" s="345">
        <v>37376</v>
      </c>
      <c r="B324" s="253"/>
      <c r="C324" s="33"/>
      <c r="D324" s="253"/>
      <c r="E324" s="253"/>
    </row>
    <row r="325" spans="1:5" x14ac:dyDescent="0.2">
      <c r="A325" s="345">
        <v>37407</v>
      </c>
      <c r="B325" s="253"/>
      <c r="C325" s="33"/>
      <c r="D325" s="253"/>
      <c r="E325" s="253"/>
    </row>
    <row r="326" spans="1:5" x14ac:dyDescent="0.2">
      <c r="A326" s="345">
        <v>37437</v>
      </c>
      <c r="B326" s="253"/>
      <c r="C326" s="33"/>
      <c r="D326" s="253"/>
      <c r="E326" s="253"/>
    </row>
    <row r="327" spans="1:5" x14ac:dyDescent="0.2">
      <c r="A327" s="345">
        <v>37468</v>
      </c>
      <c r="B327" s="253"/>
      <c r="C327" s="33"/>
      <c r="D327" s="253"/>
      <c r="E327" s="253"/>
    </row>
    <row r="328" spans="1:5" x14ac:dyDescent="0.2">
      <c r="A328" s="345">
        <v>37499</v>
      </c>
      <c r="B328" s="253"/>
      <c r="C328" s="33"/>
      <c r="D328" s="253"/>
      <c r="E328" s="253"/>
    </row>
    <row r="329" spans="1:5" x14ac:dyDescent="0.2">
      <c r="A329" s="345">
        <v>37529</v>
      </c>
      <c r="B329" s="253"/>
      <c r="C329" s="33"/>
      <c r="D329" s="253"/>
      <c r="E329" s="253"/>
    </row>
    <row r="330" spans="1:5" x14ac:dyDescent="0.2">
      <c r="A330" s="345">
        <v>37560</v>
      </c>
      <c r="B330" s="253"/>
      <c r="C330" s="33"/>
      <c r="D330" s="253"/>
      <c r="E330" s="253"/>
    </row>
    <row r="331" spans="1:5" x14ac:dyDescent="0.2">
      <c r="A331" s="345">
        <v>37590</v>
      </c>
      <c r="B331" s="253"/>
      <c r="C331" s="33"/>
      <c r="D331" s="253"/>
      <c r="E331" s="253"/>
    </row>
    <row r="332" spans="1:5" x14ac:dyDescent="0.2">
      <c r="A332" s="345">
        <v>37621</v>
      </c>
      <c r="B332" s="253"/>
      <c r="C332" s="33"/>
      <c r="D332" s="253"/>
      <c r="E332" s="253"/>
    </row>
    <row r="333" spans="1:5" x14ac:dyDescent="0.2">
      <c r="A333" s="345">
        <v>37652</v>
      </c>
      <c r="B333" s="253"/>
      <c r="C333" s="33"/>
      <c r="D333" s="253"/>
      <c r="E333" s="253"/>
    </row>
    <row r="334" spans="1:5" x14ac:dyDescent="0.2">
      <c r="A334" s="345">
        <v>37680</v>
      </c>
      <c r="B334" s="253"/>
      <c r="C334" s="33"/>
      <c r="D334" s="253"/>
      <c r="E334" s="253"/>
    </row>
    <row r="335" spans="1:5" x14ac:dyDescent="0.2">
      <c r="A335" s="345">
        <v>37711</v>
      </c>
      <c r="B335" s="253"/>
      <c r="C335" s="33"/>
      <c r="D335" s="253"/>
      <c r="E335" s="253"/>
    </row>
    <row r="336" spans="1:5" x14ac:dyDescent="0.2">
      <c r="A336" s="345">
        <v>37741</v>
      </c>
      <c r="B336" s="253"/>
      <c r="C336" s="33"/>
      <c r="D336" s="253"/>
      <c r="E336" s="253"/>
    </row>
    <row r="337" spans="1:9" x14ac:dyDescent="0.2">
      <c r="A337" s="345">
        <v>37772</v>
      </c>
      <c r="B337" s="253"/>
      <c r="C337" s="33"/>
      <c r="D337" s="253"/>
      <c r="E337" s="253"/>
    </row>
    <row r="338" spans="1:9" x14ac:dyDescent="0.2">
      <c r="A338" s="345">
        <v>37802</v>
      </c>
      <c r="B338" s="253"/>
      <c r="C338" s="33"/>
      <c r="D338" s="253"/>
      <c r="E338" s="253"/>
    </row>
    <row r="339" spans="1:9" x14ac:dyDescent="0.2">
      <c r="A339" s="345">
        <v>37833</v>
      </c>
      <c r="B339" s="253"/>
      <c r="C339" s="33"/>
      <c r="D339" s="253"/>
      <c r="E339" s="253"/>
    </row>
    <row r="340" spans="1:9" x14ac:dyDescent="0.2">
      <c r="A340" s="345">
        <v>37864</v>
      </c>
      <c r="B340" s="253"/>
      <c r="C340" s="33"/>
      <c r="D340" s="253"/>
      <c r="E340" s="253"/>
    </row>
    <row r="341" spans="1:9" x14ac:dyDescent="0.2">
      <c r="A341" s="345">
        <v>37894</v>
      </c>
      <c r="B341" s="253"/>
      <c r="C341" s="34"/>
      <c r="D341" s="253"/>
      <c r="E341" s="253"/>
    </row>
    <row r="342" spans="1:9" x14ac:dyDescent="0.2">
      <c r="A342" s="345">
        <v>37925</v>
      </c>
      <c r="B342" s="253"/>
      <c r="C342" s="34"/>
      <c r="D342" s="253"/>
      <c r="E342" s="253"/>
    </row>
    <row r="343" spans="1:9" x14ac:dyDescent="0.2">
      <c r="A343" s="345">
        <v>37955</v>
      </c>
      <c r="B343" s="253"/>
      <c r="C343" s="34"/>
      <c r="D343" s="253"/>
      <c r="E343" s="253"/>
    </row>
    <row r="344" spans="1:9" x14ac:dyDescent="0.2">
      <c r="A344" s="345">
        <v>37986</v>
      </c>
      <c r="B344" s="253"/>
      <c r="C344" s="34"/>
      <c r="D344" s="253"/>
      <c r="E344" s="253"/>
    </row>
    <row r="345" spans="1:9" x14ac:dyDescent="0.2">
      <c r="A345" s="345">
        <v>38017</v>
      </c>
      <c r="B345" s="253"/>
      <c r="C345" s="34"/>
      <c r="D345" s="253"/>
      <c r="E345" s="253"/>
    </row>
    <row r="346" spans="1:9" x14ac:dyDescent="0.2">
      <c r="A346" s="345">
        <v>38046</v>
      </c>
      <c r="B346" s="253"/>
      <c r="C346" s="34"/>
      <c r="D346" s="253"/>
      <c r="E346" s="253"/>
    </row>
    <row r="347" spans="1:9" x14ac:dyDescent="0.2">
      <c r="A347" s="345">
        <v>38077</v>
      </c>
      <c r="B347" s="253"/>
      <c r="C347" s="34"/>
      <c r="D347" s="255"/>
      <c r="E347" s="253"/>
    </row>
    <row r="348" spans="1:9" x14ac:dyDescent="0.2">
      <c r="A348" s="345">
        <v>38107</v>
      </c>
      <c r="B348" s="253"/>
      <c r="C348" s="34"/>
      <c r="D348" s="253"/>
      <c r="E348" s="253"/>
      <c r="I348" s="14"/>
    </row>
    <row r="349" spans="1:9" x14ac:dyDescent="0.2">
      <c r="A349" s="345">
        <v>38138</v>
      </c>
      <c r="B349" s="253"/>
      <c r="C349" s="34"/>
      <c r="D349" s="253"/>
      <c r="E349" s="253"/>
      <c r="I349" s="14"/>
    </row>
    <row r="350" spans="1:9" x14ac:dyDescent="0.2">
      <c r="A350" s="345">
        <v>38168</v>
      </c>
      <c r="B350" s="253"/>
      <c r="C350" s="34"/>
      <c r="D350" s="253"/>
      <c r="E350" s="253"/>
      <c r="I350" s="14"/>
    </row>
    <row r="351" spans="1:9" x14ac:dyDescent="0.2">
      <c r="A351" s="345">
        <v>38199</v>
      </c>
      <c r="B351" s="253"/>
      <c r="C351" s="34"/>
      <c r="D351" s="253"/>
      <c r="E351" s="253"/>
    </row>
    <row r="352" spans="1:9" x14ac:dyDescent="0.2">
      <c r="A352" s="345">
        <v>38230</v>
      </c>
      <c r="B352" s="253"/>
      <c r="C352" s="34"/>
      <c r="D352" s="253"/>
      <c r="E352" s="253"/>
    </row>
    <row r="353" spans="1:5" x14ac:dyDescent="0.2">
      <c r="A353" s="345">
        <v>38260</v>
      </c>
      <c r="B353" s="253"/>
      <c r="C353" s="34"/>
      <c r="D353" s="253"/>
      <c r="E353" s="253"/>
    </row>
    <row r="354" spans="1:5" x14ac:dyDescent="0.2">
      <c r="A354" s="345">
        <v>38291</v>
      </c>
      <c r="B354" s="253"/>
      <c r="C354" s="34"/>
      <c r="D354" s="253"/>
      <c r="E354" s="253"/>
    </row>
    <row r="355" spans="1:5" x14ac:dyDescent="0.2">
      <c r="A355" s="345">
        <v>38321</v>
      </c>
      <c r="B355" s="253"/>
      <c r="C355" s="34"/>
      <c r="D355" s="253"/>
      <c r="E355" s="253"/>
    </row>
    <row r="356" spans="1:5" x14ac:dyDescent="0.2">
      <c r="A356" s="345">
        <v>38352</v>
      </c>
      <c r="B356" s="253"/>
      <c r="C356" s="256"/>
      <c r="D356" s="253"/>
      <c r="E356" s="253"/>
    </row>
    <row r="357" spans="1:5" x14ac:dyDescent="0.2">
      <c r="A357" s="345">
        <v>38383</v>
      </c>
      <c r="B357" s="253"/>
      <c r="C357" s="34"/>
      <c r="D357" s="76"/>
      <c r="E357" s="253"/>
    </row>
    <row r="358" spans="1:5" x14ac:dyDescent="0.2">
      <c r="A358" s="345">
        <v>38411</v>
      </c>
      <c r="B358" s="253"/>
      <c r="C358" s="34"/>
      <c r="D358" s="76"/>
      <c r="E358" s="253"/>
    </row>
    <row r="359" spans="1:5" x14ac:dyDescent="0.2">
      <c r="A359" s="345">
        <v>38442</v>
      </c>
      <c r="B359" s="253"/>
      <c r="C359" s="256"/>
      <c r="D359" s="76"/>
      <c r="E359" s="253"/>
    </row>
    <row r="360" spans="1:5" x14ac:dyDescent="0.2">
      <c r="A360" s="345">
        <v>38472</v>
      </c>
      <c r="B360" s="253"/>
      <c r="C360" s="256"/>
      <c r="D360" s="76"/>
      <c r="E360" s="253"/>
    </row>
    <row r="361" spans="1:5" x14ac:dyDescent="0.2">
      <c r="A361" s="345">
        <v>38503</v>
      </c>
      <c r="B361" s="253"/>
      <c r="C361" s="256"/>
      <c r="D361" s="76"/>
      <c r="E361" s="253"/>
    </row>
    <row r="362" spans="1:5" x14ac:dyDescent="0.2">
      <c r="A362" s="345">
        <v>38533</v>
      </c>
      <c r="B362" s="253"/>
      <c r="C362" s="256"/>
      <c r="D362" s="76"/>
      <c r="E362" s="253"/>
    </row>
    <row r="363" spans="1:5" x14ac:dyDescent="0.2">
      <c r="A363" s="345">
        <v>38564</v>
      </c>
      <c r="B363" s="253"/>
      <c r="C363" s="256"/>
      <c r="D363" s="76"/>
      <c r="E363" s="253"/>
    </row>
    <row r="364" spans="1:5" x14ac:dyDescent="0.2">
      <c r="A364" s="345">
        <v>38595</v>
      </c>
      <c r="B364" s="253"/>
      <c r="C364" s="256"/>
      <c r="D364" s="76"/>
      <c r="E364" s="253"/>
    </row>
    <row r="365" spans="1:5" x14ac:dyDescent="0.2">
      <c r="A365" s="345">
        <v>38625</v>
      </c>
      <c r="B365" s="253"/>
      <c r="C365" s="334"/>
      <c r="D365" s="76"/>
      <c r="E365" s="253"/>
    </row>
    <row r="366" spans="1:5" x14ac:dyDescent="0.2">
      <c r="A366" s="345">
        <v>38656</v>
      </c>
      <c r="B366" s="253"/>
      <c r="C366" s="334"/>
      <c r="D366" s="76"/>
      <c r="E366" s="253"/>
    </row>
    <row r="367" spans="1:5" x14ac:dyDescent="0.2">
      <c r="A367" s="345">
        <v>38686</v>
      </c>
      <c r="B367" s="253"/>
      <c r="C367" s="334"/>
      <c r="D367" s="76"/>
      <c r="E367" s="253"/>
    </row>
    <row r="368" spans="1:5" x14ac:dyDescent="0.2">
      <c r="A368" s="345">
        <v>38717</v>
      </c>
      <c r="B368" s="253"/>
      <c r="C368" s="256"/>
      <c r="D368" s="76"/>
      <c r="E368" s="253"/>
    </row>
    <row r="369" spans="1:9" x14ac:dyDescent="0.2">
      <c r="A369" s="345">
        <v>38748</v>
      </c>
      <c r="B369" s="253"/>
      <c r="C369" s="256"/>
      <c r="D369" s="76"/>
      <c r="E369" s="253"/>
      <c r="F369" s="496"/>
      <c r="G369" s="700"/>
      <c r="H369" s="703"/>
      <c r="I369" s="253"/>
    </row>
    <row r="370" spans="1:9" x14ac:dyDescent="0.2">
      <c r="A370" s="345">
        <v>38776</v>
      </c>
      <c r="B370" s="253"/>
      <c r="C370" s="256"/>
      <c r="D370" s="76"/>
      <c r="E370" s="253"/>
      <c r="F370" s="496"/>
      <c r="G370" s="701"/>
      <c r="H370" s="703"/>
      <c r="I370" s="253"/>
    </row>
    <row r="371" spans="1:9" x14ac:dyDescent="0.2">
      <c r="A371" s="345">
        <v>38807</v>
      </c>
      <c r="B371" s="253"/>
      <c r="C371" s="256"/>
      <c r="D371" s="76"/>
      <c r="E371" s="253"/>
      <c r="F371" s="496"/>
      <c r="G371" s="701"/>
      <c r="H371" s="703"/>
      <c r="I371" s="253"/>
    </row>
    <row r="372" spans="1:9" x14ac:dyDescent="0.2">
      <c r="A372" s="345">
        <v>38837</v>
      </c>
      <c r="B372" s="253"/>
      <c r="C372" s="34"/>
      <c r="D372" s="76"/>
      <c r="E372" s="253"/>
      <c r="F372" s="496"/>
      <c r="G372" s="700"/>
      <c r="H372" s="703"/>
      <c r="I372" s="253"/>
    </row>
    <row r="373" spans="1:9" x14ac:dyDescent="0.2">
      <c r="A373" s="345">
        <v>38868</v>
      </c>
      <c r="B373" s="253"/>
      <c r="C373" s="34"/>
      <c r="D373" s="76"/>
      <c r="E373" s="253"/>
      <c r="F373" s="496"/>
      <c r="G373" s="700"/>
      <c r="H373" s="703"/>
      <c r="I373" s="253"/>
    </row>
    <row r="374" spans="1:9" x14ac:dyDescent="0.2">
      <c r="A374" s="345">
        <v>38898</v>
      </c>
      <c r="B374" s="76"/>
      <c r="C374" s="354"/>
      <c r="D374" s="253"/>
      <c r="E374" s="253"/>
      <c r="F374" s="496"/>
      <c r="G374" s="700"/>
      <c r="H374" s="703"/>
      <c r="I374" s="253"/>
    </row>
    <row r="375" spans="1:9" x14ac:dyDescent="0.2">
      <c r="A375" s="345">
        <v>38929</v>
      </c>
      <c r="B375" s="253"/>
      <c r="C375" s="34"/>
      <c r="D375" s="253"/>
      <c r="E375" s="253"/>
      <c r="F375" s="496"/>
      <c r="G375" s="700"/>
      <c r="H375" s="703"/>
      <c r="I375" s="253"/>
    </row>
    <row r="376" spans="1:9" x14ac:dyDescent="0.2">
      <c r="A376" s="345">
        <v>38960</v>
      </c>
      <c r="B376" s="253"/>
      <c r="C376" s="34"/>
      <c r="D376" s="253"/>
      <c r="E376" s="253"/>
    </row>
    <row r="377" spans="1:9" x14ac:dyDescent="0.2">
      <c r="A377" s="345">
        <v>38990</v>
      </c>
      <c r="B377" s="253"/>
      <c r="C377" s="34"/>
      <c r="D377" s="253"/>
      <c r="E377" s="253"/>
    </row>
    <row r="378" spans="1:9" x14ac:dyDescent="0.2">
      <c r="A378" s="345">
        <v>39021</v>
      </c>
      <c r="B378" s="253"/>
      <c r="C378" s="34"/>
      <c r="D378" s="253"/>
      <c r="E378" s="253"/>
    </row>
    <row r="379" spans="1:9" x14ac:dyDescent="0.2">
      <c r="A379" s="345">
        <v>39051</v>
      </c>
      <c r="B379" s="253"/>
      <c r="C379" s="34"/>
      <c r="D379" s="253"/>
      <c r="E379" s="253"/>
    </row>
    <row r="380" spans="1:9" x14ac:dyDescent="0.2">
      <c r="A380" s="345">
        <v>39082</v>
      </c>
      <c r="B380" s="253"/>
      <c r="C380" s="34"/>
      <c r="D380" s="253"/>
      <c r="E380" s="253"/>
    </row>
    <row r="381" spans="1:9" x14ac:dyDescent="0.2">
      <c r="A381" s="345">
        <v>39113</v>
      </c>
    </row>
    <row r="382" spans="1:9" x14ac:dyDescent="0.2">
      <c r="A382" s="345">
        <v>39141</v>
      </c>
    </row>
    <row r="383" spans="1:9" x14ac:dyDescent="0.2">
      <c r="A383" s="345">
        <v>39172</v>
      </c>
    </row>
    <row r="384" spans="1:9" x14ac:dyDescent="0.2">
      <c r="A384" s="345">
        <v>39202</v>
      </c>
    </row>
    <row r="385" spans="1:3" x14ac:dyDescent="0.2">
      <c r="A385" s="345">
        <v>39233</v>
      </c>
    </row>
    <row r="386" spans="1:3" x14ac:dyDescent="0.2">
      <c r="A386" s="345">
        <v>39263</v>
      </c>
    </row>
    <row r="387" spans="1:3" x14ac:dyDescent="0.2">
      <c r="A387" s="345">
        <v>39294</v>
      </c>
    </row>
    <row r="388" spans="1:3" x14ac:dyDescent="0.2">
      <c r="A388" s="345">
        <v>39325</v>
      </c>
    </row>
    <row r="389" spans="1:3" x14ac:dyDescent="0.2">
      <c r="A389" s="345">
        <v>39355</v>
      </c>
    </row>
    <row r="390" spans="1:3" x14ac:dyDescent="0.2">
      <c r="A390" s="345">
        <v>39386</v>
      </c>
    </row>
    <row r="391" spans="1:3" x14ac:dyDescent="0.2">
      <c r="A391" s="345">
        <v>39416</v>
      </c>
    </row>
    <row r="392" spans="1:3" x14ac:dyDescent="0.2">
      <c r="A392" s="345">
        <v>39447</v>
      </c>
    </row>
    <row r="393" spans="1:3" x14ac:dyDescent="0.2">
      <c r="A393" s="345">
        <v>39478</v>
      </c>
    </row>
    <row r="394" spans="1:3" x14ac:dyDescent="0.2">
      <c r="A394" s="345">
        <v>39507</v>
      </c>
    </row>
    <row r="395" spans="1:3" x14ac:dyDescent="0.2">
      <c r="A395" s="345">
        <v>39538</v>
      </c>
    </row>
    <row r="396" spans="1:3" x14ac:dyDescent="0.2">
      <c r="A396" s="345">
        <v>39568</v>
      </c>
    </row>
    <row r="397" spans="1:3" x14ac:dyDescent="0.2">
      <c r="A397" s="345">
        <v>39599</v>
      </c>
    </row>
    <row r="398" spans="1:3" x14ac:dyDescent="0.2">
      <c r="A398" s="345">
        <v>39629</v>
      </c>
    </row>
    <row r="399" spans="1:3" x14ac:dyDescent="0.2">
      <c r="A399" s="345">
        <v>39660</v>
      </c>
      <c r="C399" s="1383"/>
    </row>
    <row r="400" spans="1:3" x14ac:dyDescent="0.2">
      <c r="A400" s="345">
        <v>39691</v>
      </c>
      <c r="C400" s="1383"/>
    </row>
    <row r="401" spans="1:3" x14ac:dyDescent="0.2">
      <c r="A401" s="345">
        <v>39721</v>
      </c>
      <c r="C401" s="1383"/>
    </row>
    <row r="402" spans="1:3" x14ac:dyDescent="0.2">
      <c r="A402" s="345">
        <v>39752</v>
      </c>
    </row>
    <row r="403" spans="1:3" x14ac:dyDescent="0.2">
      <c r="A403" s="345">
        <v>39782</v>
      </c>
    </row>
    <row r="404" spans="1:3" x14ac:dyDescent="0.2">
      <c r="A404" s="345">
        <v>39813</v>
      </c>
    </row>
    <row r="405" spans="1:3" x14ac:dyDescent="0.2">
      <c r="A405" s="345">
        <v>39844</v>
      </c>
    </row>
    <row r="406" spans="1:3" x14ac:dyDescent="0.2">
      <c r="A406" s="345">
        <v>39872</v>
      </c>
    </row>
    <row r="407" spans="1:3" x14ac:dyDescent="0.2">
      <c r="A407" s="345">
        <v>39903</v>
      </c>
    </row>
    <row r="408" spans="1:3" x14ac:dyDescent="0.2">
      <c r="A408" s="345">
        <v>39933</v>
      </c>
    </row>
    <row r="409" spans="1:3" x14ac:dyDescent="0.2">
      <c r="A409" s="345">
        <v>39964</v>
      </c>
    </row>
    <row r="410" spans="1:3" x14ac:dyDescent="0.2">
      <c r="A410" s="345">
        <v>39994</v>
      </c>
    </row>
    <row r="411" spans="1:3" x14ac:dyDescent="0.2">
      <c r="A411" s="345">
        <v>40025</v>
      </c>
    </row>
    <row r="412" spans="1:3" x14ac:dyDescent="0.2">
      <c r="A412" s="345">
        <v>40056</v>
      </c>
    </row>
    <row r="413" spans="1:3" x14ac:dyDescent="0.2">
      <c r="A413" s="345">
        <v>40086</v>
      </c>
    </row>
    <row r="414" spans="1:3" x14ac:dyDescent="0.2">
      <c r="A414" s="345">
        <v>40117</v>
      </c>
    </row>
    <row r="415" spans="1:3" x14ac:dyDescent="0.2">
      <c r="A415" s="345">
        <v>40147</v>
      </c>
    </row>
    <row r="416" spans="1:3" x14ac:dyDescent="0.2">
      <c r="A416" s="345">
        <v>40178</v>
      </c>
    </row>
    <row r="417" spans="1:4" x14ac:dyDescent="0.2">
      <c r="A417" s="345">
        <v>40209</v>
      </c>
    </row>
    <row r="418" spans="1:4" x14ac:dyDescent="0.2">
      <c r="A418" s="345">
        <v>40237</v>
      </c>
    </row>
    <row r="419" spans="1:4" x14ac:dyDescent="0.2">
      <c r="A419" s="345">
        <v>40268</v>
      </c>
      <c r="C419" s="1334"/>
      <c r="D419" s="1311"/>
    </row>
    <row r="420" spans="1:4" x14ac:dyDescent="0.2">
      <c r="A420" s="345">
        <v>40298</v>
      </c>
    </row>
    <row r="421" spans="1:4" x14ac:dyDescent="0.2">
      <c r="A421" s="345">
        <v>40329</v>
      </c>
    </row>
    <row r="422" spans="1:4" x14ac:dyDescent="0.2">
      <c r="A422" s="345">
        <v>40359</v>
      </c>
    </row>
    <row r="423" spans="1:4" x14ac:dyDescent="0.2">
      <c r="A423" s="345">
        <v>40390</v>
      </c>
    </row>
    <row r="424" spans="1:4" x14ac:dyDescent="0.2">
      <c r="A424" s="345">
        <v>40421</v>
      </c>
      <c r="B424" s="1369"/>
    </row>
    <row r="425" spans="1:4" x14ac:dyDescent="0.2">
      <c r="A425" s="345">
        <v>40451</v>
      </c>
      <c r="B425" s="258"/>
    </row>
    <row r="426" spans="1:4" x14ac:dyDescent="0.2">
      <c r="A426" s="345">
        <v>40482</v>
      </c>
      <c r="B426" s="1311"/>
      <c r="D426" s="1311"/>
    </row>
    <row r="427" spans="1:4" x14ac:dyDescent="0.2">
      <c r="A427" s="345">
        <v>40512</v>
      </c>
    </row>
    <row r="428" spans="1:4" x14ac:dyDescent="0.2">
      <c r="A428" s="345">
        <v>40543</v>
      </c>
    </row>
    <row r="429" spans="1:4" x14ac:dyDescent="0.2">
      <c r="A429" s="345">
        <v>40574</v>
      </c>
      <c r="B429" s="257">
        <f>D429</f>
        <v>-2.6890499999999999</v>
      </c>
      <c r="C429" s="346">
        <v>8032087.7800000003</v>
      </c>
      <c r="D429" s="258">
        <v>-2.6890499999999999</v>
      </c>
    </row>
    <row r="430" spans="1:4" x14ac:dyDescent="0.2">
      <c r="A430" s="345">
        <v>40602</v>
      </c>
      <c r="B430" s="257">
        <f t="shared" ref="B430:B488" si="0">D430</f>
        <v>-0.94154000000000004</v>
      </c>
      <c r="C430" s="346">
        <v>7956462.4000000004</v>
      </c>
      <c r="D430" s="258">
        <v>-0.94154000000000004</v>
      </c>
    </row>
    <row r="431" spans="1:4" x14ac:dyDescent="0.2">
      <c r="A431" s="345">
        <v>40633</v>
      </c>
      <c r="B431" s="257">
        <f t="shared" si="0"/>
        <v>5.8537999999999997</v>
      </c>
      <c r="C431" s="346">
        <v>8422217.5199999996</v>
      </c>
      <c r="D431" s="258">
        <v>5.8537999999999997</v>
      </c>
    </row>
    <row r="432" spans="1:4" x14ac:dyDescent="0.2">
      <c r="A432" s="345">
        <v>40663</v>
      </c>
      <c r="B432" s="257">
        <f t="shared" si="0"/>
        <v>3.1048399999999998</v>
      </c>
      <c r="C432" s="346">
        <v>8684193.1199999992</v>
      </c>
      <c r="D432" s="258">
        <v>3.1048399999999998</v>
      </c>
    </row>
    <row r="433" spans="1:4" x14ac:dyDescent="0.2">
      <c r="A433" s="345">
        <v>40694</v>
      </c>
      <c r="B433" s="257">
        <f t="shared" si="0"/>
        <v>-2.69048</v>
      </c>
      <c r="C433" s="346">
        <v>8454694.0700000003</v>
      </c>
      <c r="D433" s="258">
        <v>-2.69048</v>
      </c>
    </row>
    <row r="434" spans="1:4" x14ac:dyDescent="0.2">
      <c r="A434" s="345">
        <v>40724</v>
      </c>
      <c r="B434" s="257">
        <f t="shared" si="0"/>
        <v>-1.5363500000000001</v>
      </c>
      <c r="C434" s="346">
        <v>8324800.0700000003</v>
      </c>
      <c r="D434" s="258">
        <v>-1.5363500000000001</v>
      </c>
    </row>
    <row r="435" spans="1:4" x14ac:dyDescent="0.2">
      <c r="A435" s="345">
        <v>40755</v>
      </c>
      <c r="B435" s="257">
        <f t="shared" si="0"/>
        <v>-0.44757999999999998</v>
      </c>
      <c r="C435" s="346">
        <v>8287539.96</v>
      </c>
      <c r="D435" s="258">
        <v>-0.44757999999999998</v>
      </c>
    </row>
    <row r="436" spans="1:4" x14ac:dyDescent="0.2">
      <c r="A436" s="345">
        <v>40786</v>
      </c>
      <c r="B436" s="257">
        <f t="shared" si="0"/>
        <v>-9.0008800000000004</v>
      </c>
      <c r="C436" s="346">
        <v>7545487.1299999999</v>
      </c>
      <c r="D436" s="258">
        <v>-9.0008800000000004</v>
      </c>
    </row>
    <row r="437" spans="1:4" x14ac:dyDescent="0.2">
      <c r="A437" s="345">
        <v>40816</v>
      </c>
      <c r="B437" s="257">
        <f t="shared" si="0"/>
        <v>-14.59892</v>
      </c>
      <c r="C437" s="346">
        <v>6443927.3799999999</v>
      </c>
      <c r="D437" s="258">
        <v>-14.59892</v>
      </c>
    </row>
    <row r="438" spans="1:4" x14ac:dyDescent="0.2">
      <c r="A438" s="345">
        <v>40847</v>
      </c>
      <c r="B438" s="257">
        <f t="shared" si="0"/>
        <v>13.25145</v>
      </c>
      <c r="C438" s="346">
        <v>7297841.1299999999</v>
      </c>
      <c r="D438" s="258">
        <v>13.25145</v>
      </c>
    </row>
    <row r="439" spans="1:4" x14ac:dyDescent="0.2">
      <c r="A439" s="345">
        <v>40877</v>
      </c>
      <c r="B439" s="257">
        <f t="shared" si="0"/>
        <v>-6.6492100000000001</v>
      </c>
      <c r="C439" s="346">
        <v>6812592.3499999996</v>
      </c>
      <c r="D439" s="258">
        <v>-6.6492100000000001</v>
      </c>
    </row>
    <row r="440" spans="1:4" x14ac:dyDescent="0.2">
      <c r="A440" s="345">
        <v>40908</v>
      </c>
      <c r="B440" s="257">
        <f t="shared" si="0"/>
        <v>-1.2073799999999999</v>
      </c>
      <c r="C440" s="346">
        <v>6730338.5800000001</v>
      </c>
      <c r="D440" s="258">
        <v>-1.2073799999999999</v>
      </c>
    </row>
    <row r="441" spans="1:4" x14ac:dyDescent="0.2">
      <c r="A441" s="345">
        <v>40939</v>
      </c>
      <c r="B441" s="257">
        <f t="shared" si="0"/>
        <v>11.267860000000001</v>
      </c>
      <c r="C441" s="346">
        <v>7492693.1500000004</v>
      </c>
      <c r="D441" s="258">
        <v>11.267860000000001</v>
      </c>
    </row>
    <row r="442" spans="1:4" x14ac:dyDescent="0.2">
      <c r="A442" s="345">
        <v>40968</v>
      </c>
      <c r="B442" s="257">
        <f t="shared" si="0"/>
        <v>5.9243800000000002</v>
      </c>
      <c r="C442" s="346">
        <v>7940099.5999999996</v>
      </c>
      <c r="D442" s="258">
        <v>5.9243800000000002</v>
      </c>
    </row>
    <row r="443" spans="1:4" x14ac:dyDescent="0.2">
      <c r="A443" s="345">
        <v>40999</v>
      </c>
      <c r="B443" s="257">
        <f t="shared" si="0"/>
        <v>-3.3494700000000002</v>
      </c>
      <c r="C443" s="346">
        <v>7674148.75</v>
      </c>
      <c r="D443" s="258">
        <v>-3.3494700000000002</v>
      </c>
    </row>
    <row r="444" spans="1:4" x14ac:dyDescent="0.2">
      <c r="A444" s="345">
        <v>41029</v>
      </c>
      <c r="B444" s="257">
        <f t="shared" si="0"/>
        <v>-1.18018</v>
      </c>
      <c r="C444" s="346">
        <v>7583580.3899999997</v>
      </c>
      <c r="D444" s="258">
        <v>-1.18018</v>
      </c>
    </row>
    <row r="445" spans="1:4" x14ac:dyDescent="0.2">
      <c r="A445" s="345">
        <v>41060</v>
      </c>
      <c r="B445" s="257">
        <f t="shared" si="0"/>
        <v>-11.21306</v>
      </c>
      <c r="C445" s="346">
        <v>6733228.8200000003</v>
      </c>
      <c r="D445" s="258">
        <v>-11.21306</v>
      </c>
    </row>
    <row r="446" spans="1:4" x14ac:dyDescent="0.2">
      <c r="A446" s="345">
        <v>41090</v>
      </c>
      <c r="B446" s="257">
        <f t="shared" si="0"/>
        <v>3.7910300000000001</v>
      </c>
      <c r="C446" s="346">
        <v>6992484.75</v>
      </c>
      <c r="D446" s="258">
        <v>3.7910300000000001</v>
      </c>
    </row>
    <row r="447" spans="1:4" x14ac:dyDescent="0.2">
      <c r="A447" s="345">
        <v>41121</v>
      </c>
      <c r="B447" s="257">
        <f t="shared" si="0"/>
        <v>1.9313</v>
      </c>
      <c r="C447" s="346">
        <v>7127530.8600000003</v>
      </c>
      <c r="D447" s="258">
        <v>1.9313</v>
      </c>
    </row>
    <row r="448" spans="1:4" x14ac:dyDescent="0.2">
      <c r="A448" s="345">
        <v>41152</v>
      </c>
      <c r="B448" s="257">
        <f t="shared" si="0"/>
        <v>-0.38568000000000002</v>
      </c>
      <c r="C448" s="346">
        <v>7103521.6699999999</v>
      </c>
      <c r="D448" s="258">
        <v>-0.38568000000000002</v>
      </c>
    </row>
    <row r="449" spans="1:4" x14ac:dyDescent="0.2">
      <c r="A449" s="345">
        <v>41182</v>
      </c>
      <c r="B449" s="257">
        <f t="shared" si="0"/>
        <v>6.01457</v>
      </c>
      <c r="C449" s="346">
        <v>7530767.9000000004</v>
      </c>
      <c r="D449" s="258">
        <v>6.01457</v>
      </c>
    </row>
    <row r="450" spans="1:4" x14ac:dyDescent="0.2">
      <c r="A450" s="345">
        <v>41213</v>
      </c>
      <c r="B450" s="257">
        <f t="shared" si="0"/>
        <v>-0.62104999999999999</v>
      </c>
      <c r="C450" s="346">
        <v>11465740.82</v>
      </c>
      <c r="D450" s="258">
        <v>-0.62104999999999999</v>
      </c>
    </row>
    <row r="451" spans="1:4" x14ac:dyDescent="0.2">
      <c r="A451" s="345">
        <v>41243</v>
      </c>
      <c r="B451" s="257">
        <f t="shared" si="0"/>
        <v>1.2668600000000001</v>
      </c>
      <c r="C451" s="346">
        <v>11610995.15</v>
      </c>
      <c r="D451" s="258">
        <v>1.2668600000000001</v>
      </c>
    </row>
    <row r="452" spans="1:4" x14ac:dyDescent="0.2">
      <c r="A452" s="345">
        <v>41274</v>
      </c>
      <c r="B452" s="257">
        <f t="shared" si="0"/>
        <v>4.8722399999999997</v>
      </c>
      <c r="C452" s="346">
        <v>14317986.539999999</v>
      </c>
      <c r="D452" s="258">
        <v>4.8722399999999997</v>
      </c>
    </row>
    <row r="453" spans="1:4" x14ac:dyDescent="0.2">
      <c r="A453" s="345">
        <v>41305</v>
      </c>
      <c r="B453" s="257">
        <f t="shared" si="0"/>
        <v>1.37679</v>
      </c>
      <c r="C453" s="346">
        <v>14515115.689999999</v>
      </c>
      <c r="D453" s="258">
        <v>1.37679</v>
      </c>
    </row>
    <row r="454" spans="1:4" x14ac:dyDescent="0.2">
      <c r="A454" s="345">
        <v>41333</v>
      </c>
      <c r="B454" s="257">
        <f t="shared" si="0"/>
        <v>-1.25939</v>
      </c>
      <c r="C454" s="346">
        <v>19688186.129999999</v>
      </c>
      <c r="D454" s="258">
        <v>-1.25939</v>
      </c>
    </row>
    <row r="455" spans="1:4" x14ac:dyDescent="0.2">
      <c r="A455" s="345">
        <v>41364</v>
      </c>
      <c r="B455" s="257">
        <f t="shared" si="0"/>
        <v>-1.9539299999999999</v>
      </c>
      <c r="C455" s="346">
        <v>16020103.140000001</v>
      </c>
      <c r="D455" s="258">
        <v>-1.9539299999999999</v>
      </c>
    </row>
    <row r="456" spans="1:4" x14ac:dyDescent="0.2">
      <c r="A456" s="345">
        <v>41394</v>
      </c>
      <c r="B456" s="257">
        <f t="shared" si="0"/>
        <v>0.97294999999999998</v>
      </c>
      <c r="C456" s="346">
        <v>16175970.16</v>
      </c>
      <c r="D456" s="258">
        <v>0.97294999999999998</v>
      </c>
    </row>
    <row r="457" spans="1:4" x14ac:dyDescent="0.2">
      <c r="A457" s="345">
        <v>41425</v>
      </c>
      <c r="B457" s="257">
        <f t="shared" si="0"/>
        <v>-2.64662</v>
      </c>
      <c r="C457" s="346">
        <v>15755833.890000001</v>
      </c>
      <c r="D457" s="258">
        <v>-2.64662</v>
      </c>
    </row>
    <row r="458" spans="1:4" x14ac:dyDescent="0.2">
      <c r="A458" s="345">
        <v>41455</v>
      </c>
      <c r="B458" s="257">
        <f t="shared" si="0"/>
        <v>-6.3788299999999998</v>
      </c>
      <c r="C458" s="346">
        <v>14750797</v>
      </c>
      <c r="D458" s="258">
        <v>-6.3788299999999998</v>
      </c>
    </row>
    <row r="459" spans="1:4" x14ac:dyDescent="0.2">
      <c r="A459" s="345">
        <v>41486</v>
      </c>
      <c r="B459" s="257">
        <f t="shared" si="0"/>
        <v>1.00614</v>
      </c>
      <c r="C459" s="346">
        <v>14497826.77</v>
      </c>
      <c r="D459" s="258">
        <v>1.00614</v>
      </c>
    </row>
    <row r="460" spans="1:4" x14ac:dyDescent="0.2">
      <c r="A460" s="345">
        <v>41517</v>
      </c>
      <c r="B460" s="257">
        <f t="shared" si="0"/>
        <v>-1.7102900000000001</v>
      </c>
      <c r="C460" s="346">
        <v>14249872.220000001</v>
      </c>
      <c r="D460" s="258">
        <v>-1.7102900000000001</v>
      </c>
    </row>
    <row r="461" spans="1:4" x14ac:dyDescent="0.2">
      <c r="A461" s="345">
        <v>41547</v>
      </c>
      <c r="B461" s="257">
        <f t="shared" si="0"/>
        <v>6.5005100000000002</v>
      </c>
      <c r="C461" s="346">
        <v>15176187.220000001</v>
      </c>
      <c r="D461" s="258">
        <v>6.5005100000000002</v>
      </c>
    </row>
    <row r="462" spans="1:4" x14ac:dyDescent="0.2">
      <c r="A462" s="345">
        <v>41578</v>
      </c>
      <c r="B462" s="257">
        <f t="shared" si="0"/>
        <v>4.84361</v>
      </c>
      <c r="C462" s="346">
        <v>15911262.82</v>
      </c>
      <c r="D462" s="258">
        <v>4.84361</v>
      </c>
    </row>
    <row r="463" spans="1:4" x14ac:dyDescent="0.2">
      <c r="A463" s="345">
        <v>41608</v>
      </c>
      <c r="B463" s="257">
        <f t="shared" si="0"/>
        <v>-1.5599400000000001</v>
      </c>
      <c r="C463" s="346">
        <v>15677921.640000001</v>
      </c>
      <c r="D463" s="258">
        <v>-1.5599400000000001</v>
      </c>
    </row>
    <row r="464" spans="1:4" x14ac:dyDescent="0.2">
      <c r="A464" s="345">
        <v>41639</v>
      </c>
      <c r="B464" s="257">
        <f t="shared" si="0"/>
        <v>-1.3067599999999999</v>
      </c>
      <c r="C464" s="346">
        <v>15473048.960000001</v>
      </c>
      <c r="D464" s="258">
        <v>-1.3067599999999999</v>
      </c>
    </row>
    <row r="465" spans="1:4" x14ac:dyDescent="0.2">
      <c r="A465" s="345">
        <v>41670</v>
      </c>
      <c r="B465" s="257">
        <f t="shared" si="0"/>
        <v>-6.6110300000000004</v>
      </c>
      <c r="C465" s="346">
        <v>14457642.109999999</v>
      </c>
      <c r="D465" s="258">
        <v>-6.6110300000000004</v>
      </c>
    </row>
    <row r="466" spans="1:4" x14ac:dyDescent="0.2">
      <c r="A466" s="345">
        <v>41698</v>
      </c>
      <c r="B466" s="257">
        <f t="shared" si="0"/>
        <v>3.2419099999999998</v>
      </c>
      <c r="C466" s="346">
        <v>14926345.5</v>
      </c>
      <c r="D466" s="258">
        <v>3.2419099999999998</v>
      </c>
    </row>
    <row r="467" spans="1:4" x14ac:dyDescent="0.2">
      <c r="A467" s="345">
        <v>41729</v>
      </c>
      <c r="B467" s="257">
        <f t="shared" si="0"/>
        <v>3.0546899999999999</v>
      </c>
      <c r="C467" s="346">
        <v>15382298.35</v>
      </c>
      <c r="D467" s="258">
        <v>3.0546899999999999</v>
      </c>
    </row>
    <row r="468" spans="1:4" x14ac:dyDescent="0.2">
      <c r="A468" s="345">
        <v>41759</v>
      </c>
      <c r="B468" s="257">
        <f t="shared" si="0"/>
        <v>0.3342</v>
      </c>
      <c r="C468" s="346">
        <v>15433706.32</v>
      </c>
      <c r="D468" s="258">
        <v>0.3342</v>
      </c>
    </row>
    <row r="469" spans="1:4" x14ac:dyDescent="0.2">
      <c r="A469" s="345">
        <v>41790</v>
      </c>
      <c r="B469" s="257">
        <f t="shared" si="0"/>
        <v>3.4748899999999998</v>
      </c>
      <c r="C469" s="346">
        <v>15977725.99</v>
      </c>
      <c r="D469" s="258">
        <v>3.4748899999999998</v>
      </c>
    </row>
    <row r="470" spans="1:4" x14ac:dyDescent="0.2">
      <c r="A470" s="345">
        <v>41820</v>
      </c>
      <c r="B470" s="257">
        <f t="shared" si="0"/>
        <v>2.66412</v>
      </c>
      <c r="C470" s="346">
        <v>16403392.439999999</v>
      </c>
      <c r="D470" s="258">
        <v>2.66412</v>
      </c>
    </row>
    <row r="471" spans="1:4" x14ac:dyDescent="0.2">
      <c r="A471" s="345">
        <v>41851</v>
      </c>
      <c r="B471" s="257">
        <f t="shared" si="0"/>
        <v>1.9108400000000001</v>
      </c>
      <c r="C471" s="346">
        <v>16716834.279999999</v>
      </c>
      <c r="D471" s="258">
        <v>1.9108400000000001</v>
      </c>
    </row>
    <row r="472" spans="1:4" x14ac:dyDescent="0.2">
      <c r="A472" s="345">
        <v>41882</v>
      </c>
      <c r="B472" s="257">
        <f t="shared" si="0"/>
        <v>2.2086899999999998</v>
      </c>
      <c r="C472" s="346">
        <v>17094220.73</v>
      </c>
      <c r="D472" s="258">
        <v>2.2086899999999998</v>
      </c>
    </row>
    <row r="473" spans="1:4" x14ac:dyDescent="0.2">
      <c r="A473" s="345">
        <v>41912</v>
      </c>
      <c r="B473" s="257">
        <f t="shared" si="0"/>
        <v>0</v>
      </c>
    </row>
    <row r="474" spans="1:4" x14ac:dyDescent="0.2">
      <c r="A474" s="345">
        <v>41943</v>
      </c>
      <c r="B474" s="257">
        <f t="shared" si="0"/>
        <v>0</v>
      </c>
    </row>
    <row r="475" spans="1:4" x14ac:dyDescent="0.2">
      <c r="A475" s="345">
        <v>41973</v>
      </c>
      <c r="B475" s="257">
        <f t="shared" si="0"/>
        <v>0</v>
      </c>
    </row>
    <row r="476" spans="1:4" x14ac:dyDescent="0.2">
      <c r="A476" s="345">
        <v>42004</v>
      </c>
      <c r="B476" s="257">
        <f t="shared" si="0"/>
        <v>0</v>
      </c>
    </row>
    <row r="477" spans="1:4" x14ac:dyDescent="0.2">
      <c r="A477" s="345">
        <v>42035</v>
      </c>
      <c r="B477" s="257">
        <f t="shared" si="0"/>
        <v>0</v>
      </c>
    </row>
    <row r="478" spans="1:4" x14ac:dyDescent="0.2">
      <c r="A478" s="345">
        <v>42063</v>
      </c>
      <c r="B478" s="257">
        <f t="shared" si="0"/>
        <v>0</v>
      </c>
    </row>
    <row r="479" spans="1:4" x14ac:dyDescent="0.2">
      <c r="A479" s="345">
        <v>42094</v>
      </c>
      <c r="B479" s="257">
        <f t="shared" si="0"/>
        <v>0</v>
      </c>
    </row>
    <row r="480" spans="1:4" x14ac:dyDescent="0.2">
      <c r="A480" s="345">
        <v>42124</v>
      </c>
      <c r="B480" s="257">
        <f t="shared" si="0"/>
        <v>0</v>
      </c>
    </row>
    <row r="481" spans="1:2" x14ac:dyDescent="0.2">
      <c r="A481" s="345">
        <v>42155</v>
      </c>
      <c r="B481" s="257">
        <f t="shared" si="0"/>
        <v>0</v>
      </c>
    </row>
    <row r="482" spans="1:2" x14ac:dyDescent="0.2">
      <c r="A482" s="345">
        <v>42185</v>
      </c>
      <c r="B482" s="257">
        <f t="shared" si="0"/>
        <v>0</v>
      </c>
    </row>
    <row r="483" spans="1:2" x14ac:dyDescent="0.2">
      <c r="A483" s="345">
        <v>42216</v>
      </c>
      <c r="B483" s="257">
        <f t="shared" si="0"/>
        <v>0</v>
      </c>
    </row>
    <row r="484" spans="1:2" x14ac:dyDescent="0.2">
      <c r="A484" s="345">
        <v>42247</v>
      </c>
      <c r="B484" s="257">
        <f t="shared" si="0"/>
        <v>0</v>
      </c>
    </row>
    <row r="485" spans="1:2" x14ac:dyDescent="0.2">
      <c r="A485" s="345">
        <v>42277</v>
      </c>
      <c r="B485" s="257">
        <f t="shared" si="0"/>
        <v>0</v>
      </c>
    </row>
    <row r="486" spans="1:2" x14ac:dyDescent="0.2">
      <c r="A486" s="345">
        <v>42308</v>
      </c>
      <c r="B486" s="257">
        <f t="shared" si="0"/>
        <v>0</v>
      </c>
    </row>
    <row r="487" spans="1:2" x14ac:dyDescent="0.2">
      <c r="A487" s="345">
        <v>42338</v>
      </c>
      <c r="B487" s="257">
        <f t="shared" si="0"/>
        <v>0</v>
      </c>
    </row>
    <row r="488" spans="1:2" x14ac:dyDescent="0.2">
      <c r="A488" s="345">
        <v>42369</v>
      </c>
      <c r="B488" s="257">
        <f t="shared" si="0"/>
        <v>0</v>
      </c>
    </row>
  </sheetData>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I488"/>
  <sheetViews>
    <sheetView workbookViewId="0">
      <pane xSplit="1" ySplit="2" topLeftCell="B449" activePane="bottomRight" state="frozen"/>
      <selection pane="topRight" activeCell="B1" sqref="B1"/>
      <selection pane="bottomLeft" activeCell="A3" sqref="A3"/>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5" width="18.7109375" style="258" customWidth="1"/>
    <col min="7" max="7" width="9.140625" style="352"/>
    <col min="8" max="8" width="11.140625" style="352" customWidth="1"/>
  </cols>
  <sheetData>
    <row r="1" spans="1:6" x14ac:dyDescent="0.2">
      <c r="A1" s="265" t="s">
        <v>872</v>
      </c>
      <c r="B1" s="1371" t="s">
        <v>309</v>
      </c>
      <c r="C1" s="1382" t="s">
        <v>302</v>
      </c>
      <c r="D1" s="1370">
        <v>15</v>
      </c>
      <c r="E1" s="74" t="s">
        <v>81</v>
      </c>
      <c r="F1" s="1450" t="s">
        <v>757</v>
      </c>
    </row>
    <row r="2" spans="1:6" x14ac:dyDescent="0.2">
      <c r="A2" s="3" t="s">
        <v>27</v>
      </c>
      <c r="B2" s="71" t="s">
        <v>91</v>
      </c>
      <c r="C2" s="226" t="s">
        <v>92</v>
      </c>
      <c r="D2" s="71" t="s">
        <v>90</v>
      </c>
      <c r="E2" s="71" t="s">
        <v>80</v>
      </c>
    </row>
    <row r="3" spans="1:6" x14ac:dyDescent="0.2">
      <c r="A3" s="345">
        <v>27606</v>
      </c>
      <c r="B3" s="71"/>
      <c r="C3" s="226"/>
      <c r="D3" s="71"/>
      <c r="E3" s="71"/>
    </row>
    <row r="4" spans="1:6" x14ac:dyDescent="0.2">
      <c r="A4" s="345">
        <v>27637</v>
      </c>
      <c r="B4" s="71"/>
      <c r="C4" s="226"/>
      <c r="D4" s="71"/>
      <c r="E4" s="71"/>
    </row>
    <row r="5" spans="1:6" x14ac:dyDescent="0.2">
      <c r="A5" s="345">
        <v>27667</v>
      </c>
      <c r="B5" s="71"/>
      <c r="C5" s="226"/>
      <c r="D5" s="71"/>
      <c r="E5" s="71"/>
    </row>
    <row r="6" spans="1:6" x14ac:dyDescent="0.2">
      <c r="A6" s="345">
        <v>27698</v>
      </c>
      <c r="B6" s="71"/>
      <c r="C6" s="226"/>
      <c r="D6" s="71"/>
      <c r="E6" s="71"/>
    </row>
    <row r="7" spans="1:6" x14ac:dyDescent="0.2">
      <c r="A7" s="345">
        <v>27728</v>
      </c>
      <c r="B7" s="71"/>
      <c r="C7" s="226"/>
      <c r="D7" s="71"/>
      <c r="E7" s="71"/>
    </row>
    <row r="8" spans="1:6" x14ac:dyDescent="0.2">
      <c r="A8" s="345">
        <v>27759</v>
      </c>
      <c r="B8" s="71"/>
      <c r="C8" s="226"/>
      <c r="D8" s="71"/>
      <c r="E8" s="71"/>
    </row>
    <row r="9" spans="1:6" x14ac:dyDescent="0.2">
      <c r="A9" s="345">
        <v>27790</v>
      </c>
      <c r="B9" s="71"/>
      <c r="C9" s="226"/>
      <c r="D9" s="71"/>
      <c r="E9" s="71"/>
    </row>
    <row r="10" spans="1:6" x14ac:dyDescent="0.2">
      <c r="A10" s="345">
        <v>27819</v>
      </c>
      <c r="B10" s="71"/>
      <c r="C10" s="226"/>
      <c r="D10" s="71"/>
      <c r="E10" s="71"/>
    </row>
    <row r="11" spans="1:6" x14ac:dyDescent="0.2">
      <c r="A11" s="345">
        <v>27850</v>
      </c>
      <c r="B11" s="71"/>
      <c r="C11" s="226"/>
      <c r="D11" s="71"/>
      <c r="E11" s="71"/>
    </row>
    <row r="12" spans="1:6" x14ac:dyDescent="0.2">
      <c r="A12" s="345">
        <v>27880</v>
      </c>
      <c r="B12" s="71"/>
      <c r="C12" s="226"/>
      <c r="D12" s="71"/>
      <c r="E12" s="71"/>
    </row>
    <row r="13" spans="1:6" x14ac:dyDescent="0.2">
      <c r="A13" s="345">
        <v>27911</v>
      </c>
      <c r="B13" s="71"/>
      <c r="C13" s="226"/>
      <c r="D13" s="71"/>
      <c r="E13" s="71"/>
    </row>
    <row r="14" spans="1:6" x14ac:dyDescent="0.2">
      <c r="A14" s="345">
        <v>27941</v>
      </c>
      <c r="B14" s="71"/>
      <c r="C14" s="226"/>
      <c r="D14" s="71"/>
      <c r="E14" s="71"/>
    </row>
    <row r="15" spans="1:6" x14ac:dyDescent="0.2">
      <c r="A15" s="345">
        <v>27972</v>
      </c>
      <c r="B15" s="71"/>
      <c r="C15" s="226"/>
      <c r="D15" s="71"/>
      <c r="E15" s="71"/>
    </row>
    <row r="16" spans="1:6"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3"/>
      <c r="C147" s="25"/>
      <c r="D147" s="73"/>
      <c r="E147" s="73"/>
    </row>
    <row r="148" spans="1:5" x14ac:dyDescent="0.2">
      <c r="A148" s="345">
        <v>32020</v>
      </c>
      <c r="B148" s="73"/>
      <c r="C148" s="25"/>
      <c r="D148" s="73"/>
      <c r="E148" s="73"/>
    </row>
    <row r="149" spans="1:5" x14ac:dyDescent="0.2">
      <c r="A149" s="345">
        <v>32050</v>
      </c>
      <c r="B149" s="73"/>
      <c r="C149" s="25"/>
      <c r="D149" s="73"/>
      <c r="E149" s="73"/>
    </row>
    <row r="150" spans="1:5" x14ac:dyDescent="0.2">
      <c r="A150" s="345">
        <v>32081</v>
      </c>
      <c r="B150" s="73"/>
      <c r="C150" s="25"/>
      <c r="D150" s="73"/>
      <c r="E150" s="73"/>
    </row>
    <row r="151" spans="1:5" x14ac:dyDescent="0.2">
      <c r="A151" s="345">
        <v>32111</v>
      </c>
      <c r="B151" s="73"/>
      <c r="C151" s="25"/>
      <c r="D151" s="73"/>
      <c r="E151" s="73"/>
    </row>
    <row r="152" spans="1:5" x14ac:dyDescent="0.2">
      <c r="A152" s="345">
        <v>32142</v>
      </c>
      <c r="B152" s="73"/>
      <c r="C152" s="25"/>
      <c r="D152" s="73"/>
      <c r="E152" s="73"/>
    </row>
    <row r="153" spans="1:5" x14ac:dyDescent="0.2">
      <c r="A153" s="345">
        <v>32173</v>
      </c>
      <c r="B153" s="73"/>
      <c r="C153" s="25"/>
      <c r="D153" s="73"/>
      <c r="E153" s="73"/>
    </row>
    <row r="154" spans="1:5" x14ac:dyDescent="0.2">
      <c r="A154" s="345">
        <v>32202</v>
      </c>
      <c r="B154" s="73"/>
      <c r="C154" s="25"/>
      <c r="D154" s="73"/>
      <c r="E154" s="73"/>
    </row>
    <row r="155" spans="1:5" x14ac:dyDescent="0.2">
      <c r="A155" s="345">
        <v>32233</v>
      </c>
      <c r="B155" s="73"/>
      <c r="C155" s="25"/>
      <c r="D155" s="73"/>
      <c r="E155" s="73"/>
    </row>
    <row r="156" spans="1:5" x14ac:dyDescent="0.2">
      <c r="A156" s="345">
        <v>32263</v>
      </c>
      <c r="B156" s="73"/>
      <c r="C156" s="25"/>
      <c r="D156" s="73"/>
      <c r="E156" s="73"/>
    </row>
    <row r="157" spans="1:5" x14ac:dyDescent="0.2">
      <c r="A157" s="345">
        <v>32294</v>
      </c>
      <c r="B157" s="73"/>
      <c r="C157" s="25"/>
      <c r="D157" s="73"/>
      <c r="E157" s="73"/>
    </row>
    <row r="158" spans="1:5" x14ac:dyDescent="0.2">
      <c r="A158" s="345">
        <v>32324</v>
      </c>
      <c r="B158" s="73"/>
      <c r="C158" s="25"/>
      <c r="D158" s="73"/>
      <c r="E158" s="73"/>
    </row>
    <row r="159" spans="1:5" x14ac:dyDescent="0.2">
      <c r="A159" s="345">
        <v>32355</v>
      </c>
      <c r="B159" s="73"/>
      <c r="C159" s="25"/>
      <c r="D159" s="73"/>
      <c r="E159" s="73"/>
    </row>
    <row r="160" spans="1:5" x14ac:dyDescent="0.2">
      <c r="A160" s="345">
        <v>32386</v>
      </c>
      <c r="B160" s="73"/>
      <c r="C160" s="25"/>
      <c r="D160" s="73"/>
      <c r="E160" s="73"/>
    </row>
    <row r="161" spans="1:5" x14ac:dyDescent="0.2">
      <c r="A161" s="345">
        <v>32416</v>
      </c>
      <c r="B161" s="73"/>
      <c r="C161" s="25"/>
      <c r="D161" s="73"/>
      <c r="E161" s="73"/>
    </row>
    <row r="162" spans="1:5" x14ac:dyDescent="0.2">
      <c r="A162" s="345">
        <v>32447</v>
      </c>
      <c r="B162" s="73"/>
      <c r="C162" s="25"/>
      <c r="D162" s="73"/>
      <c r="E162" s="73"/>
    </row>
    <row r="163" spans="1:5" x14ac:dyDescent="0.2">
      <c r="A163" s="345">
        <v>32477</v>
      </c>
      <c r="B163" s="73"/>
      <c r="C163" s="25"/>
      <c r="D163" s="73"/>
      <c r="E163" s="73"/>
    </row>
    <row r="164" spans="1:5" x14ac:dyDescent="0.2">
      <c r="A164" s="345">
        <v>32508</v>
      </c>
      <c r="B164" s="73"/>
      <c r="C164" s="25"/>
      <c r="D164" s="73"/>
      <c r="E164" s="73"/>
    </row>
    <row r="165" spans="1:5" x14ac:dyDescent="0.2">
      <c r="A165" s="345">
        <v>32539</v>
      </c>
      <c r="B165" s="73"/>
      <c r="C165" s="25"/>
      <c r="D165" s="73"/>
      <c r="E165" s="73"/>
    </row>
    <row r="166" spans="1:5" x14ac:dyDescent="0.2">
      <c r="A166" s="345">
        <v>32567</v>
      </c>
      <c r="B166" s="73"/>
      <c r="C166" s="25"/>
      <c r="D166" s="73"/>
      <c r="E166" s="73"/>
    </row>
    <row r="167" spans="1:5" x14ac:dyDescent="0.2">
      <c r="A167" s="345">
        <v>32598</v>
      </c>
      <c r="B167" s="73"/>
      <c r="C167" s="25"/>
      <c r="D167" s="73"/>
      <c r="E167" s="73"/>
    </row>
    <row r="168" spans="1:5" x14ac:dyDescent="0.2">
      <c r="A168" s="345">
        <v>32628</v>
      </c>
      <c r="B168" s="73"/>
      <c r="C168" s="25"/>
      <c r="D168" s="73"/>
      <c r="E168" s="73"/>
    </row>
    <row r="169" spans="1:5" x14ac:dyDescent="0.2">
      <c r="A169" s="345">
        <v>32659</v>
      </c>
      <c r="B169" s="73"/>
      <c r="C169" s="25"/>
      <c r="D169" s="73"/>
      <c r="E169" s="73"/>
    </row>
    <row r="170" spans="1:5" x14ac:dyDescent="0.2">
      <c r="A170" s="345">
        <v>32689</v>
      </c>
      <c r="B170" s="73"/>
      <c r="C170" s="25"/>
      <c r="D170" s="73"/>
      <c r="E170" s="73"/>
    </row>
    <row r="171" spans="1:5" x14ac:dyDescent="0.2">
      <c r="A171" s="345">
        <v>32720</v>
      </c>
      <c r="B171" s="73"/>
      <c r="C171" s="25"/>
      <c r="D171" s="73"/>
      <c r="E171" s="73"/>
    </row>
    <row r="172" spans="1:5" x14ac:dyDescent="0.2">
      <c r="A172" s="345">
        <v>32751</v>
      </c>
      <c r="B172" s="73"/>
      <c r="C172" s="25"/>
      <c r="D172" s="73"/>
      <c r="E172" s="73"/>
    </row>
    <row r="173" spans="1:5" x14ac:dyDescent="0.2">
      <c r="A173" s="345">
        <v>32781</v>
      </c>
      <c r="B173" s="73"/>
      <c r="C173" s="25"/>
      <c r="D173" s="73"/>
      <c r="E173" s="73"/>
    </row>
    <row r="174" spans="1:5" x14ac:dyDescent="0.2">
      <c r="A174" s="345">
        <v>32812</v>
      </c>
      <c r="B174" s="73"/>
      <c r="C174" s="25"/>
      <c r="D174" s="73"/>
      <c r="E174" s="73"/>
    </row>
    <row r="175" spans="1:5" x14ac:dyDescent="0.2">
      <c r="A175" s="345">
        <v>32842</v>
      </c>
      <c r="B175" s="73"/>
      <c r="C175" s="25"/>
      <c r="D175" s="73"/>
      <c r="E175" s="73"/>
    </row>
    <row r="176" spans="1:5" x14ac:dyDescent="0.2">
      <c r="A176" s="345">
        <v>32873</v>
      </c>
      <c r="B176" s="73"/>
      <c r="C176" s="25"/>
      <c r="D176" s="73"/>
      <c r="E176" s="73"/>
    </row>
    <row r="177" spans="1:5" x14ac:dyDescent="0.2">
      <c r="A177" s="345">
        <v>32904</v>
      </c>
      <c r="B177" s="255"/>
      <c r="C177" s="259"/>
      <c r="D177" s="73"/>
      <c r="E177" s="73"/>
    </row>
    <row r="178" spans="1:5" x14ac:dyDescent="0.2">
      <c r="A178" s="345">
        <v>32932</v>
      </c>
      <c r="B178" s="255"/>
      <c r="C178" s="259"/>
      <c r="D178" s="73"/>
      <c r="E178" s="73"/>
    </row>
    <row r="179" spans="1:5" x14ac:dyDescent="0.2">
      <c r="A179" s="345">
        <v>32963</v>
      </c>
      <c r="B179" s="255"/>
      <c r="C179" s="259"/>
      <c r="D179" s="73"/>
      <c r="E179" s="73"/>
    </row>
    <row r="180" spans="1:5" x14ac:dyDescent="0.2">
      <c r="A180" s="345">
        <v>32993</v>
      </c>
      <c r="B180" s="255"/>
      <c r="C180" s="259"/>
      <c r="D180" s="73"/>
      <c r="E180" s="73"/>
    </row>
    <row r="181" spans="1:5" x14ac:dyDescent="0.2">
      <c r="A181" s="345">
        <v>33024</v>
      </c>
      <c r="B181" s="255"/>
      <c r="C181" s="259"/>
      <c r="D181" s="73"/>
      <c r="E181" s="73"/>
    </row>
    <row r="182" spans="1:5" x14ac:dyDescent="0.2">
      <c r="A182" s="345">
        <v>33054</v>
      </c>
      <c r="B182" s="255"/>
      <c r="C182" s="259"/>
      <c r="D182" s="73"/>
      <c r="E182" s="73"/>
    </row>
    <row r="183" spans="1:5" x14ac:dyDescent="0.2">
      <c r="A183" s="345">
        <v>33085</v>
      </c>
      <c r="B183" s="255"/>
      <c r="C183" s="259"/>
      <c r="D183" s="73"/>
      <c r="E183" s="73"/>
    </row>
    <row r="184" spans="1:5" x14ac:dyDescent="0.2">
      <c r="A184" s="345">
        <v>33116</v>
      </c>
      <c r="B184" s="255"/>
      <c r="C184" s="259"/>
      <c r="D184" s="73"/>
      <c r="E184" s="73"/>
    </row>
    <row r="185" spans="1:5" x14ac:dyDescent="0.2">
      <c r="A185" s="345">
        <v>33146</v>
      </c>
      <c r="B185" s="255"/>
      <c r="C185" s="259"/>
      <c r="D185" s="73"/>
      <c r="E185" s="73"/>
    </row>
    <row r="186" spans="1:5" x14ac:dyDescent="0.2">
      <c r="A186" s="345">
        <v>33177</v>
      </c>
      <c r="B186" s="255"/>
      <c r="C186" s="259"/>
      <c r="D186" s="73"/>
      <c r="E186" s="73"/>
    </row>
    <row r="187" spans="1:5" x14ac:dyDescent="0.2">
      <c r="A187" s="345">
        <v>33207</v>
      </c>
      <c r="B187" s="255"/>
      <c r="C187" s="259"/>
      <c r="D187" s="73"/>
      <c r="E187" s="73"/>
    </row>
    <row r="188" spans="1:5" x14ac:dyDescent="0.2">
      <c r="A188" s="345">
        <v>33238</v>
      </c>
      <c r="B188" s="255"/>
      <c r="C188" s="259"/>
      <c r="D188" s="73"/>
      <c r="E188" s="73"/>
    </row>
    <row r="189" spans="1:5" x14ac:dyDescent="0.2">
      <c r="A189" s="345">
        <v>33269</v>
      </c>
      <c r="B189" s="255"/>
      <c r="C189" s="259"/>
      <c r="D189" s="73"/>
      <c r="E189" s="73"/>
    </row>
    <row r="190" spans="1:5" x14ac:dyDescent="0.2">
      <c r="A190" s="345">
        <v>33297</v>
      </c>
      <c r="B190" s="255"/>
      <c r="C190" s="259"/>
      <c r="D190" s="73"/>
      <c r="E190" s="73"/>
    </row>
    <row r="191" spans="1:5" x14ac:dyDescent="0.2">
      <c r="A191" s="345">
        <v>33328</v>
      </c>
      <c r="B191" s="255"/>
      <c r="C191" s="259"/>
      <c r="D191" s="73"/>
      <c r="E191" s="73"/>
    </row>
    <row r="192" spans="1:5" x14ac:dyDescent="0.2">
      <c r="A192" s="345">
        <v>33358</v>
      </c>
      <c r="B192" s="255"/>
      <c r="C192" s="259"/>
      <c r="D192" s="73"/>
      <c r="E192" s="73"/>
    </row>
    <row r="193" spans="1:5" x14ac:dyDescent="0.2">
      <c r="A193" s="345">
        <v>33389</v>
      </c>
      <c r="B193" s="255"/>
      <c r="C193" s="259"/>
      <c r="D193" s="73"/>
      <c r="E193" s="73"/>
    </row>
    <row r="194" spans="1:5" x14ac:dyDescent="0.2">
      <c r="A194" s="345">
        <v>33419</v>
      </c>
      <c r="B194" s="255"/>
      <c r="C194" s="259"/>
      <c r="D194" s="73"/>
      <c r="E194" s="73"/>
    </row>
    <row r="195" spans="1:5" x14ac:dyDescent="0.2">
      <c r="A195" s="345">
        <v>33450</v>
      </c>
      <c r="B195" s="255"/>
      <c r="C195" s="259"/>
      <c r="D195" s="73"/>
      <c r="E195" s="73"/>
    </row>
    <row r="196" spans="1:5" x14ac:dyDescent="0.2">
      <c r="A196" s="345">
        <v>33481</v>
      </c>
      <c r="B196" s="255"/>
      <c r="C196" s="259"/>
      <c r="D196" s="73"/>
      <c r="E196" s="73"/>
    </row>
    <row r="197" spans="1:5" x14ac:dyDescent="0.2">
      <c r="A197" s="345">
        <v>33511</v>
      </c>
      <c r="B197" s="255"/>
      <c r="C197" s="259"/>
      <c r="D197" s="73"/>
      <c r="E197" s="73"/>
    </row>
    <row r="198" spans="1:5" x14ac:dyDescent="0.2">
      <c r="A198" s="345">
        <v>33542</v>
      </c>
      <c r="B198" s="255"/>
      <c r="C198" s="259"/>
      <c r="D198" s="73"/>
      <c r="E198" s="73"/>
    </row>
    <row r="199" spans="1:5" x14ac:dyDescent="0.2">
      <c r="A199" s="345">
        <v>33572</v>
      </c>
      <c r="B199" s="255"/>
      <c r="C199" s="259"/>
      <c r="D199" s="73"/>
      <c r="E199" s="73"/>
    </row>
    <row r="200" spans="1:5" x14ac:dyDescent="0.2">
      <c r="A200" s="345">
        <v>33603</v>
      </c>
      <c r="B200" s="255"/>
      <c r="C200" s="259"/>
      <c r="D200" s="73"/>
      <c r="E200" s="73"/>
    </row>
    <row r="201" spans="1:5" x14ac:dyDescent="0.2">
      <c r="A201" s="345">
        <v>33634</v>
      </c>
      <c r="B201" s="255"/>
      <c r="C201" s="259"/>
      <c r="D201" s="73"/>
      <c r="E201" s="73"/>
    </row>
    <row r="202" spans="1:5" x14ac:dyDescent="0.2">
      <c r="A202" s="345">
        <v>33663</v>
      </c>
      <c r="B202" s="255"/>
      <c r="C202" s="259"/>
      <c r="D202" s="73"/>
      <c r="E202" s="73"/>
    </row>
    <row r="203" spans="1:5" x14ac:dyDescent="0.2">
      <c r="A203" s="345">
        <v>33694</v>
      </c>
      <c r="B203" s="255"/>
      <c r="C203" s="259"/>
      <c r="D203" s="73"/>
      <c r="E203" s="73"/>
    </row>
    <row r="204" spans="1:5" x14ac:dyDescent="0.2">
      <c r="A204" s="345">
        <v>33724</v>
      </c>
      <c r="B204" s="255"/>
      <c r="C204" s="259"/>
      <c r="D204" s="73"/>
      <c r="E204" s="73"/>
    </row>
    <row r="205" spans="1:5" x14ac:dyDescent="0.2">
      <c r="A205" s="345">
        <v>33755</v>
      </c>
      <c r="B205" s="255"/>
      <c r="C205" s="259"/>
      <c r="D205" s="73"/>
      <c r="E205" s="73"/>
    </row>
    <row r="206" spans="1:5" x14ac:dyDescent="0.2">
      <c r="A206" s="345">
        <v>33785</v>
      </c>
      <c r="B206" s="255"/>
      <c r="C206" s="259"/>
      <c r="D206" s="73"/>
      <c r="E206" s="73"/>
    </row>
    <row r="207" spans="1:5" x14ac:dyDescent="0.2">
      <c r="A207" s="345">
        <v>33816</v>
      </c>
      <c r="B207" s="255"/>
      <c r="C207" s="259"/>
      <c r="D207" s="73"/>
      <c r="E207" s="73"/>
    </row>
    <row r="208" spans="1:5" x14ac:dyDescent="0.2">
      <c r="A208" s="345">
        <v>33847</v>
      </c>
      <c r="B208" s="255"/>
      <c r="C208" s="259"/>
      <c r="D208" s="73"/>
      <c r="E208" s="73"/>
    </row>
    <row r="209" spans="1:5" x14ac:dyDescent="0.2">
      <c r="A209" s="345">
        <v>33877</v>
      </c>
      <c r="B209" s="255"/>
      <c r="C209" s="259"/>
      <c r="D209" s="73"/>
      <c r="E209" s="73"/>
    </row>
    <row r="210" spans="1:5" x14ac:dyDescent="0.2">
      <c r="A210" s="345">
        <v>33908</v>
      </c>
      <c r="B210" s="255"/>
      <c r="C210" s="259"/>
      <c r="D210" s="73"/>
      <c r="E210" s="73"/>
    </row>
    <row r="211" spans="1:5" x14ac:dyDescent="0.2">
      <c r="A211" s="345">
        <v>33938</v>
      </c>
      <c r="B211" s="255"/>
      <c r="C211" s="259"/>
      <c r="D211" s="73"/>
      <c r="E211" s="73"/>
    </row>
    <row r="212" spans="1:5" x14ac:dyDescent="0.2">
      <c r="A212" s="345">
        <v>33969</v>
      </c>
      <c r="B212" s="255"/>
      <c r="C212" s="259"/>
      <c r="D212" s="73"/>
      <c r="E212" s="73"/>
    </row>
    <row r="213" spans="1:5" x14ac:dyDescent="0.2">
      <c r="A213" s="345">
        <v>34000</v>
      </c>
      <c r="B213" s="255"/>
      <c r="C213" s="259"/>
      <c r="D213" s="73"/>
      <c r="E213" s="73"/>
    </row>
    <row r="214" spans="1:5" x14ac:dyDescent="0.2">
      <c r="A214" s="345">
        <v>34028</v>
      </c>
      <c r="B214" s="255"/>
      <c r="C214" s="259"/>
      <c r="D214" s="73"/>
      <c r="E214" s="73"/>
    </row>
    <row r="215" spans="1:5" x14ac:dyDescent="0.2">
      <c r="A215" s="345">
        <v>34059</v>
      </c>
      <c r="B215" s="255"/>
      <c r="C215" s="259"/>
      <c r="D215" s="73"/>
      <c r="E215" s="73"/>
    </row>
    <row r="216" spans="1:5" x14ac:dyDescent="0.2">
      <c r="A216" s="345">
        <v>34089</v>
      </c>
      <c r="B216" s="255"/>
      <c r="C216" s="259"/>
      <c r="D216" s="73"/>
      <c r="E216" s="73"/>
    </row>
    <row r="217" spans="1:5" x14ac:dyDescent="0.2">
      <c r="A217" s="345">
        <v>34120</v>
      </c>
      <c r="B217" s="255"/>
      <c r="C217" s="259"/>
      <c r="D217" s="73"/>
      <c r="E217" s="73"/>
    </row>
    <row r="218" spans="1:5" x14ac:dyDescent="0.2">
      <c r="A218" s="345">
        <v>34150</v>
      </c>
      <c r="B218" s="255"/>
      <c r="C218" s="259"/>
      <c r="D218" s="73"/>
      <c r="E218" s="73"/>
    </row>
    <row r="219" spans="1:5" x14ac:dyDescent="0.2">
      <c r="A219" s="345">
        <v>34181</v>
      </c>
      <c r="B219" s="255"/>
      <c r="C219" s="259"/>
      <c r="D219" s="73"/>
      <c r="E219" s="73"/>
    </row>
    <row r="220" spans="1:5" x14ac:dyDescent="0.2">
      <c r="A220" s="345">
        <v>34212</v>
      </c>
      <c r="B220" s="255"/>
      <c r="C220" s="259"/>
      <c r="D220" s="73"/>
      <c r="E220" s="73"/>
    </row>
    <row r="221" spans="1:5" x14ac:dyDescent="0.2">
      <c r="A221" s="345">
        <v>34242</v>
      </c>
      <c r="B221" s="255"/>
      <c r="C221" s="259"/>
      <c r="D221" s="73"/>
      <c r="E221" s="73"/>
    </row>
    <row r="222" spans="1:5" x14ac:dyDescent="0.2">
      <c r="A222" s="345">
        <v>34273</v>
      </c>
      <c r="B222" s="255"/>
      <c r="C222" s="259"/>
      <c r="D222" s="73"/>
      <c r="E222" s="73"/>
    </row>
    <row r="223" spans="1:5" x14ac:dyDescent="0.2">
      <c r="A223" s="345">
        <v>34303</v>
      </c>
      <c r="B223" s="255"/>
      <c r="C223" s="259"/>
      <c r="D223" s="73"/>
      <c r="E223" s="73"/>
    </row>
    <row r="224" spans="1:5" x14ac:dyDescent="0.2">
      <c r="A224" s="345">
        <v>34334</v>
      </c>
      <c r="B224" s="255"/>
      <c r="C224" s="259"/>
      <c r="D224" s="73"/>
      <c r="E224" s="73"/>
    </row>
    <row r="225" spans="1:5" x14ac:dyDescent="0.2">
      <c r="A225" s="345">
        <v>34365</v>
      </c>
      <c r="B225" s="255"/>
      <c r="C225" s="259"/>
      <c r="D225" s="73"/>
      <c r="E225" s="73"/>
    </row>
    <row r="226" spans="1:5" x14ac:dyDescent="0.2">
      <c r="A226" s="345">
        <v>34393</v>
      </c>
      <c r="B226" s="255"/>
      <c r="C226" s="259"/>
      <c r="D226" s="73"/>
      <c r="E226" s="73"/>
    </row>
    <row r="227" spans="1:5" x14ac:dyDescent="0.2">
      <c r="A227" s="345">
        <v>34424</v>
      </c>
      <c r="B227" s="255"/>
      <c r="C227" s="259"/>
      <c r="D227" s="73"/>
      <c r="E227" s="73"/>
    </row>
    <row r="228" spans="1:5" x14ac:dyDescent="0.2">
      <c r="A228" s="345">
        <v>34454</v>
      </c>
      <c r="B228" s="255"/>
      <c r="C228" s="259"/>
      <c r="D228" s="73"/>
      <c r="E228" s="73"/>
    </row>
    <row r="229" spans="1:5" x14ac:dyDescent="0.2">
      <c r="A229" s="345">
        <v>34485</v>
      </c>
      <c r="B229" s="255"/>
      <c r="C229" s="259"/>
      <c r="D229" s="73"/>
      <c r="E229" s="73"/>
    </row>
    <row r="230" spans="1:5" x14ac:dyDescent="0.2">
      <c r="A230" s="345">
        <v>34515</v>
      </c>
      <c r="B230" s="255"/>
      <c r="C230" s="259"/>
      <c r="D230" s="73"/>
      <c r="E230" s="73"/>
    </row>
    <row r="231" spans="1:5" x14ac:dyDescent="0.2">
      <c r="A231" s="345">
        <v>34546</v>
      </c>
      <c r="B231" s="255"/>
      <c r="C231" s="259"/>
      <c r="D231" s="73"/>
      <c r="E231" s="73"/>
    </row>
    <row r="232" spans="1:5" x14ac:dyDescent="0.2">
      <c r="A232" s="345">
        <v>34577</v>
      </c>
      <c r="B232" s="255"/>
      <c r="C232" s="259"/>
      <c r="D232" s="73"/>
      <c r="E232" s="73"/>
    </row>
    <row r="233" spans="1:5" x14ac:dyDescent="0.2">
      <c r="A233" s="345">
        <v>34607</v>
      </c>
      <c r="B233" s="255"/>
      <c r="C233" s="259"/>
      <c r="D233" s="73"/>
      <c r="E233" s="73"/>
    </row>
    <row r="234" spans="1:5" x14ac:dyDescent="0.2">
      <c r="A234" s="345">
        <v>34638</v>
      </c>
      <c r="B234" s="255"/>
      <c r="C234" s="259"/>
      <c r="D234" s="73"/>
      <c r="E234" s="73"/>
    </row>
    <row r="235" spans="1:5" x14ac:dyDescent="0.2">
      <c r="A235" s="345">
        <v>34668</v>
      </c>
      <c r="B235" s="255"/>
      <c r="C235" s="259"/>
      <c r="D235" s="73"/>
      <c r="E235" s="73"/>
    </row>
    <row r="236" spans="1:5" x14ac:dyDescent="0.2">
      <c r="A236" s="345">
        <v>34699</v>
      </c>
      <c r="B236" s="255"/>
      <c r="C236" s="259"/>
      <c r="D236" s="73"/>
      <c r="E236" s="73"/>
    </row>
    <row r="237" spans="1:5" x14ac:dyDescent="0.2">
      <c r="A237" s="345">
        <v>34730</v>
      </c>
      <c r="B237" s="255"/>
      <c r="C237" s="259"/>
      <c r="D237" s="73"/>
      <c r="E237" s="73"/>
    </row>
    <row r="238" spans="1:5" x14ac:dyDescent="0.2">
      <c r="A238" s="345">
        <v>34758</v>
      </c>
      <c r="B238" s="255"/>
      <c r="C238" s="259"/>
      <c r="D238" s="73"/>
      <c r="E238" s="73"/>
    </row>
    <row r="239" spans="1:5" x14ac:dyDescent="0.2">
      <c r="A239" s="345">
        <v>34789</v>
      </c>
      <c r="B239" s="255"/>
      <c r="C239" s="259"/>
      <c r="D239" s="73"/>
      <c r="E239" s="73"/>
    </row>
    <row r="240" spans="1:5" x14ac:dyDescent="0.2">
      <c r="A240" s="345">
        <v>34819</v>
      </c>
      <c r="B240" s="255"/>
      <c r="C240" s="259"/>
      <c r="D240" s="73"/>
      <c r="E240" s="73"/>
    </row>
    <row r="241" spans="1:5" x14ac:dyDescent="0.2">
      <c r="A241" s="345">
        <v>34850</v>
      </c>
      <c r="B241" s="255"/>
      <c r="C241" s="259"/>
      <c r="D241" s="73"/>
      <c r="E241" s="73"/>
    </row>
    <row r="242" spans="1:5" x14ac:dyDescent="0.2">
      <c r="A242" s="345">
        <v>34880</v>
      </c>
      <c r="B242" s="255"/>
      <c r="C242" s="259"/>
      <c r="D242" s="77"/>
      <c r="E242" s="77"/>
    </row>
    <row r="243" spans="1:5" x14ac:dyDescent="0.2">
      <c r="A243" s="345">
        <v>34911</v>
      </c>
      <c r="B243" s="255"/>
      <c r="C243" s="259"/>
      <c r="D243" s="77"/>
      <c r="E243" s="77"/>
    </row>
    <row r="244" spans="1:5" x14ac:dyDescent="0.2">
      <c r="A244" s="345">
        <v>34942</v>
      </c>
      <c r="B244" s="255"/>
      <c r="C244" s="259"/>
      <c r="D244" s="77"/>
      <c r="E244" s="77"/>
    </row>
    <row r="245" spans="1:5" x14ac:dyDescent="0.2">
      <c r="A245" s="345">
        <v>34972</v>
      </c>
      <c r="B245" s="255"/>
      <c r="C245" s="259"/>
      <c r="D245" s="77"/>
      <c r="E245" s="77"/>
    </row>
    <row r="246" spans="1:5" x14ac:dyDescent="0.2">
      <c r="A246" s="345">
        <v>35003</v>
      </c>
      <c r="B246" s="255"/>
      <c r="C246" s="259"/>
      <c r="D246" s="77"/>
      <c r="E246" s="77"/>
    </row>
    <row r="247" spans="1:5" x14ac:dyDescent="0.2">
      <c r="A247" s="345">
        <v>35033</v>
      </c>
      <c r="B247" s="255"/>
      <c r="C247" s="259"/>
      <c r="D247" s="77"/>
      <c r="E247" s="77"/>
    </row>
    <row r="248" spans="1:5" x14ac:dyDescent="0.2">
      <c r="A248" s="345">
        <v>35064</v>
      </c>
      <c r="B248" s="255"/>
      <c r="C248" s="259"/>
      <c r="D248" s="77"/>
      <c r="E248" s="77"/>
    </row>
    <row r="249" spans="1:5" x14ac:dyDescent="0.2">
      <c r="A249" s="345">
        <v>35095</v>
      </c>
      <c r="B249" s="255"/>
      <c r="C249" s="259"/>
      <c r="D249" s="77"/>
      <c r="E249" s="77"/>
    </row>
    <row r="250" spans="1:5" x14ac:dyDescent="0.2">
      <c r="A250" s="345">
        <v>35124</v>
      </c>
      <c r="B250" s="255"/>
      <c r="C250" s="259"/>
      <c r="D250" s="77"/>
      <c r="E250" s="77"/>
    </row>
    <row r="251" spans="1:5" x14ac:dyDescent="0.2">
      <c r="A251" s="345">
        <v>35155</v>
      </c>
      <c r="B251" s="255"/>
      <c r="C251" s="259"/>
      <c r="D251" s="77"/>
      <c r="E251" s="77"/>
    </row>
    <row r="252" spans="1:5" x14ac:dyDescent="0.2">
      <c r="A252" s="345">
        <v>35185</v>
      </c>
      <c r="B252" s="253"/>
      <c r="C252" s="259"/>
      <c r="D252" s="77"/>
      <c r="E252" s="77"/>
    </row>
    <row r="253" spans="1:5" x14ac:dyDescent="0.2">
      <c r="A253" s="345">
        <v>35216</v>
      </c>
      <c r="B253" s="253"/>
      <c r="C253" s="259"/>
      <c r="D253" s="77"/>
      <c r="E253" s="77"/>
    </row>
    <row r="254" spans="1:5" x14ac:dyDescent="0.2">
      <c r="A254" s="345">
        <v>35246</v>
      </c>
      <c r="B254" s="253"/>
      <c r="C254" s="259"/>
      <c r="D254" s="77"/>
      <c r="E254" s="77"/>
    </row>
    <row r="255" spans="1:5" x14ac:dyDescent="0.2">
      <c r="A255" s="345">
        <v>35277</v>
      </c>
      <c r="B255" s="253"/>
      <c r="C255" s="259"/>
      <c r="D255" s="77"/>
      <c r="E255" s="77"/>
    </row>
    <row r="256" spans="1:5" x14ac:dyDescent="0.2">
      <c r="A256" s="345">
        <v>35308</v>
      </c>
      <c r="B256" s="253"/>
      <c r="C256" s="259"/>
      <c r="D256" s="77"/>
      <c r="E256" s="77"/>
    </row>
    <row r="257" spans="1:5" x14ac:dyDescent="0.2">
      <c r="A257" s="345">
        <v>35338</v>
      </c>
      <c r="B257" s="253"/>
      <c r="C257" s="259"/>
      <c r="D257" s="77"/>
      <c r="E257" s="77"/>
    </row>
    <row r="258" spans="1:5" x14ac:dyDescent="0.2">
      <c r="A258" s="345">
        <v>35369</v>
      </c>
      <c r="B258" s="253"/>
      <c r="C258" s="259"/>
      <c r="D258" s="77"/>
      <c r="E258" s="77"/>
    </row>
    <row r="259" spans="1:5" x14ac:dyDescent="0.2">
      <c r="A259" s="345">
        <v>35399</v>
      </c>
      <c r="B259" s="253"/>
      <c r="C259" s="259"/>
      <c r="D259" s="77"/>
      <c r="E259" s="77"/>
    </row>
    <row r="260" spans="1:5" x14ac:dyDescent="0.2">
      <c r="A260" s="345">
        <v>35430</v>
      </c>
      <c r="B260" s="253"/>
      <c r="C260" s="259"/>
      <c r="D260" s="77"/>
      <c r="E260" s="77"/>
    </row>
    <row r="261" spans="1:5" x14ac:dyDescent="0.2">
      <c r="A261" s="345">
        <v>35461</v>
      </c>
      <c r="B261" s="253"/>
      <c r="C261" s="259"/>
      <c r="D261" s="77"/>
      <c r="E261" s="77"/>
    </row>
    <row r="262" spans="1:5" x14ac:dyDescent="0.2">
      <c r="A262" s="345">
        <v>35489</v>
      </c>
      <c r="B262" s="253"/>
      <c r="C262" s="259"/>
      <c r="D262" s="77"/>
      <c r="E262" s="77"/>
    </row>
    <row r="263" spans="1:5" x14ac:dyDescent="0.2">
      <c r="A263" s="345">
        <v>35520</v>
      </c>
      <c r="B263" s="253"/>
      <c r="C263" s="259"/>
      <c r="D263" s="77"/>
      <c r="E263" s="77"/>
    </row>
    <row r="264" spans="1:5" x14ac:dyDescent="0.2">
      <c r="A264" s="345">
        <v>35550</v>
      </c>
      <c r="B264" s="253"/>
      <c r="C264" s="259"/>
      <c r="D264" s="77"/>
      <c r="E264" s="77"/>
    </row>
    <row r="265" spans="1:5" x14ac:dyDescent="0.2">
      <c r="A265" s="345">
        <v>35581</v>
      </c>
      <c r="B265" s="253"/>
      <c r="C265" s="259"/>
      <c r="D265" s="77"/>
      <c r="E265" s="77"/>
    </row>
    <row r="266" spans="1:5" x14ac:dyDescent="0.2">
      <c r="A266" s="345">
        <v>35611</v>
      </c>
      <c r="B266" s="253"/>
      <c r="C266" s="259"/>
      <c r="D266" s="77"/>
      <c r="E266" s="77"/>
    </row>
    <row r="267" spans="1:5" x14ac:dyDescent="0.2">
      <c r="A267" s="345">
        <v>35642</v>
      </c>
      <c r="B267" s="253"/>
      <c r="C267" s="259"/>
      <c r="D267" s="77"/>
      <c r="E267" s="77"/>
    </row>
    <row r="268" spans="1:5" x14ac:dyDescent="0.2">
      <c r="A268" s="345">
        <v>35673</v>
      </c>
      <c r="B268" s="253"/>
      <c r="C268" s="259"/>
      <c r="D268" s="77"/>
      <c r="E268" s="77"/>
    </row>
    <row r="269" spans="1:5" x14ac:dyDescent="0.2">
      <c r="A269" s="345">
        <v>35703</v>
      </c>
      <c r="B269" s="253"/>
      <c r="C269" s="259"/>
      <c r="D269" s="77"/>
      <c r="E269" s="77"/>
    </row>
    <row r="270" spans="1:5" x14ac:dyDescent="0.2">
      <c r="A270" s="345">
        <v>35734</v>
      </c>
      <c r="B270" s="253"/>
      <c r="C270" s="259"/>
      <c r="D270" s="77"/>
      <c r="E270" s="77"/>
    </row>
    <row r="271" spans="1:5" x14ac:dyDescent="0.2">
      <c r="A271" s="345">
        <v>35764</v>
      </c>
      <c r="B271" s="253"/>
      <c r="C271" s="259"/>
      <c r="D271" s="77"/>
      <c r="E271" s="77"/>
    </row>
    <row r="272" spans="1:5" x14ac:dyDescent="0.2">
      <c r="A272" s="345">
        <v>35795</v>
      </c>
      <c r="B272" s="253"/>
      <c r="C272" s="259"/>
      <c r="D272" s="77"/>
      <c r="E272" s="77"/>
    </row>
    <row r="273" spans="1:5" x14ac:dyDescent="0.2">
      <c r="A273" s="345">
        <v>35826</v>
      </c>
      <c r="B273" s="253"/>
      <c r="C273" s="259"/>
      <c r="D273" s="77"/>
      <c r="E273" s="77"/>
    </row>
    <row r="274" spans="1:5" x14ac:dyDescent="0.2">
      <c r="A274" s="345">
        <v>35854</v>
      </c>
      <c r="B274" s="253"/>
      <c r="C274" s="259"/>
      <c r="D274" s="77"/>
      <c r="E274" s="77"/>
    </row>
    <row r="275" spans="1:5" x14ac:dyDescent="0.2">
      <c r="A275" s="345">
        <v>35885</v>
      </c>
      <c r="B275" s="253"/>
      <c r="C275" s="259"/>
      <c r="D275" s="77"/>
      <c r="E275" s="77"/>
    </row>
    <row r="276" spans="1:5" x14ac:dyDescent="0.2">
      <c r="A276" s="345">
        <v>35915</v>
      </c>
      <c r="B276" s="253"/>
      <c r="C276" s="259"/>
      <c r="D276" s="77"/>
      <c r="E276" s="77"/>
    </row>
    <row r="277" spans="1:5" x14ac:dyDescent="0.2">
      <c r="A277" s="345">
        <v>35946</v>
      </c>
      <c r="B277" s="253"/>
      <c r="C277" s="259"/>
      <c r="D277" s="77"/>
      <c r="E277" s="77"/>
    </row>
    <row r="278" spans="1:5" x14ac:dyDescent="0.2">
      <c r="A278" s="345">
        <v>35976</v>
      </c>
      <c r="B278" s="253"/>
      <c r="C278" s="259"/>
      <c r="D278" s="77"/>
      <c r="E278" s="77"/>
    </row>
    <row r="279" spans="1:5" x14ac:dyDescent="0.2">
      <c r="A279" s="345">
        <v>36007</v>
      </c>
      <c r="B279" s="253"/>
      <c r="C279" s="259"/>
      <c r="D279" s="77"/>
      <c r="E279" s="77"/>
    </row>
    <row r="280" spans="1:5" x14ac:dyDescent="0.2">
      <c r="A280" s="345">
        <v>36038</v>
      </c>
      <c r="B280" s="253"/>
      <c r="C280" s="259"/>
      <c r="D280" s="77"/>
      <c r="E280" s="77"/>
    </row>
    <row r="281" spans="1:5" x14ac:dyDescent="0.2">
      <c r="A281" s="345">
        <v>36068</v>
      </c>
      <c r="B281" s="253"/>
      <c r="C281" s="259"/>
      <c r="D281" s="77"/>
      <c r="E281" s="77"/>
    </row>
    <row r="282" spans="1:5" x14ac:dyDescent="0.2">
      <c r="A282" s="345">
        <v>36099</v>
      </c>
      <c r="B282" s="253"/>
      <c r="C282" s="259"/>
      <c r="D282" s="77"/>
      <c r="E282" s="77"/>
    </row>
    <row r="283" spans="1:5" x14ac:dyDescent="0.2">
      <c r="A283" s="345">
        <v>36129</v>
      </c>
      <c r="B283" s="253"/>
      <c r="C283" s="259"/>
      <c r="D283" s="77"/>
      <c r="E283" s="77"/>
    </row>
    <row r="284" spans="1:5" x14ac:dyDescent="0.2">
      <c r="A284" s="345">
        <v>36160</v>
      </c>
      <c r="B284" s="253"/>
      <c r="C284" s="33"/>
      <c r="D284" s="253"/>
      <c r="E284" s="253"/>
    </row>
    <row r="285" spans="1:5" x14ac:dyDescent="0.2">
      <c r="A285" s="345">
        <v>36191</v>
      </c>
      <c r="B285" s="253"/>
      <c r="C285" s="33"/>
      <c r="D285" s="253"/>
      <c r="E285" s="253"/>
    </row>
    <row r="286" spans="1:5" x14ac:dyDescent="0.2">
      <c r="A286" s="345">
        <v>36219</v>
      </c>
      <c r="B286" s="253"/>
      <c r="C286" s="33"/>
      <c r="D286" s="253"/>
      <c r="E286" s="253"/>
    </row>
    <row r="287" spans="1:5" x14ac:dyDescent="0.2">
      <c r="A287" s="345">
        <v>36250</v>
      </c>
      <c r="B287" s="253"/>
      <c r="C287" s="33"/>
      <c r="D287" s="253"/>
      <c r="E287" s="253"/>
    </row>
    <row r="288" spans="1:5" x14ac:dyDescent="0.2">
      <c r="A288" s="345">
        <v>36280</v>
      </c>
      <c r="B288" s="253"/>
      <c r="C288" s="33"/>
      <c r="D288" s="253"/>
      <c r="E288" s="253"/>
    </row>
    <row r="289" spans="1:5" x14ac:dyDescent="0.2">
      <c r="A289" s="345">
        <v>36311</v>
      </c>
      <c r="B289" s="253"/>
      <c r="C289" s="33"/>
      <c r="D289" s="253"/>
      <c r="E289" s="253"/>
    </row>
    <row r="290" spans="1:5" x14ac:dyDescent="0.2">
      <c r="A290" s="345">
        <v>36341</v>
      </c>
      <c r="B290" s="253"/>
      <c r="C290" s="33"/>
      <c r="D290" s="253"/>
      <c r="E290" s="253"/>
    </row>
    <row r="291" spans="1:5" x14ac:dyDescent="0.2">
      <c r="A291" s="345">
        <v>36372</v>
      </c>
      <c r="B291" s="253"/>
      <c r="C291" s="33"/>
      <c r="D291" s="253"/>
      <c r="E291" s="253"/>
    </row>
    <row r="292" spans="1:5" x14ac:dyDescent="0.2">
      <c r="A292" s="345">
        <v>36403</v>
      </c>
      <c r="B292" s="253"/>
      <c r="C292" s="33"/>
      <c r="D292" s="253"/>
      <c r="E292" s="253"/>
    </row>
    <row r="293" spans="1:5" x14ac:dyDescent="0.2">
      <c r="A293" s="345">
        <v>36433</v>
      </c>
      <c r="B293" s="253"/>
      <c r="C293" s="33"/>
      <c r="D293" s="253"/>
      <c r="E293" s="253"/>
    </row>
    <row r="294" spans="1:5" x14ac:dyDescent="0.2">
      <c r="A294" s="345">
        <v>36464</v>
      </c>
      <c r="B294" s="253"/>
      <c r="C294" s="33"/>
      <c r="D294" s="253"/>
      <c r="E294" s="253"/>
    </row>
    <row r="295" spans="1:5" x14ac:dyDescent="0.2">
      <c r="A295" s="345">
        <v>36494</v>
      </c>
      <c r="B295" s="253"/>
      <c r="C295" s="33"/>
      <c r="D295" s="253"/>
      <c r="E295" s="253"/>
    </row>
    <row r="296" spans="1:5" x14ac:dyDescent="0.2">
      <c r="A296" s="345">
        <v>36525</v>
      </c>
      <c r="B296" s="253"/>
      <c r="C296" s="33"/>
      <c r="D296" s="253"/>
      <c r="E296" s="253"/>
    </row>
    <row r="297" spans="1:5" x14ac:dyDescent="0.2">
      <c r="A297" s="345">
        <v>36556</v>
      </c>
      <c r="B297" s="253"/>
      <c r="C297" s="33"/>
      <c r="D297" s="253"/>
      <c r="E297" s="253"/>
    </row>
    <row r="298" spans="1:5" x14ac:dyDescent="0.2">
      <c r="A298" s="345">
        <v>36585</v>
      </c>
      <c r="B298" s="253"/>
      <c r="C298" s="33"/>
      <c r="D298" s="253"/>
      <c r="E298" s="253"/>
    </row>
    <row r="299" spans="1:5" x14ac:dyDescent="0.2">
      <c r="A299" s="345">
        <v>36616</v>
      </c>
      <c r="B299" s="253"/>
      <c r="C299" s="33"/>
      <c r="D299" s="253"/>
      <c r="E299" s="253"/>
    </row>
    <row r="300" spans="1:5" x14ac:dyDescent="0.2">
      <c r="A300" s="345">
        <v>36646</v>
      </c>
      <c r="B300" s="253"/>
      <c r="C300" s="33"/>
      <c r="D300" s="253"/>
      <c r="E300" s="253"/>
    </row>
    <row r="301" spans="1:5" x14ac:dyDescent="0.2">
      <c r="A301" s="345">
        <v>36677</v>
      </c>
      <c r="B301" s="253"/>
      <c r="C301" s="33"/>
      <c r="D301" s="253"/>
      <c r="E301" s="253"/>
    </row>
    <row r="302" spans="1:5" x14ac:dyDescent="0.2">
      <c r="A302" s="345">
        <v>36707</v>
      </c>
      <c r="B302" s="253"/>
      <c r="C302" s="33"/>
      <c r="D302" s="253"/>
      <c r="E302" s="253"/>
    </row>
    <row r="303" spans="1:5" x14ac:dyDescent="0.2">
      <c r="A303" s="345">
        <v>36738</v>
      </c>
      <c r="B303" s="253"/>
      <c r="C303" s="33"/>
      <c r="D303" s="253"/>
      <c r="E303" s="253"/>
    </row>
    <row r="304" spans="1:5" x14ac:dyDescent="0.2">
      <c r="A304" s="345">
        <v>36769</v>
      </c>
      <c r="B304" s="253"/>
      <c r="C304" s="33"/>
      <c r="D304" s="253"/>
      <c r="E304" s="253"/>
    </row>
    <row r="305" spans="1:5" x14ac:dyDescent="0.2">
      <c r="A305" s="345">
        <v>36799</v>
      </c>
      <c r="B305" s="253"/>
      <c r="C305" s="33"/>
      <c r="D305" s="253"/>
      <c r="E305" s="253"/>
    </row>
    <row r="306" spans="1:5" x14ac:dyDescent="0.2">
      <c r="A306" s="345">
        <v>36830</v>
      </c>
      <c r="B306" s="253"/>
      <c r="C306" s="33"/>
      <c r="D306" s="253"/>
      <c r="E306" s="253"/>
    </row>
    <row r="307" spans="1:5" x14ac:dyDescent="0.2">
      <c r="A307" s="345">
        <v>36860</v>
      </c>
      <c r="B307" s="253"/>
      <c r="C307" s="33"/>
      <c r="D307" s="253"/>
      <c r="E307" s="253"/>
    </row>
    <row r="308" spans="1:5" x14ac:dyDescent="0.2">
      <c r="A308" s="345">
        <v>36891</v>
      </c>
      <c r="B308" s="253"/>
      <c r="C308" s="33"/>
      <c r="D308" s="253"/>
      <c r="E308" s="253"/>
    </row>
    <row r="309" spans="1:5" x14ac:dyDescent="0.2">
      <c r="A309" s="345">
        <v>36922</v>
      </c>
      <c r="B309" s="253"/>
      <c r="C309" s="33"/>
      <c r="D309" s="253"/>
      <c r="E309" s="253"/>
    </row>
    <row r="310" spans="1:5" x14ac:dyDescent="0.2">
      <c r="A310" s="345">
        <v>36950</v>
      </c>
      <c r="B310" s="253"/>
      <c r="C310" s="33"/>
      <c r="D310" s="253"/>
      <c r="E310" s="253"/>
    </row>
    <row r="311" spans="1:5" x14ac:dyDescent="0.2">
      <c r="A311" s="345">
        <v>36981</v>
      </c>
      <c r="B311" s="253"/>
      <c r="C311" s="33"/>
      <c r="D311" s="253"/>
      <c r="E311" s="253"/>
    </row>
    <row r="312" spans="1:5" x14ac:dyDescent="0.2">
      <c r="A312" s="345">
        <v>37011</v>
      </c>
      <c r="B312" s="253"/>
      <c r="C312" s="33"/>
      <c r="D312" s="253"/>
      <c r="E312" s="253"/>
    </row>
    <row r="313" spans="1:5" x14ac:dyDescent="0.2">
      <c r="A313" s="345">
        <v>37042</v>
      </c>
      <c r="B313" s="253"/>
      <c r="C313" s="33"/>
      <c r="D313" s="253"/>
      <c r="E313" s="253"/>
    </row>
    <row r="314" spans="1:5" x14ac:dyDescent="0.2">
      <c r="A314" s="345">
        <v>37072</v>
      </c>
      <c r="B314" s="253"/>
      <c r="C314" s="33"/>
      <c r="D314" s="253"/>
      <c r="E314" s="253"/>
    </row>
    <row r="315" spans="1:5" x14ac:dyDescent="0.2">
      <c r="A315" s="345">
        <v>37103</v>
      </c>
      <c r="B315" s="253"/>
      <c r="C315" s="33"/>
      <c r="D315" s="253"/>
      <c r="E315" s="253"/>
    </row>
    <row r="316" spans="1:5" x14ac:dyDescent="0.2">
      <c r="A316" s="345">
        <v>37134</v>
      </c>
      <c r="B316" s="253"/>
      <c r="C316" s="33"/>
      <c r="D316" s="253"/>
      <c r="E316" s="253"/>
    </row>
    <row r="317" spans="1:5" x14ac:dyDescent="0.2">
      <c r="A317" s="345">
        <v>37164</v>
      </c>
      <c r="B317" s="253"/>
      <c r="C317" s="33"/>
      <c r="D317" s="253"/>
      <c r="E317" s="253"/>
    </row>
    <row r="318" spans="1:5" x14ac:dyDescent="0.2">
      <c r="A318" s="345">
        <v>37195</v>
      </c>
      <c r="B318" s="253"/>
      <c r="C318" s="33"/>
      <c r="D318" s="253"/>
      <c r="E318" s="253"/>
    </row>
    <row r="319" spans="1:5" x14ac:dyDescent="0.2">
      <c r="A319" s="345">
        <v>37225</v>
      </c>
      <c r="B319" s="253"/>
      <c r="C319" s="33"/>
      <c r="D319" s="253"/>
      <c r="E319" s="253"/>
    </row>
    <row r="320" spans="1:5" x14ac:dyDescent="0.2">
      <c r="A320" s="345">
        <v>37256</v>
      </c>
      <c r="B320" s="253"/>
      <c r="C320" s="33"/>
      <c r="D320" s="253"/>
      <c r="E320" s="253"/>
    </row>
    <row r="321" spans="1:5" x14ac:dyDescent="0.2">
      <c r="A321" s="345">
        <v>37287</v>
      </c>
      <c r="B321" s="253"/>
      <c r="C321" s="33"/>
      <c r="D321" s="253"/>
      <c r="E321" s="253"/>
    </row>
    <row r="322" spans="1:5" x14ac:dyDescent="0.2">
      <c r="A322" s="345">
        <v>37315</v>
      </c>
      <c r="B322" s="253"/>
      <c r="C322" s="33"/>
      <c r="D322" s="253"/>
      <c r="E322" s="253"/>
    </row>
    <row r="323" spans="1:5" x14ac:dyDescent="0.2">
      <c r="A323" s="345">
        <v>37346</v>
      </c>
      <c r="B323" s="253"/>
      <c r="C323" s="33"/>
      <c r="D323" s="253"/>
      <c r="E323" s="253"/>
    </row>
    <row r="324" spans="1:5" x14ac:dyDescent="0.2">
      <c r="A324" s="345">
        <v>37376</v>
      </c>
      <c r="B324" s="253"/>
      <c r="C324" s="33"/>
      <c r="D324" s="253"/>
      <c r="E324" s="253"/>
    </row>
    <row r="325" spans="1:5" x14ac:dyDescent="0.2">
      <c r="A325" s="345">
        <v>37407</v>
      </c>
      <c r="B325" s="253"/>
      <c r="C325" s="33"/>
      <c r="D325" s="253"/>
      <c r="E325" s="253"/>
    </row>
    <row r="326" spans="1:5" x14ac:dyDescent="0.2">
      <c r="A326" s="345">
        <v>37437</v>
      </c>
      <c r="B326" s="253"/>
      <c r="C326" s="33"/>
      <c r="D326" s="253"/>
      <c r="E326" s="253"/>
    </row>
    <row r="327" spans="1:5" x14ac:dyDescent="0.2">
      <c r="A327" s="345">
        <v>37468</v>
      </c>
      <c r="B327" s="253"/>
      <c r="C327" s="33"/>
      <c r="D327" s="253"/>
      <c r="E327" s="253"/>
    </row>
    <row r="328" spans="1:5" x14ac:dyDescent="0.2">
      <c r="A328" s="345">
        <v>37499</v>
      </c>
      <c r="B328" s="253"/>
      <c r="C328" s="33"/>
      <c r="D328" s="253"/>
      <c r="E328" s="253"/>
    </row>
    <row r="329" spans="1:5" x14ac:dyDescent="0.2">
      <c r="A329" s="345">
        <v>37529</v>
      </c>
      <c r="B329" s="253"/>
      <c r="C329" s="33"/>
      <c r="D329" s="253"/>
      <c r="E329" s="253"/>
    </row>
    <row r="330" spans="1:5" x14ac:dyDescent="0.2">
      <c r="A330" s="345">
        <v>37560</v>
      </c>
      <c r="B330" s="253"/>
      <c r="C330" s="33"/>
      <c r="D330" s="253"/>
      <c r="E330" s="253"/>
    </row>
    <row r="331" spans="1:5" x14ac:dyDescent="0.2">
      <c r="A331" s="345">
        <v>37590</v>
      </c>
      <c r="B331" s="253"/>
      <c r="C331" s="33"/>
      <c r="D331" s="253"/>
      <c r="E331" s="253"/>
    </row>
    <row r="332" spans="1:5" x14ac:dyDescent="0.2">
      <c r="A332" s="345">
        <v>37621</v>
      </c>
      <c r="B332" s="253"/>
      <c r="C332" s="33"/>
      <c r="D332" s="253"/>
      <c r="E332" s="253"/>
    </row>
    <row r="333" spans="1:5" x14ac:dyDescent="0.2">
      <c r="A333" s="345">
        <v>37652</v>
      </c>
      <c r="B333" s="253"/>
      <c r="C333" s="33"/>
      <c r="D333" s="253"/>
      <c r="E333" s="253"/>
    </row>
    <row r="334" spans="1:5" x14ac:dyDescent="0.2">
      <c r="A334" s="345">
        <v>37680</v>
      </c>
      <c r="B334" s="253"/>
      <c r="C334" s="33"/>
      <c r="D334" s="253"/>
      <c r="E334" s="253"/>
    </row>
    <row r="335" spans="1:5" x14ac:dyDescent="0.2">
      <c r="A335" s="345">
        <v>37711</v>
      </c>
      <c r="B335" s="253"/>
      <c r="C335" s="33"/>
      <c r="D335" s="253"/>
      <c r="E335" s="253"/>
    </row>
    <row r="336" spans="1:5" x14ac:dyDescent="0.2">
      <c r="A336" s="345">
        <v>37741</v>
      </c>
      <c r="B336" s="253"/>
      <c r="C336" s="33"/>
      <c r="D336" s="253"/>
      <c r="E336" s="253"/>
    </row>
    <row r="337" spans="1:9" x14ac:dyDescent="0.2">
      <c r="A337" s="345">
        <v>37772</v>
      </c>
      <c r="B337" s="253"/>
      <c r="C337" s="33"/>
      <c r="D337" s="253"/>
      <c r="E337" s="253"/>
    </row>
    <row r="338" spans="1:9" x14ac:dyDescent="0.2">
      <c r="A338" s="345">
        <v>37802</v>
      </c>
      <c r="B338" s="253"/>
      <c r="C338" s="33"/>
      <c r="D338" s="253"/>
      <c r="E338" s="253"/>
    </row>
    <row r="339" spans="1:9" x14ac:dyDescent="0.2">
      <c r="A339" s="345">
        <v>37833</v>
      </c>
      <c r="B339" s="253"/>
      <c r="C339" s="33"/>
      <c r="D339" s="253"/>
      <c r="E339" s="253"/>
    </row>
    <row r="340" spans="1:9" x14ac:dyDescent="0.2">
      <c r="A340" s="345">
        <v>37864</v>
      </c>
      <c r="B340" s="253"/>
      <c r="C340" s="33"/>
      <c r="D340" s="253"/>
      <c r="E340" s="253"/>
    </row>
    <row r="341" spans="1:9" x14ac:dyDescent="0.2">
      <c r="A341" s="345">
        <v>37894</v>
      </c>
      <c r="B341" s="253"/>
      <c r="C341" s="34"/>
      <c r="D341" s="253"/>
      <c r="E341" s="253"/>
    </row>
    <row r="342" spans="1:9" x14ac:dyDescent="0.2">
      <c r="A342" s="345">
        <v>37925</v>
      </c>
      <c r="B342" s="253"/>
      <c r="C342" s="34"/>
      <c r="D342" s="253"/>
      <c r="E342" s="253"/>
    </row>
    <row r="343" spans="1:9" x14ac:dyDescent="0.2">
      <c r="A343" s="345">
        <v>37955</v>
      </c>
      <c r="B343" s="253"/>
      <c r="C343" s="34"/>
      <c r="D343" s="253"/>
      <c r="E343" s="253"/>
    </row>
    <row r="344" spans="1:9" x14ac:dyDescent="0.2">
      <c r="A344" s="345">
        <v>37986</v>
      </c>
      <c r="B344" s="253"/>
      <c r="C344" s="34"/>
      <c r="D344" s="253"/>
      <c r="E344" s="253"/>
    </row>
    <row r="345" spans="1:9" x14ac:dyDescent="0.2">
      <c r="A345" s="345">
        <v>38017</v>
      </c>
      <c r="B345" s="253"/>
      <c r="C345" s="34"/>
      <c r="D345" s="253"/>
      <c r="E345" s="253"/>
    </row>
    <row r="346" spans="1:9" x14ac:dyDescent="0.2">
      <c r="A346" s="345">
        <v>38046</v>
      </c>
      <c r="B346" s="253"/>
      <c r="C346" s="34"/>
      <c r="D346" s="253"/>
      <c r="E346" s="253"/>
    </row>
    <row r="347" spans="1:9" x14ac:dyDescent="0.2">
      <c r="A347" s="345">
        <v>38077</v>
      </c>
      <c r="B347" s="253"/>
      <c r="C347" s="34"/>
      <c r="D347" s="255"/>
      <c r="E347" s="253"/>
    </row>
    <row r="348" spans="1:9" x14ac:dyDescent="0.2">
      <c r="A348" s="345">
        <v>38107</v>
      </c>
      <c r="B348" s="253"/>
      <c r="C348" s="34"/>
      <c r="D348" s="253"/>
      <c r="E348" s="253"/>
      <c r="I348" s="14"/>
    </row>
    <row r="349" spans="1:9" x14ac:dyDescent="0.2">
      <c r="A349" s="345">
        <v>38138</v>
      </c>
      <c r="B349" s="253"/>
      <c r="C349" s="34"/>
      <c r="D349" s="253"/>
      <c r="E349" s="253"/>
      <c r="I349" s="14"/>
    </row>
    <row r="350" spans="1:9" x14ac:dyDescent="0.2">
      <c r="A350" s="345">
        <v>38168</v>
      </c>
      <c r="B350" s="253"/>
      <c r="C350" s="34"/>
      <c r="D350" s="253"/>
      <c r="E350" s="253"/>
      <c r="I350" s="14"/>
    </row>
    <row r="351" spans="1:9" x14ac:dyDescent="0.2">
      <c r="A351" s="345">
        <v>38199</v>
      </c>
      <c r="B351" s="253"/>
      <c r="C351" s="34"/>
      <c r="D351" s="253"/>
      <c r="E351" s="253"/>
    </row>
    <row r="352" spans="1:9" x14ac:dyDescent="0.2">
      <c r="A352" s="345">
        <v>38230</v>
      </c>
      <c r="B352" s="253"/>
      <c r="C352" s="34"/>
      <c r="D352" s="253"/>
      <c r="E352" s="253"/>
    </row>
    <row r="353" spans="1:5" x14ac:dyDescent="0.2">
      <c r="A353" s="345">
        <v>38260</v>
      </c>
      <c r="B353" s="253"/>
      <c r="C353" s="34"/>
      <c r="D353" s="253"/>
      <c r="E353" s="253"/>
    </row>
    <row r="354" spans="1:5" x14ac:dyDescent="0.2">
      <c r="A354" s="345">
        <v>38291</v>
      </c>
      <c r="B354" s="253"/>
      <c r="C354" s="34"/>
      <c r="D354" s="253"/>
      <c r="E354" s="253"/>
    </row>
    <row r="355" spans="1:5" x14ac:dyDescent="0.2">
      <c r="A355" s="345">
        <v>38321</v>
      </c>
      <c r="B355" s="253"/>
      <c r="C355" s="34"/>
      <c r="D355" s="253"/>
      <c r="E355" s="253"/>
    </row>
    <row r="356" spans="1:5" x14ac:dyDescent="0.2">
      <c r="A356" s="345">
        <v>38352</v>
      </c>
      <c r="B356" s="253"/>
      <c r="C356" s="256"/>
      <c r="D356" s="253"/>
      <c r="E356" s="253"/>
    </row>
    <row r="357" spans="1:5" x14ac:dyDescent="0.2">
      <c r="A357" s="345">
        <v>38383</v>
      </c>
      <c r="B357" s="253">
        <v>-8.26</v>
      </c>
      <c r="C357" s="34"/>
      <c r="D357" s="76">
        <v>-8.26</v>
      </c>
      <c r="E357" s="253"/>
    </row>
    <row r="358" spans="1:5" x14ac:dyDescent="0.2">
      <c r="A358" s="345">
        <v>38411</v>
      </c>
      <c r="B358" s="253">
        <v>3.05</v>
      </c>
      <c r="C358" s="34"/>
      <c r="D358" s="76">
        <v>3.05</v>
      </c>
      <c r="E358" s="253"/>
    </row>
    <row r="359" spans="1:5" x14ac:dyDescent="0.2">
      <c r="A359" s="345">
        <v>38442</v>
      </c>
      <c r="B359" s="253">
        <v>-1.23</v>
      </c>
      <c r="C359" s="256"/>
      <c r="D359" s="76">
        <v>-1.2</v>
      </c>
      <c r="E359" s="253"/>
    </row>
    <row r="360" spans="1:5" x14ac:dyDescent="0.2">
      <c r="A360" s="345">
        <v>38472</v>
      </c>
      <c r="B360" s="253">
        <v>4.9800000000000004</v>
      </c>
      <c r="C360" s="256"/>
      <c r="D360" s="76">
        <v>4.9800000000000004</v>
      </c>
      <c r="E360" s="253"/>
    </row>
    <row r="361" spans="1:5" x14ac:dyDescent="0.2">
      <c r="A361" s="345">
        <v>38503</v>
      </c>
      <c r="B361" s="253">
        <v>3.31</v>
      </c>
      <c r="C361" s="256"/>
      <c r="D361" s="76">
        <v>3.31</v>
      </c>
      <c r="E361" s="253"/>
    </row>
    <row r="362" spans="1:5" x14ac:dyDescent="0.2">
      <c r="A362" s="345">
        <v>38533</v>
      </c>
      <c r="B362" s="253">
        <v>5.19</v>
      </c>
      <c r="C362" s="256"/>
      <c r="D362" s="76">
        <v>5.23</v>
      </c>
      <c r="E362" s="253"/>
    </row>
    <row r="363" spans="1:5" x14ac:dyDescent="0.2">
      <c r="A363" s="345">
        <v>38564</v>
      </c>
      <c r="B363" s="253">
        <v>7.54</v>
      </c>
      <c r="C363" s="256"/>
      <c r="D363" s="76">
        <v>7.5434999999999999</v>
      </c>
      <c r="E363" s="253"/>
    </row>
    <row r="364" spans="1:5" x14ac:dyDescent="0.2">
      <c r="A364" s="345">
        <v>38595</v>
      </c>
      <c r="B364" s="253">
        <v>-3.98</v>
      </c>
      <c r="C364" s="256"/>
      <c r="D364" s="76">
        <v>-3.9519000000000002</v>
      </c>
      <c r="E364" s="253"/>
    </row>
    <row r="365" spans="1:5" x14ac:dyDescent="0.2">
      <c r="A365" s="345">
        <v>38625</v>
      </c>
      <c r="B365" s="253">
        <v>0.32</v>
      </c>
      <c r="C365" s="334"/>
      <c r="D365" s="76">
        <v>0.35920000000000002</v>
      </c>
      <c r="E365" s="253"/>
    </row>
    <row r="366" spans="1:5" x14ac:dyDescent="0.2">
      <c r="A366" s="345">
        <v>38656</v>
      </c>
      <c r="B366" s="253">
        <v>-1.9</v>
      </c>
      <c r="C366" s="334"/>
      <c r="D366" s="76">
        <v>-1.8994</v>
      </c>
      <c r="E366" s="253"/>
    </row>
    <row r="367" spans="1:5" x14ac:dyDescent="0.2">
      <c r="A367" s="345">
        <v>38686</v>
      </c>
      <c r="B367" s="253">
        <v>4.55</v>
      </c>
      <c r="C367" s="334"/>
      <c r="D367" s="76">
        <v>4.5690999999999997</v>
      </c>
      <c r="E367" s="253"/>
    </row>
    <row r="368" spans="1:5" x14ac:dyDescent="0.2">
      <c r="A368" s="345">
        <v>38717</v>
      </c>
      <c r="B368" s="253">
        <v>0.39</v>
      </c>
      <c r="C368" s="256"/>
      <c r="D368" s="76">
        <v>0.4284</v>
      </c>
      <c r="E368" s="253"/>
    </row>
    <row r="369" spans="1:9" x14ac:dyDescent="0.2">
      <c r="A369" s="345">
        <v>38748</v>
      </c>
      <c r="B369" s="253">
        <v>7.15</v>
      </c>
      <c r="C369" s="256"/>
      <c r="D369" s="76">
        <v>7.1452999999999998</v>
      </c>
      <c r="E369" s="253"/>
      <c r="F369" s="496"/>
      <c r="G369" s="700"/>
      <c r="H369" s="703"/>
      <c r="I369" s="253"/>
    </row>
    <row r="370" spans="1:9" x14ac:dyDescent="0.2">
      <c r="A370" s="345">
        <v>38776</v>
      </c>
      <c r="B370" s="253">
        <v>2.21</v>
      </c>
      <c r="C370" s="256"/>
      <c r="D370" s="76">
        <v>2.2111000000000001</v>
      </c>
      <c r="E370" s="253"/>
      <c r="F370" s="496"/>
      <c r="G370" s="701"/>
      <c r="H370" s="703"/>
      <c r="I370" s="253"/>
    </row>
    <row r="371" spans="1:9" x14ac:dyDescent="0.2">
      <c r="A371" s="345">
        <v>38807</v>
      </c>
      <c r="B371" s="253">
        <v>5.28</v>
      </c>
      <c r="C371" s="256"/>
      <c r="D371" s="76">
        <v>5.3188000000000004</v>
      </c>
      <c r="E371" s="253"/>
      <c r="F371" s="496"/>
      <c r="G371" s="701"/>
      <c r="H371" s="703"/>
      <c r="I371" s="253"/>
    </row>
    <row r="372" spans="1:9" x14ac:dyDescent="0.2">
      <c r="A372" s="345">
        <v>38837</v>
      </c>
      <c r="B372" s="253">
        <v>-3.66</v>
      </c>
      <c r="C372" s="34"/>
      <c r="D372" s="76">
        <v>-3.6640000000000001</v>
      </c>
      <c r="E372" s="253"/>
      <c r="F372" s="496"/>
      <c r="G372" s="700"/>
      <c r="H372" s="703"/>
      <c r="I372" s="253"/>
    </row>
    <row r="373" spans="1:9" x14ac:dyDescent="0.2">
      <c r="A373" s="345">
        <v>38868</v>
      </c>
      <c r="B373" s="253">
        <v>-2.81</v>
      </c>
      <c r="C373" s="34"/>
      <c r="D373" s="76">
        <v>-2.7921999999999998</v>
      </c>
      <c r="E373" s="253"/>
      <c r="F373" s="496"/>
      <c r="G373" s="700"/>
      <c r="H373" s="703"/>
      <c r="I373" s="253"/>
    </row>
    <row r="374" spans="1:9" x14ac:dyDescent="0.2">
      <c r="A374" s="345">
        <v>38898</v>
      </c>
      <c r="B374" s="76">
        <v>5.66</v>
      </c>
      <c r="C374" s="354">
        <v>11323361.890000001</v>
      </c>
      <c r="D374" s="253"/>
      <c r="E374" s="253"/>
      <c r="F374" s="496"/>
      <c r="G374" s="700"/>
      <c r="H374" s="703"/>
      <c r="I374" s="253"/>
    </row>
    <row r="375" spans="1:9" x14ac:dyDescent="0.2">
      <c r="A375" s="345">
        <v>38929</v>
      </c>
      <c r="B375" s="253">
        <v>3.52</v>
      </c>
      <c r="C375" s="34">
        <v>11722012.279999999</v>
      </c>
      <c r="D375" s="253"/>
      <c r="E375" s="253"/>
      <c r="F375" s="496"/>
      <c r="G375" s="700"/>
      <c r="H375" s="703"/>
      <c r="I375" s="253"/>
    </row>
    <row r="376" spans="1:9" x14ac:dyDescent="0.2">
      <c r="A376" s="345">
        <v>38960</v>
      </c>
      <c r="B376" s="253">
        <v>3.35</v>
      </c>
      <c r="C376" s="34">
        <v>12115236.279999999</v>
      </c>
      <c r="D376" s="253"/>
      <c r="E376" s="253"/>
    </row>
    <row r="377" spans="1:9" x14ac:dyDescent="0.2">
      <c r="A377" s="345">
        <v>38990</v>
      </c>
      <c r="B377" s="253">
        <v>1.85</v>
      </c>
      <c r="C377" s="34">
        <v>11328079.1</v>
      </c>
      <c r="D377" s="253"/>
      <c r="E377" s="253"/>
    </row>
    <row r="378" spans="1:9" x14ac:dyDescent="0.2">
      <c r="A378" s="345">
        <v>39021</v>
      </c>
      <c r="B378" s="253">
        <v>6.31</v>
      </c>
      <c r="C378" s="34">
        <v>12043076.43</v>
      </c>
      <c r="D378" s="253"/>
      <c r="E378" s="253"/>
    </row>
    <row r="379" spans="1:9" x14ac:dyDescent="0.2">
      <c r="A379" s="345">
        <v>39051</v>
      </c>
      <c r="B379" s="253">
        <v>4.78</v>
      </c>
      <c r="C379" s="34">
        <v>12618731.52</v>
      </c>
      <c r="D379" s="253"/>
      <c r="E379" s="253"/>
    </row>
    <row r="380" spans="1:9" x14ac:dyDescent="0.2">
      <c r="A380" s="345">
        <v>39082</v>
      </c>
      <c r="B380" s="253">
        <v>-2.2799999999999998</v>
      </c>
      <c r="C380" s="34">
        <v>12335954.18</v>
      </c>
      <c r="D380" s="253"/>
      <c r="E380" s="253"/>
    </row>
    <row r="381" spans="1:9" x14ac:dyDescent="0.2">
      <c r="A381" s="345">
        <v>39113</v>
      </c>
      <c r="B381" s="257">
        <v>8.99</v>
      </c>
      <c r="C381" s="346">
        <v>13445485.02</v>
      </c>
    </row>
    <row r="382" spans="1:9" x14ac:dyDescent="0.2">
      <c r="A382" s="345">
        <v>39141</v>
      </c>
      <c r="B382" s="257">
        <v>-2.25</v>
      </c>
      <c r="C382" s="346">
        <v>13143256.75</v>
      </c>
    </row>
    <row r="383" spans="1:9" x14ac:dyDescent="0.2">
      <c r="A383" s="345">
        <v>39172</v>
      </c>
      <c r="B383" s="257">
        <v>-2.71</v>
      </c>
      <c r="C383" s="346">
        <v>12792449.83</v>
      </c>
    </row>
    <row r="384" spans="1:9" x14ac:dyDescent="0.2">
      <c r="A384" s="345">
        <v>39202</v>
      </c>
      <c r="B384" s="257">
        <v>0</v>
      </c>
      <c r="C384" s="346">
        <v>12791919.07</v>
      </c>
    </row>
    <row r="385" spans="1:3" x14ac:dyDescent="0.2">
      <c r="A385" s="345">
        <v>39233</v>
      </c>
      <c r="B385" s="257">
        <v>0.02</v>
      </c>
      <c r="C385" s="346">
        <v>12794067.41</v>
      </c>
    </row>
    <row r="386" spans="1:3" x14ac:dyDescent="0.2">
      <c r="A386" s="345">
        <v>39263</v>
      </c>
      <c r="B386" s="257">
        <v>-9.36</v>
      </c>
      <c r="C386" s="346">
        <v>16367423.58</v>
      </c>
    </row>
    <row r="387" spans="1:3" x14ac:dyDescent="0.2">
      <c r="A387" s="345">
        <v>39294</v>
      </c>
      <c r="B387" s="257">
        <v>-7.82</v>
      </c>
      <c r="C387" s="346">
        <v>15087828.119999999</v>
      </c>
    </row>
    <row r="388" spans="1:3" x14ac:dyDescent="0.2">
      <c r="A388" s="345">
        <v>39325</v>
      </c>
      <c r="B388" s="257">
        <v>5.84</v>
      </c>
      <c r="C388" s="346">
        <v>15969566.32</v>
      </c>
    </row>
    <row r="389" spans="1:3" x14ac:dyDescent="0.2">
      <c r="A389" s="345">
        <v>39355</v>
      </c>
      <c r="B389" s="257">
        <v>3.91</v>
      </c>
      <c r="C389" s="346">
        <v>16600319.41</v>
      </c>
    </row>
    <row r="390" spans="1:3" x14ac:dyDescent="0.2">
      <c r="A390" s="345">
        <v>39386</v>
      </c>
      <c r="B390" s="257">
        <v>1.1599999999999999</v>
      </c>
      <c r="C390" s="346">
        <v>16792763.32</v>
      </c>
    </row>
    <row r="391" spans="1:3" x14ac:dyDescent="0.2">
      <c r="A391" s="345">
        <v>39416</v>
      </c>
      <c r="B391" s="257">
        <v>-9.76</v>
      </c>
      <c r="C391" s="346">
        <v>15154100.01</v>
      </c>
    </row>
    <row r="392" spans="1:3" x14ac:dyDescent="0.2">
      <c r="A392" s="345">
        <v>39447</v>
      </c>
      <c r="B392" s="257">
        <v>-5.39</v>
      </c>
      <c r="C392" s="346">
        <v>14342424.810000001</v>
      </c>
    </row>
    <row r="393" spans="1:3" x14ac:dyDescent="0.2">
      <c r="A393" s="345">
        <v>39478</v>
      </c>
      <c r="B393" s="257">
        <v>-0.43</v>
      </c>
      <c r="C393" s="346">
        <v>14281457.869999999</v>
      </c>
    </row>
    <row r="394" spans="1:3" x14ac:dyDescent="0.2">
      <c r="A394" s="345">
        <v>39507</v>
      </c>
      <c r="B394" s="257">
        <v>-3.81</v>
      </c>
      <c r="C394" s="346">
        <v>13737133.74</v>
      </c>
    </row>
    <row r="395" spans="1:3" x14ac:dyDescent="0.2">
      <c r="A395" s="345">
        <v>39538</v>
      </c>
      <c r="B395" s="257">
        <v>6.55</v>
      </c>
      <c r="C395" s="346">
        <v>14642364.43</v>
      </c>
    </row>
    <row r="396" spans="1:3" x14ac:dyDescent="0.2">
      <c r="A396" s="345">
        <v>39568</v>
      </c>
      <c r="B396" s="257">
        <v>6.15</v>
      </c>
      <c r="C396" s="346">
        <v>15542787.4</v>
      </c>
    </row>
    <row r="397" spans="1:3" x14ac:dyDescent="0.2">
      <c r="A397" s="345">
        <v>39599</v>
      </c>
      <c r="B397" s="257">
        <v>0.24</v>
      </c>
      <c r="C397" s="346">
        <v>15580055.880000001</v>
      </c>
    </row>
    <row r="398" spans="1:3" x14ac:dyDescent="0.2">
      <c r="A398" s="345">
        <v>39629</v>
      </c>
      <c r="B398" s="257">
        <v>-11.08</v>
      </c>
      <c r="C398" s="346">
        <v>13858439.050000001</v>
      </c>
    </row>
    <row r="399" spans="1:3" x14ac:dyDescent="0.2">
      <c r="A399" s="345">
        <v>39660</v>
      </c>
      <c r="B399" s="257">
        <v>2.92</v>
      </c>
      <c r="C399" s="1383">
        <v>14391324.439999999</v>
      </c>
    </row>
    <row r="400" spans="1:3" x14ac:dyDescent="0.2">
      <c r="A400" s="345">
        <v>39691</v>
      </c>
      <c r="B400" s="257">
        <v>2.39</v>
      </c>
      <c r="C400" s="1383">
        <v>14735380.65</v>
      </c>
    </row>
    <row r="401" spans="1:4" x14ac:dyDescent="0.2">
      <c r="A401" s="345">
        <v>39721</v>
      </c>
      <c r="B401" s="257">
        <v>-0.91</v>
      </c>
      <c r="C401" s="1383">
        <v>14607456</v>
      </c>
    </row>
    <row r="402" spans="1:4" x14ac:dyDescent="0.2">
      <c r="A402" s="345">
        <v>39752</v>
      </c>
      <c r="B402" s="257">
        <v>-32.61</v>
      </c>
      <c r="C402" s="346">
        <v>9844551</v>
      </c>
    </row>
    <row r="403" spans="1:4" x14ac:dyDescent="0.2">
      <c r="A403" s="345">
        <v>39782</v>
      </c>
      <c r="B403" s="257">
        <v>-24.55</v>
      </c>
      <c r="C403" s="346">
        <v>7427760</v>
      </c>
    </row>
    <row r="404" spans="1:4" x14ac:dyDescent="0.2">
      <c r="A404" s="345">
        <v>39813</v>
      </c>
      <c r="B404" s="257">
        <v>17.46</v>
      </c>
      <c r="C404" s="346">
        <v>9914311</v>
      </c>
    </row>
    <row r="405" spans="1:4" x14ac:dyDescent="0.2">
      <c r="A405" s="345">
        <v>39844</v>
      </c>
      <c r="B405" s="257">
        <v>-18.03</v>
      </c>
      <c r="C405" s="346">
        <v>8454270.0899999999</v>
      </c>
      <c r="D405" s="258">
        <v>-18.03</v>
      </c>
    </row>
    <row r="406" spans="1:4" x14ac:dyDescent="0.2">
      <c r="A406" s="345">
        <v>39872</v>
      </c>
      <c r="B406" s="257">
        <v>-21.64</v>
      </c>
      <c r="C406" s="346">
        <v>6624645.7699999996</v>
      </c>
      <c r="D406" s="258">
        <v>-21.64</v>
      </c>
    </row>
    <row r="407" spans="1:4" x14ac:dyDescent="0.2">
      <c r="A407" s="345">
        <v>39903</v>
      </c>
      <c r="B407" s="257">
        <v>3.31</v>
      </c>
      <c r="C407" s="346">
        <v>7879035.3200000003</v>
      </c>
      <c r="D407" s="258">
        <v>3.35</v>
      </c>
    </row>
    <row r="408" spans="1:4" x14ac:dyDescent="0.2">
      <c r="A408" s="345">
        <v>39933</v>
      </c>
      <c r="B408" s="257">
        <v>32.840000000000003</v>
      </c>
      <c r="C408" s="346">
        <v>11461917.25</v>
      </c>
    </row>
    <row r="409" spans="1:4" x14ac:dyDescent="0.2">
      <c r="A409" s="345">
        <v>39964</v>
      </c>
      <c r="B409" s="257">
        <v>2.52</v>
      </c>
      <c r="C409" s="346">
        <v>11750131.869999999</v>
      </c>
    </row>
    <row r="410" spans="1:4" x14ac:dyDescent="0.2">
      <c r="A410" s="345">
        <v>39994</v>
      </c>
      <c r="B410" s="257">
        <v>-3.47</v>
      </c>
      <c r="C410" s="346">
        <v>12071230.15</v>
      </c>
    </row>
    <row r="411" spans="1:4" x14ac:dyDescent="0.2">
      <c r="A411" s="345">
        <v>40025</v>
      </c>
      <c r="B411" s="257">
        <v>10.49</v>
      </c>
      <c r="C411" s="346">
        <v>12742702.16</v>
      </c>
      <c r="D411" s="258">
        <v>10.49</v>
      </c>
    </row>
    <row r="412" spans="1:4" x14ac:dyDescent="0.2">
      <c r="A412" s="345">
        <v>40056</v>
      </c>
      <c r="B412" s="257">
        <v>14.73</v>
      </c>
      <c r="C412" s="346">
        <v>12568823.470000001</v>
      </c>
      <c r="D412" s="258">
        <v>14.73</v>
      </c>
    </row>
    <row r="413" spans="1:4" x14ac:dyDescent="0.2">
      <c r="A413" s="345">
        <v>40086</v>
      </c>
      <c r="B413" s="257">
        <v>7.11</v>
      </c>
      <c r="C413" s="346">
        <v>13467035.380000001</v>
      </c>
      <c r="D413" s="258">
        <v>7.1463000000000001</v>
      </c>
    </row>
    <row r="414" spans="1:4" x14ac:dyDescent="0.2">
      <c r="A414" s="345">
        <v>40117</v>
      </c>
      <c r="B414" s="257">
        <v>-4.8352000000000004</v>
      </c>
      <c r="C414" s="346">
        <v>12815870</v>
      </c>
      <c r="D414" s="258">
        <v>-4.8352000000000004</v>
      </c>
    </row>
    <row r="415" spans="1:4" x14ac:dyDescent="0.2">
      <c r="A415" s="345">
        <v>40147</v>
      </c>
      <c r="B415" s="257">
        <v>7.0071000000000003</v>
      </c>
      <c r="C415" s="346">
        <v>13713868</v>
      </c>
      <c r="D415" s="258">
        <v>7.0071000000000003</v>
      </c>
    </row>
    <row r="416" spans="1:4" x14ac:dyDescent="0.2">
      <c r="A416" s="345">
        <v>40178</v>
      </c>
      <c r="B416" s="257">
        <v>7.0438000000000001</v>
      </c>
      <c r="C416" s="346">
        <v>14679897.5</v>
      </c>
      <c r="D416" s="258">
        <v>7.0438000000000001</v>
      </c>
    </row>
    <row r="417" spans="1:4" x14ac:dyDescent="0.2">
      <c r="A417" s="345">
        <v>40209</v>
      </c>
      <c r="B417" s="257">
        <v>-5.6299000000000001</v>
      </c>
      <c r="C417" s="346">
        <v>13853387.189999999</v>
      </c>
      <c r="D417" s="258">
        <v>-5.6299000000000001</v>
      </c>
    </row>
    <row r="418" spans="1:4" x14ac:dyDescent="0.2">
      <c r="A418" s="345">
        <v>40237</v>
      </c>
      <c r="B418" s="257">
        <v>5.8414999999999999</v>
      </c>
      <c r="C418" s="346">
        <v>14662640.08</v>
      </c>
      <c r="D418" s="258">
        <v>5.8414999999999999</v>
      </c>
    </row>
    <row r="419" spans="1:4" x14ac:dyDescent="0.2">
      <c r="A419" s="345">
        <v>40268</v>
      </c>
      <c r="B419" s="257">
        <v>10.2149</v>
      </c>
      <c r="C419" s="1334">
        <v>16160471.74</v>
      </c>
      <c r="D419" s="1311">
        <v>10.2149</v>
      </c>
    </row>
    <row r="420" spans="1:4" x14ac:dyDescent="0.2">
      <c r="A420" s="345">
        <v>40298</v>
      </c>
      <c r="B420" s="257">
        <v>7.0151000000000003</v>
      </c>
      <c r="C420" s="346">
        <v>17294150.890000001</v>
      </c>
      <c r="D420" s="258">
        <v>7.0151000000000003</v>
      </c>
    </row>
    <row r="421" spans="1:4" x14ac:dyDescent="0.2">
      <c r="A421" s="345">
        <v>40329</v>
      </c>
      <c r="B421" s="257">
        <v>-5.4817999999999998</v>
      </c>
      <c r="C421" s="346">
        <v>16583450.470000001</v>
      </c>
      <c r="D421" s="258">
        <v>-5.4817999999999998</v>
      </c>
    </row>
    <row r="422" spans="1:4" x14ac:dyDescent="0.2">
      <c r="A422" s="345">
        <v>40359</v>
      </c>
      <c r="B422" s="257">
        <v>-5.4314</v>
      </c>
      <c r="C422" s="346">
        <v>15463328.66</v>
      </c>
      <c r="D422" s="258">
        <v>-5.4314</v>
      </c>
    </row>
    <row r="423" spans="1:4" x14ac:dyDescent="0.2">
      <c r="A423" s="345">
        <v>40390</v>
      </c>
      <c r="B423" s="257">
        <v>9.8530999999999995</v>
      </c>
      <c r="C423" s="346">
        <v>16986950.800000001</v>
      </c>
      <c r="D423" s="258">
        <v>9.8530999999999995</v>
      </c>
    </row>
    <row r="424" spans="1:4" x14ac:dyDescent="0.2">
      <c r="A424" s="345">
        <v>40421</v>
      </c>
      <c r="B424" s="1369">
        <v>-1.4313</v>
      </c>
      <c r="C424" s="346">
        <v>16743810.15</v>
      </c>
      <c r="D424" s="258">
        <v>-1.4313</v>
      </c>
    </row>
    <row r="425" spans="1:4" x14ac:dyDescent="0.2">
      <c r="A425" s="345">
        <v>40451</v>
      </c>
      <c r="B425" s="258">
        <v>4.5349000000000004</v>
      </c>
      <c r="C425" s="346">
        <v>14498390.66</v>
      </c>
      <c r="D425" s="258">
        <v>4.5349000000000004</v>
      </c>
    </row>
    <row r="426" spans="1:4" x14ac:dyDescent="0.2">
      <c r="A426" s="345">
        <v>40482</v>
      </c>
      <c r="B426" s="1311">
        <v>4.7336999999999998</v>
      </c>
      <c r="C426" s="346">
        <v>13147603.210000001</v>
      </c>
      <c r="D426" s="1311">
        <v>4.7336999999999998</v>
      </c>
    </row>
    <row r="427" spans="1:4" x14ac:dyDescent="0.2">
      <c r="A427" s="345">
        <v>40512</v>
      </c>
      <c r="B427" s="257">
        <v>-1.9534</v>
      </c>
      <c r="C427" s="346">
        <v>11957193.640000001</v>
      </c>
      <c r="D427" s="258">
        <v>-1.9534</v>
      </c>
    </row>
    <row r="428" spans="1:4" x14ac:dyDescent="0.2">
      <c r="A428" s="345">
        <v>40543</v>
      </c>
      <c r="B428" s="257">
        <v>4.8129999999999997</v>
      </c>
      <c r="C428" s="346">
        <v>15799370.970000001</v>
      </c>
      <c r="D428" s="258">
        <v>4.8129999999999997</v>
      </c>
    </row>
    <row r="429" spans="1:4" x14ac:dyDescent="0.2">
      <c r="A429" s="345">
        <v>40574</v>
      </c>
      <c r="B429" s="257">
        <v>3.4902000000000002</v>
      </c>
      <c r="C429" s="346">
        <v>16350798.189999999</v>
      </c>
      <c r="D429" s="258">
        <v>3.4902000000000002</v>
      </c>
    </row>
    <row r="430" spans="1:4" x14ac:dyDescent="0.2">
      <c r="A430" s="345">
        <v>40602</v>
      </c>
      <c r="B430" s="257">
        <v>4.5849000000000002</v>
      </c>
      <c r="C430" s="346">
        <v>17100470.120000001</v>
      </c>
      <c r="D430" s="258">
        <v>4.5849000000000002</v>
      </c>
    </row>
    <row r="431" spans="1:4" x14ac:dyDescent="0.2">
      <c r="A431" s="345">
        <v>40633</v>
      </c>
      <c r="B431" s="257">
        <v>-1.4239999999999999</v>
      </c>
      <c r="C431" s="346">
        <v>16856954.82</v>
      </c>
      <c r="D431" s="258">
        <v>-1.4239999999999999</v>
      </c>
    </row>
    <row r="432" spans="1:4" x14ac:dyDescent="0.2">
      <c r="A432" s="345">
        <v>40663</v>
      </c>
      <c r="B432" s="257">
        <v>5.9367000000000001</v>
      </c>
      <c r="C432" s="346">
        <v>17863132.16</v>
      </c>
      <c r="D432" s="258">
        <v>5.9367000000000001</v>
      </c>
    </row>
    <row r="433" spans="1:4" x14ac:dyDescent="0.2">
      <c r="A433" s="345">
        <v>40694</v>
      </c>
      <c r="B433" s="257">
        <v>1.4806999999999999</v>
      </c>
      <c r="C433" s="346">
        <v>17355227.09</v>
      </c>
      <c r="D433" s="258">
        <v>1.4806999999999999</v>
      </c>
    </row>
    <row r="434" spans="1:4" x14ac:dyDescent="0.2">
      <c r="A434" s="345">
        <v>40724</v>
      </c>
      <c r="B434" s="257">
        <v>-3.3163</v>
      </c>
      <c r="C434" s="346">
        <v>16779668.390000001</v>
      </c>
      <c r="D434" s="258">
        <v>-3.3163</v>
      </c>
    </row>
    <row r="435" spans="1:4" x14ac:dyDescent="0.2">
      <c r="A435" s="345">
        <v>40755</v>
      </c>
      <c r="B435" s="257">
        <v>1.7082999999999999</v>
      </c>
      <c r="C435" s="346">
        <v>17066320.629999999</v>
      </c>
      <c r="D435" s="258">
        <v>1.7082999999999999</v>
      </c>
    </row>
    <row r="436" spans="1:4" x14ac:dyDescent="0.2">
      <c r="A436" s="345">
        <v>40786</v>
      </c>
      <c r="B436" s="257">
        <v>-5.7290999999999999</v>
      </c>
      <c r="C436" s="346">
        <v>15557171.67</v>
      </c>
      <c r="D436" s="258">
        <v>-5.7290999999999999</v>
      </c>
    </row>
    <row r="437" spans="1:4" x14ac:dyDescent="0.2">
      <c r="A437" s="345">
        <v>40816</v>
      </c>
      <c r="B437" s="257">
        <v>-11.323600000000001</v>
      </c>
      <c r="C437" s="346">
        <v>13572957.49</v>
      </c>
      <c r="D437" s="258">
        <v>-11.323600000000001</v>
      </c>
    </row>
    <row r="438" spans="1:4" x14ac:dyDescent="0.2">
      <c r="A438" s="345">
        <v>40847</v>
      </c>
      <c r="B438" s="257">
        <f>D438</f>
        <v>14.814019999999999</v>
      </c>
      <c r="C438" s="346">
        <v>15583658.27</v>
      </c>
      <c r="D438" s="258">
        <v>14.814019999999999</v>
      </c>
    </row>
    <row r="439" spans="1:4" x14ac:dyDescent="0.2">
      <c r="A439" s="345">
        <v>40877</v>
      </c>
      <c r="B439" s="257">
        <f>D439</f>
        <v>-4.0337699999999996</v>
      </c>
      <c r="C439" s="346">
        <v>12922758.800000001</v>
      </c>
      <c r="D439" s="258">
        <v>-4.0337699999999996</v>
      </c>
    </row>
    <row r="440" spans="1:4" x14ac:dyDescent="0.2">
      <c r="A440" s="345">
        <v>40908</v>
      </c>
      <c r="B440" s="257">
        <f>D440</f>
        <v>4.6619200000000003</v>
      </c>
      <c r="C440" s="346">
        <v>13525207.99</v>
      </c>
      <c r="D440" s="258">
        <v>4.6619200000000003</v>
      </c>
    </row>
    <row r="441" spans="1:4" x14ac:dyDescent="0.2">
      <c r="A441" s="345">
        <v>40939</v>
      </c>
      <c r="B441" s="257">
        <f t="shared" ref="B441:B488" si="0">D441</f>
        <v>6.4599900000000003</v>
      </c>
      <c r="C441" s="346">
        <v>14405011.01</v>
      </c>
      <c r="D441" s="258">
        <v>6.4599900000000003</v>
      </c>
    </row>
    <row r="442" spans="1:4" x14ac:dyDescent="0.2">
      <c r="A442" s="345">
        <v>40968</v>
      </c>
      <c r="B442" s="257">
        <f t="shared" si="0"/>
        <v>-1.0351699999999999</v>
      </c>
      <c r="C442" s="346">
        <v>14261092.24</v>
      </c>
      <c r="D442" s="258">
        <v>-1.0351699999999999</v>
      </c>
    </row>
    <row r="443" spans="1:4" x14ac:dyDescent="0.2">
      <c r="A443" s="345">
        <v>40999</v>
      </c>
      <c r="B443" s="257">
        <f t="shared" si="0"/>
        <v>5.1694000000000004</v>
      </c>
      <c r="C443" s="346">
        <v>14998305.449999999</v>
      </c>
      <c r="D443" s="258">
        <v>5.1694000000000004</v>
      </c>
    </row>
    <row r="444" spans="1:4" x14ac:dyDescent="0.2">
      <c r="A444" s="345">
        <v>41029</v>
      </c>
      <c r="B444" s="257">
        <f t="shared" si="0"/>
        <v>3.0116100000000001</v>
      </c>
      <c r="C444" s="346">
        <v>15449996.039999999</v>
      </c>
      <c r="D444" s="258">
        <v>3.0116100000000001</v>
      </c>
    </row>
    <row r="445" spans="1:4" x14ac:dyDescent="0.2">
      <c r="A445" s="345">
        <v>41060</v>
      </c>
      <c r="B445" s="257">
        <f t="shared" si="0"/>
        <v>-4.6496500000000003</v>
      </c>
      <c r="C445" s="346">
        <v>14731624.710000001</v>
      </c>
      <c r="D445" s="258">
        <v>-4.6496500000000003</v>
      </c>
    </row>
    <row r="446" spans="1:4" x14ac:dyDescent="0.2">
      <c r="A446" s="345">
        <v>41090</v>
      </c>
      <c r="B446" s="257">
        <f t="shared" si="0"/>
        <v>5.4948399999999999</v>
      </c>
      <c r="C446" s="346">
        <v>15546861.720000001</v>
      </c>
      <c r="D446" s="258">
        <v>5.4948399999999999</v>
      </c>
    </row>
    <row r="447" spans="1:4" x14ac:dyDescent="0.2">
      <c r="A447" s="345">
        <v>41121</v>
      </c>
      <c r="B447" s="257">
        <f t="shared" si="0"/>
        <v>1.8406400000000001</v>
      </c>
      <c r="C447" s="346">
        <v>15833024.029999999</v>
      </c>
      <c r="D447" s="258">
        <v>1.8406400000000001</v>
      </c>
    </row>
    <row r="448" spans="1:4" x14ac:dyDescent="0.2">
      <c r="A448" s="345">
        <v>41152</v>
      </c>
      <c r="B448" s="257">
        <f t="shared" si="0"/>
        <v>-0.27667000000000003</v>
      </c>
      <c r="C448" s="346">
        <v>15794960.68</v>
      </c>
      <c r="D448" s="258">
        <v>-0.27667000000000003</v>
      </c>
    </row>
    <row r="449" spans="1:4" x14ac:dyDescent="0.2">
      <c r="A449" s="345">
        <v>41182</v>
      </c>
      <c r="B449" s="257">
        <f t="shared" si="0"/>
        <v>-1.9614799999999999</v>
      </c>
      <c r="C449" s="346">
        <v>15485145.439999999</v>
      </c>
      <c r="D449" s="258">
        <v>-1.9614799999999999</v>
      </c>
    </row>
    <row r="450" spans="1:4" x14ac:dyDescent="0.2">
      <c r="A450" s="345">
        <v>41213</v>
      </c>
      <c r="B450" s="257">
        <f t="shared" si="0"/>
        <v>-0.89383999999999997</v>
      </c>
      <c r="C450" s="346">
        <v>19072372.559999999</v>
      </c>
      <c r="D450" s="258">
        <v>-0.89383999999999997</v>
      </c>
    </row>
    <row r="451" spans="1:4" x14ac:dyDescent="0.2">
      <c r="A451" s="345">
        <v>41243</v>
      </c>
      <c r="B451" s="257">
        <f t="shared" si="0"/>
        <v>-0.52529999999999999</v>
      </c>
      <c r="C451" s="346">
        <v>18972185.329999998</v>
      </c>
      <c r="D451" s="258">
        <v>-0.52529999999999999</v>
      </c>
    </row>
    <row r="452" spans="1:4" x14ac:dyDescent="0.2">
      <c r="A452" s="345">
        <v>41274</v>
      </c>
      <c r="B452" s="257">
        <f t="shared" si="0"/>
        <v>3.7925300000000002</v>
      </c>
      <c r="C452" s="346">
        <v>19691710.690000001</v>
      </c>
      <c r="D452" s="258">
        <v>3.7925300000000002</v>
      </c>
    </row>
    <row r="453" spans="1:4" x14ac:dyDescent="0.2">
      <c r="A453" s="345">
        <v>41305</v>
      </c>
      <c r="B453" s="257">
        <f t="shared" si="0"/>
        <v>3.4089700000000001</v>
      </c>
      <c r="C453" s="346">
        <v>20362994.989999998</v>
      </c>
      <c r="D453" s="258">
        <v>3.4089700000000001</v>
      </c>
    </row>
    <row r="454" spans="1:4" x14ac:dyDescent="0.2">
      <c r="A454" s="345">
        <v>41333</v>
      </c>
      <c r="B454" s="257">
        <f t="shared" si="0"/>
        <v>0.83933000000000002</v>
      </c>
      <c r="C454" s="346">
        <v>20533906.940000001</v>
      </c>
      <c r="D454" s="258">
        <v>0.83933000000000002</v>
      </c>
    </row>
    <row r="455" spans="1:4" x14ac:dyDescent="0.2">
      <c r="A455" s="345">
        <v>41364</v>
      </c>
      <c r="B455" s="257">
        <f t="shared" si="0"/>
        <v>2.6326299999999998</v>
      </c>
      <c r="C455" s="346">
        <v>21087713.079999998</v>
      </c>
      <c r="D455" s="258">
        <v>2.6326299999999998</v>
      </c>
    </row>
    <row r="456" spans="1:4" x14ac:dyDescent="0.2">
      <c r="A456" s="345">
        <v>41394</v>
      </c>
      <c r="B456" s="257">
        <f t="shared" si="0"/>
        <v>6.8348899999999997</v>
      </c>
      <c r="C456" s="346">
        <v>22529034.219999999</v>
      </c>
      <c r="D456" s="258">
        <v>6.8348899999999997</v>
      </c>
    </row>
    <row r="457" spans="1:4" x14ac:dyDescent="0.2">
      <c r="A457" s="345">
        <v>41425</v>
      </c>
      <c r="B457" s="257">
        <f t="shared" si="0"/>
        <v>-6.00319</v>
      </c>
      <c r="C457" s="346">
        <v>19222611.329999998</v>
      </c>
      <c r="D457" s="258">
        <v>-6.00319</v>
      </c>
    </row>
    <row r="458" spans="1:4" x14ac:dyDescent="0.2">
      <c r="A458" s="345">
        <v>41455</v>
      </c>
      <c r="B458" s="257">
        <f t="shared" si="0"/>
        <v>-1.7522</v>
      </c>
      <c r="C458" s="346">
        <v>19183089</v>
      </c>
      <c r="D458" s="258">
        <v>-1.7522</v>
      </c>
    </row>
    <row r="459" spans="1:4" x14ac:dyDescent="0.2">
      <c r="A459" s="345">
        <v>41486</v>
      </c>
      <c r="B459" s="257">
        <f t="shared" si="0"/>
        <v>0.71526000000000001</v>
      </c>
      <c r="C459" s="346">
        <v>19903596.350000001</v>
      </c>
      <c r="D459" s="258">
        <v>0.71526000000000001</v>
      </c>
    </row>
    <row r="460" spans="1:4" x14ac:dyDescent="0.2">
      <c r="A460" s="345">
        <v>41517</v>
      </c>
      <c r="B460" s="257">
        <f t="shared" si="0"/>
        <v>-6.8041499999999999</v>
      </c>
      <c r="C460" s="346">
        <v>18549325.640000001</v>
      </c>
      <c r="D460" s="258">
        <v>-6.8041499999999999</v>
      </c>
    </row>
    <row r="461" spans="1:4" x14ac:dyDescent="0.2">
      <c r="A461" s="345">
        <v>41547</v>
      </c>
      <c r="B461" s="257">
        <f t="shared" si="0"/>
        <v>3.2061099999999998</v>
      </c>
      <c r="C461" s="346">
        <v>19144038.149999999</v>
      </c>
      <c r="D461" s="258">
        <v>3.2061099999999998</v>
      </c>
    </row>
    <row r="462" spans="1:4" x14ac:dyDescent="0.2">
      <c r="A462" s="345">
        <v>41578</v>
      </c>
      <c r="B462" s="257">
        <f t="shared" si="0"/>
        <v>4.0819000000000001</v>
      </c>
      <c r="C462" s="346">
        <v>19925477.899999999</v>
      </c>
      <c r="D462" s="258">
        <v>4.0819000000000001</v>
      </c>
    </row>
    <row r="463" spans="1:4" x14ac:dyDescent="0.2">
      <c r="A463" s="345">
        <v>41608</v>
      </c>
      <c r="B463" s="257">
        <f t="shared" si="0"/>
        <v>-5.5338099999999999</v>
      </c>
      <c r="C463" s="346">
        <v>18836837.260000002</v>
      </c>
      <c r="D463" s="258">
        <v>-5.5338099999999999</v>
      </c>
    </row>
    <row r="464" spans="1:4" x14ac:dyDescent="0.2">
      <c r="A464" s="345">
        <v>41639</v>
      </c>
      <c r="B464" s="257">
        <f t="shared" si="0"/>
        <v>0.54381999999999997</v>
      </c>
      <c r="C464" s="346">
        <v>18939274.960000001</v>
      </c>
      <c r="D464" s="258">
        <v>0.54381999999999997</v>
      </c>
    </row>
    <row r="465" spans="1:4" x14ac:dyDescent="0.2">
      <c r="A465" s="345">
        <v>41670</v>
      </c>
      <c r="B465" s="257">
        <f t="shared" si="0"/>
        <v>3.9573800000000001</v>
      </c>
      <c r="C465" s="346">
        <v>19695994.52</v>
      </c>
      <c r="D465" s="258">
        <v>3.9573800000000001</v>
      </c>
    </row>
    <row r="466" spans="1:4" x14ac:dyDescent="0.2">
      <c r="A466" s="345">
        <v>41698</v>
      </c>
      <c r="B466" s="257">
        <f t="shared" si="0"/>
        <v>5.1284900000000002</v>
      </c>
      <c r="C466" s="346">
        <v>20706102.489999998</v>
      </c>
      <c r="D466" s="258">
        <v>5.1284900000000002</v>
      </c>
    </row>
    <row r="467" spans="1:4" x14ac:dyDescent="0.2">
      <c r="A467" s="345">
        <v>41729</v>
      </c>
      <c r="B467" s="257">
        <f t="shared" si="0"/>
        <v>0.84852000000000005</v>
      </c>
      <c r="C467" s="346">
        <v>20881798.34</v>
      </c>
      <c r="D467" s="258">
        <v>0.84852000000000005</v>
      </c>
    </row>
    <row r="468" spans="1:4" x14ac:dyDescent="0.2">
      <c r="A468" s="345">
        <v>41759</v>
      </c>
      <c r="B468" s="257">
        <f t="shared" si="0"/>
        <v>3.69591</v>
      </c>
      <c r="C468" s="346">
        <v>21653571.350000001</v>
      </c>
      <c r="D468" s="258">
        <v>3.69591</v>
      </c>
    </row>
    <row r="469" spans="1:4" x14ac:dyDescent="0.2">
      <c r="A469" s="345">
        <v>41790</v>
      </c>
      <c r="B469" s="257">
        <f t="shared" si="0"/>
        <v>2.41832</v>
      </c>
      <c r="C469" s="346">
        <v>22185034.809999999</v>
      </c>
      <c r="D469" s="258">
        <v>2.41832</v>
      </c>
    </row>
    <row r="470" spans="1:4" x14ac:dyDescent="0.2">
      <c r="A470" s="345">
        <v>41820</v>
      </c>
      <c r="B470" s="257">
        <f t="shared" si="0"/>
        <v>0.88556999999999997</v>
      </c>
      <c r="C470" s="346">
        <v>22381498.789999999</v>
      </c>
      <c r="D470" s="258">
        <v>0.88556999999999997</v>
      </c>
    </row>
    <row r="471" spans="1:4" x14ac:dyDescent="0.2">
      <c r="A471" s="345">
        <v>41851</v>
      </c>
      <c r="B471" s="257">
        <f t="shared" si="0"/>
        <v>0.1845</v>
      </c>
      <c r="C471" s="346">
        <v>22422793.41</v>
      </c>
      <c r="D471" s="258">
        <v>0.1845</v>
      </c>
    </row>
    <row r="472" spans="1:4" x14ac:dyDescent="0.2">
      <c r="A472" s="345">
        <v>41882</v>
      </c>
      <c r="B472" s="257">
        <f t="shared" si="0"/>
        <v>2.7777799999999999</v>
      </c>
      <c r="C472" s="346">
        <v>22745267.399999999</v>
      </c>
      <c r="D472" s="258">
        <v>2.7777799999999999</v>
      </c>
    </row>
    <row r="473" spans="1:4" x14ac:dyDescent="0.2">
      <c r="A473" s="345">
        <v>41912</v>
      </c>
      <c r="B473" s="257">
        <f t="shared" si="0"/>
        <v>0</v>
      </c>
    </row>
    <row r="474" spans="1:4" x14ac:dyDescent="0.2">
      <c r="A474" s="345">
        <v>41943</v>
      </c>
      <c r="B474" s="257">
        <f t="shared" si="0"/>
        <v>0</v>
      </c>
    </row>
    <row r="475" spans="1:4" x14ac:dyDescent="0.2">
      <c r="A475" s="345">
        <v>41973</v>
      </c>
      <c r="B475" s="257">
        <f t="shared" si="0"/>
        <v>0</v>
      </c>
    </row>
    <row r="476" spans="1:4" x14ac:dyDescent="0.2">
      <c r="A476" s="345">
        <v>42004</v>
      </c>
      <c r="B476" s="257">
        <f t="shared" si="0"/>
        <v>0</v>
      </c>
    </row>
    <row r="477" spans="1:4" x14ac:dyDescent="0.2">
      <c r="A477" s="345">
        <v>42035</v>
      </c>
      <c r="B477" s="257">
        <f t="shared" si="0"/>
        <v>0</v>
      </c>
    </row>
    <row r="478" spans="1:4" x14ac:dyDescent="0.2">
      <c r="A478" s="345">
        <v>42063</v>
      </c>
      <c r="B478" s="257">
        <f t="shared" si="0"/>
        <v>0</v>
      </c>
    </row>
    <row r="479" spans="1:4" x14ac:dyDescent="0.2">
      <c r="A479" s="345">
        <v>42094</v>
      </c>
      <c r="B479" s="257">
        <f t="shared" si="0"/>
        <v>0</v>
      </c>
    </row>
    <row r="480" spans="1:4" x14ac:dyDescent="0.2">
      <c r="A480" s="345">
        <v>42124</v>
      </c>
      <c r="B480" s="257">
        <f t="shared" si="0"/>
        <v>0</v>
      </c>
    </row>
    <row r="481" spans="1:2" x14ac:dyDescent="0.2">
      <c r="A481" s="345">
        <v>42155</v>
      </c>
      <c r="B481" s="257">
        <f t="shared" si="0"/>
        <v>0</v>
      </c>
    </row>
    <row r="482" spans="1:2" x14ac:dyDescent="0.2">
      <c r="A482" s="345">
        <v>42185</v>
      </c>
      <c r="B482" s="257">
        <f t="shared" si="0"/>
        <v>0</v>
      </c>
    </row>
    <row r="483" spans="1:2" x14ac:dyDescent="0.2">
      <c r="A483" s="345">
        <v>42216</v>
      </c>
      <c r="B483" s="257">
        <f t="shared" si="0"/>
        <v>0</v>
      </c>
    </row>
    <row r="484" spans="1:2" x14ac:dyDescent="0.2">
      <c r="A484" s="345">
        <v>42247</v>
      </c>
      <c r="B484" s="257">
        <f t="shared" si="0"/>
        <v>0</v>
      </c>
    </row>
    <row r="485" spans="1:2" x14ac:dyDescent="0.2">
      <c r="A485" s="345">
        <v>42277</v>
      </c>
      <c r="B485" s="257">
        <f t="shared" si="0"/>
        <v>0</v>
      </c>
    </row>
    <row r="486" spans="1:2" x14ac:dyDescent="0.2">
      <c r="A486" s="345">
        <v>42308</v>
      </c>
      <c r="B486" s="257">
        <f t="shared" si="0"/>
        <v>0</v>
      </c>
    </row>
    <row r="487" spans="1:2" x14ac:dyDescent="0.2">
      <c r="A487" s="345">
        <v>42338</v>
      </c>
      <c r="B487" s="257">
        <f t="shared" si="0"/>
        <v>0</v>
      </c>
    </row>
    <row r="488" spans="1:2" x14ac:dyDescent="0.2">
      <c r="A488" s="345">
        <v>42369</v>
      </c>
      <c r="B488" s="257">
        <f t="shared" si="0"/>
        <v>0</v>
      </c>
    </row>
  </sheetData>
  <phoneticPr fontId="3" type="noConversion"/>
  <pageMargins left="0.75" right="0.75" top="1" bottom="1" header="0.5" footer="0.5"/>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I488"/>
  <sheetViews>
    <sheetView workbookViewId="0">
      <pane xSplit="1" ySplit="2" topLeftCell="B452" activePane="bottomRight" state="frozen"/>
      <selection pane="topRight" activeCell="B1" sqref="B1"/>
      <selection pane="bottomLeft" activeCell="A3" sqref="A3"/>
      <selection pane="bottomRight" activeCell="C472" sqref="C472:D472"/>
    </sheetView>
  </sheetViews>
  <sheetFormatPr defaultRowHeight="12.75" x14ac:dyDescent="0.2"/>
  <cols>
    <col min="1" max="1" width="21.85546875" style="21" bestFit="1" customWidth="1"/>
    <col min="2" max="2" width="18.7109375" style="257" customWidth="1"/>
    <col min="3" max="3" width="18.7109375" style="346" customWidth="1"/>
    <col min="4" max="5" width="18.7109375" style="258" customWidth="1"/>
    <col min="7" max="7" width="9.140625" style="352"/>
    <col min="8" max="8" width="11.140625" style="352" customWidth="1"/>
  </cols>
  <sheetData>
    <row r="1" spans="1:6" x14ac:dyDescent="0.2">
      <c r="A1" s="265" t="s">
        <v>873</v>
      </c>
      <c r="B1" s="1371" t="s">
        <v>309</v>
      </c>
      <c r="C1" s="1382" t="s">
        <v>302</v>
      </c>
      <c r="D1" s="1370">
        <v>15</v>
      </c>
      <c r="E1" s="74" t="s">
        <v>81</v>
      </c>
      <c r="F1" s="1450" t="s">
        <v>744</v>
      </c>
    </row>
    <row r="2" spans="1:6" x14ac:dyDescent="0.2">
      <c r="A2" s="3" t="s">
        <v>27</v>
      </c>
      <c r="B2" s="71" t="s">
        <v>91</v>
      </c>
      <c r="C2" s="226" t="s">
        <v>92</v>
      </c>
      <c r="D2" s="71" t="s">
        <v>90</v>
      </c>
      <c r="E2" s="71" t="s">
        <v>80</v>
      </c>
    </row>
    <row r="3" spans="1:6" x14ac:dyDescent="0.2">
      <c r="A3" s="345">
        <v>27606</v>
      </c>
      <c r="B3" s="71"/>
      <c r="C3" s="226"/>
      <c r="D3" s="71"/>
      <c r="E3" s="71"/>
    </row>
    <row r="4" spans="1:6" x14ac:dyDescent="0.2">
      <c r="A4" s="345">
        <v>27637</v>
      </c>
      <c r="B4" s="71"/>
      <c r="C4" s="226"/>
      <c r="D4" s="71"/>
      <c r="E4" s="71"/>
    </row>
    <row r="5" spans="1:6" x14ac:dyDescent="0.2">
      <c r="A5" s="345">
        <v>27667</v>
      </c>
      <c r="B5" s="71"/>
      <c r="C5" s="226"/>
      <c r="D5" s="71"/>
      <c r="E5" s="71"/>
    </row>
    <row r="6" spans="1:6" x14ac:dyDescent="0.2">
      <c r="A6" s="345">
        <v>27698</v>
      </c>
      <c r="B6" s="71"/>
      <c r="C6" s="226"/>
      <c r="D6" s="71"/>
      <c r="E6" s="71"/>
    </row>
    <row r="7" spans="1:6" x14ac:dyDescent="0.2">
      <c r="A7" s="345">
        <v>27728</v>
      </c>
      <c r="B7" s="71"/>
      <c r="C7" s="226"/>
      <c r="D7" s="71"/>
      <c r="E7" s="71"/>
    </row>
    <row r="8" spans="1:6" x14ac:dyDescent="0.2">
      <c r="A8" s="345">
        <v>27759</v>
      </c>
      <c r="B8" s="71"/>
      <c r="C8" s="226"/>
      <c r="D8" s="71"/>
      <c r="E8" s="71"/>
    </row>
    <row r="9" spans="1:6" x14ac:dyDescent="0.2">
      <c r="A9" s="345">
        <v>27790</v>
      </c>
      <c r="B9" s="71"/>
      <c r="C9" s="226"/>
      <c r="D9" s="71"/>
      <c r="E9" s="71"/>
    </row>
    <row r="10" spans="1:6" x14ac:dyDescent="0.2">
      <c r="A10" s="345">
        <v>27819</v>
      </c>
      <c r="B10" s="71"/>
      <c r="C10" s="226"/>
      <c r="D10" s="71"/>
      <c r="E10" s="71"/>
    </row>
    <row r="11" spans="1:6" x14ac:dyDescent="0.2">
      <c r="A11" s="345">
        <v>27850</v>
      </c>
      <c r="B11" s="71"/>
      <c r="C11" s="226"/>
      <c r="D11" s="71"/>
      <c r="E11" s="71"/>
    </row>
    <row r="12" spans="1:6" x14ac:dyDescent="0.2">
      <c r="A12" s="345">
        <v>27880</v>
      </c>
      <c r="B12" s="71"/>
      <c r="C12" s="226"/>
      <c r="D12" s="71"/>
      <c r="E12" s="71"/>
    </row>
    <row r="13" spans="1:6" x14ac:dyDescent="0.2">
      <c r="A13" s="345">
        <v>27911</v>
      </c>
      <c r="B13" s="71"/>
      <c r="C13" s="226"/>
      <c r="D13" s="71"/>
      <c r="E13" s="71"/>
    </row>
    <row r="14" spans="1:6" x14ac:dyDescent="0.2">
      <c r="A14" s="345">
        <v>27941</v>
      </c>
      <c r="B14" s="71"/>
      <c r="C14" s="226"/>
      <c r="D14" s="71"/>
      <c r="E14" s="71"/>
    </row>
    <row r="15" spans="1:6" x14ac:dyDescent="0.2">
      <c r="A15" s="345">
        <v>27972</v>
      </c>
      <c r="B15" s="71"/>
      <c r="C15" s="226"/>
      <c r="D15" s="71"/>
      <c r="E15" s="71"/>
    </row>
    <row r="16" spans="1:6"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3"/>
      <c r="C147" s="25"/>
      <c r="D147" s="73"/>
      <c r="E147" s="73"/>
    </row>
    <row r="148" spans="1:5" x14ac:dyDescent="0.2">
      <c r="A148" s="345">
        <v>32020</v>
      </c>
      <c r="B148" s="73"/>
      <c r="C148" s="25"/>
      <c r="D148" s="73"/>
      <c r="E148" s="73"/>
    </row>
    <row r="149" spans="1:5" x14ac:dyDescent="0.2">
      <c r="A149" s="345">
        <v>32050</v>
      </c>
      <c r="B149" s="73"/>
      <c r="C149" s="25"/>
      <c r="D149" s="73"/>
      <c r="E149" s="73"/>
    </row>
    <row r="150" spans="1:5" x14ac:dyDescent="0.2">
      <c r="A150" s="345">
        <v>32081</v>
      </c>
      <c r="B150" s="73"/>
      <c r="C150" s="25"/>
      <c r="D150" s="73"/>
      <c r="E150" s="73"/>
    </row>
    <row r="151" spans="1:5" x14ac:dyDescent="0.2">
      <c r="A151" s="345">
        <v>32111</v>
      </c>
      <c r="B151" s="73"/>
      <c r="C151" s="25"/>
      <c r="D151" s="73"/>
      <c r="E151" s="73"/>
    </row>
    <row r="152" spans="1:5" x14ac:dyDescent="0.2">
      <c r="A152" s="345">
        <v>32142</v>
      </c>
      <c r="B152" s="73"/>
      <c r="C152" s="25"/>
      <c r="D152" s="73"/>
      <c r="E152" s="73"/>
    </row>
    <row r="153" spans="1:5" x14ac:dyDescent="0.2">
      <c r="A153" s="345">
        <v>32173</v>
      </c>
      <c r="B153" s="73"/>
      <c r="C153" s="25"/>
      <c r="D153" s="73"/>
      <c r="E153" s="73"/>
    </row>
    <row r="154" spans="1:5" x14ac:dyDescent="0.2">
      <c r="A154" s="345">
        <v>32202</v>
      </c>
      <c r="B154" s="73"/>
      <c r="C154" s="25"/>
      <c r="D154" s="73"/>
      <c r="E154" s="73"/>
    </row>
    <row r="155" spans="1:5" x14ac:dyDescent="0.2">
      <c r="A155" s="345">
        <v>32233</v>
      </c>
      <c r="B155" s="73"/>
      <c r="C155" s="25"/>
      <c r="D155" s="73"/>
      <c r="E155" s="73"/>
    </row>
    <row r="156" spans="1:5" x14ac:dyDescent="0.2">
      <c r="A156" s="345">
        <v>32263</v>
      </c>
      <c r="B156" s="73"/>
      <c r="C156" s="25"/>
      <c r="D156" s="73"/>
      <c r="E156" s="73"/>
    </row>
    <row r="157" spans="1:5" x14ac:dyDescent="0.2">
      <c r="A157" s="345">
        <v>32294</v>
      </c>
      <c r="B157" s="73"/>
      <c r="C157" s="25"/>
      <c r="D157" s="73"/>
      <c r="E157" s="73"/>
    </row>
    <row r="158" spans="1:5" x14ac:dyDescent="0.2">
      <c r="A158" s="345">
        <v>32324</v>
      </c>
      <c r="B158" s="73"/>
      <c r="C158" s="25"/>
      <c r="D158" s="73"/>
      <c r="E158" s="73"/>
    </row>
    <row r="159" spans="1:5" x14ac:dyDescent="0.2">
      <c r="A159" s="345">
        <v>32355</v>
      </c>
      <c r="B159" s="73"/>
      <c r="C159" s="25"/>
      <c r="D159" s="73"/>
      <c r="E159" s="73"/>
    </row>
    <row r="160" spans="1:5" x14ac:dyDescent="0.2">
      <c r="A160" s="345">
        <v>32386</v>
      </c>
      <c r="B160" s="73"/>
      <c r="C160" s="25"/>
      <c r="D160" s="73"/>
      <c r="E160" s="73"/>
    </row>
    <row r="161" spans="1:5" x14ac:dyDescent="0.2">
      <c r="A161" s="345">
        <v>32416</v>
      </c>
      <c r="B161" s="73"/>
      <c r="C161" s="25"/>
      <c r="D161" s="73"/>
      <c r="E161" s="73"/>
    </row>
    <row r="162" spans="1:5" x14ac:dyDescent="0.2">
      <c r="A162" s="345">
        <v>32447</v>
      </c>
      <c r="B162" s="73"/>
      <c r="C162" s="25"/>
      <c r="D162" s="73"/>
      <c r="E162" s="73"/>
    </row>
    <row r="163" spans="1:5" x14ac:dyDescent="0.2">
      <c r="A163" s="345">
        <v>32477</v>
      </c>
      <c r="B163" s="73"/>
      <c r="C163" s="25"/>
      <c r="D163" s="73"/>
      <c r="E163" s="73"/>
    </row>
    <row r="164" spans="1:5" x14ac:dyDescent="0.2">
      <c r="A164" s="345">
        <v>32508</v>
      </c>
      <c r="B164" s="73"/>
      <c r="C164" s="25"/>
      <c r="D164" s="73"/>
      <c r="E164" s="73"/>
    </row>
    <row r="165" spans="1:5" x14ac:dyDescent="0.2">
      <c r="A165" s="345">
        <v>32539</v>
      </c>
      <c r="B165" s="73"/>
      <c r="C165" s="25"/>
      <c r="D165" s="73"/>
      <c r="E165" s="73"/>
    </row>
    <row r="166" spans="1:5" x14ac:dyDescent="0.2">
      <c r="A166" s="345">
        <v>32567</v>
      </c>
      <c r="B166" s="73"/>
      <c r="C166" s="25"/>
      <c r="D166" s="73"/>
      <c r="E166" s="73"/>
    </row>
    <row r="167" spans="1:5" x14ac:dyDescent="0.2">
      <c r="A167" s="345">
        <v>32598</v>
      </c>
      <c r="B167" s="73"/>
      <c r="C167" s="25"/>
      <c r="D167" s="73"/>
      <c r="E167" s="73"/>
    </row>
    <row r="168" spans="1:5" x14ac:dyDescent="0.2">
      <c r="A168" s="345">
        <v>32628</v>
      </c>
      <c r="B168" s="73"/>
      <c r="C168" s="25"/>
      <c r="D168" s="73"/>
      <c r="E168" s="73"/>
    </row>
    <row r="169" spans="1:5" x14ac:dyDescent="0.2">
      <c r="A169" s="345">
        <v>32659</v>
      </c>
      <c r="B169" s="73"/>
      <c r="C169" s="25"/>
      <c r="D169" s="73"/>
      <c r="E169" s="73"/>
    </row>
    <row r="170" spans="1:5" x14ac:dyDescent="0.2">
      <c r="A170" s="345">
        <v>32689</v>
      </c>
      <c r="B170" s="73"/>
      <c r="C170" s="25"/>
      <c r="D170" s="73"/>
      <c r="E170" s="73"/>
    </row>
    <row r="171" spans="1:5" x14ac:dyDescent="0.2">
      <c r="A171" s="345">
        <v>32720</v>
      </c>
      <c r="B171" s="73"/>
      <c r="C171" s="25"/>
      <c r="D171" s="73"/>
      <c r="E171" s="73"/>
    </row>
    <row r="172" spans="1:5" x14ac:dyDescent="0.2">
      <c r="A172" s="345">
        <v>32751</v>
      </c>
      <c r="B172" s="73"/>
      <c r="C172" s="25"/>
      <c r="D172" s="73"/>
      <c r="E172" s="73"/>
    </row>
    <row r="173" spans="1:5" x14ac:dyDescent="0.2">
      <c r="A173" s="345">
        <v>32781</v>
      </c>
      <c r="B173" s="73"/>
      <c r="C173" s="25"/>
      <c r="D173" s="73"/>
      <c r="E173" s="73"/>
    </row>
    <row r="174" spans="1:5" x14ac:dyDescent="0.2">
      <c r="A174" s="345">
        <v>32812</v>
      </c>
      <c r="B174" s="73"/>
      <c r="C174" s="25"/>
      <c r="D174" s="73"/>
      <c r="E174" s="73"/>
    </row>
    <row r="175" spans="1:5" x14ac:dyDescent="0.2">
      <c r="A175" s="345">
        <v>32842</v>
      </c>
      <c r="B175" s="73"/>
      <c r="C175" s="25"/>
      <c r="D175" s="73"/>
      <c r="E175" s="73"/>
    </row>
    <row r="176" spans="1:5" x14ac:dyDescent="0.2">
      <c r="A176" s="345">
        <v>32873</v>
      </c>
      <c r="B176" s="73"/>
      <c r="C176" s="25"/>
      <c r="D176" s="73"/>
      <c r="E176" s="73"/>
    </row>
    <row r="177" spans="1:5" x14ac:dyDescent="0.2">
      <c r="A177" s="345">
        <v>32904</v>
      </c>
      <c r="B177" s="255"/>
      <c r="C177" s="259"/>
      <c r="D177" s="73"/>
      <c r="E177" s="73"/>
    </row>
    <row r="178" spans="1:5" x14ac:dyDescent="0.2">
      <c r="A178" s="345">
        <v>32932</v>
      </c>
      <c r="B178" s="255"/>
      <c r="C178" s="259"/>
      <c r="D178" s="73"/>
      <c r="E178" s="73"/>
    </row>
    <row r="179" spans="1:5" x14ac:dyDescent="0.2">
      <c r="A179" s="345">
        <v>32963</v>
      </c>
      <c r="B179" s="255"/>
      <c r="C179" s="259"/>
      <c r="D179" s="73"/>
      <c r="E179" s="73"/>
    </row>
    <row r="180" spans="1:5" x14ac:dyDescent="0.2">
      <c r="A180" s="345">
        <v>32993</v>
      </c>
      <c r="B180" s="255"/>
      <c r="C180" s="259"/>
      <c r="D180" s="73"/>
      <c r="E180" s="73"/>
    </row>
    <row r="181" spans="1:5" x14ac:dyDescent="0.2">
      <c r="A181" s="345">
        <v>33024</v>
      </c>
      <c r="B181" s="255"/>
      <c r="C181" s="259"/>
      <c r="D181" s="73"/>
      <c r="E181" s="73"/>
    </row>
    <row r="182" spans="1:5" x14ac:dyDescent="0.2">
      <c r="A182" s="345">
        <v>33054</v>
      </c>
      <c r="B182" s="255"/>
      <c r="C182" s="259"/>
      <c r="D182" s="73"/>
      <c r="E182" s="73"/>
    </row>
    <row r="183" spans="1:5" x14ac:dyDescent="0.2">
      <c r="A183" s="345">
        <v>33085</v>
      </c>
      <c r="B183" s="255"/>
      <c r="C183" s="259"/>
      <c r="D183" s="73"/>
      <c r="E183" s="73"/>
    </row>
    <row r="184" spans="1:5" x14ac:dyDescent="0.2">
      <c r="A184" s="345">
        <v>33116</v>
      </c>
      <c r="B184" s="255"/>
      <c r="C184" s="259"/>
      <c r="D184" s="73"/>
      <c r="E184" s="73"/>
    </row>
    <row r="185" spans="1:5" x14ac:dyDescent="0.2">
      <c r="A185" s="345">
        <v>33146</v>
      </c>
      <c r="B185" s="255"/>
      <c r="C185" s="259"/>
      <c r="D185" s="73"/>
      <c r="E185" s="73"/>
    </row>
    <row r="186" spans="1:5" x14ac:dyDescent="0.2">
      <c r="A186" s="345">
        <v>33177</v>
      </c>
      <c r="B186" s="255"/>
      <c r="C186" s="259"/>
      <c r="D186" s="73"/>
      <c r="E186" s="73"/>
    </row>
    <row r="187" spans="1:5" x14ac:dyDescent="0.2">
      <c r="A187" s="345">
        <v>33207</v>
      </c>
      <c r="B187" s="255"/>
      <c r="C187" s="259"/>
      <c r="D187" s="73"/>
      <c r="E187" s="73"/>
    </row>
    <row r="188" spans="1:5" x14ac:dyDescent="0.2">
      <c r="A188" s="345">
        <v>33238</v>
      </c>
      <c r="B188" s="255"/>
      <c r="C188" s="259"/>
      <c r="D188" s="73"/>
      <c r="E188" s="73"/>
    </row>
    <row r="189" spans="1:5" x14ac:dyDescent="0.2">
      <c r="A189" s="345">
        <v>33269</v>
      </c>
      <c r="B189" s="255"/>
      <c r="C189" s="259"/>
      <c r="D189" s="73"/>
      <c r="E189" s="73"/>
    </row>
    <row r="190" spans="1:5" x14ac:dyDescent="0.2">
      <c r="A190" s="345">
        <v>33297</v>
      </c>
      <c r="B190" s="255"/>
      <c r="C190" s="259"/>
      <c r="D190" s="73"/>
      <c r="E190" s="73"/>
    </row>
    <row r="191" spans="1:5" x14ac:dyDescent="0.2">
      <c r="A191" s="345">
        <v>33328</v>
      </c>
      <c r="B191" s="255"/>
      <c r="C191" s="259"/>
      <c r="D191" s="73"/>
      <c r="E191" s="73"/>
    </row>
    <row r="192" spans="1:5" x14ac:dyDescent="0.2">
      <c r="A192" s="345">
        <v>33358</v>
      </c>
      <c r="B192" s="255"/>
      <c r="C192" s="259"/>
      <c r="D192" s="73"/>
      <c r="E192" s="73"/>
    </row>
    <row r="193" spans="1:5" x14ac:dyDescent="0.2">
      <c r="A193" s="345">
        <v>33389</v>
      </c>
      <c r="B193" s="255"/>
      <c r="C193" s="259"/>
      <c r="D193" s="73"/>
      <c r="E193" s="73"/>
    </row>
    <row r="194" spans="1:5" x14ac:dyDescent="0.2">
      <c r="A194" s="345">
        <v>33419</v>
      </c>
      <c r="B194" s="255"/>
      <c r="C194" s="259"/>
      <c r="D194" s="73"/>
      <c r="E194" s="73"/>
    </row>
    <row r="195" spans="1:5" x14ac:dyDescent="0.2">
      <c r="A195" s="345">
        <v>33450</v>
      </c>
      <c r="B195" s="255"/>
      <c r="C195" s="259"/>
      <c r="D195" s="73"/>
      <c r="E195" s="73"/>
    </row>
    <row r="196" spans="1:5" x14ac:dyDescent="0.2">
      <c r="A196" s="345">
        <v>33481</v>
      </c>
      <c r="B196" s="255"/>
      <c r="C196" s="259"/>
      <c r="D196" s="73"/>
      <c r="E196" s="73"/>
    </row>
    <row r="197" spans="1:5" x14ac:dyDescent="0.2">
      <c r="A197" s="345">
        <v>33511</v>
      </c>
      <c r="B197" s="255"/>
      <c r="C197" s="259"/>
      <c r="D197" s="73"/>
      <c r="E197" s="73"/>
    </row>
    <row r="198" spans="1:5" x14ac:dyDescent="0.2">
      <c r="A198" s="345">
        <v>33542</v>
      </c>
      <c r="B198" s="255"/>
      <c r="C198" s="259"/>
      <c r="D198" s="73"/>
      <c r="E198" s="73"/>
    </row>
    <row r="199" spans="1:5" x14ac:dyDescent="0.2">
      <c r="A199" s="345">
        <v>33572</v>
      </c>
      <c r="B199" s="255"/>
      <c r="C199" s="259"/>
      <c r="D199" s="73"/>
      <c r="E199" s="73"/>
    </row>
    <row r="200" spans="1:5" x14ac:dyDescent="0.2">
      <c r="A200" s="345">
        <v>33603</v>
      </c>
      <c r="B200" s="255"/>
      <c r="C200" s="259"/>
      <c r="D200" s="73"/>
      <c r="E200" s="73"/>
    </row>
    <row r="201" spans="1:5" x14ac:dyDescent="0.2">
      <c r="A201" s="345">
        <v>33634</v>
      </c>
      <c r="B201" s="255"/>
      <c r="C201" s="259"/>
      <c r="D201" s="73"/>
      <c r="E201" s="73"/>
    </row>
    <row r="202" spans="1:5" x14ac:dyDescent="0.2">
      <c r="A202" s="345">
        <v>33663</v>
      </c>
      <c r="B202" s="255"/>
      <c r="C202" s="259"/>
      <c r="D202" s="73"/>
      <c r="E202" s="73"/>
    </row>
    <row r="203" spans="1:5" x14ac:dyDescent="0.2">
      <c r="A203" s="345">
        <v>33694</v>
      </c>
      <c r="B203" s="255"/>
      <c r="C203" s="259"/>
      <c r="D203" s="73"/>
      <c r="E203" s="73"/>
    </row>
    <row r="204" spans="1:5" x14ac:dyDescent="0.2">
      <c r="A204" s="345">
        <v>33724</v>
      </c>
      <c r="B204" s="255"/>
      <c r="C204" s="259"/>
      <c r="D204" s="73"/>
      <c r="E204" s="73"/>
    </row>
    <row r="205" spans="1:5" x14ac:dyDescent="0.2">
      <c r="A205" s="345">
        <v>33755</v>
      </c>
      <c r="B205" s="255"/>
      <c r="C205" s="259"/>
      <c r="D205" s="73"/>
      <c r="E205" s="73"/>
    </row>
    <row r="206" spans="1:5" x14ac:dyDescent="0.2">
      <c r="A206" s="345">
        <v>33785</v>
      </c>
      <c r="B206" s="255"/>
      <c r="C206" s="259"/>
      <c r="D206" s="73"/>
      <c r="E206" s="73"/>
    </row>
    <row r="207" spans="1:5" x14ac:dyDescent="0.2">
      <c r="A207" s="345">
        <v>33816</v>
      </c>
      <c r="B207" s="255"/>
      <c r="C207" s="259"/>
      <c r="D207" s="73"/>
      <c r="E207" s="73"/>
    </row>
    <row r="208" spans="1:5" x14ac:dyDescent="0.2">
      <c r="A208" s="345">
        <v>33847</v>
      </c>
      <c r="B208" s="255"/>
      <c r="C208" s="259"/>
      <c r="D208" s="73"/>
      <c r="E208" s="73"/>
    </row>
    <row r="209" spans="1:5" x14ac:dyDescent="0.2">
      <c r="A209" s="345">
        <v>33877</v>
      </c>
      <c r="B209" s="255"/>
      <c r="C209" s="259"/>
      <c r="D209" s="73"/>
      <c r="E209" s="73"/>
    </row>
    <row r="210" spans="1:5" x14ac:dyDescent="0.2">
      <c r="A210" s="345">
        <v>33908</v>
      </c>
      <c r="B210" s="255"/>
      <c r="C210" s="259"/>
      <c r="D210" s="73"/>
      <c r="E210" s="73"/>
    </row>
    <row r="211" spans="1:5" x14ac:dyDescent="0.2">
      <c r="A211" s="345">
        <v>33938</v>
      </c>
      <c r="B211" s="255"/>
      <c r="C211" s="259"/>
      <c r="D211" s="73"/>
      <c r="E211" s="73"/>
    </row>
    <row r="212" spans="1:5" x14ac:dyDescent="0.2">
      <c r="A212" s="345">
        <v>33969</v>
      </c>
      <c r="B212" s="255"/>
      <c r="C212" s="259"/>
      <c r="D212" s="73"/>
      <c r="E212" s="73"/>
    </row>
    <row r="213" spans="1:5" x14ac:dyDescent="0.2">
      <c r="A213" s="345">
        <v>34000</v>
      </c>
      <c r="B213" s="255"/>
      <c r="C213" s="259"/>
      <c r="D213" s="73"/>
      <c r="E213" s="73"/>
    </row>
    <row r="214" spans="1:5" x14ac:dyDescent="0.2">
      <c r="A214" s="345">
        <v>34028</v>
      </c>
      <c r="B214" s="255"/>
      <c r="C214" s="259"/>
      <c r="D214" s="73"/>
      <c r="E214" s="73"/>
    </row>
    <row r="215" spans="1:5" x14ac:dyDescent="0.2">
      <c r="A215" s="345">
        <v>34059</v>
      </c>
      <c r="B215" s="255"/>
      <c r="C215" s="259"/>
      <c r="D215" s="73"/>
      <c r="E215" s="73"/>
    </row>
    <row r="216" spans="1:5" x14ac:dyDescent="0.2">
      <c r="A216" s="345">
        <v>34089</v>
      </c>
      <c r="B216" s="255"/>
      <c r="C216" s="259"/>
      <c r="D216" s="73"/>
      <c r="E216" s="73"/>
    </row>
    <row r="217" spans="1:5" x14ac:dyDescent="0.2">
      <c r="A217" s="345">
        <v>34120</v>
      </c>
      <c r="B217" s="255"/>
      <c r="C217" s="259"/>
      <c r="D217" s="73"/>
      <c r="E217" s="73"/>
    </row>
    <row r="218" spans="1:5" x14ac:dyDescent="0.2">
      <c r="A218" s="345">
        <v>34150</v>
      </c>
      <c r="B218" s="255"/>
      <c r="C218" s="259"/>
      <c r="D218" s="73"/>
      <c r="E218" s="73"/>
    </row>
    <row r="219" spans="1:5" x14ac:dyDescent="0.2">
      <c r="A219" s="345">
        <v>34181</v>
      </c>
      <c r="B219" s="255"/>
      <c r="C219" s="259"/>
      <c r="D219" s="73"/>
      <c r="E219" s="73"/>
    </row>
    <row r="220" spans="1:5" x14ac:dyDescent="0.2">
      <c r="A220" s="345">
        <v>34212</v>
      </c>
      <c r="B220" s="255"/>
      <c r="C220" s="259"/>
      <c r="D220" s="73"/>
      <c r="E220" s="73"/>
    </row>
    <row r="221" spans="1:5" x14ac:dyDescent="0.2">
      <c r="A221" s="345">
        <v>34242</v>
      </c>
      <c r="B221" s="255"/>
      <c r="C221" s="259"/>
      <c r="D221" s="73"/>
      <c r="E221" s="73"/>
    </row>
    <row r="222" spans="1:5" x14ac:dyDescent="0.2">
      <c r="A222" s="345">
        <v>34273</v>
      </c>
      <c r="B222" s="255"/>
      <c r="C222" s="259"/>
      <c r="D222" s="73"/>
      <c r="E222" s="73"/>
    </row>
    <row r="223" spans="1:5" x14ac:dyDescent="0.2">
      <c r="A223" s="345">
        <v>34303</v>
      </c>
      <c r="B223" s="255"/>
      <c r="C223" s="259"/>
      <c r="D223" s="73"/>
      <c r="E223" s="73"/>
    </row>
    <row r="224" spans="1:5" x14ac:dyDescent="0.2">
      <c r="A224" s="345">
        <v>34334</v>
      </c>
      <c r="B224" s="255"/>
      <c r="C224" s="259"/>
      <c r="D224" s="73"/>
      <c r="E224" s="73"/>
    </row>
    <row r="225" spans="1:5" x14ac:dyDescent="0.2">
      <c r="A225" s="345">
        <v>34365</v>
      </c>
      <c r="B225" s="255"/>
      <c r="C225" s="259"/>
      <c r="D225" s="73"/>
      <c r="E225" s="73"/>
    </row>
    <row r="226" spans="1:5" x14ac:dyDescent="0.2">
      <c r="A226" s="345">
        <v>34393</v>
      </c>
      <c r="B226" s="255"/>
      <c r="C226" s="259"/>
      <c r="D226" s="73"/>
      <c r="E226" s="73"/>
    </row>
    <row r="227" spans="1:5" x14ac:dyDescent="0.2">
      <c r="A227" s="345">
        <v>34424</v>
      </c>
      <c r="B227" s="255"/>
      <c r="C227" s="259"/>
      <c r="D227" s="73"/>
      <c r="E227" s="73"/>
    </row>
    <row r="228" spans="1:5" x14ac:dyDescent="0.2">
      <c r="A228" s="345">
        <v>34454</v>
      </c>
      <c r="B228" s="255"/>
      <c r="C228" s="259"/>
      <c r="D228" s="73"/>
      <c r="E228" s="73"/>
    </row>
    <row r="229" spans="1:5" x14ac:dyDescent="0.2">
      <c r="A229" s="345">
        <v>34485</v>
      </c>
      <c r="B229" s="255"/>
      <c r="C229" s="259"/>
      <c r="D229" s="73"/>
      <c r="E229" s="73"/>
    </row>
    <row r="230" spans="1:5" x14ac:dyDescent="0.2">
      <c r="A230" s="345">
        <v>34515</v>
      </c>
      <c r="B230" s="255"/>
      <c r="C230" s="259"/>
      <c r="D230" s="73"/>
      <c r="E230" s="73"/>
    </row>
    <row r="231" spans="1:5" x14ac:dyDescent="0.2">
      <c r="A231" s="345">
        <v>34546</v>
      </c>
      <c r="B231" s="255"/>
      <c r="C231" s="259"/>
      <c r="D231" s="73"/>
      <c r="E231" s="73"/>
    </row>
    <row r="232" spans="1:5" x14ac:dyDescent="0.2">
      <c r="A232" s="345">
        <v>34577</v>
      </c>
      <c r="B232" s="255"/>
      <c r="C232" s="259"/>
      <c r="D232" s="73"/>
      <c r="E232" s="73"/>
    </row>
    <row r="233" spans="1:5" x14ac:dyDescent="0.2">
      <c r="A233" s="345">
        <v>34607</v>
      </c>
      <c r="B233" s="255"/>
      <c r="C233" s="259"/>
      <c r="D233" s="73"/>
      <c r="E233" s="73"/>
    </row>
    <row r="234" spans="1:5" x14ac:dyDescent="0.2">
      <c r="A234" s="345">
        <v>34638</v>
      </c>
      <c r="B234" s="255"/>
      <c r="C234" s="259"/>
      <c r="D234" s="73"/>
      <c r="E234" s="73"/>
    </row>
    <row r="235" spans="1:5" x14ac:dyDescent="0.2">
      <c r="A235" s="345">
        <v>34668</v>
      </c>
      <c r="B235" s="255"/>
      <c r="C235" s="259"/>
      <c r="D235" s="73"/>
      <c r="E235" s="73"/>
    </row>
    <row r="236" spans="1:5" x14ac:dyDescent="0.2">
      <c r="A236" s="345">
        <v>34699</v>
      </c>
      <c r="B236" s="255"/>
      <c r="C236" s="259"/>
      <c r="D236" s="73"/>
      <c r="E236" s="73"/>
    </row>
    <row r="237" spans="1:5" x14ac:dyDescent="0.2">
      <c r="A237" s="345">
        <v>34730</v>
      </c>
      <c r="B237" s="255"/>
      <c r="C237" s="259"/>
      <c r="D237" s="73"/>
      <c r="E237" s="73"/>
    </row>
    <row r="238" spans="1:5" x14ac:dyDescent="0.2">
      <c r="A238" s="345">
        <v>34758</v>
      </c>
      <c r="B238" s="255"/>
      <c r="C238" s="259"/>
      <c r="D238" s="73"/>
      <c r="E238" s="73"/>
    </row>
    <row r="239" spans="1:5" x14ac:dyDescent="0.2">
      <c r="A239" s="345">
        <v>34789</v>
      </c>
      <c r="B239" s="255"/>
      <c r="C239" s="259"/>
      <c r="D239" s="73"/>
      <c r="E239" s="73"/>
    </row>
    <row r="240" spans="1:5" x14ac:dyDescent="0.2">
      <c r="A240" s="345">
        <v>34819</v>
      </c>
      <c r="B240" s="255"/>
      <c r="C240" s="259"/>
      <c r="D240" s="73"/>
      <c r="E240" s="73"/>
    </row>
    <row r="241" spans="1:5" x14ac:dyDescent="0.2">
      <c r="A241" s="345">
        <v>34850</v>
      </c>
      <c r="B241" s="255"/>
      <c r="C241" s="259"/>
      <c r="D241" s="73"/>
      <c r="E241" s="73"/>
    </row>
    <row r="242" spans="1:5" x14ac:dyDescent="0.2">
      <c r="A242" s="345">
        <v>34880</v>
      </c>
      <c r="B242" s="255"/>
      <c r="C242" s="259"/>
      <c r="D242" s="77"/>
      <c r="E242" s="77"/>
    </row>
    <row r="243" spans="1:5" x14ac:dyDescent="0.2">
      <c r="A243" s="345">
        <v>34911</v>
      </c>
      <c r="B243" s="255"/>
      <c r="C243" s="259"/>
      <c r="D243" s="77"/>
      <c r="E243" s="77"/>
    </row>
    <row r="244" spans="1:5" x14ac:dyDescent="0.2">
      <c r="A244" s="345">
        <v>34942</v>
      </c>
      <c r="B244" s="255"/>
      <c r="C244" s="259"/>
      <c r="D244" s="77"/>
      <c r="E244" s="77"/>
    </row>
    <row r="245" spans="1:5" x14ac:dyDescent="0.2">
      <c r="A245" s="345">
        <v>34972</v>
      </c>
      <c r="B245" s="255"/>
      <c r="C245" s="259"/>
      <c r="D245" s="77"/>
      <c r="E245" s="77"/>
    </row>
    <row r="246" spans="1:5" x14ac:dyDescent="0.2">
      <c r="A246" s="345">
        <v>35003</v>
      </c>
      <c r="B246" s="255"/>
      <c r="C246" s="259"/>
      <c r="D246" s="77"/>
      <c r="E246" s="77"/>
    </row>
    <row r="247" spans="1:5" x14ac:dyDescent="0.2">
      <c r="A247" s="345">
        <v>35033</v>
      </c>
      <c r="B247" s="255"/>
      <c r="C247" s="259"/>
      <c r="D247" s="77"/>
      <c r="E247" s="77"/>
    </row>
    <row r="248" spans="1:5" x14ac:dyDescent="0.2">
      <c r="A248" s="345">
        <v>35064</v>
      </c>
      <c r="B248" s="255"/>
      <c r="C248" s="259"/>
      <c r="D248" s="77"/>
      <c r="E248" s="77"/>
    </row>
    <row r="249" spans="1:5" x14ac:dyDescent="0.2">
      <c r="A249" s="345">
        <v>35095</v>
      </c>
      <c r="B249" s="255"/>
      <c r="C249" s="259"/>
      <c r="D249" s="77"/>
      <c r="E249" s="77"/>
    </row>
    <row r="250" spans="1:5" x14ac:dyDescent="0.2">
      <c r="A250" s="345">
        <v>35124</v>
      </c>
      <c r="B250" s="255"/>
      <c r="C250" s="259"/>
      <c r="D250" s="77"/>
      <c r="E250" s="77"/>
    </row>
    <row r="251" spans="1:5" x14ac:dyDescent="0.2">
      <c r="A251" s="345">
        <v>35155</v>
      </c>
      <c r="B251" s="255"/>
      <c r="C251" s="259"/>
      <c r="D251" s="77"/>
      <c r="E251" s="77"/>
    </row>
    <row r="252" spans="1:5" x14ac:dyDescent="0.2">
      <c r="A252" s="345">
        <v>35185</v>
      </c>
      <c r="B252" s="253"/>
      <c r="C252" s="259"/>
      <c r="D252" s="77"/>
      <c r="E252" s="77"/>
    </row>
    <row r="253" spans="1:5" x14ac:dyDescent="0.2">
      <c r="A253" s="345">
        <v>35216</v>
      </c>
      <c r="B253" s="253"/>
      <c r="C253" s="259"/>
      <c r="D253" s="77"/>
      <c r="E253" s="77"/>
    </row>
    <row r="254" spans="1:5" x14ac:dyDescent="0.2">
      <c r="A254" s="345">
        <v>35246</v>
      </c>
      <c r="B254" s="253"/>
      <c r="C254" s="259"/>
      <c r="D254" s="77"/>
      <c r="E254" s="77"/>
    </row>
    <row r="255" spans="1:5" x14ac:dyDescent="0.2">
      <c r="A255" s="345">
        <v>35277</v>
      </c>
      <c r="B255" s="253"/>
      <c r="C255" s="259"/>
      <c r="D255" s="77"/>
      <c r="E255" s="77"/>
    </row>
    <row r="256" spans="1:5" x14ac:dyDescent="0.2">
      <c r="A256" s="345">
        <v>35308</v>
      </c>
      <c r="B256" s="253"/>
      <c r="C256" s="259"/>
      <c r="D256" s="77"/>
      <c r="E256" s="77"/>
    </row>
    <row r="257" spans="1:5" x14ac:dyDescent="0.2">
      <c r="A257" s="345">
        <v>35338</v>
      </c>
      <c r="B257" s="253"/>
      <c r="C257" s="259"/>
      <c r="D257" s="77"/>
      <c r="E257" s="77"/>
    </row>
    <row r="258" spans="1:5" x14ac:dyDescent="0.2">
      <c r="A258" s="345">
        <v>35369</v>
      </c>
      <c r="B258" s="253"/>
      <c r="C258" s="259"/>
      <c r="D258" s="77"/>
      <c r="E258" s="77"/>
    </row>
    <row r="259" spans="1:5" x14ac:dyDescent="0.2">
      <c r="A259" s="345">
        <v>35399</v>
      </c>
      <c r="B259" s="253"/>
      <c r="C259" s="259"/>
      <c r="D259" s="77"/>
      <c r="E259" s="77"/>
    </row>
    <row r="260" spans="1:5" x14ac:dyDescent="0.2">
      <c r="A260" s="345">
        <v>35430</v>
      </c>
      <c r="B260" s="253"/>
      <c r="C260" s="259"/>
      <c r="D260" s="77"/>
      <c r="E260" s="77"/>
    </row>
    <row r="261" spans="1:5" x14ac:dyDescent="0.2">
      <c r="A261" s="345">
        <v>35461</v>
      </c>
      <c r="B261" s="253"/>
      <c r="C261" s="259"/>
      <c r="D261" s="77"/>
      <c r="E261" s="77"/>
    </row>
    <row r="262" spans="1:5" x14ac:dyDescent="0.2">
      <c r="A262" s="345">
        <v>35489</v>
      </c>
      <c r="B262" s="253"/>
      <c r="C262" s="259"/>
      <c r="D262" s="77"/>
      <c r="E262" s="77"/>
    </row>
    <row r="263" spans="1:5" x14ac:dyDescent="0.2">
      <c r="A263" s="345">
        <v>35520</v>
      </c>
      <c r="B263" s="253"/>
      <c r="C263" s="259"/>
      <c r="D263" s="77"/>
      <c r="E263" s="77"/>
    </row>
    <row r="264" spans="1:5" x14ac:dyDescent="0.2">
      <c r="A264" s="345">
        <v>35550</v>
      </c>
      <c r="B264" s="253"/>
      <c r="C264" s="259"/>
      <c r="D264" s="77"/>
      <c r="E264" s="77"/>
    </row>
    <row r="265" spans="1:5" x14ac:dyDescent="0.2">
      <c r="A265" s="345">
        <v>35581</v>
      </c>
      <c r="B265" s="253"/>
      <c r="C265" s="259"/>
      <c r="D265" s="77"/>
      <c r="E265" s="77"/>
    </row>
    <row r="266" spans="1:5" x14ac:dyDescent="0.2">
      <c r="A266" s="345">
        <v>35611</v>
      </c>
      <c r="B266" s="253"/>
      <c r="C266" s="259"/>
      <c r="D266" s="77"/>
      <c r="E266" s="77"/>
    </row>
    <row r="267" spans="1:5" x14ac:dyDescent="0.2">
      <c r="A267" s="345">
        <v>35642</v>
      </c>
      <c r="B267" s="253"/>
      <c r="C267" s="259"/>
      <c r="D267" s="77"/>
      <c r="E267" s="77"/>
    </row>
    <row r="268" spans="1:5" x14ac:dyDescent="0.2">
      <c r="A268" s="345">
        <v>35673</v>
      </c>
      <c r="B268" s="253"/>
      <c r="C268" s="259"/>
      <c r="D268" s="77"/>
      <c r="E268" s="77"/>
    </row>
    <row r="269" spans="1:5" x14ac:dyDescent="0.2">
      <c r="A269" s="345">
        <v>35703</v>
      </c>
      <c r="B269" s="253"/>
      <c r="C269" s="259"/>
      <c r="D269" s="77"/>
      <c r="E269" s="77"/>
    </row>
    <row r="270" spans="1:5" x14ac:dyDescent="0.2">
      <c r="A270" s="345">
        <v>35734</v>
      </c>
      <c r="B270" s="253"/>
      <c r="C270" s="259"/>
      <c r="D270" s="77"/>
      <c r="E270" s="77"/>
    </row>
    <row r="271" spans="1:5" x14ac:dyDescent="0.2">
      <c r="A271" s="345">
        <v>35764</v>
      </c>
      <c r="B271" s="253"/>
      <c r="C271" s="259"/>
      <c r="D271" s="77"/>
      <c r="E271" s="77"/>
    </row>
    <row r="272" spans="1:5" x14ac:dyDescent="0.2">
      <c r="A272" s="345">
        <v>35795</v>
      </c>
      <c r="B272" s="253"/>
      <c r="C272" s="259"/>
      <c r="D272" s="77"/>
      <c r="E272" s="77"/>
    </row>
    <row r="273" spans="1:5" x14ac:dyDescent="0.2">
      <c r="A273" s="345">
        <v>35826</v>
      </c>
      <c r="B273" s="253"/>
      <c r="C273" s="259"/>
      <c r="D273" s="77"/>
      <c r="E273" s="77"/>
    </row>
    <row r="274" spans="1:5" x14ac:dyDescent="0.2">
      <c r="A274" s="345">
        <v>35854</v>
      </c>
      <c r="B274" s="253"/>
      <c r="C274" s="259"/>
      <c r="D274" s="77"/>
      <c r="E274" s="77"/>
    </row>
    <row r="275" spans="1:5" x14ac:dyDescent="0.2">
      <c r="A275" s="345">
        <v>35885</v>
      </c>
      <c r="B275" s="253"/>
      <c r="C275" s="259"/>
      <c r="D275" s="77"/>
      <c r="E275" s="77"/>
    </row>
    <row r="276" spans="1:5" x14ac:dyDescent="0.2">
      <c r="A276" s="345">
        <v>35915</v>
      </c>
      <c r="B276" s="253"/>
      <c r="C276" s="259"/>
      <c r="D276" s="77"/>
      <c r="E276" s="77"/>
    </row>
    <row r="277" spans="1:5" x14ac:dyDescent="0.2">
      <c r="A277" s="345">
        <v>35946</v>
      </c>
      <c r="B277" s="253"/>
      <c r="C277" s="259"/>
      <c r="D277" s="77"/>
      <c r="E277" s="77"/>
    </row>
    <row r="278" spans="1:5" x14ac:dyDescent="0.2">
      <c r="A278" s="345">
        <v>35976</v>
      </c>
      <c r="B278" s="253"/>
      <c r="C278" s="259"/>
      <c r="D278" s="77"/>
      <c r="E278" s="77"/>
    </row>
    <row r="279" spans="1:5" x14ac:dyDescent="0.2">
      <c r="A279" s="345">
        <v>36007</v>
      </c>
      <c r="B279" s="253"/>
      <c r="C279" s="259"/>
      <c r="D279" s="77"/>
      <c r="E279" s="77"/>
    </row>
    <row r="280" spans="1:5" x14ac:dyDescent="0.2">
      <c r="A280" s="345">
        <v>36038</v>
      </c>
      <c r="B280" s="253"/>
      <c r="C280" s="259"/>
      <c r="D280" s="77"/>
      <c r="E280" s="77"/>
    </row>
    <row r="281" spans="1:5" x14ac:dyDescent="0.2">
      <c r="A281" s="345">
        <v>36068</v>
      </c>
      <c r="B281" s="253"/>
      <c r="C281" s="259"/>
      <c r="D281" s="77"/>
      <c r="E281" s="77"/>
    </row>
    <row r="282" spans="1:5" x14ac:dyDescent="0.2">
      <c r="A282" s="345">
        <v>36099</v>
      </c>
      <c r="B282" s="253"/>
      <c r="C282" s="259"/>
      <c r="D282" s="77"/>
      <c r="E282" s="77"/>
    </row>
    <row r="283" spans="1:5" x14ac:dyDescent="0.2">
      <c r="A283" s="345">
        <v>36129</v>
      </c>
      <c r="B283" s="253"/>
      <c r="C283" s="259"/>
      <c r="D283" s="77"/>
      <c r="E283" s="77"/>
    </row>
    <row r="284" spans="1:5" x14ac:dyDescent="0.2">
      <c r="A284" s="345">
        <v>36160</v>
      </c>
      <c r="B284" s="253"/>
      <c r="C284" s="33"/>
      <c r="D284" s="253"/>
      <c r="E284" s="253"/>
    </row>
    <row r="285" spans="1:5" x14ac:dyDescent="0.2">
      <c r="A285" s="345">
        <v>36191</v>
      </c>
      <c r="B285" s="253"/>
      <c r="C285" s="33"/>
      <c r="D285" s="253"/>
      <c r="E285" s="253"/>
    </row>
    <row r="286" spans="1:5" x14ac:dyDescent="0.2">
      <c r="A286" s="345">
        <v>36219</v>
      </c>
      <c r="B286" s="253"/>
      <c r="C286" s="33"/>
      <c r="D286" s="253"/>
      <c r="E286" s="253"/>
    </row>
    <row r="287" spans="1:5" x14ac:dyDescent="0.2">
      <c r="A287" s="345">
        <v>36250</v>
      </c>
      <c r="B287" s="253"/>
      <c r="C287" s="33"/>
      <c r="D287" s="253"/>
      <c r="E287" s="253"/>
    </row>
    <row r="288" spans="1:5" x14ac:dyDescent="0.2">
      <c r="A288" s="345">
        <v>36280</v>
      </c>
      <c r="B288" s="253"/>
      <c r="C288" s="33"/>
      <c r="D288" s="253"/>
      <c r="E288" s="253"/>
    </row>
    <row r="289" spans="1:5" x14ac:dyDescent="0.2">
      <c r="A289" s="345">
        <v>36311</v>
      </c>
      <c r="B289" s="253"/>
      <c r="C289" s="33"/>
      <c r="D289" s="253"/>
      <c r="E289" s="253"/>
    </row>
    <row r="290" spans="1:5" x14ac:dyDescent="0.2">
      <c r="A290" s="345">
        <v>36341</v>
      </c>
      <c r="B290" s="253"/>
      <c r="C290" s="33"/>
      <c r="D290" s="253"/>
      <c r="E290" s="253"/>
    </row>
    <row r="291" spans="1:5" x14ac:dyDescent="0.2">
      <c r="A291" s="345">
        <v>36372</v>
      </c>
      <c r="B291" s="253"/>
      <c r="C291" s="33"/>
      <c r="D291" s="253"/>
      <c r="E291" s="253"/>
    </row>
    <row r="292" spans="1:5" x14ac:dyDescent="0.2">
      <c r="A292" s="345">
        <v>36403</v>
      </c>
      <c r="B292" s="253"/>
      <c r="C292" s="33"/>
      <c r="D292" s="253"/>
      <c r="E292" s="253"/>
    </row>
    <row r="293" spans="1:5" x14ac:dyDescent="0.2">
      <c r="A293" s="345">
        <v>36433</v>
      </c>
      <c r="B293" s="253"/>
      <c r="C293" s="33"/>
      <c r="D293" s="253"/>
      <c r="E293" s="253"/>
    </row>
    <row r="294" spans="1:5" x14ac:dyDescent="0.2">
      <c r="A294" s="345">
        <v>36464</v>
      </c>
      <c r="B294" s="253"/>
      <c r="C294" s="33"/>
      <c r="D294" s="253"/>
      <c r="E294" s="253"/>
    </row>
    <row r="295" spans="1:5" x14ac:dyDescent="0.2">
      <c r="A295" s="345">
        <v>36494</v>
      </c>
      <c r="B295" s="253"/>
      <c r="C295" s="33"/>
      <c r="D295" s="253"/>
      <c r="E295" s="253"/>
    </row>
    <row r="296" spans="1:5" x14ac:dyDescent="0.2">
      <c r="A296" s="345">
        <v>36525</v>
      </c>
      <c r="B296" s="253"/>
      <c r="C296" s="33"/>
      <c r="D296" s="253"/>
      <c r="E296" s="253"/>
    </row>
    <row r="297" spans="1:5" x14ac:dyDescent="0.2">
      <c r="A297" s="345">
        <v>36556</v>
      </c>
      <c r="B297" s="253"/>
      <c r="C297" s="33"/>
      <c r="D297" s="253"/>
      <c r="E297" s="253"/>
    </row>
    <row r="298" spans="1:5" x14ac:dyDescent="0.2">
      <c r="A298" s="345">
        <v>36585</v>
      </c>
      <c r="B298" s="253"/>
      <c r="C298" s="33"/>
      <c r="D298" s="253"/>
      <c r="E298" s="253"/>
    </row>
    <row r="299" spans="1:5" x14ac:dyDescent="0.2">
      <c r="A299" s="345">
        <v>36616</v>
      </c>
      <c r="B299" s="253"/>
      <c r="C299" s="33"/>
      <c r="D299" s="253"/>
      <c r="E299" s="253"/>
    </row>
    <row r="300" spans="1:5" x14ac:dyDescent="0.2">
      <c r="A300" s="345">
        <v>36646</v>
      </c>
      <c r="B300" s="253"/>
      <c r="C300" s="33"/>
      <c r="D300" s="253"/>
      <c r="E300" s="253"/>
    </row>
    <row r="301" spans="1:5" x14ac:dyDescent="0.2">
      <c r="A301" s="345">
        <v>36677</v>
      </c>
      <c r="B301" s="253"/>
      <c r="C301" s="33"/>
      <c r="D301" s="253"/>
      <c r="E301" s="253"/>
    </row>
    <row r="302" spans="1:5" x14ac:dyDescent="0.2">
      <c r="A302" s="345">
        <v>36707</v>
      </c>
      <c r="B302" s="253"/>
      <c r="C302" s="33"/>
      <c r="D302" s="253"/>
      <c r="E302" s="253"/>
    </row>
    <row r="303" spans="1:5" x14ac:dyDescent="0.2">
      <c r="A303" s="345">
        <v>36738</v>
      </c>
      <c r="B303" s="253"/>
      <c r="C303" s="33"/>
      <c r="D303" s="253"/>
      <c r="E303" s="253"/>
    </row>
    <row r="304" spans="1:5" x14ac:dyDescent="0.2">
      <c r="A304" s="345">
        <v>36769</v>
      </c>
      <c r="B304" s="253"/>
      <c r="C304" s="33"/>
      <c r="D304" s="253"/>
      <c r="E304" s="253"/>
    </row>
    <row r="305" spans="1:5" x14ac:dyDescent="0.2">
      <c r="A305" s="345">
        <v>36799</v>
      </c>
      <c r="B305" s="253"/>
      <c r="C305" s="33"/>
      <c r="D305" s="253"/>
      <c r="E305" s="253"/>
    </row>
    <row r="306" spans="1:5" x14ac:dyDescent="0.2">
      <c r="A306" s="345">
        <v>36830</v>
      </c>
      <c r="B306" s="253"/>
      <c r="C306" s="33"/>
      <c r="D306" s="253"/>
      <c r="E306" s="253"/>
    </row>
    <row r="307" spans="1:5" x14ac:dyDescent="0.2">
      <c r="A307" s="345">
        <v>36860</v>
      </c>
      <c r="B307" s="253"/>
      <c r="C307" s="33"/>
      <c r="D307" s="253"/>
      <c r="E307" s="253"/>
    </row>
    <row r="308" spans="1:5" x14ac:dyDescent="0.2">
      <c r="A308" s="345">
        <v>36891</v>
      </c>
      <c r="B308" s="253"/>
      <c r="C308" s="33"/>
      <c r="D308" s="253"/>
      <c r="E308" s="253"/>
    </row>
    <row r="309" spans="1:5" x14ac:dyDescent="0.2">
      <c r="A309" s="345">
        <v>36922</v>
      </c>
      <c r="B309" s="253"/>
      <c r="C309" s="33"/>
      <c r="D309" s="253"/>
      <c r="E309" s="253"/>
    </row>
    <row r="310" spans="1:5" x14ac:dyDescent="0.2">
      <c r="A310" s="345">
        <v>36950</v>
      </c>
      <c r="B310" s="253"/>
      <c r="C310" s="33"/>
      <c r="D310" s="253"/>
      <c r="E310" s="253"/>
    </row>
    <row r="311" spans="1:5" x14ac:dyDescent="0.2">
      <c r="A311" s="345">
        <v>36981</v>
      </c>
      <c r="B311" s="253"/>
      <c r="C311" s="33"/>
      <c r="D311" s="253"/>
      <c r="E311" s="253"/>
    </row>
    <row r="312" spans="1:5" x14ac:dyDescent="0.2">
      <c r="A312" s="345">
        <v>37011</v>
      </c>
      <c r="B312" s="253"/>
      <c r="C312" s="33"/>
      <c r="D312" s="253"/>
      <c r="E312" s="253"/>
    </row>
    <row r="313" spans="1:5" x14ac:dyDescent="0.2">
      <c r="A313" s="345">
        <v>37042</v>
      </c>
      <c r="B313" s="253"/>
      <c r="C313" s="33"/>
      <c r="D313" s="253"/>
      <c r="E313" s="253"/>
    </row>
    <row r="314" spans="1:5" x14ac:dyDescent="0.2">
      <c r="A314" s="345">
        <v>37072</v>
      </c>
      <c r="B314" s="253"/>
      <c r="C314" s="33"/>
      <c r="D314" s="253"/>
      <c r="E314" s="253"/>
    </row>
    <row r="315" spans="1:5" x14ac:dyDescent="0.2">
      <c r="A315" s="345">
        <v>37103</v>
      </c>
      <c r="B315" s="253"/>
      <c r="C315" s="33"/>
      <c r="D315" s="253"/>
      <c r="E315" s="253"/>
    </row>
    <row r="316" spans="1:5" x14ac:dyDescent="0.2">
      <c r="A316" s="345">
        <v>37134</v>
      </c>
      <c r="B316" s="253"/>
      <c r="C316" s="33"/>
      <c r="D316" s="253"/>
      <c r="E316" s="253"/>
    </row>
    <row r="317" spans="1:5" x14ac:dyDescent="0.2">
      <c r="A317" s="345">
        <v>37164</v>
      </c>
      <c r="B317" s="253"/>
      <c r="C317" s="33"/>
      <c r="D317" s="253"/>
      <c r="E317" s="253"/>
    </row>
    <row r="318" spans="1:5" x14ac:dyDescent="0.2">
      <c r="A318" s="345">
        <v>37195</v>
      </c>
      <c r="B318" s="253"/>
      <c r="C318" s="33"/>
      <c r="D318" s="253"/>
      <c r="E318" s="253"/>
    </row>
    <row r="319" spans="1:5" x14ac:dyDescent="0.2">
      <c r="A319" s="345">
        <v>37225</v>
      </c>
      <c r="B319" s="253"/>
      <c r="C319" s="33"/>
      <c r="D319" s="253"/>
      <c r="E319" s="253"/>
    </row>
    <row r="320" spans="1:5" x14ac:dyDescent="0.2">
      <c r="A320" s="345">
        <v>37256</v>
      </c>
      <c r="B320" s="253"/>
      <c r="C320" s="33"/>
      <c r="D320" s="253"/>
      <c r="E320" s="253"/>
    </row>
    <row r="321" spans="1:5" x14ac:dyDescent="0.2">
      <c r="A321" s="345">
        <v>37287</v>
      </c>
      <c r="B321" s="253"/>
      <c r="C321" s="33"/>
      <c r="D321" s="253"/>
      <c r="E321" s="253"/>
    </row>
    <row r="322" spans="1:5" x14ac:dyDescent="0.2">
      <c r="A322" s="345">
        <v>37315</v>
      </c>
      <c r="B322" s="253"/>
      <c r="C322" s="33"/>
      <c r="D322" s="253"/>
      <c r="E322" s="253"/>
    </row>
    <row r="323" spans="1:5" x14ac:dyDescent="0.2">
      <c r="A323" s="345">
        <v>37346</v>
      </c>
      <c r="B323" s="253"/>
      <c r="C323" s="33"/>
      <c r="D323" s="253"/>
      <c r="E323" s="253"/>
    </row>
    <row r="324" spans="1:5" x14ac:dyDescent="0.2">
      <c r="A324" s="345">
        <v>37376</v>
      </c>
      <c r="B324" s="253"/>
      <c r="C324" s="33"/>
      <c r="D324" s="253"/>
      <c r="E324" s="253"/>
    </row>
    <row r="325" spans="1:5" x14ac:dyDescent="0.2">
      <c r="A325" s="345">
        <v>37407</v>
      </c>
      <c r="B325" s="253"/>
      <c r="C325" s="33"/>
      <c r="D325" s="253"/>
      <c r="E325" s="253"/>
    </row>
    <row r="326" spans="1:5" x14ac:dyDescent="0.2">
      <c r="A326" s="345">
        <v>37437</v>
      </c>
      <c r="B326" s="253"/>
      <c r="C326" s="33"/>
      <c r="D326" s="253"/>
      <c r="E326" s="253"/>
    </row>
    <row r="327" spans="1:5" x14ac:dyDescent="0.2">
      <c r="A327" s="345">
        <v>37468</v>
      </c>
      <c r="B327" s="253"/>
      <c r="C327" s="33"/>
      <c r="D327" s="253"/>
      <c r="E327" s="253"/>
    </row>
    <row r="328" spans="1:5" x14ac:dyDescent="0.2">
      <c r="A328" s="345">
        <v>37499</v>
      </c>
      <c r="B328" s="253"/>
      <c r="C328" s="33"/>
      <c r="D328" s="253"/>
      <c r="E328" s="253"/>
    </row>
    <row r="329" spans="1:5" x14ac:dyDescent="0.2">
      <c r="A329" s="345">
        <v>37529</v>
      </c>
      <c r="B329" s="253"/>
      <c r="C329" s="33"/>
      <c r="D329" s="253"/>
      <c r="E329" s="253"/>
    </row>
    <row r="330" spans="1:5" x14ac:dyDescent="0.2">
      <c r="A330" s="345">
        <v>37560</v>
      </c>
      <c r="B330" s="253"/>
      <c r="C330" s="33"/>
      <c r="D330" s="253"/>
      <c r="E330" s="253"/>
    </row>
    <row r="331" spans="1:5" x14ac:dyDescent="0.2">
      <c r="A331" s="345">
        <v>37590</v>
      </c>
      <c r="B331" s="253"/>
      <c r="C331" s="33"/>
      <c r="D331" s="253"/>
      <c r="E331" s="253"/>
    </row>
    <row r="332" spans="1:5" x14ac:dyDescent="0.2">
      <c r="A332" s="345">
        <v>37621</v>
      </c>
      <c r="B332" s="253"/>
      <c r="C332" s="33"/>
      <c r="D332" s="253"/>
      <c r="E332" s="253"/>
    </row>
    <row r="333" spans="1:5" x14ac:dyDescent="0.2">
      <c r="A333" s="345">
        <v>37652</v>
      </c>
      <c r="B333" s="253"/>
      <c r="C333" s="33"/>
      <c r="D333" s="253"/>
      <c r="E333" s="253"/>
    </row>
    <row r="334" spans="1:5" x14ac:dyDescent="0.2">
      <c r="A334" s="345">
        <v>37680</v>
      </c>
      <c r="B334" s="253"/>
      <c r="C334" s="33"/>
      <c r="D334" s="253"/>
      <c r="E334" s="253"/>
    </row>
    <row r="335" spans="1:5" x14ac:dyDescent="0.2">
      <c r="A335" s="345">
        <v>37711</v>
      </c>
      <c r="B335" s="253"/>
      <c r="C335" s="33"/>
      <c r="D335" s="253"/>
      <c r="E335" s="253"/>
    </row>
    <row r="336" spans="1:5" x14ac:dyDescent="0.2">
      <c r="A336" s="345">
        <v>37741</v>
      </c>
      <c r="B336" s="253"/>
      <c r="C336" s="33"/>
      <c r="D336" s="253"/>
      <c r="E336" s="253"/>
    </row>
    <row r="337" spans="1:9" x14ac:dyDescent="0.2">
      <c r="A337" s="345">
        <v>37772</v>
      </c>
      <c r="B337" s="253"/>
      <c r="C337" s="33"/>
      <c r="D337" s="253"/>
      <c r="E337" s="253"/>
    </row>
    <row r="338" spans="1:9" x14ac:dyDescent="0.2">
      <c r="A338" s="345">
        <v>37802</v>
      </c>
      <c r="B338" s="253"/>
      <c r="C338" s="33"/>
      <c r="D338" s="253"/>
      <c r="E338" s="253"/>
    </row>
    <row r="339" spans="1:9" x14ac:dyDescent="0.2">
      <c r="A339" s="345">
        <v>37833</v>
      </c>
      <c r="B339" s="253"/>
      <c r="C339" s="33"/>
      <c r="D339" s="253"/>
      <c r="E339" s="253"/>
    </row>
    <row r="340" spans="1:9" x14ac:dyDescent="0.2">
      <c r="A340" s="345">
        <v>37864</v>
      </c>
      <c r="B340" s="253"/>
      <c r="C340" s="33"/>
      <c r="D340" s="253"/>
      <c r="E340" s="253"/>
    </row>
    <row r="341" spans="1:9" x14ac:dyDescent="0.2">
      <c r="A341" s="345">
        <v>37894</v>
      </c>
      <c r="B341" s="253"/>
      <c r="C341" s="34"/>
      <c r="D341" s="253"/>
      <c r="E341" s="253"/>
    </row>
    <row r="342" spans="1:9" x14ac:dyDescent="0.2">
      <c r="A342" s="345">
        <v>37925</v>
      </c>
      <c r="B342" s="253"/>
      <c r="C342" s="34"/>
      <c r="D342" s="253"/>
      <c r="E342" s="253"/>
    </row>
    <row r="343" spans="1:9" x14ac:dyDescent="0.2">
      <c r="A343" s="345">
        <v>37955</v>
      </c>
      <c r="B343" s="253"/>
      <c r="C343" s="34"/>
      <c r="D343" s="253"/>
      <c r="E343" s="253"/>
    </row>
    <row r="344" spans="1:9" x14ac:dyDescent="0.2">
      <c r="A344" s="345">
        <v>37986</v>
      </c>
      <c r="B344" s="253"/>
      <c r="C344" s="34"/>
      <c r="D344" s="253"/>
      <c r="E344" s="253"/>
    </row>
    <row r="345" spans="1:9" x14ac:dyDescent="0.2">
      <c r="A345" s="345">
        <v>38017</v>
      </c>
      <c r="B345" s="253"/>
      <c r="C345" s="34"/>
      <c r="D345" s="253"/>
      <c r="E345" s="253"/>
    </row>
    <row r="346" spans="1:9" x14ac:dyDescent="0.2">
      <c r="A346" s="345">
        <v>38046</v>
      </c>
      <c r="B346" s="253"/>
      <c r="C346" s="34"/>
      <c r="D346" s="253"/>
      <c r="E346" s="253"/>
    </row>
    <row r="347" spans="1:9" x14ac:dyDescent="0.2">
      <c r="A347" s="345">
        <v>38077</v>
      </c>
      <c r="B347" s="253"/>
      <c r="C347" s="34"/>
      <c r="D347" s="255"/>
      <c r="E347" s="253"/>
    </row>
    <row r="348" spans="1:9" x14ac:dyDescent="0.2">
      <c r="A348" s="345">
        <v>38107</v>
      </c>
      <c r="B348" s="253"/>
      <c r="C348" s="34"/>
      <c r="D348" s="253"/>
      <c r="E348" s="253"/>
      <c r="I348" s="14"/>
    </row>
    <row r="349" spans="1:9" x14ac:dyDescent="0.2">
      <c r="A349" s="345">
        <v>38138</v>
      </c>
      <c r="B349" s="253"/>
      <c r="C349" s="34"/>
      <c r="D349" s="253"/>
      <c r="E349" s="253"/>
      <c r="I349" s="14"/>
    </row>
    <row r="350" spans="1:9" x14ac:dyDescent="0.2">
      <c r="A350" s="345">
        <v>38168</v>
      </c>
      <c r="B350" s="253"/>
      <c r="C350" s="34"/>
      <c r="D350" s="253"/>
      <c r="E350" s="253"/>
      <c r="I350" s="14"/>
    </row>
    <row r="351" spans="1:9" x14ac:dyDescent="0.2">
      <c r="A351" s="345">
        <v>38199</v>
      </c>
      <c r="B351" s="253"/>
      <c r="C351" s="34"/>
      <c r="D351" s="253"/>
      <c r="E351" s="253"/>
    </row>
    <row r="352" spans="1:9" x14ac:dyDescent="0.2">
      <c r="A352" s="345">
        <v>38230</v>
      </c>
      <c r="B352" s="253"/>
      <c r="C352" s="34"/>
      <c r="D352" s="253"/>
      <c r="E352" s="253"/>
    </row>
    <row r="353" spans="1:5" x14ac:dyDescent="0.2">
      <c r="A353" s="345">
        <v>38260</v>
      </c>
      <c r="B353" s="253"/>
      <c r="C353" s="34"/>
      <c r="D353" s="253"/>
      <c r="E353" s="253"/>
    </row>
    <row r="354" spans="1:5" x14ac:dyDescent="0.2">
      <c r="A354" s="345">
        <v>38291</v>
      </c>
      <c r="B354" s="253"/>
      <c r="C354" s="34"/>
      <c r="D354" s="253"/>
      <c r="E354" s="253"/>
    </row>
    <row r="355" spans="1:5" x14ac:dyDescent="0.2">
      <c r="A355" s="345">
        <v>38321</v>
      </c>
      <c r="B355" s="253"/>
      <c r="C355" s="34"/>
      <c r="D355" s="253"/>
      <c r="E355" s="253"/>
    </row>
    <row r="356" spans="1:5" x14ac:dyDescent="0.2">
      <c r="A356" s="345">
        <v>38352</v>
      </c>
      <c r="B356" s="253"/>
      <c r="C356" s="256"/>
      <c r="D356" s="253"/>
      <c r="E356" s="253"/>
    </row>
    <row r="357" spans="1:5" x14ac:dyDescent="0.2">
      <c r="A357" s="345">
        <v>38383</v>
      </c>
      <c r="B357" s="253"/>
      <c r="C357" s="34"/>
      <c r="D357" s="76"/>
      <c r="E357" s="253"/>
    </row>
    <row r="358" spans="1:5" x14ac:dyDescent="0.2">
      <c r="A358" s="345">
        <v>38411</v>
      </c>
      <c r="B358" s="253"/>
      <c r="C358" s="34"/>
      <c r="D358" s="76"/>
      <c r="E358" s="253"/>
    </row>
    <row r="359" spans="1:5" x14ac:dyDescent="0.2">
      <c r="A359" s="345">
        <v>38442</v>
      </c>
      <c r="B359" s="253"/>
      <c r="C359" s="256"/>
      <c r="D359" s="76"/>
      <c r="E359" s="253"/>
    </row>
    <row r="360" spans="1:5" x14ac:dyDescent="0.2">
      <c r="A360" s="345">
        <v>38472</v>
      </c>
      <c r="B360" s="253"/>
      <c r="C360" s="256"/>
      <c r="D360" s="76"/>
      <c r="E360" s="253"/>
    </row>
    <row r="361" spans="1:5" x14ac:dyDescent="0.2">
      <c r="A361" s="345">
        <v>38503</v>
      </c>
      <c r="B361" s="253"/>
      <c r="C361" s="256"/>
      <c r="D361" s="76"/>
      <c r="E361" s="253"/>
    </row>
    <row r="362" spans="1:5" x14ac:dyDescent="0.2">
      <c r="A362" s="345">
        <v>38533</v>
      </c>
      <c r="B362" s="253"/>
      <c r="C362" s="256"/>
      <c r="D362" s="76"/>
      <c r="E362" s="253"/>
    </row>
    <row r="363" spans="1:5" x14ac:dyDescent="0.2">
      <c r="A363" s="345">
        <v>38564</v>
      </c>
      <c r="B363" s="253"/>
      <c r="C363" s="256"/>
      <c r="D363" s="76"/>
      <c r="E363" s="253"/>
    </row>
    <row r="364" spans="1:5" x14ac:dyDescent="0.2">
      <c r="A364" s="345">
        <v>38595</v>
      </c>
      <c r="B364" s="253"/>
      <c r="C364" s="256"/>
      <c r="D364" s="76"/>
      <c r="E364" s="253"/>
    </row>
    <row r="365" spans="1:5" x14ac:dyDescent="0.2">
      <c r="A365" s="345">
        <v>38625</v>
      </c>
      <c r="B365" s="253"/>
      <c r="C365" s="334"/>
      <c r="D365" s="76"/>
      <c r="E365" s="253"/>
    </row>
    <row r="366" spans="1:5" x14ac:dyDescent="0.2">
      <c r="A366" s="345">
        <v>38656</v>
      </c>
      <c r="B366" s="253"/>
      <c r="C366" s="334"/>
      <c r="D366" s="76"/>
      <c r="E366" s="253"/>
    </row>
    <row r="367" spans="1:5" x14ac:dyDescent="0.2">
      <c r="A367" s="345">
        <v>38686</v>
      </c>
      <c r="B367" s="253"/>
      <c r="C367" s="334"/>
      <c r="D367" s="76"/>
      <c r="E367" s="253"/>
    </row>
    <row r="368" spans="1:5" x14ac:dyDescent="0.2">
      <c r="A368" s="345">
        <v>38717</v>
      </c>
      <c r="B368" s="253"/>
      <c r="C368" s="256"/>
      <c r="D368" s="76"/>
      <c r="E368" s="253"/>
    </row>
    <row r="369" spans="1:9" x14ac:dyDescent="0.2">
      <c r="A369" s="345">
        <v>38748</v>
      </c>
      <c r="B369" s="253"/>
      <c r="C369" s="256"/>
      <c r="D369" s="76"/>
      <c r="E369" s="253"/>
      <c r="F369" s="496"/>
      <c r="G369" s="700"/>
      <c r="H369" s="703"/>
      <c r="I369" s="253"/>
    </row>
    <row r="370" spans="1:9" x14ac:dyDescent="0.2">
      <c r="A370" s="345">
        <v>38776</v>
      </c>
      <c r="B370" s="253"/>
      <c r="C370" s="256"/>
      <c r="D370" s="76"/>
      <c r="E370" s="253"/>
      <c r="F370" s="496"/>
      <c r="G370" s="701"/>
      <c r="H370" s="703"/>
      <c r="I370" s="253"/>
    </row>
    <row r="371" spans="1:9" x14ac:dyDescent="0.2">
      <c r="A371" s="345">
        <v>38807</v>
      </c>
      <c r="B371" s="253"/>
      <c r="C371" s="256"/>
      <c r="D371" s="76"/>
      <c r="E371" s="253"/>
      <c r="F371" s="496"/>
      <c r="G371" s="701"/>
      <c r="H371" s="703"/>
      <c r="I371" s="253"/>
    </row>
    <row r="372" spans="1:9" x14ac:dyDescent="0.2">
      <c r="A372" s="345">
        <v>38837</v>
      </c>
      <c r="B372" s="253"/>
      <c r="C372" s="34"/>
      <c r="D372" s="76"/>
      <c r="E372" s="253"/>
      <c r="F372" s="496"/>
      <c r="G372" s="700"/>
      <c r="H372" s="703"/>
      <c r="I372" s="253"/>
    </row>
    <row r="373" spans="1:9" x14ac:dyDescent="0.2">
      <c r="A373" s="345">
        <v>38868</v>
      </c>
      <c r="B373" s="253"/>
      <c r="C373" s="34"/>
      <c r="D373" s="76"/>
      <c r="E373" s="253"/>
      <c r="F373" s="496"/>
      <c r="G373" s="700"/>
      <c r="H373" s="703"/>
      <c r="I373" s="253"/>
    </row>
    <row r="374" spans="1:9" x14ac:dyDescent="0.2">
      <c r="A374" s="345">
        <v>38898</v>
      </c>
      <c r="B374" s="76"/>
      <c r="C374" s="354"/>
      <c r="D374" s="253"/>
      <c r="E374" s="253"/>
      <c r="F374" s="496"/>
      <c r="G374" s="700"/>
      <c r="H374" s="703"/>
      <c r="I374" s="253"/>
    </row>
    <row r="375" spans="1:9" x14ac:dyDescent="0.2">
      <c r="A375" s="345">
        <v>38929</v>
      </c>
      <c r="B375" s="253"/>
      <c r="C375" s="34"/>
      <c r="D375" s="253"/>
      <c r="E375" s="253"/>
      <c r="F375" s="496"/>
      <c r="G375" s="700"/>
      <c r="H375" s="703"/>
      <c r="I375" s="253"/>
    </row>
    <row r="376" spans="1:9" x14ac:dyDescent="0.2">
      <c r="A376" s="345">
        <v>38960</v>
      </c>
      <c r="B376" s="253"/>
      <c r="C376" s="34"/>
      <c r="D376" s="253"/>
      <c r="E376" s="253"/>
    </row>
    <row r="377" spans="1:9" x14ac:dyDescent="0.2">
      <c r="A377" s="345">
        <v>38990</v>
      </c>
      <c r="B377" s="253"/>
      <c r="C377" s="34"/>
      <c r="D377" s="253"/>
      <c r="E377" s="253"/>
    </row>
    <row r="378" spans="1:9" x14ac:dyDescent="0.2">
      <c r="A378" s="345">
        <v>39021</v>
      </c>
      <c r="B378" s="253"/>
      <c r="C378" s="34"/>
      <c r="D378" s="253"/>
      <c r="E378" s="253"/>
    </row>
    <row r="379" spans="1:9" x14ac:dyDescent="0.2">
      <c r="A379" s="345">
        <v>39051</v>
      </c>
      <c r="B379" s="253"/>
      <c r="C379" s="34"/>
      <c r="D379" s="253"/>
      <c r="E379" s="253"/>
    </row>
    <row r="380" spans="1:9" x14ac:dyDescent="0.2">
      <c r="A380" s="345">
        <v>39082</v>
      </c>
      <c r="B380" s="253"/>
      <c r="C380" s="34"/>
      <c r="D380" s="253"/>
      <c r="E380" s="253"/>
    </row>
    <row r="381" spans="1:9" x14ac:dyDescent="0.2">
      <c r="A381" s="345">
        <v>39113</v>
      </c>
    </row>
    <row r="382" spans="1:9" x14ac:dyDescent="0.2">
      <c r="A382" s="345">
        <v>39141</v>
      </c>
    </row>
    <row r="383" spans="1:9" x14ac:dyDescent="0.2">
      <c r="A383" s="345">
        <v>39172</v>
      </c>
    </row>
    <row r="384" spans="1:9" x14ac:dyDescent="0.2">
      <c r="A384" s="345">
        <v>39202</v>
      </c>
    </row>
    <row r="385" spans="1:3" x14ac:dyDescent="0.2">
      <c r="A385" s="345">
        <v>39233</v>
      </c>
    </row>
    <row r="386" spans="1:3" x14ac:dyDescent="0.2">
      <c r="A386" s="345">
        <v>39263</v>
      </c>
    </row>
    <row r="387" spans="1:3" x14ac:dyDescent="0.2">
      <c r="A387" s="345">
        <v>39294</v>
      </c>
    </row>
    <row r="388" spans="1:3" x14ac:dyDescent="0.2">
      <c r="A388" s="345">
        <v>39325</v>
      </c>
    </row>
    <row r="389" spans="1:3" x14ac:dyDescent="0.2">
      <c r="A389" s="345">
        <v>39355</v>
      </c>
    </row>
    <row r="390" spans="1:3" x14ac:dyDescent="0.2">
      <c r="A390" s="345">
        <v>39386</v>
      </c>
    </row>
    <row r="391" spans="1:3" x14ac:dyDescent="0.2">
      <c r="A391" s="345">
        <v>39416</v>
      </c>
    </row>
    <row r="392" spans="1:3" x14ac:dyDescent="0.2">
      <c r="A392" s="345">
        <v>39447</v>
      </c>
    </row>
    <row r="393" spans="1:3" x14ac:dyDescent="0.2">
      <c r="A393" s="345">
        <v>39478</v>
      </c>
    </row>
    <row r="394" spans="1:3" x14ac:dyDescent="0.2">
      <c r="A394" s="345">
        <v>39507</v>
      </c>
    </row>
    <row r="395" spans="1:3" x14ac:dyDescent="0.2">
      <c r="A395" s="345">
        <v>39538</v>
      </c>
    </row>
    <row r="396" spans="1:3" x14ac:dyDescent="0.2">
      <c r="A396" s="345">
        <v>39568</v>
      </c>
    </row>
    <row r="397" spans="1:3" x14ac:dyDescent="0.2">
      <c r="A397" s="345">
        <v>39599</v>
      </c>
    </row>
    <row r="398" spans="1:3" x14ac:dyDescent="0.2">
      <c r="A398" s="345">
        <v>39629</v>
      </c>
    </row>
    <row r="399" spans="1:3" x14ac:dyDescent="0.2">
      <c r="A399" s="345">
        <v>39660</v>
      </c>
      <c r="C399" s="1383"/>
    </row>
    <row r="400" spans="1:3" x14ac:dyDescent="0.2">
      <c r="A400" s="345">
        <v>39691</v>
      </c>
      <c r="C400" s="1383"/>
    </row>
    <row r="401" spans="1:3" x14ac:dyDescent="0.2">
      <c r="A401" s="345">
        <v>39721</v>
      </c>
      <c r="C401" s="1383"/>
    </row>
    <row r="402" spans="1:3" x14ac:dyDescent="0.2">
      <c r="A402" s="345">
        <v>39752</v>
      </c>
    </row>
    <row r="403" spans="1:3" x14ac:dyDescent="0.2">
      <c r="A403" s="345">
        <v>39782</v>
      </c>
    </row>
    <row r="404" spans="1:3" x14ac:dyDescent="0.2">
      <c r="A404" s="345">
        <v>39813</v>
      </c>
    </row>
    <row r="405" spans="1:3" x14ac:dyDescent="0.2">
      <c r="A405" s="345">
        <v>39844</v>
      </c>
    </row>
    <row r="406" spans="1:3" x14ac:dyDescent="0.2">
      <c r="A406" s="345">
        <v>39872</v>
      </c>
    </row>
    <row r="407" spans="1:3" x14ac:dyDescent="0.2">
      <c r="A407" s="345">
        <v>39903</v>
      </c>
    </row>
    <row r="408" spans="1:3" x14ac:dyDescent="0.2">
      <c r="A408" s="345">
        <v>39933</v>
      </c>
    </row>
    <row r="409" spans="1:3" x14ac:dyDescent="0.2">
      <c r="A409" s="345">
        <v>39964</v>
      </c>
    </row>
    <row r="410" spans="1:3" x14ac:dyDescent="0.2">
      <c r="A410" s="345">
        <v>39994</v>
      </c>
    </row>
    <row r="411" spans="1:3" x14ac:dyDescent="0.2">
      <c r="A411" s="345">
        <v>40025</v>
      </c>
    </row>
    <row r="412" spans="1:3" x14ac:dyDescent="0.2">
      <c r="A412" s="345">
        <v>40056</v>
      </c>
    </row>
    <row r="413" spans="1:3" x14ac:dyDescent="0.2">
      <c r="A413" s="345">
        <v>40086</v>
      </c>
    </row>
    <row r="414" spans="1:3" x14ac:dyDescent="0.2">
      <c r="A414" s="345">
        <v>40117</v>
      </c>
    </row>
    <row r="415" spans="1:3" x14ac:dyDescent="0.2">
      <c r="A415" s="345">
        <v>40147</v>
      </c>
    </row>
    <row r="416" spans="1:3" x14ac:dyDescent="0.2">
      <c r="A416" s="345">
        <v>40178</v>
      </c>
    </row>
    <row r="417" spans="1:4" x14ac:dyDescent="0.2">
      <c r="A417" s="345">
        <v>40209</v>
      </c>
    </row>
    <row r="418" spans="1:4" x14ac:dyDescent="0.2">
      <c r="A418" s="345">
        <v>40237</v>
      </c>
    </row>
    <row r="419" spans="1:4" x14ac:dyDescent="0.2">
      <c r="A419" s="345">
        <v>40268</v>
      </c>
      <c r="C419" s="1334"/>
      <c r="D419" s="1311"/>
    </row>
    <row r="420" spans="1:4" x14ac:dyDescent="0.2">
      <c r="A420" s="345">
        <v>40298</v>
      </c>
    </row>
    <row r="421" spans="1:4" x14ac:dyDescent="0.2">
      <c r="A421" s="345">
        <v>40329</v>
      </c>
    </row>
    <row r="422" spans="1:4" x14ac:dyDescent="0.2">
      <c r="A422" s="345">
        <v>40359</v>
      </c>
    </row>
    <row r="423" spans="1:4" x14ac:dyDescent="0.2">
      <c r="A423" s="345">
        <v>40390</v>
      </c>
    </row>
    <row r="424" spans="1:4" x14ac:dyDescent="0.2">
      <c r="A424" s="345">
        <v>40421</v>
      </c>
      <c r="B424" s="1369"/>
    </row>
    <row r="425" spans="1:4" x14ac:dyDescent="0.2">
      <c r="A425" s="345">
        <v>40451</v>
      </c>
      <c r="B425" s="258"/>
    </row>
    <row r="426" spans="1:4" x14ac:dyDescent="0.2">
      <c r="A426" s="345">
        <v>40482</v>
      </c>
      <c r="B426" s="1311"/>
      <c r="D426" s="1311"/>
    </row>
    <row r="427" spans="1:4" x14ac:dyDescent="0.2">
      <c r="A427" s="345">
        <v>40512</v>
      </c>
    </row>
    <row r="428" spans="1:4" x14ac:dyDescent="0.2">
      <c r="A428" s="345">
        <v>40543</v>
      </c>
    </row>
    <row r="429" spans="1:4" x14ac:dyDescent="0.2">
      <c r="A429" s="345">
        <v>40574</v>
      </c>
      <c r="B429" s="257">
        <f>D429</f>
        <v>1.0348900000000001</v>
      </c>
      <c r="C429" s="346">
        <v>8877362.9900000002</v>
      </c>
      <c r="D429" s="258">
        <v>1.0348900000000001</v>
      </c>
    </row>
    <row r="430" spans="1:4" x14ac:dyDescent="0.2">
      <c r="A430" s="345">
        <v>40602</v>
      </c>
      <c r="B430" s="257">
        <f t="shared" ref="B430:B488" si="0">D430</f>
        <v>1.3099499999999999</v>
      </c>
      <c r="C430" s="346">
        <v>8993608.3800000008</v>
      </c>
      <c r="D430" s="258">
        <v>1.3099499999999999</v>
      </c>
    </row>
    <row r="431" spans="1:4" x14ac:dyDescent="0.2">
      <c r="A431" s="345">
        <v>40633</v>
      </c>
      <c r="B431" s="257">
        <f t="shared" si="0"/>
        <v>2.1334599999999999</v>
      </c>
      <c r="C431" s="346">
        <v>9185483.0500000007</v>
      </c>
      <c r="D431" s="258">
        <v>2.1334599999999999</v>
      </c>
    </row>
    <row r="432" spans="1:4" x14ac:dyDescent="0.2">
      <c r="A432" s="345">
        <v>40663</v>
      </c>
      <c r="B432" s="257">
        <f t="shared" si="0"/>
        <v>3.48367</v>
      </c>
      <c r="C432" s="346">
        <v>9507024.5199999996</v>
      </c>
      <c r="D432" s="258">
        <v>3.48367</v>
      </c>
    </row>
    <row r="433" spans="1:4" x14ac:dyDescent="0.2">
      <c r="A433" s="345">
        <v>40694</v>
      </c>
      <c r="B433" s="257">
        <f t="shared" si="0"/>
        <v>-5.1809599999999998</v>
      </c>
      <c r="C433" s="346">
        <v>9022685.5</v>
      </c>
      <c r="D433" s="258">
        <v>-5.1809599999999998</v>
      </c>
    </row>
    <row r="434" spans="1:4" x14ac:dyDescent="0.2">
      <c r="A434" s="345">
        <v>40724</v>
      </c>
      <c r="B434" s="257">
        <f t="shared" si="0"/>
        <v>-5.0829700000000004</v>
      </c>
      <c r="C434" s="346">
        <v>8564064.9800000004</v>
      </c>
      <c r="D434" s="258">
        <v>-5.0829700000000004</v>
      </c>
    </row>
    <row r="435" spans="1:4" x14ac:dyDescent="0.2">
      <c r="A435" s="345">
        <v>40755</v>
      </c>
      <c r="B435" s="257">
        <f t="shared" si="0"/>
        <v>3.0682299999999998</v>
      </c>
      <c r="C435" s="346">
        <v>8421686.5299999993</v>
      </c>
      <c r="D435" s="258">
        <v>3.0682299999999998</v>
      </c>
    </row>
    <row r="436" spans="1:4" x14ac:dyDescent="0.2">
      <c r="A436" s="345">
        <v>40786</v>
      </c>
      <c r="B436" s="257">
        <f t="shared" si="0"/>
        <v>0.74011000000000005</v>
      </c>
      <c r="C436" s="346">
        <v>7847966.7999999998</v>
      </c>
      <c r="D436" s="258">
        <v>0.74011000000000005</v>
      </c>
    </row>
    <row r="437" spans="1:4" x14ac:dyDescent="0.2">
      <c r="A437" s="345">
        <v>40816</v>
      </c>
      <c r="B437" s="257">
        <f t="shared" si="0"/>
        <v>-15.09718</v>
      </c>
      <c r="C437" s="346">
        <v>6234566.1500000004</v>
      </c>
      <c r="D437" s="258">
        <v>-15.09718</v>
      </c>
    </row>
    <row r="438" spans="1:4" x14ac:dyDescent="0.2">
      <c r="A438" s="345">
        <v>40847</v>
      </c>
      <c r="B438" s="257">
        <f t="shared" si="0"/>
        <v>6.6844599999999996</v>
      </c>
      <c r="C438" s="346">
        <v>4856771.13</v>
      </c>
      <c r="D438" s="258">
        <v>6.6844599999999996</v>
      </c>
    </row>
    <row r="439" spans="1:4" x14ac:dyDescent="0.2">
      <c r="A439" s="345">
        <v>40877</v>
      </c>
      <c r="B439" s="257">
        <f t="shared" si="0"/>
        <v>-2.2761100000000001</v>
      </c>
      <c r="C439" s="346">
        <v>4746225.75</v>
      </c>
      <c r="D439" s="258">
        <v>-2.2761100000000001</v>
      </c>
    </row>
    <row r="440" spans="1:4" x14ac:dyDescent="0.2">
      <c r="A440" s="345">
        <v>40908</v>
      </c>
      <c r="B440" s="257">
        <f t="shared" si="0"/>
        <v>-3.7119800000000001</v>
      </c>
      <c r="C440" s="346">
        <v>4570046.96</v>
      </c>
      <c r="D440" s="258">
        <v>-3.7119800000000001</v>
      </c>
    </row>
    <row r="441" spans="1:4" x14ac:dyDescent="0.2">
      <c r="A441" s="345">
        <v>40939</v>
      </c>
      <c r="B441" s="257">
        <f t="shared" si="0"/>
        <v>2.3797899999999998</v>
      </c>
      <c r="C441" s="346">
        <v>4685407.74</v>
      </c>
      <c r="D441" s="258">
        <v>2.3797899999999998</v>
      </c>
    </row>
    <row r="442" spans="1:4" x14ac:dyDescent="0.2">
      <c r="A442" s="345">
        <v>40968</v>
      </c>
      <c r="B442" s="257">
        <f t="shared" si="0"/>
        <v>2.6530300000000002</v>
      </c>
      <c r="C442" s="346">
        <v>4813807.8499999996</v>
      </c>
      <c r="D442" s="258">
        <v>2.6530300000000002</v>
      </c>
    </row>
    <row r="443" spans="1:4" x14ac:dyDescent="0.2">
      <c r="A443" s="345">
        <v>40999</v>
      </c>
      <c r="B443" s="257">
        <f t="shared" si="0"/>
        <v>-4.1195199999999996</v>
      </c>
      <c r="C443" s="346">
        <v>4615502.1900000004</v>
      </c>
      <c r="D443" s="258">
        <v>-4.1195199999999996</v>
      </c>
    </row>
    <row r="444" spans="1:4" x14ac:dyDescent="0.2">
      <c r="A444" s="345">
        <v>41029</v>
      </c>
      <c r="B444" s="257">
        <f t="shared" si="0"/>
        <v>-0.43424000000000001</v>
      </c>
      <c r="C444" s="346">
        <v>4595459.7</v>
      </c>
      <c r="D444" s="258">
        <v>-0.43424000000000001</v>
      </c>
    </row>
    <row r="445" spans="1:4" x14ac:dyDescent="0.2">
      <c r="A445" s="345">
        <v>41060</v>
      </c>
      <c r="B445" s="257">
        <f t="shared" si="0"/>
        <v>-9.0768199999999997</v>
      </c>
      <c r="C445" s="346">
        <v>4178338.29</v>
      </c>
      <c r="D445" s="258">
        <v>-9.0768199999999997</v>
      </c>
    </row>
    <row r="446" spans="1:4" x14ac:dyDescent="0.2">
      <c r="A446" s="345">
        <v>41090</v>
      </c>
      <c r="B446" s="257">
        <f t="shared" si="0"/>
        <v>5.3800499999999998</v>
      </c>
      <c r="C446" s="346">
        <v>4407473.41</v>
      </c>
      <c r="D446" s="258">
        <v>5.3800499999999998</v>
      </c>
    </row>
    <row r="447" spans="1:4" x14ac:dyDescent="0.2">
      <c r="A447" s="345">
        <v>41121</v>
      </c>
      <c r="B447" s="257">
        <f t="shared" si="0"/>
        <v>6.49376</v>
      </c>
      <c r="C447" s="346">
        <v>4693684.1100000003</v>
      </c>
      <c r="D447" s="258">
        <v>6.49376</v>
      </c>
    </row>
    <row r="448" spans="1:4" x14ac:dyDescent="0.2">
      <c r="A448" s="345">
        <v>41152</v>
      </c>
      <c r="B448" s="257">
        <f t="shared" si="0"/>
        <v>1.17404</v>
      </c>
      <c r="C448" s="346">
        <v>4752693.71</v>
      </c>
      <c r="D448" s="258">
        <v>1.17404</v>
      </c>
    </row>
    <row r="449" spans="1:4" x14ac:dyDescent="0.2">
      <c r="A449" s="345">
        <v>41182</v>
      </c>
      <c r="B449" s="257">
        <f t="shared" si="0"/>
        <v>1.7481199999999999</v>
      </c>
      <c r="C449" s="346">
        <v>4835776.29</v>
      </c>
      <c r="D449" s="258">
        <v>1.7481199999999999</v>
      </c>
    </row>
    <row r="450" spans="1:4" x14ac:dyDescent="0.2">
      <c r="A450" s="345">
        <v>41213</v>
      </c>
      <c r="B450" s="257">
        <f t="shared" si="0"/>
        <v>-3.8530099999999998</v>
      </c>
      <c r="C450" s="346">
        <v>9437528.6400000006</v>
      </c>
      <c r="D450" s="258">
        <v>-3.8530099999999998</v>
      </c>
    </row>
    <row r="451" spans="1:4" x14ac:dyDescent="0.2">
      <c r="A451" s="345">
        <v>41243</v>
      </c>
      <c r="B451" s="257">
        <f t="shared" si="0"/>
        <v>5.9639999999999999E-2</v>
      </c>
      <c r="C451" s="346">
        <v>9443157.1500000004</v>
      </c>
      <c r="D451" s="258">
        <v>5.9639999999999999E-2</v>
      </c>
    </row>
    <row r="452" spans="1:4" x14ac:dyDescent="0.2">
      <c r="A452" s="345">
        <v>41274</v>
      </c>
      <c r="B452" s="257">
        <f t="shared" si="0"/>
        <v>-2.5785800000000001</v>
      </c>
      <c r="C452" s="346">
        <v>9199658.0600000005</v>
      </c>
      <c r="D452" s="258">
        <v>-2.5785800000000001</v>
      </c>
    </row>
    <row r="453" spans="1:4" x14ac:dyDescent="0.2">
      <c r="A453" s="345">
        <v>41305</v>
      </c>
      <c r="B453" s="257">
        <f t="shared" si="0"/>
        <v>2.3974799999999998</v>
      </c>
      <c r="C453" s="346">
        <v>9420218.3300000001</v>
      </c>
      <c r="D453" s="258">
        <v>2.3974799999999998</v>
      </c>
    </row>
    <row r="454" spans="1:4" x14ac:dyDescent="0.2">
      <c r="A454" s="345">
        <v>41333</v>
      </c>
      <c r="B454" s="257">
        <f t="shared" si="0"/>
        <v>-4.0937599999999996</v>
      </c>
      <c r="C454" s="346">
        <v>9034577.0299999993</v>
      </c>
      <c r="D454" s="258">
        <v>-4.0937599999999996</v>
      </c>
    </row>
    <row r="455" spans="1:4" x14ac:dyDescent="0.2">
      <c r="A455" s="345">
        <v>41364</v>
      </c>
      <c r="B455" s="257">
        <f t="shared" si="0"/>
        <v>0.57203999999999999</v>
      </c>
      <c r="C455" s="346">
        <v>9098622.4199999999</v>
      </c>
      <c r="D455" s="258">
        <v>0.57203999999999999</v>
      </c>
    </row>
    <row r="456" spans="1:4" x14ac:dyDescent="0.2">
      <c r="A456" s="345">
        <v>41394</v>
      </c>
      <c r="B456" s="257">
        <f t="shared" si="0"/>
        <v>-2.7760099999999999</v>
      </c>
      <c r="C456" s="346">
        <v>8846044.0600000005</v>
      </c>
      <c r="D456" s="258">
        <v>-2.7760099999999999</v>
      </c>
    </row>
    <row r="457" spans="1:4" x14ac:dyDescent="0.2">
      <c r="A457" s="345">
        <v>41425</v>
      </c>
      <c r="B457" s="257">
        <f t="shared" si="0"/>
        <v>-2.3043900000000002</v>
      </c>
      <c r="C457" s="346">
        <v>8650062.0500000007</v>
      </c>
      <c r="D457" s="258">
        <v>-2.3043900000000002</v>
      </c>
    </row>
    <row r="458" spans="1:4" x14ac:dyDescent="0.2">
      <c r="A458" s="345">
        <v>41455</v>
      </c>
      <c r="B458" s="257">
        <f t="shared" si="0"/>
        <v>-4.6963800000000004</v>
      </c>
      <c r="C458" s="346">
        <v>8243822</v>
      </c>
      <c r="D458" s="258">
        <v>-4.6963800000000004</v>
      </c>
    </row>
    <row r="459" spans="1:4" x14ac:dyDescent="0.2">
      <c r="A459" s="345">
        <v>41486</v>
      </c>
      <c r="B459" s="257">
        <f t="shared" si="0"/>
        <v>1.38636</v>
      </c>
      <c r="C459" s="346">
        <v>8328227.9199999999</v>
      </c>
      <c r="D459" s="258">
        <v>1.38636</v>
      </c>
    </row>
    <row r="460" spans="1:4" x14ac:dyDescent="0.2">
      <c r="A460" s="345">
        <v>41517</v>
      </c>
      <c r="B460" s="257">
        <f t="shared" si="0"/>
        <v>3.4263699999999999</v>
      </c>
      <c r="C460" s="346">
        <v>8613583.4900000002</v>
      </c>
      <c r="D460" s="258">
        <v>3.4263699999999999</v>
      </c>
    </row>
    <row r="461" spans="1:4" x14ac:dyDescent="0.2">
      <c r="A461" s="345">
        <v>41547</v>
      </c>
      <c r="B461" s="257">
        <f t="shared" si="0"/>
        <v>-2.5499900000000002</v>
      </c>
      <c r="C461" s="346">
        <v>8393938.0700000003</v>
      </c>
      <c r="D461" s="258">
        <v>-2.5499900000000002</v>
      </c>
    </row>
    <row r="462" spans="1:4" x14ac:dyDescent="0.2">
      <c r="A462" s="345">
        <v>41578</v>
      </c>
      <c r="B462" s="257">
        <f t="shared" si="0"/>
        <v>-1.4755</v>
      </c>
      <c r="C462" s="346">
        <v>8270085.7000000002</v>
      </c>
      <c r="D462" s="258">
        <v>-1.4755</v>
      </c>
    </row>
    <row r="463" spans="1:4" x14ac:dyDescent="0.2">
      <c r="A463" s="345">
        <v>41608</v>
      </c>
      <c r="B463" s="257">
        <f t="shared" si="0"/>
        <v>-1.0036700000000001</v>
      </c>
      <c r="C463" s="346">
        <v>8201972.3099999996</v>
      </c>
      <c r="D463" s="258">
        <v>-1.0036700000000001</v>
      </c>
    </row>
    <row r="464" spans="1:4" x14ac:dyDescent="0.2">
      <c r="A464" s="345">
        <v>41639</v>
      </c>
      <c r="B464" s="257">
        <f t="shared" si="0"/>
        <v>1.24316</v>
      </c>
      <c r="C464" s="346">
        <v>8303936.2599999998</v>
      </c>
      <c r="D464" s="258">
        <v>1.24316</v>
      </c>
    </row>
    <row r="465" spans="1:4" x14ac:dyDescent="0.2">
      <c r="A465" s="345">
        <v>41670</v>
      </c>
      <c r="B465" s="257">
        <f t="shared" si="0"/>
        <v>0.19783000000000001</v>
      </c>
      <c r="C465" s="346">
        <v>8327603.3799999999</v>
      </c>
      <c r="D465" s="258">
        <v>0.19783000000000001</v>
      </c>
    </row>
    <row r="466" spans="1:4" x14ac:dyDescent="0.2">
      <c r="A466" s="345">
        <v>41698</v>
      </c>
      <c r="B466" s="257">
        <f t="shared" si="0"/>
        <v>6.24247</v>
      </c>
      <c r="C466" s="346">
        <v>8847451.4399999995</v>
      </c>
      <c r="D466" s="258">
        <v>6.24247</v>
      </c>
    </row>
    <row r="467" spans="1:4" x14ac:dyDescent="0.2">
      <c r="A467" s="345">
        <v>41729</v>
      </c>
      <c r="B467" s="257">
        <f t="shared" si="0"/>
        <v>0.42221999999999998</v>
      </c>
      <c r="C467" s="346">
        <v>8884807.3699999992</v>
      </c>
      <c r="D467" s="258">
        <v>0.42221999999999998</v>
      </c>
    </row>
    <row r="468" spans="1:4" x14ac:dyDescent="0.2">
      <c r="A468" s="345">
        <v>41759</v>
      </c>
      <c r="B468" s="257">
        <f t="shared" si="0"/>
        <v>2.42354</v>
      </c>
      <c r="C468" s="346">
        <v>9100134.0999999996</v>
      </c>
      <c r="D468" s="258">
        <v>2.42354</v>
      </c>
    </row>
    <row r="469" spans="1:4" x14ac:dyDescent="0.2">
      <c r="A469" s="345">
        <v>41790</v>
      </c>
      <c r="B469" s="257">
        <f t="shared" si="0"/>
        <v>-2.9536500000000001</v>
      </c>
      <c r="C469" s="346">
        <v>7267562.75</v>
      </c>
      <c r="D469" s="258">
        <v>-2.9536500000000001</v>
      </c>
    </row>
    <row r="470" spans="1:4" x14ac:dyDescent="0.2">
      <c r="A470" s="345">
        <v>41820</v>
      </c>
      <c r="B470" s="257">
        <f t="shared" si="0"/>
        <v>0.60214999999999996</v>
      </c>
      <c r="C470" s="346">
        <v>7311324.1699999999</v>
      </c>
      <c r="D470" s="258">
        <v>0.60214999999999996</v>
      </c>
    </row>
    <row r="471" spans="1:4" x14ac:dyDescent="0.2">
      <c r="A471" s="345">
        <v>41851</v>
      </c>
      <c r="B471" s="257">
        <f t="shared" si="0"/>
        <v>-4.97194</v>
      </c>
      <c r="C471" s="346">
        <v>6947809.4699999997</v>
      </c>
      <c r="D471" s="258">
        <v>-4.97194</v>
      </c>
    </row>
    <row r="472" spans="1:4" x14ac:dyDescent="0.2">
      <c r="A472" s="345">
        <v>41882</v>
      </c>
      <c r="B472" s="257">
        <f t="shared" si="0"/>
        <v>-1.1520900000000001</v>
      </c>
      <c r="C472" s="346">
        <v>6874627.9299999997</v>
      </c>
      <c r="D472" s="258">
        <v>-1.1520900000000001</v>
      </c>
    </row>
    <row r="473" spans="1:4" x14ac:dyDescent="0.2">
      <c r="A473" s="345">
        <v>41912</v>
      </c>
      <c r="B473" s="257">
        <f t="shared" si="0"/>
        <v>0</v>
      </c>
    </row>
    <row r="474" spans="1:4" x14ac:dyDescent="0.2">
      <c r="A474" s="345">
        <v>41943</v>
      </c>
      <c r="B474" s="257">
        <f t="shared" si="0"/>
        <v>0</v>
      </c>
    </row>
    <row r="475" spans="1:4" x14ac:dyDescent="0.2">
      <c r="A475" s="345">
        <v>41973</v>
      </c>
      <c r="B475" s="257">
        <f t="shared" si="0"/>
        <v>0</v>
      </c>
    </row>
    <row r="476" spans="1:4" x14ac:dyDescent="0.2">
      <c r="A476" s="345">
        <v>42004</v>
      </c>
      <c r="B476" s="257">
        <f t="shared" si="0"/>
        <v>0</v>
      </c>
    </row>
    <row r="477" spans="1:4" x14ac:dyDescent="0.2">
      <c r="A477" s="345">
        <v>42035</v>
      </c>
      <c r="B477" s="257">
        <f t="shared" si="0"/>
        <v>0</v>
      </c>
    </row>
    <row r="478" spans="1:4" x14ac:dyDescent="0.2">
      <c r="A478" s="345">
        <v>42063</v>
      </c>
      <c r="B478" s="257">
        <f t="shared" si="0"/>
        <v>0</v>
      </c>
    </row>
    <row r="479" spans="1:4" x14ac:dyDescent="0.2">
      <c r="A479" s="345">
        <v>42094</v>
      </c>
      <c r="B479" s="257">
        <f t="shared" si="0"/>
        <v>0</v>
      </c>
    </row>
    <row r="480" spans="1:4" x14ac:dyDescent="0.2">
      <c r="A480" s="345">
        <v>42124</v>
      </c>
      <c r="B480" s="257">
        <f t="shared" si="0"/>
        <v>0</v>
      </c>
    </row>
    <row r="481" spans="1:2" x14ac:dyDescent="0.2">
      <c r="A481" s="345">
        <v>42155</v>
      </c>
      <c r="B481" s="257">
        <f t="shared" si="0"/>
        <v>0</v>
      </c>
    </row>
    <row r="482" spans="1:2" x14ac:dyDescent="0.2">
      <c r="A482" s="345">
        <v>42185</v>
      </c>
      <c r="B482" s="257">
        <f t="shared" si="0"/>
        <v>0</v>
      </c>
    </row>
    <row r="483" spans="1:2" x14ac:dyDescent="0.2">
      <c r="A483" s="345">
        <v>42216</v>
      </c>
      <c r="B483" s="257">
        <f t="shared" si="0"/>
        <v>0</v>
      </c>
    </row>
    <row r="484" spans="1:2" x14ac:dyDescent="0.2">
      <c r="A484" s="345">
        <v>42247</v>
      </c>
      <c r="B484" s="257">
        <f t="shared" si="0"/>
        <v>0</v>
      </c>
    </row>
    <row r="485" spans="1:2" x14ac:dyDescent="0.2">
      <c r="A485" s="345">
        <v>42277</v>
      </c>
      <c r="B485" s="257">
        <f t="shared" si="0"/>
        <v>0</v>
      </c>
    </row>
    <row r="486" spans="1:2" x14ac:dyDescent="0.2">
      <c r="A486" s="345">
        <v>42308</v>
      </c>
      <c r="B486" s="257">
        <f t="shared" si="0"/>
        <v>0</v>
      </c>
    </row>
    <row r="487" spans="1:2" x14ac:dyDescent="0.2">
      <c r="A487" s="345">
        <v>42338</v>
      </c>
      <c r="B487" s="257">
        <f t="shared" si="0"/>
        <v>0</v>
      </c>
    </row>
    <row r="488" spans="1:2" x14ac:dyDescent="0.2">
      <c r="A488" s="345">
        <v>42369</v>
      </c>
      <c r="B488" s="257">
        <f t="shared" si="0"/>
        <v>0</v>
      </c>
    </row>
  </sheetData>
  <pageMargins left="0.75" right="0.75" top="1" bottom="1" header="0.5" footer="0.5"/>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I488"/>
  <sheetViews>
    <sheetView workbookViewId="0">
      <pane xSplit="1" ySplit="2" topLeftCell="B453" activePane="bottomRight" state="frozen"/>
      <selection pane="topRight" activeCell="B1" sqref="B1"/>
      <selection pane="bottomLeft" activeCell="A3" sqref="A3"/>
      <selection pane="bottomRight" activeCell="C472" sqref="C472:D472"/>
    </sheetView>
  </sheetViews>
  <sheetFormatPr defaultRowHeight="12.75" x14ac:dyDescent="0.2"/>
  <cols>
    <col min="1" max="1" width="18.7109375" style="21" customWidth="1"/>
    <col min="2" max="2" width="18.7109375" style="257" customWidth="1"/>
    <col min="3" max="3" width="18.7109375" style="346" customWidth="1"/>
    <col min="4" max="5" width="18.7109375" style="258" customWidth="1"/>
    <col min="7" max="7" width="9.140625" style="352"/>
    <col min="8" max="8" width="11.140625" style="352" customWidth="1"/>
  </cols>
  <sheetData>
    <row r="1" spans="1:6" x14ac:dyDescent="0.2">
      <c r="A1" s="265" t="s">
        <v>874</v>
      </c>
      <c r="B1" s="1371" t="s">
        <v>309</v>
      </c>
      <c r="C1" s="1382" t="s">
        <v>302</v>
      </c>
      <c r="D1" s="1370">
        <v>15</v>
      </c>
      <c r="E1" s="74" t="s">
        <v>81</v>
      </c>
      <c r="F1" s="1450" t="s">
        <v>832</v>
      </c>
    </row>
    <row r="2" spans="1:6" x14ac:dyDescent="0.2">
      <c r="A2" s="3" t="s">
        <v>27</v>
      </c>
      <c r="B2" s="71" t="s">
        <v>91</v>
      </c>
      <c r="C2" s="226" t="s">
        <v>92</v>
      </c>
      <c r="D2" s="71" t="s">
        <v>90</v>
      </c>
      <c r="E2" s="71" t="s">
        <v>80</v>
      </c>
    </row>
    <row r="3" spans="1:6" x14ac:dyDescent="0.2">
      <c r="A3" s="345">
        <v>27606</v>
      </c>
      <c r="B3" s="71"/>
      <c r="C3" s="226"/>
      <c r="D3" s="71"/>
      <c r="E3" s="71"/>
    </row>
    <row r="4" spans="1:6" x14ac:dyDescent="0.2">
      <c r="A4" s="345">
        <v>27637</v>
      </c>
      <c r="B4" s="71"/>
      <c r="C4" s="226"/>
      <c r="D4" s="71"/>
      <c r="E4" s="71"/>
    </row>
    <row r="5" spans="1:6" x14ac:dyDescent="0.2">
      <c r="A5" s="345">
        <v>27667</v>
      </c>
      <c r="B5" s="71"/>
      <c r="C5" s="226"/>
      <c r="D5" s="71"/>
      <c r="E5" s="71"/>
    </row>
    <row r="6" spans="1:6" x14ac:dyDescent="0.2">
      <c r="A6" s="345">
        <v>27698</v>
      </c>
      <c r="B6" s="71"/>
      <c r="C6" s="226"/>
      <c r="D6" s="71"/>
      <c r="E6" s="71"/>
    </row>
    <row r="7" spans="1:6" x14ac:dyDescent="0.2">
      <c r="A7" s="345">
        <v>27728</v>
      </c>
      <c r="B7" s="71"/>
      <c r="C7" s="226"/>
      <c r="D7" s="71"/>
      <c r="E7" s="71"/>
    </row>
    <row r="8" spans="1:6" x14ac:dyDescent="0.2">
      <c r="A8" s="345">
        <v>27759</v>
      </c>
      <c r="B8" s="71"/>
      <c r="C8" s="226"/>
      <c r="D8" s="71"/>
      <c r="E8" s="71"/>
    </row>
    <row r="9" spans="1:6" x14ac:dyDescent="0.2">
      <c r="A9" s="345">
        <v>27790</v>
      </c>
      <c r="B9" s="71"/>
      <c r="C9" s="226"/>
      <c r="D9" s="71"/>
      <c r="E9" s="71"/>
    </row>
    <row r="10" spans="1:6" x14ac:dyDescent="0.2">
      <c r="A10" s="345">
        <v>27819</v>
      </c>
      <c r="B10" s="71"/>
      <c r="C10" s="226"/>
      <c r="D10" s="71"/>
      <c r="E10" s="71"/>
    </row>
    <row r="11" spans="1:6" x14ac:dyDescent="0.2">
      <c r="A11" s="345">
        <v>27850</v>
      </c>
      <c r="B11" s="71"/>
      <c r="C11" s="226"/>
      <c r="D11" s="71"/>
      <c r="E11" s="71"/>
    </row>
    <row r="12" spans="1:6" x14ac:dyDescent="0.2">
      <c r="A12" s="345">
        <v>27880</v>
      </c>
      <c r="B12" s="71"/>
      <c r="C12" s="226"/>
      <c r="D12" s="71"/>
      <c r="E12" s="71"/>
    </row>
    <row r="13" spans="1:6" x14ac:dyDescent="0.2">
      <c r="A13" s="345">
        <v>27911</v>
      </c>
      <c r="B13" s="71"/>
      <c r="C13" s="226"/>
      <c r="D13" s="71"/>
      <c r="E13" s="71"/>
    </row>
    <row r="14" spans="1:6" x14ac:dyDescent="0.2">
      <c r="A14" s="345">
        <v>27941</v>
      </c>
      <c r="B14" s="71"/>
      <c r="C14" s="226"/>
      <c r="D14" s="71"/>
      <c r="E14" s="71"/>
    </row>
    <row r="15" spans="1:6" x14ac:dyDescent="0.2">
      <c r="A15" s="345">
        <v>27972</v>
      </c>
      <c r="B15" s="71"/>
      <c r="C15" s="226"/>
      <c r="D15" s="71"/>
      <c r="E15" s="71"/>
    </row>
    <row r="16" spans="1:6"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3"/>
      <c r="C147" s="25"/>
      <c r="D147" s="73"/>
      <c r="E147" s="73"/>
    </row>
    <row r="148" spans="1:5" x14ac:dyDescent="0.2">
      <c r="A148" s="345">
        <v>32020</v>
      </c>
      <c r="B148" s="73"/>
      <c r="C148" s="25"/>
      <c r="D148" s="73"/>
      <c r="E148" s="73"/>
    </row>
    <row r="149" spans="1:5" x14ac:dyDescent="0.2">
      <c r="A149" s="345">
        <v>32050</v>
      </c>
      <c r="B149" s="73"/>
      <c r="C149" s="25"/>
      <c r="D149" s="73"/>
      <c r="E149" s="73"/>
    </row>
    <row r="150" spans="1:5" x14ac:dyDescent="0.2">
      <c r="A150" s="345">
        <v>32081</v>
      </c>
      <c r="B150" s="73"/>
      <c r="C150" s="25"/>
      <c r="D150" s="73"/>
      <c r="E150" s="73"/>
    </row>
    <row r="151" spans="1:5" x14ac:dyDescent="0.2">
      <c r="A151" s="345">
        <v>32111</v>
      </c>
      <c r="B151" s="73"/>
      <c r="C151" s="25"/>
      <c r="D151" s="73"/>
      <c r="E151" s="73"/>
    </row>
    <row r="152" spans="1:5" x14ac:dyDescent="0.2">
      <c r="A152" s="345">
        <v>32142</v>
      </c>
      <c r="B152" s="73"/>
      <c r="C152" s="25"/>
      <c r="D152" s="73"/>
      <c r="E152" s="73"/>
    </row>
    <row r="153" spans="1:5" x14ac:dyDescent="0.2">
      <c r="A153" s="345">
        <v>32173</v>
      </c>
      <c r="B153" s="73"/>
      <c r="C153" s="25"/>
      <c r="D153" s="73"/>
      <c r="E153" s="73"/>
    </row>
    <row r="154" spans="1:5" x14ac:dyDescent="0.2">
      <c r="A154" s="345">
        <v>32202</v>
      </c>
      <c r="B154" s="73"/>
      <c r="C154" s="25"/>
      <c r="D154" s="73"/>
      <c r="E154" s="73"/>
    </row>
    <row r="155" spans="1:5" x14ac:dyDescent="0.2">
      <c r="A155" s="345">
        <v>32233</v>
      </c>
      <c r="B155" s="73"/>
      <c r="C155" s="25"/>
      <c r="D155" s="73"/>
      <c r="E155" s="73"/>
    </row>
    <row r="156" spans="1:5" x14ac:dyDescent="0.2">
      <c r="A156" s="345">
        <v>32263</v>
      </c>
      <c r="B156" s="73"/>
      <c r="C156" s="25"/>
      <c r="D156" s="73"/>
      <c r="E156" s="73"/>
    </row>
    <row r="157" spans="1:5" x14ac:dyDescent="0.2">
      <c r="A157" s="345">
        <v>32294</v>
      </c>
      <c r="B157" s="73"/>
      <c r="C157" s="25"/>
      <c r="D157" s="73"/>
      <c r="E157" s="73"/>
    </row>
    <row r="158" spans="1:5" x14ac:dyDescent="0.2">
      <c r="A158" s="345">
        <v>32324</v>
      </c>
      <c r="B158" s="73"/>
      <c r="C158" s="25"/>
      <c r="D158" s="73"/>
      <c r="E158" s="73"/>
    </row>
    <row r="159" spans="1:5" x14ac:dyDescent="0.2">
      <c r="A159" s="345">
        <v>32355</v>
      </c>
      <c r="B159" s="73"/>
      <c r="C159" s="25"/>
      <c r="D159" s="73"/>
      <c r="E159" s="73"/>
    </row>
    <row r="160" spans="1:5" x14ac:dyDescent="0.2">
      <c r="A160" s="345">
        <v>32386</v>
      </c>
      <c r="B160" s="73"/>
      <c r="C160" s="25"/>
      <c r="D160" s="73"/>
      <c r="E160" s="73"/>
    </row>
    <row r="161" spans="1:5" x14ac:dyDescent="0.2">
      <c r="A161" s="345">
        <v>32416</v>
      </c>
      <c r="B161" s="73"/>
      <c r="C161" s="25"/>
      <c r="D161" s="73"/>
      <c r="E161" s="73"/>
    </row>
    <row r="162" spans="1:5" x14ac:dyDescent="0.2">
      <c r="A162" s="345">
        <v>32447</v>
      </c>
      <c r="B162" s="73"/>
      <c r="C162" s="25"/>
      <c r="D162" s="73"/>
      <c r="E162" s="73"/>
    </row>
    <row r="163" spans="1:5" x14ac:dyDescent="0.2">
      <c r="A163" s="345">
        <v>32477</v>
      </c>
      <c r="B163" s="73"/>
      <c r="C163" s="25"/>
      <c r="D163" s="73"/>
      <c r="E163" s="73"/>
    </row>
    <row r="164" spans="1:5" x14ac:dyDescent="0.2">
      <c r="A164" s="345">
        <v>32508</v>
      </c>
      <c r="B164" s="73"/>
      <c r="C164" s="25"/>
      <c r="D164" s="73"/>
      <c r="E164" s="73"/>
    </row>
    <row r="165" spans="1:5" x14ac:dyDescent="0.2">
      <c r="A165" s="345">
        <v>32539</v>
      </c>
      <c r="B165" s="73"/>
      <c r="C165" s="25"/>
      <c r="D165" s="73"/>
      <c r="E165" s="73"/>
    </row>
    <row r="166" spans="1:5" x14ac:dyDescent="0.2">
      <c r="A166" s="345">
        <v>32567</v>
      </c>
      <c r="B166" s="73"/>
      <c r="C166" s="25"/>
      <c r="D166" s="73"/>
      <c r="E166" s="73"/>
    </row>
    <row r="167" spans="1:5" x14ac:dyDescent="0.2">
      <c r="A167" s="345">
        <v>32598</v>
      </c>
      <c r="B167" s="73"/>
      <c r="C167" s="25"/>
      <c r="D167" s="73"/>
      <c r="E167" s="73"/>
    </row>
    <row r="168" spans="1:5" x14ac:dyDescent="0.2">
      <c r="A168" s="345">
        <v>32628</v>
      </c>
      <c r="B168" s="73"/>
      <c r="C168" s="25"/>
      <c r="D168" s="73"/>
      <c r="E168" s="73"/>
    </row>
    <row r="169" spans="1:5" x14ac:dyDescent="0.2">
      <c r="A169" s="345">
        <v>32659</v>
      </c>
      <c r="B169" s="73"/>
      <c r="C169" s="25"/>
      <c r="D169" s="73"/>
      <c r="E169" s="73"/>
    </row>
    <row r="170" spans="1:5" x14ac:dyDescent="0.2">
      <c r="A170" s="345">
        <v>32689</v>
      </c>
      <c r="B170" s="73"/>
      <c r="C170" s="25"/>
      <c r="D170" s="73"/>
      <c r="E170" s="73"/>
    </row>
    <row r="171" spans="1:5" x14ac:dyDescent="0.2">
      <c r="A171" s="345">
        <v>32720</v>
      </c>
      <c r="B171" s="73"/>
      <c r="C171" s="25"/>
      <c r="D171" s="73"/>
      <c r="E171" s="73"/>
    </row>
    <row r="172" spans="1:5" x14ac:dyDescent="0.2">
      <c r="A172" s="345">
        <v>32751</v>
      </c>
      <c r="B172" s="73"/>
      <c r="C172" s="25"/>
      <c r="D172" s="73"/>
      <c r="E172" s="73"/>
    </row>
    <row r="173" spans="1:5" x14ac:dyDescent="0.2">
      <c r="A173" s="345">
        <v>32781</v>
      </c>
      <c r="B173" s="73"/>
      <c r="C173" s="25"/>
      <c r="D173" s="73"/>
      <c r="E173" s="73"/>
    </row>
    <row r="174" spans="1:5" x14ac:dyDescent="0.2">
      <c r="A174" s="345">
        <v>32812</v>
      </c>
      <c r="B174" s="73"/>
      <c r="C174" s="25"/>
      <c r="D174" s="73"/>
      <c r="E174" s="73"/>
    </row>
    <row r="175" spans="1:5" x14ac:dyDescent="0.2">
      <c r="A175" s="345">
        <v>32842</v>
      </c>
      <c r="B175" s="73"/>
      <c r="C175" s="25"/>
      <c r="D175" s="73"/>
      <c r="E175" s="73"/>
    </row>
    <row r="176" spans="1:5" x14ac:dyDescent="0.2">
      <c r="A176" s="345">
        <v>32873</v>
      </c>
      <c r="B176" s="73"/>
      <c r="C176" s="25"/>
      <c r="D176" s="73"/>
      <c r="E176" s="73"/>
    </row>
    <row r="177" spans="1:5" x14ac:dyDescent="0.2">
      <c r="A177" s="345">
        <v>32904</v>
      </c>
      <c r="B177" s="255"/>
      <c r="C177" s="259"/>
      <c r="D177" s="73"/>
      <c r="E177" s="73"/>
    </row>
    <row r="178" spans="1:5" x14ac:dyDescent="0.2">
      <c r="A178" s="345">
        <v>32932</v>
      </c>
      <c r="B178" s="255"/>
      <c r="C178" s="259"/>
      <c r="D178" s="73"/>
      <c r="E178" s="73"/>
    </row>
    <row r="179" spans="1:5" x14ac:dyDescent="0.2">
      <c r="A179" s="345">
        <v>32963</v>
      </c>
      <c r="B179" s="255"/>
      <c r="C179" s="259"/>
      <c r="D179" s="73"/>
      <c r="E179" s="73"/>
    </row>
    <row r="180" spans="1:5" x14ac:dyDescent="0.2">
      <c r="A180" s="345">
        <v>32993</v>
      </c>
      <c r="B180" s="255"/>
      <c r="C180" s="259"/>
      <c r="D180" s="73"/>
      <c r="E180" s="73"/>
    </row>
    <row r="181" spans="1:5" x14ac:dyDescent="0.2">
      <c r="A181" s="345">
        <v>33024</v>
      </c>
      <c r="B181" s="255"/>
      <c r="C181" s="259"/>
      <c r="D181" s="73"/>
      <c r="E181" s="73"/>
    </row>
    <row r="182" spans="1:5" x14ac:dyDescent="0.2">
      <c r="A182" s="345">
        <v>33054</v>
      </c>
      <c r="B182" s="255"/>
      <c r="C182" s="259"/>
      <c r="D182" s="73"/>
      <c r="E182" s="73"/>
    </row>
    <row r="183" spans="1:5" x14ac:dyDescent="0.2">
      <c r="A183" s="345">
        <v>33085</v>
      </c>
      <c r="B183" s="255"/>
      <c r="C183" s="259"/>
      <c r="D183" s="73"/>
      <c r="E183" s="73"/>
    </row>
    <row r="184" spans="1:5" x14ac:dyDescent="0.2">
      <c r="A184" s="345">
        <v>33116</v>
      </c>
      <c r="B184" s="255"/>
      <c r="C184" s="259"/>
      <c r="D184" s="73"/>
      <c r="E184" s="73"/>
    </row>
    <row r="185" spans="1:5" x14ac:dyDescent="0.2">
      <c r="A185" s="345">
        <v>33146</v>
      </c>
      <c r="B185" s="255"/>
      <c r="C185" s="259"/>
      <c r="D185" s="73"/>
      <c r="E185" s="73"/>
    </row>
    <row r="186" spans="1:5" x14ac:dyDescent="0.2">
      <c r="A186" s="345">
        <v>33177</v>
      </c>
      <c r="B186" s="255"/>
      <c r="C186" s="259"/>
      <c r="D186" s="73"/>
      <c r="E186" s="73"/>
    </row>
    <row r="187" spans="1:5" x14ac:dyDescent="0.2">
      <c r="A187" s="345">
        <v>33207</v>
      </c>
      <c r="B187" s="255"/>
      <c r="C187" s="259"/>
      <c r="D187" s="73"/>
      <c r="E187" s="73"/>
    </row>
    <row r="188" spans="1:5" x14ac:dyDescent="0.2">
      <c r="A188" s="345">
        <v>33238</v>
      </c>
      <c r="B188" s="255"/>
      <c r="C188" s="259"/>
      <c r="D188" s="73"/>
      <c r="E188" s="73"/>
    </row>
    <row r="189" spans="1:5" x14ac:dyDescent="0.2">
      <c r="A189" s="345">
        <v>33269</v>
      </c>
      <c r="B189" s="255"/>
      <c r="C189" s="259"/>
      <c r="D189" s="73"/>
      <c r="E189" s="73"/>
    </row>
    <row r="190" spans="1:5" x14ac:dyDescent="0.2">
      <c r="A190" s="345">
        <v>33297</v>
      </c>
      <c r="B190" s="255"/>
      <c r="C190" s="259"/>
      <c r="D190" s="73"/>
      <c r="E190" s="73"/>
    </row>
    <row r="191" spans="1:5" x14ac:dyDescent="0.2">
      <c r="A191" s="345">
        <v>33328</v>
      </c>
      <c r="B191" s="255"/>
      <c r="C191" s="259"/>
      <c r="D191" s="73"/>
      <c r="E191" s="73"/>
    </row>
    <row r="192" spans="1:5" x14ac:dyDescent="0.2">
      <c r="A192" s="345">
        <v>33358</v>
      </c>
      <c r="B192" s="255"/>
      <c r="C192" s="259"/>
      <c r="D192" s="73"/>
      <c r="E192" s="73"/>
    </row>
    <row r="193" spans="1:5" x14ac:dyDescent="0.2">
      <c r="A193" s="345">
        <v>33389</v>
      </c>
      <c r="B193" s="255"/>
      <c r="C193" s="259"/>
      <c r="D193" s="73"/>
      <c r="E193" s="73"/>
    </row>
    <row r="194" spans="1:5" x14ac:dyDescent="0.2">
      <c r="A194" s="345">
        <v>33419</v>
      </c>
      <c r="B194" s="255"/>
      <c r="C194" s="259"/>
      <c r="D194" s="73"/>
      <c r="E194" s="73"/>
    </row>
    <row r="195" spans="1:5" x14ac:dyDescent="0.2">
      <c r="A195" s="345">
        <v>33450</v>
      </c>
      <c r="B195" s="255"/>
      <c r="C195" s="259"/>
      <c r="D195" s="73"/>
      <c r="E195" s="73"/>
    </row>
    <row r="196" spans="1:5" x14ac:dyDescent="0.2">
      <c r="A196" s="345">
        <v>33481</v>
      </c>
      <c r="B196" s="255"/>
      <c r="C196" s="259"/>
      <c r="D196" s="73"/>
      <c r="E196" s="73"/>
    </row>
    <row r="197" spans="1:5" x14ac:dyDescent="0.2">
      <c r="A197" s="345">
        <v>33511</v>
      </c>
      <c r="B197" s="255"/>
      <c r="C197" s="259"/>
      <c r="D197" s="73"/>
      <c r="E197" s="73"/>
    </row>
    <row r="198" spans="1:5" x14ac:dyDescent="0.2">
      <c r="A198" s="345">
        <v>33542</v>
      </c>
      <c r="B198" s="255"/>
      <c r="C198" s="259"/>
      <c r="D198" s="73"/>
      <c r="E198" s="73"/>
    </row>
    <row r="199" spans="1:5" x14ac:dyDescent="0.2">
      <c r="A199" s="345">
        <v>33572</v>
      </c>
      <c r="B199" s="255"/>
      <c r="C199" s="259"/>
      <c r="D199" s="73"/>
      <c r="E199" s="73"/>
    </row>
    <row r="200" spans="1:5" x14ac:dyDescent="0.2">
      <c r="A200" s="345">
        <v>33603</v>
      </c>
      <c r="B200" s="255"/>
      <c r="C200" s="259"/>
      <c r="D200" s="73"/>
      <c r="E200" s="73"/>
    </row>
    <row r="201" spans="1:5" x14ac:dyDescent="0.2">
      <c r="A201" s="345">
        <v>33634</v>
      </c>
      <c r="B201" s="255"/>
      <c r="C201" s="259"/>
      <c r="D201" s="73"/>
      <c r="E201" s="73"/>
    </row>
    <row r="202" spans="1:5" x14ac:dyDescent="0.2">
      <c r="A202" s="345">
        <v>33663</v>
      </c>
      <c r="B202" s="255"/>
      <c r="C202" s="259"/>
      <c r="D202" s="73"/>
      <c r="E202" s="73"/>
    </row>
    <row r="203" spans="1:5" x14ac:dyDescent="0.2">
      <c r="A203" s="345">
        <v>33694</v>
      </c>
      <c r="B203" s="255"/>
      <c r="C203" s="259"/>
      <c r="D203" s="73"/>
      <c r="E203" s="73"/>
    </row>
    <row r="204" spans="1:5" x14ac:dyDescent="0.2">
      <c r="A204" s="345">
        <v>33724</v>
      </c>
      <c r="B204" s="255"/>
      <c r="C204" s="259"/>
      <c r="D204" s="73"/>
      <c r="E204" s="73"/>
    </row>
    <row r="205" spans="1:5" x14ac:dyDescent="0.2">
      <c r="A205" s="345">
        <v>33755</v>
      </c>
      <c r="B205" s="255"/>
      <c r="C205" s="259"/>
      <c r="D205" s="73"/>
      <c r="E205" s="73"/>
    </row>
    <row r="206" spans="1:5" x14ac:dyDescent="0.2">
      <c r="A206" s="345">
        <v>33785</v>
      </c>
      <c r="B206" s="255"/>
      <c r="C206" s="259"/>
      <c r="D206" s="73"/>
      <c r="E206" s="73"/>
    </row>
    <row r="207" spans="1:5" x14ac:dyDescent="0.2">
      <c r="A207" s="345">
        <v>33816</v>
      </c>
      <c r="B207" s="255"/>
      <c r="C207" s="259"/>
      <c r="D207" s="73"/>
      <c r="E207" s="73"/>
    </row>
    <row r="208" spans="1:5" x14ac:dyDescent="0.2">
      <c r="A208" s="345">
        <v>33847</v>
      </c>
      <c r="B208" s="255"/>
      <c r="C208" s="259"/>
      <c r="D208" s="73"/>
      <c r="E208" s="73"/>
    </row>
    <row r="209" spans="1:5" x14ac:dyDescent="0.2">
      <c r="A209" s="345">
        <v>33877</v>
      </c>
      <c r="B209" s="255"/>
      <c r="C209" s="259"/>
      <c r="D209" s="73"/>
      <c r="E209" s="73"/>
    </row>
    <row r="210" spans="1:5" x14ac:dyDescent="0.2">
      <c r="A210" s="345">
        <v>33908</v>
      </c>
      <c r="B210" s="255"/>
      <c r="C210" s="259"/>
      <c r="D210" s="73"/>
      <c r="E210" s="73"/>
    </row>
    <row r="211" spans="1:5" x14ac:dyDescent="0.2">
      <c r="A211" s="345">
        <v>33938</v>
      </c>
      <c r="B211" s="255"/>
      <c r="C211" s="259"/>
      <c r="D211" s="73"/>
      <c r="E211" s="73"/>
    </row>
    <row r="212" spans="1:5" x14ac:dyDescent="0.2">
      <c r="A212" s="345">
        <v>33969</v>
      </c>
      <c r="B212" s="255"/>
      <c r="C212" s="259"/>
      <c r="D212" s="73"/>
      <c r="E212" s="73"/>
    </row>
    <row r="213" spans="1:5" x14ac:dyDescent="0.2">
      <c r="A213" s="345">
        <v>34000</v>
      </c>
      <c r="B213" s="255"/>
      <c r="C213" s="259"/>
      <c r="D213" s="73"/>
      <c r="E213" s="73"/>
    </row>
    <row r="214" spans="1:5" x14ac:dyDescent="0.2">
      <c r="A214" s="345">
        <v>34028</v>
      </c>
      <c r="B214" s="255"/>
      <c r="C214" s="259"/>
      <c r="D214" s="73"/>
      <c r="E214" s="73"/>
    </row>
    <row r="215" spans="1:5" x14ac:dyDescent="0.2">
      <c r="A215" s="345">
        <v>34059</v>
      </c>
      <c r="B215" s="255"/>
      <c r="C215" s="259"/>
      <c r="D215" s="73"/>
      <c r="E215" s="73"/>
    </row>
    <row r="216" spans="1:5" x14ac:dyDescent="0.2">
      <c r="A216" s="345">
        <v>34089</v>
      </c>
      <c r="B216" s="255"/>
      <c r="C216" s="259"/>
      <c r="D216" s="73"/>
      <c r="E216" s="73"/>
    </row>
    <row r="217" spans="1:5" x14ac:dyDescent="0.2">
      <c r="A217" s="345">
        <v>34120</v>
      </c>
      <c r="B217" s="255"/>
      <c r="C217" s="259"/>
      <c r="D217" s="73"/>
      <c r="E217" s="73"/>
    </row>
    <row r="218" spans="1:5" x14ac:dyDescent="0.2">
      <c r="A218" s="345">
        <v>34150</v>
      </c>
      <c r="B218" s="255"/>
      <c r="C218" s="259"/>
      <c r="D218" s="73"/>
      <c r="E218" s="73"/>
    </row>
    <row r="219" spans="1:5" x14ac:dyDescent="0.2">
      <c r="A219" s="345">
        <v>34181</v>
      </c>
      <c r="B219" s="255"/>
      <c r="C219" s="259"/>
      <c r="D219" s="73"/>
      <c r="E219" s="73"/>
    </row>
    <row r="220" spans="1:5" x14ac:dyDescent="0.2">
      <c r="A220" s="345">
        <v>34212</v>
      </c>
      <c r="B220" s="255"/>
      <c r="C220" s="259"/>
      <c r="D220" s="73"/>
      <c r="E220" s="73"/>
    </row>
    <row r="221" spans="1:5" x14ac:dyDescent="0.2">
      <c r="A221" s="345">
        <v>34242</v>
      </c>
      <c r="B221" s="255"/>
      <c r="C221" s="259"/>
      <c r="D221" s="73"/>
      <c r="E221" s="73"/>
    </row>
    <row r="222" spans="1:5" x14ac:dyDescent="0.2">
      <c r="A222" s="345">
        <v>34273</v>
      </c>
      <c r="B222" s="255"/>
      <c r="C222" s="259"/>
      <c r="D222" s="73"/>
      <c r="E222" s="73"/>
    </row>
    <row r="223" spans="1:5" x14ac:dyDescent="0.2">
      <c r="A223" s="345">
        <v>34303</v>
      </c>
      <c r="B223" s="255"/>
      <c r="C223" s="259"/>
      <c r="D223" s="73"/>
      <c r="E223" s="73"/>
    </row>
    <row r="224" spans="1:5" x14ac:dyDescent="0.2">
      <c r="A224" s="345">
        <v>34334</v>
      </c>
      <c r="B224" s="255"/>
      <c r="C224" s="259"/>
      <c r="D224" s="73"/>
      <c r="E224" s="73"/>
    </row>
    <row r="225" spans="1:5" x14ac:dyDescent="0.2">
      <c r="A225" s="345">
        <v>34365</v>
      </c>
      <c r="B225" s="255"/>
      <c r="C225" s="259"/>
      <c r="D225" s="73"/>
      <c r="E225" s="73"/>
    </row>
    <row r="226" spans="1:5" x14ac:dyDescent="0.2">
      <c r="A226" s="345">
        <v>34393</v>
      </c>
      <c r="B226" s="255"/>
      <c r="C226" s="259"/>
      <c r="D226" s="73"/>
      <c r="E226" s="73"/>
    </row>
    <row r="227" spans="1:5" x14ac:dyDescent="0.2">
      <c r="A227" s="345">
        <v>34424</v>
      </c>
      <c r="B227" s="255"/>
      <c r="C227" s="259"/>
      <c r="D227" s="73"/>
      <c r="E227" s="73"/>
    </row>
    <row r="228" spans="1:5" x14ac:dyDescent="0.2">
      <c r="A228" s="345">
        <v>34454</v>
      </c>
      <c r="B228" s="255"/>
      <c r="C228" s="259"/>
      <c r="D228" s="73"/>
      <c r="E228" s="73"/>
    </row>
    <row r="229" spans="1:5" x14ac:dyDescent="0.2">
      <c r="A229" s="345">
        <v>34485</v>
      </c>
      <c r="B229" s="255"/>
      <c r="C229" s="259"/>
      <c r="D229" s="73"/>
      <c r="E229" s="73"/>
    </row>
    <row r="230" spans="1:5" x14ac:dyDescent="0.2">
      <c r="A230" s="345">
        <v>34515</v>
      </c>
      <c r="B230" s="255"/>
      <c r="C230" s="259"/>
      <c r="D230" s="73"/>
      <c r="E230" s="73"/>
    </row>
    <row r="231" spans="1:5" x14ac:dyDescent="0.2">
      <c r="A231" s="345">
        <v>34546</v>
      </c>
      <c r="B231" s="255"/>
      <c r="C231" s="259"/>
      <c r="D231" s="73"/>
      <c r="E231" s="73"/>
    </row>
    <row r="232" spans="1:5" x14ac:dyDescent="0.2">
      <c r="A232" s="345">
        <v>34577</v>
      </c>
      <c r="B232" s="255"/>
      <c r="C232" s="259"/>
      <c r="D232" s="73"/>
      <c r="E232" s="73"/>
    </row>
    <row r="233" spans="1:5" x14ac:dyDescent="0.2">
      <c r="A233" s="345">
        <v>34607</v>
      </c>
      <c r="B233" s="255"/>
      <c r="C233" s="259"/>
      <c r="D233" s="73"/>
      <c r="E233" s="73"/>
    </row>
    <row r="234" spans="1:5" x14ac:dyDescent="0.2">
      <c r="A234" s="345">
        <v>34638</v>
      </c>
      <c r="B234" s="255"/>
      <c r="C234" s="259"/>
      <c r="D234" s="73"/>
      <c r="E234" s="73"/>
    </row>
    <row r="235" spans="1:5" x14ac:dyDescent="0.2">
      <c r="A235" s="345">
        <v>34668</v>
      </c>
      <c r="B235" s="255"/>
      <c r="C235" s="259"/>
      <c r="D235" s="73"/>
      <c r="E235" s="73"/>
    </row>
    <row r="236" spans="1:5" x14ac:dyDescent="0.2">
      <c r="A236" s="345">
        <v>34699</v>
      </c>
      <c r="B236" s="255"/>
      <c r="C236" s="259"/>
      <c r="D236" s="73"/>
      <c r="E236" s="73"/>
    </row>
    <row r="237" spans="1:5" x14ac:dyDescent="0.2">
      <c r="A237" s="345">
        <v>34730</v>
      </c>
      <c r="B237" s="255"/>
      <c r="C237" s="259"/>
      <c r="D237" s="73"/>
      <c r="E237" s="73"/>
    </row>
    <row r="238" spans="1:5" x14ac:dyDescent="0.2">
      <c r="A238" s="345">
        <v>34758</v>
      </c>
      <c r="B238" s="255"/>
      <c r="C238" s="259"/>
      <c r="D238" s="73"/>
      <c r="E238" s="73"/>
    </row>
    <row r="239" spans="1:5" x14ac:dyDescent="0.2">
      <c r="A239" s="345">
        <v>34789</v>
      </c>
      <c r="B239" s="255"/>
      <c r="C239" s="259"/>
      <c r="D239" s="73"/>
      <c r="E239" s="73"/>
    </row>
    <row r="240" spans="1:5" x14ac:dyDescent="0.2">
      <c r="A240" s="345">
        <v>34819</v>
      </c>
      <c r="B240" s="255"/>
      <c r="C240" s="259"/>
      <c r="D240" s="73"/>
      <c r="E240" s="73"/>
    </row>
    <row r="241" spans="1:5" x14ac:dyDescent="0.2">
      <c r="A241" s="345">
        <v>34850</v>
      </c>
      <c r="B241" s="255"/>
      <c r="C241" s="259"/>
      <c r="D241" s="73"/>
      <c r="E241" s="73"/>
    </row>
    <row r="242" spans="1:5" x14ac:dyDescent="0.2">
      <c r="A242" s="345">
        <v>34880</v>
      </c>
      <c r="B242" s="255"/>
      <c r="C242" s="259"/>
      <c r="D242" s="77"/>
      <c r="E242" s="77"/>
    </row>
    <row r="243" spans="1:5" x14ac:dyDescent="0.2">
      <c r="A243" s="345">
        <v>34911</v>
      </c>
      <c r="B243" s="255"/>
      <c r="C243" s="259"/>
      <c r="D243" s="77"/>
      <c r="E243" s="77"/>
    </row>
    <row r="244" spans="1:5" x14ac:dyDescent="0.2">
      <c r="A244" s="345">
        <v>34942</v>
      </c>
      <c r="B244" s="255"/>
      <c r="C244" s="259"/>
      <c r="D244" s="77"/>
      <c r="E244" s="77"/>
    </row>
    <row r="245" spans="1:5" x14ac:dyDescent="0.2">
      <c r="A245" s="345">
        <v>34972</v>
      </c>
      <c r="B245" s="255"/>
      <c r="C245" s="259"/>
      <c r="D245" s="77"/>
      <c r="E245" s="77"/>
    </row>
    <row r="246" spans="1:5" x14ac:dyDescent="0.2">
      <c r="A246" s="345">
        <v>35003</v>
      </c>
      <c r="B246" s="255"/>
      <c r="C246" s="259"/>
      <c r="D246" s="77"/>
      <c r="E246" s="77"/>
    </row>
    <row r="247" spans="1:5" x14ac:dyDescent="0.2">
      <c r="A247" s="345">
        <v>35033</v>
      </c>
      <c r="B247" s="255"/>
      <c r="C247" s="259"/>
      <c r="D247" s="77"/>
      <c r="E247" s="77"/>
    </row>
    <row r="248" spans="1:5" x14ac:dyDescent="0.2">
      <c r="A248" s="345">
        <v>35064</v>
      </c>
      <c r="B248" s="255"/>
      <c r="C248" s="259"/>
      <c r="D248" s="77"/>
      <c r="E248" s="77"/>
    </row>
    <row r="249" spans="1:5" x14ac:dyDescent="0.2">
      <c r="A249" s="345">
        <v>35095</v>
      </c>
      <c r="B249" s="255"/>
      <c r="C249" s="259"/>
      <c r="D249" s="77"/>
      <c r="E249" s="77"/>
    </row>
    <row r="250" spans="1:5" x14ac:dyDescent="0.2">
      <c r="A250" s="345">
        <v>35124</v>
      </c>
      <c r="B250" s="255"/>
      <c r="C250" s="259"/>
      <c r="D250" s="77"/>
      <c r="E250" s="77"/>
    </row>
    <row r="251" spans="1:5" x14ac:dyDescent="0.2">
      <c r="A251" s="345">
        <v>35155</v>
      </c>
      <c r="B251" s="255"/>
      <c r="C251" s="259"/>
      <c r="D251" s="77"/>
      <c r="E251" s="77"/>
    </row>
    <row r="252" spans="1:5" x14ac:dyDescent="0.2">
      <c r="A252" s="345">
        <v>35185</v>
      </c>
      <c r="B252" s="253"/>
      <c r="C252" s="259"/>
      <c r="D252" s="77"/>
      <c r="E252" s="77"/>
    </row>
    <row r="253" spans="1:5" x14ac:dyDescent="0.2">
      <c r="A253" s="345">
        <v>35216</v>
      </c>
      <c r="B253" s="253"/>
      <c r="C253" s="259"/>
      <c r="D253" s="77"/>
      <c r="E253" s="77"/>
    </row>
    <row r="254" spans="1:5" x14ac:dyDescent="0.2">
      <c r="A254" s="345">
        <v>35246</v>
      </c>
      <c r="B254" s="253"/>
      <c r="C254" s="259"/>
      <c r="D254" s="77"/>
      <c r="E254" s="77"/>
    </row>
    <row r="255" spans="1:5" x14ac:dyDescent="0.2">
      <c r="A255" s="345">
        <v>35277</v>
      </c>
      <c r="B255" s="253"/>
      <c r="C255" s="259"/>
      <c r="D255" s="77"/>
      <c r="E255" s="77"/>
    </row>
    <row r="256" spans="1:5" x14ac:dyDescent="0.2">
      <c r="A256" s="345">
        <v>35308</v>
      </c>
      <c r="B256" s="253"/>
      <c r="C256" s="259"/>
      <c r="D256" s="77"/>
      <c r="E256" s="77"/>
    </row>
    <row r="257" spans="1:5" x14ac:dyDescent="0.2">
      <c r="A257" s="345">
        <v>35338</v>
      </c>
      <c r="B257" s="253"/>
      <c r="C257" s="259"/>
      <c r="D257" s="77"/>
      <c r="E257" s="77"/>
    </row>
    <row r="258" spans="1:5" x14ac:dyDescent="0.2">
      <c r="A258" s="345">
        <v>35369</v>
      </c>
      <c r="B258" s="253"/>
      <c r="C258" s="259"/>
      <c r="D258" s="77"/>
      <c r="E258" s="77"/>
    </row>
    <row r="259" spans="1:5" x14ac:dyDescent="0.2">
      <c r="A259" s="345">
        <v>35399</v>
      </c>
      <c r="B259" s="253"/>
      <c r="C259" s="259"/>
      <c r="D259" s="77"/>
      <c r="E259" s="77"/>
    </row>
    <row r="260" spans="1:5" x14ac:dyDescent="0.2">
      <c r="A260" s="345">
        <v>35430</v>
      </c>
      <c r="B260" s="253"/>
      <c r="C260" s="259"/>
      <c r="D260" s="77"/>
      <c r="E260" s="77"/>
    </row>
    <row r="261" spans="1:5" x14ac:dyDescent="0.2">
      <c r="A261" s="345">
        <v>35461</v>
      </c>
      <c r="B261" s="253"/>
      <c r="C261" s="259"/>
      <c r="D261" s="77"/>
      <c r="E261" s="77"/>
    </row>
    <row r="262" spans="1:5" x14ac:dyDescent="0.2">
      <c r="A262" s="345">
        <v>35489</v>
      </c>
      <c r="B262" s="253"/>
      <c r="C262" s="259"/>
      <c r="D262" s="77"/>
      <c r="E262" s="77"/>
    </row>
    <row r="263" spans="1:5" x14ac:dyDescent="0.2">
      <c r="A263" s="345">
        <v>35520</v>
      </c>
      <c r="B263" s="253"/>
      <c r="C263" s="259"/>
      <c r="D263" s="77"/>
      <c r="E263" s="77"/>
    </row>
    <row r="264" spans="1:5" x14ac:dyDescent="0.2">
      <c r="A264" s="345">
        <v>35550</v>
      </c>
      <c r="B264" s="253"/>
      <c r="C264" s="259"/>
      <c r="D264" s="77"/>
      <c r="E264" s="77"/>
    </row>
    <row r="265" spans="1:5" x14ac:dyDescent="0.2">
      <c r="A265" s="345">
        <v>35581</v>
      </c>
      <c r="B265" s="253"/>
      <c r="C265" s="259"/>
      <c r="D265" s="77"/>
      <c r="E265" s="77"/>
    </row>
    <row r="266" spans="1:5" x14ac:dyDescent="0.2">
      <c r="A266" s="345">
        <v>35611</v>
      </c>
      <c r="B266" s="253"/>
      <c r="C266" s="259"/>
      <c r="D266" s="77"/>
      <c r="E266" s="77"/>
    </row>
    <row r="267" spans="1:5" x14ac:dyDescent="0.2">
      <c r="A267" s="345">
        <v>35642</v>
      </c>
      <c r="B267" s="253"/>
      <c r="C267" s="259"/>
      <c r="D267" s="77"/>
      <c r="E267" s="77"/>
    </row>
    <row r="268" spans="1:5" x14ac:dyDescent="0.2">
      <c r="A268" s="345">
        <v>35673</v>
      </c>
      <c r="B268" s="253"/>
      <c r="C268" s="259"/>
      <c r="D268" s="77"/>
      <c r="E268" s="77"/>
    </row>
    <row r="269" spans="1:5" x14ac:dyDescent="0.2">
      <c r="A269" s="345">
        <v>35703</v>
      </c>
      <c r="B269" s="253"/>
      <c r="C269" s="259"/>
      <c r="D269" s="77"/>
      <c r="E269" s="77"/>
    </row>
    <row r="270" spans="1:5" x14ac:dyDescent="0.2">
      <c r="A270" s="345">
        <v>35734</v>
      </c>
      <c r="B270" s="253"/>
      <c r="C270" s="259"/>
      <c r="D270" s="77"/>
      <c r="E270" s="77"/>
    </row>
    <row r="271" spans="1:5" x14ac:dyDescent="0.2">
      <c r="A271" s="345">
        <v>35764</v>
      </c>
      <c r="B271" s="253"/>
      <c r="C271" s="259"/>
      <c r="D271" s="77"/>
      <c r="E271" s="77"/>
    </row>
    <row r="272" spans="1:5" x14ac:dyDescent="0.2">
      <c r="A272" s="345">
        <v>35795</v>
      </c>
      <c r="B272" s="253"/>
      <c r="C272" s="259"/>
      <c r="D272" s="77"/>
      <c r="E272" s="77"/>
    </row>
    <row r="273" spans="1:5" x14ac:dyDescent="0.2">
      <c r="A273" s="345">
        <v>35826</v>
      </c>
      <c r="B273" s="253"/>
      <c r="C273" s="259"/>
      <c r="D273" s="77"/>
      <c r="E273" s="77"/>
    </row>
    <row r="274" spans="1:5" x14ac:dyDescent="0.2">
      <c r="A274" s="345">
        <v>35854</v>
      </c>
      <c r="B274" s="253"/>
      <c r="C274" s="259"/>
      <c r="D274" s="77"/>
      <c r="E274" s="77"/>
    </row>
    <row r="275" spans="1:5" x14ac:dyDescent="0.2">
      <c r="A275" s="345">
        <v>35885</v>
      </c>
      <c r="B275" s="253"/>
      <c r="C275" s="259"/>
      <c r="D275" s="77"/>
      <c r="E275" s="77"/>
    </row>
    <row r="276" spans="1:5" x14ac:dyDescent="0.2">
      <c r="A276" s="345">
        <v>35915</v>
      </c>
      <c r="B276" s="253"/>
      <c r="C276" s="259"/>
      <c r="D276" s="77"/>
      <c r="E276" s="77"/>
    </row>
    <row r="277" spans="1:5" x14ac:dyDescent="0.2">
      <c r="A277" s="345">
        <v>35946</v>
      </c>
      <c r="B277" s="253"/>
      <c r="C277" s="259"/>
      <c r="D277" s="77"/>
      <c r="E277" s="77"/>
    </row>
    <row r="278" spans="1:5" x14ac:dyDescent="0.2">
      <c r="A278" s="345">
        <v>35976</v>
      </c>
      <c r="B278" s="253"/>
      <c r="C278" s="259"/>
      <c r="D278" s="77"/>
      <c r="E278" s="77"/>
    </row>
    <row r="279" spans="1:5" x14ac:dyDescent="0.2">
      <c r="A279" s="345">
        <v>36007</v>
      </c>
      <c r="B279" s="253"/>
      <c r="C279" s="259"/>
      <c r="D279" s="77"/>
      <c r="E279" s="77"/>
    </row>
    <row r="280" spans="1:5" x14ac:dyDescent="0.2">
      <c r="A280" s="345">
        <v>36038</v>
      </c>
      <c r="B280" s="253"/>
      <c r="C280" s="259"/>
      <c r="D280" s="77"/>
      <c r="E280" s="77"/>
    </row>
    <row r="281" spans="1:5" x14ac:dyDescent="0.2">
      <c r="A281" s="345">
        <v>36068</v>
      </c>
      <c r="B281" s="253"/>
      <c r="C281" s="259"/>
      <c r="D281" s="77"/>
      <c r="E281" s="77"/>
    </row>
    <row r="282" spans="1:5" x14ac:dyDescent="0.2">
      <c r="A282" s="345">
        <v>36099</v>
      </c>
      <c r="B282" s="253"/>
      <c r="C282" s="259"/>
      <c r="D282" s="77"/>
      <c r="E282" s="77"/>
    </row>
    <row r="283" spans="1:5" x14ac:dyDescent="0.2">
      <c r="A283" s="345">
        <v>36129</v>
      </c>
      <c r="B283" s="253"/>
      <c r="C283" s="259"/>
      <c r="D283" s="77"/>
      <c r="E283" s="77"/>
    </row>
    <row r="284" spans="1:5" x14ac:dyDescent="0.2">
      <c r="A284" s="345">
        <v>36160</v>
      </c>
      <c r="B284" s="253"/>
      <c r="C284" s="33"/>
      <c r="D284" s="253"/>
      <c r="E284" s="253"/>
    </row>
    <row r="285" spans="1:5" x14ac:dyDescent="0.2">
      <c r="A285" s="345">
        <v>36191</v>
      </c>
      <c r="B285" s="253"/>
      <c r="C285" s="33"/>
      <c r="D285" s="253"/>
      <c r="E285" s="253"/>
    </row>
    <row r="286" spans="1:5" x14ac:dyDescent="0.2">
      <c r="A286" s="345">
        <v>36219</v>
      </c>
      <c r="B286" s="253"/>
      <c r="C286" s="33"/>
      <c r="D286" s="253"/>
      <c r="E286" s="253"/>
    </row>
    <row r="287" spans="1:5" x14ac:dyDescent="0.2">
      <c r="A287" s="345">
        <v>36250</v>
      </c>
      <c r="B287" s="253"/>
      <c r="C287" s="33"/>
      <c r="D287" s="253"/>
      <c r="E287" s="253"/>
    </row>
    <row r="288" spans="1:5" x14ac:dyDescent="0.2">
      <c r="A288" s="345">
        <v>36280</v>
      </c>
      <c r="B288" s="253"/>
      <c r="C288" s="33"/>
      <c r="D288" s="253"/>
      <c r="E288" s="253"/>
    </row>
    <row r="289" spans="1:5" x14ac:dyDescent="0.2">
      <c r="A289" s="345">
        <v>36311</v>
      </c>
      <c r="B289" s="253"/>
      <c r="C289" s="33"/>
      <c r="D289" s="253"/>
      <c r="E289" s="253"/>
    </row>
    <row r="290" spans="1:5" x14ac:dyDescent="0.2">
      <c r="A290" s="345">
        <v>36341</v>
      </c>
      <c r="B290" s="253"/>
      <c r="C290" s="33"/>
      <c r="D290" s="253"/>
      <c r="E290" s="253"/>
    </row>
    <row r="291" spans="1:5" x14ac:dyDescent="0.2">
      <c r="A291" s="345">
        <v>36372</v>
      </c>
      <c r="B291" s="253"/>
      <c r="C291" s="33"/>
      <c r="D291" s="253"/>
      <c r="E291" s="253"/>
    </row>
    <row r="292" spans="1:5" x14ac:dyDescent="0.2">
      <c r="A292" s="345">
        <v>36403</v>
      </c>
      <c r="B292" s="253"/>
      <c r="C292" s="33"/>
      <c r="D292" s="253"/>
      <c r="E292" s="253"/>
    </row>
    <row r="293" spans="1:5" x14ac:dyDescent="0.2">
      <c r="A293" s="345">
        <v>36433</v>
      </c>
      <c r="B293" s="253"/>
      <c r="C293" s="33"/>
      <c r="D293" s="253"/>
      <c r="E293" s="253"/>
    </row>
    <row r="294" spans="1:5" x14ac:dyDescent="0.2">
      <c r="A294" s="345">
        <v>36464</v>
      </c>
      <c r="B294" s="253"/>
      <c r="C294" s="33"/>
      <c r="D294" s="253"/>
      <c r="E294" s="253"/>
    </row>
    <row r="295" spans="1:5" x14ac:dyDescent="0.2">
      <c r="A295" s="345">
        <v>36494</v>
      </c>
      <c r="B295" s="253"/>
      <c r="C295" s="33"/>
      <c r="D295" s="253"/>
      <c r="E295" s="253"/>
    </row>
    <row r="296" spans="1:5" x14ac:dyDescent="0.2">
      <c r="A296" s="345">
        <v>36525</v>
      </c>
      <c r="B296" s="253"/>
      <c r="C296" s="33"/>
      <c r="D296" s="253"/>
      <c r="E296" s="253"/>
    </row>
    <row r="297" spans="1:5" x14ac:dyDescent="0.2">
      <c r="A297" s="345">
        <v>36556</v>
      </c>
      <c r="B297" s="253"/>
      <c r="C297" s="33"/>
      <c r="D297" s="253"/>
      <c r="E297" s="253"/>
    </row>
    <row r="298" spans="1:5" x14ac:dyDescent="0.2">
      <c r="A298" s="345">
        <v>36585</v>
      </c>
      <c r="B298" s="253"/>
      <c r="C298" s="33"/>
      <c r="D298" s="253"/>
      <c r="E298" s="253"/>
    </row>
    <row r="299" spans="1:5" x14ac:dyDescent="0.2">
      <c r="A299" s="345">
        <v>36616</v>
      </c>
      <c r="B299" s="253"/>
      <c r="C299" s="33"/>
      <c r="D299" s="253"/>
      <c r="E299" s="253"/>
    </row>
    <row r="300" spans="1:5" x14ac:dyDescent="0.2">
      <c r="A300" s="345">
        <v>36646</v>
      </c>
      <c r="B300" s="253"/>
      <c r="C300" s="33"/>
      <c r="D300" s="253"/>
      <c r="E300" s="253"/>
    </row>
    <row r="301" spans="1:5" x14ac:dyDescent="0.2">
      <c r="A301" s="345">
        <v>36677</v>
      </c>
      <c r="B301" s="253"/>
      <c r="C301" s="33"/>
      <c r="D301" s="253"/>
      <c r="E301" s="253"/>
    </row>
    <row r="302" spans="1:5" x14ac:dyDescent="0.2">
      <c r="A302" s="345">
        <v>36707</v>
      </c>
      <c r="B302" s="253"/>
      <c r="C302" s="33"/>
      <c r="D302" s="253"/>
      <c r="E302" s="253"/>
    </row>
    <row r="303" spans="1:5" x14ac:dyDescent="0.2">
      <c r="A303" s="345">
        <v>36738</v>
      </c>
      <c r="B303" s="253"/>
      <c r="C303" s="33"/>
      <c r="D303" s="253"/>
      <c r="E303" s="253"/>
    </row>
    <row r="304" spans="1:5" x14ac:dyDescent="0.2">
      <c r="A304" s="345">
        <v>36769</v>
      </c>
      <c r="B304" s="253"/>
      <c r="C304" s="33"/>
      <c r="D304" s="253"/>
      <c r="E304" s="253"/>
    </row>
    <row r="305" spans="1:5" x14ac:dyDescent="0.2">
      <c r="A305" s="345">
        <v>36799</v>
      </c>
      <c r="B305" s="253"/>
      <c r="C305" s="33"/>
      <c r="D305" s="253"/>
      <c r="E305" s="253"/>
    </row>
    <row r="306" spans="1:5" x14ac:dyDescent="0.2">
      <c r="A306" s="345">
        <v>36830</v>
      </c>
      <c r="B306" s="253"/>
      <c r="C306" s="33"/>
      <c r="D306" s="253"/>
      <c r="E306" s="253"/>
    </row>
    <row r="307" spans="1:5" x14ac:dyDescent="0.2">
      <c r="A307" s="345">
        <v>36860</v>
      </c>
      <c r="B307" s="253"/>
      <c r="C307" s="33"/>
      <c r="D307" s="253"/>
      <c r="E307" s="253"/>
    </row>
    <row r="308" spans="1:5" x14ac:dyDescent="0.2">
      <c r="A308" s="345">
        <v>36891</v>
      </c>
      <c r="B308" s="253"/>
      <c r="C308" s="33"/>
      <c r="D308" s="253"/>
      <c r="E308" s="253"/>
    </row>
    <row r="309" spans="1:5" x14ac:dyDescent="0.2">
      <c r="A309" s="345">
        <v>36922</v>
      </c>
      <c r="B309" s="253"/>
      <c r="C309" s="33"/>
      <c r="D309" s="253"/>
      <c r="E309" s="253"/>
    </row>
    <row r="310" spans="1:5" x14ac:dyDescent="0.2">
      <c r="A310" s="345">
        <v>36950</v>
      </c>
      <c r="B310" s="253"/>
      <c r="C310" s="33"/>
      <c r="D310" s="253"/>
      <c r="E310" s="253"/>
    </row>
    <row r="311" spans="1:5" x14ac:dyDescent="0.2">
      <c r="A311" s="345">
        <v>36981</v>
      </c>
      <c r="B311" s="253"/>
      <c r="C311" s="33"/>
      <c r="D311" s="253"/>
      <c r="E311" s="253"/>
    </row>
    <row r="312" spans="1:5" x14ac:dyDescent="0.2">
      <c r="A312" s="345">
        <v>37011</v>
      </c>
      <c r="B312" s="253"/>
      <c r="C312" s="33"/>
      <c r="D312" s="253"/>
      <c r="E312" s="253"/>
    </row>
    <row r="313" spans="1:5" x14ac:dyDescent="0.2">
      <c r="A313" s="345">
        <v>37042</v>
      </c>
      <c r="B313" s="253"/>
      <c r="C313" s="33"/>
      <c r="D313" s="253"/>
      <c r="E313" s="253"/>
    </row>
    <row r="314" spans="1:5" x14ac:dyDescent="0.2">
      <c r="A314" s="345">
        <v>37072</v>
      </c>
      <c r="B314" s="253"/>
      <c r="C314" s="33"/>
      <c r="D314" s="253"/>
      <c r="E314" s="253"/>
    </row>
    <row r="315" spans="1:5" x14ac:dyDescent="0.2">
      <c r="A315" s="345">
        <v>37103</v>
      </c>
      <c r="B315" s="253"/>
      <c r="C315" s="33"/>
      <c r="D315" s="253"/>
      <c r="E315" s="253"/>
    </row>
    <row r="316" spans="1:5" x14ac:dyDescent="0.2">
      <c r="A316" s="345">
        <v>37134</v>
      </c>
      <c r="B316" s="253"/>
      <c r="C316" s="33"/>
      <c r="D316" s="253"/>
      <c r="E316" s="253"/>
    </row>
    <row r="317" spans="1:5" x14ac:dyDescent="0.2">
      <c r="A317" s="345">
        <v>37164</v>
      </c>
      <c r="B317" s="253"/>
      <c r="C317" s="33"/>
      <c r="D317" s="253"/>
      <c r="E317" s="253"/>
    </row>
    <row r="318" spans="1:5" x14ac:dyDescent="0.2">
      <c r="A318" s="345">
        <v>37195</v>
      </c>
      <c r="B318" s="253"/>
      <c r="C318" s="33"/>
      <c r="D318" s="253"/>
      <c r="E318" s="253"/>
    </row>
    <row r="319" spans="1:5" x14ac:dyDescent="0.2">
      <c r="A319" s="345">
        <v>37225</v>
      </c>
      <c r="B319" s="253"/>
      <c r="C319" s="33"/>
      <c r="D319" s="253"/>
      <c r="E319" s="253"/>
    </row>
    <row r="320" spans="1:5" x14ac:dyDescent="0.2">
      <c r="A320" s="345">
        <v>37256</v>
      </c>
      <c r="B320" s="253"/>
      <c r="C320" s="33"/>
      <c r="D320" s="253"/>
      <c r="E320" s="253"/>
    </row>
    <row r="321" spans="1:5" x14ac:dyDescent="0.2">
      <c r="A321" s="345">
        <v>37287</v>
      </c>
      <c r="B321" s="253"/>
      <c r="C321" s="33"/>
      <c r="D321" s="253"/>
      <c r="E321" s="253"/>
    </row>
    <row r="322" spans="1:5" x14ac:dyDescent="0.2">
      <c r="A322" s="345">
        <v>37315</v>
      </c>
      <c r="B322" s="253"/>
      <c r="C322" s="33"/>
      <c r="D322" s="253"/>
      <c r="E322" s="253"/>
    </row>
    <row r="323" spans="1:5" x14ac:dyDescent="0.2">
      <c r="A323" s="345">
        <v>37346</v>
      </c>
      <c r="B323" s="253"/>
      <c r="C323" s="33"/>
      <c r="D323" s="253"/>
      <c r="E323" s="253"/>
    </row>
    <row r="324" spans="1:5" x14ac:dyDescent="0.2">
      <c r="A324" s="345">
        <v>37376</v>
      </c>
      <c r="B324" s="253"/>
      <c r="C324" s="33"/>
      <c r="D324" s="253"/>
      <c r="E324" s="253"/>
    </row>
    <row r="325" spans="1:5" x14ac:dyDescent="0.2">
      <c r="A325" s="345">
        <v>37407</v>
      </c>
      <c r="B325" s="253"/>
      <c r="C325" s="33"/>
      <c r="D325" s="253"/>
      <c r="E325" s="253"/>
    </row>
    <row r="326" spans="1:5" x14ac:dyDescent="0.2">
      <c r="A326" s="345">
        <v>37437</v>
      </c>
      <c r="B326" s="253"/>
      <c r="C326" s="33"/>
      <c r="D326" s="253"/>
      <c r="E326" s="253"/>
    </row>
    <row r="327" spans="1:5" x14ac:dyDescent="0.2">
      <c r="A327" s="345">
        <v>37468</v>
      </c>
      <c r="B327" s="253"/>
      <c r="C327" s="33"/>
      <c r="D327" s="253"/>
      <c r="E327" s="253"/>
    </row>
    <row r="328" spans="1:5" x14ac:dyDescent="0.2">
      <c r="A328" s="345">
        <v>37499</v>
      </c>
      <c r="B328" s="253"/>
      <c r="C328" s="33"/>
      <c r="D328" s="253"/>
      <c r="E328" s="253"/>
    </row>
    <row r="329" spans="1:5" x14ac:dyDescent="0.2">
      <c r="A329" s="345">
        <v>37529</v>
      </c>
      <c r="B329" s="253"/>
      <c r="C329" s="33"/>
      <c r="D329" s="253"/>
      <c r="E329" s="253"/>
    </row>
    <row r="330" spans="1:5" x14ac:dyDescent="0.2">
      <c r="A330" s="345">
        <v>37560</v>
      </c>
      <c r="B330" s="253"/>
      <c r="C330" s="33"/>
      <c r="D330" s="253"/>
      <c r="E330" s="253"/>
    </row>
    <row r="331" spans="1:5" x14ac:dyDescent="0.2">
      <c r="A331" s="345">
        <v>37590</v>
      </c>
      <c r="B331" s="253"/>
      <c r="C331" s="33"/>
      <c r="D331" s="253"/>
      <c r="E331" s="253"/>
    </row>
    <row r="332" spans="1:5" x14ac:dyDescent="0.2">
      <c r="A332" s="345">
        <v>37621</v>
      </c>
      <c r="B332" s="253"/>
      <c r="C332" s="33"/>
      <c r="D332" s="253"/>
      <c r="E332" s="253"/>
    </row>
    <row r="333" spans="1:5" x14ac:dyDescent="0.2">
      <c r="A333" s="345">
        <v>37652</v>
      </c>
      <c r="B333" s="253"/>
      <c r="C333" s="33"/>
      <c r="D333" s="253"/>
      <c r="E333" s="253"/>
    </row>
    <row r="334" spans="1:5" x14ac:dyDescent="0.2">
      <c r="A334" s="345">
        <v>37680</v>
      </c>
      <c r="B334" s="253"/>
      <c r="C334" s="33"/>
      <c r="D334" s="253"/>
      <c r="E334" s="253"/>
    </row>
    <row r="335" spans="1:5" x14ac:dyDescent="0.2">
      <c r="A335" s="345">
        <v>37711</v>
      </c>
      <c r="B335" s="253"/>
      <c r="C335" s="33"/>
      <c r="D335" s="253"/>
      <c r="E335" s="253"/>
    </row>
    <row r="336" spans="1:5" x14ac:dyDescent="0.2">
      <c r="A336" s="345">
        <v>37741</v>
      </c>
      <c r="B336" s="253"/>
      <c r="C336" s="33"/>
      <c r="D336" s="253"/>
      <c r="E336" s="253"/>
    </row>
    <row r="337" spans="1:9" x14ac:dyDescent="0.2">
      <c r="A337" s="345">
        <v>37772</v>
      </c>
      <c r="B337" s="253"/>
      <c r="C337" s="33"/>
      <c r="D337" s="253"/>
      <c r="E337" s="253"/>
    </row>
    <row r="338" spans="1:9" x14ac:dyDescent="0.2">
      <c r="A338" s="345">
        <v>37802</v>
      </c>
      <c r="B338" s="253"/>
      <c r="C338" s="33"/>
      <c r="D338" s="253"/>
      <c r="E338" s="253"/>
    </row>
    <row r="339" spans="1:9" x14ac:dyDescent="0.2">
      <c r="A339" s="345">
        <v>37833</v>
      </c>
      <c r="B339" s="253"/>
      <c r="C339" s="33"/>
      <c r="D339" s="253"/>
      <c r="E339" s="253"/>
    </row>
    <row r="340" spans="1:9" x14ac:dyDescent="0.2">
      <c r="A340" s="345">
        <v>37864</v>
      </c>
      <c r="B340" s="253"/>
      <c r="C340" s="33"/>
      <c r="D340" s="253"/>
      <c r="E340" s="253"/>
    </row>
    <row r="341" spans="1:9" x14ac:dyDescent="0.2">
      <c r="A341" s="345">
        <v>37894</v>
      </c>
      <c r="B341" s="253"/>
      <c r="C341" s="34"/>
      <c r="D341" s="253"/>
      <c r="E341" s="253"/>
    </row>
    <row r="342" spans="1:9" x14ac:dyDescent="0.2">
      <c r="A342" s="345">
        <v>37925</v>
      </c>
      <c r="B342" s="253"/>
      <c r="C342" s="34"/>
      <c r="D342" s="253"/>
      <c r="E342" s="253"/>
    </row>
    <row r="343" spans="1:9" x14ac:dyDescent="0.2">
      <c r="A343" s="345">
        <v>37955</v>
      </c>
      <c r="B343" s="253"/>
      <c r="C343" s="34"/>
      <c r="D343" s="253"/>
      <c r="E343" s="253"/>
    </row>
    <row r="344" spans="1:9" x14ac:dyDescent="0.2">
      <c r="A344" s="345">
        <v>37986</v>
      </c>
      <c r="B344" s="253"/>
      <c r="C344" s="34"/>
      <c r="D344" s="253"/>
      <c r="E344" s="253"/>
    </row>
    <row r="345" spans="1:9" x14ac:dyDescent="0.2">
      <c r="A345" s="345">
        <v>38017</v>
      </c>
      <c r="B345" s="253"/>
      <c r="C345" s="34"/>
      <c r="D345" s="253"/>
      <c r="E345" s="253"/>
    </row>
    <row r="346" spans="1:9" x14ac:dyDescent="0.2">
      <c r="A346" s="345">
        <v>38046</v>
      </c>
      <c r="B346" s="253"/>
      <c r="C346" s="34"/>
      <c r="D346" s="253"/>
      <c r="E346" s="253"/>
    </row>
    <row r="347" spans="1:9" x14ac:dyDescent="0.2">
      <c r="A347" s="345">
        <v>38077</v>
      </c>
      <c r="B347" s="253"/>
      <c r="C347" s="34"/>
      <c r="D347" s="255"/>
      <c r="E347" s="253"/>
    </row>
    <row r="348" spans="1:9" x14ac:dyDescent="0.2">
      <c r="A348" s="345">
        <v>38107</v>
      </c>
      <c r="B348" s="253"/>
      <c r="C348" s="34"/>
      <c r="D348" s="253"/>
      <c r="E348" s="253"/>
      <c r="I348" s="14"/>
    </row>
    <row r="349" spans="1:9" x14ac:dyDescent="0.2">
      <c r="A349" s="345">
        <v>38138</v>
      </c>
      <c r="B349" s="253"/>
      <c r="C349" s="34"/>
      <c r="D349" s="253"/>
      <c r="E349" s="253"/>
      <c r="I349" s="14"/>
    </row>
    <row r="350" spans="1:9" x14ac:dyDescent="0.2">
      <c r="A350" s="345">
        <v>38168</v>
      </c>
      <c r="B350" s="253"/>
      <c r="C350" s="34"/>
      <c r="D350" s="253"/>
      <c r="E350" s="253"/>
      <c r="I350" s="14"/>
    </row>
    <row r="351" spans="1:9" x14ac:dyDescent="0.2">
      <c r="A351" s="345">
        <v>38199</v>
      </c>
      <c r="B351" s="253"/>
      <c r="C351" s="34"/>
      <c r="D351" s="253"/>
      <c r="E351" s="253"/>
    </row>
    <row r="352" spans="1:9" x14ac:dyDescent="0.2">
      <c r="A352" s="345">
        <v>38230</v>
      </c>
      <c r="B352" s="253"/>
      <c r="C352" s="34"/>
      <c r="D352" s="253"/>
      <c r="E352" s="253"/>
    </row>
    <row r="353" spans="1:5" x14ac:dyDescent="0.2">
      <c r="A353" s="345">
        <v>38260</v>
      </c>
      <c r="B353" s="253"/>
      <c r="C353" s="34"/>
      <c r="D353" s="253"/>
      <c r="E353" s="253"/>
    </row>
    <row r="354" spans="1:5" x14ac:dyDescent="0.2">
      <c r="A354" s="345">
        <v>38291</v>
      </c>
      <c r="B354" s="253"/>
      <c r="C354" s="34"/>
      <c r="D354" s="253"/>
      <c r="E354" s="253"/>
    </row>
    <row r="355" spans="1:5" x14ac:dyDescent="0.2">
      <c r="A355" s="345">
        <v>38321</v>
      </c>
      <c r="B355" s="253"/>
      <c r="C355" s="34"/>
      <c r="D355" s="253"/>
      <c r="E355" s="253"/>
    </row>
    <row r="356" spans="1:5" x14ac:dyDescent="0.2">
      <c r="A356" s="345">
        <v>38352</v>
      </c>
      <c r="B356" s="253"/>
      <c r="C356" s="256"/>
      <c r="D356" s="253"/>
      <c r="E356" s="253"/>
    </row>
    <row r="357" spans="1:5" x14ac:dyDescent="0.2">
      <c r="A357" s="345">
        <v>38383</v>
      </c>
      <c r="B357" s="253"/>
      <c r="C357" s="34"/>
      <c r="D357" s="76"/>
      <c r="E357" s="253"/>
    </row>
    <row r="358" spans="1:5" x14ac:dyDescent="0.2">
      <c r="A358" s="345">
        <v>38411</v>
      </c>
      <c r="B358" s="253"/>
      <c r="C358" s="34"/>
      <c r="D358" s="76"/>
      <c r="E358" s="253"/>
    </row>
    <row r="359" spans="1:5" x14ac:dyDescent="0.2">
      <c r="A359" s="345">
        <v>38442</v>
      </c>
      <c r="B359" s="253"/>
      <c r="C359" s="256"/>
      <c r="D359" s="76"/>
      <c r="E359" s="253"/>
    </row>
    <row r="360" spans="1:5" x14ac:dyDescent="0.2">
      <c r="A360" s="345">
        <v>38472</v>
      </c>
      <c r="B360" s="253"/>
      <c r="C360" s="256"/>
      <c r="D360" s="76"/>
      <c r="E360" s="253"/>
    </row>
    <row r="361" spans="1:5" x14ac:dyDescent="0.2">
      <c r="A361" s="345">
        <v>38503</v>
      </c>
      <c r="B361" s="253"/>
      <c r="C361" s="256"/>
      <c r="D361" s="76"/>
      <c r="E361" s="253"/>
    </row>
    <row r="362" spans="1:5" x14ac:dyDescent="0.2">
      <c r="A362" s="345">
        <v>38533</v>
      </c>
      <c r="B362" s="253"/>
      <c r="C362" s="256"/>
      <c r="D362" s="76"/>
      <c r="E362" s="253"/>
    </row>
    <row r="363" spans="1:5" x14ac:dyDescent="0.2">
      <c r="A363" s="345">
        <v>38564</v>
      </c>
      <c r="B363" s="253"/>
      <c r="C363" s="256"/>
      <c r="D363" s="76"/>
      <c r="E363" s="253"/>
    </row>
    <row r="364" spans="1:5" x14ac:dyDescent="0.2">
      <c r="A364" s="345">
        <v>38595</v>
      </c>
      <c r="B364" s="253"/>
      <c r="C364" s="256"/>
      <c r="D364" s="76"/>
      <c r="E364" s="253"/>
    </row>
    <row r="365" spans="1:5" x14ac:dyDescent="0.2">
      <c r="A365" s="345">
        <v>38625</v>
      </c>
      <c r="B365" s="253"/>
      <c r="C365" s="334"/>
      <c r="D365" s="76"/>
      <c r="E365" s="253"/>
    </row>
    <row r="366" spans="1:5" x14ac:dyDescent="0.2">
      <c r="A366" s="345">
        <v>38656</v>
      </c>
      <c r="B366" s="253"/>
      <c r="C366" s="334"/>
      <c r="D366" s="76"/>
      <c r="E366" s="253"/>
    </row>
    <row r="367" spans="1:5" x14ac:dyDescent="0.2">
      <c r="A367" s="345">
        <v>38686</v>
      </c>
      <c r="B367" s="253"/>
      <c r="C367" s="334"/>
      <c r="D367" s="76"/>
      <c r="E367" s="253"/>
    </row>
    <row r="368" spans="1:5" x14ac:dyDescent="0.2">
      <c r="A368" s="345">
        <v>38717</v>
      </c>
      <c r="B368" s="253"/>
      <c r="C368" s="256"/>
      <c r="D368" s="76"/>
      <c r="E368" s="253"/>
    </row>
    <row r="369" spans="1:9" x14ac:dyDescent="0.2">
      <c r="A369" s="345">
        <v>38748</v>
      </c>
      <c r="B369" s="253"/>
      <c r="C369" s="256"/>
      <c r="D369" s="76"/>
      <c r="E369" s="253"/>
      <c r="F369" s="496"/>
      <c r="G369" s="700"/>
      <c r="H369" s="703"/>
      <c r="I369" s="253"/>
    </row>
    <row r="370" spans="1:9" x14ac:dyDescent="0.2">
      <c r="A370" s="345">
        <v>38776</v>
      </c>
      <c r="B370" s="253"/>
      <c r="C370" s="256"/>
      <c r="D370" s="76"/>
      <c r="E370" s="253"/>
      <c r="F370" s="496"/>
      <c r="G370" s="701"/>
      <c r="H370" s="703"/>
      <c r="I370" s="253"/>
    </row>
    <row r="371" spans="1:9" x14ac:dyDescent="0.2">
      <c r="A371" s="345">
        <v>38807</v>
      </c>
      <c r="B371" s="253"/>
      <c r="C371" s="256"/>
      <c r="D371" s="76"/>
      <c r="E371" s="253"/>
      <c r="F371" s="496"/>
      <c r="G371" s="701"/>
      <c r="H371" s="703"/>
      <c r="I371" s="253"/>
    </row>
    <row r="372" spans="1:9" x14ac:dyDescent="0.2">
      <c r="A372" s="345">
        <v>38837</v>
      </c>
      <c r="B372" s="253"/>
      <c r="C372" s="34"/>
      <c r="D372" s="76"/>
      <c r="E372" s="253"/>
      <c r="F372" s="496"/>
      <c r="G372" s="700"/>
      <c r="H372" s="703"/>
      <c r="I372" s="253"/>
    </row>
    <row r="373" spans="1:9" x14ac:dyDescent="0.2">
      <c r="A373" s="345">
        <v>38868</v>
      </c>
      <c r="B373" s="253"/>
      <c r="C373" s="34"/>
      <c r="D373" s="76"/>
      <c r="E373" s="253"/>
      <c r="F373" s="496"/>
      <c r="G373" s="700"/>
      <c r="H373" s="703"/>
      <c r="I373" s="253"/>
    </row>
    <row r="374" spans="1:9" x14ac:dyDescent="0.2">
      <c r="A374" s="345">
        <v>38898</v>
      </c>
      <c r="B374" s="76"/>
      <c r="C374" s="354"/>
      <c r="D374" s="253"/>
      <c r="E374" s="253"/>
      <c r="F374" s="496"/>
      <c r="G374" s="700"/>
      <c r="H374" s="703"/>
      <c r="I374" s="253"/>
    </row>
    <row r="375" spans="1:9" x14ac:dyDescent="0.2">
      <c r="A375" s="345">
        <v>38929</v>
      </c>
      <c r="B375" s="253"/>
      <c r="C375" s="34"/>
      <c r="D375" s="253"/>
      <c r="E375" s="253"/>
      <c r="F375" s="496"/>
      <c r="G375" s="700"/>
      <c r="H375" s="703"/>
      <c r="I375" s="253"/>
    </row>
    <row r="376" spans="1:9" x14ac:dyDescent="0.2">
      <c r="A376" s="345">
        <v>38960</v>
      </c>
      <c r="B376" s="253"/>
      <c r="C376" s="34"/>
      <c r="D376" s="253"/>
      <c r="E376" s="253"/>
    </row>
    <row r="377" spans="1:9" x14ac:dyDescent="0.2">
      <c r="A377" s="345">
        <v>38990</v>
      </c>
      <c r="B377" s="253"/>
      <c r="C377" s="34"/>
      <c r="D377" s="253"/>
      <c r="E377" s="253"/>
    </row>
    <row r="378" spans="1:9" x14ac:dyDescent="0.2">
      <c r="A378" s="345">
        <v>39021</v>
      </c>
      <c r="B378" s="253"/>
      <c r="C378" s="34"/>
      <c r="D378" s="253"/>
      <c r="E378" s="253"/>
    </row>
    <row r="379" spans="1:9" x14ac:dyDescent="0.2">
      <c r="A379" s="345">
        <v>39051</v>
      </c>
      <c r="B379" s="253"/>
      <c r="C379" s="34"/>
      <c r="D379" s="253"/>
      <c r="E379" s="253"/>
    </row>
    <row r="380" spans="1:9" x14ac:dyDescent="0.2">
      <c r="A380" s="345">
        <v>39082</v>
      </c>
      <c r="B380" s="253"/>
      <c r="C380" s="34"/>
      <c r="D380" s="253"/>
      <c r="E380" s="253"/>
    </row>
    <row r="381" spans="1:9" x14ac:dyDescent="0.2">
      <c r="A381" s="345">
        <v>39113</v>
      </c>
    </row>
    <row r="382" spans="1:9" x14ac:dyDescent="0.2">
      <c r="A382" s="345">
        <v>39141</v>
      </c>
    </row>
    <row r="383" spans="1:9" x14ac:dyDescent="0.2">
      <c r="A383" s="345">
        <v>39172</v>
      </c>
    </row>
    <row r="384" spans="1:9" x14ac:dyDescent="0.2">
      <c r="A384" s="345">
        <v>39202</v>
      </c>
    </row>
    <row r="385" spans="1:3" x14ac:dyDescent="0.2">
      <c r="A385" s="345">
        <v>39233</v>
      </c>
    </row>
    <row r="386" spans="1:3" x14ac:dyDescent="0.2">
      <c r="A386" s="345">
        <v>39263</v>
      </c>
    </row>
    <row r="387" spans="1:3" x14ac:dyDescent="0.2">
      <c r="A387" s="345">
        <v>39294</v>
      </c>
    </row>
    <row r="388" spans="1:3" x14ac:dyDescent="0.2">
      <c r="A388" s="345">
        <v>39325</v>
      </c>
    </row>
    <row r="389" spans="1:3" x14ac:dyDescent="0.2">
      <c r="A389" s="345">
        <v>39355</v>
      </c>
    </row>
    <row r="390" spans="1:3" x14ac:dyDescent="0.2">
      <c r="A390" s="345">
        <v>39386</v>
      </c>
    </row>
    <row r="391" spans="1:3" x14ac:dyDescent="0.2">
      <c r="A391" s="345">
        <v>39416</v>
      </c>
    </row>
    <row r="392" spans="1:3" x14ac:dyDescent="0.2">
      <c r="A392" s="345">
        <v>39447</v>
      </c>
    </row>
    <row r="393" spans="1:3" x14ac:dyDescent="0.2">
      <c r="A393" s="345">
        <v>39478</v>
      </c>
    </row>
    <row r="394" spans="1:3" x14ac:dyDescent="0.2">
      <c r="A394" s="345">
        <v>39507</v>
      </c>
    </row>
    <row r="395" spans="1:3" x14ac:dyDescent="0.2">
      <c r="A395" s="345">
        <v>39538</v>
      </c>
    </row>
    <row r="396" spans="1:3" x14ac:dyDescent="0.2">
      <c r="A396" s="345">
        <v>39568</v>
      </c>
    </row>
    <row r="397" spans="1:3" x14ac:dyDescent="0.2">
      <c r="A397" s="345">
        <v>39599</v>
      </c>
    </row>
    <row r="398" spans="1:3" x14ac:dyDescent="0.2">
      <c r="A398" s="345">
        <v>39629</v>
      </c>
    </row>
    <row r="399" spans="1:3" x14ac:dyDescent="0.2">
      <c r="A399" s="345">
        <v>39660</v>
      </c>
      <c r="C399" s="1383"/>
    </row>
    <row r="400" spans="1:3" x14ac:dyDescent="0.2">
      <c r="A400" s="345">
        <v>39691</v>
      </c>
      <c r="C400" s="1383"/>
    </row>
    <row r="401" spans="1:3" x14ac:dyDescent="0.2">
      <c r="A401" s="345">
        <v>39721</v>
      </c>
      <c r="C401" s="1383"/>
    </row>
    <row r="402" spans="1:3" x14ac:dyDescent="0.2">
      <c r="A402" s="345">
        <v>39752</v>
      </c>
    </row>
    <row r="403" spans="1:3" x14ac:dyDescent="0.2">
      <c r="A403" s="345">
        <v>39782</v>
      </c>
    </row>
    <row r="404" spans="1:3" x14ac:dyDescent="0.2">
      <c r="A404" s="345">
        <v>39813</v>
      </c>
    </row>
    <row r="405" spans="1:3" x14ac:dyDescent="0.2">
      <c r="A405" s="345">
        <v>39844</v>
      </c>
    </row>
    <row r="406" spans="1:3" x14ac:dyDescent="0.2">
      <c r="A406" s="345">
        <v>39872</v>
      </c>
    </row>
    <row r="407" spans="1:3" x14ac:dyDescent="0.2">
      <c r="A407" s="345">
        <v>39903</v>
      </c>
    </row>
    <row r="408" spans="1:3" x14ac:dyDescent="0.2">
      <c r="A408" s="345">
        <v>39933</v>
      </c>
    </row>
    <row r="409" spans="1:3" x14ac:dyDescent="0.2">
      <c r="A409" s="345">
        <v>39964</v>
      </c>
    </row>
    <row r="410" spans="1:3" x14ac:dyDescent="0.2">
      <c r="A410" s="345">
        <v>39994</v>
      </c>
    </row>
    <row r="411" spans="1:3" x14ac:dyDescent="0.2">
      <c r="A411" s="345">
        <v>40025</v>
      </c>
    </row>
    <row r="412" spans="1:3" x14ac:dyDescent="0.2">
      <c r="A412" s="345">
        <v>40056</v>
      </c>
    </row>
    <row r="413" spans="1:3" x14ac:dyDescent="0.2">
      <c r="A413" s="345">
        <v>40086</v>
      </c>
    </row>
    <row r="414" spans="1:3" x14ac:dyDescent="0.2">
      <c r="A414" s="345">
        <v>40117</v>
      </c>
    </row>
    <row r="415" spans="1:3" x14ac:dyDescent="0.2">
      <c r="A415" s="345">
        <v>40147</v>
      </c>
    </row>
    <row r="416" spans="1:3" x14ac:dyDescent="0.2">
      <c r="A416" s="345">
        <v>40178</v>
      </c>
    </row>
    <row r="417" spans="1:4" x14ac:dyDescent="0.2">
      <c r="A417" s="345">
        <v>40209</v>
      </c>
    </row>
    <row r="418" spans="1:4" x14ac:dyDescent="0.2">
      <c r="A418" s="345">
        <v>40237</v>
      </c>
    </row>
    <row r="419" spans="1:4" x14ac:dyDescent="0.2">
      <c r="A419" s="345">
        <v>40268</v>
      </c>
      <c r="C419" s="1334"/>
      <c r="D419" s="1311"/>
    </row>
    <row r="420" spans="1:4" x14ac:dyDescent="0.2">
      <c r="A420" s="345">
        <v>40298</v>
      </c>
    </row>
    <row r="421" spans="1:4" x14ac:dyDescent="0.2">
      <c r="A421" s="345">
        <v>40329</v>
      </c>
    </row>
    <row r="422" spans="1:4" x14ac:dyDescent="0.2">
      <c r="A422" s="345">
        <v>40359</v>
      </c>
    </row>
    <row r="423" spans="1:4" x14ac:dyDescent="0.2">
      <c r="A423" s="345">
        <v>40390</v>
      </c>
    </row>
    <row r="424" spans="1:4" x14ac:dyDescent="0.2">
      <c r="A424" s="345">
        <v>40421</v>
      </c>
      <c r="B424" s="1369"/>
    </row>
    <row r="425" spans="1:4" x14ac:dyDescent="0.2">
      <c r="A425" s="345">
        <v>40451</v>
      </c>
      <c r="B425" s="258"/>
    </row>
    <row r="426" spans="1:4" x14ac:dyDescent="0.2">
      <c r="A426" s="345">
        <v>40482</v>
      </c>
      <c r="B426" s="1311"/>
      <c r="D426" s="1311"/>
    </row>
    <row r="427" spans="1:4" x14ac:dyDescent="0.2">
      <c r="A427" s="345">
        <v>40512</v>
      </c>
    </row>
    <row r="428" spans="1:4" x14ac:dyDescent="0.2">
      <c r="A428" s="345">
        <v>40543</v>
      </c>
    </row>
    <row r="429" spans="1:4" x14ac:dyDescent="0.2">
      <c r="A429" s="345">
        <v>40574</v>
      </c>
    </row>
    <row r="430" spans="1:4" x14ac:dyDescent="0.2">
      <c r="A430" s="345">
        <v>40602</v>
      </c>
    </row>
    <row r="431" spans="1:4" x14ac:dyDescent="0.2">
      <c r="A431" s="345">
        <v>40633</v>
      </c>
    </row>
    <row r="432" spans="1:4" x14ac:dyDescent="0.2">
      <c r="A432" s="345">
        <v>40663</v>
      </c>
    </row>
    <row r="433" spans="1:1" x14ac:dyDescent="0.2">
      <c r="A433" s="345">
        <v>40694</v>
      </c>
    </row>
    <row r="434" spans="1:1" x14ac:dyDescent="0.2">
      <c r="A434" s="345">
        <v>40724</v>
      </c>
    </row>
    <row r="435" spans="1:1" x14ac:dyDescent="0.2">
      <c r="A435" s="345">
        <v>40755</v>
      </c>
    </row>
    <row r="436" spans="1:1" x14ac:dyDescent="0.2">
      <c r="A436" s="345">
        <v>40786</v>
      </c>
    </row>
    <row r="437" spans="1:1" x14ac:dyDescent="0.2">
      <c r="A437" s="345">
        <v>40816</v>
      </c>
    </row>
    <row r="438" spans="1:1" x14ac:dyDescent="0.2">
      <c r="A438" s="345">
        <v>40847</v>
      </c>
    </row>
    <row r="439" spans="1:1" x14ac:dyDescent="0.2">
      <c r="A439" s="345">
        <v>40877</v>
      </c>
    </row>
    <row r="440" spans="1:1" x14ac:dyDescent="0.2">
      <c r="A440" s="345">
        <v>40908</v>
      </c>
    </row>
    <row r="441" spans="1:1" x14ac:dyDescent="0.2">
      <c r="A441" s="345">
        <v>40939</v>
      </c>
    </row>
    <row r="442" spans="1:1" x14ac:dyDescent="0.2">
      <c r="A442" s="345">
        <v>40968</v>
      </c>
    </row>
    <row r="443" spans="1:1" x14ac:dyDescent="0.2">
      <c r="A443" s="345">
        <v>40999</v>
      </c>
    </row>
    <row r="444" spans="1:1" x14ac:dyDescent="0.2">
      <c r="A444" s="345">
        <v>41029</v>
      </c>
    </row>
    <row r="445" spans="1:1" x14ac:dyDescent="0.2">
      <c r="A445" s="345">
        <v>41060</v>
      </c>
    </row>
    <row r="446" spans="1:1" x14ac:dyDescent="0.2">
      <c r="A446" s="345">
        <v>41090</v>
      </c>
    </row>
    <row r="447" spans="1:1" x14ac:dyDescent="0.2">
      <c r="A447" s="345">
        <v>41121</v>
      </c>
    </row>
    <row r="448" spans="1:1" x14ac:dyDescent="0.2">
      <c r="A448" s="345">
        <v>41152</v>
      </c>
    </row>
    <row r="449" spans="1:4" x14ac:dyDescent="0.2">
      <c r="A449" s="345">
        <v>41182</v>
      </c>
    </row>
    <row r="450" spans="1:4" x14ac:dyDescent="0.2">
      <c r="A450" s="345">
        <v>41213</v>
      </c>
    </row>
    <row r="451" spans="1:4" x14ac:dyDescent="0.2">
      <c r="A451" s="345">
        <v>41243</v>
      </c>
    </row>
    <row r="452" spans="1:4" x14ac:dyDescent="0.2">
      <c r="A452" s="345">
        <v>41274</v>
      </c>
    </row>
    <row r="453" spans="1:4" x14ac:dyDescent="0.2">
      <c r="A453" s="345">
        <v>41305</v>
      </c>
      <c r="B453" s="257">
        <f t="shared" ref="B453:B488" si="0">D453</f>
        <v>0.61977000000000004</v>
      </c>
      <c r="C453" s="346">
        <v>10092022.380000001</v>
      </c>
      <c r="D453" s="258">
        <v>0.61977000000000004</v>
      </c>
    </row>
    <row r="454" spans="1:4" x14ac:dyDescent="0.2">
      <c r="A454" s="345">
        <v>41333</v>
      </c>
      <c r="B454" s="257">
        <f t="shared" si="0"/>
        <v>-0.40677999999999997</v>
      </c>
      <c r="C454" s="346">
        <v>7764502.4900000002</v>
      </c>
      <c r="D454" s="258">
        <v>-0.40677999999999997</v>
      </c>
    </row>
    <row r="455" spans="1:4" x14ac:dyDescent="0.2">
      <c r="A455" s="345">
        <v>41364</v>
      </c>
      <c r="B455" s="257">
        <f t="shared" si="0"/>
        <v>-0.70423999999999998</v>
      </c>
      <c r="C455" s="346">
        <v>10645783.699999999</v>
      </c>
      <c r="D455" s="258">
        <v>-0.70423999999999998</v>
      </c>
    </row>
    <row r="456" spans="1:4" x14ac:dyDescent="0.2">
      <c r="A456" s="345">
        <v>41394</v>
      </c>
      <c r="B456" s="257">
        <f t="shared" si="0"/>
        <v>3.3406400000000001</v>
      </c>
      <c r="C456" s="346">
        <v>11001421.199999999</v>
      </c>
      <c r="D456" s="258">
        <v>3.3406400000000001</v>
      </c>
    </row>
    <row r="457" spans="1:4" x14ac:dyDescent="0.2">
      <c r="A457" s="345">
        <v>41425</v>
      </c>
      <c r="B457" s="257">
        <f t="shared" si="0"/>
        <v>-6.3522800000000004</v>
      </c>
      <c r="C457" s="346">
        <v>10308756.75</v>
      </c>
      <c r="D457" s="258">
        <v>-6.3522800000000004</v>
      </c>
    </row>
    <row r="458" spans="1:4" x14ac:dyDescent="0.2">
      <c r="A458" s="345">
        <v>41455</v>
      </c>
      <c r="B458" s="257">
        <f t="shared" si="0"/>
        <v>-4.1275000000000004</v>
      </c>
      <c r="C458" s="346">
        <v>9883260</v>
      </c>
      <c r="D458" s="258">
        <v>-4.1275000000000004</v>
      </c>
    </row>
    <row r="459" spans="1:4" x14ac:dyDescent="0.2">
      <c r="A459" s="345">
        <v>41486</v>
      </c>
      <c r="B459" s="257">
        <f t="shared" si="0"/>
        <v>-0.53990000000000005</v>
      </c>
      <c r="C459" s="346">
        <v>9829900.3200000003</v>
      </c>
      <c r="D459" s="258">
        <v>-0.53990000000000005</v>
      </c>
    </row>
    <row r="460" spans="1:4" x14ac:dyDescent="0.2">
      <c r="A460" s="345">
        <v>41517</v>
      </c>
      <c r="B460" s="257">
        <f t="shared" si="0"/>
        <v>-4.0548599999999997</v>
      </c>
      <c r="C460" s="346">
        <v>9431311.5999999996</v>
      </c>
      <c r="D460" s="258">
        <v>-4.0548599999999997</v>
      </c>
    </row>
    <row r="461" spans="1:4" x14ac:dyDescent="0.2">
      <c r="A461" s="345">
        <v>41547</v>
      </c>
      <c r="B461" s="257">
        <f t="shared" si="0"/>
        <v>4.1185200000000002</v>
      </c>
      <c r="C461" s="346">
        <v>9819741.8699999992</v>
      </c>
      <c r="D461" s="258">
        <v>4.1185200000000002</v>
      </c>
    </row>
    <row r="462" spans="1:4" x14ac:dyDescent="0.2">
      <c r="A462" s="345">
        <v>41578</v>
      </c>
      <c r="B462" s="257">
        <f t="shared" si="0"/>
        <v>2.8326899999999999</v>
      </c>
      <c r="C462" s="346">
        <v>10097904.970000001</v>
      </c>
      <c r="D462" s="258">
        <v>2.8326899999999999</v>
      </c>
    </row>
    <row r="463" spans="1:4" x14ac:dyDescent="0.2">
      <c r="A463" s="345">
        <v>41608</v>
      </c>
      <c r="B463" s="257">
        <f t="shared" si="0"/>
        <v>-3.8496600000000001</v>
      </c>
      <c r="C463" s="346">
        <v>9722692.1699999999</v>
      </c>
      <c r="D463" s="258">
        <v>-3.8496600000000001</v>
      </c>
    </row>
    <row r="464" spans="1:4" x14ac:dyDescent="0.2">
      <c r="A464" s="345">
        <v>41639</v>
      </c>
      <c r="B464" s="257">
        <f t="shared" si="0"/>
        <v>-0.75014000000000003</v>
      </c>
      <c r="C464" s="346">
        <v>9649758.1500000004</v>
      </c>
      <c r="D464" s="258">
        <v>-0.75014000000000003</v>
      </c>
    </row>
    <row r="465" spans="1:4" x14ac:dyDescent="0.2">
      <c r="A465" s="345">
        <v>41670</v>
      </c>
      <c r="B465" s="257">
        <f t="shared" si="0"/>
        <v>-4.6451900000000004</v>
      </c>
      <c r="C465" s="346">
        <v>9208172.8300000001</v>
      </c>
      <c r="D465" s="258">
        <v>-4.6451900000000004</v>
      </c>
    </row>
    <row r="466" spans="1:4" x14ac:dyDescent="0.2">
      <c r="A466" s="345">
        <v>41698</v>
      </c>
      <c r="B466" s="257">
        <f t="shared" si="0"/>
        <v>3.86944</v>
      </c>
      <c r="C466" s="346">
        <v>9564477.8800000008</v>
      </c>
      <c r="D466" s="258">
        <v>3.86944</v>
      </c>
    </row>
    <row r="467" spans="1:4" x14ac:dyDescent="0.2">
      <c r="A467" s="345">
        <v>41729</v>
      </c>
      <c r="B467" s="257">
        <f t="shared" si="0"/>
        <v>2.7985600000000002</v>
      </c>
      <c r="C467" s="346">
        <v>9832145.5199999996</v>
      </c>
      <c r="D467" s="258">
        <v>2.7985600000000002</v>
      </c>
    </row>
    <row r="468" spans="1:4" x14ac:dyDescent="0.2">
      <c r="A468" s="345">
        <v>41759</v>
      </c>
      <c r="B468" s="257">
        <f t="shared" si="0"/>
        <v>0.87216000000000005</v>
      </c>
      <c r="C468" s="346">
        <v>9917897.9700000007</v>
      </c>
      <c r="D468" s="258">
        <v>0.87216000000000005</v>
      </c>
    </row>
    <row r="469" spans="1:4" x14ac:dyDescent="0.2">
      <c r="A469" s="345">
        <v>41790</v>
      </c>
      <c r="B469" s="257">
        <f t="shared" si="0"/>
        <v>2.0287199999999999</v>
      </c>
      <c r="C469" s="346">
        <v>10125904.6</v>
      </c>
      <c r="D469" s="258">
        <v>2.0287199999999999</v>
      </c>
    </row>
    <row r="470" spans="1:4" x14ac:dyDescent="0.2">
      <c r="A470" s="345">
        <v>41820</v>
      </c>
      <c r="B470" s="257">
        <f t="shared" si="0"/>
        <v>1.0022500000000001</v>
      </c>
      <c r="C470" s="346">
        <v>10227391.92</v>
      </c>
      <c r="D470" s="258">
        <v>1.0022500000000001</v>
      </c>
    </row>
    <row r="471" spans="1:4" x14ac:dyDescent="0.2">
      <c r="A471" s="345">
        <v>41851</v>
      </c>
      <c r="B471" s="257">
        <f t="shared" si="0"/>
        <v>-1.1310100000000001</v>
      </c>
      <c r="C471" s="346">
        <v>10111719.619999999</v>
      </c>
      <c r="D471" s="258">
        <v>-1.1310100000000001</v>
      </c>
    </row>
    <row r="472" spans="1:4" x14ac:dyDescent="0.2">
      <c r="A472" s="345">
        <v>41882</v>
      </c>
      <c r="B472" s="257">
        <f t="shared" si="0"/>
        <v>0.42843999999999999</v>
      </c>
      <c r="C472" s="346">
        <v>10162185.050000001</v>
      </c>
      <c r="D472" s="258">
        <v>0.42843999999999999</v>
      </c>
    </row>
    <row r="473" spans="1:4" x14ac:dyDescent="0.2">
      <c r="A473" s="345">
        <v>41912</v>
      </c>
      <c r="B473" s="257">
        <f t="shared" si="0"/>
        <v>0</v>
      </c>
    </row>
    <row r="474" spans="1:4" x14ac:dyDescent="0.2">
      <c r="A474" s="345">
        <v>41943</v>
      </c>
      <c r="B474" s="257">
        <f t="shared" si="0"/>
        <v>0</v>
      </c>
    </row>
    <row r="475" spans="1:4" x14ac:dyDescent="0.2">
      <c r="A475" s="345">
        <v>41973</v>
      </c>
      <c r="B475" s="257">
        <f t="shared" si="0"/>
        <v>0</v>
      </c>
    </row>
    <row r="476" spans="1:4" x14ac:dyDescent="0.2">
      <c r="A476" s="345">
        <v>42004</v>
      </c>
      <c r="B476" s="257">
        <f t="shared" si="0"/>
        <v>0</v>
      </c>
    </row>
    <row r="477" spans="1:4" x14ac:dyDescent="0.2">
      <c r="A477" s="345">
        <v>42035</v>
      </c>
      <c r="B477" s="257">
        <f t="shared" si="0"/>
        <v>0</v>
      </c>
    </row>
    <row r="478" spans="1:4" x14ac:dyDescent="0.2">
      <c r="A478" s="345">
        <v>42063</v>
      </c>
      <c r="B478" s="257">
        <f t="shared" si="0"/>
        <v>0</v>
      </c>
    </row>
    <row r="479" spans="1:4" x14ac:dyDescent="0.2">
      <c r="A479" s="345">
        <v>42094</v>
      </c>
      <c r="B479" s="257">
        <f t="shared" si="0"/>
        <v>0</v>
      </c>
    </row>
    <row r="480" spans="1:4" x14ac:dyDescent="0.2">
      <c r="A480" s="345">
        <v>42124</v>
      </c>
      <c r="B480" s="257">
        <f t="shared" si="0"/>
        <v>0</v>
      </c>
    </row>
    <row r="481" spans="1:2" x14ac:dyDescent="0.2">
      <c r="A481" s="345">
        <v>42155</v>
      </c>
      <c r="B481" s="257">
        <f t="shared" si="0"/>
        <v>0</v>
      </c>
    </row>
    <row r="482" spans="1:2" x14ac:dyDescent="0.2">
      <c r="A482" s="345">
        <v>42185</v>
      </c>
      <c r="B482" s="257">
        <f t="shared" si="0"/>
        <v>0</v>
      </c>
    </row>
    <row r="483" spans="1:2" x14ac:dyDescent="0.2">
      <c r="A483" s="345">
        <v>42216</v>
      </c>
      <c r="B483" s="257">
        <f t="shared" si="0"/>
        <v>0</v>
      </c>
    </row>
    <row r="484" spans="1:2" x14ac:dyDescent="0.2">
      <c r="A484" s="345">
        <v>42247</v>
      </c>
      <c r="B484" s="257">
        <f t="shared" si="0"/>
        <v>0</v>
      </c>
    </row>
    <row r="485" spans="1:2" x14ac:dyDescent="0.2">
      <c r="A485" s="345">
        <v>42277</v>
      </c>
      <c r="B485" s="257">
        <f t="shared" si="0"/>
        <v>0</v>
      </c>
    </row>
    <row r="486" spans="1:2" x14ac:dyDescent="0.2">
      <c r="A486" s="345">
        <v>42308</v>
      </c>
      <c r="B486" s="257">
        <f t="shared" si="0"/>
        <v>0</v>
      </c>
    </row>
    <row r="487" spans="1:2" x14ac:dyDescent="0.2">
      <c r="A487" s="345">
        <v>42338</v>
      </c>
      <c r="B487" s="257">
        <f t="shared" si="0"/>
        <v>0</v>
      </c>
    </row>
    <row r="488" spans="1:2" x14ac:dyDescent="0.2">
      <c r="A488" s="345">
        <v>42369</v>
      </c>
      <c r="B488" s="257">
        <f t="shared" si="0"/>
        <v>0</v>
      </c>
    </row>
  </sheetData>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W189"/>
  <sheetViews>
    <sheetView zoomScaleNormal="100" workbookViewId="0">
      <pane xSplit="5" ySplit="1" topLeftCell="F2" activePane="bottomRight" state="frozen"/>
      <selection pane="topRight"/>
      <selection pane="bottomLeft"/>
      <selection pane="bottomRight" activeCell="F2" sqref="F2"/>
    </sheetView>
  </sheetViews>
  <sheetFormatPr defaultRowHeight="12.75" x14ac:dyDescent="0.2"/>
  <cols>
    <col min="1" max="1" width="8.85546875" style="1266" customWidth="1"/>
    <col min="2" max="2" width="10.5703125" style="1266" customWidth="1"/>
    <col min="3" max="3" width="19.42578125" style="1266" customWidth="1"/>
    <col min="4" max="4" width="9.140625" style="1266"/>
    <col min="5" max="5" width="14.85546875" style="1266" customWidth="1"/>
    <col min="6" max="7" width="11.7109375" style="1266" customWidth="1"/>
    <col min="8" max="8" width="12" style="1266" customWidth="1"/>
    <col min="9" max="11" width="13" style="1266" customWidth="1"/>
    <col min="12" max="12" width="14.140625" style="1266" customWidth="1"/>
    <col min="13" max="13" width="20.7109375" style="1266" customWidth="1"/>
    <col min="14" max="16384" width="9.140625" style="1266"/>
  </cols>
  <sheetData>
    <row r="1" spans="1:23" ht="51" x14ac:dyDescent="0.2">
      <c r="A1" s="1265" t="s">
        <v>413</v>
      </c>
      <c r="B1" s="1265" t="s">
        <v>414</v>
      </c>
      <c r="C1" s="1265" t="s">
        <v>415</v>
      </c>
      <c r="D1" s="1265" t="s">
        <v>416</v>
      </c>
      <c r="E1" s="1265" t="s">
        <v>417</v>
      </c>
      <c r="F1" s="1265" t="s">
        <v>418</v>
      </c>
      <c r="G1" s="1265" t="s">
        <v>419</v>
      </c>
      <c r="H1" s="1265" t="s">
        <v>420</v>
      </c>
      <c r="I1" s="1265" t="s">
        <v>421</v>
      </c>
      <c r="J1" s="1265" t="s">
        <v>422</v>
      </c>
      <c r="K1" s="1265" t="s">
        <v>423</v>
      </c>
      <c r="L1" s="1265" t="s">
        <v>424</v>
      </c>
      <c r="M1" s="1265" t="s">
        <v>425</v>
      </c>
      <c r="N1" s="1265"/>
    </row>
    <row r="2" spans="1:23" x14ac:dyDescent="0.2">
      <c r="A2" s="1267" t="s">
        <v>426</v>
      </c>
      <c r="B2" s="1267" t="s">
        <v>427</v>
      </c>
      <c r="C2" s="1267" t="s">
        <v>428</v>
      </c>
      <c r="D2" s="1267" t="s">
        <v>429</v>
      </c>
      <c r="E2" s="1267" t="s">
        <v>430</v>
      </c>
      <c r="F2" s="1268">
        <v>-7.7209557759999936E-2</v>
      </c>
      <c r="G2" s="1268">
        <v>-0.27066755101373896</v>
      </c>
      <c r="H2" s="1268">
        <v>-0.27757700105096583</v>
      </c>
      <c r="I2" s="1268">
        <v>-0.1594865939222877</v>
      </c>
      <c r="J2" s="1268">
        <v>-7.626368838521036E-2</v>
      </c>
      <c r="K2" s="1268">
        <v>-9.6673614397693175E-3</v>
      </c>
      <c r="L2" s="1268">
        <v>1.3109190736050325E-2</v>
      </c>
      <c r="M2" s="1269">
        <v>18557774460</v>
      </c>
      <c r="N2" s="1267"/>
      <c r="O2" s="1267"/>
      <c r="P2" s="1267"/>
      <c r="Q2" s="1267"/>
      <c r="R2" s="1267"/>
      <c r="S2" s="1267"/>
      <c r="T2" s="1267"/>
      <c r="U2" s="1267"/>
      <c r="V2" s="1267"/>
      <c r="W2" s="1267"/>
    </row>
    <row r="3" spans="1:23" x14ac:dyDescent="0.2">
      <c r="A3" s="1270" t="s">
        <v>426</v>
      </c>
      <c r="B3" s="1270" t="s">
        <v>427</v>
      </c>
      <c r="C3" s="1270" t="s">
        <v>428</v>
      </c>
      <c r="D3" s="1270" t="s">
        <v>429</v>
      </c>
      <c r="E3" s="1270" t="s">
        <v>431</v>
      </c>
      <c r="F3" s="1271">
        <v>-7.7650493559999867E-2</v>
      </c>
      <c r="G3" s="1271">
        <v>-0.27205321802043403</v>
      </c>
      <c r="H3" s="1271">
        <v>-0.27940924773401776</v>
      </c>
      <c r="I3" s="1271">
        <v>-0.16143366985073138</v>
      </c>
      <c r="J3" s="1271">
        <v>-7.8269026727284419E-2</v>
      </c>
      <c r="K3" s="1271">
        <v>-1.1486006976485941E-2</v>
      </c>
      <c r="L3" s="1271">
        <v>1.1721799961808888E-2</v>
      </c>
      <c r="M3" s="1272">
        <v>18557774460</v>
      </c>
    </row>
    <row r="4" spans="1:23" x14ac:dyDescent="0.2">
      <c r="A4" s="1267" t="s">
        <v>426</v>
      </c>
      <c r="B4" s="1267" t="s">
        <v>432</v>
      </c>
      <c r="C4" s="1267" t="s">
        <v>433</v>
      </c>
      <c r="D4" s="1267" t="s">
        <v>429</v>
      </c>
      <c r="E4" s="1267" t="s">
        <v>430</v>
      </c>
      <c r="F4" s="1268">
        <v>-7.9926086552249975E-2</v>
      </c>
      <c r="G4" s="1268">
        <v>-0.28415005462066834</v>
      </c>
      <c r="H4" s="1268">
        <v>-0.29114177616383441</v>
      </c>
      <c r="I4" s="1268">
        <v>-0.15955826103986614</v>
      </c>
      <c r="J4" s="1268">
        <v>-7.4088846312752588E-2</v>
      </c>
      <c r="K4" s="1268">
        <v>-1.2370292972989416E-2</v>
      </c>
      <c r="L4" s="1268">
        <v>2.7824527350781558E-3</v>
      </c>
      <c r="M4" s="1269"/>
      <c r="N4" s="1267"/>
      <c r="O4" s="1267"/>
      <c r="P4" s="1267"/>
      <c r="Q4" s="1267"/>
      <c r="R4" s="1267"/>
      <c r="S4" s="1267"/>
      <c r="T4" s="1267"/>
      <c r="U4" s="1267"/>
      <c r="V4" s="1267"/>
      <c r="W4" s="1267"/>
    </row>
    <row r="5" spans="1:23" x14ac:dyDescent="0.2">
      <c r="A5" s="1270" t="s">
        <v>426</v>
      </c>
      <c r="B5" s="1270" t="s">
        <v>434</v>
      </c>
      <c r="C5" s="1270" t="s">
        <v>435</v>
      </c>
      <c r="D5" s="1270" t="s">
        <v>429</v>
      </c>
      <c r="E5" s="1270" t="s">
        <v>430</v>
      </c>
      <c r="F5" s="1271">
        <v>-7.9169107118984616E-2</v>
      </c>
      <c r="G5" s="1271">
        <v>-0.27632890171978697</v>
      </c>
      <c r="H5" s="1271">
        <v>-0.28152565684112474</v>
      </c>
      <c r="I5" s="1271">
        <v>-0.150398382379069</v>
      </c>
      <c r="J5" s="1271">
        <v>-6.6241782088177881E-2</v>
      </c>
      <c r="K5" s="1271">
        <v>-5.2881824380812681E-3</v>
      </c>
      <c r="L5" s="1271">
        <v>6.0293036224563501E-3</v>
      </c>
      <c r="M5" s="1272"/>
    </row>
    <row r="6" spans="1:23" x14ac:dyDescent="0.2">
      <c r="A6" s="1267" t="s">
        <v>426</v>
      </c>
      <c r="B6" s="1267" t="s">
        <v>436</v>
      </c>
      <c r="C6" s="1267" t="s">
        <v>437</v>
      </c>
      <c r="D6" s="1267" t="s">
        <v>429</v>
      </c>
      <c r="E6" s="1267" t="s">
        <v>430</v>
      </c>
      <c r="F6" s="1268">
        <v>-0.10376074686100012</v>
      </c>
      <c r="G6" s="1268">
        <v>-0.35997837169599678</v>
      </c>
      <c r="H6" s="1268">
        <v>-0.36511307759561973</v>
      </c>
      <c r="I6" s="1268">
        <v>-0.22939558610618238</v>
      </c>
      <c r="J6" s="1268">
        <v>-0.13036745379425163</v>
      </c>
      <c r="K6" s="1268">
        <v>-4.0542528184663418E-2</v>
      </c>
      <c r="L6" s="1268">
        <v>-1.6297830389824575E-2</v>
      </c>
      <c r="M6" s="1269">
        <v>7543882242</v>
      </c>
      <c r="N6" s="1267"/>
      <c r="O6" s="1267"/>
      <c r="P6" s="1267"/>
      <c r="Q6" s="1267"/>
      <c r="R6" s="1267"/>
      <c r="S6" s="1267"/>
      <c r="T6" s="1267"/>
      <c r="U6" s="1267"/>
      <c r="V6" s="1267"/>
      <c r="W6" s="1267"/>
    </row>
    <row r="7" spans="1:23" x14ac:dyDescent="0.2">
      <c r="A7" s="1270" t="s">
        <v>426</v>
      </c>
      <c r="B7" s="1270" t="s">
        <v>436</v>
      </c>
      <c r="C7" s="1270" t="s">
        <v>437</v>
      </c>
      <c r="D7" s="1270" t="s">
        <v>429</v>
      </c>
      <c r="E7" s="1270" t="s">
        <v>431</v>
      </c>
      <c r="F7" s="1271">
        <v>-0.10409106631300002</v>
      </c>
      <c r="G7" s="1271">
        <v>-0.360674924399223</v>
      </c>
      <c r="H7" s="1271">
        <v>-0.36601100256041241</v>
      </c>
      <c r="I7" s="1271">
        <v>-0.23040371564550455</v>
      </c>
      <c r="J7" s="1271">
        <v>-0.13141208142542027</v>
      </c>
      <c r="K7" s="1271">
        <v>-4.1594624255431256E-2</v>
      </c>
      <c r="L7" s="1271">
        <v>-1.7381353576877423E-2</v>
      </c>
      <c r="M7" s="1272">
        <v>7543882242</v>
      </c>
    </row>
    <row r="8" spans="1:23" x14ac:dyDescent="0.2">
      <c r="A8" s="1267" t="s">
        <v>426</v>
      </c>
      <c r="B8" s="1267" t="s">
        <v>438</v>
      </c>
      <c r="C8" s="1267" t="s">
        <v>439</v>
      </c>
      <c r="D8" s="1267" t="s">
        <v>429</v>
      </c>
      <c r="E8" s="1267" t="s">
        <v>430</v>
      </c>
      <c r="F8" s="1268">
        <v>-0.10569313971999982</v>
      </c>
      <c r="G8" s="1268">
        <v>-0.35575204883385469</v>
      </c>
      <c r="H8" s="1268">
        <v>-0.37156975472695403</v>
      </c>
      <c r="I8" s="1268">
        <v>-0.23108101739398401</v>
      </c>
      <c r="J8" s="1268">
        <v>-0.12898252230437768</v>
      </c>
      <c r="K8" s="1268">
        <v>-4.4569947655590081E-2</v>
      </c>
      <c r="L8" s="1268"/>
      <c r="M8" s="1269">
        <v>4962916546</v>
      </c>
      <c r="N8" s="1267"/>
      <c r="O8" s="1267"/>
      <c r="P8" s="1267"/>
      <c r="Q8" s="1267"/>
      <c r="R8" s="1267"/>
      <c r="S8" s="1267"/>
      <c r="T8" s="1267"/>
      <c r="U8" s="1267"/>
      <c r="V8" s="1267"/>
      <c r="W8" s="1267"/>
    </row>
    <row r="9" spans="1:23" x14ac:dyDescent="0.2">
      <c r="A9" s="1270" t="s">
        <v>426</v>
      </c>
      <c r="B9" s="1270" t="s">
        <v>438</v>
      </c>
      <c r="C9" s="1270" t="s">
        <v>439</v>
      </c>
      <c r="D9" s="1270" t="s">
        <v>429</v>
      </c>
      <c r="E9" s="1270" t="s">
        <v>431</v>
      </c>
      <c r="F9" s="1271">
        <v>-0.10585783711599983</v>
      </c>
      <c r="G9" s="1271">
        <v>-0.35613936276192293</v>
      </c>
      <c r="H9" s="1271">
        <v>-0.37201611643771693</v>
      </c>
      <c r="I9" s="1271">
        <v>-0.23166115799740783</v>
      </c>
      <c r="J9" s="1271">
        <v>-0.12959289657495932</v>
      </c>
      <c r="K9" s="1271">
        <v>-4.5256038941528631E-2</v>
      </c>
      <c r="L9" s="1271"/>
      <c r="M9" s="1272">
        <v>4962916546</v>
      </c>
    </row>
    <row r="10" spans="1:23" x14ac:dyDescent="0.2">
      <c r="A10" s="1267" t="s">
        <v>426</v>
      </c>
      <c r="B10" s="1267" t="s">
        <v>440</v>
      </c>
      <c r="C10" s="1267" t="s">
        <v>441</v>
      </c>
      <c r="D10" s="1267" t="s">
        <v>429</v>
      </c>
      <c r="E10" s="1267" t="s">
        <v>430</v>
      </c>
      <c r="F10" s="1268">
        <v>-7.1465805499999924E-2</v>
      </c>
      <c r="G10" s="1268">
        <v>-0.37197089166619823</v>
      </c>
      <c r="H10" s="1268">
        <v>-0.34040372688805431</v>
      </c>
      <c r="I10" s="1268">
        <v>-0.21113752968163679</v>
      </c>
      <c r="J10" s="1268">
        <v>-0.1249789786220199</v>
      </c>
      <c r="K10" s="1268">
        <v>-1.9069834749097625E-2</v>
      </c>
      <c r="L10" s="1268"/>
      <c r="M10" s="1269">
        <v>1317295545</v>
      </c>
      <c r="N10" s="1267"/>
      <c r="O10" s="1267"/>
      <c r="P10" s="1267"/>
      <c r="Q10" s="1267"/>
      <c r="R10" s="1267"/>
      <c r="S10" s="1267"/>
      <c r="T10" s="1267"/>
      <c r="U10" s="1267"/>
      <c r="V10" s="1267"/>
      <c r="W10" s="1267"/>
    </row>
    <row r="11" spans="1:23" x14ac:dyDescent="0.2">
      <c r="A11" s="1270" t="s">
        <v>426</v>
      </c>
      <c r="B11" s="1270" t="s">
        <v>440</v>
      </c>
      <c r="C11" s="1270" t="s">
        <v>441</v>
      </c>
      <c r="D11" s="1270" t="s">
        <v>429</v>
      </c>
      <c r="E11" s="1270" t="s">
        <v>431</v>
      </c>
      <c r="F11" s="1271">
        <v>-7.1893859249999914E-2</v>
      </c>
      <c r="G11" s="1271">
        <v>-0.37298131011743346</v>
      </c>
      <c r="H11" s="1271">
        <v>-0.34174765694863263</v>
      </c>
      <c r="I11" s="1271">
        <v>-0.21265163298489476</v>
      </c>
      <c r="J11" s="1271">
        <v>-0.1265343210845119</v>
      </c>
      <c r="K11" s="1271">
        <v>-2.0807587209413891E-2</v>
      </c>
      <c r="L11" s="1271"/>
      <c r="M11" s="1272">
        <v>1317295545</v>
      </c>
    </row>
    <row r="12" spans="1:23" x14ac:dyDescent="0.2">
      <c r="A12" s="1267" t="s">
        <v>426</v>
      </c>
      <c r="B12" s="1267" t="s">
        <v>442</v>
      </c>
      <c r="C12" s="1267" t="s">
        <v>443</v>
      </c>
      <c r="D12" s="1267" t="s">
        <v>429</v>
      </c>
      <c r="E12" s="1267" t="s">
        <v>430</v>
      </c>
      <c r="F12" s="1268">
        <v>-0.12733941351</v>
      </c>
      <c r="G12" s="1268">
        <v>-0.36968234041572701</v>
      </c>
      <c r="H12" s="1268">
        <v>-0.36284493225832604</v>
      </c>
      <c r="I12" s="1268">
        <v>-0.24370188937218273</v>
      </c>
      <c r="J12" s="1268">
        <v>-0.15177101787027358</v>
      </c>
      <c r="K12" s="1268">
        <v>-4.0925515236701848E-2</v>
      </c>
      <c r="L12" s="1268"/>
      <c r="M12" s="1269">
        <v>1263670151</v>
      </c>
      <c r="N12" s="1267"/>
      <c r="O12" s="1267"/>
      <c r="P12" s="1267"/>
      <c r="Q12" s="1267"/>
      <c r="R12" s="1267"/>
      <c r="S12" s="1267"/>
      <c r="T12" s="1267"/>
      <c r="U12" s="1267"/>
      <c r="V12" s="1267"/>
      <c r="W12" s="1267"/>
    </row>
    <row r="13" spans="1:23" x14ac:dyDescent="0.2">
      <c r="A13" s="1270" t="s">
        <v>426</v>
      </c>
      <c r="B13" s="1270" t="s">
        <v>442</v>
      </c>
      <c r="C13" s="1270" t="s">
        <v>443</v>
      </c>
      <c r="D13" s="1270" t="s">
        <v>429</v>
      </c>
      <c r="E13" s="1270" t="s">
        <v>431</v>
      </c>
      <c r="F13" s="1271">
        <v>-0.12830590423799992</v>
      </c>
      <c r="G13" s="1271">
        <v>-0.37164570923677315</v>
      </c>
      <c r="H13" s="1271">
        <v>-0.36545008441484955</v>
      </c>
      <c r="I13" s="1271">
        <v>-0.24623192066670752</v>
      </c>
      <c r="J13" s="1271">
        <v>-0.15422366053785452</v>
      </c>
      <c r="K13" s="1271">
        <v>-4.3282461826877672E-2</v>
      </c>
      <c r="L13" s="1271"/>
      <c r="M13" s="1272">
        <v>1263670151</v>
      </c>
    </row>
    <row r="14" spans="1:23" x14ac:dyDescent="0.2">
      <c r="A14" s="1267" t="s">
        <v>426</v>
      </c>
      <c r="B14" s="1267" t="s">
        <v>444</v>
      </c>
      <c r="C14" s="1267" t="s">
        <v>445</v>
      </c>
      <c r="D14" s="1267" t="s">
        <v>429</v>
      </c>
      <c r="E14" s="1267" t="s">
        <v>430</v>
      </c>
      <c r="F14" s="1268">
        <v>-0.12151666668999994</v>
      </c>
      <c r="G14" s="1268">
        <v>-0.42551742927419534</v>
      </c>
      <c r="H14" s="1268">
        <v>-0.4332717548839467</v>
      </c>
      <c r="I14" s="1268">
        <v>-0.26068227334307659</v>
      </c>
      <c r="J14" s="1268">
        <v>-0.12936551953600051</v>
      </c>
      <c r="K14" s="1268">
        <v>-1.6690391810585514E-2</v>
      </c>
      <c r="L14" s="1268">
        <v>1.6041633375652342E-2</v>
      </c>
      <c r="M14" s="1269">
        <v>2363592548</v>
      </c>
      <c r="N14" s="1267"/>
      <c r="O14" s="1267"/>
      <c r="P14" s="1267"/>
      <c r="Q14" s="1267"/>
      <c r="R14" s="1267"/>
      <c r="S14" s="1267"/>
      <c r="T14" s="1267"/>
      <c r="U14" s="1267"/>
      <c r="V14" s="1267"/>
      <c r="W14" s="1267"/>
    </row>
    <row r="15" spans="1:23" x14ac:dyDescent="0.2">
      <c r="A15" s="1270" t="s">
        <v>426</v>
      </c>
      <c r="B15" s="1270" t="s">
        <v>444</v>
      </c>
      <c r="C15" s="1270" t="s">
        <v>445</v>
      </c>
      <c r="D15" s="1270" t="s">
        <v>429</v>
      </c>
      <c r="E15" s="1270" t="s">
        <v>431</v>
      </c>
      <c r="F15" s="1271">
        <v>-0.12250206583000001</v>
      </c>
      <c r="G15" s="1271">
        <v>-0.42745360363734741</v>
      </c>
      <c r="H15" s="1271">
        <v>-0.43573777913418532</v>
      </c>
      <c r="I15" s="1271">
        <v>-0.26373270954598194</v>
      </c>
      <c r="J15" s="1271">
        <v>-0.13284503687582994</v>
      </c>
      <c r="K15" s="1271">
        <v>-1.994901503167279E-2</v>
      </c>
      <c r="L15" s="1271">
        <v>1.3428831193853519E-2</v>
      </c>
      <c r="M15" s="1272">
        <v>2363592548</v>
      </c>
    </row>
    <row r="16" spans="1:23" x14ac:dyDescent="0.2">
      <c r="A16" s="1267" t="s">
        <v>426</v>
      </c>
      <c r="B16" s="1267" t="s">
        <v>446</v>
      </c>
      <c r="C16" s="1267" t="s">
        <v>447</v>
      </c>
      <c r="D16" s="1267" t="s">
        <v>429</v>
      </c>
      <c r="E16" s="1267" t="s">
        <v>430</v>
      </c>
      <c r="F16" s="1268">
        <v>5.0602310239999948E-3</v>
      </c>
      <c r="G16" s="1268">
        <v>2.1053820155062075E-2</v>
      </c>
      <c r="H16" s="1268">
        <v>1.3705592327477589E-2</v>
      </c>
      <c r="I16" s="1268">
        <v>4.0881977478889553E-2</v>
      </c>
      <c r="J16" s="1268">
        <v>4.9722191608477795E-2</v>
      </c>
      <c r="K16" s="1268">
        <v>3.7561645652077091E-2</v>
      </c>
      <c r="L16" s="1268">
        <v>5.4997196279104932E-2</v>
      </c>
      <c r="M16" s="1269">
        <v>5191870813</v>
      </c>
      <c r="N16" s="1267"/>
      <c r="O16" s="1267"/>
      <c r="P16" s="1267"/>
      <c r="Q16" s="1267"/>
      <c r="R16" s="1267"/>
      <c r="S16" s="1267"/>
      <c r="T16" s="1267"/>
      <c r="U16" s="1267"/>
      <c r="V16" s="1267"/>
      <c r="W16" s="1267"/>
    </row>
    <row r="17" spans="1:23" x14ac:dyDescent="0.2">
      <c r="A17" s="1270" t="s">
        <v>426</v>
      </c>
      <c r="B17" s="1270" t="s">
        <v>446</v>
      </c>
      <c r="C17" s="1270" t="s">
        <v>447</v>
      </c>
      <c r="D17" s="1270" t="s">
        <v>429</v>
      </c>
      <c r="E17" s="1270" t="s">
        <v>431</v>
      </c>
      <c r="F17" s="1271">
        <v>4.8623455680001371E-3</v>
      </c>
      <c r="G17" s="1271">
        <v>2.0351460699892243E-2</v>
      </c>
      <c r="H17" s="1271">
        <v>1.2805564257855284E-2</v>
      </c>
      <c r="I17" s="1271">
        <v>4.0004535638596295E-2</v>
      </c>
      <c r="J17" s="1271">
        <v>4.8852783119681442E-2</v>
      </c>
      <c r="K17" s="1271">
        <v>3.6735184246266872E-2</v>
      </c>
      <c r="L17" s="1271">
        <v>5.4305113842250563E-2</v>
      </c>
      <c r="M17" s="1272">
        <v>5191870813</v>
      </c>
    </row>
    <row r="18" spans="1:23" x14ac:dyDescent="0.2">
      <c r="A18" s="1267" t="s">
        <v>426</v>
      </c>
      <c r="B18" s="1267" t="s">
        <v>448</v>
      </c>
      <c r="C18" s="1267" t="s">
        <v>449</v>
      </c>
      <c r="D18" s="1267" t="s">
        <v>429</v>
      </c>
      <c r="E18" s="1267" t="s">
        <v>430</v>
      </c>
      <c r="F18" s="1268">
        <v>-0.13480000000000003</v>
      </c>
      <c r="G18" s="1268">
        <v>-0.22364895884568614</v>
      </c>
      <c r="H18" s="1268">
        <v>-0.20805231421685788</v>
      </c>
      <c r="I18" s="1268"/>
      <c r="J18" s="1268"/>
      <c r="K18" s="1268"/>
      <c r="L18" s="1268"/>
      <c r="M18" s="1269">
        <v>188048986</v>
      </c>
      <c r="N18" s="1267"/>
      <c r="O18" s="1267"/>
      <c r="P18" s="1267"/>
      <c r="Q18" s="1267"/>
      <c r="R18" s="1267"/>
      <c r="S18" s="1267"/>
      <c r="T18" s="1267"/>
      <c r="U18" s="1267"/>
      <c r="V18" s="1267"/>
      <c r="W18" s="1267"/>
    </row>
    <row r="19" spans="1:23" x14ac:dyDescent="0.2">
      <c r="A19" s="1270" t="s">
        <v>426</v>
      </c>
      <c r="B19" s="1270" t="s">
        <v>448</v>
      </c>
      <c r="C19" s="1270" t="s">
        <v>449</v>
      </c>
      <c r="D19" s="1270" t="s">
        <v>429</v>
      </c>
      <c r="E19" s="1270" t="s">
        <v>431</v>
      </c>
      <c r="F19" s="1271">
        <v>-0.13480000000000003</v>
      </c>
      <c r="G19" s="1271">
        <v>-0.22555231830537603</v>
      </c>
      <c r="H19" s="1271">
        <v>-0.20999391156059788</v>
      </c>
      <c r="I19" s="1271"/>
      <c r="J19" s="1271"/>
      <c r="K19" s="1271"/>
      <c r="L19" s="1271"/>
      <c r="M19" s="1272">
        <v>188048986</v>
      </c>
    </row>
    <row r="20" spans="1:23" x14ac:dyDescent="0.2">
      <c r="A20" s="1267" t="s">
        <v>426</v>
      </c>
      <c r="B20" s="1267" t="s">
        <v>450</v>
      </c>
      <c r="C20" s="1267" t="s">
        <v>451</v>
      </c>
      <c r="D20" s="1267" t="s">
        <v>429</v>
      </c>
      <c r="E20" s="1267" t="s">
        <v>430</v>
      </c>
      <c r="F20" s="1268">
        <v>-0.18010000000000004</v>
      </c>
      <c r="G20" s="1268">
        <v>-0.28426419550000004</v>
      </c>
      <c r="H20" s="1268">
        <v>-0.30051139826215012</v>
      </c>
      <c r="I20" s="1268">
        <v>-0.15698023648934678</v>
      </c>
      <c r="J20" s="1268">
        <v>-1.2250213406708621E-2</v>
      </c>
      <c r="K20" s="1268"/>
      <c r="L20" s="1268"/>
      <c r="M20" s="1269">
        <v>610001388</v>
      </c>
      <c r="N20" s="1267"/>
      <c r="O20" s="1267"/>
      <c r="P20" s="1267"/>
      <c r="Q20" s="1267"/>
      <c r="R20" s="1267"/>
      <c r="S20" s="1267"/>
      <c r="T20" s="1267"/>
      <c r="U20" s="1267"/>
      <c r="V20" s="1267"/>
      <c r="W20" s="1267"/>
    </row>
    <row r="21" spans="1:23" x14ac:dyDescent="0.2">
      <c r="A21" s="1270" t="s">
        <v>426</v>
      </c>
      <c r="B21" s="1270" t="s">
        <v>450</v>
      </c>
      <c r="C21" s="1270" t="s">
        <v>451</v>
      </c>
      <c r="D21" s="1270" t="s">
        <v>429</v>
      </c>
      <c r="E21" s="1270" t="s">
        <v>431</v>
      </c>
      <c r="F21" s="1271">
        <v>-0.18140000000000001</v>
      </c>
      <c r="G21" s="1271">
        <v>-0.29430219608800001</v>
      </c>
      <c r="H21" s="1271">
        <v>-0.31617882800927199</v>
      </c>
      <c r="I21" s="1271">
        <v>-0.18140382601503025</v>
      </c>
      <c r="J21" s="1271">
        <v>-4.2106076201563807E-2</v>
      </c>
      <c r="K21" s="1271"/>
      <c r="L21" s="1271"/>
      <c r="M21" s="1272">
        <v>610001388</v>
      </c>
    </row>
    <row r="22" spans="1:23" x14ac:dyDescent="0.2">
      <c r="A22" s="1267" t="s">
        <v>426</v>
      </c>
      <c r="B22" s="1267" t="s">
        <v>452</v>
      </c>
      <c r="C22" s="1267" t="s">
        <v>453</v>
      </c>
      <c r="D22" s="1267" t="s">
        <v>429</v>
      </c>
      <c r="E22" s="1267" t="s">
        <v>430</v>
      </c>
      <c r="F22" s="1268">
        <v>-0.16759999999999997</v>
      </c>
      <c r="G22" s="1268">
        <v>-0.27335225799999996</v>
      </c>
      <c r="H22" s="1268">
        <v>-0.28984716174340008</v>
      </c>
      <c r="I22" s="1268">
        <v>-0.15057830556626373</v>
      </c>
      <c r="J22" s="1268">
        <v>-7.2558431115457012E-3</v>
      </c>
      <c r="K22" s="1268"/>
      <c r="L22" s="1268"/>
      <c r="M22" s="1269">
        <v>653263365</v>
      </c>
      <c r="N22" s="1267"/>
      <c r="O22" s="1267"/>
      <c r="P22" s="1267"/>
      <c r="Q22" s="1267"/>
      <c r="R22" s="1267"/>
      <c r="S22" s="1267"/>
      <c r="T22" s="1267"/>
      <c r="U22" s="1267"/>
      <c r="V22" s="1267"/>
      <c r="W22" s="1267"/>
    </row>
    <row r="23" spans="1:23" x14ac:dyDescent="0.2">
      <c r="A23" s="1270" t="s">
        <v>426</v>
      </c>
      <c r="B23" s="1270" t="s">
        <v>452</v>
      </c>
      <c r="C23" s="1270" t="s">
        <v>453</v>
      </c>
      <c r="D23" s="1270" t="s">
        <v>429</v>
      </c>
      <c r="E23" s="1270" t="s">
        <v>431</v>
      </c>
      <c r="F23" s="1271">
        <v>-0.16879999999999995</v>
      </c>
      <c r="G23" s="1271">
        <v>-0.28344000169600003</v>
      </c>
      <c r="H23" s="1271">
        <v>-0.30565336164342394</v>
      </c>
      <c r="I23" s="1271">
        <v>-0.17512791316018117</v>
      </c>
      <c r="J23" s="1271">
        <v>-3.7216401688262013E-2</v>
      </c>
      <c r="K23" s="1271"/>
      <c r="L23" s="1271"/>
      <c r="M23" s="1272">
        <v>653263365</v>
      </c>
    </row>
    <row r="24" spans="1:23" x14ac:dyDescent="0.2">
      <c r="A24" s="1267" t="s">
        <v>426</v>
      </c>
      <c r="B24" s="1267" t="s">
        <v>454</v>
      </c>
      <c r="C24" s="1267" t="s">
        <v>455</v>
      </c>
      <c r="D24" s="1267" t="s">
        <v>429</v>
      </c>
      <c r="E24" s="1267" t="s">
        <v>430</v>
      </c>
      <c r="F24" s="1268">
        <v>-0.14129999999999998</v>
      </c>
      <c r="G24" s="1268"/>
      <c r="H24" s="1268"/>
      <c r="I24" s="1268"/>
      <c r="J24" s="1268"/>
      <c r="K24" s="1268"/>
      <c r="L24" s="1268"/>
      <c r="M24" s="1269">
        <v>225438451</v>
      </c>
      <c r="N24" s="1267"/>
      <c r="O24" s="1267"/>
      <c r="P24" s="1267"/>
      <c r="Q24" s="1267"/>
      <c r="R24" s="1267"/>
      <c r="S24" s="1267"/>
      <c r="T24" s="1267"/>
      <c r="U24" s="1267"/>
      <c r="V24" s="1267"/>
      <c r="W24" s="1267"/>
    </row>
    <row r="25" spans="1:23" x14ac:dyDescent="0.2">
      <c r="A25" s="1270" t="s">
        <v>426</v>
      </c>
      <c r="B25" s="1270" t="s">
        <v>454</v>
      </c>
      <c r="C25" s="1270" t="s">
        <v>455</v>
      </c>
      <c r="D25" s="1270" t="s">
        <v>429</v>
      </c>
      <c r="E25" s="1270" t="s">
        <v>431</v>
      </c>
      <c r="F25" s="1271">
        <v>-0.14129999999999998</v>
      </c>
      <c r="G25" s="1271"/>
      <c r="H25" s="1271"/>
      <c r="I25" s="1271"/>
      <c r="J25" s="1271"/>
      <c r="K25" s="1271"/>
      <c r="L25" s="1271"/>
      <c r="M25" s="1272">
        <v>225438451</v>
      </c>
    </row>
    <row r="26" spans="1:23" x14ac:dyDescent="0.2">
      <c r="A26" s="1267" t="s">
        <v>426</v>
      </c>
      <c r="B26" s="1267" t="s">
        <v>456</v>
      </c>
      <c r="C26" s="1267" t="s">
        <v>71</v>
      </c>
      <c r="D26" s="1267" t="s">
        <v>429</v>
      </c>
      <c r="E26" s="1267" t="s">
        <v>430</v>
      </c>
      <c r="F26" s="1268">
        <v>-8.0325192409999926E-2</v>
      </c>
      <c r="G26" s="1268"/>
      <c r="H26" s="1268"/>
      <c r="I26" s="1268"/>
      <c r="J26" s="1268"/>
      <c r="K26" s="1268"/>
      <c r="L26" s="1268"/>
      <c r="M26" s="1269">
        <v>2110018030</v>
      </c>
      <c r="N26" s="1267"/>
      <c r="O26" s="1267"/>
      <c r="P26" s="1267"/>
      <c r="Q26" s="1267"/>
      <c r="R26" s="1267"/>
      <c r="S26" s="1267"/>
      <c r="T26" s="1267"/>
      <c r="U26" s="1267"/>
      <c r="V26" s="1267"/>
      <c r="W26" s="1267"/>
    </row>
    <row r="27" spans="1:23" x14ac:dyDescent="0.2">
      <c r="A27" s="1270" t="s">
        <v>426</v>
      </c>
      <c r="B27" s="1270" t="s">
        <v>456</v>
      </c>
      <c r="C27" s="1270" t="s">
        <v>71</v>
      </c>
      <c r="D27" s="1270" t="s">
        <v>429</v>
      </c>
      <c r="E27" s="1270" t="s">
        <v>431</v>
      </c>
      <c r="F27" s="1271">
        <v>-8.0498699589999875E-2</v>
      </c>
      <c r="G27" s="1271"/>
      <c r="H27" s="1271"/>
      <c r="I27" s="1271"/>
      <c r="J27" s="1271"/>
      <c r="K27" s="1271"/>
      <c r="L27" s="1271"/>
      <c r="M27" s="1272">
        <v>2110018030</v>
      </c>
    </row>
    <row r="28" spans="1:23" x14ac:dyDescent="0.2">
      <c r="A28" s="1267" t="s">
        <v>426</v>
      </c>
      <c r="B28" s="1267" t="s">
        <v>457</v>
      </c>
      <c r="C28" s="1267" t="s">
        <v>458</v>
      </c>
      <c r="D28" s="1267" t="s">
        <v>429</v>
      </c>
      <c r="E28" s="1267" t="s">
        <v>430</v>
      </c>
      <c r="F28" s="1268">
        <v>1.9039752043999991E-2</v>
      </c>
      <c r="G28" s="1268">
        <v>3.4505941790096362E-2</v>
      </c>
      <c r="H28" s="1268">
        <v>4.249141253675992E-2</v>
      </c>
      <c r="I28" s="1268">
        <v>5.2033403361439579E-2</v>
      </c>
      <c r="J28" s="1268">
        <v>5.3067274252176944E-2</v>
      </c>
      <c r="K28" s="1268">
        <v>5.6975211903593337E-2</v>
      </c>
      <c r="L28" s="1268">
        <v>5.4850390877754895E-2</v>
      </c>
      <c r="M28" s="1269">
        <v>171036999</v>
      </c>
      <c r="N28" s="1267"/>
      <c r="O28" s="1267"/>
      <c r="P28" s="1267"/>
      <c r="Q28" s="1267"/>
      <c r="R28" s="1267"/>
      <c r="S28" s="1267"/>
      <c r="T28" s="1267"/>
      <c r="U28" s="1267"/>
      <c r="V28" s="1267"/>
      <c r="W28" s="1267"/>
    </row>
    <row r="29" spans="1:23" x14ac:dyDescent="0.2">
      <c r="A29" s="1270" t="s">
        <v>426</v>
      </c>
      <c r="B29" s="1270" t="s">
        <v>457</v>
      </c>
      <c r="C29" s="1270" t="s">
        <v>458</v>
      </c>
      <c r="D29" s="1270" t="s">
        <v>429</v>
      </c>
      <c r="E29" s="1270" t="s">
        <v>431</v>
      </c>
      <c r="F29" s="1271">
        <v>1.9039752043999991E-2</v>
      </c>
      <c r="G29" s="1271">
        <v>3.4505941790096362E-2</v>
      </c>
      <c r="H29" s="1271">
        <v>4.249141253675992E-2</v>
      </c>
      <c r="I29" s="1271">
        <v>5.2033403361439579E-2</v>
      </c>
      <c r="J29" s="1271">
        <v>5.3067274252176944E-2</v>
      </c>
      <c r="K29" s="1271">
        <v>5.6975211903593337E-2</v>
      </c>
      <c r="L29" s="1271">
        <v>5.4850390877754895E-2</v>
      </c>
      <c r="M29" s="1272">
        <v>171036999</v>
      </c>
    </row>
    <row r="30" spans="1:23" x14ac:dyDescent="0.2">
      <c r="A30" s="1267" t="s">
        <v>426</v>
      </c>
      <c r="B30" s="1267" t="s">
        <v>459</v>
      </c>
      <c r="C30" s="1267" t="s">
        <v>460</v>
      </c>
      <c r="D30" s="1267" t="s">
        <v>429</v>
      </c>
      <c r="E30" s="1267" t="s">
        <v>430</v>
      </c>
      <c r="F30" s="1268">
        <v>-0.16555434386800005</v>
      </c>
      <c r="G30" s="1268">
        <v>-0.42363218304860889</v>
      </c>
      <c r="H30" s="1268">
        <v>-0.43037998632151719</v>
      </c>
      <c r="I30" s="1268">
        <v>-0.28154570568107373</v>
      </c>
      <c r="J30" s="1268"/>
      <c r="K30" s="1268"/>
      <c r="L30" s="1268"/>
      <c r="M30" s="1269">
        <v>107310150</v>
      </c>
      <c r="N30" s="1267"/>
      <c r="O30" s="1267"/>
      <c r="P30" s="1267"/>
      <c r="Q30" s="1267"/>
      <c r="R30" s="1267"/>
      <c r="S30" s="1267"/>
      <c r="T30" s="1267"/>
      <c r="U30" s="1267"/>
      <c r="V30" s="1267"/>
      <c r="W30" s="1267"/>
    </row>
    <row r="31" spans="1:23" x14ac:dyDescent="0.2">
      <c r="A31" s="1270" t="s">
        <v>426</v>
      </c>
      <c r="B31" s="1270" t="s">
        <v>459</v>
      </c>
      <c r="C31" s="1270" t="s">
        <v>460</v>
      </c>
      <c r="D31" s="1270" t="s">
        <v>429</v>
      </c>
      <c r="E31" s="1270" t="s">
        <v>431</v>
      </c>
      <c r="F31" s="1271">
        <v>-0.16672862708800007</v>
      </c>
      <c r="G31" s="1271">
        <v>-0.42595800367701031</v>
      </c>
      <c r="H31" s="1271">
        <v>-0.43330009526973984</v>
      </c>
      <c r="I31" s="1271">
        <v>-0.28539725249772752</v>
      </c>
      <c r="J31" s="1271"/>
      <c r="K31" s="1271"/>
      <c r="L31" s="1271"/>
      <c r="M31" s="1272">
        <v>107310150</v>
      </c>
    </row>
    <row r="32" spans="1:23" x14ac:dyDescent="0.2">
      <c r="A32" s="1267" t="s">
        <v>426</v>
      </c>
      <c r="B32" s="1267" t="s">
        <v>461</v>
      </c>
      <c r="C32" s="1267" t="s">
        <v>39</v>
      </c>
      <c r="D32" s="1267" t="s">
        <v>429</v>
      </c>
      <c r="E32" s="1267" t="s">
        <v>430</v>
      </c>
      <c r="F32" s="1268">
        <v>-5.4848129679999857E-2</v>
      </c>
      <c r="G32" s="1268">
        <v>-0.32099030872539935</v>
      </c>
      <c r="H32" s="1268">
        <v>-0.29878462163424491</v>
      </c>
      <c r="I32" s="1268">
        <v>-0.17741185542762594</v>
      </c>
      <c r="J32" s="1268">
        <v>-0.10990584104295543</v>
      </c>
      <c r="K32" s="1268">
        <v>-2.7829877162538152E-2</v>
      </c>
      <c r="L32" s="1268"/>
      <c r="M32" s="1269">
        <v>517208599</v>
      </c>
      <c r="N32" s="1267"/>
      <c r="O32" s="1267"/>
      <c r="P32" s="1267"/>
      <c r="Q32" s="1267"/>
      <c r="R32" s="1267"/>
      <c r="S32" s="1267"/>
      <c r="T32" s="1267"/>
      <c r="U32" s="1267"/>
      <c r="V32" s="1267"/>
      <c r="W32" s="1267"/>
    </row>
    <row r="33" spans="1:23" x14ac:dyDescent="0.2">
      <c r="A33" s="1270" t="s">
        <v>426</v>
      </c>
      <c r="B33" s="1270" t="s">
        <v>461</v>
      </c>
      <c r="C33" s="1270" t="s">
        <v>39</v>
      </c>
      <c r="D33" s="1270" t="s">
        <v>429</v>
      </c>
      <c r="E33" s="1270" t="s">
        <v>431</v>
      </c>
      <c r="F33" s="1271">
        <v>-5.5825260372999959E-2</v>
      </c>
      <c r="G33" s="1271">
        <v>-0.32303790256123144</v>
      </c>
      <c r="H33" s="1271">
        <v>-0.30149013392474289</v>
      </c>
      <c r="I33" s="1271">
        <v>-0.18038544762753753</v>
      </c>
      <c r="J33" s="1271">
        <v>-0.11304916397675611</v>
      </c>
      <c r="K33" s="1271">
        <v>-3.1251115580953615E-2</v>
      </c>
      <c r="L33" s="1271"/>
      <c r="M33" s="1272">
        <v>517208599</v>
      </c>
    </row>
    <row r="34" spans="1:23" x14ac:dyDescent="0.2">
      <c r="A34" s="1267" t="s">
        <v>426</v>
      </c>
      <c r="B34" s="1267" t="s">
        <v>462</v>
      </c>
      <c r="C34" s="1267" t="s">
        <v>12</v>
      </c>
      <c r="D34" s="1267" t="s">
        <v>429</v>
      </c>
      <c r="E34" s="1267" t="s">
        <v>430</v>
      </c>
      <c r="F34" s="1268">
        <v>-0.14129257898799996</v>
      </c>
      <c r="G34" s="1268">
        <v>-0.38065725489077318</v>
      </c>
      <c r="H34" s="1268">
        <v>-0.42517168626264301</v>
      </c>
      <c r="I34" s="1268">
        <v>-0.28585098913692131</v>
      </c>
      <c r="J34" s="1268">
        <v>-0.15565013752591139</v>
      </c>
      <c r="K34" s="1268">
        <v>-4.1200110686511859E-2</v>
      </c>
      <c r="L34" s="1268"/>
      <c r="M34" s="1269">
        <v>338002075</v>
      </c>
      <c r="N34" s="1267"/>
      <c r="O34" s="1267"/>
      <c r="P34" s="1267"/>
      <c r="Q34" s="1267"/>
      <c r="R34" s="1267"/>
      <c r="S34" s="1267"/>
      <c r="T34" s="1267"/>
      <c r="U34" s="1267"/>
      <c r="V34" s="1267"/>
      <c r="W34" s="1267"/>
    </row>
    <row r="35" spans="1:23" x14ac:dyDescent="0.2">
      <c r="A35" s="1270" t="s">
        <v>426</v>
      </c>
      <c r="B35" s="1270" t="s">
        <v>462</v>
      </c>
      <c r="C35" s="1270" t="s">
        <v>12</v>
      </c>
      <c r="D35" s="1270" t="s">
        <v>429</v>
      </c>
      <c r="E35" s="1270" t="s">
        <v>431</v>
      </c>
      <c r="F35" s="1271">
        <v>-0.14206265110799987</v>
      </c>
      <c r="G35" s="1271">
        <v>-0.38215389409101436</v>
      </c>
      <c r="H35" s="1271">
        <v>-0.42695173782464257</v>
      </c>
      <c r="I35" s="1271">
        <v>-0.28792684271854152</v>
      </c>
      <c r="J35" s="1271">
        <v>-0.15803333915110684</v>
      </c>
      <c r="K35" s="1271">
        <v>-4.3896399416996523E-2</v>
      </c>
      <c r="L35" s="1271"/>
      <c r="M35" s="1272">
        <v>338002075</v>
      </c>
    </row>
    <row r="36" spans="1:23" x14ac:dyDescent="0.2">
      <c r="A36" s="1267" t="s">
        <v>426</v>
      </c>
      <c r="B36" s="1267" t="s">
        <v>463</v>
      </c>
      <c r="C36" s="1267" t="s">
        <v>464</v>
      </c>
      <c r="D36" s="1267" t="s">
        <v>429</v>
      </c>
      <c r="E36" s="1267" t="s">
        <v>430</v>
      </c>
      <c r="F36" s="1268">
        <v>-0.10678244619999999</v>
      </c>
      <c r="G36" s="1268">
        <v>-0.36247129369416309</v>
      </c>
      <c r="H36" s="1268">
        <v>-0.37968830028751654</v>
      </c>
      <c r="I36" s="1268">
        <v>-0.23262634490678757</v>
      </c>
      <c r="J36" s="1268">
        <v>-0.13005563979756363</v>
      </c>
      <c r="K36" s="1268">
        <v>-4.6073613291788822E-2</v>
      </c>
      <c r="L36" s="1268">
        <v>-2.9177546159706469E-2</v>
      </c>
      <c r="M36" s="1269">
        <v>798880659</v>
      </c>
      <c r="N36" s="1267"/>
      <c r="O36" s="1267"/>
      <c r="P36" s="1267"/>
      <c r="Q36" s="1267"/>
      <c r="R36" s="1267"/>
      <c r="S36" s="1267"/>
      <c r="T36" s="1267"/>
      <c r="U36" s="1267"/>
      <c r="V36" s="1267"/>
      <c r="W36" s="1267"/>
    </row>
    <row r="37" spans="1:23" x14ac:dyDescent="0.2">
      <c r="A37" s="1270" t="s">
        <v>426</v>
      </c>
      <c r="B37" s="1270" t="s">
        <v>463</v>
      </c>
      <c r="C37" s="1270" t="s">
        <v>464</v>
      </c>
      <c r="D37" s="1270" t="s">
        <v>429</v>
      </c>
      <c r="E37" s="1270" t="s">
        <v>431</v>
      </c>
      <c r="F37" s="1271">
        <v>-0.10678244619999999</v>
      </c>
      <c r="G37" s="1271">
        <v>-0.36247129369416309</v>
      </c>
      <c r="H37" s="1271">
        <v>-0.37968830028751654</v>
      </c>
      <c r="I37" s="1271">
        <v>-0.23262634490678757</v>
      </c>
      <c r="J37" s="1271">
        <v>-0.13008424133493968</v>
      </c>
      <c r="K37" s="1271">
        <v>-4.6129703307472007E-2</v>
      </c>
      <c r="L37" s="1271">
        <v>-2.9216423010080428E-2</v>
      </c>
      <c r="M37" s="1272">
        <v>798880659</v>
      </c>
    </row>
    <row r="38" spans="1:23" x14ac:dyDescent="0.2">
      <c r="A38" s="1267" t="s">
        <v>426</v>
      </c>
      <c r="B38" s="1267" t="s">
        <v>465</v>
      </c>
      <c r="C38" s="1267" t="s">
        <v>466</v>
      </c>
      <c r="D38" s="1267" t="s">
        <v>429</v>
      </c>
      <c r="E38" s="1267" t="s">
        <v>430</v>
      </c>
      <c r="F38" s="1268">
        <v>-0.10815887840000006</v>
      </c>
      <c r="G38" s="1268">
        <v>-0.36244658481746872</v>
      </c>
      <c r="H38" s="1268">
        <v>-0.3796577671861735</v>
      </c>
      <c r="I38" s="1268">
        <v>-0.23226291222550111</v>
      </c>
      <c r="J38" s="1268">
        <v>-0.12925302329766386</v>
      </c>
      <c r="K38" s="1268">
        <v>-4.6541189904178888E-2</v>
      </c>
      <c r="L38" s="1268">
        <v>-2.8941499311083252E-2</v>
      </c>
      <c r="M38" s="1269">
        <v>2415116891</v>
      </c>
      <c r="N38" s="1267"/>
      <c r="O38" s="1267"/>
      <c r="P38" s="1267"/>
      <c r="Q38" s="1267"/>
      <c r="R38" s="1267"/>
      <c r="S38" s="1267"/>
      <c r="T38" s="1267"/>
      <c r="U38" s="1267"/>
      <c r="V38" s="1267"/>
      <c r="W38" s="1267"/>
    </row>
    <row r="39" spans="1:23" x14ac:dyDescent="0.2">
      <c r="A39" s="1270" t="s">
        <v>426</v>
      </c>
      <c r="B39" s="1270" t="s">
        <v>465</v>
      </c>
      <c r="C39" s="1270" t="s">
        <v>466</v>
      </c>
      <c r="D39" s="1270" t="s">
        <v>429</v>
      </c>
      <c r="E39" s="1270" t="s">
        <v>431</v>
      </c>
      <c r="F39" s="1271">
        <v>-0.10815887840000006</v>
      </c>
      <c r="G39" s="1271">
        <v>-0.36244658481746872</v>
      </c>
      <c r="H39" s="1271">
        <v>-0.3796577671861735</v>
      </c>
      <c r="I39" s="1271">
        <v>-0.23226291222550111</v>
      </c>
      <c r="J39" s="1271">
        <v>-0.12925302329766386</v>
      </c>
      <c r="K39" s="1271">
        <v>-4.656025602981595E-2</v>
      </c>
      <c r="L39" s="1271">
        <v>-2.8970758355661874E-2</v>
      </c>
      <c r="M39" s="1272">
        <v>2415116891</v>
      </c>
    </row>
    <row r="40" spans="1:23" x14ac:dyDescent="0.2">
      <c r="A40" s="1267" t="s">
        <v>426</v>
      </c>
      <c r="B40" s="1267" t="s">
        <v>467</v>
      </c>
      <c r="C40" s="1267" t="s">
        <v>468</v>
      </c>
      <c r="D40" s="1267" t="s">
        <v>429</v>
      </c>
      <c r="E40" s="1267" t="s">
        <v>430</v>
      </c>
      <c r="F40" s="1268">
        <v>-0.10936462523199986</v>
      </c>
      <c r="G40" s="1268">
        <v>-0.36213746873223152</v>
      </c>
      <c r="H40" s="1268">
        <v>-0.37937207233555426</v>
      </c>
      <c r="I40" s="1268">
        <v>-0.23228264057670642</v>
      </c>
      <c r="J40" s="1268">
        <v>-0.12970668308230549</v>
      </c>
      <c r="K40" s="1268">
        <v>-4.7068645177258721E-2</v>
      </c>
      <c r="L40" s="1268">
        <v>-2.9589065903707579E-2</v>
      </c>
      <c r="M40" s="1269">
        <v>786398111</v>
      </c>
      <c r="N40" s="1267"/>
      <c r="O40" s="1267"/>
      <c r="P40" s="1267"/>
      <c r="Q40" s="1267"/>
      <c r="R40" s="1267"/>
      <c r="S40" s="1267"/>
      <c r="T40" s="1267"/>
      <c r="U40" s="1267"/>
      <c r="V40" s="1267"/>
      <c r="W40" s="1267"/>
    </row>
    <row r="41" spans="1:23" x14ac:dyDescent="0.2">
      <c r="A41" s="1270" t="s">
        <v>426</v>
      </c>
      <c r="B41" s="1270" t="s">
        <v>467</v>
      </c>
      <c r="C41" s="1270" t="s">
        <v>468</v>
      </c>
      <c r="D41" s="1270" t="s">
        <v>429</v>
      </c>
      <c r="E41" s="1270" t="s">
        <v>431</v>
      </c>
      <c r="F41" s="1271">
        <v>-0.10936462523199986</v>
      </c>
      <c r="G41" s="1271">
        <v>-0.36220053601829705</v>
      </c>
      <c r="H41" s="1271">
        <v>-0.37950119782402925</v>
      </c>
      <c r="I41" s="1271">
        <v>-0.23236250890957877</v>
      </c>
      <c r="J41" s="1271">
        <v>-0.1297670439088896</v>
      </c>
      <c r="K41" s="1271">
        <v>-4.7145898390783092E-2</v>
      </c>
      <c r="L41" s="1271">
        <v>-2.9668273301096115E-2</v>
      </c>
      <c r="M41" s="1272">
        <v>786398111</v>
      </c>
    </row>
    <row r="42" spans="1:23" x14ac:dyDescent="0.2">
      <c r="A42" s="1267" t="s">
        <v>426</v>
      </c>
      <c r="B42" s="1267" t="s">
        <v>469</v>
      </c>
      <c r="C42" s="1267" t="s">
        <v>470</v>
      </c>
      <c r="D42" s="1267" t="s">
        <v>429</v>
      </c>
      <c r="E42" s="1267" t="s">
        <v>430</v>
      </c>
      <c r="F42" s="1268">
        <v>3.9777952375059997</v>
      </c>
      <c r="G42" s="1268">
        <v>3.6570028567390995</v>
      </c>
      <c r="H42" s="1268">
        <v>3.6570028567390995</v>
      </c>
      <c r="I42" s="1268"/>
      <c r="J42" s="1268"/>
      <c r="K42" s="1268"/>
      <c r="L42" s="1268"/>
      <c r="M42" s="1269">
        <v>61</v>
      </c>
      <c r="N42" s="1267"/>
      <c r="O42" s="1267"/>
      <c r="P42" s="1267"/>
      <c r="Q42" s="1267"/>
      <c r="R42" s="1267"/>
      <c r="S42" s="1267"/>
      <c r="T42" s="1267"/>
      <c r="U42" s="1267"/>
      <c r="V42" s="1267"/>
      <c r="W42" s="1267"/>
    </row>
    <row r="43" spans="1:23" x14ac:dyDescent="0.2">
      <c r="A43" s="1270" t="s">
        <v>426</v>
      </c>
      <c r="B43" s="1270" t="s">
        <v>469</v>
      </c>
      <c r="C43" s="1270" t="s">
        <v>470</v>
      </c>
      <c r="D43" s="1270" t="s">
        <v>429</v>
      </c>
      <c r="E43" s="1270" t="s">
        <v>431</v>
      </c>
      <c r="F43" s="1271">
        <v>3.9777952375059997</v>
      </c>
      <c r="G43" s="1271">
        <v>3.6570028567390995</v>
      </c>
      <c r="H43" s="1271">
        <v>3.6570028567390995</v>
      </c>
      <c r="I43" s="1271"/>
      <c r="J43" s="1271"/>
      <c r="K43" s="1271"/>
      <c r="L43" s="1271"/>
      <c r="M43" s="1272">
        <v>61</v>
      </c>
    </row>
    <row r="44" spans="1:23" x14ac:dyDescent="0.2">
      <c r="A44" s="1267" t="s">
        <v>426</v>
      </c>
      <c r="B44" s="1267" t="s">
        <v>471</v>
      </c>
      <c r="C44" s="1267" t="s">
        <v>472</v>
      </c>
      <c r="D44" s="1267" t="s">
        <v>429</v>
      </c>
      <c r="E44" s="1267" t="s">
        <v>430</v>
      </c>
      <c r="F44" s="1268">
        <v>-5.3337972000000011E-2</v>
      </c>
      <c r="G44" s="1268">
        <v>-0.35036027331397657</v>
      </c>
      <c r="H44" s="1268">
        <v>-0.30711953153791782</v>
      </c>
      <c r="I44" s="1268">
        <v>-0.15607136131820187</v>
      </c>
      <c r="J44" s="1268">
        <v>-8.272221489030418E-2</v>
      </c>
      <c r="K44" s="1268">
        <v>2.9307247384908308E-2</v>
      </c>
      <c r="L44" s="1268"/>
      <c r="M44" s="1269">
        <v>247721403</v>
      </c>
      <c r="N44" s="1267"/>
      <c r="O44" s="1267"/>
      <c r="P44" s="1267"/>
      <c r="Q44" s="1267"/>
      <c r="R44" s="1267"/>
      <c r="S44" s="1267"/>
      <c r="T44" s="1267"/>
      <c r="U44" s="1267"/>
      <c r="V44" s="1267"/>
      <c r="W44" s="1267"/>
    </row>
    <row r="45" spans="1:23" x14ac:dyDescent="0.2">
      <c r="A45" s="1270" t="s">
        <v>426</v>
      </c>
      <c r="B45" s="1270" t="s">
        <v>471</v>
      </c>
      <c r="C45" s="1270" t="s">
        <v>472</v>
      </c>
      <c r="D45" s="1270" t="s">
        <v>429</v>
      </c>
      <c r="E45" s="1270" t="s">
        <v>431</v>
      </c>
      <c r="F45" s="1271">
        <v>-5.4746957344000036E-2</v>
      </c>
      <c r="G45" s="1271">
        <v>-0.35338454532181574</v>
      </c>
      <c r="H45" s="1271">
        <v>-0.31121918977234175</v>
      </c>
      <c r="I45" s="1271">
        <v>-0.1599978477758538</v>
      </c>
      <c r="J45" s="1271">
        <v>-8.703362032635964E-2</v>
      </c>
      <c r="K45" s="1271">
        <v>2.4139210449090065E-2</v>
      </c>
      <c r="L45" s="1271"/>
      <c r="M45" s="1272">
        <v>247721403</v>
      </c>
    </row>
    <row r="46" spans="1:23" x14ac:dyDescent="0.2">
      <c r="A46" s="1267" t="s">
        <v>426</v>
      </c>
      <c r="B46" s="1267" t="s">
        <v>473</v>
      </c>
      <c r="C46" s="1267" t="s">
        <v>65</v>
      </c>
      <c r="D46" s="1267" t="s">
        <v>429</v>
      </c>
      <c r="E46" s="1267" t="s">
        <v>430</v>
      </c>
      <c r="F46" s="1268">
        <v>-5.6560258755999904E-2</v>
      </c>
      <c r="G46" s="1268">
        <v>-0.32494261367801869</v>
      </c>
      <c r="H46" s="1268">
        <v>-0.32283978534753666</v>
      </c>
      <c r="I46" s="1268">
        <v>-0.19041446435350629</v>
      </c>
      <c r="J46" s="1268">
        <v>-8.8867650150471378E-2</v>
      </c>
      <c r="K46" s="1268">
        <v>1.2925710534988921E-2</v>
      </c>
      <c r="L46" s="1268"/>
      <c r="M46" s="1269">
        <v>88331455</v>
      </c>
      <c r="N46" s="1267"/>
      <c r="O46" s="1267"/>
      <c r="P46" s="1267"/>
      <c r="Q46" s="1267"/>
      <c r="R46" s="1267"/>
      <c r="S46" s="1267"/>
      <c r="T46" s="1267"/>
      <c r="U46" s="1267"/>
      <c r="V46" s="1267"/>
      <c r="W46" s="1267"/>
    </row>
    <row r="47" spans="1:23" x14ac:dyDescent="0.2">
      <c r="A47" s="1270" t="s">
        <v>426</v>
      </c>
      <c r="B47" s="1270" t="s">
        <v>473</v>
      </c>
      <c r="C47" s="1270" t="s">
        <v>65</v>
      </c>
      <c r="D47" s="1270" t="s">
        <v>429</v>
      </c>
      <c r="E47" s="1270" t="s">
        <v>431</v>
      </c>
      <c r="F47" s="1271">
        <v>-5.7978032388000041E-2</v>
      </c>
      <c r="G47" s="1271">
        <v>-0.32790695520095331</v>
      </c>
      <c r="H47" s="1271">
        <v>-0.32662813271391561</v>
      </c>
      <c r="I47" s="1271">
        <v>-0.19477058120780655</v>
      </c>
      <c r="J47" s="1271">
        <v>-9.3404021551004024E-2</v>
      </c>
      <c r="K47" s="1271">
        <v>7.7229310005186846E-3</v>
      </c>
      <c r="L47" s="1271"/>
      <c r="M47" s="1272">
        <v>88331455</v>
      </c>
    </row>
    <row r="48" spans="1:23" x14ac:dyDescent="0.2">
      <c r="A48" s="1267" t="s">
        <v>426</v>
      </c>
      <c r="B48" s="1267" t="s">
        <v>474</v>
      </c>
      <c r="C48" s="1267" t="s">
        <v>475</v>
      </c>
      <c r="D48" s="1267" t="s">
        <v>429</v>
      </c>
      <c r="E48" s="1267" t="s">
        <v>430</v>
      </c>
      <c r="F48" s="1268">
        <v>-8.5840145599999959E-2</v>
      </c>
      <c r="G48" s="1268">
        <v>-0.39188158436729237</v>
      </c>
      <c r="H48" s="1268">
        <v>-0.35856354309047489</v>
      </c>
      <c r="I48" s="1268">
        <v>-0.22710617659126198</v>
      </c>
      <c r="J48" s="1268">
        <v>-0.13477589429120684</v>
      </c>
      <c r="K48" s="1268">
        <v>-2.7144079274057598E-2</v>
      </c>
      <c r="L48" s="1268"/>
      <c r="M48" s="1269">
        <v>336484190</v>
      </c>
      <c r="N48" s="1267"/>
      <c r="O48" s="1267"/>
      <c r="P48" s="1267"/>
      <c r="Q48" s="1267"/>
      <c r="R48" s="1267"/>
      <c r="S48" s="1267"/>
      <c r="T48" s="1267"/>
      <c r="U48" s="1267"/>
      <c r="V48" s="1267"/>
      <c r="W48" s="1267"/>
    </row>
    <row r="49" spans="1:23" x14ac:dyDescent="0.2">
      <c r="A49" s="1270" t="s">
        <v>426</v>
      </c>
      <c r="B49" s="1270" t="s">
        <v>474</v>
      </c>
      <c r="C49" s="1270" t="s">
        <v>475</v>
      </c>
      <c r="D49" s="1270" t="s">
        <v>429</v>
      </c>
      <c r="E49" s="1270" t="s">
        <v>431</v>
      </c>
      <c r="F49" s="1271">
        <v>-8.5923990399999983E-2</v>
      </c>
      <c r="G49" s="1271">
        <v>-0.39199534221214194</v>
      </c>
      <c r="H49" s="1271">
        <v>-0.35875249234404749</v>
      </c>
      <c r="I49" s="1271">
        <v>-0.22725766018485838</v>
      </c>
      <c r="J49" s="1271">
        <v>-0.13497540951885556</v>
      </c>
      <c r="K49" s="1271">
        <v>-2.7374354274416812E-2</v>
      </c>
      <c r="L49" s="1271"/>
      <c r="M49" s="1272">
        <v>336484190</v>
      </c>
    </row>
    <row r="50" spans="1:23" x14ac:dyDescent="0.2">
      <c r="A50" s="1267" t="s">
        <v>426</v>
      </c>
      <c r="B50" s="1267" t="s">
        <v>476</v>
      </c>
      <c r="C50" s="1267" t="s">
        <v>477</v>
      </c>
      <c r="D50" s="1267" t="s">
        <v>429</v>
      </c>
      <c r="E50" s="1267" t="s">
        <v>430</v>
      </c>
      <c r="F50" s="1268">
        <v>-3.6416054455000069E-2</v>
      </c>
      <c r="G50" s="1268">
        <v>-0.3813371757608236</v>
      </c>
      <c r="H50" s="1268">
        <v>-0.32877041910099708</v>
      </c>
      <c r="I50" s="1268">
        <v>-0.18846181041288657</v>
      </c>
      <c r="J50" s="1268">
        <v>-0.11492129876181532</v>
      </c>
      <c r="K50" s="1268">
        <v>-1.7900763626471972E-2</v>
      </c>
      <c r="L50" s="1268"/>
      <c r="M50" s="1269">
        <v>364544208</v>
      </c>
      <c r="N50" s="1267"/>
      <c r="O50" s="1267"/>
      <c r="P50" s="1267"/>
      <c r="Q50" s="1267"/>
      <c r="R50" s="1267"/>
      <c r="S50" s="1267"/>
      <c r="T50" s="1267"/>
      <c r="U50" s="1267"/>
      <c r="V50" s="1267"/>
      <c r="W50" s="1267"/>
    </row>
    <row r="51" spans="1:23" x14ac:dyDescent="0.2">
      <c r="A51" s="1270" t="s">
        <v>426</v>
      </c>
      <c r="B51" s="1270" t="s">
        <v>476</v>
      </c>
      <c r="C51" s="1270" t="s">
        <v>477</v>
      </c>
      <c r="D51" s="1270" t="s">
        <v>429</v>
      </c>
      <c r="E51" s="1270" t="s">
        <v>431</v>
      </c>
      <c r="F51" s="1271">
        <v>-3.6416054455000069E-2</v>
      </c>
      <c r="G51" s="1271">
        <v>-0.3813371757608236</v>
      </c>
      <c r="H51" s="1271">
        <v>-0.32877041910099708</v>
      </c>
      <c r="I51" s="1271">
        <v>-0.18850234779844044</v>
      </c>
      <c r="J51" s="1271">
        <v>-0.11495077289355106</v>
      </c>
      <c r="K51" s="1271">
        <v>-1.7958827421016399E-2</v>
      </c>
      <c r="L51" s="1271"/>
      <c r="M51" s="1272">
        <v>364544208</v>
      </c>
    </row>
    <row r="52" spans="1:23" x14ac:dyDescent="0.2">
      <c r="A52" s="1267" t="s">
        <v>426</v>
      </c>
      <c r="B52" s="1267" t="s">
        <v>478</v>
      </c>
      <c r="C52" s="1267" t="s">
        <v>479</v>
      </c>
      <c r="D52" s="1267" t="s">
        <v>429</v>
      </c>
      <c r="E52" s="1267" t="s">
        <v>430</v>
      </c>
      <c r="F52" s="1268">
        <v>-0.11703745249999997</v>
      </c>
      <c r="G52" s="1268">
        <v>-0.37226760067894638</v>
      </c>
      <c r="H52" s="1268">
        <v>-0.35783406074449331</v>
      </c>
      <c r="I52" s="1268">
        <v>-0.24381226593121952</v>
      </c>
      <c r="J52" s="1268">
        <v>-0.14004650600950719</v>
      </c>
      <c r="K52" s="1268">
        <v>-2.7223777097307389E-2</v>
      </c>
      <c r="L52" s="1268"/>
      <c r="M52" s="1269">
        <v>280214289</v>
      </c>
      <c r="N52" s="1267"/>
      <c r="O52" s="1267"/>
      <c r="P52" s="1267"/>
      <c r="Q52" s="1267"/>
      <c r="R52" s="1267"/>
      <c r="S52" s="1267"/>
      <c r="T52" s="1267"/>
      <c r="U52" s="1267"/>
      <c r="V52" s="1267"/>
      <c r="W52" s="1267"/>
    </row>
    <row r="53" spans="1:23" x14ac:dyDescent="0.2">
      <c r="A53" s="1270" t="s">
        <v>426</v>
      </c>
      <c r="B53" s="1270" t="s">
        <v>478</v>
      </c>
      <c r="C53" s="1270" t="s">
        <v>479</v>
      </c>
      <c r="D53" s="1270" t="s">
        <v>429</v>
      </c>
      <c r="E53" s="1270" t="s">
        <v>431</v>
      </c>
      <c r="F53" s="1271">
        <v>-0.11703745249999997</v>
      </c>
      <c r="G53" s="1271">
        <v>-0.37226760067894638</v>
      </c>
      <c r="H53" s="1271">
        <v>-0.35783406074449331</v>
      </c>
      <c r="I53" s="1271">
        <v>-0.24381226593121952</v>
      </c>
      <c r="J53" s="1271">
        <v>-0.14013218082879542</v>
      </c>
      <c r="K53" s="1271">
        <v>-2.7339888970472459E-2</v>
      </c>
      <c r="L53" s="1271"/>
      <c r="M53" s="1272">
        <v>280214289</v>
      </c>
    </row>
    <row r="54" spans="1:23" x14ac:dyDescent="0.2">
      <c r="A54" s="1267" t="s">
        <v>426</v>
      </c>
      <c r="B54" s="1267" t="s">
        <v>480</v>
      </c>
      <c r="C54" s="1267" t="s">
        <v>481</v>
      </c>
      <c r="D54" s="1267" t="s">
        <v>429</v>
      </c>
      <c r="E54" s="1267" t="s">
        <v>430</v>
      </c>
      <c r="F54" s="1268">
        <v>-0.10461657635200006</v>
      </c>
      <c r="G54" s="1268">
        <v>-0.29812485569014835</v>
      </c>
      <c r="H54" s="1268">
        <v>-0.27499901356683254</v>
      </c>
      <c r="I54" s="1268"/>
      <c r="J54" s="1268"/>
      <c r="K54" s="1268"/>
      <c r="L54" s="1268"/>
      <c r="M54" s="1269">
        <v>83965539</v>
      </c>
      <c r="N54" s="1267"/>
      <c r="O54" s="1267"/>
      <c r="P54" s="1267"/>
      <c r="Q54" s="1267"/>
      <c r="R54" s="1267"/>
      <c r="S54" s="1267"/>
      <c r="T54" s="1267"/>
      <c r="U54" s="1267"/>
      <c r="V54" s="1267"/>
      <c r="W54" s="1267"/>
    </row>
    <row r="55" spans="1:23" x14ac:dyDescent="0.2">
      <c r="A55" s="1270" t="s">
        <v>426</v>
      </c>
      <c r="B55" s="1270" t="s">
        <v>480</v>
      </c>
      <c r="C55" s="1270" t="s">
        <v>481</v>
      </c>
      <c r="D55" s="1270" t="s">
        <v>429</v>
      </c>
      <c r="E55" s="1270" t="s">
        <v>431</v>
      </c>
      <c r="F55" s="1271">
        <v>-0.1067957366079999</v>
      </c>
      <c r="G55" s="1271">
        <v>-0.30286576286042066</v>
      </c>
      <c r="H55" s="1271">
        <v>-0.28128242347840271</v>
      </c>
      <c r="I55" s="1271"/>
      <c r="J55" s="1271"/>
      <c r="K55" s="1271"/>
      <c r="L55" s="1271"/>
      <c r="M55" s="1272">
        <v>83965539</v>
      </c>
    </row>
    <row r="56" spans="1:23" x14ac:dyDescent="0.2">
      <c r="A56" s="1267" t="s">
        <v>426</v>
      </c>
      <c r="B56" s="1267" t="s">
        <v>482</v>
      </c>
      <c r="C56" s="1267" t="s">
        <v>483</v>
      </c>
      <c r="D56" s="1267" t="s">
        <v>429</v>
      </c>
      <c r="E56" s="1267" t="s">
        <v>430</v>
      </c>
      <c r="F56" s="1268">
        <v>-6.1553751040000042E-2</v>
      </c>
      <c r="G56" s="1268">
        <v>-0.41037309570085595</v>
      </c>
      <c r="H56" s="1268">
        <v>-0.36177246076741004</v>
      </c>
      <c r="I56" s="1268"/>
      <c r="J56" s="1268"/>
      <c r="K56" s="1268"/>
      <c r="L56" s="1268"/>
      <c r="M56" s="1269">
        <v>51534312</v>
      </c>
      <c r="N56" s="1267"/>
      <c r="O56" s="1267"/>
      <c r="P56" s="1267"/>
      <c r="Q56" s="1267"/>
      <c r="R56" s="1267"/>
      <c r="S56" s="1267"/>
      <c r="T56" s="1267"/>
      <c r="U56" s="1267"/>
      <c r="V56" s="1267"/>
      <c r="W56" s="1267"/>
    </row>
    <row r="57" spans="1:23" x14ac:dyDescent="0.2">
      <c r="A57" s="1270" t="s">
        <v>426</v>
      </c>
      <c r="B57" s="1270" t="s">
        <v>482</v>
      </c>
      <c r="C57" s="1270" t="s">
        <v>483</v>
      </c>
      <c r="D57" s="1270" t="s">
        <v>429</v>
      </c>
      <c r="E57" s="1270" t="s">
        <v>431</v>
      </c>
      <c r="F57" s="1271">
        <v>-6.2507192320000127E-2</v>
      </c>
      <c r="G57" s="1271">
        <v>-0.41284367042913039</v>
      </c>
      <c r="H57" s="1271">
        <v>-0.36517689114068519</v>
      </c>
      <c r="I57" s="1271"/>
      <c r="J57" s="1271"/>
      <c r="K57" s="1271"/>
      <c r="L57" s="1271"/>
      <c r="M57" s="1272">
        <v>51534312</v>
      </c>
    </row>
    <row r="58" spans="1:23" x14ac:dyDescent="0.2">
      <c r="A58" s="1267" t="s">
        <v>426</v>
      </c>
      <c r="B58" s="1267" t="s">
        <v>484</v>
      </c>
      <c r="C58" s="1267" t="s">
        <v>485</v>
      </c>
      <c r="D58" s="1267" t="s">
        <v>429</v>
      </c>
      <c r="E58" s="1267" t="s">
        <v>430</v>
      </c>
      <c r="F58" s="1268">
        <v>-4.2685148541999895E-2</v>
      </c>
      <c r="G58" s="1268">
        <v>-0.33099589596496043</v>
      </c>
      <c r="H58" s="1268">
        <v>-0.30737302772018804</v>
      </c>
      <c r="I58" s="1268">
        <v>-0.15384223869158442</v>
      </c>
      <c r="J58" s="1268">
        <v>-9.1019423415474421E-2</v>
      </c>
      <c r="K58" s="1268"/>
      <c r="L58" s="1268"/>
      <c r="M58" s="1269">
        <v>290566228</v>
      </c>
      <c r="N58" s="1267"/>
      <c r="O58" s="1267"/>
      <c r="P58" s="1267"/>
      <c r="Q58" s="1267"/>
      <c r="R58" s="1267"/>
      <c r="S58" s="1267"/>
      <c r="T58" s="1267"/>
      <c r="U58" s="1267"/>
      <c r="V58" s="1267"/>
      <c r="W58" s="1267"/>
    </row>
    <row r="59" spans="1:23" x14ac:dyDescent="0.2">
      <c r="A59" s="1270" t="s">
        <v>426</v>
      </c>
      <c r="B59" s="1270" t="s">
        <v>484</v>
      </c>
      <c r="C59" s="1270" t="s">
        <v>485</v>
      </c>
      <c r="D59" s="1270" t="s">
        <v>429</v>
      </c>
      <c r="E59" s="1270" t="s">
        <v>431</v>
      </c>
      <c r="F59" s="1271">
        <v>-4.4836820806000051E-2</v>
      </c>
      <c r="G59" s="1271">
        <v>-0.33570558491944091</v>
      </c>
      <c r="H59" s="1271">
        <v>-0.31356809301023159</v>
      </c>
      <c r="I59" s="1271">
        <v>-0.16097242164536862</v>
      </c>
      <c r="J59" s="1271">
        <v>-9.8263165454013576E-2</v>
      </c>
      <c r="K59" s="1271"/>
      <c r="L59" s="1271"/>
      <c r="M59" s="1272">
        <v>290566228</v>
      </c>
    </row>
    <row r="60" spans="1:23" x14ac:dyDescent="0.2">
      <c r="A60" s="1267" t="s">
        <v>426</v>
      </c>
      <c r="B60" s="1267" t="s">
        <v>486</v>
      </c>
      <c r="C60" s="1267" t="s">
        <v>487</v>
      </c>
      <c r="D60" s="1267" t="s">
        <v>429</v>
      </c>
      <c r="E60" s="1267" t="s">
        <v>430</v>
      </c>
      <c r="F60" s="1268">
        <v>-9.2382111322000138E-2</v>
      </c>
      <c r="G60" s="1268">
        <v>-0.36752452178564288</v>
      </c>
      <c r="H60" s="1268">
        <v>-0.32632949636697084</v>
      </c>
      <c r="I60" s="1268"/>
      <c r="J60" s="1268"/>
      <c r="K60" s="1268"/>
      <c r="L60" s="1268"/>
      <c r="M60" s="1269">
        <v>97935602</v>
      </c>
      <c r="N60" s="1267"/>
      <c r="O60" s="1267"/>
      <c r="P60" s="1267"/>
      <c r="Q60" s="1267"/>
      <c r="R60" s="1267"/>
      <c r="S60" s="1267"/>
      <c r="T60" s="1267"/>
      <c r="U60" s="1267"/>
      <c r="V60" s="1267"/>
      <c r="W60" s="1267"/>
    </row>
    <row r="61" spans="1:23" x14ac:dyDescent="0.2">
      <c r="A61" s="1270" t="s">
        <v>426</v>
      </c>
      <c r="B61" s="1270" t="s">
        <v>486</v>
      </c>
      <c r="C61" s="1270" t="s">
        <v>487</v>
      </c>
      <c r="D61" s="1270" t="s">
        <v>429</v>
      </c>
      <c r="E61" s="1270" t="s">
        <v>431</v>
      </c>
      <c r="F61" s="1271">
        <v>-9.4572390243999993E-2</v>
      </c>
      <c r="G61" s="1271">
        <v>-0.37151301380359869</v>
      </c>
      <c r="H61" s="1271">
        <v>-0.33158463710260755</v>
      </c>
      <c r="I61" s="1271"/>
      <c r="J61" s="1271"/>
      <c r="K61" s="1271"/>
      <c r="L61" s="1271"/>
      <c r="M61" s="1272">
        <v>97935602</v>
      </c>
    </row>
    <row r="62" spans="1:23" x14ac:dyDescent="0.2">
      <c r="A62" s="1267" t="s">
        <v>426</v>
      </c>
      <c r="B62" s="1267" t="s">
        <v>488</v>
      </c>
      <c r="C62" s="1267" t="s">
        <v>195</v>
      </c>
      <c r="D62" s="1267" t="s">
        <v>429</v>
      </c>
      <c r="E62" s="1267" t="s">
        <v>430</v>
      </c>
      <c r="F62" s="1268">
        <v>-0.17561910887999999</v>
      </c>
      <c r="G62" s="1268">
        <v>-0.40284908612683606</v>
      </c>
      <c r="H62" s="1268">
        <v>-0.42555195018968128</v>
      </c>
      <c r="I62" s="1268">
        <v>-0.30423234148111722</v>
      </c>
      <c r="J62" s="1268">
        <v>-0.19000081478728503</v>
      </c>
      <c r="K62" s="1268">
        <v>-5.5584041628567338E-2</v>
      </c>
      <c r="L62" s="1268">
        <v>5.6430973705348775E-2</v>
      </c>
      <c r="M62" s="1269">
        <v>276035784</v>
      </c>
      <c r="N62" s="1267"/>
      <c r="O62" s="1267"/>
      <c r="P62" s="1267"/>
      <c r="Q62" s="1267"/>
      <c r="R62" s="1267"/>
      <c r="S62" s="1267"/>
      <c r="T62" s="1267"/>
      <c r="U62" s="1267"/>
      <c r="V62" s="1267"/>
      <c r="W62" s="1267"/>
    </row>
    <row r="63" spans="1:23" x14ac:dyDescent="0.2">
      <c r="A63" s="1270" t="s">
        <v>426</v>
      </c>
      <c r="B63" s="1270" t="s">
        <v>488</v>
      </c>
      <c r="C63" s="1270" t="s">
        <v>195</v>
      </c>
      <c r="D63" s="1270" t="s">
        <v>429</v>
      </c>
      <c r="E63" s="1270" t="s">
        <v>431</v>
      </c>
      <c r="F63" s="1271">
        <v>-0.17621443719999996</v>
      </c>
      <c r="G63" s="1271">
        <v>-0.40404766426091088</v>
      </c>
      <c r="H63" s="1271">
        <v>-0.42702870919179547</v>
      </c>
      <c r="I63" s="1271">
        <v>-0.30572005623548881</v>
      </c>
      <c r="J63" s="1271">
        <v>-0.19169112435498081</v>
      </c>
      <c r="K63" s="1271">
        <v>-5.7447616931324601E-2</v>
      </c>
      <c r="L63" s="1271">
        <v>5.4204966001882848E-2</v>
      </c>
      <c r="M63" s="1272">
        <v>276035784</v>
      </c>
    </row>
    <row r="64" spans="1:23" x14ac:dyDescent="0.2">
      <c r="A64" s="1267" t="s">
        <v>426</v>
      </c>
      <c r="B64" s="1267" t="s">
        <v>489</v>
      </c>
      <c r="C64" s="1267" t="s">
        <v>490</v>
      </c>
      <c r="D64" s="1267" t="s">
        <v>429</v>
      </c>
      <c r="E64" s="1267" t="s">
        <v>430</v>
      </c>
      <c r="F64" s="1268">
        <v>-0.16226049497200012</v>
      </c>
      <c r="G64" s="1268">
        <v>-0.36526897755746984</v>
      </c>
      <c r="H64" s="1268">
        <v>-0.35970821931139163</v>
      </c>
      <c r="I64" s="1268">
        <v>-0.24308255971839621</v>
      </c>
      <c r="J64" s="1268"/>
      <c r="K64" s="1268"/>
      <c r="L64" s="1268"/>
      <c r="M64" s="1269">
        <v>463632686</v>
      </c>
      <c r="N64" s="1267"/>
      <c r="O64" s="1267"/>
      <c r="P64" s="1267"/>
      <c r="Q64" s="1267"/>
      <c r="R64" s="1267"/>
      <c r="S64" s="1267"/>
      <c r="T64" s="1267"/>
      <c r="U64" s="1267"/>
      <c r="V64" s="1267"/>
      <c r="W64" s="1267"/>
    </row>
    <row r="65" spans="1:23" x14ac:dyDescent="0.2">
      <c r="A65" s="1270" t="s">
        <v>426</v>
      </c>
      <c r="B65" s="1270" t="s">
        <v>489</v>
      </c>
      <c r="C65" s="1270" t="s">
        <v>490</v>
      </c>
      <c r="D65" s="1270" t="s">
        <v>429</v>
      </c>
      <c r="E65" s="1270" t="s">
        <v>431</v>
      </c>
      <c r="F65" s="1271">
        <v>-0.16226049497200012</v>
      </c>
      <c r="G65" s="1271">
        <v>-0.36526897755746984</v>
      </c>
      <c r="H65" s="1271">
        <v>-0.35970821931139163</v>
      </c>
      <c r="I65" s="1271">
        <v>-0.24312026701611467</v>
      </c>
      <c r="J65" s="1271"/>
      <c r="K65" s="1271"/>
      <c r="L65" s="1271"/>
      <c r="M65" s="1272">
        <v>463632686</v>
      </c>
    </row>
    <row r="66" spans="1:23" x14ac:dyDescent="0.2">
      <c r="A66" s="1267" t="s">
        <v>426</v>
      </c>
      <c r="B66" s="1267" t="s">
        <v>491</v>
      </c>
      <c r="C66" s="1267" t="s">
        <v>492</v>
      </c>
      <c r="D66" s="1267" t="s">
        <v>429</v>
      </c>
      <c r="E66" s="1267" t="s">
        <v>430</v>
      </c>
      <c r="F66" s="1268"/>
      <c r="G66" s="1268"/>
      <c r="H66" s="1268"/>
      <c r="I66" s="1268"/>
      <c r="J66" s="1268"/>
      <c r="K66" s="1268"/>
      <c r="L66" s="1268"/>
      <c r="M66" s="1269">
        <v>0</v>
      </c>
      <c r="N66" s="1267"/>
      <c r="O66" s="1267"/>
      <c r="P66" s="1267"/>
      <c r="Q66" s="1267"/>
      <c r="R66" s="1267"/>
      <c r="S66" s="1267"/>
      <c r="T66" s="1267"/>
      <c r="U66" s="1267"/>
      <c r="V66" s="1267"/>
      <c r="W66" s="1267"/>
    </row>
    <row r="67" spans="1:23" x14ac:dyDescent="0.2">
      <c r="A67" s="1270" t="s">
        <v>426</v>
      </c>
      <c r="B67" s="1270" t="s">
        <v>493</v>
      </c>
      <c r="C67" s="1270" t="s">
        <v>494</v>
      </c>
      <c r="D67" s="1270" t="s">
        <v>429</v>
      </c>
      <c r="E67" s="1270" t="s">
        <v>430</v>
      </c>
      <c r="F67" s="1271">
        <v>-0.14984306863999997</v>
      </c>
      <c r="G67" s="1271">
        <v>-0.3835004116323123</v>
      </c>
      <c r="H67" s="1271">
        <v>-0.39705519726280003</v>
      </c>
      <c r="I67" s="1271">
        <v>-0.25766321895758715</v>
      </c>
      <c r="J67" s="1271">
        <v>-0.12238908170540697</v>
      </c>
      <c r="K67" s="1271">
        <v>-3.7283076415355332E-3</v>
      </c>
      <c r="L67" s="1271">
        <v>5.4683559187902908E-2</v>
      </c>
      <c r="M67" s="1272">
        <v>775247626</v>
      </c>
    </row>
    <row r="68" spans="1:23" x14ac:dyDescent="0.2">
      <c r="A68" s="1267" t="s">
        <v>426</v>
      </c>
      <c r="B68" s="1267" t="s">
        <v>493</v>
      </c>
      <c r="C68" s="1267" t="s">
        <v>494</v>
      </c>
      <c r="D68" s="1267" t="s">
        <v>429</v>
      </c>
      <c r="E68" s="1267" t="s">
        <v>431</v>
      </c>
      <c r="F68" s="1268">
        <v>-0.15089105272000003</v>
      </c>
      <c r="G68" s="1268">
        <v>-0.38556541859627913</v>
      </c>
      <c r="H68" s="1268">
        <v>-0.39967306779519807</v>
      </c>
      <c r="I68" s="1268">
        <v>-0.26062718558489961</v>
      </c>
      <c r="J68" s="1268">
        <v>-0.125758711063785</v>
      </c>
      <c r="K68" s="1268">
        <v>-7.4597548494182986E-3</v>
      </c>
      <c r="L68" s="1268">
        <v>5.1925849297959292E-2</v>
      </c>
      <c r="M68" s="1269">
        <v>775247626</v>
      </c>
      <c r="N68" s="1267"/>
      <c r="O68" s="1267"/>
      <c r="P68" s="1267"/>
      <c r="Q68" s="1267"/>
      <c r="R68" s="1267"/>
      <c r="S68" s="1267"/>
      <c r="T68" s="1267"/>
      <c r="U68" s="1267"/>
      <c r="V68" s="1267"/>
      <c r="W68" s="1267"/>
    </row>
    <row r="69" spans="1:23" x14ac:dyDescent="0.2">
      <c r="A69" s="1270" t="s">
        <v>426</v>
      </c>
      <c r="B69" s="1270" t="s">
        <v>495</v>
      </c>
      <c r="C69" s="1270" t="s">
        <v>496</v>
      </c>
      <c r="D69" s="1270" t="s">
        <v>429</v>
      </c>
      <c r="E69" s="1270" t="s">
        <v>430</v>
      </c>
      <c r="F69" s="1271">
        <v>-5.8369847056000006E-2</v>
      </c>
      <c r="G69" s="1271">
        <v>-0.47880084526902322</v>
      </c>
      <c r="H69" s="1271">
        <v>-0.47985931517555003</v>
      </c>
      <c r="I69" s="1271">
        <v>-0.26554281106648936</v>
      </c>
      <c r="J69" s="1271">
        <v>-0.13410330699553086</v>
      </c>
      <c r="K69" s="1271"/>
      <c r="L69" s="1271"/>
      <c r="M69" s="1272">
        <v>399053818</v>
      </c>
    </row>
    <row r="70" spans="1:23" x14ac:dyDescent="0.2">
      <c r="A70" s="1267" t="s">
        <v>426</v>
      </c>
      <c r="B70" s="1267" t="s">
        <v>495</v>
      </c>
      <c r="C70" s="1267" t="s">
        <v>496</v>
      </c>
      <c r="D70" s="1267" t="s">
        <v>429</v>
      </c>
      <c r="E70" s="1267" t="s">
        <v>431</v>
      </c>
      <c r="F70" s="1268">
        <v>-5.9303919712000115E-2</v>
      </c>
      <c r="G70" s="1268">
        <v>-0.4805176742903321</v>
      </c>
      <c r="H70" s="1268">
        <v>-0.48197285515048494</v>
      </c>
      <c r="I70" s="1268">
        <v>-0.26823619929844722</v>
      </c>
      <c r="J70" s="1268">
        <v>-0.13715735760883707</v>
      </c>
      <c r="K70" s="1268"/>
      <c r="L70" s="1268"/>
      <c r="M70" s="1269">
        <v>399053818</v>
      </c>
      <c r="N70" s="1267"/>
      <c r="O70" s="1267"/>
      <c r="P70" s="1267"/>
      <c r="Q70" s="1267"/>
      <c r="R70" s="1267"/>
      <c r="S70" s="1267"/>
      <c r="T70" s="1267"/>
      <c r="U70" s="1267"/>
      <c r="V70" s="1267"/>
      <c r="W70" s="1267"/>
    </row>
    <row r="71" spans="1:23" x14ac:dyDescent="0.2">
      <c r="A71" s="1270" t="s">
        <v>426</v>
      </c>
      <c r="B71" s="1270" t="s">
        <v>497</v>
      </c>
      <c r="C71" s="1270" t="s">
        <v>176</v>
      </c>
      <c r="D71" s="1270" t="s">
        <v>429</v>
      </c>
      <c r="E71" s="1270" t="s">
        <v>430</v>
      </c>
      <c r="F71" s="1271">
        <v>-0.11850380965599994</v>
      </c>
      <c r="G71" s="1271">
        <v>-0.38815169812971362</v>
      </c>
      <c r="H71" s="1271">
        <v>-0.40157100697816028</v>
      </c>
      <c r="I71" s="1271">
        <v>-0.22134520750207021</v>
      </c>
      <c r="J71" s="1271">
        <v>-9.7634080340016083E-2</v>
      </c>
      <c r="K71" s="1271"/>
      <c r="L71" s="1271"/>
      <c r="M71" s="1272">
        <v>557794363</v>
      </c>
    </row>
    <row r="72" spans="1:23" x14ac:dyDescent="0.2">
      <c r="A72" s="1267" t="s">
        <v>426</v>
      </c>
      <c r="B72" s="1267" t="s">
        <v>497</v>
      </c>
      <c r="C72" s="1267" t="s">
        <v>176</v>
      </c>
      <c r="D72" s="1267" t="s">
        <v>429</v>
      </c>
      <c r="E72" s="1267" t="s">
        <v>431</v>
      </c>
      <c r="F72" s="1268">
        <v>-0.11932319633599997</v>
      </c>
      <c r="G72" s="1268">
        <v>-0.38984079029157653</v>
      </c>
      <c r="H72" s="1268">
        <v>-0.40367776521907944</v>
      </c>
      <c r="I72" s="1268">
        <v>-0.22395141770387472</v>
      </c>
      <c r="J72" s="1268">
        <v>-0.10056655022392735</v>
      </c>
      <c r="K72" s="1268"/>
      <c r="L72" s="1268"/>
      <c r="M72" s="1269">
        <v>557794363</v>
      </c>
      <c r="N72" s="1267"/>
      <c r="O72" s="1267"/>
      <c r="P72" s="1267"/>
      <c r="Q72" s="1267"/>
      <c r="R72" s="1267"/>
      <c r="S72" s="1267"/>
      <c r="T72" s="1267"/>
      <c r="U72" s="1267"/>
      <c r="V72" s="1267"/>
      <c r="W72" s="1267"/>
    </row>
    <row r="73" spans="1:23" x14ac:dyDescent="0.2">
      <c r="A73" s="1270" t="s">
        <v>426</v>
      </c>
      <c r="B73" s="1270" t="s">
        <v>498</v>
      </c>
      <c r="C73" s="1270" t="s">
        <v>183</v>
      </c>
      <c r="D73" s="1270" t="s">
        <v>429</v>
      </c>
      <c r="E73" s="1270" t="s">
        <v>430</v>
      </c>
      <c r="F73" s="1271">
        <v>-0.12132913589599992</v>
      </c>
      <c r="G73" s="1271">
        <v>-0.42513054193640165</v>
      </c>
      <c r="H73" s="1271">
        <v>-0.45013177119764269</v>
      </c>
      <c r="I73" s="1271">
        <v>-0.29109698544100016</v>
      </c>
      <c r="J73" s="1271">
        <v>-0.14042979406590828</v>
      </c>
      <c r="K73" s="1271"/>
      <c r="L73" s="1271"/>
      <c r="M73" s="1272">
        <v>93567886</v>
      </c>
    </row>
    <row r="74" spans="1:23" x14ac:dyDescent="0.2">
      <c r="A74" s="1267" t="s">
        <v>426</v>
      </c>
      <c r="B74" s="1267" t="s">
        <v>498</v>
      </c>
      <c r="C74" s="1267" t="s">
        <v>183</v>
      </c>
      <c r="D74" s="1267" t="s">
        <v>429</v>
      </c>
      <c r="E74" s="1267" t="s">
        <v>431</v>
      </c>
      <c r="F74" s="1268">
        <v>-0.12317684751999991</v>
      </c>
      <c r="G74" s="1268">
        <v>-0.42870903149918149</v>
      </c>
      <c r="H74" s="1268">
        <v>-0.45450932945137135</v>
      </c>
      <c r="I74" s="1268">
        <v>-0.29640320654310293</v>
      </c>
      <c r="J74" s="1268">
        <v>-0.14700496434600785</v>
      </c>
      <c r="K74" s="1268"/>
      <c r="L74" s="1268"/>
      <c r="M74" s="1269">
        <v>93567886</v>
      </c>
      <c r="N74" s="1267"/>
      <c r="O74" s="1267"/>
      <c r="P74" s="1267"/>
      <c r="Q74" s="1267"/>
      <c r="R74" s="1267"/>
      <c r="S74" s="1267"/>
      <c r="T74" s="1267"/>
      <c r="U74" s="1267"/>
      <c r="V74" s="1267"/>
      <c r="W74" s="1267"/>
    </row>
    <row r="75" spans="1:23" x14ac:dyDescent="0.2">
      <c r="A75" s="1270" t="s">
        <v>426</v>
      </c>
      <c r="B75" s="1270" t="s">
        <v>499</v>
      </c>
      <c r="C75" s="1270" t="s">
        <v>500</v>
      </c>
      <c r="D75" s="1270" t="s">
        <v>429</v>
      </c>
      <c r="E75" s="1270" t="s">
        <v>430</v>
      </c>
      <c r="F75" s="1271">
        <v>-0.15830221545700007</v>
      </c>
      <c r="G75" s="1271">
        <v>-0.51184565392969894</v>
      </c>
      <c r="H75" s="1271">
        <v>-0.50243239585737065</v>
      </c>
      <c r="I75" s="1271">
        <v>-0.3421566087483161</v>
      </c>
      <c r="J75" s="1271">
        <v>-0.2116468667658109</v>
      </c>
      <c r="K75" s="1271"/>
      <c r="L75" s="1271"/>
      <c r="M75" s="1272">
        <v>146374031</v>
      </c>
    </row>
    <row r="76" spans="1:23" x14ac:dyDescent="0.2">
      <c r="A76" s="1267" t="s">
        <v>426</v>
      </c>
      <c r="B76" s="1267" t="s">
        <v>499</v>
      </c>
      <c r="C76" s="1267" t="s">
        <v>500</v>
      </c>
      <c r="D76" s="1267" t="s">
        <v>429</v>
      </c>
      <c r="E76" s="1267" t="s">
        <v>431</v>
      </c>
      <c r="F76" s="1268">
        <v>-0.16019256298600004</v>
      </c>
      <c r="G76" s="1268">
        <v>-0.51508343759663178</v>
      </c>
      <c r="H76" s="1268">
        <v>-0.50657151147699797</v>
      </c>
      <c r="I76" s="1268">
        <v>-0.34720549142624557</v>
      </c>
      <c r="J76" s="1268">
        <v>-0.21747776875910685</v>
      </c>
      <c r="K76" s="1268"/>
      <c r="L76" s="1268"/>
      <c r="M76" s="1269">
        <v>146374031</v>
      </c>
      <c r="N76" s="1267"/>
      <c r="O76" s="1267"/>
      <c r="P76" s="1267"/>
      <c r="Q76" s="1267"/>
      <c r="R76" s="1267"/>
      <c r="S76" s="1267"/>
      <c r="T76" s="1267"/>
      <c r="U76" s="1267"/>
      <c r="V76" s="1267"/>
      <c r="W76" s="1267"/>
    </row>
    <row r="77" spans="1:23" x14ac:dyDescent="0.2">
      <c r="A77" s="1270" t="s">
        <v>426</v>
      </c>
      <c r="B77" s="1270" t="s">
        <v>501</v>
      </c>
      <c r="C77" s="1270" t="s">
        <v>502</v>
      </c>
      <c r="D77" s="1270" t="s">
        <v>429</v>
      </c>
      <c r="E77" s="1270" t="s">
        <v>430</v>
      </c>
      <c r="F77" s="1271">
        <v>-0.1090290484019999</v>
      </c>
      <c r="G77" s="1271">
        <v>-0.46510264755937059</v>
      </c>
      <c r="H77" s="1271">
        <v>-0.46763458699659227</v>
      </c>
      <c r="I77" s="1271">
        <v>-0.26618181547932018</v>
      </c>
      <c r="J77" s="1271">
        <v>-0.13491807633802633</v>
      </c>
      <c r="K77" s="1271"/>
      <c r="L77" s="1271"/>
      <c r="M77" s="1272">
        <v>391554824</v>
      </c>
    </row>
    <row r="78" spans="1:23" x14ac:dyDescent="0.2">
      <c r="A78" s="1267" t="s">
        <v>426</v>
      </c>
      <c r="B78" s="1267" t="s">
        <v>501</v>
      </c>
      <c r="C78" s="1267" t="s">
        <v>502</v>
      </c>
      <c r="D78" s="1267" t="s">
        <v>429</v>
      </c>
      <c r="E78" s="1267" t="s">
        <v>431</v>
      </c>
      <c r="F78" s="1268">
        <v>-0.10977310876800006</v>
      </c>
      <c r="G78" s="1268">
        <v>-0.46651183790147599</v>
      </c>
      <c r="H78" s="1268">
        <v>-0.46949616919449078</v>
      </c>
      <c r="I78" s="1268">
        <v>-0.26881114970016562</v>
      </c>
      <c r="J78" s="1268">
        <v>-0.137842384426487</v>
      </c>
      <c r="K78" s="1268"/>
      <c r="L78" s="1268"/>
      <c r="M78" s="1269">
        <v>391554824</v>
      </c>
      <c r="N78" s="1267"/>
      <c r="O78" s="1267"/>
      <c r="P78" s="1267"/>
      <c r="Q78" s="1267"/>
      <c r="R78" s="1267"/>
      <c r="S78" s="1267"/>
      <c r="T78" s="1267"/>
      <c r="U78" s="1267"/>
      <c r="V78" s="1267"/>
      <c r="W78" s="1267"/>
    </row>
    <row r="79" spans="1:23" x14ac:dyDescent="0.2">
      <c r="A79" s="1270" t="s">
        <v>426</v>
      </c>
      <c r="B79" s="1270" t="s">
        <v>503</v>
      </c>
      <c r="C79" s="1270" t="s">
        <v>504</v>
      </c>
      <c r="D79" s="1270" t="s">
        <v>429</v>
      </c>
      <c r="E79" s="1270" t="s">
        <v>430</v>
      </c>
      <c r="F79" s="1271">
        <v>5.9953139279997902E-3</v>
      </c>
      <c r="G79" s="1271">
        <v>-1.2031625676888758E-2</v>
      </c>
      <c r="H79" s="1271">
        <v>-1.8267412104125746E-2</v>
      </c>
      <c r="I79" s="1271">
        <v>2.4221078757735048E-2</v>
      </c>
      <c r="J79" s="1271">
        <v>3.7369674514855511E-2</v>
      </c>
      <c r="K79" s="1271">
        <v>3.2616028913757367E-2</v>
      </c>
      <c r="L79" s="1271">
        <v>5.2946086573636642E-2</v>
      </c>
      <c r="M79" s="1272">
        <v>1010177537</v>
      </c>
    </row>
    <row r="80" spans="1:23" x14ac:dyDescent="0.2">
      <c r="A80" s="1267" t="s">
        <v>426</v>
      </c>
      <c r="B80" s="1267" t="s">
        <v>503</v>
      </c>
      <c r="C80" s="1267" t="s">
        <v>504</v>
      </c>
      <c r="D80" s="1267" t="s">
        <v>429</v>
      </c>
      <c r="E80" s="1267" t="s">
        <v>431</v>
      </c>
      <c r="F80" s="1268">
        <v>5.6002637359999774E-3</v>
      </c>
      <c r="G80" s="1268">
        <v>-1.3199262706264481E-2</v>
      </c>
      <c r="H80" s="1268">
        <v>-1.9820733670003809E-2</v>
      </c>
      <c r="I80" s="1268">
        <v>2.2592564312786889E-2</v>
      </c>
      <c r="J80" s="1268">
        <v>3.5752398915819716E-2</v>
      </c>
      <c r="K80" s="1268">
        <v>3.0990696398652151E-2</v>
      </c>
      <c r="L80" s="1268">
        <v>5.1794267520300252E-2</v>
      </c>
      <c r="M80" s="1269">
        <v>1010177537</v>
      </c>
      <c r="N80" s="1267"/>
      <c r="O80" s="1267"/>
      <c r="P80" s="1267"/>
      <c r="Q80" s="1267"/>
      <c r="R80" s="1267"/>
      <c r="S80" s="1267"/>
      <c r="T80" s="1267"/>
      <c r="U80" s="1267"/>
      <c r="V80" s="1267"/>
      <c r="W80" s="1267"/>
    </row>
    <row r="81" spans="1:23" x14ac:dyDescent="0.2">
      <c r="A81" s="1270" t="s">
        <v>426</v>
      </c>
      <c r="B81" s="1270" t="s">
        <v>505</v>
      </c>
      <c r="C81" s="1270" t="s">
        <v>506</v>
      </c>
      <c r="D81" s="1270" t="s">
        <v>429</v>
      </c>
      <c r="E81" s="1270" t="s">
        <v>430</v>
      </c>
      <c r="F81" s="1271">
        <v>1.9880530460000045E-2</v>
      </c>
      <c r="G81" s="1271">
        <v>-1.3182680665133728E-2</v>
      </c>
      <c r="H81" s="1271">
        <v>-1.3891105608439425E-2</v>
      </c>
      <c r="I81" s="1271">
        <v>1.8710421400817134E-2</v>
      </c>
      <c r="J81" s="1271">
        <v>3.661621101186463E-2</v>
      </c>
      <c r="K81" s="1271">
        <v>3.2540264357662441E-2</v>
      </c>
      <c r="L81" s="1271"/>
      <c r="M81" s="1272">
        <v>480785436</v>
      </c>
    </row>
    <row r="82" spans="1:23" x14ac:dyDescent="0.2">
      <c r="A82" s="1267" t="s">
        <v>426</v>
      </c>
      <c r="B82" s="1267" t="s">
        <v>505</v>
      </c>
      <c r="C82" s="1267" t="s">
        <v>506</v>
      </c>
      <c r="D82" s="1267" t="s">
        <v>429</v>
      </c>
      <c r="E82" s="1267" t="s">
        <v>431</v>
      </c>
      <c r="F82" s="1268">
        <v>1.9379114269999942E-2</v>
      </c>
      <c r="G82" s="1268">
        <v>-1.4649324862732738E-2</v>
      </c>
      <c r="H82" s="1268">
        <v>-1.5848772532563893E-2</v>
      </c>
      <c r="I82" s="1268">
        <v>1.6682954913951109E-2</v>
      </c>
      <c r="J82" s="1268">
        <v>3.4585590834243174E-2</v>
      </c>
      <c r="K82" s="1268">
        <v>3.0564424460308492E-2</v>
      </c>
      <c r="L82" s="1268"/>
      <c r="M82" s="1269">
        <v>480785436</v>
      </c>
      <c r="N82" s="1267"/>
      <c r="O82" s="1267"/>
      <c r="P82" s="1267"/>
      <c r="Q82" s="1267"/>
      <c r="R82" s="1267"/>
      <c r="S82" s="1267"/>
      <c r="T82" s="1267"/>
      <c r="U82" s="1267"/>
      <c r="V82" s="1267"/>
      <c r="W82" s="1267"/>
    </row>
    <row r="83" spans="1:23" x14ac:dyDescent="0.2">
      <c r="A83" s="1270" t="s">
        <v>426</v>
      </c>
      <c r="B83" s="1270" t="s">
        <v>507</v>
      </c>
      <c r="C83" s="1270" t="s">
        <v>508</v>
      </c>
      <c r="D83" s="1270" t="s">
        <v>429</v>
      </c>
      <c r="E83" s="1270" t="s">
        <v>430</v>
      </c>
      <c r="F83" s="1271">
        <v>4.6061314520000618E-3</v>
      </c>
      <c r="G83" s="1271"/>
      <c r="H83" s="1271"/>
      <c r="I83" s="1271"/>
      <c r="J83" s="1271"/>
      <c r="K83" s="1271"/>
      <c r="L83" s="1271"/>
      <c r="M83" s="1272">
        <v>269738787</v>
      </c>
    </row>
    <row r="84" spans="1:23" x14ac:dyDescent="0.2">
      <c r="A84" s="1267" t="s">
        <v>426</v>
      </c>
      <c r="B84" s="1267" t="s">
        <v>507</v>
      </c>
      <c r="C84" s="1267" t="s">
        <v>508</v>
      </c>
      <c r="D84" s="1267" t="s">
        <v>429</v>
      </c>
      <c r="E84" s="1267" t="s">
        <v>431</v>
      </c>
      <c r="F84" s="1268">
        <v>4.2107728800000466E-3</v>
      </c>
      <c r="G84" s="1268"/>
      <c r="H84" s="1268"/>
      <c r="I84" s="1268"/>
      <c r="J84" s="1268"/>
      <c r="K84" s="1268"/>
      <c r="L84" s="1268"/>
      <c r="M84" s="1269">
        <v>269738787</v>
      </c>
      <c r="N84" s="1267"/>
      <c r="O84" s="1267"/>
      <c r="P84" s="1267"/>
      <c r="Q84" s="1267"/>
      <c r="R84" s="1267"/>
      <c r="S84" s="1267"/>
      <c r="T84" s="1267"/>
      <c r="U84" s="1267"/>
      <c r="V84" s="1267"/>
      <c r="W84" s="1267"/>
    </row>
    <row r="85" spans="1:23" x14ac:dyDescent="0.2">
      <c r="A85" s="1270" t="s">
        <v>426</v>
      </c>
      <c r="B85" s="1270" t="s">
        <v>509</v>
      </c>
      <c r="C85" s="1270" t="s">
        <v>510</v>
      </c>
      <c r="D85" s="1270" t="s">
        <v>429</v>
      </c>
      <c r="E85" s="1270" t="s">
        <v>430</v>
      </c>
      <c r="F85" s="1271">
        <v>2.510471537999992E-3</v>
      </c>
      <c r="G85" s="1271">
        <v>3.3810895276132014E-2</v>
      </c>
      <c r="H85" s="1271">
        <v>2.3493032165800676E-2</v>
      </c>
      <c r="I85" s="1271">
        <v>5.1248155680365004E-2</v>
      </c>
      <c r="J85" s="1271">
        <v>5.6461152063173037E-2</v>
      </c>
      <c r="K85" s="1271"/>
      <c r="L85" s="1271"/>
      <c r="M85" s="1272">
        <v>668318103</v>
      </c>
    </row>
    <row r="86" spans="1:23" x14ac:dyDescent="0.2">
      <c r="A86" s="1267" t="s">
        <v>426</v>
      </c>
      <c r="B86" s="1267" t="s">
        <v>509</v>
      </c>
      <c r="C86" s="1267" t="s">
        <v>510</v>
      </c>
      <c r="D86" s="1267" t="s">
        <v>429</v>
      </c>
      <c r="E86" s="1267" t="s">
        <v>431</v>
      </c>
      <c r="F86" s="1268">
        <v>2.3118956300001159E-3</v>
      </c>
      <c r="G86" s="1268">
        <v>3.3402405675869051E-2</v>
      </c>
      <c r="H86" s="1268">
        <v>2.2883919858068591E-2</v>
      </c>
      <c r="I86" s="1268">
        <v>5.0673294766850896E-2</v>
      </c>
      <c r="J86" s="1268">
        <v>5.5935354126095849E-2</v>
      </c>
      <c r="K86" s="1268"/>
      <c r="L86" s="1268"/>
      <c r="M86" s="1269">
        <v>668318103</v>
      </c>
      <c r="N86" s="1267"/>
      <c r="O86" s="1267"/>
      <c r="P86" s="1267"/>
      <c r="Q86" s="1267"/>
      <c r="R86" s="1267"/>
      <c r="S86" s="1267"/>
      <c r="T86" s="1267"/>
      <c r="U86" s="1267"/>
      <c r="V86" s="1267"/>
      <c r="W86" s="1267"/>
    </row>
    <row r="87" spans="1:23" x14ac:dyDescent="0.2">
      <c r="A87" s="1270" t="s">
        <v>426</v>
      </c>
      <c r="B87" s="1270" t="s">
        <v>511</v>
      </c>
      <c r="C87" s="1270" t="s">
        <v>512</v>
      </c>
      <c r="D87" s="1270" t="s">
        <v>429</v>
      </c>
      <c r="E87" s="1270" t="s">
        <v>430</v>
      </c>
      <c r="F87" s="1271">
        <v>1.5216143400000881E-3</v>
      </c>
      <c r="G87" s="1271">
        <v>4.0222054470543611E-2</v>
      </c>
      <c r="H87" s="1271">
        <v>3.3046581934364161E-2</v>
      </c>
      <c r="I87" s="1271">
        <v>5.3591311352230608E-2</v>
      </c>
      <c r="J87" s="1271">
        <v>5.8277743013901206E-2</v>
      </c>
      <c r="K87" s="1271">
        <v>4.1480387436578114E-2</v>
      </c>
      <c r="L87" s="1271"/>
      <c r="M87" s="1272">
        <v>2569752156</v>
      </c>
    </row>
    <row r="88" spans="1:23" x14ac:dyDescent="0.2">
      <c r="A88" s="1267" t="s">
        <v>426</v>
      </c>
      <c r="B88" s="1267" t="s">
        <v>511</v>
      </c>
      <c r="C88" s="1267" t="s">
        <v>512</v>
      </c>
      <c r="D88" s="1267" t="s">
        <v>429</v>
      </c>
      <c r="E88" s="1267" t="s">
        <v>431</v>
      </c>
      <c r="F88" s="1268">
        <v>1.5216143400000881E-3</v>
      </c>
      <c r="G88" s="1268">
        <v>4.0222054470543611E-2</v>
      </c>
      <c r="H88" s="1268">
        <v>3.3046581934364161E-2</v>
      </c>
      <c r="I88" s="1268">
        <v>5.353905895001887E-2</v>
      </c>
      <c r="J88" s="1268">
        <v>5.8207274675567744E-2</v>
      </c>
      <c r="K88" s="1268">
        <v>4.1396801105341829E-2</v>
      </c>
      <c r="L88" s="1268"/>
      <c r="M88" s="1269">
        <v>2569752156</v>
      </c>
      <c r="N88" s="1267"/>
      <c r="O88" s="1267"/>
      <c r="P88" s="1267"/>
      <c r="Q88" s="1267"/>
      <c r="R88" s="1267"/>
      <c r="S88" s="1267"/>
      <c r="T88" s="1267"/>
      <c r="U88" s="1267"/>
      <c r="V88" s="1267"/>
      <c r="W88" s="1267"/>
    </row>
    <row r="89" spans="1:23" x14ac:dyDescent="0.2">
      <c r="A89" s="1270" t="s">
        <v>426</v>
      </c>
      <c r="B89" s="1270" t="s">
        <v>513</v>
      </c>
      <c r="C89" s="1270" t="s">
        <v>514</v>
      </c>
      <c r="D89" s="1270" t="s">
        <v>429</v>
      </c>
      <c r="E89" s="1270" t="s">
        <v>430</v>
      </c>
      <c r="F89" s="1271">
        <v>-3.8884460363999951E-2</v>
      </c>
      <c r="G89" s="1271"/>
      <c r="H89" s="1271"/>
      <c r="I89" s="1271"/>
      <c r="J89" s="1271"/>
      <c r="K89" s="1271"/>
      <c r="L89" s="1271"/>
      <c r="M89" s="1272">
        <v>79149171</v>
      </c>
    </row>
    <row r="90" spans="1:23" x14ac:dyDescent="0.2">
      <c r="A90" s="1267" t="s">
        <v>426</v>
      </c>
      <c r="B90" s="1267" t="s">
        <v>513</v>
      </c>
      <c r="C90" s="1267" t="s">
        <v>514</v>
      </c>
      <c r="D90" s="1267" t="s">
        <v>429</v>
      </c>
      <c r="E90" s="1267" t="s">
        <v>431</v>
      </c>
      <c r="F90" s="1268">
        <v>-4.0584881016000003E-2</v>
      </c>
      <c r="G90" s="1268"/>
      <c r="H90" s="1268"/>
      <c r="I90" s="1268"/>
      <c r="J90" s="1268"/>
      <c r="K90" s="1268"/>
      <c r="L90" s="1268"/>
      <c r="M90" s="1269">
        <v>79149171</v>
      </c>
      <c r="N90" s="1267"/>
      <c r="O90" s="1267"/>
      <c r="P90" s="1267"/>
      <c r="Q90" s="1267"/>
      <c r="R90" s="1267"/>
      <c r="S90" s="1267"/>
      <c r="T90" s="1267"/>
      <c r="U90" s="1267"/>
      <c r="V90" s="1267"/>
      <c r="W90" s="1267"/>
    </row>
    <row r="91" spans="1:23" x14ac:dyDescent="0.2">
      <c r="A91" s="1270" t="s">
        <v>426</v>
      </c>
      <c r="B91" s="1270" t="s">
        <v>515</v>
      </c>
      <c r="C91" s="1270" t="s">
        <v>516</v>
      </c>
      <c r="D91" s="1270" t="s">
        <v>429</v>
      </c>
      <c r="E91" s="1270" t="s">
        <v>430</v>
      </c>
      <c r="F91" s="1271">
        <v>8.0428439551999839E-2</v>
      </c>
      <c r="G91" s="1271"/>
      <c r="H91" s="1271"/>
      <c r="I91" s="1271"/>
      <c r="J91" s="1271"/>
      <c r="K91" s="1271"/>
      <c r="L91" s="1271"/>
      <c r="M91" s="1272">
        <v>87799362</v>
      </c>
    </row>
    <row r="92" spans="1:23" x14ac:dyDescent="0.2">
      <c r="A92" s="1267" t="s">
        <v>426</v>
      </c>
      <c r="B92" s="1267" t="s">
        <v>515</v>
      </c>
      <c r="C92" s="1267" t="s">
        <v>516</v>
      </c>
      <c r="D92" s="1267" t="s">
        <v>429</v>
      </c>
      <c r="E92" s="1267" t="s">
        <v>431</v>
      </c>
      <c r="F92" s="1268">
        <v>7.9277712127999944E-2</v>
      </c>
      <c r="G92" s="1268"/>
      <c r="H92" s="1268"/>
      <c r="I92" s="1268"/>
      <c r="J92" s="1268"/>
      <c r="K92" s="1268"/>
      <c r="L92" s="1268"/>
      <c r="M92" s="1269">
        <v>87799362</v>
      </c>
      <c r="N92" s="1267"/>
      <c r="O92" s="1267"/>
      <c r="P92" s="1267"/>
      <c r="Q92" s="1267"/>
      <c r="R92" s="1267"/>
      <c r="S92" s="1267"/>
      <c r="T92" s="1267"/>
      <c r="U92" s="1267"/>
      <c r="V92" s="1267"/>
      <c r="W92" s="1267"/>
    </row>
    <row r="93" spans="1:23" x14ac:dyDescent="0.2">
      <c r="A93" s="1270" t="s">
        <v>426</v>
      </c>
      <c r="B93" s="1270" t="s">
        <v>517</v>
      </c>
      <c r="C93" s="1270" t="s">
        <v>518</v>
      </c>
      <c r="D93" s="1270" t="s">
        <v>429</v>
      </c>
      <c r="E93" s="1270" t="s">
        <v>430</v>
      </c>
      <c r="F93" s="1271">
        <v>-7.6922089199993327E-4</v>
      </c>
      <c r="G93" s="1271"/>
      <c r="H93" s="1271"/>
      <c r="I93" s="1271"/>
      <c r="J93" s="1271"/>
      <c r="K93" s="1271"/>
      <c r="L93" s="1271"/>
      <c r="M93" s="1272">
        <v>26150261</v>
      </c>
    </row>
    <row r="94" spans="1:23" x14ac:dyDescent="0.2">
      <c r="A94" s="1267" t="s">
        <v>426</v>
      </c>
      <c r="B94" s="1267" t="s">
        <v>517</v>
      </c>
      <c r="C94" s="1267" t="s">
        <v>518</v>
      </c>
      <c r="D94" s="1267" t="s">
        <v>429</v>
      </c>
      <c r="E94" s="1267" t="s">
        <v>431</v>
      </c>
      <c r="F94" s="1268">
        <v>-7.6922089199993327E-4</v>
      </c>
      <c r="G94" s="1268"/>
      <c r="H94" s="1268"/>
      <c r="I94" s="1268"/>
      <c r="J94" s="1268"/>
      <c r="K94" s="1268"/>
      <c r="L94" s="1268"/>
      <c r="M94" s="1269">
        <v>26150261</v>
      </c>
      <c r="N94" s="1267"/>
      <c r="O94" s="1267"/>
      <c r="P94" s="1267"/>
      <c r="Q94" s="1267"/>
      <c r="R94" s="1267"/>
      <c r="S94" s="1267"/>
      <c r="T94" s="1267"/>
      <c r="U94" s="1267"/>
      <c r="V94" s="1267"/>
      <c r="W94" s="1267"/>
    </row>
    <row r="95" spans="1:23" x14ac:dyDescent="0.2">
      <c r="A95" s="1270" t="s">
        <v>426</v>
      </c>
      <c r="B95" s="1270" t="s">
        <v>519</v>
      </c>
      <c r="C95" s="1270" t="s">
        <v>520</v>
      </c>
      <c r="D95" s="1270" t="s">
        <v>429</v>
      </c>
      <c r="E95" s="1270" t="s">
        <v>430</v>
      </c>
      <c r="F95" s="1271">
        <v>-0.25639999999999996</v>
      </c>
      <c r="G95" s="1271">
        <v>-0.35975893102113643</v>
      </c>
      <c r="H95" s="1271">
        <v>-0.34689669229109321</v>
      </c>
      <c r="I95" s="1271"/>
      <c r="J95" s="1271"/>
      <c r="K95" s="1271"/>
      <c r="L95" s="1271"/>
      <c r="M95" s="1272">
        <v>48930581</v>
      </c>
    </row>
    <row r="96" spans="1:23" x14ac:dyDescent="0.2">
      <c r="A96" s="1267" t="s">
        <v>426</v>
      </c>
      <c r="B96" s="1267" t="s">
        <v>519</v>
      </c>
      <c r="C96" s="1267" t="s">
        <v>520</v>
      </c>
      <c r="D96" s="1267" t="s">
        <v>429</v>
      </c>
      <c r="E96" s="1267" t="s">
        <v>431</v>
      </c>
      <c r="F96" s="1268">
        <v>-0.25639999999999996</v>
      </c>
      <c r="G96" s="1268">
        <v>-0.36337957392035569</v>
      </c>
      <c r="H96" s="1268">
        <v>-0.3505900727505572</v>
      </c>
      <c r="I96" s="1268"/>
      <c r="J96" s="1268"/>
      <c r="K96" s="1268"/>
      <c r="L96" s="1268"/>
      <c r="M96" s="1269">
        <v>48930581</v>
      </c>
      <c r="N96" s="1267"/>
      <c r="O96" s="1267"/>
      <c r="P96" s="1267"/>
      <c r="Q96" s="1267"/>
      <c r="R96" s="1267"/>
      <c r="S96" s="1267"/>
      <c r="T96" s="1267"/>
      <c r="U96" s="1267"/>
      <c r="V96" s="1267"/>
      <c r="W96" s="1267"/>
    </row>
    <row r="97" spans="1:23" x14ac:dyDescent="0.2">
      <c r="A97" s="1270" t="s">
        <v>426</v>
      </c>
      <c r="B97" s="1270" t="s">
        <v>521</v>
      </c>
      <c r="C97" s="1270" t="s">
        <v>522</v>
      </c>
      <c r="D97" s="1270" t="s">
        <v>429</v>
      </c>
      <c r="E97" s="1270" t="s">
        <v>430</v>
      </c>
      <c r="F97" s="1271">
        <v>-7.8300000000000036E-2</v>
      </c>
      <c r="G97" s="1271"/>
      <c r="H97" s="1271"/>
      <c r="I97" s="1271"/>
      <c r="J97" s="1271"/>
      <c r="K97" s="1271"/>
      <c r="L97" s="1271"/>
      <c r="M97" s="1272">
        <v>74822673</v>
      </c>
    </row>
    <row r="98" spans="1:23" x14ac:dyDescent="0.2">
      <c r="A98" s="1267" t="s">
        <v>426</v>
      </c>
      <c r="B98" s="1267" t="s">
        <v>521</v>
      </c>
      <c r="C98" s="1267" t="s">
        <v>522</v>
      </c>
      <c r="D98" s="1267" t="s">
        <v>429</v>
      </c>
      <c r="E98" s="1267" t="s">
        <v>431</v>
      </c>
      <c r="F98" s="1268">
        <v>-7.8300000000000036E-2</v>
      </c>
      <c r="G98" s="1268"/>
      <c r="H98" s="1268"/>
      <c r="I98" s="1268"/>
      <c r="J98" s="1268"/>
      <c r="K98" s="1268"/>
      <c r="L98" s="1268"/>
      <c r="M98" s="1269">
        <v>74822673</v>
      </c>
      <c r="N98" s="1267"/>
      <c r="O98" s="1267"/>
      <c r="P98" s="1267"/>
      <c r="Q98" s="1267"/>
      <c r="R98" s="1267"/>
      <c r="S98" s="1267"/>
      <c r="T98" s="1267"/>
      <c r="U98" s="1267"/>
      <c r="V98" s="1267"/>
      <c r="W98" s="1267"/>
    </row>
    <row r="99" spans="1:23" x14ac:dyDescent="0.2">
      <c r="A99" s="1270" t="s">
        <v>426</v>
      </c>
      <c r="B99" s="1270" t="s">
        <v>523</v>
      </c>
      <c r="C99" s="1270" t="s">
        <v>524</v>
      </c>
      <c r="D99" s="1270" t="s">
        <v>429</v>
      </c>
      <c r="E99" s="1270" t="s">
        <v>430</v>
      </c>
      <c r="F99" s="1271">
        <v>-8.4300000000000028E-2</v>
      </c>
      <c r="G99" s="1271"/>
      <c r="H99" s="1271"/>
      <c r="I99" s="1271"/>
      <c r="J99" s="1271"/>
      <c r="K99" s="1271"/>
      <c r="L99" s="1271"/>
      <c r="M99" s="1272">
        <v>64295732</v>
      </c>
    </row>
    <row r="100" spans="1:23" x14ac:dyDescent="0.2">
      <c r="A100" s="1267" t="s">
        <v>426</v>
      </c>
      <c r="B100" s="1267" t="s">
        <v>523</v>
      </c>
      <c r="C100" s="1267" t="s">
        <v>524</v>
      </c>
      <c r="D100" s="1267" t="s">
        <v>429</v>
      </c>
      <c r="E100" s="1267" t="s">
        <v>431</v>
      </c>
      <c r="F100" s="1268">
        <v>-8.4300000000000028E-2</v>
      </c>
      <c r="G100" s="1268"/>
      <c r="H100" s="1268"/>
      <c r="I100" s="1268"/>
      <c r="J100" s="1268"/>
      <c r="K100" s="1268"/>
      <c r="L100" s="1268"/>
      <c r="M100" s="1269">
        <v>64295732</v>
      </c>
      <c r="N100" s="1267"/>
      <c r="O100" s="1267"/>
      <c r="P100" s="1267"/>
      <c r="Q100" s="1267"/>
      <c r="R100" s="1267"/>
      <c r="S100" s="1267"/>
      <c r="T100" s="1267"/>
      <c r="U100" s="1267"/>
      <c r="V100" s="1267"/>
      <c r="W100" s="1267"/>
    </row>
    <row r="101" spans="1:23" x14ac:dyDescent="0.2">
      <c r="A101" s="1270" t="s">
        <v>426</v>
      </c>
      <c r="B101" s="1270" t="s">
        <v>525</v>
      </c>
      <c r="C101" s="1270" t="s">
        <v>526</v>
      </c>
      <c r="D101" s="1270" t="s">
        <v>429</v>
      </c>
      <c r="E101" s="1270" t="s">
        <v>430</v>
      </c>
      <c r="F101" s="1271"/>
      <c r="G101" s="1271"/>
      <c r="H101" s="1271"/>
      <c r="I101" s="1271"/>
      <c r="J101" s="1271"/>
      <c r="K101" s="1271"/>
      <c r="L101" s="1271"/>
      <c r="M101" s="1272">
        <v>0</v>
      </c>
    </row>
    <row r="102" spans="1:23" x14ac:dyDescent="0.2">
      <c r="A102" s="1267" t="s">
        <v>426</v>
      </c>
      <c r="B102" s="1267" t="s">
        <v>527</v>
      </c>
      <c r="C102" s="1267" t="s">
        <v>528</v>
      </c>
      <c r="D102" s="1267" t="s">
        <v>429</v>
      </c>
      <c r="E102" s="1267" t="s">
        <v>430</v>
      </c>
      <c r="F102" s="1268">
        <v>-8.0422480216000056E-2</v>
      </c>
      <c r="G102" s="1268">
        <v>-0.27098106518169607</v>
      </c>
      <c r="H102" s="1268">
        <v>-0.2790440444854595</v>
      </c>
      <c r="I102" s="1268">
        <v>-0.15486118460481491</v>
      </c>
      <c r="J102" s="1268"/>
      <c r="K102" s="1268"/>
      <c r="L102" s="1268"/>
      <c r="M102" s="1269">
        <v>363352933</v>
      </c>
      <c r="N102" s="1267"/>
      <c r="O102" s="1267"/>
      <c r="P102" s="1267"/>
      <c r="Q102" s="1267"/>
      <c r="R102" s="1267"/>
      <c r="S102" s="1267"/>
      <c r="T102" s="1267"/>
      <c r="U102" s="1267"/>
      <c r="V102" s="1267"/>
      <c r="W102" s="1267"/>
    </row>
    <row r="103" spans="1:23" x14ac:dyDescent="0.2">
      <c r="A103" s="1270" t="s">
        <v>426</v>
      </c>
      <c r="B103" s="1270" t="s">
        <v>527</v>
      </c>
      <c r="C103" s="1270" t="s">
        <v>528</v>
      </c>
      <c r="D103" s="1270" t="s">
        <v>429</v>
      </c>
      <c r="E103" s="1270" t="s">
        <v>431</v>
      </c>
      <c r="F103" s="1271">
        <v>-8.0422480216000056E-2</v>
      </c>
      <c r="G103" s="1271"/>
      <c r="H103" s="1271"/>
      <c r="I103" s="1271"/>
      <c r="J103" s="1271"/>
      <c r="K103" s="1271"/>
      <c r="L103" s="1271"/>
      <c r="M103" s="1272">
        <v>363352933</v>
      </c>
    </row>
    <row r="104" spans="1:23" x14ac:dyDescent="0.2">
      <c r="A104" s="1267" t="s">
        <v>426</v>
      </c>
      <c r="B104" s="1267" t="s">
        <v>529</v>
      </c>
      <c r="C104" s="1267" t="s">
        <v>530</v>
      </c>
      <c r="D104" s="1267" t="s">
        <v>429</v>
      </c>
      <c r="E104" s="1267" t="s">
        <v>430</v>
      </c>
      <c r="F104" s="1268">
        <v>-8.2773889599999984E-2</v>
      </c>
      <c r="G104" s="1268">
        <v>-0.30129956803149049</v>
      </c>
      <c r="H104" s="1268"/>
      <c r="I104" s="1268"/>
      <c r="J104" s="1268"/>
      <c r="K104" s="1268"/>
      <c r="L104" s="1268"/>
      <c r="M104" s="1269">
        <v>326373747</v>
      </c>
      <c r="N104" s="1267"/>
      <c r="O104" s="1267"/>
      <c r="P104" s="1267"/>
      <c r="Q104" s="1267"/>
      <c r="R104" s="1267"/>
      <c r="S104" s="1267"/>
      <c r="T104" s="1267"/>
      <c r="U104" s="1267"/>
      <c r="V104" s="1267"/>
      <c r="W104" s="1267"/>
    </row>
    <row r="105" spans="1:23" x14ac:dyDescent="0.2">
      <c r="A105" s="1270" t="s">
        <v>426</v>
      </c>
      <c r="B105" s="1270" t="s">
        <v>529</v>
      </c>
      <c r="C105" s="1270" t="s">
        <v>530</v>
      </c>
      <c r="D105" s="1270" t="s">
        <v>429</v>
      </c>
      <c r="E105" s="1270" t="s">
        <v>431</v>
      </c>
      <c r="F105" s="1271">
        <v>-8.4219813549999967E-2</v>
      </c>
      <c r="G105" s="1271">
        <v>-0.30474916943493091</v>
      </c>
      <c r="H105" s="1271"/>
      <c r="I105" s="1271"/>
      <c r="J105" s="1271"/>
      <c r="K105" s="1271"/>
      <c r="L105" s="1271"/>
      <c r="M105" s="1272">
        <v>326373747</v>
      </c>
    </row>
    <row r="106" spans="1:23" x14ac:dyDescent="0.2">
      <c r="A106" s="1267" t="s">
        <v>426</v>
      </c>
      <c r="B106" s="1267" t="s">
        <v>531</v>
      </c>
      <c r="C106" s="1267" t="s">
        <v>532</v>
      </c>
      <c r="D106" s="1267" t="s">
        <v>429</v>
      </c>
      <c r="E106" s="1267" t="s">
        <v>430</v>
      </c>
      <c r="F106" s="1268">
        <v>-7.9752265300000014E-2</v>
      </c>
      <c r="G106" s="1268">
        <v>-0.23031902835759066</v>
      </c>
      <c r="H106" s="1268">
        <v>-0.24229907216519864</v>
      </c>
      <c r="I106" s="1268">
        <v>-0.12359580029035755</v>
      </c>
      <c r="J106" s="1268">
        <v>-5.0852604473513141E-2</v>
      </c>
      <c r="K106" s="1268">
        <v>5.8222002538408368E-3</v>
      </c>
      <c r="L106" s="1268"/>
      <c r="M106" s="1269">
        <v>1420291350</v>
      </c>
      <c r="N106" s="1267"/>
      <c r="O106" s="1267"/>
      <c r="P106" s="1267"/>
      <c r="Q106" s="1267"/>
      <c r="R106" s="1267"/>
      <c r="S106" s="1267"/>
      <c r="T106" s="1267"/>
      <c r="U106" s="1267"/>
      <c r="V106" s="1267"/>
      <c r="W106" s="1267"/>
    </row>
    <row r="107" spans="1:23" x14ac:dyDescent="0.2">
      <c r="A107" s="1270" t="s">
        <v>426</v>
      </c>
      <c r="B107" s="1270" t="s">
        <v>531</v>
      </c>
      <c r="C107" s="1270" t="s">
        <v>532</v>
      </c>
      <c r="D107" s="1270" t="s">
        <v>429</v>
      </c>
      <c r="E107" s="1270" t="s">
        <v>431</v>
      </c>
      <c r="F107" s="1271">
        <v>-7.9752265300000014E-2</v>
      </c>
      <c r="G107" s="1271">
        <v>-0.23212989658320848</v>
      </c>
      <c r="H107" s="1271">
        <v>-0.2449579503920144</v>
      </c>
      <c r="I107" s="1271">
        <v>-0.1272649644326308</v>
      </c>
      <c r="J107" s="1271">
        <v>-5.4504574450736969E-2</v>
      </c>
      <c r="K107" s="1271">
        <v>2.166438941622495E-3</v>
      </c>
      <c r="L107" s="1271"/>
      <c r="M107" s="1272">
        <v>1420291350</v>
      </c>
    </row>
    <row r="108" spans="1:23" x14ac:dyDescent="0.2">
      <c r="A108" s="1267" t="s">
        <v>426</v>
      </c>
      <c r="B108" s="1267" t="s">
        <v>533</v>
      </c>
      <c r="C108" s="1267" t="s">
        <v>534</v>
      </c>
      <c r="D108" s="1267" t="s">
        <v>429</v>
      </c>
      <c r="E108" s="1267" t="s">
        <v>430</v>
      </c>
      <c r="F108" s="1268">
        <v>-0.10936462523199986</v>
      </c>
      <c r="G108" s="1268">
        <v>-0.35950502066115964</v>
      </c>
      <c r="H108" s="1268">
        <v>-0.37681075118727114</v>
      </c>
      <c r="I108" s="1268">
        <v>-0.23069936464863428</v>
      </c>
      <c r="J108" s="1268">
        <v>-0.12629354458111974</v>
      </c>
      <c r="K108" s="1268">
        <v>-4.4655344584262568E-2</v>
      </c>
      <c r="L108" s="1268"/>
      <c r="M108" s="1269">
        <v>188244600</v>
      </c>
      <c r="N108" s="1267"/>
      <c r="O108" s="1267"/>
      <c r="P108" s="1267"/>
      <c r="Q108" s="1267"/>
      <c r="R108" s="1267"/>
      <c r="S108" s="1267"/>
      <c r="T108" s="1267"/>
      <c r="U108" s="1267"/>
      <c r="V108" s="1267"/>
      <c r="W108" s="1267"/>
    </row>
    <row r="109" spans="1:23" x14ac:dyDescent="0.2">
      <c r="A109" s="1270" t="s">
        <v>426</v>
      </c>
      <c r="B109" s="1270" t="s">
        <v>533</v>
      </c>
      <c r="C109" s="1270" t="s">
        <v>534</v>
      </c>
      <c r="D109" s="1270" t="s">
        <v>429</v>
      </c>
      <c r="E109" s="1270" t="s">
        <v>431</v>
      </c>
      <c r="F109" s="1271">
        <v>-0.10936462523199986</v>
      </c>
      <c r="G109" s="1271">
        <v>-0.35956834822486738</v>
      </c>
      <c r="H109" s="1271">
        <v>-0.37694040957449226</v>
      </c>
      <c r="I109" s="1271">
        <v>-0.2311263429877205</v>
      </c>
      <c r="J109" s="1271">
        <v>-0.12661685836453729</v>
      </c>
      <c r="K109" s="1271">
        <v>-4.492402710072585E-2</v>
      </c>
      <c r="L109" s="1271"/>
      <c r="M109" s="1272">
        <v>188244600</v>
      </c>
    </row>
    <row r="110" spans="1:23" x14ac:dyDescent="0.2">
      <c r="A110" s="1267" t="s">
        <v>426</v>
      </c>
      <c r="B110" s="1267" t="s">
        <v>535</v>
      </c>
      <c r="C110" s="1267" t="s">
        <v>536</v>
      </c>
      <c r="D110" s="1267" t="s">
        <v>429</v>
      </c>
      <c r="E110" s="1267" t="s">
        <v>430</v>
      </c>
      <c r="F110" s="1268">
        <v>1.26025620600001E-3</v>
      </c>
      <c r="G110" s="1268">
        <v>4.3558478050543359E-2</v>
      </c>
      <c r="H110" s="1268">
        <v>3.30410590891006E-2</v>
      </c>
      <c r="I110" s="1268">
        <v>5.571913329181899E-2</v>
      </c>
      <c r="J110" s="1268">
        <v>5.928394069974785E-2</v>
      </c>
      <c r="K110" s="1268">
        <v>4.2379609474785473E-2</v>
      </c>
      <c r="L110" s="1268"/>
      <c r="M110" s="1269">
        <v>120387462</v>
      </c>
      <c r="N110" s="1267"/>
      <c r="O110" s="1267"/>
      <c r="P110" s="1267"/>
      <c r="Q110" s="1267"/>
      <c r="R110" s="1267"/>
      <c r="S110" s="1267"/>
      <c r="T110" s="1267"/>
      <c r="U110" s="1267"/>
      <c r="V110" s="1267"/>
      <c r="W110" s="1267"/>
    </row>
    <row r="111" spans="1:23" x14ac:dyDescent="0.2">
      <c r="A111" s="1270" t="s">
        <v>426</v>
      </c>
      <c r="B111" s="1270" t="s">
        <v>535</v>
      </c>
      <c r="C111" s="1270" t="s">
        <v>536</v>
      </c>
      <c r="D111" s="1270" t="s">
        <v>429</v>
      </c>
      <c r="E111" s="1270" t="s">
        <v>431</v>
      </c>
      <c r="F111" s="1271">
        <v>1.161502852000007E-3</v>
      </c>
      <c r="G111" s="1271">
        <v>4.3249249719818472E-2</v>
      </c>
      <c r="H111" s="1271">
        <v>3.2631622133564298E-2</v>
      </c>
      <c r="I111" s="1271">
        <v>5.5404390083930721E-2</v>
      </c>
      <c r="J111" s="1271">
        <v>5.9002676232297491E-2</v>
      </c>
      <c r="K111" s="1271">
        <v>4.2109498341476037E-2</v>
      </c>
      <c r="L111" s="1271"/>
      <c r="M111" s="1272">
        <v>120387462</v>
      </c>
    </row>
    <row r="112" spans="1:23" x14ac:dyDescent="0.2">
      <c r="A112" s="1267" t="s">
        <v>426</v>
      </c>
      <c r="B112" s="1267" t="s">
        <v>537</v>
      </c>
      <c r="C112" s="1267" t="s">
        <v>538</v>
      </c>
      <c r="D112" s="1267" t="s">
        <v>429</v>
      </c>
      <c r="E112" s="1267" t="s">
        <v>430</v>
      </c>
      <c r="F112" s="1268">
        <v>-0.13869464526599984</v>
      </c>
      <c r="G112" s="1268">
        <v>-0.45521974693980138</v>
      </c>
      <c r="H112" s="1268">
        <v>-0.46222253359480381</v>
      </c>
      <c r="I112" s="1268">
        <v>-0.27552678792015584</v>
      </c>
      <c r="J112" s="1268">
        <v>-0.13764809536960465</v>
      </c>
      <c r="K112" s="1268">
        <v>-1.5839773257898981E-2</v>
      </c>
      <c r="L112" s="1268"/>
      <c r="M112" s="1269">
        <v>54720871</v>
      </c>
      <c r="N112" s="1267"/>
      <c r="O112" s="1267"/>
      <c r="P112" s="1267"/>
      <c r="Q112" s="1267"/>
      <c r="R112" s="1267"/>
      <c r="S112" s="1267"/>
      <c r="T112" s="1267"/>
      <c r="U112" s="1267"/>
      <c r="V112" s="1267"/>
      <c r="W112" s="1267"/>
    </row>
    <row r="113" spans="1:23" x14ac:dyDescent="0.2">
      <c r="A113" s="1270" t="s">
        <v>426</v>
      </c>
      <c r="B113" s="1270" t="s">
        <v>537</v>
      </c>
      <c r="C113" s="1270" t="s">
        <v>538</v>
      </c>
      <c r="D113" s="1270" t="s">
        <v>429</v>
      </c>
      <c r="E113" s="1270" t="s">
        <v>431</v>
      </c>
      <c r="F113" s="1271">
        <v>-0.13885659043000009</v>
      </c>
      <c r="G113" s="1271">
        <v>-0.45550081232368889</v>
      </c>
      <c r="H113" s="1271">
        <v>-0.46261699924453625</v>
      </c>
      <c r="I113" s="1271">
        <v>-0.27593579821554848</v>
      </c>
      <c r="J113" s="1271">
        <v>-0.13811469672219201</v>
      </c>
      <c r="K113" s="1271">
        <v>-1.635090128170158E-2</v>
      </c>
      <c r="L113" s="1271"/>
      <c r="M113" s="1272">
        <v>54720871</v>
      </c>
    </row>
    <row r="114" spans="1:23" x14ac:dyDescent="0.2">
      <c r="A114" s="1267" t="s">
        <v>426</v>
      </c>
      <c r="B114" s="1267" t="s">
        <v>539</v>
      </c>
      <c r="C114" s="1267" t="s">
        <v>540</v>
      </c>
      <c r="D114" s="1267" t="s">
        <v>429</v>
      </c>
      <c r="E114" s="1267" t="s">
        <v>430</v>
      </c>
      <c r="F114" s="1268">
        <v>-0.12511960751600015</v>
      </c>
      <c r="G114" s="1268">
        <v>-0.40480575069860708</v>
      </c>
      <c r="H114" s="1268"/>
      <c r="I114" s="1268"/>
      <c r="J114" s="1268"/>
      <c r="K114" s="1268"/>
      <c r="L114" s="1268"/>
      <c r="M114" s="1269">
        <v>166738120</v>
      </c>
      <c r="N114" s="1267"/>
      <c r="O114" s="1267"/>
      <c r="P114" s="1267"/>
      <c r="Q114" s="1267"/>
      <c r="R114" s="1267"/>
      <c r="S114" s="1267"/>
      <c r="T114" s="1267"/>
      <c r="U114" s="1267"/>
      <c r="V114" s="1267"/>
      <c r="W114" s="1267"/>
    </row>
    <row r="115" spans="1:23" x14ac:dyDescent="0.2">
      <c r="A115" s="1270" t="s">
        <v>426</v>
      </c>
      <c r="B115" s="1270" t="s">
        <v>539</v>
      </c>
      <c r="C115" s="1270" t="s">
        <v>540</v>
      </c>
      <c r="D115" s="1270" t="s">
        <v>429</v>
      </c>
      <c r="E115" s="1270" t="s">
        <v>431</v>
      </c>
      <c r="F115" s="1271">
        <v>-0.12646509029800013</v>
      </c>
      <c r="G115" s="1271">
        <v>-0.40775919391753968</v>
      </c>
      <c r="H115" s="1271"/>
      <c r="I115" s="1271"/>
      <c r="J115" s="1271"/>
      <c r="K115" s="1271"/>
      <c r="L115" s="1271"/>
      <c r="M115" s="1272">
        <v>166738120</v>
      </c>
    </row>
    <row r="116" spans="1:23" x14ac:dyDescent="0.2">
      <c r="A116" s="1267" t="s">
        <v>426</v>
      </c>
      <c r="B116" s="1267" t="s">
        <v>541</v>
      </c>
      <c r="C116" s="1267" t="s">
        <v>542</v>
      </c>
      <c r="D116" s="1267" t="s">
        <v>429</v>
      </c>
      <c r="E116" s="1267" t="s">
        <v>430</v>
      </c>
      <c r="F116" s="1268">
        <v>-7.1954464000001384E-4</v>
      </c>
      <c r="G116" s="1268">
        <v>4.1794412754208476E-2</v>
      </c>
      <c r="H116" s="1268"/>
      <c r="I116" s="1268"/>
      <c r="J116" s="1268"/>
      <c r="K116" s="1268"/>
      <c r="L116" s="1268"/>
      <c r="M116" s="1269">
        <v>82718390</v>
      </c>
      <c r="N116" s="1267"/>
      <c r="O116" s="1267"/>
      <c r="P116" s="1267"/>
      <c r="Q116" s="1267"/>
      <c r="R116" s="1267"/>
      <c r="S116" s="1267"/>
      <c r="T116" s="1267"/>
      <c r="U116" s="1267"/>
      <c r="V116" s="1267"/>
      <c r="W116" s="1267"/>
    </row>
    <row r="117" spans="1:23" x14ac:dyDescent="0.2">
      <c r="A117" s="1270" t="s">
        <v>426</v>
      </c>
      <c r="B117" s="1270" t="s">
        <v>541</v>
      </c>
      <c r="C117" s="1270" t="s">
        <v>542</v>
      </c>
      <c r="D117" s="1270" t="s">
        <v>429</v>
      </c>
      <c r="E117" s="1270" t="s">
        <v>431</v>
      </c>
      <c r="F117" s="1271">
        <v>-2.3981778160000466E-3</v>
      </c>
      <c r="G117" s="1271">
        <v>3.6562385771157668E-2</v>
      </c>
      <c r="H117" s="1271"/>
      <c r="I117" s="1271"/>
      <c r="J117" s="1271"/>
      <c r="K117" s="1271"/>
      <c r="L117" s="1271"/>
      <c r="M117" s="1272">
        <v>82718390</v>
      </c>
    </row>
    <row r="118" spans="1:23" x14ac:dyDescent="0.2">
      <c r="A118" s="1267" t="s">
        <v>426</v>
      </c>
      <c r="B118" s="1267" t="s">
        <v>543</v>
      </c>
      <c r="C118" s="1267" t="s">
        <v>544</v>
      </c>
      <c r="D118" s="1267" t="s">
        <v>429</v>
      </c>
      <c r="E118" s="1267" t="s">
        <v>430</v>
      </c>
      <c r="F118" s="1268">
        <v>-0.13636691357999997</v>
      </c>
      <c r="G118" s="1268">
        <v>-0.44804564264241187</v>
      </c>
      <c r="H118" s="1268"/>
      <c r="I118" s="1268"/>
      <c r="J118" s="1268"/>
      <c r="K118" s="1268"/>
      <c r="L118" s="1268"/>
      <c r="M118" s="1269">
        <v>52460413</v>
      </c>
      <c r="N118" s="1267"/>
      <c r="O118" s="1267"/>
      <c r="P118" s="1267"/>
      <c r="Q118" s="1267"/>
      <c r="R118" s="1267"/>
      <c r="S118" s="1267"/>
      <c r="T118" s="1267"/>
      <c r="U118" s="1267"/>
      <c r="V118" s="1267"/>
      <c r="W118" s="1267"/>
    </row>
    <row r="119" spans="1:23" x14ac:dyDescent="0.2">
      <c r="A119" s="1270" t="s">
        <v>426</v>
      </c>
      <c r="B119" s="1270" t="s">
        <v>543</v>
      </c>
      <c r="C119" s="1270" t="s">
        <v>544</v>
      </c>
      <c r="D119" s="1270" t="s">
        <v>429</v>
      </c>
      <c r="E119" s="1270" t="s">
        <v>431</v>
      </c>
      <c r="F119" s="1271">
        <v>-0.13774418960899992</v>
      </c>
      <c r="G119" s="1271">
        <v>-0.45081241348140511</v>
      </c>
      <c r="H119" s="1271"/>
      <c r="I119" s="1271"/>
      <c r="J119" s="1271"/>
      <c r="K119" s="1271"/>
      <c r="L119" s="1271"/>
      <c r="M119" s="1272">
        <v>52460413</v>
      </c>
    </row>
    <row r="120" spans="1:23" x14ac:dyDescent="0.2">
      <c r="A120" s="1267" t="s">
        <v>426</v>
      </c>
      <c r="B120" s="1267" t="s">
        <v>545</v>
      </c>
      <c r="C120" s="1267" t="s">
        <v>546</v>
      </c>
      <c r="D120" s="1267" t="s">
        <v>429</v>
      </c>
      <c r="E120" s="1267" t="s">
        <v>430</v>
      </c>
      <c r="F120" s="1268">
        <v>-2.4713253981999972E-2</v>
      </c>
      <c r="G120" s="1268">
        <v>-0.41986935100427636</v>
      </c>
      <c r="H120" s="1268"/>
      <c r="I120" s="1268"/>
      <c r="J120" s="1268"/>
      <c r="K120" s="1268"/>
      <c r="L120" s="1268"/>
      <c r="M120" s="1269">
        <v>24456824</v>
      </c>
      <c r="N120" s="1267"/>
      <c r="O120" s="1267"/>
      <c r="P120" s="1267"/>
      <c r="Q120" s="1267"/>
      <c r="R120" s="1267"/>
      <c r="S120" s="1267"/>
      <c r="T120" s="1267"/>
      <c r="U120" s="1267"/>
      <c r="V120" s="1267"/>
      <c r="W120" s="1267"/>
    </row>
    <row r="121" spans="1:23" x14ac:dyDescent="0.2">
      <c r="A121" s="1270" t="s">
        <v>426</v>
      </c>
      <c r="B121" s="1270" t="s">
        <v>545</v>
      </c>
      <c r="C121" s="1270" t="s">
        <v>546</v>
      </c>
      <c r="D121" s="1270" t="s">
        <v>429</v>
      </c>
      <c r="E121" s="1270" t="s">
        <v>431</v>
      </c>
      <c r="F121" s="1271">
        <v>-2.6617949163999954E-2</v>
      </c>
      <c r="G121" s="1271">
        <v>-0.42275944016756517</v>
      </c>
      <c r="H121" s="1271"/>
      <c r="I121" s="1271"/>
      <c r="J121" s="1271"/>
      <c r="K121" s="1271"/>
      <c r="L121" s="1271"/>
      <c r="M121" s="1272">
        <v>24456824</v>
      </c>
    </row>
    <row r="122" spans="1:23" x14ac:dyDescent="0.2">
      <c r="A122" s="1267" t="s">
        <v>426</v>
      </c>
      <c r="B122" s="1267" t="s">
        <v>547</v>
      </c>
      <c r="C122" s="1267" t="s">
        <v>532</v>
      </c>
      <c r="D122" s="1267" t="s">
        <v>429</v>
      </c>
      <c r="E122" s="1267" t="s">
        <v>430</v>
      </c>
      <c r="F122" s="1268">
        <v>-7.9752265300000014E-2</v>
      </c>
      <c r="G122" s="1268">
        <v>-0.23031902835759066</v>
      </c>
      <c r="H122" s="1268">
        <v>-0.24229907216519864</v>
      </c>
      <c r="I122" s="1268">
        <v>-0.12359580029035755</v>
      </c>
      <c r="J122" s="1268">
        <v>-5.0852604473513141E-2</v>
      </c>
      <c r="K122" s="1268">
        <v>5.8222002538408368E-3</v>
      </c>
      <c r="L122" s="1268"/>
      <c r="M122" s="1269">
        <v>1420291350</v>
      </c>
      <c r="N122" s="1267"/>
      <c r="O122" s="1267"/>
      <c r="P122" s="1267"/>
      <c r="Q122" s="1267"/>
      <c r="R122" s="1267"/>
      <c r="S122" s="1267"/>
      <c r="T122" s="1267"/>
      <c r="U122" s="1267"/>
      <c r="V122" s="1267"/>
      <c r="W122" s="1267"/>
    </row>
    <row r="123" spans="1:23" x14ac:dyDescent="0.2">
      <c r="A123" s="1270" t="s">
        <v>426</v>
      </c>
      <c r="B123" s="1270" t="s">
        <v>547</v>
      </c>
      <c r="C123" s="1270" t="s">
        <v>532</v>
      </c>
      <c r="D123" s="1270" t="s">
        <v>429</v>
      </c>
      <c r="E123" s="1270" t="s">
        <v>431</v>
      </c>
      <c r="F123" s="1271">
        <v>-7.9752265300000014E-2</v>
      </c>
      <c r="G123" s="1271">
        <v>-0.23212989658320848</v>
      </c>
      <c r="H123" s="1271">
        <v>-0.2449579503920144</v>
      </c>
      <c r="I123" s="1271">
        <v>-0.1272649644326308</v>
      </c>
      <c r="J123" s="1271">
        <v>-5.4504574450736969E-2</v>
      </c>
      <c r="K123" s="1271">
        <v>2.166438941622495E-3</v>
      </c>
      <c r="L123" s="1271"/>
      <c r="M123" s="1272">
        <v>1420291350</v>
      </c>
    </row>
    <row r="124" spans="1:23" x14ac:dyDescent="0.2">
      <c r="A124" s="1267" t="s">
        <v>426</v>
      </c>
      <c r="B124" s="1267" t="s">
        <v>548</v>
      </c>
      <c r="C124" s="1267" t="s">
        <v>549</v>
      </c>
      <c r="D124" s="1267" t="s">
        <v>429</v>
      </c>
      <c r="E124" s="1267" t="s">
        <v>430</v>
      </c>
      <c r="F124" s="1268">
        <v>-0.15659999999999996</v>
      </c>
      <c r="G124" s="1268">
        <v>-0.23273881213600001</v>
      </c>
      <c r="H124" s="1268">
        <v>-0.24325029040973678</v>
      </c>
      <c r="I124" s="1268">
        <v>-6.5020715385559757E-2</v>
      </c>
      <c r="J124" s="1268">
        <v>1.2292899041478789E-2</v>
      </c>
      <c r="K124" s="1268"/>
      <c r="L124" s="1268"/>
      <c r="M124" s="1269">
        <v>15539768</v>
      </c>
      <c r="N124" s="1267"/>
      <c r="O124" s="1267"/>
      <c r="P124" s="1267"/>
      <c r="Q124" s="1267"/>
      <c r="R124" s="1267"/>
      <c r="S124" s="1267"/>
      <c r="T124" s="1267"/>
      <c r="U124" s="1267"/>
      <c r="V124" s="1267"/>
      <c r="W124" s="1267"/>
    </row>
    <row r="125" spans="1:23" x14ac:dyDescent="0.2">
      <c r="A125" s="1270" t="s">
        <v>426</v>
      </c>
      <c r="B125" s="1270" t="s">
        <v>548</v>
      </c>
      <c r="C125" s="1270" t="s">
        <v>549</v>
      </c>
      <c r="D125" s="1270" t="s">
        <v>429</v>
      </c>
      <c r="E125" s="1270" t="s">
        <v>431</v>
      </c>
      <c r="F125" s="1271">
        <v>-0.15759999999999996</v>
      </c>
      <c r="G125" s="1271">
        <v>-0.23525499289599991</v>
      </c>
      <c r="H125" s="1271">
        <v>-0.24642026999971822</v>
      </c>
      <c r="I125" s="1271">
        <v>-6.8818935412719551E-2</v>
      </c>
      <c r="J125" s="1271">
        <v>2.0586087673841735E-3</v>
      </c>
      <c r="K125" s="1271"/>
      <c r="L125" s="1271"/>
      <c r="M125" s="1272">
        <v>15539768</v>
      </c>
    </row>
    <row r="126" spans="1:23" x14ac:dyDescent="0.2">
      <c r="A126" s="1267" t="s">
        <v>426</v>
      </c>
      <c r="B126" s="1267" t="s">
        <v>550</v>
      </c>
      <c r="C126" s="1267" t="s">
        <v>551</v>
      </c>
      <c r="D126" s="1267" t="s">
        <v>429</v>
      </c>
      <c r="E126" s="1267" t="s">
        <v>430</v>
      </c>
      <c r="F126" s="1268">
        <v>5.4000000000000714E-3</v>
      </c>
      <c r="G126" s="1268">
        <v>3.4867871839999953E-2</v>
      </c>
      <c r="H126" s="1268">
        <v>4.9666482407311863E-2</v>
      </c>
      <c r="I126" s="1268">
        <v>8.0484162276877283E-2</v>
      </c>
      <c r="J126" s="1268"/>
      <c r="K126" s="1268"/>
      <c r="L126" s="1268"/>
      <c r="M126" s="1269">
        <v>53040979</v>
      </c>
      <c r="N126" s="1267"/>
      <c r="O126" s="1267"/>
      <c r="P126" s="1267"/>
      <c r="Q126" s="1267"/>
      <c r="R126" s="1267"/>
      <c r="S126" s="1267"/>
      <c r="T126" s="1267"/>
      <c r="U126" s="1267"/>
      <c r="V126" s="1267"/>
      <c r="W126" s="1267"/>
    </row>
    <row r="127" spans="1:23" x14ac:dyDescent="0.2">
      <c r="A127" s="1270" t="s">
        <v>426</v>
      </c>
      <c r="B127" s="1270" t="s">
        <v>550</v>
      </c>
      <c r="C127" s="1270" t="s">
        <v>551</v>
      </c>
      <c r="D127" s="1270" t="s">
        <v>429</v>
      </c>
      <c r="E127" s="1270" t="s">
        <v>431</v>
      </c>
      <c r="F127" s="1271">
        <v>2.1999999999999797E-3</v>
      </c>
      <c r="G127" s="1271">
        <v>2.568517396399983E-2</v>
      </c>
      <c r="H127" s="1271">
        <v>3.7172847912396945E-2</v>
      </c>
      <c r="I127" s="1271">
        <v>6.5445593399454216E-2</v>
      </c>
      <c r="J127" s="1271"/>
      <c r="K127" s="1271"/>
      <c r="L127" s="1271"/>
      <c r="M127" s="1272">
        <v>53040979</v>
      </c>
    </row>
    <row r="128" spans="1:23" x14ac:dyDescent="0.2">
      <c r="A128" s="1267" t="s">
        <v>426</v>
      </c>
      <c r="B128" s="1267" t="s">
        <v>552</v>
      </c>
      <c r="C128" s="1267" t="s">
        <v>553</v>
      </c>
      <c r="D128" s="1267" t="s">
        <v>429</v>
      </c>
      <c r="E128" s="1267" t="s">
        <v>430</v>
      </c>
      <c r="F128" s="1268">
        <v>-0.25019999999999998</v>
      </c>
      <c r="G128" s="1268">
        <v>-0.42682857148399994</v>
      </c>
      <c r="H128" s="1268">
        <v>-0.45176152862444596</v>
      </c>
      <c r="I128" s="1268"/>
      <c r="J128" s="1268"/>
      <c r="K128" s="1268"/>
      <c r="L128" s="1268"/>
      <c r="M128" s="1269">
        <v>35884138</v>
      </c>
      <c r="N128" s="1267"/>
      <c r="O128" s="1267"/>
      <c r="P128" s="1267"/>
      <c r="Q128" s="1267"/>
      <c r="R128" s="1267"/>
      <c r="S128" s="1267"/>
      <c r="T128" s="1267"/>
      <c r="U128" s="1267"/>
      <c r="V128" s="1267"/>
      <c r="W128" s="1267"/>
    </row>
    <row r="129" spans="1:23" x14ac:dyDescent="0.2">
      <c r="A129" s="1270" t="s">
        <v>426</v>
      </c>
      <c r="B129" s="1270" t="s">
        <v>552</v>
      </c>
      <c r="C129" s="1270" t="s">
        <v>553</v>
      </c>
      <c r="D129" s="1270" t="s">
        <v>429</v>
      </c>
      <c r="E129" s="1270" t="s">
        <v>431</v>
      </c>
      <c r="F129" s="1271">
        <v>-0.25149999999999995</v>
      </c>
      <c r="G129" s="1271">
        <v>-0.42978400243000003</v>
      </c>
      <c r="H129" s="1271">
        <v>-0.45544372232065006</v>
      </c>
      <c r="I129" s="1271"/>
      <c r="J129" s="1271"/>
      <c r="K129" s="1271"/>
      <c r="L129" s="1271"/>
      <c r="M129" s="1272">
        <v>35884138</v>
      </c>
    </row>
    <row r="130" spans="1:23" x14ac:dyDescent="0.2">
      <c r="A130" s="1267" t="s">
        <v>426</v>
      </c>
      <c r="B130" s="1267" t="s">
        <v>554</v>
      </c>
      <c r="C130" s="1267" t="s">
        <v>555</v>
      </c>
      <c r="D130" s="1267" t="s">
        <v>429</v>
      </c>
      <c r="E130" s="1267" t="s">
        <v>430</v>
      </c>
      <c r="F130" s="1268">
        <v>-0.32679999999999998</v>
      </c>
      <c r="G130" s="1268">
        <v>-0.46876805127999999</v>
      </c>
      <c r="H130" s="1268">
        <v>-0.49102666993136801</v>
      </c>
      <c r="I130" s="1268"/>
      <c r="J130" s="1268"/>
      <c r="K130" s="1268"/>
      <c r="L130" s="1268"/>
      <c r="M130" s="1269">
        <v>43048448</v>
      </c>
      <c r="N130" s="1267"/>
      <c r="O130" s="1267"/>
      <c r="P130" s="1267"/>
      <c r="Q130" s="1267"/>
      <c r="R130" s="1267"/>
      <c r="S130" s="1267"/>
      <c r="T130" s="1267"/>
      <c r="U130" s="1267"/>
      <c r="V130" s="1267"/>
      <c r="W130" s="1267"/>
    </row>
    <row r="131" spans="1:23" x14ac:dyDescent="0.2">
      <c r="A131" s="1270" t="s">
        <v>426</v>
      </c>
      <c r="B131" s="1270" t="s">
        <v>554</v>
      </c>
      <c r="C131" s="1270" t="s">
        <v>555</v>
      </c>
      <c r="D131" s="1270" t="s">
        <v>429</v>
      </c>
      <c r="E131" s="1270" t="s">
        <v>431</v>
      </c>
      <c r="F131" s="1271">
        <v>-0.32799999999999996</v>
      </c>
      <c r="G131" s="1271">
        <v>-0.47138519103999998</v>
      </c>
      <c r="H131" s="1271">
        <v>-0.49427421226796797</v>
      </c>
      <c r="I131" s="1271"/>
      <c r="J131" s="1271"/>
      <c r="K131" s="1271"/>
      <c r="L131" s="1271"/>
      <c r="M131" s="1272">
        <v>43048448</v>
      </c>
    </row>
    <row r="132" spans="1:23" x14ac:dyDescent="0.2">
      <c r="A132" s="1267" t="s">
        <v>426</v>
      </c>
      <c r="B132" s="1267" t="s">
        <v>556</v>
      </c>
      <c r="C132" s="1267" t="s">
        <v>557</v>
      </c>
      <c r="D132" s="1267" t="s">
        <v>429</v>
      </c>
      <c r="E132" s="1267" t="s">
        <v>430</v>
      </c>
      <c r="F132" s="1268">
        <v>-0.17620000000000002</v>
      </c>
      <c r="G132" s="1268">
        <v>-0.16247608513599976</v>
      </c>
      <c r="H132" s="1268">
        <v>-0.16113604687221739</v>
      </c>
      <c r="I132" s="1268"/>
      <c r="J132" s="1268"/>
      <c r="K132" s="1268"/>
      <c r="L132" s="1268"/>
      <c r="M132" s="1269">
        <v>34901358</v>
      </c>
      <c r="N132" s="1267"/>
      <c r="O132" s="1267"/>
      <c r="P132" s="1267"/>
      <c r="Q132" s="1267"/>
      <c r="R132" s="1267"/>
      <c r="S132" s="1267"/>
      <c r="T132" s="1267"/>
      <c r="U132" s="1267"/>
      <c r="V132" s="1267"/>
      <c r="W132" s="1267"/>
    </row>
    <row r="133" spans="1:23" x14ac:dyDescent="0.2">
      <c r="A133" s="1270" t="s">
        <v>426</v>
      </c>
      <c r="B133" s="1270" t="s">
        <v>556</v>
      </c>
      <c r="C133" s="1270" t="s">
        <v>557</v>
      </c>
      <c r="D133" s="1270" t="s">
        <v>429</v>
      </c>
      <c r="E133" s="1270" t="s">
        <v>431</v>
      </c>
      <c r="F133" s="1271">
        <v>-0.17830000000000001</v>
      </c>
      <c r="G133" s="1271">
        <v>-0.16841791533700001</v>
      </c>
      <c r="H133" s="1271">
        <v>-0.16891686458779787</v>
      </c>
      <c r="I133" s="1271"/>
      <c r="J133" s="1271"/>
      <c r="K133" s="1271"/>
      <c r="L133" s="1271"/>
      <c r="M133" s="1272">
        <v>34901358</v>
      </c>
    </row>
    <row r="134" spans="1:23" x14ac:dyDescent="0.2">
      <c r="A134" s="1267" t="s">
        <v>426</v>
      </c>
      <c r="B134" s="1267" t="s">
        <v>558</v>
      </c>
      <c r="C134" s="1267" t="s">
        <v>559</v>
      </c>
      <c r="D134" s="1267" t="s">
        <v>429</v>
      </c>
      <c r="E134" s="1267" t="s">
        <v>430</v>
      </c>
      <c r="F134" s="1268">
        <v>-0.19520000000000004</v>
      </c>
      <c r="G134" s="1268">
        <v>-0.1916381724959999</v>
      </c>
      <c r="H134" s="1268">
        <v>-0.1892939231962385</v>
      </c>
      <c r="I134" s="1268"/>
      <c r="J134" s="1268"/>
      <c r="K134" s="1268"/>
      <c r="L134" s="1268"/>
      <c r="M134" s="1269">
        <v>15503205</v>
      </c>
      <c r="N134" s="1267"/>
      <c r="O134" s="1267"/>
      <c r="P134" s="1267"/>
      <c r="Q134" s="1267"/>
      <c r="R134" s="1267"/>
      <c r="S134" s="1267"/>
      <c r="T134" s="1267"/>
      <c r="U134" s="1267"/>
      <c r="V134" s="1267"/>
      <c r="W134" s="1267"/>
    </row>
    <row r="135" spans="1:23" x14ac:dyDescent="0.2">
      <c r="A135" s="1270" t="s">
        <v>426</v>
      </c>
      <c r="B135" s="1270" t="s">
        <v>558</v>
      </c>
      <c r="C135" s="1270" t="s">
        <v>559</v>
      </c>
      <c r="D135" s="1270" t="s">
        <v>429</v>
      </c>
      <c r="E135" s="1270" t="s">
        <v>431</v>
      </c>
      <c r="F135" s="1271">
        <v>-0.19840000000000002</v>
      </c>
      <c r="G135" s="1271">
        <v>-0.20174712889599988</v>
      </c>
      <c r="H135" s="1271">
        <v>-0.20278485762843512</v>
      </c>
      <c r="I135" s="1271"/>
      <c r="J135" s="1271"/>
      <c r="K135" s="1271"/>
      <c r="L135" s="1271"/>
      <c r="M135" s="1272">
        <v>15503205</v>
      </c>
    </row>
    <row r="136" spans="1:23" x14ac:dyDescent="0.2">
      <c r="A136" s="1267" t="s">
        <v>426</v>
      </c>
      <c r="B136" s="1267" t="s">
        <v>560</v>
      </c>
      <c r="C136" s="1267" t="s">
        <v>561</v>
      </c>
      <c r="D136" s="1267" t="s">
        <v>429</v>
      </c>
      <c r="E136" s="1267" t="s">
        <v>430</v>
      </c>
      <c r="F136" s="1268">
        <v>-0.40069999999999995</v>
      </c>
      <c r="G136" s="1268">
        <v>-0.38848599032199993</v>
      </c>
      <c r="H136" s="1268">
        <v>-0.41777751138557617</v>
      </c>
      <c r="I136" s="1268"/>
      <c r="J136" s="1268"/>
      <c r="K136" s="1268"/>
      <c r="L136" s="1268"/>
      <c r="M136" s="1269">
        <v>10392807</v>
      </c>
      <c r="N136" s="1267"/>
      <c r="O136" s="1267"/>
      <c r="P136" s="1267"/>
      <c r="Q136" s="1267"/>
      <c r="R136" s="1267"/>
      <c r="S136" s="1267"/>
      <c r="T136" s="1267"/>
      <c r="U136" s="1267"/>
      <c r="V136" s="1267"/>
      <c r="W136" s="1267"/>
    </row>
    <row r="137" spans="1:23" x14ac:dyDescent="0.2">
      <c r="A137" s="1270" t="s">
        <v>426</v>
      </c>
      <c r="B137" s="1270" t="s">
        <v>560</v>
      </c>
      <c r="C137" s="1270" t="s">
        <v>561</v>
      </c>
      <c r="D137" s="1270" t="s">
        <v>429</v>
      </c>
      <c r="E137" s="1270" t="s">
        <v>431</v>
      </c>
      <c r="F137" s="1271">
        <v>-0.40190000000000003</v>
      </c>
      <c r="G137" s="1271">
        <v>-0.39242375144800001</v>
      </c>
      <c r="H137" s="1271">
        <v>-0.42766317386401609</v>
      </c>
      <c r="I137" s="1271"/>
      <c r="J137" s="1271"/>
      <c r="K137" s="1271"/>
      <c r="L137" s="1271"/>
      <c r="M137" s="1272">
        <v>10392807</v>
      </c>
    </row>
    <row r="138" spans="1:23" x14ac:dyDescent="0.2">
      <c r="A138" s="1267" t="s">
        <v>426</v>
      </c>
      <c r="B138" s="1267" t="s">
        <v>562</v>
      </c>
      <c r="C138" s="1267" t="s">
        <v>563</v>
      </c>
      <c r="D138" s="1267" t="s">
        <v>429</v>
      </c>
      <c r="E138" s="1267" t="s">
        <v>430</v>
      </c>
      <c r="F138" s="1268">
        <v>-0.21530000000000005</v>
      </c>
      <c r="G138" s="1268"/>
      <c r="H138" s="1268"/>
      <c r="I138" s="1268"/>
      <c r="J138" s="1268"/>
      <c r="K138" s="1268"/>
      <c r="L138" s="1268"/>
      <c r="M138" s="1269">
        <v>22672947</v>
      </c>
      <c r="N138" s="1267"/>
      <c r="O138" s="1267"/>
      <c r="P138" s="1267"/>
      <c r="Q138" s="1267"/>
      <c r="R138" s="1267"/>
      <c r="S138" s="1267"/>
      <c r="T138" s="1267"/>
      <c r="U138" s="1267"/>
      <c r="V138" s="1267"/>
      <c r="W138" s="1267"/>
    </row>
    <row r="139" spans="1:23" x14ac:dyDescent="0.2">
      <c r="A139" s="1270" t="s">
        <v>426</v>
      </c>
      <c r="B139" s="1270" t="s">
        <v>562</v>
      </c>
      <c r="C139" s="1270" t="s">
        <v>563</v>
      </c>
      <c r="D139" s="1270" t="s">
        <v>429</v>
      </c>
      <c r="E139" s="1270" t="s">
        <v>431</v>
      </c>
      <c r="F139" s="1271">
        <v>-0.22</v>
      </c>
      <c r="G139" s="1271"/>
      <c r="H139" s="1271"/>
      <c r="I139" s="1271"/>
      <c r="J139" s="1271"/>
      <c r="K139" s="1271"/>
      <c r="L139" s="1271"/>
      <c r="M139" s="1272">
        <v>22672947</v>
      </c>
    </row>
    <row r="140" spans="1:23" x14ac:dyDescent="0.2">
      <c r="A140" s="1267" t="s">
        <v>426</v>
      </c>
      <c r="B140" s="1267" t="s">
        <v>564</v>
      </c>
      <c r="C140" s="1267" t="s">
        <v>565</v>
      </c>
      <c r="D140" s="1267" t="s">
        <v>429</v>
      </c>
      <c r="E140" s="1267" t="s">
        <v>430</v>
      </c>
      <c r="F140" s="1268">
        <v>2.2100000000000009E-2</v>
      </c>
      <c r="G140" s="1268"/>
      <c r="H140" s="1268"/>
      <c r="I140" s="1268"/>
      <c r="J140" s="1268"/>
      <c r="K140" s="1268"/>
      <c r="L140" s="1268"/>
      <c r="M140" s="1269">
        <v>2985795</v>
      </c>
      <c r="N140" s="1267"/>
      <c r="O140" s="1267"/>
      <c r="P140" s="1267"/>
      <c r="Q140" s="1267"/>
      <c r="R140" s="1267"/>
      <c r="S140" s="1267"/>
      <c r="T140" s="1267"/>
      <c r="U140" s="1267"/>
      <c r="V140" s="1267"/>
      <c r="W140" s="1267"/>
    </row>
    <row r="141" spans="1:23" x14ac:dyDescent="0.2">
      <c r="A141" s="1270" t="s">
        <v>426</v>
      </c>
      <c r="B141" s="1270" t="s">
        <v>564</v>
      </c>
      <c r="C141" s="1270" t="s">
        <v>565</v>
      </c>
      <c r="D141" s="1270" t="s">
        <v>429</v>
      </c>
      <c r="E141" s="1270" t="s">
        <v>431</v>
      </c>
      <c r="F141" s="1271">
        <v>6.1999999999999833E-3</v>
      </c>
      <c r="G141" s="1271"/>
      <c r="H141" s="1271"/>
      <c r="I141" s="1271"/>
      <c r="J141" s="1271"/>
      <c r="K141" s="1271"/>
      <c r="L141" s="1271"/>
      <c r="M141" s="1272">
        <v>2985795</v>
      </c>
    </row>
    <row r="142" spans="1:23" x14ac:dyDescent="0.2">
      <c r="A142" s="1267" t="s">
        <v>426</v>
      </c>
      <c r="B142" s="1267" t="s">
        <v>566</v>
      </c>
      <c r="C142" s="1267" t="s">
        <v>567</v>
      </c>
      <c r="D142" s="1267" t="s">
        <v>429</v>
      </c>
      <c r="E142" s="1267" t="s">
        <v>430</v>
      </c>
      <c r="F142" s="1268">
        <v>-0.37819999999999998</v>
      </c>
      <c r="G142" s="1268">
        <v>-0.51324510446999994</v>
      </c>
      <c r="H142" s="1268">
        <v>-0.51816132891485289</v>
      </c>
      <c r="I142" s="1268">
        <v>-0.15396729655550212</v>
      </c>
      <c r="J142" s="1268">
        <v>6.0065324920908436E-2</v>
      </c>
      <c r="K142" s="1268"/>
      <c r="L142" s="1268"/>
      <c r="M142" s="1269">
        <v>14488544</v>
      </c>
      <c r="N142" s="1267"/>
      <c r="O142" s="1267"/>
      <c r="P142" s="1267"/>
      <c r="Q142" s="1267"/>
      <c r="R142" s="1267"/>
      <c r="S142" s="1267"/>
      <c r="T142" s="1267"/>
      <c r="U142" s="1267"/>
      <c r="V142" s="1267"/>
      <c r="W142" s="1267"/>
    </row>
    <row r="143" spans="1:23" x14ac:dyDescent="0.2">
      <c r="A143" s="1270" t="s">
        <v>426</v>
      </c>
      <c r="B143" s="1270" t="s">
        <v>566</v>
      </c>
      <c r="C143" s="1270" t="s">
        <v>567</v>
      </c>
      <c r="D143" s="1270" t="s">
        <v>429</v>
      </c>
      <c r="E143" s="1270" t="s">
        <v>431</v>
      </c>
      <c r="F143" s="1271">
        <v>-0.2661</v>
      </c>
      <c r="G143" s="1271">
        <v>-0.39669738757600004</v>
      </c>
      <c r="H143" s="1271">
        <v>-0.40267008343899763</v>
      </c>
      <c r="I143" s="1271">
        <v>-9.77326442665154E-2</v>
      </c>
      <c r="J143" s="1271">
        <v>7.1578271958185669E-2</v>
      </c>
      <c r="K143" s="1271"/>
      <c r="L143" s="1271"/>
      <c r="M143" s="1272">
        <v>14488544</v>
      </c>
    </row>
    <row r="144" spans="1:23" x14ac:dyDescent="0.2">
      <c r="A144" s="1267" t="s">
        <v>426</v>
      </c>
      <c r="B144" s="1267" t="s">
        <v>568</v>
      </c>
      <c r="C144" s="1267" t="s">
        <v>569</v>
      </c>
      <c r="D144" s="1267" t="s">
        <v>429</v>
      </c>
      <c r="E144" s="1267" t="s">
        <v>430</v>
      </c>
      <c r="F144" s="1268">
        <v>-0.4526</v>
      </c>
      <c r="G144" s="1268">
        <v>-0.69117706431999992</v>
      </c>
      <c r="H144" s="1268">
        <v>-0.70053439927110395</v>
      </c>
      <c r="I144" s="1268"/>
      <c r="J144" s="1268"/>
      <c r="K144" s="1268"/>
      <c r="L144" s="1268"/>
      <c r="M144" s="1269">
        <v>7393540</v>
      </c>
      <c r="N144" s="1267"/>
      <c r="O144" s="1267"/>
      <c r="P144" s="1267"/>
      <c r="Q144" s="1267"/>
      <c r="R144" s="1267"/>
      <c r="S144" s="1267"/>
      <c r="T144" s="1267"/>
      <c r="U144" s="1267"/>
      <c r="V144" s="1267"/>
      <c r="W144" s="1267"/>
    </row>
    <row r="145" spans="1:23" x14ac:dyDescent="0.2">
      <c r="A145" s="1270" t="s">
        <v>426</v>
      </c>
      <c r="B145" s="1270" t="s">
        <v>568</v>
      </c>
      <c r="C145" s="1270" t="s">
        <v>569</v>
      </c>
      <c r="D145" s="1270" t="s">
        <v>429</v>
      </c>
      <c r="E145" s="1270" t="s">
        <v>431</v>
      </c>
      <c r="F145" s="1271">
        <v>-0.46289999999999998</v>
      </c>
      <c r="G145" s="1271">
        <v>-0.70549421282000002</v>
      </c>
      <c r="H145" s="1271">
        <v>-0.71715664199232809</v>
      </c>
      <c r="I145" s="1271"/>
      <c r="J145" s="1271"/>
      <c r="K145" s="1271"/>
      <c r="L145" s="1271"/>
      <c r="M145" s="1272">
        <v>7393540</v>
      </c>
    </row>
    <row r="146" spans="1:23" x14ac:dyDescent="0.2">
      <c r="A146" s="1267" t="s">
        <v>426</v>
      </c>
      <c r="B146" s="1267" t="s">
        <v>570</v>
      </c>
      <c r="C146" s="1267" t="s">
        <v>571</v>
      </c>
      <c r="D146" s="1267" t="s">
        <v>429</v>
      </c>
      <c r="E146" s="1267" t="s">
        <v>430</v>
      </c>
      <c r="F146" s="1268">
        <v>-1.6800000000000037E-2</v>
      </c>
      <c r="G146" s="1268">
        <v>2.2119057624000016E-2</v>
      </c>
      <c r="H146" s="1268">
        <v>4.2050379247668079E-2</v>
      </c>
      <c r="I146" s="1268">
        <v>6.8242666311605804E-2</v>
      </c>
      <c r="J146" s="1268">
        <v>0.19038071186202488</v>
      </c>
      <c r="K146" s="1268"/>
      <c r="L146" s="1268"/>
      <c r="M146" s="1269">
        <v>51651974</v>
      </c>
      <c r="N146" s="1267"/>
      <c r="O146" s="1267"/>
      <c r="P146" s="1267"/>
      <c r="Q146" s="1267"/>
      <c r="R146" s="1267"/>
      <c r="S146" s="1267"/>
      <c r="T146" s="1267"/>
      <c r="U146" s="1267"/>
      <c r="V146" s="1267"/>
      <c r="W146" s="1267"/>
    </row>
    <row r="147" spans="1:23" x14ac:dyDescent="0.2">
      <c r="A147" s="1270" t="s">
        <v>426</v>
      </c>
      <c r="B147" s="1270" t="s">
        <v>570</v>
      </c>
      <c r="C147" s="1270" t="s">
        <v>571</v>
      </c>
      <c r="D147" s="1270" t="s">
        <v>429</v>
      </c>
      <c r="E147" s="1270" t="s">
        <v>431</v>
      </c>
      <c r="F147" s="1271">
        <v>-2.2999999999999687E-3</v>
      </c>
      <c r="G147" s="1271">
        <v>2.4314206212000089E-2</v>
      </c>
      <c r="H147" s="1271">
        <v>4.1010527773255978E-2</v>
      </c>
      <c r="I147" s="1271">
        <v>4.46600950779108E-2</v>
      </c>
      <c r="J147" s="1271">
        <v>0.12618419899658595</v>
      </c>
      <c r="K147" s="1271"/>
      <c r="L147" s="1271"/>
      <c r="M147" s="1272">
        <v>51651974</v>
      </c>
    </row>
    <row r="148" spans="1:23" x14ac:dyDescent="0.2">
      <c r="A148" s="1267" t="s">
        <v>426</v>
      </c>
      <c r="B148" s="1267" t="s">
        <v>572</v>
      </c>
      <c r="C148" s="1267" t="s">
        <v>573</v>
      </c>
      <c r="D148" s="1267" t="s">
        <v>429</v>
      </c>
      <c r="E148" s="1267" t="s">
        <v>430</v>
      </c>
      <c r="F148" s="1268">
        <v>3.8000000000000034E-2</v>
      </c>
      <c r="G148" s="1268"/>
      <c r="H148" s="1268"/>
      <c r="I148" s="1268"/>
      <c r="J148" s="1268"/>
      <c r="K148" s="1268"/>
      <c r="L148" s="1268"/>
      <c r="M148" s="1269">
        <v>7488765</v>
      </c>
      <c r="N148" s="1267"/>
      <c r="O148" s="1267"/>
      <c r="P148" s="1267"/>
      <c r="Q148" s="1267"/>
      <c r="R148" s="1267"/>
      <c r="S148" s="1267"/>
      <c r="T148" s="1267"/>
      <c r="U148" s="1267"/>
      <c r="V148" s="1267"/>
      <c r="W148" s="1267"/>
    </row>
    <row r="149" spans="1:23" x14ac:dyDescent="0.2">
      <c r="A149" s="1270" t="s">
        <v>426</v>
      </c>
      <c r="B149" s="1270" t="s">
        <v>572</v>
      </c>
      <c r="C149" s="1270" t="s">
        <v>573</v>
      </c>
      <c r="D149" s="1270" t="s">
        <v>429</v>
      </c>
      <c r="E149" s="1270" t="s">
        <v>431</v>
      </c>
      <c r="F149" s="1271">
        <v>1.2699999999999934E-2</v>
      </c>
      <c r="G149" s="1271"/>
      <c r="H149" s="1271"/>
      <c r="I149" s="1271"/>
      <c r="J149" s="1271"/>
      <c r="K149" s="1271"/>
      <c r="L149" s="1271"/>
      <c r="M149" s="1272">
        <v>7488765</v>
      </c>
    </row>
    <row r="150" spans="1:23" x14ac:dyDescent="0.2">
      <c r="A150" s="1267" t="s">
        <v>426</v>
      </c>
      <c r="B150" s="1267" t="s">
        <v>574</v>
      </c>
      <c r="C150" s="1267" t="s">
        <v>575</v>
      </c>
      <c r="D150" s="1267" t="s">
        <v>429</v>
      </c>
      <c r="E150" s="1267" t="s">
        <v>430</v>
      </c>
      <c r="F150" s="1268">
        <v>-0.22199999999999995</v>
      </c>
      <c r="G150" s="1268">
        <v>-0.33428691170000002</v>
      </c>
      <c r="H150" s="1268">
        <v>-0.32876149306711</v>
      </c>
      <c r="I150" s="1268">
        <v>-0.1760223011703127</v>
      </c>
      <c r="J150" s="1268"/>
      <c r="K150" s="1268"/>
      <c r="L150" s="1268"/>
      <c r="M150" s="1269">
        <v>32536578</v>
      </c>
      <c r="N150" s="1267"/>
      <c r="O150" s="1267"/>
      <c r="P150" s="1267"/>
      <c r="Q150" s="1267"/>
      <c r="R150" s="1267"/>
      <c r="S150" s="1267"/>
      <c r="T150" s="1267"/>
      <c r="U150" s="1267"/>
      <c r="V150" s="1267"/>
      <c r="W150" s="1267"/>
    </row>
    <row r="151" spans="1:23" x14ac:dyDescent="0.2">
      <c r="A151" s="1270" t="s">
        <v>426</v>
      </c>
      <c r="B151" s="1270" t="s">
        <v>574</v>
      </c>
      <c r="C151" s="1270" t="s">
        <v>575</v>
      </c>
      <c r="D151" s="1270" t="s">
        <v>429</v>
      </c>
      <c r="E151" s="1270" t="s">
        <v>431</v>
      </c>
      <c r="F151" s="1271">
        <v>-0.2248</v>
      </c>
      <c r="G151" s="1271">
        <v>-0.34164434560000001</v>
      </c>
      <c r="H151" s="1271">
        <v>-0.33848423845887998</v>
      </c>
      <c r="I151" s="1271">
        <v>-0.19551313566764594</v>
      </c>
      <c r="J151" s="1271"/>
      <c r="K151" s="1271"/>
      <c r="L151" s="1271"/>
      <c r="M151" s="1272">
        <v>32536578</v>
      </c>
    </row>
    <row r="152" spans="1:23" x14ac:dyDescent="0.2">
      <c r="A152" s="1267" t="s">
        <v>426</v>
      </c>
      <c r="B152" s="1267" t="s">
        <v>576</v>
      </c>
      <c r="C152" s="1267" t="s">
        <v>577</v>
      </c>
      <c r="D152" s="1267" t="s">
        <v>429</v>
      </c>
      <c r="E152" s="1267" t="s">
        <v>430</v>
      </c>
      <c r="F152" s="1268">
        <v>-0.20809999999999995</v>
      </c>
      <c r="G152" s="1268">
        <v>-0.2731604292219999</v>
      </c>
      <c r="H152" s="1268">
        <v>-0.27410532066401139</v>
      </c>
      <c r="I152" s="1268">
        <v>-7.3916077400637437E-2</v>
      </c>
      <c r="J152" s="1268"/>
      <c r="K152" s="1268"/>
      <c r="L152" s="1268"/>
      <c r="M152" s="1269">
        <v>26866124</v>
      </c>
      <c r="N152" s="1267"/>
      <c r="O152" s="1267"/>
      <c r="P152" s="1267"/>
      <c r="Q152" s="1267"/>
      <c r="R152" s="1267"/>
      <c r="S152" s="1267"/>
      <c r="T152" s="1267"/>
      <c r="U152" s="1267"/>
      <c r="V152" s="1267"/>
      <c r="W152" s="1267"/>
    </row>
    <row r="153" spans="1:23" x14ac:dyDescent="0.2">
      <c r="A153" s="1270" t="s">
        <v>426</v>
      </c>
      <c r="B153" s="1270" t="s">
        <v>576</v>
      </c>
      <c r="C153" s="1270" t="s">
        <v>577</v>
      </c>
      <c r="D153" s="1270" t="s">
        <v>429</v>
      </c>
      <c r="E153" s="1270" t="s">
        <v>431</v>
      </c>
      <c r="F153" s="1271">
        <v>-0.21319999999999995</v>
      </c>
      <c r="G153" s="1271">
        <v>-0.28581265474399986</v>
      </c>
      <c r="H153" s="1271">
        <v>-0.28895507906312634</v>
      </c>
      <c r="I153" s="1271">
        <v>-0.13499176071032459</v>
      </c>
      <c r="J153" s="1271"/>
      <c r="K153" s="1271"/>
      <c r="L153" s="1271"/>
      <c r="M153" s="1272">
        <v>26866124</v>
      </c>
    </row>
    <row r="154" spans="1:23" x14ac:dyDescent="0.2">
      <c r="A154" s="1267" t="s">
        <v>426</v>
      </c>
      <c r="B154" s="1267" t="s">
        <v>578</v>
      </c>
      <c r="C154" s="1267" t="s">
        <v>579</v>
      </c>
      <c r="D154" s="1267" t="s">
        <v>429</v>
      </c>
      <c r="E154" s="1267" t="s">
        <v>430</v>
      </c>
      <c r="F154" s="1268">
        <v>-1.4900000000000024E-2</v>
      </c>
      <c r="G154" s="1268">
        <v>-1.1773686640000003E-2</v>
      </c>
      <c r="H154" s="1268">
        <v>3.230120693585592E-2</v>
      </c>
      <c r="I154" s="1268">
        <v>0.17782473118684106</v>
      </c>
      <c r="J154" s="1268"/>
      <c r="K154" s="1268"/>
      <c r="L154" s="1268"/>
      <c r="M154" s="1269">
        <v>62986314</v>
      </c>
      <c r="N154" s="1267"/>
      <c r="O154" s="1267"/>
      <c r="P154" s="1267"/>
      <c r="Q154" s="1267"/>
      <c r="R154" s="1267"/>
      <c r="S154" s="1267"/>
      <c r="T154" s="1267"/>
      <c r="U154" s="1267"/>
      <c r="V154" s="1267"/>
      <c r="W154" s="1267"/>
    </row>
    <row r="155" spans="1:23" x14ac:dyDescent="0.2">
      <c r="A155" s="1270" t="s">
        <v>426</v>
      </c>
      <c r="B155" s="1270" t="s">
        <v>578</v>
      </c>
      <c r="C155" s="1270" t="s">
        <v>579</v>
      </c>
      <c r="D155" s="1270" t="s">
        <v>429</v>
      </c>
      <c r="E155" s="1270" t="s">
        <v>431</v>
      </c>
      <c r="F155" s="1271">
        <v>-1.870000000000005E-2</v>
      </c>
      <c r="G155" s="1271">
        <v>-1.4847435826000011E-2</v>
      </c>
      <c r="H155" s="1271">
        <v>1.4116049560715771E-2</v>
      </c>
      <c r="I155" s="1271">
        <v>0.11301501568742767</v>
      </c>
      <c r="J155" s="1271"/>
      <c r="K155" s="1271"/>
      <c r="L155" s="1271"/>
      <c r="M155" s="1272">
        <v>62986314</v>
      </c>
    </row>
    <row r="156" spans="1:23" x14ac:dyDescent="0.2">
      <c r="A156" s="1267" t="s">
        <v>426</v>
      </c>
      <c r="B156" s="1267" t="s">
        <v>580</v>
      </c>
      <c r="C156" s="1267" t="s">
        <v>581</v>
      </c>
      <c r="D156" s="1267" t="s">
        <v>429</v>
      </c>
      <c r="E156" s="1267" t="s">
        <v>430</v>
      </c>
      <c r="F156" s="1268">
        <v>1.2899999999999912E-2</v>
      </c>
      <c r="G156" s="1268">
        <v>-0.18099210347500005</v>
      </c>
      <c r="H156" s="1268"/>
      <c r="I156" s="1268"/>
      <c r="J156" s="1268"/>
      <c r="K156" s="1268"/>
      <c r="L156" s="1268"/>
      <c r="M156" s="1269">
        <v>27897888</v>
      </c>
      <c r="N156" s="1267"/>
      <c r="O156" s="1267"/>
      <c r="P156" s="1267"/>
      <c r="Q156" s="1267"/>
      <c r="R156" s="1267"/>
      <c r="S156" s="1267"/>
      <c r="T156" s="1267"/>
      <c r="U156" s="1267"/>
      <c r="V156" s="1267"/>
      <c r="W156" s="1267"/>
    </row>
    <row r="157" spans="1:23" x14ac:dyDescent="0.2">
      <c r="A157" s="1270" t="s">
        <v>426</v>
      </c>
      <c r="B157" s="1270" t="s">
        <v>580</v>
      </c>
      <c r="C157" s="1270" t="s">
        <v>581</v>
      </c>
      <c r="D157" s="1270" t="s">
        <v>429</v>
      </c>
      <c r="E157" s="1270" t="s">
        <v>431</v>
      </c>
      <c r="F157" s="1271">
        <v>3.2000000000000917E-3</v>
      </c>
      <c r="G157" s="1271">
        <v>-0.15998556812799991</v>
      </c>
      <c r="H157" s="1271"/>
      <c r="I157" s="1271"/>
      <c r="J157" s="1271"/>
      <c r="K157" s="1271"/>
      <c r="L157" s="1271"/>
      <c r="M157" s="1272">
        <v>27897888</v>
      </c>
    </row>
    <row r="158" spans="1:23" x14ac:dyDescent="0.2">
      <c r="A158" s="1267" t="s">
        <v>426</v>
      </c>
      <c r="B158" s="1267" t="s">
        <v>582</v>
      </c>
      <c r="C158" s="1267" t="s">
        <v>583</v>
      </c>
      <c r="D158" s="1267" t="s">
        <v>429</v>
      </c>
      <c r="E158" s="1267" t="s">
        <v>430</v>
      </c>
      <c r="F158" s="1268">
        <v>-5.8100000000000041E-2</v>
      </c>
      <c r="G158" s="1268">
        <v>-2.8451672415000129E-2</v>
      </c>
      <c r="H158" s="1268">
        <v>-5.7695277075308644E-2</v>
      </c>
      <c r="I158" s="1268"/>
      <c r="J158" s="1268"/>
      <c r="K158" s="1268"/>
      <c r="L158" s="1268"/>
      <c r="M158" s="1269">
        <v>29552278</v>
      </c>
      <c r="N158" s="1267"/>
      <c r="O158" s="1267"/>
      <c r="P158" s="1267"/>
      <c r="Q158" s="1267"/>
      <c r="R158" s="1267"/>
      <c r="S158" s="1267"/>
      <c r="T158" s="1267"/>
      <c r="U158" s="1267"/>
      <c r="V158" s="1267"/>
      <c r="W158" s="1267"/>
    </row>
    <row r="159" spans="1:23" x14ac:dyDescent="0.2">
      <c r="A159" s="1270" t="s">
        <v>426</v>
      </c>
      <c r="B159" s="1270" t="s">
        <v>582</v>
      </c>
      <c r="C159" s="1270" t="s">
        <v>583</v>
      </c>
      <c r="D159" s="1270" t="s">
        <v>429</v>
      </c>
      <c r="E159" s="1270" t="s">
        <v>431</v>
      </c>
      <c r="F159" s="1271">
        <v>-6.4100000000000046E-2</v>
      </c>
      <c r="G159" s="1271">
        <v>-4.887021160799998E-2</v>
      </c>
      <c r="H159" s="1271">
        <v>-8.9007888678142452E-2</v>
      </c>
      <c r="I159" s="1271"/>
      <c r="J159" s="1271"/>
      <c r="K159" s="1271"/>
      <c r="L159" s="1271"/>
      <c r="M159" s="1272">
        <v>29552278</v>
      </c>
    </row>
    <row r="160" spans="1:23" x14ac:dyDescent="0.2">
      <c r="A160" s="1267" t="s">
        <v>426</v>
      </c>
      <c r="B160" s="1267" t="s">
        <v>584</v>
      </c>
      <c r="C160" s="1267" t="s">
        <v>585</v>
      </c>
      <c r="D160" s="1267" t="s">
        <v>429</v>
      </c>
      <c r="E160" s="1267" t="s">
        <v>430</v>
      </c>
      <c r="F160" s="1268">
        <v>-0.57269999999999999</v>
      </c>
      <c r="G160" s="1268">
        <v>-0.79103227648600016</v>
      </c>
      <c r="H160" s="1268">
        <v>-0.84233385260868698</v>
      </c>
      <c r="I160" s="1268"/>
      <c r="J160" s="1268"/>
      <c r="K160" s="1268"/>
      <c r="L160" s="1268"/>
      <c r="M160" s="1269">
        <v>8274945</v>
      </c>
      <c r="N160" s="1267"/>
      <c r="O160" s="1267"/>
      <c r="P160" s="1267"/>
      <c r="Q160" s="1267"/>
      <c r="R160" s="1267"/>
      <c r="S160" s="1267"/>
      <c r="T160" s="1267"/>
      <c r="U160" s="1267"/>
      <c r="V160" s="1267"/>
      <c r="W160" s="1267"/>
    </row>
    <row r="161" spans="1:23" x14ac:dyDescent="0.2">
      <c r="A161" s="1270" t="s">
        <v>426</v>
      </c>
      <c r="B161" s="1270" t="s">
        <v>584</v>
      </c>
      <c r="C161" s="1270" t="s">
        <v>585</v>
      </c>
      <c r="D161" s="1270" t="s">
        <v>429</v>
      </c>
      <c r="E161" s="1270" t="s">
        <v>431</v>
      </c>
      <c r="F161" s="1271">
        <v>-0.58279999999999998</v>
      </c>
      <c r="G161" s="1271">
        <v>-0.80137068365999997</v>
      </c>
      <c r="H161" s="1271">
        <v>-0.85227937743794202</v>
      </c>
      <c r="I161" s="1271"/>
      <c r="J161" s="1271"/>
      <c r="K161" s="1271"/>
      <c r="L161" s="1271"/>
      <c r="M161" s="1272">
        <v>8274945</v>
      </c>
    </row>
    <row r="162" spans="1:23" x14ac:dyDescent="0.2">
      <c r="A162" s="1267" t="s">
        <v>426</v>
      </c>
      <c r="B162" s="1267" t="s">
        <v>586</v>
      </c>
      <c r="C162" s="1267" t="s">
        <v>587</v>
      </c>
      <c r="D162" s="1267" t="s">
        <v>429</v>
      </c>
      <c r="E162" s="1267" t="s">
        <v>430</v>
      </c>
      <c r="F162" s="1268">
        <v>-0.33799999999999997</v>
      </c>
      <c r="G162" s="1268">
        <v>-0.41865543199999988</v>
      </c>
      <c r="H162" s="1268">
        <v>-0.41859729754320002</v>
      </c>
      <c r="I162" s="1268"/>
      <c r="J162" s="1268"/>
      <c r="K162" s="1268"/>
      <c r="L162" s="1268"/>
      <c r="M162" s="1269">
        <v>13219451</v>
      </c>
      <c r="N162" s="1267"/>
      <c r="O162" s="1267"/>
      <c r="P162" s="1267"/>
      <c r="Q162" s="1267"/>
      <c r="R162" s="1267"/>
      <c r="S162" s="1267"/>
      <c r="T162" s="1267"/>
      <c r="U162" s="1267"/>
      <c r="V162" s="1267"/>
      <c r="W162" s="1267"/>
    </row>
    <row r="163" spans="1:23" x14ac:dyDescent="0.2">
      <c r="A163" s="1270" t="s">
        <v>426</v>
      </c>
      <c r="B163" s="1270" t="s">
        <v>586</v>
      </c>
      <c r="C163" s="1270" t="s">
        <v>587</v>
      </c>
      <c r="D163" s="1270" t="s">
        <v>429</v>
      </c>
      <c r="E163" s="1270" t="s">
        <v>431</v>
      </c>
      <c r="F163" s="1271">
        <v>-0.34509999999999996</v>
      </c>
      <c r="G163" s="1271">
        <v>-0.41034022114000002</v>
      </c>
      <c r="H163" s="1271">
        <v>-0.4151164653487659</v>
      </c>
      <c r="I163" s="1271"/>
      <c r="J163" s="1271"/>
      <c r="K163" s="1271"/>
      <c r="L163" s="1271"/>
      <c r="M163" s="1272">
        <v>13219451</v>
      </c>
    </row>
    <row r="164" spans="1:23" x14ac:dyDescent="0.2">
      <c r="A164" s="1267" t="s">
        <v>426</v>
      </c>
      <c r="B164" s="1267" t="s">
        <v>588</v>
      </c>
      <c r="C164" s="1267" t="s">
        <v>589</v>
      </c>
      <c r="D164" s="1267" t="s">
        <v>429</v>
      </c>
      <c r="E164" s="1267" t="s">
        <v>430</v>
      </c>
      <c r="F164" s="1268">
        <v>-0.11339999999999995</v>
      </c>
      <c r="G164" s="1268">
        <v>-0.18765821145599992</v>
      </c>
      <c r="H164" s="1268">
        <v>-0.31722672672876784</v>
      </c>
      <c r="I164" s="1268"/>
      <c r="J164" s="1268"/>
      <c r="K164" s="1268"/>
      <c r="L164" s="1268"/>
      <c r="M164" s="1269">
        <v>1446183</v>
      </c>
      <c r="N164" s="1267"/>
      <c r="O164" s="1267"/>
      <c r="P164" s="1267"/>
      <c r="Q164" s="1267"/>
      <c r="R164" s="1267"/>
      <c r="S164" s="1267"/>
      <c r="T164" s="1267"/>
      <c r="U164" s="1267"/>
      <c r="V164" s="1267"/>
      <c r="W164" s="1267"/>
    </row>
    <row r="165" spans="1:23" x14ac:dyDescent="0.2">
      <c r="A165" s="1270" t="s">
        <v>426</v>
      </c>
      <c r="B165" s="1270" t="s">
        <v>588</v>
      </c>
      <c r="C165" s="1270" t="s">
        <v>589</v>
      </c>
      <c r="D165" s="1270" t="s">
        <v>429</v>
      </c>
      <c r="E165" s="1270" t="s">
        <v>431</v>
      </c>
      <c r="F165" s="1271">
        <v>-0.21189999999999998</v>
      </c>
      <c r="G165" s="1271">
        <v>-0.50210535725799998</v>
      </c>
      <c r="H165" s="1271">
        <v>-0.82055877075578321</v>
      </c>
      <c r="I165" s="1271"/>
      <c r="J165" s="1271"/>
      <c r="K165" s="1271"/>
      <c r="L165" s="1271"/>
      <c r="M165" s="1272">
        <v>1446183</v>
      </c>
    </row>
    <row r="166" spans="1:23" x14ac:dyDescent="0.2">
      <c r="A166" s="1267" t="s">
        <v>426</v>
      </c>
      <c r="B166" s="1267" t="s">
        <v>590</v>
      </c>
      <c r="C166" s="1267" t="s">
        <v>591</v>
      </c>
      <c r="D166" s="1267" t="s">
        <v>429</v>
      </c>
      <c r="E166" s="1267" t="s">
        <v>430</v>
      </c>
      <c r="F166" s="1268">
        <v>-0.74130000000000007</v>
      </c>
      <c r="G166" s="1268">
        <v>-0.789351814993</v>
      </c>
      <c r="H166" s="1268">
        <v>-0.80651964207107052</v>
      </c>
      <c r="I166" s="1268"/>
      <c r="J166" s="1268"/>
      <c r="K166" s="1268"/>
      <c r="L166" s="1268"/>
      <c r="M166" s="1269">
        <v>1772346</v>
      </c>
      <c r="N166" s="1267"/>
      <c r="O166" s="1267"/>
      <c r="P166" s="1267"/>
      <c r="Q166" s="1267"/>
      <c r="R166" s="1267"/>
      <c r="S166" s="1267"/>
      <c r="T166" s="1267"/>
      <c r="U166" s="1267"/>
      <c r="V166" s="1267"/>
      <c r="W166" s="1267"/>
    </row>
    <row r="167" spans="1:23" x14ac:dyDescent="0.2">
      <c r="A167" s="1270" t="s">
        <v>426</v>
      </c>
      <c r="B167" s="1270" t="s">
        <v>590</v>
      </c>
      <c r="C167" s="1270" t="s">
        <v>591</v>
      </c>
      <c r="D167" s="1270" t="s">
        <v>429</v>
      </c>
      <c r="E167" s="1270" t="s">
        <v>431</v>
      </c>
      <c r="F167" s="1271">
        <v>-0.75599999999999989</v>
      </c>
      <c r="G167" s="1271">
        <v>-0.81051357231999999</v>
      </c>
      <c r="H167" s="1271">
        <v>-0.84810767957171196</v>
      </c>
      <c r="I167" s="1271"/>
      <c r="J167" s="1271"/>
      <c r="K167" s="1271"/>
      <c r="L167" s="1271"/>
      <c r="M167" s="1272">
        <v>1772346</v>
      </c>
    </row>
    <row r="168" spans="1:23" x14ac:dyDescent="0.2">
      <c r="A168" s="1267" t="s">
        <v>426</v>
      </c>
      <c r="B168" s="1267" t="s">
        <v>592</v>
      </c>
      <c r="C168" s="1267" t="s">
        <v>593</v>
      </c>
      <c r="D168" s="1267" t="s">
        <v>429</v>
      </c>
      <c r="E168" s="1267" t="s">
        <v>430</v>
      </c>
      <c r="F168" s="1268">
        <v>-7.8799999999999981E-2</v>
      </c>
      <c r="G168" s="1268">
        <v>-0.12881616709599997</v>
      </c>
      <c r="H168" s="1268"/>
      <c r="I168" s="1268"/>
      <c r="J168" s="1268"/>
      <c r="K168" s="1268"/>
      <c r="L168" s="1268"/>
      <c r="M168" s="1269">
        <v>3209127</v>
      </c>
      <c r="N168" s="1267"/>
      <c r="O168" s="1267"/>
      <c r="P168" s="1267"/>
      <c r="Q168" s="1267"/>
      <c r="R168" s="1267"/>
      <c r="S168" s="1267"/>
      <c r="T168" s="1267"/>
      <c r="U168" s="1267"/>
      <c r="V168" s="1267"/>
      <c r="W168" s="1267"/>
    </row>
    <row r="169" spans="1:23" x14ac:dyDescent="0.2">
      <c r="A169" s="1270" t="s">
        <v>426</v>
      </c>
      <c r="B169" s="1270" t="s">
        <v>592</v>
      </c>
      <c r="C169" s="1270" t="s">
        <v>593</v>
      </c>
      <c r="D169" s="1270" t="s">
        <v>429</v>
      </c>
      <c r="E169" s="1270" t="s">
        <v>431</v>
      </c>
      <c r="F169" s="1271">
        <v>-0.115</v>
      </c>
      <c r="G169" s="1271">
        <v>-0.29216000800000008</v>
      </c>
      <c r="H169" s="1271"/>
      <c r="I169" s="1271"/>
      <c r="J169" s="1271"/>
      <c r="K169" s="1271"/>
      <c r="L169" s="1271"/>
      <c r="M169" s="1272">
        <v>3209127</v>
      </c>
    </row>
    <row r="170" spans="1:23" x14ac:dyDescent="0.2">
      <c r="A170" s="1267" t="s">
        <v>426</v>
      </c>
      <c r="B170" s="1267" t="s">
        <v>594</v>
      </c>
      <c r="C170" s="1267" t="s">
        <v>595</v>
      </c>
      <c r="D170" s="1267" t="s">
        <v>429</v>
      </c>
      <c r="E170" s="1267" t="s">
        <v>430</v>
      </c>
      <c r="F170" s="1268">
        <v>-0.47040000000000004</v>
      </c>
      <c r="G170" s="1268">
        <v>-0.72332096607999996</v>
      </c>
      <c r="H170" s="1268"/>
      <c r="I170" s="1268"/>
      <c r="J170" s="1268"/>
      <c r="K170" s="1268"/>
      <c r="L170" s="1268"/>
      <c r="M170" s="1269">
        <v>7478489</v>
      </c>
      <c r="N170" s="1267"/>
      <c r="O170" s="1267"/>
      <c r="P170" s="1267"/>
      <c r="Q170" s="1267"/>
      <c r="R170" s="1267"/>
      <c r="S170" s="1267"/>
      <c r="T170" s="1267"/>
      <c r="U170" s="1267"/>
      <c r="V170" s="1267"/>
      <c r="W170" s="1267"/>
    </row>
    <row r="171" spans="1:23" x14ac:dyDescent="0.2">
      <c r="A171" s="1270" t="s">
        <v>426</v>
      </c>
      <c r="B171" s="1270" t="s">
        <v>594</v>
      </c>
      <c r="C171" s="1270" t="s">
        <v>595</v>
      </c>
      <c r="D171" s="1270" t="s">
        <v>429</v>
      </c>
      <c r="E171" s="1270" t="s">
        <v>431</v>
      </c>
      <c r="F171" s="1271">
        <v>-0.48960000000000004</v>
      </c>
      <c r="G171" s="1271">
        <v>-0.79125380079999996</v>
      </c>
      <c r="H171" s="1271"/>
      <c r="I171" s="1271"/>
      <c r="J171" s="1271"/>
      <c r="K171" s="1271"/>
      <c r="L171" s="1271"/>
      <c r="M171" s="1272">
        <v>7478489</v>
      </c>
    </row>
    <row r="172" spans="1:23" x14ac:dyDescent="0.2">
      <c r="A172" s="1267" t="s">
        <v>426</v>
      </c>
      <c r="B172" s="1267" t="s">
        <v>596</v>
      </c>
      <c r="C172" s="1267" t="s">
        <v>597</v>
      </c>
      <c r="D172" s="1267" t="s">
        <v>429</v>
      </c>
      <c r="E172" s="1267" t="s">
        <v>430</v>
      </c>
      <c r="F172" s="1268">
        <v>2.3200000000000109E-2</v>
      </c>
      <c r="G172" s="1268"/>
      <c r="H172" s="1268"/>
      <c r="I172" s="1268"/>
      <c r="J172" s="1268"/>
      <c r="K172" s="1268"/>
      <c r="L172" s="1268"/>
      <c r="M172" s="1269">
        <v>64238750</v>
      </c>
      <c r="N172" s="1267"/>
      <c r="O172" s="1267"/>
      <c r="P172" s="1267"/>
      <c r="Q172" s="1267"/>
      <c r="R172" s="1267"/>
      <c r="S172" s="1267"/>
      <c r="T172" s="1267"/>
      <c r="U172" s="1267"/>
      <c r="V172" s="1267"/>
      <c r="W172" s="1267"/>
    </row>
    <row r="173" spans="1:23" x14ac:dyDescent="0.2">
      <c r="A173" s="1270" t="s">
        <v>426</v>
      </c>
      <c r="B173" s="1270" t="s">
        <v>596</v>
      </c>
      <c r="C173" s="1270" t="s">
        <v>597</v>
      </c>
      <c r="D173" s="1270" t="s">
        <v>429</v>
      </c>
      <c r="E173" s="1270" t="s">
        <v>431</v>
      </c>
      <c r="F173" s="1271">
        <v>1.8899999999999917E-2</v>
      </c>
      <c r="G173" s="1271"/>
      <c r="H173" s="1271"/>
      <c r="I173" s="1271"/>
      <c r="J173" s="1271"/>
      <c r="K173" s="1271"/>
      <c r="L173" s="1271"/>
      <c r="M173" s="1272">
        <v>64238750</v>
      </c>
    </row>
    <row r="174" spans="1:23" x14ac:dyDescent="0.2">
      <c r="A174" s="1267" t="s">
        <v>426</v>
      </c>
      <c r="B174" s="1267" t="s">
        <v>598</v>
      </c>
      <c r="C174" s="1267" t="s">
        <v>599</v>
      </c>
      <c r="D174" s="1267" t="s">
        <v>429</v>
      </c>
      <c r="E174" s="1267" t="s">
        <v>430</v>
      </c>
      <c r="F174" s="1268">
        <v>-0.27289999999999998</v>
      </c>
      <c r="G174" s="1268"/>
      <c r="H174" s="1268"/>
      <c r="I174" s="1268"/>
      <c r="J174" s="1268"/>
      <c r="K174" s="1268"/>
      <c r="L174" s="1268"/>
      <c r="M174" s="1269">
        <v>9443984</v>
      </c>
      <c r="N174" s="1267"/>
      <c r="O174" s="1267"/>
      <c r="P174" s="1267"/>
      <c r="Q174" s="1267"/>
      <c r="R174" s="1267"/>
      <c r="S174" s="1267"/>
      <c r="T174" s="1267"/>
      <c r="U174" s="1267"/>
      <c r="V174" s="1267"/>
      <c r="W174" s="1267"/>
    </row>
    <row r="175" spans="1:23" x14ac:dyDescent="0.2">
      <c r="A175" s="1270" t="s">
        <v>426</v>
      </c>
      <c r="B175" s="1270" t="s">
        <v>598</v>
      </c>
      <c r="C175" s="1270" t="s">
        <v>599</v>
      </c>
      <c r="D175" s="1270" t="s">
        <v>429</v>
      </c>
      <c r="E175" s="1270" t="s">
        <v>431</v>
      </c>
      <c r="F175" s="1271">
        <v>-0.32429999999999998</v>
      </c>
      <c r="G175" s="1271"/>
      <c r="H175" s="1271"/>
      <c r="I175" s="1271"/>
      <c r="J175" s="1271"/>
      <c r="K175" s="1271"/>
      <c r="L175" s="1271"/>
      <c r="M175" s="1272">
        <v>9443984</v>
      </c>
    </row>
    <row r="176" spans="1:23" x14ac:dyDescent="0.2">
      <c r="A176" s="1267" t="s">
        <v>426</v>
      </c>
      <c r="B176" s="1267" t="s">
        <v>600</v>
      </c>
      <c r="C176" s="1267" t="s">
        <v>601</v>
      </c>
      <c r="D176" s="1267" t="s">
        <v>429</v>
      </c>
      <c r="E176" s="1267" t="s">
        <v>430</v>
      </c>
      <c r="F176" s="1268">
        <v>-4.7000000000000002E-3</v>
      </c>
      <c r="G176" s="1268"/>
      <c r="H176" s="1268"/>
      <c r="I176" s="1268"/>
      <c r="J176" s="1268"/>
      <c r="K176" s="1268"/>
      <c r="L176" s="1268"/>
      <c r="M176" s="1269">
        <v>6086663</v>
      </c>
      <c r="N176" s="1267"/>
      <c r="O176" s="1267"/>
      <c r="P176" s="1267"/>
      <c r="Q176" s="1267"/>
      <c r="R176" s="1267"/>
      <c r="S176" s="1267"/>
      <c r="T176" s="1267"/>
      <c r="U176" s="1267"/>
      <c r="V176" s="1267"/>
      <c r="W176" s="1267"/>
    </row>
    <row r="177" spans="1:23" x14ac:dyDescent="0.2">
      <c r="A177" s="1270" t="s">
        <v>426</v>
      </c>
      <c r="B177" s="1270" t="s">
        <v>600</v>
      </c>
      <c r="C177" s="1270" t="s">
        <v>601</v>
      </c>
      <c r="D177" s="1270" t="s">
        <v>429</v>
      </c>
      <c r="E177" s="1270" t="s">
        <v>431</v>
      </c>
      <c r="F177" s="1271">
        <v>-6.4199999999999993E-2</v>
      </c>
      <c r="G177" s="1271"/>
      <c r="H177" s="1271"/>
      <c r="I177" s="1271"/>
      <c r="J177" s="1271"/>
      <c r="K177" s="1271"/>
      <c r="L177" s="1271"/>
      <c r="M177" s="1272">
        <v>6086663</v>
      </c>
    </row>
    <row r="178" spans="1:23" x14ac:dyDescent="0.2">
      <c r="A178" s="1267" t="s">
        <v>426</v>
      </c>
      <c r="B178" s="1267" t="s">
        <v>602</v>
      </c>
      <c r="C178" s="1267" t="s">
        <v>603</v>
      </c>
      <c r="D178" s="1267" t="s">
        <v>429</v>
      </c>
      <c r="E178" s="1267" t="s">
        <v>430</v>
      </c>
      <c r="F178" s="1268"/>
      <c r="G178" s="1268"/>
      <c r="H178" s="1268"/>
      <c r="I178" s="1268"/>
      <c r="J178" s="1268"/>
      <c r="K178" s="1268"/>
      <c r="L178" s="1268"/>
      <c r="M178" s="1269">
        <v>53307650</v>
      </c>
      <c r="N178" s="1267"/>
      <c r="O178" s="1267"/>
      <c r="P178" s="1267"/>
      <c r="Q178" s="1267"/>
      <c r="R178" s="1267"/>
      <c r="S178" s="1267"/>
      <c r="T178" s="1267"/>
      <c r="U178" s="1267"/>
      <c r="V178" s="1267"/>
      <c r="W178" s="1267"/>
    </row>
    <row r="179" spans="1:23" x14ac:dyDescent="0.2">
      <c r="A179" s="1270" t="s">
        <v>426</v>
      </c>
      <c r="B179" s="1270" t="s">
        <v>602</v>
      </c>
      <c r="C179" s="1270" t="s">
        <v>603</v>
      </c>
      <c r="D179" s="1270" t="s">
        <v>429</v>
      </c>
      <c r="E179" s="1270" t="s">
        <v>431</v>
      </c>
      <c r="F179" s="1271"/>
      <c r="G179" s="1271"/>
      <c r="H179" s="1271"/>
      <c r="I179" s="1271"/>
      <c r="J179" s="1271"/>
      <c r="K179" s="1271"/>
      <c r="L179" s="1271"/>
      <c r="M179" s="1272">
        <v>53307650</v>
      </c>
    </row>
    <row r="180" spans="1:23" x14ac:dyDescent="0.2">
      <c r="A180" s="1267" t="s">
        <v>426</v>
      </c>
      <c r="B180" s="1267" t="s">
        <v>604</v>
      </c>
      <c r="C180" s="1267" t="s">
        <v>605</v>
      </c>
      <c r="D180" s="1267" t="s">
        <v>429</v>
      </c>
      <c r="E180" s="1267" t="s">
        <v>430</v>
      </c>
      <c r="F180" s="1268">
        <v>3.069999999999995E-2</v>
      </c>
      <c r="G180" s="1268"/>
      <c r="H180" s="1268"/>
      <c r="I180" s="1268"/>
      <c r="J180" s="1268"/>
      <c r="K180" s="1268"/>
      <c r="L180" s="1268"/>
      <c r="M180" s="1269">
        <v>38999579</v>
      </c>
      <c r="N180" s="1267"/>
      <c r="O180" s="1267"/>
      <c r="P180" s="1267"/>
      <c r="Q180" s="1267"/>
      <c r="R180" s="1267"/>
      <c r="S180" s="1267"/>
      <c r="T180" s="1267"/>
      <c r="U180" s="1267"/>
      <c r="V180" s="1267"/>
      <c r="W180" s="1267"/>
    </row>
    <row r="181" spans="1:23" x14ac:dyDescent="0.2">
      <c r="A181" s="1270" t="s">
        <v>426</v>
      </c>
      <c r="B181" s="1270" t="s">
        <v>604</v>
      </c>
      <c r="C181" s="1270" t="s">
        <v>605</v>
      </c>
      <c r="D181" s="1270" t="s">
        <v>429</v>
      </c>
      <c r="E181" s="1270" t="s">
        <v>431</v>
      </c>
      <c r="F181" s="1271">
        <v>3.069999999999995E-2</v>
      </c>
      <c r="G181" s="1271"/>
      <c r="H181" s="1271"/>
      <c r="I181" s="1271"/>
      <c r="J181" s="1271"/>
      <c r="K181" s="1271"/>
      <c r="L181" s="1271"/>
      <c r="M181" s="1272">
        <v>38999579</v>
      </c>
    </row>
    <row r="182" spans="1:23" x14ac:dyDescent="0.2">
      <c r="A182" s="1267" t="s">
        <v>426</v>
      </c>
      <c r="B182" s="1267" t="s">
        <v>606</v>
      </c>
      <c r="C182" s="1267" t="s">
        <v>607</v>
      </c>
      <c r="D182" s="1267" t="s">
        <v>429</v>
      </c>
      <c r="E182" s="1267" t="s">
        <v>430</v>
      </c>
      <c r="F182" s="1268">
        <v>1.9900000000000029E-2</v>
      </c>
      <c r="G182" s="1268"/>
      <c r="H182" s="1268"/>
      <c r="I182" s="1268"/>
      <c r="J182" s="1268"/>
      <c r="K182" s="1268"/>
      <c r="L182" s="1268"/>
      <c r="M182" s="1269">
        <v>3049898</v>
      </c>
      <c r="N182" s="1267"/>
      <c r="O182" s="1267"/>
      <c r="P182" s="1267"/>
      <c r="Q182" s="1267"/>
      <c r="R182" s="1267"/>
      <c r="S182" s="1267"/>
      <c r="T182" s="1267"/>
      <c r="U182" s="1267"/>
      <c r="V182" s="1267"/>
      <c r="W182" s="1267"/>
    </row>
    <row r="183" spans="1:23" x14ac:dyDescent="0.2">
      <c r="A183" s="1270" t="s">
        <v>426</v>
      </c>
      <c r="B183" s="1270" t="s">
        <v>606</v>
      </c>
      <c r="C183" s="1270" t="s">
        <v>607</v>
      </c>
      <c r="D183" s="1270" t="s">
        <v>429</v>
      </c>
      <c r="E183" s="1270" t="s">
        <v>431</v>
      </c>
      <c r="F183" s="1271">
        <v>1.9900000000000029E-2</v>
      </c>
      <c r="G183" s="1271"/>
      <c r="H183" s="1271"/>
      <c r="I183" s="1271"/>
      <c r="J183" s="1271"/>
      <c r="K183" s="1271"/>
      <c r="L183" s="1271"/>
      <c r="M183" s="1272">
        <v>3049898</v>
      </c>
    </row>
    <row r="184" spans="1:23" x14ac:dyDescent="0.2">
      <c r="A184" s="1267" t="s">
        <v>426</v>
      </c>
      <c r="B184" s="1267" t="s">
        <v>608</v>
      </c>
      <c r="C184" s="1267" t="s">
        <v>609</v>
      </c>
      <c r="D184" s="1267" t="s">
        <v>429</v>
      </c>
      <c r="E184" s="1267" t="s">
        <v>430</v>
      </c>
      <c r="F184" s="1268">
        <v>-3.2999999999999696E-3</v>
      </c>
      <c r="G184" s="1268"/>
      <c r="H184" s="1268"/>
      <c r="I184" s="1268"/>
      <c r="J184" s="1268"/>
      <c r="K184" s="1268"/>
      <c r="L184" s="1268"/>
      <c r="M184" s="1269">
        <v>1212500</v>
      </c>
      <c r="N184" s="1267"/>
      <c r="O184" s="1267"/>
      <c r="P184" s="1267"/>
      <c r="Q184" s="1267"/>
      <c r="R184" s="1267"/>
      <c r="S184" s="1267"/>
      <c r="T184" s="1267"/>
      <c r="U184" s="1267"/>
      <c r="V184" s="1267"/>
      <c r="W184" s="1267"/>
    </row>
    <row r="185" spans="1:23" x14ac:dyDescent="0.2">
      <c r="A185" s="1270" t="s">
        <v>426</v>
      </c>
      <c r="B185" s="1270" t="s">
        <v>608</v>
      </c>
      <c r="C185" s="1270" t="s">
        <v>609</v>
      </c>
      <c r="D185" s="1270" t="s">
        <v>429</v>
      </c>
      <c r="E185" s="1270" t="s">
        <v>431</v>
      </c>
      <c r="F185" s="1271">
        <v>-3.2999999999999696E-3</v>
      </c>
      <c r="G185" s="1271"/>
      <c r="H185" s="1271"/>
      <c r="I185" s="1271"/>
      <c r="J185" s="1271"/>
      <c r="K185" s="1271"/>
      <c r="L185" s="1271"/>
      <c r="M185" s="1272">
        <v>1212500</v>
      </c>
    </row>
    <row r="186" spans="1:23" x14ac:dyDescent="0.2">
      <c r="A186" s="1267" t="s">
        <v>426</v>
      </c>
      <c r="B186" s="1267" t="s">
        <v>610</v>
      </c>
      <c r="C186" s="1267" t="s">
        <v>455</v>
      </c>
      <c r="D186" s="1267" t="s">
        <v>429</v>
      </c>
      <c r="E186" s="1267" t="s">
        <v>430</v>
      </c>
      <c r="F186" s="1268">
        <v>-0.14129999999999998</v>
      </c>
      <c r="G186" s="1268">
        <v>-0.29787838062399996</v>
      </c>
      <c r="H186" s="1268">
        <v>-0.23588104163309909</v>
      </c>
      <c r="I186" s="1268"/>
      <c r="J186" s="1268"/>
      <c r="K186" s="1268"/>
      <c r="L186" s="1268"/>
      <c r="M186" s="1269">
        <v>225438451</v>
      </c>
      <c r="N186" s="1267"/>
      <c r="O186" s="1267"/>
      <c r="P186" s="1267"/>
      <c r="Q186" s="1267"/>
      <c r="R186" s="1267"/>
      <c r="S186" s="1267"/>
      <c r="T186" s="1267"/>
      <c r="U186" s="1267"/>
      <c r="V186" s="1267"/>
      <c r="W186" s="1267"/>
    </row>
    <row r="187" spans="1:23" x14ac:dyDescent="0.2">
      <c r="A187" s="1270" t="s">
        <v>426</v>
      </c>
      <c r="B187" s="1270" t="s">
        <v>610</v>
      </c>
      <c r="C187" s="1270" t="s">
        <v>455</v>
      </c>
      <c r="D187" s="1270" t="s">
        <v>429</v>
      </c>
      <c r="E187" s="1270" t="s">
        <v>431</v>
      </c>
      <c r="F187" s="1271">
        <v>-0.14129999999999998</v>
      </c>
      <c r="G187" s="1271">
        <v>-0.29787838062399996</v>
      </c>
      <c r="H187" s="1271">
        <v>-0.23588104163309909</v>
      </c>
      <c r="I187" s="1271"/>
      <c r="J187" s="1271"/>
      <c r="K187" s="1271"/>
      <c r="L187" s="1271"/>
      <c r="M187" s="1272">
        <v>225438451</v>
      </c>
    </row>
    <row r="188" spans="1:23" x14ac:dyDescent="0.2">
      <c r="A188" s="1267" t="s">
        <v>426</v>
      </c>
      <c r="B188" s="1267" t="s">
        <v>611</v>
      </c>
      <c r="C188" s="1267" t="s">
        <v>612</v>
      </c>
      <c r="D188" s="1267" t="s">
        <v>429</v>
      </c>
      <c r="E188" s="1267" t="s">
        <v>430</v>
      </c>
      <c r="F188" s="1268"/>
      <c r="G188" s="1268"/>
      <c r="H188" s="1268"/>
      <c r="I188" s="1268"/>
      <c r="J188" s="1268"/>
      <c r="K188" s="1268"/>
      <c r="L188" s="1268"/>
      <c r="M188" s="1269">
        <v>57315376</v>
      </c>
      <c r="N188" s="1267"/>
      <c r="O188" s="1267"/>
      <c r="P188" s="1267"/>
      <c r="Q188" s="1267"/>
      <c r="R188" s="1267"/>
      <c r="S188" s="1267"/>
      <c r="T188" s="1267"/>
      <c r="U188" s="1267"/>
      <c r="V188" s="1267"/>
      <c r="W188" s="1267"/>
    </row>
    <row r="189" spans="1:23" x14ac:dyDescent="0.2">
      <c r="A189" s="1270" t="s">
        <v>426</v>
      </c>
      <c r="B189" s="1270" t="s">
        <v>611</v>
      </c>
      <c r="C189" s="1270" t="s">
        <v>612</v>
      </c>
      <c r="D189" s="1270" t="s">
        <v>429</v>
      </c>
      <c r="E189" s="1270" t="s">
        <v>431</v>
      </c>
      <c r="F189" s="1271"/>
      <c r="G189" s="1271"/>
      <c r="H189" s="1271"/>
      <c r="I189" s="1271"/>
      <c r="J189" s="1271"/>
      <c r="K189" s="1271"/>
      <c r="L189" s="1271"/>
      <c r="M189" s="1272">
        <v>57315376</v>
      </c>
    </row>
  </sheetData>
  <printOptions gridLines="1"/>
  <pageMargins left="0.75" right="0.75" top="1" bottom="1" header="0.5" footer="0.5"/>
  <pageSetup scale="52" orientation="portrait" r:id="rId1"/>
  <headerFooter alignWithMargins="0">
    <oddHeader>&amp;A</oddHeader>
    <oddFooter>Page &amp;P</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tabColor rgb="FFFF0000"/>
  </sheetPr>
  <dimension ref="A1:J475"/>
  <sheetViews>
    <sheetView workbookViewId="0">
      <pane xSplit="1" ySplit="2" topLeftCell="B434" activePane="bottomRight" state="frozen"/>
      <selection pane="topRight" activeCell="B1" sqref="B1"/>
      <selection pane="bottomLeft" activeCell="A3" sqref="A3"/>
      <selection pane="bottomRight" activeCell="F1" sqref="F1"/>
    </sheetView>
  </sheetViews>
  <sheetFormatPr defaultRowHeight="12.75" x14ac:dyDescent="0.2"/>
  <cols>
    <col min="1" max="1" width="18.7109375" style="21" customWidth="1"/>
    <col min="2" max="2" width="18.7109375" style="257" customWidth="1"/>
    <col min="3" max="3" width="18.7109375" style="346" customWidth="1"/>
    <col min="4" max="4" width="18.7109375" style="258" customWidth="1"/>
    <col min="5" max="5" width="9.140625" style="14"/>
    <col min="6" max="6" width="12.42578125" bestFit="1" customWidth="1"/>
    <col min="7" max="8" width="9.140625" style="352"/>
  </cols>
  <sheetData>
    <row r="1" spans="1:6" x14ac:dyDescent="0.2">
      <c r="A1" s="1420" t="s">
        <v>860</v>
      </c>
      <c r="B1" s="1281"/>
      <c r="C1" s="1388" t="s">
        <v>653</v>
      </c>
      <c r="D1" s="1375">
        <v>43</v>
      </c>
      <c r="F1" s="21" t="s">
        <v>653</v>
      </c>
    </row>
    <row r="2" spans="1:6" x14ac:dyDescent="0.2">
      <c r="A2" s="3" t="s">
        <v>27</v>
      </c>
      <c r="B2" s="71" t="s">
        <v>91</v>
      </c>
      <c r="C2" s="226" t="s">
        <v>92</v>
      </c>
      <c r="D2" s="71" t="s">
        <v>90</v>
      </c>
      <c r="E2" s="734" t="s">
        <v>80</v>
      </c>
    </row>
    <row r="3" spans="1:6" x14ac:dyDescent="0.2">
      <c r="A3" s="345">
        <v>27606</v>
      </c>
      <c r="B3" s="71"/>
      <c r="C3" s="226"/>
      <c r="D3" s="71"/>
    </row>
    <row r="4" spans="1:6" x14ac:dyDescent="0.2">
      <c r="A4" s="345">
        <v>27637</v>
      </c>
      <c r="B4" s="71"/>
      <c r="C4" s="226"/>
      <c r="D4" s="71"/>
    </row>
    <row r="5" spans="1:6" x14ac:dyDescent="0.2">
      <c r="A5" s="345">
        <v>27667</v>
      </c>
      <c r="B5" s="71"/>
      <c r="C5" s="226"/>
      <c r="D5" s="71"/>
    </row>
    <row r="6" spans="1:6" x14ac:dyDescent="0.2">
      <c r="A6" s="345">
        <v>27698</v>
      </c>
      <c r="B6" s="71"/>
      <c r="C6" s="226"/>
      <c r="D6" s="71"/>
    </row>
    <row r="7" spans="1:6" x14ac:dyDescent="0.2">
      <c r="A7" s="345">
        <v>27728</v>
      </c>
      <c r="B7" s="71"/>
      <c r="C7" s="226"/>
      <c r="D7" s="71"/>
    </row>
    <row r="8" spans="1:6" x14ac:dyDescent="0.2">
      <c r="A8" s="345">
        <v>27759</v>
      </c>
      <c r="B8" s="71"/>
      <c r="C8" s="226"/>
      <c r="D8" s="71"/>
    </row>
    <row r="9" spans="1:6" x14ac:dyDescent="0.2">
      <c r="A9" s="345">
        <v>27790</v>
      </c>
      <c r="B9" s="71"/>
      <c r="C9" s="226"/>
      <c r="D9" s="71"/>
    </row>
    <row r="10" spans="1:6" x14ac:dyDescent="0.2">
      <c r="A10" s="345">
        <v>27819</v>
      </c>
      <c r="B10" s="71"/>
      <c r="C10" s="226"/>
      <c r="D10" s="71"/>
    </row>
    <row r="11" spans="1:6" x14ac:dyDescent="0.2">
      <c r="A11" s="345">
        <v>27850</v>
      </c>
      <c r="B11" s="71"/>
      <c r="C11" s="226"/>
      <c r="D11" s="71"/>
    </row>
    <row r="12" spans="1:6" x14ac:dyDescent="0.2">
      <c r="A12" s="345">
        <v>27880</v>
      </c>
      <c r="B12" s="71"/>
      <c r="C12" s="226"/>
      <c r="D12" s="71"/>
    </row>
    <row r="13" spans="1:6" x14ac:dyDescent="0.2">
      <c r="A13" s="345">
        <v>27911</v>
      </c>
      <c r="B13" s="71"/>
      <c r="C13" s="226"/>
      <c r="D13" s="71"/>
    </row>
    <row r="14" spans="1:6" x14ac:dyDescent="0.2">
      <c r="A14" s="345">
        <v>27941</v>
      </c>
      <c r="B14" s="71"/>
      <c r="C14" s="226"/>
      <c r="D14" s="71"/>
    </row>
    <row r="15" spans="1:6" x14ac:dyDescent="0.2">
      <c r="A15" s="345">
        <v>27972</v>
      </c>
      <c r="B15" s="71"/>
      <c r="C15" s="226"/>
      <c r="D15" s="71"/>
    </row>
    <row r="16" spans="1:6" x14ac:dyDescent="0.2">
      <c r="A16" s="345">
        <v>28003</v>
      </c>
      <c r="B16" s="71"/>
      <c r="C16" s="226"/>
      <c r="D16" s="71"/>
    </row>
    <row r="17" spans="1:4" x14ac:dyDescent="0.2">
      <c r="A17" s="345">
        <v>28033</v>
      </c>
      <c r="B17" s="71"/>
      <c r="C17" s="226"/>
      <c r="D17" s="71"/>
    </row>
    <row r="18" spans="1:4" x14ac:dyDescent="0.2">
      <c r="A18" s="345">
        <v>28064</v>
      </c>
      <c r="B18" s="71"/>
      <c r="C18" s="226"/>
      <c r="D18" s="71"/>
    </row>
    <row r="19" spans="1:4" x14ac:dyDescent="0.2">
      <c r="A19" s="345">
        <v>28094</v>
      </c>
      <c r="B19" s="71"/>
      <c r="C19" s="226"/>
      <c r="D19" s="71"/>
    </row>
    <row r="20" spans="1:4" x14ac:dyDescent="0.2">
      <c r="A20" s="345">
        <v>28125</v>
      </c>
      <c r="B20" s="71"/>
      <c r="C20" s="226"/>
      <c r="D20" s="71"/>
    </row>
    <row r="21" spans="1:4" x14ac:dyDescent="0.2">
      <c r="A21" s="345">
        <v>28156</v>
      </c>
      <c r="B21" s="71"/>
      <c r="C21" s="226"/>
      <c r="D21" s="71"/>
    </row>
    <row r="22" spans="1:4" x14ac:dyDescent="0.2">
      <c r="A22" s="345">
        <v>28184</v>
      </c>
      <c r="B22" s="71"/>
      <c r="C22" s="226"/>
      <c r="D22" s="71"/>
    </row>
    <row r="23" spans="1:4" x14ac:dyDescent="0.2">
      <c r="A23" s="345">
        <v>28215</v>
      </c>
      <c r="B23" s="71"/>
      <c r="C23" s="226"/>
      <c r="D23" s="71"/>
    </row>
    <row r="24" spans="1:4" x14ac:dyDescent="0.2">
      <c r="A24" s="345">
        <v>28245</v>
      </c>
      <c r="B24" s="71"/>
      <c r="C24" s="226"/>
      <c r="D24" s="71"/>
    </row>
    <row r="25" spans="1:4" x14ac:dyDescent="0.2">
      <c r="A25" s="345">
        <v>28276</v>
      </c>
      <c r="B25" s="71"/>
      <c r="C25" s="226"/>
      <c r="D25" s="71"/>
    </row>
    <row r="26" spans="1:4" x14ac:dyDescent="0.2">
      <c r="A26" s="345">
        <v>28306</v>
      </c>
      <c r="B26" s="71"/>
      <c r="C26" s="226"/>
      <c r="D26" s="71"/>
    </row>
    <row r="27" spans="1:4" x14ac:dyDescent="0.2">
      <c r="A27" s="345">
        <v>28337</v>
      </c>
      <c r="B27" s="71"/>
      <c r="C27" s="226"/>
      <c r="D27" s="71"/>
    </row>
    <row r="28" spans="1:4" x14ac:dyDescent="0.2">
      <c r="A28" s="345">
        <v>28368</v>
      </c>
      <c r="B28" s="71"/>
      <c r="C28" s="226"/>
      <c r="D28" s="71"/>
    </row>
    <row r="29" spans="1:4" x14ac:dyDescent="0.2">
      <c r="A29" s="345">
        <v>28398</v>
      </c>
      <c r="B29" s="71"/>
      <c r="C29" s="226"/>
      <c r="D29" s="71"/>
    </row>
    <row r="30" spans="1:4" x14ac:dyDescent="0.2">
      <c r="A30" s="345">
        <v>28429</v>
      </c>
      <c r="B30" s="71"/>
      <c r="C30" s="226"/>
      <c r="D30" s="71"/>
    </row>
    <row r="31" spans="1:4" x14ac:dyDescent="0.2">
      <c r="A31" s="345">
        <v>28459</v>
      </c>
      <c r="B31" s="71"/>
      <c r="C31" s="226"/>
      <c r="D31" s="71"/>
    </row>
    <row r="32" spans="1:4" x14ac:dyDescent="0.2">
      <c r="A32" s="345">
        <v>28490</v>
      </c>
      <c r="B32" s="71"/>
      <c r="C32" s="226"/>
      <c r="D32" s="71"/>
    </row>
    <row r="33" spans="1:4" x14ac:dyDescent="0.2">
      <c r="A33" s="345">
        <v>28521</v>
      </c>
      <c r="B33" s="71"/>
      <c r="C33" s="226"/>
      <c r="D33" s="71"/>
    </row>
    <row r="34" spans="1:4" x14ac:dyDescent="0.2">
      <c r="A34" s="345">
        <v>28549</v>
      </c>
      <c r="B34" s="71"/>
      <c r="C34" s="226"/>
      <c r="D34" s="71"/>
    </row>
    <row r="35" spans="1:4" x14ac:dyDescent="0.2">
      <c r="A35" s="345">
        <v>28580</v>
      </c>
      <c r="B35" s="71"/>
      <c r="C35" s="226"/>
      <c r="D35" s="71"/>
    </row>
    <row r="36" spans="1:4" x14ac:dyDescent="0.2">
      <c r="A36" s="345">
        <v>28610</v>
      </c>
      <c r="B36" s="71"/>
      <c r="C36" s="226"/>
      <c r="D36" s="71"/>
    </row>
    <row r="37" spans="1:4" x14ac:dyDescent="0.2">
      <c r="A37" s="345">
        <v>28641</v>
      </c>
      <c r="B37" s="71"/>
      <c r="C37" s="226"/>
      <c r="D37" s="71"/>
    </row>
    <row r="38" spans="1:4" x14ac:dyDescent="0.2">
      <c r="A38" s="345">
        <v>28671</v>
      </c>
      <c r="B38" s="71"/>
      <c r="C38" s="226"/>
      <c r="D38" s="71"/>
    </row>
    <row r="39" spans="1:4" x14ac:dyDescent="0.2">
      <c r="A39" s="345">
        <v>28702</v>
      </c>
      <c r="B39" s="71"/>
      <c r="C39" s="226"/>
      <c r="D39" s="71"/>
    </row>
    <row r="40" spans="1:4" x14ac:dyDescent="0.2">
      <c r="A40" s="345">
        <v>28733</v>
      </c>
      <c r="B40" s="71"/>
      <c r="C40" s="226"/>
      <c r="D40" s="71"/>
    </row>
    <row r="41" spans="1:4" x14ac:dyDescent="0.2">
      <c r="A41" s="345">
        <v>28763</v>
      </c>
      <c r="B41" s="71"/>
      <c r="C41" s="226"/>
      <c r="D41" s="71"/>
    </row>
    <row r="42" spans="1:4" x14ac:dyDescent="0.2">
      <c r="A42" s="345">
        <v>28794</v>
      </c>
      <c r="B42" s="71"/>
      <c r="C42" s="226"/>
      <c r="D42" s="71"/>
    </row>
    <row r="43" spans="1:4" x14ac:dyDescent="0.2">
      <c r="A43" s="345">
        <v>28824</v>
      </c>
      <c r="B43" s="71"/>
      <c r="C43" s="226"/>
      <c r="D43" s="71"/>
    </row>
    <row r="44" spans="1:4" x14ac:dyDescent="0.2">
      <c r="A44" s="345">
        <v>28855</v>
      </c>
      <c r="B44" s="71"/>
      <c r="C44" s="226"/>
      <c r="D44" s="71"/>
    </row>
    <row r="45" spans="1:4" x14ac:dyDescent="0.2">
      <c r="A45" s="345">
        <v>28886</v>
      </c>
      <c r="B45" s="71"/>
      <c r="C45" s="226"/>
      <c r="D45" s="71"/>
    </row>
    <row r="46" spans="1:4" x14ac:dyDescent="0.2">
      <c r="A46" s="345">
        <v>28914</v>
      </c>
      <c r="B46" s="71"/>
      <c r="C46" s="226"/>
      <c r="D46" s="71"/>
    </row>
    <row r="47" spans="1:4" x14ac:dyDescent="0.2">
      <c r="A47" s="345">
        <v>28945</v>
      </c>
      <c r="B47" s="71"/>
      <c r="C47" s="226"/>
      <c r="D47" s="71"/>
    </row>
    <row r="48" spans="1:4" x14ac:dyDescent="0.2">
      <c r="A48" s="345">
        <v>28975</v>
      </c>
      <c r="B48" s="71"/>
      <c r="C48" s="226"/>
      <c r="D48" s="71"/>
    </row>
    <row r="49" spans="1:4" x14ac:dyDescent="0.2">
      <c r="A49" s="345">
        <v>29006</v>
      </c>
      <c r="B49" s="71"/>
      <c r="C49" s="226"/>
      <c r="D49" s="71"/>
    </row>
    <row r="50" spans="1:4" x14ac:dyDescent="0.2">
      <c r="A50" s="345">
        <v>29036</v>
      </c>
      <c r="B50" s="71"/>
      <c r="C50" s="226"/>
      <c r="D50" s="71"/>
    </row>
    <row r="51" spans="1:4" x14ac:dyDescent="0.2">
      <c r="A51" s="345">
        <v>29067</v>
      </c>
      <c r="B51" s="71"/>
      <c r="C51" s="226"/>
      <c r="D51" s="71"/>
    </row>
    <row r="52" spans="1:4" x14ac:dyDescent="0.2">
      <c r="A52" s="345">
        <v>29098</v>
      </c>
      <c r="B52" s="71"/>
      <c r="C52" s="226"/>
      <c r="D52" s="71"/>
    </row>
    <row r="53" spans="1:4" x14ac:dyDescent="0.2">
      <c r="A53" s="345">
        <v>29128</v>
      </c>
      <c r="B53" s="71"/>
      <c r="C53" s="226"/>
      <c r="D53" s="71"/>
    </row>
    <row r="54" spans="1:4" x14ac:dyDescent="0.2">
      <c r="A54" s="345">
        <v>29159</v>
      </c>
      <c r="B54" s="71"/>
      <c r="C54" s="226"/>
      <c r="D54" s="71"/>
    </row>
    <row r="55" spans="1:4" x14ac:dyDescent="0.2">
      <c r="A55" s="345">
        <v>29189</v>
      </c>
      <c r="B55" s="71"/>
      <c r="C55" s="226"/>
      <c r="D55" s="71"/>
    </row>
    <row r="56" spans="1:4" x14ac:dyDescent="0.2">
      <c r="A56" s="345">
        <v>29220</v>
      </c>
      <c r="B56" s="71"/>
      <c r="C56" s="226"/>
      <c r="D56" s="71"/>
    </row>
    <row r="57" spans="1:4" x14ac:dyDescent="0.2">
      <c r="A57" s="345">
        <v>29251</v>
      </c>
      <c r="B57" s="71"/>
      <c r="C57" s="226"/>
      <c r="D57" s="71"/>
    </row>
    <row r="58" spans="1:4" x14ac:dyDescent="0.2">
      <c r="A58" s="345">
        <v>29280</v>
      </c>
      <c r="B58" s="71"/>
      <c r="C58" s="226"/>
      <c r="D58" s="71"/>
    </row>
    <row r="59" spans="1:4" x14ac:dyDescent="0.2">
      <c r="A59" s="345">
        <v>29311</v>
      </c>
      <c r="B59" s="71"/>
      <c r="C59" s="226"/>
      <c r="D59" s="71"/>
    </row>
    <row r="60" spans="1:4" x14ac:dyDescent="0.2">
      <c r="A60" s="345">
        <v>29341</v>
      </c>
      <c r="B60" s="71"/>
      <c r="C60" s="226"/>
      <c r="D60" s="71"/>
    </row>
    <row r="61" spans="1:4" x14ac:dyDescent="0.2">
      <c r="A61" s="345">
        <v>29372</v>
      </c>
      <c r="B61" s="71"/>
      <c r="C61" s="226"/>
      <c r="D61" s="71"/>
    </row>
    <row r="62" spans="1:4" x14ac:dyDescent="0.2">
      <c r="A62" s="345">
        <v>29402</v>
      </c>
      <c r="B62" s="71"/>
      <c r="C62" s="226"/>
      <c r="D62" s="71"/>
    </row>
    <row r="63" spans="1:4" x14ac:dyDescent="0.2">
      <c r="A63" s="345">
        <v>29433</v>
      </c>
      <c r="B63" s="71"/>
      <c r="C63" s="226"/>
      <c r="D63" s="71"/>
    </row>
    <row r="64" spans="1:4" x14ac:dyDescent="0.2">
      <c r="A64" s="345">
        <v>29464</v>
      </c>
      <c r="B64" s="71"/>
      <c r="C64" s="226"/>
      <c r="D64" s="71"/>
    </row>
    <row r="65" spans="1:4" x14ac:dyDescent="0.2">
      <c r="A65" s="345">
        <v>29494</v>
      </c>
      <c r="B65" s="71"/>
      <c r="C65" s="226"/>
      <c r="D65" s="71"/>
    </row>
    <row r="66" spans="1:4" x14ac:dyDescent="0.2">
      <c r="A66" s="345">
        <v>29525</v>
      </c>
      <c r="B66" s="71"/>
      <c r="C66" s="226"/>
      <c r="D66" s="71"/>
    </row>
    <row r="67" spans="1:4" x14ac:dyDescent="0.2">
      <c r="A67" s="345">
        <v>29555</v>
      </c>
      <c r="B67" s="71"/>
      <c r="C67" s="226"/>
      <c r="D67" s="71"/>
    </row>
    <row r="68" spans="1:4" x14ac:dyDescent="0.2">
      <c r="A68" s="345">
        <v>29586</v>
      </c>
      <c r="B68" s="71"/>
      <c r="C68" s="226"/>
      <c r="D68" s="71"/>
    </row>
    <row r="69" spans="1:4" x14ac:dyDescent="0.2">
      <c r="A69" s="345">
        <v>29617</v>
      </c>
      <c r="B69" s="71"/>
      <c r="C69" s="226"/>
      <c r="D69" s="71"/>
    </row>
    <row r="70" spans="1:4" x14ac:dyDescent="0.2">
      <c r="A70" s="345">
        <v>29645</v>
      </c>
      <c r="B70" s="71"/>
      <c r="C70" s="226"/>
      <c r="D70" s="71"/>
    </row>
    <row r="71" spans="1:4" x14ac:dyDescent="0.2">
      <c r="A71" s="345">
        <v>29676</v>
      </c>
      <c r="B71" s="71"/>
      <c r="C71" s="226"/>
      <c r="D71" s="71"/>
    </row>
    <row r="72" spans="1:4" x14ac:dyDescent="0.2">
      <c r="A72" s="345">
        <v>29706</v>
      </c>
      <c r="B72" s="71"/>
      <c r="C72" s="226"/>
      <c r="D72" s="71"/>
    </row>
    <row r="73" spans="1:4" x14ac:dyDescent="0.2">
      <c r="A73" s="345">
        <v>29737</v>
      </c>
      <c r="B73" s="71"/>
      <c r="C73" s="226"/>
      <c r="D73" s="71"/>
    </row>
    <row r="74" spans="1:4" x14ac:dyDescent="0.2">
      <c r="A74" s="345">
        <v>29767</v>
      </c>
      <c r="B74" s="71"/>
      <c r="C74" s="226"/>
      <c r="D74" s="71"/>
    </row>
    <row r="75" spans="1:4" x14ac:dyDescent="0.2">
      <c r="A75" s="345">
        <v>29798</v>
      </c>
      <c r="B75" s="71"/>
      <c r="C75" s="226"/>
      <c r="D75" s="71"/>
    </row>
    <row r="76" spans="1:4" x14ac:dyDescent="0.2">
      <c r="A76" s="345">
        <v>29829</v>
      </c>
      <c r="B76" s="71"/>
      <c r="C76" s="226"/>
      <c r="D76" s="71"/>
    </row>
    <row r="77" spans="1:4" x14ac:dyDescent="0.2">
      <c r="A77" s="345">
        <v>29859</v>
      </c>
      <c r="B77" s="71"/>
      <c r="C77" s="226"/>
      <c r="D77" s="71"/>
    </row>
    <row r="78" spans="1:4" x14ac:dyDescent="0.2">
      <c r="A78" s="345">
        <v>29890</v>
      </c>
      <c r="B78" s="71"/>
      <c r="C78" s="226"/>
      <c r="D78" s="71"/>
    </row>
    <row r="79" spans="1:4" x14ac:dyDescent="0.2">
      <c r="A79" s="345">
        <v>29920</v>
      </c>
      <c r="B79" s="71"/>
      <c r="C79" s="226"/>
      <c r="D79" s="71"/>
    </row>
    <row r="80" spans="1:4" x14ac:dyDescent="0.2">
      <c r="A80" s="345">
        <v>29951</v>
      </c>
      <c r="B80" s="71"/>
      <c r="C80" s="226"/>
      <c r="D80" s="71"/>
    </row>
    <row r="81" spans="1:4" x14ac:dyDescent="0.2">
      <c r="A81" s="345">
        <v>29982</v>
      </c>
      <c r="B81" s="71"/>
      <c r="C81" s="226"/>
      <c r="D81" s="71"/>
    </row>
    <row r="82" spans="1:4" x14ac:dyDescent="0.2">
      <c r="A82" s="345">
        <v>30010</v>
      </c>
      <c r="B82" s="71"/>
      <c r="C82" s="226"/>
      <c r="D82" s="71"/>
    </row>
    <row r="83" spans="1:4" x14ac:dyDescent="0.2">
      <c r="A83" s="345">
        <v>30041</v>
      </c>
      <c r="B83" s="71"/>
      <c r="C83" s="226"/>
      <c r="D83" s="71"/>
    </row>
    <row r="84" spans="1:4" x14ac:dyDescent="0.2">
      <c r="A84" s="345">
        <v>30071</v>
      </c>
      <c r="B84" s="71"/>
      <c r="C84" s="226"/>
      <c r="D84" s="71"/>
    </row>
    <row r="85" spans="1:4" x14ac:dyDescent="0.2">
      <c r="A85" s="345">
        <v>30102</v>
      </c>
      <c r="B85" s="71"/>
      <c r="C85" s="226"/>
      <c r="D85" s="71"/>
    </row>
    <row r="86" spans="1:4" x14ac:dyDescent="0.2">
      <c r="A86" s="345">
        <v>30132</v>
      </c>
      <c r="B86" s="71"/>
      <c r="C86" s="226"/>
      <c r="D86" s="71"/>
    </row>
    <row r="87" spans="1:4" x14ac:dyDescent="0.2">
      <c r="A87" s="345">
        <v>30163</v>
      </c>
      <c r="B87" s="71"/>
      <c r="C87" s="226"/>
      <c r="D87" s="71"/>
    </row>
    <row r="88" spans="1:4" x14ac:dyDescent="0.2">
      <c r="A88" s="345">
        <v>30194</v>
      </c>
      <c r="B88" s="71"/>
      <c r="C88" s="226"/>
      <c r="D88" s="71"/>
    </row>
    <row r="89" spans="1:4" x14ac:dyDescent="0.2">
      <c r="A89" s="345">
        <v>30224</v>
      </c>
      <c r="B89" s="71"/>
      <c r="C89" s="226"/>
      <c r="D89" s="71"/>
    </row>
    <row r="90" spans="1:4" x14ac:dyDescent="0.2">
      <c r="A90" s="345">
        <v>30255</v>
      </c>
      <c r="B90" s="71"/>
      <c r="C90" s="226"/>
      <c r="D90" s="71"/>
    </row>
    <row r="91" spans="1:4" x14ac:dyDescent="0.2">
      <c r="A91" s="345">
        <v>30285</v>
      </c>
      <c r="B91" s="71"/>
      <c r="C91" s="226"/>
      <c r="D91" s="71"/>
    </row>
    <row r="92" spans="1:4" x14ac:dyDescent="0.2">
      <c r="A92" s="345">
        <v>30316</v>
      </c>
      <c r="B92" s="71"/>
      <c r="C92" s="226"/>
      <c r="D92" s="71"/>
    </row>
    <row r="93" spans="1:4" x14ac:dyDescent="0.2">
      <c r="A93" s="345">
        <v>30347</v>
      </c>
      <c r="B93" s="71"/>
      <c r="C93" s="226"/>
      <c r="D93" s="71"/>
    </row>
    <row r="94" spans="1:4" x14ac:dyDescent="0.2">
      <c r="A94" s="345">
        <v>30375</v>
      </c>
      <c r="B94" s="71"/>
      <c r="C94" s="226"/>
      <c r="D94" s="71"/>
    </row>
    <row r="95" spans="1:4" x14ac:dyDescent="0.2">
      <c r="A95" s="345">
        <v>30406</v>
      </c>
      <c r="B95" s="71"/>
      <c r="C95" s="226"/>
      <c r="D95" s="71"/>
    </row>
    <row r="96" spans="1:4" x14ac:dyDescent="0.2">
      <c r="A96" s="345">
        <v>30436</v>
      </c>
      <c r="B96" s="71"/>
      <c r="C96" s="226"/>
      <c r="D96" s="71"/>
    </row>
    <row r="97" spans="1:4" x14ac:dyDescent="0.2">
      <c r="A97" s="345">
        <v>30467</v>
      </c>
      <c r="B97" s="71"/>
      <c r="C97" s="226"/>
      <c r="D97" s="71"/>
    </row>
    <row r="98" spans="1:4" x14ac:dyDescent="0.2">
      <c r="A98" s="345">
        <v>30497</v>
      </c>
      <c r="B98" s="71"/>
      <c r="C98" s="226"/>
      <c r="D98" s="71"/>
    </row>
    <row r="99" spans="1:4" x14ac:dyDescent="0.2">
      <c r="A99" s="345">
        <v>30528</v>
      </c>
      <c r="B99" s="71"/>
      <c r="C99" s="226"/>
      <c r="D99" s="71"/>
    </row>
    <row r="100" spans="1:4" x14ac:dyDescent="0.2">
      <c r="A100" s="345">
        <v>30559</v>
      </c>
      <c r="B100" s="71"/>
      <c r="C100" s="226"/>
      <c r="D100" s="71"/>
    </row>
    <row r="101" spans="1:4" x14ac:dyDescent="0.2">
      <c r="A101" s="345">
        <v>30589</v>
      </c>
      <c r="B101" s="71"/>
      <c r="C101" s="226"/>
      <c r="D101" s="71"/>
    </row>
    <row r="102" spans="1:4" x14ac:dyDescent="0.2">
      <c r="A102" s="345">
        <v>30620</v>
      </c>
      <c r="B102" s="71"/>
      <c r="C102" s="226"/>
      <c r="D102" s="71"/>
    </row>
    <row r="103" spans="1:4" x14ac:dyDescent="0.2">
      <c r="A103" s="345">
        <v>30650</v>
      </c>
      <c r="B103" s="71"/>
      <c r="C103" s="226"/>
      <c r="D103" s="71"/>
    </row>
    <row r="104" spans="1:4" x14ac:dyDescent="0.2">
      <c r="A104" s="345">
        <v>30681</v>
      </c>
      <c r="B104" s="71"/>
      <c r="C104" s="226"/>
      <c r="D104" s="71"/>
    </row>
    <row r="105" spans="1:4" x14ac:dyDescent="0.2">
      <c r="A105" s="345">
        <v>30712</v>
      </c>
      <c r="B105" s="71"/>
      <c r="C105" s="226"/>
      <c r="D105" s="71"/>
    </row>
    <row r="106" spans="1:4" x14ac:dyDescent="0.2">
      <c r="A106" s="345">
        <v>30741</v>
      </c>
      <c r="B106" s="71"/>
      <c r="C106" s="226"/>
      <c r="D106" s="71"/>
    </row>
    <row r="107" spans="1:4" x14ac:dyDescent="0.2">
      <c r="A107" s="345">
        <v>30772</v>
      </c>
      <c r="B107" s="71"/>
      <c r="C107" s="226"/>
      <c r="D107" s="71"/>
    </row>
    <row r="108" spans="1:4" x14ac:dyDescent="0.2">
      <c r="A108" s="345">
        <v>30802</v>
      </c>
      <c r="B108" s="71"/>
      <c r="C108" s="226"/>
      <c r="D108" s="71"/>
    </row>
    <row r="109" spans="1:4" x14ac:dyDescent="0.2">
      <c r="A109" s="345">
        <v>30833</v>
      </c>
      <c r="B109" s="71"/>
      <c r="C109" s="226"/>
      <c r="D109" s="71"/>
    </row>
    <row r="110" spans="1:4" x14ac:dyDescent="0.2">
      <c r="A110" s="345">
        <v>30863</v>
      </c>
      <c r="B110" s="71"/>
      <c r="C110" s="226"/>
      <c r="D110" s="71"/>
    </row>
    <row r="111" spans="1:4" x14ac:dyDescent="0.2">
      <c r="A111" s="345">
        <v>30894</v>
      </c>
      <c r="B111" s="71"/>
      <c r="C111" s="226"/>
      <c r="D111" s="71"/>
    </row>
    <row r="112" spans="1:4" x14ac:dyDescent="0.2">
      <c r="A112" s="345">
        <v>30925</v>
      </c>
      <c r="B112" s="71"/>
      <c r="C112" s="226"/>
      <c r="D112" s="71"/>
    </row>
    <row r="113" spans="1:4" x14ac:dyDescent="0.2">
      <c r="A113" s="345">
        <v>30955</v>
      </c>
      <c r="B113" s="71"/>
      <c r="C113" s="226"/>
      <c r="D113" s="71"/>
    </row>
    <row r="114" spans="1:4" x14ac:dyDescent="0.2">
      <c r="A114" s="345">
        <v>30986</v>
      </c>
      <c r="B114" s="71"/>
      <c r="C114" s="226"/>
      <c r="D114" s="71"/>
    </row>
    <row r="115" spans="1:4" x14ac:dyDescent="0.2">
      <c r="A115" s="345">
        <v>31016</v>
      </c>
      <c r="B115" s="71"/>
      <c r="C115" s="226"/>
      <c r="D115" s="71"/>
    </row>
    <row r="116" spans="1:4" x14ac:dyDescent="0.2">
      <c r="A116" s="345">
        <v>31047</v>
      </c>
      <c r="B116" s="71"/>
      <c r="C116" s="226"/>
      <c r="D116" s="71"/>
    </row>
    <row r="117" spans="1:4" x14ac:dyDescent="0.2">
      <c r="A117" s="345">
        <v>31078</v>
      </c>
      <c r="B117" s="71"/>
      <c r="C117" s="226"/>
      <c r="D117" s="71"/>
    </row>
    <row r="118" spans="1:4" x14ac:dyDescent="0.2">
      <c r="A118" s="345">
        <v>31106</v>
      </c>
      <c r="B118" s="71"/>
      <c r="C118" s="226"/>
      <c r="D118" s="71"/>
    </row>
    <row r="119" spans="1:4" x14ac:dyDescent="0.2">
      <c r="A119" s="345">
        <v>31137</v>
      </c>
      <c r="B119" s="71"/>
      <c r="C119" s="226"/>
      <c r="D119" s="71"/>
    </row>
    <row r="120" spans="1:4" x14ac:dyDescent="0.2">
      <c r="A120" s="345">
        <v>31167</v>
      </c>
      <c r="B120" s="71"/>
      <c r="C120" s="226"/>
      <c r="D120" s="71"/>
    </row>
    <row r="121" spans="1:4" x14ac:dyDescent="0.2">
      <c r="A121" s="345">
        <v>31198</v>
      </c>
      <c r="B121" s="71"/>
      <c r="C121" s="226"/>
      <c r="D121" s="71"/>
    </row>
    <row r="122" spans="1:4" x14ac:dyDescent="0.2">
      <c r="A122" s="345">
        <v>31228</v>
      </c>
      <c r="B122" s="71"/>
      <c r="C122" s="226"/>
      <c r="D122" s="71"/>
    </row>
    <row r="123" spans="1:4" x14ac:dyDescent="0.2">
      <c r="A123" s="345">
        <v>31259</v>
      </c>
      <c r="B123" s="71"/>
      <c r="C123" s="226"/>
      <c r="D123" s="71"/>
    </row>
    <row r="124" spans="1:4" x14ac:dyDescent="0.2">
      <c r="A124" s="345">
        <v>31290</v>
      </c>
      <c r="B124" s="71"/>
      <c r="C124" s="226"/>
      <c r="D124" s="71"/>
    </row>
    <row r="125" spans="1:4" x14ac:dyDescent="0.2">
      <c r="A125" s="345">
        <v>31320</v>
      </c>
      <c r="B125" s="71"/>
      <c r="C125" s="226"/>
      <c r="D125" s="71"/>
    </row>
    <row r="126" spans="1:4" x14ac:dyDescent="0.2">
      <c r="A126" s="345">
        <v>31351</v>
      </c>
      <c r="B126" s="71"/>
      <c r="C126" s="226"/>
      <c r="D126" s="71"/>
    </row>
    <row r="127" spans="1:4" x14ac:dyDescent="0.2">
      <c r="A127" s="345">
        <v>31381</v>
      </c>
      <c r="B127" s="71"/>
      <c r="C127" s="226"/>
      <c r="D127" s="71"/>
    </row>
    <row r="128" spans="1:4" x14ac:dyDescent="0.2">
      <c r="A128" s="345">
        <v>31412</v>
      </c>
      <c r="B128" s="71"/>
      <c r="C128" s="226"/>
      <c r="D128" s="71"/>
    </row>
    <row r="129" spans="1:4" x14ac:dyDescent="0.2">
      <c r="A129" s="345">
        <v>31443</v>
      </c>
      <c r="B129" s="71"/>
      <c r="C129" s="226"/>
      <c r="D129" s="71"/>
    </row>
    <row r="130" spans="1:4" x14ac:dyDescent="0.2">
      <c r="A130" s="345">
        <v>31471</v>
      </c>
      <c r="B130" s="71"/>
      <c r="C130" s="226"/>
      <c r="D130" s="71"/>
    </row>
    <row r="131" spans="1:4" x14ac:dyDescent="0.2">
      <c r="A131" s="345">
        <v>31502</v>
      </c>
      <c r="B131" s="71"/>
      <c r="C131" s="226"/>
      <c r="D131" s="71"/>
    </row>
    <row r="132" spans="1:4" x14ac:dyDescent="0.2">
      <c r="A132" s="345">
        <v>31532</v>
      </c>
      <c r="B132" s="71"/>
      <c r="C132" s="226"/>
      <c r="D132" s="71"/>
    </row>
    <row r="133" spans="1:4" x14ac:dyDescent="0.2">
      <c r="A133" s="345">
        <v>31563</v>
      </c>
      <c r="B133" s="71"/>
      <c r="C133" s="226"/>
      <c r="D133" s="71"/>
    </row>
    <row r="134" spans="1:4" x14ac:dyDescent="0.2">
      <c r="A134" s="345">
        <v>31593</v>
      </c>
      <c r="B134" s="71"/>
      <c r="C134" s="226"/>
      <c r="D134" s="71"/>
    </row>
    <row r="135" spans="1:4" x14ac:dyDescent="0.2">
      <c r="A135" s="345">
        <v>31624</v>
      </c>
      <c r="B135" s="71"/>
      <c r="C135" s="226"/>
      <c r="D135" s="71"/>
    </row>
    <row r="136" spans="1:4" x14ac:dyDescent="0.2">
      <c r="A136" s="345">
        <v>31655</v>
      </c>
      <c r="B136" s="71"/>
      <c r="C136" s="226"/>
      <c r="D136" s="71"/>
    </row>
    <row r="137" spans="1:4" x14ac:dyDescent="0.2">
      <c r="A137" s="345">
        <v>31685</v>
      </c>
      <c r="B137" s="71"/>
      <c r="C137" s="226"/>
      <c r="D137" s="71"/>
    </row>
    <row r="138" spans="1:4" x14ac:dyDescent="0.2">
      <c r="A138" s="345">
        <v>31716</v>
      </c>
      <c r="B138" s="71"/>
      <c r="C138" s="226"/>
      <c r="D138" s="71"/>
    </row>
    <row r="139" spans="1:4" x14ac:dyDescent="0.2">
      <c r="A139" s="345">
        <v>31746</v>
      </c>
      <c r="B139" s="71"/>
      <c r="C139" s="226"/>
      <c r="D139" s="71"/>
    </row>
    <row r="140" spans="1:4" x14ac:dyDescent="0.2">
      <c r="A140" s="345">
        <v>31777</v>
      </c>
      <c r="B140" s="71"/>
      <c r="C140" s="226"/>
      <c r="D140" s="71"/>
    </row>
    <row r="141" spans="1:4" x14ac:dyDescent="0.2">
      <c r="A141" s="345">
        <v>31808</v>
      </c>
      <c r="B141" s="73"/>
      <c r="C141" s="25"/>
      <c r="D141" s="73"/>
    </row>
    <row r="142" spans="1:4" x14ac:dyDescent="0.2">
      <c r="A142" s="345">
        <v>31836</v>
      </c>
      <c r="B142" s="73"/>
      <c r="C142" s="25"/>
      <c r="D142" s="73"/>
    </row>
    <row r="143" spans="1:4" x14ac:dyDescent="0.2">
      <c r="A143" s="345">
        <v>31867</v>
      </c>
      <c r="B143" s="73"/>
      <c r="C143" s="25"/>
      <c r="D143" s="73"/>
    </row>
    <row r="144" spans="1:4" x14ac:dyDescent="0.2">
      <c r="A144" s="345">
        <v>31897</v>
      </c>
      <c r="B144" s="73"/>
      <c r="C144" s="25"/>
      <c r="D144" s="73"/>
    </row>
    <row r="145" spans="1:4" x14ac:dyDescent="0.2">
      <c r="A145" s="345">
        <v>31928</v>
      </c>
      <c r="B145" s="73"/>
      <c r="C145" s="25"/>
      <c r="D145" s="73"/>
    </row>
    <row r="146" spans="1:4" x14ac:dyDescent="0.2">
      <c r="A146" s="345">
        <v>31958</v>
      </c>
      <c r="B146" s="73"/>
      <c r="C146" s="25"/>
      <c r="D146" s="73"/>
    </row>
    <row r="147" spans="1:4" x14ac:dyDescent="0.2">
      <c r="A147" s="345">
        <v>31989</v>
      </c>
      <c r="B147" s="73"/>
      <c r="C147" s="25"/>
      <c r="D147" s="73"/>
    </row>
    <row r="148" spans="1:4" x14ac:dyDescent="0.2">
      <c r="A148" s="345">
        <v>32020</v>
      </c>
      <c r="B148" s="73"/>
      <c r="C148" s="25"/>
      <c r="D148" s="73"/>
    </row>
    <row r="149" spans="1:4" x14ac:dyDescent="0.2">
      <c r="A149" s="345">
        <v>32050</v>
      </c>
      <c r="B149" s="73"/>
      <c r="C149" s="25"/>
      <c r="D149" s="73"/>
    </row>
    <row r="150" spans="1:4" x14ac:dyDescent="0.2">
      <c r="A150" s="345">
        <v>32081</v>
      </c>
      <c r="B150" s="73"/>
      <c r="C150" s="25"/>
      <c r="D150" s="73"/>
    </row>
    <row r="151" spans="1:4" x14ac:dyDescent="0.2">
      <c r="A151" s="345">
        <v>32111</v>
      </c>
      <c r="B151" s="73"/>
      <c r="C151" s="25"/>
      <c r="D151" s="73"/>
    </row>
    <row r="152" spans="1:4" x14ac:dyDescent="0.2">
      <c r="A152" s="345">
        <v>32142</v>
      </c>
      <c r="B152" s="73"/>
      <c r="C152" s="25"/>
      <c r="D152" s="73"/>
    </row>
    <row r="153" spans="1:4" x14ac:dyDescent="0.2">
      <c r="A153" s="345">
        <v>32173</v>
      </c>
      <c r="B153" s="73"/>
      <c r="C153" s="25"/>
      <c r="D153" s="73"/>
    </row>
    <row r="154" spans="1:4" x14ac:dyDescent="0.2">
      <c r="A154" s="345">
        <v>32202</v>
      </c>
      <c r="B154" s="73"/>
      <c r="C154" s="25"/>
      <c r="D154" s="73"/>
    </row>
    <row r="155" spans="1:4" x14ac:dyDescent="0.2">
      <c r="A155" s="345">
        <v>32233</v>
      </c>
      <c r="B155" s="73"/>
      <c r="C155" s="25"/>
      <c r="D155" s="73"/>
    </row>
    <row r="156" spans="1:4" x14ac:dyDescent="0.2">
      <c r="A156" s="345">
        <v>32263</v>
      </c>
      <c r="B156" s="73"/>
      <c r="C156" s="25"/>
      <c r="D156" s="73"/>
    </row>
    <row r="157" spans="1:4" x14ac:dyDescent="0.2">
      <c r="A157" s="345">
        <v>32294</v>
      </c>
      <c r="B157" s="73"/>
      <c r="C157" s="25"/>
      <c r="D157" s="73"/>
    </row>
    <row r="158" spans="1:4" x14ac:dyDescent="0.2">
      <c r="A158" s="345">
        <v>32324</v>
      </c>
      <c r="B158" s="73"/>
      <c r="C158" s="25"/>
      <c r="D158" s="73"/>
    </row>
    <row r="159" spans="1:4" x14ac:dyDescent="0.2">
      <c r="A159" s="345">
        <v>32355</v>
      </c>
      <c r="B159" s="73"/>
      <c r="C159" s="25"/>
      <c r="D159" s="73"/>
    </row>
    <row r="160" spans="1:4" x14ac:dyDescent="0.2">
      <c r="A160" s="345">
        <v>32386</v>
      </c>
      <c r="B160" s="73"/>
      <c r="C160" s="25"/>
      <c r="D160" s="73"/>
    </row>
    <row r="161" spans="1:4" x14ac:dyDescent="0.2">
      <c r="A161" s="345">
        <v>32416</v>
      </c>
      <c r="B161" s="73"/>
      <c r="C161" s="25"/>
      <c r="D161" s="73"/>
    </row>
    <row r="162" spans="1:4" x14ac:dyDescent="0.2">
      <c r="A162" s="345">
        <v>32447</v>
      </c>
      <c r="B162" s="73"/>
      <c r="C162" s="25"/>
      <c r="D162" s="73"/>
    </row>
    <row r="163" spans="1:4" x14ac:dyDescent="0.2">
      <c r="A163" s="345">
        <v>32477</v>
      </c>
      <c r="B163" s="73"/>
      <c r="C163" s="25"/>
      <c r="D163" s="73"/>
    </row>
    <row r="164" spans="1:4" x14ac:dyDescent="0.2">
      <c r="A164" s="345">
        <v>32508</v>
      </c>
      <c r="B164" s="73"/>
      <c r="C164" s="25"/>
      <c r="D164" s="73"/>
    </row>
    <row r="165" spans="1:4" x14ac:dyDescent="0.2">
      <c r="A165" s="345">
        <v>32539</v>
      </c>
      <c r="B165" s="73"/>
      <c r="C165" s="25"/>
      <c r="D165" s="73"/>
    </row>
    <row r="166" spans="1:4" x14ac:dyDescent="0.2">
      <c r="A166" s="345">
        <v>32567</v>
      </c>
      <c r="B166" s="73"/>
      <c r="C166" s="25"/>
      <c r="D166" s="73"/>
    </row>
    <row r="167" spans="1:4" x14ac:dyDescent="0.2">
      <c r="A167" s="345">
        <v>32598</v>
      </c>
      <c r="B167" s="73"/>
      <c r="C167" s="25"/>
      <c r="D167" s="73"/>
    </row>
    <row r="168" spans="1:4" x14ac:dyDescent="0.2">
      <c r="A168" s="345">
        <v>32628</v>
      </c>
      <c r="B168" s="73"/>
      <c r="C168" s="25"/>
      <c r="D168" s="73"/>
    </row>
    <row r="169" spans="1:4" x14ac:dyDescent="0.2">
      <c r="A169" s="345">
        <v>32659</v>
      </c>
      <c r="B169" s="73"/>
      <c r="C169" s="25"/>
      <c r="D169" s="73"/>
    </row>
    <row r="170" spans="1:4" x14ac:dyDescent="0.2">
      <c r="A170" s="345">
        <v>32689</v>
      </c>
      <c r="B170" s="73"/>
      <c r="C170" s="25"/>
      <c r="D170" s="73"/>
    </row>
    <row r="171" spans="1:4" x14ac:dyDescent="0.2">
      <c r="A171" s="345">
        <v>32720</v>
      </c>
      <c r="B171" s="73"/>
      <c r="C171" s="25"/>
      <c r="D171" s="73"/>
    </row>
    <row r="172" spans="1:4" x14ac:dyDescent="0.2">
      <c r="A172" s="345">
        <v>32751</v>
      </c>
      <c r="B172" s="73"/>
      <c r="C172" s="25"/>
      <c r="D172" s="73"/>
    </row>
    <row r="173" spans="1:4" x14ac:dyDescent="0.2">
      <c r="A173" s="345">
        <v>32781</v>
      </c>
      <c r="B173" s="73"/>
      <c r="C173" s="25"/>
      <c r="D173" s="73"/>
    </row>
    <row r="174" spans="1:4" x14ac:dyDescent="0.2">
      <c r="A174" s="345">
        <v>32812</v>
      </c>
      <c r="B174" s="73"/>
      <c r="C174" s="25"/>
      <c r="D174" s="73"/>
    </row>
    <row r="175" spans="1:4" x14ac:dyDescent="0.2">
      <c r="A175" s="345">
        <v>32842</v>
      </c>
      <c r="B175" s="73"/>
      <c r="C175" s="25"/>
      <c r="D175" s="73"/>
    </row>
    <row r="176" spans="1:4" x14ac:dyDescent="0.2">
      <c r="A176" s="345">
        <v>32873</v>
      </c>
      <c r="B176" s="73"/>
      <c r="C176" s="25"/>
      <c r="D176" s="73"/>
    </row>
    <row r="177" spans="1:4" x14ac:dyDescent="0.2">
      <c r="A177" s="345">
        <v>32904</v>
      </c>
      <c r="B177" s="73"/>
      <c r="C177" s="25"/>
      <c r="D177" s="73"/>
    </row>
    <row r="178" spans="1:4" x14ac:dyDescent="0.2">
      <c r="A178" s="345">
        <v>32932</v>
      </c>
      <c r="B178" s="73"/>
      <c r="C178" s="25"/>
      <c r="D178" s="73"/>
    </row>
    <row r="179" spans="1:4" x14ac:dyDescent="0.2">
      <c r="A179" s="345">
        <v>32963</v>
      </c>
      <c r="B179" s="73"/>
      <c r="C179" s="25"/>
      <c r="D179" s="73"/>
    </row>
    <row r="180" spans="1:4" x14ac:dyDescent="0.2">
      <c r="A180" s="345">
        <v>32993</v>
      </c>
      <c r="B180" s="73"/>
      <c r="C180" s="25"/>
      <c r="D180" s="73"/>
    </row>
    <row r="181" spans="1:4" x14ac:dyDescent="0.2">
      <c r="A181" s="345">
        <v>33024</v>
      </c>
      <c r="B181" s="73"/>
      <c r="C181" s="25"/>
      <c r="D181" s="73"/>
    </row>
    <row r="182" spans="1:4" x14ac:dyDescent="0.2">
      <c r="A182" s="345">
        <v>33054</v>
      </c>
      <c r="B182" s="73"/>
      <c r="C182" s="25"/>
      <c r="D182" s="73"/>
    </row>
    <row r="183" spans="1:4" x14ac:dyDescent="0.2">
      <c r="A183" s="345">
        <v>33085</v>
      </c>
      <c r="B183" s="73"/>
      <c r="C183" s="25"/>
      <c r="D183" s="73"/>
    </row>
    <row r="184" spans="1:4" x14ac:dyDescent="0.2">
      <c r="A184" s="345">
        <v>33116</v>
      </c>
      <c r="B184" s="73"/>
      <c r="C184" s="25"/>
      <c r="D184" s="73"/>
    </row>
    <row r="185" spans="1:4" x14ac:dyDescent="0.2">
      <c r="A185" s="345">
        <v>33146</v>
      </c>
      <c r="B185" s="73"/>
      <c r="C185" s="25"/>
      <c r="D185" s="73"/>
    </row>
    <row r="186" spans="1:4" x14ac:dyDescent="0.2">
      <c r="A186" s="345">
        <v>33177</v>
      </c>
      <c r="B186" s="73"/>
      <c r="C186" s="25"/>
      <c r="D186" s="73"/>
    </row>
    <row r="187" spans="1:4" x14ac:dyDescent="0.2">
      <c r="A187" s="345">
        <v>33207</v>
      </c>
      <c r="B187" s="73"/>
      <c r="C187" s="25"/>
      <c r="D187" s="73"/>
    </row>
    <row r="188" spans="1:4" x14ac:dyDescent="0.2">
      <c r="A188" s="345">
        <v>33238</v>
      </c>
      <c r="B188" s="73"/>
      <c r="C188" s="25"/>
      <c r="D188" s="73"/>
    </row>
    <row r="189" spans="1:4" x14ac:dyDescent="0.2">
      <c r="A189" s="345">
        <v>33269</v>
      </c>
      <c r="B189" s="73"/>
      <c r="C189" s="25"/>
      <c r="D189" s="73"/>
    </row>
    <row r="190" spans="1:4" x14ac:dyDescent="0.2">
      <c r="A190" s="345">
        <v>33297</v>
      </c>
      <c r="B190" s="73"/>
      <c r="C190" s="25"/>
      <c r="D190" s="73"/>
    </row>
    <row r="191" spans="1:4" x14ac:dyDescent="0.2">
      <c r="A191" s="345">
        <v>33328</v>
      </c>
      <c r="B191" s="73"/>
      <c r="C191" s="25"/>
      <c r="D191" s="73"/>
    </row>
    <row r="192" spans="1:4" x14ac:dyDescent="0.2">
      <c r="A192" s="345">
        <v>33358</v>
      </c>
      <c r="B192" s="73"/>
      <c r="C192" s="25"/>
      <c r="D192" s="73"/>
    </row>
    <row r="193" spans="1:4" x14ac:dyDescent="0.2">
      <c r="A193" s="345">
        <v>33389</v>
      </c>
      <c r="B193" s="73"/>
      <c r="C193" s="25"/>
      <c r="D193" s="73"/>
    </row>
    <row r="194" spans="1:4" x14ac:dyDescent="0.2">
      <c r="A194" s="345">
        <v>33419</v>
      </c>
      <c r="B194" s="73"/>
      <c r="C194" s="25"/>
      <c r="D194" s="73"/>
    </row>
    <row r="195" spans="1:4" x14ac:dyDescent="0.2">
      <c r="A195" s="345">
        <v>33450</v>
      </c>
      <c r="B195" s="73"/>
      <c r="C195" s="25"/>
      <c r="D195" s="73"/>
    </row>
    <row r="196" spans="1:4" x14ac:dyDescent="0.2">
      <c r="A196" s="345">
        <v>33481</v>
      </c>
      <c r="B196" s="73"/>
      <c r="C196" s="25"/>
      <c r="D196" s="73"/>
    </row>
    <row r="197" spans="1:4" x14ac:dyDescent="0.2">
      <c r="A197" s="345">
        <v>33511</v>
      </c>
      <c r="B197" s="73"/>
      <c r="C197" s="25"/>
      <c r="D197" s="73"/>
    </row>
    <row r="198" spans="1:4" x14ac:dyDescent="0.2">
      <c r="A198" s="345">
        <v>33542</v>
      </c>
      <c r="B198" s="73"/>
      <c r="C198" s="25"/>
      <c r="D198" s="73"/>
    </row>
    <row r="199" spans="1:4" x14ac:dyDescent="0.2">
      <c r="A199" s="345">
        <v>33572</v>
      </c>
      <c r="B199" s="73"/>
      <c r="C199" s="25"/>
      <c r="D199" s="73"/>
    </row>
    <row r="200" spans="1:4" x14ac:dyDescent="0.2">
      <c r="A200" s="345">
        <v>33603</v>
      </c>
      <c r="B200" s="73"/>
      <c r="C200" s="25"/>
      <c r="D200" s="73"/>
    </row>
    <row r="201" spans="1:4" x14ac:dyDescent="0.2">
      <c r="A201" s="345">
        <v>33634</v>
      </c>
      <c r="B201" s="73"/>
      <c r="C201" s="25"/>
      <c r="D201" s="73"/>
    </row>
    <row r="202" spans="1:4" x14ac:dyDescent="0.2">
      <c r="A202" s="345">
        <v>33663</v>
      </c>
      <c r="B202" s="73"/>
      <c r="C202" s="25"/>
      <c r="D202" s="73"/>
    </row>
    <row r="203" spans="1:4" x14ac:dyDescent="0.2">
      <c r="A203" s="345">
        <v>33694</v>
      </c>
      <c r="B203" s="73"/>
      <c r="C203" s="25"/>
      <c r="D203" s="73"/>
    </row>
    <row r="204" spans="1:4" x14ac:dyDescent="0.2">
      <c r="A204" s="345">
        <v>33724</v>
      </c>
      <c r="B204" s="73"/>
      <c r="C204" s="25"/>
      <c r="D204" s="73"/>
    </row>
    <row r="205" spans="1:4" x14ac:dyDescent="0.2">
      <c r="A205" s="345">
        <v>33755</v>
      </c>
      <c r="B205" s="73"/>
      <c r="C205" s="25"/>
      <c r="D205" s="73"/>
    </row>
    <row r="206" spans="1:4" x14ac:dyDescent="0.2">
      <c r="A206" s="345">
        <v>33785</v>
      </c>
      <c r="B206" s="73"/>
      <c r="C206" s="25"/>
      <c r="D206" s="73"/>
    </row>
    <row r="207" spans="1:4" x14ac:dyDescent="0.2">
      <c r="A207" s="345">
        <v>33816</v>
      </c>
      <c r="B207" s="73"/>
      <c r="C207" s="25"/>
      <c r="D207" s="73"/>
    </row>
    <row r="208" spans="1:4" x14ac:dyDescent="0.2">
      <c r="A208" s="345">
        <v>33847</v>
      </c>
      <c r="B208" s="73"/>
      <c r="C208" s="25"/>
      <c r="D208" s="73"/>
    </row>
    <row r="209" spans="1:4" x14ac:dyDescent="0.2">
      <c r="A209" s="345">
        <v>33877</v>
      </c>
      <c r="B209" s="73"/>
      <c r="C209" s="25"/>
      <c r="D209" s="73"/>
    </row>
    <row r="210" spans="1:4" x14ac:dyDescent="0.2">
      <c r="A210" s="345">
        <v>33908</v>
      </c>
      <c r="B210" s="73"/>
      <c r="C210" s="25"/>
      <c r="D210" s="73"/>
    </row>
    <row r="211" spans="1:4" x14ac:dyDescent="0.2">
      <c r="A211" s="345">
        <v>33938</v>
      </c>
      <c r="B211" s="73"/>
      <c r="C211" s="25"/>
      <c r="D211" s="73"/>
    </row>
    <row r="212" spans="1:4" x14ac:dyDescent="0.2">
      <c r="A212" s="345">
        <v>33969</v>
      </c>
      <c r="B212" s="73"/>
      <c r="C212" s="25"/>
      <c r="D212" s="73"/>
    </row>
    <row r="213" spans="1:4" x14ac:dyDescent="0.2">
      <c r="A213" s="345">
        <v>34000</v>
      </c>
      <c r="B213" s="73"/>
      <c r="C213" s="25"/>
      <c r="D213" s="73"/>
    </row>
    <row r="214" spans="1:4" x14ac:dyDescent="0.2">
      <c r="A214" s="345">
        <v>34028</v>
      </c>
      <c r="B214" s="73"/>
      <c r="C214" s="25"/>
      <c r="D214" s="73"/>
    </row>
    <row r="215" spans="1:4" x14ac:dyDescent="0.2">
      <c r="A215" s="345">
        <v>34059</v>
      </c>
      <c r="B215" s="73"/>
      <c r="C215" s="25"/>
      <c r="D215" s="73"/>
    </row>
    <row r="216" spans="1:4" x14ac:dyDescent="0.2">
      <c r="A216" s="345">
        <v>34089</v>
      </c>
      <c r="B216" s="73"/>
      <c r="C216" s="25"/>
      <c r="D216" s="73"/>
    </row>
    <row r="217" spans="1:4" x14ac:dyDescent="0.2">
      <c r="A217" s="345">
        <v>34120</v>
      </c>
      <c r="B217" s="73"/>
      <c r="C217" s="25"/>
      <c r="D217" s="73"/>
    </row>
    <row r="218" spans="1:4" x14ac:dyDescent="0.2">
      <c r="A218" s="345">
        <v>34150</v>
      </c>
      <c r="B218" s="73"/>
      <c r="C218" s="25"/>
      <c r="D218" s="73"/>
    </row>
    <row r="219" spans="1:4" x14ac:dyDescent="0.2">
      <c r="A219" s="345">
        <v>34181</v>
      </c>
      <c r="B219" s="73"/>
      <c r="C219" s="25"/>
      <c r="D219" s="73"/>
    </row>
    <row r="220" spans="1:4" x14ac:dyDescent="0.2">
      <c r="A220" s="345">
        <v>34212</v>
      </c>
      <c r="B220" s="73"/>
      <c r="C220" s="25"/>
      <c r="D220" s="73"/>
    </row>
    <row r="221" spans="1:4" x14ac:dyDescent="0.2">
      <c r="A221" s="345">
        <v>34242</v>
      </c>
      <c r="B221" s="73"/>
      <c r="C221" s="25"/>
      <c r="D221" s="73"/>
    </row>
    <row r="222" spans="1:4" x14ac:dyDescent="0.2">
      <c r="A222" s="345">
        <v>34273</v>
      </c>
      <c r="B222" s="73"/>
      <c r="C222" s="25"/>
      <c r="D222" s="73"/>
    </row>
    <row r="223" spans="1:4" x14ac:dyDescent="0.2">
      <c r="A223" s="345">
        <v>34303</v>
      </c>
      <c r="B223" s="73"/>
      <c r="C223" s="25"/>
      <c r="D223" s="73"/>
    </row>
    <row r="224" spans="1:4" x14ac:dyDescent="0.2">
      <c r="A224" s="345">
        <v>34334</v>
      </c>
      <c r="B224" s="73"/>
      <c r="C224" s="25"/>
      <c r="D224" s="73"/>
    </row>
    <row r="225" spans="1:4" x14ac:dyDescent="0.2">
      <c r="A225" s="345">
        <v>34365</v>
      </c>
      <c r="B225" s="73"/>
      <c r="C225" s="25"/>
      <c r="D225" s="73"/>
    </row>
    <row r="226" spans="1:4" x14ac:dyDescent="0.2">
      <c r="A226" s="345">
        <v>34393</v>
      </c>
      <c r="B226" s="73"/>
      <c r="C226" s="25"/>
      <c r="D226" s="73"/>
    </row>
    <row r="227" spans="1:4" x14ac:dyDescent="0.2">
      <c r="A227" s="345">
        <v>34424</v>
      </c>
      <c r="B227" s="73"/>
      <c r="C227" s="25"/>
      <c r="D227" s="73"/>
    </row>
    <row r="228" spans="1:4" x14ac:dyDescent="0.2">
      <c r="A228" s="345">
        <v>34454</v>
      </c>
      <c r="B228" s="73"/>
      <c r="C228" s="25"/>
      <c r="D228" s="73"/>
    </row>
    <row r="229" spans="1:4" x14ac:dyDescent="0.2">
      <c r="A229" s="345">
        <v>34485</v>
      </c>
      <c r="B229" s="73"/>
      <c r="C229" s="25"/>
      <c r="D229" s="73"/>
    </row>
    <row r="230" spans="1:4" x14ac:dyDescent="0.2">
      <c r="A230" s="345">
        <v>34515</v>
      </c>
      <c r="B230" s="73"/>
      <c r="C230" s="25"/>
      <c r="D230" s="73"/>
    </row>
    <row r="231" spans="1:4" x14ac:dyDescent="0.2">
      <c r="A231" s="345">
        <v>34546</v>
      </c>
      <c r="B231" s="73"/>
      <c r="C231" s="25"/>
      <c r="D231" s="73"/>
    </row>
    <row r="232" spans="1:4" x14ac:dyDescent="0.2">
      <c r="A232" s="345">
        <v>34577</v>
      </c>
      <c r="B232" s="73"/>
      <c r="C232" s="25"/>
      <c r="D232" s="73"/>
    </row>
    <row r="233" spans="1:4" x14ac:dyDescent="0.2">
      <c r="A233" s="345">
        <v>34607</v>
      </c>
      <c r="B233" s="73"/>
      <c r="C233" s="25"/>
      <c r="D233" s="73"/>
    </row>
    <row r="234" spans="1:4" x14ac:dyDescent="0.2">
      <c r="A234" s="345">
        <v>34638</v>
      </c>
      <c r="B234" s="73"/>
      <c r="C234" s="25"/>
      <c r="D234" s="73"/>
    </row>
    <row r="235" spans="1:4" x14ac:dyDescent="0.2">
      <c r="A235" s="345">
        <v>34668</v>
      </c>
      <c r="B235" s="73"/>
      <c r="C235" s="25"/>
      <c r="D235" s="73"/>
    </row>
    <row r="236" spans="1:4" x14ac:dyDescent="0.2">
      <c r="A236" s="345">
        <v>34699</v>
      </c>
      <c r="B236" s="73"/>
      <c r="C236" s="25"/>
      <c r="D236" s="73"/>
    </row>
    <row r="237" spans="1:4" x14ac:dyDescent="0.2">
      <c r="A237" s="345">
        <v>34730</v>
      </c>
      <c r="B237" s="73"/>
      <c r="C237" s="25"/>
      <c r="D237" s="73"/>
    </row>
    <row r="238" spans="1:4" x14ac:dyDescent="0.2">
      <c r="A238" s="345">
        <v>34758</v>
      </c>
      <c r="B238" s="73"/>
      <c r="C238" s="25"/>
      <c r="D238" s="73"/>
    </row>
    <row r="239" spans="1:4" x14ac:dyDescent="0.2">
      <c r="A239" s="345">
        <v>34789</v>
      </c>
      <c r="B239" s="73"/>
      <c r="C239" s="25"/>
      <c r="D239" s="73"/>
    </row>
    <row r="240" spans="1:4" x14ac:dyDescent="0.2">
      <c r="A240" s="345">
        <v>34819</v>
      </c>
      <c r="B240" s="73"/>
      <c r="C240" s="25"/>
      <c r="D240" s="73"/>
    </row>
    <row r="241" spans="1:4" x14ac:dyDescent="0.2">
      <c r="A241" s="345">
        <v>34850</v>
      </c>
      <c r="B241" s="73"/>
      <c r="C241" s="25"/>
      <c r="D241" s="73"/>
    </row>
    <row r="242" spans="1:4" x14ac:dyDescent="0.2">
      <c r="A242" s="345">
        <v>34880</v>
      </c>
      <c r="B242" s="73"/>
      <c r="C242" s="25"/>
      <c r="D242" s="73"/>
    </row>
    <row r="243" spans="1:4" x14ac:dyDescent="0.2">
      <c r="A243" s="345">
        <v>34911</v>
      </c>
      <c r="B243" s="73"/>
      <c r="C243" s="25"/>
      <c r="D243" s="73"/>
    </row>
    <row r="244" spans="1:4" x14ac:dyDescent="0.2">
      <c r="A244" s="345">
        <v>34942</v>
      </c>
      <c r="B244" s="73"/>
      <c r="C244" s="25"/>
      <c r="D244" s="73"/>
    </row>
    <row r="245" spans="1:4" x14ac:dyDescent="0.2">
      <c r="A245" s="345">
        <v>34972</v>
      </c>
      <c r="B245" s="73"/>
      <c r="C245" s="25"/>
      <c r="D245" s="73"/>
    </row>
    <row r="246" spans="1:4" x14ac:dyDescent="0.2">
      <c r="A246" s="345">
        <v>35003</v>
      </c>
      <c r="B246" s="73"/>
      <c r="C246" s="25"/>
      <c r="D246" s="73"/>
    </row>
    <row r="247" spans="1:4" x14ac:dyDescent="0.2">
      <c r="A247" s="345">
        <v>35033</v>
      </c>
      <c r="B247" s="73"/>
      <c r="C247" s="25"/>
      <c r="D247" s="73"/>
    </row>
    <row r="248" spans="1:4" x14ac:dyDescent="0.2">
      <c r="A248" s="345">
        <v>35064</v>
      </c>
      <c r="B248" s="73"/>
      <c r="C248" s="25"/>
      <c r="D248" s="73"/>
    </row>
    <row r="249" spans="1:4" x14ac:dyDescent="0.2">
      <c r="A249" s="345">
        <v>35095</v>
      </c>
      <c r="B249" s="73"/>
      <c r="C249" s="25"/>
      <c r="D249" s="73"/>
    </row>
    <row r="250" spans="1:4" x14ac:dyDescent="0.2">
      <c r="A250" s="345">
        <v>35124</v>
      </c>
      <c r="B250" s="73"/>
      <c r="C250" s="25"/>
      <c r="D250" s="73"/>
    </row>
    <row r="251" spans="1:4" x14ac:dyDescent="0.2">
      <c r="A251" s="345">
        <v>35155</v>
      </c>
      <c r="B251" s="73"/>
      <c r="C251" s="25"/>
      <c r="D251" s="73"/>
    </row>
    <row r="252" spans="1:4" x14ac:dyDescent="0.2">
      <c r="A252" s="345">
        <v>35185</v>
      </c>
      <c r="B252" s="73"/>
      <c r="C252" s="25"/>
      <c r="D252" s="73"/>
    </row>
    <row r="253" spans="1:4" x14ac:dyDescent="0.2">
      <c r="A253" s="345">
        <v>35216</v>
      </c>
      <c r="B253" s="73"/>
      <c r="C253" s="25"/>
      <c r="D253" s="73"/>
    </row>
    <row r="254" spans="1:4" x14ac:dyDescent="0.2">
      <c r="A254" s="345">
        <v>35246</v>
      </c>
      <c r="B254" s="73"/>
      <c r="C254" s="25"/>
      <c r="D254" s="73"/>
    </row>
    <row r="255" spans="1:4" x14ac:dyDescent="0.2">
      <c r="A255" s="345">
        <v>35277</v>
      </c>
      <c r="B255" s="73"/>
      <c r="C255" s="25"/>
      <c r="D255" s="73"/>
    </row>
    <row r="256" spans="1:4" x14ac:dyDescent="0.2">
      <c r="A256" s="345">
        <v>35308</v>
      </c>
      <c r="B256" s="73"/>
      <c r="C256" s="25"/>
      <c r="D256" s="73"/>
    </row>
    <row r="257" spans="1:4" x14ac:dyDescent="0.2">
      <c r="A257" s="345">
        <v>35338</v>
      </c>
      <c r="B257" s="73"/>
      <c r="C257" s="25"/>
      <c r="D257" s="73"/>
    </row>
    <row r="258" spans="1:4" x14ac:dyDescent="0.2">
      <c r="A258" s="345">
        <v>35369</v>
      </c>
      <c r="B258" s="73"/>
      <c r="C258" s="25"/>
      <c r="D258" s="73"/>
    </row>
    <row r="259" spans="1:4" x14ac:dyDescent="0.2">
      <c r="A259" s="345">
        <v>35399</v>
      </c>
      <c r="B259" s="73"/>
      <c r="C259" s="25"/>
      <c r="D259" s="73"/>
    </row>
    <row r="260" spans="1:4" x14ac:dyDescent="0.2">
      <c r="A260" s="345">
        <v>35430</v>
      </c>
      <c r="B260" s="73"/>
      <c r="C260" s="25"/>
      <c r="D260" s="73"/>
    </row>
    <row r="261" spans="1:4" x14ac:dyDescent="0.2">
      <c r="A261" s="345">
        <v>35461</v>
      </c>
      <c r="B261" s="73"/>
      <c r="C261" s="25"/>
      <c r="D261" s="73"/>
    </row>
    <row r="262" spans="1:4" x14ac:dyDescent="0.2">
      <c r="A262" s="345">
        <v>35489</v>
      </c>
      <c r="B262" s="73"/>
      <c r="C262" s="25"/>
      <c r="D262" s="73"/>
    </row>
    <row r="263" spans="1:4" x14ac:dyDescent="0.2">
      <c r="A263" s="345">
        <v>35520</v>
      </c>
      <c r="B263" s="73"/>
      <c r="C263" s="25"/>
      <c r="D263" s="73"/>
    </row>
    <row r="264" spans="1:4" x14ac:dyDescent="0.2">
      <c r="A264" s="345">
        <v>35550</v>
      </c>
      <c r="B264" s="73"/>
      <c r="C264" s="25"/>
      <c r="D264" s="73"/>
    </row>
    <row r="265" spans="1:4" x14ac:dyDescent="0.2">
      <c r="A265" s="345">
        <v>35581</v>
      </c>
      <c r="B265" s="73"/>
      <c r="C265" s="25"/>
      <c r="D265" s="73"/>
    </row>
    <row r="266" spans="1:4" x14ac:dyDescent="0.2">
      <c r="A266" s="345">
        <v>35611</v>
      </c>
      <c r="B266" s="73"/>
      <c r="C266" s="25"/>
      <c r="D266" s="73"/>
    </row>
    <row r="267" spans="1:4" x14ac:dyDescent="0.2">
      <c r="A267" s="345">
        <v>35642</v>
      </c>
      <c r="B267" s="73"/>
      <c r="C267" s="25"/>
      <c r="D267" s="73"/>
    </row>
    <row r="268" spans="1:4" x14ac:dyDescent="0.2">
      <c r="A268" s="345">
        <v>35673</v>
      </c>
      <c r="B268" s="73"/>
      <c r="C268" s="25"/>
      <c r="D268" s="73"/>
    </row>
    <row r="269" spans="1:4" x14ac:dyDescent="0.2">
      <c r="A269" s="345">
        <v>35703</v>
      </c>
      <c r="B269" s="73"/>
      <c r="C269" s="25"/>
      <c r="D269" s="73"/>
    </row>
    <row r="270" spans="1:4" x14ac:dyDescent="0.2">
      <c r="A270" s="345">
        <v>35734</v>
      </c>
      <c r="B270" s="73"/>
      <c r="C270" s="25"/>
      <c r="D270" s="73"/>
    </row>
    <row r="271" spans="1:4" x14ac:dyDescent="0.2">
      <c r="A271" s="345">
        <v>35764</v>
      </c>
      <c r="B271" s="73"/>
      <c r="C271" s="25"/>
      <c r="D271" s="73"/>
    </row>
    <row r="272" spans="1:4" x14ac:dyDescent="0.2">
      <c r="A272" s="345">
        <v>35795</v>
      </c>
      <c r="B272" s="73"/>
      <c r="C272" s="25"/>
      <c r="D272" s="73"/>
    </row>
    <row r="273" spans="1:4" x14ac:dyDescent="0.2">
      <c r="A273" s="345">
        <v>35826</v>
      </c>
      <c r="B273" s="73"/>
      <c r="C273" s="25"/>
      <c r="D273" s="73"/>
    </row>
    <row r="274" spans="1:4" x14ac:dyDescent="0.2">
      <c r="A274" s="345">
        <v>35854</v>
      </c>
      <c r="B274" s="73"/>
      <c r="C274" s="32"/>
      <c r="D274" s="73"/>
    </row>
    <row r="275" spans="1:4" x14ac:dyDescent="0.2">
      <c r="A275" s="345">
        <v>35885</v>
      </c>
      <c r="B275" s="73"/>
      <c r="C275" s="32"/>
      <c r="D275" s="73"/>
    </row>
    <row r="276" spans="1:4" x14ac:dyDescent="0.2">
      <c r="A276" s="345">
        <v>35915</v>
      </c>
      <c r="B276" s="73"/>
      <c r="C276" s="32"/>
      <c r="D276" s="73"/>
    </row>
    <row r="277" spans="1:4" x14ac:dyDescent="0.2">
      <c r="A277" s="345">
        <v>35946</v>
      </c>
      <c r="B277" s="73"/>
      <c r="C277" s="32"/>
      <c r="D277" s="73"/>
    </row>
    <row r="278" spans="1:4" x14ac:dyDescent="0.2">
      <c r="A278" s="345">
        <v>35976</v>
      </c>
      <c r="B278" s="73"/>
      <c r="C278" s="32"/>
      <c r="D278" s="73"/>
    </row>
    <row r="279" spans="1:4" x14ac:dyDescent="0.2">
      <c r="A279" s="345">
        <v>36007</v>
      </c>
      <c r="B279" s="73"/>
      <c r="C279" s="32"/>
      <c r="D279" s="73"/>
    </row>
    <row r="280" spans="1:4" x14ac:dyDescent="0.2">
      <c r="A280" s="345">
        <v>36038</v>
      </c>
      <c r="B280" s="73"/>
      <c r="C280" s="32"/>
      <c r="D280" s="73"/>
    </row>
    <row r="281" spans="1:4" x14ac:dyDescent="0.2">
      <c r="A281" s="345">
        <v>36068</v>
      </c>
      <c r="B281" s="73"/>
      <c r="C281" s="32"/>
      <c r="D281" s="73"/>
    </row>
    <row r="282" spans="1:4" x14ac:dyDescent="0.2">
      <c r="A282" s="345">
        <v>36099</v>
      </c>
      <c r="B282" s="73"/>
      <c r="C282" s="32"/>
      <c r="D282" s="73"/>
    </row>
    <row r="283" spans="1:4" x14ac:dyDescent="0.2">
      <c r="A283" s="345">
        <v>36129</v>
      </c>
      <c r="B283" s="73"/>
      <c r="C283" s="32"/>
      <c r="D283" s="73"/>
    </row>
    <row r="284" spans="1:4" x14ac:dyDescent="0.2">
      <c r="A284" s="345">
        <v>36160</v>
      </c>
      <c r="B284" s="73"/>
      <c r="C284" s="32"/>
      <c r="D284" s="73"/>
    </row>
    <row r="285" spans="1:4" x14ac:dyDescent="0.2">
      <c r="A285" s="345">
        <v>36191</v>
      </c>
      <c r="B285" s="73"/>
      <c r="C285" s="32"/>
      <c r="D285" s="73"/>
    </row>
    <row r="286" spans="1:4" x14ac:dyDescent="0.2">
      <c r="A286" s="345">
        <v>36219</v>
      </c>
      <c r="B286" s="73"/>
      <c r="C286" s="32"/>
      <c r="D286" s="73"/>
    </row>
    <row r="287" spans="1:4" x14ac:dyDescent="0.2">
      <c r="A287" s="345">
        <v>36250</v>
      </c>
      <c r="B287" s="73"/>
      <c r="C287" s="32"/>
      <c r="D287" s="73"/>
    </row>
    <row r="288" spans="1:4" x14ac:dyDescent="0.2">
      <c r="A288" s="345">
        <v>36280</v>
      </c>
      <c r="B288" s="73"/>
      <c r="C288" s="32"/>
      <c r="D288" s="73"/>
    </row>
    <row r="289" spans="1:4" x14ac:dyDescent="0.2">
      <c r="A289" s="345">
        <v>36311</v>
      </c>
      <c r="B289" s="73"/>
      <c r="C289" s="32"/>
      <c r="D289" s="73"/>
    </row>
    <row r="290" spans="1:4" x14ac:dyDescent="0.2">
      <c r="A290" s="345">
        <v>36341</v>
      </c>
      <c r="B290" s="73"/>
      <c r="C290" s="32"/>
      <c r="D290" s="73"/>
    </row>
    <row r="291" spans="1:4" x14ac:dyDescent="0.2">
      <c r="A291" s="345">
        <v>36372</v>
      </c>
      <c r="B291" s="73"/>
      <c r="C291" s="32"/>
      <c r="D291" s="73"/>
    </row>
    <row r="292" spans="1:4" x14ac:dyDescent="0.2">
      <c r="A292" s="345">
        <v>36403</v>
      </c>
      <c r="B292" s="73"/>
      <c r="C292" s="32"/>
      <c r="D292" s="73"/>
    </row>
    <row r="293" spans="1:4" x14ac:dyDescent="0.2">
      <c r="A293" s="345">
        <v>36433</v>
      </c>
      <c r="B293" s="73"/>
      <c r="C293" s="32"/>
      <c r="D293" s="73"/>
    </row>
    <row r="294" spans="1:4" x14ac:dyDescent="0.2">
      <c r="A294" s="345">
        <v>36464</v>
      </c>
      <c r="B294" s="73"/>
      <c r="C294" s="32"/>
      <c r="D294" s="73"/>
    </row>
    <row r="295" spans="1:4" x14ac:dyDescent="0.2">
      <c r="A295" s="345">
        <v>36494</v>
      </c>
      <c r="B295" s="73"/>
      <c r="C295" s="32"/>
      <c r="D295" s="73"/>
    </row>
    <row r="296" spans="1:4" x14ac:dyDescent="0.2">
      <c r="A296" s="345">
        <v>36525</v>
      </c>
      <c r="B296" s="73"/>
      <c r="C296" s="32"/>
      <c r="D296" s="73"/>
    </row>
    <row r="297" spans="1:4" x14ac:dyDescent="0.2">
      <c r="A297" s="345">
        <v>36556</v>
      </c>
      <c r="B297" s="73"/>
      <c r="C297" s="32"/>
      <c r="D297" s="73"/>
    </row>
    <row r="298" spans="1:4" x14ac:dyDescent="0.2">
      <c r="A298" s="345">
        <v>36585</v>
      </c>
      <c r="B298" s="73"/>
      <c r="C298" s="32"/>
      <c r="D298" s="73"/>
    </row>
    <row r="299" spans="1:4" x14ac:dyDescent="0.2">
      <c r="A299" s="345">
        <v>36616</v>
      </c>
      <c r="B299" s="73"/>
      <c r="C299" s="32"/>
      <c r="D299" s="73"/>
    </row>
    <row r="300" spans="1:4" x14ac:dyDescent="0.2">
      <c r="A300" s="345">
        <v>36646</v>
      </c>
      <c r="B300" s="73"/>
      <c r="C300" s="32"/>
      <c r="D300" s="73"/>
    </row>
    <row r="301" spans="1:4" x14ac:dyDescent="0.2">
      <c r="A301" s="345">
        <v>36677</v>
      </c>
      <c r="B301" s="73"/>
      <c r="C301" s="32"/>
      <c r="D301" s="73"/>
    </row>
    <row r="302" spans="1:4" x14ac:dyDescent="0.2">
      <c r="A302" s="345">
        <v>36707</v>
      </c>
      <c r="B302" s="73"/>
      <c r="C302" s="32"/>
      <c r="D302" s="73"/>
    </row>
    <row r="303" spans="1:4" x14ac:dyDescent="0.2">
      <c r="A303" s="345">
        <v>36738</v>
      </c>
      <c r="B303" s="73"/>
      <c r="C303" s="32"/>
      <c r="D303" s="73"/>
    </row>
    <row r="304" spans="1:4" x14ac:dyDescent="0.2">
      <c r="A304" s="345">
        <v>36769</v>
      </c>
      <c r="B304" s="73"/>
      <c r="C304" s="32"/>
      <c r="D304" s="73"/>
    </row>
    <row r="305" spans="1:4" x14ac:dyDescent="0.2">
      <c r="A305" s="345">
        <v>36799</v>
      </c>
      <c r="B305" s="79"/>
      <c r="C305" s="33"/>
      <c r="D305" s="73"/>
    </row>
    <row r="306" spans="1:4" x14ac:dyDescent="0.2">
      <c r="A306" s="345">
        <v>36830</v>
      </c>
      <c r="B306" s="253"/>
      <c r="C306" s="33"/>
      <c r="D306" s="253"/>
    </row>
    <row r="307" spans="1:4" x14ac:dyDescent="0.2">
      <c r="A307" s="345">
        <v>36860</v>
      </c>
      <c r="B307" s="253"/>
      <c r="C307" s="33"/>
      <c r="D307" s="253"/>
    </row>
    <row r="308" spans="1:4" x14ac:dyDescent="0.2">
      <c r="A308" s="345">
        <v>36891</v>
      </c>
      <c r="B308" s="253"/>
      <c r="C308" s="33"/>
      <c r="D308" s="253"/>
    </row>
    <row r="309" spans="1:4" x14ac:dyDescent="0.2">
      <c r="A309" s="345">
        <v>36922</v>
      </c>
      <c r="B309" s="253"/>
      <c r="C309" s="33"/>
      <c r="D309" s="253"/>
    </row>
    <row r="310" spans="1:4" x14ac:dyDescent="0.2">
      <c r="A310" s="345">
        <v>36950</v>
      </c>
      <c r="B310" s="253"/>
      <c r="C310" s="33"/>
      <c r="D310" s="253"/>
    </row>
    <row r="311" spans="1:4" x14ac:dyDescent="0.2">
      <c r="A311" s="345">
        <v>36981</v>
      </c>
      <c r="B311" s="253"/>
      <c r="C311" s="33"/>
      <c r="D311" s="253"/>
    </row>
    <row r="312" spans="1:4" x14ac:dyDescent="0.2">
      <c r="A312" s="345">
        <v>37011</v>
      </c>
      <c r="B312" s="253"/>
      <c r="C312" s="33"/>
      <c r="D312" s="253"/>
    </row>
    <row r="313" spans="1:4" x14ac:dyDescent="0.2">
      <c r="A313" s="345">
        <v>37042</v>
      </c>
      <c r="B313" s="253"/>
      <c r="C313" s="33"/>
      <c r="D313" s="253"/>
    </row>
    <row r="314" spans="1:4" x14ac:dyDescent="0.2">
      <c r="A314" s="345">
        <v>37072</v>
      </c>
      <c r="B314" s="253"/>
      <c r="C314" s="33"/>
      <c r="D314" s="253"/>
    </row>
    <row r="315" spans="1:4" x14ac:dyDescent="0.2">
      <c r="A315" s="345">
        <v>37103</v>
      </c>
      <c r="B315" s="253"/>
      <c r="C315" s="33"/>
      <c r="D315" s="253"/>
    </row>
    <row r="316" spans="1:4" x14ac:dyDescent="0.2">
      <c r="A316" s="345">
        <v>37134</v>
      </c>
      <c r="B316" s="253"/>
      <c r="C316" s="33"/>
      <c r="D316" s="253"/>
    </row>
    <row r="317" spans="1:4" x14ac:dyDescent="0.2">
      <c r="A317" s="345">
        <v>37164</v>
      </c>
      <c r="B317" s="253"/>
      <c r="C317" s="33"/>
      <c r="D317" s="253"/>
    </row>
    <row r="318" spans="1:4" x14ac:dyDescent="0.2">
      <c r="A318" s="345">
        <v>37195</v>
      </c>
      <c r="B318" s="253"/>
      <c r="C318" s="33"/>
      <c r="D318" s="253"/>
    </row>
    <row r="319" spans="1:4" x14ac:dyDescent="0.2">
      <c r="A319" s="345">
        <v>37225</v>
      </c>
      <c r="B319" s="253"/>
      <c r="C319" s="33"/>
      <c r="D319" s="253"/>
    </row>
    <row r="320" spans="1:4" x14ac:dyDescent="0.2">
      <c r="A320" s="345">
        <v>37256</v>
      </c>
      <c r="B320" s="253"/>
      <c r="C320" s="33"/>
      <c r="D320" s="253"/>
    </row>
    <row r="321" spans="1:4" x14ac:dyDescent="0.2">
      <c r="A321" s="345">
        <v>37287</v>
      </c>
      <c r="B321" s="253"/>
      <c r="C321" s="33"/>
      <c r="D321" s="253"/>
    </row>
    <row r="322" spans="1:4" x14ac:dyDescent="0.2">
      <c r="A322" s="345">
        <v>37315</v>
      </c>
      <c r="B322" s="253"/>
      <c r="C322" s="33"/>
      <c r="D322" s="253"/>
    </row>
    <row r="323" spans="1:4" x14ac:dyDescent="0.2">
      <c r="A323" s="345">
        <v>37346</v>
      </c>
      <c r="B323" s="253"/>
      <c r="C323" s="33"/>
      <c r="D323" s="253"/>
    </row>
    <row r="324" spans="1:4" x14ac:dyDescent="0.2">
      <c r="A324" s="345">
        <v>37376</v>
      </c>
      <c r="B324" s="253"/>
      <c r="C324" s="33"/>
      <c r="D324" s="253"/>
    </row>
    <row r="325" spans="1:4" x14ac:dyDescent="0.2">
      <c r="A325" s="345">
        <v>37407</v>
      </c>
      <c r="B325" s="253"/>
      <c r="C325" s="33"/>
      <c r="D325" s="253"/>
    </row>
    <row r="326" spans="1:4" x14ac:dyDescent="0.2">
      <c r="A326" s="345">
        <v>37437</v>
      </c>
      <c r="B326" s="253"/>
      <c r="C326" s="33"/>
      <c r="D326" s="253"/>
    </row>
    <row r="327" spans="1:4" x14ac:dyDescent="0.2">
      <c r="A327" s="345">
        <v>37468</v>
      </c>
      <c r="B327" s="253"/>
      <c r="C327" s="33"/>
      <c r="D327" s="253"/>
    </row>
    <row r="328" spans="1:4" x14ac:dyDescent="0.2">
      <c r="A328" s="345">
        <v>37499</v>
      </c>
      <c r="B328" s="253"/>
      <c r="C328" s="33"/>
      <c r="D328" s="253"/>
    </row>
    <row r="329" spans="1:4" x14ac:dyDescent="0.2">
      <c r="A329" s="345">
        <v>37529</v>
      </c>
      <c r="B329" s="253"/>
      <c r="C329" s="33"/>
      <c r="D329" s="253"/>
    </row>
    <row r="330" spans="1:4" x14ac:dyDescent="0.2">
      <c r="A330" s="345">
        <v>37560</v>
      </c>
      <c r="B330" s="253"/>
      <c r="C330" s="33"/>
      <c r="D330" s="253"/>
    </row>
    <row r="331" spans="1:4" x14ac:dyDescent="0.2">
      <c r="A331" s="345">
        <v>37590</v>
      </c>
      <c r="B331" s="253"/>
      <c r="C331" s="33"/>
      <c r="D331" s="253"/>
    </row>
    <row r="332" spans="1:4" x14ac:dyDescent="0.2">
      <c r="A332" s="345">
        <v>37621</v>
      </c>
      <c r="B332" s="253"/>
      <c r="C332" s="33"/>
      <c r="D332" s="253"/>
    </row>
    <row r="333" spans="1:4" x14ac:dyDescent="0.2">
      <c r="A333" s="345">
        <v>37652</v>
      </c>
      <c r="B333" s="253"/>
      <c r="C333" s="33"/>
      <c r="D333" s="253"/>
    </row>
    <row r="334" spans="1:4" x14ac:dyDescent="0.2">
      <c r="A334" s="345">
        <v>37680</v>
      </c>
      <c r="B334" s="253"/>
      <c r="C334" s="33"/>
      <c r="D334" s="253"/>
    </row>
    <row r="335" spans="1:4" x14ac:dyDescent="0.2">
      <c r="A335" s="345">
        <v>37711</v>
      </c>
      <c r="B335" s="253"/>
      <c r="C335" s="33"/>
      <c r="D335" s="253"/>
    </row>
    <row r="336" spans="1:4" x14ac:dyDescent="0.2">
      <c r="A336" s="345">
        <v>37741</v>
      </c>
      <c r="B336" s="253"/>
      <c r="C336" s="33"/>
      <c r="D336" s="253"/>
    </row>
    <row r="337" spans="1:4" x14ac:dyDescent="0.2">
      <c r="A337" s="345">
        <v>37772</v>
      </c>
      <c r="B337" s="253"/>
      <c r="C337" s="33"/>
      <c r="D337" s="253"/>
    </row>
    <row r="338" spans="1:4" x14ac:dyDescent="0.2">
      <c r="A338" s="345">
        <v>37802</v>
      </c>
      <c r="B338" s="253"/>
      <c r="C338" s="33"/>
      <c r="D338" s="253"/>
    </row>
    <row r="339" spans="1:4" x14ac:dyDescent="0.2">
      <c r="A339" s="345">
        <v>37833</v>
      </c>
      <c r="B339" s="253"/>
      <c r="C339" s="33"/>
      <c r="D339" s="253"/>
    </row>
    <row r="340" spans="1:4" x14ac:dyDescent="0.2">
      <c r="A340" s="345">
        <v>37864</v>
      </c>
      <c r="B340" s="253"/>
      <c r="C340" s="33"/>
      <c r="D340" s="253"/>
    </row>
    <row r="341" spans="1:4" x14ac:dyDescent="0.2">
      <c r="A341" s="345">
        <v>37894</v>
      </c>
      <c r="B341" s="253"/>
      <c r="C341" s="34"/>
      <c r="D341" s="253"/>
    </row>
    <row r="342" spans="1:4" x14ac:dyDescent="0.2">
      <c r="A342" s="345">
        <v>37925</v>
      </c>
      <c r="B342" s="253"/>
      <c r="C342" s="34"/>
      <c r="D342" s="253"/>
    </row>
    <row r="343" spans="1:4" x14ac:dyDescent="0.2">
      <c r="A343" s="345">
        <v>37955</v>
      </c>
      <c r="B343" s="253"/>
      <c r="C343" s="34"/>
      <c r="D343" s="253"/>
    </row>
    <row r="344" spans="1:4" x14ac:dyDescent="0.2">
      <c r="A344" s="345">
        <v>37986</v>
      </c>
      <c r="B344" s="253"/>
      <c r="C344" s="34"/>
      <c r="D344" s="253"/>
    </row>
    <row r="345" spans="1:4" x14ac:dyDescent="0.2">
      <c r="A345" s="345">
        <v>38017</v>
      </c>
      <c r="B345" s="253"/>
      <c r="C345" s="34"/>
      <c r="D345" s="253"/>
    </row>
    <row r="346" spans="1:4" x14ac:dyDescent="0.2">
      <c r="A346" s="345">
        <v>38046</v>
      </c>
      <c r="B346" s="253"/>
      <c r="C346" s="34"/>
      <c r="D346" s="253"/>
    </row>
    <row r="347" spans="1:4" x14ac:dyDescent="0.2">
      <c r="A347" s="345">
        <v>38077</v>
      </c>
      <c r="B347" s="253"/>
      <c r="C347" s="34"/>
      <c r="D347" s="255"/>
    </row>
    <row r="348" spans="1:4" x14ac:dyDescent="0.2">
      <c r="A348" s="345">
        <v>38107</v>
      </c>
      <c r="B348" s="253"/>
      <c r="C348" s="34"/>
      <c r="D348" s="253"/>
    </row>
    <row r="349" spans="1:4" x14ac:dyDescent="0.2">
      <c r="A349" s="345">
        <v>38138</v>
      </c>
      <c r="B349" s="253"/>
      <c r="C349" s="34"/>
      <c r="D349" s="253"/>
    </row>
    <row r="350" spans="1:4" x14ac:dyDescent="0.2">
      <c r="A350" s="345">
        <v>38168</v>
      </c>
      <c r="B350" s="253"/>
      <c r="C350" s="34"/>
      <c r="D350" s="253"/>
    </row>
    <row r="351" spans="1:4" x14ac:dyDescent="0.2">
      <c r="A351" s="345">
        <v>38199</v>
      </c>
      <c r="B351" s="253"/>
      <c r="C351" s="34"/>
      <c r="D351" s="253"/>
    </row>
    <row r="352" spans="1:4" x14ac:dyDescent="0.2">
      <c r="A352" s="345">
        <v>38230</v>
      </c>
      <c r="B352" s="253"/>
      <c r="C352" s="34"/>
      <c r="D352" s="253"/>
    </row>
    <row r="353" spans="1:4" x14ac:dyDescent="0.2">
      <c r="A353" s="345">
        <v>38260</v>
      </c>
      <c r="B353" s="253"/>
      <c r="C353" s="34"/>
      <c r="D353" s="253"/>
    </row>
    <row r="354" spans="1:4" x14ac:dyDescent="0.2">
      <c r="A354" s="345">
        <v>38291</v>
      </c>
      <c r="B354" s="253"/>
      <c r="C354" s="34"/>
      <c r="D354" s="253"/>
    </row>
    <row r="355" spans="1:4" x14ac:dyDescent="0.2">
      <c r="A355" s="345">
        <v>38321</v>
      </c>
      <c r="B355" s="253"/>
      <c r="C355" s="34"/>
      <c r="D355" s="253"/>
    </row>
    <row r="356" spans="1:4" x14ac:dyDescent="0.2">
      <c r="A356" s="345">
        <v>38352</v>
      </c>
      <c r="B356" s="253"/>
      <c r="C356" s="256"/>
      <c r="D356" s="253"/>
    </row>
    <row r="357" spans="1:4" x14ac:dyDescent="0.2">
      <c r="A357" s="345">
        <v>38383</v>
      </c>
      <c r="B357" s="253"/>
      <c r="C357" s="34"/>
      <c r="D357" s="253"/>
    </row>
    <row r="358" spans="1:4" x14ac:dyDescent="0.2">
      <c r="A358" s="345">
        <v>38411</v>
      </c>
      <c r="B358" s="253"/>
      <c r="C358" s="34"/>
      <c r="D358" s="253"/>
    </row>
    <row r="359" spans="1:4" x14ac:dyDescent="0.2">
      <c r="A359" s="345">
        <v>38442</v>
      </c>
      <c r="B359" s="253"/>
      <c r="C359" s="256"/>
      <c r="D359" s="253"/>
    </row>
    <row r="360" spans="1:4" x14ac:dyDescent="0.2">
      <c r="A360" s="345">
        <v>38472</v>
      </c>
      <c r="B360" s="253"/>
      <c r="C360" s="256"/>
      <c r="D360" s="253"/>
    </row>
    <row r="361" spans="1:4" x14ac:dyDescent="0.2">
      <c r="A361" s="345">
        <v>38503</v>
      </c>
      <c r="B361" s="253"/>
      <c r="C361" s="256"/>
      <c r="D361" s="253"/>
    </row>
    <row r="362" spans="1:4" x14ac:dyDescent="0.2">
      <c r="A362" s="345">
        <v>38533</v>
      </c>
      <c r="B362" s="253"/>
      <c r="C362" s="256"/>
      <c r="D362" s="253"/>
    </row>
    <row r="363" spans="1:4" x14ac:dyDescent="0.2">
      <c r="A363" s="345">
        <v>38564</v>
      </c>
      <c r="B363" s="253"/>
      <c r="C363" s="256"/>
      <c r="D363" s="253"/>
    </row>
    <row r="364" spans="1:4" x14ac:dyDescent="0.2">
      <c r="A364" s="345">
        <v>38595</v>
      </c>
      <c r="B364" s="253"/>
      <c r="C364" s="256"/>
      <c r="D364" s="253"/>
    </row>
    <row r="365" spans="1:4" x14ac:dyDescent="0.2">
      <c r="A365" s="345">
        <v>38625</v>
      </c>
      <c r="B365" s="253"/>
      <c r="C365" s="256"/>
      <c r="D365" s="253"/>
    </row>
    <row r="366" spans="1:4" x14ac:dyDescent="0.2">
      <c r="A366" s="345">
        <v>38656</v>
      </c>
      <c r="B366" s="253"/>
      <c r="C366" s="256"/>
      <c r="D366" s="253"/>
    </row>
    <row r="367" spans="1:4" x14ac:dyDescent="0.2">
      <c r="A367" s="345">
        <v>38686</v>
      </c>
      <c r="B367" s="253"/>
      <c r="C367" s="256"/>
      <c r="D367" s="253"/>
    </row>
    <row r="368" spans="1:4" x14ac:dyDescent="0.2">
      <c r="A368" s="345">
        <v>38717</v>
      </c>
      <c r="B368" s="253"/>
      <c r="C368" s="256"/>
      <c r="D368" s="253"/>
    </row>
    <row r="369" spans="1:6" x14ac:dyDescent="0.2">
      <c r="A369" s="345">
        <v>38748</v>
      </c>
      <c r="B369" s="253"/>
      <c r="C369" s="256"/>
      <c r="D369" s="253"/>
    </row>
    <row r="370" spans="1:6" x14ac:dyDescent="0.2">
      <c r="A370" s="345">
        <v>38776</v>
      </c>
      <c r="B370" s="253"/>
      <c r="C370" s="256"/>
      <c r="D370" s="253"/>
    </row>
    <row r="371" spans="1:6" x14ac:dyDescent="0.2">
      <c r="A371" s="345">
        <v>38807</v>
      </c>
      <c r="B371" s="253"/>
      <c r="C371" s="33"/>
      <c r="D371" s="253"/>
    </row>
    <row r="372" spans="1:6" x14ac:dyDescent="0.2">
      <c r="A372" s="345">
        <v>38837</v>
      </c>
      <c r="B372" s="253"/>
      <c r="C372" s="33"/>
      <c r="D372" s="253"/>
    </row>
    <row r="373" spans="1:6" x14ac:dyDescent="0.2">
      <c r="A373" s="345">
        <v>38868</v>
      </c>
      <c r="B373" s="253"/>
      <c r="C373" s="33"/>
      <c r="D373" s="253"/>
    </row>
    <row r="374" spans="1:6" x14ac:dyDescent="0.2">
      <c r="A374" s="345">
        <v>38898</v>
      </c>
      <c r="B374" s="76"/>
      <c r="C374" s="354"/>
      <c r="D374" s="253"/>
    </row>
    <row r="375" spans="1:6" x14ac:dyDescent="0.2">
      <c r="A375" s="345">
        <v>38929</v>
      </c>
      <c r="B375" s="253"/>
      <c r="C375" s="34"/>
      <c r="D375" s="253"/>
    </row>
    <row r="376" spans="1:6" x14ac:dyDescent="0.2">
      <c r="A376" s="345">
        <v>38960</v>
      </c>
      <c r="B376" s="253"/>
      <c r="C376" s="34"/>
      <c r="D376" s="253"/>
    </row>
    <row r="377" spans="1:6" x14ac:dyDescent="0.2">
      <c r="A377" s="345">
        <v>38990</v>
      </c>
      <c r="B377" s="253"/>
      <c r="C377" s="34"/>
      <c r="D377" s="253"/>
    </row>
    <row r="378" spans="1:6" x14ac:dyDescent="0.2">
      <c r="A378" s="345">
        <v>39021</v>
      </c>
      <c r="B378" s="253"/>
      <c r="C378" s="34"/>
      <c r="D378" s="253"/>
      <c r="F378" s="352"/>
    </row>
    <row r="379" spans="1:6" x14ac:dyDescent="0.2">
      <c r="A379" s="345">
        <v>39051</v>
      </c>
      <c r="B379" s="253"/>
      <c r="C379" s="34"/>
      <c r="D379" s="253"/>
      <c r="F379" s="352"/>
    </row>
    <row r="380" spans="1:6" x14ac:dyDescent="0.2">
      <c r="A380" s="345">
        <v>39082</v>
      </c>
      <c r="B380" s="253"/>
      <c r="C380" s="34"/>
      <c r="D380" s="253"/>
      <c r="F380" s="352"/>
    </row>
    <row r="381" spans="1:6" x14ac:dyDescent="0.2">
      <c r="A381" s="345">
        <v>39113</v>
      </c>
      <c r="B381" s="253"/>
      <c r="F381" s="352"/>
    </row>
    <row r="382" spans="1:6" x14ac:dyDescent="0.2">
      <c r="A382" s="345">
        <v>39141</v>
      </c>
      <c r="B382" s="253"/>
      <c r="F382" s="352"/>
    </row>
    <row r="383" spans="1:6" x14ac:dyDescent="0.2">
      <c r="A383" s="345">
        <v>39172</v>
      </c>
      <c r="B383" s="253"/>
    </row>
    <row r="384" spans="1:6" x14ac:dyDescent="0.2">
      <c r="A384" s="345">
        <v>39202</v>
      </c>
      <c r="B384" s="253"/>
    </row>
    <row r="385" spans="1:3" x14ac:dyDescent="0.2">
      <c r="A385" s="345">
        <v>39233</v>
      </c>
      <c r="B385" s="253"/>
    </row>
    <row r="386" spans="1:3" x14ac:dyDescent="0.2">
      <c r="A386" s="345">
        <v>39263</v>
      </c>
      <c r="B386" s="253"/>
    </row>
    <row r="387" spans="1:3" x14ac:dyDescent="0.2">
      <c r="A387" s="345">
        <v>39294</v>
      </c>
      <c r="B387" s="253"/>
    </row>
    <row r="388" spans="1:3" x14ac:dyDescent="0.2">
      <c r="A388" s="345">
        <v>39325</v>
      </c>
      <c r="B388" s="253"/>
    </row>
    <row r="389" spans="1:3" x14ac:dyDescent="0.2">
      <c r="A389" s="345">
        <v>39355</v>
      </c>
      <c r="B389" s="253"/>
    </row>
    <row r="390" spans="1:3" x14ac:dyDescent="0.2">
      <c r="A390" s="345">
        <v>39386</v>
      </c>
      <c r="B390" s="253"/>
    </row>
    <row r="391" spans="1:3" x14ac:dyDescent="0.2">
      <c r="A391" s="345">
        <v>39416</v>
      </c>
      <c r="B391" s="253"/>
    </row>
    <row r="392" spans="1:3" x14ac:dyDescent="0.2">
      <c r="A392" s="345">
        <v>39447</v>
      </c>
      <c r="B392" s="253"/>
    </row>
    <row r="393" spans="1:3" x14ac:dyDescent="0.2">
      <c r="A393" s="345">
        <v>39478</v>
      </c>
      <c r="B393" s="253"/>
    </row>
    <row r="394" spans="1:3" x14ac:dyDescent="0.2">
      <c r="A394" s="345">
        <v>39507</v>
      </c>
      <c r="B394" s="253"/>
    </row>
    <row r="395" spans="1:3" x14ac:dyDescent="0.2">
      <c r="A395" s="345">
        <v>39538</v>
      </c>
      <c r="B395" s="253"/>
    </row>
    <row r="396" spans="1:3" x14ac:dyDescent="0.2">
      <c r="A396" s="345">
        <v>39568</v>
      </c>
      <c r="B396" s="253"/>
    </row>
    <row r="397" spans="1:3" x14ac:dyDescent="0.2">
      <c r="A397" s="345">
        <v>39599</v>
      </c>
      <c r="B397" s="253"/>
    </row>
    <row r="398" spans="1:3" x14ac:dyDescent="0.2">
      <c r="A398" s="345">
        <v>39629</v>
      </c>
      <c r="B398" s="253"/>
    </row>
    <row r="399" spans="1:3" x14ac:dyDescent="0.2">
      <c r="A399" s="345">
        <v>39660</v>
      </c>
      <c r="B399" s="253"/>
      <c r="C399" s="33"/>
    </row>
    <row r="400" spans="1:3" x14ac:dyDescent="0.2">
      <c r="A400" s="345">
        <v>39691</v>
      </c>
      <c r="B400" s="253"/>
      <c r="C400" s="33"/>
    </row>
    <row r="401" spans="1:10" x14ac:dyDescent="0.2">
      <c r="A401" s="345">
        <v>39721</v>
      </c>
      <c r="B401" s="253"/>
      <c r="C401" s="33"/>
    </row>
    <row r="402" spans="1:10" x14ac:dyDescent="0.2">
      <c r="A402" s="345">
        <v>39752</v>
      </c>
      <c r="B402" s="253"/>
    </row>
    <row r="403" spans="1:10" x14ac:dyDescent="0.2">
      <c r="A403" s="345">
        <v>39782</v>
      </c>
      <c r="B403" s="253"/>
      <c r="G403" s="14"/>
    </row>
    <row r="404" spans="1:10" x14ac:dyDescent="0.2">
      <c r="A404" s="345">
        <v>39813</v>
      </c>
      <c r="B404" s="253"/>
    </row>
    <row r="405" spans="1:10" x14ac:dyDescent="0.2">
      <c r="A405" s="345">
        <v>39844</v>
      </c>
      <c r="B405" s="253"/>
    </row>
    <row r="406" spans="1:10" x14ac:dyDescent="0.2">
      <c r="A406" s="345">
        <v>39872</v>
      </c>
      <c r="B406" s="253"/>
    </row>
    <row r="407" spans="1:10" x14ac:dyDescent="0.2">
      <c r="A407" s="345">
        <v>39903</v>
      </c>
      <c r="B407" s="253"/>
    </row>
    <row r="408" spans="1:10" x14ac:dyDescent="0.2">
      <c r="A408" s="345">
        <v>39933</v>
      </c>
      <c r="B408" s="253"/>
    </row>
    <row r="409" spans="1:10" x14ac:dyDescent="0.2">
      <c r="A409" s="345">
        <v>39964</v>
      </c>
      <c r="B409" s="253"/>
    </row>
    <row r="410" spans="1:10" x14ac:dyDescent="0.2">
      <c r="A410" s="345">
        <v>39994</v>
      </c>
      <c r="B410" s="253"/>
    </row>
    <row r="411" spans="1:10" x14ac:dyDescent="0.2">
      <c r="A411" s="345">
        <v>40025</v>
      </c>
      <c r="B411" s="253"/>
    </row>
    <row r="412" spans="1:10" x14ac:dyDescent="0.2">
      <c r="A412" s="345">
        <v>40056</v>
      </c>
      <c r="B412" s="253"/>
    </row>
    <row r="413" spans="1:10" x14ac:dyDescent="0.2">
      <c r="A413" s="345">
        <v>40086</v>
      </c>
      <c r="B413" s="253"/>
      <c r="F413" s="52"/>
      <c r="G413" s="749"/>
    </row>
    <row r="414" spans="1:10" x14ac:dyDescent="0.2">
      <c r="A414" s="345">
        <v>40117</v>
      </c>
      <c r="B414" s="1369">
        <v>1.0111000000000001</v>
      </c>
      <c r="C414" s="346">
        <v>80402493</v>
      </c>
      <c r="D414" s="258">
        <v>1.0111000000000001</v>
      </c>
      <c r="E414" s="14">
        <f>B414-Index_Returns!AI414</f>
        <v>-0.78889999999999993</v>
      </c>
      <c r="F414" s="1286"/>
      <c r="G414" s="781"/>
      <c r="I414" s="1311"/>
      <c r="J414" s="14"/>
    </row>
    <row r="415" spans="1:10" x14ac:dyDescent="0.2">
      <c r="A415" s="345">
        <v>40147</v>
      </c>
      <c r="B415" s="1369">
        <v>0.74629999999999996</v>
      </c>
      <c r="C415" s="346">
        <v>106132438</v>
      </c>
      <c r="D415" s="258">
        <v>0.74629999999999996</v>
      </c>
      <c r="E415" s="14">
        <f>B415-Index_Returns!AI415</f>
        <v>-0.26370000000000005</v>
      </c>
      <c r="F415" s="1286"/>
      <c r="G415" s="781"/>
      <c r="I415" s="1311"/>
      <c r="J415" s="14"/>
    </row>
    <row r="416" spans="1:10" x14ac:dyDescent="0.2">
      <c r="A416" s="345">
        <v>40178</v>
      </c>
      <c r="B416" s="1369">
        <v>2.7949999999999999</v>
      </c>
      <c r="C416" s="346">
        <v>119245709.40000001</v>
      </c>
      <c r="D416" s="258">
        <v>2.7949999999999999</v>
      </c>
      <c r="E416" s="14">
        <f>B416-Index_Returns!AI416</f>
        <v>-0.48499999999999988</v>
      </c>
      <c r="F416" s="1286"/>
      <c r="G416" s="781"/>
      <c r="I416" s="1311"/>
      <c r="J416" s="14"/>
    </row>
    <row r="417" spans="1:10" x14ac:dyDescent="0.2">
      <c r="A417" s="345">
        <v>40209</v>
      </c>
      <c r="B417" s="253">
        <v>0.94950000000000001</v>
      </c>
      <c r="C417" s="346">
        <v>140215507.21000001</v>
      </c>
      <c r="D417" s="1319">
        <v>0.94950000000000001</v>
      </c>
      <c r="E417" s="14">
        <f>B417-Index_Returns!AI417</f>
        <v>-0.32050000000000001</v>
      </c>
      <c r="F417" s="1286"/>
      <c r="G417" s="781"/>
      <c r="I417" s="1311"/>
      <c r="J417" s="14"/>
    </row>
    <row r="418" spans="1:10" x14ac:dyDescent="0.2">
      <c r="A418" s="345">
        <v>40237</v>
      </c>
      <c r="B418" s="253">
        <v>-0.50670000000000004</v>
      </c>
      <c r="C418" s="346">
        <v>139485998.94</v>
      </c>
      <c r="D418" s="1319">
        <v>-0.50670000000000004</v>
      </c>
      <c r="E418" s="14">
        <f>B418-Index_Returns!AI418</f>
        <v>-0.67670000000000008</v>
      </c>
      <c r="F418" s="1286"/>
      <c r="G418" s="781"/>
      <c r="I418" s="1311"/>
      <c r="J418" s="14"/>
    </row>
    <row r="419" spans="1:10" x14ac:dyDescent="0.2">
      <c r="A419" s="345">
        <v>40268</v>
      </c>
      <c r="B419" s="253">
        <v>2.9559000000000002</v>
      </c>
      <c r="C419" s="1334">
        <v>159801352.50999999</v>
      </c>
      <c r="D419" s="1311">
        <v>2.9559000000000002</v>
      </c>
      <c r="E419" s="14">
        <f>B419-Index_Returns!AI419</f>
        <v>-0.1740999999999997</v>
      </c>
      <c r="F419" s="1286"/>
      <c r="G419" s="781"/>
      <c r="I419" s="1311"/>
      <c r="J419" s="14"/>
    </row>
    <row r="420" spans="1:10" x14ac:dyDescent="0.2">
      <c r="A420" s="345">
        <v>40298</v>
      </c>
      <c r="B420" s="253">
        <v>2.2808999999999999</v>
      </c>
      <c r="C420" s="346">
        <v>163495983.08000001</v>
      </c>
      <c r="D420" s="1319">
        <v>2.2808999999999999</v>
      </c>
      <c r="E420" s="14">
        <f>B420-Index_Returns!AI420</f>
        <v>-5.909999999999993E-2</v>
      </c>
      <c r="F420" s="1286"/>
      <c r="G420" s="781"/>
      <c r="I420" s="1311"/>
      <c r="J420" s="14"/>
    </row>
    <row r="421" spans="1:10" x14ac:dyDescent="0.2">
      <c r="A421" s="345">
        <v>40329</v>
      </c>
      <c r="B421" s="253">
        <v>-3.2530000000000001</v>
      </c>
      <c r="C421" s="346">
        <v>158113735.63</v>
      </c>
      <c r="D421" s="1319">
        <v>-3.2530000000000001</v>
      </c>
      <c r="E421" s="14">
        <f>B421-Index_Returns!AI421</f>
        <v>0.34012999999999982</v>
      </c>
      <c r="F421" s="1286"/>
      <c r="G421" s="781"/>
      <c r="I421" s="1311"/>
      <c r="J421" s="14"/>
    </row>
    <row r="422" spans="1:10" x14ac:dyDescent="0.2">
      <c r="A422" s="345">
        <v>40359</v>
      </c>
      <c r="B422" s="253">
        <v>1.1893</v>
      </c>
      <c r="C422" s="346">
        <v>160044786.72999999</v>
      </c>
      <c r="D422" s="1311">
        <v>1.1892499999999999</v>
      </c>
      <c r="E422" s="14">
        <f>B422-Index_Returns!AI422</f>
        <v>-5.5169999999999941E-2</v>
      </c>
      <c r="F422" s="1286"/>
      <c r="G422" s="781"/>
      <c r="I422" s="1311"/>
      <c r="J422" s="14"/>
    </row>
    <row r="423" spans="1:10" x14ac:dyDescent="0.2">
      <c r="A423" s="345">
        <v>40390</v>
      </c>
      <c r="B423" s="253">
        <v>3.5587</v>
      </c>
      <c r="C423" s="346">
        <v>165675184.24000001</v>
      </c>
      <c r="D423" s="1319">
        <v>3.5587</v>
      </c>
      <c r="E423" s="14">
        <f>B423-Index_Returns!AI423</f>
        <v>2.6899999999998592E-3</v>
      </c>
      <c r="F423" s="1286"/>
      <c r="G423" s="781"/>
      <c r="I423" s="1311"/>
      <c r="J423" s="14"/>
    </row>
    <row r="424" spans="1:10" x14ac:dyDescent="0.2">
      <c r="A424" s="345">
        <v>40421</v>
      </c>
      <c r="B424" s="253">
        <v>5.9299999999999999E-2</v>
      </c>
      <c r="C424" s="346">
        <v>165780264.03</v>
      </c>
      <c r="D424" s="258">
        <v>5.9299999999999999E-2</v>
      </c>
      <c r="E424" s="14">
        <f>B424-Index_Returns!AI424</f>
        <v>2.2769999999999999E-2</v>
      </c>
      <c r="F424" s="1286"/>
      <c r="G424" s="781"/>
      <c r="I424" s="1311"/>
      <c r="J424" s="14"/>
    </row>
    <row r="425" spans="1:10" x14ac:dyDescent="0.2">
      <c r="A425" s="345">
        <v>40451</v>
      </c>
      <c r="B425" s="258">
        <v>2.5371000000000001</v>
      </c>
      <c r="C425" s="346">
        <v>221112187.88</v>
      </c>
      <c r="D425" s="258">
        <v>2.5371000000000001</v>
      </c>
      <c r="E425" s="14">
        <f>B425-Index_Returns!AI425</f>
        <v>-0.4755499999999997</v>
      </c>
      <c r="F425" s="1286"/>
      <c r="G425" s="781"/>
      <c r="I425" s="1311"/>
      <c r="J425" s="14"/>
    </row>
    <row r="426" spans="1:10" x14ac:dyDescent="0.2">
      <c r="A426" s="345">
        <v>40482</v>
      </c>
      <c r="B426" s="258">
        <v>2.6516000000000002</v>
      </c>
      <c r="C426" s="346">
        <v>277797044.35000002</v>
      </c>
      <c r="D426" s="258">
        <v>2.6516000000000002</v>
      </c>
      <c r="E426" s="14">
        <f>B426-Index_Returns!AI426</f>
        <v>6.8900000000000183E-2</v>
      </c>
      <c r="F426" s="1286"/>
      <c r="G426" s="781"/>
      <c r="I426" s="1311"/>
      <c r="J426" s="14"/>
    </row>
    <row r="427" spans="1:10" x14ac:dyDescent="0.2">
      <c r="A427" s="345">
        <v>40512</v>
      </c>
      <c r="B427" s="253">
        <v>-1.4097</v>
      </c>
      <c r="C427" s="346">
        <v>273747856.49000001</v>
      </c>
      <c r="D427" s="258">
        <v>-1.4097</v>
      </c>
      <c r="E427" s="14">
        <f>B427-Index_Returns!AI427</f>
        <v>-0.24099000000000004</v>
      </c>
      <c r="I427" s="1311"/>
      <c r="J427" s="14"/>
    </row>
    <row r="428" spans="1:10" x14ac:dyDescent="0.2">
      <c r="A428" s="345">
        <v>40543</v>
      </c>
      <c r="B428" s="253">
        <v>1.7906</v>
      </c>
      <c r="C428" s="346">
        <v>278723480.08999997</v>
      </c>
      <c r="D428" s="258">
        <v>1.7906</v>
      </c>
      <c r="E428" s="14">
        <f>B428-Index_Returns!AI428</f>
        <v>-2.259000000000011E-2</v>
      </c>
      <c r="I428" s="1311"/>
      <c r="J428" s="14"/>
    </row>
    <row r="429" spans="1:10" x14ac:dyDescent="0.2">
      <c r="A429" s="345">
        <v>40574</v>
      </c>
      <c r="B429" s="253">
        <v>1.7841</v>
      </c>
      <c r="C429" s="346">
        <v>283679601.31999999</v>
      </c>
      <c r="D429" s="258">
        <v>1.7841</v>
      </c>
      <c r="E429" s="14">
        <f>B429-Index_Returns!AI429</f>
        <v>-0.42214000000000018</v>
      </c>
      <c r="I429" s="1311"/>
      <c r="J429" s="14"/>
    </row>
    <row r="430" spans="1:10" x14ac:dyDescent="0.2">
      <c r="A430" s="345">
        <v>40602</v>
      </c>
      <c r="B430" s="253">
        <v>1.2565</v>
      </c>
      <c r="C430" s="346">
        <v>263206008.50999999</v>
      </c>
      <c r="D430" s="258">
        <v>1.2565</v>
      </c>
      <c r="E430" s="14">
        <f>B430-Index_Returns!AI430</f>
        <v>-5.4220000000000157E-2</v>
      </c>
      <c r="I430" s="1311"/>
      <c r="J430" s="14"/>
    </row>
    <row r="431" spans="1:10" x14ac:dyDescent="0.2">
      <c r="A431" s="345">
        <v>40633</v>
      </c>
      <c r="B431" s="253">
        <f>D431</f>
        <v>0.31981999999999999</v>
      </c>
      <c r="C431" s="346">
        <v>137749687.15000001</v>
      </c>
      <c r="D431" s="258">
        <v>0.31981999999999999</v>
      </c>
      <c r="E431" s="14">
        <f>B431-Index_Returns!AI431</f>
        <v>-3.6599999999999966E-3</v>
      </c>
      <c r="I431" s="1311"/>
      <c r="J431" s="14"/>
    </row>
    <row r="432" spans="1:10" x14ac:dyDescent="0.2">
      <c r="A432" s="345">
        <v>40663</v>
      </c>
      <c r="B432" s="253">
        <f t="shared" ref="B432:B469" si="0">D432</f>
        <v>1.5867500000000001</v>
      </c>
      <c r="C432" s="346">
        <v>139955165.66999999</v>
      </c>
      <c r="D432" s="258">
        <v>1.5867500000000001</v>
      </c>
      <c r="E432" s="14">
        <f>B432-Index_Returns!AI432</f>
        <v>3.6950000000000038E-2</v>
      </c>
      <c r="I432" s="1311"/>
      <c r="J432" s="14"/>
    </row>
    <row r="433" spans="1:10" x14ac:dyDescent="0.2">
      <c r="A433" s="345">
        <v>40694</v>
      </c>
      <c r="B433" s="253">
        <f t="shared" si="0"/>
        <v>-0.12146999999999999</v>
      </c>
      <c r="C433" s="346">
        <v>140053864.53999999</v>
      </c>
      <c r="D433" s="1311">
        <v>-0.12146999999999999</v>
      </c>
      <c r="E433" s="14">
        <f>B433-Index_Returns!AI433</f>
        <v>-0.60926000000000002</v>
      </c>
      <c r="I433" s="1311"/>
      <c r="J433" s="14"/>
    </row>
    <row r="434" spans="1:10" x14ac:dyDescent="0.2">
      <c r="A434" s="345">
        <v>40724</v>
      </c>
      <c r="B434" s="253">
        <f t="shared" si="0"/>
        <v>-1.1272200000000001</v>
      </c>
      <c r="C434" s="346">
        <v>138444795.28</v>
      </c>
      <c r="D434" s="258">
        <v>-1.1272200000000001</v>
      </c>
      <c r="E434" s="14">
        <f>B434-Index_Returns!AI434</f>
        <v>-0.15359000000000012</v>
      </c>
      <c r="I434" s="1311"/>
      <c r="J434" s="14"/>
    </row>
    <row r="435" spans="1:10" x14ac:dyDescent="0.2">
      <c r="A435" s="345">
        <v>40755</v>
      </c>
      <c r="B435" s="253">
        <f t="shared" si="0"/>
        <v>1.4393800000000001</v>
      </c>
      <c r="C435" s="346">
        <v>140432843.38999999</v>
      </c>
      <c r="D435" s="258">
        <v>1.4393800000000001</v>
      </c>
      <c r="E435" s="14">
        <f>B435-Index_Returns!AI435</f>
        <v>0.28041000000000005</v>
      </c>
      <c r="I435" s="1311"/>
      <c r="J435" s="14"/>
    </row>
    <row r="436" spans="1:10" x14ac:dyDescent="0.2">
      <c r="A436" s="345">
        <v>40786</v>
      </c>
      <c r="B436" s="253">
        <f t="shared" si="0"/>
        <v>-3.7512099999999999</v>
      </c>
      <c r="C436" s="346">
        <v>135312931.09</v>
      </c>
      <c r="D436" s="258">
        <v>-3.7512099999999999</v>
      </c>
      <c r="E436" s="14">
        <f>B436-Index_Returns!AI436</f>
        <v>0.25129000000000046</v>
      </c>
      <c r="I436" s="1311"/>
      <c r="J436" s="14"/>
    </row>
    <row r="437" spans="1:10" x14ac:dyDescent="0.2">
      <c r="A437" s="345">
        <v>40816</v>
      </c>
      <c r="B437" s="253">
        <f t="shared" si="0"/>
        <v>-2.4254500000000001</v>
      </c>
      <c r="C437" s="346">
        <v>132089988.8</v>
      </c>
      <c r="D437" s="258">
        <v>-2.4254500000000001</v>
      </c>
      <c r="E437" s="14">
        <f>B437-Index_Returns!AI437</f>
        <v>0.84339999999999993</v>
      </c>
      <c r="I437" s="1311"/>
      <c r="J437" s="14"/>
    </row>
    <row r="438" spans="1:10" x14ac:dyDescent="0.2">
      <c r="A438" s="345">
        <v>40847</v>
      </c>
      <c r="B438" s="253">
        <f t="shared" si="0"/>
        <v>5.2987200000000003</v>
      </c>
      <c r="C438" s="346">
        <v>139244935.97999999</v>
      </c>
      <c r="D438" s="258">
        <v>5.2987200000000003</v>
      </c>
      <c r="E438" s="14">
        <f>B438-Index_Returns!AI438</f>
        <v>-0.69429999999999925</v>
      </c>
      <c r="I438" s="1311"/>
      <c r="J438" s="14"/>
    </row>
    <row r="439" spans="1:10" x14ac:dyDescent="0.2">
      <c r="A439" s="345">
        <v>40877</v>
      </c>
      <c r="B439" s="253">
        <f t="shared" si="0"/>
        <v>-1.64503</v>
      </c>
      <c r="C439" s="346">
        <v>136937831.91</v>
      </c>
      <c r="D439" s="258">
        <v>-1.64503</v>
      </c>
      <c r="E439" s="14">
        <f>B439-Index_Returns!AI439</f>
        <v>0.51122000000000001</v>
      </c>
      <c r="I439" s="1311"/>
      <c r="J439" s="14"/>
    </row>
    <row r="440" spans="1:10" x14ac:dyDescent="0.2">
      <c r="A440" s="345">
        <v>40908</v>
      </c>
      <c r="B440" s="253">
        <f t="shared" si="0"/>
        <v>2.6316099999999998</v>
      </c>
      <c r="C440" s="346">
        <v>140523757.94</v>
      </c>
      <c r="D440" s="1311">
        <v>2.6316099999999998</v>
      </c>
      <c r="E440" s="14">
        <f>B440-Index_Returns!AI440</f>
        <v>-2.5030000000000108E-2</v>
      </c>
      <c r="I440" s="1311"/>
      <c r="J440" s="14"/>
    </row>
    <row r="441" spans="1:10" x14ac:dyDescent="0.2">
      <c r="A441" s="345">
        <v>40939</v>
      </c>
      <c r="B441" s="253">
        <f t="shared" si="0"/>
        <v>2.3874</v>
      </c>
      <c r="C441" s="346">
        <v>143882381.03</v>
      </c>
      <c r="D441" s="1311">
        <v>2.3874</v>
      </c>
      <c r="E441" s="14">
        <f>B441-Index_Returns!AI441</f>
        <v>-0.64844999999999997</v>
      </c>
      <c r="I441" s="1311"/>
      <c r="J441" s="14"/>
    </row>
    <row r="442" spans="1:10" x14ac:dyDescent="0.2">
      <c r="A442" s="345">
        <v>40968</v>
      </c>
      <c r="B442" s="253">
        <f t="shared" si="0"/>
        <v>1.79637</v>
      </c>
      <c r="C442" s="346">
        <v>146598429.37</v>
      </c>
      <c r="D442" s="1311">
        <v>1.79637</v>
      </c>
      <c r="E442" s="14">
        <f>B442-Index_Returns!AI442</f>
        <v>-0.57847999999999988</v>
      </c>
      <c r="I442" s="1311"/>
      <c r="J442" s="14"/>
    </row>
    <row r="443" spans="1:10" x14ac:dyDescent="0.2">
      <c r="A443" s="345">
        <v>40999</v>
      </c>
      <c r="B443" s="253">
        <f t="shared" si="0"/>
        <v>-0.24424999999999999</v>
      </c>
      <c r="C443" s="346">
        <v>146251821.65000001</v>
      </c>
      <c r="D443" s="258">
        <v>-0.24424999999999999</v>
      </c>
      <c r="E443" s="14">
        <f>B443-Index_Returns!AI443</f>
        <v>-0.10508999999999999</v>
      </c>
      <c r="I443" s="1311"/>
      <c r="J443" s="14"/>
    </row>
    <row r="444" spans="1:10" x14ac:dyDescent="0.2">
      <c r="A444" s="345">
        <v>41029</v>
      </c>
      <c r="B444" s="253">
        <f t="shared" si="0"/>
        <v>0.97491000000000005</v>
      </c>
      <c r="C444" s="346">
        <v>147679194.33000001</v>
      </c>
      <c r="D444" s="1311">
        <v>0.97491000000000005</v>
      </c>
      <c r="E444" s="14">
        <f>B444-Index_Returns!AI444</f>
        <v>-7.1899999999999964E-2</v>
      </c>
      <c r="I444" s="1311"/>
      <c r="J444" s="14"/>
    </row>
    <row r="445" spans="1:10" x14ac:dyDescent="0.2">
      <c r="A445" s="345">
        <v>41060</v>
      </c>
      <c r="B445" s="253">
        <f t="shared" si="0"/>
        <v>-1.7598100000000001</v>
      </c>
      <c r="C445" s="346">
        <v>145230487.21000001</v>
      </c>
      <c r="D445" s="1311">
        <v>-1.7598100000000001</v>
      </c>
      <c r="E445" s="14">
        <f>B445-Index_Returns!AI445</f>
        <v>-0.45387</v>
      </c>
      <c r="I445" s="1311"/>
      <c r="J445" s="14"/>
    </row>
    <row r="446" spans="1:10" x14ac:dyDescent="0.2">
      <c r="A446" s="345">
        <v>41090</v>
      </c>
      <c r="B446" s="253">
        <f t="shared" si="0"/>
        <v>2.0408599999999999</v>
      </c>
      <c r="C446" s="346">
        <v>148195869.87</v>
      </c>
      <c r="D446" s="1311">
        <v>2.0408599999999999</v>
      </c>
      <c r="E446" s="14">
        <f>B446-Index_Returns!AI446</f>
        <v>-7.0860000000000145E-2</v>
      </c>
      <c r="I446" s="1311"/>
      <c r="J446" s="14"/>
    </row>
    <row r="447" spans="1:10" x14ac:dyDescent="0.2">
      <c r="A447" s="345">
        <v>41121</v>
      </c>
      <c r="B447" s="253">
        <f t="shared" si="0"/>
        <v>1.5651900000000001</v>
      </c>
      <c r="C447" s="346">
        <v>151006745.53999999</v>
      </c>
      <c r="D447" s="258">
        <v>1.5651900000000001</v>
      </c>
      <c r="E447" s="14">
        <f>B447-Index_Returns!AI447</f>
        <v>-0.33708999999999989</v>
      </c>
      <c r="I447" s="1311"/>
      <c r="J447" s="14"/>
    </row>
    <row r="448" spans="1:10" x14ac:dyDescent="0.2">
      <c r="A448" s="345">
        <v>41152</v>
      </c>
      <c r="B448" s="253">
        <f t="shared" si="0"/>
        <v>0.80801000000000001</v>
      </c>
      <c r="C448" s="346">
        <v>151884609.21000001</v>
      </c>
      <c r="D448" s="258">
        <v>0.80801000000000001</v>
      </c>
      <c r="E448" s="14">
        <f>B448-Index_Returns!AI448</f>
        <v>-0.36259000000000008</v>
      </c>
      <c r="I448" s="1311"/>
      <c r="J448" s="14"/>
    </row>
    <row r="449" spans="1:10" x14ac:dyDescent="0.2">
      <c r="A449" s="345">
        <v>41182</v>
      </c>
      <c r="B449" s="253">
        <f t="shared" si="0"/>
        <v>0.98070000000000002</v>
      </c>
      <c r="C449" s="346">
        <v>153386701.36000001</v>
      </c>
      <c r="D449" s="1311">
        <v>0.98070000000000002</v>
      </c>
      <c r="E449" s="14">
        <f>B449-Index_Returns!AI449</f>
        <v>-0.41096999999999995</v>
      </c>
      <c r="I449" s="1311"/>
      <c r="J449" s="14"/>
    </row>
    <row r="450" spans="1:10" x14ac:dyDescent="0.2">
      <c r="A450" s="345">
        <v>41213</v>
      </c>
      <c r="B450" s="253">
        <f t="shared" si="0"/>
        <v>0.52368000000000003</v>
      </c>
      <c r="C450" s="346">
        <v>154187883.16999999</v>
      </c>
      <c r="D450" s="1311">
        <v>0.52368000000000003</v>
      </c>
      <c r="E450" s="14">
        <f>B450-Index_Returns!AI450</f>
        <v>-0.35492999999999997</v>
      </c>
      <c r="I450" s="1311"/>
      <c r="J450" s="14"/>
    </row>
    <row r="451" spans="1:10" x14ac:dyDescent="0.2">
      <c r="A451" s="345">
        <v>41243</v>
      </c>
      <c r="B451" s="253">
        <f t="shared" si="0"/>
        <v>0.68040999999999996</v>
      </c>
      <c r="C451" s="346">
        <v>155386581.30000001</v>
      </c>
      <c r="D451" s="258">
        <v>0.68040999999999996</v>
      </c>
      <c r="E451" s="14">
        <f>B451-Index_Returns!AI451</f>
        <v>-0.11968000000000001</v>
      </c>
      <c r="I451" s="1311"/>
      <c r="J451" s="14"/>
    </row>
    <row r="452" spans="1:10" x14ac:dyDescent="0.2">
      <c r="A452" s="345">
        <v>41274</v>
      </c>
      <c r="B452" s="253">
        <f t="shared" si="0"/>
        <v>1.27274</v>
      </c>
      <c r="C452" s="346">
        <v>157339416.44</v>
      </c>
      <c r="D452" s="258">
        <v>1.27274</v>
      </c>
      <c r="E452" s="14">
        <f>B452-Index_Returns!AI452</f>
        <v>-0.30282999999999993</v>
      </c>
      <c r="I452" s="1311"/>
      <c r="J452" s="14"/>
    </row>
    <row r="453" spans="1:10" x14ac:dyDescent="0.2">
      <c r="A453" s="345">
        <v>41305</v>
      </c>
      <c r="B453" s="253">
        <f t="shared" si="0"/>
        <v>0.77780000000000005</v>
      </c>
      <c r="C453" s="346">
        <v>158610734.81</v>
      </c>
      <c r="D453" s="258">
        <v>0.77780000000000005</v>
      </c>
      <c r="E453" s="14">
        <f>B453-Index_Returns!AI453</f>
        <v>-0.56272999999999995</v>
      </c>
      <c r="I453" s="1311"/>
      <c r="J453" s="14"/>
    </row>
    <row r="454" spans="1:10" x14ac:dyDescent="0.2">
      <c r="A454" s="345">
        <v>41333</v>
      </c>
      <c r="B454" s="253">
        <f t="shared" si="0"/>
        <v>0.19114</v>
      </c>
      <c r="C454" s="346">
        <v>159057185.81999999</v>
      </c>
      <c r="D454" s="258">
        <v>0.19114</v>
      </c>
      <c r="E454" s="14">
        <f>B454-Index_Returns!AI454</f>
        <v>-0.31667000000000001</v>
      </c>
      <c r="I454" s="1311"/>
      <c r="J454" s="14"/>
    </row>
    <row r="455" spans="1:10" x14ac:dyDescent="0.2">
      <c r="A455" s="345">
        <v>41364</v>
      </c>
      <c r="B455" s="253">
        <f t="shared" si="0"/>
        <v>0.86480999999999997</v>
      </c>
      <c r="C455" s="346">
        <v>160404971.03</v>
      </c>
      <c r="D455" s="258">
        <v>0.86480999999999997</v>
      </c>
      <c r="E455" s="14">
        <f>B455-Index_Returns!AI455</f>
        <v>-0.15349000000000002</v>
      </c>
      <c r="I455" s="1311"/>
      <c r="J455" s="14"/>
    </row>
    <row r="456" spans="1:10" x14ac:dyDescent="0.2">
      <c r="A456" s="345">
        <v>41394</v>
      </c>
      <c r="B456" s="253">
        <f t="shared" si="0"/>
        <v>1.73919</v>
      </c>
      <c r="C456" s="346">
        <v>163160416.69</v>
      </c>
      <c r="D456" s="258">
        <v>1.73919</v>
      </c>
      <c r="E456" s="14">
        <f>B456-Index_Returns!AI456</f>
        <v>-6.9900000000000073E-2</v>
      </c>
      <c r="I456" s="1311"/>
      <c r="J456" s="14"/>
    </row>
    <row r="457" spans="1:10" x14ac:dyDescent="0.2">
      <c r="A457" s="345">
        <v>41425</v>
      </c>
      <c r="B457" s="253">
        <f t="shared" si="0"/>
        <v>-1.0187900000000001</v>
      </c>
      <c r="C457" s="346">
        <v>161738250.90000001</v>
      </c>
      <c r="D457" s="1311">
        <v>-1.0187900000000001</v>
      </c>
      <c r="E457" s="14">
        <f>B457-Index_Returns!AI457</f>
        <v>-0.4387700000000001</v>
      </c>
      <c r="I457" s="1311"/>
      <c r="J457" s="14"/>
    </row>
    <row r="458" spans="1:10" x14ac:dyDescent="0.2">
      <c r="A458" s="345">
        <v>41455</v>
      </c>
      <c r="B458" s="253">
        <f t="shared" si="0"/>
        <v>-2.3389600000000002</v>
      </c>
      <c r="C458" s="1307">
        <v>157940769.71000001</v>
      </c>
      <c r="D458" s="1311">
        <v>-2.3389600000000002</v>
      </c>
      <c r="E458" s="14">
        <f>B458-Index_Returns!AI458</f>
        <v>0.28323999999999971</v>
      </c>
      <c r="I458" s="1311"/>
      <c r="J458" s="14"/>
    </row>
    <row r="459" spans="1:10" x14ac:dyDescent="0.2">
      <c r="A459" s="345">
        <v>41486</v>
      </c>
      <c r="B459" s="253">
        <f>D459</f>
        <v>2.0535999999999999</v>
      </c>
      <c r="C459" s="346">
        <v>161187173.62</v>
      </c>
      <c r="D459" s="258">
        <v>2.0535999999999999</v>
      </c>
      <c r="E459" s="14">
        <f>B459-Index_Returns!AI459</f>
        <v>0.15829999999999989</v>
      </c>
      <c r="I459" s="1311"/>
      <c r="J459" s="14"/>
    </row>
    <row r="460" spans="1:10" x14ac:dyDescent="0.2">
      <c r="A460" s="345">
        <v>41517</v>
      </c>
      <c r="B460" s="253">
        <f t="shared" si="0"/>
        <v>-1.0910200000000001</v>
      </c>
      <c r="C460" s="346">
        <v>159599526.31</v>
      </c>
      <c r="D460" s="258">
        <v>-1.0910200000000001</v>
      </c>
      <c r="E460" s="14">
        <f>B460-Index_Returns!AI460</f>
        <v>-0.48367000000000016</v>
      </c>
    </row>
    <row r="461" spans="1:10" x14ac:dyDescent="0.2">
      <c r="A461" s="345">
        <v>41547</v>
      </c>
      <c r="B461" s="253">
        <f t="shared" si="0"/>
        <v>1.00705</v>
      </c>
      <c r="C461" s="346">
        <v>161206765.11000001</v>
      </c>
      <c r="D461" s="258">
        <v>1.00705</v>
      </c>
      <c r="E461" s="14">
        <f>B461-Index_Returns!AI461</f>
        <v>1.3939999999999952E-2</v>
      </c>
    </row>
    <row r="462" spans="1:10" x14ac:dyDescent="0.2">
      <c r="A462" s="345">
        <v>41578</v>
      </c>
      <c r="B462" s="253">
        <f t="shared" si="0"/>
        <v>2.4966699999999999</v>
      </c>
      <c r="C462" s="346">
        <v>165231559.93000001</v>
      </c>
      <c r="D462" s="258">
        <v>2.4966699999999999</v>
      </c>
      <c r="E462" s="14">
        <f>B462-Index_Returns!AI462</f>
        <v>-8.65999999999989E-3</v>
      </c>
    </row>
    <row r="463" spans="1:10" x14ac:dyDescent="0.2">
      <c r="A463" s="345">
        <v>41608</v>
      </c>
      <c r="B463" s="253">
        <f t="shared" si="0"/>
        <v>0.33445000000000003</v>
      </c>
      <c r="C463" s="346">
        <v>165954549.69999999</v>
      </c>
      <c r="D463" s="258">
        <v>0.33445000000000003</v>
      </c>
      <c r="E463" s="14">
        <f>B463-Index_Returns!AI463</f>
        <v>-0.17308000000000001</v>
      </c>
    </row>
    <row r="464" spans="1:10" x14ac:dyDescent="0.2">
      <c r="A464" s="345">
        <v>41639</v>
      </c>
      <c r="B464" s="253">
        <f t="shared" si="0"/>
        <v>0.72441</v>
      </c>
      <c r="C464" s="346">
        <v>167156738.75</v>
      </c>
      <c r="D464" s="258">
        <v>0.72441</v>
      </c>
      <c r="E464" s="14">
        <f>B464-Index_Returns!AI464</f>
        <v>0.18472999999999995</v>
      </c>
    </row>
    <row r="465" spans="1:5" x14ac:dyDescent="0.2">
      <c r="A465" s="345">
        <v>41670</v>
      </c>
      <c r="B465" s="253">
        <f t="shared" si="0"/>
        <v>0.42714000000000002</v>
      </c>
      <c r="C465" s="346">
        <v>168043794.47</v>
      </c>
      <c r="D465" s="258">
        <v>0.42714000000000002</v>
      </c>
      <c r="E465" s="14">
        <f>B465-Index_Returns!AI465</f>
        <v>-0.27401000000000003</v>
      </c>
    </row>
    <row r="466" spans="1:5" x14ac:dyDescent="0.2">
      <c r="A466" s="345">
        <v>41698</v>
      </c>
      <c r="B466" s="253">
        <f t="shared" si="0"/>
        <v>1.9891300000000001</v>
      </c>
      <c r="C466" s="346">
        <v>171386401.27000001</v>
      </c>
      <c r="D466" s="258">
        <v>1.9891300000000001</v>
      </c>
      <c r="E466" s="14">
        <f>B466-Index_Returns!AI466</f>
        <v>-3.3979999999999899E-2</v>
      </c>
    </row>
    <row r="467" spans="1:5" x14ac:dyDescent="0.2">
      <c r="A467" s="345">
        <v>41729</v>
      </c>
      <c r="B467" s="253">
        <f t="shared" si="0"/>
        <v>0.43164999999999998</v>
      </c>
      <c r="C467" s="346">
        <v>172126185.46000001</v>
      </c>
      <c r="D467" s="258">
        <v>0.43164999999999998</v>
      </c>
      <c r="E467" s="14">
        <f>B467-Index_Returns!AI467</f>
        <v>0.19527999999999998</v>
      </c>
    </row>
    <row r="468" spans="1:5" x14ac:dyDescent="0.2">
      <c r="A468" s="345">
        <v>41759</v>
      </c>
      <c r="B468" s="253">
        <f t="shared" si="0"/>
        <v>0.59384999999999999</v>
      </c>
      <c r="C468" s="346">
        <v>173148352.86000001</v>
      </c>
      <c r="D468" s="258">
        <v>0.59384999999999999</v>
      </c>
      <c r="E468" s="14">
        <f>B468-Index_Returns!AI468</f>
        <v>-3.949999999999998E-2</v>
      </c>
    </row>
    <row r="469" spans="1:5" x14ac:dyDescent="0.2">
      <c r="A469" s="345">
        <v>41790</v>
      </c>
      <c r="B469" s="253">
        <f t="shared" si="0"/>
        <v>0.75902999999999998</v>
      </c>
      <c r="C469" s="346">
        <v>74423707.980000004</v>
      </c>
      <c r="D469" s="258">
        <v>0.75902999999999998</v>
      </c>
      <c r="E469" s="14">
        <f>B469-Index_Returns!AI469</f>
        <v>-0.16083999999999998</v>
      </c>
    </row>
    <row r="470" spans="1:5" x14ac:dyDescent="0.2">
      <c r="A470" s="345"/>
      <c r="B470" s="253"/>
    </row>
    <row r="471" spans="1:5" x14ac:dyDescent="0.2">
      <c r="A471" s="345"/>
      <c r="B471" s="253"/>
    </row>
    <row r="472" spans="1:5" x14ac:dyDescent="0.2">
      <c r="A472" s="345"/>
      <c r="B472" s="253"/>
    </row>
    <row r="473" spans="1:5" x14ac:dyDescent="0.2">
      <c r="A473" s="345"/>
      <c r="B473" s="253"/>
    </row>
    <row r="474" spans="1:5" x14ac:dyDescent="0.2">
      <c r="A474" s="345"/>
      <c r="B474" s="253"/>
    </row>
    <row r="475" spans="1:5" x14ac:dyDescent="0.2">
      <c r="A475" s="345"/>
      <c r="B475" s="253"/>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tabColor rgb="FFFF0000"/>
  </sheetPr>
  <dimension ref="A1:I488"/>
  <sheetViews>
    <sheetView workbookViewId="0">
      <pane xSplit="1" ySplit="2" topLeftCell="B446" activePane="bottomRight" state="frozen"/>
      <selection pane="topRight" activeCell="B1" sqref="B1"/>
      <selection pane="bottomLeft" activeCell="A3" sqref="A3"/>
      <selection pane="bottomRight" activeCell="F1" sqref="F1"/>
    </sheetView>
  </sheetViews>
  <sheetFormatPr defaultRowHeight="12.75" x14ac:dyDescent="0.2"/>
  <cols>
    <col min="1" max="1" width="18.7109375" style="1308" customWidth="1"/>
    <col min="2" max="2" width="18.7109375" style="1309" customWidth="1"/>
    <col min="3" max="3" width="18.7109375" style="1307" customWidth="1"/>
    <col min="4" max="4" width="18.7109375" style="1306" customWidth="1"/>
    <col min="5" max="5" width="9.140625" style="1301"/>
    <col min="6" max="6" width="12.42578125" style="1266" bestFit="1" customWidth="1"/>
    <col min="7" max="8" width="9.140625" style="1301"/>
    <col min="9" max="16384" width="9.140625" style="1266"/>
  </cols>
  <sheetData>
    <row r="1" spans="1:6" s="1266" customFormat="1" x14ac:dyDescent="0.2">
      <c r="A1" s="1289" t="s">
        <v>885</v>
      </c>
      <c r="B1" s="1290"/>
      <c r="C1" s="1386" t="s">
        <v>666</v>
      </c>
      <c r="D1" s="1373">
        <v>25</v>
      </c>
      <c r="E1" s="1301"/>
      <c r="F1" s="1308" t="s">
        <v>755</v>
      </c>
    </row>
    <row r="2" spans="1:6" s="1266" customFormat="1" x14ac:dyDescent="0.2">
      <c r="A2" s="1291" t="s">
        <v>27</v>
      </c>
      <c r="B2" s="1292" t="s">
        <v>91</v>
      </c>
      <c r="C2" s="1294" t="s">
        <v>92</v>
      </c>
      <c r="D2" s="1292" t="s">
        <v>90</v>
      </c>
      <c r="E2" s="1374" t="s">
        <v>80</v>
      </c>
    </row>
    <row r="3" spans="1:6" s="1266" customFormat="1" x14ac:dyDescent="0.2">
      <c r="A3" s="1293">
        <v>27606</v>
      </c>
      <c r="B3" s="1292"/>
      <c r="C3" s="1294"/>
      <c r="D3" s="1292"/>
      <c r="E3" s="1301"/>
    </row>
    <row r="4" spans="1:6" s="1266" customFormat="1" x14ac:dyDescent="0.2">
      <c r="A4" s="1293">
        <v>27637</v>
      </c>
      <c r="B4" s="1292"/>
      <c r="C4" s="1294"/>
      <c r="D4" s="1292"/>
      <c r="E4" s="1301"/>
    </row>
    <row r="5" spans="1:6" s="1266" customFormat="1" x14ac:dyDescent="0.2">
      <c r="A5" s="1293">
        <v>27667</v>
      </c>
      <c r="B5" s="1292"/>
      <c r="C5" s="1294"/>
      <c r="D5" s="1292"/>
      <c r="E5" s="1301"/>
    </row>
    <row r="6" spans="1:6" s="1266" customFormat="1" x14ac:dyDescent="0.2">
      <c r="A6" s="1293">
        <v>27698</v>
      </c>
      <c r="B6" s="1292"/>
      <c r="C6" s="1294"/>
      <c r="D6" s="1292"/>
      <c r="E6" s="1301"/>
    </row>
    <row r="7" spans="1:6" s="1266" customFormat="1" x14ac:dyDescent="0.2">
      <c r="A7" s="1293">
        <v>27728</v>
      </c>
      <c r="B7" s="1292"/>
      <c r="C7" s="1294"/>
      <c r="D7" s="1292"/>
      <c r="E7" s="1301"/>
    </row>
    <row r="8" spans="1:6" s="1266" customFormat="1" x14ac:dyDescent="0.2">
      <c r="A8" s="1293">
        <v>27759</v>
      </c>
      <c r="B8" s="1292"/>
      <c r="C8" s="1294"/>
      <c r="D8" s="1292"/>
      <c r="E8" s="1301"/>
    </row>
    <row r="9" spans="1:6" s="1266" customFormat="1" x14ac:dyDescent="0.2">
      <c r="A9" s="1293">
        <v>27790</v>
      </c>
      <c r="B9" s="1292"/>
      <c r="C9" s="1294"/>
      <c r="D9" s="1292"/>
      <c r="E9" s="1301"/>
    </row>
    <row r="10" spans="1:6" s="1266" customFormat="1" x14ac:dyDescent="0.2">
      <c r="A10" s="1293">
        <v>27819</v>
      </c>
      <c r="B10" s="1292"/>
      <c r="C10" s="1294"/>
      <c r="D10" s="1292"/>
      <c r="E10" s="1301"/>
    </row>
    <row r="11" spans="1:6" s="1266" customFormat="1" x14ac:dyDescent="0.2">
      <c r="A11" s="1293">
        <v>27850</v>
      </c>
      <c r="B11" s="1292"/>
      <c r="C11" s="1294"/>
      <c r="D11" s="1292"/>
      <c r="E11" s="1301"/>
    </row>
    <row r="12" spans="1:6" s="1266" customFormat="1" x14ac:dyDescent="0.2">
      <c r="A12" s="1293">
        <v>27880</v>
      </c>
      <c r="B12" s="1292"/>
      <c r="C12" s="1294"/>
      <c r="D12" s="1292"/>
      <c r="E12" s="1301"/>
    </row>
    <row r="13" spans="1:6" s="1266" customFormat="1" x14ac:dyDescent="0.2">
      <c r="A13" s="1293">
        <v>27911</v>
      </c>
      <c r="B13" s="1292"/>
      <c r="C13" s="1294"/>
      <c r="D13" s="1292"/>
      <c r="E13" s="1301"/>
    </row>
    <row r="14" spans="1:6" s="1266" customFormat="1" x14ac:dyDescent="0.2">
      <c r="A14" s="1293">
        <v>27941</v>
      </c>
      <c r="B14" s="1292"/>
      <c r="C14" s="1294"/>
      <c r="D14" s="1292"/>
      <c r="E14" s="1301"/>
    </row>
    <row r="15" spans="1:6" s="1266" customFormat="1" x14ac:dyDescent="0.2">
      <c r="A15" s="1293">
        <v>27972</v>
      </c>
      <c r="B15" s="1292"/>
      <c r="C15" s="1294"/>
      <c r="D15" s="1292"/>
      <c r="E15" s="1301"/>
    </row>
    <row r="16" spans="1:6" s="1266" customFormat="1" x14ac:dyDescent="0.2">
      <c r="A16" s="1293">
        <v>28003</v>
      </c>
      <c r="B16" s="1292"/>
      <c r="C16" s="1294"/>
      <c r="D16" s="1292"/>
      <c r="E16" s="1301"/>
    </row>
    <row r="17" spans="1:4" s="1266" customFormat="1" x14ac:dyDescent="0.2">
      <c r="A17" s="1293">
        <v>28033</v>
      </c>
      <c r="B17" s="1292"/>
      <c r="C17" s="1294"/>
      <c r="D17" s="1292"/>
    </row>
    <row r="18" spans="1:4" s="1266" customFormat="1" x14ac:dyDescent="0.2">
      <c r="A18" s="1293">
        <v>28064</v>
      </c>
      <c r="B18" s="1292"/>
      <c r="C18" s="1294"/>
      <c r="D18" s="1292"/>
    </row>
    <row r="19" spans="1:4" s="1266" customFormat="1" x14ac:dyDescent="0.2">
      <c r="A19" s="1293">
        <v>28094</v>
      </c>
      <c r="B19" s="1292"/>
      <c r="C19" s="1294"/>
      <c r="D19" s="1292"/>
    </row>
    <row r="20" spans="1:4" s="1266" customFormat="1" x14ac:dyDescent="0.2">
      <c r="A20" s="1293">
        <v>28125</v>
      </c>
      <c r="B20" s="1292"/>
      <c r="C20" s="1294"/>
      <c r="D20" s="1292"/>
    </row>
    <row r="21" spans="1:4" s="1266" customFormat="1" x14ac:dyDescent="0.2">
      <c r="A21" s="1293">
        <v>28156</v>
      </c>
      <c r="B21" s="1292"/>
      <c r="C21" s="1294"/>
      <c r="D21" s="1292"/>
    </row>
    <row r="22" spans="1:4" s="1266" customFormat="1" x14ac:dyDescent="0.2">
      <c r="A22" s="1293">
        <v>28184</v>
      </c>
      <c r="B22" s="1292"/>
      <c r="C22" s="1294"/>
      <c r="D22" s="1292"/>
    </row>
    <row r="23" spans="1:4" s="1266" customFormat="1" x14ac:dyDescent="0.2">
      <c r="A23" s="1293">
        <v>28215</v>
      </c>
      <c r="B23" s="1292"/>
      <c r="C23" s="1294"/>
      <c r="D23" s="1292"/>
    </row>
    <row r="24" spans="1:4" s="1266" customFormat="1" x14ac:dyDescent="0.2">
      <c r="A24" s="1293">
        <v>28245</v>
      </c>
      <c r="B24" s="1292"/>
      <c r="C24" s="1294"/>
      <c r="D24" s="1292"/>
    </row>
    <row r="25" spans="1:4" s="1266" customFormat="1" x14ac:dyDescent="0.2">
      <c r="A25" s="1293">
        <v>28276</v>
      </c>
      <c r="B25" s="1292"/>
      <c r="C25" s="1294"/>
      <c r="D25" s="1292"/>
    </row>
    <row r="26" spans="1:4" s="1266" customFormat="1" x14ac:dyDescent="0.2">
      <c r="A26" s="1293">
        <v>28306</v>
      </c>
      <c r="B26" s="1292"/>
      <c r="C26" s="1294"/>
      <c r="D26" s="1292"/>
    </row>
    <row r="27" spans="1:4" s="1266" customFormat="1" x14ac:dyDescent="0.2">
      <c r="A27" s="1293">
        <v>28337</v>
      </c>
      <c r="B27" s="1292"/>
      <c r="C27" s="1294"/>
      <c r="D27" s="1292"/>
    </row>
    <row r="28" spans="1:4" s="1266" customFormat="1" x14ac:dyDescent="0.2">
      <c r="A28" s="1293">
        <v>28368</v>
      </c>
      <c r="B28" s="1292"/>
      <c r="C28" s="1294"/>
      <c r="D28" s="1292"/>
    </row>
    <row r="29" spans="1:4" s="1266" customFormat="1" x14ac:dyDescent="0.2">
      <c r="A29" s="1293">
        <v>28398</v>
      </c>
      <c r="B29" s="1292"/>
      <c r="C29" s="1294"/>
      <c r="D29" s="1292"/>
    </row>
    <row r="30" spans="1:4" s="1266" customFormat="1" x14ac:dyDescent="0.2">
      <c r="A30" s="1293">
        <v>28429</v>
      </c>
      <c r="B30" s="1292"/>
      <c r="C30" s="1294"/>
      <c r="D30" s="1292"/>
    </row>
    <row r="31" spans="1:4" s="1266" customFormat="1" x14ac:dyDescent="0.2">
      <c r="A31" s="1293">
        <v>28459</v>
      </c>
      <c r="B31" s="1292"/>
      <c r="C31" s="1294"/>
      <c r="D31" s="1292"/>
    </row>
    <row r="32" spans="1:4" s="1266" customFormat="1" x14ac:dyDescent="0.2">
      <c r="A32" s="1293">
        <v>28490</v>
      </c>
      <c r="B32" s="1292"/>
      <c r="C32" s="1294"/>
      <c r="D32" s="1292"/>
    </row>
    <row r="33" spans="1:4" s="1266" customFormat="1" x14ac:dyDescent="0.2">
      <c r="A33" s="1293">
        <v>28521</v>
      </c>
      <c r="B33" s="1292"/>
      <c r="C33" s="1294"/>
      <c r="D33" s="1292"/>
    </row>
    <row r="34" spans="1:4" s="1266" customFormat="1" x14ac:dyDescent="0.2">
      <c r="A34" s="1293">
        <v>28549</v>
      </c>
      <c r="B34" s="1292"/>
      <c r="C34" s="1294"/>
      <c r="D34" s="1292"/>
    </row>
    <row r="35" spans="1:4" s="1266" customFormat="1" x14ac:dyDescent="0.2">
      <c r="A35" s="1293">
        <v>28580</v>
      </c>
      <c r="B35" s="1292"/>
      <c r="C35" s="1294"/>
      <c r="D35" s="1292"/>
    </row>
    <row r="36" spans="1:4" s="1266" customFormat="1" x14ac:dyDescent="0.2">
      <c r="A36" s="1293">
        <v>28610</v>
      </c>
      <c r="B36" s="1292"/>
      <c r="C36" s="1294"/>
      <c r="D36" s="1292"/>
    </row>
    <row r="37" spans="1:4" s="1266" customFormat="1" x14ac:dyDescent="0.2">
      <c r="A37" s="1293">
        <v>28641</v>
      </c>
      <c r="B37" s="1292"/>
      <c r="C37" s="1294"/>
      <c r="D37" s="1292"/>
    </row>
    <row r="38" spans="1:4" s="1266" customFormat="1" x14ac:dyDescent="0.2">
      <c r="A38" s="1293">
        <v>28671</v>
      </c>
      <c r="B38" s="1292"/>
      <c r="C38" s="1294"/>
      <c r="D38" s="1292"/>
    </row>
    <row r="39" spans="1:4" s="1266" customFormat="1" x14ac:dyDescent="0.2">
      <c r="A39" s="1293">
        <v>28702</v>
      </c>
      <c r="B39" s="1292"/>
      <c r="C39" s="1294"/>
      <c r="D39" s="1292"/>
    </row>
    <row r="40" spans="1:4" s="1266" customFormat="1" x14ac:dyDescent="0.2">
      <c r="A40" s="1293">
        <v>28733</v>
      </c>
      <c r="B40" s="1292"/>
      <c r="C40" s="1294"/>
      <c r="D40" s="1292"/>
    </row>
    <row r="41" spans="1:4" s="1266" customFormat="1" x14ac:dyDescent="0.2">
      <c r="A41" s="1293">
        <v>28763</v>
      </c>
      <c r="B41" s="1292"/>
      <c r="C41" s="1294"/>
      <c r="D41" s="1292"/>
    </row>
    <row r="42" spans="1:4" s="1266" customFormat="1" x14ac:dyDescent="0.2">
      <c r="A42" s="1293">
        <v>28794</v>
      </c>
      <c r="B42" s="1292"/>
      <c r="C42" s="1294"/>
      <c r="D42" s="1292"/>
    </row>
    <row r="43" spans="1:4" s="1266" customFormat="1" x14ac:dyDescent="0.2">
      <c r="A43" s="1293">
        <v>28824</v>
      </c>
      <c r="B43" s="1292"/>
      <c r="C43" s="1294"/>
      <c r="D43" s="1292"/>
    </row>
    <row r="44" spans="1:4" s="1266" customFormat="1" x14ac:dyDescent="0.2">
      <c r="A44" s="1293">
        <v>28855</v>
      </c>
      <c r="B44" s="1292"/>
      <c r="C44" s="1294"/>
      <c r="D44" s="1292"/>
    </row>
    <row r="45" spans="1:4" s="1266" customFormat="1" x14ac:dyDescent="0.2">
      <c r="A45" s="1293">
        <v>28886</v>
      </c>
      <c r="B45" s="1292"/>
      <c r="C45" s="1294"/>
      <c r="D45" s="1292"/>
    </row>
    <row r="46" spans="1:4" s="1266" customFormat="1" x14ac:dyDescent="0.2">
      <c r="A46" s="1293">
        <v>28914</v>
      </c>
      <c r="B46" s="1292"/>
      <c r="C46" s="1294"/>
      <c r="D46" s="1292"/>
    </row>
    <row r="47" spans="1:4" s="1266" customFormat="1" x14ac:dyDescent="0.2">
      <c r="A47" s="1293">
        <v>28945</v>
      </c>
      <c r="B47" s="1292"/>
      <c r="C47" s="1294"/>
      <c r="D47" s="1292"/>
    </row>
    <row r="48" spans="1:4" s="1266" customFormat="1" x14ac:dyDescent="0.2">
      <c r="A48" s="1293">
        <v>28975</v>
      </c>
      <c r="B48" s="1292"/>
      <c r="C48" s="1294"/>
      <c r="D48" s="1292"/>
    </row>
    <row r="49" spans="1:4" s="1266" customFormat="1" x14ac:dyDescent="0.2">
      <c r="A49" s="1293">
        <v>29006</v>
      </c>
      <c r="B49" s="1292"/>
      <c r="C49" s="1294"/>
      <c r="D49" s="1292"/>
    </row>
    <row r="50" spans="1:4" s="1266" customFormat="1" x14ac:dyDescent="0.2">
      <c r="A50" s="1293">
        <v>29036</v>
      </c>
      <c r="B50" s="1292"/>
      <c r="C50" s="1294"/>
      <c r="D50" s="1292"/>
    </row>
    <row r="51" spans="1:4" s="1266" customFormat="1" x14ac:dyDescent="0.2">
      <c r="A51" s="1293">
        <v>29067</v>
      </c>
      <c r="B51" s="1292"/>
      <c r="C51" s="1294"/>
      <c r="D51" s="1292"/>
    </row>
    <row r="52" spans="1:4" s="1266" customFormat="1" x14ac:dyDescent="0.2">
      <c r="A52" s="1293">
        <v>29098</v>
      </c>
      <c r="B52" s="1292"/>
      <c r="C52" s="1294"/>
      <c r="D52" s="1292"/>
    </row>
    <row r="53" spans="1:4" s="1266" customFormat="1" x14ac:dyDescent="0.2">
      <c r="A53" s="1293">
        <v>29128</v>
      </c>
      <c r="B53" s="1292"/>
      <c r="C53" s="1294"/>
      <c r="D53" s="1292"/>
    </row>
    <row r="54" spans="1:4" s="1266" customFormat="1" x14ac:dyDescent="0.2">
      <c r="A54" s="1293">
        <v>29159</v>
      </c>
      <c r="B54" s="1292"/>
      <c r="C54" s="1294"/>
      <c r="D54" s="1292"/>
    </row>
    <row r="55" spans="1:4" s="1266" customFormat="1" x14ac:dyDescent="0.2">
      <c r="A55" s="1293">
        <v>29189</v>
      </c>
      <c r="B55" s="1292"/>
      <c r="C55" s="1294"/>
      <c r="D55" s="1292"/>
    </row>
    <row r="56" spans="1:4" s="1266" customFormat="1" x14ac:dyDescent="0.2">
      <c r="A56" s="1293">
        <v>29220</v>
      </c>
      <c r="B56" s="1292"/>
      <c r="C56" s="1294"/>
      <c r="D56" s="1292"/>
    </row>
    <row r="57" spans="1:4" s="1266" customFormat="1" x14ac:dyDescent="0.2">
      <c r="A57" s="1293">
        <v>29251</v>
      </c>
      <c r="B57" s="1292"/>
      <c r="C57" s="1294"/>
      <c r="D57" s="1292"/>
    </row>
    <row r="58" spans="1:4" s="1266" customFormat="1" x14ac:dyDescent="0.2">
      <c r="A58" s="1293">
        <v>29280</v>
      </c>
      <c r="B58" s="1292"/>
      <c r="C58" s="1294"/>
      <c r="D58" s="1292"/>
    </row>
    <row r="59" spans="1:4" s="1266" customFormat="1" x14ac:dyDescent="0.2">
      <c r="A59" s="1293">
        <v>29311</v>
      </c>
      <c r="B59" s="1292"/>
      <c r="C59" s="1294"/>
      <c r="D59" s="1292"/>
    </row>
    <row r="60" spans="1:4" s="1266" customFormat="1" x14ac:dyDescent="0.2">
      <c r="A60" s="1293">
        <v>29341</v>
      </c>
      <c r="B60" s="1292"/>
      <c r="C60" s="1294"/>
      <c r="D60" s="1292"/>
    </row>
    <row r="61" spans="1:4" s="1266" customFormat="1" x14ac:dyDescent="0.2">
      <c r="A61" s="1293">
        <v>29372</v>
      </c>
      <c r="B61" s="1292"/>
      <c r="C61" s="1294"/>
      <c r="D61" s="1292"/>
    </row>
    <row r="62" spans="1:4" s="1266" customFormat="1" x14ac:dyDescent="0.2">
      <c r="A62" s="1293">
        <v>29402</v>
      </c>
      <c r="B62" s="1292"/>
      <c r="C62" s="1294"/>
      <c r="D62" s="1292"/>
    </row>
    <row r="63" spans="1:4" s="1266" customFormat="1" x14ac:dyDescent="0.2">
      <c r="A63" s="1293">
        <v>29433</v>
      </c>
      <c r="B63" s="1292"/>
      <c r="C63" s="1294"/>
      <c r="D63" s="1292"/>
    </row>
    <row r="64" spans="1:4" s="1266" customFormat="1" x14ac:dyDescent="0.2">
      <c r="A64" s="1293">
        <v>29464</v>
      </c>
      <c r="B64" s="1292"/>
      <c r="C64" s="1294"/>
      <c r="D64" s="1292"/>
    </row>
    <row r="65" spans="1:4" s="1266" customFormat="1" x14ac:dyDescent="0.2">
      <c r="A65" s="1293">
        <v>29494</v>
      </c>
      <c r="B65" s="1292"/>
      <c r="C65" s="1294"/>
      <c r="D65" s="1292"/>
    </row>
    <row r="66" spans="1:4" s="1266" customFormat="1" x14ac:dyDescent="0.2">
      <c r="A66" s="1293">
        <v>29525</v>
      </c>
      <c r="B66" s="1292"/>
      <c r="C66" s="1294"/>
      <c r="D66" s="1292"/>
    </row>
    <row r="67" spans="1:4" s="1266" customFormat="1" x14ac:dyDescent="0.2">
      <c r="A67" s="1293">
        <v>29555</v>
      </c>
      <c r="B67" s="1292"/>
      <c r="C67" s="1294"/>
      <c r="D67" s="1292"/>
    </row>
    <row r="68" spans="1:4" s="1266" customFormat="1" x14ac:dyDescent="0.2">
      <c r="A68" s="1293">
        <v>29586</v>
      </c>
      <c r="B68" s="1292"/>
      <c r="C68" s="1294"/>
      <c r="D68" s="1292"/>
    </row>
    <row r="69" spans="1:4" s="1266" customFormat="1" x14ac:dyDescent="0.2">
      <c r="A69" s="1293">
        <v>29617</v>
      </c>
      <c r="B69" s="1292"/>
      <c r="C69" s="1294"/>
      <c r="D69" s="1292"/>
    </row>
    <row r="70" spans="1:4" s="1266" customFormat="1" x14ac:dyDescent="0.2">
      <c r="A70" s="1293">
        <v>29645</v>
      </c>
      <c r="B70" s="1292"/>
      <c r="C70" s="1294"/>
      <c r="D70" s="1292"/>
    </row>
    <row r="71" spans="1:4" s="1266" customFormat="1" x14ac:dyDescent="0.2">
      <c r="A71" s="1293">
        <v>29676</v>
      </c>
      <c r="B71" s="1292"/>
      <c r="C71" s="1294"/>
      <c r="D71" s="1292"/>
    </row>
    <row r="72" spans="1:4" s="1266" customFormat="1" x14ac:dyDescent="0.2">
      <c r="A72" s="1293">
        <v>29706</v>
      </c>
      <c r="B72" s="1292"/>
      <c r="C72" s="1294"/>
      <c r="D72" s="1292"/>
    </row>
    <row r="73" spans="1:4" s="1266" customFormat="1" x14ac:dyDescent="0.2">
      <c r="A73" s="1293">
        <v>29737</v>
      </c>
      <c r="B73" s="1292"/>
      <c r="C73" s="1294"/>
      <c r="D73" s="1292"/>
    </row>
    <row r="74" spans="1:4" s="1266" customFormat="1" x14ac:dyDescent="0.2">
      <c r="A74" s="1293">
        <v>29767</v>
      </c>
      <c r="B74" s="1292"/>
      <c r="C74" s="1294"/>
      <c r="D74" s="1292"/>
    </row>
    <row r="75" spans="1:4" s="1266" customFormat="1" x14ac:dyDescent="0.2">
      <c r="A75" s="1293">
        <v>29798</v>
      </c>
      <c r="B75" s="1292"/>
      <c r="C75" s="1294"/>
      <c r="D75" s="1292"/>
    </row>
    <row r="76" spans="1:4" s="1266" customFormat="1" x14ac:dyDescent="0.2">
      <c r="A76" s="1293">
        <v>29829</v>
      </c>
      <c r="B76" s="1292"/>
      <c r="C76" s="1294"/>
      <c r="D76" s="1292"/>
    </row>
    <row r="77" spans="1:4" s="1266" customFormat="1" x14ac:dyDescent="0.2">
      <c r="A77" s="1293">
        <v>29859</v>
      </c>
      <c r="B77" s="1292"/>
      <c r="C77" s="1294"/>
      <c r="D77" s="1292"/>
    </row>
    <row r="78" spans="1:4" s="1266" customFormat="1" x14ac:dyDescent="0.2">
      <c r="A78" s="1293">
        <v>29890</v>
      </c>
      <c r="B78" s="1292"/>
      <c r="C78" s="1294"/>
      <c r="D78" s="1292"/>
    </row>
    <row r="79" spans="1:4" s="1266" customFormat="1" x14ac:dyDescent="0.2">
      <c r="A79" s="1293">
        <v>29920</v>
      </c>
      <c r="B79" s="1292"/>
      <c r="C79" s="1294"/>
      <c r="D79" s="1292"/>
    </row>
    <row r="80" spans="1:4" s="1266" customFormat="1" x14ac:dyDescent="0.2">
      <c r="A80" s="1293">
        <v>29951</v>
      </c>
      <c r="B80" s="1292"/>
      <c r="C80" s="1294"/>
      <c r="D80" s="1292"/>
    </row>
    <row r="81" spans="1:4" s="1266" customFormat="1" x14ac:dyDescent="0.2">
      <c r="A81" s="1293">
        <v>29982</v>
      </c>
      <c r="B81" s="1292"/>
      <c r="C81" s="1294"/>
      <c r="D81" s="1292"/>
    </row>
    <row r="82" spans="1:4" s="1266" customFormat="1" x14ac:dyDescent="0.2">
      <c r="A82" s="1293">
        <v>30010</v>
      </c>
      <c r="B82" s="1292"/>
      <c r="C82" s="1294"/>
      <c r="D82" s="1292"/>
    </row>
    <row r="83" spans="1:4" s="1266" customFormat="1" x14ac:dyDescent="0.2">
      <c r="A83" s="1293">
        <v>30041</v>
      </c>
      <c r="B83" s="1292"/>
      <c r="C83" s="1294"/>
      <c r="D83" s="1292"/>
    </row>
    <row r="84" spans="1:4" s="1266" customFormat="1" x14ac:dyDescent="0.2">
      <c r="A84" s="1293">
        <v>30071</v>
      </c>
      <c r="B84" s="1292"/>
      <c r="C84" s="1294"/>
      <c r="D84" s="1292"/>
    </row>
    <row r="85" spans="1:4" s="1266" customFormat="1" x14ac:dyDescent="0.2">
      <c r="A85" s="1293">
        <v>30102</v>
      </c>
      <c r="B85" s="1292"/>
      <c r="C85" s="1294"/>
      <c r="D85" s="1292"/>
    </row>
    <row r="86" spans="1:4" s="1266" customFormat="1" x14ac:dyDescent="0.2">
      <c r="A86" s="1293">
        <v>30132</v>
      </c>
      <c r="B86" s="1292"/>
      <c r="C86" s="1294"/>
      <c r="D86" s="1292"/>
    </row>
    <row r="87" spans="1:4" s="1266" customFormat="1" x14ac:dyDescent="0.2">
      <c r="A87" s="1293">
        <v>30163</v>
      </c>
      <c r="B87" s="1292"/>
      <c r="C87" s="1294"/>
      <c r="D87" s="1292"/>
    </row>
    <row r="88" spans="1:4" s="1266" customFormat="1" x14ac:dyDescent="0.2">
      <c r="A88" s="1293">
        <v>30194</v>
      </c>
      <c r="B88" s="1292"/>
      <c r="C88" s="1294"/>
      <c r="D88" s="1292"/>
    </row>
    <row r="89" spans="1:4" s="1266" customFormat="1" x14ac:dyDescent="0.2">
      <c r="A89" s="1293">
        <v>30224</v>
      </c>
      <c r="B89" s="1292"/>
      <c r="C89" s="1294"/>
      <c r="D89" s="1292"/>
    </row>
    <row r="90" spans="1:4" s="1266" customFormat="1" x14ac:dyDescent="0.2">
      <c r="A90" s="1293">
        <v>30255</v>
      </c>
      <c r="B90" s="1292"/>
      <c r="C90" s="1294"/>
      <c r="D90" s="1292"/>
    </row>
    <row r="91" spans="1:4" s="1266" customFormat="1" x14ac:dyDescent="0.2">
      <c r="A91" s="1293">
        <v>30285</v>
      </c>
      <c r="B91" s="1292"/>
      <c r="C91" s="1294"/>
      <c r="D91" s="1292"/>
    </row>
    <row r="92" spans="1:4" s="1266" customFormat="1" x14ac:dyDescent="0.2">
      <c r="A92" s="1293">
        <v>30316</v>
      </c>
      <c r="B92" s="1292"/>
      <c r="C92" s="1294"/>
      <c r="D92" s="1292"/>
    </row>
    <row r="93" spans="1:4" s="1266" customFormat="1" x14ac:dyDescent="0.2">
      <c r="A93" s="1293">
        <v>30347</v>
      </c>
      <c r="B93" s="1292"/>
      <c r="C93" s="1294"/>
      <c r="D93" s="1292"/>
    </row>
    <row r="94" spans="1:4" s="1266" customFormat="1" x14ac:dyDescent="0.2">
      <c r="A94" s="1293">
        <v>30375</v>
      </c>
      <c r="B94" s="1292"/>
      <c r="C94" s="1294"/>
      <c r="D94" s="1292"/>
    </row>
    <row r="95" spans="1:4" s="1266" customFormat="1" x14ac:dyDescent="0.2">
      <c r="A95" s="1293">
        <v>30406</v>
      </c>
      <c r="B95" s="1292"/>
      <c r="C95" s="1294"/>
      <c r="D95" s="1292"/>
    </row>
    <row r="96" spans="1:4" s="1266" customFormat="1" x14ac:dyDescent="0.2">
      <c r="A96" s="1293">
        <v>30436</v>
      </c>
      <c r="B96" s="1292"/>
      <c r="C96" s="1294"/>
      <c r="D96" s="1292"/>
    </row>
    <row r="97" spans="1:4" s="1266" customFormat="1" x14ac:dyDescent="0.2">
      <c r="A97" s="1293">
        <v>30467</v>
      </c>
      <c r="B97" s="1292"/>
      <c r="C97" s="1294"/>
      <c r="D97" s="1292"/>
    </row>
    <row r="98" spans="1:4" s="1266" customFormat="1" x14ac:dyDescent="0.2">
      <c r="A98" s="1293">
        <v>30497</v>
      </c>
      <c r="B98" s="1292"/>
      <c r="C98" s="1294"/>
      <c r="D98" s="1292"/>
    </row>
    <row r="99" spans="1:4" s="1266" customFormat="1" x14ac:dyDescent="0.2">
      <c r="A99" s="1293">
        <v>30528</v>
      </c>
      <c r="B99" s="1292"/>
      <c r="C99" s="1294"/>
      <c r="D99" s="1292"/>
    </row>
    <row r="100" spans="1:4" s="1266" customFormat="1" x14ac:dyDescent="0.2">
      <c r="A100" s="1293">
        <v>30559</v>
      </c>
      <c r="B100" s="1292"/>
      <c r="C100" s="1294"/>
      <c r="D100" s="1292"/>
    </row>
    <row r="101" spans="1:4" s="1266" customFormat="1" x14ac:dyDescent="0.2">
      <c r="A101" s="1293">
        <v>30589</v>
      </c>
      <c r="B101" s="1292"/>
      <c r="C101" s="1294"/>
      <c r="D101" s="1292"/>
    </row>
    <row r="102" spans="1:4" s="1266" customFormat="1" x14ac:dyDescent="0.2">
      <c r="A102" s="1293">
        <v>30620</v>
      </c>
      <c r="B102" s="1292"/>
      <c r="C102" s="1294"/>
      <c r="D102" s="1292"/>
    </row>
    <row r="103" spans="1:4" s="1266" customFormat="1" x14ac:dyDescent="0.2">
      <c r="A103" s="1293">
        <v>30650</v>
      </c>
      <c r="B103" s="1292"/>
      <c r="C103" s="1294"/>
      <c r="D103" s="1292"/>
    </row>
    <row r="104" spans="1:4" s="1266" customFormat="1" x14ac:dyDescent="0.2">
      <c r="A104" s="1293">
        <v>30681</v>
      </c>
      <c r="B104" s="1292"/>
      <c r="C104" s="1294"/>
      <c r="D104" s="1292"/>
    </row>
    <row r="105" spans="1:4" s="1266" customFormat="1" x14ac:dyDescent="0.2">
      <c r="A105" s="1293">
        <v>30712</v>
      </c>
      <c r="B105" s="1292"/>
      <c r="C105" s="1294"/>
      <c r="D105" s="1292"/>
    </row>
    <row r="106" spans="1:4" s="1266" customFormat="1" x14ac:dyDescent="0.2">
      <c r="A106" s="1293">
        <v>30741</v>
      </c>
      <c r="B106" s="1292"/>
      <c r="C106" s="1294"/>
      <c r="D106" s="1292"/>
    </row>
    <row r="107" spans="1:4" s="1266" customFormat="1" x14ac:dyDescent="0.2">
      <c r="A107" s="1293">
        <v>30772</v>
      </c>
      <c r="B107" s="1292"/>
      <c r="C107" s="1294"/>
      <c r="D107" s="1292"/>
    </row>
    <row r="108" spans="1:4" s="1266" customFormat="1" x14ac:dyDescent="0.2">
      <c r="A108" s="1293">
        <v>30802</v>
      </c>
      <c r="B108" s="1292"/>
      <c r="C108" s="1294"/>
      <c r="D108" s="1292"/>
    </row>
    <row r="109" spans="1:4" s="1266" customFormat="1" x14ac:dyDescent="0.2">
      <c r="A109" s="1293">
        <v>30833</v>
      </c>
      <c r="B109" s="1292"/>
      <c r="C109" s="1294"/>
      <c r="D109" s="1292"/>
    </row>
    <row r="110" spans="1:4" s="1266" customFormat="1" x14ac:dyDescent="0.2">
      <c r="A110" s="1293">
        <v>30863</v>
      </c>
      <c r="B110" s="1292"/>
      <c r="C110" s="1294"/>
      <c r="D110" s="1292"/>
    </row>
    <row r="111" spans="1:4" s="1266" customFormat="1" x14ac:dyDescent="0.2">
      <c r="A111" s="1293">
        <v>30894</v>
      </c>
      <c r="B111" s="1292"/>
      <c r="C111" s="1294"/>
      <c r="D111" s="1292"/>
    </row>
    <row r="112" spans="1:4" s="1266" customFormat="1" x14ac:dyDescent="0.2">
      <c r="A112" s="1293">
        <v>30925</v>
      </c>
      <c r="B112" s="1292"/>
      <c r="C112" s="1294"/>
      <c r="D112" s="1292"/>
    </row>
    <row r="113" spans="1:4" s="1266" customFormat="1" x14ac:dyDescent="0.2">
      <c r="A113" s="1293">
        <v>30955</v>
      </c>
      <c r="B113" s="1292"/>
      <c r="C113" s="1294"/>
      <c r="D113" s="1292"/>
    </row>
    <row r="114" spans="1:4" s="1266" customFormat="1" x14ac:dyDescent="0.2">
      <c r="A114" s="1293">
        <v>30986</v>
      </c>
      <c r="B114" s="1292"/>
      <c r="C114" s="1294"/>
      <c r="D114" s="1292"/>
    </row>
    <row r="115" spans="1:4" s="1266" customFormat="1" x14ac:dyDescent="0.2">
      <c r="A115" s="1293">
        <v>31016</v>
      </c>
      <c r="B115" s="1292"/>
      <c r="C115" s="1294"/>
      <c r="D115" s="1292"/>
    </row>
    <row r="116" spans="1:4" s="1266" customFormat="1" x14ac:dyDescent="0.2">
      <c r="A116" s="1293">
        <v>31047</v>
      </c>
      <c r="B116" s="1292"/>
      <c r="C116" s="1294"/>
      <c r="D116" s="1292"/>
    </row>
    <row r="117" spans="1:4" s="1266" customFormat="1" x14ac:dyDescent="0.2">
      <c r="A117" s="1293">
        <v>31078</v>
      </c>
      <c r="B117" s="1292"/>
      <c r="C117" s="1294"/>
      <c r="D117" s="1292"/>
    </row>
    <row r="118" spans="1:4" s="1266" customFormat="1" x14ac:dyDescent="0.2">
      <c r="A118" s="1293">
        <v>31106</v>
      </c>
      <c r="B118" s="1292"/>
      <c r="C118" s="1294"/>
      <c r="D118" s="1292"/>
    </row>
    <row r="119" spans="1:4" s="1266" customFormat="1" x14ac:dyDescent="0.2">
      <c r="A119" s="1293">
        <v>31137</v>
      </c>
      <c r="B119" s="1292"/>
      <c r="C119" s="1294"/>
      <c r="D119" s="1292"/>
    </row>
    <row r="120" spans="1:4" s="1266" customFormat="1" x14ac:dyDescent="0.2">
      <c r="A120" s="1293">
        <v>31167</v>
      </c>
      <c r="B120" s="1292"/>
      <c r="C120" s="1294"/>
      <c r="D120" s="1292"/>
    </row>
    <row r="121" spans="1:4" s="1266" customFormat="1" x14ac:dyDescent="0.2">
      <c r="A121" s="1293">
        <v>31198</v>
      </c>
      <c r="B121" s="1292"/>
      <c r="C121" s="1294"/>
      <c r="D121" s="1292"/>
    </row>
    <row r="122" spans="1:4" s="1266" customFormat="1" x14ac:dyDescent="0.2">
      <c r="A122" s="1293">
        <v>31228</v>
      </c>
      <c r="B122" s="1292"/>
      <c r="C122" s="1294"/>
      <c r="D122" s="1292"/>
    </row>
    <row r="123" spans="1:4" s="1266" customFormat="1" x14ac:dyDescent="0.2">
      <c r="A123" s="1293">
        <v>31259</v>
      </c>
      <c r="B123" s="1292"/>
      <c r="C123" s="1294"/>
      <c r="D123" s="1292"/>
    </row>
    <row r="124" spans="1:4" s="1266" customFormat="1" x14ac:dyDescent="0.2">
      <c r="A124" s="1293">
        <v>31290</v>
      </c>
      <c r="B124" s="1292"/>
      <c r="C124" s="1294"/>
      <c r="D124" s="1292"/>
    </row>
    <row r="125" spans="1:4" s="1266" customFormat="1" x14ac:dyDescent="0.2">
      <c r="A125" s="1293">
        <v>31320</v>
      </c>
      <c r="B125" s="1292"/>
      <c r="C125" s="1294"/>
      <c r="D125" s="1292"/>
    </row>
    <row r="126" spans="1:4" s="1266" customFormat="1" x14ac:dyDescent="0.2">
      <c r="A126" s="1293">
        <v>31351</v>
      </c>
      <c r="B126" s="1292"/>
      <c r="C126" s="1294"/>
      <c r="D126" s="1292"/>
    </row>
    <row r="127" spans="1:4" s="1266" customFormat="1" x14ac:dyDescent="0.2">
      <c r="A127" s="1293">
        <v>31381</v>
      </c>
      <c r="B127" s="1292"/>
      <c r="C127" s="1294"/>
      <c r="D127" s="1292"/>
    </row>
    <row r="128" spans="1:4" s="1266" customFormat="1" x14ac:dyDescent="0.2">
      <c r="A128" s="1293">
        <v>31412</v>
      </c>
      <c r="B128" s="1292"/>
      <c r="C128" s="1294"/>
      <c r="D128" s="1292"/>
    </row>
    <row r="129" spans="1:4" s="1266" customFormat="1" x14ac:dyDescent="0.2">
      <c r="A129" s="1293">
        <v>31443</v>
      </c>
      <c r="B129" s="1292"/>
      <c r="C129" s="1294"/>
      <c r="D129" s="1292"/>
    </row>
    <row r="130" spans="1:4" s="1266" customFormat="1" x14ac:dyDescent="0.2">
      <c r="A130" s="1293">
        <v>31471</v>
      </c>
      <c r="B130" s="1292"/>
      <c r="C130" s="1294"/>
      <c r="D130" s="1292"/>
    </row>
    <row r="131" spans="1:4" s="1266" customFormat="1" x14ac:dyDescent="0.2">
      <c r="A131" s="1293">
        <v>31502</v>
      </c>
      <c r="B131" s="1292"/>
      <c r="C131" s="1294"/>
      <c r="D131" s="1292"/>
    </row>
    <row r="132" spans="1:4" s="1266" customFormat="1" x14ac:dyDescent="0.2">
      <c r="A132" s="1293">
        <v>31532</v>
      </c>
      <c r="B132" s="1292"/>
      <c r="C132" s="1294"/>
      <c r="D132" s="1292"/>
    </row>
    <row r="133" spans="1:4" s="1266" customFormat="1" x14ac:dyDescent="0.2">
      <c r="A133" s="1293">
        <v>31563</v>
      </c>
      <c r="B133" s="1292"/>
      <c r="C133" s="1294"/>
      <c r="D133" s="1292"/>
    </row>
    <row r="134" spans="1:4" s="1266" customFormat="1" x14ac:dyDescent="0.2">
      <c r="A134" s="1293">
        <v>31593</v>
      </c>
      <c r="B134" s="1292"/>
      <c r="C134" s="1294"/>
      <c r="D134" s="1292"/>
    </row>
    <row r="135" spans="1:4" s="1266" customFormat="1" x14ac:dyDescent="0.2">
      <c r="A135" s="1293">
        <v>31624</v>
      </c>
      <c r="B135" s="1292"/>
      <c r="C135" s="1294"/>
      <c r="D135" s="1292"/>
    </row>
    <row r="136" spans="1:4" s="1266" customFormat="1" x14ac:dyDescent="0.2">
      <c r="A136" s="1293">
        <v>31655</v>
      </c>
      <c r="B136" s="1292"/>
      <c r="C136" s="1294"/>
      <c r="D136" s="1292"/>
    </row>
    <row r="137" spans="1:4" s="1266" customFormat="1" x14ac:dyDescent="0.2">
      <c r="A137" s="1293">
        <v>31685</v>
      </c>
      <c r="B137" s="1292"/>
      <c r="C137" s="1294"/>
      <c r="D137" s="1292"/>
    </row>
    <row r="138" spans="1:4" s="1266" customFormat="1" x14ac:dyDescent="0.2">
      <c r="A138" s="1293">
        <v>31716</v>
      </c>
      <c r="B138" s="1292"/>
      <c r="C138" s="1294"/>
      <c r="D138" s="1292"/>
    </row>
    <row r="139" spans="1:4" s="1266" customFormat="1" x14ac:dyDescent="0.2">
      <c r="A139" s="1293">
        <v>31746</v>
      </c>
      <c r="B139" s="1292"/>
      <c r="C139" s="1294"/>
      <c r="D139" s="1292"/>
    </row>
    <row r="140" spans="1:4" s="1266" customFormat="1" x14ac:dyDescent="0.2">
      <c r="A140" s="1293">
        <v>31777</v>
      </c>
      <c r="B140" s="1292"/>
      <c r="C140" s="1294"/>
      <c r="D140" s="1292"/>
    </row>
    <row r="141" spans="1:4" s="1266" customFormat="1" x14ac:dyDescent="0.2">
      <c r="A141" s="1293">
        <v>31808</v>
      </c>
      <c r="B141" s="1295"/>
      <c r="C141" s="1296"/>
      <c r="D141" s="1295"/>
    </row>
    <row r="142" spans="1:4" s="1266" customFormat="1" x14ac:dyDescent="0.2">
      <c r="A142" s="1293">
        <v>31836</v>
      </c>
      <c r="B142" s="1295"/>
      <c r="C142" s="1296"/>
      <c r="D142" s="1295"/>
    </row>
    <row r="143" spans="1:4" s="1266" customFormat="1" x14ac:dyDescent="0.2">
      <c r="A143" s="1293">
        <v>31867</v>
      </c>
      <c r="B143" s="1295"/>
      <c r="C143" s="1296"/>
      <c r="D143" s="1295"/>
    </row>
    <row r="144" spans="1:4" s="1266" customFormat="1" x14ac:dyDescent="0.2">
      <c r="A144" s="1293">
        <v>31897</v>
      </c>
      <c r="B144" s="1295"/>
      <c r="C144" s="1296"/>
      <c r="D144" s="1295"/>
    </row>
    <row r="145" spans="1:4" s="1266" customFormat="1" x14ac:dyDescent="0.2">
      <c r="A145" s="1293">
        <v>31928</v>
      </c>
      <c r="B145" s="1295"/>
      <c r="C145" s="1296"/>
      <c r="D145" s="1295"/>
    </row>
    <row r="146" spans="1:4" s="1266" customFormat="1" x14ac:dyDescent="0.2">
      <c r="A146" s="1293">
        <v>31958</v>
      </c>
      <c r="B146" s="1295"/>
      <c r="C146" s="1296"/>
      <c r="D146" s="1295"/>
    </row>
    <row r="147" spans="1:4" s="1266" customFormat="1" x14ac:dyDescent="0.2">
      <c r="A147" s="1293">
        <v>31989</v>
      </c>
      <c r="B147" s="1295"/>
      <c r="C147" s="1296"/>
      <c r="D147" s="1295"/>
    </row>
    <row r="148" spans="1:4" s="1266" customFormat="1" x14ac:dyDescent="0.2">
      <c r="A148" s="1293">
        <v>32020</v>
      </c>
      <c r="B148" s="1295"/>
      <c r="C148" s="1296"/>
      <c r="D148" s="1295"/>
    </row>
    <row r="149" spans="1:4" s="1266" customFormat="1" x14ac:dyDescent="0.2">
      <c r="A149" s="1293">
        <v>32050</v>
      </c>
      <c r="B149" s="1295"/>
      <c r="C149" s="1296"/>
      <c r="D149" s="1295"/>
    </row>
    <row r="150" spans="1:4" s="1266" customFormat="1" x14ac:dyDescent="0.2">
      <c r="A150" s="1293">
        <v>32081</v>
      </c>
      <c r="B150" s="1295"/>
      <c r="C150" s="1296"/>
      <c r="D150" s="1295"/>
    </row>
    <row r="151" spans="1:4" s="1266" customFormat="1" x14ac:dyDescent="0.2">
      <c r="A151" s="1293">
        <v>32111</v>
      </c>
      <c r="B151" s="1295"/>
      <c r="C151" s="1296"/>
      <c r="D151" s="1295"/>
    </row>
    <row r="152" spans="1:4" s="1266" customFormat="1" x14ac:dyDescent="0.2">
      <c r="A152" s="1293">
        <v>32142</v>
      </c>
      <c r="B152" s="1295"/>
      <c r="C152" s="1296"/>
      <c r="D152" s="1295"/>
    </row>
    <row r="153" spans="1:4" s="1266" customFormat="1" x14ac:dyDescent="0.2">
      <c r="A153" s="1293">
        <v>32173</v>
      </c>
      <c r="B153" s="1295"/>
      <c r="C153" s="1296"/>
      <c r="D153" s="1295"/>
    </row>
    <row r="154" spans="1:4" s="1266" customFormat="1" x14ac:dyDescent="0.2">
      <c r="A154" s="1293">
        <v>32202</v>
      </c>
      <c r="B154" s="1295"/>
      <c r="C154" s="1296"/>
      <c r="D154" s="1295"/>
    </row>
    <row r="155" spans="1:4" s="1266" customFormat="1" x14ac:dyDescent="0.2">
      <c r="A155" s="1293">
        <v>32233</v>
      </c>
      <c r="B155" s="1295"/>
      <c r="C155" s="1296"/>
      <c r="D155" s="1295"/>
    </row>
    <row r="156" spans="1:4" s="1266" customFormat="1" x14ac:dyDescent="0.2">
      <c r="A156" s="1293">
        <v>32263</v>
      </c>
      <c r="B156" s="1295"/>
      <c r="C156" s="1296"/>
      <c r="D156" s="1295"/>
    </row>
    <row r="157" spans="1:4" s="1266" customFormat="1" x14ac:dyDescent="0.2">
      <c r="A157" s="1293">
        <v>32294</v>
      </c>
      <c r="B157" s="1295"/>
      <c r="C157" s="1296"/>
      <c r="D157" s="1295"/>
    </row>
    <row r="158" spans="1:4" s="1266" customFormat="1" x14ac:dyDescent="0.2">
      <c r="A158" s="1293">
        <v>32324</v>
      </c>
      <c r="B158" s="1295"/>
      <c r="C158" s="1296"/>
      <c r="D158" s="1295"/>
    </row>
    <row r="159" spans="1:4" s="1266" customFormat="1" x14ac:dyDescent="0.2">
      <c r="A159" s="1293">
        <v>32355</v>
      </c>
      <c r="B159" s="1295"/>
      <c r="C159" s="1296"/>
      <c r="D159" s="1295"/>
    </row>
    <row r="160" spans="1:4" s="1266" customFormat="1" x14ac:dyDescent="0.2">
      <c r="A160" s="1293">
        <v>32386</v>
      </c>
      <c r="B160" s="1295"/>
      <c r="C160" s="1296"/>
      <c r="D160" s="1295"/>
    </row>
    <row r="161" spans="1:4" s="1266" customFormat="1" x14ac:dyDescent="0.2">
      <c r="A161" s="1293">
        <v>32416</v>
      </c>
      <c r="B161" s="1295"/>
      <c r="C161" s="1296"/>
      <c r="D161" s="1295"/>
    </row>
    <row r="162" spans="1:4" s="1266" customFormat="1" x14ac:dyDescent="0.2">
      <c r="A162" s="1293">
        <v>32447</v>
      </c>
      <c r="B162" s="1295"/>
      <c r="C162" s="1296"/>
      <c r="D162" s="1295"/>
    </row>
    <row r="163" spans="1:4" s="1266" customFormat="1" x14ac:dyDescent="0.2">
      <c r="A163" s="1293">
        <v>32477</v>
      </c>
      <c r="B163" s="1295"/>
      <c r="C163" s="1296"/>
      <c r="D163" s="1295"/>
    </row>
    <row r="164" spans="1:4" s="1266" customFormat="1" x14ac:dyDescent="0.2">
      <c r="A164" s="1293">
        <v>32508</v>
      </c>
      <c r="B164" s="1295"/>
      <c r="C164" s="1296"/>
      <c r="D164" s="1295"/>
    </row>
    <row r="165" spans="1:4" s="1266" customFormat="1" x14ac:dyDescent="0.2">
      <c r="A165" s="1293">
        <v>32539</v>
      </c>
      <c r="B165" s="1295"/>
      <c r="C165" s="1296"/>
      <c r="D165" s="1295"/>
    </row>
    <row r="166" spans="1:4" s="1266" customFormat="1" x14ac:dyDescent="0.2">
      <c r="A166" s="1293">
        <v>32567</v>
      </c>
      <c r="B166" s="1295"/>
      <c r="C166" s="1296"/>
      <c r="D166" s="1295"/>
    </row>
    <row r="167" spans="1:4" s="1266" customFormat="1" x14ac:dyDescent="0.2">
      <c r="A167" s="1293">
        <v>32598</v>
      </c>
      <c r="B167" s="1295"/>
      <c r="C167" s="1296"/>
      <c r="D167" s="1295"/>
    </row>
    <row r="168" spans="1:4" s="1266" customFormat="1" x14ac:dyDescent="0.2">
      <c r="A168" s="1293">
        <v>32628</v>
      </c>
      <c r="B168" s="1295"/>
      <c r="C168" s="1296"/>
      <c r="D168" s="1295"/>
    </row>
    <row r="169" spans="1:4" s="1266" customFormat="1" x14ac:dyDescent="0.2">
      <c r="A169" s="1293">
        <v>32659</v>
      </c>
      <c r="B169" s="1295"/>
      <c r="C169" s="1296"/>
      <c r="D169" s="1295"/>
    </row>
    <row r="170" spans="1:4" s="1266" customFormat="1" x14ac:dyDescent="0.2">
      <c r="A170" s="1293">
        <v>32689</v>
      </c>
      <c r="B170" s="1295"/>
      <c r="C170" s="1296"/>
      <c r="D170" s="1295"/>
    </row>
    <row r="171" spans="1:4" s="1266" customFormat="1" x14ac:dyDescent="0.2">
      <c r="A171" s="1293">
        <v>32720</v>
      </c>
      <c r="B171" s="1295"/>
      <c r="C171" s="1296"/>
      <c r="D171" s="1295"/>
    </row>
    <row r="172" spans="1:4" s="1266" customFormat="1" x14ac:dyDescent="0.2">
      <c r="A172" s="1293">
        <v>32751</v>
      </c>
      <c r="B172" s="1295"/>
      <c r="C172" s="1296"/>
      <c r="D172" s="1295"/>
    </row>
    <row r="173" spans="1:4" s="1266" customFormat="1" x14ac:dyDescent="0.2">
      <c r="A173" s="1293">
        <v>32781</v>
      </c>
      <c r="B173" s="1295"/>
      <c r="C173" s="1296"/>
      <c r="D173" s="1295"/>
    </row>
    <row r="174" spans="1:4" s="1266" customFormat="1" x14ac:dyDescent="0.2">
      <c r="A174" s="1293">
        <v>32812</v>
      </c>
      <c r="B174" s="1295"/>
      <c r="C174" s="1296"/>
      <c r="D174" s="1295"/>
    </row>
    <row r="175" spans="1:4" s="1266" customFormat="1" x14ac:dyDescent="0.2">
      <c r="A175" s="1293">
        <v>32842</v>
      </c>
      <c r="B175" s="1295"/>
      <c r="C175" s="1296"/>
      <c r="D175" s="1295"/>
    </row>
    <row r="176" spans="1:4" s="1266" customFormat="1" x14ac:dyDescent="0.2">
      <c r="A176" s="1293">
        <v>32873</v>
      </c>
      <c r="B176" s="1295"/>
      <c r="C176" s="1296"/>
      <c r="D176" s="1295"/>
    </row>
    <row r="177" spans="1:4" s="1266" customFormat="1" x14ac:dyDescent="0.2">
      <c r="A177" s="1293">
        <v>32904</v>
      </c>
      <c r="B177" s="1295"/>
      <c r="C177" s="1296"/>
      <c r="D177" s="1295"/>
    </row>
    <row r="178" spans="1:4" s="1266" customFormat="1" x14ac:dyDescent="0.2">
      <c r="A178" s="1293">
        <v>32932</v>
      </c>
      <c r="B178" s="1295"/>
      <c r="C178" s="1296"/>
      <c r="D178" s="1295"/>
    </row>
    <row r="179" spans="1:4" s="1266" customFormat="1" x14ac:dyDescent="0.2">
      <c r="A179" s="1293">
        <v>32963</v>
      </c>
      <c r="B179" s="1295"/>
      <c r="C179" s="1296"/>
      <c r="D179" s="1295"/>
    </row>
    <row r="180" spans="1:4" s="1266" customFormat="1" x14ac:dyDescent="0.2">
      <c r="A180" s="1293">
        <v>32993</v>
      </c>
      <c r="B180" s="1295"/>
      <c r="C180" s="1296"/>
      <c r="D180" s="1295"/>
    </row>
    <row r="181" spans="1:4" s="1266" customFormat="1" x14ac:dyDescent="0.2">
      <c r="A181" s="1293">
        <v>33024</v>
      </c>
      <c r="B181" s="1295"/>
      <c r="C181" s="1296"/>
      <c r="D181" s="1295"/>
    </row>
    <row r="182" spans="1:4" s="1266" customFormat="1" x14ac:dyDescent="0.2">
      <c r="A182" s="1293">
        <v>33054</v>
      </c>
      <c r="B182" s="1295"/>
      <c r="C182" s="1296"/>
      <c r="D182" s="1295"/>
    </row>
    <row r="183" spans="1:4" s="1266" customFormat="1" x14ac:dyDescent="0.2">
      <c r="A183" s="1293">
        <v>33085</v>
      </c>
      <c r="B183" s="1295"/>
      <c r="C183" s="1296"/>
      <c r="D183" s="1295"/>
    </row>
    <row r="184" spans="1:4" s="1266" customFormat="1" x14ac:dyDescent="0.2">
      <c r="A184" s="1293">
        <v>33116</v>
      </c>
      <c r="B184" s="1295"/>
      <c r="C184" s="1296"/>
      <c r="D184" s="1295"/>
    </row>
    <row r="185" spans="1:4" s="1266" customFormat="1" x14ac:dyDescent="0.2">
      <c r="A185" s="1293">
        <v>33146</v>
      </c>
      <c r="B185" s="1295"/>
      <c r="C185" s="1296"/>
      <c r="D185" s="1295"/>
    </row>
    <row r="186" spans="1:4" s="1266" customFormat="1" x14ac:dyDescent="0.2">
      <c r="A186" s="1293">
        <v>33177</v>
      </c>
      <c r="B186" s="1295"/>
      <c r="C186" s="1296"/>
      <c r="D186" s="1295"/>
    </row>
    <row r="187" spans="1:4" s="1266" customFormat="1" x14ac:dyDescent="0.2">
      <c r="A187" s="1293">
        <v>33207</v>
      </c>
      <c r="B187" s="1295"/>
      <c r="C187" s="1296"/>
      <c r="D187" s="1295"/>
    </row>
    <row r="188" spans="1:4" s="1266" customFormat="1" x14ac:dyDescent="0.2">
      <c r="A188" s="1293">
        <v>33238</v>
      </c>
      <c r="B188" s="1295"/>
      <c r="C188" s="1296"/>
      <c r="D188" s="1295"/>
    </row>
    <row r="189" spans="1:4" s="1266" customFormat="1" x14ac:dyDescent="0.2">
      <c r="A189" s="1293">
        <v>33269</v>
      </c>
      <c r="B189" s="1295"/>
      <c r="C189" s="1296"/>
      <c r="D189" s="1295"/>
    </row>
    <row r="190" spans="1:4" s="1266" customFormat="1" x14ac:dyDescent="0.2">
      <c r="A190" s="1293">
        <v>33297</v>
      </c>
      <c r="B190" s="1295"/>
      <c r="C190" s="1296"/>
      <c r="D190" s="1295"/>
    </row>
    <row r="191" spans="1:4" s="1266" customFormat="1" x14ac:dyDescent="0.2">
      <c r="A191" s="1293">
        <v>33328</v>
      </c>
      <c r="B191" s="1295"/>
      <c r="C191" s="1296"/>
      <c r="D191" s="1295"/>
    </row>
    <row r="192" spans="1:4" s="1266" customFormat="1" x14ac:dyDescent="0.2">
      <c r="A192" s="1293">
        <v>33358</v>
      </c>
      <c r="B192" s="1295"/>
      <c r="C192" s="1296"/>
      <c r="D192" s="1295"/>
    </row>
    <row r="193" spans="1:4" s="1266" customFormat="1" x14ac:dyDescent="0.2">
      <c r="A193" s="1293">
        <v>33389</v>
      </c>
      <c r="B193" s="1295"/>
      <c r="C193" s="1296"/>
      <c r="D193" s="1295"/>
    </row>
    <row r="194" spans="1:4" s="1266" customFormat="1" x14ac:dyDescent="0.2">
      <c r="A194" s="1293">
        <v>33419</v>
      </c>
      <c r="B194" s="1295"/>
      <c r="C194" s="1296"/>
      <c r="D194" s="1295"/>
    </row>
    <row r="195" spans="1:4" s="1266" customFormat="1" x14ac:dyDescent="0.2">
      <c r="A195" s="1293">
        <v>33450</v>
      </c>
      <c r="B195" s="1295"/>
      <c r="C195" s="1296"/>
      <c r="D195" s="1295"/>
    </row>
    <row r="196" spans="1:4" s="1266" customFormat="1" x14ac:dyDescent="0.2">
      <c r="A196" s="1293">
        <v>33481</v>
      </c>
      <c r="B196" s="1295"/>
      <c r="C196" s="1296"/>
      <c r="D196" s="1295"/>
    </row>
    <row r="197" spans="1:4" s="1266" customFormat="1" x14ac:dyDescent="0.2">
      <c r="A197" s="1293">
        <v>33511</v>
      </c>
      <c r="B197" s="1295"/>
      <c r="C197" s="1296"/>
      <c r="D197" s="1295"/>
    </row>
    <row r="198" spans="1:4" s="1266" customFormat="1" x14ac:dyDescent="0.2">
      <c r="A198" s="1293">
        <v>33542</v>
      </c>
      <c r="B198" s="1295"/>
      <c r="C198" s="1296"/>
      <c r="D198" s="1295"/>
    </row>
    <row r="199" spans="1:4" s="1266" customFormat="1" x14ac:dyDescent="0.2">
      <c r="A199" s="1293">
        <v>33572</v>
      </c>
      <c r="B199" s="1295"/>
      <c r="C199" s="1296"/>
      <c r="D199" s="1295"/>
    </row>
    <row r="200" spans="1:4" s="1266" customFormat="1" x14ac:dyDescent="0.2">
      <c r="A200" s="1293">
        <v>33603</v>
      </c>
      <c r="B200" s="1295"/>
      <c r="C200" s="1296"/>
      <c r="D200" s="1295"/>
    </row>
    <row r="201" spans="1:4" s="1266" customFormat="1" x14ac:dyDescent="0.2">
      <c r="A201" s="1293">
        <v>33634</v>
      </c>
      <c r="B201" s="1295"/>
      <c r="C201" s="1296"/>
      <c r="D201" s="1295"/>
    </row>
    <row r="202" spans="1:4" s="1266" customFormat="1" x14ac:dyDescent="0.2">
      <c r="A202" s="1293">
        <v>33663</v>
      </c>
      <c r="B202" s="1295"/>
      <c r="C202" s="1296"/>
      <c r="D202" s="1295"/>
    </row>
    <row r="203" spans="1:4" s="1266" customFormat="1" x14ac:dyDescent="0.2">
      <c r="A203" s="1293">
        <v>33694</v>
      </c>
      <c r="B203" s="1295"/>
      <c r="C203" s="1296"/>
      <c r="D203" s="1295"/>
    </row>
    <row r="204" spans="1:4" s="1266" customFormat="1" x14ac:dyDescent="0.2">
      <c r="A204" s="1293">
        <v>33724</v>
      </c>
      <c r="B204" s="1295"/>
      <c r="C204" s="1296"/>
      <c r="D204" s="1295"/>
    </row>
    <row r="205" spans="1:4" s="1266" customFormat="1" x14ac:dyDescent="0.2">
      <c r="A205" s="1293">
        <v>33755</v>
      </c>
      <c r="B205" s="1295"/>
      <c r="C205" s="1296"/>
      <c r="D205" s="1295"/>
    </row>
    <row r="206" spans="1:4" s="1266" customFormat="1" x14ac:dyDescent="0.2">
      <c r="A206" s="1293">
        <v>33785</v>
      </c>
      <c r="B206" s="1295"/>
      <c r="C206" s="1296"/>
      <c r="D206" s="1295"/>
    </row>
    <row r="207" spans="1:4" s="1266" customFormat="1" x14ac:dyDescent="0.2">
      <c r="A207" s="1293">
        <v>33816</v>
      </c>
      <c r="B207" s="1295"/>
      <c r="C207" s="1296"/>
      <c r="D207" s="1295"/>
    </row>
    <row r="208" spans="1:4" s="1266" customFormat="1" x14ac:dyDescent="0.2">
      <c r="A208" s="1293">
        <v>33847</v>
      </c>
      <c r="B208" s="1295"/>
      <c r="C208" s="1296"/>
      <c r="D208" s="1295"/>
    </row>
    <row r="209" spans="1:4" s="1266" customFormat="1" x14ac:dyDescent="0.2">
      <c r="A209" s="1293">
        <v>33877</v>
      </c>
      <c r="B209" s="1295"/>
      <c r="C209" s="1296"/>
      <c r="D209" s="1295"/>
    </row>
    <row r="210" spans="1:4" s="1266" customFormat="1" x14ac:dyDescent="0.2">
      <c r="A210" s="1293">
        <v>33908</v>
      </c>
      <c r="B210" s="1295"/>
      <c r="C210" s="1296"/>
      <c r="D210" s="1295"/>
    </row>
    <row r="211" spans="1:4" s="1266" customFormat="1" x14ac:dyDescent="0.2">
      <c r="A211" s="1293">
        <v>33938</v>
      </c>
      <c r="B211" s="1295"/>
      <c r="C211" s="1296"/>
      <c r="D211" s="1295"/>
    </row>
    <row r="212" spans="1:4" s="1266" customFormat="1" x14ac:dyDescent="0.2">
      <c r="A212" s="1293">
        <v>33969</v>
      </c>
      <c r="B212" s="1295"/>
      <c r="C212" s="1296"/>
      <c r="D212" s="1295"/>
    </row>
    <row r="213" spans="1:4" s="1266" customFormat="1" x14ac:dyDescent="0.2">
      <c r="A213" s="1293">
        <v>34000</v>
      </c>
      <c r="B213" s="1295"/>
      <c r="C213" s="1296"/>
      <c r="D213" s="1295"/>
    </row>
    <row r="214" spans="1:4" s="1266" customFormat="1" x14ac:dyDescent="0.2">
      <c r="A214" s="1293">
        <v>34028</v>
      </c>
      <c r="B214" s="1295"/>
      <c r="C214" s="1296"/>
      <c r="D214" s="1295"/>
    </row>
    <row r="215" spans="1:4" s="1266" customFormat="1" x14ac:dyDescent="0.2">
      <c r="A215" s="1293">
        <v>34059</v>
      </c>
      <c r="B215" s="1295"/>
      <c r="C215" s="1296"/>
      <c r="D215" s="1295"/>
    </row>
    <row r="216" spans="1:4" s="1266" customFormat="1" x14ac:dyDescent="0.2">
      <c r="A216" s="1293">
        <v>34089</v>
      </c>
      <c r="B216" s="1295"/>
      <c r="C216" s="1296"/>
      <c r="D216" s="1295"/>
    </row>
    <row r="217" spans="1:4" s="1266" customFormat="1" x14ac:dyDescent="0.2">
      <c r="A217" s="1293">
        <v>34120</v>
      </c>
      <c r="B217" s="1295"/>
      <c r="C217" s="1296"/>
      <c r="D217" s="1295"/>
    </row>
    <row r="218" spans="1:4" s="1266" customFormat="1" x14ac:dyDescent="0.2">
      <c r="A218" s="1293">
        <v>34150</v>
      </c>
      <c r="B218" s="1295"/>
      <c r="C218" s="1296"/>
      <c r="D218" s="1295"/>
    </row>
    <row r="219" spans="1:4" s="1266" customFormat="1" x14ac:dyDescent="0.2">
      <c r="A219" s="1293">
        <v>34181</v>
      </c>
      <c r="B219" s="1295"/>
      <c r="C219" s="1296"/>
      <c r="D219" s="1295"/>
    </row>
    <row r="220" spans="1:4" s="1266" customFormat="1" x14ac:dyDescent="0.2">
      <c r="A220" s="1293">
        <v>34212</v>
      </c>
      <c r="B220" s="1295"/>
      <c r="C220" s="1296"/>
      <c r="D220" s="1295"/>
    </row>
    <row r="221" spans="1:4" s="1266" customFormat="1" x14ac:dyDescent="0.2">
      <c r="A221" s="1293">
        <v>34242</v>
      </c>
      <c r="B221" s="1295"/>
      <c r="C221" s="1296"/>
      <c r="D221" s="1295"/>
    </row>
    <row r="222" spans="1:4" s="1266" customFormat="1" x14ac:dyDescent="0.2">
      <c r="A222" s="1293">
        <v>34273</v>
      </c>
      <c r="B222" s="1295"/>
      <c r="C222" s="1296"/>
      <c r="D222" s="1295"/>
    </row>
    <row r="223" spans="1:4" s="1266" customFormat="1" x14ac:dyDescent="0.2">
      <c r="A223" s="1293">
        <v>34303</v>
      </c>
      <c r="B223" s="1295"/>
      <c r="C223" s="1296"/>
      <c r="D223" s="1295"/>
    </row>
    <row r="224" spans="1:4" s="1266" customFormat="1" x14ac:dyDescent="0.2">
      <c r="A224" s="1293">
        <v>34334</v>
      </c>
      <c r="B224" s="1295"/>
      <c r="C224" s="1296"/>
      <c r="D224" s="1295"/>
    </row>
    <row r="225" spans="1:4" s="1266" customFormat="1" x14ac:dyDescent="0.2">
      <c r="A225" s="1293">
        <v>34365</v>
      </c>
      <c r="B225" s="1295"/>
      <c r="C225" s="1296"/>
      <c r="D225" s="1295"/>
    </row>
    <row r="226" spans="1:4" s="1266" customFormat="1" x14ac:dyDescent="0.2">
      <c r="A226" s="1293">
        <v>34393</v>
      </c>
      <c r="B226" s="1295"/>
      <c r="C226" s="1296"/>
      <c r="D226" s="1295"/>
    </row>
    <row r="227" spans="1:4" s="1266" customFormat="1" x14ac:dyDescent="0.2">
      <c r="A227" s="1293">
        <v>34424</v>
      </c>
      <c r="B227" s="1295"/>
      <c r="C227" s="1296"/>
      <c r="D227" s="1295"/>
    </row>
    <row r="228" spans="1:4" s="1266" customFormat="1" x14ac:dyDescent="0.2">
      <c r="A228" s="1293">
        <v>34454</v>
      </c>
      <c r="B228" s="1295"/>
      <c r="C228" s="1296"/>
      <c r="D228" s="1295"/>
    </row>
    <row r="229" spans="1:4" s="1266" customFormat="1" x14ac:dyDescent="0.2">
      <c r="A229" s="1293">
        <v>34485</v>
      </c>
      <c r="B229" s="1295"/>
      <c r="C229" s="1296"/>
      <c r="D229" s="1295"/>
    </row>
    <row r="230" spans="1:4" s="1266" customFormat="1" x14ac:dyDescent="0.2">
      <c r="A230" s="1293">
        <v>34515</v>
      </c>
      <c r="B230" s="1295"/>
      <c r="C230" s="1296"/>
      <c r="D230" s="1295"/>
    </row>
    <row r="231" spans="1:4" s="1266" customFormat="1" x14ac:dyDescent="0.2">
      <c r="A231" s="1293">
        <v>34546</v>
      </c>
      <c r="B231" s="1295"/>
      <c r="C231" s="1296"/>
      <c r="D231" s="1295"/>
    </row>
    <row r="232" spans="1:4" s="1266" customFormat="1" x14ac:dyDescent="0.2">
      <c r="A232" s="1293">
        <v>34577</v>
      </c>
      <c r="B232" s="1295"/>
      <c r="C232" s="1296"/>
      <c r="D232" s="1295"/>
    </row>
    <row r="233" spans="1:4" s="1266" customFormat="1" x14ac:dyDescent="0.2">
      <c r="A233" s="1293">
        <v>34607</v>
      </c>
      <c r="B233" s="1295"/>
      <c r="C233" s="1296"/>
      <c r="D233" s="1295"/>
    </row>
    <row r="234" spans="1:4" s="1266" customFormat="1" x14ac:dyDescent="0.2">
      <c r="A234" s="1293">
        <v>34638</v>
      </c>
      <c r="B234" s="1295"/>
      <c r="C234" s="1296"/>
      <c r="D234" s="1295"/>
    </row>
    <row r="235" spans="1:4" s="1266" customFormat="1" x14ac:dyDescent="0.2">
      <c r="A235" s="1293">
        <v>34668</v>
      </c>
      <c r="B235" s="1295"/>
      <c r="C235" s="1296"/>
      <c r="D235" s="1295"/>
    </row>
    <row r="236" spans="1:4" s="1266" customFormat="1" x14ac:dyDescent="0.2">
      <c r="A236" s="1293">
        <v>34699</v>
      </c>
      <c r="B236" s="1295"/>
      <c r="C236" s="1296"/>
      <c r="D236" s="1295"/>
    </row>
    <row r="237" spans="1:4" s="1266" customFormat="1" x14ac:dyDescent="0.2">
      <c r="A237" s="1293">
        <v>34730</v>
      </c>
      <c r="B237" s="1295"/>
      <c r="C237" s="1296"/>
      <c r="D237" s="1295"/>
    </row>
    <row r="238" spans="1:4" s="1266" customFormat="1" x14ac:dyDescent="0.2">
      <c r="A238" s="1293">
        <v>34758</v>
      </c>
      <c r="B238" s="1295"/>
      <c r="C238" s="1296"/>
      <c r="D238" s="1295"/>
    </row>
    <row r="239" spans="1:4" s="1266" customFormat="1" x14ac:dyDescent="0.2">
      <c r="A239" s="1293">
        <v>34789</v>
      </c>
      <c r="B239" s="1295"/>
      <c r="C239" s="1296"/>
      <c r="D239" s="1295"/>
    </row>
    <row r="240" spans="1:4" s="1266" customFormat="1" x14ac:dyDescent="0.2">
      <c r="A240" s="1293">
        <v>34819</v>
      </c>
      <c r="B240" s="1295"/>
      <c r="C240" s="1296"/>
      <c r="D240" s="1295"/>
    </row>
    <row r="241" spans="1:4" s="1266" customFormat="1" x14ac:dyDescent="0.2">
      <c r="A241" s="1293">
        <v>34850</v>
      </c>
      <c r="B241" s="1295"/>
      <c r="C241" s="1296"/>
      <c r="D241" s="1295"/>
    </row>
    <row r="242" spans="1:4" s="1266" customFormat="1" x14ac:dyDescent="0.2">
      <c r="A242" s="1293">
        <v>34880</v>
      </c>
      <c r="B242" s="1295"/>
      <c r="C242" s="1296"/>
      <c r="D242" s="1295"/>
    </row>
    <row r="243" spans="1:4" s="1266" customFormat="1" x14ac:dyDescent="0.2">
      <c r="A243" s="1293">
        <v>34911</v>
      </c>
      <c r="B243" s="1295"/>
      <c r="C243" s="1296"/>
      <c r="D243" s="1295"/>
    </row>
    <row r="244" spans="1:4" s="1266" customFormat="1" x14ac:dyDescent="0.2">
      <c r="A244" s="1293">
        <v>34942</v>
      </c>
      <c r="B244" s="1295"/>
      <c r="C244" s="1296"/>
      <c r="D244" s="1295"/>
    </row>
    <row r="245" spans="1:4" s="1266" customFormat="1" x14ac:dyDescent="0.2">
      <c r="A245" s="1293">
        <v>34972</v>
      </c>
      <c r="B245" s="1295"/>
      <c r="C245" s="1296"/>
      <c r="D245" s="1295"/>
    </row>
    <row r="246" spans="1:4" s="1266" customFormat="1" x14ac:dyDescent="0.2">
      <c r="A246" s="1293">
        <v>35003</v>
      </c>
      <c r="B246" s="1295"/>
      <c r="C246" s="1296"/>
      <c r="D246" s="1295"/>
    </row>
    <row r="247" spans="1:4" s="1266" customFormat="1" x14ac:dyDescent="0.2">
      <c r="A247" s="1293">
        <v>35033</v>
      </c>
      <c r="B247" s="1295"/>
      <c r="C247" s="1296"/>
      <c r="D247" s="1295"/>
    </row>
    <row r="248" spans="1:4" s="1266" customFormat="1" x14ac:dyDescent="0.2">
      <c r="A248" s="1293">
        <v>35064</v>
      </c>
      <c r="B248" s="1295"/>
      <c r="C248" s="1296"/>
      <c r="D248" s="1295"/>
    </row>
    <row r="249" spans="1:4" s="1266" customFormat="1" x14ac:dyDescent="0.2">
      <c r="A249" s="1293">
        <v>35095</v>
      </c>
      <c r="B249" s="1295"/>
      <c r="C249" s="1296"/>
      <c r="D249" s="1295"/>
    </row>
    <row r="250" spans="1:4" s="1266" customFormat="1" x14ac:dyDescent="0.2">
      <c r="A250" s="1293">
        <v>35124</v>
      </c>
      <c r="B250" s="1295"/>
      <c r="C250" s="1296"/>
      <c r="D250" s="1295"/>
    </row>
    <row r="251" spans="1:4" s="1266" customFormat="1" x14ac:dyDescent="0.2">
      <c r="A251" s="1293">
        <v>35155</v>
      </c>
      <c r="B251" s="1295"/>
      <c r="C251" s="1296"/>
      <c r="D251" s="1295"/>
    </row>
    <row r="252" spans="1:4" s="1266" customFormat="1" x14ac:dyDescent="0.2">
      <c r="A252" s="1293">
        <v>35185</v>
      </c>
      <c r="B252" s="1295"/>
      <c r="C252" s="1296"/>
      <c r="D252" s="1295"/>
    </row>
    <row r="253" spans="1:4" s="1266" customFormat="1" x14ac:dyDescent="0.2">
      <c r="A253" s="1293">
        <v>35216</v>
      </c>
      <c r="B253" s="1295"/>
      <c r="C253" s="1296"/>
      <c r="D253" s="1295"/>
    </row>
    <row r="254" spans="1:4" s="1266" customFormat="1" x14ac:dyDescent="0.2">
      <c r="A254" s="1293">
        <v>35246</v>
      </c>
      <c r="B254" s="1295"/>
      <c r="C254" s="1296"/>
      <c r="D254" s="1295"/>
    </row>
    <row r="255" spans="1:4" s="1266" customFormat="1" x14ac:dyDescent="0.2">
      <c r="A255" s="1293">
        <v>35277</v>
      </c>
      <c r="B255" s="1295"/>
      <c r="C255" s="1296"/>
      <c r="D255" s="1295"/>
    </row>
    <row r="256" spans="1:4" s="1266" customFormat="1" x14ac:dyDescent="0.2">
      <c r="A256" s="1293">
        <v>35308</v>
      </c>
      <c r="B256" s="1295"/>
      <c r="C256" s="1296"/>
      <c r="D256" s="1295"/>
    </row>
    <row r="257" spans="1:4" s="1266" customFormat="1" x14ac:dyDescent="0.2">
      <c r="A257" s="1293">
        <v>35338</v>
      </c>
      <c r="B257" s="1295"/>
      <c r="C257" s="1296"/>
      <c r="D257" s="1295"/>
    </row>
    <row r="258" spans="1:4" s="1266" customFormat="1" x14ac:dyDescent="0.2">
      <c r="A258" s="1293">
        <v>35369</v>
      </c>
      <c r="B258" s="1295"/>
      <c r="C258" s="1296"/>
      <c r="D258" s="1295"/>
    </row>
    <row r="259" spans="1:4" s="1266" customFormat="1" x14ac:dyDescent="0.2">
      <c r="A259" s="1293">
        <v>35399</v>
      </c>
      <c r="B259" s="1295"/>
      <c r="C259" s="1296"/>
      <c r="D259" s="1295"/>
    </row>
    <row r="260" spans="1:4" s="1266" customFormat="1" x14ac:dyDescent="0.2">
      <c r="A260" s="1293">
        <v>35430</v>
      </c>
      <c r="B260" s="1295"/>
      <c r="C260" s="1296"/>
      <c r="D260" s="1295"/>
    </row>
    <row r="261" spans="1:4" s="1266" customFormat="1" x14ac:dyDescent="0.2">
      <c r="A261" s="1293">
        <v>35461</v>
      </c>
      <c r="B261" s="1295"/>
      <c r="C261" s="1296"/>
      <c r="D261" s="1295"/>
    </row>
    <row r="262" spans="1:4" s="1266" customFormat="1" x14ac:dyDescent="0.2">
      <c r="A262" s="1293">
        <v>35489</v>
      </c>
      <c r="B262" s="1295"/>
      <c r="C262" s="1296"/>
      <c r="D262" s="1295"/>
    </row>
    <row r="263" spans="1:4" s="1266" customFormat="1" x14ac:dyDescent="0.2">
      <c r="A263" s="1293">
        <v>35520</v>
      </c>
      <c r="B263" s="1295"/>
      <c r="C263" s="1296"/>
      <c r="D263" s="1295"/>
    </row>
    <row r="264" spans="1:4" s="1266" customFormat="1" x14ac:dyDescent="0.2">
      <c r="A264" s="1293">
        <v>35550</v>
      </c>
      <c r="B264" s="1295"/>
      <c r="C264" s="1296"/>
      <c r="D264" s="1295"/>
    </row>
    <row r="265" spans="1:4" s="1266" customFormat="1" x14ac:dyDescent="0.2">
      <c r="A265" s="1293">
        <v>35581</v>
      </c>
      <c r="B265" s="1295"/>
      <c r="C265" s="1296"/>
      <c r="D265" s="1295"/>
    </row>
    <row r="266" spans="1:4" s="1266" customFormat="1" x14ac:dyDescent="0.2">
      <c r="A266" s="1293">
        <v>35611</v>
      </c>
      <c r="B266" s="1295"/>
      <c r="C266" s="1296"/>
      <c r="D266" s="1295"/>
    </row>
    <row r="267" spans="1:4" s="1266" customFormat="1" x14ac:dyDescent="0.2">
      <c r="A267" s="1293">
        <v>35642</v>
      </c>
      <c r="B267" s="1295"/>
      <c r="C267" s="1296"/>
      <c r="D267" s="1295"/>
    </row>
    <row r="268" spans="1:4" s="1266" customFormat="1" x14ac:dyDescent="0.2">
      <c r="A268" s="1293">
        <v>35673</v>
      </c>
      <c r="B268" s="1295"/>
      <c r="C268" s="1296"/>
      <c r="D268" s="1295"/>
    </row>
    <row r="269" spans="1:4" s="1266" customFormat="1" x14ac:dyDescent="0.2">
      <c r="A269" s="1293">
        <v>35703</v>
      </c>
      <c r="B269" s="1295"/>
      <c r="C269" s="1296"/>
      <c r="D269" s="1295"/>
    </row>
    <row r="270" spans="1:4" s="1266" customFormat="1" x14ac:dyDescent="0.2">
      <c r="A270" s="1293">
        <v>35734</v>
      </c>
      <c r="B270" s="1295"/>
      <c r="C270" s="1296"/>
      <c r="D270" s="1295"/>
    </row>
    <row r="271" spans="1:4" s="1266" customFormat="1" x14ac:dyDescent="0.2">
      <c r="A271" s="1293">
        <v>35764</v>
      </c>
      <c r="B271" s="1295"/>
      <c r="C271" s="1296"/>
      <c r="D271" s="1295"/>
    </row>
    <row r="272" spans="1:4" s="1266" customFormat="1" x14ac:dyDescent="0.2">
      <c r="A272" s="1293">
        <v>35795</v>
      </c>
      <c r="B272" s="1295"/>
      <c r="C272" s="1296"/>
      <c r="D272" s="1295"/>
    </row>
    <row r="273" spans="1:4" s="1266" customFormat="1" x14ac:dyDescent="0.2">
      <c r="A273" s="1293">
        <v>35826</v>
      </c>
      <c r="B273" s="1295"/>
      <c r="C273" s="1296"/>
      <c r="D273" s="1295"/>
    </row>
    <row r="274" spans="1:4" s="1266" customFormat="1" x14ac:dyDescent="0.2">
      <c r="A274" s="1293">
        <v>35854</v>
      </c>
      <c r="B274" s="1295"/>
      <c r="C274" s="1297"/>
      <c r="D274" s="1295"/>
    </row>
    <row r="275" spans="1:4" s="1266" customFormat="1" x14ac:dyDescent="0.2">
      <c r="A275" s="1293">
        <v>35885</v>
      </c>
      <c r="B275" s="1295"/>
      <c r="C275" s="1297"/>
      <c r="D275" s="1295"/>
    </row>
    <row r="276" spans="1:4" s="1266" customFormat="1" x14ac:dyDescent="0.2">
      <c r="A276" s="1293">
        <v>35915</v>
      </c>
      <c r="B276" s="1295"/>
      <c r="C276" s="1297"/>
      <c r="D276" s="1295"/>
    </row>
    <row r="277" spans="1:4" s="1266" customFormat="1" x14ac:dyDescent="0.2">
      <c r="A277" s="1293">
        <v>35946</v>
      </c>
      <c r="B277" s="1295"/>
      <c r="C277" s="1297"/>
      <c r="D277" s="1295"/>
    </row>
    <row r="278" spans="1:4" s="1266" customFormat="1" x14ac:dyDescent="0.2">
      <c r="A278" s="1293">
        <v>35976</v>
      </c>
      <c r="B278" s="1295"/>
      <c r="C278" s="1297"/>
      <c r="D278" s="1295"/>
    </row>
    <row r="279" spans="1:4" s="1266" customFormat="1" x14ac:dyDescent="0.2">
      <c r="A279" s="1293">
        <v>36007</v>
      </c>
      <c r="B279" s="1295"/>
      <c r="C279" s="1297"/>
      <c r="D279" s="1295"/>
    </row>
    <row r="280" spans="1:4" s="1266" customFormat="1" x14ac:dyDescent="0.2">
      <c r="A280" s="1293">
        <v>36038</v>
      </c>
      <c r="B280" s="1295"/>
      <c r="C280" s="1297"/>
      <c r="D280" s="1295"/>
    </row>
    <row r="281" spans="1:4" s="1266" customFormat="1" x14ac:dyDescent="0.2">
      <c r="A281" s="1293">
        <v>36068</v>
      </c>
      <c r="B281" s="1295"/>
      <c r="C281" s="1297"/>
      <c r="D281" s="1295"/>
    </row>
    <row r="282" spans="1:4" s="1266" customFormat="1" x14ac:dyDescent="0.2">
      <c r="A282" s="1293">
        <v>36099</v>
      </c>
      <c r="B282" s="1295"/>
      <c r="C282" s="1297"/>
      <c r="D282" s="1295"/>
    </row>
    <row r="283" spans="1:4" s="1266" customFormat="1" x14ac:dyDescent="0.2">
      <c r="A283" s="1293">
        <v>36129</v>
      </c>
      <c r="B283" s="1295"/>
      <c r="C283" s="1297"/>
      <c r="D283" s="1295"/>
    </row>
    <row r="284" spans="1:4" s="1266" customFormat="1" x14ac:dyDescent="0.2">
      <c r="A284" s="1293">
        <v>36160</v>
      </c>
      <c r="B284" s="1295"/>
      <c r="C284" s="1297"/>
      <c r="D284" s="1295"/>
    </row>
    <row r="285" spans="1:4" s="1266" customFormat="1" x14ac:dyDescent="0.2">
      <c r="A285" s="1293">
        <v>36191</v>
      </c>
      <c r="B285" s="1295"/>
      <c r="C285" s="1297"/>
      <c r="D285" s="1295"/>
    </row>
    <row r="286" spans="1:4" s="1266" customFormat="1" x14ac:dyDescent="0.2">
      <c r="A286" s="1293">
        <v>36219</v>
      </c>
      <c r="B286" s="1295"/>
      <c r="C286" s="1297"/>
      <c r="D286" s="1295"/>
    </row>
    <row r="287" spans="1:4" s="1266" customFormat="1" x14ac:dyDescent="0.2">
      <c r="A287" s="1293">
        <v>36250</v>
      </c>
      <c r="B287" s="1295"/>
      <c r="C287" s="1297"/>
      <c r="D287" s="1295"/>
    </row>
    <row r="288" spans="1:4" s="1266" customFormat="1" x14ac:dyDescent="0.2">
      <c r="A288" s="1293">
        <v>36280</v>
      </c>
      <c r="B288" s="1295"/>
      <c r="C288" s="1297"/>
      <c r="D288" s="1295"/>
    </row>
    <row r="289" spans="1:4" s="1266" customFormat="1" x14ac:dyDescent="0.2">
      <c r="A289" s="1293">
        <v>36311</v>
      </c>
      <c r="B289" s="1295"/>
      <c r="C289" s="1297"/>
      <c r="D289" s="1295"/>
    </row>
    <row r="290" spans="1:4" s="1266" customFormat="1" x14ac:dyDescent="0.2">
      <c r="A290" s="1293">
        <v>36341</v>
      </c>
      <c r="B290" s="1295"/>
      <c r="C290" s="1297"/>
      <c r="D290" s="1295"/>
    </row>
    <row r="291" spans="1:4" s="1266" customFormat="1" x14ac:dyDescent="0.2">
      <c r="A291" s="1293">
        <v>36372</v>
      </c>
      <c r="B291" s="1295"/>
      <c r="C291" s="1297"/>
      <c r="D291" s="1295"/>
    </row>
    <row r="292" spans="1:4" s="1266" customFormat="1" x14ac:dyDescent="0.2">
      <c r="A292" s="1293">
        <v>36403</v>
      </c>
      <c r="B292" s="1295"/>
      <c r="C292" s="1297"/>
      <c r="D292" s="1295"/>
    </row>
    <row r="293" spans="1:4" s="1266" customFormat="1" x14ac:dyDescent="0.2">
      <c r="A293" s="1293">
        <v>36433</v>
      </c>
      <c r="B293" s="1295"/>
      <c r="C293" s="1297"/>
      <c r="D293" s="1295"/>
    </row>
    <row r="294" spans="1:4" s="1266" customFormat="1" x14ac:dyDescent="0.2">
      <c r="A294" s="1293">
        <v>36464</v>
      </c>
      <c r="B294" s="1295"/>
      <c r="C294" s="1297"/>
      <c r="D294" s="1295"/>
    </row>
    <row r="295" spans="1:4" s="1266" customFormat="1" x14ac:dyDescent="0.2">
      <c r="A295" s="1293">
        <v>36494</v>
      </c>
      <c r="B295" s="1295"/>
      <c r="C295" s="1297"/>
      <c r="D295" s="1295"/>
    </row>
    <row r="296" spans="1:4" s="1266" customFormat="1" x14ac:dyDescent="0.2">
      <c r="A296" s="1293">
        <v>36525</v>
      </c>
      <c r="B296" s="1295"/>
      <c r="C296" s="1297"/>
      <c r="D296" s="1295"/>
    </row>
    <row r="297" spans="1:4" s="1266" customFormat="1" x14ac:dyDescent="0.2">
      <c r="A297" s="1293">
        <v>36556</v>
      </c>
      <c r="B297" s="1295"/>
      <c r="C297" s="1297"/>
      <c r="D297" s="1295"/>
    </row>
    <row r="298" spans="1:4" s="1266" customFormat="1" x14ac:dyDescent="0.2">
      <c r="A298" s="1293">
        <v>36585</v>
      </c>
      <c r="B298" s="1295"/>
      <c r="C298" s="1297"/>
      <c r="D298" s="1295"/>
    </row>
    <row r="299" spans="1:4" s="1266" customFormat="1" x14ac:dyDescent="0.2">
      <c r="A299" s="1293">
        <v>36616</v>
      </c>
      <c r="B299" s="1295"/>
      <c r="C299" s="1297"/>
      <c r="D299" s="1295"/>
    </row>
    <row r="300" spans="1:4" s="1266" customFormat="1" x14ac:dyDescent="0.2">
      <c r="A300" s="1293">
        <v>36646</v>
      </c>
      <c r="B300" s="1295"/>
      <c r="C300" s="1297"/>
      <c r="D300" s="1295"/>
    </row>
    <row r="301" spans="1:4" s="1266" customFormat="1" x14ac:dyDescent="0.2">
      <c r="A301" s="1293">
        <v>36677</v>
      </c>
      <c r="B301" s="1295"/>
      <c r="C301" s="1297"/>
      <c r="D301" s="1295"/>
    </row>
    <row r="302" spans="1:4" s="1266" customFormat="1" x14ac:dyDescent="0.2">
      <c r="A302" s="1293">
        <v>36707</v>
      </c>
      <c r="B302" s="1295"/>
      <c r="C302" s="1297"/>
      <c r="D302" s="1295"/>
    </row>
    <row r="303" spans="1:4" s="1266" customFormat="1" x14ac:dyDescent="0.2">
      <c r="A303" s="1293">
        <v>36738</v>
      </c>
      <c r="B303" s="1295"/>
      <c r="C303" s="1297"/>
      <c r="D303" s="1295"/>
    </row>
    <row r="304" spans="1:4" s="1266" customFormat="1" x14ac:dyDescent="0.2">
      <c r="A304" s="1293">
        <v>36769</v>
      </c>
      <c r="B304" s="1295"/>
      <c r="C304" s="1297"/>
      <c r="D304" s="1295"/>
    </row>
    <row r="305" spans="1:4" s="1266" customFormat="1" x14ac:dyDescent="0.2">
      <c r="A305" s="1293">
        <v>36799</v>
      </c>
      <c r="B305" s="1298"/>
      <c r="C305" s="1299"/>
      <c r="D305" s="1295"/>
    </row>
    <row r="306" spans="1:4" s="1266" customFormat="1" x14ac:dyDescent="0.2">
      <c r="A306" s="1293">
        <v>36830</v>
      </c>
      <c r="B306" s="1300"/>
      <c r="C306" s="1299"/>
      <c r="D306" s="1300"/>
    </row>
    <row r="307" spans="1:4" s="1266" customFormat="1" x14ac:dyDescent="0.2">
      <c r="A307" s="1293">
        <v>36860</v>
      </c>
      <c r="B307" s="1300"/>
      <c r="C307" s="1299"/>
      <c r="D307" s="1300"/>
    </row>
    <row r="308" spans="1:4" s="1266" customFormat="1" x14ac:dyDescent="0.2">
      <c r="A308" s="1293">
        <v>36891</v>
      </c>
      <c r="B308" s="1300"/>
      <c r="C308" s="1299"/>
      <c r="D308" s="1300"/>
    </row>
    <row r="309" spans="1:4" s="1266" customFormat="1" x14ac:dyDescent="0.2">
      <c r="A309" s="1293">
        <v>36922</v>
      </c>
      <c r="B309" s="1300"/>
      <c r="C309" s="1299"/>
      <c r="D309" s="1300"/>
    </row>
    <row r="310" spans="1:4" s="1266" customFormat="1" x14ac:dyDescent="0.2">
      <c r="A310" s="1293">
        <v>36950</v>
      </c>
      <c r="B310" s="1300"/>
      <c r="C310" s="1299"/>
      <c r="D310" s="1300"/>
    </row>
    <row r="311" spans="1:4" s="1266" customFormat="1" x14ac:dyDescent="0.2">
      <c r="A311" s="1293">
        <v>36981</v>
      </c>
      <c r="B311" s="1300"/>
      <c r="C311" s="1299"/>
      <c r="D311" s="1300"/>
    </row>
    <row r="312" spans="1:4" s="1266" customFormat="1" x14ac:dyDescent="0.2">
      <c r="A312" s="1293">
        <v>37011</v>
      </c>
      <c r="B312" s="1300"/>
      <c r="C312" s="1299"/>
      <c r="D312" s="1300"/>
    </row>
    <row r="313" spans="1:4" s="1266" customFormat="1" x14ac:dyDescent="0.2">
      <c r="A313" s="1293">
        <v>37042</v>
      </c>
      <c r="B313" s="1300"/>
      <c r="C313" s="1299"/>
      <c r="D313" s="1300"/>
    </row>
    <row r="314" spans="1:4" s="1266" customFormat="1" x14ac:dyDescent="0.2">
      <c r="A314" s="1293">
        <v>37072</v>
      </c>
      <c r="B314" s="1300"/>
      <c r="C314" s="1299"/>
      <c r="D314" s="1300"/>
    </row>
    <row r="315" spans="1:4" s="1266" customFormat="1" x14ac:dyDescent="0.2">
      <c r="A315" s="1293">
        <v>37103</v>
      </c>
      <c r="B315" s="1300"/>
      <c r="C315" s="1299"/>
      <c r="D315" s="1300"/>
    </row>
    <row r="316" spans="1:4" s="1266" customFormat="1" x14ac:dyDescent="0.2">
      <c r="A316" s="1293">
        <v>37134</v>
      </c>
      <c r="B316" s="1300"/>
      <c r="C316" s="1299"/>
      <c r="D316" s="1300"/>
    </row>
    <row r="317" spans="1:4" s="1266" customFormat="1" x14ac:dyDescent="0.2">
      <c r="A317" s="1293">
        <v>37164</v>
      </c>
      <c r="B317" s="1300"/>
      <c r="C317" s="1299"/>
      <c r="D317" s="1300"/>
    </row>
    <row r="318" spans="1:4" s="1266" customFormat="1" x14ac:dyDescent="0.2">
      <c r="A318" s="1293">
        <v>37195</v>
      </c>
      <c r="B318" s="1300"/>
      <c r="C318" s="1299"/>
      <c r="D318" s="1300"/>
    </row>
    <row r="319" spans="1:4" s="1266" customFormat="1" x14ac:dyDescent="0.2">
      <c r="A319" s="1293">
        <v>37225</v>
      </c>
      <c r="B319" s="1300"/>
      <c r="C319" s="1299"/>
      <c r="D319" s="1300"/>
    </row>
    <row r="320" spans="1:4" s="1266" customFormat="1" x14ac:dyDescent="0.2">
      <c r="A320" s="1293">
        <v>37256</v>
      </c>
      <c r="B320" s="1300"/>
      <c r="C320" s="1299"/>
      <c r="D320" s="1300"/>
    </row>
    <row r="321" spans="1:4" s="1266" customFormat="1" x14ac:dyDescent="0.2">
      <c r="A321" s="1293">
        <v>37287</v>
      </c>
      <c r="B321" s="1300"/>
      <c r="C321" s="1299"/>
      <c r="D321" s="1300"/>
    </row>
    <row r="322" spans="1:4" s="1266" customFormat="1" x14ac:dyDescent="0.2">
      <c r="A322" s="1293">
        <v>37315</v>
      </c>
      <c r="B322" s="1300"/>
      <c r="C322" s="1299"/>
      <c r="D322" s="1300"/>
    </row>
    <row r="323" spans="1:4" s="1266" customFormat="1" x14ac:dyDescent="0.2">
      <c r="A323" s="1293">
        <v>37346</v>
      </c>
      <c r="B323" s="1300"/>
      <c r="C323" s="1299"/>
      <c r="D323" s="1300"/>
    </row>
    <row r="324" spans="1:4" s="1266" customFormat="1" x14ac:dyDescent="0.2">
      <c r="A324" s="1293">
        <v>37376</v>
      </c>
      <c r="B324" s="1300"/>
      <c r="C324" s="1299"/>
      <c r="D324" s="1300"/>
    </row>
    <row r="325" spans="1:4" s="1266" customFormat="1" x14ac:dyDescent="0.2">
      <c r="A325" s="1293">
        <v>37407</v>
      </c>
      <c r="B325" s="1300"/>
      <c r="C325" s="1299"/>
      <c r="D325" s="1300"/>
    </row>
    <row r="326" spans="1:4" s="1266" customFormat="1" x14ac:dyDescent="0.2">
      <c r="A326" s="1293">
        <v>37437</v>
      </c>
      <c r="B326" s="1300"/>
      <c r="C326" s="1299"/>
      <c r="D326" s="1300"/>
    </row>
    <row r="327" spans="1:4" s="1266" customFormat="1" x14ac:dyDescent="0.2">
      <c r="A327" s="1293">
        <v>37468</v>
      </c>
      <c r="B327" s="1300"/>
      <c r="C327" s="1299"/>
      <c r="D327" s="1300"/>
    </row>
    <row r="328" spans="1:4" s="1266" customFormat="1" x14ac:dyDescent="0.2">
      <c r="A328" s="1293">
        <v>37499</v>
      </c>
      <c r="B328" s="1300"/>
      <c r="C328" s="1299"/>
      <c r="D328" s="1300"/>
    </row>
    <row r="329" spans="1:4" s="1266" customFormat="1" x14ac:dyDescent="0.2">
      <c r="A329" s="1293">
        <v>37529</v>
      </c>
      <c r="B329" s="1300"/>
      <c r="C329" s="1299"/>
      <c r="D329" s="1300"/>
    </row>
    <row r="330" spans="1:4" s="1266" customFormat="1" x14ac:dyDescent="0.2">
      <c r="A330" s="1293">
        <v>37560</v>
      </c>
      <c r="B330" s="1300"/>
      <c r="C330" s="1299"/>
      <c r="D330" s="1300"/>
    </row>
    <row r="331" spans="1:4" s="1266" customFormat="1" x14ac:dyDescent="0.2">
      <c r="A331" s="1293">
        <v>37590</v>
      </c>
      <c r="B331" s="1300"/>
      <c r="C331" s="1299"/>
      <c r="D331" s="1300"/>
    </row>
    <row r="332" spans="1:4" s="1266" customFormat="1" x14ac:dyDescent="0.2">
      <c r="A332" s="1293">
        <v>37621</v>
      </c>
      <c r="B332" s="1300"/>
      <c r="C332" s="1299"/>
      <c r="D332" s="1300"/>
    </row>
    <row r="333" spans="1:4" s="1266" customFormat="1" x14ac:dyDescent="0.2">
      <c r="A333" s="1293">
        <v>37652</v>
      </c>
      <c r="B333" s="1300"/>
      <c r="C333" s="1299"/>
      <c r="D333" s="1300"/>
    </row>
    <row r="334" spans="1:4" s="1266" customFormat="1" x14ac:dyDescent="0.2">
      <c r="A334" s="1293">
        <v>37680</v>
      </c>
      <c r="B334" s="1300"/>
      <c r="C334" s="1299"/>
      <c r="D334" s="1300"/>
    </row>
    <row r="335" spans="1:4" s="1266" customFormat="1" x14ac:dyDescent="0.2">
      <c r="A335" s="1293">
        <v>37711</v>
      </c>
      <c r="B335" s="1300"/>
      <c r="C335" s="1299"/>
      <c r="D335" s="1300"/>
    </row>
    <row r="336" spans="1:4" s="1266" customFormat="1" x14ac:dyDescent="0.2">
      <c r="A336" s="1293">
        <v>37741</v>
      </c>
      <c r="B336" s="1300"/>
      <c r="C336" s="1299"/>
      <c r="D336" s="1300"/>
    </row>
    <row r="337" spans="1:4" s="1266" customFormat="1" x14ac:dyDescent="0.2">
      <c r="A337" s="1293">
        <v>37772</v>
      </c>
      <c r="B337" s="1300"/>
      <c r="C337" s="1299"/>
      <c r="D337" s="1300"/>
    </row>
    <row r="338" spans="1:4" s="1266" customFormat="1" x14ac:dyDescent="0.2">
      <c r="A338" s="1293">
        <v>37802</v>
      </c>
      <c r="B338" s="1300"/>
      <c r="C338" s="1299"/>
      <c r="D338" s="1300"/>
    </row>
    <row r="339" spans="1:4" s="1266" customFormat="1" x14ac:dyDescent="0.2">
      <c r="A339" s="1293">
        <v>37833</v>
      </c>
      <c r="B339" s="1300"/>
      <c r="C339" s="1299"/>
      <c r="D339" s="1300"/>
    </row>
    <row r="340" spans="1:4" s="1266" customFormat="1" x14ac:dyDescent="0.2">
      <c r="A340" s="1293">
        <v>37864</v>
      </c>
      <c r="B340" s="1300"/>
      <c r="C340" s="1299"/>
      <c r="D340" s="1300"/>
    </row>
    <row r="341" spans="1:4" s="1266" customFormat="1" x14ac:dyDescent="0.2">
      <c r="A341" s="1293">
        <v>37894</v>
      </c>
      <c r="B341" s="1300"/>
      <c r="C341" s="1302"/>
      <c r="D341" s="1300"/>
    </row>
    <row r="342" spans="1:4" s="1266" customFormat="1" x14ac:dyDescent="0.2">
      <c r="A342" s="1293">
        <v>37925</v>
      </c>
      <c r="B342" s="1300"/>
      <c r="C342" s="1302"/>
      <c r="D342" s="1300"/>
    </row>
    <row r="343" spans="1:4" s="1266" customFormat="1" x14ac:dyDescent="0.2">
      <c r="A343" s="1293">
        <v>37955</v>
      </c>
      <c r="B343" s="1300"/>
      <c r="C343" s="1302"/>
      <c r="D343" s="1300"/>
    </row>
    <row r="344" spans="1:4" s="1266" customFormat="1" x14ac:dyDescent="0.2">
      <c r="A344" s="1293">
        <v>37986</v>
      </c>
      <c r="B344" s="1300"/>
      <c r="C344" s="1302"/>
      <c r="D344" s="1300"/>
    </row>
    <row r="345" spans="1:4" s="1266" customFormat="1" x14ac:dyDescent="0.2">
      <c r="A345" s="1293">
        <v>38017</v>
      </c>
      <c r="B345" s="1300"/>
      <c r="C345" s="1302"/>
      <c r="D345" s="1300"/>
    </row>
    <row r="346" spans="1:4" s="1266" customFormat="1" x14ac:dyDescent="0.2">
      <c r="A346" s="1293">
        <v>38046</v>
      </c>
      <c r="B346" s="1300"/>
      <c r="C346" s="1302"/>
      <c r="D346" s="1300"/>
    </row>
    <row r="347" spans="1:4" s="1266" customFormat="1" x14ac:dyDescent="0.2">
      <c r="A347" s="1293">
        <v>38077</v>
      </c>
      <c r="B347" s="1300"/>
      <c r="C347" s="1302"/>
      <c r="D347" s="1303"/>
    </row>
    <row r="348" spans="1:4" s="1266" customFormat="1" x14ac:dyDescent="0.2">
      <c r="A348" s="1293">
        <v>38107</v>
      </c>
      <c r="B348" s="1300"/>
      <c r="C348" s="1302"/>
      <c r="D348" s="1300"/>
    </row>
    <row r="349" spans="1:4" s="1266" customFormat="1" x14ac:dyDescent="0.2">
      <c r="A349" s="1293">
        <v>38138</v>
      </c>
      <c r="B349" s="1300"/>
      <c r="C349" s="1302"/>
      <c r="D349" s="1300"/>
    </row>
    <row r="350" spans="1:4" s="1266" customFormat="1" x14ac:dyDescent="0.2">
      <c r="A350" s="1293">
        <v>38168</v>
      </c>
      <c r="B350" s="1300"/>
      <c r="C350" s="1302"/>
      <c r="D350" s="1300"/>
    </row>
    <row r="351" spans="1:4" s="1266" customFormat="1" x14ac:dyDescent="0.2">
      <c r="A351" s="1293">
        <v>38199</v>
      </c>
      <c r="B351" s="1300"/>
      <c r="C351" s="1302"/>
      <c r="D351" s="1300"/>
    </row>
    <row r="352" spans="1:4" s="1266" customFormat="1" x14ac:dyDescent="0.2">
      <c r="A352" s="1293">
        <v>38230</v>
      </c>
      <c r="B352" s="1300"/>
      <c r="C352" s="1302"/>
      <c r="D352" s="1300"/>
    </row>
    <row r="353" spans="1:4" s="1266" customFormat="1" x14ac:dyDescent="0.2">
      <c r="A353" s="1293">
        <v>38260</v>
      </c>
      <c r="B353" s="1300"/>
      <c r="C353" s="1302"/>
      <c r="D353" s="1300"/>
    </row>
    <row r="354" spans="1:4" s="1266" customFormat="1" x14ac:dyDescent="0.2">
      <c r="A354" s="1293">
        <v>38291</v>
      </c>
      <c r="B354" s="1300"/>
      <c r="C354" s="1302"/>
      <c r="D354" s="1300"/>
    </row>
    <row r="355" spans="1:4" s="1266" customFormat="1" x14ac:dyDescent="0.2">
      <c r="A355" s="1293">
        <v>38321</v>
      </c>
      <c r="B355" s="1300"/>
      <c r="C355" s="1302"/>
      <c r="D355" s="1300"/>
    </row>
    <row r="356" spans="1:4" s="1266" customFormat="1" x14ac:dyDescent="0.2">
      <c r="A356" s="1293">
        <v>38352</v>
      </c>
      <c r="B356" s="1300"/>
      <c r="C356" s="1304"/>
      <c r="D356" s="1300"/>
    </row>
    <row r="357" spans="1:4" s="1266" customFormat="1" x14ac:dyDescent="0.2">
      <c r="A357" s="1293">
        <v>38383</v>
      </c>
      <c r="B357" s="1300"/>
      <c r="C357" s="1302"/>
      <c r="D357" s="1300"/>
    </row>
    <row r="358" spans="1:4" s="1266" customFormat="1" x14ac:dyDescent="0.2">
      <c r="A358" s="1293">
        <v>38411</v>
      </c>
      <c r="B358" s="1300"/>
      <c r="C358" s="1302"/>
      <c r="D358" s="1300"/>
    </row>
    <row r="359" spans="1:4" s="1266" customFormat="1" x14ac:dyDescent="0.2">
      <c r="A359" s="1293">
        <v>38442</v>
      </c>
      <c r="B359" s="1300"/>
      <c r="C359" s="1304"/>
      <c r="D359" s="1300"/>
    </row>
    <row r="360" spans="1:4" s="1266" customFormat="1" x14ac:dyDescent="0.2">
      <c r="A360" s="1293">
        <v>38472</v>
      </c>
      <c r="B360" s="1300"/>
      <c r="C360" s="1304"/>
      <c r="D360" s="1300"/>
    </row>
    <row r="361" spans="1:4" s="1266" customFormat="1" x14ac:dyDescent="0.2">
      <c r="A361" s="1293">
        <v>38503</v>
      </c>
      <c r="B361" s="1300"/>
      <c r="C361" s="1304"/>
      <c r="D361" s="1300"/>
    </row>
    <row r="362" spans="1:4" s="1266" customFormat="1" x14ac:dyDescent="0.2">
      <c r="A362" s="1293">
        <v>38533</v>
      </c>
      <c r="B362" s="1300"/>
      <c r="C362" s="1304"/>
      <c r="D362" s="1300"/>
    </row>
    <row r="363" spans="1:4" s="1266" customFormat="1" x14ac:dyDescent="0.2">
      <c r="A363" s="1293">
        <v>38564</v>
      </c>
      <c r="B363" s="1300"/>
      <c r="C363" s="1304"/>
      <c r="D363" s="1300"/>
    </row>
    <row r="364" spans="1:4" s="1266" customFormat="1" x14ac:dyDescent="0.2">
      <c r="A364" s="1293">
        <v>38595</v>
      </c>
      <c r="B364" s="1300"/>
      <c r="C364" s="1304"/>
      <c r="D364" s="1300"/>
    </row>
    <row r="365" spans="1:4" s="1266" customFormat="1" x14ac:dyDescent="0.2">
      <c r="A365" s="1293">
        <v>38625</v>
      </c>
      <c r="B365" s="1300"/>
      <c r="C365" s="1304"/>
      <c r="D365" s="1300"/>
    </row>
    <row r="366" spans="1:4" s="1266" customFormat="1" x14ac:dyDescent="0.2">
      <c r="A366" s="1293">
        <v>38656</v>
      </c>
      <c r="B366" s="1300"/>
      <c r="C366" s="1304"/>
      <c r="D366" s="1300"/>
    </row>
    <row r="367" spans="1:4" s="1266" customFormat="1" x14ac:dyDescent="0.2">
      <c r="A367" s="1293">
        <v>38686</v>
      </c>
      <c r="B367" s="1300"/>
      <c r="C367" s="1304"/>
      <c r="D367" s="1300"/>
    </row>
    <row r="368" spans="1:4" s="1266" customFormat="1" x14ac:dyDescent="0.2">
      <c r="A368" s="1293">
        <v>38717</v>
      </c>
      <c r="B368" s="1300"/>
      <c r="C368" s="1304"/>
      <c r="D368" s="1300"/>
    </row>
    <row r="369" spans="1:6" s="1266" customFormat="1" x14ac:dyDescent="0.2">
      <c r="A369" s="1293">
        <v>38748</v>
      </c>
      <c r="B369" s="1300"/>
      <c r="C369" s="1304"/>
      <c r="D369" s="1300"/>
      <c r="E369" s="1301"/>
    </row>
    <row r="370" spans="1:6" s="1266" customFormat="1" x14ac:dyDescent="0.2">
      <c r="A370" s="1293">
        <v>38776</v>
      </c>
      <c r="B370" s="1300"/>
      <c r="C370" s="1304"/>
      <c r="D370" s="1300"/>
      <c r="E370" s="1301"/>
    </row>
    <row r="371" spans="1:6" s="1266" customFormat="1" x14ac:dyDescent="0.2">
      <c r="A371" s="1293">
        <v>38807</v>
      </c>
      <c r="B371" s="1300"/>
      <c r="C371" s="1299"/>
      <c r="D371" s="1300"/>
      <c r="E371" s="1301"/>
    </row>
    <row r="372" spans="1:6" s="1266" customFormat="1" x14ac:dyDescent="0.2">
      <c r="A372" s="1293">
        <v>38837</v>
      </c>
      <c r="B372" s="1300"/>
      <c r="C372" s="1299"/>
      <c r="D372" s="1300"/>
      <c r="E372" s="1301"/>
    </row>
    <row r="373" spans="1:6" s="1266" customFormat="1" x14ac:dyDescent="0.2">
      <c r="A373" s="1293">
        <v>38868</v>
      </c>
      <c r="B373" s="1300"/>
      <c r="C373" s="1299"/>
      <c r="D373" s="1300"/>
      <c r="E373" s="1301"/>
    </row>
    <row r="374" spans="1:6" s="1266" customFormat="1" x14ac:dyDescent="0.2">
      <c r="A374" s="1293">
        <v>38898</v>
      </c>
      <c r="B374" s="1372"/>
      <c r="C374" s="1387"/>
      <c r="D374" s="1300"/>
      <c r="E374" s="1301"/>
    </row>
    <row r="375" spans="1:6" s="1266" customFormat="1" x14ac:dyDescent="0.2">
      <c r="A375" s="1293">
        <v>38929</v>
      </c>
      <c r="B375" s="1300"/>
      <c r="C375" s="1302"/>
      <c r="D375" s="1300"/>
      <c r="E375" s="1301"/>
    </row>
    <row r="376" spans="1:6" s="1266" customFormat="1" x14ac:dyDescent="0.2">
      <c r="A376" s="1293">
        <v>38960</v>
      </c>
      <c r="B376" s="1300"/>
      <c r="C376" s="1302"/>
      <c r="D376" s="1300"/>
      <c r="E376" s="1301"/>
    </row>
    <row r="377" spans="1:6" s="1266" customFormat="1" x14ac:dyDescent="0.2">
      <c r="A377" s="1293">
        <v>38990</v>
      </c>
      <c r="B377" s="1300"/>
      <c r="C377" s="1302"/>
      <c r="D377" s="1300"/>
      <c r="E377" s="1301"/>
    </row>
    <row r="378" spans="1:6" s="1266" customFormat="1" x14ac:dyDescent="0.2">
      <c r="A378" s="1293">
        <v>39021</v>
      </c>
      <c r="B378" s="1300"/>
      <c r="C378" s="1302"/>
      <c r="D378" s="1300"/>
      <c r="E378" s="1301"/>
      <c r="F378" s="1305"/>
    </row>
    <row r="379" spans="1:6" s="1266" customFormat="1" x14ac:dyDescent="0.2">
      <c r="A379" s="1293">
        <v>39051</v>
      </c>
      <c r="B379" s="1300"/>
      <c r="C379" s="1302"/>
      <c r="D379" s="1300"/>
      <c r="E379" s="1301"/>
      <c r="F379" s="1305"/>
    </row>
    <row r="380" spans="1:6" s="1266" customFormat="1" x14ac:dyDescent="0.2">
      <c r="A380" s="1293">
        <v>39082</v>
      </c>
      <c r="B380" s="1300"/>
      <c r="C380" s="1302"/>
      <c r="D380" s="1300"/>
      <c r="E380" s="1301"/>
      <c r="F380" s="1305"/>
    </row>
    <row r="381" spans="1:6" s="1266" customFormat="1" x14ac:dyDescent="0.2">
      <c r="A381" s="1293">
        <v>39113</v>
      </c>
      <c r="B381" s="1300"/>
      <c r="C381" s="1307"/>
      <c r="D381" s="1306"/>
      <c r="E381" s="1301"/>
      <c r="F381" s="1305"/>
    </row>
    <row r="382" spans="1:6" s="1266" customFormat="1" x14ac:dyDescent="0.2">
      <c r="A382" s="1293">
        <v>39141</v>
      </c>
      <c r="B382" s="1300"/>
      <c r="C382" s="1307"/>
      <c r="D382" s="1306"/>
      <c r="E382" s="1301"/>
      <c r="F382" s="1305"/>
    </row>
    <row r="383" spans="1:6" s="1266" customFormat="1" x14ac:dyDescent="0.2">
      <c r="A383" s="1293">
        <v>39172</v>
      </c>
      <c r="B383" s="1300"/>
      <c r="C383" s="1307"/>
      <c r="D383" s="1306"/>
      <c r="E383" s="1301"/>
    </row>
    <row r="384" spans="1:6" s="1266" customFormat="1" x14ac:dyDescent="0.2">
      <c r="A384" s="1293">
        <v>39202</v>
      </c>
      <c r="B384" s="1300"/>
      <c r="C384" s="1307"/>
      <c r="D384" s="1306"/>
      <c r="E384" s="1301"/>
    </row>
    <row r="385" spans="1:3" s="1266" customFormat="1" x14ac:dyDescent="0.2">
      <c r="A385" s="1293">
        <v>39233</v>
      </c>
      <c r="B385" s="1300"/>
      <c r="C385" s="1307"/>
    </row>
    <row r="386" spans="1:3" s="1266" customFormat="1" x14ac:dyDescent="0.2">
      <c r="A386" s="1293">
        <v>39263</v>
      </c>
      <c r="B386" s="1300"/>
      <c r="C386" s="1307"/>
    </row>
    <row r="387" spans="1:3" s="1266" customFormat="1" x14ac:dyDescent="0.2">
      <c r="A387" s="1293">
        <v>39294</v>
      </c>
      <c r="B387" s="1300"/>
      <c r="C387" s="1307"/>
    </row>
    <row r="388" spans="1:3" s="1266" customFormat="1" x14ac:dyDescent="0.2">
      <c r="A388" s="1293">
        <v>39325</v>
      </c>
      <c r="B388" s="1300"/>
      <c r="C388" s="1307"/>
    </row>
    <row r="389" spans="1:3" s="1266" customFormat="1" x14ac:dyDescent="0.2">
      <c r="A389" s="1293">
        <v>39355</v>
      </c>
      <c r="B389" s="1300"/>
      <c r="C389" s="1307"/>
    </row>
    <row r="390" spans="1:3" s="1266" customFormat="1" x14ac:dyDescent="0.2">
      <c r="A390" s="1293">
        <v>39386</v>
      </c>
      <c r="B390" s="1300"/>
      <c r="C390" s="1307"/>
    </row>
    <row r="391" spans="1:3" s="1266" customFormat="1" x14ac:dyDescent="0.2">
      <c r="A391" s="1293">
        <v>39416</v>
      </c>
      <c r="B391" s="1300"/>
      <c r="C391" s="1307"/>
    </row>
    <row r="392" spans="1:3" s="1266" customFormat="1" x14ac:dyDescent="0.2">
      <c r="A392" s="1293">
        <v>39447</v>
      </c>
      <c r="B392" s="1300"/>
      <c r="C392" s="1307"/>
    </row>
    <row r="393" spans="1:3" s="1266" customFormat="1" x14ac:dyDescent="0.2">
      <c r="A393" s="1293">
        <v>39478</v>
      </c>
      <c r="B393" s="1300"/>
      <c r="C393" s="1307"/>
    </row>
    <row r="394" spans="1:3" s="1266" customFormat="1" x14ac:dyDescent="0.2">
      <c r="A394" s="1293">
        <v>39507</v>
      </c>
      <c r="B394" s="1300"/>
      <c r="C394" s="1307"/>
    </row>
    <row r="395" spans="1:3" s="1266" customFormat="1" x14ac:dyDescent="0.2">
      <c r="A395" s="1293">
        <v>39538</v>
      </c>
      <c r="B395" s="1300"/>
      <c r="C395" s="1307"/>
    </row>
    <row r="396" spans="1:3" s="1266" customFormat="1" x14ac:dyDescent="0.2">
      <c r="A396" s="1293">
        <v>39568</v>
      </c>
      <c r="B396" s="1300"/>
      <c r="C396" s="1307"/>
    </row>
    <row r="397" spans="1:3" s="1266" customFormat="1" x14ac:dyDescent="0.2">
      <c r="A397" s="1293">
        <v>39599</v>
      </c>
      <c r="B397" s="1300"/>
      <c r="C397" s="1307"/>
    </row>
    <row r="398" spans="1:3" s="1266" customFormat="1" x14ac:dyDescent="0.2">
      <c r="A398" s="1293">
        <v>39629</v>
      </c>
      <c r="B398" s="1300"/>
      <c r="C398" s="1307"/>
    </row>
    <row r="399" spans="1:3" s="1266" customFormat="1" x14ac:dyDescent="0.2">
      <c r="A399" s="1293">
        <v>39660</v>
      </c>
      <c r="B399" s="1300"/>
      <c r="C399" s="1299"/>
    </row>
    <row r="400" spans="1:3" s="1266" customFormat="1" x14ac:dyDescent="0.2">
      <c r="A400" s="1293">
        <v>39691</v>
      </c>
      <c r="B400" s="1300"/>
      <c r="C400" s="1299"/>
    </row>
    <row r="401" spans="1:3" s="1266" customFormat="1" x14ac:dyDescent="0.2">
      <c r="A401" s="1293">
        <v>39721</v>
      </c>
      <c r="B401" s="1300"/>
      <c r="C401" s="1299"/>
    </row>
    <row r="402" spans="1:3" s="1266" customFormat="1" x14ac:dyDescent="0.2">
      <c r="A402" s="1293">
        <v>39752</v>
      </c>
      <c r="B402" s="1300"/>
      <c r="C402" s="1307"/>
    </row>
    <row r="403" spans="1:3" s="1266" customFormat="1" x14ac:dyDescent="0.2">
      <c r="A403" s="1293">
        <v>39782</v>
      </c>
      <c r="B403" s="1300"/>
      <c r="C403" s="1307"/>
    </row>
    <row r="404" spans="1:3" s="1266" customFormat="1" x14ac:dyDescent="0.2">
      <c r="A404" s="1293">
        <v>39813</v>
      </c>
      <c r="B404" s="1300"/>
      <c r="C404" s="1307"/>
    </row>
    <row r="405" spans="1:3" s="1266" customFormat="1" x14ac:dyDescent="0.2">
      <c r="A405" s="1293">
        <v>39844</v>
      </c>
      <c r="B405" s="1300"/>
      <c r="C405" s="1307"/>
    </row>
    <row r="406" spans="1:3" s="1266" customFormat="1" x14ac:dyDescent="0.2">
      <c r="A406" s="1293">
        <v>39872</v>
      </c>
      <c r="B406" s="1300"/>
      <c r="C406" s="1307"/>
    </row>
    <row r="407" spans="1:3" s="1266" customFormat="1" x14ac:dyDescent="0.2">
      <c r="A407" s="1293">
        <v>39903</v>
      </c>
      <c r="B407" s="1300"/>
      <c r="C407" s="1307"/>
    </row>
    <row r="408" spans="1:3" s="1266" customFormat="1" x14ac:dyDescent="0.2">
      <c r="A408" s="1293">
        <v>39933</v>
      </c>
      <c r="B408" s="1300"/>
      <c r="C408" s="1307"/>
    </row>
    <row r="409" spans="1:3" s="1266" customFormat="1" x14ac:dyDescent="0.2">
      <c r="A409" s="1293">
        <v>39964</v>
      </c>
      <c r="B409" s="1300"/>
      <c r="C409" s="1307"/>
    </row>
    <row r="410" spans="1:3" s="1266" customFormat="1" x14ac:dyDescent="0.2">
      <c r="A410" s="1293">
        <v>39994</v>
      </c>
      <c r="B410" s="1300"/>
      <c r="C410" s="1307"/>
    </row>
    <row r="411" spans="1:3" s="1266" customFormat="1" x14ac:dyDescent="0.2">
      <c r="A411" s="1293">
        <v>40025</v>
      </c>
      <c r="B411" s="1300"/>
      <c r="C411" s="1307"/>
    </row>
    <row r="412" spans="1:3" s="1266" customFormat="1" x14ac:dyDescent="0.2">
      <c r="A412" s="1293">
        <v>40056</v>
      </c>
      <c r="B412" s="1300"/>
      <c r="C412" s="1307"/>
    </row>
    <row r="413" spans="1:3" s="1266" customFormat="1" x14ac:dyDescent="0.2">
      <c r="A413" s="1293">
        <v>40086</v>
      </c>
      <c r="B413" s="1300"/>
      <c r="C413" s="1307"/>
    </row>
    <row r="414" spans="1:3" s="1266" customFormat="1" x14ac:dyDescent="0.2">
      <c r="A414" s="1293">
        <v>40117</v>
      </c>
      <c r="B414" s="1300"/>
      <c r="C414" s="1307"/>
    </row>
    <row r="415" spans="1:3" s="1266" customFormat="1" x14ac:dyDescent="0.2">
      <c r="A415" s="1293">
        <v>40147</v>
      </c>
      <c r="B415" s="1300"/>
      <c r="C415" s="1307"/>
    </row>
    <row r="416" spans="1:3" s="1266" customFormat="1" x14ac:dyDescent="0.2">
      <c r="A416" s="1293">
        <v>40178</v>
      </c>
      <c r="B416" s="1300"/>
      <c r="C416" s="1307"/>
    </row>
    <row r="417" spans="1:9" x14ac:dyDescent="0.2">
      <c r="A417" s="1293">
        <v>40209</v>
      </c>
      <c r="B417" s="1300"/>
    </row>
    <row r="418" spans="1:9" x14ac:dyDescent="0.2">
      <c r="A418" s="1293">
        <v>40237</v>
      </c>
      <c r="B418" s="1300">
        <v>0.53</v>
      </c>
      <c r="C418" s="1307">
        <v>609872436.33000004</v>
      </c>
      <c r="D418" s="1306">
        <v>0.53324000000000005</v>
      </c>
      <c r="E418" s="1301">
        <f>B418-Index_Returns!W418</f>
        <v>0.15668000000000004</v>
      </c>
      <c r="G418" s="1311"/>
    </row>
    <row r="419" spans="1:9" x14ac:dyDescent="0.2">
      <c r="A419" s="1293">
        <v>40268</v>
      </c>
      <c r="B419" s="1300">
        <v>0.18</v>
      </c>
      <c r="C419" s="1334">
        <v>607235878.40999997</v>
      </c>
      <c r="D419" s="1311">
        <v>0.18084</v>
      </c>
      <c r="E419" s="1301">
        <f>B419-Index_Returns!W419</f>
        <v>0.30262</v>
      </c>
      <c r="G419" s="1311"/>
    </row>
    <row r="420" spans="1:9" x14ac:dyDescent="0.2">
      <c r="A420" s="1293">
        <v>40298</v>
      </c>
      <c r="B420" s="1300">
        <v>1.28</v>
      </c>
      <c r="C420" s="1307">
        <v>619058168.73000002</v>
      </c>
      <c r="D420" s="1311">
        <v>1.2817700000000001</v>
      </c>
      <c r="E420" s="1301">
        <f>B420-Index_Returns!W420</f>
        <v>0.23902000000000001</v>
      </c>
      <c r="G420" s="1311"/>
    </row>
    <row r="421" spans="1:9" x14ac:dyDescent="0.2">
      <c r="A421" s="1293">
        <v>40329</v>
      </c>
      <c r="B421" s="1300">
        <v>0.56999999999999995</v>
      </c>
      <c r="C421" s="1307">
        <v>621332226.60000002</v>
      </c>
      <c r="D421" s="1306">
        <v>0.57133999999999996</v>
      </c>
      <c r="E421" s="1301">
        <f>B421-Index_Returns!W421</f>
        <v>-0.2710800000000001</v>
      </c>
      <c r="G421" s="1311"/>
      <c r="I421" s="1305"/>
    </row>
    <row r="422" spans="1:9" x14ac:dyDescent="0.2">
      <c r="A422" s="1293">
        <v>40359</v>
      </c>
      <c r="B422" s="1300">
        <v>1.56</v>
      </c>
      <c r="C422" s="1307">
        <v>632237645.47000003</v>
      </c>
      <c r="D422" s="1306">
        <v>1.5551699999999999</v>
      </c>
      <c r="E422" s="1301">
        <f>B422-Index_Returns!W422</f>
        <v>-8.1599999999999451E-3</v>
      </c>
      <c r="G422" s="1311"/>
    </row>
    <row r="423" spans="1:9" x14ac:dyDescent="0.2">
      <c r="A423" s="1293">
        <v>40390</v>
      </c>
      <c r="B423" s="1300">
        <v>1.3031900000000001</v>
      </c>
      <c r="C423" s="1307">
        <v>641701780.69000006</v>
      </c>
      <c r="D423" s="1306">
        <v>1.3031900000000001</v>
      </c>
      <c r="E423" s="1301">
        <f>B423-Index_Returns!W423</f>
        <v>0.23581000000000008</v>
      </c>
      <c r="G423" s="1311"/>
    </row>
    <row r="424" spans="1:9" x14ac:dyDescent="0.2">
      <c r="A424" s="1293">
        <v>40421</v>
      </c>
      <c r="B424" s="1300">
        <v>1.97922</v>
      </c>
      <c r="C424" s="1307">
        <v>653259057.25999999</v>
      </c>
      <c r="D424" s="1306">
        <v>1.97922</v>
      </c>
      <c r="E424" s="1301">
        <f>B424-Index_Returns!W424</f>
        <v>0.6926699999999999</v>
      </c>
      <c r="G424" s="1311"/>
    </row>
    <row r="425" spans="1:9" x14ac:dyDescent="0.2">
      <c r="A425" s="1293">
        <v>40451</v>
      </c>
      <c r="B425" s="1300">
        <v>0.36314000000000002</v>
      </c>
      <c r="C425" s="1307">
        <v>655744797.54999995</v>
      </c>
      <c r="D425" s="1306">
        <v>0.36314000000000002</v>
      </c>
      <c r="E425" s="1301">
        <f>B425-Index_Returns!W425</f>
        <v>0.25642000000000004</v>
      </c>
      <c r="G425" s="1311"/>
    </row>
    <row r="426" spans="1:9" x14ac:dyDescent="0.2">
      <c r="A426" s="1293">
        <v>40482</v>
      </c>
      <c r="B426" s="1306">
        <v>0.71399999999999997</v>
      </c>
      <c r="C426" s="1307">
        <v>660426844.82000005</v>
      </c>
      <c r="D426" s="1311">
        <v>0.71338000000000001</v>
      </c>
      <c r="E426" s="1301">
        <f>B426-Index_Returns!W426</f>
        <v>0.35815999999999998</v>
      </c>
      <c r="G426" s="1311"/>
    </row>
    <row r="427" spans="1:9" x14ac:dyDescent="0.2">
      <c r="A427" s="1293">
        <v>40512</v>
      </c>
      <c r="B427" s="1300">
        <f>D427</f>
        <v>-1.0338799999999999</v>
      </c>
      <c r="C427" s="1307">
        <v>653381419.46000004</v>
      </c>
      <c r="D427" s="1306">
        <v>-1.0338799999999999</v>
      </c>
      <c r="E427" s="1301">
        <f>B427-Index_Returns!W427</f>
        <v>-0.45909999999999995</v>
      </c>
      <c r="G427" s="1311"/>
    </row>
    <row r="428" spans="1:9" x14ac:dyDescent="0.2">
      <c r="A428" s="1293">
        <v>40543</v>
      </c>
      <c r="B428" s="1300">
        <v>-1.4340200000000001</v>
      </c>
      <c r="C428" s="1307">
        <v>644319100.30999994</v>
      </c>
      <c r="D428" s="1306">
        <v>-1.4340200000000001</v>
      </c>
      <c r="E428" s="1301">
        <f>B428-Index_Returns!W428</f>
        <v>-0.35570000000000013</v>
      </c>
      <c r="G428" s="1311"/>
    </row>
    <row r="429" spans="1:9" x14ac:dyDescent="0.2">
      <c r="A429" s="1293">
        <v>40574</v>
      </c>
      <c r="B429" s="1300">
        <f>D429</f>
        <v>0.54779</v>
      </c>
      <c r="C429" s="1307">
        <v>647304602.90999997</v>
      </c>
      <c r="D429" s="1306">
        <v>0.54779</v>
      </c>
      <c r="E429" s="1301">
        <f>B429-Index_Returns!W429</f>
        <v>0.43164000000000002</v>
      </c>
      <c r="G429" s="1311"/>
    </row>
    <row r="430" spans="1:9" x14ac:dyDescent="0.2">
      <c r="A430" s="1293">
        <v>40602</v>
      </c>
      <c r="B430" s="1300">
        <v>0.24606</v>
      </c>
      <c r="C430" s="1307">
        <v>649534344.85000002</v>
      </c>
      <c r="D430" s="1306">
        <v>0.24606</v>
      </c>
      <c r="E430" s="1301">
        <f>B430-Index_Returns!W430</f>
        <v>-4.170000000000007E-3</v>
      </c>
      <c r="G430" s="1311"/>
    </row>
    <row r="431" spans="1:9" x14ac:dyDescent="0.2">
      <c r="A431" s="1293">
        <v>40633</v>
      </c>
      <c r="B431" s="1300">
        <f>D431</f>
        <v>0.30620000000000003</v>
      </c>
      <c r="C431" s="1307">
        <v>651284372.50999999</v>
      </c>
      <c r="D431" s="1311">
        <v>0.30620000000000003</v>
      </c>
      <c r="E431" s="1301">
        <f>B431-Index_Returns!W431</f>
        <v>0.25094000000000005</v>
      </c>
      <c r="G431" s="1311"/>
    </row>
    <row r="432" spans="1:9" x14ac:dyDescent="0.2">
      <c r="A432" s="1293">
        <v>40663</v>
      </c>
      <c r="B432" s="1300">
        <f t="shared" ref="B432:B469" si="0">D432</f>
        <v>1.3041</v>
      </c>
      <c r="C432" s="1307">
        <v>660665996.08000004</v>
      </c>
      <c r="D432" s="1306">
        <v>1.3041</v>
      </c>
      <c r="E432" s="1301">
        <f>B432-Index_Returns!W432</f>
        <v>3.4520000000000106E-2</v>
      </c>
      <c r="G432" s="1311"/>
    </row>
    <row r="433" spans="1:7" s="1266" customFormat="1" x14ac:dyDescent="0.2">
      <c r="A433" s="1293">
        <v>40694</v>
      </c>
      <c r="B433" s="1300">
        <f t="shared" si="0"/>
        <v>1.13364</v>
      </c>
      <c r="C433" s="1307">
        <v>668098524.86000001</v>
      </c>
      <c r="D433" s="1311">
        <v>1.13364</v>
      </c>
      <c r="E433" s="1301">
        <f>B433-Index_Returns!W433</f>
        <v>-0.17155000000000009</v>
      </c>
      <c r="G433" s="1311"/>
    </row>
    <row r="434" spans="1:7" s="1266" customFormat="1" x14ac:dyDescent="0.2">
      <c r="A434" s="1293">
        <v>40724</v>
      </c>
      <c r="B434" s="1300">
        <f t="shared" si="0"/>
        <v>-0.31644</v>
      </c>
      <c r="C434" s="1307">
        <v>666067561.77999997</v>
      </c>
      <c r="D434" s="1311">
        <v>-0.31644</v>
      </c>
      <c r="E434" s="1301">
        <f>B434-Index_Returns!W434</f>
        <v>-2.3519999999999985E-2</v>
      </c>
      <c r="G434" s="1311"/>
    </row>
    <row r="435" spans="1:7" s="1266" customFormat="1" x14ac:dyDescent="0.2">
      <c r="A435" s="1293">
        <v>40755</v>
      </c>
      <c r="B435" s="1300">
        <f t="shared" si="0"/>
        <v>1.7653099999999999</v>
      </c>
      <c r="C435" s="1307">
        <v>678216805.19000006</v>
      </c>
      <c r="D435" s="1306">
        <v>1.7653099999999999</v>
      </c>
      <c r="E435" s="1301">
        <f>B435-Index_Returns!W435</f>
        <v>0.17842999999999987</v>
      </c>
      <c r="G435" s="1311"/>
    </row>
    <row r="436" spans="1:7" s="1266" customFormat="1" x14ac:dyDescent="0.2">
      <c r="A436" s="1293">
        <v>40786</v>
      </c>
      <c r="B436" s="1300">
        <f t="shared" si="0"/>
        <v>0.44840000000000002</v>
      </c>
      <c r="C436" s="1307">
        <v>680675010.41999996</v>
      </c>
      <c r="D436" s="1306">
        <v>0.44840000000000002</v>
      </c>
      <c r="E436" s="1301">
        <f>B436-Index_Returns!W436</f>
        <v>-1.01267</v>
      </c>
      <c r="G436" s="1311"/>
    </row>
    <row r="437" spans="1:7" s="1266" customFormat="1" x14ac:dyDescent="0.2">
      <c r="A437" s="1293">
        <v>40816</v>
      </c>
      <c r="B437" s="1300">
        <f t="shared" si="0"/>
        <v>0.10374</v>
      </c>
      <c r="C437" s="1307">
        <v>681766713.94000006</v>
      </c>
      <c r="D437" s="1306">
        <v>0.10374</v>
      </c>
      <c r="E437" s="1301">
        <f>B437-Index_Returns!W437</f>
        <v>-0.62351000000000001</v>
      </c>
      <c r="G437" s="1311"/>
    </row>
    <row r="438" spans="1:7" s="1266" customFormat="1" x14ac:dyDescent="0.2">
      <c r="A438" s="1293">
        <v>40847</v>
      </c>
      <c r="B438" s="1300">
        <f t="shared" si="0"/>
        <v>0.67266000000000004</v>
      </c>
      <c r="C438" s="1307">
        <v>687252213.08000004</v>
      </c>
      <c r="D438" s="1306">
        <v>0.67266000000000004</v>
      </c>
      <c r="E438" s="1301">
        <f>B438-Index_Returns!W438</f>
        <v>0.56501000000000001</v>
      </c>
      <c r="G438" s="1311"/>
    </row>
    <row r="439" spans="1:7" s="1266" customFormat="1" x14ac:dyDescent="0.2">
      <c r="A439" s="1293">
        <v>40877</v>
      </c>
      <c r="B439" s="1300">
        <f t="shared" si="0"/>
        <v>-0.50829000000000002</v>
      </c>
      <c r="C439" s="1307">
        <v>683792954.98000002</v>
      </c>
      <c r="D439" s="1306">
        <v>-0.50829000000000002</v>
      </c>
      <c r="E439" s="1301">
        <f>B439-Index_Returns!W439</f>
        <v>-0.42138000000000003</v>
      </c>
      <c r="G439" s="1311"/>
    </row>
    <row r="440" spans="1:7" s="1266" customFormat="1" x14ac:dyDescent="0.2">
      <c r="A440" s="1293">
        <v>40908</v>
      </c>
      <c r="B440" s="1300">
        <f t="shared" si="0"/>
        <v>1.1328100000000001</v>
      </c>
      <c r="C440" s="1307">
        <v>690623823.76999998</v>
      </c>
      <c r="D440" s="1306">
        <v>1.1328100000000001</v>
      </c>
      <c r="E440" s="1301">
        <f>B440-Index_Returns!W440</f>
        <v>3.3689999999999998E-2</v>
      </c>
      <c r="G440" s="1311"/>
    </row>
    <row r="441" spans="1:7" s="1266" customFormat="1" x14ac:dyDescent="0.2">
      <c r="A441" s="345">
        <v>40939</v>
      </c>
      <c r="B441" s="1300">
        <f t="shared" si="0"/>
        <v>1.37687</v>
      </c>
      <c r="C441" s="1307">
        <v>702787622.11000001</v>
      </c>
      <c r="D441" s="1306">
        <v>1.37687</v>
      </c>
      <c r="E441" s="1301">
        <f>B441-Index_Returns!W441</f>
        <v>0.49923000000000006</v>
      </c>
      <c r="G441" s="1311"/>
    </row>
    <row r="442" spans="1:7" s="1266" customFormat="1" x14ac:dyDescent="0.2">
      <c r="A442" s="345">
        <v>40968</v>
      </c>
      <c r="B442" s="1300">
        <f t="shared" si="0"/>
        <v>0.16064999999999999</v>
      </c>
      <c r="C442" s="1307">
        <v>702219193.12</v>
      </c>
      <c r="D442" s="1306">
        <v>0.16064999999999999</v>
      </c>
      <c r="E442" s="1301">
        <f>B442-Index_Returns!W442</f>
        <v>0.18345999999999998</v>
      </c>
      <c r="G442" s="1311"/>
    </row>
    <row r="443" spans="1:7" s="1266" customFormat="1" x14ac:dyDescent="0.2">
      <c r="A443" s="345">
        <v>40999</v>
      </c>
      <c r="B443" s="1300">
        <f t="shared" si="0"/>
        <v>-0.33934999999999998</v>
      </c>
      <c r="C443" s="1307">
        <v>700627227.66999996</v>
      </c>
      <c r="D443" s="1306">
        <v>-0.33934999999999998</v>
      </c>
      <c r="E443" s="1301">
        <f>B443-Index_Returns!W443</f>
        <v>0.20858000000000004</v>
      </c>
      <c r="G443" s="1311"/>
    </row>
    <row r="444" spans="1:7" s="1266" customFormat="1" x14ac:dyDescent="0.2">
      <c r="A444" s="345">
        <v>41029</v>
      </c>
      <c r="B444" s="1300">
        <f t="shared" si="0"/>
        <v>1.25339</v>
      </c>
      <c r="C444" s="1307">
        <v>708568041.5</v>
      </c>
      <c r="D444" s="1311">
        <v>1.25339</v>
      </c>
      <c r="E444" s="1301">
        <f>B444-Index_Returns!W444</f>
        <v>0.14449000000000001</v>
      </c>
      <c r="G444" s="1311"/>
    </row>
    <row r="445" spans="1:7" s="1266" customFormat="1" x14ac:dyDescent="0.2">
      <c r="A445" s="345">
        <v>41060</v>
      </c>
      <c r="B445" s="1300">
        <f t="shared" si="0"/>
        <v>1.0332699999999999</v>
      </c>
      <c r="C445" s="1307">
        <v>716284576</v>
      </c>
      <c r="D445" s="1306">
        <v>1.0332699999999999</v>
      </c>
      <c r="E445" s="1301">
        <f>B445-Index_Returns!W445</f>
        <v>0.12860999999999989</v>
      </c>
      <c r="G445" s="1311"/>
    </row>
    <row r="446" spans="1:7" s="1266" customFormat="1" x14ac:dyDescent="0.2">
      <c r="A446" s="345">
        <v>41090</v>
      </c>
      <c r="B446" s="1300">
        <f t="shared" si="0"/>
        <v>5.8E-4</v>
      </c>
      <c r="C446" s="1307">
        <v>716486506.46000004</v>
      </c>
      <c r="D446" s="1306">
        <v>5.8E-4</v>
      </c>
      <c r="E446" s="1301">
        <f>B446-Index_Returns!W446</f>
        <v>-3.8650000000000004E-2</v>
      </c>
      <c r="G446" s="1311"/>
    </row>
    <row r="447" spans="1:7" s="1266" customFormat="1" x14ac:dyDescent="0.2">
      <c r="A447" s="345">
        <v>41121</v>
      </c>
      <c r="B447" s="1300">
        <f t="shared" si="0"/>
        <v>1.3840399999999999</v>
      </c>
      <c r="C447" s="1307">
        <v>724663320.67999995</v>
      </c>
      <c r="D447" s="1306">
        <v>1.3840399999999999</v>
      </c>
      <c r="E447" s="1301">
        <f>B447-Index_Returns!W447</f>
        <v>4.629999999999912E-3</v>
      </c>
      <c r="G447" s="1311"/>
    </row>
    <row r="448" spans="1:7" s="1266" customFormat="1" x14ac:dyDescent="0.2">
      <c r="A448" s="345">
        <v>41152</v>
      </c>
      <c r="B448" s="1300">
        <f t="shared" si="0"/>
        <v>0.36408000000000001</v>
      </c>
      <c r="C448" s="1307">
        <v>730155816.02999997</v>
      </c>
      <c r="D448" s="1306">
        <v>0.36408000000000001</v>
      </c>
      <c r="E448" s="1301">
        <f>B448-Index_Returns!W448</f>
        <v>0.29862</v>
      </c>
      <c r="G448" s="1311"/>
    </row>
    <row r="449" spans="1:7" s="1266" customFormat="1" x14ac:dyDescent="0.2">
      <c r="A449" s="345">
        <v>41182</v>
      </c>
      <c r="B449" s="1300">
        <f t="shared" si="0"/>
        <v>0.42846000000000001</v>
      </c>
      <c r="C449" s="1307">
        <v>729070072.69000006</v>
      </c>
      <c r="D449" s="1306">
        <v>0.42846000000000001</v>
      </c>
      <c r="E449" s="1301">
        <f>B449-Index_Returns!W449</f>
        <v>0.29124</v>
      </c>
      <c r="G449" s="1311"/>
    </row>
    <row r="450" spans="1:7" s="1266" customFormat="1" x14ac:dyDescent="0.2">
      <c r="A450" s="345">
        <v>41213</v>
      </c>
      <c r="B450" s="1300">
        <f>D450</f>
        <v>5.0009999999999999E-2</v>
      </c>
      <c r="C450" s="1307">
        <v>733311003.08000004</v>
      </c>
      <c r="D450" s="1311">
        <v>5.0009999999999999E-2</v>
      </c>
      <c r="E450" s="1301">
        <f>B450-Index_Returns!W450</f>
        <v>-0.14668</v>
      </c>
      <c r="G450" s="1311"/>
    </row>
    <row r="451" spans="1:7" s="1266" customFormat="1" x14ac:dyDescent="0.2">
      <c r="A451" s="345">
        <v>41243</v>
      </c>
      <c r="B451" s="1300">
        <f>D451</f>
        <v>0.23254</v>
      </c>
      <c r="C451" s="1307">
        <v>734970342.35000002</v>
      </c>
      <c r="D451" s="1311">
        <v>0.23254</v>
      </c>
      <c r="E451" s="1301">
        <f>B451-Index_Returns!W451</f>
        <v>7.4709999999999999E-2</v>
      </c>
      <c r="G451" s="1311"/>
    </row>
    <row r="452" spans="1:7" s="1266" customFormat="1" x14ac:dyDescent="0.2">
      <c r="A452" s="345">
        <v>41274</v>
      </c>
      <c r="B452" s="1300">
        <f t="shared" si="0"/>
        <v>7.485E-2</v>
      </c>
      <c r="C452" s="1307">
        <v>405929804.44999999</v>
      </c>
      <c r="D452" s="1306">
        <v>7.485E-2</v>
      </c>
      <c r="E452" s="1301">
        <f>B452-Index_Returns!W452</f>
        <v>0.21723999999999999</v>
      </c>
      <c r="G452" s="1311"/>
    </row>
    <row r="453" spans="1:7" s="1266" customFormat="1" x14ac:dyDescent="0.2">
      <c r="A453" s="345">
        <v>41305</v>
      </c>
      <c r="B453" s="1300">
        <f t="shared" si="0"/>
        <v>-0.16749</v>
      </c>
      <c r="C453" s="1307">
        <v>405037643.37</v>
      </c>
      <c r="D453" s="1306">
        <v>-0.16749</v>
      </c>
      <c r="E453" s="1301">
        <f>B453-Index_Returns!W453</f>
        <v>0.53190999999999999</v>
      </c>
      <c r="G453" s="1311"/>
    </row>
    <row r="454" spans="1:7" s="1266" customFormat="1" x14ac:dyDescent="0.2">
      <c r="A454" s="345">
        <v>41333</v>
      </c>
      <c r="B454" s="1300">
        <f t="shared" si="0"/>
        <v>0.40316000000000002</v>
      </c>
      <c r="C454" s="1307">
        <v>407362277.64999998</v>
      </c>
      <c r="D454" s="1306">
        <v>0.40316000000000002</v>
      </c>
      <c r="E454" s="1301">
        <f>B454-Index_Returns!W454</f>
        <v>-9.8309999999999953E-2</v>
      </c>
      <c r="G454" s="1311"/>
    </row>
    <row r="455" spans="1:7" s="1266" customFormat="1" x14ac:dyDescent="0.2">
      <c r="A455" s="345">
        <v>41364</v>
      </c>
      <c r="B455" s="1300">
        <f t="shared" si="0"/>
        <v>0.24798999999999999</v>
      </c>
      <c r="C455" s="1307">
        <v>407445048.44</v>
      </c>
      <c r="D455" s="1306">
        <v>0.24798999999999999</v>
      </c>
      <c r="E455" s="1301">
        <f>B455-Index_Returns!W455</f>
        <v>0.16820999999999997</v>
      </c>
      <c r="G455" s="1311"/>
    </row>
    <row r="456" spans="1:7" s="1266" customFormat="1" x14ac:dyDescent="0.2">
      <c r="A456" s="345">
        <v>41394</v>
      </c>
      <c r="B456" s="1300">
        <f t="shared" si="0"/>
        <v>0.91152999999999995</v>
      </c>
      <c r="C456" s="1307">
        <v>412051286.64999998</v>
      </c>
      <c r="D456" s="1311">
        <v>0.91152999999999995</v>
      </c>
      <c r="E456" s="1301">
        <f>B456-Index_Returns!W456</f>
        <v>-0.10058999999999996</v>
      </c>
      <c r="G456" s="1311"/>
    </row>
    <row r="457" spans="1:7" s="1266" customFormat="1" x14ac:dyDescent="0.2">
      <c r="A457" s="345">
        <v>41425</v>
      </c>
      <c r="B457" s="1300">
        <f t="shared" si="0"/>
        <v>-1.9495800000000001</v>
      </c>
      <c r="C457" s="1307">
        <v>404898489.06</v>
      </c>
      <c r="D457" s="1306">
        <v>-1.9495800000000001</v>
      </c>
      <c r="E457" s="1301">
        <f>B457-Index_Returns!W457</f>
        <v>-0.16499000000000019</v>
      </c>
      <c r="G457" s="1311"/>
    </row>
    <row r="458" spans="1:7" s="1266" customFormat="1" x14ac:dyDescent="0.2">
      <c r="A458" s="345">
        <v>41455</v>
      </c>
      <c r="B458" s="1300">
        <f t="shared" si="0"/>
        <v>-2.2639900000000002</v>
      </c>
      <c r="C458" s="1307">
        <v>395087717.49000001</v>
      </c>
      <c r="D458" s="1311">
        <v>-2.2639900000000002</v>
      </c>
      <c r="E458" s="1301">
        <f>B458-Index_Returns!W458</f>
        <v>-0.71739000000000019</v>
      </c>
      <c r="G458" s="1311"/>
    </row>
    <row r="459" spans="1:7" s="1266" customFormat="1" x14ac:dyDescent="0.2">
      <c r="A459" s="345">
        <v>41486</v>
      </c>
      <c r="B459" s="1300">
        <f t="shared" si="0"/>
        <v>-0.13503999999999999</v>
      </c>
      <c r="C459" s="1307">
        <v>394789849.11000001</v>
      </c>
      <c r="D459" s="1306">
        <v>-0.13503999999999999</v>
      </c>
      <c r="E459" s="1301">
        <f>B459-Index_Returns!W459</f>
        <v>-0.2717</v>
      </c>
      <c r="G459" s="1311"/>
    </row>
    <row r="460" spans="1:7" s="1266" customFormat="1" x14ac:dyDescent="0.2">
      <c r="A460" s="345">
        <v>41517</v>
      </c>
      <c r="B460" s="1300">
        <f t="shared" si="0"/>
        <v>-0.83921000000000001</v>
      </c>
      <c r="C460" s="1307">
        <v>391476724.52999997</v>
      </c>
      <c r="D460" s="1306">
        <v>-0.83921000000000001</v>
      </c>
      <c r="E460" s="1301">
        <f>B460-Index_Returns!W460</f>
        <v>-0.32777000000000001</v>
      </c>
      <c r="G460" s="1301"/>
    </row>
    <row r="461" spans="1:7" s="1266" customFormat="1" x14ac:dyDescent="0.2">
      <c r="A461" s="345">
        <v>41547</v>
      </c>
      <c r="B461" s="1300">
        <f t="shared" si="0"/>
        <v>1.2826</v>
      </c>
      <c r="C461" s="1307">
        <v>396497813.76999998</v>
      </c>
      <c r="D461" s="1306">
        <v>1.2826</v>
      </c>
      <c r="E461" s="1301">
        <f>B461-Index_Returns!W461</f>
        <v>0.33587</v>
      </c>
      <c r="G461" s="1301"/>
    </row>
    <row r="462" spans="1:7" s="1266" customFormat="1" x14ac:dyDescent="0.2">
      <c r="A462" s="345">
        <v>41578</v>
      </c>
      <c r="B462" s="1300">
        <f t="shared" si="0"/>
        <v>0.74348000000000003</v>
      </c>
      <c r="C462" s="1307">
        <v>399675926.01999998</v>
      </c>
      <c r="D462" s="1306">
        <v>0.74348000000000003</v>
      </c>
      <c r="E462" s="1301">
        <f>B462-Index_Returns!W462</f>
        <v>-6.4939999999999998E-2</v>
      </c>
      <c r="G462" s="1301"/>
    </row>
    <row r="463" spans="1:7" s="1266" customFormat="1" x14ac:dyDescent="0.2">
      <c r="A463" s="345">
        <v>41608</v>
      </c>
      <c r="B463" s="1300">
        <f t="shared" si="0"/>
        <v>-0.30009000000000002</v>
      </c>
      <c r="C463" s="1307">
        <v>398476560.32999998</v>
      </c>
      <c r="D463" s="1306">
        <v>-0.30009000000000002</v>
      </c>
      <c r="E463" s="1301">
        <f>B463-Index_Returns!W463</f>
        <v>7.393999999999995E-2</v>
      </c>
      <c r="G463" s="1301"/>
    </row>
    <row r="464" spans="1:7" s="1266" customFormat="1" x14ac:dyDescent="0.2">
      <c r="A464" s="345">
        <v>41639</v>
      </c>
      <c r="B464" s="1300">
        <f t="shared" si="0"/>
        <v>-0.85365999999999997</v>
      </c>
      <c r="C464" s="1307">
        <v>295647390.19999999</v>
      </c>
      <c r="D464" s="1306">
        <v>-0.85365999999999997</v>
      </c>
      <c r="E464" s="1301">
        <f>B464-Index_Returns!W464</f>
        <v>-0.28850999999999993</v>
      </c>
      <c r="G464" s="1301"/>
    </row>
    <row r="465" spans="1:5" s="1266" customFormat="1" x14ac:dyDescent="0.2">
      <c r="A465" s="345">
        <v>41670</v>
      </c>
      <c r="B465" s="1300">
        <f t="shared" si="0"/>
        <v>1.22353</v>
      </c>
      <c r="C465" s="1307">
        <v>299486183.88</v>
      </c>
      <c r="D465" s="1306">
        <v>1.22353</v>
      </c>
      <c r="E465" s="1301">
        <f>B465-Index_Returns!W465</f>
        <v>-0.25401999999999991</v>
      </c>
    </row>
    <row r="466" spans="1:5" s="1266" customFormat="1" x14ac:dyDescent="0.2">
      <c r="A466" s="345">
        <v>41698</v>
      </c>
      <c r="B466" s="1300">
        <f t="shared" si="0"/>
        <v>0.71845000000000003</v>
      </c>
      <c r="C466" s="1307">
        <v>301637829.72000003</v>
      </c>
      <c r="D466" s="1306">
        <v>0.71845000000000003</v>
      </c>
      <c r="E466" s="1301">
        <f>B466-Index_Returns!W466</f>
        <v>0.18698999999999999</v>
      </c>
    </row>
    <row r="467" spans="1:5" s="1266" customFormat="1" x14ac:dyDescent="0.2">
      <c r="A467" s="345">
        <v>41729</v>
      </c>
      <c r="B467" s="1300">
        <f t="shared" si="0"/>
        <v>-0.18192</v>
      </c>
      <c r="C467" s="1307">
        <v>301089094.22000003</v>
      </c>
      <c r="D467" s="1306">
        <v>-0.18192</v>
      </c>
      <c r="E467" s="1301">
        <f>B467-Index_Returns!W467</f>
        <v>-1.1589999999999989E-2</v>
      </c>
    </row>
    <row r="468" spans="1:5" s="1266" customFormat="1" x14ac:dyDescent="0.2">
      <c r="A468" s="345">
        <v>41759</v>
      </c>
      <c r="B468" s="1300">
        <f t="shared" si="0"/>
        <v>0.81096999999999997</v>
      </c>
      <c r="C468" s="1307">
        <v>153426430.63</v>
      </c>
      <c r="D468" s="1306">
        <v>0.81096999999999997</v>
      </c>
      <c r="E468" s="1301">
        <f>B468-Index_Returns!W468</f>
        <v>-3.3160000000000078E-2</v>
      </c>
    </row>
    <row r="469" spans="1:5" s="1266" customFormat="1" x14ac:dyDescent="0.2">
      <c r="A469" s="345">
        <v>41790</v>
      </c>
      <c r="B469" s="1300">
        <f t="shared" si="0"/>
        <v>3.2862900000000002</v>
      </c>
      <c r="C469" s="1307">
        <v>203467.06</v>
      </c>
      <c r="D469" s="1306">
        <v>3.2862900000000002</v>
      </c>
      <c r="E469" s="1301">
        <f>B469-Index_Returns!W469</f>
        <v>2.1480500000000005</v>
      </c>
    </row>
    <row r="470" spans="1:5" s="1266" customFormat="1" x14ac:dyDescent="0.2">
      <c r="A470" s="345"/>
      <c r="B470" s="1300"/>
      <c r="C470" s="1307"/>
      <c r="D470" s="1306"/>
      <c r="E470" s="1301"/>
    </row>
    <row r="471" spans="1:5" s="1266" customFormat="1" x14ac:dyDescent="0.2">
      <c r="A471" s="345"/>
      <c r="B471" s="1300"/>
      <c r="C471" s="1307"/>
      <c r="D471" s="1306"/>
      <c r="E471" s="1301"/>
    </row>
    <row r="472" spans="1:5" s="1266" customFormat="1" x14ac:dyDescent="0.2">
      <c r="A472" s="345"/>
      <c r="B472" s="1300"/>
      <c r="C472" s="1307"/>
      <c r="D472" s="1306"/>
      <c r="E472" s="1301"/>
    </row>
    <row r="473" spans="1:5" s="1266" customFormat="1" x14ac:dyDescent="0.2">
      <c r="A473" s="345"/>
      <c r="B473" s="1300"/>
      <c r="C473" s="1307"/>
      <c r="D473" s="1306"/>
      <c r="E473" s="1301"/>
    </row>
    <row r="474" spans="1:5" s="1266" customFormat="1" x14ac:dyDescent="0.2">
      <c r="A474" s="345"/>
      <c r="B474" s="1300"/>
      <c r="C474" s="1307"/>
      <c r="D474" s="1306"/>
      <c r="E474" s="1301"/>
    </row>
    <row r="475" spans="1:5" s="1266" customFormat="1" x14ac:dyDescent="0.2">
      <c r="A475" s="345"/>
      <c r="B475" s="1300"/>
      <c r="C475" s="1307"/>
      <c r="D475" s="1306"/>
      <c r="E475" s="1301"/>
    </row>
    <row r="476" spans="1:5" s="1266" customFormat="1" x14ac:dyDescent="0.2">
      <c r="A476" s="345"/>
      <c r="B476" s="1300"/>
      <c r="C476" s="1307"/>
      <c r="D476" s="1306"/>
      <c r="E476" s="1301"/>
    </row>
    <row r="477" spans="1:5" s="1266" customFormat="1" x14ac:dyDescent="0.2">
      <c r="A477" s="345"/>
      <c r="B477" s="1300"/>
      <c r="C477" s="1307"/>
      <c r="D477" s="1306"/>
      <c r="E477" s="1301"/>
    </row>
    <row r="478" spans="1:5" s="1266" customFormat="1" x14ac:dyDescent="0.2">
      <c r="A478" s="345"/>
      <c r="B478" s="1300"/>
      <c r="C478" s="1307"/>
      <c r="D478" s="1306"/>
      <c r="E478" s="1301"/>
    </row>
    <row r="479" spans="1:5" s="1266" customFormat="1" x14ac:dyDescent="0.2">
      <c r="A479" s="345"/>
      <c r="B479" s="1300"/>
      <c r="C479" s="1307"/>
      <c r="D479" s="1306"/>
      <c r="E479" s="1301"/>
    </row>
    <row r="480" spans="1:5" s="1266" customFormat="1" x14ac:dyDescent="0.2">
      <c r="A480" s="345"/>
      <c r="B480" s="1300"/>
      <c r="C480" s="1307"/>
      <c r="D480" s="1306"/>
      <c r="E480" s="1301"/>
    </row>
    <row r="481" spans="1:5" s="1266" customFormat="1" x14ac:dyDescent="0.2">
      <c r="A481" s="345"/>
      <c r="B481" s="1300"/>
      <c r="C481" s="1307"/>
      <c r="D481" s="1306"/>
      <c r="E481" s="1301"/>
    </row>
    <row r="482" spans="1:5" s="1266" customFormat="1" x14ac:dyDescent="0.2">
      <c r="A482" s="345"/>
      <c r="B482" s="1300"/>
      <c r="C482" s="1307"/>
      <c r="D482" s="1306"/>
      <c r="E482" s="1301"/>
    </row>
    <row r="483" spans="1:5" s="1266" customFormat="1" x14ac:dyDescent="0.2">
      <c r="A483" s="345"/>
      <c r="B483" s="1300"/>
      <c r="C483" s="1307"/>
      <c r="D483" s="1306"/>
      <c r="E483" s="1301"/>
    </row>
    <row r="484" spans="1:5" s="1266" customFormat="1" x14ac:dyDescent="0.2">
      <c r="A484" s="345"/>
      <c r="B484" s="1300"/>
      <c r="C484" s="1307"/>
      <c r="D484" s="1306"/>
      <c r="E484" s="1301"/>
    </row>
    <row r="485" spans="1:5" s="1266" customFormat="1" x14ac:dyDescent="0.2">
      <c r="A485" s="345"/>
      <c r="B485" s="1300"/>
      <c r="C485" s="1307"/>
      <c r="D485" s="1306"/>
      <c r="E485" s="1301"/>
    </row>
    <row r="486" spans="1:5" s="1266" customFormat="1" x14ac:dyDescent="0.2">
      <c r="A486" s="345"/>
      <c r="B486" s="1300"/>
      <c r="C486" s="1307"/>
      <c r="D486" s="1306"/>
      <c r="E486" s="1301"/>
    </row>
    <row r="487" spans="1:5" s="1266" customFormat="1" x14ac:dyDescent="0.2">
      <c r="A487" s="345"/>
      <c r="B487" s="1300"/>
      <c r="C487" s="1307"/>
      <c r="D487" s="1306"/>
      <c r="E487" s="1301"/>
    </row>
    <row r="488" spans="1:5" s="1266" customFormat="1" x14ac:dyDescent="0.2">
      <c r="A488" s="345"/>
      <c r="B488" s="1300"/>
      <c r="C488" s="1307"/>
      <c r="D488" s="1306"/>
      <c r="E488" s="1301"/>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rgb="FFFF0000"/>
    <pageSetUpPr fitToPage="1"/>
  </sheetPr>
  <dimension ref="A1:J488"/>
  <sheetViews>
    <sheetView workbookViewId="0">
      <pane xSplit="1" ySplit="2" topLeftCell="B448" activePane="bottomRight" state="frozen"/>
      <selection activeCell="F490" sqref="F490"/>
      <selection pane="topRight" activeCell="F490" sqref="F490"/>
      <selection pane="bottomLeft" activeCell="F490" sqref="F490"/>
      <selection pane="bottomRight" activeCell="A470" sqref="A470:B488"/>
    </sheetView>
  </sheetViews>
  <sheetFormatPr defaultRowHeight="12.75" x14ac:dyDescent="0.2"/>
  <cols>
    <col min="1" max="1" width="18.7109375" style="21" customWidth="1"/>
    <col min="2" max="2" width="18.7109375" style="257" customWidth="1"/>
    <col min="3" max="3" width="18.7109375" style="346" customWidth="1"/>
    <col min="4" max="5" width="18.7109375" style="258" customWidth="1"/>
    <col min="6" max="6" width="12.42578125" bestFit="1" customWidth="1"/>
    <col min="7" max="8" width="9.140625" style="14"/>
  </cols>
  <sheetData>
    <row r="1" spans="1:6" x14ac:dyDescent="0.2">
      <c r="A1" s="265" t="s">
        <v>177</v>
      </c>
      <c r="B1" s="1378" t="s">
        <v>495</v>
      </c>
      <c r="C1" s="1381" t="s">
        <v>179</v>
      </c>
      <c r="D1" s="1370" t="e">
        <f>Fees!F205</f>
        <v>#REF!</v>
      </c>
      <c r="E1" s="74" t="s">
        <v>81</v>
      </c>
      <c r="F1" s="1453" t="s">
        <v>771</v>
      </c>
    </row>
    <row r="2" spans="1:6" x14ac:dyDescent="0.2">
      <c r="A2" s="3" t="s">
        <v>27</v>
      </c>
      <c r="B2" s="71" t="s">
        <v>91</v>
      </c>
      <c r="C2" s="226" t="s">
        <v>92</v>
      </c>
      <c r="D2" s="71" t="s">
        <v>90</v>
      </c>
      <c r="E2" s="71" t="s">
        <v>80</v>
      </c>
    </row>
    <row r="3" spans="1:6" x14ac:dyDescent="0.2">
      <c r="A3" s="345">
        <v>27606</v>
      </c>
      <c r="B3" s="71"/>
      <c r="C3" s="226"/>
      <c r="D3" s="71"/>
      <c r="E3" s="71"/>
    </row>
    <row r="4" spans="1:6" x14ac:dyDescent="0.2">
      <c r="A4" s="345">
        <v>27637</v>
      </c>
      <c r="B4" s="71"/>
      <c r="C4" s="226"/>
      <c r="D4" s="71"/>
      <c r="E4" s="71"/>
    </row>
    <row r="5" spans="1:6" x14ac:dyDescent="0.2">
      <c r="A5" s="345">
        <v>27667</v>
      </c>
      <c r="B5" s="71"/>
      <c r="C5" s="226"/>
      <c r="D5" s="71"/>
      <c r="E5" s="71"/>
    </row>
    <row r="6" spans="1:6" x14ac:dyDescent="0.2">
      <c r="A6" s="345">
        <v>27698</v>
      </c>
      <c r="B6" s="71"/>
      <c r="C6" s="226"/>
      <c r="D6" s="71"/>
      <c r="E6" s="71"/>
    </row>
    <row r="7" spans="1:6" x14ac:dyDescent="0.2">
      <c r="A7" s="345">
        <v>27728</v>
      </c>
      <c r="B7" s="71"/>
      <c r="C7" s="226"/>
      <c r="D7" s="71"/>
      <c r="E7" s="71"/>
    </row>
    <row r="8" spans="1:6" x14ac:dyDescent="0.2">
      <c r="A8" s="345">
        <v>27759</v>
      </c>
      <c r="B8" s="71"/>
      <c r="C8" s="226"/>
      <c r="D8" s="71"/>
      <c r="E8" s="71"/>
    </row>
    <row r="9" spans="1:6" x14ac:dyDescent="0.2">
      <c r="A9" s="345">
        <v>27790</v>
      </c>
      <c r="B9" s="71"/>
      <c r="C9" s="226"/>
      <c r="D9" s="71"/>
      <c r="E9" s="71"/>
    </row>
    <row r="10" spans="1:6" x14ac:dyDescent="0.2">
      <c r="A10" s="345">
        <v>27819</v>
      </c>
      <c r="B10" s="71"/>
      <c r="C10" s="226"/>
      <c r="D10" s="71"/>
      <c r="E10" s="71"/>
    </row>
    <row r="11" spans="1:6" x14ac:dyDescent="0.2">
      <c r="A11" s="345">
        <v>27850</v>
      </c>
      <c r="B11" s="71"/>
      <c r="C11" s="226"/>
      <c r="D11" s="71"/>
      <c r="E11" s="71"/>
    </row>
    <row r="12" spans="1:6" x14ac:dyDescent="0.2">
      <c r="A12" s="345">
        <v>27880</v>
      </c>
      <c r="B12" s="71"/>
      <c r="C12" s="226"/>
      <c r="D12" s="71"/>
      <c r="E12" s="71"/>
    </row>
    <row r="13" spans="1:6" x14ac:dyDescent="0.2">
      <c r="A13" s="345">
        <v>27911</v>
      </c>
      <c r="B13" s="71"/>
      <c r="C13" s="226"/>
      <c r="D13" s="71"/>
      <c r="E13" s="71"/>
    </row>
    <row r="14" spans="1:6" x14ac:dyDescent="0.2">
      <c r="A14" s="345">
        <v>27941</v>
      </c>
      <c r="B14" s="71"/>
      <c r="C14" s="226"/>
      <c r="D14" s="71"/>
      <c r="E14" s="71"/>
    </row>
    <row r="15" spans="1:6" x14ac:dyDescent="0.2">
      <c r="A15" s="345">
        <v>27972</v>
      </c>
      <c r="B15" s="71"/>
      <c r="C15" s="226"/>
      <c r="D15" s="71"/>
      <c r="E15" s="71"/>
    </row>
    <row r="16" spans="1:6"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row>
    <row r="142" spans="1:5" x14ac:dyDescent="0.2">
      <c r="A142" s="345">
        <v>31836</v>
      </c>
      <c r="B142" s="73"/>
      <c r="C142" s="25"/>
      <c r="D142" s="73"/>
    </row>
    <row r="143" spans="1:5" x14ac:dyDescent="0.2">
      <c r="A143" s="345">
        <v>31867</v>
      </c>
      <c r="B143" s="73"/>
      <c r="C143" s="25"/>
      <c r="D143" s="73"/>
    </row>
    <row r="144" spans="1:5" x14ac:dyDescent="0.2">
      <c r="A144" s="345">
        <v>31897</v>
      </c>
      <c r="B144" s="73"/>
      <c r="C144" s="25"/>
      <c r="D144" s="73"/>
    </row>
    <row r="145" spans="1:4" x14ac:dyDescent="0.2">
      <c r="A145" s="345">
        <v>31928</v>
      </c>
      <c r="B145" s="73"/>
      <c r="C145" s="25"/>
      <c r="D145" s="73"/>
    </row>
    <row r="146" spans="1:4" x14ac:dyDescent="0.2">
      <c r="A146" s="345">
        <v>31958</v>
      </c>
      <c r="B146" s="73"/>
      <c r="C146" s="25"/>
      <c r="D146" s="73"/>
    </row>
    <row r="147" spans="1:4" x14ac:dyDescent="0.2">
      <c r="A147" s="345">
        <v>31989</v>
      </c>
      <c r="B147" s="73"/>
      <c r="C147" s="25"/>
      <c r="D147" s="73"/>
    </row>
    <row r="148" spans="1:4" x14ac:dyDescent="0.2">
      <c r="A148" s="345">
        <v>32020</v>
      </c>
      <c r="B148" s="73"/>
      <c r="C148" s="25"/>
      <c r="D148" s="73"/>
    </row>
    <row r="149" spans="1:4" x14ac:dyDescent="0.2">
      <c r="A149" s="345">
        <v>32050</v>
      </c>
      <c r="B149" s="73"/>
      <c r="C149" s="25"/>
      <c r="D149" s="73"/>
    </row>
    <row r="150" spans="1:4" x14ac:dyDescent="0.2">
      <c r="A150" s="345">
        <v>32081</v>
      </c>
      <c r="B150" s="73"/>
      <c r="C150" s="25"/>
      <c r="D150" s="73"/>
    </row>
    <row r="151" spans="1:4" x14ac:dyDescent="0.2">
      <c r="A151" s="345">
        <v>32111</v>
      </c>
      <c r="B151" s="73"/>
      <c r="C151" s="25"/>
      <c r="D151" s="73"/>
    </row>
    <row r="152" spans="1:4" x14ac:dyDescent="0.2">
      <c r="A152" s="345">
        <v>32142</v>
      </c>
      <c r="B152" s="73"/>
      <c r="C152" s="25"/>
      <c r="D152" s="73"/>
    </row>
    <row r="153" spans="1:4" x14ac:dyDescent="0.2">
      <c r="A153" s="345">
        <v>32173</v>
      </c>
      <c r="B153" s="73"/>
      <c r="C153" s="25"/>
      <c r="D153" s="73"/>
    </row>
    <row r="154" spans="1:4" x14ac:dyDescent="0.2">
      <c r="A154" s="345">
        <v>32202</v>
      </c>
      <c r="B154" s="73"/>
      <c r="C154" s="25"/>
      <c r="D154" s="73"/>
    </row>
    <row r="155" spans="1:4" x14ac:dyDescent="0.2">
      <c r="A155" s="345">
        <v>32233</v>
      </c>
      <c r="B155" s="73"/>
      <c r="C155" s="25"/>
      <c r="D155" s="73"/>
    </row>
    <row r="156" spans="1:4" x14ac:dyDescent="0.2">
      <c r="A156" s="345">
        <v>32263</v>
      </c>
      <c r="B156" s="73"/>
      <c r="C156" s="25"/>
      <c r="D156" s="73"/>
    </row>
    <row r="157" spans="1:4" x14ac:dyDescent="0.2">
      <c r="A157" s="345">
        <v>32294</v>
      </c>
      <c r="B157" s="73"/>
      <c r="C157" s="25"/>
      <c r="D157" s="73"/>
    </row>
    <row r="158" spans="1:4" x14ac:dyDescent="0.2">
      <c r="A158" s="345">
        <v>32324</v>
      </c>
      <c r="B158" s="73"/>
      <c r="C158" s="25"/>
      <c r="D158" s="73"/>
    </row>
    <row r="159" spans="1:4" x14ac:dyDescent="0.2">
      <c r="A159" s="345">
        <v>32355</v>
      </c>
      <c r="B159" s="73"/>
      <c r="C159" s="25"/>
      <c r="D159" s="73"/>
    </row>
    <row r="160" spans="1:4" x14ac:dyDescent="0.2">
      <c r="A160" s="345">
        <v>32386</v>
      </c>
      <c r="B160" s="73"/>
      <c r="C160" s="25"/>
      <c r="D160" s="73"/>
    </row>
    <row r="161" spans="1:4" x14ac:dyDescent="0.2">
      <c r="A161" s="345">
        <v>32416</v>
      </c>
      <c r="B161" s="73"/>
      <c r="C161" s="25"/>
      <c r="D161" s="73"/>
    </row>
    <row r="162" spans="1:4" x14ac:dyDescent="0.2">
      <c r="A162" s="345">
        <v>32447</v>
      </c>
      <c r="B162" s="73"/>
      <c r="C162" s="25"/>
      <c r="D162" s="73"/>
    </row>
    <row r="163" spans="1:4" x14ac:dyDescent="0.2">
      <c r="A163" s="345">
        <v>32477</v>
      </c>
      <c r="B163" s="73"/>
      <c r="C163" s="25"/>
      <c r="D163" s="73"/>
    </row>
    <row r="164" spans="1:4" x14ac:dyDescent="0.2">
      <c r="A164" s="345">
        <v>32508</v>
      </c>
      <c r="B164" s="73"/>
      <c r="C164" s="25"/>
      <c r="D164" s="73"/>
    </row>
    <row r="165" spans="1:4" x14ac:dyDescent="0.2">
      <c r="A165" s="345">
        <v>32539</v>
      </c>
      <c r="B165" s="73"/>
      <c r="C165" s="25"/>
      <c r="D165" s="73"/>
    </row>
    <row r="166" spans="1:4" x14ac:dyDescent="0.2">
      <c r="A166" s="345">
        <v>32567</v>
      </c>
      <c r="B166" s="73"/>
      <c r="C166" s="25"/>
      <c r="D166" s="73"/>
    </row>
    <row r="167" spans="1:4" x14ac:dyDescent="0.2">
      <c r="A167" s="345">
        <v>32598</v>
      </c>
      <c r="B167" s="73"/>
      <c r="C167" s="25"/>
      <c r="D167" s="73"/>
    </row>
    <row r="168" spans="1:4" x14ac:dyDescent="0.2">
      <c r="A168" s="345">
        <v>32628</v>
      </c>
      <c r="B168" s="73"/>
      <c r="C168" s="25"/>
      <c r="D168" s="73"/>
    </row>
    <row r="169" spans="1:4" x14ac:dyDescent="0.2">
      <c r="A169" s="345">
        <v>32659</v>
      </c>
      <c r="B169" s="73"/>
      <c r="C169" s="25"/>
      <c r="D169" s="73"/>
    </row>
    <row r="170" spans="1:4" x14ac:dyDescent="0.2">
      <c r="A170" s="345">
        <v>32689</v>
      </c>
      <c r="B170" s="73"/>
      <c r="C170" s="25"/>
      <c r="D170" s="73"/>
    </row>
    <row r="171" spans="1:4" x14ac:dyDescent="0.2">
      <c r="A171" s="345">
        <v>32720</v>
      </c>
      <c r="B171" s="73"/>
      <c r="C171" s="25"/>
      <c r="D171" s="73"/>
    </row>
    <row r="172" spans="1:4" x14ac:dyDescent="0.2">
      <c r="A172" s="345">
        <v>32751</v>
      </c>
      <c r="B172" s="73"/>
      <c r="C172" s="25"/>
      <c r="D172" s="73"/>
    </row>
    <row r="173" spans="1:4" x14ac:dyDescent="0.2">
      <c r="A173" s="345">
        <v>32781</v>
      </c>
      <c r="B173" s="73"/>
      <c r="C173" s="25"/>
      <c r="D173" s="73"/>
    </row>
    <row r="174" spans="1:4" x14ac:dyDescent="0.2">
      <c r="A174" s="345">
        <v>32812</v>
      </c>
      <c r="B174" s="73"/>
      <c r="C174" s="25"/>
      <c r="D174" s="73"/>
    </row>
    <row r="175" spans="1:4" x14ac:dyDescent="0.2">
      <c r="A175" s="345">
        <v>32842</v>
      </c>
      <c r="B175" s="73"/>
      <c r="C175" s="25"/>
      <c r="D175" s="73"/>
    </row>
    <row r="176" spans="1:4" x14ac:dyDescent="0.2">
      <c r="A176" s="345">
        <v>32873</v>
      </c>
      <c r="B176" s="73"/>
      <c r="C176" s="25"/>
      <c r="D176" s="73"/>
    </row>
    <row r="177" spans="1:4" x14ac:dyDescent="0.2">
      <c r="A177" s="345">
        <v>32904</v>
      </c>
      <c r="B177" s="73"/>
      <c r="C177" s="25"/>
      <c r="D177" s="73"/>
    </row>
    <row r="178" spans="1:4" x14ac:dyDescent="0.2">
      <c r="A178" s="345">
        <v>32932</v>
      </c>
      <c r="B178" s="73"/>
      <c r="C178" s="25"/>
      <c r="D178" s="73"/>
    </row>
    <row r="179" spans="1:4" x14ac:dyDescent="0.2">
      <c r="A179" s="345">
        <v>32963</v>
      </c>
      <c r="B179" s="73"/>
      <c r="C179" s="25"/>
      <c r="D179" s="73"/>
    </row>
    <row r="180" spans="1:4" x14ac:dyDescent="0.2">
      <c r="A180" s="345">
        <v>32993</v>
      </c>
      <c r="B180" s="73"/>
      <c r="C180" s="25"/>
      <c r="D180" s="73"/>
    </row>
    <row r="181" spans="1:4" x14ac:dyDescent="0.2">
      <c r="A181" s="345">
        <v>33024</v>
      </c>
      <c r="B181" s="73"/>
      <c r="C181" s="25"/>
      <c r="D181" s="73"/>
    </row>
    <row r="182" spans="1:4" x14ac:dyDescent="0.2">
      <c r="A182" s="345">
        <v>33054</v>
      </c>
      <c r="B182" s="73"/>
      <c r="C182" s="25"/>
      <c r="D182" s="73"/>
    </row>
    <row r="183" spans="1:4" x14ac:dyDescent="0.2">
      <c r="A183" s="345">
        <v>33085</v>
      </c>
      <c r="B183" s="73"/>
      <c r="C183" s="25"/>
      <c r="D183" s="73"/>
    </row>
    <row r="184" spans="1:4" x14ac:dyDescent="0.2">
      <c r="A184" s="345">
        <v>33116</v>
      </c>
      <c r="B184" s="73"/>
      <c r="C184" s="25"/>
      <c r="D184" s="73"/>
    </row>
    <row r="185" spans="1:4" x14ac:dyDescent="0.2">
      <c r="A185" s="345">
        <v>33146</v>
      </c>
      <c r="B185" s="73"/>
      <c r="C185" s="25"/>
      <c r="D185" s="73"/>
    </row>
    <row r="186" spans="1:4" x14ac:dyDescent="0.2">
      <c r="A186" s="345">
        <v>33177</v>
      </c>
      <c r="B186" s="73"/>
      <c r="C186" s="25"/>
      <c r="D186" s="73"/>
    </row>
    <row r="187" spans="1:4" x14ac:dyDescent="0.2">
      <c r="A187" s="345">
        <v>33207</v>
      </c>
      <c r="B187" s="73"/>
      <c r="C187" s="25"/>
      <c r="D187" s="73"/>
    </row>
    <row r="188" spans="1:4" x14ac:dyDescent="0.2">
      <c r="A188" s="345">
        <v>33238</v>
      </c>
      <c r="B188" s="73"/>
      <c r="C188" s="25"/>
      <c r="D188" s="73"/>
    </row>
    <row r="189" spans="1:4" x14ac:dyDescent="0.2">
      <c r="A189" s="345">
        <v>33269</v>
      </c>
      <c r="B189" s="73"/>
      <c r="C189" s="25"/>
      <c r="D189" s="73"/>
    </row>
    <row r="190" spans="1:4" x14ac:dyDescent="0.2">
      <c r="A190" s="345">
        <v>33297</v>
      </c>
      <c r="B190" s="73"/>
      <c r="C190" s="25"/>
      <c r="D190" s="73"/>
    </row>
    <row r="191" spans="1:4" x14ac:dyDescent="0.2">
      <c r="A191" s="345">
        <v>33328</v>
      </c>
      <c r="B191" s="73"/>
      <c r="C191" s="25"/>
      <c r="D191" s="73"/>
    </row>
    <row r="192" spans="1:4" x14ac:dyDescent="0.2">
      <c r="A192" s="345">
        <v>33358</v>
      </c>
      <c r="B192" s="73"/>
      <c r="C192" s="25"/>
      <c r="D192" s="73"/>
    </row>
    <row r="193" spans="1:4" x14ac:dyDescent="0.2">
      <c r="A193" s="345">
        <v>33389</v>
      </c>
      <c r="B193" s="73"/>
      <c r="C193" s="25"/>
      <c r="D193" s="73"/>
    </row>
    <row r="194" spans="1:4" x14ac:dyDescent="0.2">
      <c r="A194" s="345">
        <v>33419</v>
      </c>
      <c r="B194" s="73"/>
      <c r="C194" s="25"/>
      <c r="D194" s="73"/>
    </row>
    <row r="195" spans="1:4" x14ac:dyDescent="0.2">
      <c r="A195" s="345">
        <v>33450</v>
      </c>
      <c r="B195" s="73"/>
      <c r="C195" s="25"/>
      <c r="D195" s="73"/>
    </row>
    <row r="196" spans="1:4" x14ac:dyDescent="0.2">
      <c r="A196" s="345">
        <v>33481</v>
      </c>
      <c r="B196" s="73"/>
      <c r="C196" s="25"/>
      <c r="D196" s="73"/>
    </row>
    <row r="197" spans="1:4" x14ac:dyDescent="0.2">
      <c r="A197" s="345">
        <v>33511</v>
      </c>
      <c r="B197" s="73"/>
      <c r="C197" s="25"/>
      <c r="D197" s="73"/>
    </row>
    <row r="198" spans="1:4" x14ac:dyDescent="0.2">
      <c r="A198" s="345">
        <v>33542</v>
      </c>
      <c r="B198" s="73"/>
      <c r="C198" s="25"/>
      <c r="D198" s="73"/>
    </row>
    <row r="199" spans="1:4" x14ac:dyDescent="0.2">
      <c r="A199" s="345">
        <v>33572</v>
      </c>
      <c r="B199" s="73"/>
      <c r="C199" s="25"/>
      <c r="D199" s="73"/>
    </row>
    <row r="200" spans="1:4" x14ac:dyDescent="0.2">
      <c r="A200" s="345">
        <v>33603</v>
      </c>
      <c r="B200" s="73"/>
      <c r="C200" s="25"/>
      <c r="D200" s="73"/>
    </row>
    <row r="201" spans="1:4" x14ac:dyDescent="0.2">
      <c r="A201" s="345">
        <v>33634</v>
      </c>
      <c r="B201" s="73"/>
      <c r="C201" s="25"/>
      <c r="D201" s="73"/>
    </row>
    <row r="202" spans="1:4" x14ac:dyDescent="0.2">
      <c r="A202" s="345">
        <v>33663</v>
      </c>
      <c r="B202" s="73"/>
      <c r="C202" s="25"/>
      <c r="D202" s="73"/>
    </row>
    <row r="203" spans="1:4" x14ac:dyDescent="0.2">
      <c r="A203" s="345">
        <v>33694</v>
      </c>
      <c r="B203" s="73"/>
      <c r="C203" s="25"/>
      <c r="D203" s="73"/>
    </row>
    <row r="204" spans="1:4" x14ac:dyDescent="0.2">
      <c r="A204" s="345">
        <v>33724</v>
      </c>
      <c r="B204" s="73"/>
      <c r="C204" s="25"/>
      <c r="D204" s="73"/>
    </row>
    <row r="205" spans="1:4" x14ac:dyDescent="0.2">
      <c r="A205" s="345">
        <v>33755</v>
      </c>
      <c r="B205" s="73"/>
      <c r="C205" s="25"/>
      <c r="D205" s="73"/>
    </row>
    <row r="206" spans="1:4" x14ac:dyDescent="0.2">
      <c r="A206" s="345">
        <v>33785</v>
      </c>
      <c r="B206" s="73"/>
      <c r="C206" s="25"/>
      <c r="D206" s="73"/>
    </row>
    <row r="207" spans="1:4" x14ac:dyDescent="0.2">
      <c r="A207" s="345">
        <v>33816</v>
      </c>
      <c r="B207" s="73"/>
      <c r="C207" s="25"/>
      <c r="D207" s="73"/>
    </row>
    <row r="208" spans="1:4" x14ac:dyDescent="0.2">
      <c r="A208" s="345">
        <v>33847</v>
      </c>
      <c r="B208" s="73"/>
      <c r="C208" s="25"/>
      <c r="D208" s="73"/>
    </row>
    <row r="209" spans="1:4" x14ac:dyDescent="0.2">
      <c r="A209" s="345">
        <v>33877</v>
      </c>
      <c r="B209" s="73"/>
      <c r="C209" s="25"/>
      <c r="D209" s="73"/>
    </row>
    <row r="210" spans="1:4" x14ac:dyDescent="0.2">
      <c r="A210" s="345">
        <v>33908</v>
      </c>
      <c r="B210" s="73"/>
      <c r="C210" s="25"/>
      <c r="D210" s="73"/>
    </row>
    <row r="211" spans="1:4" x14ac:dyDescent="0.2">
      <c r="A211" s="345">
        <v>33938</v>
      </c>
      <c r="B211" s="73"/>
      <c r="C211" s="25"/>
      <c r="D211" s="73"/>
    </row>
    <row r="212" spans="1:4" x14ac:dyDescent="0.2">
      <c r="A212" s="345">
        <v>33969</v>
      </c>
      <c r="B212" s="73"/>
      <c r="C212" s="25"/>
      <c r="D212" s="73"/>
    </row>
    <row r="213" spans="1:4" x14ac:dyDescent="0.2">
      <c r="A213" s="345">
        <v>34000</v>
      </c>
      <c r="B213" s="73"/>
      <c r="C213" s="25"/>
      <c r="D213" s="73"/>
    </row>
    <row r="214" spans="1:4" x14ac:dyDescent="0.2">
      <c r="A214" s="345">
        <v>34028</v>
      </c>
      <c r="B214" s="73"/>
      <c r="C214" s="25"/>
      <c r="D214" s="73"/>
    </row>
    <row r="215" spans="1:4" x14ac:dyDescent="0.2">
      <c r="A215" s="345">
        <v>34059</v>
      </c>
      <c r="B215" s="73"/>
      <c r="C215" s="25"/>
      <c r="D215" s="73"/>
    </row>
    <row r="216" spans="1:4" x14ac:dyDescent="0.2">
      <c r="A216" s="345">
        <v>34089</v>
      </c>
      <c r="B216" s="73"/>
      <c r="C216" s="25"/>
      <c r="D216" s="73"/>
    </row>
    <row r="217" spans="1:4" x14ac:dyDescent="0.2">
      <c r="A217" s="345">
        <v>34120</v>
      </c>
      <c r="B217" s="73"/>
      <c r="C217" s="25"/>
      <c r="D217" s="73"/>
    </row>
    <row r="218" spans="1:4" x14ac:dyDescent="0.2">
      <c r="A218" s="345">
        <v>34150</v>
      </c>
      <c r="B218" s="73"/>
      <c r="C218" s="25"/>
      <c r="D218" s="73"/>
    </row>
    <row r="219" spans="1:4" x14ac:dyDescent="0.2">
      <c r="A219" s="345">
        <v>34181</v>
      </c>
      <c r="B219" s="73"/>
      <c r="C219" s="25"/>
      <c r="D219" s="73"/>
    </row>
    <row r="220" spans="1:4" x14ac:dyDescent="0.2">
      <c r="A220" s="345">
        <v>34212</v>
      </c>
      <c r="B220" s="73"/>
      <c r="C220" s="25"/>
      <c r="D220" s="73"/>
    </row>
    <row r="221" spans="1:4" x14ac:dyDescent="0.2">
      <c r="A221" s="345">
        <v>34242</v>
      </c>
      <c r="B221" s="73"/>
      <c r="C221" s="25"/>
      <c r="D221" s="73"/>
    </row>
    <row r="222" spans="1:4" x14ac:dyDescent="0.2">
      <c r="A222" s="345">
        <v>34273</v>
      </c>
      <c r="B222" s="73"/>
      <c r="C222" s="25"/>
      <c r="D222" s="73"/>
    </row>
    <row r="223" spans="1:4" x14ac:dyDescent="0.2">
      <c r="A223" s="345">
        <v>34303</v>
      </c>
      <c r="B223" s="73"/>
      <c r="C223" s="25"/>
      <c r="D223" s="73"/>
    </row>
    <row r="224" spans="1:4" x14ac:dyDescent="0.2">
      <c r="A224" s="345">
        <v>34334</v>
      </c>
      <c r="B224" s="73"/>
      <c r="C224" s="25"/>
      <c r="D224" s="73"/>
    </row>
    <row r="225" spans="1:4" x14ac:dyDescent="0.2">
      <c r="A225" s="345">
        <v>34365</v>
      </c>
      <c r="B225" s="73"/>
      <c r="C225" s="25"/>
      <c r="D225" s="73"/>
    </row>
    <row r="226" spans="1:4" x14ac:dyDescent="0.2">
      <c r="A226" s="345">
        <v>34393</v>
      </c>
      <c r="B226" s="73"/>
      <c r="C226" s="25"/>
      <c r="D226" s="73"/>
    </row>
    <row r="227" spans="1:4" x14ac:dyDescent="0.2">
      <c r="A227" s="345">
        <v>34424</v>
      </c>
      <c r="B227" s="73"/>
      <c r="C227" s="25"/>
      <c r="D227" s="73"/>
    </row>
    <row r="228" spans="1:4" x14ac:dyDescent="0.2">
      <c r="A228" s="345">
        <v>34454</v>
      </c>
      <c r="B228" s="73"/>
      <c r="C228" s="25"/>
      <c r="D228" s="73"/>
    </row>
    <row r="229" spans="1:4" x14ac:dyDescent="0.2">
      <c r="A229" s="345">
        <v>34485</v>
      </c>
      <c r="B229" s="73"/>
      <c r="C229" s="25"/>
      <c r="D229" s="73"/>
    </row>
    <row r="230" spans="1:4" x14ac:dyDescent="0.2">
      <c r="A230" s="345">
        <v>34515</v>
      </c>
      <c r="B230" s="73"/>
      <c r="C230" s="25"/>
      <c r="D230" s="73"/>
    </row>
    <row r="231" spans="1:4" x14ac:dyDescent="0.2">
      <c r="A231" s="345">
        <v>34546</v>
      </c>
      <c r="B231" s="73"/>
      <c r="C231" s="25"/>
      <c r="D231" s="73"/>
    </row>
    <row r="232" spans="1:4" x14ac:dyDescent="0.2">
      <c r="A232" s="345">
        <v>34577</v>
      </c>
      <c r="B232" s="73"/>
      <c r="C232" s="25"/>
      <c r="D232" s="73"/>
    </row>
    <row r="233" spans="1:4" x14ac:dyDescent="0.2">
      <c r="A233" s="345">
        <v>34607</v>
      </c>
      <c r="B233" s="73"/>
      <c r="C233" s="25"/>
      <c r="D233" s="73"/>
    </row>
    <row r="234" spans="1:4" x14ac:dyDescent="0.2">
      <c r="A234" s="345">
        <v>34638</v>
      </c>
      <c r="B234" s="73"/>
      <c r="C234" s="25"/>
      <c r="D234" s="73"/>
    </row>
    <row r="235" spans="1:4" x14ac:dyDescent="0.2">
      <c r="A235" s="345">
        <v>34668</v>
      </c>
      <c r="B235" s="73"/>
      <c r="C235" s="25"/>
      <c r="D235" s="73"/>
    </row>
    <row r="236" spans="1:4" x14ac:dyDescent="0.2">
      <c r="A236" s="345">
        <v>34699</v>
      </c>
      <c r="B236" s="73"/>
      <c r="C236" s="25"/>
      <c r="D236" s="73"/>
    </row>
    <row r="237" spans="1:4" x14ac:dyDescent="0.2">
      <c r="A237" s="345">
        <v>34730</v>
      </c>
      <c r="B237" s="73"/>
      <c r="C237" s="25"/>
      <c r="D237" s="73"/>
    </row>
    <row r="238" spans="1:4" x14ac:dyDescent="0.2">
      <c r="A238" s="345">
        <v>34758</v>
      </c>
      <c r="B238" s="73"/>
      <c r="C238" s="25"/>
      <c r="D238" s="73"/>
    </row>
    <row r="239" spans="1:4" x14ac:dyDescent="0.2">
      <c r="A239" s="345">
        <v>34789</v>
      </c>
      <c r="B239" s="73"/>
      <c r="C239" s="25"/>
      <c r="D239" s="73"/>
    </row>
    <row r="240" spans="1:4" x14ac:dyDescent="0.2">
      <c r="A240" s="345">
        <v>34819</v>
      </c>
      <c r="B240" s="73"/>
      <c r="C240" s="25"/>
      <c r="D240" s="73"/>
    </row>
    <row r="241" spans="1:4" x14ac:dyDescent="0.2">
      <c r="A241" s="345">
        <v>34850</v>
      </c>
      <c r="B241" s="73"/>
      <c r="C241" s="25"/>
      <c r="D241" s="73"/>
    </row>
    <row r="242" spans="1:4" x14ac:dyDescent="0.2">
      <c r="A242" s="345">
        <v>34880</v>
      </c>
      <c r="B242" s="73"/>
      <c r="C242" s="25"/>
      <c r="D242" s="73"/>
    </row>
    <row r="243" spans="1:4" x14ac:dyDescent="0.2">
      <c r="A243" s="345">
        <v>34911</v>
      </c>
      <c r="B243" s="73"/>
      <c r="C243" s="25"/>
      <c r="D243" s="73"/>
    </row>
    <row r="244" spans="1:4" x14ac:dyDescent="0.2">
      <c r="A244" s="345">
        <v>34942</v>
      </c>
      <c r="B244" s="73"/>
      <c r="C244" s="25"/>
      <c r="D244" s="73"/>
    </row>
    <row r="245" spans="1:4" x14ac:dyDescent="0.2">
      <c r="A245" s="345">
        <v>34972</v>
      </c>
      <c r="B245" s="73"/>
      <c r="C245" s="25"/>
      <c r="D245" s="73"/>
    </row>
    <row r="246" spans="1:4" x14ac:dyDescent="0.2">
      <c r="A246" s="345">
        <v>35003</v>
      </c>
      <c r="B246" s="73"/>
      <c r="C246" s="25"/>
      <c r="D246" s="73"/>
    </row>
    <row r="247" spans="1:4" x14ac:dyDescent="0.2">
      <c r="A247" s="345">
        <v>35033</v>
      </c>
      <c r="B247" s="73"/>
      <c r="C247" s="25"/>
      <c r="D247" s="73"/>
    </row>
    <row r="248" spans="1:4" x14ac:dyDescent="0.2">
      <c r="A248" s="345">
        <v>35064</v>
      </c>
      <c r="B248" s="73"/>
      <c r="C248" s="25"/>
      <c r="D248" s="73"/>
    </row>
    <row r="249" spans="1:4" x14ac:dyDescent="0.2">
      <c r="A249" s="345">
        <v>35095</v>
      </c>
      <c r="B249" s="73"/>
      <c r="C249" s="25"/>
      <c r="D249" s="73"/>
    </row>
    <row r="250" spans="1:4" x14ac:dyDescent="0.2">
      <c r="A250" s="345">
        <v>35124</v>
      </c>
      <c r="B250" s="73"/>
      <c r="C250" s="25"/>
      <c r="D250" s="73"/>
    </row>
    <row r="251" spans="1:4" x14ac:dyDescent="0.2">
      <c r="A251" s="345">
        <v>35155</v>
      </c>
      <c r="B251" s="73"/>
      <c r="C251" s="25"/>
      <c r="D251" s="73"/>
    </row>
    <row r="252" spans="1:4" x14ac:dyDescent="0.2">
      <c r="A252" s="345">
        <v>35185</v>
      </c>
      <c r="B252" s="73"/>
      <c r="C252" s="25"/>
      <c r="D252" s="73"/>
    </row>
    <row r="253" spans="1:4" x14ac:dyDescent="0.2">
      <c r="A253" s="345">
        <v>35216</v>
      </c>
      <c r="B253" s="73"/>
      <c r="C253" s="25"/>
      <c r="D253" s="73"/>
    </row>
    <row r="254" spans="1:4" x14ac:dyDescent="0.2">
      <c r="A254" s="345">
        <v>35246</v>
      </c>
      <c r="B254" s="73"/>
      <c r="C254" s="25"/>
      <c r="D254" s="73"/>
    </row>
    <row r="255" spans="1:4" x14ac:dyDescent="0.2">
      <c r="A255" s="345">
        <v>35277</v>
      </c>
      <c r="B255" s="73"/>
      <c r="C255" s="25"/>
      <c r="D255" s="73"/>
    </row>
    <row r="256" spans="1:4" x14ac:dyDescent="0.2">
      <c r="A256" s="345">
        <v>35308</v>
      </c>
      <c r="B256" s="73"/>
      <c r="C256" s="25"/>
      <c r="D256" s="73"/>
    </row>
    <row r="257" spans="1:4" x14ac:dyDescent="0.2">
      <c r="A257" s="345">
        <v>35338</v>
      </c>
      <c r="B257" s="73"/>
      <c r="C257" s="25"/>
      <c r="D257" s="73"/>
    </row>
    <row r="258" spans="1:4" x14ac:dyDescent="0.2">
      <c r="A258" s="345">
        <v>35369</v>
      </c>
      <c r="B258" s="73"/>
      <c r="C258" s="25"/>
      <c r="D258" s="73"/>
    </row>
    <row r="259" spans="1:4" x14ac:dyDescent="0.2">
      <c r="A259" s="345">
        <v>35399</v>
      </c>
      <c r="B259" s="73"/>
      <c r="C259" s="25"/>
      <c r="D259" s="73"/>
    </row>
    <row r="260" spans="1:4" x14ac:dyDescent="0.2">
      <c r="A260" s="345">
        <v>35430</v>
      </c>
      <c r="B260" s="73"/>
      <c r="C260" s="25"/>
      <c r="D260" s="73"/>
    </row>
    <row r="261" spans="1:4" x14ac:dyDescent="0.2">
      <c r="A261" s="345">
        <v>35461</v>
      </c>
      <c r="B261" s="73"/>
      <c r="C261" s="25"/>
      <c r="D261" s="73"/>
    </row>
    <row r="262" spans="1:4" x14ac:dyDescent="0.2">
      <c r="A262" s="345">
        <v>35489</v>
      </c>
      <c r="B262" s="73"/>
      <c r="C262" s="25"/>
      <c r="D262" s="73"/>
    </row>
    <row r="263" spans="1:4" x14ac:dyDescent="0.2">
      <c r="A263" s="345">
        <v>35520</v>
      </c>
      <c r="B263" s="73"/>
      <c r="C263" s="25"/>
      <c r="D263" s="73"/>
    </row>
    <row r="264" spans="1:4" x14ac:dyDescent="0.2">
      <c r="A264" s="345">
        <v>35550</v>
      </c>
      <c r="B264" s="73"/>
      <c r="C264" s="25"/>
      <c r="D264" s="73"/>
    </row>
    <row r="265" spans="1:4" x14ac:dyDescent="0.2">
      <c r="A265" s="345">
        <v>35581</v>
      </c>
      <c r="B265" s="73"/>
      <c r="C265" s="25"/>
      <c r="D265" s="73"/>
    </row>
    <row r="266" spans="1:4" x14ac:dyDescent="0.2">
      <c r="A266" s="345">
        <v>35611</v>
      </c>
      <c r="B266" s="73"/>
      <c r="C266" s="25"/>
      <c r="D266" s="73"/>
    </row>
    <row r="267" spans="1:4" x14ac:dyDescent="0.2">
      <c r="A267" s="345">
        <v>35642</v>
      </c>
      <c r="B267" s="73"/>
      <c r="C267" s="25"/>
      <c r="D267" s="73"/>
    </row>
    <row r="268" spans="1:4" x14ac:dyDescent="0.2">
      <c r="A268" s="345">
        <v>35673</v>
      </c>
      <c r="B268" s="73"/>
      <c r="C268" s="25"/>
      <c r="D268" s="73"/>
    </row>
    <row r="269" spans="1:4" x14ac:dyDescent="0.2">
      <c r="A269" s="345">
        <v>35703</v>
      </c>
      <c r="B269" s="73"/>
      <c r="C269" s="25"/>
      <c r="D269" s="73"/>
    </row>
    <row r="270" spans="1:4" x14ac:dyDescent="0.2">
      <c r="A270" s="345">
        <v>35734</v>
      </c>
      <c r="B270" s="73"/>
      <c r="C270" s="25"/>
      <c r="D270" s="73"/>
    </row>
    <row r="271" spans="1:4" x14ac:dyDescent="0.2">
      <c r="A271" s="345">
        <v>35764</v>
      </c>
      <c r="B271" s="73"/>
      <c r="C271" s="25"/>
      <c r="D271" s="73"/>
    </row>
    <row r="272" spans="1:4" x14ac:dyDescent="0.2">
      <c r="A272" s="345">
        <v>35795</v>
      </c>
      <c r="B272" s="73"/>
      <c r="C272" s="25"/>
      <c r="D272" s="73"/>
    </row>
    <row r="273" spans="1:4" x14ac:dyDescent="0.2">
      <c r="A273" s="345">
        <v>35826</v>
      </c>
      <c r="B273" s="73"/>
      <c r="C273" s="25"/>
      <c r="D273" s="73"/>
    </row>
    <row r="274" spans="1:4" x14ac:dyDescent="0.2">
      <c r="A274" s="345">
        <v>35854</v>
      </c>
      <c r="B274" s="73"/>
      <c r="C274" s="32"/>
      <c r="D274" s="73"/>
    </row>
    <row r="275" spans="1:4" x14ac:dyDescent="0.2">
      <c r="A275" s="345">
        <v>35885</v>
      </c>
      <c r="B275" s="73"/>
      <c r="C275" s="32"/>
      <c r="D275" s="73"/>
    </row>
    <row r="276" spans="1:4" x14ac:dyDescent="0.2">
      <c r="A276" s="345">
        <v>35915</v>
      </c>
      <c r="B276" s="73"/>
      <c r="C276" s="32"/>
      <c r="D276" s="73"/>
    </row>
    <row r="277" spans="1:4" x14ac:dyDescent="0.2">
      <c r="A277" s="345">
        <v>35946</v>
      </c>
      <c r="B277" s="73"/>
      <c r="C277" s="32"/>
      <c r="D277" s="73"/>
    </row>
    <row r="278" spans="1:4" x14ac:dyDescent="0.2">
      <c r="A278" s="345">
        <v>35976</v>
      </c>
      <c r="B278" s="73"/>
      <c r="C278" s="32"/>
      <c r="D278" s="73"/>
    </row>
    <row r="279" spans="1:4" x14ac:dyDescent="0.2">
      <c r="A279" s="345">
        <v>36007</v>
      </c>
      <c r="B279" s="73"/>
      <c r="C279" s="32"/>
      <c r="D279" s="73"/>
    </row>
    <row r="280" spans="1:4" x14ac:dyDescent="0.2">
      <c r="A280" s="345">
        <v>36038</v>
      </c>
      <c r="B280" s="73"/>
      <c r="C280" s="32"/>
      <c r="D280" s="73"/>
    </row>
    <row r="281" spans="1:4" x14ac:dyDescent="0.2">
      <c r="A281" s="345">
        <v>36068</v>
      </c>
      <c r="B281" s="77"/>
      <c r="C281" s="32"/>
      <c r="D281" s="73"/>
    </row>
    <row r="282" spans="1:4" x14ac:dyDescent="0.2">
      <c r="A282" s="345">
        <v>36099</v>
      </c>
      <c r="B282" s="253"/>
      <c r="C282" s="33"/>
      <c r="D282" s="253"/>
    </row>
    <row r="283" spans="1:4" x14ac:dyDescent="0.2">
      <c r="A283" s="345">
        <v>36129</v>
      </c>
      <c r="B283" s="253"/>
      <c r="C283" s="33"/>
      <c r="D283" s="253"/>
    </row>
    <row r="284" spans="1:4" x14ac:dyDescent="0.2">
      <c r="A284" s="345">
        <v>36160</v>
      </c>
      <c r="B284" s="253"/>
      <c r="C284" s="33"/>
      <c r="D284" s="253"/>
    </row>
    <row r="285" spans="1:4" x14ac:dyDescent="0.2">
      <c r="A285" s="345">
        <v>36191</v>
      </c>
      <c r="B285" s="253"/>
      <c r="C285" s="33"/>
      <c r="D285" s="253"/>
    </row>
    <row r="286" spans="1:4" x14ac:dyDescent="0.2">
      <c r="A286" s="345">
        <v>36219</v>
      </c>
      <c r="B286" s="253"/>
      <c r="C286" s="33"/>
      <c r="D286" s="253"/>
    </row>
    <row r="287" spans="1:4" x14ac:dyDescent="0.2">
      <c r="A287" s="345">
        <v>36250</v>
      </c>
      <c r="B287" s="253"/>
      <c r="C287" s="33"/>
      <c r="D287" s="253"/>
    </row>
    <row r="288" spans="1:4" x14ac:dyDescent="0.2">
      <c r="A288" s="345">
        <v>36280</v>
      </c>
      <c r="B288" s="253"/>
      <c r="C288" s="33"/>
      <c r="D288" s="253"/>
    </row>
    <row r="289" spans="1:4" x14ac:dyDescent="0.2">
      <c r="A289" s="345">
        <v>36311</v>
      </c>
      <c r="B289" s="253"/>
      <c r="C289" s="33"/>
      <c r="D289" s="253"/>
    </row>
    <row r="290" spans="1:4" x14ac:dyDescent="0.2">
      <c r="A290" s="345">
        <v>36341</v>
      </c>
      <c r="B290" s="253"/>
      <c r="C290" s="33"/>
      <c r="D290" s="253"/>
    </row>
    <row r="291" spans="1:4" x14ac:dyDescent="0.2">
      <c r="A291" s="345">
        <v>36372</v>
      </c>
      <c r="B291" s="253"/>
      <c r="C291" s="33"/>
      <c r="D291" s="253"/>
    </row>
    <row r="292" spans="1:4" x14ac:dyDescent="0.2">
      <c r="A292" s="345">
        <v>36403</v>
      </c>
      <c r="B292" s="253"/>
      <c r="C292" s="33"/>
      <c r="D292" s="253"/>
    </row>
    <row r="293" spans="1:4" x14ac:dyDescent="0.2">
      <c r="A293" s="345">
        <v>36433</v>
      </c>
      <c r="B293" s="253"/>
      <c r="C293" s="33"/>
      <c r="D293" s="253"/>
    </row>
    <row r="294" spans="1:4" x14ac:dyDescent="0.2">
      <c r="A294" s="345">
        <v>36464</v>
      </c>
      <c r="B294" s="253"/>
      <c r="C294" s="33"/>
      <c r="D294" s="253"/>
    </row>
    <row r="295" spans="1:4" x14ac:dyDescent="0.2">
      <c r="A295" s="345">
        <v>36494</v>
      </c>
      <c r="B295" s="253"/>
      <c r="C295" s="33"/>
      <c r="D295" s="253"/>
    </row>
    <row r="296" spans="1:4" x14ac:dyDescent="0.2">
      <c r="A296" s="345">
        <v>36525</v>
      </c>
      <c r="B296" s="253"/>
      <c r="C296" s="33"/>
      <c r="D296" s="253"/>
    </row>
    <row r="297" spans="1:4" x14ac:dyDescent="0.2">
      <c r="A297" s="345">
        <v>36556</v>
      </c>
      <c r="B297" s="253"/>
      <c r="C297" s="33"/>
      <c r="D297" s="253"/>
    </row>
    <row r="298" spans="1:4" x14ac:dyDescent="0.2">
      <c r="A298" s="345">
        <v>36585</v>
      </c>
      <c r="B298" s="253"/>
      <c r="C298" s="33"/>
      <c r="D298" s="253"/>
    </row>
    <row r="299" spans="1:4" x14ac:dyDescent="0.2">
      <c r="A299" s="345">
        <v>36616</v>
      </c>
      <c r="B299" s="253"/>
      <c r="C299" s="33"/>
      <c r="D299" s="253"/>
    </row>
    <row r="300" spans="1:4" x14ac:dyDescent="0.2">
      <c r="A300" s="345">
        <v>36646</v>
      </c>
      <c r="B300" s="253"/>
      <c r="C300" s="33"/>
      <c r="D300" s="253"/>
    </row>
    <row r="301" spans="1:4" x14ac:dyDescent="0.2">
      <c r="A301" s="345">
        <v>36677</v>
      </c>
      <c r="B301" s="253"/>
      <c r="C301" s="33"/>
      <c r="D301" s="253"/>
    </row>
    <row r="302" spans="1:4" x14ac:dyDescent="0.2">
      <c r="A302" s="345">
        <v>36707</v>
      </c>
      <c r="B302" s="253"/>
      <c r="C302" s="33"/>
      <c r="D302" s="253"/>
    </row>
    <row r="303" spans="1:4" x14ac:dyDescent="0.2">
      <c r="A303" s="345">
        <v>36738</v>
      </c>
      <c r="B303" s="253"/>
      <c r="C303" s="33"/>
      <c r="D303" s="253"/>
    </row>
    <row r="304" spans="1:4" x14ac:dyDescent="0.2">
      <c r="A304" s="345">
        <v>36769</v>
      </c>
      <c r="B304" s="253"/>
      <c r="C304" s="33"/>
      <c r="D304" s="253"/>
    </row>
    <row r="305" spans="1:4" x14ac:dyDescent="0.2">
      <c r="A305" s="345">
        <v>36799</v>
      </c>
      <c r="B305" s="253"/>
      <c r="C305" s="33"/>
      <c r="D305" s="253"/>
    </row>
    <row r="306" spans="1:4" x14ac:dyDescent="0.2">
      <c r="A306" s="345">
        <v>36830</v>
      </c>
      <c r="B306" s="253"/>
      <c r="C306" s="33"/>
      <c r="D306" s="253"/>
    </row>
    <row r="307" spans="1:4" x14ac:dyDescent="0.2">
      <c r="A307" s="345">
        <v>36860</v>
      </c>
      <c r="B307" s="253"/>
      <c r="C307" s="33"/>
      <c r="D307" s="253"/>
    </row>
    <row r="308" spans="1:4" x14ac:dyDescent="0.2">
      <c r="A308" s="345">
        <v>36891</v>
      </c>
      <c r="B308" s="253"/>
      <c r="C308" s="33"/>
      <c r="D308" s="253"/>
    </row>
    <row r="309" spans="1:4" x14ac:dyDescent="0.2">
      <c r="A309" s="345">
        <v>36922</v>
      </c>
      <c r="B309" s="253"/>
      <c r="C309" s="33"/>
      <c r="D309" s="253"/>
    </row>
    <row r="310" spans="1:4" x14ac:dyDescent="0.2">
      <c r="A310" s="345">
        <v>36950</v>
      </c>
      <c r="B310" s="253"/>
      <c r="C310" s="33"/>
      <c r="D310" s="253"/>
    </row>
    <row r="311" spans="1:4" x14ac:dyDescent="0.2">
      <c r="A311" s="345">
        <v>36981</v>
      </c>
      <c r="B311" s="253"/>
      <c r="C311" s="33"/>
      <c r="D311" s="253"/>
    </row>
    <row r="312" spans="1:4" x14ac:dyDescent="0.2">
      <c r="A312" s="345">
        <v>37011</v>
      </c>
      <c r="B312" s="253"/>
      <c r="C312" s="33"/>
      <c r="D312" s="253"/>
    </row>
    <row r="313" spans="1:4" x14ac:dyDescent="0.2">
      <c r="A313" s="345">
        <v>37042</v>
      </c>
      <c r="B313" s="253"/>
      <c r="C313" s="33"/>
      <c r="D313" s="253"/>
    </row>
    <row r="314" spans="1:4" x14ac:dyDescent="0.2">
      <c r="A314" s="345">
        <v>37072</v>
      </c>
      <c r="B314" s="253"/>
      <c r="C314" s="33"/>
      <c r="D314" s="253"/>
    </row>
    <row r="315" spans="1:4" x14ac:dyDescent="0.2">
      <c r="A315" s="345">
        <v>37103</v>
      </c>
      <c r="B315" s="253"/>
      <c r="C315" s="33"/>
      <c r="D315" s="253"/>
    </row>
    <row r="316" spans="1:4" x14ac:dyDescent="0.2">
      <c r="A316" s="345">
        <v>37134</v>
      </c>
      <c r="B316" s="253"/>
      <c r="C316" s="33"/>
      <c r="D316" s="253"/>
    </row>
    <row r="317" spans="1:4" x14ac:dyDescent="0.2">
      <c r="A317" s="345">
        <v>37164</v>
      </c>
      <c r="B317" s="253"/>
      <c r="C317" s="33"/>
      <c r="D317" s="253"/>
    </row>
    <row r="318" spans="1:4" x14ac:dyDescent="0.2">
      <c r="A318" s="345">
        <v>37195</v>
      </c>
      <c r="B318" s="253"/>
      <c r="C318" s="33"/>
      <c r="D318" s="253"/>
    </row>
    <row r="319" spans="1:4" x14ac:dyDescent="0.2">
      <c r="A319" s="345">
        <v>37225</v>
      </c>
      <c r="B319" s="253"/>
      <c r="C319" s="33"/>
      <c r="D319" s="253"/>
    </row>
    <row r="320" spans="1:4" x14ac:dyDescent="0.2">
      <c r="A320" s="345">
        <v>37256</v>
      </c>
      <c r="B320" s="253"/>
      <c r="C320" s="33"/>
      <c r="D320" s="253"/>
    </row>
    <row r="321" spans="1:4" x14ac:dyDescent="0.2">
      <c r="A321" s="345">
        <v>37287</v>
      </c>
      <c r="B321" s="253"/>
      <c r="C321" s="33"/>
      <c r="D321" s="253"/>
    </row>
    <row r="322" spans="1:4" x14ac:dyDescent="0.2">
      <c r="A322" s="345">
        <v>37315</v>
      </c>
      <c r="B322" s="253"/>
      <c r="C322" s="33"/>
      <c r="D322" s="253"/>
    </row>
    <row r="323" spans="1:4" x14ac:dyDescent="0.2">
      <c r="A323" s="345">
        <v>37346</v>
      </c>
      <c r="B323" s="253"/>
      <c r="C323" s="33"/>
      <c r="D323" s="253"/>
    </row>
    <row r="324" spans="1:4" x14ac:dyDescent="0.2">
      <c r="A324" s="345">
        <v>37376</v>
      </c>
      <c r="B324" s="253"/>
      <c r="C324" s="33"/>
      <c r="D324" s="253"/>
    </row>
    <row r="325" spans="1:4" x14ac:dyDescent="0.2">
      <c r="A325" s="345">
        <v>37407</v>
      </c>
      <c r="B325" s="253"/>
      <c r="C325" s="33"/>
      <c r="D325" s="253"/>
    </row>
    <row r="326" spans="1:4" x14ac:dyDescent="0.2">
      <c r="A326" s="345">
        <v>37437</v>
      </c>
      <c r="B326" s="253"/>
      <c r="C326" s="33"/>
      <c r="D326" s="253"/>
    </row>
    <row r="327" spans="1:4" x14ac:dyDescent="0.2">
      <c r="A327" s="345">
        <v>37468</v>
      </c>
      <c r="B327" s="253"/>
      <c r="C327" s="33"/>
      <c r="D327" s="253"/>
    </row>
    <row r="328" spans="1:4" x14ac:dyDescent="0.2">
      <c r="A328" s="345">
        <v>37499</v>
      </c>
      <c r="B328" s="253"/>
      <c r="C328" s="33"/>
      <c r="D328" s="253"/>
    </row>
    <row r="329" spans="1:4" x14ac:dyDescent="0.2">
      <c r="A329" s="345">
        <v>37529</v>
      </c>
      <c r="B329" s="253"/>
      <c r="C329" s="33"/>
      <c r="D329" s="253"/>
    </row>
    <row r="330" spans="1:4" x14ac:dyDescent="0.2">
      <c r="A330" s="345">
        <v>37560</v>
      </c>
      <c r="B330" s="253"/>
      <c r="C330" s="33"/>
      <c r="D330" s="253"/>
    </row>
    <row r="331" spans="1:4" x14ac:dyDescent="0.2">
      <c r="A331" s="345">
        <v>37590</v>
      </c>
      <c r="B331" s="253"/>
      <c r="C331" s="33"/>
      <c r="D331" s="253"/>
    </row>
    <row r="332" spans="1:4" x14ac:dyDescent="0.2">
      <c r="A332" s="345">
        <v>37621</v>
      </c>
      <c r="B332" s="253"/>
      <c r="C332" s="33"/>
      <c r="D332" s="253"/>
    </row>
    <row r="333" spans="1:4" x14ac:dyDescent="0.2">
      <c r="A333" s="345">
        <v>37652</v>
      </c>
      <c r="B333" s="253"/>
      <c r="C333" s="33"/>
      <c r="D333" s="253"/>
    </row>
    <row r="334" spans="1:4" x14ac:dyDescent="0.2">
      <c r="A334" s="345">
        <v>37680</v>
      </c>
      <c r="B334" s="253"/>
      <c r="C334" s="33"/>
      <c r="D334" s="253"/>
    </row>
    <row r="335" spans="1:4" x14ac:dyDescent="0.2">
      <c r="A335" s="345">
        <v>37711</v>
      </c>
      <c r="B335" s="253"/>
      <c r="C335" s="33"/>
      <c r="D335" s="253"/>
    </row>
    <row r="336" spans="1:4" x14ac:dyDescent="0.2">
      <c r="A336" s="345">
        <v>37741</v>
      </c>
      <c r="B336" s="253"/>
      <c r="C336" s="33"/>
      <c r="D336" s="253"/>
    </row>
    <row r="337" spans="1:4" x14ac:dyDescent="0.2">
      <c r="A337" s="345">
        <v>37772</v>
      </c>
      <c r="B337" s="253"/>
      <c r="C337" s="33"/>
      <c r="D337" s="253"/>
    </row>
    <row r="338" spans="1:4" x14ac:dyDescent="0.2">
      <c r="A338" s="345">
        <v>37802</v>
      </c>
      <c r="B338" s="253"/>
      <c r="C338" s="33"/>
      <c r="D338" s="253"/>
    </row>
    <row r="339" spans="1:4" x14ac:dyDescent="0.2">
      <c r="A339" s="345">
        <v>37833</v>
      </c>
      <c r="B339" s="253"/>
      <c r="C339" s="33"/>
      <c r="D339" s="253"/>
    </row>
    <row r="340" spans="1:4" x14ac:dyDescent="0.2">
      <c r="A340" s="345">
        <v>37864</v>
      </c>
      <c r="B340" s="253"/>
      <c r="C340" s="33"/>
      <c r="D340" s="253"/>
    </row>
    <row r="341" spans="1:4" x14ac:dyDescent="0.2">
      <c r="A341" s="345">
        <v>37894</v>
      </c>
      <c r="B341" s="253"/>
      <c r="C341" s="34"/>
      <c r="D341" s="253"/>
    </row>
    <row r="342" spans="1:4" x14ac:dyDescent="0.2">
      <c r="A342" s="345">
        <v>37925</v>
      </c>
      <c r="B342" s="253"/>
      <c r="C342" s="34"/>
      <c r="D342" s="253"/>
    </row>
    <row r="343" spans="1:4" x14ac:dyDescent="0.2">
      <c r="A343" s="345">
        <v>37955</v>
      </c>
      <c r="B343" s="253"/>
      <c r="C343" s="34"/>
      <c r="D343" s="253"/>
    </row>
    <row r="344" spans="1:4" x14ac:dyDescent="0.2">
      <c r="A344" s="345">
        <v>37986</v>
      </c>
      <c r="B344" s="253"/>
      <c r="C344" s="34"/>
      <c r="D344" s="253"/>
    </row>
    <row r="345" spans="1:4" x14ac:dyDescent="0.2">
      <c r="A345" s="345">
        <v>38017</v>
      </c>
      <c r="B345" s="253"/>
      <c r="C345" s="34"/>
      <c r="D345" s="253"/>
    </row>
    <row r="346" spans="1:4" x14ac:dyDescent="0.2">
      <c r="A346" s="345">
        <v>38046</v>
      </c>
      <c r="B346" s="253"/>
      <c r="C346" s="34"/>
      <c r="D346" s="253"/>
    </row>
    <row r="347" spans="1:4" x14ac:dyDescent="0.2">
      <c r="A347" s="345">
        <v>38077</v>
      </c>
      <c r="B347" s="253"/>
      <c r="C347" s="34"/>
      <c r="D347" s="255"/>
    </row>
    <row r="348" spans="1:4" x14ac:dyDescent="0.2">
      <c r="A348" s="345">
        <v>38107</v>
      </c>
      <c r="B348" s="253"/>
      <c r="C348" s="34"/>
      <c r="D348" s="253"/>
    </row>
    <row r="349" spans="1:4" x14ac:dyDescent="0.2">
      <c r="A349" s="345">
        <v>38138</v>
      </c>
      <c r="B349" s="253"/>
      <c r="C349" s="34"/>
      <c r="D349" s="253"/>
    </row>
    <row r="350" spans="1:4" x14ac:dyDescent="0.2">
      <c r="A350" s="345">
        <v>38168</v>
      </c>
      <c r="B350" s="253"/>
      <c r="C350" s="34"/>
      <c r="D350" s="253"/>
    </row>
    <row r="351" spans="1:4" x14ac:dyDescent="0.2">
      <c r="A351" s="345">
        <v>38199</v>
      </c>
      <c r="B351" s="253"/>
      <c r="C351" s="34"/>
      <c r="D351" s="253"/>
    </row>
    <row r="352" spans="1:4" x14ac:dyDescent="0.2">
      <c r="A352" s="345">
        <v>38230</v>
      </c>
      <c r="B352" s="253"/>
      <c r="C352" s="34"/>
      <c r="D352" s="253"/>
    </row>
    <row r="353" spans="1:10" x14ac:dyDescent="0.2">
      <c r="A353" s="345">
        <v>38260</v>
      </c>
      <c r="B353" s="253"/>
      <c r="C353" s="34"/>
      <c r="D353" s="253"/>
    </row>
    <row r="354" spans="1:10" x14ac:dyDescent="0.2">
      <c r="A354" s="345">
        <v>38291</v>
      </c>
      <c r="B354" s="253"/>
      <c r="C354" s="34"/>
      <c r="D354" s="253"/>
    </row>
    <row r="355" spans="1:10" x14ac:dyDescent="0.2">
      <c r="A355" s="345">
        <v>38321</v>
      </c>
      <c r="B355" s="253"/>
      <c r="C355" s="34"/>
      <c r="D355" s="253"/>
    </row>
    <row r="356" spans="1:10" x14ac:dyDescent="0.2">
      <c r="A356" s="345">
        <v>38352</v>
      </c>
      <c r="B356" s="253"/>
      <c r="C356" s="256"/>
      <c r="D356" s="253"/>
    </row>
    <row r="357" spans="1:10" x14ac:dyDescent="0.2">
      <c r="A357" s="345">
        <v>38383</v>
      </c>
      <c r="B357" s="253"/>
      <c r="C357" s="34"/>
      <c r="D357" s="253"/>
    </row>
    <row r="358" spans="1:10" x14ac:dyDescent="0.2">
      <c r="A358" s="345">
        <v>38411</v>
      </c>
      <c r="B358" s="253"/>
      <c r="C358" s="34"/>
      <c r="D358" s="253"/>
    </row>
    <row r="359" spans="1:10" x14ac:dyDescent="0.2">
      <c r="A359" s="345">
        <v>38442</v>
      </c>
      <c r="B359" s="253"/>
      <c r="C359" s="256"/>
      <c r="D359" s="253"/>
    </row>
    <row r="360" spans="1:10" x14ac:dyDescent="0.2">
      <c r="A360" s="345">
        <v>38472</v>
      </c>
      <c r="B360" s="253"/>
      <c r="C360" s="256"/>
      <c r="D360" s="253"/>
    </row>
    <row r="361" spans="1:10" x14ac:dyDescent="0.2">
      <c r="A361" s="345">
        <v>38503</v>
      </c>
      <c r="B361" s="253"/>
      <c r="C361" s="256"/>
      <c r="D361" s="253"/>
    </row>
    <row r="362" spans="1:10" x14ac:dyDescent="0.2">
      <c r="A362" s="345">
        <v>38533</v>
      </c>
      <c r="B362" s="253"/>
      <c r="C362" s="256"/>
      <c r="D362" s="253"/>
    </row>
    <row r="363" spans="1:10" x14ac:dyDescent="0.2">
      <c r="A363" s="345">
        <v>38564</v>
      </c>
      <c r="B363" s="253"/>
      <c r="C363" s="34"/>
      <c r="D363" s="253"/>
    </row>
    <row r="364" spans="1:10" x14ac:dyDescent="0.2">
      <c r="A364" s="345">
        <v>38595</v>
      </c>
      <c r="B364" s="1369">
        <v>2.6</v>
      </c>
      <c r="C364" s="34">
        <v>420277919</v>
      </c>
      <c r="D364" s="253"/>
      <c r="E364" s="258">
        <f>B364-Index_Returns!AF364</f>
        <v>4.4259999999999966E-2</v>
      </c>
      <c r="J364" s="14"/>
    </row>
    <row r="365" spans="1:10" x14ac:dyDescent="0.2">
      <c r="A365" s="345">
        <v>38625</v>
      </c>
      <c r="B365" s="1369">
        <v>3.63</v>
      </c>
      <c r="C365" s="256">
        <v>435526539</v>
      </c>
      <c r="D365" s="253"/>
      <c r="E365" s="258">
        <f>B365-Index_Returns!AF365</f>
        <v>-0.84402000000000044</v>
      </c>
      <c r="J365" s="14"/>
    </row>
    <row r="366" spans="1:10" x14ac:dyDescent="0.2">
      <c r="A366" s="345">
        <v>38656</v>
      </c>
      <c r="B366" s="1369">
        <v>-2.88</v>
      </c>
      <c r="C366" s="256">
        <v>423001764</v>
      </c>
      <c r="D366" s="253"/>
      <c r="E366" s="258">
        <f>B366-Index_Returns!AF366</f>
        <v>0.76000000000000023</v>
      </c>
      <c r="J366" s="14"/>
    </row>
    <row r="367" spans="1:10" x14ac:dyDescent="0.2">
      <c r="A367" s="345">
        <v>38686</v>
      </c>
      <c r="B367" s="1369">
        <v>3.27</v>
      </c>
      <c r="C367" s="256">
        <v>436845734</v>
      </c>
      <c r="D367" s="253"/>
      <c r="E367" s="258">
        <f>B367-Index_Returns!AF367</f>
        <v>-9.2000000000000082E-2</v>
      </c>
      <c r="J367" s="14"/>
    </row>
    <row r="368" spans="1:10" x14ac:dyDescent="0.2">
      <c r="A368" s="345">
        <v>38717</v>
      </c>
      <c r="B368" s="1369">
        <v>5.65</v>
      </c>
      <c r="C368" s="256">
        <v>462041979</v>
      </c>
      <c r="D368" s="253"/>
      <c r="E368" s="258">
        <f>B368-Index_Returns!AF368</f>
        <v>0.83900000000000041</v>
      </c>
      <c r="J368" s="14"/>
    </row>
    <row r="369" spans="1:10" x14ac:dyDescent="0.2">
      <c r="A369" s="345">
        <v>38748</v>
      </c>
      <c r="B369" s="1369">
        <v>7.2</v>
      </c>
      <c r="C369" s="256">
        <v>495288406</v>
      </c>
      <c r="D369" s="253"/>
      <c r="E369" s="258">
        <f>B369-Index_Returns!AF369</f>
        <v>0.22799999999999976</v>
      </c>
      <c r="J369" s="14"/>
    </row>
    <row r="370" spans="1:10" x14ac:dyDescent="0.2">
      <c r="A370" s="345">
        <v>38776</v>
      </c>
      <c r="B370" s="1369">
        <v>-1.74</v>
      </c>
      <c r="C370" s="256">
        <v>486671507</v>
      </c>
      <c r="D370" s="253"/>
      <c r="E370" s="258">
        <f>B370-Index_Returns!AF370</f>
        <v>-1.4510000000000001</v>
      </c>
      <c r="J370" s="14"/>
    </row>
    <row r="371" spans="1:10" x14ac:dyDescent="0.2">
      <c r="A371" s="345">
        <v>38807</v>
      </c>
      <c r="B371" s="1369">
        <v>2.58</v>
      </c>
      <c r="C371" s="33">
        <v>499650344</v>
      </c>
      <c r="D371" s="253"/>
      <c r="E371" s="258">
        <f>B371-Index_Returns!AF371</f>
        <v>-0.32499999999999973</v>
      </c>
      <c r="J371" s="14"/>
    </row>
    <row r="372" spans="1:10" x14ac:dyDescent="0.2">
      <c r="A372" s="345">
        <v>38837</v>
      </c>
      <c r="B372" s="1369">
        <v>3.8</v>
      </c>
      <c r="C372" s="33">
        <v>518651063</v>
      </c>
      <c r="D372" s="253"/>
      <c r="E372" s="258">
        <f>B372-Index_Returns!AF372</f>
        <v>-1.3559999999999999</v>
      </c>
      <c r="J372" s="14"/>
    </row>
    <row r="373" spans="1:10" x14ac:dyDescent="0.2">
      <c r="A373" s="345">
        <v>38868</v>
      </c>
      <c r="B373" s="1369">
        <v>-3.4</v>
      </c>
      <c r="C373" s="33">
        <v>567467654</v>
      </c>
      <c r="D373" s="253"/>
      <c r="E373" s="258">
        <f>B373-Index_Returns!AF373</f>
        <v>1.2100000000000004</v>
      </c>
      <c r="J373" s="14"/>
    </row>
    <row r="374" spans="1:10" x14ac:dyDescent="0.2">
      <c r="A374" s="345">
        <v>38898</v>
      </c>
      <c r="B374" s="1369">
        <v>-1.34</v>
      </c>
      <c r="C374" s="354">
        <v>560315769</v>
      </c>
      <c r="D374" s="253"/>
      <c r="E374" s="258">
        <f>B374-Index_Returns!AF374</f>
        <v>-1.24</v>
      </c>
      <c r="J374" s="14"/>
    </row>
    <row r="375" spans="1:10" x14ac:dyDescent="0.2">
      <c r="A375" s="345">
        <v>38929</v>
      </c>
      <c r="B375" s="1369">
        <v>1.1100000000000001</v>
      </c>
      <c r="C375" s="34">
        <v>615239220</v>
      </c>
      <c r="D375" s="253"/>
      <c r="E375" s="258">
        <f>B375-Index_Returns!AF375</f>
        <v>8.7000000000000188E-2</v>
      </c>
      <c r="J375" s="14"/>
    </row>
    <row r="376" spans="1:10" x14ac:dyDescent="0.2">
      <c r="A376" s="345">
        <v>38960</v>
      </c>
      <c r="B376" s="1369">
        <v>3.36</v>
      </c>
      <c r="C376" s="34">
        <v>635930055</v>
      </c>
      <c r="D376" s="253"/>
      <c r="E376" s="258">
        <f>B376-Index_Returns!AF376</f>
        <v>0.5259999999999998</v>
      </c>
      <c r="J376" s="14"/>
    </row>
    <row r="377" spans="1:10" x14ac:dyDescent="0.2">
      <c r="A377" s="345">
        <v>38990</v>
      </c>
      <c r="B377" s="1369">
        <v>0.44</v>
      </c>
      <c r="C377" s="34">
        <v>639219387</v>
      </c>
      <c r="D377" s="253"/>
      <c r="E377" s="258">
        <f>B377-Index_Returns!AF377</f>
        <v>0.375</v>
      </c>
      <c r="J377" s="14"/>
    </row>
    <row r="378" spans="1:10" x14ac:dyDescent="0.2">
      <c r="A378" s="345">
        <v>39021</v>
      </c>
      <c r="B378" s="1369">
        <v>4.3499999999999996</v>
      </c>
      <c r="C378" s="34">
        <v>667012497</v>
      </c>
      <c r="D378" s="253"/>
      <c r="E378" s="258">
        <f>B378-Index_Returns!AF378</f>
        <v>0.27799999999999958</v>
      </c>
      <c r="F378" s="352"/>
      <c r="J378" s="14"/>
    </row>
    <row r="379" spans="1:10" x14ac:dyDescent="0.2">
      <c r="A379" s="345">
        <v>39051</v>
      </c>
      <c r="B379" s="1369">
        <v>3.76</v>
      </c>
      <c r="C379" s="34">
        <v>692120975</v>
      </c>
      <c r="D379" s="253"/>
      <c r="E379" s="258">
        <f>B379-Index_Returns!AF379</f>
        <v>0.129</v>
      </c>
      <c r="F379" s="352"/>
      <c r="J379" s="14"/>
    </row>
    <row r="380" spans="1:10" x14ac:dyDescent="0.2">
      <c r="A380" s="345">
        <v>39082</v>
      </c>
      <c r="B380" s="1369">
        <v>2.91</v>
      </c>
      <c r="C380" s="34">
        <v>712837872</v>
      </c>
      <c r="D380" s="253"/>
      <c r="E380" s="258">
        <f>B380-Index_Returns!AF380</f>
        <v>-0.20599999999999996</v>
      </c>
      <c r="F380" s="352"/>
      <c r="J380" s="14"/>
    </row>
    <row r="381" spans="1:10" x14ac:dyDescent="0.2">
      <c r="A381" s="345">
        <v>39113</v>
      </c>
      <c r="B381" s="1369">
        <v>-0.01</v>
      </c>
      <c r="C381" s="346">
        <v>712734023</v>
      </c>
      <c r="E381" s="258">
        <f>B381-Index_Returns!AF381</f>
        <v>-0.38300000000000001</v>
      </c>
      <c r="F381" s="352"/>
      <c r="J381" s="14"/>
    </row>
    <row r="382" spans="1:10" x14ac:dyDescent="0.2">
      <c r="A382" s="345">
        <v>39141</v>
      </c>
      <c r="B382" s="1369">
        <v>7.0000000000000007E-2</v>
      </c>
      <c r="C382" s="346">
        <v>713254825</v>
      </c>
      <c r="E382" s="258">
        <f>B382-Index_Returns!AF382</f>
        <v>-0.54</v>
      </c>
      <c r="F382" s="352"/>
      <c r="J382" s="14"/>
    </row>
    <row r="383" spans="1:10" x14ac:dyDescent="0.2">
      <c r="A383" s="345">
        <v>39172</v>
      </c>
      <c r="B383" s="1369">
        <v>3.62</v>
      </c>
      <c r="C383" s="346">
        <v>739712742</v>
      </c>
      <c r="E383" s="258">
        <f>B383-Index_Returns!AF383</f>
        <v>0.80299999999999994</v>
      </c>
      <c r="J383" s="14"/>
    </row>
    <row r="384" spans="1:10" x14ac:dyDescent="0.2">
      <c r="A384" s="345">
        <v>39202</v>
      </c>
      <c r="B384" s="1369">
        <v>4.6100000000000003</v>
      </c>
      <c r="C384" s="346">
        <v>773785593</v>
      </c>
      <c r="E384" s="258">
        <f>B384-Index_Returns!AF384</f>
        <v>-2.6999999999999247E-2</v>
      </c>
      <c r="J384" s="14"/>
    </row>
    <row r="385" spans="1:10" x14ac:dyDescent="0.2">
      <c r="A385" s="345">
        <v>39233</v>
      </c>
      <c r="B385" s="1369">
        <v>3.5</v>
      </c>
      <c r="C385" s="346">
        <v>800869072</v>
      </c>
      <c r="E385" s="258">
        <f>B385-Index_Returns!AF385</f>
        <v>0.7589999999999999</v>
      </c>
      <c r="J385" s="14"/>
    </row>
    <row r="386" spans="1:10" x14ac:dyDescent="0.2">
      <c r="A386" s="345">
        <v>39263</v>
      </c>
      <c r="B386" s="1369">
        <v>1.1200000000000001</v>
      </c>
      <c r="C386" s="346">
        <v>810488311</v>
      </c>
      <c r="E386" s="258">
        <f>B386-Index_Returns!AF386</f>
        <v>0.26900000000000013</v>
      </c>
      <c r="J386" s="14"/>
    </row>
    <row r="387" spans="1:10" x14ac:dyDescent="0.2">
      <c r="A387" s="345">
        <v>39294</v>
      </c>
      <c r="B387" s="1369">
        <v>-0.47</v>
      </c>
      <c r="C387" s="346">
        <v>806662968</v>
      </c>
      <c r="E387" s="258">
        <f>B387-Index_Returns!AF387</f>
        <v>-0.185</v>
      </c>
      <c r="J387" s="14"/>
    </row>
    <row r="388" spans="1:10" x14ac:dyDescent="0.2">
      <c r="A388" s="345">
        <v>39325</v>
      </c>
      <c r="B388" s="1369">
        <v>-1.87</v>
      </c>
      <c r="C388" s="346">
        <v>791597023</v>
      </c>
      <c r="E388" s="258">
        <f>B388-Index_Returns!AF388</f>
        <v>-0.33500000000000019</v>
      </c>
      <c r="J388" s="14"/>
    </row>
    <row r="389" spans="1:10" x14ac:dyDescent="0.2">
      <c r="A389" s="345">
        <v>39355</v>
      </c>
      <c r="B389" s="1369">
        <v>7.09</v>
      </c>
      <c r="C389" s="346">
        <v>848382549</v>
      </c>
      <c r="E389" s="258">
        <f>B389-Index_Returns!AF389</f>
        <v>0.46799999999999997</v>
      </c>
      <c r="J389" s="14"/>
    </row>
    <row r="390" spans="1:10" x14ac:dyDescent="0.2">
      <c r="A390" s="345">
        <v>39386</v>
      </c>
      <c r="B390" s="1369">
        <v>6.26</v>
      </c>
      <c r="C390" s="346">
        <v>901470158</v>
      </c>
      <c r="E390" s="258">
        <f>B390-Index_Returns!AF390</f>
        <v>0.67799999999999994</v>
      </c>
      <c r="J390" s="14"/>
    </row>
    <row r="391" spans="1:10" x14ac:dyDescent="0.2">
      <c r="A391" s="345">
        <v>39416</v>
      </c>
      <c r="B391" s="1369">
        <v>-3.64</v>
      </c>
      <c r="C391" s="346">
        <v>868636174</v>
      </c>
      <c r="E391" s="258">
        <f>B391-Index_Returns!AF391</f>
        <v>0.8530000000000002</v>
      </c>
      <c r="J391" s="14"/>
    </row>
    <row r="392" spans="1:10" x14ac:dyDescent="0.2">
      <c r="A392" s="345">
        <v>39447</v>
      </c>
      <c r="B392" s="1369">
        <v>-1.29</v>
      </c>
      <c r="C392" s="346">
        <v>858149169</v>
      </c>
      <c r="E392" s="258">
        <f>B392-Index_Returns!AF392</f>
        <v>0.15500000000000003</v>
      </c>
      <c r="J392" s="14"/>
    </row>
    <row r="393" spans="1:10" x14ac:dyDescent="0.2">
      <c r="A393" s="345">
        <v>39478</v>
      </c>
      <c r="B393" s="1369">
        <v>-10</v>
      </c>
      <c r="C393" s="346">
        <v>772363535</v>
      </c>
      <c r="E393" s="258">
        <f>B393-Index_Returns!AF393</f>
        <v>-0.32399999999999984</v>
      </c>
      <c r="J393" s="14"/>
    </row>
    <row r="394" spans="1:10" x14ac:dyDescent="0.2">
      <c r="A394" s="345">
        <v>39507</v>
      </c>
      <c r="B394" s="1369">
        <v>2.42</v>
      </c>
      <c r="C394" s="346">
        <v>791084345</v>
      </c>
      <c r="E394" s="258">
        <f>B394-Index_Returns!AF394</f>
        <v>-0.4780000000000002</v>
      </c>
      <c r="J394" s="14"/>
    </row>
    <row r="395" spans="1:10" x14ac:dyDescent="0.2">
      <c r="A395" s="345">
        <v>39538</v>
      </c>
      <c r="B395" s="1369">
        <v>-3.11</v>
      </c>
      <c r="C395" s="346">
        <v>767212493</v>
      </c>
      <c r="E395" s="258">
        <f>B395-Index_Returns!AF395</f>
        <v>-0.95399999999999974</v>
      </c>
      <c r="J395" s="14"/>
    </row>
    <row r="396" spans="1:10" x14ac:dyDescent="0.2">
      <c r="A396" s="345">
        <v>39568</v>
      </c>
      <c r="B396" s="1369">
        <v>6.89</v>
      </c>
      <c r="C396" s="346">
        <v>820030304</v>
      </c>
      <c r="E396" s="258">
        <f>B396-Index_Returns!AF396</f>
        <v>0.73599999999999977</v>
      </c>
      <c r="J396" s="14"/>
    </row>
    <row r="397" spans="1:10" x14ac:dyDescent="0.2">
      <c r="A397" s="345">
        <v>39599</v>
      </c>
      <c r="B397" s="1369">
        <v>2.96</v>
      </c>
      <c r="C397" s="346">
        <v>844307965</v>
      </c>
      <c r="E397" s="258">
        <f>B397-Index_Returns!AF397</f>
        <v>1.2269999999999999</v>
      </c>
      <c r="J397" s="14"/>
    </row>
    <row r="398" spans="1:10" x14ac:dyDescent="0.2">
      <c r="A398" s="345">
        <v>39629</v>
      </c>
      <c r="B398" s="1369">
        <v>-9.39</v>
      </c>
      <c r="C398" s="346">
        <v>765657907</v>
      </c>
      <c r="E398" s="258">
        <f>B398-Index_Returns!AF398</f>
        <v>-1.1930000000000014</v>
      </c>
      <c r="J398" s="14"/>
    </row>
    <row r="399" spans="1:10" x14ac:dyDescent="0.2">
      <c r="A399" s="345">
        <v>39660</v>
      </c>
      <c r="B399" s="1369">
        <v>-3.79</v>
      </c>
      <c r="C399" s="33">
        <v>736641389</v>
      </c>
      <c r="E399" s="258">
        <f>B399-Index_Returns!AF399</f>
        <v>-0.21399999999999997</v>
      </c>
      <c r="J399" s="14"/>
    </row>
    <row r="400" spans="1:10" x14ac:dyDescent="0.2">
      <c r="A400" s="345">
        <v>39691</v>
      </c>
      <c r="B400" s="1369">
        <v>-5</v>
      </c>
      <c r="C400" s="33">
        <v>699827878</v>
      </c>
      <c r="E400" s="258">
        <f>B400-Index_Returns!AF400</f>
        <v>-0.3490000000000002</v>
      </c>
      <c r="J400" s="14"/>
    </row>
    <row r="401" spans="1:10" x14ac:dyDescent="0.2">
      <c r="A401" s="345">
        <v>39721</v>
      </c>
      <c r="B401" s="1369">
        <v>-17.27</v>
      </c>
      <c r="C401" s="33">
        <v>579566588</v>
      </c>
      <c r="E401" s="258">
        <f>B401-Index_Returns!AF401</f>
        <v>-2.2799999999999994</v>
      </c>
      <c r="J401" s="14"/>
    </row>
    <row r="402" spans="1:10" x14ac:dyDescent="0.2">
      <c r="A402" s="345">
        <v>39752</v>
      </c>
      <c r="B402" s="1369">
        <v>-25.33</v>
      </c>
      <c r="C402" s="346">
        <v>432787033</v>
      </c>
      <c r="E402" s="258">
        <f>B402-Index_Returns!AF402</f>
        <v>-3.320999999999998</v>
      </c>
      <c r="J402" s="14"/>
    </row>
    <row r="403" spans="1:10" x14ac:dyDescent="0.2">
      <c r="A403" s="345">
        <v>39782</v>
      </c>
      <c r="B403" s="1369">
        <v>-8.18</v>
      </c>
      <c r="C403" s="346">
        <v>397377513</v>
      </c>
      <c r="E403" s="258">
        <f>B403-Index_Returns!AF403</f>
        <v>-2.4359999999999999</v>
      </c>
      <c r="J403" s="14"/>
    </row>
    <row r="404" spans="1:10" x14ac:dyDescent="0.2">
      <c r="A404" s="345">
        <v>39813</v>
      </c>
      <c r="B404" s="1369">
        <v>6.52</v>
      </c>
      <c r="C404" s="346">
        <v>423791345</v>
      </c>
      <c r="E404" s="258">
        <f>B404-Index_Returns!AF404</f>
        <v>0.80299999999999994</v>
      </c>
      <c r="J404" s="14"/>
    </row>
    <row r="405" spans="1:10" x14ac:dyDescent="0.2">
      <c r="A405" s="345">
        <v>39844</v>
      </c>
      <c r="B405" s="1369">
        <v>-7.62</v>
      </c>
      <c r="C405" s="346">
        <v>391498847</v>
      </c>
      <c r="D405" s="258">
        <v>-7.6199000000000003</v>
      </c>
      <c r="E405" s="258">
        <f>B405-Index_Returns!AF405</f>
        <v>1.194</v>
      </c>
      <c r="J405" s="14"/>
    </row>
    <row r="406" spans="1:10" x14ac:dyDescent="0.2">
      <c r="A406" s="345">
        <v>39872</v>
      </c>
      <c r="B406" s="1369">
        <v>-8.08</v>
      </c>
      <c r="C406" s="346">
        <v>359865082</v>
      </c>
      <c r="D406" s="258">
        <v>-8.0801999999999996</v>
      </c>
      <c r="E406" s="258">
        <f>B406-Index_Returns!AF406</f>
        <v>1.2219999999999995</v>
      </c>
      <c r="J406" s="14"/>
    </row>
    <row r="407" spans="1:10" x14ac:dyDescent="0.2">
      <c r="A407" s="345">
        <v>39903</v>
      </c>
      <c r="B407" s="1369">
        <v>10.78</v>
      </c>
      <c r="C407" s="346">
        <v>399053817</v>
      </c>
      <c r="D407" s="258">
        <v>10.889799999999999</v>
      </c>
      <c r="E407" s="258">
        <f>B407-Index_Returns!AF407</f>
        <v>2.706999999999999</v>
      </c>
      <c r="J407" s="14"/>
    </row>
    <row r="408" spans="1:10" x14ac:dyDescent="0.2">
      <c r="A408" s="345">
        <v>39933</v>
      </c>
      <c r="B408" s="1369">
        <v>17.27</v>
      </c>
      <c r="C408" s="346">
        <v>467988177</v>
      </c>
      <c r="E408" s="258">
        <f>B408-Index_Returns!AF408</f>
        <v>3.5169999999999995</v>
      </c>
      <c r="J408" s="14"/>
    </row>
    <row r="409" spans="1:10" x14ac:dyDescent="0.2">
      <c r="A409" s="345">
        <v>39964</v>
      </c>
      <c r="B409" s="1369">
        <v>15.12</v>
      </c>
      <c r="C409" s="346">
        <v>538735171</v>
      </c>
      <c r="E409" s="258">
        <f>B409-Index_Returns!AF409</f>
        <v>1.4319999999999986</v>
      </c>
      <c r="J409" s="14"/>
    </row>
    <row r="410" spans="1:10" x14ac:dyDescent="0.2">
      <c r="A410" s="345">
        <v>39994</v>
      </c>
      <c r="B410" s="1369">
        <v>-1.94</v>
      </c>
      <c r="C410" s="346">
        <v>528644304</v>
      </c>
      <c r="E410" s="258">
        <f>B410-Index_Returns!AF410</f>
        <v>-0.86799999999999988</v>
      </c>
      <c r="J410" s="14"/>
    </row>
    <row r="411" spans="1:10" x14ac:dyDescent="0.2">
      <c r="A411" s="345">
        <v>40025</v>
      </c>
      <c r="B411" s="1369">
        <v>9.4</v>
      </c>
      <c r="C411" s="346">
        <v>578331024</v>
      </c>
      <c r="D411" s="258">
        <v>9.3988999999999994</v>
      </c>
      <c r="E411" s="258">
        <f>B411-Index_Returns!AF411</f>
        <v>-0.40700000000000003</v>
      </c>
      <c r="J411" s="14"/>
    </row>
    <row r="412" spans="1:10" x14ac:dyDescent="0.2">
      <c r="A412" s="345">
        <v>40056</v>
      </c>
      <c r="B412" s="1369">
        <v>0.59</v>
      </c>
      <c r="C412" s="346">
        <v>581759186</v>
      </c>
      <c r="D412" s="258">
        <v>0.59279999999999999</v>
      </c>
      <c r="E412" s="258">
        <f>B412-Index_Returns!AF412</f>
        <v>-3.1310000000000002</v>
      </c>
      <c r="J412" s="14"/>
    </row>
    <row r="413" spans="1:10" x14ac:dyDescent="0.2">
      <c r="A413" s="345">
        <v>40086</v>
      </c>
      <c r="B413" s="1369">
        <v>7.59</v>
      </c>
      <c r="C413" s="346">
        <v>626342156</v>
      </c>
      <c r="D413" s="258">
        <v>7.6635</v>
      </c>
      <c r="E413" s="258">
        <f>B413-Index_Returns!AF413</f>
        <v>2.4319999999999995</v>
      </c>
      <c r="J413" s="14"/>
    </row>
    <row r="414" spans="1:10" x14ac:dyDescent="0.2">
      <c r="A414" s="345">
        <v>40117</v>
      </c>
      <c r="B414" s="1369">
        <v>-1.5508999999999999</v>
      </c>
      <c r="C414" s="346">
        <v>616630054.39999998</v>
      </c>
      <c r="D414" s="1311">
        <v>-1.5508999999999999</v>
      </c>
      <c r="E414" s="258">
        <f>B414-Index_Returns!AF414</f>
        <v>-0.32089999999999996</v>
      </c>
      <c r="G414" s="1311"/>
      <c r="J414" s="14"/>
    </row>
    <row r="415" spans="1:10" x14ac:dyDescent="0.2">
      <c r="A415" s="345">
        <v>40147</v>
      </c>
      <c r="B415" s="1369">
        <v>4.78878</v>
      </c>
      <c r="C415" s="1333">
        <v>646159077.48000002</v>
      </c>
      <c r="D415" s="1311">
        <v>4.78878</v>
      </c>
      <c r="E415" s="258">
        <f>B415-Index_Returns!AF415</f>
        <v>1.8997800000000002</v>
      </c>
      <c r="G415" s="1311"/>
      <c r="J415" s="14"/>
    </row>
    <row r="416" spans="1:10" x14ac:dyDescent="0.2">
      <c r="A416" s="345">
        <v>40178</v>
      </c>
      <c r="B416" s="1369">
        <v>2.4705699999999999</v>
      </c>
      <c r="C416" s="346">
        <v>662122859.35000002</v>
      </c>
      <c r="D416" s="258">
        <v>2.4705699999999999</v>
      </c>
      <c r="E416" s="258">
        <f>B416-Index_Returns!AF416</f>
        <v>0.34156999999999993</v>
      </c>
      <c r="G416" s="1311"/>
      <c r="J416" s="14"/>
    </row>
    <row r="417" spans="1:10" x14ac:dyDescent="0.2">
      <c r="A417" s="345">
        <v>40209</v>
      </c>
      <c r="B417" s="253">
        <v>-6.5200800000000001</v>
      </c>
      <c r="C417" s="346">
        <v>618951948.05999994</v>
      </c>
      <c r="D417" s="258">
        <v>-6.5200800000000001</v>
      </c>
      <c r="E417" s="258">
        <f>B417-Index_Returns!AF417</f>
        <v>-1.6450800000000001</v>
      </c>
      <c r="G417" s="1311"/>
      <c r="J417" s="14"/>
    </row>
    <row r="418" spans="1:10" x14ac:dyDescent="0.2">
      <c r="A418" s="345">
        <v>40237</v>
      </c>
      <c r="B418" s="253">
        <v>0.47009000000000001</v>
      </c>
      <c r="C418" s="346">
        <v>621861566.38</v>
      </c>
      <c r="D418" s="1311">
        <v>0.47009000000000001</v>
      </c>
      <c r="E418" s="258">
        <f>B418-Index_Returns!AF418</f>
        <v>0.45609</v>
      </c>
      <c r="G418" s="1311"/>
      <c r="J418" s="14"/>
    </row>
    <row r="419" spans="1:10" x14ac:dyDescent="0.2">
      <c r="A419" s="345">
        <v>40268</v>
      </c>
      <c r="B419" s="253">
        <v>7.3058100000000001</v>
      </c>
      <c r="C419" s="1334">
        <v>667293578.49000001</v>
      </c>
      <c r="D419" s="1311">
        <v>7.3058100000000001</v>
      </c>
      <c r="E419" s="258">
        <f>B419-Index_Returns!AF419</f>
        <v>0.45181000000000004</v>
      </c>
      <c r="G419" s="1311"/>
      <c r="J419" s="14"/>
    </row>
    <row r="420" spans="1:10" x14ac:dyDescent="0.2">
      <c r="A420" s="345">
        <v>40298</v>
      </c>
      <c r="B420" s="253">
        <v>-1.2657</v>
      </c>
      <c r="C420" s="346">
        <v>658847669.32000005</v>
      </c>
      <c r="D420" s="1311">
        <v>-1.2657</v>
      </c>
      <c r="E420" s="258">
        <f>B420-Index_Returns!AF420</f>
        <v>-0.4527000000000001</v>
      </c>
      <c r="G420" s="1311"/>
      <c r="J420" s="14"/>
    </row>
    <row r="421" spans="1:10" x14ac:dyDescent="0.2">
      <c r="A421" s="345">
        <v>40329</v>
      </c>
      <c r="B421" s="253">
        <v>-10.827870000000001</v>
      </c>
      <c r="C421" s="346">
        <v>587508483.12</v>
      </c>
      <c r="D421" s="258">
        <v>-10.827870000000001</v>
      </c>
      <c r="E421" s="258">
        <f>B421-Index_Returns!AF421</f>
        <v>-0.41387000000000107</v>
      </c>
      <c r="G421" s="1311"/>
      <c r="J421" s="14"/>
    </row>
    <row r="422" spans="1:10" x14ac:dyDescent="0.2">
      <c r="A422" s="345">
        <v>40359</v>
      </c>
      <c r="B422" s="253">
        <v>-1.02552</v>
      </c>
      <c r="C422" s="346">
        <v>581483483.05999994</v>
      </c>
      <c r="D422" s="258">
        <v>-1.02552</v>
      </c>
      <c r="E422" s="258">
        <f>B422-Index_Returns!AF422</f>
        <v>0.23147999999999991</v>
      </c>
      <c r="G422" s="1311"/>
      <c r="J422" s="14"/>
    </row>
    <row r="423" spans="1:10" x14ac:dyDescent="0.2">
      <c r="A423" s="345">
        <v>40390</v>
      </c>
      <c r="B423" s="253">
        <v>9.9090199999999999</v>
      </c>
      <c r="C423" s="346">
        <v>639102818.72000003</v>
      </c>
      <c r="D423" s="258">
        <v>9.9090199999999999</v>
      </c>
      <c r="E423" s="258">
        <f>B423-Index_Returns!AF423</f>
        <v>0.85102000000000011</v>
      </c>
      <c r="G423" s="1311"/>
      <c r="J423" s="14"/>
    </row>
    <row r="424" spans="1:10" x14ac:dyDescent="0.2">
      <c r="A424" s="345">
        <v>40421</v>
      </c>
      <c r="B424" s="253">
        <v>-4.9203400000000004</v>
      </c>
      <c r="C424" s="346">
        <v>607656774.54999995</v>
      </c>
      <c r="D424" s="1311">
        <v>-4.9203400000000004</v>
      </c>
      <c r="E424" s="258">
        <f>B424-Index_Returns!AF424</f>
        <v>-2.1933400000000005</v>
      </c>
      <c r="G424" s="1311"/>
      <c r="J424" s="14"/>
    </row>
    <row r="425" spans="1:10" x14ac:dyDescent="0.2">
      <c r="A425" s="345">
        <v>40451</v>
      </c>
      <c r="B425" s="253">
        <v>10.02059</v>
      </c>
      <c r="C425" s="346">
        <v>668547545.75999999</v>
      </c>
      <c r="D425" s="258">
        <v>10.02059</v>
      </c>
      <c r="E425" s="258">
        <f>B425-Index_Returns!AF425</f>
        <v>4.8590000000000799E-2</v>
      </c>
      <c r="G425" s="1311"/>
      <c r="J425" s="14"/>
    </row>
    <row r="426" spans="1:10" x14ac:dyDescent="0.2">
      <c r="A426" s="345">
        <v>40482</v>
      </c>
      <c r="B426" s="258">
        <v>2.9121000000000001</v>
      </c>
      <c r="C426" s="346">
        <v>688016346.63999999</v>
      </c>
      <c r="D426" s="258">
        <v>2.9121000000000001</v>
      </c>
      <c r="E426" s="258">
        <f>B426-Index_Returns!AF426</f>
        <v>-0.50417999999999985</v>
      </c>
      <c r="G426" s="1311"/>
      <c r="J426" s="14"/>
    </row>
    <row r="427" spans="1:10" x14ac:dyDescent="0.2">
      <c r="A427" s="345">
        <v>40512</v>
      </c>
      <c r="B427" s="253">
        <v>-2.7755999999999998</v>
      </c>
      <c r="C427" s="346">
        <v>668919779.61000001</v>
      </c>
      <c r="D427" s="258">
        <v>-2.7755999999999998</v>
      </c>
      <c r="E427" s="258">
        <f>B427-Index_Returns!AF427</f>
        <v>1.06168</v>
      </c>
      <c r="G427" s="1311"/>
      <c r="J427" s="14"/>
    </row>
    <row r="428" spans="1:10" x14ac:dyDescent="0.2">
      <c r="A428" s="345">
        <v>40543</v>
      </c>
      <c r="B428" s="253">
        <v>8.3904999999999994</v>
      </c>
      <c r="C428" s="346">
        <v>725029314.22000003</v>
      </c>
      <c r="D428" s="1311">
        <v>8.3904999999999994</v>
      </c>
      <c r="E428" s="258">
        <f>B428-Index_Returns!AF428</f>
        <v>0.54492999999999903</v>
      </c>
      <c r="G428" s="1311"/>
      <c r="J428" s="14"/>
    </row>
    <row r="429" spans="1:10" x14ac:dyDescent="0.2">
      <c r="A429" s="345">
        <v>40574</v>
      </c>
      <c r="B429" s="253">
        <v>1.08938</v>
      </c>
      <c r="C429" s="346">
        <v>732960128.79999995</v>
      </c>
      <c r="D429" s="1311">
        <v>1.08938</v>
      </c>
      <c r="E429" s="258">
        <f>B429-Index_Returns!AF429</f>
        <v>8.8060000000000027E-2</v>
      </c>
      <c r="G429" s="1311"/>
      <c r="J429" s="14"/>
    </row>
    <row r="430" spans="1:10" x14ac:dyDescent="0.2">
      <c r="A430" s="345">
        <v>40602</v>
      </c>
      <c r="B430" s="253">
        <v>3.08379</v>
      </c>
      <c r="C430" s="346">
        <v>455779439.29000002</v>
      </c>
      <c r="D430" s="1311">
        <v>3.08379</v>
      </c>
      <c r="E430" s="258">
        <f>B430-Index_Returns!AF430</f>
        <v>0.42820999999999998</v>
      </c>
      <c r="G430" s="1311"/>
      <c r="J430" s="14"/>
    </row>
    <row r="431" spans="1:10" x14ac:dyDescent="0.2">
      <c r="A431" s="345">
        <v>40633</v>
      </c>
      <c r="B431" s="253">
        <v>-1.0076499999999999</v>
      </c>
      <c r="C431" s="346">
        <v>451187219.43000001</v>
      </c>
      <c r="D431" s="258">
        <v>-1.0076499999999999</v>
      </c>
      <c r="E431" s="258">
        <f>B431-Index_Returns!AF431</f>
        <v>-0.8180099999999999</v>
      </c>
      <c r="G431" s="1311"/>
      <c r="J431" s="14"/>
    </row>
    <row r="432" spans="1:10" x14ac:dyDescent="0.2">
      <c r="A432" s="345">
        <v>40663</v>
      </c>
      <c r="B432" s="253">
        <v>4.8827800000000003</v>
      </c>
      <c r="C432" s="346">
        <v>473266047.30000001</v>
      </c>
      <c r="D432" s="258">
        <v>4.8827800000000003</v>
      </c>
      <c r="E432" s="258">
        <f>B432-Index_Returns!AF432</f>
        <v>-7.8710000000000058E-2</v>
      </c>
      <c r="G432" s="1311"/>
      <c r="J432" s="14"/>
    </row>
    <row r="433" spans="1:10" x14ac:dyDescent="0.2">
      <c r="A433" s="345">
        <v>40694</v>
      </c>
      <c r="B433" s="253">
        <v>-2.96163</v>
      </c>
      <c r="C433" s="346">
        <v>459819509.06</v>
      </c>
      <c r="D433" s="258">
        <v>-2.96163</v>
      </c>
      <c r="E433" s="258">
        <f>B433-Index_Returns!AF433</f>
        <v>-0.19169999999999998</v>
      </c>
      <c r="G433" s="1311"/>
      <c r="J433" s="14"/>
    </row>
    <row r="434" spans="1:10" x14ac:dyDescent="0.2">
      <c r="A434" s="345">
        <v>40724</v>
      </c>
      <c r="B434" s="253">
        <f t="shared" ref="B434:B469" si="0">D434</f>
        <v>-2.0156800000000001</v>
      </c>
      <c r="C434" s="346">
        <v>450472869.30000001</v>
      </c>
      <c r="D434" s="258">
        <v>-2.0156800000000001</v>
      </c>
      <c r="E434" s="258">
        <f>B434-Index_Returns!AF434</f>
        <v>-0.59718000000000004</v>
      </c>
      <c r="G434" s="1311"/>
      <c r="J434" s="14"/>
    </row>
    <row r="435" spans="1:10" x14ac:dyDescent="0.2">
      <c r="A435" s="345">
        <v>40755</v>
      </c>
      <c r="B435" s="253">
        <f t="shared" si="0"/>
        <v>-3.0184799999999998</v>
      </c>
      <c r="C435" s="346">
        <v>437028570.64999998</v>
      </c>
      <c r="D435" s="258">
        <v>-3.0184799999999998</v>
      </c>
      <c r="E435" s="258">
        <f>B435-Index_Returns!AF435</f>
        <v>-1.6855799999999999</v>
      </c>
      <c r="G435" s="1311"/>
    </row>
    <row r="436" spans="1:10" x14ac:dyDescent="0.2">
      <c r="A436" s="345">
        <v>40786</v>
      </c>
      <c r="B436" s="253">
        <f t="shared" si="0"/>
        <v>-8.9557599999999997</v>
      </c>
      <c r="C436" s="346">
        <v>398112315.37</v>
      </c>
      <c r="D436" s="258">
        <v>-8.9557599999999997</v>
      </c>
      <c r="E436" s="258">
        <f>B436-Index_Returns!AF436</f>
        <v>-0.40573000000000015</v>
      </c>
      <c r="G436" s="1311"/>
    </row>
    <row r="437" spans="1:10" x14ac:dyDescent="0.2">
      <c r="A437" s="345">
        <v>40816</v>
      </c>
      <c r="B437" s="253">
        <f t="shared" si="0"/>
        <v>-13.04257</v>
      </c>
      <c r="C437" s="346">
        <v>346188247.06</v>
      </c>
      <c r="D437" s="258">
        <v>-13.04257</v>
      </c>
      <c r="E437" s="258">
        <f>B437-Index_Returns!AF437</f>
        <v>-1.9487699999999997</v>
      </c>
      <c r="G437" s="1311"/>
    </row>
    <row r="438" spans="1:10" x14ac:dyDescent="0.2">
      <c r="A438" s="345">
        <v>40847</v>
      </c>
      <c r="B438" s="253">
        <f t="shared" si="0"/>
        <v>11.175689999999999</v>
      </c>
      <c r="C438" s="346">
        <v>253907224.44</v>
      </c>
      <c r="D438" s="258">
        <v>11.175689999999999</v>
      </c>
      <c r="E438" s="258">
        <f>B438-Index_Returns!AF438</f>
        <v>0.63077000000000005</v>
      </c>
      <c r="G438" s="1311"/>
    </row>
    <row r="439" spans="1:10" x14ac:dyDescent="0.2">
      <c r="A439" s="345">
        <v>40877</v>
      </c>
      <c r="B439" s="253">
        <f t="shared" si="0"/>
        <v>-5.5396200000000002</v>
      </c>
      <c r="C439" s="346">
        <v>240254384.59999999</v>
      </c>
      <c r="D439" s="258">
        <v>-5.5396200000000002</v>
      </c>
      <c r="E439" s="258">
        <f>B439-Index_Returns!AF439</f>
        <v>-0.45891999999999999</v>
      </c>
      <c r="G439" s="1311"/>
    </row>
    <row r="440" spans="1:10" x14ac:dyDescent="0.2">
      <c r="A440" s="345">
        <v>40908</v>
      </c>
      <c r="B440" s="253">
        <f t="shared" si="0"/>
        <v>-1.7710999999999999</v>
      </c>
      <c r="C440" s="346">
        <v>235952366.36000001</v>
      </c>
      <c r="D440" s="258">
        <v>-1.7710999999999999</v>
      </c>
      <c r="E440" s="258">
        <f>B440-Index_Returns!AF440</f>
        <v>-0.67085999999999979</v>
      </c>
      <c r="G440" s="1311"/>
    </row>
    <row r="441" spans="1:10" x14ac:dyDescent="0.2">
      <c r="A441" s="345">
        <v>40939</v>
      </c>
      <c r="B441" s="253">
        <f t="shared" si="0"/>
        <v>7.9914899999999998</v>
      </c>
      <c r="C441" s="346">
        <v>254859108.34999999</v>
      </c>
      <c r="D441" s="258">
        <v>7.9914899999999998</v>
      </c>
      <c r="E441" s="258">
        <f>B441-Index_Returns!AF441</f>
        <v>1.1850899999999998</v>
      </c>
      <c r="G441" s="1311"/>
    </row>
    <row r="442" spans="1:10" x14ac:dyDescent="0.2">
      <c r="A442" s="345">
        <v>40968</v>
      </c>
      <c r="B442" s="253">
        <f t="shared" si="0"/>
        <v>6.8872099999999996</v>
      </c>
      <c r="C442" s="346">
        <v>272666598.91000003</v>
      </c>
      <c r="D442" s="258">
        <v>6.8872099999999996</v>
      </c>
      <c r="E442" s="258">
        <f>B442-Index_Returns!AF442</f>
        <v>1.2412299999999998</v>
      </c>
      <c r="G442" s="1311"/>
    </row>
    <row r="443" spans="1:10" x14ac:dyDescent="0.2">
      <c r="A443" s="345">
        <v>40999</v>
      </c>
      <c r="B443" s="253">
        <f t="shared" si="0"/>
        <v>-0.37586999999999998</v>
      </c>
      <c r="C443" s="346">
        <v>271641744.39999998</v>
      </c>
      <c r="D443" s="258">
        <v>-0.37586999999999998</v>
      </c>
      <c r="E443" s="258">
        <f>B443-Index_Returns!AF443</f>
        <v>0.94674999999999998</v>
      </c>
      <c r="G443" s="1311"/>
    </row>
    <row r="444" spans="1:10" x14ac:dyDescent="0.2">
      <c r="A444" s="345">
        <v>41029</v>
      </c>
      <c r="B444" s="253">
        <f t="shared" si="0"/>
        <v>0.50517999999999996</v>
      </c>
      <c r="C444" s="346">
        <v>273014041.75</v>
      </c>
      <c r="D444" s="258">
        <v>0.50517999999999996</v>
      </c>
      <c r="E444" s="258">
        <f>B444-Index_Returns!AF444</f>
        <v>1.9950399999999999</v>
      </c>
      <c r="G444" s="1311"/>
    </row>
    <row r="445" spans="1:10" x14ac:dyDescent="0.2">
      <c r="A445" s="345">
        <v>41060</v>
      </c>
      <c r="B445" s="253">
        <f t="shared" si="0"/>
        <v>-13.09648</v>
      </c>
      <c r="C445" s="346">
        <v>237474552.15000001</v>
      </c>
      <c r="D445" s="258">
        <v>-13.09648</v>
      </c>
      <c r="E445" s="258">
        <f>B445-Index_Returns!AF445</f>
        <v>-1.8440599999999989</v>
      </c>
      <c r="G445" s="1311"/>
    </row>
    <row r="446" spans="1:10" x14ac:dyDescent="0.2">
      <c r="A446" s="345">
        <v>41090</v>
      </c>
      <c r="B446" s="253">
        <f t="shared" si="0"/>
        <v>4.9868499999999996</v>
      </c>
      <c r="C446" s="346">
        <v>249317043.19</v>
      </c>
      <c r="D446" s="258">
        <v>4.9868499999999996</v>
      </c>
      <c r="E446" s="258">
        <f>B446-Index_Returns!AF446</f>
        <v>-0.95581000000000049</v>
      </c>
      <c r="G446" s="1311"/>
    </row>
    <row r="447" spans="1:10" x14ac:dyDescent="0.2">
      <c r="A447" s="345">
        <v>41121</v>
      </c>
      <c r="B447" s="253">
        <f t="shared" si="0"/>
        <v>0.96786000000000005</v>
      </c>
      <c r="C447" s="346">
        <v>251730089.22</v>
      </c>
      <c r="D447" s="258">
        <v>0.96786000000000005</v>
      </c>
      <c r="E447" s="258">
        <f>B447-Index_Returns!AF447</f>
        <v>-0.47545999999999988</v>
      </c>
      <c r="G447" s="1311"/>
    </row>
    <row r="448" spans="1:10" x14ac:dyDescent="0.2">
      <c r="A448" s="345">
        <v>41152</v>
      </c>
      <c r="B448" s="253">
        <f t="shared" si="0"/>
        <v>1.2117100000000001</v>
      </c>
      <c r="C448" s="346">
        <v>255044889.71000001</v>
      </c>
      <c r="D448" s="258">
        <v>1.2117100000000001</v>
      </c>
      <c r="E448" s="258">
        <f>B448-Index_Returns!AF448</f>
        <v>-0.90151000000000003</v>
      </c>
      <c r="G448" s="1311"/>
    </row>
    <row r="449" spans="1:7" x14ac:dyDescent="0.2">
      <c r="A449" s="345">
        <v>41182</v>
      </c>
      <c r="B449" s="253">
        <f t="shared" si="0"/>
        <v>4.2168200000000002</v>
      </c>
      <c r="C449" s="346">
        <v>265756630.13</v>
      </c>
      <c r="D449" s="258">
        <v>4.2168200000000002</v>
      </c>
      <c r="E449" s="258">
        <f>B449-Index_Returns!AF449</f>
        <v>0.44578000000000007</v>
      </c>
      <c r="G449" s="1311"/>
    </row>
    <row r="450" spans="1:7" x14ac:dyDescent="0.2">
      <c r="A450" s="345">
        <v>41213</v>
      </c>
      <c r="B450" s="253">
        <f t="shared" si="0"/>
        <v>0.54962</v>
      </c>
      <c r="C450" s="346">
        <v>267260569.97</v>
      </c>
      <c r="D450" s="258">
        <v>0.54962</v>
      </c>
      <c r="E450" s="258">
        <f>B450-Index_Returns!AF450</f>
        <v>0.14855000000000002</v>
      </c>
      <c r="G450" s="1311"/>
    </row>
    <row r="451" spans="1:7" x14ac:dyDescent="0.2">
      <c r="A451" s="345">
        <v>41243</v>
      </c>
      <c r="B451" s="253">
        <f t="shared" si="0"/>
        <v>2.5915900000000001</v>
      </c>
      <c r="C451" s="346">
        <v>274116874.01999998</v>
      </c>
      <c r="D451" s="258">
        <v>2.5915900000000001</v>
      </c>
      <c r="E451" s="258">
        <f>B451-Index_Returns!AF451</f>
        <v>0.67318000000000011</v>
      </c>
      <c r="G451" s="1311"/>
    </row>
    <row r="452" spans="1:7" x14ac:dyDescent="0.2">
      <c r="A452" s="345">
        <v>41274</v>
      </c>
      <c r="B452" s="253">
        <f t="shared" si="0"/>
        <v>2.7305100000000002</v>
      </c>
      <c r="C452" s="346">
        <v>281981131.93000001</v>
      </c>
      <c r="D452" s="258">
        <v>2.7305100000000002</v>
      </c>
      <c r="E452" s="258">
        <f>B452-Index_Returns!AF452</f>
        <v>-0.75461999999999962</v>
      </c>
      <c r="G452" s="1311"/>
    </row>
    <row r="453" spans="1:7" x14ac:dyDescent="0.2">
      <c r="A453" s="345">
        <v>41305</v>
      </c>
      <c r="B453" s="253">
        <f t="shared" si="0"/>
        <v>4.8250900000000003</v>
      </c>
      <c r="C453" s="346">
        <v>296059481.37</v>
      </c>
      <c r="D453" s="258">
        <v>4.8250900000000003</v>
      </c>
      <c r="E453" s="258">
        <f>B453-Index_Returns!AF453</f>
        <v>0.73938000000000059</v>
      </c>
      <c r="G453" s="1311"/>
    </row>
    <row r="454" spans="1:7" x14ac:dyDescent="0.2">
      <c r="A454" s="345">
        <v>41333</v>
      </c>
      <c r="B454" s="253">
        <f t="shared" si="0"/>
        <v>-0.28300999999999998</v>
      </c>
      <c r="C454" s="346">
        <v>294979136.13</v>
      </c>
      <c r="D454" s="1311">
        <v>-0.28300999999999998</v>
      </c>
      <c r="E454" s="258">
        <f>B454-Index_Returns!AF454</f>
        <v>0.75080999999999998</v>
      </c>
      <c r="G454" s="1311"/>
    </row>
    <row r="455" spans="1:7" x14ac:dyDescent="0.2">
      <c r="A455" s="345">
        <v>41364</v>
      </c>
      <c r="B455" s="253">
        <f t="shared" si="0"/>
        <v>0.74231999999999998</v>
      </c>
      <c r="C455" s="346">
        <v>297241869.16000003</v>
      </c>
      <c r="D455" s="258">
        <v>0.74231999999999998</v>
      </c>
      <c r="E455" s="258">
        <f>B455-Index_Returns!AF455</f>
        <v>0.49363999999999997</v>
      </c>
      <c r="G455" s="1311"/>
    </row>
    <row r="456" spans="1:7" x14ac:dyDescent="0.2">
      <c r="A456" s="345">
        <v>41394</v>
      </c>
      <c r="B456" s="253">
        <f t="shared" si="0"/>
        <v>2.3270200000000001</v>
      </c>
      <c r="C456" s="346">
        <v>304063306.41000003</v>
      </c>
      <c r="D456" s="258">
        <v>2.3270200000000001</v>
      </c>
      <c r="E456" s="258">
        <f>B456-Index_Returns!AF456</f>
        <v>-1.44686</v>
      </c>
      <c r="G456" s="1311"/>
    </row>
    <row r="457" spans="1:7" x14ac:dyDescent="0.2">
      <c r="A457" s="345">
        <v>41425</v>
      </c>
      <c r="B457" s="253">
        <f t="shared" si="0"/>
        <v>0.57911999999999997</v>
      </c>
      <c r="C457" s="346">
        <v>306098485.70999998</v>
      </c>
      <c r="D457" s="1311">
        <v>0.57911999999999997</v>
      </c>
      <c r="E457" s="258">
        <f>B457-Index_Returns!AF457</f>
        <v>0.57911999999999997</v>
      </c>
      <c r="G457" s="1311"/>
    </row>
    <row r="458" spans="1:7" x14ac:dyDescent="0.2">
      <c r="A458" s="345">
        <v>41455</v>
      </c>
      <c r="B458" s="253">
        <f t="shared" si="0"/>
        <v>-3.3287499999999999</v>
      </c>
      <c r="C458" s="1307">
        <v>295908707.88</v>
      </c>
      <c r="D458" s="1306">
        <v>-3.3287499999999999</v>
      </c>
      <c r="E458" s="258">
        <f>B458-Index_Returns!AF458</f>
        <v>0.97504999999999997</v>
      </c>
      <c r="G458" s="1311"/>
    </row>
    <row r="459" spans="1:7" x14ac:dyDescent="0.2">
      <c r="A459" s="345">
        <v>41486</v>
      </c>
      <c r="B459" s="253">
        <f t="shared" si="0"/>
        <v>6.10229</v>
      </c>
      <c r="C459" s="346">
        <v>313965901.19</v>
      </c>
      <c r="D459" s="258">
        <v>6.10229</v>
      </c>
      <c r="E459" s="258">
        <f>B459-Index_Returns!AF459</f>
        <v>6.10229</v>
      </c>
      <c r="G459" s="1311"/>
    </row>
    <row r="460" spans="1:7" x14ac:dyDescent="0.2">
      <c r="A460" s="345">
        <v>41517</v>
      </c>
      <c r="B460" s="253">
        <f t="shared" si="0"/>
        <v>-1.53668</v>
      </c>
      <c r="C460" s="346">
        <v>309415492.11000001</v>
      </c>
      <c r="D460" s="258">
        <v>-1.53668</v>
      </c>
      <c r="E460" s="258">
        <f>B460-Index_Returns!AF460</f>
        <v>-1.53668</v>
      </c>
    </row>
    <row r="461" spans="1:7" x14ac:dyDescent="0.2">
      <c r="A461" s="345">
        <v>41547</v>
      </c>
      <c r="B461" s="253">
        <f t="shared" si="0"/>
        <v>5.9554</v>
      </c>
      <c r="C461" s="346">
        <v>327842429.22000003</v>
      </c>
      <c r="D461" s="258">
        <v>5.9554</v>
      </c>
      <c r="E461" s="258">
        <f>B461-Index_Returns!AF461</f>
        <v>5.9554</v>
      </c>
    </row>
    <row r="462" spans="1:7" x14ac:dyDescent="0.2">
      <c r="A462" s="345">
        <v>41578</v>
      </c>
      <c r="B462" s="253">
        <f t="shared" si="0"/>
        <v>1.75115</v>
      </c>
      <c r="C462" s="346">
        <v>333583447.44999999</v>
      </c>
      <c r="D462" s="258">
        <v>1.75115</v>
      </c>
      <c r="E462" s="258">
        <f>B462-Index_Returns!AF462</f>
        <v>-1.2337899999999999</v>
      </c>
    </row>
    <row r="463" spans="1:7" x14ac:dyDescent="0.2">
      <c r="A463" s="345">
        <v>41608</v>
      </c>
      <c r="B463" s="253">
        <f t="shared" si="0"/>
        <v>1.61283</v>
      </c>
      <c r="C463" s="346">
        <v>339253402.68000001</v>
      </c>
      <c r="D463" s="258">
        <v>1.61283</v>
      </c>
      <c r="E463" s="258">
        <f>B463-Index_Returns!AF463</f>
        <v>0.24350000000000005</v>
      </c>
    </row>
    <row r="464" spans="1:7" x14ac:dyDescent="0.2">
      <c r="A464" s="345">
        <v>41639</v>
      </c>
      <c r="B464" s="253">
        <f t="shared" si="0"/>
        <v>1.7905599999999999</v>
      </c>
      <c r="C464" s="346">
        <v>345327917.92000002</v>
      </c>
      <c r="D464" s="258">
        <v>1.7905599999999999</v>
      </c>
      <c r="E464" s="258">
        <f>B464-Index_Returns!AF464</f>
        <v>0.43262</v>
      </c>
    </row>
    <row r="465" spans="1:5" x14ac:dyDescent="0.2">
      <c r="A465" s="345">
        <v>41670</v>
      </c>
      <c r="B465" s="253">
        <f t="shared" si="0"/>
        <v>-5.5905100000000001</v>
      </c>
      <c r="C465" s="346">
        <v>326022329.69999999</v>
      </c>
      <c r="D465" s="258">
        <v>-5.5905100000000001</v>
      </c>
      <c r="E465" s="258">
        <f>B465-Index_Returns!AF465</f>
        <v>-3.5228000000000002</v>
      </c>
    </row>
    <row r="466" spans="1:5" x14ac:dyDescent="0.2">
      <c r="A466" s="345">
        <v>41698</v>
      </c>
      <c r="B466" s="253">
        <f t="shared" si="0"/>
        <v>3.9137200000000001</v>
      </c>
      <c r="C466" s="346">
        <v>339100797.68000001</v>
      </c>
      <c r="D466" s="258">
        <v>3.9137200000000001</v>
      </c>
      <c r="E466" s="258">
        <f>B466-Index_Returns!AF466</f>
        <v>0.15871000000000013</v>
      </c>
    </row>
    <row r="467" spans="1:5" x14ac:dyDescent="0.2">
      <c r="A467" s="345">
        <v>41729</v>
      </c>
      <c r="B467" s="253">
        <f t="shared" si="0"/>
        <v>-0.52329000000000003</v>
      </c>
      <c r="C467" s="346">
        <v>337326335.12</v>
      </c>
      <c r="D467" s="258">
        <v>-0.52329000000000003</v>
      </c>
      <c r="E467" s="258">
        <f>B467-Index_Returns!AF467</f>
        <v>-0.69415000000000004</v>
      </c>
    </row>
    <row r="468" spans="1:5" x14ac:dyDescent="0.2">
      <c r="A468" s="345">
        <v>41759</v>
      </c>
      <c r="B468" s="253">
        <f t="shared" si="0"/>
        <v>1.13144</v>
      </c>
      <c r="C468" s="346">
        <v>341142990.19</v>
      </c>
      <c r="D468" s="258">
        <v>1.13144</v>
      </c>
      <c r="E468" s="258">
        <f>IFERROR(B468-Index_Returns!AF468,0)</f>
        <v>0.11839</v>
      </c>
    </row>
    <row r="469" spans="1:5" x14ac:dyDescent="0.2">
      <c r="A469" s="345">
        <v>41790</v>
      </c>
      <c r="B469" s="253">
        <f t="shared" si="0"/>
        <v>1.1187400000000001</v>
      </c>
      <c r="C469" s="346">
        <v>345286267.93000001</v>
      </c>
      <c r="D469" s="258">
        <v>1.1187400000000001</v>
      </c>
      <c r="E469" s="258">
        <f>IFERROR(B469-Index_Returns!AF469,0)</f>
        <v>-0.50037999999999982</v>
      </c>
    </row>
    <row r="470" spans="1:5" x14ac:dyDescent="0.2">
      <c r="A470" s="345"/>
      <c r="B470" s="253"/>
    </row>
    <row r="471" spans="1:5" x14ac:dyDescent="0.2">
      <c r="A471" s="345"/>
      <c r="B471" s="253"/>
    </row>
    <row r="472" spans="1:5" x14ac:dyDescent="0.2">
      <c r="A472" s="345"/>
      <c r="B472" s="253"/>
    </row>
    <row r="473" spans="1:5" x14ac:dyDescent="0.2">
      <c r="A473" s="345"/>
      <c r="B473" s="253"/>
    </row>
    <row r="474" spans="1:5" x14ac:dyDescent="0.2">
      <c r="A474" s="345"/>
      <c r="B474" s="253"/>
    </row>
    <row r="475" spans="1:5" x14ac:dyDescent="0.2">
      <c r="A475" s="345"/>
      <c r="B475" s="253"/>
    </row>
    <row r="476" spans="1:5" x14ac:dyDescent="0.2">
      <c r="A476" s="345"/>
      <c r="B476" s="253"/>
    </row>
    <row r="477" spans="1:5" x14ac:dyDescent="0.2">
      <c r="A477" s="345"/>
      <c r="B477" s="253"/>
    </row>
    <row r="478" spans="1:5" x14ac:dyDescent="0.2">
      <c r="A478" s="345"/>
      <c r="B478" s="253"/>
    </row>
    <row r="479" spans="1:5" x14ac:dyDescent="0.2">
      <c r="A479" s="345"/>
      <c r="B479" s="253"/>
    </row>
    <row r="480" spans="1:5" x14ac:dyDescent="0.2">
      <c r="A480" s="345"/>
      <c r="B480" s="253"/>
    </row>
    <row r="481" spans="1:2" x14ac:dyDescent="0.2">
      <c r="A481" s="345"/>
      <c r="B481" s="253"/>
    </row>
    <row r="482" spans="1:2" x14ac:dyDescent="0.2">
      <c r="A482" s="345"/>
      <c r="B482" s="253"/>
    </row>
    <row r="483" spans="1:2" x14ac:dyDescent="0.2">
      <c r="A483" s="345"/>
      <c r="B483" s="253"/>
    </row>
    <row r="484" spans="1:2" x14ac:dyDescent="0.2">
      <c r="A484" s="345"/>
      <c r="B484" s="253"/>
    </row>
    <row r="485" spans="1:2" x14ac:dyDescent="0.2">
      <c r="A485" s="345"/>
      <c r="B485" s="253"/>
    </row>
    <row r="486" spans="1:2" x14ac:dyDescent="0.2">
      <c r="A486" s="345"/>
      <c r="B486" s="253"/>
    </row>
    <row r="487" spans="1:2" x14ac:dyDescent="0.2">
      <c r="A487" s="345"/>
      <c r="B487" s="253"/>
    </row>
    <row r="488" spans="1:2" x14ac:dyDescent="0.2">
      <c r="A488" s="345"/>
      <c r="B488" s="253"/>
    </row>
  </sheetData>
  <phoneticPr fontId="3" type="noConversion"/>
  <printOptions headings="1" gridLines="1"/>
  <pageMargins left="0.78740157480314965" right="0.78740157480314965" top="0.78740157480314965" bottom="0.78740157480314965" header="0.39370078740157483" footer="0.39370078740157483"/>
  <pageSetup scale="13" orientation="portrait" r:id="rId1"/>
  <headerFooter alignWithMargins="0">
    <oddHeader>&amp;L&amp;A</oddHead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tabColor rgb="FFFF0000"/>
  </sheetPr>
  <dimension ref="A1:H488"/>
  <sheetViews>
    <sheetView workbookViewId="0">
      <pane xSplit="1" ySplit="2" topLeftCell="B450" activePane="bottomRight" state="frozen"/>
      <selection activeCell="A470" sqref="A470:B488"/>
      <selection pane="topRight" activeCell="A470" sqref="A470:B488"/>
      <selection pane="bottomLeft" activeCell="A470" sqref="A470:B488"/>
      <selection pane="bottomRight" activeCell="A470" sqref="A470:B488"/>
    </sheetView>
  </sheetViews>
  <sheetFormatPr defaultRowHeight="12.75" x14ac:dyDescent="0.2"/>
  <cols>
    <col min="1" max="1" width="18.7109375" style="1308" customWidth="1"/>
    <col min="2" max="2" width="18.7109375" style="1309" customWidth="1"/>
    <col min="3" max="3" width="18.7109375" style="1307" customWidth="1"/>
    <col min="4" max="4" width="18.7109375" style="1306" customWidth="1"/>
    <col min="5" max="5" width="9.140625" style="1301"/>
    <col min="6" max="6" width="12.42578125" style="1266" bestFit="1" customWidth="1"/>
    <col min="7" max="8" width="9.140625" style="1305"/>
    <col min="9" max="16384" width="9.140625" style="1266"/>
  </cols>
  <sheetData>
    <row r="1" spans="1:6" x14ac:dyDescent="0.2">
      <c r="A1" s="1289" t="s">
        <v>878</v>
      </c>
      <c r="B1" s="1290"/>
      <c r="C1" s="1386" t="s">
        <v>686</v>
      </c>
      <c r="D1" s="1373">
        <v>40</v>
      </c>
      <c r="F1" s="1454" t="s">
        <v>752</v>
      </c>
    </row>
    <row r="2" spans="1:6" x14ac:dyDescent="0.2">
      <c r="A2" s="1291" t="s">
        <v>27</v>
      </c>
      <c r="B2" s="1292" t="s">
        <v>91</v>
      </c>
      <c r="C2" s="1294" t="s">
        <v>92</v>
      </c>
      <c r="D2" s="1292" t="s">
        <v>90</v>
      </c>
      <c r="E2" s="1374" t="s">
        <v>80</v>
      </c>
    </row>
    <row r="3" spans="1:6" x14ac:dyDescent="0.2">
      <c r="A3" s="1293">
        <v>27606</v>
      </c>
      <c r="B3" s="1292"/>
      <c r="C3" s="1294"/>
      <c r="D3" s="1292"/>
    </row>
    <row r="4" spans="1:6" x14ac:dyDescent="0.2">
      <c r="A4" s="1293">
        <v>27637</v>
      </c>
      <c r="B4" s="1292"/>
      <c r="C4" s="1294"/>
      <c r="D4" s="1292"/>
    </row>
    <row r="5" spans="1:6" x14ac:dyDescent="0.2">
      <c r="A5" s="1293">
        <v>27667</v>
      </c>
      <c r="B5" s="1292"/>
      <c r="C5" s="1294"/>
      <c r="D5" s="1292"/>
    </row>
    <row r="6" spans="1:6" x14ac:dyDescent="0.2">
      <c r="A6" s="1293">
        <v>27698</v>
      </c>
      <c r="B6" s="1292"/>
      <c r="C6" s="1294"/>
      <c r="D6" s="1292"/>
    </row>
    <row r="7" spans="1:6" x14ac:dyDescent="0.2">
      <c r="A7" s="1293">
        <v>27728</v>
      </c>
      <c r="B7" s="1292"/>
      <c r="C7" s="1294"/>
      <c r="D7" s="1292"/>
    </row>
    <row r="8" spans="1:6" x14ac:dyDescent="0.2">
      <c r="A8" s="1293">
        <v>27759</v>
      </c>
      <c r="B8" s="1292"/>
      <c r="C8" s="1294"/>
      <c r="D8" s="1292"/>
    </row>
    <row r="9" spans="1:6" x14ac:dyDescent="0.2">
      <c r="A9" s="1293">
        <v>27790</v>
      </c>
      <c r="B9" s="1292"/>
      <c r="C9" s="1294"/>
      <c r="D9" s="1292"/>
    </row>
    <row r="10" spans="1:6" x14ac:dyDescent="0.2">
      <c r="A10" s="1293">
        <v>27819</v>
      </c>
      <c r="B10" s="1292"/>
      <c r="C10" s="1294"/>
      <c r="D10" s="1292"/>
    </row>
    <row r="11" spans="1:6" x14ac:dyDescent="0.2">
      <c r="A11" s="1293">
        <v>27850</v>
      </c>
      <c r="B11" s="1292"/>
      <c r="C11" s="1294"/>
      <c r="D11" s="1292"/>
    </row>
    <row r="12" spans="1:6" x14ac:dyDescent="0.2">
      <c r="A12" s="1293">
        <v>27880</v>
      </c>
      <c r="B12" s="1292"/>
      <c r="C12" s="1294"/>
      <c r="D12" s="1292"/>
    </row>
    <row r="13" spans="1:6" x14ac:dyDescent="0.2">
      <c r="A13" s="1293">
        <v>27911</v>
      </c>
      <c r="B13" s="1292"/>
      <c r="C13" s="1294"/>
      <c r="D13" s="1292"/>
    </row>
    <row r="14" spans="1:6" x14ac:dyDescent="0.2">
      <c r="A14" s="1293">
        <v>27941</v>
      </c>
      <c r="B14" s="1292"/>
      <c r="C14" s="1294"/>
      <c r="D14" s="1292"/>
    </row>
    <row r="15" spans="1:6" x14ac:dyDescent="0.2">
      <c r="A15" s="1293">
        <v>27972</v>
      </c>
      <c r="B15" s="1292"/>
      <c r="C15" s="1294"/>
      <c r="D15" s="1292"/>
    </row>
    <row r="16" spans="1:6" x14ac:dyDescent="0.2">
      <c r="A16" s="1293">
        <v>28003</v>
      </c>
      <c r="B16" s="1292"/>
      <c r="C16" s="1294"/>
      <c r="D16" s="1292"/>
    </row>
    <row r="17" spans="1:4" x14ac:dyDescent="0.2">
      <c r="A17" s="1293">
        <v>28033</v>
      </c>
      <c r="B17" s="1292"/>
      <c r="C17" s="1294"/>
      <c r="D17" s="1292"/>
    </row>
    <row r="18" spans="1:4" x14ac:dyDescent="0.2">
      <c r="A18" s="1293">
        <v>28064</v>
      </c>
      <c r="B18" s="1292"/>
      <c r="C18" s="1294"/>
      <c r="D18" s="1292"/>
    </row>
    <row r="19" spans="1:4" x14ac:dyDescent="0.2">
      <c r="A19" s="1293">
        <v>28094</v>
      </c>
      <c r="B19" s="1292"/>
      <c r="C19" s="1294"/>
      <c r="D19" s="1292"/>
    </row>
    <row r="20" spans="1:4" x14ac:dyDescent="0.2">
      <c r="A20" s="1293">
        <v>28125</v>
      </c>
      <c r="B20" s="1292"/>
      <c r="C20" s="1294"/>
      <c r="D20" s="1292"/>
    </row>
    <row r="21" spans="1:4" x14ac:dyDescent="0.2">
      <c r="A21" s="1293">
        <v>28156</v>
      </c>
      <c r="B21" s="1292"/>
      <c r="C21" s="1294"/>
      <c r="D21" s="1292"/>
    </row>
    <row r="22" spans="1:4" x14ac:dyDescent="0.2">
      <c r="A22" s="1293">
        <v>28184</v>
      </c>
      <c r="B22" s="1292"/>
      <c r="C22" s="1294"/>
      <c r="D22" s="1292"/>
    </row>
    <row r="23" spans="1:4" x14ac:dyDescent="0.2">
      <c r="A23" s="1293">
        <v>28215</v>
      </c>
      <c r="B23" s="1292"/>
      <c r="C23" s="1294"/>
      <c r="D23" s="1292"/>
    </row>
    <row r="24" spans="1:4" x14ac:dyDescent="0.2">
      <c r="A24" s="1293">
        <v>28245</v>
      </c>
      <c r="B24" s="1292"/>
      <c r="C24" s="1294"/>
      <c r="D24" s="1292"/>
    </row>
    <row r="25" spans="1:4" x14ac:dyDescent="0.2">
      <c r="A25" s="1293">
        <v>28276</v>
      </c>
      <c r="B25" s="1292"/>
      <c r="C25" s="1294"/>
      <c r="D25" s="1292"/>
    </row>
    <row r="26" spans="1:4" x14ac:dyDescent="0.2">
      <c r="A26" s="1293">
        <v>28306</v>
      </c>
      <c r="B26" s="1292"/>
      <c r="C26" s="1294"/>
      <c r="D26" s="1292"/>
    </row>
    <row r="27" spans="1:4" x14ac:dyDescent="0.2">
      <c r="A27" s="1293">
        <v>28337</v>
      </c>
      <c r="B27" s="1292"/>
      <c r="C27" s="1294"/>
      <c r="D27" s="1292"/>
    </row>
    <row r="28" spans="1:4" x14ac:dyDescent="0.2">
      <c r="A28" s="1293">
        <v>28368</v>
      </c>
      <c r="B28" s="1292"/>
      <c r="C28" s="1294"/>
      <c r="D28" s="1292"/>
    </row>
    <row r="29" spans="1:4" x14ac:dyDescent="0.2">
      <c r="A29" s="1293">
        <v>28398</v>
      </c>
      <c r="B29" s="1292"/>
      <c r="C29" s="1294"/>
      <c r="D29" s="1292"/>
    </row>
    <row r="30" spans="1:4" x14ac:dyDescent="0.2">
      <c r="A30" s="1293">
        <v>28429</v>
      </c>
      <c r="B30" s="1292"/>
      <c r="C30" s="1294"/>
      <c r="D30" s="1292"/>
    </row>
    <row r="31" spans="1:4" x14ac:dyDescent="0.2">
      <c r="A31" s="1293">
        <v>28459</v>
      </c>
      <c r="B31" s="1292"/>
      <c r="C31" s="1294"/>
      <c r="D31" s="1292"/>
    </row>
    <row r="32" spans="1:4" x14ac:dyDescent="0.2">
      <c r="A32" s="1293">
        <v>28490</v>
      </c>
      <c r="B32" s="1292"/>
      <c r="C32" s="1294"/>
      <c r="D32" s="1292"/>
    </row>
    <row r="33" spans="1:4" x14ac:dyDescent="0.2">
      <c r="A33" s="1293">
        <v>28521</v>
      </c>
      <c r="B33" s="1292"/>
      <c r="C33" s="1294"/>
      <c r="D33" s="1292"/>
    </row>
    <row r="34" spans="1:4" x14ac:dyDescent="0.2">
      <c r="A34" s="1293">
        <v>28549</v>
      </c>
      <c r="B34" s="1292"/>
      <c r="C34" s="1294"/>
      <c r="D34" s="1292"/>
    </row>
    <row r="35" spans="1:4" x14ac:dyDescent="0.2">
      <c r="A35" s="1293">
        <v>28580</v>
      </c>
      <c r="B35" s="1292"/>
      <c r="C35" s="1294"/>
      <c r="D35" s="1292"/>
    </row>
    <row r="36" spans="1:4" x14ac:dyDescent="0.2">
      <c r="A36" s="1293">
        <v>28610</v>
      </c>
      <c r="B36" s="1292"/>
      <c r="C36" s="1294"/>
      <c r="D36" s="1292"/>
    </row>
    <row r="37" spans="1:4" x14ac:dyDescent="0.2">
      <c r="A37" s="1293">
        <v>28641</v>
      </c>
      <c r="B37" s="1292"/>
      <c r="C37" s="1294"/>
      <c r="D37" s="1292"/>
    </row>
    <row r="38" spans="1:4" x14ac:dyDescent="0.2">
      <c r="A38" s="1293">
        <v>28671</v>
      </c>
      <c r="B38" s="1292"/>
      <c r="C38" s="1294"/>
      <c r="D38" s="1292"/>
    </row>
    <row r="39" spans="1:4" x14ac:dyDescent="0.2">
      <c r="A39" s="1293">
        <v>28702</v>
      </c>
      <c r="B39" s="1292"/>
      <c r="C39" s="1294"/>
      <c r="D39" s="1292"/>
    </row>
    <row r="40" spans="1:4" x14ac:dyDescent="0.2">
      <c r="A40" s="1293">
        <v>28733</v>
      </c>
      <c r="B40" s="1292"/>
      <c r="C40" s="1294"/>
      <c r="D40" s="1292"/>
    </row>
    <row r="41" spans="1:4" x14ac:dyDescent="0.2">
      <c r="A41" s="1293">
        <v>28763</v>
      </c>
      <c r="B41" s="1292"/>
      <c r="C41" s="1294"/>
      <c r="D41" s="1292"/>
    </row>
    <row r="42" spans="1:4" x14ac:dyDescent="0.2">
      <c r="A42" s="1293">
        <v>28794</v>
      </c>
      <c r="B42" s="1292"/>
      <c r="C42" s="1294"/>
      <c r="D42" s="1292"/>
    </row>
    <row r="43" spans="1:4" x14ac:dyDescent="0.2">
      <c r="A43" s="1293">
        <v>28824</v>
      </c>
      <c r="B43" s="1292"/>
      <c r="C43" s="1294"/>
      <c r="D43" s="1292"/>
    </row>
    <row r="44" spans="1:4" x14ac:dyDescent="0.2">
      <c r="A44" s="1293">
        <v>28855</v>
      </c>
      <c r="B44" s="1292"/>
      <c r="C44" s="1294"/>
      <c r="D44" s="1292"/>
    </row>
    <row r="45" spans="1:4" x14ac:dyDescent="0.2">
      <c r="A45" s="1293">
        <v>28886</v>
      </c>
      <c r="B45" s="1292"/>
      <c r="C45" s="1294"/>
      <c r="D45" s="1292"/>
    </row>
    <row r="46" spans="1:4" x14ac:dyDescent="0.2">
      <c r="A46" s="1293">
        <v>28914</v>
      </c>
      <c r="B46" s="1292"/>
      <c r="C46" s="1294"/>
      <c r="D46" s="1292"/>
    </row>
    <row r="47" spans="1:4" x14ac:dyDescent="0.2">
      <c r="A47" s="1293">
        <v>28945</v>
      </c>
      <c r="B47" s="1292"/>
      <c r="C47" s="1294"/>
      <c r="D47" s="1292"/>
    </row>
    <row r="48" spans="1:4" x14ac:dyDescent="0.2">
      <c r="A48" s="1293">
        <v>28975</v>
      </c>
      <c r="B48" s="1292"/>
      <c r="C48" s="1294"/>
      <c r="D48" s="1292"/>
    </row>
    <row r="49" spans="1:4" x14ac:dyDescent="0.2">
      <c r="A49" s="1293">
        <v>29006</v>
      </c>
      <c r="B49" s="1292"/>
      <c r="C49" s="1294"/>
      <c r="D49" s="1292"/>
    </row>
    <row r="50" spans="1:4" x14ac:dyDescent="0.2">
      <c r="A50" s="1293">
        <v>29036</v>
      </c>
      <c r="B50" s="1292"/>
      <c r="C50" s="1294"/>
      <c r="D50" s="1292"/>
    </row>
    <row r="51" spans="1:4" x14ac:dyDescent="0.2">
      <c r="A51" s="1293">
        <v>29067</v>
      </c>
      <c r="B51" s="1292"/>
      <c r="C51" s="1294"/>
      <c r="D51" s="1292"/>
    </row>
    <row r="52" spans="1:4" x14ac:dyDescent="0.2">
      <c r="A52" s="1293">
        <v>29098</v>
      </c>
      <c r="B52" s="1292"/>
      <c r="C52" s="1294"/>
      <c r="D52" s="1292"/>
    </row>
    <row r="53" spans="1:4" x14ac:dyDescent="0.2">
      <c r="A53" s="1293">
        <v>29128</v>
      </c>
      <c r="B53" s="1292"/>
      <c r="C53" s="1294"/>
      <c r="D53" s="1292"/>
    </row>
    <row r="54" spans="1:4" x14ac:dyDescent="0.2">
      <c r="A54" s="1293">
        <v>29159</v>
      </c>
      <c r="B54" s="1292"/>
      <c r="C54" s="1294"/>
      <c r="D54" s="1292"/>
    </row>
    <row r="55" spans="1:4" x14ac:dyDescent="0.2">
      <c r="A55" s="1293">
        <v>29189</v>
      </c>
      <c r="B55" s="1292"/>
      <c r="C55" s="1294"/>
      <c r="D55" s="1292"/>
    </row>
    <row r="56" spans="1:4" x14ac:dyDescent="0.2">
      <c r="A56" s="1293">
        <v>29220</v>
      </c>
      <c r="B56" s="1292"/>
      <c r="C56" s="1294"/>
      <c r="D56" s="1292"/>
    </row>
    <row r="57" spans="1:4" x14ac:dyDescent="0.2">
      <c r="A57" s="1293">
        <v>29251</v>
      </c>
      <c r="B57" s="1292"/>
      <c r="C57" s="1294"/>
      <c r="D57" s="1292"/>
    </row>
    <row r="58" spans="1:4" x14ac:dyDescent="0.2">
      <c r="A58" s="1293">
        <v>29280</v>
      </c>
      <c r="B58" s="1292"/>
      <c r="C58" s="1294"/>
      <c r="D58" s="1292"/>
    </row>
    <row r="59" spans="1:4" x14ac:dyDescent="0.2">
      <c r="A59" s="1293">
        <v>29311</v>
      </c>
      <c r="B59" s="1292"/>
      <c r="C59" s="1294"/>
      <c r="D59" s="1292"/>
    </row>
    <row r="60" spans="1:4" x14ac:dyDescent="0.2">
      <c r="A60" s="1293">
        <v>29341</v>
      </c>
      <c r="B60" s="1292"/>
      <c r="C60" s="1294"/>
      <c r="D60" s="1292"/>
    </row>
    <row r="61" spans="1:4" x14ac:dyDescent="0.2">
      <c r="A61" s="1293">
        <v>29372</v>
      </c>
      <c r="B61" s="1292"/>
      <c r="C61" s="1294"/>
      <c r="D61" s="1292"/>
    </row>
    <row r="62" spans="1:4" x14ac:dyDescent="0.2">
      <c r="A62" s="1293">
        <v>29402</v>
      </c>
      <c r="B62" s="1292"/>
      <c r="C62" s="1294"/>
      <c r="D62" s="1292"/>
    </row>
    <row r="63" spans="1:4" x14ac:dyDescent="0.2">
      <c r="A63" s="1293">
        <v>29433</v>
      </c>
      <c r="B63" s="1292"/>
      <c r="C63" s="1294"/>
      <c r="D63" s="1292"/>
    </row>
    <row r="64" spans="1:4" x14ac:dyDescent="0.2">
      <c r="A64" s="1293">
        <v>29464</v>
      </c>
      <c r="B64" s="1292"/>
      <c r="C64" s="1294"/>
      <c r="D64" s="1292"/>
    </row>
    <row r="65" spans="1:4" x14ac:dyDescent="0.2">
      <c r="A65" s="1293">
        <v>29494</v>
      </c>
      <c r="B65" s="1292"/>
      <c r="C65" s="1294"/>
      <c r="D65" s="1292"/>
    </row>
    <row r="66" spans="1:4" x14ac:dyDescent="0.2">
      <c r="A66" s="1293">
        <v>29525</v>
      </c>
      <c r="B66" s="1292"/>
      <c r="C66" s="1294"/>
      <c r="D66" s="1292"/>
    </row>
    <row r="67" spans="1:4" x14ac:dyDescent="0.2">
      <c r="A67" s="1293">
        <v>29555</v>
      </c>
      <c r="B67" s="1292"/>
      <c r="C67" s="1294"/>
      <c r="D67" s="1292"/>
    </row>
    <row r="68" spans="1:4" x14ac:dyDescent="0.2">
      <c r="A68" s="1293">
        <v>29586</v>
      </c>
      <c r="B68" s="1292"/>
      <c r="C68" s="1294"/>
      <c r="D68" s="1292"/>
    </row>
    <row r="69" spans="1:4" x14ac:dyDescent="0.2">
      <c r="A69" s="1293">
        <v>29617</v>
      </c>
      <c r="B69" s="1292"/>
      <c r="C69" s="1294"/>
      <c r="D69" s="1292"/>
    </row>
    <row r="70" spans="1:4" x14ac:dyDescent="0.2">
      <c r="A70" s="1293">
        <v>29645</v>
      </c>
      <c r="B70" s="1292"/>
      <c r="C70" s="1294"/>
      <c r="D70" s="1292"/>
    </row>
    <row r="71" spans="1:4" x14ac:dyDescent="0.2">
      <c r="A71" s="1293">
        <v>29676</v>
      </c>
      <c r="B71" s="1292"/>
      <c r="C71" s="1294"/>
      <c r="D71" s="1292"/>
    </row>
    <row r="72" spans="1:4" x14ac:dyDescent="0.2">
      <c r="A72" s="1293">
        <v>29706</v>
      </c>
      <c r="B72" s="1292"/>
      <c r="C72" s="1294"/>
      <c r="D72" s="1292"/>
    </row>
    <row r="73" spans="1:4" x14ac:dyDescent="0.2">
      <c r="A73" s="1293">
        <v>29737</v>
      </c>
      <c r="B73" s="1292"/>
      <c r="C73" s="1294"/>
      <c r="D73" s="1292"/>
    </row>
    <row r="74" spans="1:4" x14ac:dyDescent="0.2">
      <c r="A74" s="1293">
        <v>29767</v>
      </c>
      <c r="B74" s="1292"/>
      <c r="C74" s="1294"/>
      <c r="D74" s="1292"/>
    </row>
    <row r="75" spans="1:4" x14ac:dyDescent="0.2">
      <c r="A75" s="1293">
        <v>29798</v>
      </c>
      <c r="B75" s="1292"/>
      <c r="C75" s="1294"/>
      <c r="D75" s="1292"/>
    </row>
    <row r="76" spans="1:4" x14ac:dyDescent="0.2">
      <c r="A76" s="1293">
        <v>29829</v>
      </c>
      <c r="B76" s="1292"/>
      <c r="C76" s="1294"/>
      <c r="D76" s="1292"/>
    </row>
    <row r="77" spans="1:4" x14ac:dyDescent="0.2">
      <c r="A77" s="1293">
        <v>29859</v>
      </c>
      <c r="B77" s="1292"/>
      <c r="C77" s="1294"/>
      <c r="D77" s="1292"/>
    </row>
    <row r="78" spans="1:4" x14ac:dyDescent="0.2">
      <c r="A78" s="1293">
        <v>29890</v>
      </c>
      <c r="B78" s="1292"/>
      <c r="C78" s="1294"/>
      <c r="D78" s="1292"/>
    </row>
    <row r="79" spans="1:4" x14ac:dyDescent="0.2">
      <c r="A79" s="1293">
        <v>29920</v>
      </c>
      <c r="B79" s="1292"/>
      <c r="C79" s="1294"/>
      <c r="D79" s="1292"/>
    </row>
    <row r="80" spans="1:4" x14ac:dyDescent="0.2">
      <c r="A80" s="1293">
        <v>29951</v>
      </c>
      <c r="B80" s="1292"/>
      <c r="C80" s="1294"/>
      <c r="D80" s="1292"/>
    </row>
    <row r="81" spans="1:4" x14ac:dyDescent="0.2">
      <c r="A81" s="1293">
        <v>29982</v>
      </c>
      <c r="B81" s="1292"/>
      <c r="C81" s="1294"/>
      <c r="D81" s="1292"/>
    </row>
    <row r="82" spans="1:4" x14ac:dyDescent="0.2">
      <c r="A82" s="1293">
        <v>30010</v>
      </c>
      <c r="B82" s="1292"/>
      <c r="C82" s="1294"/>
      <c r="D82" s="1292"/>
    </row>
    <row r="83" spans="1:4" x14ac:dyDescent="0.2">
      <c r="A83" s="1293">
        <v>30041</v>
      </c>
      <c r="B83" s="1292"/>
      <c r="C83" s="1294"/>
      <c r="D83" s="1292"/>
    </row>
    <row r="84" spans="1:4" x14ac:dyDescent="0.2">
      <c r="A84" s="1293">
        <v>30071</v>
      </c>
      <c r="B84" s="1292"/>
      <c r="C84" s="1294"/>
      <c r="D84" s="1292"/>
    </row>
    <row r="85" spans="1:4" x14ac:dyDescent="0.2">
      <c r="A85" s="1293">
        <v>30102</v>
      </c>
      <c r="B85" s="1292"/>
      <c r="C85" s="1294"/>
      <c r="D85" s="1292"/>
    </row>
    <row r="86" spans="1:4" x14ac:dyDescent="0.2">
      <c r="A86" s="1293">
        <v>30132</v>
      </c>
      <c r="B86" s="1292"/>
      <c r="C86" s="1294"/>
      <c r="D86" s="1292"/>
    </row>
    <row r="87" spans="1:4" x14ac:dyDescent="0.2">
      <c r="A87" s="1293">
        <v>30163</v>
      </c>
      <c r="B87" s="1292"/>
      <c r="C87" s="1294"/>
      <c r="D87" s="1292"/>
    </row>
    <row r="88" spans="1:4" x14ac:dyDescent="0.2">
      <c r="A88" s="1293">
        <v>30194</v>
      </c>
      <c r="B88" s="1292"/>
      <c r="C88" s="1294"/>
      <c r="D88" s="1292"/>
    </row>
    <row r="89" spans="1:4" x14ac:dyDescent="0.2">
      <c r="A89" s="1293">
        <v>30224</v>
      </c>
      <c r="B89" s="1292"/>
      <c r="C89" s="1294"/>
      <c r="D89" s="1292"/>
    </row>
    <row r="90" spans="1:4" x14ac:dyDescent="0.2">
      <c r="A90" s="1293">
        <v>30255</v>
      </c>
      <c r="B90" s="1292"/>
      <c r="C90" s="1294"/>
      <c r="D90" s="1292"/>
    </row>
    <row r="91" spans="1:4" x14ac:dyDescent="0.2">
      <c r="A91" s="1293">
        <v>30285</v>
      </c>
      <c r="B91" s="1292"/>
      <c r="C91" s="1294"/>
      <c r="D91" s="1292"/>
    </row>
    <row r="92" spans="1:4" x14ac:dyDescent="0.2">
      <c r="A92" s="1293">
        <v>30316</v>
      </c>
      <c r="B92" s="1292"/>
      <c r="C92" s="1294"/>
      <c r="D92" s="1292"/>
    </row>
    <row r="93" spans="1:4" x14ac:dyDescent="0.2">
      <c r="A93" s="1293">
        <v>30347</v>
      </c>
      <c r="B93" s="1292"/>
      <c r="C93" s="1294"/>
      <c r="D93" s="1292"/>
    </row>
    <row r="94" spans="1:4" x14ac:dyDescent="0.2">
      <c r="A94" s="1293">
        <v>30375</v>
      </c>
      <c r="B94" s="1292"/>
      <c r="C94" s="1294"/>
      <c r="D94" s="1292"/>
    </row>
    <row r="95" spans="1:4" x14ac:dyDescent="0.2">
      <c r="A95" s="1293">
        <v>30406</v>
      </c>
      <c r="B95" s="1292"/>
      <c r="C95" s="1294"/>
      <c r="D95" s="1292"/>
    </row>
    <row r="96" spans="1:4" x14ac:dyDescent="0.2">
      <c r="A96" s="1293">
        <v>30436</v>
      </c>
      <c r="B96" s="1292"/>
      <c r="C96" s="1294"/>
      <c r="D96" s="1292"/>
    </row>
    <row r="97" spans="1:4" x14ac:dyDescent="0.2">
      <c r="A97" s="1293">
        <v>30467</v>
      </c>
      <c r="B97" s="1292"/>
      <c r="C97" s="1294"/>
      <c r="D97" s="1292"/>
    </row>
    <row r="98" spans="1:4" x14ac:dyDescent="0.2">
      <c r="A98" s="1293">
        <v>30497</v>
      </c>
      <c r="B98" s="1292"/>
      <c r="C98" s="1294"/>
      <c r="D98" s="1292"/>
    </row>
    <row r="99" spans="1:4" x14ac:dyDescent="0.2">
      <c r="A99" s="1293">
        <v>30528</v>
      </c>
      <c r="B99" s="1292"/>
      <c r="C99" s="1294"/>
      <c r="D99" s="1292"/>
    </row>
    <row r="100" spans="1:4" x14ac:dyDescent="0.2">
      <c r="A100" s="1293">
        <v>30559</v>
      </c>
      <c r="B100" s="1292"/>
      <c r="C100" s="1294"/>
      <c r="D100" s="1292"/>
    </row>
    <row r="101" spans="1:4" x14ac:dyDescent="0.2">
      <c r="A101" s="1293">
        <v>30589</v>
      </c>
      <c r="B101" s="1292"/>
      <c r="C101" s="1294"/>
      <c r="D101" s="1292"/>
    </row>
    <row r="102" spans="1:4" x14ac:dyDescent="0.2">
      <c r="A102" s="1293">
        <v>30620</v>
      </c>
      <c r="B102" s="1292"/>
      <c r="C102" s="1294"/>
      <c r="D102" s="1292"/>
    </row>
    <row r="103" spans="1:4" x14ac:dyDescent="0.2">
      <c r="A103" s="1293">
        <v>30650</v>
      </c>
      <c r="B103" s="1292"/>
      <c r="C103" s="1294"/>
      <c r="D103" s="1292"/>
    </row>
    <row r="104" spans="1:4" x14ac:dyDescent="0.2">
      <c r="A104" s="1293">
        <v>30681</v>
      </c>
      <c r="B104" s="1292"/>
      <c r="C104" s="1294"/>
      <c r="D104" s="1292"/>
    </row>
    <row r="105" spans="1:4" x14ac:dyDescent="0.2">
      <c r="A105" s="1293">
        <v>30712</v>
      </c>
      <c r="B105" s="1292"/>
      <c r="C105" s="1294"/>
      <c r="D105" s="1292"/>
    </row>
    <row r="106" spans="1:4" x14ac:dyDescent="0.2">
      <c r="A106" s="1293">
        <v>30741</v>
      </c>
      <c r="B106" s="1292"/>
      <c r="C106" s="1294"/>
      <c r="D106" s="1292"/>
    </row>
    <row r="107" spans="1:4" x14ac:dyDescent="0.2">
      <c r="A107" s="1293">
        <v>30772</v>
      </c>
      <c r="B107" s="1292"/>
      <c r="C107" s="1294"/>
      <c r="D107" s="1292"/>
    </row>
    <row r="108" spans="1:4" x14ac:dyDescent="0.2">
      <c r="A108" s="1293">
        <v>30802</v>
      </c>
      <c r="B108" s="1292"/>
      <c r="C108" s="1294"/>
      <c r="D108" s="1292"/>
    </row>
    <row r="109" spans="1:4" x14ac:dyDescent="0.2">
      <c r="A109" s="1293">
        <v>30833</v>
      </c>
      <c r="B109" s="1292"/>
      <c r="C109" s="1294"/>
      <c r="D109" s="1292"/>
    </row>
    <row r="110" spans="1:4" x14ac:dyDescent="0.2">
      <c r="A110" s="1293">
        <v>30863</v>
      </c>
      <c r="B110" s="1292"/>
      <c r="C110" s="1294"/>
      <c r="D110" s="1292"/>
    </row>
    <row r="111" spans="1:4" x14ac:dyDescent="0.2">
      <c r="A111" s="1293">
        <v>30894</v>
      </c>
      <c r="B111" s="1292"/>
      <c r="C111" s="1294"/>
      <c r="D111" s="1292"/>
    </row>
    <row r="112" spans="1:4" x14ac:dyDescent="0.2">
      <c r="A112" s="1293">
        <v>30925</v>
      </c>
      <c r="B112" s="1292"/>
      <c r="C112" s="1294"/>
      <c r="D112" s="1292"/>
    </row>
    <row r="113" spans="1:4" x14ac:dyDescent="0.2">
      <c r="A113" s="1293">
        <v>30955</v>
      </c>
      <c r="B113" s="1292"/>
      <c r="C113" s="1294"/>
      <c r="D113" s="1292"/>
    </row>
    <row r="114" spans="1:4" x14ac:dyDescent="0.2">
      <c r="A114" s="1293">
        <v>30986</v>
      </c>
      <c r="B114" s="1292"/>
      <c r="C114" s="1294"/>
      <c r="D114" s="1292"/>
    </row>
    <row r="115" spans="1:4" x14ac:dyDescent="0.2">
      <c r="A115" s="1293">
        <v>31016</v>
      </c>
      <c r="B115" s="1292"/>
      <c r="C115" s="1294"/>
      <c r="D115" s="1292"/>
    </row>
    <row r="116" spans="1:4" x14ac:dyDescent="0.2">
      <c r="A116" s="1293">
        <v>31047</v>
      </c>
      <c r="B116" s="1292"/>
      <c r="C116" s="1294"/>
      <c r="D116" s="1292"/>
    </row>
    <row r="117" spans="1:4" x14ac:dyDescent="0.2">
      <c r="A117" s="1293">
        <v>31078</v>
      </c>
      <c r="B117" s="1292"/>
      <c r="C117" s="1294"/>
      <c r="D117" s="1292"/>
    </row>
    <row r="118" spans="1:4" x14ac:dyDescent="0.2">
      <c r="A118" s="1293">
        <v>31106</v>
      </c>
      <c r="B118" s="1292"/>
      <c r="C118" s="1294"/>
      <c r="D118" s="1292"/>
    </row>
    <row r="119" spans="1:4" x14ac:dyDescent="0.2">
      <c r="A119" s="1293">
        <v>31137</v>
      </c>
      <c r="B119" s="1292"/>
      <c r="C119" s="1294"/>
      <c r="D119" s="1292"/>
    </row>
    <row r="120" spans="1:4" x14ac:dyDescent="0.2">
      <c r="A120" s="1293">
        <v>31167</v>
      </c>
      <c r="B120" s="1292"/>
      <c r="C120" s="1294"/>
      <c r="D120" s="1292"/>
    </row>
    <row r="121" spans="1:4" x14ac:dyDescent="0.2">
      <c r="A121" s="1293">
        <v>31198</v>
      </c>
      <c r="B121" s="1292"/>
      <c r="C121" s="1294"/>
      <c r="D121" s="1292"/>
    </row>
    <row r="122" spans="1:4" x14ac:dyDescent="0.2">
      <c r="A122" s="1293">
        <v>31228</v>
      </c>
      <c r="B122" s="1292"/>
      <c r="C122" s="1294"/>
      <c r="D122" s="1292"/>
    </row>
    <row r="123" spans="1:4" x14ac:dyDescent="0.2">
      <c r="A123" s="1293">
        <v>31259</v>
      </c>
      <c r="B123" s="1292"/>
      <c r="C123" s="1294"/>
      <c r="D123" s="1292"/>
    </row>
    <row r="124" spans="1:4" x14ac:dyDescent="0.2">
      <c r="A124" s="1293">
        <v>31290</v>
      </c>
      <c r="B124" s="1292"/>
      <c r="C124" s="1294"/>
      <c r="D124" s="1292"/>
    </row>
    <row r="125" spans="1:4" x14ac:dyDescent="0.2">
      <c r="A125" s="1293">
        <v>31320</v>
      </c>
      <c r="B125" s="1292"/>
      <c r="C125" s="1294"/>
      <c r="D125" s="1292"/>
    </row>
    <row r="126" spans="1:4" x14ac:dyDescent="0.2">
      <c r="A126" s="1293">
        <v>31351</v>
      </c>
      <c r="B126" s="1292"/>
      <c r="C126" s="1294"/>
      <c r="D126" s="1292"/>
    </row>
    <row r="127" spans="1:4" x14ac:dyDescent="0.2">
      <c r="A127" s="1293">
        <v>31381</v>
      </c>
      <c r="B127" s="1292"/>
      <c r="C127" s="1294"/>
      <c r="D127" s="1292"/>
    </row>
    <row r="128" spans="1:4" x14ac:dyDescent="0.2">
      <c r="A128" s="1293">
        <v>31412</v>
      </c>
      <c r="B128" s="1292"/>
      <c r="C128" s="1294"/>
      <c r="D128" s="1292"/>
    </row>
    <row r="129" spans="1:4" x14ac:dyDescent="0.2">
      <c r="A129" s="1293">
        <v>31443</v>
      </c>
      <c r="B129" s="1292"/>
      <c r="C129" s="1294"/>
      <c r="D129" s="1292"/>
    </row>
    <row r="130" spans="1:4" x14ac:dyDescent="0.2">
      <c r="A130" s="1293">
        <v>31471</v>
      </c>
      <c r="B130" s="1292"/>
      <c r="C130" s="1294"/>
      <c r="D130" s="1292"/>
    </row>
    <row r="131" spans="1:4" x14ac:dyDescent="0.2">
      <c r="A131" s="1293">
        <v>31502</v>
      </c>
      <c r="B131" s="1292"/>
      <c r="C131" s="1294"/>
      <c r="D131" s="1292"/>
    </row>
    <row r="132" spans="1:4" x14ac:dyDescent="0.2">
      <c r="A132" s="1293">
        <v>31532</v>
      </c>
      <c r="B132" s="1292"/>
      <c r="C132" s="1294"/>
      <c r="D132" s="1292"/>
    </row>
    <row r="133" spans="1:4" x14ac:dyDescent="0.2">
      <c r="A133" s="1293">
        <v>31563</v>
      </c>
      <c r="B133" s="1292"/>
      <c r="C133" s="1294"/>
      <c r="D133" s="1292"/>
    </row>
    <row r="134" spans="1:4" x14ac:dyDescent="0.2">
      <c r="A134" s="1293">
        <v>31593</v>
      </c>
      <c r="B134" s="1292"/>
      <c r="C134" s="1294"/>
      <c r="D134" s="1292"/>
    </row>
    <row r="135" spans="1:4" x14ac:dyDescent="0.2">
      <c r="A135" s="1293">
        <v>31624</v>
      </c>
      <c r="B135" s="1292"/>
      <c r="C135" s="1294"/>
      <c r="D135" s="1292"/>
    </row>
    <row r="136" spans="1:4" x14ac:dyDescent="0.2">
      <c r="A136" s="1293">
        <v>31655</v>
      </c>
      <c r="B136" s="1292"/>
      <c r="C136" s="1294"/>
      <c r="D136" s="1292"/>
    </row>
    <row r="137" spans="1:4" x14ac:dyDescent="0.2">
      <c r="A137" s="1293">
        <v>31685</v>
      </c>
      <c r="B137" s="1292"/>
      <c r="C137" s="1294"/>
      <c r="D137" s="1292"/>
    </row>
    <row r="138" spans="1:4" x14ac:dyDescent="0.2">
      <c r="A138" s="1293">
        <v>31716</v>
      </c>
      <c r="B138" s="1292"/>
      <c r="C138" s="1294"/>
      <c r="D138" s="1292"/>
    </row>
    <row r="139" spans="1:4" x14ac:dyDescent="0.2">
      <c r="A139" s="1293">
        <v>31746</v>
      </c>
      <c r="B139" s="1292"/>
      <c r="C139" s="1294"/>
      <c r="D139" s="1292"/>
    </row>
    <row r="140" spans="1:4" x14ac:dyDescent="0.2">
      <c r="A140" s="1293">
        <v>31777</v>
      </c>
      <c r="B140" s="1292"/>
      <c r="C140" s="1294"/>
      <c r="D140" s="1292"/>
    </row>
    <row r="141" spans="1:4" x14ac:dyDescent="0.2">
      <c r="A141" s="1293">
        <v>31808</v>
      </c>
      <c r="B141" s="1295"/>
      <c r="C141" s="1296"/>
      <c r="D141" s="1295"/>
    </row>
    <row r="142" spans="1:4" x14ac:dyDescent="0.2">
      <c r="A142" s="1293">
        <v>31836</v>
      </c>
      <c r="B142" s="1295"/>
      <c r="C142" s="1296"/>
      <c r="D142" s="1295"/>
    </row>
    <row r="143" spans="1:4" x14ac:dyDescent="0.2">
      <c r="A143" s="1293">
        <v>31867</v>
      </c>
      <c r="B143" s="1295"/>
      <c r="C143" s="1296"/>
      <c r="D143" s="1295"/>
    </row>
    <row r="144" spans="1:4" x14ac:dyDescent="0.2">
      <c r="A144" s="1293">
        <v>31897</v>
      </c>
      <c r="B144" s="1295"/>
      <c r="C144" s="1296"/>
      <c r="D144" s="1295"/>
    </row>
    <row r="145" spans="1:4" x14ac:dyDescent="0.2">
      <c r="A145" s="1293">
        <v>31928</v>
      </c>
      <c r="B145" s="1295"/>
      <c r="C145" s="1296"/>
      <c r="D145" s="1295"/>
    </row>
    <row r="146" spans="1:4" x14ac:dyDescent="0.2">
      <c r="A146" s="1293">
        <v>31958</v>
      </c>
      <c r="B146" s="1295"/>
      <c r="C146" s="1296"/>
      <c r="D146" s="1295"/>
    </row>
    <row r="147" spans="1:4" x14ac:dyDescent="0.2">
      <c r="A147" s="1293">
        <v>31989</v>
      </c>
      <c r="B147" s="1295"/>
      <c r="C147" s="1296"/>
      <c r="D147" s="1295"/>
    </row>
    <row r="148" spans="1:4" x14ac:dyDescent="0.2">
      <c r="A148" s="1293">
        <v>32020</v>
      </c>
      <c r="B148" s="1295"/>
      <c r="C148" s="1296"/>
      <c r="D148" s="1295"/>
    </row>
    <row r="149" spans="1:4" x14ac:dyDescent="0.2">
      <c r="A149" s="1293">
        <v>32050</v>
      </c>
      <c r="B149" s="1295"/>
      <c r="C149" s="1296"/>
      <c r="D149" s="1295"/>
    </row>
    <row r="150" spans="1:4" x14ac:dyDescent="0.2">
      <c r="A150" s="1293">
        <v>32081</v>
      </c>
      <c r="B150" s="1295"/>
      <c r="C150" s="1296"/>
      <c r="D150" s="1295"/>
    </row>
    <row r="151" spans="1:4" x14ac:dyDescent="0.2">
      <c r="A151" s="1293">
        <v>32111</v>
      </c>
      <c r="B151" s="1295"/>
      <c r="C151" s="1296"/>
      <c r="D151" s="1295"/>
    </row>
    <row r="152" spans="1:4" x14ac:dyDescent="0.2">
      <c r="A152" s="1293">
        <v>32142</v>
      </c>
      <c r="B152" s="1295"/>
      <c r="C152" s="1296"/>
      <c r="D152" s="1295"/>
    </row>
    <row r="153" spans="1:4" x14ac:dyDescent="0.2">
      <c r="A153" s="1293">
        <v>32173</v>
      </c>
      <c r="B153" s="1295"/>
      <c r="C153" s="1296"/>
      <c r="D153" s="1295"/>
    </row>
    <row r="154" spans="1:4" x14ac:dyDescent="0.2">
      <c r="A154" s="1293">
        <v>32202</v>
      </c>
      <c r="B154" s="1295"/>
      <c r="C154" s="1296"/>
      <c r="D154" s="1295"/>
    </row>
    <row r="155" spans="1:4" x14ac:dyDescent="0.2">
      <c r="A155" s="1293">
        <v>32233</v>
      </c>
      <c r="B155" s="1295"/>
      <c r="C155" s="1296"/>
      <c r="D155" s="1295"/>
    </row>
    <row r="156" spans="1:4" x14ac:dyDescent="0.2">
      <c r="A156" s="1293">
        <v>32263</v>
      </c>
      <c r="B156" s="1295"/>
      <c r="C156" s="1296"/>
      <c r="D156" s="1295"/>
    </row>
    <row r="157" spans="1:4" x14ac:dyDescent="0.2">
      <c r="A157" s="1293">
        <v>32294</v>
      </c>
      <c r="B157" s="1295"/>
      <c r="C157" s="1296"/>
      <c r="D157" s="1295"/>
    </row>
    <row r="158" spans="1:4" x14ac:dyDescent="0.2">
      <c r="A158" s="1293">
        <v>32324</v>
      </c>
      <c r="B158" s="1295"/>
      <c r="C158" s="1296"/>
      <c r="D158" s="1295"/>
    </row>
    <row r="159" spans="1:4" x14ac:dyDescent="0.2">
      <c r="A159" s="1293">
        <v>32355</v>
      </c>
      <c r="B159" s="1295"/>
      <c r="C159" s="1296"/>
      <c r="D159" s="1295"/>
    </row>
    <row r="160" spans="1:4" x14ac:dyDescent="0.2">
      <c r="A160" s="1293">
        <v>32386</v>
      </c>
      <c r="B160" s="1295"/>
      <c r="C160" s="1296"/>
      <c r="D160" s="1295"/>
    </row>
    <row r="161" spans="1:4" x14ac:dyDescent="0.2">
      <c r="A161" s="1293">
        <v>32416</v>
      </c>
      <c r="B161" s="1295"/>
      <c r="C161" s="1296"/>
      <c r="D161" s="1295"/>
    </row>
    <row r="162" spans="1:4" x14ac:dyDescent="0.2">
      <c r="A162" s="1293">
        <v>32447</v>
      </c>
      <c r="B162" s="1295"/>
      <c r="C162" s="1296"/>
      <c r="D162" s="1295"/>
    </row>
    <row r="163" spans="1:4" x14ac:dyDescent="0.2">
      <c r="A163" s="1293">
        <v>32477</v>
      </c>
      <c r="B163" s="1295"/>
      <c r="C163" s="1296"/>
      <c r="D163" s="1295"/>
    </row>
    <row r="164" spans="1:4" x14ac:dyDescent="0.2">
      <c r="A164" s="1293">
        <v>32508</v>
      </c>
      <c r="B164" s="1295"/>
      <c r="C164" s="1296"/>
      <c r="D164" s="1295"/>
    </row>
    <row r="165" spans="1:4" x14ac:dyDescent="0.2">
      <c r="A165" s="1293">
        <v>32539</v>
      </c>
      <c r="B165" s="1295"/>
      <c r="C165" s="1296"/>
      <c r="D165" s="1295"/>
    </row>
    <row r="166" spans="1:4" x14ac:dyDescent="0.2">
      <c r="A166" s="1293">
        <v>32567</v>
      </c>
      <c r="B166" s="1295"/>
      <c r="C166" s="1296"/>
      <c r="D166" s="1295"/>
    </row>
    <row r="167" spans="1:4" x14ac:dyDescent="0.2">
      <c r="A167" s="1293">
        <v>32598</v>
      </c>
      <c r="B167" s="1295"/>
      <c r="C167" s="1296"/>
      <c r="D167" s="1295"/>
    </row>
    <row r="168" spans="1:4" x14ac:dyDescent="0.2">
      <c r="A168" s="1293">
        <v>32628</v>
      </c>
      <c r="B168" s="1295"/>
      <c r="C168" s="1296"/>
      <c r="D168" s="1295"/>
    </row>
    <row r="169" spans="1:4" x14ac:dyDescent="0.2">
      <c r="A169" s="1293">
        <v>32659</v>
      </c>
      <c r="B169" s="1295"/>
      <c r="C169" s="1296"/>
      <c r="D169" s="1295"/>
    </row>
    <row r="170" spans="1:4" x14ac:dyDescent="0.2">
      <c r="A170" s="1293">
        <v>32689</v>
      </c>
      <c r="B170" s="1295"/>
      <c r="C170" s="1296"/>
      <c r="D170" s="1295"/>
    </row>
    <row r="171" spans="1:4" x14ac:dyDescent="0.2">
      <c r="A171" s="1293">
        <v>32720</v>
      </c>
      <c r="B171" s="1295"/>
      <c r="C171" s="1296"/>
      <c r="D171" s="1295"/>
    </row>
    <row r="172" spans="1:4" x14ac:dyDescent="0.2">
      <c r="A172" s="1293">
        <v>32751</v>
      </c>
      <c r="B172" s="1295"/>
      <c r="C172" s="1296"/>
      <c r="D172" s="1295"/>
    </row>
    <row r="173" spans="1:4" x14ac:dyDescent="0.2">
      <c r="A173" s="1293">
        <v>32781</v>
      </c>
      <c r="B173" s="1295"/>
      <c r="C173" s="1296"/>
      <c r="D173" s="1295"/>
    </row>
    <row r="174" spans="1:4" x14ac:dyDescent="0.2">
      <c r="A174" s="1293">
        <v>32812</v>
      </c>
      <c r="B174" s="1295"/>
      <c r="C174" s="1296"/>
      <c r="D174" s="1295"/>
    </row>
    <row r="175" spans="1:4" x14ac:dyDescent="0.2">
      <c r="A175" s="1293">
        <v>32842</v>
      </c>
      <c r="B175" s="1295"/>
      <c r="C175" s="1296"/>
      <c r="D175" s="1295"/>
    </row>
    <row r="176" spans="1:4" x14ac:dyDescent="0.2">
      <c r="A176" s="1293">
        <v>32873</v>
      </c>
      <c r="B176" s="1295"/>
      <c r="C176" s="1296"/>
      <c r="D176" s="1295"/>
    </row>
    <row r="177" spans="1:4" x14ac:dyDescent="0.2">
      <c r="A177" s="1293">
        <v>32904</v>
      </c>
      <c r="B177" s="1295"/>
      <c r="C177" s="1296"/>
      <c r="D177" s="1295"/>
    </row>
    <row r="178" spans="1:4" x14ac:dyDescent="0.2">
      <c r="A178" s="1293">
        <v>32932</v>
      </c>
      <c r="B178" s="1295"/>
      <c r="C178" s="1296"/>
      <c r="D178" s="1295"/>
    </row>
    <row r="179" spans="1:4" x14ac:dyDescent="0.2">
      <c r="A179" s="1293">
        <v>32963</v>
      </c>
      <c r="B179" s="1295"/>
      <c r="C179" s="1296"/>
      <c r="D179" s="1295"/>
    </row>
    <row r="180" spans="1:4" x14ac:dyDescent="0.2">
      <c r="A180" s="1293">
        <v>32993</v>
      </c>
      <c r="B180" s="1295"/>
      <c r="C180" s="1296"/>
      <c r="D180" s="1295"/>
    </row>
    <row r="181" spans="1:4" x14ac:dyDescent="0.2">
      <c r="A181" s="1293">
        <v>33024</v>
      </c>
      <c r="B181" s="1295"/>
      <c r="C181" s="1296"/>
      <c r="D181" s="1295"/>
    </row>
    <row r="182" spans="1:4" x14ac:dyDescent="0.2">
      <c r="A182" s="1293">
        <v>33054</v>
      </c>
      <c r="B182" s="1295"/>
      <c r="C182" s="1296"/>
      <c r="D182" s="1295"/>
    </row>
    <row r="183" spans="1:4" x14ac:dyDescent="0.2">
      <c r="A183" s="1293">
        <v>33085</v>
      </c>
      <c r="B183" s="1295"/>
      <c r="C183" s="1296"/>
      <c r="D183" s="1295"/>
    </row>
    <row r="184" spans="1:4" x14ac:dyDescent="0.2">
      <c r="A184" s="1293">
        <v>33116</v>
      </c>
      <c r="B184" s="1295"/>
      <c r="C184" s="1296"/>
      <c r="D184" s="1295"/>
    </row>
    <row r="185" spans="1:4" x14ac:dyDescent="0.2">
      <c r="A185" s="1293">
        <v>33146</v>
      </c>
      <c r="B185" s="1295"/>
      <c r="C185" s="1296"/>
      <c r="D185" s="1295"/>
    </row>
    <row r="186" spans="1:4" x14ac:dyDescent="0.2">
      <c r="A186" s="1293">
        <v>33177</v>
      </c>
      <c r="B186" s="1295"/>
      <c r="C186" s="1296"/>
      <c r="D186" s="1295"/>
    </row>
    <row r="187" spans="1:4" x14ac:dyDescent="0.2">
      <c r="A187" s="1293">
        <v>33207</v>
      </c>
      <c r="B187" s="1295"/>
      <c r="C187" s="1296"/>
      <c r="D187" s="1295"/>
    </row>
    <row r="188" spans="1:4" x14ac:dyDescent="0.2">
      <c r="A188" s="1293">
        <v>33238</v>
      </c>
      <c r="B188" s="1295"/>
      <c r="C188" s="1296"/>
      <c r="D188" s="1295"/>
    </row>
    <row r="189" spans="1:4" x14ac:dyDescent="0.2">
      <c r="A189" s="1293">
        <v>33269</v>
      </c>
      <c r="B189" s="1295"/>
      <c r="C189" s="1296"/>
      <c r="D189" s="1295"/>
    </row>
    <row r="190" spans="1:4" x14ac:dyDescent="0.2">
      <c r="A190" s="1293">
        <v>33297</v>
      </c>
      <c r="B190" s="1295"/>
      <c r="C190" s="1296"/>
      <c r="D190" s="1295"/>
    </row>
    <row r="191" spans="1:4" x14ac:dyDescent="0.2">
      <c r="A191" s="1293">
        <v>33328</v>
      </c>
      <c r="B191" s="1295"/>
      <c r="C191" s="1296"/>
      <c r="D191" s="1295"/>
    </row>
    <row r="192" spans="1:4" x14ac:dyDescent="0.2">
      <c r="A192" s="1293">
        <v>33358</v>
      </c>
      <c r="B192" s="1295"/>
      <c r="C192" s="1296"/>
      <c r="D192" s="1295"/>
    </row>
    <row r="193" spans="1:4" x14ac:dyDescent="0.2">
      <c r="A193" s="1293">
        <v>33389</v>
      </c>
      <c r="B193" s="1295"/>
      <c r="C193" s="1296"/>
      <c r="D193" s="1295"/>
    </row>
    <row r="194" spans="1:4" x14ac:dyDescent="0.2">
      <c r="A194" s="1293">
        <v>33419</v>
      </c>
      <c r="B194" s="1295"/>
      <c r="C194" s="1296"/>
      <c r="D194" s="1295"/>
    </row>
    <row r="195" spans="1:4" x14ac:dyDescent="0.2">
      <c r="A195" s="1293">
        <v>33450</v>
      </c>
      <c r="B195" s="1295"/>
      <c r="C195" s="1296"/>
      <c r="D195" s="1295"/>
    </row>
    <row r="196" spans="1:4" x14ac:dyDescent="0.2">
      <c r="A196" s="1293">
        <v>33481</v>
      </c>
      <c r="B196" s="1295"/>
      <c r="C196" s="1296"/>
      <c r="D196" s="1295"/>
    </row>
    <row r="197" spans="1:4" x14ac:dyDescent="0.2">
      <c r="A197" s="1293">
        <v>33511</v>
      </c>
      <c r="B197" s="1295"/>
      <c r="C197" s="1296"/>
      <c r="D197" s="1295"/>
    </row>
    <row r="198" spans="1:4" x14ac:dyDescent="0.2">
      <c r="A198" s="1293">
        <v>33542</v>
      </c>
      <c r="B198" s="1295"/>
      <c r="C198" s="1296"/>
      <c r="D198" s="1295"/>
    </row>
    <row r="199" spans="1:4" x14ac:dyDescent="0.2">
      <c r="A199" s="1293">
        <v>33572</v>
      </c>
      <c r="B199" s="1295"/>
      <c r="C199" s="1296"/>
      <c r="D199" s="1295"/>
    </row>
    <row r="200" spans="1:4" x14ac:dyDescent="0.2">
      <c r="A200" s="1293">
        <v>33603</v>
      </c>
      <c r="B200" s="1295"/>
      <c r="C200" s="1296"/>
      <c r="D200" s="1295"/>
    </row>
    <row r="201" spans="1:4" x14ac:dyDescent="0.2">
      <c r="A201" s="1293">
        <v>33634</v>
      </c>
      <c r="B201" s="1295"/>
      <c r="C201" s="1296"/>
      <c r="D201" s="1295"/>
    </row>
    <row r="202" spans="1:4" x14ac:dyDescent="0.2">
      <c r="A202" s="1293">
        <v>33663</v>
      </c>
      <c r="B202" s="1295"/>
      <c r="C202" s="1296"/>
      <c r="D202" s="1295"/>
    </row>
    <row r="203" spans="1:4" x14ac:dyDescent="0.2">
      <c r="A203" s="1293">
        <v>33694</v>
      </c>
      <c r="B203" s="1295"/>
      <c r="C203" s="1296"/>
      <c r="D203" s="1295"/>
    </row>
    <row r="204" spans="1:4" x14ac:dyDescent="0.2">
      <c r="A204" s="1293">
        <v>33724</v>
      </c>
      <c r="B204" s="1295"/>
      <c r="C204" s="1296"/>
      <c r="D204" s="1295"/>
    </row>
    <row r="205" spans="1:4" x14ac:dyDescent="0.2">
      <c r="A205" s="1293">
        <v>33755</v>
      </c>
      <c r="B205" s="1295"/>
      <c r="C205" s="1296"/>
      <c r="D205" s="1295"/>
    </row>
    <row r="206" spans="1:4" x14ac:dyDescent="0.2">
      <c r="A206" s="1293">
        <v>33785</v>
      </c>
      <c r="B206" s="1295"/>
      <c r="C206" s="1296"/>
      <c r="D206" s="1295"/>
    </row>
    <row r="207" spans="1:4" x14ac:dyDescent="0.2">
      <c r="A207" s="1293">
        <v>33816</v>
      </c>
      <c r="B207" s="1295"/>
      <c r="C207" s="1296"/>
      <c r="D207" s="1295"/>
    </row>
    <row r="208" spans="1:4" x14ac:dyDescent="0.2">
      <c r="A208" s="1293">
        <v>33847</v>
      </c>
      <c r="B208" s="1295"/>
      <c r="C208" s="1296"/>
      <c r="D208" s="1295"/>
    </row>
    <row r="209" spans="1:4" x14ac:dyDescent="0.2">
      <c r="A209" s="1293">
        <v>33877</v>
      </c>
      <c r="B209" s="1295"/>
      <c r="C209" s="1296"/>
      <c r="D209" s="1295"/>
    </row>
    <row r="210" spans="1:4" x14ac:dyDescent="0.2">
      <c r="A210" s="1293">
        <v>33908</v>
      </c>
      <c r="B210" s="1295"/>
      <c r="C210" s="1296"/>
      <c r="D210" s="1295"/>
    </row>
    <row r="211" spans="1:4" x14ac:dyDescent="0.2">
      <c r="A211" s="1293">
        <v>33938</v>
      </c>
      <c r="B211" s="1295"/>
      <c r="C211" s="1296"/>
      <c r="D211" s="1295"/>
    </row>
    <row r="212" spans="1:4" x14ac:dyDescent="0.2">
      <c r="A212" s="1293">
        <v>33969</v>
      </c>
      <c r="B212" s="1295"/>
      <c r="C212" s="1296"/>
      <c r="D212" s="1295"/>
    </row>
    <row r="213" spans="1:4" x14ac:dyDescent="0.2">
      <c r="A213" s="1293">
        <v>34000</v>
      </c>
      <c r="B213" s="1295"/>
      <c r="C213" s="1296"/>
      <c r="D213" s="1295"/>
    </row>
    <row r="214" spans="1:4" x14ac:dyDescent="0.2">
      <c r="A214" s="1293">
        <v>34028</v>
      </c>
      <c r="B214" s="1295"/>
      <c r="C214" s="1296"/>
      <c r="D214" s="1295"/>
    </row>
    <row r="215" spans="1:4" x14ac:dyDescent="0.2">
      <c r="A215" s="1293">
        <v>34059</v>
      </c>
      <c r="B215" s="1295"/>
      <c r="C215" s="1296"/>
      <c r="D215" s="1295"/>
    </row>
    <row r="216" spans="1:4" x14ac:dyDescent="0.2">
      <c r="A216" s="1293">
        <v>34089</v>
      </c>
      <c r="B216" s="1295"/>
      <c r="C216" s="1296"/>
      <c r="D216" s="1295"/>
    </row>
    <row r="217" spans="1:4" x14ac:dyDescent="0.2">
      <c r="A217" s="1293">
        <v>34120</v>
      </c>
      <c r="B217" s="1295"/>
      <c r="C217" s="1296"/>
      <c r="D217" s="1295"/>
    </row>
    <row r="218" spans="1:4" x14ac:dyDescent="0.2">
      <c r="A218" s="1293">
        <v>34150</v>
      </c>
      <c r="B218" s="1295"/>
      <c r="C218" s="1296"/>
      <c r="D218" s="1295"/>
    </row>
    <row r="219" spans="1:4" x14ac:dyDescent="0.2">
      <c r="A219" s="1293">
        <v>34181</v>
      </c>
      <c r="B219" s="1295"/>
      <c r="C219" s="1296"/>
      <c r="D219" s="1295"/>
    </row>
    <row r="220" spans="1:4" x14ac:dyDescent="0.2">
      <c r="A220" s="1293">
        <v>34212</v>
      </c>
      <c r="B220" s="1295"/>
      <c r="C220" s="1296"/>
      <c r="D220" s="1295"/>
    </row>
    <row r="221" spans="1:4" x14ac:dyDescent="0.2">
      <c r="A221" s="1293">
        <v>34242</v>
      </c>
      <c r="B221" s="1295"/>
      <c r="C221" s="1296"/>
      <c r="D221" s="1295"/>
    </row>
    <row r="222" spans="1:4" x14ac:dyDescent="0.2">
      <c r="A222" s="1293">
        <v>34273</v>
      </c>
      <c r="B222" s="1295"/>
      <c r="C222" s="1296"/>
      <c r="D222" s="1295"/>
    </row>
    <row r="223" spans="1:4" x14ac:dyDescent="0.2">
      <c r="A223" s="1293">
        <v>34303</v>
      </c>
      <c r="B223" s="1295"/>
      <c r="C223" s="1296"/>
      <c r="D223" s="1295"/>
    </row>
    <row r="224" spans="1:4" x14ac:dyDescent="0.2">
      <c r="A224" s="1293">
        <v>34334</v>
      </c>
      <c r="B224" s="1295"/>
      <c r="C224" s="1296"/>
      <c r="D224" s="1295"/>
    </row>
    <row r="225" spans="1:4" x14ac:dyDescent="0.2">
      <c r="A225" s="1293">
        <v>34365</v>
      </c>
      <c r="B225" s="1295"/>
      <c r="C225" s="1296"/>
      <c r="D225" s="1295"/>
    </row>
    <row r="226" spans="1:4" x14ac:dyDescent="0.2">
      <c r="A226" s="1293">
        <v>34393</v>
      </c>
      <c r="B226" s="1295"/>
      <c r="C226" s="1296"/>
      <c r="D226" s="1295"/>
    </row>
    <row r="227" spans="1:4" x14ac:dyDescent="0.2">
      <c r="A227" s="1293">
        <v>34424</v>
      </c>
      <c r="B227" s="1295"/>
      <c r="C227" s="1296"/>
      <c r="D227" s="1295"/>
    </row>
    <row r="228" spans="1:4" x14ac:dyDescent="0.2">
      <c r="A228" s="1293">
        <v>34454</v>
      </c>
      <c r="B228" s="1295"/>
      <c r="C228" s="1296"/>
      <c r="D228" s="1295"/>
    </row>
    <row r="229" spans="1:4" x14ac:dyDescent="0.2">
      <c r="A229" s="1293">
        <v>34485</v>
      </c>
      <c r="B229" s="1295"/>
      <c r="C229" s="1296"/>
      <c r="D229" s="1295"/>
    </row>
    <row r="230" spans="1:4" x14ac:dyDescent="0.2">
      <c r="A230" s="1293">
        <v>34515</v>
      </c>
      <c r="B230" s="1295"/>
      <c r="C230" s="1296"/>
      <c r="D230" s="1295"/>
    </row>
    <row r="231" spans="1:4" x14ac:dyDescent="0.2">
      <c r="A231" s="1293">
        <v>34546</v>
      </c>
      <c r="B231" s="1295"/>
      <c r="C231" s="1296"/>
      <c r="D231" s="1295"/>
    </row>
    <row r="232" spans="1:4" x14ac:dyDescent="0.2">
      <c r="A232" s="1293">
        <v>34577</v>
      </c>
      <c r="B232" s="1295"/>
      <c r="C232" s="1296"/>
      <c r="D232" s="1295"/>
    </row>
    <row r="233" spans="1:4" x14ac:dyDescent="0.2">
      <c r="A233" s="1293">
        <v>34607</v>
      </c>
      <c r="B233" s="1295"/>
      <c r="C233" s="1296"/>
      <c r="D233" s="1295"/>
    </row>
    <row r="234" spans="1:4" x14ac:dyDescent="0.2">
      <c r="A234" s="1293">
        <v>34638</v>
      </c>
      <c r="B234" s="1295"/>
      <c r="C234" s="1296"/>
      <c r="D234" s="1295"/>
    </row>
    <row r="235" spans="1:4" x14ac:dyDescent="0.2">
      <c r="A235" s="1293">
        <v>34668</v>
      </c>
      <c r="B235" s="1295"/>
      <c r="C235" s="1296"/>
      <c r="D235" s="1295"/>
    </row>
    <row r="236" spans="1:4" x14ac:dyDescent="0.2">
      <c r="A236" s="1293">
        <v>34699</v>
      </c>
      <c r="B236" s="1295"/>
      <c r="C236" s="1296"/>
      <c r="D236" s="1295"/>
    </row>
    <row r="237" spans="1:4" x14ac:dyDescent="0.2">
      <c r="A237" s="1293">
        <v>34730</v>
      </c>
      <c r="B237" s="1295"/>
      <c r="C237" s="1296"/>
      <c r="D237" s="1295"/>
    </row>
    <row r="238" spans="1:4" x14ac:dyDescent="0.2">
      <c r="A238" s="1293">
        <v>34758</v>
      </c>
      <c r="B238" s="1295"/>
      <c r="C238" s="1296"/>
      <c r="D238" s="1295"/>
    </row>
    <row r="239" spans="1:4" x14ac:dyDescent="0.2">
      <c r="A239" s="1293">
        <v>34789</v>
      </c>
      <c r="B239" s="1295"/>
      <c r="C239" s="1296"/>
      <c r="D239" s="1295"/>
    </row>
    <row r="240" spans="1:4" x14ac:dyDescent="0.2">
      <c r="A240" s="1293">
        <v>34819</v>
      </c>
      <c r="B240" s="1295"/>
      <c r="C240" s="1296"/>
      <c r="D240" s="1295"/>
    </row>
    <row r="241" spans="1:4" x14ac:dyDescent="0.2">
      <c r="A241" s="1293">
        <v>34850</v>
      </c>
      <c r="B241" s="1295"/>
      <c r="C241" s="1296"/>
      <c r="D241" s="1295"/>
    </row>
    <row r="242" spans="1:4" x14ac:dyDescent="0.2">
      <c r="A242" s="1293">
        <v>34880</v>
      </c>
      <c r="B242" s="1295"/>
      <c r="C242" s="1296"/>
      <c r="D242" s="1295"/>
    </row>
    <row r="243" spans="1:4" x14ac:dyDescent="0.2">
      <c r="A243" s="1293">
        <v>34911</v>
      </c>
      <c r="B243" s="1295"/>
      <c r="C243" s="1296"/>
      <c r="D243" s="1295"/>
    </row>
    <row r="244" spans="1:4" x14ac:dyDescent="0.2">
      <c r="A244" s="1293">
        <v>34942</v>
      </c>
      <c r="B244" s="1295"/>
      <c r="C244" s="1296"/>
      <c r="D244" s="1295"/>
    </row>
    <row r="245" spans="1:4" x14ac:dyDescent="0.2">
      <c r="A245" s="1293">
        <v>34972</v>
      </c>
      <c r="B245" s="1295"/>
      <c r="C245" s="1296"/>
      <c r="D245" s="1295"/>
    </row>
    <row r="246" spans="1:4" x14ac:dyDescent="0.2">
      <c r="A246" s="1293">
        <v>35003</v>
      </c>
      <c r="B246" s="1295"/>
      <c r="C246" s="1296"/>
      <c r="D246" s="1295"/>
    </row>
    <row r="247" spans="1:4" x14ac:dyDescent="0.2">
      <c r="A247" s="1293">
        <v>35033</v>
      </c>
      <c r="B247" s="1295"/>
      <c r="C247" s="1296"/>
      <c r="D247" s="1295"/>
    </row>
    <row r="248" spans="1:4" x14ac:dyDescent="0.2">
      <c r="A248" s="1293">
        <v>35064</v>
      </c>
      <c r="B248" s="1295"/>
      <c r="C248" s="1296"/>
      <c r="D248" s="1295"/>
    </row>
    <row r="249" spans="1:4" x14ac:dyDescent="0.2">
      <c r="A249" s="1293">
        <v>35095</v>
      </c>
      <c r="B249" s="1295"/>
      <c r="C249" s="1296"/>
      <c r="D249" s="1295"/>
    </row>
    <row r="250" spans="1:4" x14ac:dyDescent="0.2">
      <c r="A250" s="1293">
        <v>35124</v>
      </c>
      <c r="B250" s="1295"/>
      <c r="C250" s="1296"/>
      <c r="D250" s="1295"/>
    </row>
    <row r="251" spans="1:4" x14ac:dyDescent="0.2">
      <c r="A251" s="1293">
        <v>35155</v>
      </c>
      <c r="B251" s="1295"/>
      <c r="C251" s="1296"/>
      <c r="D251" s="1295"/>
    </row>
    <row r="252" spans="1:4" x14ac:dyDescent="0.2">
      <c r="A252" s="1293">
        <v>35185</v>
      </c>
      <c r="B252" s="1295"/>
      <c r="C252" s="1296"/>
      <c r="D252" s="1295"/>
    </row>
    <row r="253" spans="1:4" x14ac:dyDescent="0.2">
      <c r="A253" s="1293">
        <v>35216</v>
      </c>
      <c r="B253" s="1295"/>
      <c r="C253" s="1296"/>
      <c r="D253" s="1295"/>
    </row>
    <row r="254" spans="1:4" x14ac:dyDescent="0.2">
      <c r="A254" s="1293">
        <v>35246</v>
      </c>
      <c r="B254" s="1295"/>
      <c r="C254" s="1296"/>
      <c r="D254" s="1295"/>
    </row>
    <row r="255" spans="1:4" x14ac:dyDescent="0.2">
      <c r="A255" s="1293">
        <v>35277</v>
      </c>
      <c r="B255" s="1295"/>
      <c r="C255" s="1296"/>
      <c r="D255" s="1295"/>
    </row>
    <row r="256" spans="1:4" x14ac:dyDescent="0.2">
      <c r="A256" s="1293">
        <v>35308</v>
      </c>
      <c r="B256" s="1295"/>
      <c r="C256" s="1296"/>
      <c r="D256" s="1295"/>
    </row>
    <row r="257" spans="1:4" x14ac:dyDescent="0.2">
      <c r="A257" s="1293">
        <v>35338</v>
      </c>
      <c r="B257" s="1295"/>
      <c r="C257" s="1296"/>
      <c r="D257" s="1295"/>
    </row>
    <row r="258" spans="1:4" x14ac:dyDescent="0.2">
      <c r="A258" s="1293">
        <v>35369</v>
      </c>
      <c r="B258" s="1295"/>
      <c r="C258" s="1296"/>
      <c r="D258" s="1295"/>
    </row>
    <row r="259" spans="1:4" x14ac:dyDescent="0.2">
      <c r="A259" s="1293">
        <v>35399</v>
      </c>
      <c r="B259" s="1295"/>
      <c r="C259" s="1296"/>
      <c r="D259" s="1295"/>
    </row>
    <row r="260" spans="1:4" x14ac:dyDescent="0.2">
      <c r="A260" s="1293">
        <v>35430</v>
      </c>
      <c r="B260" s="1295"/>
      <c r="C260" s="1296"/>
      <c r="D260" s="1295"/>
    </row>
    <row r="261" spans="1:4" x14ac:dyDescent="0.2">
      <c r="A261" s="1293">
        <v>35461</v>
      </c>
      <c r="B261" s="1295"/>
      <c r="C261" s="1296"/>
      <c r="D261" s="1295"/>
    </row>
    <row r="262" spans="1:4" x14ac:dyDescent="0.2">
      <c r="A262" s="1293">
        <v>35489</v>
      </c>
      <c r="B262" s="1295"/>
      <c r="C262" s="1296"/>
      <c r="D262" s="1295"/>
    </row>
    <row r="263" spans="1:4" x14ac:dyDescent="0.2">
      <c r="A263" s="1293">
        <v>35520</v>
      </c>
      <c r="B263" s="1295"/>
      <c r="C263" s="1296"/>
      <c r="D263" s="1295"/>
    </row>
    <row r="264" spans="1:4" x14ac:dyDescent="0.2">
      <c r="A264" s="1293">
        <v>35550</v>
      </c>
      <c r="B264" s="1295"/>
      <c r="C264" s="1296"/>
      <c r="D264" s="1295"/>
    </row>
    <row r="265" spans="1:4" x14ac:dyDescent="0.2">
      <c r="A265" s="1293">
        <v>35581</v>
      </c>
      <c r="B265" s="1295"/>
      <c r="C265" s="1296"/>
      <c r="D265" s="1295"/>
    </row>
    <row r="266" spans="1:4" x14ac:dyDescent="0.2">
      <c r="A266" s="1293">
        <v>35611</v>
      </c>
      <c r="B266" s="1295"/>
      <c r="C266" s="1296"/>
      <c r="D266" s="1295"/>
    </row>
    <row r="267" spans="1:4" x14ac:dyDescent="0.2">
      <c r="A267" s="1293">
        <v>35642</v>
      </c>
      <c r="B267" s="1295"/>
      <c r="C267" s="1296"/>
      <c r="D267" s="1295"/>
    </row>
    <row r="268" spans="1:4" x14ac:dyDescent="0.2">
      <c r="A268" s="1293">
        <v>35673</v>
      </c>
      <c r="B268" s="1295"/>
      <c r="C268" s="1296"/>
      <c r="D268" s="1295"/>
    </row>
    <row r="269" spans="1:4" x14ac:dyDescent="0.2">
      <c r="A269" s="1293">
        <v>35703</v>
      </c>
      <c r="B269" s="1295"/>
      <c r="C269" s="1296"/>
      <c r="D269" s="1295"/>
    </row>
    <row r="270" spans="1:4" x14ac:dyDescent="0.2">
      <c r="A270" s="1293">
        <v>35734</v>
      </c>
      <c r="B270" s="1295"/>
      <c r="C270" s="1296"/>
      <c r="D270" s="1295"/>
    </row>
    <row r="271" spans="1:4" x14ac:dyDescent="0.2">
      <c r="A271" s="1293">
        <v>35764</v>
      </c>
      <c r="B271" s="1295"/>
      <c r="C271" s="1296"/>
      <c r="D271" s="1295"/>
    </row>
    <row r="272" spans="1:4" x14ac:dyDescent="0.2">
      <c r="A272" s="1293">
        <v>35795</v>
      </c>
      <c r="B272" s="1295"/>
      <c r="C272" s="1296"/>
      <c r="D272" s="1295"/>
    </row>
    <row r="273" spans="1:4" x14ac:dyDescent="0.2">
      <c r="A273" s="1293">
        <v>35826</v>
      </c>
      <c r="B273" s="1295"/>
      <c r="C273" s="1296"/>
      <c r="D273" s="1295"/>
    </row>
    <row r="274" spans="1:4" x14ac:dyDescent="0.2">
      <c r="A274" s="1293">
        <v>35854</v>
      </c>
      <c r="B274" s="1295"/>
      <c r="C274" s="1297"/>
      <c r="D274" s="1295"/>
    </row>
    <row r="275" spans="1:4" x14ac:dyDescent="0.2">
      <c r="A275" s="1293">
        <v>35885</v>
      </c>
      <c r="B275" s="1295"/>
      <c r="C275" s="1297"/>
      <c r="D275" s="1295"/>
    </row>
    <row r="276" spans="1:4" x14ac:dyDescent="0.2">
      <c r="A276" s="1293">
        <v>35915</v>
      </c>
      <c r="B276" s="1295"/>
      <c r="C276" s="1297"/>
      <c r="D276" s="1295"/>
    </row>
    <row r="277" spans="1:4" x14ac:dyDescent="0.2">
      <c r="A277" s="1293">
        <v>35946</v>
      </c>
      <c r="B277" s="1295"/>
      <c r="C277" s="1297"/>
      <c r="D277" s="1295"/>
    </row>
    <row r="278" spans="1:4" x14ac:dyDescent="0.2">
      <c r="A278" s="1293">
        <v>35976</v>
      </c>
      <c r="B278" s="1295"/>
      <c r="C278" s="1297"/>
      <c r="D278" s="1295"/>
    </row>
    <row r="279" spans="1:4" x14ac:dyDescent="0.2">
      <c r="A279" s="1293">
        <v>36007</v>
      </c>
      <c r="B279" s="1295"/>
      <c r="C279" s="1297"/>
      <c r="D279" s="1295"/>
    </row>
    <row r="280" spans="1:4" x14ac:dyDescent="0.2">
      <c r="A280" s="1293">
        <v>36038</v>
      </c>
      <c r="B280" s="1295"/>
      <c r="C280" s="1297"/>
      <c r="D280" s="1295"/>
    </row>
    <row r="281" spans="1:4" x14ac:dyDescent="0.2">
      <c r="A281" s="1293">
        <v>36068</v>
      </c>
      <c r="B281" s="1295"/>
      <c r="C281" s="1297"/>
      <c r="D281" s="1295"/>
    </row>
    <row r="282" spans="1:4" x14ac:dyDescent="0.2">
      <c r="A282" s="1293">
        <v>36099</v>
      </c>
      <c r="B282" s="1295"/>
      <c r="C282" s="1297"/>
      <c r="D282" s="1295"/>
    </row>
    <row r="283" spans="1:4" x14ac:dyDescent="0.2">
      <c r="A283" s="1293">
        <v>36129</v>
      </c>
      <c r="B283" s="1295"/>
      <c r="C283" s="1297"/>
      <c r="D283" s="1295"/>
    </row>
    <row r="284" spans="1:4" x14ac:dyDescent="0.2">
      <c r="A284" s="1293">
        <v>36160</v>
      </c>
      <c r="B284" s="1295"/>
      <c r="C284" s="1297"/>
      <c r="D284" s="1295"/>
    </row>
    <row r="285" spans="1:4" x14ac:dyDescent="0.2">
      <c r="A285" s="1293">
        <v>36191</v>
      </c>
      <c r="B285" s="1295"/>
      <c r="C285" s="1297"/>
      <c r="D285" s="1295"/>
    </row>
    <row r="286" spans="1:4" x14ac:dyDescent="0.2">
      <c r="A286" s="1293">
        <v>36219</v>
      </c>
      <c r="B286" s="1295"/>
      <c r="C286" s="1297"/>
      <c r="D286" s="1295"/>
    </row>
    <row r="287" spans="1:4" x14ac:dyDescent="0.2">
      <c r="A287" s="1293">
        <v>36250</v>
      </c>
      <c r="B287" s="1295"/>
      <c r="C287" s="1297"/>
      <c r="D287" s="1295"/>
    </row>
    <row r="288" spans="1:4" x14ac:dyDescent="0.2">
      <c r="A288" s="1293">
        <v>36280</v>
      </c>
      <c r="B288" s="1295"/>
      <c r="C288" s="1297"/>
      <c r="D288" s="1295"/>
    </row>
    <row r="289" spans="1:4" x14ac:dyDescent="0.2">
      <c r="A289" s="1293">
        <v>36311</v>
      </c>
      <c r="B289" s="1295"/>
      <c r="C289" s="1297"/>
      <c r="D289" s="1295"/>
    </row>
    <row r="290" spans="1:4" x14ac:dyDescent="0.2">
      <c r="A290" s="1293">
        <v>36341</v>
      </c>
      <c r="B290" s="1295"/>
      <c r="C290" s="1297"/>
      <c r="D290" s="1295"/>
    </row>
    <row r="291" spans="1:4" x14ac:dyDescent="0.2">
      <c r="A291" s="1293">
        <v>36372</v>
      </c>
      <c r="B291" s="1295"/>
      <c r="C291" s="1297"/>
      <c r="D291" s="1295"/>
    </row>
    <row r="292" spans="1:4" x14ac:dyDescent="0.2">
      <c r="A292" s="1293">
        <v>36403</v>
      </c>
      <c r="B292" s="1295"/>
      <c r="C292" s="1297"/>
      <c r="D292" s="1295"/>
    </row>
    <row r="293" spans="1:4" x14ac:dyDescent="0.2">
      <c r="A293" s="1293">
        <v>36433</v>
      </c>
      <c r="B293" s="1295"/>
      <c r="C293" s="1297"/>
      <c r="D293" s="1295"/>
    </row>
    <row r="294" spans="1:4" x14ac:dyDescent="0.2">
      <c r="A294" s="1293">
        <v>36464</v>
      </c>
      <c r="B294" s="1295"/>
      <c r="C294" s="1297"/>
      <c r="D294" s="1295"/>
    </row>
    <row r="295" spans="1:4" x14ac:dyDescent="0.2">
      <c r="A295" s="1293">
        <v>36494</v>
      </c>
      <c r="B295" s="1295"/>
      <c r="C295" s="1297"/>
      <c r="D295" s="1295"/>
    </row>
    <row r="296" spans="1:4" x14ac:dyDescent="0.2">
      <c r="A296" s="1293">
        <v>36525</v>
      </c>
      <c r="B296" s="1295"/>
      <c r="C296" s="1297"/>
      <c r="D296" s="1295"/>
    </row>
    <row r="297" spans="1:4" x14ac:dyDescent="0.2">
      <c r="A297" s="1293">
        <v>36556</v>
      </c>
      <c r="B297" s="1295"/>
      <c r="C297" s="1297"/>
      <c r="D297" s="1295"/>
    </row>
    <row r="298" spans="1:4" x14ac:dyDescent="0.2">
      <c r="A298" s="1293">
        <v>36585</v>
      </c>
      <c r="B298" s="1295"/>
      <c r="C298" s="1297"/>
      <c r="D298" s="1295"/>
    </row>
    <row r="299" spans="1:4" x14ac:dyDescent="0.2">
      <c r="A299" s="1293">
        <v>36616</v>
      </c>
      <c r="B299" s="1295"/>
      <c r="C299" s="1297"/>
      <c r="D299" s="1295"/>
    </row>
    <row r="300" spans="1:4" x14ac:dyDescent="0.2">
      <c r="A300" s="1293">
        <v>36646</v>
      </c>
      <c r="B300" s="1295"/>
      <c r="C300" s="1297"/>
      <c r="D300" s="1295"/>
    </row>
    <row r="301" spans="1:4" x14ac:dyDescent="0.2">
      <c r="A301" s="1293">
        <v>36677</v>
      </c>
      <c r="B301" s="1295"/>
      <c r="C301" s="1297"/>
      <c r="D301" s="1295"/>
    </row>
    <row r="302" spans="1:4" x14ac:dyDescent="0.2">
      <c r="A302" s="1293">
        <v>36707</v>
      </c>
      <c r="B302" s="1295"/>
      <c r="C302" s="1297"/>
      <c r="D302" s="1295"/>
    </row>
    <row r="303" spans="1:4" x14ac:dyDescent="0.2">
      <c r="A303" s="1293">
        <v>36738</v>
      </c>
      <c r="B303" s="1295"/>
      <c r="C303" s="1297"/>
      <c r="D303" s="1295"/>
    </row>
    <row r="304" spans="1:4" x14ac:dyDescent="0.2">
      <c r="A304" s="1293">
        <v>36769</v>
      </c>
      <c r="B304" s="1295"/>
      <c r="C304" s="1297"/>
      <c r="D304" s="1295"/>
    </row>
    <row r="305" spans="1:4" x14ac:dyDescent="0.2">
      <c r="A305" s="1293">
        <v>36799</v>
      </c>
      <c r="B305" s="1298"/>
      <c r="C305" s="1299"/>
      <c r="D305" s="1295"/>
    </row>
    <row r="306" spans="1:4" x14ac:dyDescent="0.2">
      <c r="A306" s="1293">
        <v>36830</v>
      </c>
      <c r="B306" s="1300"/>
      <c r="C306" s="1299"/>
      <c r="D306" s="1300"/>
    </row>
    <row r="307" spans="1:4" x14ac:dyDescent="0.2">
      <c r="A307" s="1293">
        <v>36860</v>
      </c>
      <c r="B307" s="1300"/>
      <c r="C307" s="1299"/>
      <c r="D307" s="1300"/>
    </row>
    <row r="308" spans="1:4" x14ac:dyDescent="0.2">
      <c r="A308" s="1293">
        <v>36891</v>
      </c>
      <c r="B308" s="1300"/>
      <c r="C308" s="1299"/>
      <c r="D308" s="1300"/>
    </row>
    <row r="309" spans="1:4" x14ac:dyDescent="0.2">
      <c r="A309" s="1293">
        <v>36922</v>
      </c>
      <c r="B309" s="1300"/>
      <c r="C309" s="1299"/>
      <c r="D309" s="1300"/>
    </row>
    <row r="310" spans="1:4" x14ac:dyDescent="0.2">
      <c r="A310" s="1293">
        <v>36950</v>
      </c>
      <c r="B310" s="1300"/>
      <c r="C310" s="1299"/>
      <c r="D310" s="1300"/>
    </row>
    <row r="311" spans="1:4" x14ac:dyDescent="0.2">
      <c r="A311" s="1293">
        <v>36981</v>
      </c>
      <c r="B311" s="1300"/>
      <c r="C311" s="1299"/>
      <c r="D311" s="1300"/>
    </row>
    <row r="312" spans="1:4" x14ac:dyDescent="0.2">
      <c r="A312" s="1293">
        <v>37011</v>
      </c>
      <c r="B312" s="1300"/>
      <c r="C312" s="1299"/>
      <c r="D312" s="1300"/>
    </row>
    <row r="313" spans="1:4" x14ac:dyDescent="0.2">
      <c r="A313" s="1293">
        <v>37042</v>
      </c>
      <c r="B313" s="1300"/>
      <c r="C313" s="1299"/>
      <c r="D313" s="1300"/>
    </row>
    <row r="314" spans="1:4" x14ac:dyDescent="0.2">
      <c r="A314" s="1293">
        <v>37072</v>
      </c>
      <c r="B314" s="1300"/>
      <c r="C314" s="1299"/>
      <c r="D314" s="1300"/>
    </row>
    <row r="315" spans="1:4" x14ac:dyDescent="0.2">
      <c r="A315" s="1293">
        <v>37103</v>
      </c>
      <c r="B315" s="1300"/>
      <c r="C315" s="1299"/>
      <c r="D315" s="1300"/>
    </row>
    <row r="316" spans="1:4" x14ac:dyDescent="0.2">
      <c r="A316" s="1293">
        <v>37134</v>
      </c>
      <c r="B316" s="1300"/>
      <c r="C316" s="1299"/>
      <c r="D316" s="1300"/>
    </row>
    <row r="317" spans="1:4" x14ac:dyDescent="0.2">
      <c r="A317" s="1293">
        <v>37164</v>
      </c>
      <c r="B317" s="1300"/>
      <c r="C317" s="1299"/>
      <c r="D317" s="1300"/>
    </row>
    <row r="318" spans="1:4" x14ac:dyDescent="0.2">
      <c r="A318" s="1293">
        <v>37195</v>
      </c>
      <c r="B318" s="1300"/>
      <c r="C318" s="1299"/>
      <c r="D318" s="1300"/>
    </row>
    <row r="319" spans="1:4" x14ac:dyDescent="0.2">
      <c r="A319" s="1293">
        <v>37225</v>
      </c>
      <c r="B319" s="1300"/>
      <c r="C319" s="1299"/>
      <c r="D319" s="1300"/>
    </row>
    <row r="320" spans="1:4" x14ac:dyDescent="0.2">
      <c r="A320" s="1293">
        <v>37256</v>
      </c>
      <c r="B320" s="1300"/>
      <c r="C320" s="1299"/>
      <c r="D320" s="1300"/>
    </row>
    <row r="321" spans="1:4" x14ac:dyDescent="0.2">
      <c r="A321" s="1293">
        <v>37287</v>
      </c>
      <c r="B321" s="1300"/>
      <c r="C321" s="1299"/>
      <c r="D321" s="1300"/>
    </row>
    <row r="322" spans="1:4" x14ac:dyDescent="0.2">
      <c r="A322" s="1293">
        <v>37315</v>
      </c>
      <c r="B322" s="1300"/>
      <c r="C322" s="1299"/>
      <c r="D322" s="1300"/>
    </row>
    <row r="323" spans="1:4" x14ac:dyDescent="0.2">
      <c r="A323" s="1293">
        <v>37346</v>
      </c>
      <c r="B323" s="1300"/>
      <c r="C323" s="1299"/>
      <c r="D323" s="1300"/>
    </row>
    <row r="324" spans="1:4" x14ac:dyDescent="0.2">
      <c r="A324" s="1293">
        <v>37376</v>
      </c>
      <c r="B324" s="1300"/>
      <c r="C324" s="1299"/>
      <c r="D324" s="1300"/>
    </row>
    <row r="325" spans="1:4" x14ac:dyDescent="0.2">
      <c r="A325" s="1293">
        <v>37407</v>
      </c>
      <c r="B325" s="1300"/>
      <c r="C325" s="1299"/>
      <c r="D325" s="1300"/>
    </row>
    <row r="326" spans="1:4" x14ac:dyDescent="0.2">
      <c r="A326" s="1293">
        <v>37437</v>
      </c>
      <c r="B326" s="1300"/>
      <c r="C326" s="1299"/>
      <c r="D326" s="1300"/>
    </row>
    <row r="327" spans="1:4" x14ac:dyDescent="0.2">
      <c r="A327" s="1293">
        <v>37468</v>
      </c>
      <c r="B327" s="1300"/>
      <c r="C327" s="1299"/>
      <c r="D327" s="1300"/>
    </row>
    <row r="328" spans="1:4" x14ac:dyDescent="0.2">
      <c r="A328" s="1293">
        <v>37499</v>
      </c>
      <c r="B328" s="1300"/>
      <c r="C328" s="1299"/>
      <c r="D328" s="1300"/>
    </row>
    <row r="329" spans="1:4" x14ac:dyDescent="0.2">
      <c r="A329" s="1293">
        <v>37529</v>
      </c>
      <c r="B329" s="1300"/>
      <c r="C329" s="1299"/>
      <c r="D329" s="1300"/>
    </row>
    <row r="330" spans="1:4" x14ac:dyDescent="0.2">
      <c r="A330" s="1293">
        <v>37560</v>
      </c>
      <c r="B330" s="1300"/>
      <c r="C330" s="1299"/>
      <c r="D330" s="1300"/>
    </row>
    <row r="331" spans="1:4" x14ac:dyDescent="0.2">
      <c r="A331" s="1293">
        <v>37590</v>
      </c>
      <c r="B331" s="1300"/>
      <c r="C331" s="1299"/>
      <c r="D331" s="1300"/>
    </row>
    <row r="332" spans="1:4" x14ac:dyDescent="0.2">
      <c r="A332" s="1293">
        <v>37621</v>
      </c>
      <c r="B332" s="1300"/>
      <c r="C332" s="1299"/>
      <c r="D332" s="1300"/>
    </row>
    <row r="333" spans="1:4" x14ac:dyDescent="0.2">
      <c r="A333" s="1293">
        <v>37652</v>
      </c>
      <c r="B333" s="1300"/>
      <c r="C333" s="1299"/>
      <c r="D333" s="1300"/>
    </row>
    <row r="334" spans="1:4" x14ac:dyDescent="0.2">
      <c r="A334" s="1293">
        <v>37680</v>
      </c>
      <c r="B334" s="1300"/>
      <c r="C334" s="1299"/>
      <c r="D334" s="1300"/>
    </row>
    <row r="335" spans="1:4" x14ac:dyDescent="0.2">
      <c r="A335" s="1293">
        <v>37711</v>
      </c>
      <c r="B335" s="1300"/>
      <c r="C335" s="1299"/>
      <c r="D335" s="1300"/>
    </row>
    <row r="336" spans="1:4" x14ac:dyDescent="0.2">
      <c r="A336" s="1293">
        <v>37741</v>
      </c>
      <c r="B336" s="1300"/>
      <c r="C336" s="1299"/>
      <c r="D336" s="1300"/>
    </row>
    <row r="337" spans="1:4" x14ac:dyDescent="0.2">
      <c r="A337" s="1293">
        <v>37772</v>
      </c>
      <c r="B337" s="1300"/>
      <c r="C337" s="1299"/>
      <c r="D337" s="1300"/>
    </row>
    <row r="338" spans="1:4" x14ac:dyDescent="0.2">
      <c r="A338" s="1293">
        <v>37802</v>
      </c>
      <c r="B338" s="1300"/>
      <c r="C338" s="1299"/>
      <c r="D338" s="1300"/>
    </row>
    <row r="339" spans="1:4" x14ac:dyDescent="0.2">
      <c r="A339" s="1293">
        <v>37833</v>
      </c>
      <c r="B339" s="1300"/>
      <c r="C339" s="1299"/>
      <c r="D339" s="1300"/>
    </row>
    <row r="340" spans="1:4" x14ac:dyDescent="0.2">
      <c r="A340" s="1293">
        <v>37864</v>
      </c>
      <c r="B340" s="1300"/>
      <c r="C340" s="1299"/>
      <c r="D340" s="1300"/>
    </row>
    <row r="341" spans="1:4" x14ac:dyDescent="0.2">
      <c r="A341" s="1293">
        <v>37894</v>
      </c>
      <c r="B341" s="1300"/>
      <c r="C341" s="1302"/>
      <c r="D341" s="1300"/>
    </row>
    <row r="342" spans="1:4" x14ac:dyDescent="0.2">
      <c r="A342" s="1293">
        <v>37925</v>
      </c>
      <c r="B342" s="1300"/>
      <c r="C342" s="1302"/>
      <c r="D342" s="1300"/>
    </row>
    <row r="343" spans="1:4" x14ac:dyDescent="0.2">
      <c r="A343" s="1293">
        <v>37955</v>
      </c>
      <c r="B343" s="1300"/>
      <c r="C343" s="1302"/>
      <c r="D343" s="1300"/>
    </row>
    <row r="344" spans="1:4" x14ac:dyDescent="0.2">
      <c r="A344" s="1293">
        <v>37986</v>
      </c>
      <c r="B344" s="1300"/>
      <c r="C344" s="1302"/>
      <c r="D344" s="1300"/>
    </row>
    <row r="345" spans="1:4" x14ac:dyDescent="0.2">
      <c r="A345" s="1293">
        <v>38017</v>
      </c>
      <c r="B345" s="1300"/>
      <c r="C345" s="1302"/>
      <c r="D345" s="1300"/>
    </row>
    <row r="346" spans="1:4" x14ac:dyDescent="0.2">
      <c r="A346" s="1293">
        <v>38046</v>
      </c>
      <c r="B346" s="1300"/>
      <c r="C346" s="1302"/>
      <c r="D346" s="1300"/>
    </row>
    <row r="347" spans="1:4" x14ac:dyDescent="0.2">
      <c r="A347" s="1293">
        <v>38077</v>
      </c>
      <c r="B347" s="1300"/>
      <c r="C347" s="1302"/>
      <c r="D347" s="1303"/>
    </row>
    <row r="348" spans="1:4" x14ac:dyDescent="0.2">
      <c r="A348" s="1293">
        <v>38107</v>
      </c>
      <c r="B348" s="1300"/>
      <c r="C348" s="1302"/>
      <c r="D348" s="1300"/>
    </row>
    <row r="349" spans="1:4" x14ac:dyDescent="0.2">
      <c r="A349" s="1293">
        <v>38138</v>
      </c>
      <c r="B349" s="1300"/>
      <c r="C349" s="1302"/>
      <c r="D349" s="1300"/>
    </row>
    <row r="350" spans="1:4" x14ac:dyDescent="0.2">
      <c r="A350" s="1293">
        <v>38168</v>
      </c>
      <c r="B350" s="1300"/>
      <c r="C350" s="1302"/>
      <c r="D350" s="1300"/>
    </row>
    <row r="351" spans="1:4" x14ac:dyDescent="0.2">
      <c r="A351" s="1293">
        <v>38199</v>
      </c>
      <c r="B351" s="1300"/>
      <c r="C351" s="1302"/>
      <c r="D351" s="1300"/>
    </row>
    <row r="352" spans="1:4" x14ac:dyDescent="0.2">
      <c r="A352" s="1293">
        <v>38230</v>
      </c>
      <c r="B352" s="1300"/>
      <c r="C352" s="1302"/>
      <c r="D352" s="1300"/>
    </row>
    <row r="353" spans="1:4" x14ac:dyDescent="0.2">
      <c r="A353" s="1293">
        <v>38260</v>
      </c>
      <c r="B353" s="1300"/>
      <c r="C353" s="1302"/>
      <c r="D353" s="1300"/>
    </row>
    <row r="354" spans="1:4" x14ac:dyDescent="0.2">
      <c r="A354" s="1293">
        <v>38291</v>
      </c>
      <c r="B354" s="1300"/>
      <c r="C354" s="1302"/>
      <c r="D354" s="1300"/>
    </row>
    <row r="355" spans="1:4" x14ac:dyDescent="0.2">
      <c r="A355" s="1293">
        <v>38321</v>
      </c>
      <c r="B355" s="1300"/>
      <c r="C355" s="1302"/>
      <c r="D355" s="1300"/>
    </row>
    <row r="356" spans="1:4" x14ac:dyDescent="0.2">
      <c r="A356" s="1293">
        <v>38352</v>
      </c>
      <c r="B356" s="1300"/>
      <c r="C356" s="1304"/>
      <c r="D356" s="1300"/>
    </row>
    <row r="357" spans="1:4" x14ac:dyDescent="0.2">
      <c r="A357" s="1293">
        <v>38383</v>
      </c>
      <c r="B357" s="1300"/>
      <c r="C357" s="1302"/>
      <c r="D357" s="1300"/>
    </row>
    <row r="358" spans="1:4" x14ac:dyDescent="0.2">
      <c r="A358" s="1293">
        <v>38411</v>
      </c>
      <c r="B358" s="1300"/>
      <c r="C358" s="1302"/>
      <c r="D358" s="1300"/>
    </row>
    <row r="359" spans="1:4" x14ac:dyDescent="0.2">
      <c r="A359" s="1293">
        <v>38442</v>
      </c>
      <c r="B359" s="1300"/>
      <c r="C359" s="1304"/>
      <c r="D359" s="1300"/>
    </row>
    <row r="360" spans="1:4" x14ac:dyDescent="0.2">
      <c r="A360" s="1293">
        <v>38472</v>
      </c>
      <c r="B360" s="1300"/>
      <c r="C360" s="1304"/>
      <c r="D360" s="1300"/>
    </row>
    <row r="361" spans="1:4" x14ac:dyDescent="0.2">
      <c r="A361" s="1293">
        <v>38503</v>
      </c>
      <c r="B361" s="1300"/>
      <c r="C361" s="1304"/>
      <c r="D361" s="1300"/>
    </row>
    <row r="362" spans="1:4" x14ac:dyDescent="0.2">
      <c r="A362" s="1293">
        <v>38533</v>
      </c>
      <c r="B362" s="1300"/>
      <c r="C362" s="1304"/>
      <c r="D362" s="1300"/>
    </row>
    <row r="363" spans="1:4" x14ac:dyDescent="0.2">
      <c r="A363" s="1293">
        <v>38564</v>
      </c>
      <c r="B363" s="1300"/>
      <c r="C363" s="1304"/>
      <c r="D363" s="1300"/>
    </row>
    <row r="364" spans="1:4" x14ac:dyDescent="0.2">
      <c r="A364" s="1293">
        <v>38595</v>
      </c>
      <c r="B364" s="1300"/>
      <c r="C364" s="1304"/>
      <c r="D364" s="1300"/>
    </row>
    <row r="365" spans="1:4" x14ac:dyDescent="0.2">
      <c r="A365" s="1293">
        <v>38625</v>
      </c>
      <c r="B365" s="1300"/>
      <c r="C365" s="1304"/>
      <c r="D365" s="1300"/>
    </row>
    <row r="366" spans="1:4" x14ac:dyDescent="0.2">
      <c r="A366" s="1293">
        <v>38656</v>
      </c>
      <c r="B366" s="1300"/>
      <c r="C366" s="1304"/>
      <c r="D366" s="1300"/>
    </row>
    <row r="367" spans="1:4" x14ac:dyDescent="0.2">
      <c r="A367" s="1293">
        <v>38686</v>
      </c>
      <c r="B367" s="1300"/>
      <c r="C367" s="1304"/>
      <c r="D367" s="1300"/>
    </row>
    <row r="368" spans="1:4" x14ac:dyDescent="0.2">
      <c r="A368" s="1293">
        <v>38717</v>
      </c>
      <c r="B368" s="1300"/>
      <c r="C368" s="1304"/>
      <c r="D368" s="1300"/>
    </row>
    <row r="369" spans="1:6" x14ac:dyDescent="0.2">
      <c r="A369" s="1293">
        <v>38748</v>
      </c>
      <c r="B369" s="1300"/>
      <c r="C369" s="1304"/>
      <c r="D369" s="1300"/>
    </row>
    <row r="370" spans="1:6" x14ac:dyDescent="0.2">
      <c r="A370" s="1293">
        <v>38776</v>
      </c>
      <c r="B370" s="1300"/>
      <c r="C370" s="1304"/>
      <c r="D370" s="1300"/>
    </row>
    <row r="371" spans="1:6" x14ac:dyDescent="0.2">
      <c r="A371" s="1293">
        <v>38807</v>
      </c>
      <c r="B371" s="1300"/>
      <c r="C371" s="1299"/>
      <c r="D371" s="1300"/>
    </row>
    <row r="372" spans="1:6" x14ac:dyDescent="0.2">
      <c r="A372" s="1293">
        <v>38837</v>
      </c>
      <c r="B372" s="1300"/>
      <c r="C372" s="1299"/>
      <c r="D372" s="1300"/>
    </row>
    <row r="373" spans="1:6" x14ac:dyDescent="0.2">
      <c r="A373" s="1293">
        <v>38868</v>
      </c>
      <c r="B373" s="1300"/>
      <c r="C373" s="1299"/>
      <c r="D373" s="1300"/>
    </row>
    <row r="374" spans="1:6" x14ac:dyDescent="0.2">
      <c r="A374" s="1293">
        <v>38898</v>
      </c>
      <c r="B374" s="1372"/>
      <c r="C374" s="1387"/>
      <c r="D374" s="1300"/>
    </row>
    <row r="375" spans="1:6" x14ac:dyDescent="0.2">
      <c r="A375" s="1293">
        <v>38929</v>
      </c>
      <c r="B375" s="1300"/>
      <c r="C375" s="1302"/>
      <c r="D375" s="1300"/>
    </row>
    <row r="376" spans="1:6" x14ac:dyDescent="0.2">
      <c r="A376" s="1293">
        <v>38960</v>
      </c>
      <c r="B376" s="1300"/>
      <c r="C376" s="1302"/>
      <c r="D376" s="1300"/>
    </row>
    <row r="377" spans="1:6" x14ac:dyDescent="0.2">
      <c r="A377" s="1293">
        <v>38990</v>
      </c>
      <c r="B377" s="1300"/>
      <c r="C377" s="1302"/>
      <c r="D377" s="1300"/>
    </row>
    <row r="378" spans="1:6" x14ac:dyDescent="0.2">
      <c r="A378" s="1293">
        <v>39021</v>
      </c>
      <c r="B378" s="1300"/>
      <c r="C378" s="1302"/>
      <c r="D378" s="1300"/>
      <c r="F378" s="1305"/>
    </row>
    <row r="379" spans="1:6" x14ac:dyDescent="0.2">
      <c r="A379" s="1293">
        <v>39051</v>
      </c>
      <c r="B379" s="1300"/>
      <c r="C379" s="1302"/>
      <c r="D379" s="1300"/>
      <c r="F379" s="1305"/>
    </row>
    <row r="380" spans="1:6" x14ac:dyDescent="0.2">
      <c r="A380" s="1293">
        <v>39082</v>
      </c>
      <c r="B380" s="1300"/>
      <c r="C380" s="1302"/>
      <c r="D380" s="1300"/>
      <c r="F380" s="1305"/>
    </row>
    <row r="381" spans="1:6" x14ac:dyDescent="0.2">
      <c r="A381" s="1293">
        <v>39113</v>
      </c>
      <c r="B381" s="1300"/>
      <c r="F381" s="1305"/>
    </row>
    <row r="382" spans="1:6" x14ac:dyDescent="0.2">
      <c r="A382" s="1293">
        <v>39141</v>
      </c>
      <c r="B382" s="1300"/>
      <c r="F382" s="1305"/>
    </row>
    <row r="383" spans="1:6" x14ac:dyDescent="0.2">
      <c r="A383" s="1293">
        <v>39172</v>
      </c>
      <c r="B383" s="1300"/>
    </row>
    <row r="384" spans="1:6" x14ac:dyDescent="0.2">
      <c r="A384" s="1293">
        <v>39202</v>
      </c>
      <c r="B384" s="1300"/>
    </row>
    <row r="385" spans="1:3" x14ac:dyDescent="0.2">
      <c r="A385" s="1293">
        <v>39233</v>
      </c>
      <c r="B385" s="1300"/>
    </row>
    <row r="386" spans="1:3" x14ac:dyDescent="0.2">
      <c r="A386" s="1293">
        <v>39263</v>
      </c>
      <c r="B386" s="1300"/>
    </row>
    <row r="387" spans="1:3" x14ac:dyDescent="0.2">
      <c r="A387" s="1293">
        <v>39294</v>
      </c>
      <c r="B387" s="1300"/>
    </row>
    <row r="388" spans="1:3" x14ac:dyDescent="0.2">
      <c r="A388" s="1293">
        <v>39325</v>
      </c>
      <c r="B388" s="1300"/>
    </row>
    <row r="389" spans="1:3" x14ac:dyDescent="0.2">
      <c r="A389" s="1293">
        <v>39355</v>
      </c>
      <c r="B389" s="1300"/>
    </row>
    <row r="390" spans="1:3" x14ac:dyDescent="0.2">
      <c r="A390" s="1293">
        <v>39386</v>
      </c>
      <c r="B390" s="1300"/>
    </row>
    <row r="391" spans="1:3" x14ac:dyDescent="0.2">
      <c r="A391" s="1293">
        <v>39416</v>
      </c>
      <c r="B391" s="1300"/>
    </row>
    <row r="392" spans="1:3" x14ac:dyDescent="0.2">
      <c r="A392" s="1293">
        <v>39447</v>
      </c>
      <c r="B392" s="1300"/>
    </row>
    <row r="393" spans="1:3" x14ac:dyDescent="0.2">
      <c r="A393" s="1293">
        <v>39478</v>
      </c>
      <c r="B393" s="1300"/>
    </row>
    <row r="394" spans="1:3" x14ac:dyDescent="0.2">
      <c r="A394" s="1293">
        <v>39507</v>
      </c>
      <c r="B394" s="1300"/>
    </row>
    <row r="395" spans="1:3" x14ac:dyDescent="0.2">
      <c r="A395" s="1293">
        <v>39538</v>
      </c>
      <c r="B395" s="1300"/>
    </row>
    <row r="396" spans="1:3" x14ac:dyDescent="0.2">
      <c r="A396" s="1293">
        <v>39568</v>
      </c>
      <c r="B396" s="1300"/>
    </row>
    <row r="397" spans="1:3" x14ac:dyDescent="0.2">
      <c r="A397" s="1293">
        <v>39599</v>
      </c>
      <c r="B397" s="1300"/>
    </row>
    <row r="398" spans="1:3" x14ac:dyDescent="0.2">
      <c r="A398" s="1293">
        <v>39629</v>
      </c>
      <c r="B398" s="1300"/>
    </row>
    <row r="399" spans="1:3" x14ac:dyDescent="0.2">
      <c r="A399" s="1293">
        <v>39660</v>
      </c>
      <c r="B399" s="1300"/>
      <c r="C399" s="1299"/>
    </row>
    <row r="400" spans="1:3" x14ac:dyDescent="0.2">
      <c r="A400" s="1293">
        <v>39691</v>
      </c>
      <c r="B400" s="1300"/>
      <c r="C400" s="1299"/>
    </row>
    <row r="401" spans="1:7" x14ac:dyDescent="0.2">
      <c r="A401" s="1293">
        <v>39721</v>
      </c>
      <c r="B401" s="1300"/>
      <c r="C401" s="1299"/>
    </row>
    <row r="402" spans="1:7" x14ac:dyDescent="0.2">
      <c r="A402" s="1293">
        <v>39752</v>
      </c>
      <c r="B402" s="1300"/>
    </row>
    <row r="403" spans="1:7" x14ac:dyDescent="0.2">
      <c r="A403" s="1293">
        <v>39782</v>
      </c>
      <c r="B403" s="1300"/>
      <c r="G403" s="1301"/>
    </row>
    <row r="404" spans="1:7" x14ac:dyDescent="0.2">
      <c r="A404" s="1293">
        <v>39813</v>
      </c>
      <c r="B404" s="1300"/>
    </row>
    <row r="405" spans="1:7" x14ac:dyDescent="0.2">
      <c r="A405" s="1293">
        <v>39844</v>
      </c>
      <c r="B405" s="1300"/>
    </row>
    <row r="406" spans="1:7" x14ac:dyDescent="0.2">
      <c r="A406" s="1293">
        <v>39872</v>
      </c>
      <c r="B406" s="1300"/>
    </row>
    <row r="407" spans="1:7" x14ac:dyDescent="0.2">
      <c r="A407" s="1293">
        <v>39903</v>
      </c>
      <c r="B407" s="1300"/>
    </row>
    <row r="408" spans="1:7" x14ac:dyDescent="0.2">
      <c r="A408" s="1293">
        <v>39933</v>
      </c>
      <c r="B408" s="1300"/>
    </row>
    <row r="409" spans="1:7" x14ac:dyDescent="0.2">
      <c r="A409" s="1293">
        <v>39964</v>
      </c>
      <c r="B409" s="1300"/>
    </row>
    <row r="410" spans="1:7" x14ac:dyDescent="0.2">
      <c r="A410" s="1293">
        <v>39994</v>
      </c>
      <c r="B410" s="1300"/>
    </row>
    <row r="411" spans="1:7" x14ac:dyDescent="0.2">
      <c r="A411" s="1293">
        <v>40025</v>
      </c>
      <c r="B411" s="1300"/>
    </row>
    <row r="412" spans="1:7" x14ac:dyDescent="0.2">
      <c r="A412" s="1293">
        <v>40056</v>
      </c>
      <c r="B412" s="1300"/>
    </row>
    <row r="413" spans="1:7" x14ac:dyDescent="0.2">
      <c r="A413" s="1293">
        <v>40086</v>
      </c>
      <c r="B413" s="1300"/>
    </row>
    <row r="414" spans="1:7" x14ac:dyDescent="0.2">
      <c r="A414" s="1293">
        <v>40117</v>
      </c>
      <c r="B414" s="1300"/>
    </row>
    <row r="415" spans="1:7" x14ac:dyDescent="0.2">
      <c r="A415" s="1293">
        <v>40147</v>
      </c>
      <c r="B415" s="1300"/>
    </row>
    <row r="416" spans="1:7" x14ac:dyDescent="0.2">
      <c r="A416" s="1293">
        <v>40178</v>
      </c>
      <c r="B416" s="1300"/>
    </row>
    <row r="417" spans="1:5" x14ac:dyDescent="0.2">
      <c r="A417" s="1293">
        <v>40209</v>
      </c>
      <c r="B417" s="1300"/>
    </row>
    <row r="418" spans="1:5" x14ac:dyDescent="0.2">
      <c r="A418" s="1293">
        <v>40237</v>
      </c>
      <c r="B418" s="1300"/>
    </row>
    <row r="419" spans="1:5" x14ac:dyDescent="0.2">
      <c r="A419" s="1293">
        <v>40268</v>
      </c>
      <c r="B419" s="1300"/>
      <c r="C419" s="1334"/>
      <c r="D419" s="1311"/>
    </row>
    <row r="420" spans="1:5" x14ac:dyDescent="0.2">
      <c r="A420" s="1293">
        <v>40298</v>
      </c>
      <c r="B420" s="1300"/>
    </row>
    <row r="421" spans="1:5" x14ac:dyDescent="0.2">
      <c r="A421" s="1293">
        <v>40329</v>
      </c>
      <c r="B421" s="1300"/>
    </row>
    <row r="422" spans="1:5" x14ac:dyDescent="0.2">
      <c r="A422" s="1293">
        <v>40359</v>
      </c>
      <c r="B422" s="1300"/>
    </row>
    <row r="423" spans="1:5" x14ac:dyDescent="0.2">
      <c r="A423" s="1293">
        <v>40390</v>
      </c>
      <c r="B423" s="1300"/>
    </row>
    <row r="424" spans="1:5" x14ac:dyDescent="0.2">
      <c r="A424" s="1293">
        <v>40421</v>
      </c>
      <c r="B424" s="1300"/>
    </row>
    <row r="425" spans="1:5" x14ac:dyDescent="0.2">
      <c r="A425" s="1293">
        <v>40451</v>
      </c>
      <c r="B425" s="1300"/>
    </row>
    <row r="426" spans="1:5" x14ac:dyDescent="0.2">
      <c r="A426" s="1293">
        <v>40482</v>
      </c>
      <c r="B426" s="1300"/>
    </row>
    <row r="427" spans="1:5" x14ac:dyDescent="0.2">
      <c r="A427" s="1293">
        <v>40512</v>
      </c>
      <c r="B427" s="1300"/>
    </row>
    <row r="428" spans="1:5" x14ac:dyDescent="0.2">
      <c r="A428" s="1293">
        <v>40543</v>
      </c>
      <c r="B428" s="1300"/>
    </row>
    <row r="429" spans="1:5" x14ac:dyDescent="0.2">
      <c r="A429" s="1293">
        <v>40574</v>
      </c>
      <c r="B429" s="1300"/>
    </row>
    <row r="430" spans="1:5" x14ac:dyDescent="0.2">
      <c r="A430" s="1293">
        <v>40602</v>
      </c>
      <c r="B430" s="1300"/>
    </row>
    <row r="431" spans="1:5" x14ac:dyDescent="0.2">
      <c r="A431" s="1293">
        <v>40633</v>
      </c>
      <c r="B431" s="1300">
        <f>D431</f>
        <v>-0.36398999999999998</v>
      </c>
      <c r="C431" s="1307">
        <v>400945237.43000001</v>
      </c>
      <c r="D431" s="1306">
        <v>-0.36398999999999998</v>
      </c>
      <c r="E431" s="1301">
        <f>B431-Index_Returns!AA431</f>
        <v>1.83192</v>
      </c>
    </row>
    <row r="432" spans="1:5" x14ac:dyDescent="0.2">
      <c r="A432" s="1293">
        <v>40663</v>
      </c>
      <c r="B432" s="1300">
        <f t="shared" ref="B432:B469" si="0">D432</f>
        <v>6.6198100000000002</v>
      </c>
      <c r="C432" s="1307">
        <v>427516692.89999998</v>
      </c>
      <c r="D432" s="1306">
        <v>6.6198100000000002</v>
      </c>
      <c r="E432" s="1301">
        <f>B432-Index_Returns!AA432</f>
        <v>0.54348000000000063</v>
      </c>
    </row>
    <row r="433" spans="1:5" x14ac:dyDescent="0.2">
      <c r="A433" s="1293">
        <v>40694</v>
      </c>
      <c r="B433" s="1300">
        <f t="shared" si="0"/>
        <v>-1.46461</v>
      </c>
      <c r="C433" s="1307">
        <v>421572788.97000003</v>
      </c>
      <c r="D433" s="1306">
        <v>-1.46461</v>
      </c>
      <c r="E433" s="1301">
        <f>B433-Index_Returns!AA433</f>
        <v>1.3416899999999998</v>
      </c>
    </row>
    <row r="434" spans="1:5" x14ac:dyDescent="0.2">
      <c r="A434" s="1293">
        <v>40724</v>
      </c>
      <c r="B434" s="1300">
        <f t="shared" si="0"/>
        <v>-1.8684499999999999</v>
      </c>
      <c r="C434" s="1307">
        <v>413668088.38</v>
      </c>
      <c r="D434" s="1306">
        <v>-1.8684499999999999</v>
      </c>
      <c r="E434" s="1301">
        <f>B434-Index_Returns!AA434</f>
        <v>-0.64088999999999996</v>
      </c>
    </row>
    <row r="435" spans="1:5" x14ac:dyDescent="0.2">
      <c r="A435" s="1293">
        <v>40755</v>
      </c>
      <c r="B435" s="1300">
        <f t="shared" si="0"/>
        <v>0.16067000000000001</v>
      </c>
      <c r="C435" s="1307">
        <v>414320183.48000002</v>
      </c>
      <c r="D435" s="1306">
        <v>0.16067000000000001</v>
      </c>
      <c r="E435" s="1301">
        <f>B435-Index_Returns!AA435</f>
        <v>1.7335100000000001</v>
      </c>
    </row>
    <row r="436" spans="1:5" x14ac:dyDescent="0.2">
      <c r="A436" s="1293">
        <v>40786</v>
      </c>
      <c r="B436" s="1300">
        <f t="shared" si="0"/>
        <v>-6.6396600000000001</v>
      </c>
      <c r="C436" s="1307">
        <v>387505336.38999999</v>
      </c>
      <c r="D436" s="1306">
        <v>-6.6396600000000001</v>
      </c>
      <c r="E436" s="1301">
        <f>B436-Index_Returns!AA436</f>
        <v>2.3780200000000002</v>
      </c>
    </row>
    <row r="437" spans="1:5" x14ac:dyDescent="0.2">
      <c r="A437" s="1293">
        <v>40816</v>
      </c>
      <c r="B437" s="1300">
        <f t="shared" si="0"/>
        <v>-8.8450600000000001</v>
      </c>
      <c r="C437" s="1307">
        <v>353091666.50999999</v>
      </c>
      <c r="D437" s="1306">
        <v>-8.8450600000000001</v>
      </c>
      <c r="E437" s="1301">
        <f>B437-Index_Returns!AA437</f>
        <v>0.65161999999999942</v>
      </c>
    </row>
    <row r="438" spans="1:5" x14ac:dyDescent="0.2">
      <c r="A438" s="1293">
        <v>40847</v>
      </c>
      <c r="B438" s="1300">
        <f t="shared" si="0"/>
        <v>10.64903</v>
      </c>
      <c r="C438" s="1307">
        <v>391220981.06</v>
      </c>
      <c r="D438" s="1306">
        <v>10.64903</v>
      </c>
      <c r="E438" s="1301">
        <f>B438-Index_Returns!AA438</f>
        <v>1.0017300000000002</v>
      </c>
    </row>
    <row r="439" spans="1:5" x14ac:dyDescent="0.2">
      <c r="A439" s="1293">
        <v>40877</v>
      </c>
      <c r="B439" s="1300">
        <f t="shared" si="0"/>
        <v>-3.7392300000000001</v>
      </c>
      <c r="C439" s="1307">
        <v>376744412.72000003</v>
      </c>
      <c r="D439" s="1306">
        <v>-3.7392300000000001</v>
      </c>
      <c r="E439" s="1301">
        <f>B439-Index_Returns!AA439</f>
        <v>1.08582</v>
      </c>
    </row>
    <row r="440" spans="1:5" x14ac:dyDescent="0.2">
      <c r="A440" s="1293">
        <v>40908</v>
      </c>
      <c r="B440" s="1300">
        <f t="shared" si="0"/>
        <v>0.43633</v>
      </c>
      <c r="C440" s="1307">
        <v>378234900.56999999</v>
      </c>
      <c r="D440" s="1306">
        <v>0.43633</v>
      </c>
      <c r="E440" s="1301">
        <f>B440-Index_Returns!AA440</f>
        <v>1.37161</v>
      </c>
    </row>
    <row r="441" spans="1:5" x14ac:dyDescent="0.2">
      <c r="A441" s="345">
        <v>40939</v>
      </c>
      <c r="B441" s="1300">
        <f t="shared" si="0"/>
        <v>2.8093400000000002</v>
      </c>
      <c r="C441" s="1307">
        <v>388860817.31999999</v>
      </c>
      <c r="D441" s="1306">
        <v>2.8093400000000002</v>
      </c>
      <c r="E441" s="1301">
        <f>B441-Index_Returns!AA441</f>
        <v>-2.5437299999999996</v>
      </c>
    </row>
    <row r="442" spans="1:5" x14ac:dyDescent="0.2">
      <c r="A442" s="345">
        <v>40968</v>
      </c>
      <c r="B442" s="1300">
        <f t="shared" si="0"/>
        <v>4.3685700000000001</v>
      </c>
      <c r="C442" s="1307">
        <v>406377580.12</v>
      </c>
      <c r="D442" s="1306">
        <v>4.3685700000000001</v>
      </c>
      <c r="E442" s="1301">
        <f>B442-Index_Returns!AA442</f>
        <v>-1.4001099999999997</v>
      </c>
    </row>
    <row r="443" spans="1:5" x14ac:dyDescent="0.2">
      <c r="A443" s="345">
        <v>40999</v>
      </c>
      <c r="B443" s="1300">
        <f t="shared" si="0"/>
        <v>0.96653999999999995</v>
      </c>
      <c r="C443" s="1307">
        <v>410316120.47000003</v>
      </c>
      <c r="D443" s="1306">
        <v>0.96653999999999995</v>
      </c>
      <c r="E443" s="1301">
        <f>B443-Index_Returns!AA443</f>
        <v>1.37079</v>
      </c>
    </row>
    <row r="444" spans="1:5" x14ac:dyDescent="0.2">
      <c r="A444" s="345">
        <v>41029</v>
      </c>
      <c r="B444" s="1300">
        <f t="shared" si="0"/>
        <v>-0.38203999999999999</v>
      </c>
      <c r="C444" s="1307">
        <v>409297808.24000001</v>
      </c>
      <c r="D444" s="1306">
        <v>-0.38203999999999999</v>
      </c>
      <c r="E444" s="1301">
        <f>B444-Index_Returns!AA444</f>
        <v>1.4599300000000002</v>
      </c>
    </row>
    <row r="445" spans="1:5" x14ac:dyDescent="0.2">
      <c r="A445" s="345">
        <v>41060</v>
      </c>
      <c r="B445" s="1300">
        <f t="shared" si="0"/>
        <v>-10.29956</v>
      </c>
      <c r="C445" s="1307">
        <v>367141956.63999999</v>
      </c>
      <c r="D445" s="1306">
        <v>-10.29956</v>
      </c>
      <c r="E445" s="1301">
        <f>B445-Index_Returns!AA445</f>
        <v>1.0536200000000004</v>
      </c>
    </row>
    <row r="446" spans="1:5" x14ac:dyDescent="0.2">
      <c r="A446" s="345">
        <v>41090</v>
      </c>
      <c r="B446" s="1300">
        <f t="shared" si="0"/>
        <v>7.0591999999999997</v>
      </c>
      <c r="C446" s="1307">
        <v>393059252.02999997</v>
      </c>
      <c r="D446" s="1306">
        <v>7.0591999999999997</v>
      </c>
      <c r="E446" s="1301">
        <f>B446-Index_Returns!AA446</f>
        <v>9.5999999999998309E-3</v>
      </c>
    </row>
    <row r="447" spans="1:5" x14ac:dyDescent="0.2">
      <c r="A447" s="345">
        <v>41121</v>
      </c>
      <c r="B447" s="1300">
        <f t="shared" si="0"/>
        <v>2.2887499999999998</v>
      </c>
      <c r="C447" s="1307">
        <v>402008366.50999999</v>
      </c>
      <c r="D447" s="1306">
        <v>2.2887499999999998</v>
      </c>
      <c r="E447" s="1301">
        <f>B447-Index_Returns!AA447</f>
        <v>1.1424699999999999</v>
      </c>
    </row>
    <row r="448" spans="1:5" x14ac:dyDescent="0.2">
      <c r="A448" s="345">
        <v>41152</v>
      </c>
      <c r="B448" s="1300">
        <f t="shared" si="0"/>
        <v>1.37541</v>
      </c>
      <c r="C448" s="1307">
        <v>408292624.5</v>
      </c>
      <c r="D448" s="1306">
        <v>1.37541</v>
      </c>
      <c r="E448" s="1301">
        <f>B448-Index_Returns!AA448</f>
        <v>-1.3208600000000001</v>
      </c>
    </row>
    <row r="449" spans="1:5" x14ac:dyDescent="0.2">
      <c r="A449" s="345">
        <v>41182</v>
      </c>
      <c r="B449" s="1300">
        <f t="shared" si="0"/>
        <v>2.07125</v>
      </c>
      <c r="C449" s="1307">
        <v>416556449.35000002</v>
      </c>
      <c r="D449" s="1306">
        <v>2.07125</v>
      </c>
      <c r="E449" s="1301">
        <f>B449-Index_Returns!AA449</f>
        <v>-0.9221499999999998</v>
      </c>
    </row>
    <row r="450" spans="1:5" x14ac:dyDescent="0.2">
      <c r="A450" s="345">
        <v>41213</v>
      </c>
      <c r="B450" s="1300">
        <f t="shared" si="0"/>
        <v>-0.59960999999999998</v>
      </c>
      <c r="C450" s="1307">
        <v>414603779.05000001</v>
      </c>
      <c r="D450" s="1306">
        <v>-0.59960999999999998</v>
      </c>
      <c r="E450" s="1301">
        <f>B450-Index_Returns!AA450</f>
        <v>-1.4397599999999999</v>
      </c>
    </row>
    <row r="451" spans="1:5" x14ac:dyDescent="0.2">
      <c r="A451" s="345">
        <v>41243</v>
      </c>
      <c r="B451" s="1300">
        <f t="shared" si="0"/>
        <v>1.87012</v>
      </c>
      <c r="C451" s="1307">
        <v>422357363.23000002</v>
      </c>
      <c r="D451" s="1306">
        <v>1.87012</v>
      </c>
      <c r="E451" s="1301">
        <f>B451-Index_Returns!AA451</f>
        <v>-0.55600000000000005</v>
      </c>
    </row>
    <row r="452" spans="1:5" x14ac:dyDescent="0.2">
      <c r="A452" s="345">
        <v>41274</v>
      </c>
      <c r="B452" s="1300">
        <f t="shared" si="0"/>
        <v>2.7744399999999998</v>
      </c>
      <c r="C452" s="1307">
        <v>434075399.19999999</v>
      </c>
      <c r="D452" s="1306">
        <v>2.7744399999999998</v>
      </c>
      <c r="E452" s="1301">
        <f>B452-Index_Returns!AA452</f>
        <v>-0.43737000000000004</v>
      </c>
    </row>
    <row r="453" spans="1:5" x14ac:dyDescent="0.2">
      <c r="A453" s="345">
        <v>41305</v>
      </c>
      <c r="B453" s="1300">
        <f t="shared" si="0"/>
        <v>3.5316000000000001</v>
      </c>
      <c r="C453" s="1307">
        <v>449973748.79000002</v>
      </c>
      <c r="D453" s="1306">
        <v>3.5316000000000001</v>
      </c>
      <c r="E453" s="1301">
        <f>B453-Index_Returns!AA453</f>
        <v>-1.7608600000000001</v>
      </c>
    </row>
    <row r="454" spans="1:5" x14ac:dyDescent="0.2">
      <c r="A454" s="345">
        <v>41333</v>
      </c>
      <c r="B454" s="1300">
        <f t="shared" si="0"/>
        <v>-0.46435999999999999</v>
      </c>
      <c r="C454" s="1307">
        <v>447884244.56999999</v>
      </c>
      <c r="D454" s="1306">
        <v>-0.46435999999999999</v>
      </c>
      <c r="E454" s="1301">
        <f>B454-Index_Returns!AA454</f>
        <v>0.45911999999999997</v>
      </c>
    </row>
    <row r="455" spans="1:5" x14ac:dyDescent="0.2">
      <c r="A455" s="345">
        <v>41364</v>
      </c>
      <c r="B455" s="1300">
        <f t="shared" si="0"/>
        <v>1.3003499999999999</v>
      </c>
      <c r="C455" s="1307">
        <v>454112300.16000003</v>
      </c>
      <c r="D455" s="1306">
        <v>1.3003499999999999</v>
      </c>
      <c r="E455" s="1301">
        <f>B455-Index_Returns!AA455</f>
        <v>0.42475999999999992</v>
      </c>
    </row>
    <row r="456" spans="1:5" x14ac:dyDescent="0.2">
      <c r="A456" s="345">
        <v>41394</v>
      </c>
      <c r="B456" s="1300">
        <f t="shared" si="0"/>
        <v>3.5148299999999999</v>
      </c>
      <c r="C456" s="1307">
        <v>470278698.55000001</v>
      </c>
      <c r="D456" s="1306">
        <v>3.5148299999999999</v>
      </c>
      <c r="E456" s="1301">
        <f>B456-Index_Returns!AA456</f>
        <v>-1.8155999999999999</v>
      </c>
    </row>
    <row r="457" spans="1:5" x14ac:dyDescent="0.2">
      <c r="A457" s="345">
        <v>41425</v>
      </c>
      <c r="B457" s="1300">
        <f t="shared" si="0"/>
        <v>-1.62974</v>
      </c>
      <c r="C457" s="1307">
        <v>462614395.83999997</v>
      </c>
      <c r="D457" s="1306">
        <v>-1.62974</v>
      </c>
      <c r="E457" s="1301">
        <f>B457-Index_Returns!AA457</f>
        <v>0.67586000000000013</v>
      </c>
    </row>
    <row r="458" spans="1:5" x14ac:dyDescent="0.2">
      <c r="A458" s="345">
        <v>41455</v>
      </c>
      <c r="B458" s="1300">
        <f t="shared" si="0"/>
        <v>-5.0680500000000004</v>
      </c>
      <c r="C458" s="1307">
        <v>439168854.50999999</v>
      </c>
      <c r="D458" s="1306">
        <v>-5.0680500000000004</v>
      </c>
      <c r="E458" s="1301">
        <f>B458-Index_Returns!AA458</f>
        <v>-1.5386500000000005</v>
      </c>
    </row>
    <row r="459" spans="1:5" x14ac:dyDescent="0.2">
      <c r="A459" s="345">
        <v>41486</v>
      </c>
      <c r="B459" s="1300">
        <f t="shared" si="0"/>
        <v>3.1481300000000001</v>
      </c>
      <c r="C459" s="1307">
        <v>453595925</v>
      </c>
      <c r="D459" s="1306">
        <v>3.1481300000000001</v>
      </c>
      <c r="E459" s="1301">
        <f>B459-Index_Returns!AA459</f>
        <v>-2.1363399999999997</v>
      </c>
    </row>
    <row r="460" spans="1:5" x14ac:dyDescent="0.2">
      <c r="A460" s="345">
        <v>41517</v>
      </c>
      <c r="B460" s="1300">
        <f t="shared" si="0"/>
        <v>-1.6321300000000001</v>
      </c>
      <c r="C460" s="1307">
        <v>446192655.17000002</v>
      </c>
      <c r="D460" s="1306">
        <v>-1.6321300000000001</v>
      </c>
      <c r="E460" s="1301">
        <f>B460-Index_Returns!AA460</f>
        <v>-0.32014000000000009</v>
      </c>
    </row>
    <row r="461" spans="1:5" x14ac:dyDescent="0.2">
      <c r="A461" s="345">
        <v>41547</v>
      </c>
      <c r="B461" s="1300">
        <f t="shared" si="0"/>
        <v>6.0681900000000004</v>
      </c>
      <c r="C461" s="1307">
        <v>473268482.69999999</v>
      </c>
      <c r="D461" s="1306">
        <v>6.0681900000000004</v>
      </c>
      <c r="E461" s="1301">
        <f>B461-Index_Returns!AA461</f>
        <v>-1.3476599999999994</v>
      </c>
    </row>
    <row r="462" spans="1:5" x14ac:dyDescent="0.2">
      <c r="A462" s="345">
        <v>41578</v>
      </c>
      <c r="B462" s="1300">
        <f t="shared" si="0"/>
        <v>2.2576700000000001</v>
      </c>
      <c r="C462" s="1307">
        <v>484553460.35000002</v>
      </c>
      <c r="D462" s="1306">
        <v>2.2576700000000001</v>
      </c>
      <c r="E462" s="1301">
        <f>B462-Index_Returns!AA462</f>
        <v>-1.1064699999999998</v>
      </c>
    </row>
    <row r="463" spans="1:5" x14ac:dyDescent="0.2">
      <c r="A463" s="345">
        <v>41608</v>
      </c>
      <c r="B463" s="1300">
        <f t="shared" si="0"/>
        <v>-0.46131</v>
      </c>
      <c r="C463" s="1307">
        <v>482318147.30000001</v>
      </c>
      <c r="D463" s="1306">
        <v>-0.46131</v>
      </c>
      <c r="E463" s="1301">
        <f>B463-Index_Returns!AA463</f>
        <v>-1.2440899999999999</v>
      </c>
    </row>
    <row r="464" spans="1:5" x14ac:dyDescent="0.2">
      <c r="A464" s="345">
        <v>41639</v>
      </c>
      <c r="B464" s="1300">
        <f t="shared" si="0"/>
        <v>0.12357</v>
      </c>
      <c r="C464" s="1307">
        <v>482914116.91000003</v>
      </c>
      <c r="D464" s="1306">
        <v>0.12357</v>
      </c>
      <c r="E464" s="1301">
        <f>B464-Index_Returns!AA464</f>
        <v>-1.3884000000000001</v>
      </c>
    </row>
    <row r="465" spans="1:5" x14ac:dyDescent="0.2">
      <c r="A465" s="345">
        <v>41670</v>
      </c>
      <c r="B465" s="1300">
        <f t="shared" si="0"/>
        <v>-5.1959600000000004</v>
      </c>
      <c r="C465" s="1307">
        <v>458440241.81</v>
      </c>
      <c r="D465" s="1306">
        <v>-5.1959600000000004</v>
      </c>
      <c r="E465" s="1301">
        <f>B465-Index_Returns!AA465</f>
        <v>-1.1693700000000007</v>
      </c>
    </row>
    <row r="466" spans="1:5" x14ac:dyDescent="0.2">
      <c r="A466" s="345">
        <v>41698</v>
      </c>
      <c r="B466" s="1300">
        <f t="shared" si="0"/>
        <v>6.5537599999999996</v>
      </c>
      <c r="C466" s="1307">
        <v>488485311.87</v>
      </c>
      <c r="D466" s="1306">
        <v>6.5537599999999996</v>
      </c>
      <c r="E466" s="1301">
        <f>B466-Index_Returns!AA466</f>
        <v>0.99453999999999976</v>
      </c>
    </row>
    <row r="467" spans="1:5" x14ac:dyDescent="0.2">
      <c r="A467" s="345">
        <v>41729</v>
      </c>
      <c r="B467" s="1300">
        <f t="shared" si="0"/>
        <v>2.0435699999999999</v>
      </c>
      <c r="C467" s="1307">
        <v>498467841.06999999</v>
      </c>
      <c r="D467" s="1306">
        <v>2.0435699999999999</v>
      </c>
      <c r="E467" s="1301">
        <f>B467-Index_Returns!AA467</f>
        <v>2.68093</v>
      </c>
    </row>
    <row r="468" spans="1:5" x14ac:dyDescent="0.2">
      <c r="A468" s="345">
        <v>41759</v>
      </c>
      <c r="B468" s="1300">
        <f t="shared" si="0"/>
        <v>2.71604</v>
      </c>
      <c r="C468" s="1307">
        <v>512006417.52999997</v>
      </c>
      <c r="D468" s="1306">
        <v>2.71604</v>
      </c>
      <c r="E468" s="1301">
        <f>B468-Index_Returns!AA468</f>
        <v>1.27044</v>
      </c>
    </row>
    <row r="469" spans="1:5" x14ac:dyDescent="0.2">
      <c r="A469" s="345">
        <v>41790</v>
      </c>
      <c r="B469" s="1300">
        <f t="shared" si="0"/>
        <v>1.3654299999999999</v>
      </c>
      <c r="C469" s="1307">
        <v>518997507.06999999</v>
      </c>
      <c r="D469" s="1306">
        <v>1.3654299999999999</v>
      </c>
      <c r="E469" s="1301">
        <f>B469-Index_Returns!AA469</f>
        <v>-0.25863000000000014</v>
      </c>
    </row>
    <row r="470" spans="1:5" x14ac:dyDescent="0.2">
      <c r="A470" s="345"/>
      <c r="B470" s="1300"/>
    </row>
    <row r="471" spans="1:5" x14ac:dyDescent="0.2">
      <c r="A471" s="345"/>
      <c r="B471" s="1300"/>
    </row>
    <row r="472" spans="1:5" x14ac:dyDescent="0.2">
      <c r="A472" s="345"/>
      <c r="B472" s="1300"/>
    </row>
    <row r="473" spans="1:5" x14ac:dyDescent="0.2">
      <c r="A473" s="345"/>
      <c r="B473" s="1300"/>
    </row>
    <row r="474" spans="1:5" x14ac:dyDescent="0.2">
      <c r="A474" s="345"/>
      <c r="B474" s="1300"/>
    </row>
    <row r="475" spans="1:5" x14ac:dyDescent="0.2">
      <c r="A475" s="345"/>
      <c r="B475" s="1300"/>
    </row>
    <row r="476" spans="1:5" x14ac:dyDescent="0.2">
      <c r="A476" s="345"/>
      <c r="B476" s="1300"/>
    </row>
    <row r="477" spans="1:5" x14ac:dyDescent="0.2">
      <c r="A477" s="345"/>
      <c r="B477" s="1300"/>
    </row>
    <row r="478" spans="1:5" x14ac:dyDescent="0.2">
      <c r="A478" s="345"/>
      <c r="B478" s="1300"/>
    </row>
    <row r="479" spans="1:5" x14ac:dyDescent="0.2">
      <c r="A479" s="345"/>
      <c r="B479" s="1300"/>
    </row>
    <row r="480" spans="1:5" x14ac:dyDescent="0.2">
      <c r="A480" s="345"/>
      <c r="B480" s="1300"/>
    </row>
    <row r="481" spans="1:2" x14ac:dyDescent="0.2">
      <c r="A481" s="345"/>
      <c r="B481" s="1300"/>
    </row>
    <row r="482" spans="1:2" x14ac:dyDescent="0.2">
      <c r="A482" s="345"/>
      <c r="B482" s="1300"/>
    </row>
    <row r="483" spans="1:2" x14ac:dyDescent="0.2">
      <c r="A483" s="345"/>
      <c r="B483" s="1300"/>
    </row>
    <row r="484" spans="1:2" x14ac:dyDescent="0.2">
      <c r="A484" s="345"/>
      <c r="B484" s="1300"/>
    </row>
    <row r="485" spans="1:2" x14ac:dyDescent="0.2">
      <c r="A485" s="345"/>
      <c r="B485" s="1300"/>
    </row>
    <row r="486" spans="1:2" x14ac:dyDescent="0.2">
      <c r="A486" s="345"/>
      <c r="B486" s="1300"/>
    </row>
    <row r="487" spans="1:2" x14ac:dyDescent="0.2">
      <c r="A487" s="345"/>
      <c r="B487" s="1300"/>
    </row>
    <row r="488" spans="1:2" x14ac:dyDescent="0.2">
      <c r="A488" s="345"/>
      <c r="B488" s="1300"/>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tabColor rgb="FFFF0000"/>
  </sheetPr>
  <dimension ref="A1:H488"/>
  <sheetViews>
    <sheetView workbookViewId="0">
      <pane xSplit="1" ySplit="2" topLeftCell="B446" activePane="bottomRight" state="frozen"/>
      <selection activeCell="A470" sqref="A470:B488"/>
      <selection pane="topRight" activeCell="A470" sqref="A470:B488"/>
      <selection pane="bottomLeft" activeCell="A470" sqref="A470:B488"/>
      <selection pane="bottomRight" activeCell="A470" sqref="A470:B488"/>
    </sheetView>
  </sheetViews>
  <sheetFormatPr defaultRowHeight="12.75" x14ac:dyDescent="0.2"/>
  <cols>
    <col min="1" max="1" width="18.7109375" style="1308" customWidth="1"/>
    <col min="2" max="2" width="18.7109375" style="1309" customWidth="1"/>
    <col min="3" max="3" width="18.7109375" style="1307" customWidth="1"/>
    <col min="4" max="4" width="18.7109375" style="1306" customWidth="1"/>
    <col min="5" max="5" width="9.140625" style="1301"/>
    <col min="6" max="6" width="12.42578125" style="1266" bestFit="1" customWidth="1"/>
    <col min="7" max="8" width="9.140625" style="1301"/>
    <col min="9" max="16384" width="9.140625" style="1266"/>
  </cols>
  <sheetData>
    <row r="1" spans="1:6" x14ac:dyDescent="0.2">
      <c r="A1" s="1455" t="s">
        <v>879</v>
      </c>
      <c r="B1" s="1290"/>
      <c r="C1" s="1386" t="s">
        <v>686</v>
      </c>
      <c r="D1" s="1373">
        <v>40</v>
      </c>
      <c r="F1" s="1454" t="s">
        <v>753</v>
      </c>
    </row>
    <row r="2" spans="1:6" x14ac:dyDescent="0.2">
      <c r="A2" s="1291" t="s">
        <v>27</v>
      </c>
      <c r="B2" s="1292" t="s">
        <v>91</v>
      </c>
      <c r="C2" s="1294" t="s">
        <v>92</v>
      </c>
      <c r="D2" s="1292" t="s">
        <v>90</v>
      </c>
      <c r="E2" s="1374" t="s">
        <v>80</v>
      </c>
    </row>
    <row r="3" spans="1:6" x14ac:dyDescent="0.2">
      <c r="A3" s="1293">
        <v>27606</v>
      </c>
      <c r="B3" s="1292"/>
      <c r="C3" s="1294"/>
      <c r="D3" s="1292"/>
    </row>
    <row r="4" spans="1:6" x14ac:dyDescent="0.2">
      <c r="A4" s="1293">
        <v>27637</v>
      </c>
      <c r="B4" s="1292"/>
      <c r="C4" s="1294"/>
      <c r="D4" s="1292"/>
    </row>
    <row r="5" spans="1:6" x14ac:dyDescent="0.2">
      <c r="A5" s="1293">
        <v>27667</v>
      </c>
      <c r="B5" s="1292"/>
      <c r="C5" s="1294"/>
      <c r="D5" s="1292"/>
    </row>
    <row r="6" spans="1:6" x14ac:dyDescent="0.2">
      <c r="A6" s="1293">
        <v>27698</v>
      </c>
      <c r="B6" s="1292"/>
      <c r="C6" s="1294"/>
      <c r="D6" s="1292"/>
    </row>
    <row r="7" spans="1:6" x14ac:dyDescent="0.2">
      <c r="A7" s="1293">
        <v>27728</v>
      </c>
      <c r="B7" s="1292"/>
      <c r="C7" s="1294"/>
      <c r="D7" s="1292"/>
    </row>
    <row r="8" spans="1:6" x14ac:dyDescent="0.2">
      <c r="A8" s="1293">
        <v>27759</v>
      </c>
      <c r="B8" s="1292"/>
      <c r="C8" s="1294"/>
      <c r="D8" s="1292"/>
    </row>
    <row r="9" spans="1:6" x14ac:dyDescent="0.2">
      <c r="A9" s="1293">
        <v>27790</v>
      </c>
      <c r="B9" s="1292"/>
      <c r="C9" s="1294"/>
      <c r="D9" s="1292"/>
    </row>
    <row r="10" spans="1:6" x14ac:dyDescent="0.2">
      <c r="A10" s="1293">
        <v>27819</v>
      </c>
      <c r="B10" s="1292"/>
      <c r="C10" s="1294"/>
      <c r="D10" s="1292"/>
    </row>
    <row r="11" spans="1:6" x14ac:dyDescent="0.2">
      <c r="A11" s="1293">
        <v>27850</v>
      </c>
      <c r="B11" s="1292"/>
      <c r="C11" s="1294"/>
      <c r="D11" s="1292"/>
    </row>
    <row r="12" spans="1:6" x14ac:dyDescent="0.2">
      <c r="A12" s="1293">
        <v>27880</v>
      </c>
      <c r="B12" s="1292"/>
      <c r="C12" s="1294"/>
      <c r="D12" s="1292"/>
    </row>
    <row r="13" spans="1:6" x14ac:dyDescent="0.2">
      <c r="A13" s="1293">
        <v>27911</v>
      </c>
      <c r="B13" s="1292"/>
      <c r="C13" s="1294"/>
      <c r="D13" s="1292"/>
    </row>
    <row r="14" spans="1:6" x14ac:dyDescent="0.2">
      <c r="A14" s="1293">
        <v>27941</v>
      </c>
      <c r="B14" s="1292"/>
      <c r="C14" s="1294"/>
      <c r="D14" s="1292"/>
    </row>
    <row r="15" spans="1:6" x14ac:dyDescent="0.2">
      <c r="A15" s="1293">
        <v>27972</v>
      </c>
      <c r="B15" s="1292"/>
      <c r="C15" s="1294"/>
      <c r="D15" s="1292"/>
    </row>
    <row r="16" spans="1:6" x14ac:dyDescent="0.2">
      <c r="A16" s="1293">
        <v>28003</v>
      </c>
      <c r="B16" s="1292"/>
      <c r="C16" s="1294"/>
      <c r="D16" s="1292"/>
    </row>
    <row r="17" spans="1:4" x14ac:dyDescent="0.2">
      <c r="A17" s="1293">
        <v>28033</v>
      </c>
      <c r="B17" s="1292"/>
      <c r="C17" s="1294"/>
      <c r="D17" s="1292"/>
    </row>
    <row r="18" spans="1:4" x14ac:dyDescent="0.2">
      <c r="A18" s="1293">
        <v>28064</v>
      </c>
      <c r="B18" s="1292"/>
      <c r="C18" s="1294"/>
      <c r="D18" s="1292"/>
    </row>
    <row r="19" spans="1:4" x14ac:dyDescent="0.2">
      <c r="A19" s="1293">
        <v>28094</v>
      </c>
      <c r="B19" s="1292"/>
      <c r="C19" s="1294"/>
      <c r="D19" s="1292"/>
    </row>
    <row r="20" spans="1:4" x14ac:dyDescent="0.2">
      <c r="A20" s="1293">
        <v>28125</v>
      </c>
      <c r="B20" s="1292"/>
      <c r="C20" s="1294"/>
      <c r="D20" s="1292"/>
    </row>
    <row r="21" spans="1:4" x14ac:dyDescent="0.2">
      <c r="A21" s="1293">
        <v>28156</v>
      </c>
      <c r="B21" s="1292"/>
      <c r="C21" s="1294"/>
      <c r="D21" s="1292"/>
    </row>
    <row r="22" spans="1:4" x14ac:dyDescent="0.2">
      <c r="A22" s="1293">
        <v>28184</v>
      </c>
      <c r="B22" s="1292"/>
      <c r="C22" s="1294"/>
      <c r="D22" s="1292"/>
    </row>
    <row r="23" spans="1:4" x14ac:dyDescent="0.2">
      <c r="A23" s="1293">
        <v>28215</v>
      </c>
      <c r="B23" s="1292"/>
      <c r="C23" s="1294"/>
      <c r="D23" s="1292"/>
    </row>
    <row r="24" spans="1:4" x14ac:dyDescent="0.2">
      <c r="A24" s="1293">
        <v>28245</v>
      </c>
      <c r="B24" s="1292"/>
      <c r="C24" s="1294"/>
      <c r="D24" s="1292"/>
    </row>
    <row r="25" spans="1:4" x14ac:dyDescent="0.2">
      <c r="A25" s="1293">
        <v>28276</v>
      </c>
      <c r="B25" s="1292"/>
      <c r="C25" s="1294"/>
      <c r="D25" s="1292"/>
    </row>
    <row r="26" spans="1:4" x14ac:dyDescent="0.2">
      <c r="A26" s="1293">
        <v>28306</v>
      </c>
      <c r="B26" s="1292"/>
      <c r="C26" s="1294"/>
      <c r="D26" s="1292"/>
    </row>
    <row r="27" spans="1:4" x14ac:dyDescent="0.2">
      <c r="A27" s="1293">
        <v>28337</v>
      </c>
      <c r="B27" s="1292"/>
      <c r="C27" s="1294"/>
      <c r="D27" s="1292"/>
    </row>
    <row r="28" spans="1:4" x14ac:dyDescent="0.2">
      <c r="A28" s="1293">
        <v>28368</v>
      </c>
      <c r="B28" s="1292"/>
      <c r="C28" s="1294"/>
      <c r="D28" s="1292"/>
    </row>
    <row r="29" spans="1:4" x14ac:dyDescent="0.2">
      <c r="A29" s="1293">
        <v>28398</v>
      </c>
      <c r="B29" s="1292"/>
      <c r="C29" s="1294"/>
      <c r="D29" s="1292"/>
    </row>
    <row r="30" spans="1:4" x14ac:dyDescent="0.2">
      <c r="A30" s="1293">
        <v>28429</v>
      </c>
      <c r="B30" s="1292"/>
      <c r="C30" s="1294"/>
      <c r="D30" s="1292"/>
    </row>
    <row r="31" spans="1:4" x14ac:dyDescent="0.2">
      <c r="A31" s="1293">
        <v>28459</v>
      </c>
      <c r="B31" s="1292"/>
      <c r="C31" s="1294"/>
      <c r="D31" s="1292"/>
    </row>
    <row r="32" spans="1:4" x14ac:dyDescent="0.2">
      <c r="A32" s="1293">
        <v>28490</v>
      </c>
      <c r="B32" s="1292"/>
      <c r="C32" s="1294"/>
      <c r="D32" s="1292"/>
    </row>
    <row r="33" spans="1:4" x14ac:dyDescent="0.2">
      <c r="A33" s="1293">
        <v>28521</v>
      </c>
      <c r="B33" s="1292"/>
      <c r="C33" s="1294"/>
      <c r="D33" s="1292"/>
    </row>
    <row r="34" spans="1:4" x14ac:dyDescent="0.2">
      <c r="A34" s="1293">
        <v>28549</v>
      </c>
      <c r="B34" s="1292"/>
      <c r="C34" s="1294"/>
      <c r="D34" s="1292"/>
    </row>
    <row r="35" spans="1:4" x14ac:dyDescent="0.2">
      <c r="A35" s="1293">
        <v>28580</v>
      </c>
      <c r="B35" s="1292"/>
      <c r="C35" s="1294"/>
      <c r="D35" s="1292"/>
    </row>
    <row r="36" spans="1:4" x14ac:dyDescent="0.2">
      <c r="A36" s="1293">
        <v>28610</v>
      </c>
      <c r="B36" s="1292"/>
      <c r="C36" s="1294"/>
      <c r="D36" s="1292"/>
    </row>
    <row r="37" spans="1:4" x14ac:dyDescent="0.2">
      <c r="A37" s="1293">
        <v>28641</v>
      </c>
      <c r="B37" s="1292"/>
      <c r="C37" s="1294"/>
      <c r="D37" s="1292"/>
    </row>
    <row r="38" spans="1:4" x14ac:dyDescent="0.2">
      <c r="A38" s="1293">
        <v>28671</v>
      </c>
      <c r="B38" s="1292"/>
      <c r="C38" s="1294"/>
      <c r="D38" s="1292"/>
    </row>
    <row r="39" spans="1:4" x14ac:dyDescent="0.2">
      <c r="A39" s="1293">
        <v>28702</v>
      </c>
      <c r="B39" s="1292"/>
      <c r="C39" s="1294"/>
      <c r="D39" s="1292"/>
    </row>
    <row r="40" spans="1:4" x14ac:dyDescent="0.2">
      <c r="A40" s="1293">
        <v>28733</v>
      </c>
      <c r="B40" s="1292"/>
      <c r="C40" s="1294"/>
      <c r="D40" s="1292"/>
    </row>
    <row r="41" spans="1:4" x14ac:dyDescent="0.2">
      <c r="A41" s="1293">
        <v>28763</v>
      </c>
      <c r="B41" s="1292"/>
      <c r="C41" s="1294"/>
      <c r="D41" s="1292"/>
    </row>
    <row r="42" spans="1:4" x14ac:dyDescent="0.2">
      <c r="A42" s="1293">
        <v>28794</v>
      </c>
      <c r="B42" s="1292"/>
      <c r="C42" s="1294"/>
      <c r="D42" s="1292"/>
    </row>
    <row r="43" spans="1:4" x14ac:dyDescent="0.2">
      <c r="A43" s="1293">
        <v>28824</v>
      </c>
      <c r="B43" s="1292"/>
      <c r="C43" s="1294"/>
      <c r="D43" s="1292"/>
    </row>
    <row r="44" spans="1:4" x14ac:dyDescent="0.2">
      <c r="A44" s="1293">
        <v>28855</v>
      </c>
      <c r="B44" s="1292"/>
      <c r="C44" s="1294"/>
      <c r="D44" s="1292"/>
    </row>
    <row r="45" spans="1:4" x14ac:dyDescent="0.2">
      <c r="A45" s="1293">
        <v>28886</v>
      </c>
      <c r="B45" s="1292"/>
      <c r="C45" s="1294"/>
      <c r="D45" s="1292"/>
    </row>
    <row r="46" spans="1:4" x14ac:dyDescent="0.2">
      <c r="A46" s="1293">
        <v>28914</v>
      </c>
      <c r="B46" s="1292"/>
      <c r="C46" s="1294"/>
      <c r="D46" s="1292"/>
    </row>
    <row r="47" spans="1:4" x14ac:dyDescent="0.2">
      <c r="A47" s="1293">
        <v>28945</v>
      </c>
      <c r="B47" s="1292"/>
      <c r="C47" s="1294"/>
      <c r="D47" s="1292"/>
    </row>
    <row r="48" spans="1:4" x14ac:dyDescent="0.2">
      <c r="A48" s="1293">
        <v>28975</v>
      </c>
      <c r="B48" s="1292"/>
      <c r="C48" s="1294"/>
      <c r="D48" s="1292"/>
    </row>
    <row r="49" spans="1:4" x14ac:dyDescent="0.2">
      <c r="A49" s="1293">
        <v>29006</v>
      </c>
      <c r="B49" s="1292"/>
      <c r="C49" s="1294"/>
      <c r="D49" s="1292"/>
    </row>
    <row r="50" spans="1:4" x14ac:dyDescent="0.2">
      <c r="A50" s="1293">
        <v>29036</v>
      </c>
      <c r="B50" s="1292"/>
      <c r="C50" s="1294"/>
      <c r="D50" s="1292"/>
    </row>
    <row r="51" spans="1:4" x14ac:dyDescent="0.2">
      <c r="A51" s="1293">
        <v>29067</v>
      </c>
      <c r="B51" s="1292"/>
      <c r="C51" s="1294"/>
      <c r="D51" s="1292"/>
    </row>
    <row r="52" spans="1:4" x14ac:dyDescent="0.2">
      <c r="A52" s="1293">
        <v>29098</v>
      </c>
      <c r="B52" s="1292"/>
      <c r="C52" s="1294"/>
      <c r="D52" s="1292"/>
    </row>
    <row r="53" spans="1:4" x14ac:dyDescent="0.2">
      <c r="A53" s="1293">
        <v>29128</v>
      </c>
      <c r="B53" s="1292"/>
      <c r="C53" s="1294"/>
      <c r="D53" s="1292"/>
    </row>
    <row r="54" spans="1:4" x14ac:dyDescent="0.2">
      <c r="A54" s="1293">
        <v>29159</v>
      </c>
      <c r="B54" s="1292"/>
      <c r="C54" s="1294"/>
      <c r="D54" s="1292"/>
    </row>
    <row r="55" spans="1:4" x14ac:dyDescent="0.2">
      <c r="A55" s="1293">
        <v>29189</v>
      </c>
      <c r="B55" s="1292"/>
      <c r="C55" s="1294"/>
      <c r="D55" s="1292"/>
    </row>
    <row r="56" spans="1:4" x14ac:dyDescent="0.2">
      <c r="A56" s="1293">
        <v>29220</v>
      </c>
      <c r="B56" s="1292"/>
      <c r="C56" s="1294"/>
      <c r="D56" s="1292"/>
    </row>
    <row r="57" spans="1:4" x14ac:dyDescent="0.2">
      <c r="A57" s="1293">
        <v>29251</v>
      </c>
      <c r="B57" s="1292"/>
      <c r="C57" s="1294"/>
      <c r="D57" s="1292"/>
    </row>
    <row r="58" spans="1:4" x14ac:dyDescent="0.2">
      <c r="A58" s="1293">
        <v>29280</v>
      </c>
      <c r="B58" s="1292"/>
      <c r="C58" s="1294"/>
      <c r="D58" s="1292"/>
    </row>
    <row r="59" spans="1:4" x14ac:dyDescent="0.2">
      <c r="A59" s="1293">
        <v>29311</v>
      </c>
      <c r="B59" s="1292"/>
      <c r="C59" s="1294"/>
      <c r="D59" s="1292"/>
    </row>
    <row r="60" spans="1:4" x14ac:dyDescent="0.2">
      <c r="A60" s="1293">
        <v>29341</v>
      </c>
      <c r="B60" s="1292"/>
      <c r="C60" s="1294"/>
      <c r="D60" s="1292"/>
    </row>
    <row r="61" spans="1:4" x14ac:dyDescent="0.2">
      <c r="A61" s="1293">
        <v>29372</v>
      </c>
      <c r="B61" s="1292"/>
      <c r="C61" s="1294"/>
      <c r="D61" s="1292"/>
    </row>
    <row r="62" spans="1:4" x14ac:dyDescent="0.2">
      <c r="A62" s="1293">
        <v>29402</v>
      </c>
      <c r="B62" s="1292"/>
      <c r="C62" s="1294"/>
      <c r="D62" s="1292"/>
    </row>
    <row r="63" spans="1:4" x14ac:dyDescent="0.2">
      <c r="A63" s="1293">
        <v>29433</v>
      </c>
      <c r="B63" s="1292"/>
      <c r="C63" s="1294"/>
      <c r="D63" s="1292"/>
    </row>
    <row r="64" spans="1:4" x14ac:dyDescent="0.2">
      <c r="A64" s="1293">
        <v>29464</v>
      </c>
      <c r="B64" s="1292"/>
      <c r="C64" s="1294"/>
      <c r="D64" s="1292"/>
    </row>
    <row r="65" spans="1:4" x14ac:dyDescent="0.2">
      <c r="A65" s="1293">
        <v>29494</v>
      </c>
      <c r="B65" s="1292"/>
      <c r="C65" s="1294"/>
      <c r="D65" s="1292"/>
    </row>
    <row r="66" spans="1:4" x14ac:dyDescent="0.2">
      <c r="A66" s="1293">
        <v>29525</v>
      </c>
      <c r="B66" s="1292"/>
      <c r="C66" s="1294"/>
      <c r="D66" s="1292"/>
    </row>
    <row r="67" spans="1:4" x14ac:dyDescent="0.2">
      <c r="A67" s="1293">
        <v>29555</v>
      </c>
      <c r="B67" s="1292"/>
      <c r="C67" s="1294"/>
      <c r="D67" s="1292"/>
    </row>
    <row r="68" spans="1:4" x14ac:dyDescent="0.2">
      <c r="A68" s="1293">
        <v>29586</v>
      </c>
      <c r="B68" s="1292"/>
      <c r="C68" s="1294"/>
      <c r="D68" s="1292"/>
    </row>
    <row r="69" spans="1:4" x14ac:dyDescent="0.2">
      <c r="A69" s="1293">
        <v>29617</v>
      </c>
      <c r="B69" s="1292"/>
      <c r="C69" s="1294"/>
      <c r="D69" s="1292"/>
    </row>
    <row r="70" spans="1:4" x14ac:dyDescent="0.2">
      <c r="A70" s="1293">
        <v>29645</v>
      </c>
      <c r="B70" s="1292"/>
      <c r="C70" s="1294"/>
      <c r="D70" s="1292"/>
    </row>
    <row r="71" spans="1:4" x14ac:dyDescent="0.2">
      <c r="A71" s="1293">
        <v>29676</v>
      </c>
      <c r="B71" s="1292"/>
      <c r="C71" s="1294"/>
      <c r="D71" s="1292"/>
    </row>
    <row r="72" spans="1:4" x14ac:dyDescent="0.2">
      <c r="A72" s="1293">
        <v>29706</v>
      </c>
      <c r="B72" s="1292"/>
      <c r="C72" s="1294"/>
      <c r="D72" s="1292"/>
    </row>
    <row r="73" spans="1:4" x14ac:dyDescent="0.2">
      <c r="A73" s="1293">
        <v>29737</v>
      </c>
      <c r="B73" s="1292"/>
      <c r="C73" s="1294"/>
      <c r="D73" s="1292"/>
    </row>
    <row r="74" spans="1:4" x14ac:dyDescent="0.2">
      <c r="A74" s="1293">
        <v>29767</v>
      </c>
      <c r="B74" s="1292"/>
      <c r="C74" s="1294"/>
      <c r="D74" s="1292"/>
    </row>
    <row r="75" spans="1:4" x14ac:dyDescent="0.2">
      <c r="A75" s="1293">
        <v>29798</v>
      </c>
      <c r="B75" s="1292"/>
      <c r="C75" s="1294"/>
      <c r="D75" s="1292"/>
    </row>
    <row r="76" spans="1:4" x14ac:dyDescent="0.2">
      <c r="A76" s="1293">
        <v>29829</v>
      </c>
      <c r="B76" s="1292"/>
      <c r="C76" s="1294"/>
      <c r="D76" s="1292"/>
    </row>
    <row r="77" spans="1:4" x14ac:dyDescent="0.2">
      <c r="A77" s="1293">
        <v>29859</v>
      </c>
      <c r="B77" s="1292"/>
      <c r="C77" s="1294"/>
      <c r="D77" s="1292"/>
    </row>
    <row r="78" spans="1:4" x14ac:dyDescent="0.2">
      <c r="A78" s="1293">
        <v>29890</v>
      </c>
      <c r="B78" s="1292"/>
      <c r="C78" s="1294"/>
      <c r="D78" s="1292"/>
    </row>
    <row r="79" spans="1:4" x14ac:dyDescent="0.2">
      <c r="A79" s="1293">
        <v>29920</v>
      </c>
      <c r="B79" s="1292"/>
      <c r="C79" s="1294"/>
      <c r="D79" s="1292"/>
    </row>
    <row r="80" spans="1:4" x14ac:dyDescent="0.2">
      <c r="A80" s="1293">
        <v>29951</v>
      </c>
      <c r="B80" s="1292"/>
      <c r="C80" s="1294"/>
      <c r="D80" s="1292"/>
    </row>
    <row r="81" spans="1:4" x14ac:dyDescent="0.2">
      <c r="A81" s="1293">
        <v>29982</v>
      </c>
      <c r="B81" s="1292"/>
      <c r="C81" s="1294"/>
      <c r="D81" s="1292"/>
    </row>
    <row r="82" spans="1:4" x14ac:dyDescent="0.2">
      <c r="A82" s="1293">
        <v>30010</v>
      </c>
      <c r="B82" s="1292"/>
      <c r="C82" s="1294"/>
      <c r="D82" s="1292"/>
    </row>
    <row r="83" spans="1:4" x14ac:dyDescent="0.2">
      <c r="A83" s="1293">
        <v>30041</v>
      </c>
      <c r="B83" s="1292"/>
      <c r="C83" s="1294"/>
      <c r="D83" s="1292"/>
    </row>
    <row r="84" spans="1:4" x14ac:dyDescent="0.2">
      <c r="A84" s="1293">
        <v>30071</v>
      </c>
      <c r="B84" s="1292"/>
      <c r="C84" s="1294"/>
      <c r="D84" s="1292"/>
    </row>
    <row r="85" spans="1:4" x14ac:dyDescent="0.2">
      <c r="A85" s="1293">
        <v>30102</v>
      </c>
      <c r="B85" s="1292"/>
      <c r="C85" s="1294"/>
      <c r="D85" s="1292"/>
    </row>
    <row r="86" spans="1:4" x14ac:dyDescent="0.2">
      <c r="A86" s="1293">
        <v>30132</v>
      </c>
      <c r="B86" s="1292"/>
      <c r="C86" s="1294"/>
      <c r="D86" s="1292"/>
    </row>
    <row r="87" spans="1:4" x14ac:dyDescent="0.2">
      <c r="A87" s="1293">
        <v>30163</v>
      </c>
      <c r="B87" s="1292"/>
      <c r="C87" s="1294"/>
      <c r="D87" s="1292"/>
    </row>
    <row r="88" spans="1:4" x14ac:dyDescent="0.2">
      <c r="A88" s="1293">
        <v>30194</v>
      </c>
      <c r="B88" s="1292"/>
      <c r="C88" s="1294"/>
      <c r="D88" s="1292"/>
    </row>
    <row r="89" spans="1:4" x14ac:dyDescent="0.2">
      <c r="A89" s="1293">
        <v>30224</v>
      </c>
      <c r="B89" s="1292"/>
      <c r="C89" s="1294"/>
      <c r="D89" s="1292"/>
    </row>
    <row r="90" spans="1:4" x14ac:dyDescent="0.2">
      <c r="A90" s="1293">
        <v>30255</v>
      </c>
      <c r="B90" s="1292"/>
      <c r="C90" s="1294"/>
      <c r="D90" s="1292"/>
    </row>
    <row r="91" spans="1:4" x14ac:dyDescent="0.2">
      <c r="A91" s="1293">
        <v>30285</v>
      </c>
      <c r="B91" s="1292"/>
      <c r="C91" s="1294"/>
      <c r="D91" s="1292"/>
    </row>
    <row r="92" spans="1:4" x14ac:dyDescent="0.2">
      <c r="A92" s="1293">
        <v>30316</v>
      </c>
      <c r="B92" s="1292"/>
      <c r="C92" s="1294"/>
      <c r="D92" s="1292"/>
    </row>
    <row r="93" spans="1:4" x14ac:dyDescent="0.2">
      <c r="A93" s="1293">
        <v>30347</v>
      </c>
      <c r="B93" s="1292"/>
      <c r="C93" s="1294"/>
      <c r="D93" s="1292"/>
    </row>
    <row r="94" spans="1:4" x14ac:dyDescent="0.2">
      <c r="A94" s="1293">
        <v>30375</v>
      </c>
      <c r="B94" s="1292"/>
      <c r="C94" s="1294"/>
      <c r="D94" s="1292"/>
    </row>
    <row r="95" spans="1:4" x14ac:dyDescent="0.2">
      <c r="A95" s="1293">
        <v>30406</v>
      </c>
      <c r="B95" s="1292"/>
      <c r="C95" s="1294"/>
      <c r="D95" s="1292"/>
    </row>
    <row r="96" spans="1:4" x14ac:dyDescent="0.2">
      <c r="A96" s="1293">
        <v>30436</v>
      </c>
      <c r="B96" s="1292"/>
      <c r="C96" s="1294"/>
      <c r="D96" s="1292"/>
    </row>
    <row r="97" spans="1:4" x14ac:dyDescent="0.2">
      <c r="A97" s="1293">
        <v>30467</v>
      </c>
      <c r="B97" s="1292"/>
      <c r="C97" s="1294"/>
      <c r="D97" s="1292"/>
    </row>
    <row r="98" spans="1:4" x14ac:dyDescent="0.2">
      <c r="A98" s="1293">
        <v>30497</v>
      </c>
      <c r="B98" s="1292"/>
      <c r="C98" s="1294"/>
      <c r="D98" s="1292"/>
    </row>
    <row r="99" spans="1:4" x14ac:dyDescent="0.2">
      <c r="A99" s="1293">
        <v>30528</v>
      </c>
      <c r="B99" s="1292"/>
      <c r="C99" s="1294"/>
      <c r="D99" s="1292"/>
    </row>
    <row r="100" spans="1:4" x14ac:dyDescent="0.2">
      <c r="A100" s="1293">
        <v>30559</v>
      </c>
      <c r="B100" s="1292"/>
      <c r="C100" s="1294"/>
      <c r="D100" s="1292"/>
    </row>
    <row r="101" spans="1:4" x14ac:dyDescent="0.2">
      <c r="A101" s="1293">
        <v>30589</v>
      </c>
      <c r="B101" s="1292"/>
      <c r="C101" s="1294"/>
      <c r="D101" s="1292"/>
    </row>
    <row r="102" spans="1:4" x14ac:dyDescent="0.2">
      <c r="A102" s="1293">
        <v>30620</v>
      </c>
      <c r="B102" s="1292"/>
      <c r="C102" s="1294"/>
      <c r="D102" s="1292"/>
    </row>
    <row r="103" spans="1:4" x14ac:dyDescent="0.2">
      <c r="A103" s="1293">
        <v>30650</v>
      </c>
      <c r="B103" s="1292"/>
      <c r="C103" s="1294"/>
      <c r="D103" s="1292"/>
    </row>
    <row r="104" spans="1:4" x14ac:dyDescent="0.2">
      <c r="A104" s="1293">
        <v>30681</v>
      </c>
      <c r="B104" s="1292"/>
      <c r="C104" s="1294"/>
      <c r="D104" s="1292"/>
    </row>
    <row r="105" spans="1:4" x14ac:dyDescent="0.2">
      <c r="A105" s="1293">
        <v>30712</v>
      </c>
      <c r="B105" s="1292"/>
      <c r="C105" s="1294"/>
      <c r="D105" s="1292"/>
    </row>
    <row r="106" spans="1:4" x14ac:dyDescent="0.2">
      <c r="A106" s="1293">
        <v>30741</v>
      </c>
      <c r="B106" s="1292"/>
      <c r="C106" s="1294"/>
      <c r="D106" s="1292"/>
    </row>
    <row r="107" spans="1:4" x14ac:dyDescent="0.2">
      <c r="A107" s="1293">
        <v>30772</v>
      </c>
      <c r="B107" s="1292"/>
      <c r="C107" s="1294"/>
      <c r="D107" s="1292"/>
    </row>
    <row r="108" spans="1:4" x14ac:dyDescent="0.2">
      <c r="A108" s="1293">
        <v>30802</v>
      </c>
      <c r="B108" s="1292"/>
      <c r="C108" s="1294"/>
      <c r="D108" s="1292"/>
    </row>
    <row r="109" spans="1:4" x14ac:dyDescent="0.2">
      <c r="A109" s="1293">
        <v>30833</v>
      </c>
      <c r="B109" s="1292"/>
      <c r="C109" s="1294"/>
      <c r="D109" s="1292"/>
    </row>
    <row r="110" spans="1:4" x14ac:dyDescent="0.2">
      <c r="A110" s="1293">
        <v>30863</v>
      </c>
      <c r="B110" s="1292"/>
      <c r="C110" s="1294"/>
      <c r="D110" s="1292"/>
    </row>
    <row r="111" spans="1:4" x14ac:dyDescent="0.2">
      <c r="A111" s="1293">
        <v>30894</v>
      </c>
      <c r="B111" s="1292"/>
      <c r="C111" s="1294"/>
      <c r="D111" s="1292"/>
    </row>
    <row r="112" spans="1:4" x14ac:dyDescent="0.2">
      <c r="A112" s="1293">
        <v>30925</v>
      </c>
      <c r="B112" s="1292"/>
      <c r="C112" s="1294"/>
      <c r="D112" s="1292"/>
    </row>
    <row r="113" spans="1:4" x14ac:dyDescent="0.2">
      <c r="A113" s="1293">
        <v>30955</v>
      </c>
      <c r="B113" s="1292"/>
      <c r="C113" s="1294"/>
      <c r="D113" s="1292"/>
    </row>
    <row r="114" spans="1:4" x14ac:dyDescent="0.2">
      <c r="A114" s="1293">
        <v>30986</v>
      </c>
      <c r="B114" s="1292"/>
      <c r="C114" s="1294"/>
      <c r="D114" s="1292"/>
    </row>
    <row r="115" spans="1:4" x14ac:dyDescent="0.2">
      <c r="A115" s="1293">
        <v>31016</v>
      </c>
      <c r="B115" s="1292"/>
      <c r="C115" s="1294"/>
      <c r="D115" s="1292"/>
    </row>
    <row r="116" spans="1:4" x14ac:dyDescent="0.2">
      <c r="A116" s="1293">
        <v>31047</v>
      </c>
      <c r="B116" s="1292"/>
      <c r="C116" s="1294"/>
      <c r="D116" s="1292"/>
    </row>
    <row r="117" spans="1:4" x14ac:dyDescent="0.2">
      <c r="A117" s="1293">
        <v>31078</v>
      </c>
      <c r="B117" s="1292"/>
      <c r="C117" s="1294"/>
      <c r="D117" s="1292"/>
    </row>
    <row r="118" spans="1:4" x14ac:dyDescent="0.2">
      <c r="A118" s="1293">
        <v>31106</v>
      </c>
      <c r="B118" s="1292"/>
      <c r="C118" s="1294"/>
      <c r="D118" s="1292"/>
    </row>
    <row r="119" spans="1:4" x14ac:dyDescent="0.2">
      <c r="A119" s="1293">
        <v>31137</v>
      </c>
      <c r="B119" s="1292"/>
      <c r="C119" s="1294"/>
      <c r="D119" s="1292"/>
    </row>
    <row r="120" spans="1:4" x14ac:dyDescent="0.2">
      <c r="A120" s="1293">
        <v>31167</v>
      </c>
      <c r="B120" s="1292"/>
      <c r="C120" s="1294"/>
      <c r="D120" s="1292"/>
    </row>
    <row r="121" spans="1:4" x14ac:dyDescent="0.2">
      <c r="A121" s="1293">
        <v>31198</v>
      </c>
      <c r="B121" s="1292"/>
      <c r="C121" s="1294"/>
      <c r="D121" s="1292"/>
    </row>
    <row r="122" spans="1:4" x14ac:dyDescent="0.2">
      <c r="A122" s="1293">
        <v>31228</v>
      </c>
      <c r="B122" s="1292"/>
      <c r="C122" s="1294"/>
      <c r="D122" s="1292"/>
    </row>
    <row r="123" spans="1:4" x14ac:dyDescent="0.2">
      <c r="A123" s="1293">
        <v>31259</v>
      </c>
      <c r="B123" s="1292"/>
      <c r="C123" s="1294"/>
      <c r="D123" s="1292"/>
    </row>
    <row r="124" spans="1:4" x14ac:dyDescent="0.2">
      <c r="A124" s="1293">
        <v>31290</v>
      </c>
      <c r="B124" s="1292"/>
      <c r="C124" s="1294"/>
      <c r="D124" s="1292"/>
    </row>
    <row r="125" spans="1:4" x14ac:dyDescent="0.2">
      <c r="A125" s="1293">
        <v>31320</v>
      </c>
      <c r="B125" s="1292"/>
      <c r="C125" s="1294"/>
      <c r="D125" s="1292"/>
    </row>
    <row r="126" spans="1:4" x14ac:dyDescent="0.2">
      <c r="A126" s="1293">
        <v>31351</v>
      </c>
      <c r="B126" s="1292"/>
      <c r="C126" s="1294"/>
      <c r="D126" s="1292"/>
    </row>
    <row r="127" spans="1:4" x14ac:dyDescent="0.2">
      <c r="A127" s="1293">
        <v>31381</v>
      </c>
      <c r="B127" s="1292"/>
      <c r="C127" s="1294"/>
      <c r="D127" s="1292"/>
    </row>
    <row r="128" spans="1:4" x14ac:dyDescent="0.2">
      <c r="A128" s="1293">
        <v>31412</v>
      </c>
      <c r="B128" s="1292"/>
      <c r="C128" s="1294"/>
      <c r="D128" s="1292"/>
    </row>
    <row r="129" spans="1:4" x14ac:dyDescent="0.2">
      <c r="A129" s="1293">
        <v>31443</v>
      </c>
      <c r="B129" s="1292"/>
      <c r="C129" s="1294"/>
      <c r="D129" s="1292"/>
    </row>
    <row r="130" spans="1:4" x14ac:dyDescent="0.2">
      <c r="A130" s="1293">
        <v>31471</v>
      </c>
      <c r="B130" s="1292"/>
      <c r="C130" s="1294"/>
      <c r="D130" s="1292"/>
    </row>
    <row r="131" spans="1:4" x14ac:dyDescent="0.2">
      <c r="A131" s="1293">
        <v>31502</v>
      </c>
      <c r="B131" s="1292"/>
      <c r="C131" s="1294"/>
      <c r="D131" s="1292"/>
    </row>
    <row r="132" spans="1:4" x14ac:dyDescent="0.2">
      <c r="A132" s="1293">
        <v>31532</v>
      </c>
      <c r="B132" s="1292"/>
      <c r="C132" s="1294"/>
      <c r="D132" s="1292"/>
    </row>
    <row r="133" spans="1:4" x14ac:dyDescent="0.2">
      <c r="A133" s="1293">
        <v>31563</v>
      </c>
      <c r="B133" s="1292"/>
      <c r="C133" s="1294"/>
      <c r="D133" s="1292"/>
    </row>
    <row r="134" spans="1:4" x14ac:dyDescent="0.2">
      <c r="A134" s="1293">
        <v>31593</v>
      </c>
      <c r="B134" s="1292"/>
      <c r="C134" s="1294"/>
      <c r="D134" s="1292"/>
    </row>
    <row r="135" spans="1:4" x14ac:dyDescent="0.2">
      <c r="A135" s="1293">
        <v>31624</v>
      </c>
      <c r="B135" s="1292"/>
      <c r="C135" s="1294"/>
      <c r="D135" s="1292"/>
    </row>
    <row r="136" spans="1:4" x14ac:dyDescent="0.2">
      <c r="A136" s="1293">
        <v>31655</v>
      </c>
      <c r="B136" s="1292"/>
      <c r="C136" s="1294"/>
      <c r="D136" s="1292"/>
    </row>
    <row r="137" spans="1:4" x14ac:dyDescent="0.2">
      <c r="A137" s="1293">
        <v>31685</v>
      </c>
      <c r="B137" s="1292"/>
      <c r="C137" s="1294"/>
      <c r="D137" s="1292"/>
    </row>
    <row r="138" spans="1:4" x14ac:dyDescent="0.2">
      <c r="A138" s="1293">
        <v>31716</v>
      </c>
      <c r="B138" s="1292"/>
      <c r="C138" s="1294"/>
      <c r="D138" s="1292"/>
    </row>
    <row r="139" spans="1:4" x14ac:dyDescent="0.2">
      <c r="A139" s="1293">
        <v>31746</v>
      </c>
      <c r="B139" s="1292"/>
      <c r="C139" s="1294"/>
      <c r="D139" s="1292"/>
    </row>
    <row r="140" spans="1:4" x14ac:dyDescent="0.2">
      <c r="A140" s="1293">
        <v>31777</v>
      </c>
      <c r="B140" s="1292"/>
      <c r="C140" s="1294"/>
      <c r="D140" s="1292"/>
    </row>
    <row r="141" spans="1:4" x14ac:dyDescent="0.2">
      <c r="A141" s="1293">
        <v>31808</v>
      </c>
      <c r="B141" s="1295"/>
      <c r="C141" s="1296"/>
      <c r="D141" s="1295"/>
    </row>
    <row r="142" spans="1:4" x14ac:dyDescent="0.2">
      <c r="A142" s="1293">
        <v>31836</v>
      </c>
      <c r="B142" s="1295"/>
      <c r="C142" s="1296"/>
      <c r="D142" s="1295"/>
    </row>
    <row r="143" spans="1:4" x14ac:dyDescent="0.2">
      <c r="A143" s="1293">
        <v>31867</v>
      </c>
      <c r="B143" s="1295"/>
      <c r="C143" s="1296"/>
      <c r="D143" s="1295"/>
    </row>
    <row r="144" spans="1:4" x14ac:dyDescent="0.2">
      <c r="A144" s="1293">
        <v>31897</v>
      </c>
      <c r="B144" s="1295"/>
      <c r="C144" s="1296"/>
      <c r="D144" s="1295"/>
    </row>
    <row r="145" spans="1:4" x14ac:dyDescent="0.2">
      <c r="A145" s="1293">
        <v>31928</v>
      </c>
      <c r="B145" s="1295"/>
      <c r="C145" s="1296"/>
      <c r="D145" s="1295"/>
    </row>
    <row r="146" spans="1:4" x14ac:dyDescent="0.2">
      <c r="A146" s="1293">
        <v>31958</v>
      </c>
      <c r="B146" s="1295"/>
      <c r="C146" s="1296"/>
      <c r="D146" s="1295"/>
    </row>
    <row r="147" spans="1:4" x14ac:dyDescent="0.2">
      <c r="A147" s="1293">
        <v>31989</v>
      </c>
      <c r="B147" s="1295"/>
      <c r="C147" s="1296"/>
      <c r="D147" s="1295"/>
    </row>
    <row r="148" spans="1:4" x14ac:dyDescent="0.2">
      <c r="A148" s="1293">
        <v>32020</v>
      </c>
      <c r="B148" s="1295"/>
      <c r="C148" s="1296"/>
      <c r="D148" s="1295"/>
    </row>
    <row r="149" spans="1:4" x14ac:dyDescent="0.2">
      <c r="A149" s="1293">
        <v>32050</v>
      </c>
      <c r="B149" s="1295"/>
      <c r="C149" s="1296"/>
      <c r="D149" s="1295"/>
    </row>
    <row r="150" spans="1:4" x14ac:dyDescent="0.2">
      <c r="A150" s="1293">
        <v>32081</v>
      </c>
      <c r="B150" s="1295"/>
      <c r="C150" s="1296"/>
      <c r="D150" s="1295"/>
    </row>
    <row r="151" spans="1:4" x14ac:dyDescent="0.2">
      <c r="A151" s="1293">
        <v>32111</v>
      </c>
      <c r="B151" s="1295"/>
      <c r="C151" s="1296"/>
      <c r="D151" s="1295"/>
    </row>
    <row r="152" spans="1:4" x14ac:dyDescent="0.2">
      <c r="A152" s="1293">
        <v>32142</v>
      </c>
      <c r="B152" s="1295"/>
      <c r="C152" s="1296"/>
      <c r="D152" s="1295"/>
    </row>
    <row r="153" spans="1:4" x14ac:dyDescent="0.2">
      <c r="A153" s="1293">
        <v>32173</v>
      </c>
      <c r="B153" s="1295"/>
      <c r="C153" s="1296"/>
      <c r="D153" s="1295"/>
    </row>
    <row r="154" spans="1:4" x14ac:dyDescent="0.2">
      <c r="A154" s="1293">
        <v>32202</v>
      </c>
      <c r="B154" s="1295"/>
      <c r="C154" s="1296"/>
      <c r="D154" s="1295"/>
    </row>
    <row r="155" spans="1:4" x14ac:dyDescent="0.2">
      <c r="A155" s="1293">
        <v>32233</v>
      </c>
      <c r="B155" s="1295"/>
      <c r="C155" s="1296"/>
      <c r="D155" s="1295"/>
    </row>
    <row r="156" spans="1:4" x14ac:dyDescent="0.2">
      <c r="A156" s="1293">
        <v>32263</v>
      </c>
      <c r="B156" s="1295"/>
      <c r="C156" s="1296"/>
      <c r="D156" s="1295"/>
    </row>
    <row r="157" spans="1:4" x14ac:dyDescent="0.2">
      <c r="A157" s="1293">
        <v>32294</v>
      </c>
      <c r="B157" s="1295"/>
      <c r="C157" s="1296"/>
      <c r="D157" s="1295"/>
    </row>
    <row r="158" spans="1:4" x14ac:dyDescent="0.2">
      <c r="A158" s="1293">
        <v>32324</v>
      </c>
      <c r="B158" s="1295"/>
      <c r="C158" s="1296"/>
      <c r="D158" s="1295"/>
    </row>
    <row r="159" spans="1:4" x14ac:dyDescent="0.2">
      <c r="A159" s="1293">
        <v>32355</v>
      </c>
      <c r="B159" s="1295"/>
      <c r="C159" s="1296"/>
      <c r="D159" s="1295"/>
    </row>
    <row r="160" spans="1:4" x14ac:dyDescent="0.2">
      <c r="A160" s="1293">
        <v>32386</v>
      </c>
      <c r="B160" s="1295"/>
      <c r="C160" s="1296"/>
      <c r="D160" s="1295"/>
    </row>
    <row r="161" spans="1:4" x14ac:dyDescent="0.2">
      <c r="A161" s="1293">
        <v>32416</v>
      </c>
      <c r="B161" s="1295"/>
      <c r="C161" s="1296"/>
      <c r="D161" s="1295"/>
    </row>
    <row r="162" spans="1:4" x14ac:dyDescent="0.2">
      <c r="A162" s="1293">
        <v>32447</v>
      </c>
      <c r="B162" s="1295"/>
      <c r="C162" s="1296"/>
      <c r="D162" s="1295"/>
    </row>
    <row r="163" spans="1:4" x14ac:dyDescent="0.2">
      <c r="A163" s="1293">
        <v>32477</v>
      </c>
      <c r="B163" s="1295"/>
      <c r="C163" s="1296"/>
      <c r="D163" s="1295"/>
    </row>
    <row r="164" spans="1:4" x14ac:dyDescent="0.2">
      <c r="A164" s="1293">
        <v>32508</v>
      </c>
      <c r="B164" s="1295"/>
      <c r="C164" s="1296"/>
      <c r="D164" s="1295"/>
    </row>
    <row r="165" spans="1:4" x14ac:dyDescent="0.2">
      <c r="A165" s="1293">
        <v>32539</v>
      </c>
      <c r="B165" s="1295"/>
      <c r="C165" s="1296"/>
      <c r="D165" s="1295"/>
    </row>
    <row r="166" spans="1:4" x14ac:dyDescent="0.2">
      <c r="A166" s="1293">
        <v>32567</v>
      </c>
      <c r="B166" s="1295"/>
      <c r="C166" s="1296"/>
      <c r="D166" s="1295"/>
    </row>
    <row r="167" spans="1:4" x14ac:dyDescent="0.2">
      <c r="A167" s="1293">
        <v>32598</v>
      </c>
      <c r="B167" s="1295"/>
      <c r="C167" s="1296"/>
      <c r="D167" s="1295"/>
    </row>
    <row r="168" spans="1:4" x14ac:dyDescent="0.2">
      <c r="A168" s="1293">
        <v>32628</v>
      </c>
      <c r="B168" s="1295"/>
      <c r="C168" s="1296"/>
      <c r="D168" s="1295"/>
    </row>
    <row r="169" spans="1:4" x14ac:dyDescent="0.2">
      <c r="A169" s="1293">
        <v>32659</v>
      </c>
      <c r="B169" s="1295"/>
      <c r="C169" s="1296"/>
      <c r="D169" s="1295"/>
    </row>
    <row r="170" spans="1:4" x14ac:dyDescent="0.2">
      <c r="A170" s="1293">
        <v>32689</v>
      </c>
      <c r="B170" s="1295"/>
      <c r="C170" s="1296"/>
      <c r="D170" s="1295"/>
    </row>
    <row r="171" spans="1:4" x14ac:dyDescent="0.2">
      <c r="A171" s="1293">
        <v>32720</v>
      </c>
      <c r="B171" s="1295"/>
      <c r="C171" s="1296"/>
      <c r="D171" s="1295"/>
    </row>
    <row r="172" spans="1:4" x14ac:dyDescent="0.2">
      <c r="A172" s="1293">
        <v>32751</v>
      </c>
      <c r="B172" s="1295"/>
      <c r="C172" s="1296"/>
      <c r="D172" s="1295"/>
    </row>
    <row r="173" spans="1:4" x14ac:dyDescent="0.2">
      <c r="A173" s="1293">
        <v>32781</v>
      </c>
      <c r="B173" s="1295"/>
      <c r="C173" s="1296"/>
      <c r="D173" s="1295"/>
    </row>
    <row r="174" spans="1:4" x14ac:dyDescent="0.2">
      <c r="A174" s="1293">
        <v>32812</v>
      </c>
      <c r="B174" s="1295"/>
      <c r="C174" s="1296"/>
      <c r="D174" s="1295"/>
    </row>
    <row r="175" spans="1:4" x14ac:dyDescent="0.2">
      <c r="A175" s="1293">
        <v>32842</v>
      </c>
      <c r="B175" s="1295"/>
      <c r="C175" s="1296"/>
      <c r="D175" s="1295"/>
    </row>
    <row r="176" spans="1:4" x14ac:dyDescent="0.2">
      <c r="A176" s="1293">
        <v>32873</v>
      </c>
      <c r="B176" s="1295"/>
      <c r="C176" s="1296"/>
      <c r="D176" s="1295"/>
    </row>
    <row r="177" spans="1:4" x14ac:dyDescent="0.2">
      <c r="A177" s="1293">
        <v>32904</v>
      </c>
      <c r="B177" s="1295"/>
      <c r="C177" s="1296"/>
      <c r="D177" s="1295"/>
    </row>
    <row r="178" spans="1:4" x14ac:dyDescent="0.2">
      <c r="A178" s="1293">
        <v>32932</v>
      </c>
      <c r="B178" s="1295"/>
      <c r="C178" s="1296"/>
      <c r="D178" s="1295"/>
    </row>
    <row r="179" spans="1:4" x14ac:dyDescent="0.2">
      <c r="A179" s="1293">
        <v>32963</v>
      </c>
      <c r="B179" s="1295"/>
      <c r="C179" s="1296"/>
      <c r="D179" s="1295"/>
    </row>
    <row r="180" spans="1:4" x14ac:dyDescent="0.2">
      <c r="A180" s="1293">
        <v>32993</v>
      </c>
      <c r="B180" s="1295"/>
      <c r="C180" s="1296"/>
      <c r="D180" s="1295"/>
    </row>
    <row r="181" spans="1:4" x14ac:dyDescent="0.2">
      <c r="A181" s="1293">
        <v>33024</v>
      </c>
      <c r="B181" s="1295"/>
      <c r="C181" s="1296"/>
      <c r="D181" s="1295"/>
    </row>
    <row r="182" spans="1:4" x14ac:dyDescent="0.2">
      <c r="A182" s="1293">
        <v>33054</v>
      </c>
      <c r="B182" s="1295"/>
      <c r="C182" s="1296"/>
      <c r="D182" s="1295"/>
    </row>
    <row r="183" spans="1:4" x14ac:dyDescent="0.2">
      <c r="A183" s="1293">
        <v>33085</v>
      </c>
      <c r="B183" s="1295"/>
      <c r="C183" s="1296"/>
      <c r="D183" s="1295"/>
    </row>
    <row r="184" spans="1:4" x14ac:dyDescent="0.2">
      <c r="A184" s="1293">
        <v>33116</v>
      </c>
      <c r="B184" s="1295"/>
      <c r="C184" s="1296"/>
      <c r="D184" s="1295"/>
    </row>
    <row r="185" spans="1:4" x14ac:dyDescent="0.2">
      <c r="A185" s="1293">
        <v>33146</v>
      </c>
      <c r="B185" s="1295"/>
      <c r="C185" s="1296"/>
      <c r="D185" s="1295"/>
    </row>
    <row r="186" spans="1:4" x14ac:dyDescent="0.2">
      <c r="A186" s="1293">
        <v>33177</v>
      </c>
      <c r="B186" s="1295"/>
      <c r="C186" s="1296"/>
      <c r="D186" s="1295"/>
    </row>
    <row r="187" spans="1:4" x14ac:dyDescent="0.2">
      <c r="A187" s="1293">
        <v>33207</v>
      </c>
      <c r="B187" s="1295"/>
      <c r="C187" s="1296"/>
      <c r="D187" s="1295"/>
    </row>
    <row r="188" spans="1:4" x14ac:dyDescent="0.2">
      <c r="A188" s="1293">
        <v>33238</v>
      </c>
      <c r="B188" s="1295"/>
      <c r="C188" s="1296"/>
      <c r="D188" s="1295"/>
    </row>
    <row r="189" spans="1:4" x14ac:dyDescent="0.2">
      <c r="A189" s="1293">
        <v>33269</v>
      </c>
      <c r="B189" s="1295"/>
      <c r="C189" s="1296"/>
      <c r="D189" s="1295"/>
    </row>
    <row r="190" spans="1:4" x14ac:dyDescent="0.2">
      <c r="A190" s="1293">
        <v>33297</v>
      </c>
      <c r="B190" s="1295"/>
      <c r="C190" s="1296"/>
      <c r="D190" s="1295"/>
    </row>
    <row r="191" spans="1:4" x14ac:dyDescent="0.2">
      <c r="A191" s="1293">
        <v>33328</v>
      </c>
      <c r="B191" s="1295"/>
      <c r="C191" s="1296"/>
      <c r="D191" s="1295"/>
    </row>
    <row r="192" spans="1:4" x14ac:dyDescent="0.2">
      <c r="A192" s="1293">
        <v>33358</v>
      </c>
      <c r="B192" s="1295"/>
      <c r="C192" s="1296"/>
      <c r="D192" s="1295"/>
    </row>
    <row r="193" spans="1:4" x14ac:dyDescent="0.2">
      <c r="A193" s="1293">
        <v>33389</v>
      </c>
      <c r="B193" s="1295"/>
      <c r="C193" s="1296"/>
      <c r="D193" s="1295"/>
    </row>
    <row r="194" spans="1:4" x14ac:dyDescent="0.2">
      <c r="A194" s="1293">
        <v>33419</v>
      </c>
      <c r="B194" s="1295"/>
      <c r="C194" s="1296"/>
      <c r="D194" s="1295"/>
    </row>
    <row r="195" spans="1:4" x14ac:dyDescent="0.2">
      <c r="A195" s="1293">
        <v>33450</v>
      </c>
      <c r="B195" s="1295"/>
      <c r="C195" s="1296"/>
      <c r="D195" s="1295"/>
    </row>
    <row r="196" spans="1:4" x14ac:dyDescent="0.2">
      <c r="A196" s="1293">
        <v>33481</v>
      </c>
      <c r="B196" s="1295"/>
      <c r="C196" s="1296"/>
      <c r="D196" s="1295"/>
    </row>
    <row r="197" spans="1:4" x14ac:dyDescent="0.2">
      <c r="A197" s="1293">
        <v>33511</v>
      </c>
      <c r="B197" s="1295"/>
      <c r="C197" s="1296"/>
      <c r="D197" s="1295"/>
    </row>
    <row r="198" spans="1:4" x14ac:dyDescent="0.2">
      <c r="A198" s="1293">
        <v>33542</v>
      </c>
      <c r="B198" s="1295"/>
      <c r="C198" s="1296"/>
      <c r="D198" s="1295"/>
    </row>
    <row r="199" spans="1:4" x14ac:dyDescent="0.2">
      <c r="A199" s="1293">
        <v>33572</v>
      </c>
      <c r="B199" s="1295"/>
      <c r="C199" s="1296"/>
      <c r="D199" s="1295"/>
    </row>
    <row r="200" spans="1:4" x14ac:dyDescent="0.2">
      <c r="A200" s="1293">
        <v>33603</v>
      </c>
      <c r="B200" s="1295"/>
      <c r="C200" s="1296"/>
      <c r="D200" s="1295"/>
    </row>
    <row r="201" spans="1:4" x14ac:dyDescent="0.2">
      <c r="A201" s="1293">
        <v>33634</v>
      </c>
      <c r="B201" s="1295"/>
      <c r="C201" s="1296"/>
      <c r="D201" s="1295"/>
    </row>
    <row r="202" spans="1:4" x14ac:dyDescent="0.2">
      <c r="A202" s="1293">
        <v>33663</v>
      </c>
      <c r="B202" s="1295"/>
      <c r="C202" s="1296"/>
      <c r="D202" s="1295"/>
    </row>
    <row r="203" spans="1:4" x14ac:dyDescent="0.2">
      <c r="A203" s="1293">
        <v>33694</v>
      </c>
      <c r="B203" s="1295"/>
      <c r="C203" s="1296"/>
      <c r="D203" s="1295"/>
    </row>
    <row r="204" spans="1:4" x14ac:dyDescent="0.2">
      <c r="A204" s="1293">
        <v>33724</v>
      </c>
      <c r="B204" s="1295"/>
      <c r="C204" s="1296"/>
      <c r="D204" s="1295"/>
    </row>
    <row r="205" spans="1:4" x14ac:dyDescent="0.2">
      <c r="A205" s="1293">
        <v>33755</v>
      </c>
      <c r="B205" s="1295"/>
      <c r="C205" s="1296"/>
      <c r="D205" s="1295"/>
    </row>
    <row r="206" spans="1:4" x14ac:dyDescent="0.2">
      <c r="A206" s="1293">
        <v>33785</v>
      </c>
      <c r="B206" s="1295"/>
      <c r="C206" s="1296"/>
      <c r="D206" s="1295"/>
    </row>
    <row r="207" spans="1:4" x14ac:dyDescent="0.2">
      <c r="A207" s="1293">
        <v>33816</v>
      </c>
      <c r="B207" s="1295"/>
      <c r="C207" s="1296"/>
      <c r="D207" s="1295"/>
    </row>
    <row r="208" spans="1:4" x14ac:dyDescent="0.2">
      <c r="A208" s="1293">
        <v>33847</v>
      </c>
      <c r="B208" s="1295"/>
      <c r="C208" s="1296"/>
      <c r="D208" s="1295"/>
    </row>
    <row r="209" spans="1:4" x14ac:dyDescent="0.2">
      <c r="A209" s="1293">
        <v>33877</v>
      </c>
      <c r="B209" s="1295"/>
      <c r="C209" s="1296"/>
      <c r="D209" s="1295"/>
    </row>
    <row r="210" spans="1:4" x14ac:dyDescent="0.2">
      <c r="A210" s="1293">
        <v>33908</v>
      </c>
      <c r="B210" s="1295"/>
      <c r="C210" s="1296"/>
      <c r="D210" s="1295"/>
    </row>
    <row r="211" spans="1:4" x14ac:dyDescent="0.2">
      <c r="A211" s="1293">
        <v>33938</v>
      </c>
      <c r="B211" s="1295"/>
      <c r="C211" s="1296"/>
      <c r="D211" s="1295"/>
    </row>
    <row r="212" spans="1:4" x14ac:dyDescent="0.2">
      <c r="A212" s="1293">
        <v>33969</v>
      </c>
      <c r="B212" s="1295"/>
      <c r="C212" s="1296"/>
      <c r="D212" s="1295"/>
    </row>
    <row r="213" spans="1:4" x14ac:dyDescent="0.2">
      <c r="A213" s="1293">
        <v>34000</v>
      </c>
      <c r="B213" s="1295"/>
      <c r="C213" s="1296"/>
      <c r="D213" s="1295"/>
    </row>
    <row r="214" spans="1:4" x14ac:dyDescent="0.2">
      <c r="A214" s="1293">
        <v>34028</v>
      </c>
      <c r="B214" s="1295"/>
      <c r="C214" s="1296"/>
      <c r="D214" s="1295"/>
    </row>
    <row r="215" spans="1:4" x14ac:dyDescent="0.2">
      <c r="A215" s="1293">
        <v>34059</v>
      </c>
      <c r="B215" s="1295"/>
      <c r="C215" s="1296"/>
      <c r="D215" s="1295"/>
    </row>
    <row r="216" spans="1:4" x14ac:dyDescent="0.2">
      <c r="A216" s="1293">
        <v>34089</v>
      </c>
      <c r="B216" s="1295"/>
      <c r="C216" s="1296"/>
      <c r="D216" s="1295"/>
    </row>
    <row r="217" spans="1:4" x14ac:dyDescent="0.2">
      <c r="A217" s="1293">
        <v>34120</v>
      </c>
      <c r="B217" s="1295"/>
      <c r="C217" s="1296"/>
      <c r="D217" s="1295"/>
    </row>
    <row r="218" spans="1:4" x14ac:dyDescent="0.2">
      <c r="A218" s="1293">
        <v>34150</v>
      </c>
      <c r="B218" s="1295"/>
      <c r="C218" s="1296"/>
      <c r="D218" s="1295"/>
    </row>
    <row r="219" spans="1:4" x14ac:dyDescent="0.2">
      <c r="A219" s="1293">
        <v>34181</v>
      </c>
      <c r="B219" s="1295"/>
      <c r="C219" s="1296"/>
      <c r="D219" s="1295"/>
    </row>
    <row r="220" spans="1:4" x14ac:dyDescent="0.2">
      <c r="A220" s="1293">
        <v>34212</v>
      </c>
      <c r="B220" s="1295"/>
      <c r="C220" s="1296"/>
      <c r="D220" s="1295"/>
    </row>
    <row r="221" spans="1:4" x14ac:dyDescent="0.2">
      <c r="A221" s="1293">
        <v>34242</v>
      </c>
      <c r="B221" s="1295"/>
      <c r="C221" s="1296"/>
      <c r="D221" s="1295"/>
    </row>
    <row r="222" spans="1:4" x14ac:dyDescent="0.2">
      <c r="A222" s="1293">
        <v>34273</v>
      </c>
      <c r="B222" s="1295"/>
      <c r="C222" s="1296"/>
      <c r="D222" s="1295"/>
    </row>
    <row r="223" spans="1:4" x14ac:dyDescent="0.2">
      <c r="A223" s="1293">
        <v>34303</v>
      </c>
      <c r="B223" s="1295"/>
      <c r="C223" s="1296"/>
      <c r="D223" s="1295"/>
    </row>
    <row r="224" spans="1:4" x14ac:dyDescent="0.2">
      <c r="A224" s="1293">
        <v>34334</v>
      </c>
      <c r="B224" s="1295"/>
      <c r="C224" s="1296"/>
      <c r="D224" s="1295"/>
    </row>
    <row r="225" spans="1:4" x14ac:dyDescent="0.2">
      <c r="A225" s="1293">
        <v>34365</v>
      </c>
      <c r="B225" s="1295"/>
      <c r="C225" s="1296"/>
      <c r="D225" s="1295"/>
    </row>
    <row r="226" spans="1:4" x14ac:dyDescent="0.2">
      <c r="A226" s="1293">
        <v>34393</v>
      </c>
      <c r="B226" s="1295"/>
      <c r="C226" s="1296"/>
      <c r="D226" s="1295"/>
    </row>
    <row r="227" spans="1:4" x14ac:dyDescent="0.2">
      <c r="A227" s="1293">
        <v>34424</v>
      </c>
      <c r="B227" s="1295"/>
      <c r="C227" s="1296"/>
      <c r="D227" s="1295"/>
    </row>
    <row r="228" spans="1:4" x14ac:dyDescent="0.2">
      <c r="A228" s="1293">
        <v>34454</v>
      </c>
      <c r="B228" s="1295"/>
      <c r="C228" s="1296"/>
      <c r="D228" s="1295"/>
    </row>
    <row r="229" spans="1:4" x14ac:dyDescent="0.2">
      <c r="A229" s="1293">
        <v>34485</v>
      </c>
      <c r="B229" s="1295"/>
      <c r="C229" s="1296"/>
      <c r="D229" s="1295"/>
    </row>
    <row r="230" spans="1:4" x14ac:dyDescent="0.2">
      <c r="A230" s="1293">
        <v>34515</v>
      </c>
      <c r="B230" s="1295"/>
      <c r="C230" s="1296"/>
      <c r="D230" s="1295"/>
    </row>
    <row r="231" spans="1:4" x14ac:dyDescent="0.2">
      <c r="A231" s="1293">
        <v>34546</v>
      </c>
      <c r="B231" s="1295"/>
      <c r="C231" s="1296"/>
      <c r="D231" s="1295"/>
    </row>
    <row r="232" spans="1:4" x14ac:dyDescent="0.2">
      <c r="A232" s="1293">
        <v>34577</v>
      </c>
      <c r="B232" s="1295"/>
      <c r="C232" s="1296"/>
      <c r="D232" s="1295"/>
    </row>
    <row r="233" spans="1:4" x14ac:dyDescent="0.2">
      <c r="A233" s="1293">
        <v>34607</v>
      </c>
      <c r="B233" s="1295"/>
      <c r="C233" s="1296"/>
      <c r="D233" s="1295"/>
    </row>
    <row r="234" spans="1:4" x14ac:dyDescent="0.2">
      <c r="A234" s="1293">
        <v>34638</v>
      </c>
      <c r="B234" s="1295"/>
      <c r="C234" s="1296"/>
      <c r="D234" s="1295"/>
    </row>
    <row r="235" spans="1:4" x14ac:dyDescent="0.2">
      <c r="A235" s="1293">
        <v>34668</v>
      </c>
      <c r="B235" s="1295"/>
      <c r="C235" s="1296"/>
      <c r="D235" s="1295"/>
    </row>
    <row r="236" spans="1:4" x14ac:dyDescent="0.2">
      <c r="A236" s="1293">
        <v>34699</v>
      </c>
      <c r="B236" s="1295"/>
      <c r="C236" s="1296"/>
      <c r="D236" s="1295"/>
    </row>
    <row r="237" spans="1:4" x14ac:dyDescent="0.2">
      <c r="A237" s="1293">
        <v>34730</v>
      </c>
      <c r="B237" s="1295"/>
      <c r="C237" s="1296"/>
      <c r="D237" s="1295"/>
    </row>
    <row r="238" spans="1:4" x14ac:dyDescent="0.2">
      <c r="A238" s="1293">
        <v>34758</v>
      </c>
      <c r="B238" s="1295"/>
      <c r="C238" s="1296"/>
      <c r="D238" s="1295"/>
    </row>
    <row r="239" spans="1:4" x14ac:dyDescent="0.2">
      <c r="A239" s="1293">
        <v>34789</v>
      </c>
      <c r="B239" s="1295"/>
      <c r="C239" s="1296"/>
      <c r="D239" s="1295"/>
    </row>
    <row r="240" spans="1:4" x14ac:dyDescent="0.2">
      <c r="A240" s="1293">
        <v>34819</v>
      </c>
      <c r="B240" s="1295"/>
      <c r="C240" s="1296"/>
      <c r="D240" s="1295"/>
    </row>
    <row r="241" spans="1:4" x14ac:dyDescent="0.2">
      <c r="A241" s="1293">
        <v>34850</v>
      </c>
      <c r="B241" s="1295"/>
      <c r="C241" s="1296"/>
      <c r="D241" s="1295"/>
    </row>
    <row r="242" spans="1:4" x14ac:dyDescent="0.2">
      <c r="A242" s="1293">
        <v>34880</v>
      </c>
      <c r="B242" s="1295"/>
      <c r="C242" s="1296"/>
      <c r="D242" s="1295"/>
    </row>
    <row r="243" spans="1:4" x14ac:dyDescent="0.2">
      <c r="A243" s="1293">
        <v>34911</v>
      </c>
      <c r="B243" s="1295"/>
      <c r="C243" s="1296"/>
      <c r="D243" s="1295"/>
    </row>
    <row r="244" spans="1:4" x14ac:dyDescent="0.2">
      <c r="A244" s="1293">
        <v>34942</v>
      </c>
      <c r="B244" s="1295"/>
      <c r="C244" s="1296"/>
      <c r="D244" s="1295"/>
    </row>
    <row r="245" spans="1:4" x14ac:dyDescent="0.2">
      <c r="A245" s="1293">
        <v>34972</v>
      </c>
      <c r="B245" s="1295"/>
      <c r="C245" s="1296"/>
      <c r="D245" s="1295"/>
    </row>
    <row r="246" spans="1:4" x14ac:dyDescent="0.2">
      <c r="A246" s="1293">
        <v>35003</v>
      </c>
      <c r="B246" s="1295"/>
      <c r="C246" s="1296"/>
      <c r="D246" s="1295"/>
    </row>
    <row r="247" spans="1:4" x14ac:dyDescent="0.2">
      <c r="A247" s="1293">
        <v>35033</v>
      </c>
      <c r="B247" s="1295"/>
      <c r="C247" s="1296"/>
      <c r="D247" s="1295"/>
    </row>
    <row r="248" spans="1:4" x14ac:dyDescent="0.2">
      <c r="A248" s="1293">
        <v>35064</v>
      </c>
      <c r="B248" s="1295"/>
      <c r="C248" s="1296"/>
      <c r="D248" s="1295"/>
    </row>
    <row r="249" spans="1:4" x14ac:dyDescent="0.2">
      <c r="A249" s="1293">
        <v>35095</v>
      </c>
      <c r="B249" s="1295"/>
      <c r="C249" s="1296"/>
      <c r="D249" s="1295"/>
    </row>
    <row r="250" spans="1:4" x14ac:dyDescent="0.2">
      <c r="A250" s="1293">
        <v>35124</v>
      </c>
      <c r="B250" s="1295"/>
      <c r="C250" s="1296"/>
      <c r="D250" s="1295"/>
    </row>
    <row r="251" spans="1:4" x14ac:dyDescent="0.2">
      <c r="A251" s="1293">
        <v>35155</v>
      </c>
      <c r="B251" s="1295"/>
      <c r="C251" s="1296"/>
      <c r="D251" s="1295"/>
    </row>
    <row r="252" spans="1:4" x14ac:dyDescent="0.2">
      <c r="A252" s="1293">
        <v>35185</v>
      </c>
      <c r="B252" s="1295"/>
      <c r="C252" s="1296"/>
      <c r="D252" s="1295"/>
    </row>
    <row r="253" spans="1:4" x14ac:dyDescent="0.2">
      <c r="A253" s="1293">
        <v>35216</v>
      </c>
      <c r="B253" s="1295"/>
      <c r="C253" s="1296"/>
      <c r="D253" s="1295"/>
    </row>
    <row r="254" spans="1:4" x14ac:dyDescent="0.2">
      <c r="A254" s="1293">
        <v>35246</v>
      </c>
      <c r="B254" s="1295"/>
      <c r="C254" s="1296"/>
      <c r="D254" s="1295"/>
    </row>
    <row r="255" spans="1:4" x14ac:dyDescent="0.2">
      <c r="A255" s="1293">
        <v>35277</v>
      </c>
      <c r="B255" s="1295"/>
      <c r="C255" s="1296"/>
      <c r="D255" s="1295"/>
    </row>
    <row r="256" spans="1:4" x14ac:dyDescent="0.2">
      <c r="A256" s="1293">
        <v>35308</v>
      </c>
      <c r="B256" s="1295"/>
      <c r="C256" s="1296"/>
      <c r="D256" s="1295"/>
    </row>
    <row r="257" spans="1:4" x14ac:dyDescent="0.2">
      <c r="A257" s="1293">
        <v>35338</v>
      </c>
      <c r="B257" s="1295"/>
      <c r="C257" s="1296"/>
      <c r="D257" s="1295"/>
    </row>
    <row r="258" spans="1:4" x14ac:dyDescent="0.2">
      <c r="A258" s="1293">
        <v>35369</v>
      </c>
      <c r="B258" s="1295"/>
      <c r="C258" s="1296"/>
      <c r="D258" s="1295"/>
    </row>
    <row r="259" spans="1:4" x14ac:dyDescent="0.2">
      <c r="A259" s="1293">
        <v>35399</v>
      </c>
      <c r="B259" s="1295"/>
      <c r="C259" s="1296"/>
      <c r="D259" s="1295"/>
    </row>
    <row r="260" spans="1:4" x14ac:dyDescent="0.2">
      <c r="A260" s="1293">
        <v>35430</v>
      </c>
      <c r="B260" s="1295"/>
      <c r="C260" s="1296"/>
      <c r="D260" s="1295"/>
    </row>
    <row r="261" spans="1:4" x14ac:dyDescent="0.2">
      <c r="A261" s="1293">
        <v>35461</v>
      </c>
      <c r="B261" s="1295"/>
      <c r="C261" s="1296"/>
      <c r="D261" s="1295"/>
    </row>
    <row r="262" spans="1:4" x14ac:dyDescent="0.2">
      <c r="A262" s="1293">
        <v>35489</v>
      </c>
      <c r="B262" s="1295"/>
      <c r="C262" s="1296"/>
      <c r="D262" s="1295"/>
    </row>
    <row r="263" spans="1:4" x14ac:dyDescent="0.2">
      <c r="A263" s="1293">
        <v>35520</v>
      </c>
      <c r="B263" s="1295"/>
      <c r="C263" s="1296"/>
      <c r="D263" s="1295"/>
    </row>
    <row r="264" spans="1:4" x14ac:dyDescent="0.2">
      <c r="A264" s="1293">
        <v>35550</v>
      </c>
      <c r="B264" s="1295"/>
      <c r="C264" s="1296"/>
      <c r="D264" s="1295"/>
    </row>
    <row r="265" spans="1:4" x14ac:dyDescent="0.2">
      <c r="A265" s="1293">
        <v>35581</v>
      </c>
      <c r="B265" s="1295"/>
      <c r="C265" s="1296"/>
      <c r="D265" s="1295"/>
    </row>
    <row r="266" spans="1:4" x14ac:dyDescent="0.2">
      <c r="A266" s="1293">
        <v>35611</v>
      </c>
      <c r="B266" s="1295"/>
      <c r="C266" s="1296"/>
      <c r="D266" s="1295"/>
    </row>
    <row r="267" spans="1:4" x14ac:dyDescent="0.2">
      <c r="A267" s="1293">
        <v>35642</v>
      </c>
      <c r="B267" s="1295"/>
      <c r="C267" s="1296"/>
      <c r="D267" s="1295"/>
    </row>
    <row r="268" spans="1:4" x14ac:dyDescent="0.2">
      <c r="A268" s="1293">
        <v>35673</v>
      </c>
      <c r="B268" s="1295"/>
      <c r="C268" s="1296"/>
      <c r="D268" s="1295"/>
    </row>
    <row r="269" spans="1:4" x14ac:dyDescent="0.2">
      <c r="A269" s="1293">
        <v>35703</v>
      </c>
      <c r="B269" s="1295"/>
      <c r="C269" s="1296"/>
      <c r="D269" s="1295"/>
    </row>
    <row r="270" spans="1:4" x14ac:dyDescent="0.2">
      <c r="A270" s="1293">
        <v>35734</v>
      </c>
      <c r="B270" s="1295"/>
      <c r="C270" s="1296"/>
      <c r="D270" s="1295"/>
    </row>
    <row r="271" spans="1:4" x14ac:dyDescent="0.2">
      <c r="A271" s="1293">
        <v>35764</v>
      </c>
      <c r="B271" s="1295"/>
      <c r="C271" s="1296"/>
      <c r="D271" s="1295"/>
    </row>
    <row r="272" spans="1:4" x14ac:dyDescent="0.2">
      <c r="A272" s="1293">
        <v>35795</v>
      </c>
      <c r="B272" s="1295"/>
      <c r="C272" s="1296"/>
      <c r="D272" s="1295"/>
    </row>
    <row r="273" spans="1:4" x14ac:dyDescent="0.2">
      <c r="A273" s="1293">
        <v>35826</v>
      </c>
      <c r="B273" s="1295"/>
      <c r="C273" s="1296"/>
      <c r="D273" s="1295"/>
    </row>
    <row r="274" spans="1:4" x14ac:dyDescent="0.2">
      <c r="A274" s="1293">
        <v>35854</v>
      </c>
      <c r="B274" s="1295"/>
      <c r="C274" s="1297"/>
      <c r="D274" s="1295"/>
    </row>
    <row r="275" spans="1:4" x14ac:dyDescent="0.2">
      <c r="A275" s="1293">
        <v>35885</v>
      </c>
      <c r="B275" s="1295"/>
      <c r="C275" s="1297"/>
      <c r="D275" s="1295"/>
    </row>
    <row r="276" spans="1:4" x14ac:dyDescent="0.2">
      <c r="A276" s="1293">
        <v>35915</v>
      </c>
      <c r="B276" s="1295"/>
      <c r="C276" s="1297"/>
      <c r="D276" s="1295"/>
    </row>
    <row r="277" spans="1:4" x14ac:dyDescent="0.2">
      <c r="A277" s="1293">
        <v>35946</v>
      </c>
      <c r="B277" s="1295"/>
      <c r="C277" s="1297"/>
      <c r="D277" s="1295"/>
    </row>
    <row r="278" spans="1:4" x14ac:dyDescent="0.2">
      <c r="A278" s="1293">
        <v>35976</v>
      </c>
      <c r="B278" s="1295"/>
      <c r="C278" s="1297"/>
      <c r="D278" s="1295"/>
    </row>
    <row r="279" spans="1:4" x14ac:dyDescent="0.2">
      <c r="A279" s="1293">
        <v>36007</v>
      </c>
      <c r="B279" s="1295"/>
      <c r="C279" s="1297"/>
      <c r="D279" s="1295"/>
    </row>
    <row r="280" spans="1:4" x14ac:dyDescent="0.2">
      <c r="A280" s="1293">
        <v>36038</v>
      </c>
      <c r="B280" s="1295"/>
      <c r="C280" s="1297"/>
      <c r="D280" s="1295"/>
    </row>
    <row r="281" spans="1:4" x14ac:dyDescent="0.2">
      <c r="A281" s="1293">
        <v>36068</v>
      </c>
      <c r="B281" s="1295"/>
      <c r="C281" s="1297"/>
      <c r="D281" s="1295"/>
    </row>
    <row r="282" spans="1:4" x14ac:dyDescent="0.2">
      <c r="A282" s="1293">
        <v>36099</v>
      </c>
      <c r="B282" s="1295"/>
      <c r="C282" s="1297"/>
      <c r="D282" s="1295"/>
    </row>
    <row r="283" spans="1:4" x14ac:dyDescent="0.2">
      <c r="A283" s="1293">
        <v>36129</v>
      </c>
      <c r="B283" s="1295"/>
      <c r="C283" s="1297"/>
      <c r="D283" s="1295"/>
    </row>
    <row r="284" spans="1:4" x14ac:dyDescent="0.2">
      <c r="A284" s="1293">
        <v>36160</v>
      </c>
      <c r="B284" s="1295"/>
      <c r="C284" s="1297"/>
      <c r="D284" s="1295"/>
    </row>
    <row r="285" spans="1:4" x14ac:dyDescent="0.2">
      <c r="A285" s="1293">
        <v>36191</v>
      </c>
      <c r="B285" s="1295"/>
      <c r="C285" s="1297"/>
      <c r="D285" s="1295"/>
    </row>
    <row r="286" spans="1:4" x14ac:dyDescent="0.2">
      <c r="A286" s="1293">
        <v>36219</v>
      </c>
      <c r="B286" s="1295"/>
      <c r="C286" s="1297"/>
      <c r="D286" s="1295"/>
    </row>
    <row r="287" spans="1:4" x14ac:dyDescent="0.2">
      <c r="A287" s="1293">
        <v>36250</v>
      </c>
      <c r="B287" s="1295"/>
      <c r="C287" s="1297"/>
      <c r="D287" s="1295"/>
    </row>
    <row r="288" spans="1:4" x14ac:dyDescent="0.2">
      <c r="A288" s="1293">
        <v>36280</v>
      </c>
      <c r="B288" s="1295"/>
      <c r="C288" s="1297"/>
      <c r="D288" s="1295"/>
    </row>
    <row r="289" spans="1:4" x14ac:dyDescent="0.2">
      <c r="A289" s="1293">
        <v>36311</v>
      </c>
      <c r="B289" s="1295"/>
      <c r="C289" s="1297"/>
      <c r="D289" s="1295"/>
    </row>
    <row r="290" spans="1:4" x14ac:dyDescent="0.2">
      <c r="A290" s="1293">
        <v>36341</v>
      </c>
      <c r="B290" s="1295"/>
      <c r="C290" s="1297"/>
      <c r="D290" s="1295"/>
    </row>
    <row r="291" spans="1:4" x14ac:dyDescent="0.2">
      <c r="A291" s="1293">
        <v>36372</v>
      </c>
      <c r="B291" s="1295"/>
      <c r="C291" s="1297"/>
      <c r="D291" s="1295"/>
    </row>
    <row r="292" spans="1:4" x14ac:dyDescent="0.2">
      <c r="A292" s="1293">
        <v>36403</v>
      </c>
      <c r="B292" s="1295"/>
      <c r="C292" s="1297"/>
      <c r="D292" s="1295"/>
    </row>
    <row r="293" spans="1:4" x14ac:dyDescent="0.2">
      <c r="A293" s="1293">
        <v>36433</v>
      </c>
      <c r="B293" s="1295"/>
      <c r="C293" s="1297"/>
      <c r="D293" s="1295"/>
    </row>
    <row r="294" spans="1:4" x14ac:dyDescent="0.2">
      <c r="A294" s="1293">
        <v>36464</v>
      </c>
      <c r="B294" s="1295"/>
      <c r="C294" s="1297"/>
      <c r="D294" s="1295"/>
    </row>
    <row r="295" spans="1:4" x14ac:dyDescent="0.2">
      <c r="A295" s="1293">
        <v>36494</v>
      </c>
      <c r="B295" s="1295"/>
      <c r="C295" s="1297"/>
      <c r="D295" s="1295"/>
    </row>
    <row r="296" spans="1:4" x14ac:dyDescent="0.2">
      <c r="A296" s="1293">
        <v>36525</v>
      </c>
      <c r="B296" s="1295"/>
      <c r="C296" s="1297"/>
      <c r="D296" s="1295"/>
    </row>
    <row r="297" spans="1:4" x14ac:dyDescent="0.2">
      <c r="A297" s="1293">
        <v>36556</v>
      </c>
      <c r="B297" s="1295"/>
      <c r="C297" s="1297"/>
      <c r="D297" s="1295"/>
    </row>
    <row r="298" spans="1:4" x14ac:dyDescent="0.2">
      <c r="A298" s="1293">
        <v>36585</v>
      </c>
      <c r="B298" s="1295"/>
      <c r="C298" s="1297"/>
      <c r="D298" s="1295"/>
    </row>
    <row r="299" spans="1:4" x14ac:dyDescent="0.2">
      <c r="A299" s="1293">
        <v>36616</v>
      </c>
      <c r="B299" s="1295"/>
      <c r="C299" s="1297"/>
      <c r="D299" s="1295"/>
    </row>
    <row r="300" spans="1:4" x14ac:dyDescent="0.2">
      <c r="A300" s="1293">
        <v>36646</v>
      </c>
      <c r="B300" s="1295"/>
      <c r="C300" s="1297"/>
      <c r="D300" s="1295"/>
    </row>
    <row r="301" spans="1:4" x14ac:dyDescent="0.2">
      <c r="A301" s="1293">
        <v>36677</v>
      </c>
      <c r="B301" s="1295"/>
      <c r="C301" s="1297"/>
      <c r="D301" s="1295"/>
    </row>
    <row r="302" spans="1:4" x14ac:dyDescent="0.2">
      <c r="A302" s="1293">
        <v>36707</v>
      </c>
      <c r="B302" s="1295"/>
      <c r="C302" s="1297"/>
      <c r="D302" s="1295"/>
    </row>
    <row r="303" spans="1:4" x14ac:dyDescent="0.2">
      <c r="A303" s="1293">
        <v>36738</v>
      </c>
      <c r="B303" s="1295"/>
      <c r="C303" s="1297"/>
      <c r="D303" s="1295"/>
    </row>
    <row r="304" spans="1:4" x14ac:dyDescent="0.2">
      <c r="A304" s="1293">
        <v>36769</v>
      </c>
      <c r="B304" s="1295"/>
      <c r="C304" s="1297"/>
      <c r="D304" s="1295"/>
    </row>
    <row r="305" spans="1:4" x14ac:dyDescent="0.2">
      <c r="A305" s="1293">
        <v>36799</v>
      </c>
      <c r="B305" s="1298"/>
      <c r="C305" s="1299"/>
      <c r="D305" s="1295"/>
    </row>
    <row r="306" spans="1:4" x14ac:dyDescent="0.2">
      <c r="A306" s="1293">
        <v>36830</v>
      </c>
      <c r="B306" s="1300"/>
      <c r="C306" s="1299"/>
      <c r="D306" s="1300"/>
    </row>
    <row r="307" spans="1:4" x14ac:dyDescent="0.2">
      <c r="A307" s="1293">
        <v>36860</v>
      </c>
      <c r="B307" s="1300"/>
      <c r="C307" s="1299"/>
      <c r="D307" s="1300"/>
    </row>
    <row r="308" spans="1:4" x14ac:dyDescent="0.2">
      <c r="A308" s="1293">
        <v>36891</v>
      </c>
      <c r="B308" s="1300"/>
      <c r="C308" s="1299"/>
      <c r="D308" s="1300"/>
    </row>
    <row r="309" spans="1:4" x14ac:dyDescent="0.2">
      <c r="A309" s="1293">
        <v>36922</v>
      </c>
      <c r="B309" s="1300"/>
      <c r="C309" s="1299"/>
      <c r="D309" s="1300"/>
    </row>
    <row r="310" spans="1:4" x14ac:dyDescent="0.2">
      <c r="A310" s="1293">
        <v>36950</v>
      </c>
      <c r="B310" s="1300"/>
      <c r="C310" s="1299"/>
      <c r="D310" s="1300"/>
    </row>
    <row r="311" spans="1:4" x14ac:dyDescent="0.2">
      <c r="A311" s="1293">
        <v>36981</v>
      </c>
      <c r="B311" s="1300"/>
      <c r="C311" s="1299"/>
      <c r="D311" s="1300"/>
    </row>
    <row r="312" spans="1:4" x14ac:dyDescent="0.2">
      <c r="A312" s="1293">
        <v>37011</v>
      </c>
      <c r="B312" s="1300"/>
      <c r="C312" s="1299"/>
      <c r="D312" s="1300"/>
    </row>
    <row r="313" spans="1:4" x14ac:dyDescent="0.2">
      <c r="A313" s="1293">
        <v>37042</v>
      </c>
      <c r="B313" s="1300"/>
      <c r="C313" s="1299"/>
      <c r="D313" s="1300"/>
    </row>
    <row r="314" spans="1:4" x14ac:dyDescent="0.2">
      <c r="A314" s="1293">
        <v>37072</v>
      </c>
      <c r="B314" s="1300"/>
      <c r="C314" s="1299"/>
      <c r="D314" s="1300"/>
    </row>
    <row r="315" spans="1:4" x14ac:dyDescent="0.2">
      <c r="A315" s="1293">
        <v>37103</v>
      </c>
      <c r="B315" s="1300"/>
      <c r="C315" s="1299"/>
      <c r="D315" s="1300"/>
    </row>
    <row r="316" spans="1:4" x14ac:dyDescent="0.2">
      <c r="A316" s="1293">
        <v>37134</v>
      </c>
      <c r="B316" s="1300"/>
      <c r="C316" s="1299"/>
      <c r="D316" s="1300"/>
    </row>
    <row r="317" spans="1:4" x14ac:dyDescent="0.2">
      <c r="A317" s="1293">
        <v>37164</v>
      </c>
      <c r="B317" s="1300"/>
      <c r="C317" s="1299"/>
      <c r="D317" s="1300"/>
    </row>
    <row r="318" spans="1:4" x14ac:dyDescent="0.2">
      <c r="A318" s="1293">
        <v>37195</v>
      </c>
      <c r="B318" s="1300"/>
      <c r="C318" s="1299"/>
      <c r="D318" s="1300"/>
    </row>
    <row r="319" spans="1:4" x14ac:dyDescent="0.2">
      <c r="A319" s="1293">
        <v>37225</v>
      </c>
      <c r="B319" s="1300"/>
      <c r="C319" s="1299"/>
      <c r="D319" s="1300"/>
    </row>
    <row r="320" spans="1:4" x14ac:dyDescent="0.2">
      <c r="A320" s="1293">
        <v>37256</v>
      </c>
      <c r="B320" s="1300"/>
      <c r="C320" s="1299"/>
      <c r="D320" s="1300"/>
    </row>
    <row r="321" spans="1:4" x14ac:dyDescent="0.2">
      <c r="A321" s="1293">
        <v>37287</v>
      </c>
      <c r="B321" s="1300"/>
      <c r="C321" s="1299"/>
      <c r="D321" s="1300"/>
    </row>
    <row r="322" spans="1:4" x14ac:dyDescent="0.2">
      <c r="A322" s="1293">
        <v>37315</v>
      </c>
      <c r="B322" s="1300"/>
      <c r="C322" s="1299"/>
      <c r="D322" s="1300"/>
    </row>
    <row r="323" spans="1:4" x14ac:dyDescent="0.2">
      <c r="A323" s="1293">
        <v>37346</v>
      </c>
      <c r="B323" s="1300"/>
      <c r="C323" s="1299"/>
      <c r="D323" s="1300"/>
    </row>
    <row r="324" spans="1:4" x14ac:dyDescent="0.2">
      <c r="A324" s="1293">
        <v>37376</v>
      </c>
      <c r="B324" s="1300"/>
      <c r="C324" s="1299"/>
      <c r="D324" s="1300"/>
    </row>
    <row r="325" spans="1:4" x14ac:dyDescent="0.2">
      <c r="A325" s="1293">
        <v>37407</v>
      </c>
      <c r="B325" s="1300"/>
      <c r="C325" s="1299"/>
      <c r="D325" s="1300"/>
    </row>
    <row r="326" spans="1:4" x14ac:dyDescent="0.2">
      <c r="A326" s="1293">
        <v>37437</v>
      </c>
      <c r="B326" s="1300"/>
      <c r="C326" s="1299"/>
      <c r="D326" s="1300"/>
    </row>
    <row r="327" spans="1:4" x14ac:dyDescent="0.2">
      <c r="A327" s="1293">
        <v>37468</v>
      </c>
      <c r="B327" s="1300"/>
      <c r="C327" s="1299"/>
      <c r="D327" s="1300"/>
    </row>
    <row r="328" spans="1:4" x14ac:dyDescent="0.2">
      <c r="A328" s="1293">
        <v>37499</v>
      </c>
      <c r="B328" s="1300"/>
      <c r="C328" s="1299"/>
      <c r="D328" s="1300"/>
    </row>
    <row r="329" spans="1:4" x14ac:dyDescent="0.2">
      <c r="A329" s="1293">
        <v>37529</v>
      </c>
      <c r="B329" s="1300"/>
      <c r="C329" s="1299"/>
      <c r="D329" s="1300"/>
    </row>
    <row r="330" spans="1:4" x14ac:dyDescent="0.2">
      <c r="A330" s="1293">
        <v>37560</v>
      </c>
      <c r="B330" s="1300"/>
      <c r="C330" s="1299"/>
      <c r="D330" s="1300"/>
    </row>
    <row r="331" spans="1:4" x14ac:dyDescent="0.2">
      <c r="A331" s="1293">
        <v>37590</v>
      </c>
      <c r="B331" s="1300"/>
      <c r="C331" s="1299"/>
      <c r="D331" s="1300"/>
    </row>
    <row r="332" spans="1:4" x14ac:dyDescent="0.2">
      <c r="A332" s="1293">
        <v>37621</v>
      </c>
      <c r="B332" s="1300"/>
      <c r="C332" s="1299"/>
      <c r="D332" s="1300"/>
    </row>
    <row r="333" spans="1:4" x14ac:dyDescent="0.2">
      <c r="A333" s="1293">
        <v>37652</v>
      </c>
      <c r="B333" s="1300"/>
      <c r="C333" s="1299"/>
      <c r="D333" s="1300"/>
    </row>
    <row r="334" spans="1:4" x14ac:dyDescent="0.2">
      <c r="A334" s="1293">
        <v>37680</v>
      </c>
      <c r="B334" s="1300"/>
      <c r="C334" s="1299"/>
      <c r="D334" s="1300"/>
    </row>
    <row r="335" spans="1:4" x14ac:dyDescent="0.2">
      <c r="A335" s="1293">
        <v>37711</v>
      </c>
      <c r="B335" s="1300"/>
      <c r="C335" s="1299"/>
      <c r="D335" s="1300"/>
    </row>
    <row r="336" spans="1:4" x14ac:dyDescent="0.2">
      <c r="A336" s="1293">
        <v>37741</v>
      </c>
      <c r="B336" s="1300"/>
      <c r="C336" s="1299"/>
      <c r="D336" s="1300"/>
    </row>
    <row r="337" spans="1:4" x14ac:dyDescent="0.2">
      <c r="A337" s="1293">
        <v>37772</v>
      </c>
      <c r="B337" s="1300"/>
      <c r="C337" s="1299"/>
      <c r="D337" s="1300"/>
    </row>
    <row r="338" spans="1:4" x14ac:dyDescent="0.2">
      <c r="A338" s="1293">
        <v>37802</v>
      </c>
      <c r="B338" s="1300"/>
      <c r="C338" s="1299"/>
      <c r="D338" s="1300"/>
    </row>
    <row r="339" spans="1:4" x14ac:dyDescent="0.2">
      <c r="A339" s="1293">
        <v>37833</v>
      </c>
      <c r="B339" s="1300"/>
      <c r="C339" s="1299"/>
      <c r="D339" s="1300"/>
    </row>
    <row r="340" spans="1:4" x14ac:dyDescent="0.2">
      <c r="A340" s="1293">
        <v>37864</v>
      </c>
      <c r="B340" s="1300"/>
      <c r="C340" s="1299"/>
      <c r="D340" s="1300"/>
    </row>
    <row r="341" spans="1:4" x14ac:dyDescent="0.2">
      <c r="A341" s="1293">
        <v>37894</v>
      </c>
      <c r="B341" s="1300"/>
      <c r="C341" s="1302"/>
      <c r="D341" s="1300"/>
    </row>
    <row r="342" spans="1:4" x14ac:dyDescent="0.2">
      <c r="A342" s="1293">
        <v>37925</v>
      </c>
      <c r="B342" s="1300"/>
      <c r="C342" s="1302"/>
      <c r="D342" s="1300"/>
    </row>
    <row r="343" spans="1:4" x14ac:dyDescent="0.2">
      <c r="A343" s="1293">
        <v>37955</v>
      </c>
      <c r="B343" s="1300"/>
      <c r="C343" s="1302"/>
      <c r="D343" s="1300"/>
    </row>
    <row r="344" spans="1:4" x14ac:dyDescent="0.2">
      <c r="A344" s="1293">
        <v>37986</v>
      </c>
      <c r="B344" s="1300"/>
      <c r="C344" s="1302"/>
      <c r="D344" s="1300"/>
    </row>
    <row r="345" spans="1:4" x14ac:dyDescent="0.2">
      <c r="A345" s="1293">
        <v>38017</v>
      </c>
      <c r="B345" s="1300"/>
      <c r="C345" s="1302"/>
      <c r="D345" s="1300"/>
    </row>
    <row r="346" spans="1:4" x14ac:dyDescent="0.2">
      <c r="A346" s="1293">
        <v>38046</v>
      </c>
      <c r="B346" s="1300"/>
      <c r="C346" s="1302"/>
      <c r="D346" s="1300"/>
    </row>
    <row r="347" spans="1:4" x14ac:dyDescent="0.2">
      <c r="A347" s="1293">
        <v>38077</v>
      </c>
      <c r="B347" s="1300"/>
      <c r="C347" s="1302"/>
      <c r="D347" s="1303"/>
    </row>
    <row r="348" spans="1:4" x14ac:dyDescent="0.2">
      <c r="A348" s="1293">
        <v>38107</v>
      </c>
      <c r="B348" s="1300"/>
      <c r="C348" s="1302"/>
      <c r="D348" s="1300"/>
    </row>
    <row r="349" spans="1:4" x14ac:dyDescent="0.2">
      <c r="A349" s="1293">
        <v>38138</v>
      </c>
      <c r="B349" s="1300"/>
      <c r="C349" s="1302"/>
      <c r="D349" s="1300"/>
    </row>
    <row r="350" spans="1:4" x14ac:dyDescent="0.2">
      <c r="A350" s="1293">
        <v>38168</v>
      </c>
      <c r="B350" s="1300"/>
      <c r="C350" s="1302"/>
      <c r="D350" s="1300"/>
    </row>
    <row r="351" spans="1:4" x14ac:dyDescent="0.2">
      <c r="A351" s="1293">
        <v>38199</v>
      </c>
      <c r="B351" s="1300"/>
      <c r="C351" s="1302"/>
      <c r="D351" s="1300"/>
    </row>
    <row r="352" spans="1:4" x14ac:dyDescent="0.2">
      <c r="A352" s="1293">
        <v>38230</v>
      </c>
      <c r="B352" s="1300"/>
      <c r="C352" s="1302"/>
      <c r="D352" s="1300"/>
    </row>
    <row r="353" spans="1:4" x14ac:dyDescent="0.2">
      <c r="A353" s="1293">
        <v>38260</v>
      </c>
      <c r="B353" s="1300"/>
      <c r="C353" s="1302"/>
      <c r="D353" s="1300"/>
    </row>
    <row r="354" spans="1:4" x14ac:dyDescent="0.2">
      <c r="A354" s="1293">
        <v>38291</v>
      </c>
      <c r="B354" s="1300"/>
      <c r="C354" s="1302"/>
      <c r="D354" s="1300"/>
    </row>
    <row r="355" spans="1:4" x14ac:dyDescent="0.2">
      <c r="A355" s="1293">
        <v>38321</v>
      </c>
      <c r="B355" s="1300"/>
      <c r="C355" s="1302"/>
      <c r="D355" s="1300"/>
    </row>
    <row r="356" spans="1:4" x14ac:dyDescent="0.2">
      <c r="A356" s="1293">
        <v>38352</v>
      </c>
      <c r="B356" s="1300"/>
      <c r="C356" s="1304"/>
      <c r="D356" s="1300"/>
    </row>
    <row r="357" spans="1:4" x14ac:dyDescent="0.2">
      <c r="A357" s="1293">
        <v>38383</v>
      </c>
      <c r="B357" s="1300"/>
      <c r="C357" s="1302"/>
      <c r="D357" s="1300"/>
    </row>
    <row r="358" spans="1:4" x14ac:dyDescent="0.2">
      <c r="A358" s="1293">
        <v>38411</v>
      </c>
      <c r="B358" s="1300"/>
      <c r="C358" s="1302"/>
      <c r="D358" s="1300"/>
    </row>
    <row r="359" spans="1:4" x14ac:dyDescent="0.2">
      <c r="A359" s="1293">
        <v>38442</v>
      </c>
      <c r="B359" s="1300"/>
      <c r="C359" s="1304"/>
      <c r="D359" s="1300"/>
    </row>
    <row r="360" spans="1:4" x14ac:dyDescent="0.2">
      <c r="A360" s="1293">
        <v>38472</v>
      </c>
      <c r="B360" s="1300"/>
      <c r="C360" s="1304"/>
      <c r="D360" s="1300"/>
    </row>
    <row r="361" spans="1:4" x14ac:dyDescent="0.2">
      <c r="A361" s="1293">
        <v>38503</v>
      </c>
      <c r="B361" s="1300"/>
      <c r="C361" s="1304"/>
      <c r="D361" s="1300"/>
    </row>
    <row r="362" spans="1:4" x14ac:dyDescent="0.2">
      <c r="A362" s="1293">
        <v>38533</v>
      </c>
      <c r="B362" s="1300"/>
      <c r="C362" s="1304"/>
      <c r="D362" s="1300"/>
    </row>
    <row r="363" spans="1:4" x14ac:dyDescent="0.2">
      <c r="A363" s="1293">
        <v>38564</v>
      </c>
      <c r="B363" s="1300"/>
      <c r="C363" s="1304"/>
      <c r="D363" s="1300"/>
    </row>
    <row r="364" spans="1:4" x14ac:dyDescent="0.2">
      <c r="A364" s="1293">
        <v>38595</v>
      </c>
      <c r="B364" s="1300"/>
      <c r="C364" s="1304"/>
      <c r="D364" s="1300"/>
    </row>
    <row r="365" spans="1:4" x14ac:dyDescent="0.2">
      <c r="A365" s="1293">
        <v>38625</v>
      </c>
      <c r="B365" s="1300"/>
      <c r="C365" s="1304"/>
      <c r="D365" s="1300"/>
    </row>
    <row r="366" spans="1:4" x14ac:dyDescent="0.2">
      <c r="A366" s="1293">
        <v>38656</v>
      </c>
      <c r="B366" s="1300"/>
      <c r="C366" s="1304"/>
      <c r="D366" s="1300"/>
    </row>
    <row r="367" spans="1:4" x14ac:dyDescent="0.2">
      <c r="A367" s="1293">
        <v>38686</v>
      </c>
      <c r="B367" s="1300"/>
      <c r="C367" s="1304"/>
      <c r="D367" s="1300"/>
    </row>
    <row r="368" spans="1:4" x14ac:dyDescent="0.2">
      <c r="A368" s="1293">
        <v>38717</v>
      </c>
      <c r="B368" s="1300"/>
      <c r="C368" s="1304"/>
      <c r="D368" s="1300"/>
    </row>
    <row r="369" spans="1:6" x14ac:dyDescent="0.2">
      <c r="A369" s="1293">
        <v>38748</v>
      </c>
      <c r="B369" s="1300"/>
      <c r="C369" s="1304"/>
      <c r="D369" s="1300"/>
    </row>
    <row r="370" spans="1:6" x14ac:dyDescent="0.2">
      <c r="A370" s="1293">
        <v>38776</v>
      </c>
      <c r="B370" s="1300"/>
      <c r="C370" s="1304"/>
      <c r="D370" s="1300"/>
    </row>
    <row r="371" spans="1:6" x14ac:dyDescent="0.2">
      <c r="A371" s="1293">
        <v>38807</v>
      </c>
      <c r="B371" s="1300"/>
      <c r="C371" s="1299"/>
      <c r="D371" s="1300"/>
    </row>
    <row r="372" spans="1:6" x14ac:dyDescent="0.2">
      <c r="A372" s="1293">
        <v>38837</v>
      </c>
      <c r="B372" s="1300"/>
      <c r="C372" s="1299"/>
      <c r="D372" s="1300"/>
    </row>
    <row r="373" spans="1:6" x14ac:dyDescent="0.2">
      <c r="A373" s="1293">
        <v>38868</v>
      </c>
      <c r="B373" s="1300"/>
      <c r="C373" s="1299"/>
      <c r="D373" s="1300"/>
    </row>
    <row r="374" spans="1:6" x14ac:dyDescent="0.2">
      <c r="A374" s="1293">
        <v>38898</v>
      </c>
      <c r="B374" s="1372"/>
      <c r="C374" s="1387"/>
      <c r="D374" s="1300"/>
    </row>
    <row r="375" spans="1:6" x14ac:dyDescent="0.2">
      <c r="A375" s="1293">
        <v>38929</v>
      </c>
      <c r="B375" s="1300"/>
      <c r="C375" s="1302"/>
      <c r="D375" s="1300"/>
    </row>
    <row r="376" spans="1:6" x14ac:dyDescent="0.2">
      <c r="A376" s="1293">
        <v>38960</v>
      </c>
      <c r="B376" s="1300"/>
      <c r="C376" s="1302"/>
      <c r="D376" s="1300"/>
    </row>
    <row r="377" spans="1:6" x14ac:dyDescent="0.2">
      <c r="A377" s="1293">
        <v>38990</v>
      </c>
      <c r="B377" s="1300"/>
      <c r="C377" s="1302"/>
      <c r="D377" s="1300"/>
    </row>
    <row r="378" spans="1:6" x14ac:dyDescent="0.2">
      <c r="A378" s="1293">
        <v>39021</v>
      </c>
      <c r="B378" s="1300"/>
      <c r="C378" s="1302"/>
      <c r="D378" s="1300"/>
      <c r="F378" s="1305"/>
    </row>
    <row r="379" spans="1:6" x14ac:dyDescent="0.2">
      <c r="A379" s="1293">
        <v>39051</v>
      </c>
      <c r="B379" s="1300"/>
      <c r="C379" s="1302"/>
      <c r="D379" s="1300"/>
      <c r="F379" s="1305"/>
    </row>
    <row r="380" spans="1:6" x14ac:dyDescent="0.2">
      <c r="A380" s="1293">
        <v>39082</v>
      </c>
      <c r="B380" s="1300"/>
      <c r="C380" s="1302"/>
      <c r="D380" s="1300"/>
      <c r="F380" s="1305"/>
    </row>
    <row r="381" spans="1:6" x14ac:dyDescent="0.2">
      <c r="A381" s="1293">
        <v>39113</v>
      </c>
      <c r="B381" s="1300"/>
      <c r="F381" s="1305"/>
    </row>
    <row r="382" spans="1:6" x14ac:dyDescent="0.2">
      <c r="A382" s="1293">
        <v>39141</v>
      </c>
      <c r="B382" s="1300"/>
      <c r="F382" s="1305"/>
    </row>
    <row r="383" spans="1:6" x14ac:dyDescent="0.2">
      <c r="A383" s="1293">
        <v>39172</v>
      </c>
      <c r="B383" s="1300"/>
    </row>
    <row r="384" spans="1:6" x14ac:dyDescent="0.2">
      <c r="A384" s="1293">
        <v>39202</v>
      </c>
      <c r="B384" s="1300"/>
    </row>
    <row r="385" spans="1:3" x14ac:dyDescent="0.2">
      <c r="A385" s="1293">
        <v>39233</v>
      </c>
      <c r="B385" s="1300"/>
    </row>
    <row r="386" spans="1:3" x14ac:dyDescent="0.2">
      <c r="A386" s="1293">
        <v>39263</v>
      </c>
      <c r="B386" s="1300"/>
    </row>
    <row r="387" spans="1:3" x14ac:dyDescent="0.2">
      <c r="A387" s="1293">
        <v>39294</v>
      </c>
      <c r="B387" s="1300"/>
    </row>
    <row r="388" spans="1:3" x14ac:dyDescent="0.2">
      <c r="A388" s="1293">
        <v>39325</v>
      </c>
      <c r="B388" s="1300"/>
    </row>
    <row r="389" spans="1:3" x14ac:dyDescent="0.2">
      <c r="A389" s="1293">
        <v>39355</v>
      </c>
      <c r="B389" s="1300"/>
    </row>
    <row r="390" spans="1:3" x14ac:dyDescent="0.2">
      <c r="A390" s="1293">
        <v>39386</v>
      </c>
      <c r="B390" s="1300"/>
    </row>
    <row r="391" spans="1:3" x14ac:dyDescent="0.2">
      <c r="A391" s="1293">
        <v>39416</v>
      </c>
      <c r="B391" s="1300"/>
    </row>
    <row r="392" spans="1:3" x14ac:dyDescent="0.2">
      <c r="A392" s="1293">
        <v>39447</v>
      </c>
      <c r="B392" s="1300"/>
    </row>
    <row r="393" spans="1:3" x14ac:dyDescent="0.2">
      <c r="A393" s="1293">
        <v>39478</v>
      </c>
      <c r="B393" s="1300"/>
    </row>
    <row r="394" spans="1:3" x14ac:dyDescent="0.2">
      <c r="A394" s="1293">
        <v>39507</v>
      </c>
      <c r="B394" s="1300"/>
    </row>
    <row r="395" spans="1:3" x14ac:dyDescent="0.2">
      <c r="A395" s="1293">
        <v>39538</v>
      </c>
      <c r="B395" s="1300"/>
    </row>
    <row r="396" spans="1:3" x14ac:dyDescent="0.2">
      <c r="A396" s="1293">
        <v>39568</v>
      </c>
      <c r="B396" s="1300"/>
    </row>
    <row r="397" spans="1:3" x14ac:dyDescent="0.2">
      <c r="A397" s="1293">
        <v>39599</v>
      </c>
      <c r="B397" s="1300"/>
    </row>
    <row r="398" spans="1:3" x14ac:dyDescent="0.2">
      <c r="A398" s="1293">
        <v>39629</v>
      </c>
      <c r="B398" s="1300"/>
    </row>
    <row r="399" spans="1:3" x14ac:dyDescent="0.2">
      <c r="A399" s="1293">
        <v>39660</v>
      </c>
      <c r="B399" s="1300"/>
      <c r="C399" s="1299"/>
    </row>
    <row r="400" spans="1:3" x14ac:dyDescent="0.2">
      <c r="A400" s="1293">
        <v>39691</v>
      </c>
      <c r="B400" s="1300"/>
      <c r="C400" s="1299"/>
    </row>
    <row r="401" spans="1:3" x14ac:dyDescent="0.2">
      <c r="A401" s="1293">
        <v>39721</v>
      </c>
      <c r="B401" s="1300"/>
      <c r="C401" s="1299"/>
    </row>
    <row r="402" spans="1:3" x14ac:dyDescent="0.2">
      <c r="A402" s="1293">
        <v>39752</v>
      </c>
      <c r="B402" s="1300"/>
    </row>
    <row r="403" spans="1:3" x14ac:dyDescent="0.2">
      <c r="A403" s="1293">
        <v>39782</v>
      </c>
      <c r="B403" s="1300"/>
    </row>
    <row r="404" spans="1:3" x14ac:dyDescent="0.2">
      <c r="A404" s="1293">
        <v>39813</v>
      </c>
      <c r="B404" s="1300"/>
    </row>
    <row r="405" spans="1:3" x14ac:dyDescent="0.2">
      <c r="A405" s="1293">
        <v>39844</v>
      </c>
      <c r="B405" s="1300"/>
    </row>
    <row r="406" spans="1:3" x14ac:dyDescent="0.2">
      <c r="A406" s="1293">
        <v>39872</v>
      </c>
      <c r="B406" s="1300"/>
    </row>
    <row r="407" spans="1:3" x14ac:dyDescent="0.2">
      <c r="A407" s="1293">
        <v>39903</v>
      </c>
      <c r="B407" s="1300"/>
    </row>
    <row r="408" spans="1:3" x14ac:dyDescent="0.2">
      <c r="A408" s="1293">
        <v>39933</v>
      </c>
      <c r="B408" s="1300"/>
    </row>
    <row r="409" spans="1:3" x14ac:dyDescent="0.2">
      <c r="A409" s="1293">
        <v>39964</v>
      </c>
      <c r="B409" s="1300"/>
    </row>
    <row r="410" spans="1:3" x14ac:dyDescent="0.2">
      <c r="A410" s="1293">
        <v>39994</v>
      </c>
      <c r="B410" s="1300"/>
    </row>
    <row r="411" spans="1:3" x14ac:dyDescent="0.2">
      <c r="A411" s="1293">
        <v>40025</v>
      </c>
      <c r="B411" s="1300"/>
    </row>
    <row r="412" spans="1:3" x14ac:dyDescent="0.2">
      <c r="A412" s="1293">
        <v>40056</v>
      </c>
      <c r="B412" s="1300"/>
    </row>
    <row r="413" spans="1:3" x14ac:dyDescent="0.2">
      <c r="A413" s="1293">
        <v>40086</v>
      </c>
      <c r="B413" s="1300"/>
    </row>
    <row r="414" spans="1:3" x14ac:dyDescent="0.2">
      <c r="A414" s="1293">
        <v>40117</v>
      </c>
      <c r="B414" s="1300"/>
    </row>
    <row r="415" spans="1:3" x14ac:dyDescent="0.2">
      <c r="A415" s="1293">
        <v>40147</v>
      </c>
      <c r="B415" s="1300"/>
    </row>
    <row r="416" spans="1:3" x14ac:dyDescent="0.2">
      <c r="A416" s="1293">
        <v>40178</v>
      </c>
      <c r="B416" s="1300"/>
    </row>
    <row r="417" spans="1:7" x14ac:dyDescent="0.2">
      <c r="A417" s="1293">
        <v>40209</v>
      </c>
      <c r="B417" s="1300"/>
    </row>
    <row r="418" spans="1:7" x14ac:dyDescent="0.2">
      <c r="A418" s="1293">
        <v>40237</v>
      </c>
      <c r="B418" s="1300"/>
    </row>
    <row r="419" spans="1:7" x14ac:dyDescent="0.2">
      <c r="A419" s="1293">
        <v>40268</v>
      </c>
      <c r="B419" s="1300"/>
      <c r="C419" s="1334"/>
      <c r="D419" s="1311"/>
    </row>
    <row r="420" spans="1:7" x14ac:dyDescent="0.2">
      <c r="A420" s="1293">
        <v>40298</v>
      </c>
      <c r="B420" s="1300"/>
    </row>
    <row r="421" spans="1:7" x14ac:dyDescent="0.2">
      <c r="A421" s="1293">
        <v>40329</v>
      </c>
      <c r="B421" s="1300"/>
    </row>
    <row r="422" spans="1:7" x14ac:dyDescent="0.2">
      <c r="A422" s="1293">
        <v>40359</v>
      </c>
      <c r="B422" s="1300"/>
    </row>
    <row r="423" spans="1:7" x14ac:dyDescent="0.2">
      <c r="A423" s="1293">
        <v>40390</v>
      </c>
      <c r="B423" s="1300"/>
    </row>
    <row r="424" spans="1:7" x14ac:dyDescent="0.2">
      <c r="A424" s="1293">
        <v>40421</v>
      </c>
      <c r="B424" s="1300"/>
    </row>
    <row r="425" spans="1:7" x14ac:dyDescent="0.2">
      <c r="A425" s="1293">
        <v>40451</v>
      </c>
      <c r="B425" s="1300"/>
    </row>
    <row r="426" spans="1:7" x14ac:dyDescent="0.2">
      <c r="A426" s="1293">
        <v>40482</v>
      </c>
      <c r="B426" s="1300"/>
    </row>
    <row r="427" spans="1:7" x14ac:dyDescent="0.2">
      <c r="A427" s="1293">
        <v>40512</v>
      </c>
      <c r="B427" s="1300"/>
    </row>
    <row r="428" spans="1:7" x14ac:dyDescent="0.2">
      <c r="A428" s="1293">
        <v>40543</v>
      </c>
      <c r="B428" s="1300"/>
    </row>
    <row r="429" spans="1:7" x14ac:dyDescent="0.2">
      <c r="A429" s="1293">
        <v>40574</v>
      </c>
      <c r="B429" s="1300"/>
    </row>
    <row r="430" spans="1:7" x14ac:dyDescent="0.2">
      <c r="A430" s="1293">
        <v>40602</v>
      </c>
      <c r="B430" s="1300"/>
    </row>
    <row r="431" spans="1:7" x14ac:dyDescent="0.2">
      <c r="A431" s="1293">
        <v>40633</v>
      </c>
      <c r="B431" s="1300">
        <f>D431</f>
        <v>0</v>
      </c>
      <c r="C431" s="1307">
        <v>193030658</v>
      </c>
      <c r="E431" s="1301">
        <f>B431-Index_Returns!AA431</f>
        <v>2.19591</v>
      </c>
    </row>
    <row r="432" spans="1:7" x14ac:dyDescent="0.2">
      <c r="A432" s="1293">
        <v>40663</v>
      </c>
      <c r="B432" s="1300">
        <f t="shared" ref="B432:B469" si="0">D432</f>
        <v>5.6584899999999996</v>
      </c>
      <c r="C432" s="1307">
        <v>204009424.87</v>
      </c>
      <c r="D432" s="1306">
        <v>5.6584899999999996</v>
      </c>
      <c r="E432" s="1301">
        <f>B432-Index_Returns!AA432</f>
        <v>-0.41783999999999999</v>
      </c>
      <c r="G432" s="1311"/>
    </row>
    <row r="433" spans="1:7" x14ac:dyDescent="0.2">
      <c r="A433" s="1293">
        <v>40694</v>
      </c>
      <c r="B433" s="1300">
        <f t="shared" si="0"/>
        <v>-0.75180999999999998</v>
      </c>
      <c r="C433" s="1307">
        <v>202464600.66999999</v>
      </c>
      <c r="D433" s="1306">
        <v>-0.75180999999999998</v>
      </c>
      <c r="E433" s="1301">
        <f>B433-Index_Returns!AA433</f>
        <v>2.0544899999999999</v>
      </c>
      <c r="G433" s="1311"/>
    </row>
    <row r="434" spans="1:7" x14ac:dyDescent="0.2">
      <c r="A434" s="1293">
        <v>40724</v>
      </c>
      <c r="B434" s="1300">
        <f t="shared" si="0"/>
        <v>-2.3506200000000002</v>
      </c>
      <c r="C434" s="1307">
        <v>197675778.46000001</v>
      </c>
      <c r="D434" s="1306">
        <v>-2.3506200000000002</v>
      </c>
      <c r="E434" s="1301">
        <f>B434-Index_Returns!AA434</f>
        <v>-1.1230600000000002</v>
      </c>
      <c r="G434" s="1311"/>
    </row>
    <row r="435" spans="1:7" x14ac:dyDescent="0.2">
      <c r="A435" s="1293">
        <v>40755</v>
      </c>
      <c r="B435" s="1300">
        <f t="shared" si="0"/>
        <v>-0.43273</v>
      </c>
      <c r="C435" s="1307">
        <v>196853119.28999999</v>
      </c>
      <c r="D435" s="1306">
        <v>-0.43273</v>
      </c>
      <c r="E435" s="1301">
        <f>B435-Index_Returns!AA435</f>
        <v>1.14011</v>
      </c>
      <c r="G435" s="1311"/>
    </row>
    <row r="436" spans="1:7" x14ac:dyDescent="0.2">
      <c r="A436" s="1293">
        <v>40786</v>
      </c>
      <c r="B436" s="1300">
        <f t="shared" si="0"/>
        <v>-6.8711900000000004</v>
      </c>
      <c r="C436" s="1307">
        <v>183727873.31999999</v>
      </c>
      <c r="D436" s="1306">
        <v>-6.8711900000000004</v>
      </c>
      <c r="E436" s="1301">
        <f>B436-Index_Returns!AA436</f>
        <v>2.14649</v>
      </c>
      <c r="G436" s="1311"/>
    </row>
    <row r="437" spans="1:7" x14ac:dyDescent="0.2">
      <c r="A437" s="1293">
        <v>40816</v>
      </c>
      <c r="B437" s="1300">
        <f t="shared" si="0"/>
        <v>-10.29218</v>
      </c>
      <c r="C437" s="1307">
        <v>164818265.03999999</v>
      </c>
      <c r="D437" s="1306">
        <v>-10.29218</v>
      </c>
      <c r="E437" s="1301">
        <f>B437-Index_Returns!AA437</f>
        <v>-0.79550000000000054</v>
      </c>
      <c r="G437" s="1311"/>
    </row>
    <row r="438" spans="1:7" x14ac:dyDescent="0.2">
      <c r="A438" s="1293">
        <v>40847</v>
      </c>
      <c r="B438" s="1300">
        <f t="shared" si="0"/>
        <v>7.8100100000000001</v>
      </c>
      <c r="C438" s="1307">
        <v>177712674.06999999</v>
      </c>
      <c r="D438" s="1306">
        <v>7.8100100000000001</v>
      </c>
      <c r="E438" s="1301">
        <f>B438-Index_Returns!AA438</f>
        <v>-1.8372899999999994</v>
      </c>
      <c r="G438" s="1311"/>
    </row>
    <row r="439" spans="1:7" x14ac:dyDescent="0.2">
      <c r="A439" s="1293">
        <v>40877</v>
      </c>
      <c r="B439" s="1300">
        <f t="shared" si="0"/>
        <v>-3.6316000000000002</v>
      </c>
      <c r="C439" s="1307">
        <v>171523808.86000001</v>
      </c>
      <c r="D439" s="1306">
        <v>-3.6316000000000002</v>
      </c>
      <c r="E439" s="1301">
        <f>B439-Index_Returns!AA439</f>
        <v>1.1934499999999999</v>
      </c>
      <c r="G439" s="1311"/>
    </row>
    <row r="440" spans="1:7" x14ac:dyDescent="0.2">
      <c r="A440" s="1293">
        <v>40908</v>
      </c>
      <c r="B440" s="1300">
        <f t="shared" si="0"/>
        <v>-1.4803500000000001</v>
      </c>
      <c r="C440" s="1307">
        <v>168984661.99000001</v>
      </c>
      <c r="D440" s="1306">
        <v>-1.4803500000000001</v>
      </c>
      <c r="E440" s="1301">
        <f>B440-Index_Returns!AA440</f>
        <v>-0.54507000000000005</v>
      </c>
      <c r="G440" s="1311"/>
    </row>
    <row r="441" spans="1:7" x14ac:dyDescent="0.2">
      <c r="A441" s="345">
        <v>40939</v>
      </c>
      <c r="B441" s="1300">
        <f t="shared" si="0"/>
        <v>5.1554099999999998</v>
      </c>
      <c r="C441" s="1307">
        <v>177696505.53</v>
      </c>
      <c r="D441" s="1306">
        <v>5.1554099999999998</v>
      </c>
      <c r="E441" s="1301">
        <f>B441-Index_Returns!AA441</f>
        <v>-0.19765999999999995</v>
      </c>
      <c r="G441" s="1311"/>
    </row>
    <row r="442" spans="1:7" x14ac:dyDescent="0.2">
      <c r="A442" s="345">
        <v>40968</v>
      </c>
      <c r="B442" s="1300">
        <f t="shared" si="0"/>
        <v>6.5087400000000004</v>
      </c>
      <c r="C442" s="1307">
        <v>189554993.53</v>
      </c>
      <c r="D442" s="1306">
        <v>6.5087400000000004</v>
      </c>
      <c r="E442" s="1301">
        <f>B442-Index_Returns!AA442</f>
        <v>0.74006000000000061</v>
      </c>
      <c r="G442" s="1311"/>
    </row>
    <row r="443" spans="1:7" x14ac:dyDescent="0.2">
      <c r="A443" s="345">
        <v>40999</v>
      </c>
      <c r="B443" s="1300">
        <f t="shared" si="0"/>
        <v>5.62E-3</v>
      </c>
      <c r="C443" s="1307">
        <v>189565654.06999999</v>
      </c>
      <c r="D443" s="1306">
        <v>5.62E-3</v>
      </c>
      <c r="E443" s="1301">
        <f>B443-Index_Returns!AA443</f>
        <v>0.40987000000000001</v>
      </c>
      <c r="G443" s="1311"/>
    </row>
    <row r="444" spans="1:7" x14ac:dyDescent="0.2">
      <c r="A444" s="345">
        <v>41029</v>
      </c>
      <c r="B444" s="1300">
        <f t="shared" si="0"/>
        <v>8.9840000000000003E-2</v>
      </c>
      <c r="C444" s="1307">
        <v>189735964.53999999</v>
      </c>
      <c r="D444" s="1306">
        <v>8.9840000000000003E-2</v>
      </c>
      <c r="E444" s="1301">
        <f>B444-Index_Returns!AA444</f>
        <v>1.93181</v>
      </c>
      <c r="G444" s="1311"/>
    </row>
    <row r="445" spans="1:7" x14ac:dyDescent="0.2">
      <c r="A445" s="345">
        <v>41060</v>
      </c>
      <c r="B445" s="1300">
        <f t="shared" si="0"/>
        <v>-10.400309999999999</v>
      </c>
      <c r="C445" s="1307">
        <v>170267715.38</v>
      </c>
      <c r="D445" s="1306">
        <v>-10.400309999999999</v>
      </c>
      <c r="E445" s="1301">
        <f>B445-Index_Returns!AA445</f>
        <v>0.95287000000000077</v>
      </c>
      <c r="G445" s="1311"/>
    </row>
    <row r="446" spans="1:7" x14ac:dyDescent="0.2">
      <c r="A446" s="345">
        <v>41090</v>
      </c>
      <c r="B446" s="1300">
        <f t="shared" si="0"/>
        <v>6.1194100000000002</v>
      </c>
      <c r="C446" s="1307">
        <v>180687089.88</v>
      </c>
      <c r="D446" s="1306">
        <v>6.1194100000000002</v>
      </c>
      <c r="E446" s="1301">
        <f>B446-Index_Returns!AA446</f>
        <v>-0.93018999999999963</v>
      </c>
      <c r="G446" s="1311"/>
    </row>
    <row r="447" spans="1:7" x14ac:dyDescent="0.2">
      <c r="A447" s="345">
        <v>41121</v>
      </c>
      <c r="B447" s="1300">
        <f t="shared" si="0"/>
        <v>2.4075799999999998</v>
      </c>
      <c r="C447" s="1307">
        <v>185037283.80000001</v>
      </c>
      <c r="D447" s="1306">
        <v>2.4075799999999998</v>
      </c>
      <c r="E447" s="1301">
        <f>B447-Index_Returns!AA447</f>
        <v>1.2612999999999999</v>
      </c>
      <c r="G447" s="1311"/>
    </row>
    <row r="448" spans="1:7" x14ac:dyDescent="0.2">
      <c r="A448" s="345">
        <v>41152</v>
      </c>
      <c r="B448" s="1300">
        <f t="shared" si="0"/>
        <v>1.9002399999999999</v>
      </c>
      <c r="C448" s="1307">
        <v>188842717.28</v>
      </c>
      <c r="D448" s="1306">
        <v>1.9002399999999999</v>
      </c>
      <c r="E448" s="1301">
        <f>B448-Index_Returns!AA448</f>
        <v>-0.79603000000000024</v>
      </c>
      <c r="G448" s="1311"/>
    </row>
    <row r="449" spans="1:7" x14ac:dyDescent="0.2">
      <c r="A449" s="345">
        <v>41182</v>
      </c>
      <c r="B449" s="1300">
        <f t="shared" si="0"/>
        <v>2.4836299999999998</v>
      </c>
      <c r="C449" s="1307">
        <v>193533892.41999999</v>
      </c>
      <c r="D449" s="1311">
        <v>2.4836299999999998</v>
      </c>
      <c r="E449" s="1301">
        <f>B449-Index_Returns!AA449</f>
        <v>-0.50977000000000006</v>
      </c>
      <c r="G449" s="1311"/>
    </row>
    <row r="450" spans="1:7" x14ac:dyDescent="0.2">
      <c r="A450" s="345">
        <v>41213</v>
      </c>
      <c r="B450" s="1300">
        <f t="shared" si="0"/>
        <v>1.0589599999999999</v>
      </c>
      <c r="C450" s="1307">
        <v>195583175.56999999</v>
      </c>
      <c r="D450" s="1311">
        <v>1.0589599999999999</v>
      </c>
      <c r="E450" s="1301">
        <f>B450-Index_Returns!AA450</f>
        <v>0.21880999999999995</v>
      </c>
      <c r="G450" s="1311"/>
    </row>
    <row r="451" spans="1:7" x14ac:dyDescent="0.2">
      <c r="A451" s="345">
        <v>41243</v>
      </c>
      <c r="B451" s="1300">
        <f t="shared" si="0"/>
        <v>2.7636599999999998</v>
      </c>
      <c r="C451" s="1307">
        <v>200987211.31</v>
      </c>
      <c r="D451" s="1311">
        <v>2.7636599999999998</v>
      </c>
      <c r="E451" s="1301">
        <f>B451-Index_Returns!AA451</f>
        <v>0.33753999999999973</v>
      </c>
      <c r="G451" s="1311"/>
    </row>
    <row r="452" spans="1:7" x14ac:dyDescent="0.2">
      <c r="A452" s="345">
        <v>41274</v>
      </c>
      <c r="B452" s="1300">
        <f t="shared" si="0"/>
        <v>2.8496800000000002</v>
      </c>
      <c r="C452" s="1307">
        <v>207655130.68000001</v>
      </c>
      <c r="D452" s="1311">
        <v>2.8496800000000002</v>
      </c>
      <c r="E452" s="1301">
        <f>B452-Index_Returns!AA452</f>
        <v>-0.36212999999999962</v>
      </c>
      <c r="G452" s="1311"/>
    </row>
    <row r="453" spans="1:7" x14ac:dyDescent="0.2">
      <c r="A453" s="345">
        <v>41305</v>
      </c>
      <c r="B453" s="1300">
        <f t="shared" si="0"/>
        <v>3.89663</v>
      </c>
      <c r="C453" s="1307">
        <v>215870707.25</v>
      </c>
      <c r="D453" s="1311">
        <v>3.89663</v>
      </c>
      <c r="E453" s="1301">
        <f>B453-Index_Returns!AA453</f>
        <v>-1.3958300000000001</v>
      </c>
      <c r="G453" s="1311"/>
    </row>
    <row r="454" spans="1:7" x14ac:dyDescent="0.2">
      <c r="A454" s="345">
        <v>41333</v>
      </c>
      <c r="B454" s="1300">
        <f t="shared" si="0"/>
        <v>-0.44080999999999998</v>
      </c>
      <c r="C454" s="1307">
        <v>215232537.5</v>
      </c>
      <c r="D454" s="1311">
        <v>-0.44080999999999998</v>
      </c>
      <c r="E454" s="1301">
        <f>B454-Index_Returns!AA454</f>
        <v>0.48266999999999999</v>
      </c>
      <c r="G454" s="1311"/>
    </row>
    <row r="455" spans="1:7" x14ac:dyDescent="0.2">
      <c r="A455" s="345">
        <v>41364</v>
      </c>
      <c r="B455" s="1300">
        <f t="shared" si="0"/>
        <v>1.4010400000000001</v>
      </c>
      <c r="C455" s="1307">
        <v>218248097.97999999</v>
      </c>
      <c r="D455" s="1311">
        <v>1.4010400000000001</v>
      </c>
      <c r="E455" s="1301">
        <f>B455-Index_Returns!AA455</f>
        <v>0.52545000000000008</v>
      </c>
      <c r="G455" s="1311"/>
    </row>
    <row r="456" spans="1:7" x14ac:dyDescent="0.2">
      <c r="A456" s="345">
        <v>41394</v>
      </c>
      <c r="B456" s="1300">
        <f t="shared" si="0"/>
        <v>4.4752299999999998</v>
      </c>
      <c r="C456" s="1307">
        <v>228016794.19</v>
      </c>
      <c r="D456" s="1311">
        <v>4.4752299999999998</v>
      </c>
      <c r="E456" s="1301">
        <f>B456-Index_Returns!AA456</f>
        <v>-0.85519999999999996</v>
      </c>
      <c r="G456" s="1311"/>
    </row>
    <row r="457" spans="1:7" x14ac:dyDescent="0.2">
      <c r="A457" s="345">
        <v>41425</v>
      </c>
      <c r="B457" s="1300">
        <f t="shared" si="0"/>
        <v>-4.3168800000000003</v>
      </c>
      <c r="C457" s="1307">
        <v>218361734.97999999</v>
      </c>
      <c r="D457" s="1306">
        <v>-4.3168800000000003</v>
      </c>
      <c r="E457" s="1301">
        <f>B457-Index_Returns!AA457</f>
        <v>-2.0112800000000002</v>
      </c>
      <c r="G457" s="1311"/>
    </row>
    <row r="458" spans="1:7" x14ac:dyDescent="0.2">
      <c r="A458" s="345">
        <v>41455</v>
      </c>
      <c r="B458" s="1300">
        <f t="shared" si="0"/>
        <v>-2.7793899999999998</v>
      </c>
      <c r="C458" s="1307">
        <v>212423703.56</v>
      </c>
      <c r="D458" s="1306">
        <v>-2.7793899999999998</v>
      </c>
      <c r="E458" s="1301">
        <f>B458-Index_Returns!AA458</f>
        <v>0.75001000000000007</v>
      </c>
      <c r="G458" s="1311"/>
    </row>
    <row r="459" spans="1:7" x14ac:dyDescent="0.2">
      <c r="A459" s="345">
        <v>41486</v>
      </c>
      <c r="B459" s="1300">
        <f t="shared" si="0"/>
        <v>2.4668100000000002</v>
      </c>
      <c r="C459" s="1307">
        <v>217995729.27000001</v>
      </c>
      <c r="D459" s="1306">
        <v>2.4668100000000002</v>
      </c>
      <c r="E459" s="1301">
        <f>B459-Index_Returns!AA459</f>
        <v>-2.8176599999999996</v>
      </c>
      <c r="G459" s="1311"/>
    </row>
    <row r="460" spans="1:7" x14ac:dyDescent="0.2">
      <c r="A460" s="345">
        <v>41517</v>
      </c>
      <c r="B460" s="1300">
        <f t="shared" si="0"/>
        <v>-0.40368999999999999</v>
      </c>
      <c r="C460" s="1307">
        <v>217115728.65000001</v>
      </c>
      <c r="D460" s="1306">
        <v>-0.40368999999999999</v>
      </c>
      <c r="E460" s="1301">
        <f>B460-Index_Returns!AA460</f>
        <v>0.9083</v>
      </c>
    </row>
    <row r="461" spans="1:7" x14ac:dyDescent="0.2">
      <c r="A461" s="345">
        <v>41547</v>
      </c>
      <c r="B461" s="1300">
        <f t="shared" si="0"/>
        <v>6.18161</v>
      </c>
      <c r="C461" s="1307">
        <v>230536966.75</v>
      </c>
      <c r="D461" s="1306">
        <v>6.18161</v>
      </c>
      <c r="E461" s="1301">
        <f>B461-Index_Returns!AA461</f>
        <v>-1.2342399999999998</v>
      </c>
    </row>
    <row r="462" spans="1:7" x14ac:dyDescent="0.2">
      <c r="A462" s="345">
        <v>41578</v>
      </c>
      <c r="B462" s="1300">
        <f t="shared" si="0"/>
        <v>1.5814699999999999</v>
      </c>
      <c r="C462" s="1307">
        <v>234182828.94999999</v>
      </c>
      <c r="D462" s="1306">
        <v>1.5814699999999999</v>
      </c>
      <c r="E462" s="1301">
        <f>B462-Index_Returns!AA462</f>
        <v>-1.78267</v>
      </c>
    </row>
    <row r="463" spans="1:7" x14ac:dyDescent="0.2">
      <c r="A463" s="345">
        <v>41608</v>
      </c>
      <c r="B463" s="1300">
        <f t="shared" si="0"/>
        <v>0.20605000000000001</v>
      </c>
      <c r="C463" s="1307">
        <v>235009884.80000001</v>
      </c>
      <c r="D463" s="1306">
        <v>0.20605000000000001</v>
      </c>
      <c r="E463" s="1301">
        <f>B463-Index_Returns!AA463</f>
        <v>-0.57672999999999996</v>
      </c>
    </row>
    <row r="464" spans="1:7" x14ac:dyDescent="0.2">
      <c r="A464" s="345">
        <v>41639</v>
      </c>
      <c r="B464" s="1300">
        <f t="shared" si="0"/>
        <v>0.70721000000000001</v>
      </c>
      <c r="C464" s="1307">
        <v>236671886.21000001</v>
      </c>
      <c r="D464" s="1306">
        <v>0.70721000000000001</v>
      </c>
      <c r="E464" s="1301">
        <f>B464-Index_Returns!AA464</f>
        <v>-0.80476000000000003</v>
      </c>
    </row>
    <row r="465" spans="1:5" x14ac:dyDescent="0.2">
      <c r="A465" s="345">
        <v>41670</v>
      </c>
      <c r="B465" s="1300">
        <f t="shared" si="0"/>
        <v>-5.8948700000000001</v>
      </c>
      <c r="C465" s="1307">
        <v>222720382.63999999</v>
      </c>
      <c r="D465" s="1306">
        <v>-5.8948700000000001</v>
      </c>
      <c r="E465" s="1301">
        <f>B465-Index_Returns!AA465</f>
        <v>-1.8682800000000004</v>
      </c>
    </row>
    <row r="466" spans="1:5" x14ac:dyDescent="0.2">
      <c r="A466" s="345">
        <v>41698</v>
      </c>
      <c r="B466" s="1300">
        <f t="shared" si="0"/>
        <v>3.7471700000000001</v>
      </c>
      <c r="C466" s="1307">
        <v>231434643.22999999</v>
      </c>
      <c r="D466" s="1306">
        <v>3.7471700000000001</v>
      </c>
      <c r="E466" s="1301">
        <f>B466-Index_Returns!AA466</f>
        <v>-1.8120499999999997</v>
      </c>
    </row>
    <row r="467" spans="1:5" x14ac:dyDescent="0.2">
      <c r="A467" s="345">
        <v>41729</v>
      </c>
      <c r="B467" s="1300">
        <f t="shared" si="0"/>
        <v>-2.869E-2</v>
      </c>
      <c r="C467" s="1307">
        <v>231368238.44</v>
      </c>
      <c r="D467" s="1306">
        <v>-2.869E-2</v>
      </c>
      <c r="E467" s="1301">
        <f>B467-Index_Returns!AA467</f>
        <v>0.60867000000000004</v>
      </c>
    </row>
    <row r="468" spans="1:5" x14ac:dyDescent="0.2">
      <c r="A468" s="345">
        <v>41759</v>
      </c>
      <c r="B468" s="1300">
        <f t="shared" si="0"/>
        <v>1.19042</v>
      </c>
      <c r="C468" s="1307">
        <v>234122485.97999999</v>
      </c>
      <c r="D468" s="1306">
        <v>1.19042</v>
      </c>
      <c r="E468" s="1301">
        <f>B468-Index_Returns!AA468</f>
        <v>-0.25517999999999996</v>
      </c>
    </row>
    <row r="469" spans="1:5" x14ac:dyDescent="0.2">
      <c r="A469" s="345">
        <v>41790</v>
      </c>
      <c r="B469" s="1300">
        <f t="shared" si="0"/>
        <v>1.71286</v>
      </c>
      <c r="C469" s="1307">
        <v>238486645.30000001</v>
      </c>
      <c r="D469" s="1306">
        <v>1.71286</v>
      </c>
      <c r="E469" s="1301">
        <f>B469-Index_Returns!AA469</f>
        <v>8.879999999999999E-2</v>
      </c>
    </row>
    <row r="470" spans="1:5" x14ac:dyDescent="0.2">
      <c r="A470" s="345"/>
      <c r="B470" s="1300"/>
    </row>
    <row r="471" spans="1:5" x14ac:dyDescent="0.2">
      <c r="A471" s="345"/>
      <c r="B471" s="1300"/>
    </row>
    <row r="472" spans="1:5" x14ac:dyDescent="0.2">
      <c r="A472" s="345"/>
      <c r="B472" s="1300"/>
    </row>
    <row r="473" spans="1:5" x14ac:dyDescent="0.2">
      <c r="A473" s="345"/>
      <c r="B473" s="1300"/>
    </row>
    <row r="474" spans="1:5" x14ac:dyDescent="0.2">
      <c r="A474" s="345"/>
      <c r="B474" s="1300"/>
    </row>
    <row r="475" spans="1:5" x14ac:dyDescent="0.2">
      <c r="A475" s="345"/>
      <c r="B475" s="1300"/>
    </row>
    <row r="476" spans="1:5" x14ac:dyDescent="0.2">
      <c r="A476" s="345"/>
      <c r="B476" s="1300"/>
    </row>
    <row r="477" spans="1:5" x14ac:dyDescent="0.2">
      <c r="A477" s="345"/>
      <c r="B477" s="1300"/>
    </row>
    <row r="478" spans="1:5" x14ac:dyDescent="0.2">
      <c r="A478" s="345"/>
      <c r="B478" s="1300"/>
    </row>
    <row r="479" spans="1:5" x14ac:dyDescent="0.2">
      <c r="A479" s="345"/>
      <c r="B479" s="1300"/>
    </row>
    <row r="480" spans="1:5" x14ac:dyDescent="0.2">
      <c r="A480" s="345"/>
      <c r="B480" s="1300"/>
    </row>
    <row r="481" spans="1:2" x14ac:dyDescent="0.2">
      <c r="A481" s="345"/>
      <c r="B481" s="1300"/>
    </row>
    <row r="482" spans="1:2" x14ac:dyDescent="0.2">
      <c r="A482" s="345"/>
      <c r="B482" s="1300"/>
    </row>
    <row r="483" spans="1:2" x14ac:dyDescent="0.2">
      <c r="A483" s="345"/>
      <c r="B483" s="1300"/>
    </row>
    <row r="484" spans="1:2" x14ac:dyDescent="0.2">
      <c r="A484" s="345"/>
      <c r="B484" s="1300"/>
    </row>
    <row r="485" spans="1:2" x14ac:dyDescent="0.2">
      <c r="A485" s="345"/>
      <c r="B485" s="1300"/>
    </row>
    <row r="486" spans="1:2" x14ac:dyDescent="0.2">
      <c r="A486" s="345"/>
      <c r="B486" s="1300"/>
    </row>
    <row r="487" spans="1:2" x14ac:dyDescent="0.2">
      <c r="A487" s="345"/>
      <c r="B487" s="1300"/>
    </row>
    <row r="488" spans="1:2" x14ac:dyDescent="0.2">
      <c r="A488" s="345"/>
      <c r="B488" s="1300"/>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tabColor rgb="FFFF0000"/>
  </sheetPr>
  <dimension ref="A1:I469"/>
  <sheetViews>
    <sheetView workbookViewId="0">
      <pane xSplit="1" ySplit="2" topLeftCell="B420" activePane="bottomRight" state="frozen"/>
      <selection pane="topRight" activeCell="B1" sqref="B1"/>
      <selection pane="bottomLeft" activeCell="A3" sqref="A3"/>
      <selection pane="bottomRight" activeCell="F1" sqref="F1"/>
    </sheetView>
  </sheetViews>
  <sheetFormatPr defaultRowHeight="12.75" x14ac:dyDescent="0.2"/>
  <cols>
    <col min="1" max="1" width="18.7109375" style="1308" customWidth="1"/>
    <col min="2" max="2" width="18.7109375" style="1309" customWidth="1"/>
    <col min="3" max="3" width="18.7109375" style="1307" customWidth="1"/>
    <col min="4" max="4" width="18.7109375" style="1306" customWidth="1"/>
    <col min="5" max="5" width="9.140625" style="1301"/>
    <col min="6" max="6" width="12.42578125" style="1266" bestFit="1" customWidth="1"/>
    <col min="7" max="8" width="9.140625" style="1305"/>
    <col min="9" max="16384" width="9.140625" style="1266"/>
  </cols>
  <sheetData>
    <row r="1" spans="1:6" x14ac:dyDescent="0.2">
      <c r="A1" s="1289" t="s">
        <v>887</v>
      </c>
      <c r="B1" s="1290"/>
      <c r="C1" s="1386" t="s">
        <v>666</v>
      </c>
      <c r="D1" s="1373">
        <v>25</v>
      </c>
      <c r="F1" s="1308" t="s">
        <v>836</v>
      </c>
    </row>
    <row r="2" spans="1:6" x14ac:dyDescent="0.2">
      <c r="A2" s="1291" t="s">
        <v>27</v>
      </c>
      <c r="B2" s="1292" t="s">
        <v>91</v>
      </c>
      <c r="C2" s="1294" t="s">
        <v>92</v>
      </c>
      <c r="D2" s="1292" t="s">
        <v>90</v>
      </c>
      <c r="E2" s="1374" t="s">
        <v>80</v>
      </c>
    </row>
    <row r="3" spans="1:6" x14ac:dyDescent="0.2">
      <c r="A3" s="1293">
        <v>27606</v>
      </c>
      <c r="B3" s="1292"/>
      <c r="C3" s="1294"/>
      <c r="D3" s="1292"/>
    </row>
    <row r="4" spans="1:6" x14ac:dyDescent="0.2">
      <c r="A4" s="1293">
        <v>27637</v>
      </c>
      <c r="B4" s="1292"/>
      <c r="C4" s="1294"/>
      <c r="D4" s="1292"/>
    </row>
    <row r="5" spans="1:6" x14ac:dyDescent="0.2">
      <c r="A5" s="1293">
        <v>27667</v>
      </c>
      <c r="B5" s="1292"/>
      <c r="C5" s="1294"/>
      <c r="D5" s="1292"/>
    </row>
    <row r="6" spans="1:6" x14ac:dyDescent="0.2">
      <c r="A6" s="1293">
        <v>27698</v>
      </c>
      <c r="B6" s="1292"/>
      <c r="C6" s="1294"/>
      <c r="D6" s="1292"/>
    </row>
    <row r="7" spans="1:6" x14ac:dyDescent="0.2">
      <c r="A7" s="1293">
        <v>27728</v>
      </c>
      <c r="B7" s="1292"/>
      <c r="C7" s="1294"/>
      <c r="D7" s="1292"/>
    </row>
    <row r="8" spans="1:6" x14ac:dyDescent="0.2">
      <c r="A8" s="1293">
        <v>27759</v>
      </c>
      <c r="B8" s="1292"/>
      <c r="C8" s="1294"/>
      <c r="D8" s="1292"/>
    </row>
    <row r="9" spans="1:6" x14ac:dyDescent="0.2">
      <c r="A9" s="1293">
        <v>27790</v>
      </c>
      <c r="B9" s="1292"/>
      <c r="C9" s="1294"/>
      <c r="D9" s="1292"/>
    </row>
    <row r="10" spans="1:6" x14ac:dyDescent="0.2">
      <c r="A10" s="1293">
        <v>27819</v>
      </c>
      <c r="B10" s="1292"/>
      <c r="C10" s="1294"/>
      <c r="D10" s="1292"/>
    </row>
    <row r="11" spans="1:6" x14ac:dyDescent="0.2">
      <c r="A11" s="1293">
        <v>27850</v>
      </c>
      <c r="B11" s="1292"/>
      <c r="C11" s="1294"/>
      <c r="D11" s="1292"/>
    </row>
    <row r="12" spans="1:6" x14ac:dyDescent="0.2">
      <c r="A12" s="1293">
        <v>27880</v>
      </c>
      <c r="B12" s="1292"/>
      <c r="C12" s="1294"/>
      <c r="D12" s="1292"/>
    </row>
    <row r="13" spans="1:6" x14ac:dyDescent="0.2">
      <c r="A13" s="1293">
        <v>27911</v>
      </c>
      <c r="B13" s="1292"/>
      <c r="C13" s="1294"/>
      <c r="D13" s="1292"/>
    </row>
    <row r="14" spans="1:6" x14ac:dyDescent="0.2">
      <c r="A14" s="1293">
        <v>27941</v>
      </c>
      <c r="B14" s="1292"/>
      <c r="C14" s="1294"/>
      <c r="D14" s="1292"/>
    </row>
    <row r="15" spans="1:6" x14ac:dyDescent="0.2">
      <c r="A15" s="1293">
        <v>27972</v>
      </c>
      <c r="B15" s="1292"/>
      <c r="C15" s="1294"/>
      <c r="D15" s="1292"/>
    </row>
    <row r="16" spans="1:6" x14ac:dyDescent="0.2">
      <c r="A16" s="1293">
        <v>28003</v>
      </c>
      <c r="B16" s="1292"/>
      <c r="C16" s="1294"/>
      <c r="D16" s="1292"/>
    </row>
    <row r="17" spans="1:4" x14ac:dyDescent="0.2">
      <c r="A17" s="1293">
        <v>28033</v>
      </c>
      <c r="B17" s="1292"/>
      <c r="C17" s="1294"/>
      <c r="D17" s="1292"/>
    </row>
    <row r="18" spans="1:4" x14ac:dyDescent="0.2">
      <c r="A18" s="1293">
        <v>28064</v>
      </c>
      <c r="B18" s="1292"/>
      <c r="C18" s="1294"/>
      <c r="D18" s="1292"/>
    </row>
    <row r="19" spans="1:4" x14ac:dyDescent="0.2">
      <c r="A19" s="1293">
        <v>28094</v>
      </c>
      <c r="B19" s="1292"/>
      <c r="C19" s="1294"/>
      <c r="D19" s="1292"/>
    </row>
    <row r="20" spans="1:4" x14ac:dyDescent="0.2">
      <c r="A20" s="1293">
        <v>28125</v>
      </c>
      <c r="B20" s="1292"/>
      <c r="C20" s="1294"/>
      <c r="D20" s="1292"/>
    </row>
    <row r="21" spans="1:4" x14ac:dyDescent="0.2">
      <c r="A21" s="1293">
        <v>28156</v>
      </c>
      <c r="B21" s="1292"/>
      <c r="C21" s="1294"/>
      <c r="D21" s="1292"/>
    </row>
    <row r="22" spans="1:4" x14ac:dyDescent="0.2">
      <c r="A22" s="1293">
        <v>28184</v>
      </c>
      <c r="B22" s="1292"/>
      <c r="C22" s="1294"/>
      <c r="D22" s="1292"/>
    </row>
    <row r="23" spans="1:4" x14ac:dyDescent="0.2">
      <c r="A23" s="1293">
        <v>28215</v>
      </c>
      <c r="B23" s="1292"/>
      <c r="C23" s="1294"/>
      <c r="D23" s="1292"/>
    </row>
    <row r="24" spans="1:4" x14ac:dyDescent="0.2">
      <c r="A24" s="1293">
        <v>28245</v>
      </c>
      <c r="B24" s="1292"/>
      <c r="C24" s="1294"/>
      <c r="D24" s="1292"/>
    </row>
    <row r="25" spans="1:4" x14ac:dyDescent="0.2">
      <c r="A25" s="1293">
        <v>28276</v>
      </c>
      <c r="B25" s="1292"/>
      <c r="C25" s="1294"/>
      <c r="D25" s="1292"/>
    </row>
    <row r="26" spans="1:4" x14ac:dyDescent="0.2">
      <c r="A26" s="1293">
        <v>28306</v>
      </c>
      <c r="B26" s="1292"/>
      <c r="C26" s="1294"/>
      <c r="D26" s="1292"/>
    </row>
    <row r="27" spans="1:4" x14ac:dyDescent="0.2">
      <c r="A27" s="1293">
        <v>28337</v>
      </c>
      <c r="B27" s="1292"/>
      <c r="C27" s="1294"/>
      <c r="D27" s="1292"/>
    </row>
    <row r="28" spans="1:4" x14ac:dyDescent="0.2">
      <c r="A28" s="1293">
        <v>28368</v>
      </c>
      <c r="B28" s="1292"/>
      <c r="C28" s="1294"/>
      <c r="D28" s="1292"/>
    </row>
    <row r="29" spans="1:4" x14ac:dyDescent="0.2">
      <c r="A29" s="1293">
        <v>28398</v>
      </c>
      <c r="B29" s="1292"/>
      <c r="C29" s="1294"/>
      <c r="D29" s="1292"/>
    </row>
    <row r="30" spans="1:4" x14ac:dyDescent="0.2">
      <c r="A30" s="1293">
        <v>28429</v>
      </c>
      <c r="B30" s="1292"/>
      <c r="C30" s="1294"/>
      <c r="D30" s="1292"/>
    </row>
    <row r="31" spans="1:4" x14ac:dyDescent="0.2">
      <c r="A31" s="1293">
        <v>28459</v>
      </c>
      <c r="B31" s="1292"/>
      <c r="C31" s="1294"/>
      <c r="D31" s="1292"/>
    </row>
    <row r="32" spans="1:4" x14ac:dyDescent="0.2">
      <c r="A32" s="1293">
        <v>28490</v>
      </c>
      <c r="B32" s="1292"/>
      <c r="C32" s="1294"/>
      <c r="D32" s="1292"/>
    </row>
    <row r="33" spans="1:4" x14ac:dyDescent="0.2">
      <c r="A33" s="1293">
        <v>28521</v>
      </c>
      <c r="B33" s="1292"/>
      <c r="C33" s="1294"/>
      <c r="D33" s="1292"/>
    </row>
    <row r="34" spans="1:4" x14ac:dyDescent="0.2">
      <c r="A34" s="1293">
        <v>28549</v>
      </c>
      <c r="B34" s="1292"/>
      <c r="C34" s="1294"/>
      <c r="D34" s="1292"/>
    </row>
    <row r="35" spans="1:4" x14ac:dyDescent="0.2">
      <c r="A35" s="1293">
        <v>28580</v>
      </c>
      <c r="B35" s="1292"/>
      <c r="C35" s="1294"/>
      <c r="D35" s="1292"/>
    </row>
    <row r="36" spans="1:4" x14ac:dyDescent="0.2">
      <c r="A36" s="1293">
        <v>28610</v>
      </c>
      <c r="B36" s="1292"/>
      <c r="C36" s="1294"/>
      <c r="D36" s="1292"/>
    </row>
    <row r="37" spans="1:4" x14ac:dyDescent="0.2">
      <c r="A37" s="1293">
        <v>28641</v>
      </c>
      <c r="B37" s="1292"/>
      <c r="C37" s="1294"/>
      <c r="D37" s="1292"/>
    </row>
    <row r="38" spans="1:4" x14ac:dyDescent="0.2">
      <c r="A38" s="1293">
        <v>28671</v>
      </c>
      <c r="B38" s="1292"/>
      <c r="C38" s="1294"/>
      <c r="D38" s="1292"/>
    </row>
    <row r="39" spans="1:4" x14ac:dyDescent="0.2">
      <c r="A39" s="1293">
        <v>28702</v>
      </c>
      <c r="B39" s="1292"/>
      <c r="C39" s="1294"/>
      <c r="D39" s="1292"/>
    </row>
    <row r="40" spans="1:4" x14ac:dyDescent="0.2">
      <c r="A40" s="1293">
        <v>28733</v>
      </c>
      <c r="B40" s="1292"/>
      <c r="C40" s="1294"/>
      <c r="D40" s="1292"/>
    </row>
    <row r="41" spans="1:4" x14ac:dyDescent="0.2">
      <c r="A41" s="1293">
        <v>28763</v>
      </c>
      <c r="B41" s="1292"/>
      <c r="C41" s="1294"/>
      <c r="D41" s="1292"/>
    </row>
    <row r="42" spans="1:4" x14ac:dyDescent="0.2">
      <c r="A42" s="1293">
        <v>28794</v>
      </c>
      <c r="B42" s="1292"/>
      <c r="C42" s="1294"/>
      <c r="D42" s="1292"/>
    </row>
    <row r="43" spans="1:4" x14ac:dyDescent="0.2">
      <c r="A43" s="1293">
        <v>28824</v>
      </c>
      <c r="B43" s="1292"/>
      <c r="C43" s="1294"/>
      <c r="D43" s="1292"/>
    </row>
    <row r="44" spans="1:4" x14ac:dyDescent="0.2">
      <c r="A44" s="1293">
        <v>28855</v>
      </c>
      <c r="B44" s="1292"/>
      <c r="C44" s="1294"/>
      <c r="D44" s="1292"/>
    </row>
    <row r="45" spans="1:4" x14ac:dyDescent="0.2">
      <c r="A45" s="1293">
        <v>28886</v>
      </c>
      <c r="B45" s="1292"/>
      <c r="C45" s="1294"/>
      <c r="D45" s="1292"/>
    </row>
    <row r="46" spans="1:4" x14ac:dyDescent="0.2">
      <c r="A46" s="1293">
        <v>28914</v>
      </c>
      <c r="B46" s="1292"/>
      <c r="C46" s="1294"/>
      <c r="D46" s="1292"/>
    </row>
    <row r="47" spans="1:4" x14ac:dyDescent="0.2">
      <c r="A47" s="1293">
        <v>28945</v>
      </c>
      <c r="B47" s="1292"/>
      <c r="C47" s="1294"/>
      <c r="D47" s="1292"/>
    </row>
    <row r="48" spans="1:4" x14ac:dyDescent="0.2">
      <c r="A48" s="1293">
        <v>28975</v>
      </c>
      <c r="B48" s="1292"/>
      <c r="C48" s="1294"/>
      <c r="D48" s="1292"/>
    </row>
    <row r="49" spans="1:4" x14ac:dyDescent="0.2">
      <c r="A49" s="1293">
        <v>29006</v>
      </c>
      <c r="B49" s="1292"/>
      <c r="C49" s="1294"/>
      <c r="D49" s="1292"/>
    </row>
    <row r="50" spans="1:4" x14ac:dyDescent="0.2">
      <c r="A50" s="1293">
        <v>29036</v>
      </c>
      <c r="B50" s="1292"/>
      <c r="C50" s="1294"/>
      <c r="D50" s="1292"/>
    </row>
    <row r="51" spans="1:4" x14ac:dyDescent="0.2">
      <c r="A51" s="1293">
        <v>29067</v>
      </c>
      <c r="B51" s="1292"/>
      <c r="C51" s="1294"/>
      <c r="D51" s="1292"/>
    </row>
    <row r="52" spans="1:4" x14ac:dyDescent="0.2">
      <c r="A52" s="1293">
        <v>29098</v>
      </c>
      <c r="B52" s="1292"/>
      <c r="C52" s="1294"/>
      <c r="D52" s="1292"/>
    </row>
    <row r="53" spans="1:4" x14ac:dyDescent="0.2">
      <c r="A53" s="1293">
        <v>29128</v>
      </c>
      <c r="B53" s="1292"/>
      <c r="C53" s="1294"/>
      <c r="D53" s="1292"/>
    </row>
    <row r="54" spans="1:4" x14ac:dyDescent="0.2">
      <c r="A54" s="1293">
        <v>29159</v>
      </c>
      <c r="B54" s="1292"/>
      <c r="C54" s="1294"/>
      <c r="D54" s="1292"/>
    </row>
    <row r="55" spans="1:4" x14ac:dyDescent="0.2">
      <c r="A55" s="1293">
        <v>29189</v>
      </c>
      <c r="B55" s="1292"/>
      <c r="C55" s="1294"/>
      <c r="D55" s="1292"/>
    </row>
    <row r="56" spans="1:4" x14ac:dyDescent="0.2">
      <c r="A56" s="1293">
        <v>29220</v>
      </c>
      <c r="B56" s="1292"/>
      <c r="C56" s="1294"/>
      <c r="D56" s="1292"/>
    </row>
    <row r="57" spans="1:4" x14ac:dyDescent="0.2">
      <c r="A57" s="1293">
        <v>29251</v>
      </c>
      <c r="B57" s="1292"/>
      <c r="C57" s="1294"/>
      <c r="D57" s="1292"/>
    </row>
    <row r="58" spans="1:4" x14ac:dyDescent="0.2">
      <c r="A58" s="1293">
        <v>29280</v>
      </c>
      <c r="B58" s="1292"/>
      <c r="C58" s="1294"/>
      <c r="D58" s="1292"/>
    </row>
    <row r="59" spans="1:4" x14ac:dyDescent="0.2">
      <c r="A59" s="1293">
        <v>29311</v>
      </c>
      <c r="B59" s="1292"/>
      <c r="C59" s="1294"/>
      <c r="D59" s="1292"/>
    </row>
    <row r="60" spans="1:4" x14ac:dyDescent="0.2">
      <c r="A60" s="1293">
        <v>29341</v>
      </c>
      <c r="B60" s="1292"/>
      <c r="C60" s="1294"/>
      <c r="D60" s="1292"/>
    </row>
    <row r="61" spans="1:4" x14ac:dyDescent="0.2">
      <c r="A61" s="1293">
        <v>29372</v>
      </c>
      <c r="B61" s="1292"/>
      <c r="C61" s="1294"/>
      <c r="D61" s="1292"/>
    </row>
    <row r="62" spans="1:4" x14ac:dyDescent="0.2">
      <c r="A62" s="1293">
        <v>29402</v>
      </c>
      <c r="B62" s="1292"/>
      <c r="C62" s="1294"/>
      <c r="D62" s="1292"/>
    </row>
    <row r="63" spans="1:4" x14ac:dyDescent="0.2">
      <c r="A63" s="1293">
        <v>29433</v>
      </c>
      <c r="B63" s="1292"/>
      <c r="C63" s="1294"/>
      <c r="D63" s="1292"/>
    </row>
    <row r="64" spans="1:4" x14ac:dyDescent="0.2">
      <c r="A64" s="1293">
        <v>29464</v>
      </c>
      <c r="B64" s="1292"/>
      <c r="C64" s="1294"/>
      <c r="D64" s="1292"/>
    </row>
    <row r="65" spans="1:4" x14ac:dyDescent="0.2">
      <c r="A65" s="1293">
        <v>29494</v>
      </c>
      <c r="B65" s="1292"/>
      <c r="C65" s="1294"/>
      <c r="D65" s="1292"/>
    </row>
    <row r="66" spans="1:4" x14ac:dyDescent="0.2">
      <c r="A66" s="1293">
        <v>29525</v>
      </c>
      <c r="B66" s="1292"/>
      <c r="C66" s="1294"/>
      <c r="D66" s="1292"/>
    </row>
    <row r="67" spans="1:4" x14ac:dyDescent="0.2">
      <c r="A67" s="1293">
        <v>29555</v>
      </c>
      <c r="B67" s="1292"/>
      <c r="C67" s="1294"/>
      <c r="D67" s="1292"/>
    </row>
    <row r="68" spans="1:4" x14ac:dyDescent="0.2">
      <c r="A68" s="1293">
        <v>29586</v>
      </c>
      <c r="B68" s="1292"/>
      <c r="C68" s="1294"/>
      <c r="D68" s="1292"/>
    </row>
    <row r="69" spans="1:4" x14ac:dyDescent="0.2">
      <c r="A69" s="1293">
        <v>29617</v>
      </c>
      <c r="B69" s="1292"/>
      <c r="C69" s="1294"/>
      <c r="D69" s="1292"/>
    </row>
    <row r="70" spans="1:4" x14ac:dyDescent="0.2">
      <c r="A70" s="1293">
        <v>29645</v>
      </c>
      <c r="B70" s="1292"/>
      <c r="C70" s="1294"/>
      <c r="D70" s="1292"/>
    </row>
    <row r="71" spans="1:4" x14ac:dyDescent="0.2">
      <c r="A71" s="1293">
        <v>29676</v>
      </c>
      <c r="B71" s="1292"/>
      <c r="C71" s="1294"/>
      <c r="D71" s="1292"/>
    </row>
    <row r="72" spans="1:4" x14ac:dyDescent="0.2">
      <c r="A72" s="1293">
        <v>29706</v>
      </c>
      <c r="B72" s="1292"/>
      <c r="C72" s="1294"/>
      <c r="D72" s="1292"/>
    </row>
    <row r="73" spans="1:4" x14ac:dyDescent="0.2">
      <c r="A73" s="1293">
        <v>29737</v>
      </c>
      <c r="B73" s="1292"/>
      <c r="C73" s="1294"/>
      <c r="D73" s="1292"/>
    </row>
    <row r="74" spans="1:4" x14ac:dyDescent="0.2">
      <c r="A74" s="1293">
        <v>29767</v>
      </c>
      <c r="B74" s="1292"/>
      <c r="C74" s="1294"/>
      <c r="D74" s="1292"/>
    </row>
    <row r="75" spans="1:4" x14ac:dyDescent="0.2">
      <c r="A75" s="1293">
        <v>29798</v>
      </c>
      <c r="B75" s="1292"/>
      <c r="C75" s="1294"/>
      <c r="D75" s="1292"/>
    </row>
    <row r="76" spans="1:4" x14ac:dyDescent="0.2">
      <c r="A76" s="1293">
        <v>29829</v>
      </c>
      <c r="B76" s="1292"/>
      <c r="C76" s="1294"/>
      <c r="D76" s="1292"/>
    </row>
    <row r="77" spans="1:4" x14ac:dyDescent="0.2">
      <c r="A77" s="1293">
        <v>29859</v>
      </c>
      <c r="B77" s="1292"/>
      <c r="C77" s="1294"/>
      <c r="D77" s="1292"/>
    </row>
    <row r="78" spans="1:4" x14ac:dyDescent="0.2">
      <c r="A78" s="1293">
        <v>29890</v>
      </c>
      <c r="B78" s="1292"/>
      <c r="C78" s="1294"/>
      <c r="D78" s="1292"/>
    </row>
    <row r="79" spans="1:4" x14ac:dyDescent="0.2">
      <c r="A79" s="1293">
        <v>29920</v>
      </c>
      <c r="B79" s="1292"/>
      <c r="C79" s="1294"/>
      <c r="D79" s="1292"/>
    </row>
    <row r="80" spans="1:4" x14ac:dyDescent="0.2">
      <c r="A80" s="1293">
        <v>29951</v>
      </c>
      <c r="B80" s="1292"/>
      <c r="C80" s="1294"/>
      <c r="D80" s="1292"/>
    </row>
    <row r="81" spans="1:4" x14ac:dyDescent="0.2">
      <c r="A81" s="1293">
        <v>29982</v>
      </c>
      <c r="B81" s="1292"/>
      <c r="C81" s="1294"/>
      <c r="D81" s="1292"/>
    </row>
    <row r="82" spans="1:4" x14ac:dyDescent="0.2">
      <c r="A82" s="1293">
        <v>30010</v>
      </c>
      <c r="B82" s="1292"/>
      <c r="C82" s="1294"/>
      <c r="D82" s="1292"/>
    </row>
    <row r="83" spans="1:4" x14ac:dyDescent="0.2">
      <c r="A83" s="1293">
        <v>30041</v>
      </c>
      <c r="B83" s="1292"/>
      <c r="C83" s="1294"/>
      <c r="D83" s="1292"/>
    </row>
    <row r="84" spans="1:4" x14ac:dyDescent="0.2">
      <c r="A84" s="1293">
        <v>30071</v>
      </c>
      <c r="B84" s="1292"/>
      <c r="C84" s="1294"/>
      <c r="D84" s="1292"/>
    </row>
    <row r="85" spans="1:4" x14ac:dyDescent="0.2">
      <c r="A85" s="1293">
        <v>30102</v>
      </c>
      <c r="B85" s="1292"/>
      <c r="C85" s="1294"/>
      <c r="D85" s="1292"/>
    </row>
    <row r="86" spans="1:4" x14ac:dyDescent="0.2">
      <c r="A86" s="1293">
        <v>30132</v>
      </c>
      <c r="B86" s="1292"/>
      <c r="C86" s="1294"/>
      <c r="D86" s="1292"/>
    </row>
    <row r="87" spans="1:4" x14ac:dyDescent="0.2">
      <c r="A87" s="1293">
        <v>30163</v>
      </c>
      <c r="B87" s="1292"/>
      <c r="C87" s="1294"/>
      <c r="D87" s="1292"/>
    </row>
    <row r="88" spans="1:4" x14ac:dyDescent="0.2">
      <c r="A88" s="1293">
        <v>30194</v>
      </c>
      <c r="B88" s="1292"/>
      <c r="C88" s="1294"/>
      <c r="D88" s="1292"/>
    </row>
    <row r="89" spans="1:4" x14ac:dyDescent="0.2">
      <c r="A89" s="1293">
        <v>30224</v>
      </c>
      <c r="B89" s="1292"/>
      <c r="C89" s="1294"/>
      <c r="D89" s="1292"/>
    </row>
    <row r="90" spans="1:4" x14ac:dyDescent="0.2">
      <c r="A90" s="1293">
        <v>30255</v>
      </c>
      <c r="B90" s="1292"/>
      <c r="C90" s="1294"/>
      <c r="D90" s="1292"/>
    </row>
    <row r="91" spans="1:4" x14ac:dyDescent="0.2">
      <c r="A91" s="1293">
        <v>30285</v>
      </c>
      <c r="B91" s="1292"/>
      <c r="C91" s="1294"/>
      <c r="D91" s="1292"/>
    </row>
    <row r="92" spans="1:4" x14ac:dyDescent="0.2">
      <c r="A92" s="1293">
        <v>30316</v>
      </c>
      <c r="B92" s="1292"/>
      <c r="C92" s="1294"/>
      <c r="D92" s="1292"/>
    </row>
    <row r="93" spans="1:4" x14ac:dyDescent="0.2">
      <c r="A93" s="1293">
        <v>30347</v>
      </c>
      <c r="B93" s="1292"/>
      <c r="C93" s="1294"/>
      <c r="D93" s="1292"/>
    </row>
    <row r="94" spans="1:4" x14ac:dyDescent="0.2">
      <c r="A94" s="1293">
        <v>30375</v>
      </c>
      <c r="B94" s="1292"/>
      <c r="C94" s="1294"/>
      <c r="D94" s="1292"/>
    </row>
    <row r="95" spans="1:4" x14ac:dyDescent="0.2">
      <c r="A95" s="1293">
        <v>30406</v>
      </c>
      <c r="B95" s="1292"/>
      <c r="C95" s="1294"/>
      <c r="D95" s="1292"/>
    </row>
    <row r="96" spans="1:4" x14ac:dyDescent="0.2">
      <c r="A96" s="1293">
        <v>30436</v>
      </c>
      <c r="B96" s="1292"/>
      <c r="C96" s="1294"/>
      <c r="D96" s="1292"/>
    </row>
    <row r="97" spans="1:4" x14ac:dyDescent="0.2">
      <c r="A97" s="1293">
        <v>30467</v>
      </c>
      <c r="B97" s="1292"/>
      <c r="C97" s="1294"/>
      <c r="D97" s="1292"/>
    </row>
    <row r="98" spans="1:4" x14ac:dyDescent="0.2">
      <c r="A98" s="1293">
        <v>30497</v>
      </c>
      <c r="B98" s="1292"/>
      <c r="C98" s="1294"/>
      <c r="D98" s="1292"/>
    </row>
    <row r="99" spans="1:4" x14ac:dyDescent="0.2">
      <c r="A99" s="1293">
        <v>30528</v>
      </c>
      <c r="B99" s="1292"/>
      <c r="C99" s="1294"/>
      <c r="D99" s="1292"/>
    </row>
    <row r="100" spans="1:4" x14ac:dyDescent="0.2">
      <c r="A100" s="1293">
        <v>30559</v>
      </c>
      <c r="B100" s="1292"/>
      <c r="C100" s="1294"/>
      <c r="D100" s="1292"/>
    </row>
    <row r="101" spans="1:4" x14ac:dyDescent="0.2">
      <c r="A101" s="1293">
        <v>30589</v>
      </c>
      <c r="B101" s="1292"/>
      <c r="C101" s="1294"/>
      <c r="D101" s="1292"/>
    </row>
    <row r="102" spans="1:4" x14ac:dyDescent="0.2">
      <c r="A102" s="1293">
        <v>30620</v>
      </c>
      <c r="B102" s="1292"/>
      <c r="C102" s="1294"/>
      <c r="D102" s="1292"/>
    </row>
    <row r="103" spans="1:4" x14ac:dyDescent="0.2">
      <c r="A103" s="1293">
        <v>30650</v>
      </c>
      <c r="B103" s="1292"/>
      <c r="C103" s="1294"/>
      <c r="D103" s="1292"/>
    </row>
    <row r="104" spans="1:4" x14ac:dyDescent="0.2">
      <c r="A104" s="1293">
        <v>30681</v>
      </c>
      <c r="B104" s="1292"/>
      <c r="C104" s="1294"/>
      <c r="D104" s="1292"/>
    </row>
    <row r="105" spans="1:4" x14ac:dyDescent="0.2">
      <c r="A105" s="1293">
        <v>30712</v>
      </c>
      <c r="B105" s="1292"/>
      <c r="C105" s="1294"/>
      <c r="D105" s="1292"/>
    </row>
    <row r="106" spans="1:4" x14ac:dyDescent="0.2">
      <c r="A106" s="1293">
        <v>30741</v>
      </c>
      <c r="B106" s="1292"/>
      <c r="C106" s="1294"/>
      <c r="D106" s="1292"/>
    </row>
    <row r="107" spans="1:4" x14ac:dyDescent="0.2">
      <c r="A107" s="1293">
        <v>30772</v>
      </c>
      <c r="B107" s="1292"/>
      <c r="C107" s="1294"/>
      <c r="D107" s="1292"/>
    </row>
    <row r="108" spans="1:4" x14ac:dyDescent="0.2">
      <c r="A108" s="1293">
        <v>30802</v>
      </c>
      <c r="B108" s="1292"/>
      <c r="C108" s="1294"/>
      <c r="D108" s="1292"/>
    </row>
    <row r="109" spans="1:4" x14ac:dyDescent="0.2">
      <c r="A109" s="1293">
        <v>30833</v>
      </c>
      <c r="B109" s="1292"/>
      <c r="C109" s="1294"/>
      <c r="D109" s="1292"/>
    </row>
    <row r="110" spans="1:4" x14ac:dyDescent="0.2">
      <c r="A110" s="1293">
        <v>30863</v>
      </c>
      <c r="B110" s="1292"/>
      <c r="C110" s="1294"/>
      <c r="D110" s="1292"/>
    </row>
    <row r="111" spans="1:4" x14ac:dyDescent="0.2">
      <c r="A111" s="1293">
        <v>30894</v>
      </c>
      <c r="B111" s="1292"/>
      <c r="C111" s="1294"/>
      <c r="D111" s="1292"/>
    </row>
    <row r="112" spans="1:4" x14ac:dyDescent="0.2">
      <c r="A112" s="1293">
        <v>30925</v>
      </c>
      <c r="B112" s="1292"/>
      <c r="C112" s="1294"/>
      <c r="D112" s="1292"/>
    </row>
    <row r="113" spans="1:4" x14ac:dyDescent="0.2">
      <c r="A113" s="1293">
        <v>30955</v>
      </c>
      <c r="B113" s="1292"/>
      <c r="C113" s="1294"/>
      <c r="D113" s="1292"/>
    </row>
    <row r="114" spans="1:4" x14ac:dyDescent="0.2">
      <c r="A114" s="1293">
        <v>30986</v>
      </c>
      <c r="B114" s="1292"/>
      <c r="C114" s="1294"/>
      <c r="D114" s="1292"/>
    </row>
    <row r="115" spans="1:4" x14ac:dyDescent="0.2">
      <c r="A115" s="1293">
        <v>31016</v>
      </c>
      <c r="B115" s="1292"/>
      <c r="C115" s="1294"/>
      <c r="D115" s="1292"/>
    </row>
    <row r="116" spans="1:4" x14ac:dyDescent="0.2">
      <c r="A116" s="1293">
        <v>31047</v>
      </c>
      <c r="B116" s="1292"/>
      <c r="C116" s="1294"/>
      <c r="D116" s="1292"/>
    </row>
    <row r="117" spans="1:4" x14ac:dyDescent="0.2">
      <c r="A117" s="1293">
        <v>31078</v>
      </c>
      <c r="B117" s="1292"/>
      <c r="C117" s="1294"/>
      <c r="D117" s="1292"/>
    </row>
    <row r="118" spans="1:4" x14ac:dyDescent="0.2">
      <c r="A118" s="1293">
        <v>31106</v>
      </c>
      <c r="B118" s="1292"/>
      <c r="C118" s="1294"/>
      <c r="D118" s="1292"/>
    </row>
    <row r="119" spans="1:4" x14ac:dyDescent="0.2">
      <c r="A119" s="1293">
        <v>31137</v>
      </c>
      <c r="B119" s="1292"/>
      <c r="C119" s="1294"/>
      <c r="D119" s="1292"/>
    </row>
    <row r="120" spans="1:4" x14ac:dyDescent="0.2">
      <c r="A120" s="1293">
        <v>31167</v>
      </c>
      <c r="B120" s="1292"/>
      <c r="C120" s="1294"/>
      <c r="D120" s="1292"/>
    </row>
    <row r="121" spans="1:4" x14ac:dyDescent="0.2">
      <c r="A121" s="1293">
        <v>31198</v>
      </c>
      <c r="B121" s="1292"/>
      <c r="C121" s="1294"/>
      <c r="D121" s="1292"/>
    </row>
    <row r="122" spans="1:4" x14ac:dyDescent="0.2">
      <c r="A122" s="1293">
        <v>31228</v>
      </c>
      <c r="B122" s="1292"/>
      <c r="C122" s="1294"/>
      <c r="D122" s="1292"/>
    </row>
    <row r="123" spans="1:4" x14ac:dyDescent="0.2">
      <c r="A123" s="1293">
        <v>31259</v>
      </c>
      <c r="B123" s="1292"/>
      <c r="C123" s="1294"/>
      <c r="D123" s="1292"/>
    </row>
    <row r="124" spans="1:4" x14ac:dyDescent="0.2">
      <c r="A124" s="1293">
        <v>31290</v>
      </c>
      <c r="B124" s="1292"/>
      <c r="C124" s="1294"/>
      <c r="D124" s="1292"/>
    </row>
    <row r="125" spans="1:4" x14ac:dyDescent="0.2">
      <c r="A125" s="1293">
        <v>31320</v>
      </c>
      <c r="B125" s="1292"/>
      <c r="C125" s="1294"/>
      <c r="D125" s="1292"/>
    </row>
    <row r="126" spans="1:4" x14ac:dyDescent="0.2">
      <c r="A126" s="1293">
        <v>31351</v>
      </c>
      <c r="B126" s="1292"/>
      <c r="C126" s="1294"/>
      <c r="D126" s="1292"/>
    </row>
    <row r="127" spans="1:4" x14ac:dyDescent="0.2">
      <c r="A127" s="1293">
        <v>31381</v>
      </c>
      <c r="B127" s="1292"/>
      <c r="C127" s="1294"/>
      <c r="D127" s="1292"/>
    </row>
    <row r="128" spans="1:4" x14ac:dyDescent="0.2">
      <c r="A128" s="1293">
        <v>31412</v>
      </c>
      <c r="B128" s="1292"/>
      <c r="C128" s="1294"/>
      <c r="D128" s="1292"/>
    </row>
    <row r="129" spans="1:4" x14ac:dyDescent="0.2">
      <c r="A129" s="1293">
        <v>31443</v>
      </c>
      <c r="B129" s="1292"/>
      <c r="C129" s="1294"/>
      <c r="D129" s="1292"/>
    </row>
    <row r="130" spans="1:4" x14ac:dyDescent="0.2">
      <c r="A130" s="1293">
        <v>31471</v>
      </c>
      <c r="B130" s="1292"/>
      <c r="C130" s="1294"/>
      <c r="D130" s="1292"/>
    </row>
    <row r="131" spans="1:4" x14ac:dyDescent="0.2">
      <c r="A131" s="1293">
        <v>31502</v>
      </c>
      <c r="B131" s="1292"/>
      <c r="C131" s="1294"/>
      <c r="D131" s="1292"/>
    </row>
    <row r="132" spans="1:4" x14ac:dyDescent="0.2">
      <c r="A132" s="1293">
        <v>31532</v>
      </c>
      <c r="B132" s="1292"/>
      <c r="C132" s="1294"/>
      <c r="D132" s="1292"/>
    </row>
    <row r="133" spans="1:4" x14ac:dyDescent="0.2">
      <c r="A133" s="1293">
        <v>31563</v>
      </c>
      <c r="B133" s="1292"/>
      <c r="C133" s="1294"/>
      <c r="D133" s="1292"/>
    </row>
    <row r="134" spans="1:4" x14ac:dyDescent="0.2">
      <c r="A134" s="1293">
        <v>31593</v>
      </c>
      <c r="B134" s="1292"/>
      <c r="C134" s="1294"/>
      <c r="D134" s="1292"/>
    </row>
    <row r="135" spans="1:4" x14ac:dyDescent="0.2">
      <c r="A135" s="1293">
        <v>31624</v>
      </c>
      <c r="B135" s="1292"/>
      <c r="C135" s="1294"/>
      <c r="D135" s="1292"/>
    </row>
    <row r="136" spans="1:4" x14ac:dyDescent="0.2">
      <c r="A136" s="1293">
        <v>31655</v>
      </c>
      <c r="B136" s="1292"/>
      <c r="C136" s="1294"/>
      <c r="D136" s="1292"/>
    </row>
    <row r="137" spans="1:4" x14ac:dyDescent="0.2">
      <c r="A137" s="1293">
        <v>31685</v>
      </c>
      <c r="B137" s="1292"/>
      <c r="C137" s="1294"/>
      <c r="D137" s="1292"/>
    </row>
    <row r="138" spans="1:4" x14ac:dyDescent="0.2">
      <c r="A138" s="1293">
        <v>31716</v>
      </c>
      <c r="B138" s="1292"/>
      <c r="C138" s="1294"/>
      <c r="D138" s="1292"/>
    </row>
    <row r="139" spans="1:4" x14ac:dyDescent="0.2">
      <c r="A139" s="1293">
        <v>31746</v>
      </c>
      <c r="B139" s="1292"/>
      <c r="C139" s="1294"/>
      <c r="D139" s="1292"/>
    </row>
    <row r="140" spans="1:4" x14ac:dyDescent="0.2">
      <c r="A140" s="1293">
        <v>31777</v>
      </c>
      <c r="B140" s="1292"/>
      <c r="C140" s="1294"/>
      <c r="D140" s="1292"/>
    </row>
    <row r="141" spans="1:4" x14ac:dyDescent="0.2">
      <c r="A141" s="1293">
        <v>31808</v>
      </c>
      <c r="B141" s="1295"/>
      <c r="C141" s="1296"/>
      <c r="D141" s="1295"/>
    </row>
    <row r="142" spans="1:4" x14ac:dyDescent="0.2">
      <c r="A142" s="1293">
        <v>31836</v>
      </c>
      <c r="B142" s="1295"/>
      <c r="C142" s="1296"/>
      <c r="D142" s="1295"/>
    </row>
    <row r="143" spans="1:4" x14ac:dyDescent="0.2">
      <c r="A143" s="1293">
        <v>31867</v>
      </c>
      <c r="B143" s="1295"/>
      <c r="C143" s="1296"/>
      <c r="D143" s="1295"/>
    </row>
    <row r="144" spans="1:4" x14ac:dyDescent="0.2">
      <c r="A144" s="1293">
        <v>31897</v>
      </c>
      <c r="B144" s="1295"/>
      <c r="C144" s="1296"/>
      <c r="D144" s="1295"/>
    </row>
    <row r="145" spans="1:4" x14ac:dyDescent="0.2">
      <c r="A145" s="1293">
        <v>31928</v>
      </c>
      <c r="B145" s="1295"/>
      <c r="C145" s="1296"/>
      <c r="D145" s="1295"/>
    </row>
    <row r="146" spans="1:4" x14ac:dyDescent="0.2">
      <c r="A146" s="1293">
        <v>31958</v>
      </c>
      <c r="B146" s="1295"/>
      <c r="C146" s="1296"/>
      <c r="D146" s="1295"/>
    </row>
    <row r="147" spans="1:4" x14ac:dyDescent="0.2">
      <c r="A147" s="1293">
        <v>31989</v>
      </c>
      <c r="B147" s="1295"/>
      <c r="C147" s="1296"/>
      <c r="D147" s="1295"/>
    </row>
    <row r="148" spans="1:4" x14ac:dyDescent="0.2">
      <c r="A148" s="1293">
        <v>32020</v>
      </c>
      <c r="B148" s="1295"/>
      <c r="C148" s="1296"/>
      <c r="D148" s="1295"/>
    </row>
    <row r="149" spans="1:4" x14ac:dyDescent="0.2">
      <c r="A149" s="1293">
        <v>32050</v>
      </c>
      <c r="B149" s="1295"/>
      <c r="C149" s="1296"/>
      <c r="D149" s="1295"/>
    </row>
    <row r="150" spans="1:4" x14ac:dyDescent="0.2">
      <c r="A150" s="1293">
        <v>32081</v>
      </c>
      <c r="B150" s="1295"/>
      <c r="C150" s="1296"/>
      <c r="D150" s="1295"/>
    </row>
    <row r="151" spans="1:4" x14ac:dyDescent="0.2">
      <c r="A151" s="1293">
        <v>32111</v>
      </c>
      <c r="B151" s="1295"/>
      <c r="C151" s="1296"/>
      <c r="D151" s="1295"/>
    </row>
    <row r="152" spans="1:4" x14ac:dyDescent="0.2">
      <c r="A152" s="1293">
        <v>32142</v>
      </c>
      <c r="B152" s="1295"/>
      <c r="C152" s="1296"/>
      <c r="D152" s="1295"/>
    </row>
    <row r="153" spans="1:4" x14ac:dyDescent="0.2">
      <c r="A153" s="1293">
        <v>32173</v>
      </c>
      <c r="B153" s="1295"/>
      <c r="C153" s="1296"/>
      <c r="D153" s="1295"/>
    </row>
    <row r="154" spans="1:4" x14ac:dyDescent="0.2">
      <c r="A154" s="1293">
        <v>32202</v>
      </c>
      <c r="B154" s="1295"/>
      <c r="C154" s="1296"/>
      <c r="D154" s="1295"/>
    </row>
    <row r="155" spans="1:4" x14ac:dyDescent="0.2">
      <c r="A155" s="1293">
        <v>32233</v>
      </c>
      <c r="B155" s="1295"/>
      <c r="C155" s="1296"/>
      <c r="D155" s="1295"/>
    </row>
    <row r="156" spans="1:4" x14ac:dyDescent="0.2">
      <c r="A156" s="1293">
        <v>32263</v>
      </c>
      <c r="B156" s="1295"/>
      <c r="C156" s="1296"/>
      <c r="D156" s="1295"/>
    </row>
    <row r="157" spans="1:4" x14ac:dyDescent="0.2">
      <c r="A157" s="1293">
        <v>32294</v>
      </c>
      <c r="B157" s="1295"/>
      <c r="C157" s="1296"/>
      <c r="D157" s="1295"/>
    </row>
    <row r="158" spans="1:4" x14ac:dyDescent="0.2">
      <c r="A158" s="1293">
        <v>32324</v>
      </c>
      <c r="B158" s="1295"/>
      <c r="C158" s="1296"/>
      <c r="D158" s="1295"/>
    </row>
    <row r="159" spans="1:4" x14ac:dyDescent="0.2">
      <c r="A159" s="1293">
        <v>32355</v>
      </c>
      <c r="B159" s="1295"/>
      <c r="C159" s="1296"/>
      <c r="D159" s="1295"/>
    </row>
    <row r="160" spans="1:4" x14ac:dyDescent="0.2">
      <c r="A160" s="1293">
        <v>32386</v>
      </c>
      <c r="B160" s="1295"/>
      <c r="C160" s="1296"/>
      <c r="D160" s="1295"/>
    </row>
    <row r="161" spans="1:4" x14ac:dyDescent="0.2">
      <c r="A161" s="1293">
        <v>32416</v>
      </c>
      <c r="B161" s="1295"/>
      <c r="C161" s="1296"/>
      <c r="D161" s="1295"/>
    </row>
    <row r="162" spans="1:4" x14ac:dyDescent="0.2">
      <c r="A162" s="1293">
        <v>32447</v>
      </c>
      <c r="B162" s="1295"/>
      <c r="C162" s="1296"/>
      <c r="D162" s="1295"/>
    </row>
    <row r="163" spans="1:4" x14ac:dyDescent="0.2">
      <c r="A163" s="1293">
        <v>32477</v>
      </c>
      <c r="B163" s="1295"/>
      <c r="C163" s="1296"/>
      <c r="D163" s="1295"/>
    </row>
    <row r="164" spans="1:4" x14ac:dyDescent="0.2">
      <c r="A164" s="1293">
        <v>32508</v>
      </c>
      <c r="B164" s="1295"/>
      <c r="C164" s="1296"/>
      <c r="D164" s="1295"/>
    </row>
    <row r="165" spans="1:4" x14ac:dyDescent="0.2">
      <c r="A165" s="1293">
        <v>32539</v>
      </c>
      <c r="B165" s="1295"/>
      <c r="C165" s="1296"/>
      <c r="D165" s="1295"/>
    </row>
    <row r="166" spans="1:4" x14ac:dyDescent="0.2">
      <c r="A166" s="1293">
        <v>32567</v>
      </c>
      <c r="B166" s="1295"/>
      <c r="C166" s="1296"/>
      <c r="D166" s="1295"/>
    </row>
    <row r="167" spans="1:4" x14ac:dyDescent="0.2">
      <c r="A167" s="1293">
        <v>32598</v>
      </c>
      <c r="B167" s="1295"/>
      <c r="C167" s="1296"/>
      <c r="D167" s="1295"/>
    </row>
    <row r="168" spans="1:4" x14ac:dyDescent="0.2">
      <c r="A168" s="1293">
        <v>32628</v>
      </c>
      <c r="B168" s="1295"/>
      <c r="C168" s="1296"/>
      <c r="D168" s="1295"/>
    </row>
    <row r="169" spans="1:4" x14ac:dyDescent="0.2">
      <c r="A169" s="1293">
        <v>32659</v>
      </c>
      <c r="B169" s="1295"/>
      <c r="C169" s="1296"/>
      <c r="D169" s="1295"/>
    </row>
    <row r="170" spans="1:4" x14ac:dyDescent="0.2">
      <c r="A170" s="1293">
        <v>32689</v>
      </c>
      <c r="B170" s="1295"/>
      <c r="C170" s="1296"/>
      <c r="D170" s="1295"/>
    </row>
    <row r="171" spans="1:4" x14ac:dyDescent="0.2">
      <c r="A171" s="1293">
        <v>32720</v>
      </c>
      <c r="B171" s="1295"/>
      <c r="C171" s="1296"/>
      <c r="D171" s="1295"/>
    </row>
    <row r="172" spans="1:4" x14ac:dyDescent="0.2">
      <c r="A172" s="1293">
        <v>32751</v>
      </c>
      <c r="B172" s="1295"/>
      <c r="C172" s="1296"/>
      <c r="D172" s="1295"/>
    </row>
    <row r="173" spans="1:4" x14ac:dyDescent="0.2">
      <c r="A173" s="1293">
        <v>32781</v>
      </c>
      <c r="B173" s="1295"/>
      <c r="C173" s="1296"/>
      <c r="D173" s="1295"/>
    </row>
    <row r="174" spans="1:4" x14ac:dyDescent="0.2">
      <c r="A174" s="1293">
        <v>32812</v>
      </c>
      <c r="B174" s="1295"/>
      <c r="C174" s="1296"/>
      <c r="D174" s="1295"/>
    </row>
    <row r="175" spans="1:4" x14ac:dyDescent="0.2">
      <c r="A175" s="1293">
        <v>32842</v>
      </c>
      <c r="B175" s="1295"/>
      <c r="C175" s="1296"/>
      <c r="D175" s="1295"/>
    </row>
    <row r="176" spans="1:4" x14ac:dyDescent="0.2">
      <c r="A176" s="1293">
        <v>32873</v>
      </c>
      <c r="B176" s="1295"/>
      <c r="C176" s="1296"/>
      <c r="D176" s="1295"/>
    </row>
    <row r="177" spans="1:4" x14ac:dyDescent="0.2">
      <c r="A177" s="1293">
        <v>32904</v>
      </c>
      <c r="B177" s="1295"/>
      <c r="C177" s="1296"/>
      <c r="D177" s="1295"/>
    </row>
    <row r="178" spans="1:4" x14ac:dyDescent="0.2">
      <c r="A178" s="1293">
        <v>32932</v>
      </c>
      <c r="B178" s="1295"/>
      <c r="C178" s="1296"/>
      <c r="D178" s="1295"/>
    </row>
    <row r="179" spans="1:4" x14ac:dyDescent="0.2">
      <c r="A179" s="1293">
        <v>32963</v>
      </c>
      <c r="B179" s="1295"/>
      <c r="C179" s="1296"/>
      <c r="D179" s="1295"/>
    </row>
    <row r="180" spans="1:4" x14ac:dyDescent="0.2">
      <c r="A180" s="1293">
        <v>32993</v>
      </c>
      <c r="B180" s="1295"/>
      <c r="C180" s="1296"/>
      <c r="D180" s="1295"/>
    </row>
    <row r="181" spans="1:4" x14ac:dyDescent="0.2">
      <c r="A181" s="1293">
        <v>33024</v>
      </c>
      <c r="B181" s="1295"/>
      <c r="C181" s="1296"/>
      <c r="D181" s="1295"/>
    </row>
    <row r="182" spans="1:4" x14ac:dyDescent="0.2">
      <c r="A182" s="1293">
        <v>33054</v>
      </c>
      <c r="B182" s="1295"/>
      <c r="C182" s="1296"/>
      <c r="D182" s="1295"/>
    </row>
    <row r="183" spans="1:4" x14ac:dyDescent="0.2">
      <c r="A183" s="1293">
        <v>33085</v>
      </c>
      <c r="B183" s="1295"/>
      <c r="C183" s="1296"/>
      <c r="D183" s="1295"/>
    </row>
    <row r="184" spans="1:4" x14ac:dyDescent="0.2">
      <c r="A184" s="1293">
        <v>33116</v>
      </c>
      <c r="B184" s="1295"/>
      <c r="C184" s="1296"/>
      <c r="D184" s="1295"/>
    </row>
    <row r="185" spans="1:4" x14ac:dyDescent="0.2">
      <c r="A185" s="1293">
        <v>33146</v>
      </c>
      <c r="B185" s="1295"/>
      <c r="C185" s="1296"/>
      <c r="D185" s="1295"/>
    </row>
    <row r="186" spans="1:4" x14ac:dyDescent="0.2">
      <c r="A186" s="1293">
        <v>33177</v>
      </c>
      <c r="B186" s="1295"/>
      <c r="C186" s="1296"/>
      <c r="D186" s="1295"/>
    </row>
    <row r="187" spans="1:4" x14ac:dyDescent="0.2">
      <c r="A187" s="1293">
        <v>33207</v>
      </c>
      <c r="B187" s="1295"/>
      <c r="C187" s="1296"/>
      <c r="D187" s="1295"/>
    </row>
    <row r="188" spans="1:4" x14ac:dyDescent="0.2">
      <c r="A188" s="1293">
        <v>33238</v>
      </c>
      <c r="B188" s="1295"/>
      <c r="C188" s="1296"/>
      <c r="D188" s="1295"/>
    </row>
    <row r="189" spans="1:4" x14ac:dyDescent="0.2">
      <c r="A189" s="1293">
        <v>33269</v>
      </c>
      <c r="B189" s="1295"/>
      <c r="C189" s="1296"/>
      <c r="D189" s="1295"/>
    </row>
    <row r="190" spans="1:4" x14ac:dyDescent="0.2">
      <c r="A190" s="1293">
        <v>33297</v>
      </c>
      <c r="B190" s="1295"/>
      <c r="C190" s="1296"/>
      <c r="D190" s="1295"/>
    </row>
    <row r="191" spans="1:4" x14ac:dyDescent="0.2">
      <c r="A191" s="1293">
        <v>33328</v>
      </c>
      <c r="B191" s="1295"/>
      <c r="C191" s="1296"/>
      <c r="D191" s="1295"/>
    </row>
    <row r="192" spans="1:4" x14ac:dyDescent="0.2">
      <c r="A192" s="1293">
        <v>33358</v>
      </c>
      <c r="B192" s="1295"/>
      <c r="C192" s="1296"/>
      <c r="D192" s="1295"/>
    </row>
    <row r="193" spans="1:4" x14ac:dyDescent="0.2">
      <c r="A193" s="1293">
        <v>33389</v>
      </c>
      <c r="B193" s="1295"/>
      <c r="C193" s="1296"/>
      <c r="D193" s="1295"/>
    </row>
    <row r="194" spans="1:4" x14ac:dyDescent="0.2">
      <c r="A194" s="1293">
        <v>33419</v>
      </c>
      <c r="B194" s="1295"/>
      <c r="C194" s="1296"/>
      <c r="D194" s="1295"/>
    </row>
    <row r="195" spans="1:4" x14ac:dyDescent="0.2">
      <c r="A195" s="1293">
        <v>33450</v>
      </c>
      <c r="B195" s="1295"/>
      <c r="C195" s="1296"/>
      <c r="D195" s="1295"/>
    </row>
    <row r="196" spans="1:4" x14ac:dyDescent="0.2">
      <c r="A196" s="1293">
        <v>33481</v>
      </c>
      <c r="B196" s="1295"/>
      <c r="C196" s="1296"/>
      <c r="D196" s="1295"/>
    </row>
    <row r="197" spans="1:4" x14ac:dyDescent="0.2">
      <c r="A197" s="1293">
        <v>33511</v>
      </c>
      <c r="B197" s="1295"/>
      <c r="C197" s="1296"/>
      <c r="D197" s="1295"/>
    </row>
    <row r="198" spans="1:4" x14ac:dyDescent="0.2">
      <c r="A198" s="1293">
        <v>33542</v>
      </c>
      <c r="B198" s="1295"/>
      <c r="C198" s="1296"/>
      <c r="D198" s="1295"/>
    </row>
    <row r="199" spans="1:4" x14ac:dyDescent="0.2">
      <c r="A199" s="1293">
        <v>33572</v>
      </c>
      <c r="B199" s="1295"/>
      <c r="C199" s="1296"/>
      <c r="D199" s="1295"/>
    </row>
    <row r="200" spans="1:4" x14ac:dyDescent="0.2">
      <c r="A200" s="1293">
        <v>33603</v>
      </c>
      <c r="B200" s="1295"/>
      <c r="C200" s="1296"/>
      <c r="D200" s="1295"/>
    </row>
    <row r="201" spans="1:4" x14ac:dyDescent="0.2">
      <c r="A201" s="1293">
        <v>33634</v>
      </c>
      <c r="B201" s="1295"/>
      <c r="C201" s="1296"/>
      <c r="D201" s="1295"/>
    </row>
    <row r="202" spans="1:4" x14ac:dyDescent="0.2">
      <c r="A202" s="1293">
        <v>33663</v>
      </c>
      <c r="B202" s="1295"/>
      <c r="C202" s="1296"/>
      <c r="D202" s="1295"/>
    </row>
    <row r="203" spans="1:4" x14ac:dyDescent="0.2">
      <c r="A203" s="1293">
        <v>33694</v>
      </c>
      <c r="B203" s="1295"/>
      <c r="C203" s="1296"/>
      <c r="D203" s="1295"/>
    </row>
    <row r="204" spans="1:4" x14ac:dyDescent="0.2">
      <c r="A204" s="1293">
        <v>33724</v>
      </c>
      <c r="B204" s="1295"/>
      <c r="C204" s="1296"/>
      <c r="D204" s="1295"/>
    </row>
    <row r="205" spans="1:4" x14ac:dyDescent="0.2">
      <c r="A205" s="1293">
        <v>33755</v>
      </c>
      <c r="B205" s="1295"/>
      <c r="C205" s="1296"/>
      <c r="D205" s="1295"/>
    </row>
    <row r="206" spans="1:4" x14ac:dyDescent="0.2">
      <c r="A206" s="1293">
        <v>33785</v>
      </c>
      <c r="B206" s="1295"/>
      <c r="C206" s="1296"/>
      <c r="D206" s="1295"/>
    </row>
    <row r="207" spans="1:4" x14ac:dyDescent="0.2">
      <c r="A207" s="1293">
        <v>33816</v>
      </c>
      <c r="B207" s="1295"/>
      <c r="C207" s="1296"/>
      <c r="D207" s="1295"/>
    </row>
    <row r="208" spans="1:4" x14ac:dyDescent="0.2">
      <c r="A208" s="1293">
        <v>33847</v>
      </c>
      <c r="B208" s="1295"/>
      <c r="C208" s="1296"/>
      <c r="D208" s="1295"/>
    </row>
    <row r="209" spans="1:4" x14ac:dyDescent="0.2">
      <c r="A209" s="1293">
        <v>33877</v>
      </c>
      <c r="B209" s="1295"/>
      <c r="C209" s="1296"/>
      <c r="D209" s="1295"/>
    </row>
    <row r="210" spans="1:4" x14ac:dyDescent="0.2">
      <c r="A210" s="1293">
        <v>33908</v>
      </c>
      <c r="B210" s="1295"/>
      <c r="C210" s="1296"/>
      <c r="D210" s="1295"/>
    </row>
    <row r="211" spans="1:4" x14ac:dyDescent="0.2">
      <c r="A211" s="1293">
        <v>33938</v>
      </c>
      <c r="B211" s="1295"/>
      <c r="C211" s="1296"/>
      <c r="D211" s="1295"/>
    </row>
    <row r="212" spans="1:4" x14ac:dyDescent="0.2">
      <c r="A212" s="1293">
        <v>33969</v>
      </c>
      <c r="B212" s="1295"/>
      <c r="C212" s="1296"/>
      <c r="D212" s="1295"/>
    </row>
    <row r="213" spans="1:4" x14ac:dyDescent="0.2">
      <c r="A213" s="1293">
        <v>34000</v>
      </c>
      <c r="B213" s="1295"/>
      <c r="C213" s="1296"/>
      <c r="D213" s="1295"/>
    </row>
    <row r="214" spans="1:4" x14ac:dyDescent="0.2">
      <c r="A214" s="1293">
        <v>34028</v>
      </c>
      <c r="B214" s="1295"/>
      <c r="C214" s="1296"/>
      <c r="D214" s="1295"/>
    </row>
    <row r="215" spans="1:4" x14ac:dyDescent="0.2">
      <c r="A215" s="1293">
        <v>34059</v>
      </c>
      <c r="B215" s="1295"/>
      <c r="C215" s="1296"/>
      <c r="D215" s="1295"/>
    </row>
    <row r="216" spans="1:4" x14ac:dyDescent="0.2">
      <c r="A216" s="1293">
        <v>34089</v>
      </c>
      <c r="B216" s="1295"/>
      <c r="C216" s="1296"/>
      <c r="D216" s="1295"/>
    </row>
    <row r="217" spans="1:4" x14ac:dyDescent="0.2">
      <c r="A217" s="1293">
        <v>34120</v>
      </c>
      <c r="B217" s="1295"/>
      <c r="C217" s="1296"/>
      <c r="D217" s="1295"/>
    </row>
    <row r="218" spans="1:4" x14ac:dyDescent="0.2">
      <c r="A218" s="1293">
        <v>34150</v>
      </c>
      <c r="B218" s="1295"/>
      <c r="C218" s="1296"/>
      <c r="D218" s="1295"/>
    </row>
    <row r="219" spans="1:4" x14ac:dyDescent="0.2">
      <c r="A219" s="1293">
        <v>34181</v>
      </c>
      <c r="B219" s="1295"/>
      <c r="C219" s="1296"/>
      <c r="D219" s="1295"/>
    </row>
    <row r="220" spans="1:4" x14ac:dyDescent="0.2">
      <c r="A220" s="1293">
        <v>34212</v>
      </c>
      <c r="B220" s="1295"/>
      <c r="C220" s="1296"/>
      <c r="D220" s="1295"/>
    </row>
    <row r="221" spans="1:4" x14ac:dyDescent="0.2">
      <c r="A221" s="1293">
        <v>34242</v>
      </c>
      <c r="B221" s="1295"/>
      <c r="C221" s="1296"/>
      <c r="D221" s="1295"/>
    </row>
    <row r="222" spans="1:4" x14ac:dyDescent="0.2">
      <c r="A222" s="1293">
        <v>34273</v>
      </c>
      <c r="B222" s="1295"/>
      <c r="C222" s="1296"/>
      <c r="D222" s="1295"/>
    </row>
    <row r="223" spans="1:4" x14ac:dyDescent="0.2">
      <c r="A223" s="1293">
        <v>34303</v>
      </c>
      <c r="B223" s="1295"/>
      <c r="C223" s="1296"/>
      <c r="D223" s="1295"/>
    </row>
    <row r="224" spans="1:4" x14ac:dyDescent="0.2">
      <c r="A224" s="1293">
        <v>34334</v>
      </c>
      <c r="B224" s="1295"/>
      <c r="C224" s="1296"/>
      <c r="D224" s="1295"/>
    </row>
    <row r="225" spans="1:4" x14ac:dyDescent="0.2">
      <c r="A225" s="1293">
        <v>34365</v>
      </c>
      <c r="B225" s="1295"/>
      <c r="C225" s="1296"/>
      <c r="D225" s="1295"/>
    </row>
    <row r="226" spans="1:4" x14ac:dyDescent="0.2">
      <c r="A226" s="1293">
        <v>34393</v>
      </c>
      <c r="B226" s="1295"/>
      <c r="C226" s="1296"/>
      <c r="D226" s="1295"/>
    </row>
    <row r="227" spans="1:4" x14ac:dyDescent="0.2">
      <c r="A227" s="1293">
        <v>34424</v>
      </c>
      <c r="B227" s="1295"/>
      <c r="C227" s="1296"/>
      <c r="D227" s="1295"/>
    </row>
    <row r="228" spans="1:4" x14ac:dyDescent="0.2">
      <c r="A228" s="1293">
        <v>34454</v>
      </c>
      <c r="B228" s="1295"/>
      <c r="C228" s="1296"/>
      <c r="D228" s="1295"/>
    </row>
    <row r="229" spans="1:4" x14ac:dyDescent="0.2">
      <c r="A229" s="1293">
        <v>34485</v>
      </c>
      <c r="B229" s="1295"/>
      <c r="C229" s="1296"/>
      <c r="D229" s="1295"/>
    </row>
    <row r="230" spans="1:4" x14ac:dyDescent="0.2">
      <c r="A230" s="1293">
        <v>34515</v>
      </c>
      <c r="B230" s="1295"/>
      <c r="C230" s="1296"/>
      <c r="D230" s="1295"/>
    </row>
    <row r="231" spans="1:4" x14ac:dyDescent="0.2">
      <c r="A231" s="1293">
        <v>34546</v>
      </c>
      <c r="B231" s="1295"/>
      <c r="C231" s="1296"/>
      <c r="D231" s="1295"/>
    </row>
    <row r="232" spans="1:4" x14ac:dyDescent="0.2">
      <c r="A232" s="1293">
        <v>34577</v>
      </c>
      <c r="B232" s="1295"/>
      <c r="C232" s="1296"/>
      <c r="D232" s="1295"/>
    </row>
    <row r="233" spans="1:4" x14ac:dyDescent="0.2">
      <c r="A233" s="1293">
        <v>34607</v>
      </c>
      <c r="B233" s="1295"/>
      <c r="C233" s="1296"/>
      <c r="D233" s="1295"/>
    </row>
    <row r="234" spans="1:4" x14ac:dyDescent="0.2">
      <c r="A234" s="1293">
        <v>34638</v>
      </c>
      <c r="B234" s="1295"/>
      <c r="C234" s="1296"/>
      <c r="D234" s="1295"/>
    </row>
    <row r="235" spans="1:4" x14ac:dyDescent="0.2">
      <c r="A235" s="1293">
        <v>34668</v>
      </c>
      <c r="B235" s="1295"/>
      <c r="C235" s="1296"/>
      <c r="D235" s="1295"/>
    </row>
    <row r="236" spans="1:4" x14ac:dyDescent="0.2">
      <c r="A236" s="1293">
        <v>34699</v>
      </c>
      <c r="B236" s="1295"/>
      <c r="C236" s="1296"/>
      <c r="D236" s="1295"/>
    </row>
    <row r="237" spans="1:4" x14ac:dyDescent="0.2">
      <c r="A237" s="1293">
        <v>34730</v>
      </c>
      <c r="B237" s="1295"/>
      <c r="C237" s="1296"/>
      <c r="D237" s="1295"/>
    </row>
    <row r="238" spans="1:4" x14ac:dyDescent="0.2">
      <c r="A238" s="1293">
        <v>34758</v>
      </c>
      <c r="B238" s="1295"/>
      <c r="C238" s="1296"/>
      <c r="D238" s="1295"/>
    </row>
    <row r="239" spans="1:4" x14ac:dyDescent="0.2">
      <c r="A239" s="1293">
        <v>34789</v>
      </c>
      <c r="B239" s="1295"/>
      <c r="C239" s="1296"/>
      <c r="D239" s="1295"/>
    </row>
    <row r="240" spans="1:4" x14ac:dyDescent="0.2">
      <c r="A240" s="1293">
        <v>34819</v>
      </c>
      <c r="B240" s="1295"/>
      <c r="C240" s="1296"/>
      <c r="D240" s="1295"/>
    </row>
    <row r="241" spans="1:4" x14ac:dyDescent="0.2">
      <c r="A241" s="1293">
        <v>34850</v>
      </c>
      <c r="B241" s="1295"/>
      <c r="C241" s="1296"/>
      <c r="D241" s="1295"/>
    </row>
    <row r="242" spans="1:4" x14ac:dyDescent="0.2">
      <c r="A242" s="1293">
        <v>34880</v>
      </c>
      <c r="B242" s="1295"/>
      <c r="C242" s="1296"/>
      <c r="D242" s="1295"/>
    </row>
    <row r="243" spans="1:4" x14ac:dyDescent="0.2">
      <c r="A243" s="1293">
        <v>34911</v>
      </c>
      <c r="B243" s="1295"/>
      <c r="C243" s="1296"/>
      <c r="D243" s="1295"/>
    </row>
    <row r="244" spans="1:4" x14ac:dyDescent="0.2">
      <c r="A244" s="1293">
        <v>34942</v>
      </c>
      <c r="B244" s="1295"/>
      <c r="C244" s="1296"/>
      <c r="D244" s="1295"/>
    </row>
    <row r="245" spans="1:4" x14ac:dyDescent="0.2">
      <c r="A245" s="1293">
        <v>34972</v>
      </c>
      <c r="B245" s="1295"/>
      <c r="C245" s="1296"/>
      <c r="D245" s="1295"/>
    </row>
    <row r="246" spans="1:4" x14ac:dyDescent="0.2">
      <c r="A246" s="1293">
        <v>35003</v>
      </c>
      <c r="B246" s="1295"/>
      <c r="C246" s="1296"/>
      <c r="D246" s="1295"/>
    </row>
    <row r="247" spans="1:4" x14ac:dyDescent="0.2">
      <c r="A247" s="1293">
        <v>35033</v>
      </c>
      <c r="B247" s="1295"/>
      <c r="C247" s="1296"/>
      <c r="D247" s="1295"/>
    </row>
    <row r="248" spans="1:4" x14ac:dyDescent="0.2">
      <c r="A248" s="1293">
        <v>35064</v>
      </c>
      <c r="B248" s="1295"/>
      <c r="C248" s="1296"/>
      <c r="D248" s="1295"/>
    </row>
    <row r="249" spans="1:4" x14ac:dyDescent="0.2">
      <c r="A249" s="1293">
        <v>35095</v>
      </c>
      <c r="B249" s="1295"/>
      <c r="C249" s="1296"/>
      <c r="D249" s="1295"/>
    </row>
    <row r="250" spans="1:4" x14ac:dyDescent="0.2">
      <c r="A250" s="1293">
        <v>35124</v>
      </c>
      <c r="B250" s="1295"/>
      <c r="C250" s="1296"/>
      <c r="D250" s="1295"/>
    </row>
    <row r="251" spans="1:4" x14ac:dyDescent="0.2">
      <c r="A251" s="1293">
        <v>35155</v>
      </c>
      <c r="B251" s="1295"/>
      <c r="C251" s="1296"/>
      <c r="D251" s="1295"/>
    </row>
    <row r="252" spans="1:4" x14ac:dyDescent="0.2">
      <c r="A252" s="1293">
        <v>35185</v>
      </c>
      <c r="B252" s="1295"/>
      <c r="C252" s="1296"/>
      <c r="D252" s="1295"/>
    </row>
    <row r="253" spans="1:4" x14ac:dyDescent="0.2">
      <c r="A253" s="1293">
        <v>35216</v>
      </c>
      <c r="B253" s="1295"/>
      <c r="C253" s="1296"/>
      <c r="D253" s="1295"/>
    </row>
    <row r="254" spans="1:4" x14ac:dyDescent="0.2">
      <c r="A254" s="1293">
        <v>35246</v>
      </c>
      <c r="B254" s="1295"/>
      <c r="C254" s="1296"/>
      <c r="D254" s="1295"/>
    </row>
    <row r="255" spans="1:4" x14ac:dyDescent="0.2">
      <c r="A255" s="1293">
        <v>35277</v>
      </c>
      <c r="B255" s="1295"/>
      <c r="C255" s="1296"/>
      <c r="D255" s="1295"/>
    </row>
    <row r="256" spans="1:4" x14ac:dyDescent="0.2">
      <c r="A256" s="1293">
        <v>35308</v>
      </c>
      <c r="B256" s="1295"/>
      <c r="C256" s="1296"/>
      <c r="D256" s="1295"/>
    </row>
    <row r="257" spans="1:4" x14ac:dyDescent="0.2">
      <c r="A257" s="1293">
        <v>35338</v>
      </c>
      <c r="B257" s="1295"/>
      <c r="C257" s="1296"/>
      <c r="D257" s="1295"/>
    </row>
    <row r="258" spans="1:4" x14ac:dyDescent="0.2">
      <c r="A258" s="1293">
        <v>35369</v>
      </c>
      <c r="B258" s="1295"/>
      <c r="C258" s="1296"/>
      <c r="D258" s="1295"/>
    </row>
    <row r="259" spans="1:4" x14ac:dyDescent="0.2">
      <c r="A259" s="1293">
        <v>35399</v>
      </c>
      <c r="B259" s="1295"/>
      <c r="C259" s="1296"/>
      <c r="D259" s="1295"/>
    </row>
    <row r="260" spans="1:4" x14ac:dyDescent="0.2">
      <c r="A260" s="1293">
        <v>35430</v>
      </c>
      <c r="B260" s="1295"/>
      <c r="C260" s="1296"/>
      <c r="D260" s="1295"/>
    </row>
    <row r="261" spans="1:4" x14ac:dyDescent="0.2">
      <c r="A261" s="1293">
        <v>35461</v>
      </c>
      <c r="B261" s="1295"/>
      <c r="C261" s="1296"/>
      <c r="D261" s="1295"/>
    </row>
    <row r="262" spans="1:4" x14ac:dyDescent="0.2">
      <c r="A262" s="1293">
        <v>35489</v>
      </c>
      <c r="B262" s="1295"/>
      <c r="C262" s="1296"/>
      <c r="D262" s="1295"/>
    </row>
    <row r="263" spans="1:4" x14ac:dyDescent="0.2">
      <c r="A263" s="1293">
        <v>35520</v>
      </c>
      <c r="B263" s="1295"/>
      <c r="C263" s="1296"/>
      <c r="D263" s="1295"/>
    </row>
    <row r="264" spans="1:4" x14ac:dyDescent="0.2">
      <c r="A264" s="1293">
        <v>35550</v>
      </c>
      <c r="B264" s="1295"/>
      <c r="C264" s="1296"/>
      <c r="D264" s="1295"/>
    </row>
    <row r="265" spans="1:4" x14ac:dyDescent="0.2">
      <c r="A265" s="1293">
        <v>35581</v>
      </c>
      <c r="B265" s="1295"/>
      <c r="C265" s="1296"/>
      <c r="D265" s="1295"/>
    </row>
    <row r="266" spans="1:4" x14ac:dyDescent="0.2">
      <c r="A266" s="1293">
        <v>35611</v>
      </c>
      <c r="B266" s="1295"/>
      <c r="C266" s="1296"/>
      <c r="D266" s="1295"/>
    </row>
    <row r="267" spans="1:4" x14ac:dyDescent="0.2">
      <c r="A267" s="1293">
        <v>35642</v>
      </c>
      <c r="B267" s="1295"/>
      <c r="C267" s="1296"/>
      <c r="D267" s="1295"/>
    </row>
    <row r="268" spans="1:4" x14ac:dyDescent="0.2">
      <c r="A268" s="1293">
        <v>35673</v>
      </c>
      <c r="B268" s="1295"/>
      <c r="C268" s="1296"/>
      <c r="D268" s="1295"/>
    </row>
    <row r="269" spans="1:4" x14ac:dyDescent="0.2">
      <c r="A269" s="1293">
        <v>35703</v>
      </c>
      <c r="B269" s="1295"/>
      <c r="C269" s="1296"/>
      <c r="D269" s="1295"/>
    </row>
    <row r="270" spans="1:4" x14ac:dyDescent="0.2">
      <c r="A270" s="1293">
        <v>35734</v>
      </c>
      <c r="B270" s="1295"/>
      <c r="C270" s="1296"/>
      <c r="D270" s="1295"/>
    </row>
    <row r="271" spans="1:4" x14ac:dyDescent="0.2">
      <c r="A271" s="1293">
        <v>35764</v>
      </c>
      <c r="B271" s="1295"/>
      <c r="C271" s="1296"/>
      <c r="D271" s="1295"/>
    </row>
    <row r="272" spans="1:4" x14ac:dyDescent="0.2">
      <c r="A272" s="1293">
        <v>35795</v>
      </c>
      <c r="B272" s="1295"/>
      <c r="C272" s="1296"/>
      <c r="D272" s="1295"/>
    </row>
    <row r="273" spans="1:4" x14ac:dyDescent="0.2">
      <c r="A273" s="1293">
        <v>35826</v>
      </c>
      <c r="B273" s="1295"/>
      <c r="C273" s="1296"/>
      <c r="D273" s="1295"/>
    </row>
    <row r="274" spans="1:4" x14ac:dyDescent="0.2">
      <c r="A274" s="1293">
        <v>35854</v>
      </c>
      <c r="B274" s="1295"/>
      <c r="C274" s="1297"/>
      <c r="D274" s="1295"/>
    </row>
    <row r="275" spans="1:4" x14ac:dyDescent="0.2">
      <c r="A275" s="1293">
        <v>35885</v>
      </c>
      <c r="B275" s="1295"/>
      <c r="C275" s="1297"/>
      <c r="D275" s="1295"/>
    </row>
    <row r="276" spans="1:4" x14ac:dyDescent="0.2">
      <c r="A276" s="1293">
        <v>35915</v>
      </c>
      <c r="B276" s="1295"/>
      <c r="C276" s="1297"/>
      <c r="D276" s="1295"/>
    </row>
    <row r="277" spans="1:4" x14ac:dyDescent="0.2">
      <c r="A277" s="1293">
        <v>35946</v>
      </c>
      <c r="B277" s="1295"/>
      <c r="C277" s="1297"/>
      <c r="D277" s="1295"/>
    </row>
    <row r="278" spans="1:4" x14ac:dyDescent="0.2">
      <c r="A278" s="1293">
        <v>35976</v>
      </c>
      <c r="B278" s="1295"/>
      <c r="C278" s="1297"/>
      <c r="D278" s="1295"/>
    </row>
    <row r="279" spans="1:4" x14ac:dyDescent="0.2">
      <c r="A279" s="1293">
        <v>36007</v>
      </c>
      <c r="B279" s="1295"/>
      <c r="C279" s="1297"/>
      <c r="D279" s="1295"/>
    </row>
    <row r="280" spans="1:4" x14ac:dyDescent="0.2">
      <c r="A280" s="1293">
        <v>36038</v>
      </c>
      <c r="B280" s="1295"/>
      <c r="C280" s="1297"/>
      <c r="D280" s="1295"/>
    </row>
    <row r="281" spans="1:4" x14ac:dyDescent="0.2">
      <c r="A281" s="1293">
        <v>36068</v>
      </c>
      <c r="B281" s="1295"/>
      <c r="C281" s="1297"/>
      <c r="D281" s="1295"/>
    </row>
    <row r="282" spans="1:4" x14ac:dyDescent="0.2">
      <c r="A282" s="1293">
        <v>36099</v>
      </c>
      <c r="B282" s="1295"/>
      <c r="C282" s="1297"/>
      <c r="D282" s="1295"/>
    </row>
    <row r="283" spans="1:4" x14ac:dyDescent="0.2">
      <c r="A283" s="1293">
        <v>36129</v>
      </c>
      <c r="B283" s="1295"/>
      <c r="C283" s="1297"/>
      <c r="D283" s="1295"/>
    </row>
    <row r="284" spans="1:4" x14ac:dyDescent="0.2">
      <c r="A284" s="1293">
        <v>36160</v>
      </c>
      <c r="B284" s="1295"/>
      <c r="C284" s="1297"/>
      <c r="D284" s="1295"/>
    </row>
    <row r="285" spans="1:4" x14ac:dyDescent="0.2">
      <c r="A285" s="1293">
        <v>36191</v>
      </c>
      <c r="B285" s="1295"/>
      <c r="C285" s="1297"/>
      <c r="D285" s="1295"/>
    </row>
    <row r="286" spans="1:4" x14ac:dyDescent="0.2">
      <c r="A286" s="1293">
        <v>36219</v>
      </c>
      <c r="B286" s="1295"/>
      <c r="C286" s="1297"/>
      <c r="D286" s="1295"/>
    </row>
    <row r="287" spans="1:4" x14ac:dyDescent="0.2">
      <c r="A287" s="1293">
        <v>36250</v>
      </c>
      <c r="B287" s="1295"/>
      <c r="C287" s="1297"/>
      <c r="D287" s="1295"/>
    </row>
    <row r="288" spans="1:4" x14ac:dyDescent="0.2">
      <c r="A288" s="1293">
        <v>36280</v>
      </c>
      <c r="B288" s="1295"/>
      <c r="C288" s="1297"/>
      <c r="D288" s="1295"/>
    </row>
    <row r="289" spans="1:4" x14ac:dyDescent="0.2">
      <c r="A289" s="1293">
        <v>36311</v>
      </c>
      <c r="B289" s="1295"/>
      <c r="C289" s="1297"/>
      <c r="D289" s="1295"/>
    </row>
    <row r="290" spans="1:4" x14ac:dyDescent="0.2">
      <c r="A290" s="1293">
        <v>36341</v>
      </c>
      <c r="B290" s="1295"/>
      <c r="C290" s="1297"/>
      <c r="D290" s="1295"/>
    </row>
    <row r="291" spans="1:4" x14ac:dyDescent="0.2">
      <c r="A291" s="1293">
        <v>36372</v>
      </c>
      <c r="B291" s="1295"/>
      <c r="C291" s="1297"/>
      <c r="D291" s="1295"/>
    </row>
    <row r="292" spans="1:4" x14ac:dyDescent="0.2">
      <c r="A292" s="1293">
        <v>36403</v>
      </c>
      <c r="B292" s="1295"/>
      <c r="C292" s="1297"/>
      <c r="D292" s="1295"/>
    </row>
    <row r="293" spans="1:4" x14ac:dyDescent="0.2">
      <c r="A293" s="1293">
        <v>36433</v>
      </c>
      <c r="B293" s="1295"/>
      <c r="C293" s="1297"/>
      <c r="D293" s="1295"/>
    </row>
    <row r="294" spans="1:4" x14ac:dyDescent="0.2">
      <c r="A294" s="1293">
        <v>36464</v>
      </c>
      <c r="B294" s="1295"/>
      <c r="C294" s="1297"/>
      <c r="D294" s="1295"/>
    </row>
    <row r="295" spans="1:4" x14ac:dyDescent="0.2">
      <c r="A295" s="1293">
        <v>36494</v>
      </c>
      <c r="B295" s="1295"/>
      <c r="C295" s="1297"/>
      <c r="D295" s="1295"/>
    </row>
    <row r="296" spans="1:4" x14ac:dyDescent="0.2">
      <c r="A296" s="1293">
        <v>36525</v>
      </c>
      <c r="B296" s="1295"/>
      <c r="C296" s="1297"/>
      <c r="D296" s="1295"/>
    </row>
    <row r="297" spans="1:4" x14ac:dyDescent="0.2">
      <c r="A297" s="1293">
        <v>36556</v>
      </c>
      <c r="B297" s="1295"/>
      <c r="C297" s="1297"/>
      <c r="D297" s="1295"/>
    </row>
    <row r="298" spans="1:4" x14ac:dyDescent="0.2">
      <c r="A298" s="1293">
        <v>36585</v>
      </c>
      <c r="B298" s="1295"/>
      <c r="C298" s="1297"/>
      <c r="D298" s="1295"/>
    </row>
    <row r="299" spans="1:4" x14ac:dyDescent="0.2">
      <c r="A299" s="1293">
        <v>36616</v>
      </c>
      <c r="B299" s="1295"/>
      <c r="C299" s="1297"/>
      <c r="D299" s="1295"/>
    </row>
    <row r="300" spans="1:4" x14ac:dyDescent="0.2">
      <c r="A300" s="1293">
        <v>36646</v>
      </c>
      <c r="B300" s="1295"/>
      <c r="C300" s="1297"/>
      <c r="D300" s="1295"/>
    </row>
    <row r="301" spans="1:4" x14ac:dyDescent="0.2">
      <c r="A301" s="1293">
        <v>36677</v>
      </c>
      <c r="B301" s="1295"/>
      <c r="C301" s="1297"/>
      <c r="D301" s="1295"/>
    </row>
    <row r="302" spans="1:4" x14ac:dyDescent="0.2">
      <c r="A302" s="1293">
        <v>36707</v>
      </c>
      <c r="B302" s="1295"/>
      <c r="C302" s="1297"/>
      <c r="D302" s="1295"/>
    </row>
    <row r="303" spans="1:4" x14ac:dyDescent="0.2">
      <c r="A303" s="1293">
        <v>36738</v>
      </c>
      <c r="B303" s="1295"/>
      <c r="C303" s="1297"/>
      <c r="D303" s="1295"/>
    </row>
    <row r="304" spans="1:4" x14ac:dyDescent="0.2">
      <c r="A304" s="1293">
        <v>36769</v>
      </c>
      <c r="B304" s="1295"/>
      <c r="C304" s="1297"/>
      <c r="D304" s="1295"/>
    </row>
    <row r="305" spans="1:4" x14ac:dyDescent="0.2">
      <c r="A305" s="1293">
        <v>36799</v>
      </c>
      <c r="B305" s="1298"/>
      <c r="C305" s="1299"/>
      <c r="D305" s="1295"/>
    </row>
    <row r="306" spans="1:4" x14ac:dyDescent="0.2">
      <c r="A306" s="1293">
        <v>36830</v>
      </c>
      <c r="B306" s="1300"/>
      <c r="C306" s="1299"/>
      <c r="D306" s="1300"/>
    </row>
    <row r="307" spans="1:4" x14ac:dyDescent="0.2">
      <c r="A307" s="1293">
        <v>36860</v>
      </c>
      <c r="B307" s="1300"/>
      <c r="C307" s="1299"/>
      <c r="D307" s="1300"/>
    </row>
    <row r="308" spans="1:4" x14ac:dyDescent="0.2">
      <c r="A308" s="1293">
        <v>36891</v>
      </c>
      <c r="B308" s="1300"/>
      <c r="C308" s="1299"/>
      <c r="D308" s="1300"/>
    </row>
    <row r="309" spans="1:4" x14ac:dyDescent="0.2">
      <c r="A309" s="1293">
        <v>36922</v>
      </c>
      <c r="B309" s="1300"/>
      <c r="C309" s="1299"/>
      <c r="D309" s="1300"/>
    </row>
    <row r="310" spans="1:4" x14ac:dyDescent="0.2">
      <c r="A310" s="1293">
        <v>36950</v>
      </c>
      <c r="B310" s="1300"/>
      <c r="C310" s="1299"/>
      <c r="D310" s="1300"/>
    </row>
    <row r="311" spans="1:4" x14ac:dyDescent="0.2">
      <c r="A311" s="1293">
        <v>36981</v>
      </c>
      <c r="B311" s="1300"/>
      <c r="C311" s="1299"/>
      <c r="D311" s="1300"/>
    </row>
    <row r="312" spans="1:4" x14ac:dyDescent="0.2">
      <c r="A312" s="1293">
        <v>37011</v>
      </c>
      <c r="B312" s="1300"/>
      <c r="C312" s="1299"/>
      <c r="D312" s="1300"/>
    </row>
    <row r="313" spans="1:4" x14ac:dyDescent="0.2">
      <c r="A313" s="1293">
        <v>37042</v>
      </c>
      <c r="B313" s="1300"/>
      <c r="C313" s="1299"/>
      <c r="D313" s="1300"/>
    </row>
    <row r="314" spans="1:4" x14ac:dyDescent="0.2">
      <c r="A314" s="1293">
        <v>37072</v>
      </c>
      <c r="B314" s="1300"/>
      <c r="C314" s="1299"/>
      <c r="D314" s="1300"/>
    </row>
    <row r="315" spans="1:4" x14ac:dyDescent="0.2">
      <c r="A315" s="1293">
        <v>37103</v>
      </c>
      <c r="B315" s="1300"/>
      <c r="C315" s="1299"/>
      <c r="D315" s="1300"/>
    </row>
    <row r="316" spans="1:4" x14ac:dyDescent="0.2">
      <c r="A316" s="1293">
        <v>37134</v>
      </c>
      <c r="B316" s="1300"/>
      <c r="C316" s="1299"/>
      <c r="D316" s="1300"/>
    </row>
    <row r="317" spans="1:4" x14ac:dyDescent="0.2">
      <c r="A317" s="1293">
        <v>37164</v>
      </c>
      <c r="B317" s="1300"/>
      <c r="C317" s="1299"/>
      <c r="D317" s="1300"/>
    </row>
    <row r="318" spans="1:4" x14ac:dyDescent="0.2">
      <c r="A318" s="1293">
        <v>37195</v>
      </c>
      <c r="B318" s="1300"/>
      <c r="C318" s="1299"/>
      <c r="D318" s="1300"/>
    </row>
    <row r="319" spans="1:4" x14ac:dyDescent="0.2">
      <c r="A319" s="1293">
        <v>37225</v>
      </c>
      <c r="B319" s="1300"/>
      <c r="C319" s="1299"/>
      <c r="D319" s="1300"/>
    </row>
    <row r="320" spans="1:4" x14ac:dyDescent="0.2">
      <c r="A320" s="1293">
        <v>37256</v>
      </c>
      <c r="B320" s="1300"/>
      <c r="C320" s="1299"/>
      <c r="D320" s="1300"/>
    </row>
    <row r="321" spans="1:4" x14ac:dyDescent="0.2">
      <c r="A321" s="1293">
        <v>37287</v>
      </c>
      <c r="B321" s="1300"/>
      <c r="C321" s="1299"/>
      <c r="D321" s="1300"/>
    </row>
    <row r="322" spans="1:4" x14ac:dyDescent="0.2">
      <c r="A322" s="1293">
        <v>37315</v>
      </c>
      <c r="B322" s="1300"/>
      <c r="C322" s="1299"/>
      <c r="D322" s="1300"/>
    </row>
    <row r="323" spans="1:4" x14ac:dyDescent="0.2">
      <c r="A323" s="1293">
        <v>37346</v>
      </c>
      <c r="B323" s="1300"/>
      <c r="C323" s="1299"/>
      <c r="D323" s="1300"/>
    </row>
    <row r="324" spans="1:4" x14ac:dyDescent="0.2">
      <c r="A324" s="1293">
        <v>37376</v>
      </c>
      <c r="B324" s="1300"/>
      <c r="C324" s="1299"/>
      <c r="D324" s="1300"/>
    </row>
    <row r="325" spans="1:4" x14ac:dyDescent="0.2">
      <c r="A325" s="1293">
        <v>37407</v>
      </c>
      <c r="B325" s="1300"/>
      <c r="C325" s="1299"/>
      <c r="D325" s="1300"/>
    </row>
    <row r="326" spans="1:4" x14ac:dyDescent="0.2">
      <c r="A326" s="1293">
        <v>37437</v>
      </c>
      <c r="B326" s="1300"/>
      <c r="C326" s="1299"/>
      <c r="D326" s="1300"/>
    </row>
    <row r="327" spans="1:4" x14ac:dyDescent="0.2">
      <c r="A327" s="1293">
        <v>37468</v>
      </c>
      <c r="B327" s="1300"/>
      <c r="C327" s="1299"/>
      <c r="D327" s="1300"/>
    </row>
    <row r="328" spans="1:4" x14ac:dyDescent="0.2">
      <c r="A328" s="1293">
        <v>37499</v>
      </c>
      <c r="B328" s="1300"/>
      <c r="C328" s="1299"/>
      <c r="D328" s="1300"/>
    </row>
    <row r="329" spans="1:4" x14ac:dyDescent="0.2">
      <c r="A329" s="1293">
        <v>37529</v>
      </c>
      <c r="B329" s="1300"/>
      <c r="C329" s="1299"/>
      <c r="D329" s="1300"/>
    </row>
    <row r="330" spans="1:4" x14ac:dyDescent="0.2">
      <c r="A330" s="1293">
        <v>37560</v>
      </c>
      <c r="B330" s="1300"/>
      <c r="C330" s="1299"/>
      <c r="D330" s="1300"/>
    </row>
    <row r="331" spans="1:4" x14ac:dyDescent="0.2">
      <c r="A331" s="1293">
        <v>37590</v>
      </c>
      <c r="B331" s="1300"/>
      <c r="C331" s="1299"/>
      <c r="D331" s="1300"/>
    </row>
    <row r="332" spans="1:4" x14ac:dyDescent="0.2">
      <c r="A332" s="1293">
        <v>37621</v>
      </c>
      <c r="B332" s="1300"/>
      <c r="C332" s="1299"/>
      <c r="D332" s="1300"/>
    </row>
    <row r="333" spans="1:4" x14ac:dyDescent="0.2">
      <c r="A333" s="1293">
        <v>37652</v>
      </c>
      <c r="B333" s="1300"/>
      <c r="C333" s="1299"/>
      <c r="D333" s="1300"/>
    </row>
    <row r="334" spans="1:4" x14ac:dyDescent="0.2">
      <c r="A334" s="1293">
        <v>37680</v>
      </c>
      <c r="B334" s="1300"/>
      <c r="C334" s="1299"/>
      <c r="D334" s="1300"/>
    </row>
    <row r="335" spans="1:4" x14ac:dyDescent="0.2">
      <c r="A335" s="1293">
        <v>37711</v>
      </c>
      <c r="B335" s="1300"/>
      <c r="C335" s="1299"/>
      <c r="D335" s="1300"/>
    </row>
    <row r="336" spans="1:4" x14ac:dyDescent="0.2">
      <c r="A336" s="1293">
        <v>37741</v>
      </c>
      <c r="B336" s="1300"/>
      <c r="C336" s="1299"/>
      <c r="D336" s="1300"/>
    </row>
    <row r="337" spans="1:4" x14ac:dyDescent="0.2">
      <c r="A337" s="1293">
        <v>37772</v>
      </c>
      <c r="B337" s="1300"/>
      <c r="C337" s="1299"/>
      <c r="D337" s="1300"/>
    </row>
    <row r="338" spans="1:4" x14ac:dyDescent="0.2">
      <c r="A338" s="1293">
        <v>37802</v>
      </c>
      <c r="B338" s="1300"/>
      <c r="C338" s="1299"/>
      <c r="D338" s="1300"/>
    </row>
    <row r="339" spans="1:4" x14ac:dyDescent="0.2">
      <c r="A339" s="1293">
        <v>37833</v>
      </c>
      <c r="B339" s="1300"/>
      <c r="C339" s="1299"/>
      <c r="D339" s="1300"/>
    </row>
    <row r="340" spans="1:4" x14ac:dyDescent="0.2">
      <c r="A340" s="1293">
        <v>37864</v>
      </c>
      <c r="B340" s="1300"/>
      <c r="C340" s="1299"/>
      <c r="D340" s="1300"/>
    </row>
    <row r="341" spans="1:4" x14ac:dyDescent="0.2">
      <c r="A341" s="1293">
        <v>37894</v>
      </c>
      <c r="B341" s="1300"/>
      <c r="C341" s="1302"/>
      <c r="D341" s="1300"/>
    </row>
    <row r="342" spans="1:4" x14ac:dyDescent="0.2">
      <c r="A342" s="1293">
        <v>37925</v>
      </c>
      <c r="B342" s="1300"/>
      <c r="C342" s="1302"/>
      <c r="D342" s="1300"/>
    </row>
    <row r="343" spans="1:4" x14ac:dyDescent="0.2">
      <c r="A343" s="1293">
        <v>37955</v>
      </c>
      <c r="B343" s="1300"/>
      <c r="C343" s="1302"/>
      <c r="D343" s="1300"/>
    </row>
    <row r="344" spans="1:4" x14ac:dyDescent="0.2">
      <c r="A344" s="1293">
        <v>37986</v>
      </c>
      <c r="B344" s="1300"/>
      <c r="C344" s="1302"/>
      <c r="D344" s="1300"/>
    </row>
    <row r="345" spans="1:4" x14ac:dyDescent="0.2">
      <c r="A345" s="1293">
        <v>38017</v>
      </c>
      <c r="B345" s="1300"/>
      <c r="C345" s="1302"/>
      <c r="D345" s="1300"/>
    </row>
    <row r="346" spans="1:4" x14ac:dyDescent="0.2">
      <c r="A346" s="1293">
        <v>38046</v>
      </c>
      <c r="B346" s="1300"/>
      <c r="C346" s="1302"/>
      <c r="D346" s="1300"/>
    </row>
    <row r="347" spans="1:4" x14ac:dyDescent="0.2">
      <c r="A347" s="1293">
        <v>38077</v>
      </c>
      <c r="B347" s="1300"/>
      <c r="C347" s="1302"/>
      <c r="D347" s="1303"/>
    </row>
    <row r="348" spans="1:4" x14ac:dyDescent="0.2">
      <c r="A348" s="1293">
        <v>38107</v>
      </c>
      <c r="B348" s="1300"/>
      <c r="C348" s="1302"/>
      <c r="D348" s="1300"/>
    </row>
    <row r="349" spans="1:4" x14ac:dyDescent="0.2">
      <c r="A349" s="1293">
        <v>38138</v>
      </c>
      <c r="B349" s="1300"/>
      <c r="C349" s="1302"/>
      <c r="D349" s="1300"/>
    </row>
    <row r="350" spans="1:4" x14ac:dyDescent="0.2">
      <c r="A350" s="1293">
        <v>38168</v>
      </c>
      <c r="B350" s="1300"/>
      <c r="C350" s="1302"/>
      <c r="D350" s="1300"/>
    </row>
    <row r="351" spans="1:4" x14ac:dyDescent="0.2">
      <c r="A351" s="1293">
        <v>38199</v>
      </c>
      <c r="B351" s="1300"/>
      <c r="C351" s="1302"/>
      <c r="D351" s="1300"/>
    </row>
    <row r="352" spans="1:4" x14ac:dyDescent="0.2">
      <c r="A352" s="1293">
        <v>38230</v>
      </c>
      <c r="B352" s="1300"/>
      <c r="C352" s="1302"/>
      <c r="D352" s="1300"/>
    </row>
    <row r="353" spans="1:4" x14ac:dyDescent="0.2">
      <c r="A353" s="1293">
        <v>38260</v>
      </c>
      <c r="B353" s="1300"/>
      <c r="C353" s="1302"/>
      <c r="D353" s="1300"/>
    </row>
    <row r="354" spans="1:4" x14ac:dyDescent="0.2">
      <c r="A354" s="1293">
        <v>38291</v>
      </c>
      <c r="B354" s="1300"/>
      <c r="C354" s="1302"/>
      <c r="D354" s="1300"/>
    </row>
    <row r="355" spans="1:4" x14ac:dyDescent="0.2">
      <c r="A355" s="1293">
        <v>38321</v>
      </c>
      <c r="B355" s="1300"/>
      <c r="C355" s="1302"/>
      <c r="D355" s="1300"/>
    </row>
    <row r="356" spans="1:4" x14ac:dyDescent="0.2">
      <c r="A356" s="1293">
        <v>38352</v>
      </c>
      <c r="B356" s="1300"/>
      <c r="C356" s="1304"/>
      <c r="D356" s="1300"/>
    </row>
    <row r="357" spans="1:4" x14ac:dyDescent="0.2">
      <c r="A357" s="1293">
        <v>38383</v>
      </c>
      <c r="B357" s="1300"/>
      <c r="C357" s="1302"/>
      <c r="D357" s="1300"/>
    </row>
    <row r="358" spans="1:4" x14ac:dyDescent="0.2">
      <c r="A358" s="1293">
        <v>38411</v>
      </c>
      <c r="B358" s="1300"/>
      <c r="C358" s="1302"/>
      <c r="D358" s="1300"/>
    </row>
    <row r="359" spans="1:4" x14ac:dyDescent="0.2">
      <c r="A359" s="1293">
        <v>38442</v>
      </c>
      <c r="B359" s="1300"/>
      <c r="C359" s="1304"/>
      <c r="D359" s="1300"/>
    </row>
    <row r="360" spans="1:4" x14ac:dyDescent="0.2">
      <c r="A360" s="1293">
        <v>38472</v>
      </c>
      <c r="B360" s="1300"/>
      <c r="C360" s="1304"/>
      <c r="D360" s="1300"/>
    </row>
    <row r="361" spans="1:4" x14ac:dyDescent="0.2">
      <c r="A361" s="1293">
        <v>38503</v>
      </c>
      <c r="B361" s="1300"/>
      <c r="C361" s="1304"/>
      <c r="D361" s="1300"/>
    </row>
    <row r="362" spans="1:4" x14ac:dyDescent="0.2">
      <c r="A362" s="1293">
        <v>38533</v>
      </c>
      <c r="B362" s="1300"/>
      <c r="C362" s="1304"/>
      <c r="D362" s="1300"/>
    </row>
    <row r="363" spans="1:4" x14ac:dyDescent="0.2">
      <c r="A363" s="1293">
        <v>38564</v>
      </c>
      <c r="B363" s="1300"/>
      <c r="C363" s="1304"/>
      <c r="D363" s="1300"/>
    </row>
    <row r="364" spans="1:4" x14ac:dyDescent="0.2">
      <c r="A364" s="1293">
        <v>38595</v>
      </c>
      <c r="B364" s="1300"/>
      <c r="C364" s="1304"/>
      <c r="D364" s="1300"/>
    </row>
    <row r="365" spans="1:4" x14ac:dyDescent="0.2">
      <c r="A365" s="1293">
        <v>38625</v>
      </c>
      <c r="B365" s="1300"/>
      <c r="C365" s="1304"/>
      <c r="D365" s="1300"/>
    </row>
    <row r="366" spans="1:4" x14ac:dyDescent="0.2">
      <c r="A366" s="1293">
        <v>38656</v>
      </c>
      <c r="B366" s="1300"/>
      <c r="C366" s="1304"/>
      <c r="D366" s="1300"/>
    </row>
    <row r="367" spans="1:4" x14ac:dyDescent="0.2">
      <c r="A367" s="1293">
        <v>38686</v>
      </c>
      <c r="B367" s="1300"/>
      <c r="C367" s="1304"/>
      <c r="D367" s="1300"/>
    </row>
    <row r="368" spans="1:4" x14ac:dyDescent="0.2">
      <c r="A368" s="1293">
        <v>38717</v>
      </c>
      <c r="B368" s="1300"/>
      <c r="C368" s="1304"/>
      <c r="D368" s="1300"/>
    </row>
    <row r="369" spans="1:6" x14ac:dyDescent="0.2">
      <c r="A369" s="1293">
        <v>38748</v>
      </c>
      <c r="B369" s="1300"/>
      <c r="C369" s="1304"/>
      <c r="D369" s="1300"/>
    </row>
    <row r="370" spans="1:6" x14ac:dyDescent="0.2">
      <c r="A370" s="1293">
        <v>38776</v>
      </c>
      <c r="B370" s="1300"/>
      <c r="C370" s="1304"/>
      <c r="D370" s="1300"/>
    </row>
    <row r="371" spans="1:6" x14ac:dyDescent="0.2">
      <c r="A371" s="1293">
        <v>38807</v>
      </c>
      <c r="B371" s="1300"/>
      <c r="C371" s="1299"/>
      <c r="D371" s="1300"/>
    </row>
    <row r="372" spans="1:6" x14ac:dyDescent="0.2">
      <c r="A372" s="1293">
        <v>38837</v>
      </c>
      <c r="B372" s="1300"/>
      <c r="C372" s="1299"/>
      <c r="D372" s="1300"/>
    </row>
    <row r="373" spans="1:6" x14ac:dyDescent="0.2">
      <c r="A373" s="1293">
        <v>38868</v>
      </c>
      <c r="B373" s="1300"/>
      <c r="C373" s="1299"/>
      <c r="D373" s="1300"/>
    </row>
    <row r="374" spans="1:6" x14ac:dyDescent="0.2">
      <c r="A374" s="1293">
        <v>38898</v>
      </c>
      <c r="B374" s="1372"/>
      <c r="C374" s="1387"/>
      <c r="D374" s="1300"/>
    </row>
    <row r="375" spans="1:6" x14ac:dyDescent="0.2">
      <c r="A375" s="1293">
        <v>38929</v>
      </c>
      <c r="B375" s="1300"/>
      <c r="C375" s="1302"/>
      <c r="D375" s="1300"/>
    </row>
    <row r="376" spans="1:6" x14ac:dyDescent="0.2">
      <c r="A376" s="1293">
        <v>38960</v>
      </c>
      <c r="B376" s="1300"/>
      <c r="C376" s="1302"/>
      <c r="D376" s="1300"/>
    </row>
    <row r="377" spans="1:6" x14ac:dyDescent="0.2">
      <c r="A377" s="1293">
        <v>38990</v>
      </c>
      <c r="B377" s="1300"/>
      <c r="C377" s="1302"/>
      <c r="D377" s="1300"/>
    </row>
    <row r="378" spans="1:6" x14ac:dyDescent="0.2">
      <c r="A378" s="1293">
        <v>39021</v>
      </c>
      <c r="B378" s="1300"/>
      <c r="C378" s="1302"/>
      <c r="D378" s="1300"/>
      <c r="F378" s="1305"/>
    </row>
    <row r="379" spans="1:6" x14ac:dyDescent="0.2">
      <c r="A379" s="1293">
        <v>39051</v>
      </c>
      <c r="B379" s="1300"/>
      <c r="C379" s="1302"/>
      <c r="D379" s="1300"/>
      <c r="F379" s="1305"/>
    </row>
    <row r="380" spans="1:6" x14ac:dyDescent="0.2">
      <c r="A380" s="1293">
        <v>39082</v>
      </c>
      <c r="B380" s="1300"/>
      <c r="C380" s="1302"/>
      <c r="D380" s="1300"/>
      <c r="F380" s="1305"/>
    </row>
    <row r="381" spans="1:6" x14ac:dyDescent="0.2">
      <c r="A381" s="1293">
        <v>39113</v>
      </c>
      <c r="B381" s="1300"/>
      <c r="F381" s="1305"/>
    </row>
    <row r="382" spans="1:6" x14ac:dyDescent="0.2">
      <c r="A382" s="1293">
        <v>39141</v>
      </c>
      <c r="B382" s="1300"/>
      <c r="F382" s="1305"/>
    </row>
    <row r="383" spans="1:6" x14ac:dyDescent="0.2">
      <c r="A383" s="1293">
        <v>39172</v>
      </c>
      <c r="B383" s="1300"/>
    </row>
    <row r="384" spans="1:6" x14ac:dyDescent="0.2">
      <c r="A384" s="1293">
        <v>39202</v>
      </c>
      <c r="B384" s="1300"/>
    </row>
    <row r="385" spans="1:3" x14ac:dyDescent="0.2">
      <c r="A385" s="1293">
        <v>39233</v>
      </c>
      <c r="B385" s="1300"/>
    </row>
    <row r="386" spans="1:3" x14ac:dyDescent="0.2">
      <c r="A386" s="1293">
        <v>39263</v>
      </c>
      <c r="B386" s="1300"/>
    </row>
    <row r="387" spans="1:3" x14ac:dyDescent="0.2">
      <c r="A387" s="1293">
        <v>39294</v>
      </c>
      <c r="B387" s="1300"/>
    </row>
    <row r="388" spans="1:3" x14ac:dyDescent="0.2">
      <c r="A388" s="1293">
        <v>39325</v>
      </c>
      <c r="B388" s="1300"/>
    </row>
    <row r="389" spans="1:3" x14ac:dyDescent="0.2">
      <c r="A389" s="1293">
        <v>39355</v>
      </c>
      <c r="B389" s="1300"/>
    </row>
    <row r="390" spans="1:3" x14ac:dyDescent="0.2">
      <c r="A390" s="1293">
        <v>39386</v>
      </c>
      <c r="B390" s="1300"/>
    </row>
    <row r="391" spans="1:3" x14ac:dyDescent="0.2">
      <c r="A391" s="1293">
        <v>39416</v>
      </c>
      <c r="B391" s="1300"/>
    </row>
    <row r="392" spans="1:3" x14ac:dyDescent="0.2">
      <c r="A392" s="1293">
        <v>39447</v>
      </c>
      <c r="B392" s="1300"/>
    </row>
    <row r="393" spans="1:3" x14ac:dyDescent="0.2">
      <c r="A393" s="1293">
        <v>39478</v>
      </c>
      <c r="B393" s="1300"/>
    </row>
    <row r="394" spans="1:3" x14ac:dyDescent="0.2">
      <c r="A394" s="1293">
        <v>39507</v>
      </c>
      <c r="B394" s="1300"/>
    </row>
    <row r="395" spans="1:3" x14ac:dyDescent="0.2">
      <c r="A395" s="1293">
        <v>39538</v>
      </c>
      <c r="B395" s="1300"/>
    </row>
    <row r="396" spans="1:3" x14ac:dyDescent="0.2">
      <c r="A396" s="1293">
        <v>39568</v>
      </c>
      <c r="B396" s="1300"/>
    </row>
    <row r="397" spans="1:3" x14ac:dyDescent="0.2">
      <c r="A397" s="1293">
        <v>39599</v>
      </c>
      <c r="B397" s="1300"/>
    </row>
    <row r="398" spans="1:3" x14ac:dyDescent="0.2">
      <c r="A398" s="1293">
        <v>39629</v>
      </c>
      <c r="B398" s="1300"/>
    </row>
    <row r="399" spans="1:3" x14ac:dyDescent="0.2">
      <c r="A399" s="1293">
        <v>39660</v>
      </c>
      <c r="B399" s="1300"/>
      <c r="C399" s="1299"/>
    </row>
    <row r="400" spans="1:3" x14ac:dyDescent="0.2">
      <c r="A400" s="1293">
        <v>39691</v>
      </c>
      <c r="B400" s="1300"/>
      <c r="C400" s="1299"/>
    </row>
    <row r="401" spans="1:7" x14ac:dyDescent="0.2">
      <c r="A401" s="1293">
        <v>39721</v>
      </c>
      <c r="B401" s="1300"/>
      <c r="C401" s="1299"/>
    </row>
    <row r="402" spans="1:7" x14ac:dyDescent="0.2">
      <c r="A402" s="1293">
        <v>39752</v>
      </c>
      <c r="B402" s="1300"/>
    </row>
    <row r="403" spans="1:7" x14ac:dyDescent="0.2">
      <c r="A403" s="1293">
        <v>39782</v>
      </c>
      <c r="B403" s="1300"/>
      <c r="G403" s="1301"/>
    </row>
    <row r="404" spans="1:7" x14ac:dyDescent="0.2">
      <c r="A404" s="1293">
        <v>39813</v>
      </c>
      <c r="B404" s="1300"/>
    </row>
    <row r="405" spans="1:7" x14ac:dyDescent="0.2">
      <c r="A405" s="1293">
        <v>39844</v>
      </c>
      <c r="B405" s="1300"/>
    </row>
    <row r="406" spans="1:7" x14ac:dyDescent="0.2">
      <c r="A406" s="1293">
        <v>39872</v>
      </c>
      <c r="B406" s="1300"/>
    </row>
    <row r="407" spans="1:7" x14ac:dyDescent="0.2">
      <c r="A407" s="1293">
        <v>39903</v>
      </c>
      <c r="B407" s="1300"/>
    </row>
    <row r="408" spans="1:7" x14ac:dyDescent="0.2">
      <c r="A408" s="1293">
        <v>39933</v>
      </c>
      <c r="B408" s="1300"/>
    </row>
    <row r="409" spans="1:7" x14ac:dyDescent="0.2">
      <c r="A409" s="1293">
        <v>39964</v>
      </c>
      <c r="B409" s="1300"/>
    </row>
    <row r="410" spans="1:7" x14ac:dyDescent="0.2">
      <c r="A410" s="1293">
        <v>39994</v>
      </c>
      <c r="B410" s="1300"/>
    </row>
    <row r="411" spans="1:7" x14ac:dyDescent="0.2">
      <c r="A411" s="1293">
        <v>40025</v>
      </c>
      <c r="B411" s="1300"/>
    </row>
    <row r="412" spans="1:7" x14ac:dyDescent="0.2">
      <c r="A412" s="1293">
        <v>40056</v>
      </c>
      <c r="B412" s="1300"/>
    </row>
    <row r="413" spans="1:7" x14ac:dyDescent="0.2">
      <c r="A413" s="1293">
        <v>40086</v>
      </c>
      <c r="B413" s="1300"/>
    </row>
    <row r="414" spans="1:7" x14ac:dyDescent="0.2">
      <c r="A414" s="1293">
        <v>40117</v>
      </c>
      <c r="B414" s="1300"/>
    </row>
    <row r="415" spans="1:7" x14ac:dyDescent="0.2">
      <c r="A415" s="1293">
        <v>40147</v>
      </c>
      <c r="B415" s="1300"/>
    </row>
    <row r="416" spans="1:7" x14ac:dyDescent="0.2">
      <c r="A416" s="1293">
        <v>40178</v>
      </c>
      <c r="B416" s="1300"/>
    </row>
    <row r="417" spans="1:9" x14ac:dyDescent="0.2">
      <c r="A417" s="1293">
        <v>40209</v>
      </c>
      <c r="B417" s="1300"/>
    </row>
    <row r="418" spans="1:9" x14ac:dyDescent="0.2">
      <c r="A418" s="1293">
        <v>40237</v>
      </c>
      <c r="B418" s="1300"/>
    </row>
    <row r="419" spans="1:9" x14ac:dyDescent="0.2">
      <c r="A419" s="1293">
        <v>40268</v>
      </c>
      <c r="B419" s="1300"/>
      <c r="C419" s="1334"/>
      <c r="D419" s="1311"/>
    </row>
    <row r="420" spans="1:9" x14ac:dyDescent="0.2">
      <c r="A420" s="1293">
        <v>40298</v>
      </c>
      <c r="B420" s="1300"/>
    </row>
    <row r="421" spans="1:9" x14ac:dyDescent="0.2">
      <c r="A421" s="1293">
        <v>40329</v>
      </c>
      <c r="B421" s="1300"/>
      <c r="I421" s="1305"/>
    </row>
    <row r="422" spans="1:9" x14ac:dyDescent="0.2">
      <c r="A422" s="1293">
        <v>40359</v>
      </c>
      <c r="B422" s="1300"/>
    </row>
    <row r="423" spans="1:9" x14ac:dyDescent="0.2">
      <c r="A423" s="1293">
        <v>40390</v>
      </c>
      <c r="B423" s="1300"/>
    </row>
    <row r="424" spans="1:9" x14ac:dyDescent="0.2">
      <c r="A424" s="1293">
        <v>40421</v>
      </c>
      <c r="B424" s="1300"/>
    </row>
    <row r="425" spans="1:9" x14ac:dyDescent="0.2">
      <c r="A425" s="1293">
        <v>40451</v>
      </c>
      <c r="B425" s="1300"/>
    </row>
    <row r="426" spans="1:9" x14ac:dyDescent="0.2">
      <c r="A426" s="1293">
        <v>40482</v>
      </c>
      <c r="B426" s="1306"/>
    </row>
    <row r="427" spans="1:9" x14ac:dyDescent="0.2">
      <c r="A427" s="1293">
        <v>40512</v>
      </c>
      <c r="B427" s="1300"/>
    </row>
    <row r="428" spans="1:9" x14ac:dyDescent="0.2">
      <c r="A428" s="1293">
        <v>40543</v>
      </c>
      <c r="B428" s="1300"/>
    </row>
    <row r="429" spans="1:9" x14ac:dyDescent="0.2">
      <c r="A429" s="1293">
        <v>40574</v>
      </c>
      <c r="B429" s="1300"/>
    </row>
    <row r="430" spans="1:9" x14ac:dyDescent="0.2">
      <c r="A430" s="1293">
        <v>40602</v>
      </c>
      <c r="B430" s="1300"/>
    </row>
    <row r="431" spans="1:9" x14ac:dyDescent="0.2">
      <c r="A431" s="1293">
        <v>40633</v>
      </c>
      <c r="B431" s="1300"/>
    </row>
    <row r="432" spans="1:9" x14ac:dyDescent="0.2">
      <c r="A432" s="1293">
        <v>40663</v>
      </c>
      <c r="B432" s="1300"/>
    </row>
    <row r="433" spans="1:2" x14ac:dyDescent="0.2">
      <c r="A433" s="1293">
        <v>40694</v>
      </c>
      <c r="B433" s="1300"/>
    </row>
    <row r="434" spans="1:2" x14ac:dyDescent="0.2">
      <c r="A434" s="1293">
        <v>40724</v>
      </c>
      <c r="B434" s="1300"/>
    </row>
    <row r="435" spans="1:2" x14ac:dyDescent="0.2">
      <c r="A435" s="1293">
        <v>40755</v>
      </c>
      <c r="B435" s="1300"/>
    </row>
    <row r="436" spans="1:2" x14ac:dyDescent="0.2">
      <c r="A436" s="1293">
        <v>40786</v>
      </c>
      <c r="B436" s="1300"/>
    </row>
    <row r="437" spans="1:2" x14ac:dyDescent="0.2">
      <c r="A437" s="1293">
        <v>40816</v>
      </c>
      <c r="B437" s="1300"/>
    </row>
    <row r="438" spans="1:2" x14ac:dyDescent="0.2">
      <c r="A438" s="1293">
        <v>40847</v>
      </c>
      <c r="B438" s="1300"/>
    </row>
    <row r="439" spans="1:2" x14ac:dyDescent="0.2">
      <c r="A439" s="1293">
        <v>40877</v>
      </c>
      <c r="B439" s="1300"/>
    </row>
    <row r="440" spans="1:2" x14ac:dyDescent="0.2">
      <c r="A440" s="1293">
        <v>40908</v>
      </c>
      <c r="B440" s="1300"/>
    </row>
    <row r="441" spans="1:2" x14ac:dyDescent="0.2">
      <c r="A441" s="345">
        <v>40939</v>
      </c>
      <c r="B441" s="1300"/>
    </row>
    <row r="442" spans="1:2" x14ac:dyDescent="0.2">
      <c r="A442" s="345">
        <v>40968</v>
      </c>
      <c r="B442" s="1300"/>
    </row>
    <row r="443" spans="1:2" x14ac:dyDescent="0.2">
      <c r="A443" s="345">
        <v>40999</v>
      </c>
      <c r="B443" s="1300"/>
    </row>
    <row r="444" spans="1:2" x14ac:dyDescent="0.2">
      <c r="A444" s="345">
        <v>41029</v>
      </c>
      <c r="B444" s="1300"/>
    </row>
    <row r="445" spans="1:2" x14ac:dyDescent="0.2">
      <c r="A445" s="345">
        <v>41060</v>
      </c>
      <c r="B445" s="1300"/>
    </row>
    <row r="446" spans="1:2" x14ac:dyDescent="0.2">
      <c r="A446" s="345">
        <v>41090</v>
      </c>
      <c r="B446" s="1300"/>
    </row>
    <row r="447" spans="1:2" x14ac:dyDescent="0.2">
      <c r="A447" s="345">
        <v>41121</v>
      </c>
      <c r="B447" s="1300"/>
    </row>
    <row r="448" spans="1:2" x14ac:dyDescent="0.2">
      <c r="A448" s="345">
        <v>41152</v>
      </c>
      <c r="B448" s="1300"/>
    </row>
    <row r="449" spans="1:5" x14ac:dyDescent="0.2">
      <c r="A449" s="345">
        <v>41182</v>
      </c>
      <c r="B449" s="1300"/>
    </row>
    <row r="450" spans="1:5" x14ac:dyDescent="0.2">
      <c r="A450" s="345">
        <v>41213</v>
      </c>
      <c r="B450" s="1300"/>
    </row>
    <row r="451" spans="1:5" x14ac:dyDescent="0.2">
      <c r="A451" s="345">
        <v>41243</v>
      </c>
      <c r="B451" s="1300"/>
    </row>
    <row r="452" spans="1:5" x14ac:dyDescent="0.2">
      <c r="A452" s="345">
        <v>41274</v>
      </c>
      <c r="B452" s="1300"/>
    </row>
    <row r="453" spans="1:5" x14ac:dyDescent="0.2">
      <c r="A453" s="345">
        <v>41305</v>
      </c>
      <c r="B453" s="1300">
        <f t="shared" ref="B453:B464" si="0">D453</f>
        <v>1.0750500000000001</v>
      </c>
      <c r="C453" s="1307">
        <v>306838069.70999998</v>
      </c>
      <c r="D453" s="1306">
        <v>1.0750500000000001</v>
      </c>
      <c r="E453" s="1405">
        <f>B453-Index_Returns!AS453</f>
        <v>0.35620000000000007</v>
      </c>
    </row>
    <row r="454" spans="1:5" x14ac:dyDescent="0.2">
      <c r="A454" s="345">
        <v>41333</v>
      </c>
      <c r="B454" s="1300">
        <f t="shared" si="0"/>
        <v>-0.48168</v>
      </c>
      <c r="C454" s="1307">
        <v>305186812.62</v>
      </c>
      <c r="D454" s="1306">
        <v>-0.48168</v>
      </c>
      <c r="E454" s="1405">
        <f>B454-Index_Returns!AS454</f>
        <v>-0.1598</v>
      </c>
    </row>
    <row r="455" spans="1:5" x14ac:dyDescent="0.2">
      <c r="A455" s="345">
        <v>41364</v>
      </c>
      <c r="B455" s="1300">
        <f t="shared" si="0"/>
        <v>-0.71053999999999995</v>
      </c>
      <c r="C455" s="1307">
        <v>302105540.86000001</v>
      </c>
      <c r="D455" s="1306">
        <v>-0.71053999999999995</v>
      </c>
      <c r="E455" s="1405">
        <f>B455-Index_Returns!AS455</f>
        <v>-0.19502999999999993</v>
      </c>
    </row>
    <row r="456" spans="1:5" x14ac:dyDescent="0.2">
      <c r="A456" s="345">
        <v>41394</v>
      </c>
      <c r="B456" s="1300">
        <f t="shared" si="0"/>
        <v>3.8936999999999999</v>
      </c>
      <c r="C456" s="1307">
        <v>314795716.58999997</v>
      </c>
      <c r="D456" s="1306">
        <v>3.8936999999999999</v>
      </c>
      <c r="E456" s="1405">
        <f>B456-Index_Returns!AS456</f>
        <v>0.46369999999999978</v>
      </c>
    </row>
    <row r="457" spans="1:5" x14ac:dyDescent="0.2">
      <c r="A457" s="345">
        <v>41425</v>
      </c>
      <c r="B457" s="1300">
        <f t="shared" si="0"/>
        <v>-6.9303800000000004</v>
      </c>
      <c r="C457" s="1307">
        <v>296888148.52999997</v>
      </c>
      <c r="D457" s="1306">
        <v>-6.9303800000000004</v>
      </c>
      <c r="E457" s="1405">
        <f>B457-Index_Returns!AS457</f>
        <v>-0.67754000000000048</v>
      </c>
    </row>
    <row r="458" spans="1:5" x14ac:dyDescent="0.2">
      <c r="A458" s="345">
        <v>41455</v>
      </c>
      <c r="B458" s="1300">
        <f t="shared" si="0"/>
        <v>-5.1744399999999997</v>
      </c>
      <c r="C458" s="1307">
        <v>277995674.25</v>
      </c>
      <c r="D458" s="1306">
        <v>-5.1744399999999997</v>
      </c>
      <c r="E458" s="1405">
        <f>B458-Index_Returns!AS458</f>
        <v>-1.0442399999999994</v>
      </c>
    </row>
    <row r="459" spans="1:5" x14ac:dyDescent="0.2">
      <c r="A459" s="345">
        <v>41486</v>
      </c>
      <c r="B459" s="1300">
        <f t="shared" si="0"/>
        <v>-0.35560999999999998</v>
      </c>
      <c r="C459" s="1307">
        <v>277007087.45999998</v>
      </c>
      <c r="D459" s="1306">
        <v>-0.35560999999999998</v>
      </c>
      <c r="E459" s="1405">
        <f>B459-Index_Returns!AS459</f>
        <v>0.20196000000000003</v>
      </c>
    </row>
    <row r="460" spans="1:5" x14ac:dyDescent="0.2">
      <c r="A460" s="345">
        <v>41517</v>
      </c>
      <c r="B460" s="1300">
        <f t="shared" si="0"/>
        <v>-4.7023900000000003</v>
      </c>
      <c r="C460" s="1307">
        <v>263981139.59</v>
      </c>
      <c r="D460" s="1306">
        <v>-4.7023900000000003</v>
      </c>
      <c r="E460" s="1405">
        <f>B460-Index_Returns!AS460</f>
        <v>-0.60924000000000067</v>
      </c>
    </row>
    <row r="461" spans="1:5" x14ac:dyDescent="0.2">
      <c r="A461" s="345">
        <v>41547</v>
      </c>
      <c r="B461" s="1300">
        <f t="shared" si="0"/>
        <v>0</v>
      </c>
      <c r="E461" s="1405">
        <f>B461-Index_Returns!AS461</f>
        <v>-4.3981399999999997</v>
      </c>
    </row>
    <row r="462" spans="1:5" x14ac:dyDescent="0.2">
      <c r="A462" s="345">
        <v>41578</v>
      </c>
      <c r="B462" s="1300">
        <f t="shared" si="0"/>
        <v>0</v>
      </c>
      <c r="E462" s="1405">
        <f>B462-Index_Returns!AS462</f>
        <v>-2.7480099999999998</v>
      </c>
    </row>
    <row r="463" spans="1:5" x14ac:dyDescent="0.2">
      <c r="A463" s="345">
        <v>41608</v>
      </c>
      <c r="B463" s="1300">
        <f t="shared" si="0"/>
        <v>0</v>
      </c>
      <c r="E463" s="1405">
        <f>B463-Index_Returns!AS463</f>
        <v>3.6411600000000002</v>
      </c>
    </row>
    <row r="464" spans="1:5" x14ac:dyDescent="0.2">
      <c r="A464" s="345">
        <v>41639</v>
      </c>
      <c r="B464" s="1300">
        <f t="shared" si="0"/>
        <v>0</v>
      </c>
      <c r="E464" s="1405">
        <f>B464-Index_Returns!AS464</f>
        <v>0.54832999999999998</v>
      </c>
    </row>
    <row r="465" spans="1:1" x14ac:dyDescent="0.2">
      <c r="A465" s="345"/>
    </row>
    <row r="466" spans="1:1" x14ac:dyDescent="0.2">
      <c r="A466" s="345"/>
    </row>
    <row r="467" spans="1:1" x14ac:dyDescent="0.2">
      <c r="A467" s="345"/>
    </row>
    <row r="468" spans="1:1" x14ac:dyDescent="0.2">
      <c r="A468" s="345"/>
    </row>
    <row r="469" spans="1:1" x14ac:dyDescent="0.2">
      <c r="A469" s="345"/>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tabColor rgb="FFFF0000"/>
  </sheetPr>
  <dimension ref="A1:H469"/>
  <sheetViews>
    <sheetView workbookViewId="0">
      <pane xSplit="1" ySplit="2" topLeftCell="B420" activePane="bottomRight" state="frozen"/>
      <selection pane="topRight" activeCell="B1" sqref="B1"/>
      <selection pane="bottomLeft" activeCell="A3" sqref="A3"/>
      <selection pane="bottomRight" activeCell="A464" sqref="A464"/>
    </sheetView>
  </sheetViews>
  <sheetFormatPr defaultRowHeight="12.75" x14ac:dyDescent="0.2"/>
  <cols>
    <col min="1" max="1" width="18.7109375" style="1308" customWidth="1"/>
    <col min="2" max="2" width="18.7109375" style="1309" customWidth="1"/>
    <col min="3" max="3" width="18.7109375" style="1307" customWidth="1"/>
    <col min="4" max="4" width="18.7109375" style="1306" customWidth="1"/>
    <col min="5" max="5" width="9.140625" style="1301"/>
    <col min="6" max="6" width="12.42578125" style="1266" bestFit="1" customWidth="1"/>
    <col min="7" max="8" width="9.140625" style="1305"/>
    <col min="9" max="16384" width="9.140625" style="1266"/>
  </cols>
  <sheetData>
    <row r="1" spans="1:5" x14ac:dyDescent="0.2">
      <c r="A1" s="1289" t="s">
        <v>862</v>
      </c>
      <c r="B1" s="1290"/>
      <c r="C1" s="1386" t="s">
        <v>686</v>
      </c>
      <c r="D1" s="1373">
        <v>40</v>
      </c>
    </row>
    <row r="2" spans="1:5" x14ac:dyDescent="0.2">
      <c r="A2" s="1291" t="s">
        <v>27</v>
      </c>
      <c r="B2" s="1292" t="s">
        <v>91</v>
      </c>
      <c r="C2" s="1294" t="s">
        <v>92</v>
      </c>
      <c r="D2" s="1292" t="s">
        <v>90</v>
      </c>
      <c r="E2" s="1374" t="s">
        <v>80</v>
      </c>
    </row>
    <row r="3" spans="1:5" x14ac:dyDescent="0.2">
      <c r="A3" s="1293">
        <v>27606</v>
      </c>
      <c r="B3" s="1292"/>
      <c r="C3" s="1294"/>
      <c r="D3" s="1292"/>
    </row>
    <row r="4" spans="1:5" x14ac:dyDescent="0.2">
      <c r="A4" s="1293">
        <v>27637</v>
      </c>
      <c r="B4" s="1292"/>
      <c r="C4" s="1294"/>
      <c r="D4" s="1292"/>
    </row>
    <row r="5" spans="1:5" x14ac:dyDescent="0.2">
      <c r="A5" s="1293">
        <v>27667</v>
      </c>
      <c r="B5" s="1292"/>
      <c r="C5" s="1294"/>
      <c r="D5" s="1292"/>
    </row>
    <row r="6" spans="1:5" x14ac:dyDescent="0.2">
      <c r="A6" s="1293">
        <v>27698</v>
      </c>
      <c r="B6" s="1292"/>
      <c r="C6" s="1294"/>
      <c r="D6" s="1292"/>
    </row>
    <row r="7" spans="1:5" x14ac:dyDescent="0.2">
      <c r="A7" s="1293">
        <v>27728</v>
      </c>
      <c r="B7" s="1292"/>
      <c r="C7" s="1294"/>
      <c r="D7" s="1292"/>
    </row>
    <row r="8" spans="1:5" x14ac:dyDescent="0.2">
      <c r="A8" s="1293">
        <v>27759</v>
      </c>
      <c r="B8" s="1292"/>
      <c r="C8" s="1294"/>
      <c r="D8" s="1292"/>
    </row>
    <row r="9" spans="1:5" x14ac:dyDescent="0.2">
      <c r="A9" s="1293">
        <v>27790</v>
      </c>
      <c r="B9" s="1292"/>
      <c r="C9" s="1294"/>
      <c r="D9" s="1292"/>
    </row>
    <row r="10" spans="1:5" x14ac:dyDescent="0.2">
      <c r="A10" s="1293">
        <v>27819</v>
      </c>
      <c r="B10" s="1292"/>
      <c r="C10" s="1294"/>
      <c r="D10" s="1292"/>
    </row>
    <row r="11" spans="1:5" x14ac:dyDescent="0.2">
      <c r="A11" s="1293">
        <v>27850</v>
      </c>
      <c r="B11" s="1292"/>
      <c r="C11" s="1294"/>
      <c r="D11" s="1292"/>
    </row>
    <row r="12" spans="1:5" x14ac:dyDescent="0.2">
      <c r="A12" s="1293">
        <v>27880</v>
      </c>
      <c r="B12" s="1292"/>
      <c r="C12" s="1294"/>
      <c r="D12" s="1292"/>
    </row>
    <row r="13" spans="1:5" x14ac:dyDescent="0.2">
      <c r="A13" s="1293">
        <v>27911</v>
      </c>
      <c r="B13" s="1292"/>
      <c r="C13" s="1294"/>
      <c r="D13" s="1292"/>
    </row>
    <row r="14" spans="1:5" x14ac:dyDescent="0.2">
      <c r="A14" s="1293">
        <v>27941</v>
      </c>
      <c r="B14" s="1292"/>
      <c r="C14" s="1294"/>
      <c r="D14" s="1292"/>
    </row>
    <row r="15" spans="1:5" x14ac:dyDescent="0.2">
      <c r="A15" s="1293">
        <v>27972</v>
      </c>
      <c r="B15" s="1292"/>
      <c r="C15" s="1294"/>
      <c r="D15" s="1292"/>
    </row>
    <row r="16" spans="1:5" x14ac:dyDescent="0.2">
      <c r="A16" s="1293">
        <v>28003</v>
      </c>
      <c r="B16" s="1292"/>
      <c r="C16" s="1294"/>
      <c r="D16" s="1292"/>
    </row>
    <row r="17" spans="1:4" x14ac:dyDescent="0.2">
      <c r="A17" s="1293">
        <v>28033</v>
      </c>
      <c r="B17" s="1292"/>
      <c r="C17" s="1294"/>
      <c r="D17" s="1292"/>
    </row>
    <row r="18" spans="1:4" x14ac:dyDescent="0.2">
      <c r="A18" s="1293">
        <v>28064</v>
      </c>
      <c r="B18" s="1292"/>
      <c r="C18" s="1294"/>
      <c r="D18" s="1292"/>
    </row>
    <row r="19" spans="1:4" x14ac:dyDescent="0.2">
      <c r="A19" s="1293">
        <v>28094</v>
      </c>
      <c r="B19" s="1292"/>
      <c r="C19" s="1294"/>
      <c r="D19" s="1292"/>
    </row>
    <row r="20" spans="1:4" x14ac:dyDescent="0.2">
      <c r="A20" s="1293">
        <v>28125</v>
      </c>
      <c r="B20" s="1292"/>
      <c r="C20" s="1294"/>
      <c r="D20" s="1292"/>
    </row>
    <row r="21" spans="1:4" x14ac:dyDescent="0.2">
      <c r="A21" s="1293">
        <v>28156</v>
      </c>
      <c r="B21" s="1292"/>
      <c r="C21" s="1294"/>
      <c r="D21" s="1292"/>
    </row>
    <row r="22" spans="1:4" x14ac:dyDescent="0.2">
      <c r="A22" s="1293">
        <v>28184</v>
      </c>
      <c r="B22" s="1292"/>
      <c r="C22" s="1294"/>
      <c r="D22" s="1292"/>
    </row>
    <row r="23" spans="1:4" x14ac:dyDescent="0.2">
      <c r="A23" s="1293">
        <v>28215</v>
      </c>
      <c r="B23" s="1292"/>
      <c r="C23" s="1294"/>
      <c r="D23" s="1292"/>
    </row>
    <row r="24" spans="1:4" x14ac:dyDescent="0.2">
      <c r="A24" s="1293">
        <v>28245</v>
      </c>
      <c r="B24" s="1292"/>
      <c r="C24" s="1294"/>
      <c r="D24" s="1292"/>
    </row>
    <row r="25" spans="1:4" x14ac:dyDescent="0.2">
      <c r="A25" s="1293">
        <v>28276</v>
      </c>
      <c r="B25" s="1292"/>
      <c r="C25" s="1294"/>
      <c r="D25" s="1292"/>
    </row>
    <row r="26" spans="1:4" x14ac:dyDescent="0.2">
      <c r="A26" s="1293">
        <v>28306</v>
      </c>
      <c r="B26" s="1292"/>
      <c r="C26" s="1294"/>
      <c r="D26" s="1292"/>
    </row>
    <row r="27" spans="1:4" x14ac:dyDescent="0.2">
      <c r="A27" s="1293">
        <v>28337</v>
      </c>
      <c r="B27" s="1292"/>
      <c r="C27" s="1294"/>
      <c r="D27" s="1292"/>
    </row>
    <row r="28" spans="1:4" x14ac:dyDescent="0.2">
      <c r="A28" s="1293">
        <v>28368</v>
      </c>
      <c r="B28" s="1292"/>
      <c r="C28" s="1294"/>
      <c r="D28" s="1292"/>
    </row>
    <row r="29" spans="1:4" x14ac:dyDescent="0.2">
      <c r="A29" s="1293">
        <v>28398</v>
      </c>
      <c r="B29" s="1292"/>
      <c r="C29" s="1294"/>
      <c r="D29" s="1292"/>
    </row>
    <row r="30" spans="1:4" x14ac:dyDescent="0.2">
      <c r="A30" s="1293">
        <v>28429</v>
      </c>
      <c r="B30" s="1292"/>
      <c r="C30" s="1294"/>
      <c r="D30" s="1292"/>
    </row>
    <row r="31" spans="1:4" x14ac:dyDescent="0.2">
      <c r="A31" s="1293">
        <v>28459</v>
      </c>
      <c r="B31" s="1292"/>
      <c r="C31" s="1294"/>
      <c r="D31" s="1292"/>
    </row>
    <row r="32" spans="1:4" x14ac:dyDescent="0.2">
      <c r="A32" s="1293">
        <v>28490</v>
      </c>
      <c r="B32" s="1292"/>
      <c r="C32" s="1294"/>
      <c r="D32" s="1292"/>
    </row>
    <row r="33" spans="1:4" x14ac:dyDescent="0.2">
      <c r="A33" s="1293">
        <v>28521</v>
      </c>
      <c r="B33" s="1292"/>
      <c r="C33" s="1294"/>
      <c r="D33" s="1292"/>
    </row>
    <row r="34" spans="1:4" x14ac:dyDescent="0.2">
      <c r="A34" s="1293">
        <v>28549</v>
      </c>
      <c r="B34" s="1292"/>
      <c r="C34" s="1294"/>
      <c r="D34" s="1292"/>
    </row>
    <row r="35" spans="1:4" x14ac:dyDescent="0.2">
      <c r="A35" s="1293">
        <v>28580</v>
      </c>
      <c r="B35" s="1292"/>
      <c r="C35" s="1294"/>
      <c r="D35" s="1292"/>
    </row>
    <row r="36" spans="1:4" x14ac:dyDescent="0.2">
      <c r="A36" s="1293">
        <v>28610</v>
      </c>
      <c r="B36" s="1292"/>
      <c r="C36" s="1294"/>
      <c r="D36" s="1292"/>
    </row>
    <row r="37" spans="1:4" x14ac:dyDescent="0.2">
      <c r="A37" s="1293">
        <v>28641</v>
      </c>
      <c r="B37" s="1292"/>
      <c r="C37" s="1294"/>
      <c r="D37" s="1292"/>
    </row>
    <row r="38" spans="1:4" x14ac:dyDescent="0.2">
      <c r="A38" s="1293">
        <v>28671</v>
      </c>
      <c r="B38" s="1292"/>
      <c r="C38" s="1294"/>
      <c r="D38" s="1292"/>
    </row>
    <row r="39" spans="1:4" x14ac:dyDescent="0.2">
      <c r="A39" s="1293">
        <v>28702</v>
      </c>
      <c r="B39" s="1292"/>
      <c r="C39" s="1294"/>
      <c r="D39" s="1292"/>
    </row>
    <row r="40" spans="1:4" x14ac:dyDescent="0.2">
      <c r="A40" s="1293">
        <v>28733</v>
      </c>
      <c r="B40" s="1292"/>
      <c r="C40" s="1294"/>
      <c r="D40" s="1292"/>
    </row>
    <row r="41" spans="1:4" x14ac:dyDescent="0.2">
      <c r="A41" s="1293">
        <v>28763</v>
      </c>
      <c r="B41" s="1292"/>
      <c r="C41" s="1294"/>
      <c r="D41" s="1292"/>
    </row>
    <row r="42" spans="1:4" x14ac:dyDescent="0.2">
      <c r="A42" s="1293">
        <v>28794</v>
      </c>
      <c r="B42" s="1292"/>
      <c r="C42" s="1294"/>
      <c r="D42" s="1292"/>
    </row>
    <row r="43" spans="1:4" x14ac:dyDescent="0.2">
      <c r="A43" s="1293">
        <v>28824</v>
      </c>
      <c r="B43" s="1292"/>
      <c r="C43" s="1294"/>
      <c r="D43" s="1292"/>
    </row>
    <row r="44" spans="1:4" x14ac:dyDescent="0.2">
      <c r="A44" s="1293">
        <v>28855</v>
      </c>
      <c r="B44" s="1292"/>
      <c r="C44" s="1294"/>
      <c r="D44" s="1292"/>
    </row>
    <row r="45" spans="1:4" x14ac:dyDescent="0.2">
      <c r="A45" s="1293">
        <v>28886</v>
      </c>
      <c r="B45" s="1292"/>
      <c r="C45" s="1294"/>
      <c r="D45" s="1292"/>
    </row>
    <row r="46" spans="1:4" x14ac:dyDescent="0.2">
      <c r="A46" s="1293">
        <v>28914</v>
      </c>
      <c r="B46" s="1292"/>
      <c r="C46" s="1294"/>
      <c r="D46" s="1292"/>
    </row>
    <row r="47" spans="1:4" x14ac:dyDescent="0.2">
      <c r="A47" s="1293">
        <v>28945</v>
      </c>
      <c r="B47" s="1292"/>
      <c r="C47" s="1294"/>
      <c r="D47" s="1292"/>
    </row>
    <row r="48" spans="1:4" x14ac:dyDescent="0.2">
      <c r="A48" s="1293">
        <v>28975</v>
      </c>
      <c r="B48" s="1292"/>
      <c r="C48" s="1294"/>
      <c r="D48" s="1292"/>
    </row>
    <row r="49" spans="1:4" x14ac:dyDescent="0.2">
      <c r="A49" s="1293">
        <v>29006</v>
      </c>
      <c r="B49" s="1292"/>
      <c r="C49" s="1294"/>
      <c r="D49" s="1292"/>
    </row>
    <row r="50" spans="1:4" x14ac:dyDescent="0.2">
      <c r="A50" s="1293">
        <v>29036</v>
      </c>
      <c r="B50" s="1292"/>
      <c r="C50" s="1294"/>
      <c r="D50" s="1292"/>
    </row>
    <row r="51" spans="1:4" x14ac:dyDescent="0.2">
      <c r="A51" s="1293">
        <v>29067</v>
      </c>
      <c r="B51" s="1292"/>
      <c r="C51" s="1294"/>
      <c r="D51" s="1292"/>
    </row>
    <row r="52" spans="1:4" x14ac:dyDescent="0.2">
      <c r="A52" s="1293">
        <v>29098</v>
      </c>
      <c r="B52" s="1292"/>
      <c r="C52" s="1294"/>
      <c r="D52" s="1292"/>
    </row>
    <row r="53" spans="1:4" x14ac:dyDescent="0.2">
      <c r="A53" s="1293">
        <v>29128</v>
      </c>
      <c r="B53" s="1292"/>
      <c r="C53" s="1294"/>
      <c r="D53" s="1292"/>
    </row>
    <row r="54" spans="1:4" x14ac:dyDescent="0.2">
      <c r="A54" s="1293">
        <v>29159</v>
      </c>
      <c r="B54" s="1292"/>
      <c r="C54" s="1294"/>
      <c r="D54" s="1292"/>
    </row>
    <row r="55" spans="1:4" x14ac:dyDescent="0.2">
      <c r="A55" s="1293">
        <v>29189</v>
      </c>
      <c r="B55" s="1292"/>
      <c r="C55" s="1294"/>
      <c r="D55" s="1292"/>
    </row>
    <row r="56" spans="1:4" x14ac:dyDescent="0.2">
      <c r="A56" s="1293">
        <v>29220</v>
      </c>
      <c r="B56" s="1292"/>
      <c r="C56" s="1294"/>
      <c r="D56" s="1292"/>
    </row>
    <row r="57" spans="1:4" x14ac:dyDescent="0.2">
      <c r="A57" s="1293">
        <v>29251</v>
      </c>
      <c r="B57" s="1292"/>
      <c r="C57" s="1294"/>
      <c r="D57" s="1292"/>
    </row>
    <row r="58" spans="1:4" x14ac:dyDescent="0.2">
      <c r="A58" s="1293">
        <v>29280</v>
      </c>
      <c r="B58" s="1292"/>
      <c r="C58" s="1294"/>
      <c r="D58" s="1292"/>
    </row>
    <row r="59" spans="1:4" x14ac:dyDescent="0.2">
      <c r="A59" s="1293">
        <v>29311</v>
      </c>
      <c r="B59" s="1292"/>
      <c r="C59" s="1294"/>
      <c r="D59" s="1292"/>
    </row>
    <row r="60" spans="1:4" x14ac:dyDescent="0.2">
      <c r="A60" s="1293">
        <v>29341</v>
      </c>
      <c r="B60" s="1292"/>
      <c r="C60" s="1294"/>
      <c r="D60" s="1292"/>
    </row>
    <row r="61" spans="1:4" x14ac:dyDescent="0.2">
      <c r="A61" s="1293">
        <v>29372</v>
      </c>
      <c r="B61" s="1292"/>
      <c r="C61" s="1294"/>
      <c r="D61" s="1292"/>
    </row>
    <row r="62" spans="1:4" x14ac:dyDescent="0.2">
      <c r="A62" s="1293">
        <v>29402</v>
      </c>
      <c r="B62" s="1292"/>
      <c r="C62" s="1294"/>
      <c r="D62" s="1292"/>
    </row>
    <row r="63" spans="1:4" x14ac:dyDescent="0.2">
      <c r="A63" s="1293">
        <v>29433</v>
      </c>
      <c r="B63" s="1292"/>
      <c r="C63" s="1294"/>
      <c r="D63" s="1292"/>
    </row>
    <row r="64" spans="1:4" x14ac:dyDescent="0.2">
      <c r="A64" s="1293">
        <v>29464</v>
      </c>
      <c r="B64" s="1292"/>
      <c r="C64" s="1294"/>
      <c r="D64" s="1292"/>
    </row>
    <row r="65" spans="1:4" x14ac:dyDescent="0.2">
      <c r="A65" s="1293">
        <v>29494</v>
      </c>
      <c r="B65" s="1292"/>
      <c r="C65" s="1294"/>
      <c r="D65" s="1292"/>
    </row>
    <row r="66" spans="1:4" x14ac:dyDescent="0.2">
      <c r="A66" s="1293">
        <v>29525</v>
      </c>
      <c r="B66" s="1292"/>
      <c r="C66" s="1294"/>
      <c r="D66" s="1292"/>
    </row>
    <row r="67" spans="1:4" x14ac:dyDescent="0.2">
      <c r="A67" s="1293">
        <v>29555</v>
      </c>
      <c r="B67" s="1292"/>
      <c r="C67" s="1294"/>
      <c r="D67" s="1292"/>
    </row>
    <row r="68" spans="1:4" x14ac:dyDescent="0.2">
      <c r="A68" s="1293">
        <v>29586</v>
      </c>
      <c r="B68" s="1292"/>
      <c r="C68" s="1294"/>
      <c r="D68" s="1292"/>
    </row>
    <row r="69" spans="1:4" x14ac:dyDescent="0.2">
      <c r="A69" s="1293">
        <v>29617</v>
      </c>
      <c r="B69" s="1292"/>
      <c r="C69" s="1294"/>
      <c r="D69" s="1292"/>
    </row>
    <row r="70" spans="1:4" x14ac:dyDescent="0.2">
      <c r="A70" s="1293">
        <v>29645</v>
      </c>
      <c r="B70" s="1292"/>
      <c r="C70" s="1294"/>
      <c r="D70" s="1292"/>
    </row>
    <row r="71" spans="1:4" x14ac:dyDescent="0.2">
      <c r="A71" s="1293">
        <v>29676</v>
      </c>
      <c r="B71" s="1292"/>
      <c r="C71" s="1294"/>
      <c r="D71" s="1292"/>
    </row>
    <row r="72" spans="1:4" x14ac:dyDescent="0.2">
      <c r="A72" s="1293">
        <v>29706</v>
      </c>
      <c r="B72" s="1292"/>
      <c r="C72" s="1294"/>
      <c r="D72" s="1292"/>
    </row>
    <row r="73" spans="1:4" x14ac:dyDescent="0.2">
      <c r="A73" s="1293">
        <v>29737</v>
      </c>
      <c r="B73" s="1292"/>
      <c r="C73" s="1294"/>
      <c r="D73" s="1292"/>
    </row>
    <row r="74" spans="1:4" x14ac:dyDescent="0.2">
      <c r="A74" s="1293">
        <v>29767</v>
      </c>
      <c r="B74" s="1292"/>
      <c r="C74" s="1294"/>
      <c r="D74" s="1292"/>
    </row>
    <row r="75" spans="1:4" x14ac:dyDescent="0.2">
      <c r="A75" s="1293">
        <v>29798</v>
      </c>
      <c r="B75" s="1292"/>
      <c r="C75" s="1294"/>
      <c r="D75" s="1292"/>
    </row>
    <row r="76" spans="1:4" x14ac:dyDescent="0.2">
      <c r="A76" s="1293">
        <v>29829</v>
      </c>
      <c r="B76" s="1292"/>
      <c r="C76" s="1294"/>
      <c r="D76" s="1292"/>
    </row>
    <row r="77" spans="1:4" x14ac:dyDescent="0.2">
      <c r="A77" s="1293">
        <v>29859</v>
      </c>
      <c r="B77" s="1292"/>
      <c r="C77" s="1294"/>
      <c r="D77" s="1292"/>
    </row>
    <row r="78" spans="1:4" x14ac:dyDescent="0.2">
      <c r="A78" s="1293">
        <v>29890</v>
      </c>
      <c r="B78" s="1292"/>
      <c r="C78" s="1294"/>
      <c r="D78" s="1292"/>
    </row>
    <row r="79" spans="1:4" x14ac:dyDescent="0.2">
      <c r="A79" s="1293">
        <v>29920</v>
      </c>
      <c r="B79" s="1292"/>
      <c r="C79" s="1294"/>
      <c r="D79" s="1292"/>
    </row>
    <row r="80" spans="1:4" x14ac:dyDescent="0.2">
      <c r="A80" s="1293">
        <v>29951</v>
      </c>
      <c r="B80" s="1292"/>
      <c r="C80" s="1294"/>
      <c r="D80" s="1292"/>
    </row>
    <row r="81" spans="1:4" x14ac:dyDescent="0.2">
      <c r="A81" s="1293">
        <v>29982</v>
      </c>
      <c r="B81" s="1292"/>
      <c r="C81" s="1294"/>
      <c r="D81" s="1292"/>
    </row>
    <row r="82" spans="1:4" x14ac:dyDescent="0.2">
      <c r="A82" s="1293">
        <v>30010</v>
      </c>
      <c r="B82" s="1292"/>
      <c r="C82" s="1294"/>
      <c r="D82" s="1292"/>
    </row>
    <row r="83" spans="1:4" x14ac:dyDescent="0.2">
      <c r="A83" s="1293">
        <v>30041</v>
      </c>
      <c r="B83" s="1292"/>
      <c r="C83" s="1294"/>
      <c r="D83" s="1292"/>
    </row>
    <row r="84" spans="1:4" x14ac:dyDescent="0.2">
      <c r="A84" s="1293">
        <v>30071</v>
      </c>
      <c r="B84" s="1292"/>
      <c r="C84" s="1294"/>
      <c r="D84" s="1292"/>
    </row>
    <row r="85" spans="1:4" x14ac:dyDescent="0.2">
      <c r="A85" s="1293">
        <v>30102</v>
      </c>
      <c r="B85" s="1292"/>
      <c r="C85" s="1294"/>
      <c r="D85" s="1292"/>
    </row>
    <row r="86" spans="1:4" x14ac:dyDescent="0.2">
      <c r="A86" s="1293">
        <v>30132</v>
      </c>
      <c r="B86" s="1292"/>
      <c r="C86" s="1294"/>
      <c r="D86" s="1292"/>
    </row>
    <row r="87" spans="1:4" x14ac:dyDescent="0.2">
      <c r="A87" s="1293">
        <v>30163</v>
      </c>
      <c r="B87" s="1292"/>
      <c r="C87" s="1294"/>
      <c r="D87" s="1292"/>
    </row>
    <row r="88" spans="1:4" x14ac:dyDescent="0.2">
      <c r="A88" s="1293">
        <v>30194</v>
      </c>
      <c r="B88" s="1292"/>
      <c r="C88" s="1294"/>
      <c r="D88" s="1292"/>
    </row>
    <row r="89" spans="1:4" x14ac:dyDescent="0.2">
      <c r="A89" s="1293">
        <v>30224</v>
      </c>
      <c r="B89" s="1292"/>
      <c r="C89" s="1294"/>
      <c r="D89" s="1292"/>
    </row>
    <row r="90" spans="1:4" x14ac:dyDescent="0.2">
      <c r="A90" s="1293">
        <v>30255</v>
      </c>
      <c r="B90" s="1292"/>
      <c r="C90" s="1294"/>
      <c r="D90" s="1292"/>
    </row>
    <row r="91" spans="1:4" x14ac:dyDescent="0.2">
      <c r="A91" s="1293">
        <v>30285</v>
      </c>
      <c r="B91" s="1292"/>
      <c r="C91" s="1294"/>
      <c r="D91" s="1292"/>
    </row>
    <row r="92" spans="1:4" x14ac:dyDescent="0.2">
      <c r="A92" s="1293">
        <v>30316</v>
      </c>
      <c r="B92" s="1292"/>
      <c r="C92" s="1294"/>
      <c r="D92" s="1292"/>
    </row>
    <row r="93" spans="1:4" x14ac:dyDescent="0.2">
      <c r="A93" s="1293">
        <v>30347</v>
      </c>
      <c r="B93" s="1292"/>
      <c r="C93" s="1294"/>
      <c r="D93" s="1292"/>
    </row>
    <row r="94" spans="1:4" x14ac:dyDescent="0.2">
      <c r="A94" s="1293">
        <v>30375</v>
      </c>
      <c r="B94" s="1292"/>
      <c r="C94" s="1294"/>
      <c r="D94" s="1292"/>
    </row>
    <row r="95" spans="1:4" x14ac:dyDescent="0.2">
      <c r="A95" s="1293">
        <v>30406</v>
      </c>
      <c r="B95" s="1292"/>
      <c r="C95" s="1294"/>
      <c r="D95" s="1292"/>
    </row>
    <row r="96" spans="1:4" x14ac:dyDescent="0.2">
      <c r="A96" s="1293">
        <v>30436</v>
      </c>
      <c r="B96" s="1292"/>
      <c r="C96" s="1294"/>
      <c r="D96" s="1292"/>
    </row>
    <row r="97" spans="1:4" x14ac:dyDescent="0.2">
      <c r="A97" s="1293">
        <v>30467</v>
      </c>
      <c r="B97" s="1292"/>
      <c r="C97" s="1294"/>
      <c r="D97" s="1292"/>
    </row>
    <row r="98" spans="1:4" x14ac:dyDescent="0.2">
      <c r="A98" s="1293">
        <v>30497</v>
      </c>
      <c r="B98" s="1292"/>
      <c r="C98" s="1294"/>
      <c r="D98" s="1292"/>
    </row>
    <row r="99" spans="1:4" x14ac:dyDescent="0.2">
      <c r="A99" s="1293">
        <v>30528</v>
      </c>
      <c r="B99" s="1292"/>
      <c r="C99" s="1294"/>
      <c r="D99" s="1292"/>
    </row>
    <row r="100" spans="1:4" x14ac:dyDescent="0.2">
      <c r="A100" s="1293">
        <v>30559</v>
      </c>
      <c r="B100" s="1292"/>
      <c r="C100" s="1294"/>
      <c r="D100" s="1292"/>
    </row>
    <row r="101" spans="1:4" x14ac:dyDescent="0.2">
      <c r="A101" s="1293">
        <v>30589</v>
      </c>
      <c r="B101" s="1292"/>
      <c r="C101" s="1294"/>
      <c r="D101" s="1292"/>
    </row>
    <row r="102" spans="1:4" x14ac:dyDescent="0.2">
      <c r="A102" s="1293">
        <v>30620</v>
      </c>
      <c r="B102" s="1292"/>
      <c r="C102" s="1294"/>
      <c r="D102" s="1292"/>
    </row>
    <row r="103" spans="1:4" x14ac:dyDescent="0.2">
      <c r="A103" s="1293">
        <v>30650</v>
      </c>
      <c r="B103" s="1292"/>
      <c r="C103" s="1294"/>
      <c r="D103" s="1292"/>
    </row>
    <row r="104" spans="1:4" x14ac:dyDescent="0.2">
      <c r="A104" s="1293">
        <v>30681</v>
      </c>
      <c r="B104" s="1292"/>
      <c r="C104" s="1294"/>
      <c r="D104" s="1292"/>
    </row>
    <row r="105" spans="1:4" x14ac:dyDescent="0.2">
      <c r="A105" s="1293">
        <v>30712</v>
      </c>
      <c r="B105" s="1292"/>
      <c r="C105" s="1294"/>
      <c r="D105" s="1292"/>
    </row>
    <row r="106" spans="1:4" x14ac:dyDescent="0.2">
      <c r="A106" s="1293">
        <v>30741</v>
      </c>
      <c r="B106" s="1292"/>
      <c r="C106" s="1294"/>
      <c r="D106" s="1292"/>
    </row>
    <row r="107" spans="1:4" x14ac:dyDescent="0.2">
      <c r="A107" s="1293">
        <v>30772</v>
      </c>
      <c r="B107" s="1292"/>
      <c r="C107" s="1294"/>
      <c r="D107" s="1292"/>
    </row>
    <row r="108" spans="1:4" x14ac:dyDescent="0.2">
      <c r="A108" s="1293">
        <v>30802</v>
      </c>
      <c r="B108" s="1292"/>
      <c r="C108" s="1294"/>
      <c r="D108" s="1292"/>
    </row>
    <row r="109" spans="1:4" x14ac:dyDescent="0.2">
      <c r="A109" s="1293">
        <v>30833</v>
      </c>
      <c r="B109" s="1292"/>
      <c r="C109" s="1294"/>
      <c r="D109" s="1292"/>
    </row>
    <row r="110" spans="1:4" x14ac:dyDescent="0.2">
      <c r="A110" s="1293">
        <v>30863</v>
      </c>
      <c r="B110" s="1292"/>
      <c r="C110" s="1294"/>
      <c r="D110" s="1292"/>
    </row>
    <row r="111" spans="1:4" x14ac:dyDescent="0.2">
      <c r="A111" s="1293">
        <v>30894</v>
      </c>
      <c r="B111" s="1292"/>
      <c r="C111" s="1294"/>
      <c r="D111" s="1292"/>
    </row>
    <row r="112" spans="1:4" x14ac:dyDescent="0.2">
      <c r="A112" s="1293">
        <v>30925</v>
      </c>
      <c r="B112" s="1292"/>
      <c r="C112" s="1294"/>
      <c r="D112" s="1292"/>
    </row>
    <row r="113" spans="1:4" x14ac:dyDescent="0.2">
      <c r="A113" s="1293">
        <v>30955</v>
      </c>
      <c r="B113" s="1292"/>
      <c r="C113" s="1294"/>
      <c r="D113" s="1292"/>
    </row>
    <row r="114" spans="1:4" x14ac:dyDescent="0.2">
      <c r="A114" s="1293">
        <v>30986</v>
      </c>
      <c r="B114" s="1292"/>
      <c r="C114" s="1294"/>
      <c r="D114" s="1292"/>
    </row>
    <row r="115" spans="1:4" x14ac:dyDescent="0.2">
      <c r="A115" s="1293">
        <v>31016</v>
      </c>
      <c r="B115" s="1292"/>
      <c r="C115" s="1294"/>
      <c r="D115" s="1292"/>
    </row>
    <row r="116" spans="1:4" x14ac:dyDescent="0.2">
      <c r="A116" s="1293">
        <v>31047</v>
      </c>
      <c r="B116" s="1292"/>
      <c r="C116" s="1294"/>
      <c r="D116" s="1292"/>
    </row>
    <row r="117" spans="1:4" x14ac:dyDescent="0.2">
      <c r="A117" s="1293">
        <v>31078</v>
      </c>
      <c r="B117" s="1292"/>
      <c r="C117" s="1294"/>
      <c r="D117" s="1292"/>
    </row>
    <row r="118" spans="1:4" x14ac:dyDescent="0.2">
      <c r="A118" s="1293">
        <v>31106</v>
      </c>
      <c r="B118" s="1292"/>
      <c r="C118" s="1294"/>
      <c r="D118" s="1292"/>
    </row>
    <row r="119" spans="1:4" x14ac:dyDescent="0.2">
      <c r="A119" s="1293">
        <v>31137</v>
      </c>
      <c r="B119" s="1292"/>
      <c r="C119" s="1294"/>
      <c r="D119" s="1292"/>
    </row>
    <row r="120" spans="1:4" x14ac:dyDescent="0.2">
      <c r="A120" s="1293">
        <v>31167</v>
      </c>
      <c r="B120" s="1292"/>
      <c r="C120" s="1294"/>
      <c r="D120" s="1292"/>
    </row>
    <row r="121" spans="1:4" x14ac:dyDescent="0.2">
      <c r="A121" s="1293">
        <v>31198</v>
      </c>
      <c r="B121" s="1292"/>
      <c r="C121" s="1294"/>
      <c r="D121" s="1292"/>
    </row>
    <row r="122" spans="1:4" x14ac:dyDescent="0.2">
      <c r="A122" s="1293">
        <v>31228</v>
      </c>
      <c r="B122" s="1292"/>
      <c r="C122" s="1294"/>
      <c r="D122" s="1292"/>
    </row>
    <row r="123" spans="1:4" x14ac:dyDescent="0.2">
      <c r="A123" s="1293">
        <v>31259</v>
      </c>
      <c r="B123" s="1292"/>
      <c r="C123" s="1294"/>
      <c r="D123" s="1292"/>
    </row>
    <row r="124" spans="1:4" x14ac:dyDescent="0.2">
      <c r="A124" s="1293">
        <v>31290</v>
      </c>
      <c r="B124" s="1292"/>
      <c r="C124" s="1294"/>
      <c r="D124" s="1292"/>
    </row>
    <row r="125" spans="1:4" x14ac:dyDescent="0.2">
      <c r="A125" s="1293">
        <v>31320</v>
      </c>
      <c r="B125" s="1292"/>
      <c r="C125" s="1294"/>
      <c r="D125" s="1292"/>
    </row>
    <row r="126" spans="1:4" x14ac:dyDescent="0.2">
      <c r="A126" s="1293">
        <v>31351</v>
      </c>
      <c r="B126" s="1292"/>
      <c r="C126" s="1294"/>
      <c r="D126" s="1292"/>
    </row>
    <row r="127" spans="1:4" x14ac:dyDescent="0.2">
      <c r="A127" s="1293">
        <v>31381</v>
      </c>
      <c r="B127" s="1292"/>
      <c r="C127" s="1294"/>
      <c r="D127" s="1292"/>
    </row>
    <row r="128" spans="1:4" x14ac:dyDescent="0.2">
      <c r="A128" s="1293">
        <v>31412</v>
      </c>
      <c r="B128" s="1292"/>
      <c r="C128" s="1294"/>
      <c r="D128" s="1292"/>
    </row>
    <row r="129" spans="1:4" x14ac:dyDescent="0.2">
      <c r="A129" s="1293">
        <v>31443</v>
      </c>
      <c r="B129" s="1292"/>
      <c r="C129" s="1294"/>
      <c r="D129" s="1292"/>
    </row>
    <row r="130" spans="1:4" x14ac:dyDescent="0.2">
      <c r="A130" s="1293">
        <v>31471</v>
      </c>
      <c r="B130" s="1292"/>
      <c r="C130" s="1294"/>
      <c r="D130" s="1292"/>
    </row>
    <row r="131" spans="1:4" x14ac:dyDescent="0.2">
      <c r="A131" s="1293">
        <v>31502</v>
      </c>
      <c r="B131" s="1292"/>
      <c r="C131" s="1294"/>
      <c r="D131" s="1292"/>
    </row>
    <row r="132" spans="1:4" x14ac:dyDescent="0.2">
      <c r="A132" s="1293">
        <v>31532</v>
      </c>
      <c r="B132" s="1292"/>
      <c r="C132" s="1294"/>
      <c r="D132" s="1292"/>
    </row>
    <row r="133" spans="1:4" x14ac:dyDescent="0.2">
      <c r="A133" s="1293">
        <v>31563</v>
      </c>
      <c r="B133" s="1292"/>
      <c r="C133" s="1294"/>
      <c r="D133" s="1292"/>
    </row>
    <row r="134" spans="1:4" x14ac:dyDescent="0.2">
      <c r="A134" s="1293">
        <v>31593</v>
      </c>
      <c r="B134" s="1292"/>
      <c r="C134" s="1294"/>
      <c r="D134" s="1292"/>
    </row>
    <row r="135" spans="1:4" x14ac:dyDescent="0.2">
      <c r="A135" s="1293">
        <v>31624</v>
      </c>
      <c r="B135" s="1292"/>
      <c r="C135" s="1294"/>
      <c r="D135" s="1292"/>
    </row>
    <row r="136" spans="1:4" x14ac:dyDescent="0.2">
      <c r="A136" s="1293">
        <v>31655</v>
      </c>
      <c r="B136" s="1292"/>
      <c r="C136" s="1294"/>
      <c r="D136" s="1292"/>
    </row>
    <row r="137" spans="1:4" x14ac:dyDescent="0.2">
      <c r="A137" s="1293">
        <v>31685</v>
      </c>
      <c r="B137" s="1292"/>
      <c r="C137" s="1294"/>
      <c r="D137" s="1292"/>
    </row>
    <row r="138" spans="1:4" x14ac:dyDescent="0.2">
      <c r="A138" s="1293">
        <v>31716</v>
      </c>
      <c r="B138" s="1292"/>
      <c r="C138" s="1294"/>
      <c r="D138" s="1292"/>
    </row>
    <row r="139" spans="1:4" x14ac:dyDescent="0.2">
      <c r="A139" s="1293">
        <v>31746</v>
      </c>
      <c r="B139" s="1292"/>
      <c r="C139" s="1294"/>
      <c r="D139" s="1292"/>
    </row>
    <row r="140" spans="1:4" x14ac:dyDescent="0.2">
      <c r="A140" s="1293">
        <v>31777</v>
      </c>
      <c r="B140" s="1292"/>
      <c r="C140" s="1294"/>
      <c r="D140" s="1292"/>
    </row>
    <row r="141" spans="1:4" x14ac:dyDescent="0.2">
      <c r="A141" s="1293">
        <v>31808</v>
      </c>
      <c r="B141" s="1295"/>
      <c r="C141" s="1296"/>
      <c r="D141" s="1295"/>
    </row>
    <row r="142" spans="1:4" x14ac:dyDescent="0.2">
      <c r="A142" s="1293">
        <v>31836</v>
      </c>
      <c r="B142" s="1295"/>
      <c r="C142" s="1296"/>
      <c r="D142" s="1295"/>
    </row>
    <row r="143" spans="1:4" x14ac:dyDescent="0.2">
      <c r="A143" s="1293">
        <v>31867</v>
      </c>
      <c r="B143" s="1295"/>
      <c r="C143" s="1296"/>
      <c r="D143" s="1295"/>
    </row>
    <row r="144" spans="1:4" x14ac:dyDescent="0.2">
      <c r="A144" s="1293">
        <v>31897</v>
      </c>
      <c r="B144" s="1295"/>
      <c r="C144" s="1296"/>
      <c r="D144" s="1295"/>
    </row>
    <row r="145" spans="1:4" x14ac:dyDescent="0.2">
      <c r="A145" s="1293">
        <v>31928</v>
      </c>
      <c r="B145" s="1295"/>
      <c r="C145" s="1296"/>
      <c r="D145" s="1295"/>
    </row>
    <row r="146" spans="1:4" x14ac:dyDescent="0.2">
      <c r="A146" s="1293">
        <v>31958</v>
      </c>
      <c r="B146" s="1295"/>
      <c r="C146" s="1296"/>
      <c r="D146" s="1295"/>
    </row>
    <row r="147" spans="1:4" x14ac:dyDescent="0.2">
      <c r="A147" s="1293">
        <v>31989</v>
      </c>
      <c r="B147" s="1295"/>
      <c r="C147" s="1296"/>
      <c r="D147" s="1295"/>
    </row>
    <row r="148" spans="1:4" x14ac:dyDescent="0.2">
      <c r="A148" s="1293">
        <v>32020</v>
      </c>
      <c r="B148" s="1295"/>
      <c r="C148" s="1296"/>
      <c r="D148" s="1295"/>
    </row>
    <row r="149" spans="1:4" x14ac:dyDescent="0.2">
      <c r="A149" s="1293">
        <v>32050</v>
      </c>
      <c r="B149" s="1295"/>
      <c r="C149" s="1296"/>
      <c r="D149" s="1295"/>
    </row>
    <row r="150" spans="1:4" x14ac:dyDescent="0.2">
      <c r="A150" s="1293">
        <v>32081</v>
      </c>
      <c r="B150" s="1295"/>
      <c r="C150" s="1296"/>
      <c r="D150" s="1295"/>
    </row>
    <row r="151" spans="1:4" x14ac:dyDescent="0.2">
      <c r="A151" s="1293">
        <v>32111</v>
      </c>
      <c r="B151" s="1295"/>
      <c r="C151" s="1296"/>
      <c r="D151" s="1295"/>
    </row>
    <row r="152" spans="1:4" x14ac:dyDescent="0.2">
      <c r="A152" s="1293">
        <v>32142</v>
      </c>
      <c r="B152" s="1295"/>
      <c r="C152" s="1296"/>
      <c r="D152" s="1295"/>
    </row>
    <row r="153" spans="1:4" x14ac:dyDescent="0.2">
      <c r="A153" s="1293">
        <v>32173</v>
      </c>
      <c r="B153" s="1295"/>
      <c r="C153" s="1296"/>
      <c r="D153" s="1295"/>
    </row>
    <row r="154" spans="1:4" x14ac:dyDescent="0.2">
      <c r="A154" s="1293">
        <v>32202</v>
      </c>
      <c r="B154" s="1295"/>
      <c r="C154" s="1296"/>
      <c r="D154" s="1295"/>
    </row>
    <row r="155" spans="1:4" x14ac:dyDescent="0.2">
      <c r="A155" s="1293">
        <v>32233</v>
      </c>
      <c r="B155" s="1295"/>
      <c r="C155" s="1296"/>
      <c r="D155" s="1295"/>
    </row>
    <row r="156" spans="1:4" x14ac:dyDescent="0.2">
      <c r="A156" s="1293">
        <v>32263</v>
      </c>
      <c r="B156" s="1295"/>
      <c r="C156" s="1296"/>
      <c r="D156" s="1295"/>
    </row>
    <row r="157" spans="1:4" x14ac:dyDescent="0.2">
      <c r="A157" s="1293">
        <v>32294</v>
      </c>
      <c r="B157" s="1295"/>
      <c r="C157" s="1296"/>
      <c r="D157" s="1295"/>
    </row>
    <row r="158" spans="1:4" x14ac:dyDescent="0.2">
      <c r="A158" s="1293">
        <v>32324</v>
      </c>
      <c r="B158" s="1295"/>
      <c r="C158" s="1296"/>
      <c r="D158" s="1295"/>
    </row>
    <row r="159" spans="1:4" x14ac:dyDescent="0.2">
      <c r="A159" s="1293">
        <v>32355</v>
      </c>
      <c r="B159" s="1295"/>
      <c r="C159" s="1296"/>
      <c r="D159" s="1295"/>
    </row>
    <row r="160" spans="1:4" x14ac:dyDescent="0.2">
      <c r="A160" s="1293">
        <v>32386</v>
      </c>
      <c r="B160" s="1295"/>
      <c r="C160" s="1296"/>
      <c r="D160" s="1295"/>
    </row>
    <row r="161" spans="1:4" x14ac:dyDescent="0.2">
      <c r="A161" s="1293">
        <v>32416</v>
      </c>
      <c r="B161" s="1295"/>
      <c r="C161" s="1296"/>
      <c r="D161" s="1295"/>
    </row>
    <row r="162" spans="1:4" x14ac:dyDescent="0.2">
      <c r="A162" s="1293">
        <v>32447</v>
      </c>
      <c r="B162" s="1295"/>
      <c r="C162" s="1296"/>
      <c r="D162" s="1295"/>
    </row>
    <row r="163" spans="1:4" x14ac:dyDescent="0.2">
      <c r="A163" s="1293">
        <v>32477</v>
      </c>
      <c r="B163" s="1295"/>
      <c r="C163" s="1296"/>
      <c r="D163" s="1295"/>
    </row>
    <row r="164" spans="1:4" x14ac:dyDescent="0.2">
      <c r="A164" s="1293">
        <v>32508</v>
      </c>
      <c r="B164" s="1295"/>
      <c r="C164" s="1296"/>
      <c r="D164" s="1295"/>
    </row>
    <row r="165" spans="1:4" x14ac:dyDescent="0.2">
      <c r="A165" s="1293">
        <v>32539</v>
      </c>
      <c r="B165" s="1295"/>
      <c r="C165" s="1296"/>
      <c r="D165" s="1295"/>
    </row>
    <row r="166" spans="1:4" x14ac:dyDescent="0.2">
      <c r="A166" s="1293">
        <v>32567</v>
      </c>
      <c r="B166" s="1295"/>
      <c r="C166" s="1296"/>
      <c r="D166" s="1295"/>
    </row>
    <row r="167" spans="1:4" x14ac:dyDescent="0.2">
      <c r="A167" s="1293">
        <v>32598</v>
      </c>
      <c r="B167" s="1295"/>
      <c r="C167" s="1296"/>
      <c r="D167" s="1295"/>
    </row>
    <row r="168" spans="1:4" x14ac:dyDescent="0.2">
      <c r="A168" s="1293">
        <v>32628</v>
      </c>
      <c r="B168" s="1295"/>
      <c r="C168" s="1296"/>
      <c r="D168" s="1295"/>
    </row>
    <row r="169" spans="1:4" x14ac:dyDescent="0.2">
      <c r="A169" s="1293">
        <v>32659</v>
      </c>
      <c r="B169" s="1295"/>
      <c r="C169" s="1296"/>
      <c r="D169" s="1295"/>
    </row>
    <row r="170" spans="1:4" x14ac:dyDescent="0.2">
      <c r="A170" s="1293">
        <v>32689</v>
      </c>
      <c r="B170" s="1295"/>
      <c r="C170" s="1296"/>
      <c r="D170" s="1295"/>
    </row>
    <row r="171" spans="1:4" x14ac:dyDescent="0.2">
      <c r="A171" s="1293">
        <v>32720</v>
      </c>
      <c r="B171" s="1295"/>
      <c r="C171" s="1296"/>
      <c r="D171" s="1295"/>
    </row>
    <row r="172" spans="1:4" x14ac:dyDescent="0.2">
      <c r="A172" s="1293">
        <v>32751</v>
      </c>
      <c r="B172" s="1295"/>
      <c r="C172" s="1296"/>
      <c r="D172" s="1295"/>
    </row>
    <row r="173" spans="1:4" x14ac:dyDescent="0.2">
      <c r="A173" s="1293">
        <v>32781</v>
      </c>
      <c r="B173" s="1295"/>
      <c r="C173" s="1296"/>
      <c r="D173" s="1295"/>
    </row>
    <row r="174" spans="1:4" x14ac:dyDescent="0.2">
      <c r="A174" s="1293">
        <v>32812</v>
      </c>
      <c r="B174" s="1295"/>
      <c r="C174" s="1296"/>
      <c r="D174" s="1295"/>
    </row>
    <row r="175" spans="1:4" x14ac:dyDescent="0.2">
      <c r="A175" s="1293">
        <v>32842</v>
      </c>
      <c r="B175" s="1295"/>
      <c r="C175" s="1296"/>
      <c r="D175" s="1295"/>
    </row>
    <row r="176" spans="1:4" x14ac:dyDescent="0.2">
      <c r="A176" s="1293">
        <v>32873</v>
      </c>
      <c r="B176" s="1295"/>
      <c r="C176" s="1296"/>
      <c r="D176" s="1295"/>
    </row>
    <row r="177" spans="1:4" x14ac:dyDescent="0.2">
      <c r="A177" s="1293">
        <v>32904</v>
      </c>
      <c r="B177" s="1295"/>
      <c r="C177" s="1296"/>
      <c r="D177" s="1295"/>
    </row>
    <row r="178" spans="1:4" x14ac:dyDescent="0.2">
      <c r="A178" s="1293">
        <v>32932</v>
      </c>
      <c r="B178" s="1295"/>
      <c r="C178" s="1296"/>
      <c r="D178" s="1295"/>
    </row>
    <row r="179" spans="1:4" x14ac:dyDescent="0.2">
      <c r="A179" s="1293">
        <v>32963</v>
      </c>
      <c r="B179" s="1295"/>
      <c r="C179" s="1296"/>
      <c r="D179" s="1295"/>
    </row>
    <row r="180" spans="1:4" x14ac:dyDescent="0.2">
      <c r="A180" s="1293">
        <v>32993</v>
      </c>
      <c r="B180" s="1295"/>
      <c r="C180" s="1296"/>
      <c r="D180" s="1295"/>
    </row>
    <row r="181" spans="1:4" x14ac:dyDescent="0.2">
      <c r="A181" s="1293">
        <v>33024</v>
      </c>
      <c r="B181" s="1295"/>
      <c r="C181" s="1296"/>
      <c r="D181" s="1295"/>
    </row>
    <row r="182" spans="1:4" x14ac:dyDescent="0.2">
      <c r="A182" s="1293">
        <v>33054</v>
      </c>
      <c r="B182" s="1295"/>
      <c r="C182" s="1296"/>
      <c r="D182" s="1295"/>
    </row>
    <row r="183" spans="1:4" x14ac:dyDescent="0.2">
      <c r="A183" s="1293">
        <v>33085</v>
      </c>
      <c r="B183" s="1295"/>
      <c r="C183" s="1296"/>
      <c r="D183" s="1295"/>
    </row>
    <row r="184" spans="1:4" x14ac:dyDescent="0.2">
      <c r="A184" s="1293">
        <v>33116</v>
      </c>
      <c r="B184" s="1295"/>
      <c r="C184" s="1296"/>
      <c r="D184" s="1295"/>
    </row>
    <row r="185" spans="1:4" x14ac:dyDescent="0.2">
      <c r="A185" s="1293">
        <v>33146</v>
      </c>
      <c r="B185" s="1295"/>
      <c r="C185" s="1296"/>
      <c r="D185" s="1295"/>
    </row>
    <row r="186" spans="1:4" x14ac:dyDescent="0.2">
      <c r="A186" s="1293">
        <v>33177</v>
      </c>
      <c r="B186" s="1295"/>
      <c r="C186" s="1296"/>
      <c r="D186" s="1295"/>
    </row>
    <row r="187" spans="1:4" x14ac:dyDescent="0.2">
      <c r="A187" s="1293">
        <v>33207</v>
      </c>
      <c r="B187" s="1295"/>
      <c r="C187" s="1296"/>
      <c r="D187" s="1295"/>
    </row>
    <row r="188" spans="1:4" x14ac:dyDescent="0.2">
      <c r="A188" s="1293">
        <v>33238</v>
      </c>
      <c r="B188" s="1295"/>
      <c r="C188" s="1296"/>
      <c r="D188" s="1295"/>
    </row>
    <row r="189" spans="1:4" x14ac:dyDescent="0.2">
      <c r="A189" s="1293">
        <v>33269</v>
      </c>
      <c r="B189" s="1295"/>
      <c r="C189" s="1296"/>
      <c r="D189" s="1295"/>
    </row>
    <row r="190" spans="1:4" x14ac:dyDescent="0.2">
      <c r="A190" s="1293">
        <v>33297</v>
      </c>
      <c r="B190" s="1295"/>
      <c r="C190" s="1296"/>
      <c r="D190" s="1295"/>
    </row>
    <row r="191" spans="1:4" x14ac:dyDescent="0.2">
      <c r="A191" s="1293">
        <v>33328</v>
      </c>
      <c r="B191" s="1295"/>
      <c r="C191" s="1296"/>
      <c r="D191" s="1295"/>
    </row>
    <row r="192" spans="1:4" x14ac:dyDescent="0.2">
      <c r="A192" s="1293">
        <v>33358</v>
      </c>
      <c r="B192" s="1295"/>
      <c r="C192" s="1296"/>
      <c r="D192" s="1295"/>
    </row>
    <row r="193" spans="1:4" x14ac:dyDescent="0.2">
      <c r="A193" s="1293">
        <v>33389</v>
      </c>
      <c r="B193" s="1295"/>
      <c r="C193" s="1296"/>
      <c r="D193" s="1295"/>
    </row>
    <row r="194" spans="1:4" x14ac:dyDescent="0.2">
      <c r="A194" s="1293">
        <v>33419</v>
      </c>
      <c r="B194" s="1295"/>
      <c r="C194" s="1296"/>
      <c r="D194" s="1295"/>
    </row>
    <row r="195" spans="1:4" x14ac:dyDescent="0.2">
      <c r="A195" s="1293">
        <v>33450</v>
      </c>
      <c r="B195" s="1295"/>
      <c r="C195" s="1296"/>
      <c r="D195" s="1295"/>
    </row>
    <row r="196" spans="1:4" x14ac:dyDescent="0.2">
      <c r="A196" s="1293">
        <v>33481</v>
      </c>
      <c r="B196" s="1295"/>
      <c r="C196" s="1296"/>
      <c r="D196" s="1295"/>
    </row>
    <row r="197" spans="1:4" x14ac:dyDescent="0.2">
      <c r="A197" s="1293">
        <v>33511</v>
      </c>
      <c r="B197" s="1295"/>
      <c r="C197" s="1296"/>
      <c r="D197" s="1295"/>
    </row>
    <row r="198" spans="1:4" x14ac:dyDescent="0.2">
      <c r="A198" s="1293">
        <v>33542</v>
      </c>
      <c r="B198" s="1295"/>
      <c r="C198" s="1296"/>
      <c r="D198" s="1295"/>
    </row>
    <row r="199" spans="1:4" x14ac:dyDescent="0.2">
      <c r="A199" s="1293">
        <v>33572</v>
      </c>
      <c r="B199" s="1295"/>
      <c r="C199" s="1296"/>
      <c r="D199" s="1295"/>
    </row>
    <row r="200" spans="1:4" x14ac:dyDescent="0.2">
      <c r="A200" s="1293">
        <v>33603</v>
      </c>
      <c r="B200" s="1295"/>
      <c r="C200" s="1296"/>
      <c r="D200" s="1295"/>
    </row>
    <row r="201" spans="1:4" x14ac:dyDescent="0.2">
      <c r="A201" s="1293">
        <v>33634</v>
      </c>
      <c r="B201" s="1295"/>
      <c r="C201" s="1296"/>
      <c r="D201" s="1295"/>
    </row>
    <row r="202" spans="1:4" x14ac:dyDescent="0.2">
      <c r="A202" s="1293">
        <v>33663</v>
      </c>
      <c r="B202" s="1295"/>
      <c r="C202" s="1296"/>
      <c r="D202" s="1295"/>
    </row>
    <row r="203" spans="1:4" x14ac:dyDescent="0.2">
      <c r="A203" s="1293">
        <v>33694</v>
      </c>
      <c r="B203" s="1295"/>
      <c r="C203" s="1296"/>
      <c r="D203" s="1295"/>
    </row>
    <row r="204" spans="1:4" x14ac:dyDescent="0.2">
      <c r="A204" s="1293">
        <v>33724</v>
      </c>
      <c r="B204" s="1295"/>
      <c r="C204" s="1296"/>
      <c r="D204" s="1295"/>
    </row>
    <row r="205" spans="1:4" x14ac:dyDescent="0.2">
      <c r="A205" s="1293">
        <v>33755</v>
      </c>
      <c r="B205" s="1295"/>
      <c r="C205" s="1296"/>
      <c r="D205" s="1295"/>
    </row>
    <row r="206" spans="1:4" x14ac:dyDescent="0.2">
      <c r="A206" s="1293">
        <v>33785</v>
      </c>
      <c r="B206" s="1295"/>
      <c r="C206" s="1296"/>
      <c r="D206" s="1295"/>
    </row>
    <row r="207" spans="1:4" x14ac:dyDescent="0.2">
      <c r="A207" s="1293">
        <v>33816</v>
      </c>
      <c r="B207" s="1295"/>
      <c r="C207" s="1296"/>
      <c r="D207" s="1295"/>
    </row>
    <row r="208" spans="1:4" x14ac:dyDescent="0.2">
      <c r="A208" s="1293">
        <v>33847</v>
      </c>
      <c r="B208" s="1295"/>
      <c r="C208" s="1296"/>
      <c r="D208" s="1295"/>
    </row>
    <row r="209" spans="1:4" x14ac:dyDescent="0.2">
      <c r="A209" s="1293">
        <v>33877</v>
      </c>
      <c r="B209" s="1295"/>
      <c r="C209" s="1296"/>
      <c r="D209" s="1295"/>
    </row>
    <row r="210" spans="1:4" x14ac:dyDescent="0.2">
      <c r="A210" s="1293">
        <v>33908</v>
      </c>
      <c r="B210" s="1295"/>
      <c r="C210" s="1296"/>
      <c r="D210" s="1295"/>
    </row>
    <row r="211" spans="1:4" x14ac:dyDescent="0.2">
      <c r="A211" s="1293">
        <v>33938</v>
      </c>
      <c r="B211" s="1295"/>
      <c r="C211" s="1296"/>
      <c r="D211" s="1295"/>
    </row>
    <row r="212" spans="1:4" x14ac:dyDescent="0.2">
      <c r="A212" s="1293">
        <v>33969</v>
      </c>
      <c r="B212" s="1295"/>
      <c r="C212" s="1296"/>
      <c r="D212" s="1295"/>
    </row>
    <row r="213" spans="1:4" x14ac:dyDescent="0.2">
      <c r="A213" s="1293">
        <v>34000</v>
      </c>
      <c r="B213" s="1295"/>
      <c r="C213" s="1296"/>
      <c r="D213" s="1295"/>
    </row>
    <row r="214" spans="1:4" x14ac:dyDescent="0.2">
      <c r="A214" s="1293">
        <v>34028</v>
      </c>
      <c r="B214" s="1295"/>
      <c r="C214" s="1296"/>
      <c r="D214" s="1295"/>
    </row>
    <row r="215" spans="1:4" x14ac:dyDescent="0.2">
      <c r="A215" s="1293">
        <v>34059</v>
      </c>
      <c r="B215" s="1295"/>
      <c r="C215" s="1296"/>
      <c r="D215" s="1295"/>
    </row>
    <row r="216" spans="1:4" x14ac:dyDescent="0.2">
      <c r="A216" s="1293">
        <v>34089</v>
      </c>
      <c r="B216" s="1295"/>
      <c r="C216" s="1296"/>
      <c r="D216" s="1295"/>
    </row>
    <row r="217" spans="1:4" x14ac:dyDescent="0.2">
      <c r="A217" s="1293">
        <v>34120</v>
      </c>
      <c r="B217" s="1295"/>
      <c r="C217" s="1296"/>
      <c r="D217" s="1295"/>
    </row>
    <row r="218" spans="1:4" x14ac:dyDescent="0.2">
      <c r="A218" s="1293">
        <v>34150</v>
      </c>
      <c r="B218" s="1295"/>
      <c r="C218" s="1296"/>
      <c r="D218" s="1295"/>
    </row>
    <row r="219" spans="1:4" x14ac:dyDescent="0.2">
      <c r="A219" s="1293">
        <v>34181</v>
      </c>
      <c r="B219" s="1295"/>
      <c r="C219" s="1296"/>
      <c r="D219" s="1295"/>
    </row>
    <row r="220" spans="1:4" x14ac:dyDescent="0.2">
      <c r="A220" s="1293">
        <v>34212</v>
      </c>
      <c r="B220" s="1295"/>
      <c r="C220" s="1296"/>
      <c r="D220" s="1295"/>
    </row>
    <row r="221" spans="1:4" x14ac:dyDescent="0.2">
      <c r="A221" s="1293">
        <v>34242</v>
      </c>
      <c r="B221" s="1295"/>
      <c r="C221" s="1296"/>
      <c r="D221" s="1295"/>
    </row>
    <row r="222" spans="1:4" x14ac:dyDescent="0.2">
      <c r="A222" s="1293">
        <v>34273</v>
      </c>
      <c r="B222" s="1295"/>
      <c r="C222" s="1296"/>
      <c r="D222" s="1295"/>
    </row>
    <row r="223" spans="1:4" x14ac:dyDescent="0.2">
      <c r="A223" s="1293">
        <v>34303</v>
      </c>
      <c r="B223" s="1295"/>
      <c r="C223" s="1296"/>
      <c r="D223" s="1295"/>
    </row>
    <row r="224" spans="1:4" x14ac:dyDescent="0.2">
      <c r="A224" s="1293">
        <v>34334</v>
      </c>
      <c r="B224" s="1295"/>
      <c r="C224" s="1296"/>
      <c r="D224" s="1295"/>
    </row>
    <row r="225" spans="1:4" x14ac:dyDescent="0.2">
      <c r="A225" s="1293">
        <v>34365</v>
      </c>
      <c r="B225" s="1295"/>
      <c r="C225" s="1296"/>
      <c r="D225" s="1295"/>
    </row>
    <row r="226" spans="1:4" x14ac:dyDescent="0.2">
      <c r="A226" s="1293">
        <v>34393</v>
      </c>
      <c r="B226" s="1295"/>
      <c r="C226" s="1296"/>
      <c r="D226" s="1295"/>
    </row>
    <row r="227" spans="1:4" x14ac:dyDescent="0.2">
      <c r="A227" s="1293">
        <v>34424</v>
      </c>
      <c r="B227" s="1295"/>
      <c r="C227" s="1296"/>
      <c r="D227" s="1295"/>
    </row>
    <row r="228" spans="1:4" x14ac:dyDescent="0.2">
      <c r="A228" s="1293">
        <v>34454</v>
      </c>
      <c r="B228" s="1295"/>
      <c r="C228" s="1296"/>
      <c r="D228" s="1295"/>
    </row>
    <row r="229" spans="1:4" x14ac:dyDescent="0.2">
      <c r="A229" s="1293">
        <v>34485</v>
      </c>
      <c r="B229" s="1295"/>
      <c r="C229" s="1296"/>
      <c r="D229" s="1295"/>
    </row>
    <row r="230" spans="1:4" x14ac:dyDescent="0.2">
      <c r="A230" s="1293">
        <v>34515</v>
      </c>
      <c r="B230" s="1295"/>
      <c r="C230" s="1296"/>
      <c r="D230" s="1295"/>
    </row>
    <row r="231" spans="1:4" x14ac:dyDescent="0.2">
      <c r="A231" s="1293">
        <v>34546</v>
      </c>
      <c r="B231" s="1295"/>
      <c r="C231" s="1296"/>
      <c r="D231" s="1295"/>
    </row>
    <row r="232" spans="1:4" x14ac:dyDescent="0.2">
      <c r="A232" s="1293">
        <v>34577</v>
      </c>
      <c r="B232" s="1295"/>
      <c r="C232" s="1296"/>
      <c r="D232" s="1295"/>
    </row>
    <row r="233" spans="1:4" x14ac:dyDescent="0.2">
      <c r="A233" s="1293">
        <v>34607</v>
      </c>
      <c r="B233" s="1295"/>
      <c r="C233" s="1296"/>
      <c r="D233" s="1295"/>
    </row>
    <row r="234" spans="1:4" x14ac:dyDescent="0.2">
      <c r="A234" s="1293">
        <v>34638</v>
      </c>
      <c r="B234" s="1295"/>
      <c r="C234" s="1296"/>
      <c r="D234" s="1295"/>
    </row>
    <row r="235" spans="1:4" x14ac:dyDescent="0.2">
      <c r="A235" s="1293">
        <v>34668</v>
      </c>
      <c r="B235" s="1295"/>
      <c r="C235" s="1296"/>
      <c r="D235" s="1295"/>
    </row>
    <row r="236" spans="1:4" x14ac:dyDescent="0.2">
      <c r="A236" s="1293">
        <v>34699</v>
      </c>
      <c r="B236" s="1295"/>
      <c r="C236" s="1296"/>
      <c r="D236" s="1295"/>
    </row>
    <row r="237" spans="1:4" x14ac:dyDescent="0.2">
      <c r="A237" s="1293">
        <v>34730</v>
      </c>
      <c r="B237" s="1295"/>
      <c r="C237" s="1296"/>
      <c r="D237" s="1295"/>
    </row>
    <row r="238" spans="1:4" x14ac:dyDescent="0.2">
      <c r="A238" s="1293">
        <v>34758</v>
      </c>
      <c r="B238" s="1295"/>
      <c r="C238" s="1296"/>
      <c r="D238" s="1295"/>
    </row>
    <row r="239" spans="1:4" x14ac:dyDescent="0.2">
      <c r="A239" s="1293">
        <v>34789</v>
      </c>
      <c r="B239" s="1295"/>
      <c r="C239" s="1296"/>
      <c r="D239" s="1295"/>
    </row>
    <row r="240" spans="1:4" x14ac:dyDescent="0.2">
      <c r="A240" s="1293">
        <v>34819</v>
      </c>
      <c r="B240" s="1295"/>
      <c r="C240" s="1296"/>
      <c r="D240" s="1295"/>
    </row>
    <row r="241" spans="1:4" x14ac:dyDescent="0.2">
      <c r="A241" s="1293">
        <v>34850</v>
      </c>
      <c r="B241" s="1295"/>
      <c r="C241" s="1296"/>
      <c r="D241" s="1295"/>
    </row>
    <row r="242" spans="1:4" x14ac:dyDescent="0.2">
      <c r="A242" s="1293">
        <v>34880</v>
      </c>
      <c r="B242" s="1295"/>
      <c r="C242" s="1296"/>
      <c r="D242" s="1295"/>
    </row>
    <row r="243" spans="1:4" x14ac:dyDescent="0.2">
      <c r="A243" s="1293">
        <v>34911</v>
      </c>
      <c r="B243" s="1295"/>
      <c r="C243" s="1296"/>
      <c r="D243" s="1295"/>
    </row>
    <row r="244" spans="1:4" x14ac:dyDescent="0.2">
      <c r="A244" s="1293">
        <v>34942</v>
      </c>
      <c r="B244" s="1295"/>
      <c r="C244" s="1296"/>
      <c r="D244" s="1295"/>
    </row>
    <row r="245" spans="1:4" x14ac:dyDescent="0.2">
      <c r="A245" s="1293">
        <v>34972</v>
      </c>
      <c r="B245" s="1295"/>
      <c r="C245" s="1296"/>
      <c r="D245" s="1295"/>
    </row>
    <row r="246" spans="1:4" x14ac:dyDescent="0.2">
      <c r="A246" s="1293">
        <v>35003</v>
      </c>
      <c r="B246" s="1295"/>
      <c r="C246" s="1296"/>
      <c r="D246" s="1295"/>
    </row>
    <row r="247" spans="1:4" x14ac:dyDescent="0.2">
      <c r="A247" s="1293">
        <v>35033</v>
      </c>
      <c r="B247" s="1295"/>
      <c r="C247" s="1296"/>
      <c r="D247" s="1295"/>
    </row>
    <row r="248" spans="1:4" x14ac:dyDescent="0.2">
      <c r="A248" s="1293">
        <v>35064</v>
      </c>
      <c r="B248" s="1295"/>
      <c r="C248" s="1296"/>
      <c r="D248" s="1295"/>
    </row>
    <row r="249" spans="1:4" x14ac:dyDescent="0.2">
      <c r="A249" s="1293">
        <v>35095</v>
      </c>
      <c r="B249" s="1295"/>
      <c r="C249" s="1296"/>
      <c r="D249" s="1295"/>
    </row>
    <row r="250" spans="1:4" x14ac:dyDescent="0.2">
      <c r="A250" s="1293">
        <v>35124</v>
      </c>
      <c r="B250" s="1295"/>
      <c r="C250" s="1296"/>
      <c r="D250" s="1295"/>
    </row>
    <row r="251" spans="1:4" x14ac:dyDescent="0.2">
      <c r="A251" s="1293">
        <v>35155</v>
      </c>
      <c r="B251" s="1295"/>
      <c r="C251" s="1296"/>
      <c r="D251" s="1295"/>
    </row>
    <row r="252" spans="1:4" x14ac:dyDescent="0.2">
      <c r="A252" s="1293">
        <v>35185</v>
      </c>
      <c r="B252" s="1295"/>
      <c r="C252" s="1296"/>
      <c r="D252" s="1295"/>
    </row>
    <row r="253" spans="1:4" x14ac:dyDescent="0.2">
      <c r="A253" s="1293">
        <v>35216</v>
      </c>
      <c r="B253" s="1295"/>
      <c r="C253" s="1296"/>
      <c r="D253" s="1295"/>
    </row>
    <row r="254" spans="1:4" x14ac:dyDescent="0.2">
      <c r="A254" s="1293">
        <v>35246</v>
      </c>
      <c r="B254" s="1295"/>
      <c r="C254" s="1296"/>
      <c r="D254" s="1295"/>
    </row>
    <row r="255" spans="1:4" x14ac:dyDescent="0.2">
      <c r="A255" s="1293">
        <v>35277</v>
      </c>
      <c r="B255" s="1295"/>
      <c r="C255" s="1296"/>
      <c r="D255" s="1295"/>
    </row>
    <row r="256" spans="1:4" x14ac:dyDescent="0.2">
      <c r="A256" s="1293">
        <v>35308</v>
      </c>
      <c r="B256" s="1295"/>
      <c r="C256" s="1296"/>
      <c r="D256" s="1295"/>
    </row>
    <row r="257" spans="1:4" x14ac:dyDescent="0.2">
      <c r="A257" s="1293">
        <v>35338</v>
      </c>
      <c r="B257" s="1295"/>
      <c r="C257" s="1296"/>
      <c r="D257" s="1295"/>
    </row>
    <row r="258" spans="1:4" x14ac:dyDescent="0.2">
      <c r="A258" s="1293">
        <v>35369</v>
      </c>
      <c r="B258" s="1295"/>
      <c r="C258" s="1296"/>
      <c r="D258" s="1295"/>
    </row>
    <row r="259" spans="1:4" x14ac:dyDescent="0.2">
      <c r="A259" s="1293">
        <v>35399</v>
      </c>
      <c r="B259" s="1295"/>
      <c r="C259" s="1296"/>
      <c r="D259" s="1295"/>
    </row>
    <row r="260" spans="1:4" x14ac:dyDescent="0.2">
      <c r="A260" s="1293">
        <v>35430</v>
      </c>
      <c r="B260" s="1295"/>
      <c r="C260" s="1296"/>
      <c r="D260" s="1295"/>
    </row>
    <row r="261" spans="1:4" x14ac:dyDescent="0.2">
      <c r="A261" s="1293">
        <v>35461</v>
      </c>
      <c r="B261" s="1295"/>
      <c r="C261" s="1296"/>
      <c r="D261" s="1295"/>
    </row>
    <row r="262" spans="1:4" x14ac:dyDescent="0.2">
      <c r="A262" s="1293">
        <v>35489</v>
      </c>
      <c r="B262" s="1295"/>
      <c r="C262" s="1296"/>
      <c r="D262" s="1295"/>
    </row>
    <row r="263" spans="1:4" x14ac:dyDescent="0.2">
      <c r="A263" s="1293">
        <v>35520</v>
      </c>
      <c r="B263" s="1295"/>
      <c r="C263" s="1296"/>
      <c r="D263" s="1295"/>
    </row>
    <row r="264" spans="1:4" x14ac:dyDescent="0.2">
      <c r="A264" s="1293">
        <v>35550</v>
      </c>
      <c r="B264" s="1295"/>
      <c r="C264" s="1296"/>
      <c r="D264" s="1295"/>
    </row>
    <row r="265" spans="1:4" x14ac:dyDescent="0.2">
      <c r="A265" s="1293">
        <v>35581</v>
      </c>
      <c r="B265" s="1295"/>
      <c r="C265" s="1296"/>
      <c r="D265" s="1295"/>
    </row>
    <row r="266" spans="1:4" x14ac:dyDescent="0.2">
      <c r="A266" s="1293">
        <v>35611</v>
      </c>
      <c r="B266" s="1295"/>
      <c r="C266" s="1296"/>
      <c r="D266" s="1295"/>
    </row>
    <row r="267" spans="1:4" x14ac:dyDescent="0.2">
      <c r="A267" s="1293">
        <v>35642</v>
      </c>
      <c r="B267" s="1295"/>
      <c r="C267" s="1296"/>
      <c r="D267" s="1295"/>
    </row>
    <row r="268" spans="1:4" x14ac:dyDescent="0.2">
      <c r="A268" s="1293">
        <v>35673</v>
      </c>
      <c r="B268" s="1295"/>
      <c r="C268" s="1296"/>
      <c r="D268" s="1295"/>
    </row>
    <row r="269" spans="1:4" x14ac:dyDescent="0.2">
      <c r="A269" s="1293">
        <v>35703</v>
      </c>
      <c r="B269" s="1295"/>
      <c r="C269" s="1296"/>
      <c r="D269" s="1295"/>
    </row>
    <row r="270" spans="1:4" x14ac:dyDescent="0.2">
      <c r="A270" s="1293">
        <v>35734</v>
      </c>
      <c r="B270" s="1295"/>
      <c r="C270" s="1296"/>
      <c r="D270" s="1295"/>
    </row>
    <row r="271" spans="1:4" x14ac:dyDescent="0.2">
      <c r="A271" s="1293">
        <v>35764</v>
      </c>
      <c r="B271" s="1295"/>
      <c r="C271" s="1296"/>
      <c r="D271" s="1295"/>
    </row>
    <row r="272" spans="1:4" x14ac:dyDescent="0.2">
      <c r="A272" s="1293">
        <v>35795</v>
      </c>
      <c r="B272" s="1295"/>
      <c r="C272" s="1296"/>
      <c r="D272" s="1295"/>
    </row>
    <row r="273" spans="1:4" x14ac:dyDescent="0.2">
      <c r="A273" s="1293">
        <v>35826</v>
      </c>
      <c r="B273" s="1295"/>
      <c r="C273" s="1296"/>
      <c r="D273" s="1295"/>
    </row>
    <row r="274" spans="1:4" x14ac:dyDescent="0.2">
      <c r="A274" s="1293">
        <v>35854</v>
      </c>
      <c r="B274" s="1295"/>
      <c r="C274" s="1297"/>
      <c r="D274" s="1295"/>
    </row>
    <row r="275" spans="1:4" x14ac:dyDescent="0.2">
      <c r="A275" s="1293">
        <v>35885</v>
      </c>
      <c r="B275" s="1295"/>
      <c r="C275" s="1297"/>
      <c r="D275" s="1295"/>
    </row>
    <row r="276" spans="1:4" x14ac:dyDescent="0.2">
      <c r="A276" s="1293">
        <v>35915</v>
      </c>
      <c r="B276" s="1295"/>
      <c r="C276" s="1297"/>
      <c r="D276" s="1295"/>
    </row>
    <row r="277" spans="1:4" x14ac:dyDescent="0.2">
      <c r="A277" s="1293">
        <v>35946</v>
      </c>
      <c r="B277" s="1295"/>
      <c r="C277" s="1297"/>
      <c r="D277" s="1295"/>
    </row>
    <row r="278" spans="1:4" x14ac:dyDescent="0.2">
      <c r="A278" s="1293">
        <v>35976</v>
      </c>
      <c r="B278" s="1295"/>
      <c r="C278" s="1297"/>
      <c r="D278" s="1295"/>
    </row>
    <row r="279" spans="1:4" x14ac:dyDescent="0.2">
      <c r="A279" s="1293">
        <v>36007</v>
      </c>
      <c r="B279" s="1295"/>
      <c r="C279" s="1297"/>
      <c r="D279" s="1295"/>
    </row>
    <row r="280" spans="1:4" x14ac:dyDescent="0.2">
      <c r="A280" s="1293">
        <v>36038</v>
      </c>
      <c r="B280" s="1295"/>
      <c r="C280" s="1297"/>
      <c r="D280" s="1295"/>
    </row>
    <row r="281" spans="1:4" x14ac:dyDescent="0.2">
      <c r="A281" s="1293">
        <v>36068</v>
      </c>
      <c r="B281" s="1295"/>
      <c r="C281" s="1297"/>
      <c r="D281" s="1295"/>
    </row>
    <row r="282" spans="1:4" x14ac:dyDescent="0.2">
      <c r="A282" s="1293">
        <v>36099</v>
      </c>
      <c r="B282" s="1295"/>
      <c r="C282" s="1297"/>
      <c r="D282" s="1295"/>
    </row>
    <row r="283" spans="1:4" x14ac:dyDescent="0.2">
      <c r="A283" s="1293">
        <v>36129</v>
      </c>
      <c r="B283" s="1295"/>
      <c r="C283" s="1297"/>
      <c r="D283" s="1295"/>
    </row>
    <row r="284" spans="1:4" x14ac:dyDescent="0.2">
      <c r="A284" s="1293">
        <v>36160</v>
      </c>
      <c r="B284" s="1295"/>
      <c r="C284" s="1297"/>
      <c r="D284" s="1295"/>
    </row>
    <row r="285" spans="1:4" x14ac:dyDescent="0.2">
      <c r="A285" s="1293">
        <v>36191</v>
      </c>
      <c r="B285" s="1295"/>
      <c r="C285" s="1297"/>
      <c r="D285" s="1295"/>
    </row>
    <row r="286" spans="1:4" x14ac:dyDescent="0.2">
      <c r="A286" s="1293">
        <v>36219</v>
      </c>
      <c r="B286" s="1295"/>
      <c r="C286" s="1297"/>
      <c r="D286" s="1295"/>
    </row>
    <row r="287" spans="1:4" x14ac:dyDescent="0.2">
      <c r="A287" s="1293">
        <v>36250</v>
      </c>
      <c r="B287" s="1295"/>
      <c r="C287" s="1297"/>
      <c r="D287" s="1295"/>
    </row>
    <row r="288" spans="1:4" x14ac:dyDescent="0.2">
      <c r="A288" s="1293">
        <v>36280</v>
      </c>
      <c r="B288" s="1295"/>
      <c r="C288" s="1297"/>
      <c r="D288" s="1295"/>
    </row>
    <row r="289" spans="1:4" x14ac:dyDescent="0.2">
      <c r="A289" s="1293">
        <v>36311</v>
      </c>
      <c r="B289" s="1295"/>
      <c r="C289" s="1297"/>
      <c r="D289" s="1295"/>
    </row>
    <row r="290" spans="1:4" x14ac:dyDescent="0.2">
      <c r="A290" s="1293">
        <v>36341</v>
      </c>
      <c r="B290" s="1295"/>
      <c r="C290" s="1297"/>
      <c r="D290" s="1295"/>
    </row>
    <row r="291" spans="1:4" x14ac:dyDescent="0.2">
      <c r="A291" s="1293">
        <v>36372</v>
      </c>
      <c r="B291" s="1295"/>
      <c r="C291" s="1297"/>
      <c r="D291" s="1295"/>
    </row>
    <row r="292" spans="1:4" x14ac:dyDescent="0.2">
      <c r="A292" s="1293">
        <v>36403</v>
      </c>
      <c r="B292" s="1295"/>
      <c r="C292" s="1297"/>
      <c r="D292" s="1295"/>
    </row>
    <row r="293" spans="1:4" x14ac:dyDescent="0.2">
      <c r="A293" s="1293">
        <v>36433</v>
      </c>
      <c r="B293" s="1295"/>
      <c r="C293" s="1297"/>
      <c r="D293" s="1295"/>
    </row>
    <row r="294" spans="1:4" x14ac:dyDescent="0.2">
      <c r="A294" s="1293">
        <v>36464</v>
      </c>
      <c r="B294" s="1295"/>
      <c r="C294" s="1297"/>
      <c r="D294" s="1295"/>
    </row>
    <row r="295" spans="1:4" x14ac:dyDescent="0.2">
      <c r="A295" s="1293">
        <v>36494</v>
      </c>
      <c r="B295" s="1295"/>
      <c r="C295" s="1297"/>
      <c r="D295" s="1295"/>
    </row>
    <row r="296" spans="1:4" x14ac:dyDescent="0.2">
      <c r="A296" s="1293">
        <v>36525</v>
      </c>
      <c r="B296" s="1295"/>
      <c r="C296" s="1297"/>
      <c r="D296" s="1295"/>
    </row>
    <row r="297" spans="1:4" x14ac:dyDescent="0.2">
      <c r="A297" s="1293">
        <v>36556</v>
      </c>
      <c r="B297" s="1295"/>
      <c r="C297" s="1297"/>
      <c r="D297" s="1295"/>
    </row>
    <row r="298" spans="1:4" x14ac:dyDescent="0.2">
      <c r="A298" s="1293">
        <v>36585</v>
      </c>
      <c r="B298" s="1295"/>
      <c r="C298" s="1297"/>
      <c r="D298" s="1295"/>
    </row>
    <row r="299" spans="1:4" x14ac:dyDescent="0.2">
      <c r="A299" s="1293">
        <v>36616</v>
      </c>
      <c r="B299" s="1295"/>
      <c r="C299" s="1297"/>
      <c r="D299" s="1295"/>
    </row>
    <row r="300" spans="1:4" x14ac:dyDescent="0.2">
      <c r="A300" s="1293">
        <v>36646</v>
      </c>
      <c r="B300" s="1295"/>
      <c r="C300" s="1297"/>
      <c r="D300" s="1295"/>
    </row>
    <row r="301" spans="1:4" x14ac:dyDescent="0.2">
      <c r="A301" s="1293">
        <v>36677</v>
      </c>
      <c r="B301" s="1295"/>
      <c r="C301" s="1297"/>
      <c r="D301" s="1295"/>
    </row>
    <row r="302" spans="1:4" x14ac:dyDescent="0.2">
      <c r="A302" s="1293">
        <v>36707</v>
      </c>
      <c r="B302" s="1295"/>
      <c r="C302" s="1297"/>
      <c r="D302" s="1295"/>
    </row>
    <row r="303" spans="1:4" x14ac:dyDescent="0.2">
      <c r="A303" s="1293">
        <v>36738</v>
      </c>
      <c r="B303" s="1295"/>
      <c r="C303" s="1297"/>
      <c r="D303" s="1295"/>
    </row>
    <row r="304" spans="1:4" x14ac:dyDescent="0.2">
      <c r="A304" s="1293">
        <v>36769</v>
      </c>
      <c r="B304" s="1295"/>
      <c r="C304" s="1297"/>
      <c r="D304" s="1295"/>
    </row>
    <row r="305" spans="1:4" x14ac:dyDescent="0.2">
      <c r="A305" s="1293">
        <v>36799</v>
      </c>
      <c r="B305" s="1298"/>
      <c r="C305" s="1299"/>
      <c r="D305" s="1295"/>
    </row>
    <row r="306" spans="1:4" x14ac:dyDescent="0.2">
      <c r="A306" s="1293">
        <v>36830</v>
      </c>
      <c r="B306" s="1300"/>
      <c r="C306" s="1299"/>
      <c r="D306" s="1300"/>
    </row>
    <row r="307" spans="1:4" x14ac:dyDescent="0.2">
      <c r="A307" s="1293">
        <v>36860</v>
      </c>
      <c r="B307" s="1300"/>
      <c r="C307" s="1299"/>
      <c r="D307" s="1300"/>
    </row>
    <row r="308" spans="1:4" x14ac:dyDescent="0.2">
      <c r="A308" s="1293">
        <v>36891</v>
      </c>
      <c r="B308" s="1300"/>
      <c r="C308" s="1299"/>
      <c r="D308" s="1300"/>
    </row>
    <row r="309" spans="1:4" x14ac:dyDescent="0.2">
      <c r="A309" s="1293">
        <v>36922</v>
      </c>
      <c r="B309" s="1300"/>
      <c r="C309" s="1299"/>
      <c r="D309" s="1300"/>
    </row>
    <row r="310" spans="1:4" x14ac:dyDescent="0.2">
      <c r="A310" s="1293">
        <v>36950</v>
      </c>
      <c r="B310" s="1300"/>
      <c r="C310" s="1299"/>
      <c r="D310" s="1300"/>
    </row>
    <row r="311" spans="1:4" x14ac:dyDescent="0.2">
      <c r="A311" s="1293">
        <v>36981</v>
      </c>
      <c r="B311" s="1300"/>
      <c r="C311" s="1299"/>
      <c r="D311" s="1300"/>
    </row>
    <row r="312" spans="1:4" x14ac:dyDescent="0.2">
      <c r="A312" s="1293">
        <v>37011</v>
      </c>
      <c r="B312" s="1300"/>
      <c r="C312" s="1299"/>
      <c r="D312" s="1300"/>
    </row>
    <row r="313" spans="1:4" x14ac:dyDescent="0.2">
      <c r="A313" s="1293">
        <v>37042</v>
      </c>
      <c r="B313" s="1300"/>
      <c r="C313" s="1299"/>
      <c r="D313" s="1300"/>
    </row>
    <row r="314" spans="1:4" x14ac:dyDescent="0.2">
      <c r="A314" s="1293">
        <v>37072</v>
      </c>
      <c r="B314" s="1300"/>
      <c r="C314" s="1299"/>
      <c r="D314" s="1300"/>
    </row>
    <row r="315" spans="1:4" x14ac:dyDescent="0.2">
      <c r="A315" s="1293">
        <v>37103</v>
      </c>
      <c r="B315" s="1300"/>
      <c r="C315" s="1299"/>
      <c r="D315" s="1300"/>
    </row>
    <row r="316" spans="1:4" x14ac:dyDescent="0.2">
      <c r="A316" s="1293">
        <v>37134</v>
      </c>
      <c r="B316" s="1300"/>
      <c r="C316" s="1299"/>
      <c r="D316" s="1300"/>
    </row>
    <row r="317" spans="1:4" x14ac:dyDescent="0.2">
      <c r="A317" s="1293">
        <v>37164</v>
      </c>
      <c r="B317" s="1300"/>
      <c r="C317" s="1299"/>
      <c r="D317" s="1300"/>
    </row>
    <row r="318" spans="1:4" x14ac:dyDescent="0.2">
      <c r="A318" s="1293">
        <v>37195</v>
      </c>
      <c r="B318" s="1300"/>
      <c r="C318" s="1299"/>
      <c r="D318" s="1300"/>
    </row>
    <row r="319" spans="1:4" x14ac:dyDescent="0.2">
      <c r="A319" s="1293">
        <v>37225</v>
      </c>
      <c r="B319" s="1300"/>
      <c r="C319" s="1299"/>
      <c r="D319" s="1300"/>
    </row>
    <row r="320" spans="1:4" x14ac:dyDescent="0.2">
      <c r="A320" s="1293">
        <v>37256</v>
      </c>
      <c r="B320" s="1300"/>
      <c r="C320" s="1299"/>
      <c r="D320" s="1300"/>
    </row>
    <row r="321" spans="1:4" x14ac:dyDescent="0.2">
      <c r="A321" s="1293">
        <v>37287</v>
      </c>
      <c r="B321" s="1300"/>
      <c r="C321" s="1299"/>
      <c r="D321" s="1300"/>
    </row>
    <row r="322" spans="1:4" x14ac:dyDescent="0.2">
      <c r="A322" s="1293">
        <v>37315</v>
      </c>
      <c r="B322" s="1300"/>
      <c r="C322" s="1299"/>
      <c r="D322" s="1300"/>
    </row>
    <row r="323" spans="1:4" x14ac:dyDescent="0.2">
      <c r="A323" s="1293">
        <v>37346</v>
      </c>
      <c r="B323" s="1300"/>
      <c r="C323" s="1299"/>
      <c r="D323" s="1300"/>
    </row>
    <row r="324" spans="1:4" x14ac:dyDescent="0.2">
      <c r="A324" s="1293">
        <v>37376</v>
      </c>
      <c r="B324" s="1300"/>
      <c r="C324" s="1299"/>
      <c r="D324" s="1300"/>
    </row>
    <row r="325" spans="1:4" x14ac:dyDescent="0.2">
      <c r="A325" s="1293">
        <v>37407</v>
      </c>
      <c r="B325" s="1300"/>
      <c r="C325" s="1299"/>
      <c r="D325" s="1300"/>
    </row>
    <row r="326" spans="1:4" x14ac:dyDescent="0.2">
      <c r="A326" s="1293">
        <v>37437</v>
      </c>
      <c r="B326" s="1300"/>
      <c r="C326" s="1299"/>
      <c r="D326" s="1300"/>
    </row>
    <row r="327" spans="1:4" x14ac:dyDescent="0.2">
      <c r="A327" s="1293">
        <v>37468</v>
      </c>
      <c r="B327" s="1300"/>
      <c r="C327" s="1299"/>
      <c r="D327" s="1300"/>
    </row>
    <row r="328" spans="1:4" x14ac:dyDescent="0.2">
      <c r="A328" s="1293">
        <v>37499</v>
      </c>
      <c r="B328" s="1300"/>
      <c r="C328" s="1299"/>
      <c r="D328" s="1300"/>
    </row>
    <row r="329" spans="1:4" x14ac:dyDescent="0.2">
      <c r="A329" s="1293">
        <v>37529</v>
      </c>
      <c r="B329" s="1300"/>
      <c r="C329" s="1299"/>
      <c r="D329" s="1300"/>
    </row>
    <row r="330" spans="1:4" x14ac:dyDescent="0.2">
      <c r="A330" s="1293">
        <v>37560</v>
      </c>
      <c r="B330" s="1300"/>
      <c r="C330" s="1299"/>
      <c r="D330" s="1300"/>
    </row>
    <row r="331" spans="1:4" x14ac:dyDescent="0.2">
      <c r="A331" s="1293">
        <v>37590</v>
      </c>
      <c r="B331" s="1300"/>
      <c r="C331" s="1299"/>
      <c r="D331" s="1300"/>
    </row>
    <row r="332" spans="1:4" x14ac:dyDescent="0.2">
      <c r="A332" s="1293">
        <v>37621</v>
      </c>
      <c r="B332" s="1300"/>
      <c r="C332" s="1299"/>
      <c r="D332" s="1300"/>
    </row>
    <row r="333" spans="1:4" x14ac:dyDescent="0.2">
      <c r="A333" s="1293">
        <v>37652</v>
      </c>
      <c r="B333" s="1300"/>
      <c r="C333" s="1299"/>
      <c r="D333" s="1300"/>
    </row>
    <row r="334" spans="1:4" x14ac:dyDescent="0.2">
      <c r="A334" s="1293">
        <v>37680</v>
      </c>
      <c r="B334" s="1300"/>
      <c r="C334" s="1299"/>
      <c r="D334" s="1300"/>
    </row>
    <row r="335" spans="1:4" x14ac:dyDescent="0.2">
      <c r="A335" s="1293">
        <v>37711</v>
      </c>
      <c r="B335" s="1300"/>
      <c r="C335" s="1299"/>
      <c r="D335" s="1300"/>
    </row>
    <row r="336" spans="1:4" x14ac:dyDescent="0.2">
      <c r="A336" s="1293">
        <v>37741</v>
      </c>
      <c r="B336" s="1300"/>
      <c r="C336" s="1299"/>
      <c r="D336" s="1300"/>
    </row>
    <row r="337" spans="1:4" x14ac:dyDescent="0.2">
      <c r="A337" s="1293">
        <v>37772</v>
      </c>
      <c r="B337" s="1300"/>
      <c r="C337" s="1299"/>
      <c r="D337" s="1300"/>
    </row>
    <row r="338" spans="1:4" x14ac:dyDescent="0.2">
      <c r="A338" s="1293">
        <v>37802</v>
      </c>
      <c r="B338" s="1300"/>
      <c r="C338" s="1299"/>
      <c r="D338" s="1300"/>
    </row>
    <row r="339" spans="1:4" x14ac:dyDescent="0.2">
      <c r="A339" s="1293">
        <v>37833</v>
      </c>
      <c r="B339" s="1300"/>
      <c r="C339" s="1299"/>
      <c r="D339" s="1300"/>
    </row>
    <row r="340" spans="1:4" x14ac:dyDescent="0.2">
      <c r="A340" s="1293">
        <v>37864</v>
      </c>
      <c r="B340" s="1300"/>
      <c r="C340" s="1299"/>
      <c r="D340" s="1300"/>
    </row>
    <row r="341" spans="1:4" x14ac:dyDescent="0.2">
      <c r="A341" s="1293">
        <v>37894</v>
      </c>
      <c r="B341" s="1300"/>
      <c r="C341" s="1302"/>
      <c r="D341" s="1300"/>
    </row>
    <row r="342" spans="1:4" x14ac:dyDescent="0.2">
      <c r="A342" s="1293">
        <v>37925</v>
      </c>
      <c r="B342" s="1300"/>
      <c r="C342" s="1302"/>
      <c r="D342" s="1300"/>
    </row>
    <row r="343" spans="1:4" x14ac:dyDescent="0.2">
      <c r="A343" s="1293">
        <v>37955</v>
      </c>
      <c r="B343" s="1300"/>
      <c r="C343" s="1302"/>
      <c r="D343" s="1300"/>
    </row>
    <row r="344" spans="1:4" x14ac:dyDescent="0.2">
      <c r="A344" s="1293">
        <v>37986</v>
      </c>
      <c r="B344" s="1300"/>
      <c r="C344" s="1302"/>
      <c r="D344" s="1300"/>
    </row>
    <row r="345" spans="1:4" x14ac:dyDescent="0.2">
      <c r="A345" s="1293">
        <v>38017</v>
      </c>
      <c r="B345" s="1300"/>
      <c r="C345" s="1302"/>
      <c r="D345" s="1300"/>
    </row>
    <row r="346" spans="1:4" x14ac:dyDescent="0.2">
      <c r="A346" s="1293">
        <v>38046</v>
      </c>
      <c r="B346" s="1300"/>
      <c r="C346" s="1302"/>
      <c r="D346" s="1300"/>
    </row>
    <row r="347" spans="1:4" x14ac:dyDescent="0.2">
      <c r="A347" s="1293">
        <v>38077</v>
      </c>
      <c r="B347" s="1300"/>
      <c r="C347" s="1302"/>
      <c r="D347" s="1303"/>
    </row>
    <row r="348" spans="1:4" x14ac:dyDescent="0.2">
      <c r="A348" s="1293">
        <v>38107</v>
      </c>
      <c r="B348" s="1300"/>
      <c r="C348" s="1302"/>
      <c r="D348" s="1300"/>
    </row>
    <row r="349" spans="1:4" x14ac:dyDescent="0.2">
      <c r="A349" s="1293">
        <v>38138</v>
      </c>
      <c r="B349" s="1300"/>
      <c r="C349" s="1302"/>
      <c r="D349" s="1300"/>
    </row>
    <row r="350" spans="1:4" x14ac:dyDescent="0.2">
      <c r="A350" s="1293">
        <v>38168</v>
      </c>
      <c r="B350" s="1300"/>
      <c r="C350" s="1302"/>
      <c r="D350" s="1300"/>
    </row>
    <row r="351" spans="1:4" x14ac:dyDescent="0.2">
      <c r="A351" s="1293">
        <v>38199</v>
      </c>
      <c r="B351" s="1300"/>
      <c r="C351" s="1302"/>
      <c r="D351" s="1300"/>
    </row>
    <row r="352" spans="1:4" x14ac:dyDescent="0.2">
      <c r="A352" s="1293">
        <v>38230</v>
      </c>
      <c r="B352" s="1300"/>
      <c r="C352" s="1302"/>
      <c r="D352" s="1300"/>
    </row>
    <row r="353" spans="1:4" x14ac:dyDescent="0.2">
      <c r="A353" s="1293">
        <v>38260</v>
      </c>
      <c r="B353" s="1300"/>
      <c r="C353" s="1302"/>
      <c r="D353" s="1300"/>
    </row>
    <row r="354" spans="1:4" x14ac:dyDescent="0.2">
      <c r="A354" s="1293">
        <v>38291</v>
      </c>
      <c r="B354" s="1300"/>
      <c r="C354" s="1302"/>
      <c r="D354" s="1300"/>
    </row>
    <row r="355" spans="1:4" x14ac:dyDescent="0.2">
      <c r="A355" s="1293">
        <v>38321</v>
      </c>
      <c r="B355" s="1300"/>
      <c r="C355" s="1302"/>
      <c r="D355" s="1300"/>
    </row>
    <row r="356" spans="1:4" x14ac:dyDescent="0.2">
      <c r="A356" s="1293">
        <v>38352</v>
      </c>
      <c r="B356" s="1300"/>
      <c r="C356" s="1304"/>
      <c r="D356" s="1300"/>
    </row>
    <row r="357" spans="1:4" x14ac:dyDescent="0.2">
      <c r="A357" s="1293">
        <v>38383</v>
      </c>
      <c r="B357" s="1300"/>
      <c r="C357" s="1302"/>
      <c r="D357" s="1300"/>
    </row>
    <row r="358" spans="1:4" x14ac:dyDescent="0.2">
      <c r="A358" s="1293">
        <v>38411</v>
      </c>
      <c r="B358" s="1300"/>
      <c r="C358" s="1302"/>
      <c r="D358" s="1300"/>
    </row>
    <row r="359" spans="1:4" x14ac:dyDescent="0.2">
      <c r="A359" s="1293">
        <v>38442</v>
      </c>
      <c r="B359" s="1300"/>
      <c r="C359" s="1304"/>
      <c r="D359" s="1300"/>
    </row>
    <row r="360" spans="1:4" x14ac:dyDescent="0.2">
      <c r="A360" s="1293">
        <v>38472</v>
      </c>
      <c r="B360" s="1300"/>
      <c r="C360" s="1304"/>
      <c r="D360" s="1300"/>
    </row>
    <row r="361" spans="1:4" x14ac:dyDescent="0.2">
      <c r="A361" s="1293">
        <v>38503</v>
      </c>
      <c r="B361" s="1300"/>
      <c r="C361" s="1304"/>
      <c r="D361" s="1300"/>
    </row>
    <row r="362" spans="1:4" x14ac:dyDescent="0.2">
      <c r="A362" s="1293">
        <v>38533</v>
      </c>
      <c r="B362" s="1300"/>
      <c r="C362" s="1304"/>
      <c r="D362" s="1300"/>
    </row>
    <row r="363" spans="1:4" x14ac:dyDescent="0.2">
      <c r="A363" s="1293">
        <v>38564</v>
      </c>
      <c r="B363" s="1300"/>
      <c r="C363" s="1304"/>
      <c r="D363" s="1300"/>
    </row>
    <row r="364" spans="1:4" x14ac:dyDescent="0.2">
      <c r="A364" s="1293">
        <v>38595</v>
      </c>
      <c r="B364" s="1300"/>
      <c r="C364" s="1304"/>
      <c r="D364" s="1300"/>
    </row>
    <row r="365" spans="1:4" x14ac:dyDescent="0.2">
      <c r="A365" s="1293">
        <v>38625</v>
      </c>
      <c r="B365" s="1300"/>
      <c r="C365" s="1304"/>
      <c r="D365" s="1300"/>
    </row>
    <row r="366" spans="1:4" x14ac:dyDescent="0.2">
      <c r="A366" s="1293">
        <v>38656</v>
      </c>
      <c r="B366" s="1300"/>
      <c r="C366" s="1304"/>
      <c r="D366" s="1300"/>
    </row>
    <row r="367" spans="1:4" x14ac:dyDescent="0.2">
      <c r="A367" s="1293">
        <v>38686</v>
      </c>
      <c r="B367" s="1300"/>
      <c r="C367" s="1304"/>
      <c r="D367" s="1300"/>
    </row>
    <row r="368" spans="1:4" x14ac:dyDescent="0.2">
      <c r="A368" s="1293">
        <v>38717</v>
      </c>
      <c r="B368" s="1300"/>
      <c r="C368" s="1304"/>
      <c r="D368" s="1300"/>
    </row>
    <row r="369" spans="1:6" x14ac:dyDescent="0.2">
      <c r="A369" s="1293">
        <v>38748</v>
      </c>
      <c r="B369" s="1300"/>
      <c r="C369" s="1304"/>
      <c r="D369" s="1300"/>
    </row>
    <row r="370" spans="1:6" x14ac:dyDescent="0.2">
      <c r="A370" s="1293">
        <v>38776</v>
      </c>
      <c r="B370" s="1300"/>
      <c r="C370" s="1304"/>
      <c r="D370" s="1300"/>
    </row>
    <row r="371" spans="1:6" x14ac:dyDescent="0.2">
      <c r="A371" s="1293">
        <v>38807</v>
      </c>
      <c r="B371" s="1300"/>
      <c r="C371" s="1299"/>
      <c r="D371" s="1300"/>
    </row>
    <row r="372" spans="1:6" x14ac:dyDescent="0.2">
      <c r="A372" s="1293">
        <v>38837</v>
      </c>
      <c r="B372" s="1300"/>
      <c r="C372" s="1299"/>
      <c r="D372" s="1300"/>
    </row>
    <row r="373" spans="1:6" x14ac:dyDescent="0.2">
      <c r="A373" s="1293">
        <v>38868</v>
      </c>
      <c r="B373" s="1300"/>
      <c r="C373" s="1299"/>
      <c r="D373" s="1300"/>
    </row>
    <row r="374" spans="1:6" x14ac:dyDescent="0.2">
      <c r="A374" s="1293">
        <v>38898</v>
      </c>
      <c r="B374" s="1372"/>
      <c r="C374" s="1387"/>
      <c r="D374" s="1300"/>
    </row>
    <row r="375" spans="1:6" x14ac:dyDescent="0.2">
      <c r="A375" s="1293">
        <v>38929</v>
      </c>
      <c r="B375" s="1300"/>
      <c r="C375" s="1302"/>
      <c r="D375" s="1300"/>
    </row>
    <row r="376" spans="1:6" x14ac:dyDescent="0.2">
      <c r="A376" s="1293">
        <v>38960</v>
      </c>
      <c r="B376" s="1300"/>
      <c r="C376" s="1302"/>
      <c r="D376" s="1300"/>
    </row>
    <row r="377" spans="1:6" x14ac:dyDescent="0.2">
      <c r="A377" s="1293">
        <v>38990</v>
      </c>
      <c r="B377" s="1300"/>
      <c r="C377" s="1302"/>
      <c r="D377" s="1300"/>
    </row>
    <row r="378" spans="1:6" x14ac:dyDescent="0.2">
      <c r="A378" s="1293">
        <v>39021</v>
      </c>
      <c r="B378" s="1300"/>
      <c r="C378" s="1302"/>
      <c r="D378" s="1300"/>
      <c r="F378" s="1305"/>
    </row>
    <row r="379" spans="1:6" x14ac:dyDescent="0.2">
      <c r="A379" s="1293">
        <v>39051</v>
      </c>
      <c r="B379" s="1300"/>
      <c r="C379" s="1302"/>
      <c r="D379" s="1300"/>
      <c r="F379" s="1305"/>
    </row>
    <row r="380" spans="1:6" x14ac:dyDescent="0.2">
      <c r="A380" s="1293">
        <v>39082</v>
      </c>
      <c r="B380" s="1300"/>
      <c r="C380" s="1302"/>
      <c r="D380" s="1300"/>
      <c r="F380" s="1305"/>
    </row>
    <row r="381" spans="1:6" x14ac:dyDescent="0.2">
      <c r="A381" s="1293">
        <v>39113</v>
      </c>
      <c r="B381" s="1300"/>
      <c r="F381" s="1305"/>
    </row>
    <row r="382" spans="1:6" x14ac:dyDescent="0.2">
      <c r="A382" s="1293">
        <v>39141</v>
      </c>
      <c r="B382" s="1300"/>
      <c r="F382" s="1305"/>
    </row>
    <row r="383" spans="1:6" x14ac:dyDescent="0.2">
      <c r="A383" s="1293">
        <v>39172</v>
      </c>
      <c r="B383" s="1300"/>
    </row>
    <row r="384" spans="1:6" x14ac:dyDescent="0.2">
      <c r="A384" s="1293">
        <v>39202</v>
      </c>
      <c r="B384" s="1300"/>
    </row>
    <row r="385" spans="1:3" x14ac:dyDescent="0.2">
      <c r="A385" s="1293">
        <v>39233</v>
      </c>
      <c r="B385" s="1300"/>
    </row>
    <row r="386" spans="1:3" x14ac:dyDescent="0.2">
      <c r="A386" s="1293">
        <v>39263</v>
      </c>
      <c r="B386" s="1300"/>
    </row>
    <row r="387" spans="1:3" x14ac:dyDescent="0.2">
      <c r="A387" s="1293">
        <v>39294</v>
      </c>
      <c r="B387" s="1300"/>
    </row>
    <row r="388" spans="1:3" x14ac:dyDescent="0.2">
      <c r="A388" s="1293">
        <v>39325</v>
      </c>
      <c r="B388" s="1300"/>
    </row>
    <row r="389" spans="1:3" x14ac:dyDescent="0.2">
      <c r="A389" s="1293">
        <v>39355</v>
      </c>
      <c r="B389" s="1300"/>
    </row>
    <row r="390" spans="1:3" x14ac:dyDescent="0.2">
      <c r="A390" s="1293">
        <v>39386</v>
      </c>
      <c r="B390" s="1300"/>
    </row>
    <row r="391" spans="1:3" x14ac:dyDescent="0.2">
      <c r="A391" s="1293">
        <v>39416</v>
      </c>
      <c r="B391" s="1300"/>
    </row>
    <row r="392" spans="1:3" x14ac:dyDescent="0.2">
      <c r="A392" s="1293">
        <v>39447</v>
      </c>
      <c r="B392" s="1300"/>
    </row>
    <row r="393" spans="1:3" x14ac:dyDescent="0.2">
      <c r="A393" s="1293">
        <v>39478</v>
      </c>
      <c r="B393" s="1300"/>
    </row>
    <row r="394" spans="1:3" x14ac:dyDescent="0.2">
      <c r="A394" s="1293">
        <v>39507</v>
      </c>
      <c r="B394" s="1300"/>
    </row>
    <row r="395" spans="1:3" x14ac:dyDescent="0.2">
      <c r="A395" s="1293">
        <v>39538</v>
      </c>
      <c r="B395" s="1300"/>
    </row>
    <row r="396" spans="1:3" x14ac:dyDescent="0.2">
      <c r="A396" s="1293">
        <v>39568</v>
      </c>
      <c r="B396" s="1300"/>
    </row>
    <row r="397" spans="1:3" x14ac:dyDescent="0.2">
      <c r="A397" s="1293">
        <v>39599</v>
      </c>
      <c r="B397" s="1300"/>
    </row>
    <row r="398" spans="1:3" x14ac:dyDescent="0.2">
      <c r="A398" s="1293">
        <v>39629</v>
      </c>
      <c r="B398" s="1300"/>
    </row>
    <row r="399" spans="1:3" x14ac:dyDescent="0.2">
      <c r="A399" s="1293">
        <v>39660</v>
      </c>
      <c r="B399" s="1300"/>
      <c r="C399" s="1299"/>
    </row>
    <row r="400" spans="1:3" x14ac:dyDescent="0.2">
      <c r="A400" s="1293">
        <v>39691</v>
      </c>
      <c r="B400" s="1300"/>
      <c r="C400" s="1299"/>
    </row>
    <row r="401" spans="1:7" x14ac:dyDescent="0.2">
      <c r="A401" s="1293">
        <v>39721</v>
      </c>
      <c r="B401" s="1300"/>
      <c r="C401" s="1299"/>
    </row>
    <row r="402" spans="1:7" x14ac:dyDescent="0.2">
      <c r="A402" s="1293">
        <v>39752</v>
      </c>
      <c r="B402" s="1300"/>
    </row>
    <row r="403" spans="1:7" x14ac:dyDescent="0.2">
      <c r="A403" s="1293">
        <v>39782</v>
      </c>
      <c r="B403" s="1300"/>
      <c r="G403" s="1301"/>
    </row>
    <row r="404" spans="1:7" x14ac:dyDescent="0.2">
      <c r="A404" s="1293">
        <v>39813</v>
      </c>
      <c r="B404" s="1300"/>
    </row>
    <row r="405" spans="1:7" x14ac:dyDescent="0.2">
      <c r="A405" s="1293">
        <v>39844</v>
      </c>
      <c r="B405" s="1300"/>
    </row>
    <row r="406" spans="1:7" x14ac:dyDescent="0.2">
      <c r="A406" s="1293">
        <v>39872</v>
      </c>
      <c r="B406" s="1300"/>
    </row>
    <row r="407" spans="1:7" x14ac:dyDescent="0.2">
      <c r="A407" s="1293">
        <v>39903</v>
      </c>
      <c r="B407" s="1300"/>
    </row>
    <row r="408" spans="1:7" x14ac:dyDescent="0.2">
      <c r="A408" s="1293">
        <v>39933</v>
      </c>
      <c r="B408" s="1300"/>
    </row>
    <row r="409" spans="1:7" x14ac:dyDescent="0.2">
      <c r="A409" s="1293">
        <v>39964</v>
      </c>
      <c r="B409" s="1300"/>
    </row>
    <row r="410" spans="1:7" x14ac:dyDescent="0.2">
      <c r="A410" s="1293">
        <v>39994</v>
      </c>
      <c r="B410" s="1300"/>
    </row>
    <row r="411" spans="1:7" x14ac:dyDescent="0.2">
      <c r="A411" s="1293">
        <v>40025</v>
      </c>
      <c r="B411" s="1300"/>
    </row>
    <row r="412" spans="1:7" x14ac:dyDescent="0.2">
      <c r="A412" s="1293">
        <v>40056</v>
      </c>
      <c r="B412" s="1300"/>
    </row>
    <row r="413" spans="1:7" x14ac:dyDescent="0.2">
      <c r="A413" s="1293">
        <v>40086</v>
      </c>
      <c r="B413" s="1300"/>
    </row>
    <row r="414" spans="1:7" x14ac:dyDescent="0.2">
      <c r="A414" s="1293">
        <v>40117</v>
      </c>
      <c r="B414" s="1300"/>
    </row>
    <row r="415" spans="1:7" x14ac:dyDescent="0.2">
      <c r="A415" s="1293">
        <v>40147</v>
      </c>
      <c r="B415" s="1300"/>
    </row>
    <row r="416" spans="1:7" x14ac:dyDescent="0.2">
      <c r="A416" s="1293">
        <v>40178</v>
      </c>
      <c r="B416" s="1300"/>
    </row>
    <row r="417" spans="1:5" x14ac:dyDescent="0.2">
      <c r="A417" s="1293">
        <v>40209</v>
      </c>
      <c r="B417" s="1300"/>
    </row>
    <row r="418" spans="1:5" x14ac:dyDescent="0.2">
      <c r="A418" s="1293">
        <v>40237</v>
      </c>
      <c r="B418" s="1300"/>
    </row>
    <row r="419" spans="1:5" x14ac:dyDescent="0.2">
      <c r="A419" s="1293">
        <v>40268</v>
      </c>
      <c r="B419" s="1300"/>
      <c r="C419" s="1334"/>
      <c r="D419" s="1311"/>
    </row>
    <row r="420" spans="1:5" x14ac:dyDescent="0.2">
      <c r="A420" s="1293">
        <v>40298</v>
      </c>
      <c r="B420" s="1300"/>
    </row>
    <row r="421" spans="1:5" x14ac:dyDescent="0.2">
      <c r="A421" s="1293">
        <v>40329</v>
      </c>
      <c r="B421" s="1300"/>
    </row>
    <row r="422" spans="1:5" x14ac:dyDescent="0.2">
      <c r="A422" s="1293">
        <v>40359</v>
      </c>
      <c r="B422" s="1300"/>
    </row>
    <row r="423" spans="1:5" x14ac:dyDescent="0.2">
      <c r="A423" s="1293">
        <v>40390</v>
      </c>
      <c r="B423" s="1300"/>
    </row>
    <row r="424" spans="1:5" x14ac:dyDescent="0.2">
      <c r="A424" s="1293">
        <v>40421</v>
      </c>
      <c r="B424" s="1300"/>
    </row>
    <row r="425" spans="1:5" x14ac:dyDescent="0.2">
      <c r="A425" s="1293">
        <v>40451</v>
      </c>
      <c r="B425" s="1300"/>
      <c r="C425" s="1307">
        <v>200001558.05000001</v>
      </c>
    </row>
    <row r="426" spans="1:5" x14ac:dyDescent="0.2">
      <c r="A426" s="1293">
        <v>40482</v>
      </c>
      <c r="B426" s="1306">
        <v>5.1104399999999996</v>
      </c>
      <c r="C426" s="1307">
        <v>210222521.81999999</v>
      </c>
      <c r="D426" s="1306">
        <v>5.1104000000000003</v>
      </c>
      <c r="E426" s="1301">
        <f>B426-Index_Returns!AK426</f>
        <v>0.12763999999999953</v>
      </c>
    </row>
    <row r="427" spans="1:5" x14ac:dyDescent="0.2">
      <c r="A427" s="1293">
        <v>40512</v>
      </c>
      <c r="B427" s="1300">
        <f>D427</f>
        <v>-0.20480000000000001</v>
      </c>
      <c r="C427" s="1307">
        <v>213193421.46000001</v>
      </c>
      <c r="D427" s="1306">
        <v>-0.20480000000000001</v>
      </c>
      <c r="E427" s="1301">
        <f>B427-Index_Returns!AK427</f>
        <v>0.14919999999999997</v>
      </c>
    </row>
    <row r="428" spans="1:5" x14ac:dyDescent="0.2">
      <c r="A428" s="1293">
        <v>40543</v>
      </c>
      <c r="B428" s="1300">
        <v>11.34883</v>
      </c>
      <c r="C428" s="1307">
        <v>233535843.99000001</v>
      </c>
      <c r="D428" s="1306">
        <v>11.348800000000001</v>
      </c>
      <c r="E428" s="1301">
        <f>B428-Index_Returns!AK428</f>
        <v>0.65982999999999947</v>
      </c>
    </row>
    <row r="429" spans="1:5" x14ac:dyDescent="0.2">
      <c r="A429" s="1293">
        <v>40574</v>
      </c>
      <c r="B429" s="1300">
        <f>D429</f>
        <v>1.9511000000000001</v>
      </c>
      <c r="C429" s="1307">
        <v>238158566.41</v>
      </c>
      <c r="D429" s="1306">
        <v>1.9511000000000001</v>
      </c>
      <c r="E429" s="1301">
        <f>B429-Index_Returns!AK429</f>
        <v>0.94810000000000016</v>
      </c>
    </row>
    <row r="430" spans="1:5" x14ac:dyDescent="0.2">
      <c r="A430" s="1293">
        <v>40602</v>
      </c>
      <c r="B430" s="1300">
        <v>1.7869299999999999</v>
      </c>
      <c r="C430" s="1307">
        <v>242414299.49000001</v>
      </c>
      <c r="D430" s="1306">
        <v>1.7868999999999999</v>
      </c>
      <c r="E430" s="1301">
        <f>B430-Index_Returns!AK430</f>
        <v>0.46902999999999984</v>
      </c>
    </row>
    <row r="431" spans="1:5" x14ac:dyDescent="0.2">
      <c r="A431" s="1293">
        <v>40633</v>
      </c>
      <c r="B431" s="1300">
        <f>D431</f>
        <v>2.1699000000000002</v>
      </c>
      <c r="C431" s="1307">
        <v>247674375.72999999</v>
      </c>
      <c r="D431" s="1306">
        <v>2.1699000000000002</v>
      </c>
      <c r="E431" s="1301">
        <f>B431-Index_Returns!AK431</f>
        <v>0.10540000000000038</v>
      </c>
    </row>
    <row r="432" spans="1:5" x14ac:dyDescent="0.2">
      <c r="A432" s="1293">
        <v>40663</v>
      </c>
      <c r="B432" s="1300">
        <f t="shared" ref="B432:B464" si="0">D432</f>
        <v>3.6509999999999998</v>
      </c>
      <c r="C432" s="1307">
        <v>256716969.19</v>
      </c>
      <c r="D432" s="1306">
        <v>3.6509999999999998</v>
      </c>
      <c r="E432" s="1301">
        <f>B432-Index_Returns!AK432</f>
        <v>0.18789999999999996</v>
      </c>
    </row>
    <row r="433" spans="1:5" x14ac:dyDescent="0.2">
      <c r="A433" s="1293">
        <v>40694</v>
      </c>
      <c r="B433" s="1300">
        <f t="shared" si="0"/>
        <v>-5.1151</v>
      </c>
      <c r="C433" s="1307">
        <v>245434201.19</v>
      </c>
      <c r="D433" s="1306">
        <v>-5.1151</v>
      </c>
      <c r="E433" s="1301">
        <f>B433-Index_Returns!AK433</f>
        <v>-5.6899999999999729E-2</v>
      </c>
    </row>
    <row r="434" spans="1:5" x14ac:dyDescent="0.2">
      <c r="A434" s="1293">
        <v>40724</v>
      </c>
      <c r="B434" s="1300">
        <f t="shared" si="0"/>
        <v>-4.7831999999999999</v>
      </c>
      <c r="C434" s="1307">
        <v>233694707.13</v>
      </c>
      <c r="D434" s="1306">
        <v>-4.7831999999999999</v>
      </c>
      <c r="E434" s="1301">
        <f>B434-Index_Returns!AK434</f>
        <v>0.26100000000000012</v>
      </c>
    </row>
    <row r="435" spans="1:5" x14ac:dyDescent="0.2">
      <c r="A435" s="1293">
        <v>40755</v>
      </c>
      <c r="B435" s="1300">
        <f t="shared" si="0"/>
        <v>1.9984999999999999</v>
      </c>
      <c r="C435" s="1307">
        <v>239555753.59999999</v>
      </c>
      <c r="D435" s="1306">
        <v>1.9984999999999999</v>
      </c>
      <c r="E435" s="1301">
        <f>B435-Index_Returns!AK435</f>
        <v>-0.96330000000000027</v>
      </c>
    </row>
    <row r="436" spans="1:5" x14ac:dyDescent="0.2">
      <c r="A436" s="1293">
        <v>40786</v>
      </c>
      <c r="B436" s="1300">
        <f t="shared" si="0"/>
        <v>1.0942000000000001</v>
      </c>
      <c r="C436" s="1307">
        <v>242176897.96000001</v>
      </c>
      <c r="D436" s="1306">
        <v>1.0942000000000001</v>
      </c>
      <c r="E436" s="1301">
        <f>B436-Index_Returns!AK436</f>
        <v>9.5600000000000018E-2</v>
      </c>
    </row>
    <row r="437" spans="1:5" x14ac:dyDescent="0.2">
      <c r="A437" s="1293">
        <v>40816</v>
      </c>
      <c r="B437" s="1300">
        <f t="shared" si="0"/>
        <v>-15.238799999999999</v>
      </c>
      <c r="C437" s="1307">
        <v>127460897.78</v>
      </c>
      <c r="D437" s="1306">
        <v>-15.238799999999999</v>
      </c>
      <c r="E437" s="1301">
        <f>B437-Index_Returns!AK437</f>
        <v>-0.50380000000000003</v>
      </c>
    </row>
    <row r="438" spans="1:5" x14ac:dyDescent="0.2">
      <c r="A438" s="1293">
        <v>40847</v>
      </c>
      <c r="B438" s="1300">
        <f t="shared" si="0"/>
        <v>6.8331999999999997</v>
      </c>
      <c r="C438" s="1307">
        <v>136019828.40000001</v>
      </c>
      <c r="D438" s="1306">
        <v>6.8331999999999997</v>
      </c>
      <c r="E438" s="1301">
        <f>B438-Index_Returns!AK438</f>
        <v>0.21479999999999944</v>
      </c>
    </row>
    <row r="439" spans="1:5" x14ac:dyDescent="0.2">
      <c r="A439" s="1293">
        <v>40877</v>
      </c>
      <c r="B439" s="1300">
        <f t="shared" si="0"/>
        <v>-2.5209000000000001</v>
      </c>
      <c r="C439" s="1307">
        <v>132590870.68000001</v>
      </c>
      <c r="D439" s="1306">
        <v>-2.5209000000000001</v>
      </c>
      <c r="E439" s="1301">
        <f>B439-Index_Returns!AK439</f>
        <v>-0.30190000000000028</v>
      </c>
    </row>
    <row r="440" spans="1:5" x14ac:dyDescent="0.2">
      <c r="A440" s="1293">
        <v>40908</v>
      </c>
      <c r="B440" s="1300">
        <f t="shared" si="0"/>
        <v>-3.0074999999999998</v>
      </c>
      <c r="C440" s="1307">
        <v>128580109.34999999</v>
      </c>
      <c r="D440" s="1306">
        <v>-3.0074999999999998</v>
      </c>
      <c r="E440" s="1301">
        <f>B440-Index_Returns!AK440</f>
        <v>0.74040000000000017</v>
      </c>
    </row>
    <row r="441" spans="1:5" x14ac:dyDescent="0.2">
      <c r="A441" s="345">
        <v>40939</v>
      </c>
      <c r="B441" s="1300">
        <f t="shared" si="0"/>
        <v>2.3071000000000002</v>
      </c>
      <c r="C441" s="1307">
        <v>131737265.01000001</v>
      </c>
      <c r="D441" s="1306">
        <v>2.3071000000000002</v>
      </c>
      <c r="E441" s="1301">
        <f>B441-Index_Returns!AK441</f>
        <v>-0.16579999999999995</v>
      </c>
    </row>
    <row r="442" spans="1:5" x14ac:dyDescent="0.2">
      <c r="A442" s="345">
        <v>40968</v>
      </c>
      <c r="B442" s="1300">
        <f t="shared" si="0"/>
        <v>3.4731000000000001</v>
      </c>
      <c r="C442" s="1307">
        <v>136312642</v>
      </c>
      <c r="D442" s="1306">
        <v>3.4731000000000001</v>
      </c>
      <c r="E442" s="1301">
        <f>B442-Index_Returns!AK442</f>
        <v>0.77439999999999998</v>
      </c>
    </row>
    <row r="443" spans="1:5" x14ac:dyDescent="0.2">
      <c r="A443" s="345">
        <v>40999</v>
      </c>
      <c r="B443" s="1300">
        <f t="shared" si="0"/>
        <v>-3.9253999999999998</v>
      </c>
      <c r="C443" s="1307">
        <v>130962062.78</v>
      </c>
      <c r="D443" s="1306">
        <v>-3.9253999999999998</v>
      </c>
      <c r="E443" s="1301">
        <f>B443-Index_Returns!AK443</f>
        <v>0.21110000000000007</v>
      </c>
    </row>
    <row r="444" spans="1:5" x14ac:dyDescent="0.2">
      <c r="A444" s="345">
        <v>41029</v>
      </c>
      <c r="B444" s="1300">
        <f t="shared" si="0"/>
        <v>-1.5602</v>
      </c>
      <c r="C444" s="1307">
        <v>129383850.48999999</v>
      </c>
      <c r="D444" s="1306">
        <v>-1.5602</v>
      </c>
      <c r="E444" s="1301">
        <f>B444-Index_Returns!AK444</f>
        <v>-1.137</v>
      </c>
    </row>
    <row r="445" spans="1:5" x14ac:dyDescent="0.2">
      <c r="A445" s="345">
        <v>41060</v>
      </c>
      <c r="B445" s="1300">
        <f t="shared" si="0"/>
        <v>-9.1765000000000008</v>
      </c>
      <c r="C445" s="1307">
        <v>117510921.17</v>
      </c>
      <c r="D445" s="1306">
        <v>-9.1765000000000008</v>
      </c>
      <c r="E445" s="1301">
        <f>B445-Index_Returns!AK445</f>
        <v>-4.4500000000001094E-2</v>
      </c>
    </row>
    <row r="446" spans="1:5" x14ac:dyDescent="0.2">
      <c r="A446" s="345">
        <v>41090</v>
      </c>
      <c r="B446" s="1300">
        <f t="shared" si="0"/>
        <v>5.8017000000000003</v>
      </c>
      <c r="C446" s="1307">
        <v>124328557.56999999</v>
      </c>
      <c r="D446" s="1306">
        <v>5.8017000000000003</v>
      </c>
      <c r="E446" s="1301">
        <f>B446-Index_Returns!AK446</f>
        <v>0.30869999999999997</v>
      </c>
    </row>
    <row r="447" spans="1:5" x14ac:dyDescent="0.2">
      <c r="A447" s="345">
        <v>41121</v>
      </c>
      <c r="B447" s="1300">
        <f t="shared" si="0"/>
        <v>10.572800000000001</v>
      </c>
      <c r="C447" s="1307">
        <v>137473554.83000001</v>
      </c>
      <c r="D447" s="1306">
        <v>10.572800000000001</v>
      </c>
      <c r="E447" s="1301">
        <f>B447-Index_Returns!AK447</f>
        <v>4.1042000000000005</v>
      </c>
    </row>
    <row r="448" spans="1:5" x14ac:dyDescent="0.2">
      <c r="A448" s="345">
        <v>41152</v>
      </c>
      <c r="B448" s="1300">
        <f t="shared" si="0"/>
        <v>3.0615000000000001</v>
      </c>
      <c r="C448" s="1307">
        <v>141682348.99000001</v>
      </c>
      <c r="D448" s="1306">
        <v>3.0615000000000001</v>
      </c>
      <c r="E448" s="1301">
        <f>B448-Index_Returns!AK448</f>
        <v>1.7631000000000001</v>
      </c>
    </row>
    <row r="449" spans="1:5" x14ac:dyDescent="0.2">
      <c r="A449" s="345">
        <v>41182</v>
      </c>
      <c r="B449" s="1300">
        <f t="shared" si="0"/>
        <v>1.9997</v>
      </c>
      <c r="C449" s="1307">
        <v>144453789.91999999</v>
      </c>
      <c r="D449" s="1306">
        <v>1.9997</v>
      </c>
      <c r="E449" s="1301">
        <f>B449-Index_Returns!AK449</f>
        <v>0.29410000000000003</v>
      </c>
    </row>
    <row r="450" spans="1:5" x14ac:dyDescent="0.2">
      <c r="A450" s="345">
        <v>41213</v>
      </c>
      <c r="B450" s="1300">
        <f t="shared" si="0"/>
        <v>-5.8788999999999998</v>
      </c>
      <c r="C450" s="1307">
        <v>138443534.84999999</v>
      </c>
      <c r="D450" s="1306">
        <v>-5.8788999999999998</v>
      </c>
      <c r="E450" s="1301">
        <f>B450-Index_Returns!AK450</f>
        <v>-2.0059999999999998</v>
      </c>
    </row>
    <row r="451" spans="1:5" x14ac:dyDescent="0.2">
      <c r="A451" s="345">
        <v>41243</v>
      </c>
      <c r="B451" s="1300">
        <f t="shared" si="0"/>
        <v>0.39860000000000001</v>
      </c>
      <c r="C451" s="1307">
        <v>138995405.63</v>
      </c>
      <c r="D451" s="1306">
        <v>0.39860000000000001</v>
      </c>
      <c r="E451" s="1301">
        <f>B451-Index_Returns!AK451</f>
        <v>0.34700000000000003</v>
      </c>
    </row>
    <row r="452" spans="1:5" x14ac:dyDescent="0.2">
      <c r="A452" s="345">
        <v>41274</v>
      </c>
      <c r="B452" s="1300">
        <f t="shared" si="0"/>
        <v>-2.7911000000000001</v>
      </c>
      <c r="C452" s="1307">
        <v>135115943.53999999</v>
      </c>
      <c r="D452" s="1306">
        <v>-2.7911000000000001</v>
      </c>
      <c r="E452" s="1301">
        <f>B452-Index_Returns!AK452</f>
        <v>-0.18400000000000016</v>
      </c>
    </row>
    <row r="453" spans="1:5" x14ac:dyDescent="0.2">
      <c r="A453" s="345">
        <v>41305</v>
      </c>
      <c r="B453" s="1300">
        <f t="shared" si="0"/>
        <v>1.8646199999999999</v>
      </c>
      <c r="C453" s="1307">
        <v>137812446.36000001</v>
      </c>
      <c r="D453" s="1306">
        <v>1.8646199999999999</v>
      </c>
      <c r="E453" s="1301">
        <f>B453-Index_Returns!AK453</f>
        <v>-0.53285999999999989</v>
      </c>
    </row>
    <row r="454" spans="1:5" x14ac:dyDescent="0.2">
      <c r="A454" s="345">
        <v>41333</v>
      </c>
      <c r="B454" s="1300">
        <f t="shared" si="0"/>
        <v>-3.9022199999999998</v>
      </c>
      <c r="C454" s="1307">
        <v>132432555.8</v>
      </c>
      <c r="D454" s="1306">
        <v>-3.9022199999999998</v>
      </c>
      <c r="E454" s="1301">
        <f>B454-Index_Returns!AK454</f>
        <v>0.18475000000000019</v>
      </c>
    </row>
    <row r="455" spans="1:5" x14ac:dyDescent="0.2">
      <c r="A455" s="345">
        <v>41364</v>
      </c>
      <c r="B455" s="1300">
        <f t="shared" si="0"/>
        <v>0.85636999999999996</v>
      </c>
      <c r="C455" s="1307">
        <v>133719748.62</v>
      </c>
      <c r="D455" s="1306">
        <v>0.85636999999999996</v>
      </c>
      <c r="E455" s="1301">
        <f>B455-Index_Returns!AK455</f>
        <v>0.18252000000000002</v>
      </c>
    </row>
    <row r="456" spans="1:5" x14ac:dyDescent="0.2">
      <c r="A456" s="345">
        <v>41394</v>
      </c>
      <c r="B456" s="1300">
        <f t="shared" si="0"/>
        <v>-2.7365599999999999</v>
      </c>
      <c r="C456" s="1307">
        <v>130079245.41</v>
      </c>
      <c r="D456" s="1306">
        <v>-2.7365599999999999</v>
      </c>
      <c r="E456" s="1301">
        <f>B456-Index_Returns!AK456</f>
        <v>5.4330000000000211E-2</v>
      </c>
    </row>
    <row r="457" spans="1:5" x14ac:dyDescent="0.2">
      <c r="A457" s="345">
        <v>41425</v>
      </c>
      <c r="B457" s="1300">
        <f t="shared" si="0"/>
        <v>-1.60389</v>
      </c>
      <c r="C457" s="1307">
        <v>127992914.04000001</v>
      </c>
      <c r="D457" s="1306">
        <v>-1.60389</v>
      </c>
      <c r="E457" s="1301">
        <f>B457-Index_Returns!AK457</f>
        <v>0.63916000000000017</v>
      </c>
    </row>
    <row r="458" spans="1:5" x14ac:dyDescent="0.2">
      <c r="A458" s="345">
        <v>41455</v>
      </c>
      <c r="B458" s="1300">
        <f t="shared" si="0"/>
        <v>-4.8481500000000004</v>
      </c>
      <c r="C458" s="1307">
        <v>121787621.45999999</v>
      </c>
      <c r="D458" s="1306">
        <v>-4.8481500000000004</v>
      </c>
      <c r="E458" s="1301">
        <f>B458-Index_Returns!AK458</f>
        <v>-0.13365000000000027</v>
      </c>
    </row>
    <row r="459" spans="1:5" x14ac:dyDescent="0.2">
      <c r="A459" s="345">
        <v>41486</v>
      </c>
      <c r="B459" s="1300">
        <f t="shared" si="0"/>
        <v>0</v>
      </c>
      <c r="E459" s="1301">
        <f>B459-Index_Returns!AK459</f>
        <v>-1.3626799999999999</v>
      </c>
    </row>
    <row r="460" spans="1:5" x14ac:dyDescent="0.2">
      <c r="A460" s="345">
        <v>41517</v>
      </c>
      <c r="B460" s="1300">
        <f t="shared" si="0"/>
        <v>0</v>
      </c>
      <c r="E460" s="1301">
        <f>B460-Index_Returns!AK460</f>
        <v>-3.4022600000000001</v>
      </c>
    </row>
    <row r="461" spans="1:5" x14ac:dyDescent="0.2">
      <c r="A461" s="345">
        <v>41547</v>
      </c>
      <c r="B461" s="1300">
        <f t="shared" si="0"/>
        <v>0</v>
      </c>
      <c r="E461" s="1301">
        <f>B461-Index_Returns!AK461</f>
        <v>2.5541800000000001</v>
      </c>
    </row>
    <row r="462" spans="1:5" x14ac:dyDescent="0.2">
      <c r="A462" s="345">
        <v>41578</v>
      </c>
      <c r="B462" s="1300">
        <f t="shared" si="0"/>
        <v>0</v>
      </c>
      <c r="E462" s="1301">
        <f>B462-Index_Returns!AK462</f>
        <v>1.47685</v>
      </c>
    </row>
    <row r="463" spans="1:5" x14ac:dyDescent="0.2">
      <c r="A463" s="345">
        <v>41608</v>
      </c>
      <c r="B463" s="1300">
        <f t="shared" si="0"/>
        <v>0</v>
      </c>
      <c r="E463" s="1301">
        <f>B463-Index_Returns!AK463</f>
        <v>0.80006999999999995</v>
      </c>
    </row>
    <row r="464" spans="1:5" x14ac:dyDescent="0.2">
      <c r="A464" s="345">
        <v>41639</v>
      </c>
      <c r="B464" s="1300">
        <f t="shared" si="0"/>
        <v>0</v>
      </c>
      <c r="E464" s="1301">
        <f>B464-Index_Returns!AK464</f>
        <v>-1.2399100000000001</v>
      </c>
    </row>
    <row r="465" spans="1:1" x14ac:dyDescent="0.2">
      <c r="A465" s="345"/>
    </row>
    <row r="466" spans="1:1" x14ac:dyDescent="0.2">
      <c r="A466" s="345"/>
    </row>
    <row r="467" spans="1:1" x14ac:dyDescent="0.2">
      <c r="A467" s="345"/>
    </row>
    <row r="468" spans="1:1" x14ac:dyDescent="0.2">
      <c r="A468" s="345"/>
    </row>
    <row r="469" spans="1:1" x14ac:dyDescent="0.2">
      <c r="A469" s="345"/>
    </row>
  </sheetData>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tabColor rgb="FFFF0000"/>
  </sheetPr>
  <dimension ref="A1:IV469"/>
  <sheetViews>
    <sheetView topLeftCell="A424" workbookViewId="0">
      <selection activeCell="A472" sqref="A472"/>
    </sheetView>
  </sheetViews>
  <sheetFormatPr defaultColWidth="18.7109375" defaultRowHeight="12.75" x14ac:dyDescent="0.2"/>
  <cols>
    <col min="1" max="1" width="18.7109375" style="21" customWidth="1"/>
    <col min="2" max="2" width="18.7109375" style="257" customWidth="1"/>
    <col min="3" max="3" width="18.7109375" style="346" customWidth="1"/>
    <col min="4" max="5" width="18.7109375" style="258" customWidth="1"/>
    <col min="6" max="6" width="18.7109375" style="21" customWidth="1"/>
    <col min="7" max="7" width="18.7109375" style="257" customWidth="1"/>
    <col min="8" max="8" width="18.7109375" style="5" customWidth="1"/>
    <col min="9" max="10" width="18.7109375" style="258" customWidth="1"/>
    <col min="11" max="11" width="18.7109375" style="21" customWidth="1"/>
    <col min="12" max="12" width="18.7109375" style="257" customWidth="1"/>
    <col min="13" max="13" width="18.7109375" style="5" customWidth="1"/>
    <col min="14" max="15" width="18.7109375" style="258" customWidth="1"/>
    <col min="16" max="16" width="18.7109375" style="21" customWidth="1"/>
    <col min="17" max="17" width="18.7109375" style="257" customWidth="1"/>
    <col min="18" max="18" width="18.7109375" style="5" customWidth="1"/>
    <col min="19" max="20" width="18.7109375" style="258" customWidth="1"/>
    <col min="21" max="21" width="18.7109375" style="21" customWidth="1"/>
    <col min="22" max="22" width="18.7109375" style="257" customWidth="1"/>
    <col min="23" max="23" width="18.7109375" style="5" customWidth="1"/>
    <col min="24" max="25" width="18.7109375" style="258" customWidth="1"/>
    <col min="26" max="26" width="18.7109375" style="21" customWidth="1"/>
    <col min="27" max="27" width="18.7109375" style="257" customWidth="1"/>
    <col min="28" max="28" width="18.7109375" style="5" customWidth="1"/>
    <col min="29" max="30" width="18.7109375" style="258" customWidth="1"/>
    <col min="31" max="31" width="18.7109375" style="21" customWidth="1"/>
    <col min="32" max="32" width="18.7109375" style="257" customWidth="1"/>
    <col min="33" max="33" width="18.7109375" style="5" customWidth="1"/>
    <col min="34" max="35" width="18.7109375" style="258" customWidth="1"/>
    <col min="36" max="36" width="18.7109375" style="21" customWidth="1"/>
    <col min="37" max="37" width="18.7109375" style="257" customWidth="1"/>
    <col min="38" max="38" width="18.7109375" style="5" customWidth="1"/>
    <col min="39" max="40" width="18.7109375" style="258" customWidth="1"/>
    <col min="41" max="41" width="18.7109375" style="21" customWidth="1"/>
    <col min="42" max="42" width="18.7109375" style="257" customWidth="1"/>
    <col min="43" max="43" width="18.7109375" style="5" customWidth="1"/>
    <col min="44" max="45" width="18.7109375" style="258" customWidth="1"/>
    <col min="46" max="46" width="18.7109375" style="21" customWidth="1"/>
    <col min="47" max="47" width="18.7109375" style="257" customWidth="1"/>
    <col min="48" max="48" width="18.7109375" style="5" customWidth="1"/>
    <col min="49" max="50" width="18.7109375" style="258" customWidth="1"/>
    <col min="51" max="51" width="18.7109375" style="21" customWidth="1"/>
    <col min="52" max="52" width="18.7109375" style="257" customWidth="1"/>
    <col min="53" max="53" width="18.7109375" style="5" customWidth="1"/>
    <col min="54" max="55" width="18.7109375" style="258" customWidth="1"/>
    <col min="56" max="56" width="18.7109375" style="21" customWidth="1"/>
    <col min="57" max="57" width="18.7109375" style="257" customWidth="1"/>
    <col min="58" max="58" width="18.7109375" style="5" customWidth="1"/>
    <col min="59" max="60" width="18.7109375" style="258" customWidth="1"/>
    <col min="61" max="61" width="18.7109375" style="21" customWidth="1"/>
    <col min="62" max="62" width="18.7109375" style="257" customWidth="1"/>
    <col min="63" max="63" width="18.7109375" style="5" customWidth="1"/>
    <col min="64" max="65" width="18.7109375" style="258" customWidth="1"/>
    <col min="66" max="66" width="18.7109375" style="21" customWidth="1"/>
    <col min="67" max="67" width="18.7109375" style="257" customWidth="1"/>
    <col min="68" max="68" width="18.7109375" style="5" customWidth="1"/>
    <col min="69" max="70" width="18.7109375" style="258" customWidth="1"/>
    <col min="71" max="71" width="18.7109375" style="21" customWidth="1"/>
    <col min="72" max="72" width="18.7109375" style="257" customWidth="1"/>
    <col min="73" max="73" width="18.7109375" style="5" customWidth="1"/>
    <col min="74" max="75" width="18.7109375" style="258" customWidth="1"/>
    <col min="76" max="76" width="18.7109375" style="21" customWidth="1"/>
    <col min="77" max="77" width="18.7109375" style="257" customWidth="1"/>
    <col min="78" max="78" width="18.7109375" style="5" customWidth="1"/>
    <col min="79" max="80" width="18.7109375" style="258" customWidth="1"/>
    <col min="81" max="81" width="18.7109375" style="21" customWidth="1"/>
    <col min="82" max="82" width="18.7109375" style="257" customWidth="1"/>
    <col min="83" max="83" width="18.7109375" style="5" customWidth="1"/>
    <col min="84" max="85" width="18.7109375" style="258" customWidth="1"/>
    <col min="86" max="86" width="18.7109375" style="21" customWidth="1"/>
    <col min="87" max="87" width="18.7109375" style="257" customWidth="1"/>
    <col min="88" max="88" width="18.7109375" style="5" customWidth="1"/>
    <col min="89" max="90" width="18.7109375" style="258" customWidth="1"/>
    <col min="91" max="91" width="18.7109375" style="21" customWidth="1"/>
    <col min="92" max="92" width="18.7109375" style="257" customWidth="1"/>
    <col min="93" max="93" width="18.7109375" style="5" customWidth="1"/>
    <col min="94" max="95" width="18.7109375" style="258" customWidth="1"/>
    <col min="96" max="96" width="18.7109375" style="21" customWidth="1"/>
    <col min="97" max="97" width="18.7109375" style="257" customWidth="1"/>
    <col min="98" max="98" width="18.7109375" style="5" customWidth="1"/>
    <col min="99" max="100" width="18.7109375" style="258" customWidth="1"/>
    <col min="101" max="101" width="18.7109375" style="21" customWidth="1"/>
    <col min="102" max="102" width="18.7109375" style="257" customWidth="1"/>
    <col min="103" max="103" width="18.7109375" style="5" customWidth="1"/>
    <col min="104" max="105" width="18.7109375" style="258" customWidth="1"/>
    <col min="106" max="106" width="18.7109375" style="21" customWidth="1"/>
    <col min="107" max="107" width="18.7109375" style="257" customWidth="1"/>
    <col min="108" max="108" width="18.7109375" style="5" customWidth="1"/>
    <col min="109" max="110" width="18.7109375" style="258" customWidth="1"/>
    <col min="111" max="111" width="18.7109375" style="21" customWidth="1"/>
    <col min="112" max="112" width="18.7109375" style="257" customWidth="1"/>
    <col min="113" max="113" width="18.7109375" style="5" customWidth="1"/>
    <col min="114" max="115" width="18.7109375" style="258" customWidth="1"/>
    <col min="116" max="116" width="18.7109375" style="21" customWidth="1"/>
    <col min="117" max="117" width="18.7109375" style="257" customWidth="1"/>
    <col min="118" max="118" width="18.7109375" style="5" customWidth="1"/>
    <col min="119" max="120" width="18.7109375" style="258" customWidth="1"/>
    <col min="121" max="121" width="18.7109375" style="21" customWidth="1"/>
    <col min="122" max="122" width="18.7109375" style="257" customWidth="1"/>
    <col min="123" max="123" width="18.7109375" style="5" customWidth="1"/>
    <col min="124" max="125" width="18.7109375" style="258" customWidth="1"/>
    <col min="126" max="126" width="18.7109375" style="21" customWidth="1"/>
    <col min="127" max="127" width="18.7109375" style="257" customWidth="1"/>
    <col min="128" max="128" width="18.7109375" style="5" customWidth="1"/>
    <col min="129" max="130" width="18.7109375" style="258" customWidth="1"/>
    <col min="131" max="131" width="18.7109375" style="21" customWidth="1"/>
    <col min="132" max="132" width="18.7109375" style="257" customWidth="1"/>
    <col min="133" max="133" width="18.7109375" style="5" customWidth="1"/>
    <col min="134" max="135" width="18.7109375" style="258" customWidth="1"/>
    <col min="136" max="136" width="18.7109375" style="21" customWidth="1"/>
    <col min="137" max="137" width="18.7109375" style="257" customWidth="1"/>
    <col min="138" max="138" width="18.7109375" style="5" customWidth="1"/>
    <col min="139" max="140" width="18.7109375" style="258" customWidth="1"/>
    <col min="141" max="141" width="18.7109375" style="21" customWidth="1"/>
    <col min="142" max="142" width="18.7109375" style="257" customWidth="1"/>
    <col min="143" max="143" width="18.7109375" style="5" customWidth="1"/>
    <col min="144" max="145" width="18.7109375" style="258" customWidth="1"/>
    <col min="146" max="146" width="18.7109375" style="21" customWidth="1"/>
    <col min="147" max="147" width="18.7109375" style="257" customWidth="1"/>
    <col min="148" max="148" width="18.7109375" style="5" customWidth="1"/>
    <col min="149" max="150" width="18.7109375" style="258" customWidth="1"/>
    <col min="151" max="151" width="18.7109375" style="21" customWidth="1"/>
    <col min="152" max="152" width="18.7109375" style="257" customWidth="1"/>
    <col min="153" max="153" width="18.7109375" style="5" customWidth="1"/>
    <col min="154" max="155" width="18.7109375" style="258" customWidth="1"/>
    <col min="156" max="156" width="18.7109375" style="21" customWidth="1"/>
    <col min="157" max="157" width="18.7109375" style="257" customWidth="1"/>
    <col min="158" max="158" width="18.7109375" style="5" customWidth="1"/>
    <col min="159" max="160" width="18.7109375" style="258" customWidth="1"/>
    <col min="161" max="161" width="18.7109375" style="21" customWidth="1"/>
    <col min="162" max="162" width="18.7109375" style="257" customWidth="1"/>
    <col min="163" max="163" width="18.7109375" style="5" customWidth="1"/>
    <col min="164" max="165" width="18.7109375" style="258" customWidth="1"/>
    <col min="166" max="166" width="18.7109375" style="21" customWidth="1"/>
    <col min="167" max="167" width="18.7109375" style="257" customWidth="1"/>
    <col min="168" max="168" width="18.7109375" style="5" customWidth="1"/>
    <col min="169" max="170" width="18.7109375" style="258" customWidth="1"/>
    <col min="171" max="171" width="18.7109375" style="21" customWidth="1"/>
    <col min="172" max="172" width="18.7109375" style="257" customWidth="1"/>
    <col min="173" max="173" width="18.7109375" style="5" customWidth="1"/>
    <col min="174" max="175" width="18.7109375" style="258" customWidth="1"/>
    <col min="176" max="176" width="18.7109375" style="21" customWidth="1"/>
    <col min="177" max="177" width="18.7109375" style="257" customWidth="1"/>
    <col min="178" max="178" width="18.7109375" style="5" customWidth="1"/>
    <col min="179" max="180" width="18.7109375" style="258" customWidth="1"/>
    <col min="181" max="181" width="18.7109375" style="21" customWidth="1"/>
    <col min="182" max="182" width="18.7109375" style="257" customWidth="1"/>
    <col min="183" max="183" width="18.7109375" style="5" customWidth="1"/>
    <col min="184" max="185" width="18.7109375" style="258" customWidth="1"/>
    <col min="186" max="186" width="18.7109375" style="21" customWidth="1"/>
    <col min="187" max="187" width="18.7109375" style="257" customWidth="1"/>
    <col min="188" max="188" width="18.7109375" style="5" customWidth="1"/>
    <col min="189" max="190" width="18.7109375" style="258" customWidth="1"/>
    <col min="191" max="191" width="18.7109375" style="21" customWidth="1"/>
    <col min="192" max="192" width="18.7109375" style="257" customWidth="1"/>
    <col min="193" max="193" width="18.7109375" style="5" customWidth="1"/>
    <col min="194" max="195" width="18.7109375" style="258" customWidth="1"/>
    <col min="196" max="196" width="18.7109375" style="21" customWidth="1"/>
    <col min="197" max="197" width="18.7109375" style="257" customWidth="1"/>
    <col min="198" max="198" width="18.7109375" style="5" customWidth="1"/>
    <col min="199" max="200" width="18.7109375" style="258" customWidth="1"/>
    <col min="201" max="201" width="18.7109375" style="21" customWidth="1"/>
    <col min="202" max="202" width="18.7109375" style="257" customWidth="1"/>
    <col min="203" max="203" width="18.7109375" style="5" customWidth="1"/>
    <col min="204" max="205" width="18.7109375" style="258" customWidth="1"/>
    <col min="206" max="206" width="18.7109375" style="21" customWidth="1"/>
    <col min="207" max="207" width="18.7109375" style="257" customWidth="1"/>
    <col min="208" max="208" width="18.7109375" style="5" customWidth="1"/>
    <col min="209" max="210" width="18.7109375" style="258" customWidth="1"/>
    <col min="211" max="211" width="18.7109375" style="21" customWidth="1"/>
    <col min="212" max="212" width="18.7109375" style="257" customWidth="1"/>
    <col min="213" max="213" width="18.7109375" style="5" customWidth="1"/>
    <col min="214" max="215" width="18.7109375" style="258" customWidth="1"/>
    <col min="216" max="216" width="18.7109375" style="21" customWidth="1"/>
    <col min="217" max="217" width="18.7109375" style="257" customWidth="1"/>
    <col min="218" max="218" width="18.7109375" style="5" customWidth="1"/>
    <col min="219" max="220" width="18.7109375" style="258" customWidth="1"/>
    <col min="221" max="221" width="18.7109375" style="21" customWidth="1"/>
    <col min="222" max="222" width="18.7109375" style="257" customWidth="1"/>
    <col min="223" max="223" width="18.7109375" style="5" customWidth="1"/>
    <col min="224" max="225" width="18.7109375" style="258" customWidth="1"/>
    <col min="226" max="226" width="18.7109375" style="21" customWidth="1"/>
    <col min="227" max="227" width="18.7109375" style="257" customWidth="1"/>
    <col min="228" max="228" width="18.7109375" style="5" customWidth="1"/>
    <col min="229" max="230" width="18.7109375" style="258" customWidth="1"/>
    <col min="231" max="231" width="18.7109375" style="21" customWidth="1"/>
    <col min="232" max="232" width="18.7109375" style="257" customWidth="1"/>
    <col min="233" max="233" width="18.7109375" style="5" customWidth="1"/>
    <col min="234" max="235" width="18.7109375" style="258" customWidth="1"/>
    <col min="236" max="236" width="18.7109375" style="21" customWidth="1"/>
    <col min="237" max="237" width="18.7109375" style="257" customWidth="1"/>
    <col min="238" max="238" width="18.7109375" style="5" customWidth="1"/>
    <col min="239" max="240" width="18.7109375" style="258" customWidth="1"/>
    <col min="241" max="241" width="18.7109375" style="21" customWidth="1"/>
    <col min="242" max="242" width="18.7109375" style="257" customWidth="1"/>
    <col min="243" max="243" width="18.7109375" style="5" customWidth="1"/>
    <col min="244" max="245" width="18.7109375" style="258" customWidth="1"/>
    <col min="246" max="246" width="18.7109375" style="21" customWidth="1"/>
    <col min="247" max="247" width="18.7109375" style="257" customWidth="1"/>
    <col min="248" max="248" width="18.7109375" style="5" customWidth="1"/>
    <col min="249" max="250" width="18.7109375" style="258" customWidth="1"/>
    <col min="251" max="251" width="18.7109375" style="21" customWidth="1"/>
    <col min="252" max="252" width="18.7109375" style="257" customWidth="1"/>
    <col min="253" max="253" width="18.7109375" style="5" customWidth="1"/>
    <col min="254" max="255" width="18.7109375" style="258" customWidth="1"/>
    <col min="256" max="16384" width="18.7109375" style="21"/>
  </cols>
  <sheetData>
    <row r="1" spans="1:256" x14ac:dyDescent="0.2">
      <c r="A1" s="265" t="s">
        <v>325</v>
      </c>
      <c r="B1" s="321" t="s">
        <v>459</v>
      </c>
      <c r="C1" s="1381" t="s">
        <v>324</v>
      </c>
      <c r="D1" s="1370">
        <v>60</v>
      </c>
      <c r="E1" s="74" t="s">
        <v>81</v>
      </c>
      <c r="F1" s="265"/>
      <c r="G1" s="75"/>
      <c r="H1" s="20"/>
      <c r="I1" s="252"/>
      <c r="J1" s="74"/>
      <c r="K1" s="265"/>
      <c r="L1" s="75"/>
      <c r="M1" s="20"/>
      <c r="N1" s="252"/>
      <c r="O1" s="74"/>
      <c r="P1" s="265"/>
      <c r="Q1" s="75"/>
      <c r="R1" s="20"/>
      <c r="S1" s="252"/>
      <c r="T1" s="74"/>
      <c r="U1" s="265"/>
      <c r="V1" s="75"/>
      <c r="W1" s="20"/>
      <c r="X1" s="252"/>
      <c r="Y1" s="74"/>
      <c r="Z1" s="265"/>
      <c r="AA1" s="75"/>
      <c r="AB1" s="20"/>
      <c r="AC1" s="252"/>
      <c r="AD1" s="74"/>
      <c r="AE1" s="265"/>
      <c r="AF1" s="75"/>
      <c r="AG1" s="20"/>
      <c r="AH1" s="252"/>
      <c r="AI1" s="74"/>
      <c r="AJ1" s="265"/>
      <c r="AK1" s="75"/>
      <c r="AL1" s="20"/>
      <c r="AM1" s="252"/>
      <c r="AN1" s="74"/>
      <c r="AO1" s="265"/>
      <c r="AP1" s="75"/>
      <c r="AQ1" s="20"/>
      <c r="AR1" s="252"/>
      <c r="AS1" s="74"/>
      <c r="AT1" s="265"/>
      <c r="AU1" s="75"/>
      <c r="AV1" s="20"/>
      <c r="AW1" s="252"/>
      <c r="AX1" s="74"/>
      <c r="AY1" s="265"/>
      <c r="AZ1" s="75"/>
      <c r="BA1" s="20"/>
      <c r="BB1" s="252"/>
      <c r="BC1" s="74"/>
      <c r="BD1" s="265"/>
      <c r="BE1" s="75"/>
      <c r="BF1" s="20"/>
      <c r="BG1" s="252"/>
      <c r="BH1" s="74"/>
      <c r="BI1" s="265"/>
      <c r="BJ1" s="75"/>
      <c r="BK1" s="20"/>
      <c r="BL1" s="252"/>
      <c r="BM1" s="74"/>
      <c r="BN1" s="265"/>
      <c r="BO1" s="75"/>
      <c r="BP1" s="20"/>
      <c r="BQ1" s="252"/>
      <c r="BR1" s="74"/>
      <c r="BS1" s="265"/>
      <c r="BT1" s="75"/>
      <c r="BU1" s="20"/>
      <c r="BV1" s="252"/>
      <c r="BW1" s="74"/>
      <c r="BX1" s="265"/>
      <c r="BY1" s="75"/>
      <c r="BZ1" s="20"/>
      <c r="CA1" s="252"/>
      <c r="CB1" s="74"/>
      <c r="CC1" s="265"/>
      <c r="CD1" s="75"/>
      <c r="CE1" s="20"/>
      <c r="CF1" s="252"/>
      <c r="CG1" s="74"/>
      <c r="CH1" s="265"/>
      <c r="CI1" s="75"/>
      <c r="CJ1" s="20"/>
      <c r="CK1" s="252"/>
      <c r="CL1" s="74"/>
      <c r="CM1" s="265"/>
      <c r="CN1" s="75"/>
      <c r="CO1" s="20"/>
      <c r="CP1" s="252"/>
      <c r="CQ1" s="74"/>
      <c r="CR1" s="265"/>
      <c r="CS1" s="75"/>
      <c r="CT1" s="20"/>
      <c r="CU1" s="252"/>
      <c r="CV1" s="74"/>
      <c r="CW1" s="265"/>
      <c r="CX1" s="75"/>
      <c r="CY1" s="20"/>
      <c r="CZ1" s="252"/>
      <c r="DA1" s="74"/>
      <c r="DB1" s="265"/>
      <c r="DC1" s="75"/>
      <c r="DD1" s="20"/>
      <c r="DE1" s="252"/>
      <c r="DF1" s="74"/>
      <c r="DG1" s="265"/>
      <c r="DH1" s="75"/>
      <c r="DI1" s="20"/>
      <c r="DJ1" s="252"/>
      <c r="DK1" s="74"/>
      <c r="DL1" s="265"/>
      <c r="DM1" s="75"/>
      <c r="DN1" s="20"/>
      <c r="DO1" s="252"/>
      <c r="DP1" s="74"/>
      <c r="DQ1" s="265"/>
      <c r="DR1" s="75"/>
      <c r="DS1" s="20"/>
      <c r="DT1" s="252"/>
      <c r="DU1" s="74"/>
      <c r="DV1" s="265"/>
      <c r="DW1" s="75"/>
      <c r="DX1" s="20"/>
      <c r="DY1" s="252"/>
      <c r="DZ1" s="74"/>
      <c r="EA1" s="265"/>
      <c r="EB1" s="75"/>
      <c r="EC1" s="20"/>
      <c r="ED1" s="252"/>
      <c r="EE1" s="74"/>
      <c r="EF1" s="265"/>
      <c r="EG1" s="75"/>
      <c r="EH1" s="20"/>
      <c r="EI1" s="252"/>
      <c r="EJ1" s="74"/>
      <c r="EK1" s="265"/>
      <c r="EL1" s="75"/>
      <c r="EM1" s="20"/>
      <c r="EN1" s="252"/>
      <c r="EO1" s="74"/>
      <c r="EP1" s="265"/>
      <c r="EQ1" s="75"/>
      <c r="ER1" s="20"/>
      <c r="ES1" s="252"/>
      <c r="ET1" s="74"/>
      <c r="EU1" s="265"/>
      <c r="EV1" s="75"/>
      <c r="EW1" s="20"/>
      <c r="EX1" s="252"/>
      <c r="EY1" s="74"/>
      <c r="EZ1" s="265"/>
      <c r="FA1" s="75"/>
      <c r="FB1" s="20"/>
      <c r="FC1" s="252"/>
      <c r="FD1" s="74"/>
      <c r="FE1" s="265"/>
      <c r="FF1" s="75"/>
      <c r="FG1" s="20"/>
      <c r="FH1" s="252"/>
      <c r="FI1" s="74"/>
      <c r="FJ1" s="265"/>
      <c r="FK1" s="75"/>
      <c r="FL1" s="20"/>
      <c r="FM1" s="252"/>
      <c r="FN1" s="74"/>
      <c r="FO1" s="265"/>
      <c r="FP1" s="75"/>
      <c r="FQ1" s="20"/>
      <c r="FR1" s="252"/>
      <c r="FS1" s="74"/>
      <c r="FT1" s="265"/>
      <c r="FU1" s="75"/>
      <c r="FV1" s="20"/>
      <c r="FW1" s="252"/>
      <c r="FX1" s="74"/>
      <c r="FY1" s="265"/>
      <c r="FZ1" s="75"/>
      <c r="GA1" s="20"/>
      <c r="GB1" s="252"/>
      <c r="GC1" s="74"/>
      <c r="GD1" s="265"/>
      <c r="GE1" s="75"/>
      <c r="GF1" s="20"/>
      <c r="GG1" s="252"/>
      <c r="GH1" s="74"/>
      <c r="GI1" s="265"/>
      <c r="GJ1" s="75"/>
      <c r="GK1" s="20"/>
      <c r="GL1" s="252"/>
      <c r="GM1" s="74"/>
      <c r="GN1" s="265"/>
      <c r="GO1" s="75"/>
      <c r="GP1" s="20"/>
      <c r="GQ1" s="252"/>
      <c r="GR1" s="74"/>
      <c r="GS1" s="265"/>
      <c r="GT1" s="75"/>
      <c r="GU1" s="20"/>
      <c r="GV1" s="252"/>
      <c r="GW1" s="74"/>
      <c r="GX1" s="265"/>
      <c r="GY1" s="75"/>
      <c r="GZ1" s="20"/>
      <c r="HA1" s="252"/>
      <c r="HB1" s="74"/>
      <c r="HC1" s="265"/>
      <c r="HD1" s="75"/>
      <c r="HE1" s="20"/>
      <c r="HF1" s="252"/>
      <c r="HG1" s="74"/>
      <c r="HH1" s="265"/>
      <c r="HI1" s="75"/>
      <c r="HJ1" s="20"/>
      <c r="HK1" s="252"/>
      <c r="HL1" s="74"/>
      <c r="HM1" s="265"/>
      <c r="HN1" s="75"/>
      <c r="HO1" s="20"/>
      <c r="HP1" s="252"/>
      <c r="HQ1" s="74"/>
      <c r="HR1" s="265"/>
      <c r="HS1" s="75"/>
      <c r="HT1" s="20"/>
      <c r="HU1" s="252"/>
      <c r="HV1" s="74"/>
      <c r="HW1" s="265"/>
      <c r="HX1" s="75"/>
      <c r="HY1" s="20"/>
      <c r="HZ1" s="252"/>
      <c r="IA1" s="74"/>
      <c r="IB1" s="265"/>
      <c r="IC1" s="75"/>
      <c r="ID1" s="20"/>
      <c r="IE1" s="252"/>
      <c r="IF1" s="74"/>
      <c r="IG1" s="265"/>
      <c r="IH1" s="75"/>
      <c r="II1" s="20"/>
      <c r="IJ1" s="252"/>
      <c r="IK1" s="74"/>
      <c r="IL1" s="265"/>
      <c r="IM1" s="75"/>
      <c r="IN1" s="20"/>
      <c r="IO1" s="252"/>
      <c r="IP1" s="74"/>
      <c r="IQ1" s="265"/>
      <c r="IR1" s="75"/>
      <c r="IS1" s="20"/>
      <c r="IT1" s="252"/>
      <c r="IU1" s="74"/>
      <c r="IV1" s="265"/>
    </row>
    <row r="2" spans="1:256" x14ac:dyDescent="0.2">
      <c r="A2" s="3" t="s">
        <v>27</v>
      </c>
      <c r="B2" s="71" t="s">
        <v>91</v>
      </c>
      <c r="C2" s="226" t="s">
        <v>92</v>
      </c>
      <c r="D2" s="71" t="s">
        <v>90</v>
      </c>
      <c r="E2" s="71" t="s">
        <v>80</v>
      </c>
      <c r="F2" s="3"/>
      <c r="G2" s="71"/>
      <c r="H2" s="3"/>
      <c r="I2" s="71"/>
      <c r="J2" s="71"/>
      <c r="K2" s="3"/>
      <c r="L2" s="71"/>
      <c r="M2" s="3"/>
      <c r="N2" s="71"/>
      <c r="O2" s="71"/>
      <c r="P2" s="3"/>
      <c r="Q2" s="71"/>
      <c r="R2" s="3"/>
      <c r="S2" s="71"/>
      <c r="T2" s="71"/>
      <c r="U2" s="3"/>
      <c r="V2" s="71"/>
      <c r="W2" s="3"/>
      <c r="X2" s="71"/>
      <c r="Y2" s="71"/>
      <c r="Z2" s="3"/>
      <c r="AA2" s="71"/>
      <c r="AB2" s="3"/>
      <c r="AC2" s="71"/>
      <c r="AD2" s="71"/>
      <c r="AE2" s="3"/>
      <c r="AF2" s="71"/>
      <c r="AG2" s="3"/>
      <c r="AH2" s="71"/>
      <c r="AI2" s="71"/>
      <c r="AJ2" s="3"/>
      <c r="AK2" s="71"/>
      <c r="AL2" s="3"/>
      <c r="AM2" s="71"/>
      <c r="AN2" s="71"/>
      <c r="AO2" s="3"/>
      <c r="AP2" s="71"/>
      <c r="AQ2" s="3"/>
      <c r="AR2" s="71"/>
      <c r="AS2" s="71"/>
      <c r="AT2" s="3"/>
      <c r="AU2" s="71"/>
      <c r="AV2" s="3"/>
      <c r="AW2" s="71"/>
      <c r="AX2" s="71"/>
      <c r="AY2" s="3"/>
      <c r="AZ2" s="71"/>
      <c r="BA2" s="3"/>
      <c r="BB2" s="71"/>
      <c r="BC2" s="71"/>
      <c r="BD2" s="3"/>
      <c r="BE2" s="71"/>
      <c r="BF2" s="3"/>
      <c r="BG2" s="71"/>
      <c r="BH2" s="71"/>
      <c r="BI2" s="3"/>
      <c r="BJ2" s="71"/>
      <c r="BK2" s="3"/>
      <c r="BL2" s="71"/>
      <c r="BM2" s="71"/>
      <c r="BN2" s="3"/>
      <c r="BO2" s="71"/>
      <c r="BP2" s="3"/>
      <c r="BQ2" s="71"/>
      <c r="BR2" s="71"/>
      <c r="BS2" s="3"/>
      <c r="BT2" s="71"/>
      <c r="BU2" s="3"/>
      <c r="BV2" s="71"/>
      <c r="BW2" s="71"/>
      <c r="BX2" s="3"/>
      <c r="BY2" s="71"/>
      <c r="BZ2" s="3"/>
      <c r="CA2" s="71"/>
      <c r="CB2" s="71"/>
      <c r="CC2" s="3"/>
      <c r="CD2" s="71"/>
      <c r="CE2" s="3"/>
      <c r="CF2" s="71"/>
      <c r="CG2" s="71"/>
      <c r="CH2" s="3"/>
      <c r="CI2" s="71"/>
      <c r="CJ2" s="3"/>
      <c r="CK2" s="71"/>
      <c r="CL2" s="71"/>
      <c r="CM2" s="3"/>
      <c r="CN2" s="71"/>
      <c r="CO2" s="3"/>
      <c r="CP2" s="71"/>
      <c r="CQ2" s="71"/>
      <c r="CR2" s="3"/>
      <c r="CS2" s="71"/>
      <c r="CT2" s="3"/>
      <c r="CU2" s="71"/>
      <c r="CV2" s="71"/>
      <c r="CW2" s="3"/>
      <c r="CX2" s="71"/>
      <c r="CY2" s="3"/>
      <c r="CZ2" s="71"/>
      <c r="DA2" s="71"/>
      <c r="DB2" s="3"/>
      <c r="DC2" s="71"/>
      <c r="DD2" s="3"/>
      <c r="DE2" s="71"/>
      <c r="DF2" s="71"/>
      <c r="DG2" s="3"/>
      <c r="DH2" s="71"/>
      <c r="DI2" s="3"/>
      <c r="DJ2" s="71"/>
      <c r="DK2" s="71"/>
      <c r="DL2" s="3"/>
      <c r="DM2" s="71"/>
      <c r="DN2" s="3"/>
      <c r="DO2" s="71"/>
      <c r="DP2" s="71"/>
      <c r="DQ2" s="3"/>
      <c r="DR2" s="71"/>
      <c r="DS2" s="3"/>
      <c r="DT2" s="71"/>
      <c r="DU2" s="71"/>
      <c r="DV2" s="3"/>
      <c r="DW2" s="71"/>
      <c r="DX2" s="3"/>
      <c r="DY2" s="71"/>
      <c r="DZ2" s="71"/>
      <c r="EA2" s="3"/>
      <c r="EB2" s="71"/>
      <c r="EC2" s="3"/>
      <c r="ED2" s="71"/>
      <c r="EE2" s="71"/>
      <c r="EF2" s="3"/>
      <c r="EG2" s="71"/>
      <c r="EH2" s="3"/>
      <c r="EI2" s="71"/>
      <c r="EJ2" s="71"/>
      <c r="EK2" s="3"/>
      <c r="EL2" s="71"/>
      <c r="EM2" s="3"/>
      <c r="EN2" s="71"/>
      <c r="EO2" s="71"/>
      <c r="EP2" s="3"/>
      <c r="EQ2" s="71"/>
      <c r="ER2" s="3"/>
      <c r="ES2" s="71"/>
      <c r="ET2" s="71"/>
      <c r="EU2" s="3"/>
      <c r="EV2" s="71"/>
      <c r="EW2" s="3"/>
      <c r="EX2" s="71"/>
      <c r="EY2" s="71"/>
      <c r="EZ2" s="3"/>
      <c r="FA2" s="71"/>
      <c r="FB2" s="3"/>
      <c r="FC2" s="71"/>
      <c r="FD2" s="71"/>
      <c r="FE2" s="3"/>
      <c r="FF2" s="71"/>
      <c r="FG2" s="3"/>
      <c r="FH2" s="71"/>
      <c r="FI2" s="71"/>
      <c r="FJ2" s="3"/>
      <c r="FK2" s="71"/>
      <c r="FL2" s="3"/>
      <c r="FM2" s="71"/>
      <c r="FN2" s="71"/>
      <c r="FO2" s="3"/>
      <c r="FP2" s="71"/>
      <c r="FQ2" s="3"/>
      <c r="FR2" s="71"/>
      <c r="FS2" s="71"/>
      <c r="FT2" s="3"/>
      <c r="FU2" s="71"/>
      <c r="FV2" s="3"/>
      <c r="FW2" s="71"/>
      <c r="FX2" s="71"/>
      <c r="FY2" s="3"/>
      <c r="FZ2" s="71"/>
      <c r="GA2" s="3"/>
      <c r="GB2" s="71"/>
      <c r="GC2" s="71"/>
      <c r="GD2" s="3"/>
      <c r="GE2" s="71"/>
      <c r="GF2" s="3"/>
      <c r="GG2" s="71"/>
      <c r="GH2" s="71"/>
      <c r="GI2" s="3"/>
      <c r="GJ2" s="71"/>
      <c r="GK2" s="3"/>
      <c r="GL2" s="71"/>
      <c r="GM2" s="71"/>
      <c r="GN2" s="3"/>
      <c r="GO2" s="71"/>
      <c r="GP2" s="3"/>
      <c r="GQ2" s="71"/>
      <c r="GR2" s="71"/>
      <c r="GS2" s="3"/>
      <c r="GT2" s="71"/>
      <c r="GU2" s="3"/>
      <c r="GV2" s="71"/>
      <c r="GW2" s="71"/>
      <c r="GX2" s="3"/>
      <c r="GY2" s="71"/>
      <c r="GZ2" s="3"/>
      <c r="HA2" s="71"/>
      <c r="HB2" s="71"/>
      <c r="HC2" s="3"/>
      <c r="HD2" s="71"/>
      <c r="HE2" s="3"/>
      <c r="HF2" s="71"/>
      <c r="HG2" s="71"/>
      <c r="HH2" s="3"/>
      <c r="HI2" s="71"/>
      <c r="HJ2" s="3"/>
      <c r="HK2" s="71"/>
      <c r="HL2" s="71"/>
      <c r="HM2" s="3"/>
      <c r="HN2" s="71"/>
      <c r="HO2" s="3"/>
      <c r="HP2" s="71"/>
      <c r="HQ2" s="71"/>
      <c r="HR2" s="3"/>
      <c r="HS2" s="71"/>
      <c r="HT2" s="3"/>
      <c r="HU2" s="71"/>
      <c r="HV2" s="71"/>
      <c r="HW2" s="3"/>
      <c r="HX2" s="71"/>
      <c r="HY2" s="3"/>
      <c r="HZ2" s="71"/>
      <c r="IA2" s="71"/>
      <c r="IB2" s="3"/>
      <c r="IC2" s="71"/>
      <c r="ID2" s="3"/>
      <c r="IE2" s="71"/>
      <c r="IF2" s="71"/>
      <c r="IG2" s="3"/>
      <c r="IH2" s="71"/>
      <c r="II2" s="3"/>
      <c r="IJ2" s="71"/>
      <c r="IK2" s="71"/>
      <c r="IL2" s="3"/>
      <c r="IM2" s="71"/>
      <c r="IN2" s="3"/>
      <c r="IO2" s="71"/>
      <c r="IP2" s="71"/>
      <c r="IQ2" s="3"/>
      <c r="IR2" s="71"/>
      <c r="IS2" s="3"/>
      <c r="IT2" s="71"/>
      <c r="IU2" s="71"/>
      <c r="IV2" s="3"/>
    </row>
    <row r="3" spans="1:256" x14ac:dyDescent="0.2">
      <c r="A3" s="345">
        <v>27606</v>
      </c>
      <c r="B3" s="71"/>
      <c r="C3" s="226"/>
      <c r="D3" s="71"/>
      <c r="E3" s="71"/>
      <c r="F3" s="345"/>
      <c r="G3" s="71"/>
      <c r="H3" s="226"/>
      <c r="I3" s="71"/>
      <c r="J3" s="71"/>
      <c r="K3" s="345"/>
      <c r="L3" s="71"/>
      <c r="M3" s="226"/>
      <c r="N3" s="71"/>
      <c r="O3" s="71"/>
      <c r="P3" s="345"/>
      <c r="Q3" s="71"/>
      <c r="R3" s="226"/>
      <c r="S3" s="71"/>
      <c r="T3" s="71"/>
      <c r="U3" s="345"/>
      <c r="V3" s="71"/>
      <c r="W3" s="226"/>
      <c r="X3" s="71"/>
      <c r="Y3" s="71"/>
      <c r="Z3" s="345"/>
      <c r="AA3" s="71"/>
      <c r="AB3" s="226"/>
      <c r="AC3" s="71"/>
      <c r="AD3" s="71"/>
      <c r="AE3" s="345"/>
      <c r="AF3" s="71"/>
      <c r="AG3" s="226"/>
      <c r="AH3" s="71"/>
      <c r="AI3" s="71"/>
      <c r="AJ3" s="345"/>
      <c r="AK3" s="71"/>
      <c r="AL3" s="226"/>
      <c r="AM3" s="71"/>
      <c r="AN3" s="71"/>
      <c r="AO3" s="345"/>
      <c r="AP3" s="71"/>
      <c r="AQ3" s="226"/>
      <c r="AR3" s="71"/>
      <c r="AS3" s="71"/>
      <c r="AT3" s="345"/>
      <c r="AU3" s="71"/>
      <c r="AV3" s="226"/>
      <c r="AW3" s="71"/>
      <c r="AX3" s="71"/>
      <c r="AY3" s="345"/>
      <c r="AZ3" s="71"/>
      <c r="BA3" s="226"/>
      <c r="BB3" s="71"/>
      <c r="BC3" s="71"/>
      <c r="BD3" s="345"/>
      <c r="BE3" s="71"/>
      <c r="BF3" s="226"/>
      <c r="BG3" s="71"/>
      <c r="BH3" s="71"/>
      <c r="BI3" s="345"/>
      <c r="BJ3" s="71"/>
      <c r="BK3" s="226"/>
      <c r="BL3" s="71"/>
      <c r="BM3" s="71"/>
      <c r="BN3" s="345"/>
      <c r="BO3" s="71"/>
      <c r="BP3" s="226"/>
      <c r="BQ3" s="71"/>
      <c r="BR3" s="71"/>
      <c r="BS3" s="345"/>
      <c r="BT3" s="71"/>
      <c r="BU3" s="226"/>
      <c r="BV3" s="71"/>
      <c r="BW3" s="71"/>
      <c r="BX3" s="345"/>
      <c r="BY3" s="71"/>
      <c r="BZ3" s="226"/>
      <c r="CA3" s="71"/>
      <c r="CB3" s="71"/>
      <c r="CC3" s="345"/>
      <c r="CD3" s="71"/>
      <c r="CE3" s="226"/>
      <c r="CF3" s="71"/>
      <c r="CG3" s="71"/>
      <c r="CH3" s="345"/>
      <c r="CI3" s="71"/>
      <c r="CJ3" s="226"/>
      <c r="CK3" s="71"/>
      <c r="CL3" s="71"/>
      <c r="CM3" s="345"/>
      <c r="CN3" s="71"/>
      <c r="CO3" s="226"/>
      <c r="CP3" s="71"/>
      <c r="CQ3" s="71"/>
      <c r="CR3" s="345"/>
      <c r="CS3" s="71"/>
      <c r="CT3" s="226"/>
      <c r="CU3" s="71"/>
      <c r="CV3" s="71"/>
      <c r="CW3" s="345"/>
      <c r="CX3" s="71"/>
      <c r="CY3" s="226"/>
      <c r="CZ3" s="71"/>
      <c r="DA3" s="71"/>
      <c r="DB3" s="345"/>
      <c r="DC3" s="71"/>
      <c r="DD3" s="226"/>
      <c r="DE3" s="71"/>
      <c r="DF3" s="71"/>
      <c r="DG3" s="345"/>
      <c r="DH3" s="71"/>
      <c r="DI3" s="226"/>
      <c r="DJ3" s="71"/>
      <c r="DK3" s="71"/>
      <c r="DL3" s="345"/>
      <c r="DM3" s="71"/>
      <c r="DN3" s="226"/>
      <c r="DO3" s="71"/>
      <c r="DP3" s="71"/>
      <c r="DQ3" s="345"/>
      <c r="DR3" s="71"/>
      <c r="DS3" s="226"/>
      <c r="DT3" s="71"/>
      <c r="DU3" s="71"/>
      <c r="DV3" s="345"/>
      <c r="DW3" s="71"/>
      <c r="DX3" s="226"/>
      <c r="DY3" s="71"/>
      <c r="DZ3" s="71"/>
      <c r="EA3" s="345"/>
      <c r="EB3" s="71"/>
      <c r="EC3" s="226"/>
      <c r="ED3" s="71"/>
      <c r="EE3" s="71"/>
      <c r="EF3" s="345"/>
      <c r="EG3" s="71"/>
      <c r="EH3" s="226"/>
      <c r="EI3" s="71"/>
      <c r="EJ3" s="71"/>
      <c r="EK3" s="345"/>
      <c r="EL3" s="71"/>
      <c r="EM3" s="226"/>
      <c r="EN3" s="71"/>
      <c r="EO3" s="71"/>
      <c r="EP3" s="345"/>
      <c r="EQ3" s="71"/>
      <c r="ER3" s="226"/>
      <c r="ES3" s="71"/>
      <c r="ET3" s="71"/>
      <c r="EU3" s="345"/>
      <c r="EV3" s="71"/>
      <c r="EW3" s="226"/>
      <c r="EX3" s="71"/>
      <c r="EY3" s="71"/>
      <c r="EZ3" s="345"/>
      <c r="FA3" s="71"/>
      <c r="FB3" s="226"/>
      <c r="FC3" s="71"/>
      <c r="FD3" s="71"/>
      <c r="FE3" s="345"/>
      <c r="FF3" s="71"/>
      <c r="FG3" s="226"/>
      <c r="FH3" s="71"/>
      <c r="FI3" s="71"/>
      <c r="FJ3" s="345"/>
      <c r="FK3" s="71"/>
      <c r="FL3" s="226"/>
      <c r="FM3" s="71"/>
      <c r="FN3" s="71"/>
      <c r="FO3" s="345"/>
      <c r="FP3" s="71"/>
      <c r="FQ3" s="226"/>
      <c r="FR3" s="71"/>
      <c r="FS3" s="71"/>
      <c r="FT3" s="345"/>
      <c r="FU3" s="71"/>
      <c r="FV3" s="226"/>
      <c r="FW3" s="71"/>
      <c r="FX3" s="71"/>
      <c r="FY3" s="345"/>
      <c r="FZ3" s="71"/>
      <c r="GA3" s="226"/>
      <c r="GB3" s="71"/>
      <c r="GC3" s="71"/>
      <c r="GD3" s="345"/>
      <c r="GE3" s="71"/>
      <c r="GF3" s="226"/>
      <c r="GG3" s="71"/>
      <c r="GH3" s="71"/>
      <c r="GI3" s="345"/>
      <c r="GJ3" s="71"/>
      <c r="GK3" s="226"/>
      <c r="GL3" s="71"/>
      <c r="GM3" s="71"/>
      <c r="GN3" s="345"/>
      <c r="GO3" s="71"/>
      <c r="GP3" s="226"/>
      <c r="GQ3" s="71"/>
      <c r="GR3" s="71"/>
      <c r="GS3" s="345"/>
      <c r="GT3" s="71"/>
      <c r="GU3" s="226"/>
      <c r="GV3" s="71"/>
      <c r="GW3" s="71"/>
      <c r="GX3" s="345"/>
      <c r="GY3" s="71"/>
      <c r="GZ3" s="226"/>
      <c r="HA3" s="71"/>
      <c r="HB3" s="71"/>
      <c r="HC3" s="345"/>
      <c r="HD3" s="71"/>
      <c r="HE3" s="226"/>
      <c r="HF3" s="71"/>
      <c r="HG3" s="71"/>
      <c r="HH3" s="345"/>
      <c r="HI3" s="71"/>
      <c r="HJ3" s="226"/>
      <c r="HK3" s="71"/>
      <c r="HL3" s="71"/>
      <c r="HM3" s="345"/>
      <c r="HN3" s="71"/>
      <c r="HO3" s="226"/>
      <c r="HP3" s="71"/>
      <c r="HQ3" s="71"/>
      <c r="HR3" s="345"/>
      <c r="HS3" s="71"/>
      <c r="HT3" s="226"/>
      <c r="HU3" s="71"/>
      <c r="HV3" s="71"/>
      <c r="HW3" s="345"/>
      <c r="HX3" s="71"/>
      <c r="HY3" s="226"/>
      <c r="HZ3" s="71"/>
      <c r="IA3" s="71"/>
      <c r="IB3" s="345"/>
      <c r="IC3" s="71"/>
      <c r="ID3" s="226"/>
      <c r="IE3" s="71"/>
      <c r="IF3" s="71"/>
      <c r="IG3" s="345"/>
      <c r="IH3" s="71"/>
      <c r="II3" s="226"/>
      <c r="IJ3" s="71"/>
      <c r="IK3" s="71"/>
      <c r="IL3" s="345"/>
      <c r="IM3" s="71"/>
      <c r="IN3" s="226"/>
      <c r="IO3" s="71"/>
      <c r="IP3" s="71"/>
      <c r="IQ3" s="345"/>
      <c r="IR3" s="71"/>
      <c r="IS3" s="226"/>
      <c r="IT3" s="71"/>
      <c r="IU3" s="71"/>
      <c r="IV3" s="345"/>
    </row>
    <row r="4" spans="1:256" x14ac:dyDescent="0.2">
      <c r="A4" s="345">
        <v>27637</v>
      </c>
      <c r="B4" s="71"/>
      <c r="C4" s="226"/>
      <c r="D4" s="71"/>
      <c r="E4" s="71"/>
      <c r="F4" s="345"/>
      <c r="G4" s="71"/>
      <c r="H4" s="226"/>
      <c r="I4" s="71"/>
      <c r="J4" s="71"/>
      <c r="K4" s="345"/>
      <c r="L4" s="71"/>
      <c r="M4" s="226"/>
      <c r="N4" s="71"/>
      <c r="O4" s="71"/>
      <c r="P4" s="345"/>
      <c r="Q4" s="71"/>
      <c r="R4" s="226"/>
      <c r="S4" s="71"/>
      <c r="T4" s="71"/>
      <c r="U4" s="345"/>
      <c r="V4" s="71"/>
      <c r="W4" s="226"/>
      <c r="X4" s="71"/>
      <c r="Y4" s="71"/>
      <c r="Z4" s="345"/>
      <c r="AA4" s="71"/>
      <c r="AB4" s="226"/>
      <c r="AC4" s="71"/>
      <c r="AD4" s="71"/>
      <c r="AE4" s="345"/>
      <c r="AF4" s="71"/>
      <c r="AG4" s="226"/>
      <c r="AH4" s="71"/>
      <c r="AI4" s="71"/>
      <c r="AJ4" s="345"/>
      <c r="AK4" s="71"/>
      <c r="AL4" s="226"/>
      <c r="AM4" s="71"/>
      <c r="AN4" s="71"/>
      <c r="AO4" s="345"/>
      <c r="AP4" s="71"/>
      <c r="AQ4" s="226"/>
      <c r="AR4" s="71"/>
      <c r="AS4" s="71"/>
      <c r="AT4" s="345"/>
      <c r="AU4" s="71"/>
      <c r="AV4" s="226"/>
      <c r="AW4" s="71"/>
      <c r="AX4" s="71"/>
      <c r="AY4" s="345"/>
      <c r="AZ4" s="71"/>
      <c r="BA4" s="226"/>
      <c r="BB4" s="71"/>
      <c r="BC4" s="71"/>
      <c r="BD4" s="345"/>
      <c r="BE4" s="71"/>
      <c r="BF4" s="226"/>
      <c r="BG4" s="71"/>
      <c r="BH4" s="71"/>
      <c r="BI4" s="345"/>
      <c r="BJ4" s="71"/>
      <c r="BK4" s="226"/>
      <c r="BL4" s="71"/>
      <c r="BM4" s="71"/>
      <c r="BN4" s="345"/>
      <c r="BO4" s="71"/>
      <c r="BP4" s="226"/>
      <c r="BQ4" s="71"/>
      <c r="BR4" s="71"/>
      <c r="BS4" s="345"/>
      <c r="BT4" s="71"/>
      <c r="BU4" s="226"/>
      <c r="BV4" s="71"/>
      <c r="BW4" s="71"/>
      <c r="BX4" s="345"/>
      <c r="BY4" s="71"/>
      <c r="BZ4" s="226"/>
      <c r="CA4" s="71"/>
      <c r="CB4" s="71"/>
      <c r="CC4" s="345"/>
      <c r="CD4" s="71"/>
      <c r="CE4" s="226"/>
      <c r="CF4" s="71"/>
      <c r="CG4" s="71"/>
      <c r="CH4" s="345"/>
      <c r="CI4" s="71"/>
      <c r="CJ4" s="226"/>
      <c r="CK4" s="71"/>
      <c r="CL4" s="71"/>
      <c r="CM4" s="345"/>
      <c r="CN4" s="71"/>
      <c r="CO4" s="226"/>
      <c r="CP4" s="71"/>
      <c r="CQ4" s="71"/>
      <c r="CR4" s="345"/>
      <c r="CS4" s="71"/>
      <c r="CT4" s="226"/>
      <c r="CU4" s="71"/>
      <c r="CV4" s="71"/>
      <c r="CW4" s="345"/>
      <c r="CX4" s="71"/>
      <c r="CY4" s="226"/>
      <c r="CZ4" s="71"/>
      <c r="DA4" s="71"/>
      <c r="DB4" s="345"/>
      <c r="DC4" s="71"/>
      <c r="DD4" s="226"/>
      <c r="DE4" s="71"/>
      <c r="DF4" s="71"/>
      <c r="DG4" s="345"/>
      <c r="DH4" s="71"/>
      <c r="DI4" s="226"/>
      <c r="DJ4" s="71"/>
      <c r="DK4" s="71"/>
      <c r="DL4" s="345"/>
      <c r="DM4" s="71"/>
      <c r="DN4" s="226"/>
      <c r="DO4" s="71"/>
      <c r="DP4" s="71"/>
      <c r="DQ4" s="345"/>
      <c r="DR4" s="71"/>
      <c r="DS4" s="226"/>
      <c r="DT4" s="71"/>
      <c r="DU4" s="71"/>
      <c r="DV4" s="345"/>
      <c r="DW4" s="71"/>
      <c r="DX4" s="226"/>
      <c r="DY4" s="71"/>
      <c r="DZ4" s="71"/>
      <c r="EA4" s="345"/>
      <c r="EB4" s="71"/>
      <c r="EC4" s="226"/>
      <c r="ED4" s="71"/>
      <c r="EE4" s="71"/>
      <c r="EF4" s="345"/>
      <c r="EG4" s="71"/>
      <c r="EH4" s="226"/>
      <c r="EI4" s="71"/>
      <c r="EJ4" s="71"/>
      <c r="EK4" s="345"/>
      <c r="EL4" s="71"/>
      <c r="EM4" s="226"/>
      <c r="EN4" s="71"/>
      <c r="EO4" s="71"/>
      <c r="EP4" s="345"/>
      <c r="EQ4" s="71"/>
      <c r="ER4" s="226"/>
      <c r="ES4" s="71"/>
      <c r="ET4" s="71"/>
      <c r="EU4" s="345"/>
      <c r="EV4" s="71"/>
      <c r="EW4" s="226"/>
      <c r="EX4" s="71"/>
      <c r="EY4" s="71"/>
      <c r="EZ4" s="345"/>
      <c r="FA4" s="71"/>
      <c r="FB4" s="226"/>
      <c r="FC4" s="71"/>
      <c r="FD4" s="71"/>
      <c r="FE4" s="345"/>
      <c r="FF4" s="71"/>
      <c r="FG4" s="226"/>
      <c r="FH4" s="71"/>
      <c r="FI4" s="71"/>
      <c r="FJ4" s="345"/>
      <c r="FK4" s="71"/>
      <c r="FL4" s="226"/>
      <c r="FM4" s="71"/>
      <c r="FN4" s="71"/>
      <c r="FO4" s="345"/>
      <c r="FP4" s="71"/>
      <c r="FQ4" s="226"/>
      <c r="FR4" s="71"/>
      <c r="FS4" s="71"/>
      <c r="FT4" s="345"/>
      <c r="FU4" s="71"/>
      <c r="FV4" s="226"/>
      <c r="FW4" s="71"/>
      <c r="FX4" s="71"/>
      <c r="FY4" s="345"/>
      <c r="FZ4" s="71"/>
      <c r="GA4" s="226"/>
      <c r="GB4" s="71"/>
      <c r="GC4" s="71"/>
      <c r="GD4" s="345"/>
      <c r="GE4" s="71"/>
      <c r="GF4" s="226"/>
      <c r="GG4" s="71"/>
      <c r="GH4" s="71"/>
      <c r="GI4" s="345"/>
      <c r="GJ4" s="71"/>
      <c r="GK4" s="226"/>
      <c r="GL4" s="71"/>
      <c r="GM4" s="71"/>
      <c r="GN4" s="345"/>
      <c r="GO4" s="71"/>
      <c r="GP4" s="226"/>
      <c r="GQ4" s="71"/>
      <c r="GR4" s="71"/>
      <c r="GS4" s="345"/>
      <c r="GT4" s="71"/>
      <c r="GU4" s="226"/>
      <c r="GV4" s="71"/>
      <c r="GW4" s="71"/>
      <c r="GX4" s="345"/>
      <c r="GY4" s="71"/>
      <c r="GZ4" s="226"/>
      <c r="HA4" s="71"/>
      <c r="HB4" s="71"/>
      <c r="HC4" s="345"/>
      <c r="HD4" s="71"/>
      <c r="HE4" s="226"/>
      <c r="HF4" s="71"/>
      <c r="HG4" s="71"/>
      <c r="HH4" s="345"/>
      <c r="HI4" s="71"/>
      <c r="HJ4" s="226"/>
      <c r="HK4" s="71"/>
      <c r="HL4" s="71"/>
      <c r="HM4" s="345"/>
      <c r="HN4" s="71"/>
      <c r="HO4" s="226"/>
      <c r="HP4" s="71"/>
      <c r="HQ4" s="71"/>
      <c r="HR4" s="345"/>
      <c r="HS4" s="71"/>
      <c r="HT4" s="226"/>
      <c r="HU4" s="71"/>
      <c r="HV4" s="71"/>
      <c r="HW4" s="345"/>
      <c r="HX4" s="71"/>
      <c r="HY4" s="226"/>
      <c r="HZ4" s="71"/>
      <c r="IA4" s="71"/>
      <c r="IB4" s="345"/>
      <c r="IC4" s="71"/>
      <c r="ID4" s="226"/>
      <c r="IE4" s="71"/>
      <c r="IF4" s="71"/>
      <c r="IG4" s="345"/>
      <c r="IH4" s="71"/>
      <c r="II4" s="226"/>
      <c r="IJ4" s="71"/>
      <c r="IK4" s="71"/>
      <c r="IL4" s="345"/>
      <c r="IM4" s="71"/>
      <c r="IN4" s="226"/>
      <c r="IO4" s="71"/>
      <c r="IP4" s="71"/>
      <c r="IQ4" s="345"/>
      <c r="IR4" s="71"/>
      <c r="IS4" s="226"/>
      <c r="IT4" s="71"/>
      <c r="IU4" s="71"/>
      <c r="IV4" s="345"/>
    </row>
    <row r="5" spans="1:256" x14ac:dyDescent="0.2">
      <c r="A5" s="345">
        <v>27667</v>
      </c>
      <c r="B5" s="71"/>
      <c r="C5" s="226"/>
      <c r="D5" s="71"/>
      <c r="E5" s="71"/>
      <c r="F5" s="345"/>
      <c r="G5" s="71"/>
      <c r="H5" s="226"/>
      <c r="I5" s="71"/>
      <c r="J5" s="71"/>
      <c r="K5" s="345"/>
      <c r="L5" s="71"/>
      <c r="M5" s="226"/>
      <c r="N5" s="71"/>
      <c r="O5" s="71"/>
      <c r="P5" s="345"/>
      <c r="Q5" s="71"/>
      <c r="R5" s="226"/>
      <c r="S5" s="71"/>
      <c r="T5" s="71"/>
      <c r="U5" s="345"/>
      <c r="V5" s="71"/>
      <c r="W5" s="226"/>
      <c r="X5" s="71"/>
      <c r="Y5" s="71"/>
      <c r="Z5" s="345"/>
      <c r="AA5" s="71"/>
      <c r="AB5" s="226"/>
      <c r="AC5" s="71"/>
      <c r="AD5" s="71"/>
      <c r="AE5" s="345"/>
      <c r="AF5" s="71"/>
      <c r="AG5" s="226"/>
      <c r="AH5" s="71"/>
      <c r="AI5" s="71"/>
      <c r="AJ5" s="345"/>
      <c r="AK5" s="71"/>
      <c r="AL5" s="226"/>
      <c r="AM5" s="71"/>
      <c r="AN5" s="71"/>
      <c r="AO5" s="345"/>
      <c r="AP5" s="71"/>
      <c r="AQ5" s="226"/>
      <c r="AR5" s="71"/>
      <c r="AS5" s="71"/>
      <c r="AT5" s="345"/>
      <c r="AU5" s="71"/>
      <c r="AV5" s="226"/>
      <c r="AW5" s="71"/>
      <c r="AX5" s="71"/>
      <c r="AY5" s="345"/>
      <c r="AZ5" s="71"/>
      <c r="BA5" s="226"/>
      <c r="BB5" s="71"/>
      <c r="BC5" s="71"/>
      <c r="BD5" s="345"/>
      <c r="BE5" s="71"/>
      <c r="BF5" s="226"/>
      <c r="BG5" s="71"/>
      <c r="BH5" s="71"/>
      <c r="BI5" s="345"/>
      <c r="BJ5" s="71"/>
      <c r="BK5" s="226"/>
      <c r="BL5" s="71"/>
      <c r="BM5" s="71"/>
      <c r="BN5" s="345"/>
      <c r="BO5" s="71"/>
      <c r="BP5" s="226"/>
      <c r="BQ5" s="71"/>
      <c r="BR5" s="71"/>
      <c r="BS5" s="345"/>
      <c r="BT5" s="71"/>
      <c r="BU5" s="226"/>
      <c r="BV5" s="71"/>
      <c r="BW5" s="71"/>
      <c r="BX5" s="345"/>
      <c r="BY5" s="71"/>
      <c r="BZ5" s="226"/>
      <c r="CA5" s="71"/>
      <c r="CB5" s="71"/>
      <c r="CC5" s="345"/>
      <c r="CD5" s="71"/>
      <c r="CE5" s="226"/>
      <c r="CF5" s="71"/>
      <c r="CG5" s="71"/>
      <c r="CH5" s="345"/>
      <c r="CI5" s="71"/>
      <c r="CJ5" s="226"/>
      <c r="CK5" s="71"/>
      <c r="CL5" s="71"/>
      <c r="CM5" s="345"/>
      <c r="CN5" s="71"/>
      <c r="CO5" s="226"/>
      <c r="CP5" s="71"/>
      <c r="CQ5" s="71"/>
      <c r="CR5" s="345"/>
      <c r="CS5" s="71"/>
      <c r="CT5" s="226"/>
      <c r="CU5" s="71"/>
      <c r="CV5" s="71"/>
      <c r="CW5" s="345"/>
      <c r="CX5" s="71"/>
      <c r="CY5" s="226"/>
      <c r="CZ5" s="71"/>
      <c r="DA5" s="71"/>
      <c r="DB5" s="345"/>
      <c r="DC5" s="71"/>
      <c r="DD5" s="226"/>
      <c r="DE5" s="71"/>
      <c r="DF5" s="71"/>
      <c r="DG5" s="345"/>
      <c r="DH5" s="71"/>
      <c r="DI5" s="226"/>
      <c r="DJ5" s="71"/>
      <c r="DK5" s="71"/>
      <c r="DL5" s="345"/>
      <c r="DM5" s="71"/>
      <c r="DN5" s="226"/>
      <c r="DO5" s="71"/>
      <c r="DP5" s="71"/>
      <c r="DQ5" s="345"/>
      <c r="DR5" s="71"/>
      <c r="DS5" s="226"/>
      <c r="DT5" s="71"/>
      <c r="DU5" s="71"/>
      <c r="DV5" s="345"/>
      <c r="DW5" s="71"/>
      <c r="DX5" s="226"/>
      <c r="DY5" s="71"/>
      <c r="DZ5" s="71"/>
      <c r="EA5" s="345"/>
      <c r="EB5" s="71"/>
      <c r="EC5" s="226"/>
      <c r="ED5" s="71"/>
      <c r="EE5" s="71"/>
      <c r="EF5" s="345"/>
      <c r="EG5" s="71"/>
      <c r="EH5" s="226"/>
      <c r="EI5" s="71"/>
      <c r="EJ5" s="71"/>
      <c r="EK5" s="345"/>
      <c r="EL5" s="71"/>
      <c r="EM5" s="226"/>
      <c r="EN5" s="71"/>
      <c r="EO5" s="71"/>
      <c r="EP5" s="345"/>
      <c r="EQ5" s="71"/>
      <c r="ER5" s="226"/>
      <c r="ES5" s="71"/>
      <c r="ET5" s="71"/>
      <c r="EU5" s="345"/>
      <c r="EV5" s="71"/>
      <c r="EW5" s="226"/>
      <c r="EX5" s="71"/>
      <c r="EY5" s="71"/>
      <c r="EZ5" s="345"/>
      <c r="FA5" s="71"/>
      <c r="FB5" s="226"/>
      <c r="FC5" s="71"/>
      <c r="FD5" s="71"/>
      <c r="FE5" s="345"/>
      <c r="FF5" s="71"/>
      <c r="FG5" s="226"/>
      <c r="FH5" s="71"/>
      <c r="FI5" s="71"/>
      <c r="FJ5" s="345"/>
      <c r="FK5" s="71"/>
      <c r="FL5" s="226"/>
      <c r="FM5" s="71"/>
      <c r="FN5" s="71"/>
      <c r="FO5" s="345"/>
      <c r="FP5" s="71"/>
      <c r="FQ5" s="226"/>
      <c r="FR5" s="71"/>
      <c r="FS5" s="71"/>
      <c r="FT5" s="345"/>
      <c r="FU5" s="71"/>
      <c r="FV5" s="226"/>
      <c r="FW5" s="71"/>
      <c r="FX5" s="71"/>
      <c r="FY5" s="345"/>
      <c r="FZ5" s="71"/>
      <c r="GA5" s="226"/>
      <c r="GB5" s="71"/>
      <c r="GC5" s="71"/>
      <c r="GD5" s="345"/>
      <c r="GE5" s="71"/>
      <c r="GF5" s="226"/>
      <c r="GG5" s="71"/>
      <c r="GH5" s="71"/>
      <c r="GI5" s="345"/>
      <c r="GJ5" s="71"/>
      <c r="GK5" s="226"/>
      <c r="GL5" s="71"/>
      <c r="GM5" s="71"/>
      <c r="GN5" s="345"/>
      <c r="GO5" s="71"/>
      <c r="GP5" s="226"/>
      <c r="GQ5" s="71"/>
      <c r="GR5" s="71"/>
      <c r="GS5" s="345"/>
      <c r="GT5" s="71"/>
      <c r="GU5" s="226"/>
      <c r="GV5" s="71"/>
      <c r="GW5" s="71"/>
      <c r="GX5" s="345"/>
      <c r="GY5" s="71"/>
      <c r="GZ5" s="226"/>
      <c r="HA5" s="71"/>
      <c r="HB5" s="71"/>
      <c r="HC5" s="345"/>
      <c r="HD5" s="71"/>
      <c r="HE5" s="226"/>
      <c r="HF5" s="71"/>
      <c r="HG5" s="71"/>
      <c r="HH5" s="345"/>
      <c r="HI5" s="71"/>
      <c r="HJ5" s="226"/>
      <c r="HK5" s="71"/>
      <c r="HL5" s="71"/>
      <c r="HM5" s="345"/>
      <c r="HN5" s="71"/>
      <c r="HO5" s="226"/>
      <c r="HP5" s="71"/>
      <c r="HQ5" s="71"/>
      <c r="HR5" s="345"/>
      <c r="HS5" s="71"/>
      <c r="HT5" s="226"/>
      <c r="HU5" s="71"/>
      <c r="HV5" s="71"/>
      <c r="HW5" s="345"/>
      <c r="HX5" s="71"/>
      <c r="HY5" s="226"/>
      <c r="HZ5" s="71"/>
      <c r="IA5" s="71"/>
      <c r="IB5" s="345"/>
      <c r="IC5" s="71"/>
      <c r="ID5" s="226"/>
      <c r="IE5" s="71"/>
      <c r="IF5" s="71"/>
      <c r="IG5" s="345"/>
      <c r="IH5" s="71"/>
      <c r="II5" s="226"/>
      <c r="IJ5" s="71"/>
      <c r="IK5" s="71"/>
      <c r="IL5" s="345"/>
      <c r="IM5" s="71"/>
      <c r="IN5" s="226"/>
      <c r="IO5" s="71"/>
      <c r="IP5" s="71"/>
      <c r="IQ5" s="345"/>
      <c r="IR5" s="71"/>
      <c r="IS5" s="226"/>
      <c r="IT5" s="71"/>
      <c r="IU5" s="71"/>
      <c r="IV5" s="345"/>
    </row>
    <row r="6" spans="1:256" x14ac:dyDescent="0.2">
      <c r="A6" s="345">
        <v>27698</v>
      </c>
      <c r="B6" s="71"/>
      <c r="C6" s="226"/>
      <c r="D6" s="71"/>
      <c r="E6" s="71"/>
      <c r="F6" s="345"/>
      <c r="G6" s="71"/>
      <c r="H6" s="226"/>
      <c r="I6" s="71"/>
      <c r="J6" s="71"/>
      <c r="K6" s="345"/>
      <c r="L6" s="71"/>
      <c r="M6" s="226"/>
      <c r="N6" s="71"/>
      <c r="O6" s="71"/>
      <c r="P6" s="345"/>
      <c r="Q6" s="71"/>
      <c r="R6" s="226"/>
      <c r="S6" s="71"/>
      <c r="T6" s="71"/>
      <c r="U6" s="345"/>
      <c r="V6" s="71"/>
      <c r="W6" s="226"/>
      <c r="X6" s="71"/>
      <c r="Y6" s="71"/>
      <c r="Z6" s="345"/>
      <c r="AA6" s="71"/>
      <c r="AB6" s="226"/>
      <c r="AC6" s="71"/>
      <c r="AD6" s="71"/>
      <c r="AE6" s="345"/>
      <c r="AF6" s="71"/>
      <c r="AG6" s="226"/>
      <c r="AH6" s="71"/>
      <c r="AI6" s="71"/>
      <c r="AJ6" s="345"/>
      <c r="AK6" s="71"/>
      <c r="AL6" s="226"/>
      <c r="AM6" s="71"/>
      <c r="AN6" s="71"/>
      <c r="AO6" s="345"/>
      <c r="AP6" s="71"/>
      <c r="AQ6" s="226"/>
      <c r="AR6" s="71"/>
      <c r="AS6" s="71"/>
      <c r="AT6" s="345"/>
      <c r="AU6" s="71"/>
      <c r="AV6" s="226"/>
      <c r="AW6" s="71"/>
      <c r="AX6" s="71"/>
      <c r="AY6" s="345"/>
      <c r="AZ6" s="71"/>
      <c r="BA6" s="226"/>
      <c r="BB6" s="71"/>
      <c r="BC6" s="71"/>
      <c r="BD6" s="345"/>
      <c r="BE6" s="71"/>
      <c r="BF6" s="226"/>
      <c r="BG6" s="71"/>
      <c r="BH6" s="71"/>
      <c r="BI6" s="345"/>
      <c r="BJ6" s="71"/>
      <c r="BK6" s="226"/>
      <c r="BL6" s="71"/>
      <c r="BM6" s="71"/>
      <c r="BN6" s="345"/>
      <c r="BO6" s="71"/>
      <c r="BP6" s="226"/>
      <c r="BQ6" s="71"/>
      <c r="BR6" s="71"/>
      <c r="BS6" s="345"/>
      <c r="BT6" s="71"/>
      <c r="BU6" s="226"/>
      <c r="BV6" s="71"/>
      <c r="BW6" s="71"/>
      <c r="BX6" s="345"/>
      <c r="BY6" s="71"/>
      <c r="BZ6" s="226"/>
      <c r="CA6" s="71"/>
      <c r="CB6" s="71"/>
      <c r="CC6" s="345"/>
      <c r="CD6" s="71"/>
      <c r="CE6" s="226"/>
      <c r="CF6" s="71"/>
      <c r="CG6" s="71"/>
      <c r="CH6" s="345"/>
      <c r="CI6" s="71"/>
      <c r="CJ6" s="226"/>
      <c r="CK6" s="71"/>
      <c r="CL6" s="71"/>
      <c r="CM6" s="345"/>
      <c r="CN6" s="71"/>
      <c r="CO6" s="226"/>
      <c r="CP6" s="71"/>
      <c r="CQ6" s="71"/>
      <c r="CR6" s="345"/>
      <c r="CS6" s="71"/>
      <c r="CT6" s="226"/>
      <c r="CU6" s="71"/>
      <c r="CV6" s="71"/>
      <c r="CW6" s="345"/>
      <c r="CX6" s="71"/>
      <c r="CY6" s="226"/>
      <c r="CZ6" s="71"/>
      <c r="DA6" s="71"/>
      <c r="DB6" s="345"/>
      <c r="DC6" s="71"/>
      <c r="DD6" s="226"/>
      <c r="DE6" s="71"/>
      <c r="DF6" s="71"/>
      <c r="DG6" s="345"/>
      <c r="DH6" s="71"/>
      <c r="DI6" s="226"/>
      <c r="DJ6" s="71"/>
      <c r="DK6" s="71"/>
      <c r="DL6" s="345"/>
      <c r="DM6" s="71"/>
      <c r="DN6" s="226"/>
      <c r="DO6" s="71"/>
      <c r="DP6" s="71"/>
      <c r="DQ6" s="345"/>
      <c r="DR6" s="71"/>
      <c r="DS6" s="226"/>
      <c r="DT6" s="71"/>
      <c r="DU6" s="71"/>
      <c r="DV6" s="345"/>
      <c r="DW6" s="71"/>
      <c r="DX6" s="226"/>
      <c r="DY6" s="71"/>
      <c r="DZ6" s="71"/>
      <c r="EA6" s="345"/>
      <c r="EB6" s="71"/>
      <c r="EC6" s="226"/>
      <c r="ED6" s="71"/>
      <c r="EE6" s="71"/>
      <c r="EF6" s="345"/>
      <c r="EG6" s="71"/>
      <c r="EH6" s="226"/>
      <c r="EI6" s="71"/>
      <c r="EJ6" s="71"/>
      <c r="EK6" s="345"/>
      <c r="EL6" s="71"/>
      <c r="EM6" s="226"/>
      <c r="EN6" s="71"/>
      <c r="EO6" s="71"/>
      <c r="EP6" s="345"/>
      <c r="EQ6" s="71"/>
      <c r="ER6" s="226"/>
      <c r="ES6" s="71"/>
      <c r="ET6" s="71"/>
      <c r="EU6" s="345"/>
      <c r="EV6" s="71"/>
      <c r="EW6" s="226"/>
      <c r="EX6" s="71"/>
      <c r="EY6" s="71"/>
      <c r="EZ6" s="345"/>
      <c r="FA6" s="71"/>
      <c r="FB6" s="226"/>
      <c r="FC6" s="71"/>
      <c r="FD6" s="71"/>
      <c r="FE6" s="345"/>
      <c r="FF6" s="71"/>
      <c r="FG6" s="226"/>
      <c r="FH6" s="71"/>
      <c r="FI6" s="71"/>
      <c r="FJ6" s="345"/>
      <c r="FK6" s="71"/>
      <c r="FL6" s="226"/>
      <c r="FM6" s="71"/>
      <c r="FN6" s="71"/>
      <c r="FO6" s="345"/>
      <c r="FP6" s="71"/>
      <c r="FQ6" s="226"/>
      <c r="FR6" s="71"/>
      <c r="FS6" s="71"/>
      <c r="FT6" s="345"/>
      <c r="FU6" s="71"/>
      <c r="FV6" s="226"/>
      <c r="FW6" s="71"/>
      <c r="FX6" s="71"/>
      <c r="FY6" s="345"/>
      <c r="FZ6" s="71"/>
      <c r="GA6" s="226"/>
      <c r="GB6" s="71"/>
      <c r="GC6" s="71"/>
      <c r="GD6" s="345"/>
      <c r="GE6" s="71"/>
      <c r="GF6" s="226"/>
      <c r="GG6" s="71"/>
      <c r="GH6" s="71"/>
      <c r="GI6" s="345"/>
      <c r="GJ6" s="71"/>
      <c r="GK6" s="226"/>
      <c r="GL6" s="71"/>
      <c r="GM6" s="71"/>
      <c r="GN6" s="345"/>
      <c r="GO6" s="71"/>
      <c r="GP6" s="226"/>
      <c r="GQ6" s="71"/>
      <c r="GR6" s="71"/>
      <c r="GS6" s="345"/>
      <c r="GT6" s="71"/>
      <c r="GU6" s="226"/>
      <c r="GV6" s="71"/>
      <c r="GW6" s="71"/>
      <c r="GX6" s="345"/>
      <c r="GY6" s="71"/>
      <c r="GZ6" s="226"/>
      <c r="HA6" s="71"/>
      <c r="HB6" s="71"/>
      <c r="HC6" s="345"/>
      <c r="HD6" s="71"/>
      <c r="HE6" s="226"/>
      <c r="HF6" s="71"/>
      <c r="HG6" s="71"/>
      <c r="HH6" s="345"/>
      <c r="HI6" s="71"/>
      <c r="HJ6" s="226"/>
      <c r="HK6" s="71"/>
      <c r="HL6" s="71"/>
      <c r="HM6" s="345"/>
      <c r="HN6" s="71"/>
      <c r="HO6" s="226"/>
      <c r="HP6" s="71"/>
      <c r="HQ6" s="71"/>
      <c r="HR6" s="345"/>
      <c r="HS6" s="71"/>
      <c r="HT6" s="226"/>
      <c r="HU6" s="71"/>
      <c r="HV6" s="71"/>
      <c r="HW6" s="345"/>
      <c r="HX6" s="71"/>
      <c r="HY6" s="226"/>
      <c r="HZ6" s="71"/>
      <c r="IA6" s="71"/>
      <c r="IB6" s="345"/>
      <c r="IC6" s="71"/>
      <c r="ID6" s="226"/>
      <c r="IE6" s="71"/>
      <c r="IF6" s="71"/>
      <c r="IG6" s="345"/>
      <c r="IH6" s="71"/>
      <c r="II6" s="226"/>
      <c r="IJ6" s="71"/>
      <c r="IK6" s="71"/>
      <c r="IL6" s="345"/>
      <c r="IM6" s="71"/>
      <c r="IN6" s="226"/>
      <c r="IO6" s="71"/>
      <c r="IP6" s="71"/>
      <c r="IQ6" s="345"/>
      <c r="IR6" s="71"/>
      <c r="IS6" s="226"/>
      <c r="IT6" s="71"/>
      <c r="IU6" s="71"/>
      <c r="IV6" s="345"/>
    </row>
    <row r="7" spans="1:256" x14ac:dyDescent="0.2">
      <c r="A7" s="345">
        <v>27728</v>
      </c>
      <c r="B7" s="71"/>
      <c r="C7" s="226"/>
      <c r="D7" s="71"/>
      <c r="E7" s="71"/>
      <c r="F7" s="345"/>
      <c r="G7" s="71"/>
      <c r="H7" s="226"/>
      <c r="I7" s="71"/>
      <c r="J7" s="71"/>
      <c r="K7" s="345"/>
      <c r="L7" s="71"/>
      <c r="M7" s="226"/>
      <c r="N7" s="71"/>
      <c r="O7" s="71"/>
      <c r="P7" s="345"/>
      <c r="Q7" s="71"/>
      <c r="R7" s="226"/>
      <c r="S7" s="71"/>
      <c r="T7" s="71"/>
      <c r="U7" s="345"/>
      <c r="V7" s="71"/>
      <c r="W7" s="226"/>
      <c r="X7" s="71"/>
      <c r="Y7" s="71"/>
      <c r="Z7" s="345"/>
      <c r="AA7" s="71"/>
      <c r="AB7" s="226"/>
      <c r="AC7" s="71"/>
      <c r="AD7" s="71"/>
      <c r="AE7" s="345"/>
      <c r="AF7" s="71"/>
      <c r="AG7" s="226"/>
      <c r="AH7" s="71"/>
      <c r="AI7" s="71"/>
      <c r="AJ7" s="345"/>
      <c r="AK7" s="71"/>
      <c r="AL7" s="226"/>
      <c r="AM7" s="71"/>
      <c r="AN7" s="71"/>
      <c r="AO7" s="345"/>
      <c r="AP7" s="71"/>
      <c r="AQ7" s="226"/>
      <c r="AR7" s="71"/>
      <c r="AS7" s="71"/>
      <c r="AT7" s="345"/>
      <c r="AU7" s="71"/>
      <c r="AV7" s="226"/>
      <c r="AW7" s="71"/>
      <c r="AX7" s="71"/>
      <c r="AY7" s="345"/>
      <c r="AZ7" s="71"/>
      <c r="BA7" s="226"/>
      <c r="BB7" s="71"/>
      <c r="BC7" s="71"/>
      <c r="BD7" s="345"/>
      <c r="BE7" s="71"/>
      <c r="BF7" s="226"/>
      <c r="BG7" s="71"/>
      <c r="BH7" s="71"/>
      <c r="BI7" s="345"/>
      <c r="BJ7" s="71"/>
      <c r="BK7" s="226"/>
      <c r="BL7" s="71"/>
      <c r="BM7" s="71"/>
      <c r="BN7" s="345"/>
      <c r="BO7" s="71"/>
      <c r="BP7" s="226"/>
      <c r="BQ7" s="71"/>
      <c r="BR7" s="71"/>
      <c r="BS7" s="345"/>
      <c r="BT7" s="71"/>
      <c r="BU7" s="226"/>
      <c r="BV7" s="71"/>
      <c r="BW7" s="71"/>
      <c r="BX7" s="345"/>
      <c r="BY7" s="71"/>
      <c r="BZ7" s="226"/>
      <c r="CA7" s="71"/>
      <c r="CB7" s="71"/>
      <c r="CC7" s="345"/>
      <c r="CD7" s="71"/>
      <c r="CE7" s="226"/>
      <c r="CF7" s="71"/>
      <c r="CG7" s="71"/>
      <c r="CH7" s="345"/>
      <c r="CI7" s="71"/>
      <c r="CJ7" s="226"/>
      <c r="CK7" s="71"/>
      <c r="CL7" s="71"/>
      <c r="CM7" s="345"/>
      <c r="CN7" s="71"/>
      <c r="CO7" s="226"/>
      <c r="CP7" s="71"/>
      <c r="CQ7" s="71"/>
      <c r="CR7" s="345"/>
      <c r="CS7" s="71"/>
      <c r="CT7" s="226"/>
      <c r="CU7" s="71"/>
      <c r="CV7" s="71"/>
      <c r="CW7" s="345"/>
      <c r="CX7" s="71"/>
      <c r="CY7" s="226"/>
      <c r="CZ7" s="71"/>
      <c r="DA7" s="71"/>
      <c r="DB7" s="345"/>
      <c r="DC7" s="71"/>
      <c r="DD7" s="226"/>
      <c r="DE7" s="71"/>
      <c r="DF7" s="71"/>
      <c r="DG7" s="345"/>
      <c r="DH7" s="71"/>
      <c r="DI7" s="226"/>
      <c r="DJ7" s="71"/>
      <c r="DK7" s="71"/>
      <c r="DL7" s="345"/>
      <c r="DM7" s="71"/>
      <c r="DN7" s="226"/>
      <c r="DO7" s="71"/>
      <c r="DP7" s="71"/>
      <c r="DQ7" s="345"/>
      <c r="DR7" s="71"/>
      <c r="DS7" s="226"/>
      <c r="DT7" s="71"/>
      <c r="DU7" s="71"/>
      <c r="DV7" s="345"/>
      <c r="DW7" s="71"/>
      <c r="DX7" s="226"/>
      <c r="DY7" s="71"/>
      <c r="DZ7" s="71"/>
      <c r="EA7" s="345"/>
      <c r="EB7" s="71"/>
      <c r="EC7" s="226"/>
      <c r="ED7" s="71"/>
      <c r="EE7" s="71"/>
      <c r="EF7" s="345"/>
      <c r="EG7" s="71"/>
      <c r="EH7" s="226"/>
      <c r="EI7" s="71"/>
      <c r="EJ7" s="71"/>
      <c r="EK7" s="345"/>
      <c r="EL7" s="71"/>
      <c r="EM7" s="226"/>
      <c r="EN7" s="71"/>
      <c r="EO7" s="71"/>
      <c r="EP7" s="345"/>
      <c r="EQ7" s="71"/>
      <c r="ER7" s="226"/>
      <c r="ES7" s="71"/>
      <c r="ET7" s="71"/>
      <c r="EU7" s="345"/>
      <c r="EV7" s="71"/>
      <c r="EW7" s="226"/>
      <c r="EX7" s="71"/>
      <c r="EY7" s="71"/>
      <c r="EZ7" s="345"/>
      <c r="FA7" s="71"/>
      <c r="FB7" s="226"/>
      <c r="FC7" s="71"/>
      <c r="FD7" s="71"/>
      <c r="FE7" s="345"/>
      <c r="FF7" s="71"/>
      <c r="FG7" s="226"/>
      <c r="FH7" s="71"/>
      <c r="FI7" s="71"/>
      <c r="FJ7" s="345"/>
      <c r="FK7" s="71"/>
      <c r="FL7" s="226"/>
      <c r="FM7" s="71"/>
      <c r="FN7" s="71"/>
      <c r="FO7" s="345"/>
      <c r="FP7" s="71"/>
      <c r="FQ7" s="226"/>
      <c r="FR7" s="71"/>
      <c r="FS7" s="71"/>
      <c r="FT7" s="345"/>
      <c r="FU7" s="71"/>
      <c r="FV7" s="226"/>
      <c r="FW7" s="71"/>
      <c r="FX7" s="71"/>
      <c r="FY7" s="345"/>
      <c r="FZ7" s="71"/>
      <c r="GA7" s="226"/>
      <c r="GB7" s="71"/>
      <c r="GC7" s="71"/>
      <c r="GD7" s="345"/>
      <c r="GE7" s="71"/>
      <c r="GF7" s="226"/>
      <c r="GG7" s="71"/>
      <c r="GH7" s="71"/>
      <c r="GI7" s="345"/>
      <c r="GJ7" s="71"/>
      <c r="GK7" s="226"/>
      <c r="GL7" s="71"/>
      <c r="GM7" s="71"/>
      <c r="GN7" s="345"/>
      <c r="GO7" s="71"/>
      <c r="GP7" s="226"/>
      <c r="GQ7" s="71"/>
      <c r="GR7" s="71"/>
      <c r="GS7" s="345"/>
      <c r="GT7" s="71"/>
      <c r="GU7" s="226"/>
      <c r="GV7" s="71"/>
      <c r="GW7" s="71"/>
      <c r="GX7" s="345"/>
      <c r="GY7" s="71"/>
      <c r="GZ7" s="226"/>
      <c r="HA7" s="71"/>
      <c r="HB7" s="71"/>
      <c r="HC7" s="345"/>
      <c r="HD7" s="71"/>
      <c r="HE7" s="226"/>
      <c r="HF7" s="71"/>
      <c r="HG7" s="71"/>
      <c r="HH7" s="345"/>
      <c r="HI7" s="71"/>
      <c r="HJ7" s="226"/>
      <c r="HK7" s="71"/>
      <c r="HL7" s="71"/>
      <c r="HM7" s="345"/>
      <c r="HN7" s="71"/>
      <c r="HO7" s="226"/>
      <c r="HP7" s="71"/>
      <c r="HQ7" s="71"/>
      <c r="HR7" s="345"/>
      <c r="HS7" s="71"/>
      <c r="HT7" s="226"/>
      <c r="HU7" s="71"/>
      <c r="HV7" s="71"/>
      <c r="HW7" s="345"/>
      <c r="HX7" s="71"/>
      <c r="HY7" s="226"/>
      <c r="HZ7" s="71"/>
      <c r="IA7" s="71"/>
      <c r="IB7" s="345"/>
      <c r="IC7" s="71"/>
      <c r="ID7" s="226"/>
      <c r="IE7" s="71"/>
      <c r="IF7" s="71"/>
      <c r="IG7" s="345"/>
      <c r="IH7" s="71"/>
      <c r="II7" s="226"/>
      <c r="IJ7" s="71"/>
      <c r="IK7" s="71"/>
      <c r="IL7" s="345"/>
      <c r="IM7" s="71"/>
      <c r="IN7" s="226"/>
      <c r="IO7" s="71"/>
      <c r="IP7" s="71"/>
      <c r="IQ7" s="345"/>
      <c r="IR7" s="71"/>
      <c r="IS7" s="226"/>
      <c r="IT7" s="71"/>
      <c r="IU7" s="71"/>
      <c r="IV7" s="345"/>
    </row>
    <row r="8" spans="1:256" x14ac:dyDescent="0.2">
      <c r="A8" s="345">
        <v>27759</v>
      </c>
      <c r="B8" s="71"/>
      <c r="C8" s="226"/>
      <c r="D8" s="71"/>
      <c r="E8" s="71"/>
      <c r="F8" s="345"/>
      <c r="G8" s="71"/>
      <c r="H8" s="226"/>
      <c r="I8" s="71"/>
      <c r="J8" s="71"/>
      <c r="K8" s="345"/>
      <c r="L8" s="71"/>
      <c r="M8" s="226"/>
      <c r="N8" s="71"/>
      <c r="O8" s="71"/>
      <c r="P8" s="345"/>
      <c r="Q8" s="71"/>
      <c r="R8" s="226"/>
      <c r="S8" s="71"/>
      <c r="T8" s="71"/>
      <c r="U8" s="345"/>
      <c r="V8" s="71"/>
      <c r="W8" s="226"/>
      <c r="X8" s="71"/>
      <c r="Y8" s="71"/>
      <c r="Z8" s="345"/>
      <c r="AA8" s="71"/>
      <c r="AB8" s="226"/>
      <c r="AC8" s="71"/>
      <c r="AD8" s="71"/>
      <c r="AE8" s="345"/>
      <c r="AF8" s="71"/>
      <c r="AG8" s="226"/>
      <c r="AH8" s="71"/>
      <c r="AI8" s="71"/>
      <c r="AJ8" s="345"/>
      <c r="AK8" s="71"/>
      <c r="AL8" s="226"/>
      <c r="AM8" s="71"/>
      <c r="AN8" s="71"/>
      <c r="AO8" s="345"/>
      <c r="AP8" s="71"/>
      <c r="AQ8" s="226"/>
      <c r="AR8" s="71"/>
      <c r="AS8" s="71"/>
      <c r="AT8" s="345"/>
      <c r="AU8" s="71"/>
      <c r="AV8" s="226"/>
      <c r="AW8" s="71"/>
      <c r="AX8" s="71"/>
      <c r="AY8" s="345"/>
      <c r="AZ8" s="71"/>
      <c r="BA8" s="226"/>
      <c r="BB8" s="71"/>
      <c r="BC8" s="71"/>
      <c r="BD8" s="345"/>
      <c r="BE8" s="71"/>
      <c r="BF8" s="226"/>
      <c r="BG8" s="71"/>
      <c r="BH8" s="71"/>
      <c r="BI8" s="345"/>
      <c r="BJ8" s="71"/>
      <c r="BK8" s="226"/>
      <c r="BL8" s="71"/>
      <c r="BM8" s="71"/>
      <c r="BN8" s="345"/>
      <c r="BO8" s="71"/>
      <c r="BP8" s="226"/>
      <c r="BQ8" s="71"/>
      <c r="BR8" s="71"/>
      <c r="BS8" s="345"/>
      <c r="BT8" s="71"/>
      <c r="BU8" s="226"/>
      <c r="BV8" s="71"/>
      <c r="BW8" s="71"/>
      <c r="BX8" s="345"/>
      <c r="BY8" s="71"/>
      <c r="BZ8" s="226"/>
      <c r="CA8" s="71"/>
      <c r="CB8" s="71"/>
      <c r="CC8" s="345"/>
      <c r="CD8" s="71"/>
      <c r="CE8" s="226"/>
      <c r="CF8" s="71"/>
      <c r="CG8" s="71"/>
      <c r="CH8" s="345"/>
      <c r="CI8" s="71"/>
      <c r="CJ8" s="226"/>
      <c r="CK8" s="71"/>
      <c r="CL8" s="71"/>
      <c r="CM8" s="345"/>
      <c r="CN8" s="71"/>
      <c r="CO8" s="226"/>
      <c r="CP8" s="71"/>
      <c r="CQ8" s="71"/>
      <c r="CR8" s="345"/>
      <c r="CS8" s="71"/>
      <c r="CT8" s="226"/>
      <c r="CU8" s="71"/>
      <c r="CV8" s="71"/>
      <c r="CW8" s="345"/>
      <c r="CX8" s="71"/>
      <c r="CY8" s="226"/>
      <c r="CZ8" s="71"/>
      <c r="DA8" s="71"/>
      <c r="DB8" s="345"/>
      <c r="DC8" s="71"/>
      <c r="DD8" s="226"/>
      <c r="DE8" s="71"/>
      <c r="DF8" s="71"/>
      <c r="DG8" s="345"/>
      <c r="DH8" s="71"/>
      <c r="DI8" s="226"/>
      <c r="DJ8" s="71"/>
      <c r="DK8" s="71"/>
      <c r="DL8" s="345"/>
      <c r="DM8" s="71"/>
      <c r="DN8" s="226"/>
      <c r="DO8" s="71"/>
      <c r="DP8" s="71"/>
      <c r="DQ8" s="345"/>
      <c r="DR8" s="71"/>
      <c r="DS8" s="226"/>
      <c r="DT8" s="71"/>
      <c r="DU8" s="71"/>
      <c r="DV8" s="345"/>
      <c r="DW8" s="71"/>
      <c r="DX8" s="226"/>
      <c r="DY8" s="71"/>
      <c r="DZ8" s="71"/>
      <c r="EA8" s="345"/>
      <c r="EB8" s="71"/>
      <c r="EC8" s="226"/>
      <c r="ED8" s="71"/>
      <c r="EE8" s="71"/>
      <c r="EF8" s="345"/>
      <c r="EG8" s="71"/>
      <c r="EH8" s="226"/>
      <c r="EI8" s="71"/>
      <c r="EJ8" s="71"/>
      <c r="EK8" s="345"/>
      <c r="EL8" s="71"/>
      <c r="EM8" s="226"/>
      <c r="EN8" s="71"/>
      <c r="EO8" s="71"/>
      <c r="EP8" s="345"/>
      <c r="EQ8" s="71"/>
      <c r="ER8" s="226"/>
      <c r="ES8" s="71"/>
      <c r="ET8" s="71"/>
      <c r="EU8" s="345"/>
      <c r="EV8" s="71"/>
      <c r="EW8" s="226"/>
      <c r="EX8" s="71"/>
      <c r="EY8" s="71"/>
      <c r="EZ8" s="345"/>
      <c r="FA8" s="71"/>
      <c r="FB8" s="226"/>
      <c r="FC8" s="71"/>
      <c r="FD8" s="71"/>
      <c r="FE8" s="345"/>
      <c r="FF8" s="71"/>
      <c r="FG8" s="226"/>
      <c r="FH8" s="71"/>
      <c r="FI8" s="71"/>
      <c r="FJ8" s="345"/>
      <c r="FK8" s="71"/>
      <c r="FL8" s="226"/>
      <c r="FM8" s="71"/>
      <c r="FN8" s="71"/>
      <c r="FO8" s="345"/>
      <c r="FP8" s="71"/>
      <c r="FQ8" s="226"/>
      <c r="FR8" s="71"/>
      <c r="FS8" s="71"/>
      <c r="FT8" s="345"/>
      <c r="FU8" s="71"/>
      <c r="FV8" s="226"/>
      <c r="FW8" s="71"/>
      <c r="FX8" s="71"/>
      <c r="FY8" s="345"/>
      <c r="FZ8" s="71"/>
      <c r="GA8" s="226"/>
      <c r="GB8" s="71"/>
      <c r="GC8" s="71"/>
      <c r="GD8" s="345"/>
      <c r="GE8" s="71"/>
      <c r="GF8" s="226"/>
      <c r="GG8" s="71"/>
      <c r="GH8" s="71"/>
      <c r="GI8" s="345"/>
      <c r="GJ8" s="71"/>
      <c r="GK8" s="226"/>
      <c r="GL8" s="71"/>
      <c r="GM8" s="71"/>
      <c r="GN8" s="345"/>
      <c r="GO8" s="71"/>
      <c r="GP8" s="226"/>
      <c r="GQ8" s="71"/>
      <c r="GR8" s="71"/>
      <c r="GS8" s="345"/>
      <c r="GT8" s="71"/>
      <c r="GU8" s="226"/>
      <c r="GV8" s="71"/>
      <c r="GW8" s="71"/>
      <c r="GX8" s="345"/>
      <c r="GY8" s="71"/>
      <c r="GZ8" s="226"/>
      <c r="HA8" s="71"/>
      <c r="HB8" s="71"/>
      <c r="HC8" s="345"/>
      <c r="HD8" s="71"/>
      <c r="HE8" s="226"/>
      <c r="HF8" s="71"/>
      <c r="HG8" s="71"/>
      <c r="HH8" s="345"/>
      <c r="HI8" s="71"/>
      <c r="HJ8" s="226"/>
      <c r="HK8" s="71"/>
      <c r="HL8" s="71"/>
      <c r="HM8" s="345"/>
      <c r="HN8" s="71"/>
      <c r="HO8" s="226"/>
      <c r="HP8" s="71"/>
      <c r="HQ8" s="71"/>
      <c r="HR8" s="345"/>
      <c r="HS8" s="71"/>
      <c r="HT8" s="226"/>
      <c r="HU8" s="71"/>
      <c r="HV8" s="71"/>
      <c r="HW8" s="345"/>
      <c r="HX8" s="71"/>
      <c r="HY8" s="226"/>
      <c r="HZ8" s="71"/>
      <c r="IA8" s="71"/>
      <c r="IB8" s="345"/>
      <c r="IC8" s="71"/>
      <c r="ID8" s="226"/>
      <c r="IE8" s="71"/>
      <c r="IF8" s="71"/>
      <c r="IG8" s="345"/>
      <c r="IH8" s="71"/>
      <c r="II8" s="226"/>
      <c r="IJ8" s="71"/>
      <c r="IK8" s="71"/>
      <c r="IL8" s="345"/>
      <c r="IM8" s="71"/>
      <c r="IN8" s="226"/>
      <c r="IO8" s="71"/>
      <c r="IP8" s="71"/>
      <c r="IQ8" s="345"/>
      <c r="IR8" s="71"/>
      <c r="IS8" s="226"/>
      <c r="IT8" s="71"/>
      <c r="IU8" s="71"/>
      <c r="IV8" s="345"/>
    </row>
    <row r="9" spans="1:256" x14ac:dyDescent="0.2">
      <c r="A9" s="345">
        <v>27790</v>
      </c>
      <c r="B9" s="71"/>
      <c r="C9" s="226"/>
      <c r="D9" s="71"/>
      <c r="E9" s="71"/>
      <c r="F9" s="345"/>
      <c r="G9" s="71"/>
      <c r="H9" s="226"/>
      <c r="I9" s="71"/>
      <c r="J9" s="71"/>
      <c r="K9" s="345"/>
      <c r="L9" s="71"/>
      <c r="M9" s="226"/>
      <c r="N9" s="71"/>
      <c r="O9" s="71"/>
      <c r="P9" s="345"/>
      <c r="Q9" s="71"/>
      <c r="R9" s="226"/>
      <c r="S9" s="71"/>
      <c r="T9" s="71"/>
      <c r="U9" s="345"/>
      <c r="V9" s="71"/>
      <c r="W9" s="226"/>
      <c r="X9" s="71"/>
      <c r="Y9" s="71"/>
      <c r="Z9" s="345"/>
      <c r="AA9" s="71"/>
      <c r="AB9" s="226"/>
      <c r="AC9" s="71"/>
      <c r="AD9" s="71"/>
      <c r="AE9" s="345"/>
      <c r="AF9" s="71"/>
      <c r="AG9" s="226"/>
      <c r="AH9" s="71"/>
      <c r="AI9" s="71"/>
      <c r="AJ9" s="345"/>
      <c r="AK9" s="71"/>
      <c r="AL9" s="226"/>
      <c r="AM9" s="71"/>
      <c r="AN9" s="71"/>
      <c r="AO9" s="345"/>
      <c r="AP9" s="71"/>
      <c r="AQ9" s="226"/>
      <c r="AR9" s="71"/>
      <c r="AS9" s="71"/>
      <c r="AT9" s="345"/>
      <c r="AU9" s="71"/>
      <c r="AV9" s="226"/>
      <c r="AW9" s="71"/>
      <c r="AX9" s="71"/>
      <c r="AY9" s="345"/>
      <c r="AZ9" s="71"/>
      <c r="BA9" s="226"/>
      <c r="BB9" s="71"/>
      <c r="BC9" s="71"/>
      <c r="BD9" s="345"/>
      <c r="BE9" s="71"/>
      <c r="BF9" s="226"/>
      <c r="BG9" s="71"/>
      <c r="BH9" s="71"/>
      <c r="BI9" s="345"/>
      <c r="BJ9" s="71"/>
      <c r="BK9" s="226"/>
      <c r="BL9" s="71"/>
      <c r="BM9" s="71"/>
      <c r="BN9" s="345"/>
      <c r="BO9" s="71"/>
      <c r="BP9" s="226"/>
      <c r="BQ9" s="71"/>
      <c r="BR9" s="71"/>
      <c r="BS9" s="345"/>
      <c r="BT9" s="71"/>
      <c r="BU9" s="226"/>
      <c r="BV9" s="71"/>
      <c r="BW9" s="71"/>
      <c r="BX9" s="345"/>
      <c r="BY9" s="71"/>
      <c r="BZ9" s="226"/>
      <c r="CA9" s="71"/>
      <c r="CB9" s="71"/>
      <c r="CC9" s="345"/>
      <c r="CD9" s="71"/>
      <c r="CE9" s="226"/>
      <c r="CF9" s="71"/>
      <c r="CG9" s="71"/>
      <c r="CH9" s="345"/>
      <c r="CI9" s="71"/>
      <c r="CJ9" s="226"/>
      <c r="CK9" s="71"/>
      <c r="CL9" s="71"/>
      <c r="CM9" s="345"/>
      <c r="CN9" s="71"/>
      <c r="CO9" s="226"/>
      <c r="CP9" s="71"/>
      <c r="CQ9" s="71"/>
      <c r="CR9" s="345"/>
      <c r="CS9" s="71"/>
      <c r="CT9" s="226"/>
      <c r="CU9" s="71"/>
      <c r="CV9" s="71"/>
      <c r="CW9" s="345"/>
      <c r="CX9" s="71"/>
      <c r="CY9" s="226"/>
      <c r="CZ9" s="71"/>
      <c r="DA9" s="71"/>
      <c r="DB9" s="345"/>
      <c r="DC9" s="71"/>
      <c r="DD9" s="226"/>
      <c r="DE9" s="71"/>
      <c r="DF9" s="71"/>
      <c r="DG9" s="345"/>
      <c r="DH9" s="71"/>
      <c r="DI9" s="226"/>
      <c r="DJ9" s="71"/>
      <c r="DK9" s="71"/>
      <c r="DL9" s="345"/>
      <c r="DM9" s="71"/>
      <c r="DN9" s="226"/>
      <c r="DO9" s="71"/>
      <c r="DP9" s="71"/>
      <c r="DQ9" s="345"/>
      <c r="DR9" s="71"/>
      <c r="DS9" s="226"/>
      <c r="DT9" s="71"/>
      <c r="DU9" s="71"/>
      <c r="DV9" s="345"/>
      <c r="DW9" s="71"/>
      <c r="DX9" s="226"/>
      <c r="DY9" s="71"/>
      <c r="DZ9" s="71"/>
      <c r="EA9" s="345"/>
      <c r="EB9" s="71"/>
      <c r="EC9" s="226"/>
      <c r="ED9" s="71"/>
      <c r="EE9" s="71"/>
      <c r="EF9" s="345"/>
      <c r="EG9" s="71"/>
      <c r="EH9" s="226"/>
      <c r="EI9" s="71"/>
      <c r="EJ9" s="71"/>
      <c r="EK9" s="345"/>
      <c r="EL9" s="71"/>
      <c r="EM9" s="226"/>
      <c r="EN9" s="71"/>
      <c r="EO9" s="71"/>
      <c r="EP9" s="345"/>
      <c r="EQ9" s="71"/>
      <c r="ER9" s="226"/>
      <c r="ES9" s="71"/>
      <c r="ET9" s="71"/>
      <c r="EU9" s="345"/>
      <c r="EV9" s="71"/>
      <c r="EW9" s="226"/>
      <c r="EX9" s="71"/>
      <c r="EY9" s="71"/>
      <c r="EZ9" s="345"/>
      <c r="FA9" s="71"/>
      <c r="FB9" s="226"/>
      <c r="FC9" s="71"/>
      <c r="FD9" s="71"/>
      <c r="FE9" s="345"/>
      <c r="FF9" s="71"/>
      <c r="FG9" s="226"/>
      <c r="FH9" s="71"/>
      <c r="FI9" s="71"/>
      <c r="FJ9" s="345"/>
      <c r="FK9" s="71"/>
      <c r="FL9" s="226"/>
      <c r="FM9" s="71"/>
      <c r="FN9" s="71"/>
      <c r="FO9" s="345"/>
      <c r="FP9" s="71"/>
      <c r="FQ9" s="226"/>
      <c r="FR9" s="71"/>
      <c r="FS9" s="71"/>
      <c r="FT9" s="345"/>
      <c r="FU9" s="71"/>
      <c r="FV9" s="226"/>
      <c r="FW9" s="71"/>
      <c r="FX9" s="71"/>
      <c r="FY9" s="345"/>
      <c r="FZ9" s="71"/>
      <c r="GA9" s="226"/>
      <c r="GB9" s="71"/>
      <c r="GC9" s="71"/>
      <c r="GD9" s="345"/>
      <c r="GE9" s="71"/>
      <c r="GF9" s="226"/>
      <c r="GG9" s="71"/>
      <c r="GH9" s="71"/>
      <c r="GI9" s="345"/>
      <c r="GJ9" s="71"/>
      <c r="GK9" s="226"/>
      <c r="GL9" s="71"/>
      <c r="GM9" s="71"/>
      <c r="GN9" s="345"/>
      <c r="GO9" s="71"/>
      <c r="GP9" s="226"/>
      <c r="GQ9" s="71"/>
      <c r="GR9" s="71"/>
      <c r="GS9" s="345"/>
      <c r="GT9" s="71"/>
      <c r="GU9" s="226"/>
      <c r="GV9" s="71"/>
      <c r="GW9" s="71"/>
      <c r="GX9" s="345"/>
      <c r="GY9" s="71"/>
      <c r="GZ9" s="226"/>
      <c r="HA9" s="71"/>
      <c r="HB9" s="71"/>
      <c r="HC9" s="345"/>
      <c r="HD9" s="71"/>
      <c r="HE9" s="226"/>
      <c r="HF9" s="71"/>
      <c r="HG9" s="71"/>
      <c r="HH9" s="345"/>
      <c r="HI9" s="71"/>
      <c r="HJ9" s="226"/>
      <c r="HK9" s="71"/>
      <c r="HL9" s="71"/>
      <c r="HM9" s="345"/>
      <c r="HN9" s="71"/>
      <c r="HO9" s="226"/>
      <c r="HP9" s="71"/>
      <c r="HQ9" s="71"/>
      <c r="HR9" s="345"/>
      <c r="HS9" s="71"/>
      <c r="HT9" s="226"/>
      <c r="HU9" s="71"/>
      <c r="HV9" s="71"/>
      <c r="HW9" s="345"/>
      <c r="HX9" s="71"/>
      <c r="HY9" s="226"/>
      <c r="HZ9" s="71"/>
      <c r="IA9" s="71"/>
      <c r="IB9" s="345"/>
      <c r="IC9" s="71"/>
      <c r="ID9" s="226"/>
      <c r="IE9" s="71"/>
      <c r="IF9" s="71"/>
      <c r="IG9" s="345"/>
      <c r="IH9" s="71"/>
      <c r="II9" s="226"/>
      <c r="IJ9" s="71"/>
      <c r="IK9" s="71"/>
      <c r="IL9" s="345"/>
      <c r="IM9" s="71"/>
      <c r="IN9" s="226"/>
      <c r="IO9" s="71"/>
      <c r="IP9" s="71"/>
      <c r="IQ9" s="345"/>
      <c r="IR9" s="71"/>
      <c r="IS9" s="226"/>
      <c r="IT9" s="71"/>
      <c r="IU9" s="71"/>
      <c r="IV9" s="345"/>
    </row>
    <row r="10" spans="1:256" x14ac:dyDescent="0.2">
      <c r="A10" s="345">
        <v>27819</v>
      </c>
      <c r="B10" s="71"/>
      <c r="C10" s="226"/>
      <c r="D10" s="71"/>
      <c r="E10" s="71"/>
      <c r="F10" s="345"/>
      <c r="G10" s="71"/>
      <c r="H10" s="226"/>
      <c r="I10" s="71"/>
      <c r="J10" s="71"/>
      <c r="K10" s="345"/>
      <c r="L10" s="71"/>
      <c r="M10" s="226"/>
      <c r="N10" s="71"/>
      <c r="O10" s="71"/>
      <c r="P10" s="345"/>
      <c r="Q10" s="71"/>
      <c r="R10" s="226"/>
      <c r="S10" s="71"/>
      <c r="T10" s="71"/>
      <c r="U10" s="345"/>
      <c r="V10" s="71"/>
      <c r="W10" s="226"/>
      <c r="X10" s="71"/>
      <c r="Y10" s="71"/>
      <c r="Z10" s="345"/>
      <c r="AA10" s="71"/>
      <c r="AB10" s="226"/>
      <c r="AC10" s="71"/>
      <c r="AD10" s="71"/>
      <c r="AE10" s="345"/>
      <c r="AF10" s="71"/>
      <c r="AG10" s="226"/>
      <c r="AH10" s="71"/>
      <c r="AI10" s="71"/>
      <c r="AJ10" s="345"/>
      <c r="AK10" s="71"/>
      <c r="AL10" s="226"/>
      <c r="AM10" s="71"/>
      <c r="AN10" s="71"/>
      <c r="AO10" s="345"/>
      <c r="AP10" s="71"/>
      <c r="AQ10" s="226"/>
      <c r="AR10" s="71"/>
      <c r="AS10" s="71"/>
      <c r="AT10" s="345"/>
      <c r="AU10" s="71"/>
      <c r="AV10" s="226"/>
      <c r="AW10" s="71"/>
      <c r="AX10" s="71"/>
      <c r="AY10" s="345"/>
      <c r="AZ10" s="71"/>
      <c r="BA10" s="226"/>
      <c r="BB10" s="71"/>
      <c r="BC10" s="71"/>
      <c r="BD10" s="345"/>
      <c r="BE10" s="71"/>
      <c r="BF10" s="226"/>
      <c r="BG10" s="71"/>
      <c r="BH10" s="71"/>
      <c r="BI10" s="345"/>
      <c r="BJ10" s="71"/>
      <c r="BK10" s="226"/>
      <c r="BL10" s="71"/>
      <c r="BM10" s="71"/>
      <c r="BN10" s="345"/>
      <c r="BO10" s="71"/>
      <c r="BP10" s="226"/>
      <c r="BQ10" s="71"/>
      <c r="BR10" s="71"/>
      <c r="BS10" s="345"/>
      <c r="BT10" s="71"/>
      <c r="BU10" s="226"/>
      <c r="BV10" s="71"/>
      <c r="BW10" s="71"/>
      <c r="BX10" s="345"/>
      <c r="BY10" s="71"/>
      <c r="BZ10" s="226"/>
      <c r="CA10" s="71"/>
      <c r="CB10" s="71"/>
      <c r="CC10" s="345"/>
      <c r="CD10" s="71"/>
      <c r="CE10" s="226"/>
      <c r="CF10" s="71"/>
      <c r="CG10" s="71"/>
      <c r="CH10" s="345"/>
      <c r="CI10" s="71"/>
      <c r="CJ10" s="226"/>
      <c r="CK10" s="71"/>
      <c r="CL10" s="71"/>
      <c r="CM10" s="345"/>
      <c r="CN10" s="71"/>
      <c r="CO10" s="226"/>
      <c r="CP10" s="71"/>
      <c r="CQ10" s="71"/>
      <c r="CR10" s="345"/>
      <c r="CS10" s="71"/>
      <c r="CT10" s="226"/>
      <c r="CU10" s="71"/>
      <c r="CV10" s="71"/>
      <c r="CW10" s="345"/>
      <c r="CX10" s="71"/>
      <c r="CY10" s="226"/>
      <c r="CZ10" s="71"/>
      <c r="DA10" s="71"/>
      <c r="DB10" s="345"/>
      <c r="DC10" s="71"/>
      <c r="DD10" s="226"/>
      <c r="DE10" s="71"/>
      <c r="DF10" s="71"/>
      <c r="DG10" s="345"/>
      <c r="DH10" s="71"/>
      <c r="DI10" s="226"/>
      <c r="DJ10" s="71"/>
      <c r="DK10" s="71"/>
      <c r="DL10" s="345"/>
      <c r="DM10" s="71"/>
      <c r="DN10" s="226"/>
      <c r="DO10" s="71"/>
      <c r="DP10" s="71"/>
      <c r="DQ10" s="345"/>
      <c r="DR10" s="71"/>
      <c r="DS10" s="226"/>
      <c r="DT10" s="71"/>
      <c r="DU10" s="71"/>
      <c r="DV10" s="345"/>
      <c r="DW10" s="71"/>
      <c r="DX10" s="226"/>
      <c r="DY10" s="71"/>
      <c r="DZ10" s="71"/>
      <c r="EA10" s="345"/>
      <c r="EB10" s="71"/>
      <c r="EC10" s="226"/>
      <c r="ED10" s="71"/>
      <c r="EE10" s="71"/>
      <c r="EF10" s="345"/>
      <c r="EG10" s="71"/>
      <c r="EH10" s="226"/>
      <c r="EI10" s="71"/>
      <c r="EJ10" s="71"/>
      <c r="EK10" s="345"/>
      <c r="EL10" s="71"/>
      <c r="EM10" s="226"/>
      <c r="EN10" s="71"/>
      <c r="EO10" s="71"/>
      <c r="EP10" s="345"/>
      <c r="EQ10" s="71"/>
      <c r="ER10" s="226"/>
      <c r="ES10" s="71"/>
      <c r="ET10" s="71"/>
      <c r="EU10" s="345"/>
      <c r="EV10" s="71"/>
      <c r="EW10" s="226"/>
      <c r="EX10" s="71"/>
      <c r="EY10" s="71"/>
      <c r="EZ10" s="345"/>
      <c r="FA10" s="71"/>
      <c r="FB10" s="226"/>
      <c r="FC10" s="71"/>
      <c r="FD10" s="71"/>
      <c r="FE10" s="345"/>
      <c r="FF10" s="71"/>
      <c r="FG10" s="226"/>
      <c r="FH10" s="71"/>
      <c r="FI10" s="71"/>
      <c r="FJ10" s="345"/>
      <c r="FK10" s="71"/>
      <c r="FL10" s="226"/>
      <c r="FM10" s="71"/>
      <c r="FN10" s="71"/>
      <c r="FO10" s="345"/>
      <c r="FP10" s="71"/>
      <c r="FQ10" s="226"/>
      <c r="FR10" s="71"/>
      <c r="FS10" s="71"/>
      <c r="FT10" s="345"/>
      <c r="FU10" s="71"/>
      <c r="FV10" s="226"/>
      <c r="FW10" s="71"/>
      <c r="FX10" s="71"/>
      <c r="FY10" s="345"/>
      <c r="FZ10" s="71"/>
      <c r="GA10" s="226"/>
      <c r="GB10" s="71"/>
      <c r="GC10" s="71"/>
      <c r="GD10" s="345"/>
      <c r="GE10" s="71"/>
      <c r="GF10" s="226"/>
      <c r="GG10" s="71"/>
      <c r="GH10" s="71"/>
      <c r="GI10" s="345"/>
      <c r="GJ10" s="71"/>
      <c r="GK10" s="226"/>
      <c r="GL10" s="71"/>
      <c r="GM10" s="71"/>
      <c r="GN10" s="345"/>
      <c r="GO10" s="71"/>
      <c r="GP10" s="226"/>
      <c r="GQ10" s="71"/>
      <c r="GR10" s="71"/>
      <c r="GS10" s="345"/>
      <c r="GT10" s="71"/>
      <c r="GU10" s="226"/>
      <c r="GV10" s="71"/>
      <c r="GW10" s="71"/>
      <c r="GX10" s="345"/>
      <c r="GY10" s="71"/>
      <c r="GZ10" s="226"/>
      <c r="HA10" s="71"/>
      <c r="HB10" s="71"/>
      <c r="HC10" s="345"/>
      <c r="HD10" s="71"/>
      <c r="HE10" s="226"/>
      <c r="HF10" s="71"/>
      <c r="HG10" s="71"/>
      <c r="HH10" s="345"/>
      <c r="HI10" s="71"/>
      <c r="HJ10" s="226"/>
      <c r="HK10" s="71"/>
      <c r="HL10" s="71"/>
      <c r="HM10" s="345"/>
      <c r="HN10" s="71"/>
      <c r="HO10" s="226"/>
      <c r="HP10" s="71"/>
      <c r="HQ10" s="71"/>
      <c r="HR10" s="345"/>
      <c r="HS10" s="71"/>
      <c r="HT10" s="226"/>
      <c r="HU10" s="71"/>
      <c r="HV10" s="71"/>
      <c r="HW10" s="345"/>
      <c r="HX10" s="71"/>
      <c r="HY10" s="226"/>
      <c r="HZ10" s="71"/>
      <c r="IA10" s="71"/>
      <c r="IB10" s="345"/>
      <c r="IC10" s="71"/>
      <c r="ID10" s="226"/>
      <c r="IE10" s="71"/>
      <c r="IF10" s="71"/>
      <c r="IG10" s="345"/>
      <c r="IH10" s="71"/>
      <c r="II10" s="226"/>
      <c r="IJ10" s="71"/>
      <c r="IK10" s="71"/>
      <c r="IL10" s="345"/>
      <c r="IM10" s="71"/>
      <c r="IN10" s="226"/>
      <c r="IO10" s="71"/>
      <c r="IP10" s="71"/>
      <c r="IQ10" s="345"/>
      <c r="IR10" s="71"/>
      <c r="IS10" s="226"/>
      <c r="IT10" s="71"/>
      <c r="IU10" s="71"/>
      <c r="IV10" s="345"/>
    </row>
    <row r="11" spans="1:256" x14ac:dyDescent="0.2">
      <c r="A11" s="345">
        <v>27850</v>
      </c>
      <c r="B11" s="71"/>
      <c r="C11" s="226"/>
      <c r="D11" s="71"/>
      <c r="E11" s="71"/>
      <c r="F11" s="345"/>
      <c r="G11" s="71"/>
      <c r="H11" s="226"/>
      <c r="I11" s="71"/>
      <c r="J11" s="71"/>
      <c r="K11" s="345"/>
      <c r="L11" s="71"/>
      <c r="M11" s="226"/>
      <c r="N11" s="71"/>
      <c r="O11" s="71"/>
      <c r="P11" s="345"/>
      <c r="Q11" s="71"/>
      <c r="R11" s="226"/>
      <c r="S11" s="71"/>
      <c r="T11" s="71"/>
      <c r="U11" s="345"/>
      <c r="V11" s="71"/>
      <c r="W11" s="226"/>
      <c r="X11" s="71"/>
      <c r="Y11" s="71"/>
      <c r="Z11" s="345"/>
      <c r="AA11" s="71"/>
      <c r="AB11" s="226"/>
      <c r="AC11" s="71"/>
      <c r="AD11" s="71"/>
      <c r="AE11" s="345"/>
      <c r="AF11" s="71"/>
      <c r="AG11" s="226"/>
      <c r="AH11" s="71"/>
      <c r="AI11" s="71"/>
      <c r="AJ11" s="345"/>
      <c r="AK11" s="71"/>
      <c r="AL11" s="226"/>
      <c r="AM11" s="71"/>
      <c r="AN11" s="71"/>
      <c r="AO11" s="345"/>
      <c r="AP11" s="71"/>
      <c r="AQ11" s="226"/>
      <c r="AR11" s="71"/>
      <c r="AS11" s="71"/>
      <c r="AT11" s="345"/>
      <c r="AU11" s="71"/>
      <c r="AV11" s="226"/>
      <c r="AW11" s="71"/>
      <c r="AX11" s="71"/>
      <c r="AY11" s="345"/>
      <c r="AZ11" s="71"/>
      <c r="BA11" s="226"/>
      <c r="BB11" s="71"/>
      <c r="BC11" s="71"/>
      <c r="BD11" s="345"/>
      <c r="BE11" s="71"/>
      <c r="BF11" s="226"/>
      <c r="BG11" s="71"/>
      <c r="BH11" s="71"/>
      <c r="BI11" s="345"/>
      <c r="BJ11" s="71"/>
      <c r="BK11" s="226"/>
      <c r="BL11" s="71"/>
      <c r="BM11" s="71"/>
      <c r="BN11" s="345"/>
      <c r="BO11" s="71"/>
      <c r="BP11" s="226"/>
      <c r="BQ11" s="71"/>
      <c r="BR11" s="71"/>
      <c r="BS11" s="345"/>
      <c r="BT11" s="71"/>
      <c r="BU11" s="226"/>
      <c r="BV11" s="71"/>
      <c r="BW11" s="71"/>
      <c r="BX11" s="345"/>
      <c r="BY11" s="71"/>
      <c r="BZ11" s="226"/>
      <c r="CA11" s="71"/>
      <c r="CB11" s="71"/>
      <c r="CC11" s="345"/>
      <c r="CD11" s="71"/>
      <c r="CE11" s="226"/>
      <c r="CF11" s="71"/>
      <c r="CG11" s="71"/>
      <c r="CH11" s="345"/>
      <c r="CI11" s="71"/>
      <c r="CJ11" s="226"/>
      <c r="CK11" s="71"/>
      <c r="CL11" s="71"/>
      <c r="CM11" s="345"/>
      <c r="CN11" s="71"/>
      <c r="CO11" s="226"/>
      <c r="CP11" s="71"/>
      <c r="CQ11" s="71"/>
      <c r="CR11" s="345"/>
      <c r="CS11" s="71"/>
      <c r="CT11" s="226"/>
      <c r="CU11" s="71"/>
      <c r="CV11" s="71"/>
      <c r="CW11" s="345"/>
      <c r="CX11" s="71"/>
      <c r="CY11" s="226"/>
      <c r="CZ11" s="71"/>
      <c r="DA11" s="71"/>
      <c r="DB11" s="345"/>
      <c r="DC11" s="71"/>
      <c r="DD11" s="226"/>
      <c r="DE11" s="71"/>
      <c r="DF11" s="71"/>
      <c r="DG11" s="345"/>
      <c r="DH11" s="71"/>
      <c r="DI11" s="226"/>
      <c r="DJ11" s="71"/>
      <c r="DK11" s="71"/>
      <c r="DL11" s="345"/>
      <c r="DM11" s="71"/>
      <c r="DN11" s="226"/>
      <c r="DO11" s="71"/>
      <c r="DP11" s="71"/>
      <c r="DQ11" s="345"/>
      <c r="DR11" s="71"/>
      <c r="DS11" s="226"/>
      <c r="DT11" s="71"/>
      <c r="DU11" s="71"/>
      <c r="DV11" s="345"/>
      <c r="DW11" s="71"/>
      <c r="DX11" s="226"/>
      <c r="DY11" s="71"/>
      <c r="DZ11" s="71"/>
      <c r="EA11" s="345"/>
      <c r="EB11" s="71"/>
      <c r="EC11" s="226"/>
      <c r="ED11" s="71"/>
      <c r="EE11" s="71"/>
      <c r="EF11" s="345"/>
      <c r="EG11" s="71"/>
      <c r="EH11" s="226"/>
      <c r="EI11" s="71"/>
      <c r="EJ11" s="71"/>
      <c r="EK11" s="345"/>
      <c r="EL11" s="71"/>
      <c r="EM11" s="226"/>
      <c r="EN11" s="71"/>
      <c r="EO11" s="71"/>
      <c r="EP11" s="345"/>
      <c r="EQ11" s="71"/>
      <c r="ER11" s="226"/>
      <c r="ES11" s="71"/>
      <c r="ET11" s="71"/>
      <c r="EU11" s="345"/>
      <c r="EV11" s="71"/>
      <c r="EW11" s="226"/>
      <c r="EX11" s="71"/>
      <c r="EY11" s="71"/>
      <c r="EZ11" s="345"/>
      <c r="FA11" s="71"/>
      <c r="FB11" s="226"/>
      <c r="FC11" s="71"/>
      <c r="FD11" s="71"/>
      <c r="FE11" s="345"/>
      <c r="FF11" s="71"/>
      <c r="FG11" s="226"/>
      <c r="FH11" s="71"/>
      <c r="FI11" s="71"/>
      <c r="FJ11" s="345"/>
      <c r="FK11" s="71"/>
      <c r="FL11" s="226"/>
      <c r="FM11" s="71"/>
      <c r="FN11" s="71"/>
      <c r="FO11" s="345"/>
      <c r="FP11" s="71"/>
      <c r="FQ11" s="226"/>
      <c r="FR11" s="71"/>
      <c r="FS11" s="71"/>
      <c r="FT11" s="345"/>
      <c r="FU11" s="71"/>
      <c r="FV11" s="226"/>
      <c r="FW11" s="71"/>
      <c r="FX11" s="71"/>
      <c r="FY11" s="345"/>
      <c r="FZ11" s="71"/>
      <c r="GA11" s="226"/>
      <c r="GB11" s="71"/>
      <c r="GC11" s="71"/>
      <c r="GD11" s="345"/>
      <c r="GE11" s="71"/>
      <c r="GF11" s="226"/>
      <c r="GG11" s="71"/>
      <c r="GH11" s="71"/>
      <c r="GI11" s="345"/>
      <c r="GJ11" s="71"/>
      <c r="GK11" s="226"/>
      <c r="GL11" s="71"/>
      <c r="GM11" s="71"/>
      <c r="GN11" s="345"/>
      <c r="GO11" s="71"/>
      <c r="GP11" s="226"/>
      <c r="GQ11" s="71"/>
      <c r="GR11" s="71"/>
      <c r="GS11" s="345"/>
      <c r="GT11" s="71"/>
      <c r="GU11" s="226"/>
      <c r="GV11" s="71"/>
      <c r="GW11" s="71"/>
      <c r="GX11" s="345"/>
      <c r="GY11" s="71"/>
      <c r="GZ11" s="226"/>
      <c r="HA11" s="71"/>
      <c r="HB11" s="71"/>
      <c r="HC11" s="345"/>
      <c r="HD11" s="71"/>
      <c r="HE11" s="226"/>
      <c r="HF11" s="71"/>
      <c r="HG11" s="71"/>
      <c r="HH11" s="345"/>
      <c r="HI11" s="71"/>
      <c r="HJ11" s="226"/>
      <c r="HK11" s="71"/>
      <c r="HL11" s="71"/>
      <c r="HM11" s="345"/>
      <c r="HN11" s="71"/>
      <c r="HO11" s="226"/>
      <c r="HP11" s="71"/>
      <c r="HQ11" s="71"/>
      <c r="HR11" s="345"/>
      <c r="HS11" s="71"/>
      <c r="HT11" s="226"/>
      <c r="HU11" s="71"/>
      <c r="HV11" s="71"/>
      <c r="HW11" s="345"/>
      <c r="HX11" s="71"/>
      <c r="HY11" s="226"/>
      <c r="HZ11" s="71"/>
      <c r="IA11" s="71"/>
      <c r="IB11" s="345"/>
      <c r="IC11" s="71"/>
      <c r="ID11" s="226"/>
      <c r="IE11" s="71"/>
      <c r="IF11" s="71"/>
      <c r="IG11" s="345"/>
      <c r="IH11" s="71"/>
      <c r="II11" s="226"/>
      <c r="IJ11" s="71"/>
      <c r="IK11" s="71"/>
      <c r="IL11" s="345"/>
      <c r="IM11" s="71"/>
      <c r="IN11" s="226"/>
      <c r="IO11" s="71"/>
      <c r="IP11" s="71"/>
      <c r="IQ11" s="345"/>
      <c r="IR11" s="71"/>
      <c r="IS11" s="226"/>
      <c r="IT11" s="71"/>
      <c r="IU11" s="71"/>
      <c r="IV11" s="345"/>
    </row>
    <row r="12" spans="1:256" x14ac:dyDescent="0.2">
      <c r="A12" s="345">
        <v>27880</v>
      </c>
      <c r="B12" s="71"/>
      <c r="C12" s="226"/>
      <c r="D12" s="71"/>
      <c r="E12" s="71"/>
      <c r="F12" s="345"/>
      <c r="G12" s="71"/>
      <c r="H12" s="226"/>
      <c r="I12" s="71"/>
      <c r="J12" s="71"/>
      <c r="K12" s="345"/>
      <c r="L12" s="71"/>
      <c r="M12" s="226"/>
      <c r="N12" s="71"/>
      <c r="O12" s="71"/>
      <c r="P12" s="345"/>
      <c r="Q12" s="71"/>
      <c r="R12" s="226"/>
      <c r="S12" s="71"/>
      <c r="T12" s="71"/>
      <c r="U12" s="345"/>
      <c r="V12" s="71"/>
      <c r="W12" s="226"/>
      <c r="X12" s="71"/>
      <c r="Y12" s="71"/>
      <c r="Z12" s="345"/>
      <c r="AA12" s="71"/>
      <c r="AB12" s="226"/>
      <c r="AC12" s="71"/>
      <c r="AD12" s="71"/>
      <c r="AE12" s="345"/>
      <c r="AF12" s="71"/>
      <c r="AG12" s="226"/>
      <c r="AH12" s="71"/>
      <c r="AI12" s="71"/>
      <c r="AJ12" s="345"/>
      <c r="AK12" s="71"/>
      <c r="AL12" s="226"/>
      <c r="AM12" s="71"/>
      <c r="AN12" s="71"/>
      <c r="AO12" s="345"/>
      <c r="AP12" s="71"/>
      <c r="AQ12" s="226"/>
      <c r="AR12" s="71"/>
      <c r="AS12" s="71"/>
      <c r="AT12" s="345"/>
      <c r="AU12" s="71"/>
      <c r="AV12" s="226"/>
      <c r="AW12" s="71"/>
      <c r="AX12" s="71"/>
      <c r="AY12" s="345"/>
      <c r="AZ12" s="71"/>
      <c r="BA12" s="226"/>
      <c r="BB12" s="71"/>
      <c r="BC12" s="71"/>
      <c r="BD12" s="345"/>
      <c r="BE12" s="71"/>
      <c r="BF12" s="226"/>
      <c r="BG12" s="71"/>
      <c r="BH12" s="71"/>
      <c r="BI12" s="345"/>
      <c r="BJ12" s="71"/>
      <c r="BK12" s="226"/>
      <c r="BL12" s="71"/>
      <c r="BM12" s="71"/>
      <c r="BN12" s="345"/>
      <c r="BO12" s="71"/>
      <c r="BP12" s="226"/>
      <c r="BQ12" s="71"/>
      <c r="BR12" s="71"/>
      <c r="BS12" s="345"/>
      <c r="BT12" s="71"/>
      <c r="BU12" s="226"/>
      <c r="BV12" s="71"/>
      <c r="BW12" s="71"/>
      <c r="BX12" s="345"/>
      <c r="BY12" s="71"/>
      <c r="BZ12" s="226"/>
      <c r="CA12" s="71"/>
      <c r="CB12" s="71"/>
      <c r="CC12" s="345"/>
      <c r="CD12" s="71"/>
      <c r="CE12" s="226"/>
      <c r="CF12" s="71"/>
      <c r="CG12" s="71"/>
      <c r="CH12" s="345"/>
      <c r="CI12" s="71"/>
      <c r="CJ12" s="226"/>
      <c r="CK12" s="71"/>
      <c r="CL12" s="71"/>
      <c r="CM12" s="345"/>
      <c r="CN12" s="71"/>
      <c r="CO12" s="226"/>
      <c r="CP12" s="71"/>
      <c r="CQ12" s="71"/>
      <c r="CR12" s="345"/>
      <c r="CS12" s="71"/>
      <c r="CT12" s="226"/>
      <c r="CU12" s="71"/>
      <c r="CV12" s="71"/>
      <c r="CW12" s="345"/>
      <c r="CX12" s="71"/>
      <c r="CY12" s="226"/>
      <c r="CZ12" s="71"/>
      <c r="DA12" s="71"/>
      <c r="DB12" s="345"/>
      <c r="DC12" s="71"/>
      <c r="DD12" s="226"/>
      <c r="DE12" s="71"/>
      <c r="DF12" s="71"/>
      <c r="DG12" s="345"/>
      <c r="DH12" s="71"/>
      <c r="DI12" s="226"/>
      <c r="DJ12" s="71"/>
      <c r="DK12" s="71"/>
      <c r="DL12" s="345"/>
      <c r="DM12" s="71"/>
      <c r="DN12" s="226"/>
      <c r="DO12" s="71"/>
      <c r="DP12" s="71"/>
      <c r="DQ12" s="345"/>
      <c r="DR12" s="71"/>
      <c r="DS12" s="226"/>
      <c r="DT12" s="71"/>
      <c r="DU12" s="71"/>
      <c r="DV12" s="345"/>
      <c r="DW12" s="71"/>
      <c r="DX12" s="226"/>
      <c r="DY12" s="71"/>
      <c r="DZ12" s="71"/>
      <c r="EA12" s="345"/>
      <c r="EB12" s="71"/>
      <c r="EC12" s="226"/>
      <c r="ED12" s="71"/>
      <c r="EE12" s="71"/>
      <c r="EF12" s="345"/>
      <c r="EG12" s="71"/>
      <c r="EH12" s="226"/>
      <c r="EI12" s="71"/>
      <c r="EJ12" s="71"/>
      <c r="EK12" s="345"/>
      <c r="EL12" s="71"/>
      <c r="EM12" s="226"/>
      <c r="EN12" s="71"/>
      <c r="EO12" s="71"/>
      <c r="EP12" s="345"/>
      <c r="EQ12" s="71"/>
      <c r="ER12" s="226"/>
      <c r="ES12" s="71"/>
      <c r="ET12" s="71"/>
      <c r="EU12" s="345"/>
      <c r="EV12" s="71"/>
      <c r="EW12" s="226"/>
      <c r="EX12" s="71"/>
      <c r="EY12" s="71"/>
      <c r="EZ12" s="345"/>
      <c r="FA12" s="71"/>
      <c r="FB12" s="226"/>
      <c r="FC12" s="71"/>
      <c r="FD12" s="71"/>
      <c r="FE12" s="345"/>
      <c r="FF12" s="71"/>
      <c r="FG12" s="226"/>
      <c r="FH12" s="71"/>
      <c r="FI12" s="71"/>
      <c r="FJ12" s="345"/>
      <c r="FK12" s="71"/>
      <c r="FL12" s="226"/>
      <c r="FM12" s="71"/>
      <c r="FN12" s="71"/>
      <c r="FO12" s="345"/>
      <c r="FP12" s="71"/>
      <c r="FQ12" s="226"/>
      <c r="FR12" s="71"/>
      <c r="FS12" s="71"/>
      <c r="FT12" s="345"/>
      <c r="FU12" s="71"/>
      <c r="FV12" s="226"/>
      <c r="FW12" s="71"/>
      <c r="FX12" s="71"/>
      <c r="FY12" s="345"/>
      <c r="FZ12" s="71"/>
      <c r="GA12" s="226"/>
      <c r="GB12" s="71"/>
      <c r="GC12" s="71"/>
      <c r="GD12" s="345"/>
      <c r="GE12" s="71"/>
      <c r="GF12" s="226"/>
      <c r="GG12" s="71"/>
      <c r="GH12" s="71"/>
      <c r="GI12" s="345"/>
      <c r="GJ12" s="71"/>
      <c r="GK12" s="226"/>
      <c r="GL12" s="71"/>
      <c r="GM12" s="71"/>
      <c r="GN12" s="345"/>
      <c r="GO12" s="71"/>
      <c r="GP12" s="226"/>
      <c r="GQ12" s="71"/>
      <c r="GR12" s="71"/>
      <c r="GS12" s="345"/>
      <c r="GT12" s="71"/>
      <c r="GU12" s="226"/>
      <c r="GV12" s="71"/>
      <c r="GW12" s="71"/>
      <c r="GX12" s="345"/>
      <c r="GY12" s="71"/>
      <c r="GZ12" s="226"/>
      <c r="HA12" s="71"/>
      <c r="HB12" s="71"/>
      <c r="HC12" s="345"/>
      <c r="HD12" s="71"/>
      <c r="HE12" s="226"/>
      <c r="HF12" s="71"/>
      <c r="HG12" s="71"/>
      <c r="HH12" s="345"/>
      <c r="HI12" s="71"/>
      <c r="HJ12" s="226"/>
      <c r="HK12" s="71"/>
      <c r="HL12" s="71"/>
      <c r="HM12" s="345"/>
      <c r="HN12" s="71"/>
      <c r="HO12" s="226"/>
      <c r="HP12" s="71"/>
      <c r="HQ12" s="71"/>
      <c r="HR12" s="345"/>
      <c r="HS12" s="71"/>
      <c r="HT12" s="226"/>
      <c r="HU12" s="71"/>
      <c r="HV12" s="71"/>
      <c r="HW12" s="345"/>
      <c r="HX12" s="71"/>
      <c r="HY12" s="226"/>
      <c r="HZ12" s="71"/>
      <c r="IA12" s="71"/>
      <c r="IB12" s="345"/>
      <c r="IC12" s="71"/>
      <c r="ID12" s="226"/>
      <c r="IE12" s="71"/>
      <c r="IF12" s="71"/>
      <c r="IG12" s="345"/>
      <c r="IH12" s="71"/>
      <c r="II12" s="226"/>
      <c r="IJ12" s="71"/>
      <c r="IK12" s="71"/>
      <c r="IL12" s="345"/>
      <c r="IM12" s="71"/>
      <c r="IN12" s="226"/>
      <c r="IO12" s="71"/>
      <c r="IP12" s="71"/>
      <c r="IQ12" s="345"/>
      <c r="IR12" s="71"/>
      <c r="IS12" s="226"/>
      <c r="IT12" s="71"/>
      <c r="IU12" s="71"/>
      <c r="IV12" s="345"/>
    </row>
    <row r="13" spans="1:256" x14ac:dyDescent="0.2">
      <c r="A13" s="345">
        <v>27911</v>
      </c>
      <c r="B13" s="71"/>
      <c r="C13" s="226"/>
      <c r="D13" s="71"/>
      <c r="E13" s="71"/>
      <c r="F13" s="345"/>
      <c r="G13" s="71"/>
      <c r="H13" s="226"/>
      <c r="I13" s="71"/>
      <c r="J13" s="71"/>
      <c r="K13" s="345"/>
      <c r="L13" s="71"/>
      <c r="M13" s="226"/>
      <c r="N13" s="71"/>
      <c r="O13" s="71"/>
      <c r="P13" s="345"/>
      <c r="Q13" s="71"/>
      <c r="R13" s="226"/>
      <c r="S13" s="71"/>
      <c r="T13" s="71"/>
      <c r="U13" s="345"/>
      <c r="V13" s="71"/>
      <c r="W13" s="226"/>
      <c r="X13" s="71"/>
      <c r="Y13" s="71"/>
      <c r="Z13" s="345"/>
      <c r="AA13" s="71"/>
      <c r="AB13" s="226"/>
      <c r="AC13" s="71"/>
      <c r="AD13" s="71"/>
      <c r="AE13" s="345"/>
      <c r="AF13" s="71"/>
      <c r="AG13" s="226"/>
      <c r="AH13" s="71"/>
      <c r="AI13" s="71"/>
      <c r="AJ13" s="345"/>
      <c r="AK13" s="71"/>
      <c r="AL13" s="226"/>
      <c r="AM13" s="71"/>
      <c r="AN13" s="71"/>
      <c r="AO13" s="345"/>
      <c r="AP13" s="71"/>
      <c r="AQ13" s="226"/>
      <c r="AR13" s="71"/>
      <c r="AS13" s="71"/>
      <c r="AT13" s="345"/>
      <c r="AU13" s="71"/>
      <c r="AV13" s="226"/>
      <c r="AW13" s="71"/>
      <c r="AX13" s="71"/>
      <c r="AY13" s="345"/>
      <c r="AZ13" s="71"/>
      <c r="BA13" s="226"/>
      <c r="BB13" s="71"/>
      <c r="BC13" s="71"/>
      <c r="BD13" s="345"/>
      <c r="BE13" s="71"/>
      <c r="BF13" s="226"/>
      <c r="BG13" s="71"/>
      <c r="BH13" s="71"/>
      <c r="BI13" s="345"/>
      <c r="BJ13" s="71"/>
      <c r="BK13" s="226"/>
      <c r="BL13" s="71"/>
      <c r="BM13" s="71"/>
      <c r="BN13" s="345"/>
      <c r="BO13" s="71"/>
      <c r="BP13" s="226"/>
      <c r="BQ13" s="71"/>
      <c r="BR13" s="71"/>
      <c r="BS13" s="345"/>
      <c r="BT13" s="71"/>
      <c r="BU13" s="226"/>
      <c r="BV13" s="71"/>
      <c r="BW13" s="71"/>
      <c r="BX13" s="345"/>
      <c r="BY13" s="71"/>
      <c r="BZ13" s="226"/>
      <c r="CA13" s="71"/>
      <c r="CB13" s="71"/>
      <c r="CC13" s="345"/>
      <c r="CD13" s="71"/>
      <c r="CE13" s="226"/>
      <c r="CF13" s="71"/>
      <c r="CG13" s="71"/>
      <c r="CH13" s="345"/>
      <c r="CI13" s="71"/>
      <c r="CJ13" s="226"/>
      <c r="CK13" s="71"/>
      <c r="CL13" s="71"/>
      <c r="CM13" s="345"/>
      <c r="CN13" s="71"/>
      <c r="CO13" s="226"/>
      <c r="CP13" s="71"/>
      <c r="CQ13" s="71"/>
      <c r="CR13" s="345"/>
      <c r="CS13" s="71"/>
      <c r="CT13" s="226"/>
      <c r="CU13" s="71"/>
      <c r="CV13" s="71"/>
      <c r="CW13" s="345"/>
      <c r="CX13" s="71"/>
      <c r="CY13" s="226"/>
      <c r="CZ13" s="71"/>
      <c r="DA13" s="71"/>
      <c r="DB13" s="345"/>
      <c r="DC13" s="71"/>
      <c r="DD13" s="226"/>
      <c r="DE13" s="71"/>
      <c r="DF13" s="71"/>
      <c r="DG13" s="345"/>
      <c r="DH13" s="71"/>
      <c r="DI13" s="226"/>
      <c r="DJ13" s="71"/>
      <c r="DK13" s="71"/>
      <c r="DL13" s="345"/>
      <c r="DM13" s="71"/>
      <c r="DN13" s="226"/>
      <c r="DO13" s="71"/>
      <c r="DP13" s="71"/>
      <c r="DQ13" s="345"/>
      <c r="DR13" s="71"/>
      <c r="DS13" s="226"/>
      <c r="DT13" s="71"/>
      <c r="DU13" s="71"/>
      <c r="DV13" s="345"/>
      <c r="DW13" s="71"/>
      <c r="DX13" s="226"/>
      <c r="DY13" s="71"/>
      <c r="DZ13" s="71"/>
      <c r="EA13" s="345"/>
      <c r="EB13" s="71"/>
      <c r="EC13" s="226"/>
      <c r="ED13" s="71"/>
      <c r="EE13" s="71"/>
      <c r="EF13" s="345"/>
      <c r="EG13" s="71"/>
      <c r="EH13" s="226"/>
      <c r="EI13" s="71"/>
      <c r="EJ13" s="71"/>
      <c r="EK13" s="345"/>
      <c r="EL13" s="71"/>
      <c r="EM13" s="226"/>
      <c r="EN13" s="71"/>
      <c r="EO13" s="71"/>
      <c r="EP13" s="345"/>
      <c r="EQ13" s="71"/>
      <c r="ER13" s="226"/>
      <c r="ES13" s="71"/>
      <c r="ET13" s="71"/>
      <c r="EU13" s="345"/>
      <c r="EV13" s="71"/>
      <c r="EW13" s="226"/>
      <c r="EX13" s="71"/>
      <c r="EY13" s="71"/>
      <c r="EZ13" s="345"/>
      <c r="FA13" s="71"/>
      <c r="FB13" s="226"/>
      <c r="FC13" s="71"/>
      <c r="FD13" s="71"/>
      <c r="FE13" s="345"/>
      <c r="FF13" s="71"/>
      <c r="FG13" s="226"/>
      <c r="FH13" s="71"/>
      <c r="FI13" s="71"/>
      <c r="FJ13" s="345"/>
      <c r="FK13" s="71"/>
      <c r="FL13" s="226"/>
      <c r="FM13" s="71"/>
      <c r="FN13" s="71"/>
      <c r="FO13" s="345"/>
      <c r="FP13" s="71"/>
      <c r="FQ13" s="226"/>
      <c r="FR13" s="71"/>
      <c r="FS13" s="71"/>
      <c r="FT13" s="345"/>
      <c r="FU13" s="71"/>
      <c r="FV13" s="226"/>
      <c r="FW13" s="71"/>
      <c r="FX13" s="71"/>
      <c r="FY13" s="345"/>
      <c r="FZ13" s="71"/>
      <c r="GA13" s="226"/>
      <c r="GB13" s="71"/>
      <c r="GC13" s="71"/>
      <c r="GD13" s="345"/>
      <c r="GE13" s="71"/>
      <c r="GF13" s="226"/>
      <c r="GG13" s="71"/>
      <c r="GH13" s="71"/>
      <c r="GI13" s="345"/>
      <c r="GJ13" s="71"/>
      <c r="GK13" s="226"/>
      <c r="GL13" s="71"/>
      <c r="GM13" s="71"/>
      <c r="GN13" s="345"/>
      <c r="GO13" s="71"/>
      <c r="GP13" s="226"/>
      <c r="GQ13" s="71"/>
      <c r="GR13" s="71"/>
      <c r="GS13" s="345"/>
      <c r="GT13" s="71"/>
      <c r="GU13" s="226"/>
      <c r="GV13" s="71"/>
      <c r="GW13" s="71"/>
      <c r="GX13" s="345"/>
      <c r="GY13" s="71"/>
      <c r="GZ13" s="226"/>
      <c r="HA13" s="71"/>
      <c r="HB13" s="71"/>
      <c r="HC13" s="345"/>
      <c r="HD13" s="71"/>
      <c r="HE13" s="226"/>
      <c r="HF13" s="71"/>
      <c r="HG13" s="71"/>
      <c r="HH13" s="345"/>
      <c r="HI13" s="71"/>
      <c r="HJ13" s="226"/>
      <c r="HK13" s="71"/>
      <c r="HL13" s="71"/>
      <c r="HM13" s="345"/>
      <c r="HN13" s="71"/>
      <c r="HO13" s="226"/>
      <c r="HP13" s="71"/>
      <c r="HQ13" s="71"/>
      <c r="HR13" s="345"/>
      <c r="HS13" s="71"/>
      <c r="HT13" s="226"/>
      <c r="HU13" s="71"/>
      <c r="HV13" s="71"/>
      <c r="HW13" s="345"/>
      <c r="HX13" s="71"/>
      <c r="HY13" s="226"/>
      <c r="HZ13" s="71"/>
      <c r="IA13" s="71"/>
      <c r="IB13" s="345"/>
      <c r="IC13" s="71"/>
      <c r="ID13" s="226"/>
      <c r="IE13" s="71"/>
      <c r="IF13" s="71"/>
      <c r="IG13" s="345"/>
      <c r="IH13" s="71"/>
      <c r="II13" s="226"/>
      <c r="IJ13" s="71"/>
      <c r="IK13" s="71"/>
      <c r="IL13" s="345"/>
      <c r="IM13" s="71"/>
      <c r="IN13" s="226"/>
      <c r="IO13" s="71"/>
      <c r="IP13" s="71"/>
      <c r="IQ13" s="345"/>
      <c r="IR13" s="71"/>
      <c r="IS13" s="226"/>
      <c r="IT13" s="71"/>
      <c r="IU13" s="71"/>
      <c r="IV13" s="345"/>
    </row>
    <row r="14" spans="1:256" x14ac:dyDescent="0.2">
      <c r="A14" s="345">
        <v>27941</v>
      </c>
      <c r="B14" s="71"/>
      <c r="C14" s="226"/>
      <c r="D14" s="71"/>
      <c r="E14" s="71"/>
      <c r="F14" s="345"/>
      <c r="G14" s="71"/>
      <c r="H14" s="226"/>
      <c r="I14" s="71"/>
      <c r="J14" s="71"/>
      <c r="K14" s="345"/>
      <c r="L14" s="71"/>
      <c r="M14" s="226"/>
      <c r="N14" s="71"/>
      <c r="O14" s="71"/>
      <c r="P14" s="345"/>
      <c r="Q14" s="71"/>
      <c r="R14" s="226"/>
      <c r="S14" s="71"/>
      <c r="T14" s="71"/>
      <c r="U14" s="345"/>
      <c r="V14" s="71"/>
      <c r="W14" s="226"/>
      <c r="X14" s="71"/>
      <c r="Y14" s="71"/>
      <c r="Z14" s="345"/>
      <c r="AA14" s="71"/>
      <c r="AB14" s="226"/>
      <c r="AC14" s="71"/>
      <c r="AD14" s="71"/>
      <c r="AE14" s="345"/>
      <c r="AF14" s="71"/>
      <c r="AG14" s="226"/>
      <c r="AH14" s="71"/>
      <c r="AI14" s="71"/>
      <c r="AJ14" s="345"/>
      <c r="AK14" s="71"/>
      <c r="AL14" s="226"/>
      <c r="AM14" s="71"/>
      <c r="AN14" s="71"/>
      <c r="AO14" s="345"/>
      <c r="AP14" s="71"/>
      <c r="AQ14" s="226"/>
      <c r="AR14" s="71"/>
      <c r="AS14" s="71"/>
      <c r="AT14" s="345"/>
      <c r="AU14" s="71"/>
      <c r="AV14" s="226"/>
      <c r="AW14" s="71"/>
      <c r="AX14" s="71"/>
      <c r="AY14" s="345"/>
      <c r="AZ14" s="71"/>
      <c r="BA14" s="226"/>
      <c r="BB14" s="71"/>
      <c r="BC14" s="71"/>
      <c r="BD14" s="345"/>
      <c r="BE14" s="71"/>
      <c r="BF14" s="226"/>
      <c r="BG14" s="71"/>
      <c r="BH14" s="71"/>
      <c r="BI14" s="345"/>
      <c r="BJ14" s="71"/>
      <c r="BK14" s="226"/>
      <c r="BL14" s="71"/>
      <c r="BM14" s="71"/>
      <c r="BN14" s="345"/>
      <c r="BO14" s="71"/>
      <c r="BP14" s="226"/>
      <c r="BQ14" s="71"/>
      <c r="BR14" s="71"/>
      <c r="BS14" s="345"/>
      <c r="BT14" s="71"/>
      <c r="BU14" s="226"/>
      <c r="BV14" s="71"/>
      <c r="BW14" s="71"/>
      <c r="BX14" s="345"/>
      <c r="BY14" s="71"/>
      <c r="BZ14" s="226"/>
      <c r="CA14" s="71"/>
      <c r="CB14" s="71"/>
      <c r="CC14" s="345"/>
      <c r="CD14" s="71"/>
      <c r="CE14" s="226"/>
      <c r="CF14" s="71"/>
      <c r="CG14" s="71"/>
      <c r="CH14" s="345"/>
      <c r="CI14" s="71"/>
      <c r="CJ14" s="226"/>
      <c r="CK14" s="71"/>
      <c r="CL14" s="71"/>
      <c r="CM14" s="345"/>
      <c r="CN14" s="71"/>
      <c r="CO14" s="226"/>
      <c r="CP14" s="71"/>
      <c r="CQ14" s="71"/>
      <c r="CR14" s="345"/>
      <c r="CS14" s="71"/>
      <c r="CT14" s="226"/>
      <c r="CU14" s="71"/>
      <c r="CV14" s="71"/>
      <c r="CW14" s="345"/>
      <c r="CX14" s="71"/>
      <c r="CY14" s="226"/>
      <c r="CZ14" s="71"/>
      <c r="DA14" s="71"/>
      <c r="DB14" s="345"/>
      <c r="DC14" s="71"/>
      <c r="DD14" s="226"/>
      <c r="DE14" s="71"/>
      <c r="DF14" s="71"/>
      <c r="DG14" s="345"/>
      <c r="DH14" s="71"/>
      <c r="DI14" s="226"/>
      <c r="DJ14" s="71"/>
      <c r="DK14" s="71"/>
      <c r="DL14" s="345"/>
      <c r="DM14" s="71"/>
      <c r="DN14" s="226"/>
      <c r="DO14" s="71"/>
      <c r="DP14" s="71"/>
      <c r="DQ14" s="345"/>
      <c r="DR14" s="71"/>
      <c r="DS14" s="226"/>
      <c r="DT14" s="71"/>
      <c r="DU14" s="71"/>
      <c r="DV14" s="345"/>
      <c r="DW14" s="71"/>
      <c r="DX14" s="226"/>
      <c r="DY14" s="71"/>
      <c r="DZ14" s="71"/>
      <c r="EA14" s="345"/>
      <c r="EB14" s="71"/>
      <c r="EC14" s="226"/>
      <c r="ED14" s="71"/>
      <c r="EE14" s="71"/>
      <c r="EF14" s="345"/>
      <c r="EG14" s="71"/>
      <c r="EH14" s="226"/>
      <c r="EI14" s="71"/>
      <c r="EJ14" s="71"/>
      <c r="EK14" s="345"/>
      <c r="EL14" s="71"/>
      <c r="EM14" s="226"/>
      <c r="EN14" s="71"/>
      <c r="EO14" s="71"/>
      <c r="EP14" s="345"/>
      <c r="EQ14" s="71"/>
      <c r="ER14" s="226"/>
      <c r="ES14" s="71"/>
      <c r="ET14" s="71"/>
      <c r="EU14" s="345"/>
      <c r="EV14" s="71"/>
      <c r="EW14" s="226"/>
      <c r="EX14" s="71"/>
      <c r="EY14" s="71"/>
      <c r="EZ14" s="345"/>
      <c r="FA14" s="71"/>
      <c r="FB14" s="226"/>
      <c r="FC14" s="71"/>
      <c r="FD14" s="71"/>
      <c r="FE14" s="345"/>
      <c r="FF14" s="71"/>
      <c r="FG14" s="226"/>
      <c r="FH14" s="71"/>
      <c r="FI14" s="71"/>
      <c r="FJ14" s="345"/>
      <c r="FK14" s="71"/>
      <c r="FL14" s="226"/>
      <c r="FM14" s="71"/>
      <c r="FN14" s="71"/>
      <c r="FO14" s="345"/>
      <c r="FP14" s="71"/>
      <c r="FQ14" s="226"/>
      <c r="FR14" s="71"/>
      <c r="FS14" s="71"/>
      <c r="FT14" s="345"/>
      <c r="FU14" s="71"/>
      <c r="FV14" s="226"/>
      <c r="FW14" s="71"/>
      <c r="FX14" s="71"/>
      <c r="FY14" s="345"/>
      <c r="FZ14" s="71"/>
      <c r="GA14" s="226"/>
      <c r="GB14" s="71"/>
      <c r="GC14" s="71"/>
      <c r="GD14" s="345"/>
      <c r="GE14" s="71"/>
      <c r="GF14" s="226"/>
      <c r="GG14" s="71"/>
      <c r="GH14" s="71"/>
      <c r="GI14" s="345"/>
      <c r="GJ14" s="71"/>
      <c r="GK14" s="226"/>
      <c r="GL14" s="71"/>
      <c r="GM14" s="71"/>
      <c r="GN14" s="345"/>
      <c r="GO14" s="71"/>
      <c r="GP14" s="226"/>
      <c r="GQ14" s="71"/>
      <c r="GR14" s="71"/>
      <c r="GS14" s="345"/>
      <c r="GT14" s="71"/>
      <c r="GU14" s="226"/>
      <c r="GV14" s="71"/>
      <c r="GW14" s="71"/>
      <c r="GX14" s="345"/>
      <c r="GY14" s="71"/>
      <c r="GZ14" s="226"/>
      <c r="HA14" s="71"/>
      <c r="HB14" s="71"/>
      <c r="HC14" s="345"/>
      <c r="HD14" s="71"/>
      <c r="HE14" s="226"/>
      <c r="HF14" s="71"/>
      <c r="HG14" s="71"/>
      <c r="HH14" s="345"/>
      <c r="HI14" s="71"/>
      <c r="HJ14" s="226"/>
      <c r="HK14" s="71"/>
      <c r="HL14" s="71"/>
      <c r="HM14" s="345"/>
      <c r="HN14" s="71"/>
      <c r="HO14" s="226"/>
      <c r="HP14" s="71"/>
      <c r="HQ14" s="71"/>
      <c r="HR14" s="345"/>
      <c r="HS14" s="71"/>
      <c r="HT14" s="226"/>
      <c r="HU14" s="71"/>
      <c r="HV14" s="71"/>
      <c r="HW14" s="345"/>
      <c r="HX14" s="71"/>
      <c r="HY14" s="226"/>
      <c r="HZ14" s="71"/>
      <c r="IA14" s="71"/>
      <c r="IB14" s="345"/>
      <c r="IC14" s="71"/>
      <c r="ID14" s="226"/>
      <c r="IE14" s="71"/>
      <c r="IF14" s="71"/>
      <c r="IG14" s="345"/>
      <c r="IH14" s="71"/>
      <c r="II14" s="226"/>
      <c r="IJ14" s="71"/>
      <c r="IK14" s="71"/>
      <c r="IL14" s="345"/>
      <c r="IM14" s="71"/>
      <c r="IN14" s="226"/>
      <c r="IO14" s="71"/>
      <c r="IP14" s="71"/>
      <c r="IQ14" s="345"/>
      <c r="IR14" s="71"/>
      <c r="IS14" s="226"/>
      <c r="IT14" s="71"/>
      <c r="IU14" s="71"/>
      <c r="IV14" s="345"/>
    </row>
    <row r="15" spans="1:256" x14ac:dyDescent="0.2">
      <c r="A15" s="345">
        <v>27972</v>
      </c>
      <c r="B15" s="71"/>
      <c r="C15" s="226"/>
      <c r="D15" s="71"/>
      <c r="E15" s="71"/>
      <c r="F15" s="345"/>
      <c r="G15" s="71"/>
      <c r="H15" s="226"/>
      <c r="I15" s="71"/>
      <c r="J15" s="71"/>
      <c r="K15" s="345"/>
      <c r="L15" s="71"/>
      <c r="M15" s="226"/>
      <c r="N15" s="71"/>
      <c r="O15" s="71"/>
      <c r="P15" s="345"/>
      <c r="Q15" s="71"/>
      <c r="R15" s="226"/>
      <c r="S15" s="71"/>
      <c r="T15" s="71"/>
      <c r="U15" s="345"/>
      <c r="V15" s="71"/>
      <c r="W15" s="226"/>
      <c r="X15" s="71"/>
      <c r="Y15" s="71"/>
      <c r="Z15" s="345"/>
      <c r="AA15" s="71"/>
      <c r="AB15" s="226"/>
      <c r="AC15" s="71"/>
      <c r="AD15" s="71"/>
      <c r="AE15" s="345"/>
      <c r="AF15" s="71"/>
      <c r="AG15" s="226"/>
      <c r="AH15" s="71"/>
      <c r="AI15" s="71"/>
      <c r="AJ15" s="345"/>
      <c r="AK15" s="71"/>
      <c r="AL15" s="226"/>
      <c r="AM15" s="71"/>
      <c r="AN15" s="71"/>
      <c r="AO15" s="345"/>
      <c r="AP15" s="71"/>
      <c r="AQ15" s="226"/>
      <c r="AR15" s="71"/>
      <c r="AS15" s="71"/>
      <c r="AT15" s="345"/>
      <c r="AU15" s="71"/>
      <c r="AV15" s="226"/>
      <c r="AW15" s="71"/>
      <c r="AX15" s="71"/>
      <c r="AY15" s="345"/>
      <c r="AZ15" s="71"/>
      <c r="BA15" s="226"/>
      <c r="BB15" s="71"/>
      <c r="BC15" s="71"/>
      <c r="BD15" s="345"/>
      <c r="BE15" s="71"/>
      <c r="BF15" s="226"/>
      <c r="BG15" s="71"/>
      <c r="BH15" s="71"/>
      <c r="BI15" s="345"/>
      <c r="BJ15" s="71"/>
      <c r="BK15" s="226"/>
      <c r="BL15" s="71"/>
      <c r="BM15" s="71"/>
      <c r="BN15" s="345"/>
      <c r="BO15" s="71"/>
      <c r="BP15" s="226"/>
      <c r="BQ15" s="71"/>
      <c r="BR15" s="71"/>
      <c r="BS15" s="345"/>
      <c r="BT15" s="71"/>
      <c r="BU15" s="226"/>
      <c r="BV15" s="71"/>
      <c r="BW15" s="71"/>
      <c r="BX15" s="345"/>
      <c r="BY15" s="71"/>
      <c r="BZ15" s="226"/>
      <c r="CA15" s="71"/>
      <c r="CB15" s="71"/>
      <c r="CC15" s="345"/>
      <c r="CD15" s="71"/>
      <c r="CE15" s="226"/>
      <c r="CF15" s="71"/>
      <c r="CG15" s="71"/>
      <c r="CH15" s="345"/>
      <c r="CI15" s="71"/>
      <c r="CJ15" s="226"/>
      <c r="CK15" s="71"/>
      <c r="CL15" s="71"/>
      <c r="CM15" s="345"/>
      <c r="CN15" s="71"/>
      <c r="CO15" s="226"/>
      <c r="CP15" s="71"/>
      <c r="CQ15" s="71"/>
      <c r="CR15" s="345"/>
      <c r="CS15" s="71"/>
      <c r="CT15" s="226"/>
      <c r="CU15" s="71"/>
      <c r="CV15" s="71"/>
      <c r="CW15" s="345"/>
      <c r="CX15" s="71"/>
      <c r="CY15" s="226"/>
      <c r="CZ15" s="71"/>
      <c r="DA15" s="71"/>
      <c r="DB15" s="345"/>
      <c r="DC15" s="71"/>
      <c r="DD15" s="226"/>
      <c r="DE15" s="71"/>
      <c r="DF15" s="71"/>
      <c r="DG15" s="345"/>
      <c r="DH15" s="71"/>
      <c r="DI15" s="226"/>
      <c r="DJ15" s="71"/>
      <c r="DK15" s="71"/>
      <c r="DL15" s="345"/>
      <c r="DM15" s="71"/>
      <c r="DN15" s="226"/>
      <c r="DO15" s="71"/>
      <c r="DP15" s="71"/>
      <c r="DQ15" s="345"/>
      <c r="DR15" s="71"/>
      <c r="DS15" s="226"/>
      <c r="DT15" s="71"/>
      <c r="DU15" s="71"/>
      <c r="DV15" s="345"/>
      <c r="DW15" s="71"/>
      <c r="DX15" s="226"/>
      <c r="DY15" s="71"/>
      <c r="DZ15" s="71"/>
      <c r="EA15" s="345"/>
      <c r="EB15" s="71"/>
      <c r="EC15" s="226"/>
      <c r="ED15" s="71"/>
      <c r="EE15" s="71"/>
      <c r="EF15" s="345"/>
      <c r="EG15" s="71"/>
      <c r="EH15" s="226"/>
      <c r="EI15" s="71"/>
      <c r="EJ15" s="71"/>
      <c r="EK15" s="345"/>
      <c r="EL15" s="71"/>
      <c r="EM15" s="226"/>
      <c r="EN15" s="71"/>
      <c r="EO15" s="71"/>
      <c r="EP15" s="345"/>
      <c r="EQ15" s="71"/>
      <c r="ER15" s="226"/>
      <c r="ES15" s="71"/>
      <c r="ET15" s="71"/>
      <c r="EU15" s="345"/>
      <c r="EV15" s="71"/>
      <c r="EW15" s="226"/>
      <c r="EX15" s="71"/>
      <c r="EY15" s="71"/>
      <c r="EZ15" s="345"/>
      <c r="FA15" s="71"/>
      <c r="FB15" s="226"/>
      <c r="FC15" s="71"/>
      <c r="FD15" s="71"/>
      <c r="FE15" s="345"/>
      <c r="FF15" s="71"/>
      <c r="FG15" s="226"/>
      <c r="FH15" s="71"/>
      <c r="FI15" s="71"/>
      <c r="FJ15" s="345"/>
      <c r="FK15" s="71"/>
      <c r="FL15" s="226"/>
      <c r="FM15" s="71"/>
      <c r="FN15" s="71"/>
      <c r="FO15" s="345"/>
      <c r="FP15" s="71"/>
      <c r="FQ15" s="226"/>
      <c r="FR15" s="71"/>
      <c r="FS15" s="71"/>
      <c r="FT15" s="345"/>
      <c r="FU15" s="71"/>
      <c r="FV15" s="226"/>
      <c r="FW15" s="71"/>
      <c r="FX15" s="71"/>
      <c r="FY15" s="345"/>
      <c r="FZ15" s="71"/>
      <c r="GA15" s="226"/>
      <c r="GB15" s="71"/>
      <c r="GC15" s="71"/>
      <c r="GD15" s="345"/>
      <c r="GE15" s="71"/>
      <c r="GF15" s="226"/>
      <c r="GG15" s="71"/>
      <c r="GH15" s="71"/>
      <c r="GI15" s="345"/>
      <c r="GJ15" s="71"/>
      <c r="GK15" s="226"/>
      <c r="GL15" s="71"/>
      <c r="GM15" s="71"/>
      <c r="GN15" s="345"/>
      <c r="GO15" s="71"/>
      <c r="GP15" s="226"/>
      <c r="GQ15" s="71"/>
      <c r="GR15" s="71"/>
      <c r="GS15" s="345"/>
      <c r="GT15" s="71"/>
      <c r="GU15" s="226"/>
      <c r="GV15" s="71"/>
      <c r="GW15" s="71"/>
      <c r="GX15" s="345"/>
      <c r="GY15" s="71"/>
      <c r="GZ15" s="226"/>
      <c r="HA15" s="71"/>
      <c r="HB15" s="71"/>
      <c r="HC15" s="345"/>
      <c r="HD15" s="71"/>
      <c r="HE15" s="226"/>
      <c r="HF15" s="71"/>
      <c r="HG15" s="71"/>
      <c r="HH15" s="345"/>
      <c r="HI15" s="71"/>
      <c r="HJ15" s="226"/>
      <c r="HK15" s="71"/>
      <c r="HL15" s="71"/>
      <c r="HM15" s="345"/>
      <c r="HN15" s="71"/>
      <c r="HO15" s="226"/>
      <c r="HP15" s="71"/>
      <c r="HQ15" s="71"/>
      <c r="HR15" s="345"/>
      <c r="HS15" s="71"/>
      <c r="HT15" s="226"/>
      <c r="HU15" s="71"/>
      <c r="HV15" s="71"/>
      <c r="HW15" s="345"/>
      <c r="HX15" s="71"/>
      <c r="HY15" s="226"/>
      <c r="HZ15" s="71"/>
      <c r="IA15" s="71"/>
      <c r="IB15" s="345"/>
      <c r="IC15" s="71"/>
      <c r="ID15" s="226"/>
      <c r="IE15" s="71"/>
      <c r="IF15" s="71"/>
      <c r="IG15" s="345"/>
      <c r="IH15" s="71"/>
      <c r="II15" s="226"/>
      <c r="IJ15" s="71"/>
      <c r="IK15" s="71"/>
      <c r="IL15" s="345"/>
      <c r="IM15" s="71"/>
      <c r="IN15" s="226"/>
      <c r="IO15" s="71"/>
      <c r="IP15" s="71"/>
      <c r="IQ15" s="345"/>
      <c r="IR15" s="71"/>
      <c r="IS15" s="226"/>
      <c r="IT15" s="71"/>
      <c r="IU15" s="71"/>
      <c r="IV15" s="345"/>
    </row>
    <row r="16" spans="1:256" x14ac:dyDescent="0.2">
      <c r="A16" s="345">
        <v>28003</v>
      </c>
      <c r="B16" s="71"/>
      <c r="C16" s="226"/>
      <c r="D16" s="71"/>
      <c r="E16" s="71"/>
      <c r="F16" s="345"/>
      <c r="G16" s="71"/>
      <c r="H16" s="226"/>
      <c r="I16" s="71"/>
      <c r="J16" s="71"/>
      <c r="K16" s="345"/>
      <c r="L16" s="71"/>
      <c r="M16" s="226"/>
      <c r="N16" s="71"/>
      <c r="O16" s="71"/>
      <c r="P16" s="345"/>
      <c r="Q16" s="71"/>
      <c r="R16" s="226"/>
      <c r="S16" s="71"/>
      <c r="T16" s="71"/>
      <c r="U16" s="345"/>
      <c r="V16" s="71"/>
      <c r="W16" s="226"/>
      <c r="X16" s="71"/>
      <c r="Y16" s="71"/>
      <c r="Z16" s="345"/>
      <c r="AA16" s="71"/>
      <c r="AB16" s="226"/>
      <c r="AC16" s="71"/>
      <c r="AD16" s="71"/>
      <c r="AE16" s="345"/>
      <c r="AF16" s="71"/>
      <c r="AG16" s="226"/>
      <c r="AH16" s="71"/>
      <c r="AI16" s="71"/>
      <c r="AJ16" s="345"/>
      <c r="AK16" s="71"/>
      <c r="AL16" s="226"/>
      <c r="AM16" s="71"/>
      <c r="AN16" s="71"/>
      <c r="AO16" s="345"/>
      <c r="AP16" s="71"/>
      <c r="AQ16" s="226"/>
      <c r="AR16" s="71"/>
      <c r="AS16" s="71"/>
      <c r="AT16" s="345"/>
      <c r="AU16" s="71"/>
      <c r="AV16" s="226"/>
      <c r="AW16" s="71"/>
      <c r="AX16" s="71"/>
      <c r="AY16" s="345"/>
      <c r="AZ16" s="71"/>
      <c r="BA16" s="226"/>
      <c r="BB16" s="71"/>
      <c r="BC16" s="71"/>
      <c r="BD16" s="345"/>
      <c r="BE16" s="71"/>
      <c r="BF16" s="226"/>
      <c r="BG16" s="71"/>
      <c r="BH16" s="71"/>
      <c r="BI16" s="345"/>
      <c r="BJ16" s="71"/>
      <c r="BK16" s="226"/>
      <c r="BL16" s="71"/>
      <c r="BM16" s="71"/>
      <c r="BN16" s="345"/>
      <c r="BO16" s="71"/>
      <c r="BP16" s="226"/>
      <c r="BQ16" s="71"/>
      <c r="BR16" s="71"/>
      <c r="BS16" s="345"/>
      <c r="BT16" s="71"/>
      <c r="BU16" s="226"/>
      <c r="BV16" s="71"/>
      <c r="BW16" s="71"/>
      <c r="BX16" s="345"/>
      <c r="BY16" s="71"/>
      <c r="BZ16" s="226"/>
      <c r="CA16" s="71"/>
      <c r="CB16" s="71"/>
      <c r="CC16" s="345"/>
      <c r="CD16" s="71"/>
      <c r="CE16" s="226"/>
      <c r="CF16" s="71"/>
      <c r="CG16" s="71"/>
      <c r="CH16" s="345"/>
      <c r="CI16" s="71"/>
      <c r="CJ16" s="226"/>
      <c r="CK16" s="71"/>
      <c r="CL16" s="71"/>
      <c r="CM16" s="345"/>
      <c r="CN16" s="71"/>
      <c r="CO16" s="226"/>
      <c r="CP16" s="71"/>
      <c r="CQ16" s="71"/>
      <c r="CR16" s="345"/>
      <c r="CS16" s="71"/>
      <c r="CT16" s="226"/>
      <c r="CU16" s="71"/>
      <c r="CV16" s="71"/>
      <c r="CW16" s="345"/>
      <c r="CX16" s="71"/>
      <c r="CY16" s="226"/>
      <c r="CZ16" s="71"/>
      <c r="DA16" s="71"/>
      <c r="DB16" s="345"/>
      <c r="DC16" s="71"/>
      <c r="DD16" s="226"/>
      <c r="DE16" s="71"/>
      <c r="DF16" s="71"/>
      <c r="DG16" s="345"/>
      <c r="DH16" s="71"/>
      <c r="DI16" s="226"/>
      <c r="DJ16" s="71"/>
      <c r="DK16" s="71"/>
      <c r="DL16" s="345"/>
      <c r="DM16" s="71"/>
      <c r="DN16" s="226"/>
      <c r="DO16" s="71"/>
      <c r="DP16" s="71"/>
      <c r="DQ16" s="345"/>
      <c r="DR16" s="71"/>
      <c r="DS16" s="226"/>
      <c r="DT16" s="71"/>
      <c r="DU16" s="71"/>
      <c r="DV16" s="345"/>
      <c r="DW16" s="71"/>
      <c r="DX16" s="226"/>
      <c r="DY16" s="71"/>
      <c r="DZ16" s="71"/>
      <c r="EA16" s="345"/>
      <c r="EB16" s="71"/>
      <c r="EC16" s="226"/>
      <c r="ED16" s="71"/>
      <c r="EE16" s="71"/>
      <c r="EF16" s="345"/>
      <c r="EG16" s="71"/>
      <c r="EH16" s="226"/>
      <c r="EI16" s="71"/>
      <c r="EJ16" s="71"/>
      <c r="EK16" s="345"/>
      <c r="EL16" s="71"/>
      <c r="EM16" s="226"/>
      <c r="EN16" s="71"/>
      <c r="EO16" s="71"/>
      <c r="EP16" s="345"/>
      <c r="EQ16" s="71"/>
      <c r="ER16" s="226"/>
      <c r="ES16" s="71"/>
      <c r="ET16" s="71"/>
      <c r="EU16" s="345"/>
      <c r="EV16" s="71"/>
      <c r="EW16" s="226"/>
      <c r="EX16" s="71"/>
      <c r="EY16" s="71"/>
      <c r="EZ16" s="345"/>
      <c r="FA16" s="71"/>
      <c r="FB16" s="226"/>
      <c r="FC16" s="71"/>
      <c r="FD16" s="71"/>
      <c r="FE16" s="345"/>
      <c r="FF16" s="71"/>
      <c r="FG16" s="226"/>
      <c r="FH16" s="71"/>
      <c r="FI16" s="71"/>
      <c r="FJ16" s="345"/>
      <c r="FK16" s="71"/>
      <c r="FL16" s="226"/>
      <c r="FM16" s="71"/>
      <c r="FN16" s="71"/>
      <c r="FO16" s="345"/>
      <c r="FP16" s="71"/>
      <c r="FQ16" s="226"/>
      <c r="FR16" s="71"/>
      <c r="FS16" s="71"/>
      <c r="FT16" s="345"/>
      <c r="FU16" s="71"/>
      <c r="FV16" s="226"/>
      <c r="FW16" s="71"/>
      <c r="FX16" s="71"/>
      <c r="FY16" s="345"/>
      <c r="FZ16" s="71"/>
      <c r="GA16" s="226"/>
      <c r="GB16" s="71"/>
      <c r="GC16" s="71"/>
      <c r="GD16" s="345"/>
      <c r="GE16" s="71"/>
      <c r="GF16" s="226"/>
      <c r="GG16" s="71"/>
      <c r="GH16" s="71"/>
      <c r="GI16" s="345"/>
      <c r="GJ16" s="71"/>
      <c r="GK16" s="226"/>
      <c r="GL16" s="71"/>
      <c r="GM16" s="71"/>
      <c r="GN16" s="345"/>
      <c r="GO16" s="71"/>
      <c r="GP16" s="226"/>
      <c r="GQ16" s="71"/>
      <c r="GR16" s="71"/>
      <c r="GS16" s="345"/>
      <c r="GT16" s="71"/>
      <c r="GU16" s="226"/>
      <c r="GV16" s="71"/>
      <c r="GW16" s="71"/>
      <c r="GX16" s="345"/>
      <c r="GY16" s="71"/>
      <c r="GZ16" s="226"/>
      <c r="HA16" s="71"/>
      <c r="HB16" s="71"/>
      <c r="HC16" s="345"/>
      <c r="HD16" s="71"/>
      <c r="HE16" s="226"/>
      <c r="HF16" s="71"/>
      <c r="HG16" s="71"/>
      <c r="HH16" s="345"/>
      <c r="HI16" s="71"/>
      <c r="HJ16" s="226"/>
      <c r="HK16" s="71"/>
      <c r="HL16" s="71"/>
      <c r="HM16" s="345"/>
      <c r="HN16" s="71"/>
      <c r="HO16" s="226"/>
      <c r="HP16" s="71"/>
      <c r="HQ16" s="71"/>
      <c r="HR16" s="345"/>
      <c r="HS16" s="71"/>
      <c r="HT16" s="226"/>
      <c r="HU16" s="71"/>
      <c r="HV16" s="71"/>
      <c r="HW16" s="345"/>
      <c r="HX16" s="71"/>
      <c r="HY16" s="226"/>
      <c r="HZ16" s="71"/>
      <c r="IA16" s="71"/>
      <c r="IB16" s="345"/>
      <c r="IC16" s="71"/>
      <c r="ID16" s="226"/>
      <c r="IE16" s="71"/>
      <c r="IF16" s="71"/>
      <c r="IG16" s="345"/>
      <c r="IH16" s="71"/>
      <c r="II16" s="226"/>
      <c r="IJ16" s="71"/>
      <c r="IK16" s="71"/>
      <c r="IL16" s="345"/>
      <c r="IM16" s="71"/>
      <c r="IN16" s="226"/>
      <c r="IO16" s="71"/>
      <c r="IP16" s="71"/>
      <c r="IQ16" s="345"/>
      <c r="IR16" s="71"/>
      <c r="IS16" s="226"/>
      <c r="IT16" s="71"/>
      <c r="IU16" s="71"/>
      <c r="IV16" s="345"/>
    </row>
    <row r="17" spans="1:256" x14ac:dyDescent="0.2">
      <c r="A17" s="345">
        <v>28033</v>
      </c>
      <c r="B17" s="71"/>
      <c r="C17" s="226"/>
      <c r="D17" s="71"/>
      <c r="E17" s="71"/>
      <c r="F17" s="345"/>
      <c r="G17" s="71"/>
      <c r="H17" s="226"/>
      <c r="I17" s="71"/>
      <c r="J17" s="71"/>
      <c r="K17" s="345"/>
      <c r="L17" s="71"/>
      <c r="M17" s="226"/>
      <c r="N17" s="71"/>
      <c r="O17" s="71"/>
      <c r="P17" s="345"/>
      <c r="Q17" s="71"/>
      <c r="R17" s="226"/>
      <c r="S17" s="71"/>
      <c r="T17" s="71"/>
      <c r="U17" s="345"/>
      <c r="V17" s="71"/>
      <c r="W17" s="226"/>
      <c r="X17" s="71"/>
      <c r="Y17" s="71"/>
      <c r="Z17" s="345"/>
      <c r="AA17" s="71"/>
      <c r="AB17" s="226"/>
      <c r="AC17" s="71"/>
      <c r="AD17" s="71"/>
      <c r="AE17" s="345"/>
      <c r="AF17" s="71"/>
      <c r="AG17" s="226"/>
      <c r="AH17" s="71"/>
      <c r="AI17" s="71"/>
      <c r="AJ17" s="345"/>
      <c r="AK17" s="71"/>
      <c r="AL17" s="226"/>
      <c r="AM17" s="71"/>
      <c r="AN17" s="71"/>
      <c r="AO17" s="345"/>
      <c r="AP17" s="71"/>
      <c r="AQ17" s="226"/>
      <c r="AR17" s="71"/>
      <c r="AS17" s="71"/>
      <c r="AT17" s="345"/>
      <c r="AU17" s="71"/>
      <c r="AV17" s="226"/>
      <c r="AW17" s="71"/>
      <c r="AX17" s="71"/>
      <c r="AY17" s="345"/>
      <c r="AZ17" s="71"/>
      <c r="BA17" s="226"/>
      <c r="BB17" s="71"/>
      <c r="BC17" s="71"/>
      <c r="BD17" s="345"/>
      <c r="BE17" s="71"/>
      <c r="BF17" s="226"/>
      <c r="BG17" s="71"/>
      <c r="BH17" s="71"/>
      <c r="BI17" s="345"/>
      <c r="BJ17" s="71"/>
      <c r="BK17" s="226"/>
      <c r="BL17" s="71"/>
      <c r="BM17" s="71"/>
      <c r="BN17" s="345"/>
      <c r="BO17" s="71"/>
      <c r="BP17" s="226"/>
      <c r="BQ17" s="71"/>
      <c r="BR17" s="71"/>
      <c r="BS17" s="345"/>
      <c r="BT17" s="71"/>
      <c r="BU17" s="226"/>
      <c r="BV17" s="71"/>
      <c r="BW17" s="71"/>
      <c r="BX17" s="345"/>
      <c r="BY17" s="71"/>
      <c r="BZ17" s="226"/>
      <c r="CA17" s="71"/>
      <c r="CB17" s="71"/>
      <c r="CC17" s="345"/>
      <c r="CD17" s="71"/>
      <c r="CE17" s="226"/>
      <c r="CF17" s="71"/>
      <c r="CG17" s="71"/>
      <c r="CH17" s="345"/>
      <c r="CI17" s="71"/>
      <c r="CJ17" s="226"/>
      <c r="CK17" s="71"/>
      <c r="CL17" s="71"/>
      <c r="CM17" s="345"/>
      <c r="CN17" s="71"/>
      <c r="CO17" s="226"/>
      <c r="CP17" s="71"/>
      <c r="CQ17" s="71"/>
      <c r="CR17" s="345"/>
      <c r="CS17" s="71"/>
      <c r="CT17" s="226"/>
      <c r="CU17" s="71"/>
      <c r="CV17" s="71"/>
      <c r="CW17" s="345"/>
      <c r="CX17" s="71"/>
      <c r="CY17" s="226"/>
      <c r="CZ17" s="71"/>
      <c r="DA17" s="71"/>
      <c r="DB17" s="345"/>
      <c r="DC17" s="71"/>
      <c r="DD17" s="226"/>
      <c r="DE17" s="71"/>
      <c r="DF17" s="71"/>
      <c r="DG17" s="345"/>
      <c r="DH17" s="71"/>
      <c r="DI17" s="226"/>
      <c r="DJ17" s="71"/>
      <c r="DK17" s="71"/>
      <c r="DL17" s="345"/>
      <c r="DM17" s="71"/>
      <c r="DN17" s="226"/>
      <c r="DO17" s="71"/>
      <c r="DP17" s="71"/>
      <c r="DQ17" s="345"/>
      <c r="DR17" s="71"/>
      <c r="DS17" s="226"/>
      <c r="DT17" s="71"/>
      <c r="DU17" s="71"/>
      <c r="DV17" s="345"/>
      <c r="DW17" s="71"/>
      <c r="DX17" s="226"/>
      <c r="DY17" s="71"/>
      <c r="DZ17" s="71"/>
      <c r="EA17" s="345"/>
      <c r="EB17" s="71"/>
      <c r="EC17" s="226"/>
      <c r="ED17" s="71"/>
      <c r="EE17" s="71"/>
      <c r="EF17" s="345"/>
      <c r="EG17" s="71"/>
      <c r="EH17" s="226"/>
      <c r="EI17" s="71"/>
      <c r="EJ17" s="71"/>
      <c r="EK17" s="345"/>
      <c r="EL17" s="71"/>
      <c r="EM17" s="226"/>
      <c r="EN17" s="71"/>
      <c r="EO17" s="71"/>
      <c r="EP17" s="345"/>
      <c r="EQ17" s="71"/>
      <c r="ER17" s="226"/>
      <c r="ES17" s="71"/>
      <c r="ET17" s="71"/>
      <c r="EU17" s="345"/>
      <c r="EV17" s="71"/>
      <c r="EW17" s="226"/>
      <c r="EX17" s="71"/>
      <c r="EY17" s="71"/>
      <c r="EZ17" s="345"/>
      <c r="FA17" s="71"/>
      <c r="FB17" s="226"/>
      <c r="FC17" s="71"/>
      <c r="FD17" s="71"/>
      <c r="FE17" s="345"/>
      <c r="FF17" s="71"/>
      <c r="FG17" s="226"/>
      <c r="FH17" s="71"/>
      <c r="FI17" s="71"/>
      <c r="FJ17" s="345"/>
      <c r="FK17" s="71"/>
      <c r="FL17" s="226"/>
      <c r="FM17" s="71"/>
      <c r="FN17" s="71"/>
      <c r="FO17" s="345"/>
      <c r="FP17" s="71"/>
      <c r="FQ17" s="226"/>
      <c r="FR17" s="71"/>
      <c r="FS17" s="71"/>
      <c r="FT17" s="345"/>
      <c r="FU17" s="71"/>
      <c r="FV17" s="226"/>
      <c r="FW17" s="71"/>
      <c r="FX17" s="71"/>
      <c r="FY17" s="345"/>
      <c r="FZ17" s="71"/>
      <c r="GA17" s="226"/>
      <c r="GB17" s="71"/>
      <c r="GC17" s="71"/>
      <c r="GD17" s="345"/>
      <c r="GE17" s="71"/>
      <c r="GF17" s="226"/>
      <c r="GG17" s="71"/>
      <c r="GH17" s="71"/>
      <c r="GI17" s="345"/>
      <c r="GJ17" s="71"/>
      <c r="GK17" s="226"/>
      <c r="GL17" s="71"/>
      <c r="GM17" s="71"/>
      <c r="GN17" s="345"/>
      <c r="GO17" s="71"/>
      <c r="GP17" s="226"/>
      <c r="GQ17" s="71"/>
      <c r="GR17" s="71"/>
      <c r="GS17" s="345"/>
      <c r="GT17" s="71"/>
      <c r="GU17" s="226"/>
      <c r="GV17" s="71"/>
      <c r="GW17" s="71"/>
      <c r="GX17" s="345"/>
      <c r="GY17" s="71"/>
      <c r="GZ17" s="226"/>
      <c r="HA17" s="71"/>
      <c r="HB17" s="71"/>
      <c r="HC17" s="345"/>
      <c r="HD17" s="71"/>
      <c r="HE17" s="226"/>
      <c r="HF17" s="71"/>
      <c r="HG17" s="71"/>
      <c r="HH17" s="345"/>
      <c r="HI17" s="71"/>
      <c r="HJ17" s="226"/>
      <c r="HK17" s="71"/>
      <c r="HL17" s="71"/>
      <c r="HM17" s="345"/>
      <c r="HN17" s="71"/>
      <c r="HO17" s="226"/>
      <c r="HP17" s="71"/>
      <c r="HQ17" s="71"/>
      <c r="HR17" s="345"/>
      <c r="HS17" s="71"/>
      <c r="HT17" s="226"/>
      <c r="HU17" s="71"/>
      <c r="HV17" s="71"/>
      <c r="HW17" s="345"/>
      <c r="HX17" s="71"/>
      <c r="HY17" s="226"/>
      <c r="HZ17" s="71"/>
      <c r="IA17" s="71"/>
      <c r="IB17" s="345"/>
      <c r="IC17" s="71"/>
      <c r="ID17" s="226"/>
      <c r="IE17" s="71"/>
      <c r="IF17" s="71"/>
      <c r="IG17" s="345"/>
      <c r="IH17" s="71"/>
      <c r="II17" s="226"/>
      <c r="IJ17" s="71"/>
      <c r="IK17" s="71"/>
      <c r="IL17" s="345"/>
      <c r="IM17" s="71"/>
      <c r="IN17" s="226"/>
      <c r="IO17" s="71"/>
      <c r="IP17" s="71"/>
      <c r="IQ17" s="345"/>
      <c r="IR17" s="71"/>
      <c r="IS17" s="226"/>
      <c r="IT17" s="71"/>
      <c r="IU17" s="71"/>
      <c r="IV17" s="345"/>
    </row>
    <row r="18" spans="1:256" x14ac:dyDescent="0.2">
      <c r="A18" s="345">
        <v>28064</v>
      </c>
      <c r="B18" s="71"/>
      <c r="C18" s="226"/>
      <c r="D18" s="71"/>
      <c r="E18" s="71"/>
      <c r="F18" s="345"/>
      <c r="G18" s="71"/>
      <c r="H18" s="226"/>
      <c r="I18" s="71"/>
      <c r="J18" s="71"/>
      <c r="K18" s="345"/>
      <c r="L18" s="71"/>
      <c r="M18" s="226"/>
      <c r="N18" s="71"/>
      <c r="O18" s="71"/>
      <c r="P18" s="345"/>
      <c r="Q18" s="71"/>
      <c r="R18" s="226"/>
      <c r="S18" s="71"/>
      <c r="T18" s="71"/>
      <c r="U18" s="345"/>
      <c r="V18" s="71"/>
      <c r="W18" s="226"/>
      <c r="X18" s="71"/>
      <c r="Y18" s="71"/>
      <c r="Z18" s="345"/>
      <c r="AA18" s="71"/>
      <c r="AB18" s="226"/>
      <c r="AC18" s="71"/>
      <c r="AD18" s="71"/>
      <c r="AE18" s="345"/>
      <c r="AF18" s="71"/>
      <c r="AG18" s="226"/>
      <c r="AH18" s="71"/>
      <c r="AI18" s="71"/>
      <c r="AJ18" s="345"/>
      <c r="AK18" s="71"/>
      <c r="AL18" s="226"/>
      <c r="AM18" s="71"/>
      <c r="AN18" s="71"/>
      <c r="AO18" s="345"/>
      <c r="AP18" s="71"/>
      <c r="AQ18" s="226"/>
      <c r="AR18" s="71"/>
      <c r="AS18" s="71"/>
      <c r="AT18" s="345"/>
      <c r="AU18" s="71"/>
      <c r="AV18" s="226"/>
      <c r="AW18" s="71"/>
      <c r="AX18" s="71"/>
      <c r="AY18" s="345"/>
      <c r="AZ18" s="71"/>
      <c r="BA18" s="226"/>
      <c r="BB18" s="71"/>
      <c r="BC18" s="71"/>
      <c r="BD18" s="345"/>
      <c r="BE18" s="71"/>
      <c r="BF18" s="226"/>
      <c r="BG18" s="71"/>
      <c r="BH18" s="71"/>
      <c r="BI18" s="345"/>
      <c r="BJ18" s="71"/>
      <c r="BK18" s="226"/>
      <c r="BL18" s="71"/>
      <c r="BM18" s="71"/>
      <c r="BN18" s="345"/>
      <c r="BO18" s="71"/>
      <c r="BP18" s="226"/>
      <c r="BQ18" s="71"/>
      <c r="BR18" s="71"/>
      <c r="BS18" s="345"/>
      <c r="BT18" s="71"/>
      <c r="BU18" s="226"/>
      <c r="BV18" s="71"/>
      <c r="BW18" s="71"/>
      <c r="BX18" s="345"/>
      <c r="BY18" s="71"/>
      <c r="BZ18" s="226"/>
      <c r="CA18" s="71"/>
      <c r="CB18" s="71"/>
      <c r="CC18" s="345"/>
      <c r="CD18" s="71"/>
      <c r="CE18" s="226"/>
      <c r="CF18" s="71"/>
      <c r="CG18" s="71"/>
      <c r="CH18" s="345"/>
      <c r="CI18" s="71"/>
      <c r="CJ18" s="226"/>
      <c r="CK18" s="71"/>
      <c r="CL18" s="71"/>
      <c r="CM18" s="345"/>
      <c r="CN18" s="71"/>
      <c r="CO18" s="226"/>
      <c r="CP18" s="71"/>
      <c r="CQ18" s="71"/>
      <c r="CR18" s="345"/>
      <c r="CS18" s="71"/>
      <c r="CT18" s="226"/>
      <c r="CU18" s="71"/>
      <c r="CV18" s="71"/>
      <c r="CW18" s="345"/>
      <c r="CX18" s="71"/>
      <c r="CY18" s="226"/>
      <c r="CZ18" s="71"/>
      <c r="DA18" s="71"/>
      <c r="DB18" s="345"/>
      <c r="DC18" s="71"/>
      <c r="DD18" s="226"/>
      <c r="DE18" s="71"/>
      <c r="DF18" s="71"/>
      <c r="DG18" s="345"/>
      <c r="DH18" s="71"/>
      <c r="DI18" s="226"/>
      <c r="DJ18" s="71"/>
      <c r="DK18" s="71"/>
      <c r="DL18" s="345"/>
      <c r="DM18" s="71"/>
      <c r="DN18" s="226"/>
      <c r="DO18" s="71"/>
      <c r="DP18" s="71"/>
      <c r="DQ18" s="345"/>
      <c r="DR18" s="71"/>
      <c r="DS18" s="226"/>
      <c r="DT18" s="71"/>
      <c r="DU18" s="71"/>
      <c r="DV18" s="345"/>
      <c r="DW18" s="71"/>
      <c r="DX18" s="226"/>
      <c r="DY18" s="71"/>
      <c r="DZ18" s="71"/>
      <c r="EA18" s="345"/>
      <c r="EB18" s="71"/>
      <c r="EC18" s="226"/>
      <c r="ED18" s="71"/>
      <c r="EE18" s="71"/>
      <c r="EF18" s="345"/>
      <c r="EG18" s="71"/>
      <c r="EH18" s="226"/>
      <c r="EI18" s="71"/>
      <c r="EJ18" s="71"/>
      <c r="EK18" s="345"/>
      <c r="EL18" s="71"/>
      <c r="EM18" s="226"/>
      <c r="EN18" s="71"/>
      <c r="EO18" s="71"/>
      <c r="EP18" s="345"/>
      <c r="EQ18" s="71"/>
      <c r="ER18" s="226"/>
      <c r="ES18" s="71"/>
      <c r="ET18" s="71"/>
      <c r="EU18" s="345"/>
      <c r="EV18" s="71"/>
      <c r="EW18" s="226"/>
      <c r="EX18" s="71"/>
      <c r="EY18" s="71"/>
      <c r="EZ18" s="345"/>
      <c r="FA18" s="71"/>
      <c r="FB18" s="226"/>
      <c r="FC18" s="71"/>
      <c r="FD18" s="71"/>
      <c r="FE18" s="345"/>
      <c r="FF18" s="71"/>
      <c r="FG18" s="226"/>
      <c r="FH18" s="71"/>
      <c r="FI18" s="71"/>
      <c r="FJ18" s="345"/>
      <c r="FK18" s="71"/>
      <c r="FL18" s="226"/>
      <c r="FM18" s="71"/>
      <c r="FN18" s="71"/>
      <c r="FO18" s="345"/>
      <c r="FP18" s="71"/>
      <c r="FQ18" s="226"/>
      <c r="FR18" s="71"/>
      <c r="FS18" s="71"/>
      <c r="FT18" s="345"/>
      <c r="FU18" s="71"/>
      <c r="FV18" s="226"/>
      <c r="FW18" s="71"/>
      <c r="FX18" s="71"/>
      <c r="FY18" s="345"/>
      <c r="FZ18" s="71"/>
      <c r="GA18" s="226"/>
      <c r="GB18" s="71"/>
      <c r="GC18" s="71"/>
      <c r="GD18" s="345"/>
      <c r="GE18" s="71"/>
      <c r="GF18" s="226"/>
      <c r="GG18" s="71"/>
      <c r="GH18" s="71"/>
      <c r="GI18" s="345"/>
      <c r="GJ18" s="71"/>
      <c r="GK18" s="226"/>
      <c r="GL18" s="71"/>
      <c r="GM18" s="71"/>
      <c r="GN18" s="345"/>
      <c r="GO18" s="71"/>
      <c r="GP18" s="226"/>
      <c r="GQ18" s="71"/>
      <c r="GR18" s="71"/>
      <c r="GS18" s="345"/>
      <c r="GT18" s="71"/>
      <c r="GU18" s="226"/>
      <c r="GV18" s="71"/>
      <c r="GW18" s="71"/>
      <c r="GX18" s="345"/>
      <c r="GY18" s="71"/>
      <c r="GZ18" s="226"/>
      <c r="HA18" s="71"/>
      <c r="HB18" s="71"/>
      <c r="HC18" s="345"/>
      <c r="HD18" s="71"/>
      <c r="HE18" s="226"/>
      <c r="HF18" s="71"/>
      <c r="HG18" s="71"/>
      <c r="HH18" s="345"/>
      <c r="HI18" s="71"/>
      <c r="HJ18" s="226"/>
      <c r="HK18" s="71"/>
      <c r="HL18" s="71"/>
      <c r="HM18" s="345"/>
      <c r="HN18" s="71"/>
      <c r="HO18" s="226"/>
      <c r="HP18" s="71"/>
      <c r="HQ18" s="71"/>
      <c r="HR18" s="345"/>
      <c r="HS18" s="71"/>
      <c r="HT18" s="226"/>
      <c r="HU18" s="71"/>
      <c r="HV18" s="71"/>
      <c r="HW18" s="345"/>
      <c r="HX18" s="71"/>
      <c r="HY18" s="226"/>
      <c r="HZ18" s="71"/>
      <c r="IA18" s="71"/>
      <c r="IB18" s="345"/>
      <c r="IC18" s="71"/>
      <c r="ID18" s="226"/>
      <c r="IE18" s="71"/>
      <c r="IF18" s="71"/>
      <c r="IG18" s="345"/>
      <c r="IH18" s="71"/>
      <c r="II18" s="226"/>
      <c r="IJ18" s="71"/>
      <c r="IK18" s="71"/>
      <c r="IL18" s="345"/>
      <c r="IM18" s="71"/>
      <c r="IN18" s="226"/>
      <c r="IO18" s="71"/>
      <c r="IP18" s="71"/>
      <c r="IQ18" s="345"/>
      <c r="IR18" s="71"/>
      <c r="IS18" s="226"/>
      <c r="IT18" s="71"/>
      <c r="IU18" s="71"/>
      <c r="IV18" s="345"/>
    </row>
    <row r="19" spans="1:256" x14ac:dyDescent="0.2">
      <c r="A19" s="345">
        <v>28094</v>
      </c>
      <c r="B19" s="71"/>
      <c r="C19" s="226"/>
      <c r="D19" s="71"/>
      <c r="E19" s="71"/>
      <c r="F19" s="345"/>
      <c r="G19" s="71"/>
      <c r="H19" s="226"/>
      <c r="I19" s="71"/>
      <c r="J19" s="71"/>
      <c r="K19" s="345"/>
      <c r="L19" s="71"/>
      <c r="M19" s="226"/>
      <c r="N19" s="71"/>
      <c r="O19" s="71"/>
      <c r="P19" s="345"/>
      <c r="Q19" s="71"/>
      <c r="R19" s="226"/>
      <c r="S19" s="71"/>
      <c r="T19" s="71"/>
      <c r="U19" s="345"/>
      <c r="V19" s="71"/>
      <c r="W19" s="226"/>
      <c r="X19" s="71"/>
      <c r="Y19" s="71"/>
      <c r="Z19" s="345"/>
      <c r="AA19" s="71"/>
      <c r="AB19" s="226"/>
      <c r="AC19" s="71"/>
      <c r="AD19" s="71"/>
      <c r="AE19" s="345"/>
      <c r="AF19" s="71"/>
      <c r="AG19" s="226"/>
      <c r="AH19" s="71"/>
      <c r="AI19" s="71"/>
      <c r="AJ19" s="345"/>
      <c r="AK19" s="71"/>
      <c r="AL19" s="226"/>
      <c r="AM19" s="71"/>
      <c r="AN19" s="71"/>
      <c r="AO19" s="345"/>
      <c r="AP19" s="71"/>
      <c r="AQ19" s="226"/>
      <c r="AR19" s="71"/>
      <c r="AS19" s="71"/>
      <c r="AT19" s="345"/>
      <c r="AU19" s="71"/>
      <c r="AV19" s="226"/>
      <c r="AW19" s="71"/>
      <c r="AX19" s="71"/>
      <c r="AY19" s="345"/>
      <c r="AZ19" s="71"/>
      <c r="BA19" s="226"/>
      <c r="BB19" s="71"/>
      <c r="BC19" s="71"/>
      <c r="BD19" s="345"/>
      <c r="BE19" s="71"/>
      <c r="BF19" s="226"/>
      <c r="BG19" s="71"/>
      <c r="BH19" s="71"/>
      <c r="BI19" s="345"/>
      <c r="BJ19" s="71"/>
      <c r="BK19" s="226"/>
      <c r="BL19" s="71"/>
      <c r="BM19" s="71"/>
      <c r="BN19" s="345"/>
      <c r="BO19" s="71"/>
      <c r="BP19" s="226"/>
      <c r="BQ19" s="71"/>
      <c r="BR19" s="71"/>
      <c r="BS19" s="345"/>
      <c r="BT19" s="71"/>
      <c r="BU19" s="226"/>
      <c r="BV19" s="71"/>
      <c r="BW19" s="71"/>
      <c r="BX19" s="345"/>
      <c r="BY19" s="71"/>
      <c r="BZ19" s="226"/>
      <c r="CA19" s="71"/>
      <c r="CB19" s="71"/>
      <c r="CC19" s="345"/>
      <c r="CD19" s="71"/>
      <c r="CE19" s="226"/>
      <c r="CF19" s="71"/>
      <c r="CG19" s="71"/>
      <c r="CH19" s="345"/>
      <c r="CI19" s="71"/>
      <c r="CJ19" s="226"/>
      <c r="CK19" s="71"/>
      <c r="CL19" s="71"/>
      <c r="CM19" s="345"/>
      <c r="CN19" s="71"/>
      <c r="CO19" s="226"/>
      <c r="CP19" s="71"/>
      <c r="CQ19" s="71"/>
      <c r="CR19" s="345"/>
      <c r="CS19" s="71"/>
      <c r="CT19" s="226"/>
      <c r="CU19" s="71"/>
      <c r="CV19" s="71"/>
      <c r="CW19" s="345"/>
      <c r="CX19" s="71"/>
      <c r="CY19" s="226"/>
      <c r="CZ19" s="71"/>
      <c r="DA19" s="71"/>
      <c r="DB19" s="345"/>
      <c r="DC19" s="71"/>
      <c r="DD19" s="226"/>
      <c r="DE19" s="71"/>
      <c r="DF19" s="71"/>
      <c r="DG19" s="345"/>
      <c r="DH19" s="71"/>
      <c r="DI19" s="226"/>
      <c r="DJ19" s="71"/>
      <c r="DK19" s="71"/>
      <c r="DL19" s="345"/>
      <c r="DM19" s="71"/>
      <c r="DN19" s="226"/>
      <c r="DO19" s="71"/>
      <c r="DP19" s="71"/>
      <c r="DQ19" s="345"/>
      <c r="DR19" s="71"/>
      <c r="DS19" s="226"/>
      <c r="DT19" s="71"/>
      <c r="DU19" s="71"/>
      <c r="DV19" s="345"/>
      <c r="DW19" s="71"/>
      <c r="DX19" s="226"/>
      <c r="DY19" s="71"/>
      <c r="DZ19" s="71"/>
      <c r="EA19" s="345"/>
      <c r="EB19" s="71"/>
      <c r="EC19" s="226"/>
      <c r="ED19" s="71"/>
      <c r="EE19" s="71"/>
      <c r="EF19" s="345"/>
      <c r="EG19" s="71"/>
      <c r="EH19" s="226"/>
      <c r="EI19" s="71"/>
      <c r="EJ19" s="71"/>
      <c r="EK19" s="345"/>
      <c r="EL19" s="71"/>
      <c r="EM19" s="226"/>
      <c r="EN19" s="71"/>
      <c r="EO19" s="71"/>
      <c r="EP19" s="345"/>
      <c r="EQ19" s="71"/>
      <c r="ER19" s="226"/>
      <c r="ES19" s="71"/>
      <c r="ET19" s="71"/>
      <c r="EU19" s="345"/>
      <c r="EV19" s="71"/>
      <c r="EW19" s="226"/>
      <c r="EX19" s="71"/>
      <c r="EY19" s="71"/>
      <c r="EZ19" s="345"/>
      <c r="FA19" s="71"/>
      <c r="FB19" s="226"/>
      <c r="FC19" s="71"/>
      <c r="FD19" s="71"/>
      <c r="FE19" s="345"/>
      <c r="FF19" s="71"/>
      <c r="FG19" s="226"/>
      <c r="FH19" s="71"/>
      <c r="FI19" s="71"/>
      <c r="FJ19" s="345"/>
      <c r="FK19" s="71"/>
      <c r="FL19" s="226"/>
      <c r="FM19" s="71"/>
      <c r="FN19" s="71"/>
      <c r="FO19" s="345"/>
      <c r="FP19" s="71"/>
      <c r="FQ19" s="226"/>
      <c r="FR19" s="71"/>
      <c r="FS19" s="71"/>
      <c r="FT19" s="345"/>
      <c r="FU19" s="71"/>
      <c r="FV19" s="226"/>
      <c r="FW19" s="71"/>
      <c r="FX19" s="71"/>
      <c r="FY19" s="345"/>
      <c r="FZ19" s="71"/>
      <c r="GA19" s="226"/>
      <c r="GB19" s="71"/>
      <c r="GC19" s="71"/>
      <c r="GD19" s="345"/>
      <c r="GE19" s="71"/>
      <c r="GF19" s="226"/>
      <c r="GG19" s="71"/>
      <c r="GH19" s="71"/>
      <c r="GI19" s="345"/>
      <c r="GJ19" s="71"/>
      <c r="GK19" s="226"/>
      <c r="GL19" s="71"/>
      <c r="GM19" s="71"/>
      <c r="GN19" s="345"/>
      <c r="GO19" s="71"/>
      <c r="GP19" s="226"/>
      <c r="GQ19" s="71"/>
      <c r="GR19" s="71"/>
      <c r="GS19" s="345"/>
      <c r="GT19" s="71"/>
      <c r="GU19" s="226"/>
      <c r="GV19" s="71"/>
      <c r="GW19" s="71"/>
      <c r="GX19" s="345"/>
      <c r="GY19" s="71"/>
      <c r="GZ19" s="226"/>
      <c r="HA19" s="71"/>
      <c r="HB19" s="71"/>
      <c r="HC19" s="345"/>
      <c r="HD19" s="71"/>
      <c r="HE19" s="226"/>
      <c r="HF19" s="71"/>
      <c r="HG19" s="71"/>
      <c r="HH19" s="345"/>
      <c r="HI19" s="71"/>
      <c r="HJ19" s="226"/>
      <c r="HK19" s="71"/>
      <c r="HL19" s="71"/>
      <c r="HM19" s="345"/>
      <c r="HN19" s="71"/>
      <c r="HO19" s="226"/>
      <c r="HP19" s="71"/>
      <c r="HQ19" s="71"/>
      <c r="HR19" s="345"/>
      <c r="HS19" s="71"/>
      <c r="HT19" s="226"/>
      <c r="HU19" s="71"/>
      <c r="HV19" s="71"/>
      <c r="HW19" s="345"/>
      <c r="HX19" s="71"/>
      <c r="HY19" s="226"/>
      <c r="HZ19" s="71"/>
      <c r="IA19" s="71"/>
      <c r="IB19" s="345"/>
      <c r="IC19" s="71"/>
      <c r="ID19" s="226"/>
      <c r="IE19" s="71"/>
      <c r="IF19" s="71"/>
      <c r="IG19" s="345"/>
      <c r="IH19" s="71"/>
      <c r="II19" s="226"/>
      <c r="IJ19" s="71"/>
      <c r="IK19" s="71"/>
      <c r="IL19" s="345"/>
      <c r="IM19" s="71"/>
      <c r="IN19" s="226"/>
      <c r="IO19" s="71"/>
      <c r="IP19" s="71"/>
      <c r="IQ19" s="345"/>
      <c r="IR19" s="71"/>
      <c r="IS19" s="226"/>
      <c r="IT19" s="71"/>
      <c r="IU19" s="71"/>
      <c r="IV19" s="345"/>
    </row>
    <row r="20" spans="1:256" x14ac:dyDescent="0.2">
      <c r="A20" s="345">
        <v>28125</v>
      </c>
      <c r="B20" s="71"/>
      <c r="C20" s="226"/>
      <c r="D20" s="71"/>
      <c r="E20" s="71"/>
      <c r="F20" s="345"/>
      <c r="G20" s="71"/>
      <c r="H20" s="226"/>
      <c r="I20" s="71"/>
      <c r="J20" s="71"/>
      <c r="K20" s="345"/>
      <c r="L20" s="71"/>
      <c r="M20" s="226"/>
      <c r="N20" s="71"/>
      <c r="O20" s="71"/>
      <c r="P20" s="345"/>
      <c r="Q20" s="71"/>
      <c r="R20" s="226"/>
      <c r="S20" s="71"/>
      <c r="T20" s="71"/>
      <c r="U20" s="345"/>
      <c r="V20" s="71"/>
      <c r="W20" s="226"/>
      <c r="X20" s="71"/>
      <c r="Y20" s="71"/>
      <c r="Z20" s="345"/>
      <c r="AA20" s="71"/>
      <c r="AB20" s="226"/>
      <c r="AC20" s="71"/>
      <c r="AD20" s="71"/>
      <c r="AE20" s="345"/>
      <c r="AF20" s="71"/>
      <c r="AG20" s="226"/>
      <c r="AH20" s="71"/>
      <c r="AI20" s="71"/>
      <c r="AJ20" s="345"/>
      <c r="AK20" s="71"/>
      <c r="AL20" s="226"/>
      <c r="AM20" s="71"/>
      <c r="AN20" s="71"/>
      <c r="AO20" s="345"/>
      <c r="AP20" s="71"/>
      <c r="AQ20" s="226"/>
      <c r="AR20" s="71"/>
      <c r="AS20" s="71"/>
      <c r="AT20" s="345"/>
      <c r="AU20" s="71"/>
      <c r="AV20" s="226"/>
      <c r="AW20" s="71"/>
      <c r="AX20" s="71"/>
      <c r="AY20" s="345"/>
      <c r="AZ20" s="71"/>
      <c r="BA20" s="226"/>
      <c r="BB20" s="71"/>
      <c r="BC20" s="71"/>
      <c r="BD20" s="345"/>
      <c r="BE20" s="71"/>
      <c r="BF20" s="226"/>
      <c r="BG20" s="71"/>
      <c r="BH20" s="71"/>
      <c r="BI20" s="345"/>
      <c r="BJ20" s="71"/>
      <c r="BK20" s="226"/>
      <c r="BL20" s="71"/>
      <c r="BM20" s="71"/>
      <c r="BN20" s="345"/>
      <c r="BO20" s="71"/>
      <c r="BP20" s="226"/>
      <c r="BQ20" s="71"/>
      <c r="BR20" s="71"/>
      <c r="BS20" s="345"/>
      <c r="BT20" s="71"/>
      <c r="BU20" s="226"/>
      <c r="BV20" s="71"/>
      <c r="BW20" s="71"/>
      <c r="BX20" s="345"/>
      <c r="BY20" s="71"/>
      <c r="BZ20" s="226"/>
      <c r="CA20" s="71"/>
      <c r="CB20" s="71"/>
      <c r="CC20" s="345"/>
      <c r="CD20" s="71"/>
      <c r="CE20" s="226"/>
      <c r="CF20" s="71"/>
      <c r="CG20" s="71"/>
      <c r="CH20" s="345"/>
      <c r="CI20" s="71"/>
      <c r="CJ20" s="226"/>
      <c r="CK20" s="71"/>
      <c r="CL20" s="71"/>
      <c r="CM20" s="345"/>
      <c r="CN20" s="71"/>
      <c r="CO20" s="226"/>
      <c r="CP20" s="71"/>
      <c r="CQ20" s="71"/>
      <c r="CR20" s="345"/>
      <c r="CS20" s="71"/>
      <c r="CT20" s="226"/>
      <c r="CU20" s="71"/>
      <c r="CV20" s="71"/>
      <c r="CW20" s="345"/>
      <c r="CX20" s="71"/>
      <c r="CY20" s="226"/>
      <c r="CZ20" s="71"/>
      <c r="DA20" s="71"/>
      <c r="DB20" s="345"/>
      <c r="DC20" s="71"/>
      <c r="DD20" s="226"/>
      <c r="DE20" s="71"/>
      <c r="DF20" s="71"/>
      <c r="DG20" s="345"/>
      <c r="DH20" s="71"/>
      <c r="DI20" s="226"/>
      <c r="DJ20" s="71"/>
      <c r="DK20" s="71"/>
      <c r="DL20" s="345"/>
      <c r="DM20" s="71"/>
      <c r="DN20" s="226"/>
      <c r="DO20" s="71"/>
      <c r="DP20" s="71"/>
      <c r="DQ20" s="345"/>
      <c r="DR20" s="71"/>
      <c r="DS20" s="226"/>
      <c r="DT20" s="71"/>
      <c r="DU20" s="71"/>
      <c r="DV20" s="345"/>
      <c r="DW20" s="71"/>
      <c r="DX20" s="226"/>
      <c r="DY20" s="71"/>
      <c r="DZ20" s="71"/>
      <c r="EA20" s="345"/>
      <c r="EB20" s="71"/>
      <c r="EC20" s="226"/>
      <c r="ED20" s="71"/>
      <c r="EE20" s="71"/>
      <c r="EF20" s="345"/>
      <c r="EG20" s="71"/>
      <c r="EH20" s="226"/>
      <c r="EI20" s="71"/>
      <c r="EJ20" s="71"/>
      <c r="EK20" s="345"/>
      <c r="EL20" s="71"/>
      <c r="EM20" s="226"/>
      <c r="EN20" s="71"/>
      <c r="EO20" s="71"/>
      <c r="EP20" s="345"/>
      <c r="EQ20" s="71"/>
      <c r="ER20" s="226"/>
      <c r="ES20" s="71"/>
      <c r="ET20" s="71"/>
      <c r="EU20" s="345"/>
      <c r="EV20" s="71"/>
      <c r="EW20" s="226"/>
      <c r="EX20" s="71"/>
      <c r="EY20" s="71"/>
      <c r="EZ20" s="345"/>
      <c r="FA20" s="71"/>
      <c r="FB20" s="226"/>
      <c r="FC20" s="71"/>
      <c r="FD20" s="71"/>
      <c r="FE20" s="345"/>
      <c r="FF20" s="71"/>
      <c r="FG20" s="226"/>
      <c r="FH20" s="71"/>
      <c r="FI20" s="71"/>
      <c r="FJ20" s="345"/>
      <c r="FK20" s="71"/>
      <c r="FL20" s="226"/>
      <c r="FM20" s="71"/>
      <c r="FN20" s="71"/>
      <c r="FO20" s="345"/>
      <c r="FP20" s="71"/>
      <c r="FQ20" s="226"/>
      <c r="FR20" s="71"/>
      <c r="FS20" s="71"/>
      <c r="FT20" s="345"/>
      <c r="FU20" s="71"/>
      <c r="FV20" s="226"/>
      <c r="FW20" s="71"/>
      <c r="FX20" s="71"/>
      <c r="FY20" s="345"/>
      <c r="FZ20" s="71"/>
      <c r="GA20" s="226"/>
      <c r="GB20" s="71"/>
      <c r="GC20" s="71"/>
      <c r="GD20" s="345"/>
      <c r="GE20" s="71"/>
      <c r="GF20" s="226"/>
      <c r="GG20" s="71"/>
      <c r="GH20" s="71"/>
      <c r="GI20" s="345"/>
      <c r="GJ20" s="71"/>
      <c r="GK20" s="226"/>
      <c r="GL20" s="71"/>
      <c r="GM20" s="71"/>
      <c r="GN20" s="345"/>
      <c r="GO20" s="71"/>
      <c r="GP20" s="226"/>
      <c r="GQ20" s="71"/>
      <c r="GR20" s="71"/>
      <c r="GS20" s="345"/>
      <c r="GT20" s="71"/>
      <c r="GU20" s="226"/>
      <c r="GV20" s="71"/>
      <c r="GW20" s="71"/>
      <c r="GX20" s="345"/>
      <c r="GY20" s="71"/>
      <c r="GZ20" s="226"/>
      <c r="HA20" s="71"/>
      <c r="HB20" s="71"/>
      <c r="HC20" s="345"/>
      <c r="HD20" s="71"/>
      <c r="HE20" s="226"/>
      <c r="HF20" s="71"/>
      <c r="HG20" s="71"/>
      <c r="HH20" s="345"/>
      <c r="HI20" s="71"/>
      <c r="HJ20" s="226"/>
      <c r="HK20" s="71"/>
      <c r="HL20" s="71"/>
      <c r="HM20" s="345"/>
      <c r="HN20" s="71"/>
      <c r="HO20" s="226"/>
      <c r="HP20" s="71"/>
      <c r="HQ20" s="71"/>
      <c r="HR20" s="345"/>
      <c r="HS20" s="71"/>
      <c r="HT20" s="226"/>
      <c r="HU20" s="71"/>
      <c r="HV20" s="71"/>
      <c r="HW20" s="345"/>
      <c r="HX20" s="71"/>
      <c r="HY20" s="226"/>
      <c r="HZ20" s="71"/>
      <c r="IA20" s="71"/>
      <c r="IB20" s="345"/>
      <c r="IC20" s="71"/>
      <c r="ID20" s="226"/>
      <c r="IE20" s="71"/>
      <c r="IF20" s="71"/>
      <c r="IG20" s="345"/>
      <c r="IH20" s="71"/>
      <c r="II20" s="226"/>
      <c r="IJ20" s="71"/>
      <c r="IK20" s="71"/>
      <c r="IL20" s="345"/>
      <c r="IM20" s="71"/>
      <c r="IN20" s="226"/>
      <c r="IO20" s="71"/>
      <c r="IP20" s="71"/>
      <c r="IQ20" s="345"/>
      <c r="IR20" s="71"/>
      <c r="IS20" s="226"/>
      <c r="IT20" s="71"/>
      <c r="IU20" s="71"/>
      <c r="IV20" s="345"/>
    </row>
    <row r="21" spans="1:256" x14ac:dyDescent="0.2">
      <c r="A21" s="345">
        <v>28156</v>
      </c>
      <c r="B21" s="71"/>
      <c r="C21" s="226"/>
      <c r="D21" s="71"/>
      <c r="E21" s="71"/>
      <c r="F21" s="345"/>
      <c r="G21" s="71"/>
      <c r="H21" s="226"/>
      <c r="I21" s="71"/>
      <c r="J21" s="71"/>
      <c r="K21" s="345"/>
      <c r="L21" s="71"/>
      <c r="M21" s="226"/>
      <c r="N21" s="71"/>
      <c r="O21" s="71"/>
      <c r="P21" s="345"/>
      <c r="Q21" s="71"/>
      <c r="R21" s="226"/>
      <c r="S21" s="71"/>
      <c r="T21" s="71"/>
      <c r="U21" s="345"/>
      <c r="V21" s="71"/>
      <c r="W21" s="226"/>
      <c r="X21" s="71"/>
      <c r="Y21" s="71"/>
      <c r="Z21" s="345"/>
      <c r="AA21" s="71"/>
      <c r="AB21" s="226"/>
      <c r="AC21" s="71"/>
      <c r="AD21" s="71"/>
      <c r="AE21" s="345"/>
      <c r="AF21" s="71"/>
      <c r="AG21" s="226"/>
      <c r="AH21" s="71"/>
      <c r="AI21" s="71"/>
      <c r="AJ21" s="345"/>
      <c r="AK21" s="71"/>
      <c r="AL21" s="226"/>
      <c r="AM21" s="71"/>
      <c r="AN21" s="71"/>
      <c r="AO21" s="345"/>
      <c r="AP21" s="71"/>
      <c r="AQ21" s="226"/>
      <c r="AR21" s="71"/>
      <c r="AS21" s="71"/>
      <c r="AT21" s="345"/>
      <c r="AU21" s="71"/>
      <c r="AV21" s="226"/>
      <c r="AW21" s="71"/>
      <c r="AX21" s="71"/>
      <c r="AY21" s="345"/>
      <c r="AZ21" s="71"/>
      <c r="BA21" s="226"/>
      <c r="BB21" s="71"/>
      <c r="BC21" s="71"/>
      <c r="BD21" s="345"/>
      <c r="BE21" s="71"/>
      <c r="BF21" s="226"/>
      <c r="BG21" s="71"/>
      <c r="BH21" s="71"/>
      <c r="BI21" s="345"/>
      <c r="BJ21" s="71"/>
      <c r="BK21" s="226"/>
      <c r="BL21" s="71"/>
      <c r="BM21" s="71"/>
      <c r="BN21" s="345"/>
      <c r="BO21" s="71"/>
      <c r="BP21" s="226"/>
      <c r="BQ21" s="71"/>
      <c r="BR21" s="71"/>
      <c r="BS21" s="345"/>
      <c r="BT21" s="71"/>
      <c r="BU21" s="226"/>
      <c r="BV21" s="71"/>
      <c r="BW21" s="71"/>
      <c r="BX21" s="345"/>
      <c r="BY21" s="71"/>
      <c r="BZ21" s="226"/>
      <c r="CA21" s="71"/>
      <c r="CB21" s="71"/>
      <c r="CC21" s="345"/>
      <c r="CD21" s="71"/>
      <c r="CE21" s="226"/>
      <c r="CF21" s="71"/>
      <c r="CG21" s="71"/>
      <c r="CH21" s="345"/>
      <c r="CI21" s="71"/>
      <c r="CJ21" s="226"/>
      <c r="CK21" s="71"/>
      <c r="CL21" s="71"/>
      <c r="CM21" s="345"/>
      <c r="CN21" s="71"/>
      <c r="CO21" s="226"/>
      <c r="CP21" s="71"/>
      <c r="CQ21" s="71"/>
      <c r="CR21" s="345"/>
      <c r="CS21" s="71"/>
      <c r="CT21" s="226"/>
      <c r="CU21" s="71"/>
      <c r="CV21" s="71"/>
      <c r="CW21" s="345"/>
      <c r="CX21" s="71"/>
      <c r="CY21" s="226"/>
      <c r="CZ21" s="71"/>
      <c r="DA21" s="71"/>
      <c r="DB21" s="345"/>
      <c r="DC21" s="71"/>
      <c r="DD21" s="226"/>
      <c r="DE21" s="71"/>
      <c r="DF21" s="71"/>
      <c r="DG21" s="345"/>
      <c r="DH21" s="71"/>
      <c r="DI21" s="226"/>
      <c r="DJ21" s="71"/>
      <c r="DK21" s="71"/>
      <c r="DL21" s="345"/>
      <c r="DM21" s="71"/>
      <c r="DN21" s="226"/>
      <c r="DO21" s="71"/>
      <c r="DP21" s="71"/>
      <c r="DQ21" s="345"/>
      <c r="DR21" s="71"/>
      <c r="DS21" s="226"/>
      <c r="DT21" s="71"/>
      <c r="DU21" s="71"/>
      <c r="DV21" s="345"/>
      <c r="DW21" s="71"/>
      <c r="DX21" s="226"/>
      <c r="DY21" s="71"/>
      <c r="DZ21" s="71"/>
      <c r="EA21" s="345"/>
      <c r="EB21" s="71"/>
      <c r="EC21" s="226"/>
      <c r="ED21" s="71"/>
      <c r="EE21" s="71"/>
      <c r="EF21" s="345"/>
      <c r="EG21" s="71"/>
      <c r="EH21" s="226"/>
      <c r="EI21" s="71"/>
      <c r="EJ21" s="71"/>
      <c r="EK21" s="345"/>
      <c r="EL21" s="71"/>
      <c r="EM21" s="226"/>
      <c r="EN21" s="71"/>
      <c r="EO21" s="71"/>
      <c r="EP21" s="345"/>
      <c r="EQ21" s="71"/>
      <c r="ER21" s="226"/>
      <c r="ES21" s="71"/>
      <c r="ET21" s="71"/>
      <c r="EU21" s="345"/>
      <c r="EV21" s="71"/>
      <c r="EW21" s="226"/>
      <c r="EX21" s="71"/>
      <c r="EY21" s="71"/>
      <c r="EZ21" s="345"/>
      <c r="FA21" s="71"/>
      <c r="FB21" s="226"/>
      <c r="FC21" s="71"/>
      <c r="FD21" s="71"/>
      <c r="FE21" s="345"/>
      <c r="FF21" s="71"/>
      <c r="FG21" s="226"/>
      <c r="FH21" s="71"/>
      <c r="FI21" s="71"/>
      <c r="FJ21" s="345"/>
      <c r="FK21" s="71"/>
      <c r="FL21" s="226"/>
      <c r="FM21" s="71"/>
      <c r="FN21" s="71"/>
      <c r="FO21" s="345"/>
      <c r="FP21" s="71"/>
      <c r="FQ21" s="226"/>
      <c r="FR21" s="71"/>
      <c r="FS21" s="71"/>
      <c r="FT21" s="345"/>
      <c r="FU21" s="71"/>
      <c r="FV21" s="226"/>
      <c r="FW21" s="71"/>
      <c r="FX21" s="71"/>
      <c r="FY21" s="345"/>
      <c r="FZ21" s="71"/>
      <c r="GA21" s="226"/>
      <c r="GB21" s="71"/>
      <c r="GC21" s="71"/>
      <c r="GD21" s="345"/>
      <c r="GE21" s="71"/>
      <c r="GF21" s="226"/>
      <c r="GG21" s="71"/>
      <c r="GH21" s="71"/>
      <c r="GI21" s="345"/>
      <c r="GJ21" s="71"/>
      <c r="GK21" s="226"/>
      <c r="GL21" s="71"/>
      <c r="GM21" s="71"/>
      <c r="GN21" s="345"/>
      <c r="GO21" s="71"/>
      <c r="GP21" s="226"/>
      <c r="GQ21" s="71"/>
      <c r="GR21" s="71"/>
      <c r="GS21" s="345"/>
      <c r="GT21" s="71"/>
      <c r="GU21" s="226"/>
      <c r="GV21" s="71"/>
      <c r="GW21" s="71"/>
      <c r="GX21" s="345"/>
      <c r="GY21" s="71"/>
      <c r="GZ21" s="226"/>
      <c r="HA21" s="71"/>
      <c r="HB21" s="71"/>
      <c r="HC21" s="345"/>
      <c r="HD21" s="71"/>
      <c r="HE21" s="226"/>
      <c r="HF21" s="71"/>
      <c r="HG21" s="71"/>
      <c r="HH21" s="345"/>
      <c r="HI21" s="71"/>
      <c r="HJ21" s="226"/>
      <c r="HK21" s="71"/>
      <c r="HL21" s="71"/>
      <c r="HM21" s="345"/>
      <c r="HN21" s="71"/>
      <c r="HO21" s="226"/>
      <c r="HP21" s="71"/>
      <c r="HQ21" s="71"/>
      <c r="HR21" s="345"/>
      <c r="HS21" s="71"/>
      <c r="HT21" s="226"/>
      <c r="HU21" s="71"/>
      <c r="HV21" s="71"/>
      <c r="HW21" s="345"/>
      <c r="HX21" s="71"/>
      <c r="HY21" s="226"/>
      <c r="HZ21" s="71"/>
      <c r="IA21" s="71"/>
      <c r="IB21" s="345"/>
      <c r="IC21" s="71"/>
      <c r="ID21" s="226"/>
      <c r="IE21" s="71"/>
      <c r="IF21" s="71"/>
      <c r="IG21" s="345"/>
      <c r="IH21" s="71"/>
      <c r="II21" s="226"/>
      <c r="IJ21" s="71"/>
      <c r="IK21" s="71"/>
      <c r="IL21" s="345"/>
      <c r="IM21" s="71"/>
      <c r="IN21" s="226"/>
      <c r="IO21" s="71"/>
      <c r="IP21" s="71"/>
      <c r="IQ21" s="345"/>
      <c r="IR21" s="71"/>
      <c r="IS21" s="226"/>
      <c r="IT21" s="71"/>
      <c r="IU21" s="71"/>
      <c r="IV21" s="345"/>
    </row>
    <row r="22" spans="1:256" x14ac:dyDescent="0.2">
      <c r="A22" s="345">
        <v>28184</v>
      </c>
      <c r="B22" s="71"/>
      <c r="C22" s="226"/>
      <c r="D22" s="71"/>
      <c r="E22" s="71"/>
      <c r="F22" s="345"/>
      <c r="G22" s="71"/>
      <c r="H22" s="226"/>
      <c r="I22" s="71"/>
      <c r="J22" s="71"/>
      <c r="K22" s="345"/>
      <c r="L22" s="71"/>
      <c r="M22" s="226"/>
      <c r="N22" s="71"/>
      <c r="O22" s="71"/>
      <c r="P22" s="345"/>
      <c r="Q22" s="71"/>
      <c r="R22" s="226"/>
      <c r="S22" s="71"/>
      <c r="T22" s="71"/>
      <c r="U22" s="345"/>
      <c r="V22" s="71"/>
      <c r="W22" s="226"/>
      <c r="X22" s="71"/>
      <c r="Y22" s="71"/>
      <c r="Z22" s="345"/>
      <c r="AA22" s="71"/>
      <c r="AB22" s="226"/>
      <c r="AC22" s="71"/>
      <c r="AD22" s="71"/>
      <c r="AE22" s="345"/>
      <c r="AF22" s="71"/>
      <c r="AG22" s="226"/>
      <c r="AH22" s="71"/>
      <c r="AI22" s="71"/>
      <c r="AJ22" s="345"/>
      <c r="AK22" s="71"/>
      <c r="AL22" s="226"/>
      <c r="AM22" s="71"/>
      <c r="AN22" s="71"/>
      <c r="AO22" s="345"/>
      <c r="AP22" s="71"/>
      <c r="AQ22" s="226"/>
      <c r="AR22" s="71"/>
      <c r="AS22" s="71"/>
      <c r="AT22" s="345"/>
      <c r="AU22" s="71"/>
      <c r="AV22" s="226"/>
      <c r="AW22" s="71"/>
      <c r="AX22" s="71"/>
      <c r="AY22" s="345"/>
      <c r="AZ22" s="71"/>
      <c r="BA22" s="226"/>
      <c r="BB22" s="71"/>
      <c r="BC22" s="71"/>
      <c r="BD22" s="345"/>
      <c r="BE22" s="71"/>
      <c r="BF22" s="226"/>
      <c r="BG22" s="71"/>
      <c r="BH22" s="71"/>
      <c r="BI22" s="345"/>
      <c r="BJ22" s="71"/>
      <c r="BK22" s="226"/>
      <c r="BL22" s="71"/>
      <c r="BM22" s="71"/>
      <c r="BN22" s="345"/>
      <c r="BO22" s="71"/>
      <c r="BP22" s="226"/>
      <c r="BQ22" s="71"/>
      <c r="BR22" s="71"/>
      <c r="BS22" s="345"/>
      <c r="BT22" s="71"/>
      <c r="BU22" s="226"/>
      <c r="BV22" s="71"/>
      <c r="BW22" s="71"/>
      <c r="BX22" s="345"/>
      <c r="BY22" s="71"/>
      <c r="BZ22" s="226"/>
      <c r="CA22" s="71"/>
      <c r="CB22" s="71"/>
      <c r="CC22" s="345"/>
      <c r="CD22" s="71"/>
      <c r="CE22" s="226"/>
      <c r="CF22" s="71"/>
      <c r="CG22" s="71"/>
      <c r="CH22" s="345"/>
      <c r="CI22" s="71"/>
      <c r="CJ22" s="226"/>
      <c r="CK22" s="71"/>
      <c r="CL22" s="71"/>
      <c r="CM22" s="345"/>
      <c r="CN22" s="71"/>
      <c r="CO22" s="226"/>
      <c r="CP22" s="71"/>
      <c r="CQ22" s="71"/>
      <c r="CR22" s="345"/>
      <c r="CS22" s="71"/>
      <c r="CT22" s="226"/>
      <c r="CU22" s="71"/>
      <c r="CV22" s="71"/>
      <c r="CW22" s="345"/>
      <c r="CX22" s="71"/>
      <c r="CY22" s="226"/>
      <c r="CZ22" s="71"/>
      <c r="DA22" s="71"/>
      <c r="DB22" s="345"/>
      <c r="DC22" s="71"/>
      <c r="DD22" s="226"/>
      <c r="DE22" s="71"/>
      <c r="DF22" s="71"/>
      <c r="DG22" s="345"/>
      <c r="DH22" s="71"/>
      <c r="DI22" s="226"/>
      <c r="DJ22" s="71"/>
      <c r="DK22" s="71"/>
      <c r="DL22" s="345"/>
      <c r="DM22" s="71"/>
      <c r="DN22" s="226"/>
      <c r="DO22" s="71"/>
      <c r="DP22" s="71"/>
      <c r="DQ22" s="345"/>
      <c r="DR22" s="71"/>
      <c r="DS22" s="226"/>
      <c r="DT22" s="71"/>
      <c r="DU22" s="71"/>
      <c r="DV22" s="345"/>
      <c r="DW22" s="71"/>
      <c r="DX22" s="226"/>
      <c r="DY22" s="71"/>
      <c r="DZ22" s="71"/>
      <c r="EA22" s="345"/>
      <c r="EB22" s="71"/>
      <c r="EC22" s="226"/>
      <c r="ED22" s="71"/>
      <c r="EE22" s="71"/>
      <c r="EF22" s="345"/>
      <c r="EG22" s="71"/>
      <c r="EH22" s="226"/>
      <c r="EI22" s="71"/>
      <c r="EJ22" s="71"/>
      <c r="EK22" s="345"/>
      <c r="EL22" s="71"/>
      <c r="EM22" s="226"/>
      <c r="EN22" s="71"/>
      <c r="EO22" s="71"/>
      <c r="EP22" s="345"/>
      <c r="EQ22" s="71"/>
      <c r="ER22" s="226"/>
      <c r="ES22" s="71"/>
      <c r="ET22" s="71"/>
      <c r="EU22" s="345"/>
      <c r="EV22" s="71"/>
      <c r="EW22" s="226"/>
      <c r="EX22" s="71"/>
      <c r="EY22" s="71"/>
      <c r="EZ22" s="345"/>
      <c r="FA22" s="71"/>
      <c r="FB22" s="226"/>
      <c r="FC22" s="71"/>
      <c r="FD22" s="71"/>
      <c r="FE22" s="345"/>
      <c r="FF22" s="71"/>
      <c r="FG22" s="226"/>
      <c r="FH22" s="71"/>
      <c r="FI22" s="71"/>
      <c r="FJ22" s="345"/>
      <c r="FK22" s="71"/>
      <c r="FL22" s="226"/>
      <c r="FM22" s="71"/>
      <c r="FN22" s="71"/>
      <c r="FO22" s="345"/>
      <c r="FP22" s="71"/>
      <c r="FQ22" s="226"/>
      <c r="FR22" s="71"/>
      <c r="FS22" s="71"/>
      <c r="FT22" s="345"/>
      <c r="FU22" s="71"/>
      <c r="FV22" s="226"/>
      <c r="FW22" s="71"/>
      <c r="FX22" s="71"/>
      <c r="FY22" s="345"/>
      <c r="FZ22" s="71"/>
      <c r="GA22" s="226"/>
      <c r="GB22" s="71"/>
      <c r="GC22" s="71"/>
      <c r="GD22" s="345"/>
      <c r="GE22" s="71"/>
      <c r="GF22" s="226"/>
      <c r="GG22" s="71"/>
      <c r="GH22" s="71"/>
      <c r="GI22" s="345"/>
      <c r="GJ22" s="71"/>
      <c r="GK22" s="226"/>
      <c r="GL22" s="71"/>
      <c r="GM22" s="71"/>
      <c r="GN22" s="345"/>
      <c r="GO22" s="71"/>
      <c r="GP22" s="226"/>
      <c r="GQ22" s="71"/>
      <c r="GR22" s="71"/>
      <c r="GS22" s="345"/>
      <c r="GT22" s="71"/>
      <c r="GU22" s="226"/>
      <c r="GV22" s="71"/>
      <c r="GW22" s="71"/>
      <c r="GX22" s="345"/>
      <c r="GY22" s="71"/>
      <c r="GZ22" s="226"/>
      <c r="HA22" s="71"/>
      <c r="HB22" s="71"/>
      <c r="HC22" s="345"/>
      <c r="HD22" s="71"/>
      <c r="HE22" s="226"/>
      <c r="HF22" s="71"/>
      <c r="HG22" s="71"/>
      <c r="HH22" s="345"/>
      <c r="HI22" s="71"/>
      <c r="HJ22" s="226"/>
      <c r="HK22" s="71"/>
      <c r="HL22" s="71"/>
      <c r="HM22" s="345"/>
      <c r="HN22" s="71"/>
      <c r="HO22" s="226"/>
      <c r="HP22" s="71"/>
      <c r="HQ22" s="71"/>
      <c r="HR22" s="345"/>
      <c r="HS22" s="71"/>
      <c r="HT22" s="226"/>
      <c r="HU22" s="71"/>
      <c r="HV22" s="71"/>
      <c r="HW22" s="345"/>
      <c r="HX22" s="71"/>
      <c r="HY22" s="226"/>
      <c r="HZ22" s="71"/>
      <c r="IA22" s="71"/>
      <c r="IB22" s="345"/>
      <c r="IC22" s="71"/>
      <c r="ID22" s="226"/>
      <c r="IE22" s="71"/>
      <c r="IF22" s="71"/>
      <c r="IG22" s="345"/>
      <c r="IH22" s="71"/>
      <c r="II22" s="226"/>
      <c r="IJ22" s="71"/>
      <c r="IK22" s="71"/>
      <c r="IL22" s="345"/>
      <c r="IM22" s="71"/>
      <c r="IN22" s="226"/>
      <c r="IO22" s="71"/>
      <c r="IP22" s="71"/>
      <c r="IQ22" s="345"/>
      <c r="IR22" s="71"/>
      <c r="IS22" s="226"/>
      <c r="IT22" s="71"/>
      <c r="IU22" s="71"/>
      <c r="IV22" s="345"/>
    </row>
    <row r="23" spans="1:256" x14ac:dyDescent="0.2">
      <c r="A23" s="345">
        <v>28215</v>
      </c>
      <c r="B23" s="71"/>
      <c r="C23" s="226"/>
      <c r="D23" s="71"/>
      <c r="E23" s="71"/>
      <c r="F23" s="345"/>
      <c r="G23" s="71"/>
      <c r="H23" s="226"/>
      <c r="I23" s="71"/>
      <c r="J23" s="71"/>
      <c r="K23" s="345"/>
      <c r="L23" s="71"/>
      <c r="M23" s="226"/>
      <c r="N23" s="71"/>
      <c r="O23" s="71"/>
      <c r="P23" s="345"/>
      <c r="Q23" s="71"/>
      <c r="R23" s="226"/>
      <c r="S23" s="71"/>
      <c r="T23" s="71"/>
      <c r="U23" s="345"/>
      <c r="V23" s="71"/>
      <c r="W23" s="226"/>
      <c r="X23" s="71"/>
      <c r="Y23" s="71"/>
      <c r="Z23" s="345"/>
      <c r="AA23" s="71"/>
      <c r="AB23" s="226"/>
      <c r="AC23" s="71"/>
      <c r="AD23" s="71"/>
      <c r="AE23" s="345"/>
      <c r="AF23" s="71"/>
      <c r="AG23" s="226"/>
      <c r="AH23" s="71"/>
      <c r="AI23" s="71"/>
      <c r="AJ23" s="345"/>
      <c r="AK23" s="71"/>
      <c r="AL23" s="226"/>
      <c r="AM23" s="71"/>
      <c r="AN23" s="71"/>
      <c r="AO23" s="345"/>
      <c r="AP23" s="71"/>
      <c r="AQ23" s="226"/>
      <c r="AR23" s="71"/>
      <c r="AS23" s="71"/>
      <c r="AT23" s="345"/>
      <c r="AU23" s="71"/>
      <c r="AV23" s="226"/>
      <c r="AW23" s="71"/>
      <c r="AX23" s="71"/>
      <c r="AY23" s="345"/>
      <c r="AZ23" s="71"/>
      <c r="BA23" s="226"/>
      <c r="BB23" s="71"/>
      <c r="BC23" s="71"/>
      <c r="BD23" s="345"/>
      <c r="BE23" s="71"/>
      <c r="BF23" s="226"/>
      <c r="BG23" s="71"/>
      <c r="BH23" s="71"/>
      <c r="BI23" s="345"/>
      <c r="BJ23" s="71"/>
      <c r="BK23" s="226"/>
      <c r="BL23" s="71"/>
      <c r="BM23" s="71"/>
      <c r="BN23" s="345"/>
      <c r="BO23" s="71"/>
      <c r="BP23" s="226"/>
      <c r="BQ23" s="71"/>
      <c r="BR23" s="71"/>
      <c r="BS23" s="345"/>
      <c r="BT23" s="71"/>
      <c r="BU23" s="226"/>
      <c r="BV23" s="71"/>
      <c r="BW23" s="71"/>
      <c r="BX23" s="345"/>
      <c r="BY23" s="71"/>
      <c r="BZ23" s="226"/>
      <c r="CA23" s="71"/>
      <c r="CB23" s="71"/>
      <c r="CC23" s="345"/>
      <c r="CD23" s="71"/>
      <c r="CE23" s="226"/>
      <c r="CF23" s="71"/>
      <c r="CG23" s="71"/>
      <c r="CH23" s="345"/>
      <c r="CI23" s="71"/>
      <c r="CJ23" s="226"/>
      <c r="CK23" s="71"/>
      <c r="CL23" s="71"/>
      <c r="CM23" s="345"/>
      <c r="CN23" s="71"/>
      <c r="CO23" s="226"/>
      <c r="CP23" s="71"/>
      <c r="CQ23" s="71"/>
      <c r="CR23" s="345"/>
      <c r="CS23" s="71"/>
      <c r="CT23" s="226"/>
      <c r="CU23" s="71"/>
      <c r="CV23" s="71"/>
      <c r="CW23" s="345"/>
      <c r="CX23" s="71"/>
      <c r="CY23" s="226"/>
      <c r="CZ23" s="71"/>
      <c r="DA23" s="71"/>
      <c r="DB23" s="345"/>
      <c r="DC23" s="71"/>
      <c r="DD23" s="226"/>
      <c r="DE23" s="71"/>
      <c r="DF23" s="71"/>
      <c r="DG23" s="345"/>
      <c r="DH23" s="71"/>
      <c r="DI23" s="226"/>
      <c r="DJ23" s="71"/>
      <c r="DK23" s="71"/>
      <c r="DL23" s="345"/>
      <c r="DM23" s="71"/>
      <c r="DN23" s="226"/>
      <c r="DO23" s="71"/>
      <c r="DP23" s="71"/>
      <c r="DQ23" s="345"/>
      <c r="DR23" s="71"/>
      <c r="DS23" s="226"/>
      <c r="DT23" s="71"/>
      <c r="DU23" s="71"/>
      <c r="DV23" s="345"/>
      <c r="DW23" s="71"/>
      <c r="DX23" s="226"/>
      <c r="DY23" s="71"/>
      <c r="DZ23" s="71"/>
      <c r="EA23" s="345"/>
      <c r="EB23" s="71"/>
      <c r="EC23" s="226"/>
      <c r="ED23" s="71"/>
      <c r="EE23" s="71"/>
      <c r="EF23" s="345"/>
      <c r="EG23" s="71"/>
      <c r="EH23" s="226"/>
      <c r="EI23" s="71"/>
      <c r="EJ23" s="71"/>
      <c r="EK23" s="345"/>
      <c r="EL23" s="71"/>
      <c r="EM23" s="226"/>
      <c r="EN23" s="71"/>
      <c r="EO23" s="71"/>
      <c r="EP23" s="345"/>
      <c r="EQ23" s="71"/>
      <c r="ER23" s="226"/>
      <c r="ES23" s="71"/>
      <c r="ET23" s="71"/>
      <c r="EU23" s="345"/>
      <c r="EV23" s="71"/>
      <c r="EW23" s="226"/>
      <c r="EX23" s="71"/>
      <c r="EY23" s="71"/>
      <c r="EZ23" s="345"/>
      <c r="FA23" s="71"/>
      <c r="FB23" s="226"/>
      <c r="FC23" s="71"/>
      <c r="FD23" s="71"/>
      <c r="FE23" s="345"/>
      <c r="FF23" s="71"/>
      <c r="FG23" s="226"/>
      <c r="FH23" s="71"/>
      <c r="FI23" s="71"/>
      <c r="FJ23" s="345"/>
      <c r="FK23" s="71"/>
      <c r="FL23" s="226"/>
      <c r="FM23" s="71"/>
      <c r="FN23" s="71"/>
      <c r="FO23" s="345"/>
      <c r="FP23" s="71"/>
      <c r="FQ23" s="226"/>
      <c r="FR23" s="71"/>
      <c r="FS23" s="71"/>
      <c r="FT23" s="345"/>
      <c r="FU23" s="71"/>
      <c r="FV23" s="226"/>
      <c r="FW23" s="71"/>
      <c r="FX23" s="71"/>
      <c r="FY23" s="345"/>
      <c r="FZ23" s="71"/>
      <c r="GA23" s="226"/>
      <c r="GB23" s="71"/>
      <c r="GC23" s="71"/>
      <c r="GD23" s="345"/>
      <c r="GE23" s="71"/>
      <c r="GF23" s="226"/>
      <c r="GG23" s="71"/>
      <c r="GH23" s="71"/>
      <c r="GI23" s="345"/>
      <c r="GJ23" s="71"/>
      <c r="GK23" s="226"/>
      <c r="GL23" s="71"/>
      <c r="GM23" s="71"/>
      <c r="GN23" s="345"/>
      <c r="GO23" s="71"/>
      <c r="GP23" s="226"/>
      <c r="GQ23" s="71"/>
      <c r="GR23" s="71"/>
      <c r="GS23" s="345"/>
      <c r="GT23" s="71"/>
      <c r="GU23" s="226"/>
      <c r="GV23" s="71"/>
      <c r="GW23" s="71"/>
      <c r="GX23" s="345"/>
      <c r="GY23" s="71"/>
      <c r="GZ23" s="226"/>
      <c r="HA23" s="71"/>
      <c r="HB23" s="71"/>
      <c r="HC23" s="345"/>
      <c r="HD23" s="71"/>
      <c r="HE23" s="226"/>
      <c r="HF23" s="71"/>
      <c r="HG23" s="71"/>
      <c r="HH23" s="345"/>
      <c r="HI23" s="71"/>
      <c r="HJ23" s="226"/>
      <c r="HK23" s="71"/>
      <c r="HL23" s="71"/>
      <c r="HM23" s="345"/>
      <c r="HN23" s="71"/>
      <c r="HO23" s="226"/>
      <c r="HP23" s="71"/>
      <c r="HQ23" s="71"/>
      <c r="HR23" s="345"/>
      <c r="HS23" s="71"/>
      <c r="HT23" s="226"/>
      <c r="HU23" s="71"/>
      <c r="HV23" s="71"/>
      <c r="HW23" s="345"/>
      <c r="HX23" s="71"/>
      <c r="HY23" s="226"/>
      <c r="HZ23" s="71"/>
      <c r="IA23" s="71"/>
      <c r="IB23" s="345"/>
      <c r="IC23" s="71"/>
      <c r="ID23" s="226"/>
      <c r="IE23" s="71"/>
      <c r="IF23" s="71"/>
      <c r="IG23" s="345"/>
      <c r="IH23" s="71"/>
      <c r="II23" s="226"/>
      <c r="IJ23" s="71"/>
      <c r="IK23" s="71"/>
      <c r="IL23" s="345"/>
      <c r="IM23" s="71"/>
      <c r="IN23" s="226"/>
      <c r="IO23" s="71"/>
      <c r="IP23" s="71"/>
      <c r="IQ23" s="345"/>
      <c r="IR23" s="71"/>
      <c r="IS23" s="226"/>
      <c r="IT23" s="71"/>
      <c r="IU23" s="71"/>
      <c r="IV23" s="345"/>
    </row>
    <row r="24" spans="1:256" x14ac:dyDescent="0.2">
      <c r="A24" s="345">
        <v>28245</v>
      </c>
      <c r="B24" s="71"/>
      <c r="C24" s="226"/>
      <c r="D24" s="71"/>
      <c r="E24" s="71"/>
      <c r="F24" s="345"/>
      <c r="G24" s="71"/>
      <c r="H24" s="226"/>
      <c r="I24" s="71"/>
      <c r="J24" s="71"/>
      <c r="K24" s="345"/>
      <c r="L24" s="71"/>
      <c r="M24" s="226"/>
      <c r="N24" s="71"/>
      <c r="O24" s="71"/>
      <c r="P24" s="345"/>
      <c r="Q24" s="71"/>
      <c r="R24" s="226"/>
      <c r="S24" s="71"/>
      <c r="T24" s="71"/>
      <c r="U24" s="345"/>
      <c r="V24" s="71"/>
      <c r="W24" s="226"/>
      <c r="X24" s="71"/>
      <c r="Y24" s="71"/>
      <c r="Z24" s="345"/>
      <c r="AA24" s="71"/>
      <c r="AB24" s="226"/>
      <c r="AC24" s="71"/>
      <c r="AD24" s="71"/>
      <c r="AE24" s="345"/>
      <c r="AF24" s="71"/>
      <c r="AG24" s="226"/>
      <c r="AH24" s="71"/>
      <c r="AI24" s="71"/>
      <c r="AJ24" s="345"/>
      <c r="AK24" s="71"/>
      <c r="AL24" s="226"/>
      <c r="AM24" s="71"/>
      <c r="AN24" s="71"/>
      <c r="AO24" s="345"/>
      <c r="AP24" s="71"/>
      <c r="AQ24" s="226"/>
      <c r="AR24" s="71"/>
      <c r="AS24" s="71"/>
      <c r="AT24" s="345"/>
      <c r="AU24" s="71"/>
      <c r="AV24" s="226"/>
      <c r="AW24" s="71"/>
      <c r="AX24" s="71"/>
      <c r="AY24" s="345"/>
      <c r="AZ24" s="71"/>
      <c r="BA24" s="226"/>
      <c r="BB24" s="71"/>
      <c r="BC24" s="71"/>
      <c r="BD24" s="345"/>
      <c r="BE24" s="71"/>
      <c r="BF24" s="226"/>
      <c r="BG24" s="71"/>
      <c r="BH24" s="71"/>
      <c r="BI24" s="345"/>
      <c r="BJ24" s="71"/>
      <c r="BK24" s="226"/>
      <c r="BL24" s="71"/>
      <c r="BM24" s="71"/>
      <c r="BN24" s="345"/>
      <c r="BO24" s="71"/>
      <c r="BP24" s="226"/>
      <c r="BQ24" s="71"/>
      <c r="BR24" s="71"/>
      <c r="BS24" s="345"/>
      <c r="BT24" s="71"/>
      <c r="BU24" s="226"/>
      <c r="BV24" s="71"/>
      <c r="BW24" s="71"/>
      <c r="BX24" s="345"/>
      <c r="BY24" s="71"/>
      <c r="BZ24" s="226"/>
      <c r="CA24" s="71"/>
      <c r="CB24" s="71"/>
      <c r="CC24" s="345"/>
      <c r="CD24" s="71"/>
      <c r="CE24" s="226"/>
      <c r="CF24" s="71"/>
      <c r="CG24" s="71"/>
      <c r="CH24" s="345"/>
      <c r="CI24" s="71"/>
      <c r="CJ24" s="226"/>
      <c r="CK24" s="71"/>
      <c r="CL24" s="71"/>
      <c r="CM24" s="345"/>
      <c r="CN24" s="71"/>
      <c r="CO24" s="226"/>
      <c r="CP24" s="71"/>
      <c r="CQ24" s="71"/>
      <c r="CR24" s="345"/>
      <c r="CS24" s="71"/>
      <c r="CT24" s="226"/>
      <c r="CU24" s="71"/>
      <c r="CV24" s="71"/>
      <c r="CW24" s="345"/>
      <c r="CX24" s="71"/>
      <c r="CY24" s="226"/>
      <c r="CZ24" s="71"/>
      <c r="DA24" s="71"/>
      <c r="DB24" s="345"/>
      <c r="DC24" s="71"/>
      <c r="DD24" s="226"/>
      <c r="DE24" s="71"/>
      <c r="DF24" s="71"/>
      <c r="DG24" s="345"/>
      <c r="DH24" s="71"/>
      <c r="DI24" s="226"/>
      <c r="DJ24" s="71"/>
      <c r="DK24" s="71"/>
      <c r="DL24" s="345"/>
      <c r="DM24" s="71"/>
      <c r="DN24" s="226"/>
      <c r="DO24" s="71"/>
      <c r="DP24" s="71"/>
      <c r="DQ24" s="345"/>
      <c r="DR24" s="71"/>
      <c r="DS24" s="226"/>
      <c r="DT24" s="71"/>
      <c r="DU24" s="71"/>
      <c r="DV24" s="345"/>
      <c r="DW24" s="71"/>
      <c r="DX24" s="226"/>
      <c r="DY24" s="71"/>
      <c r="DZ24" s="71"/>
      <c r="EA24" s="345"/>
      <c r="EB24" s="71"/>
      <c r="EC24" s="226"/>
      <c r="ED24" s="71"/>
      <c r="EE24" s="71"/>
      <c r="EF24" s="345"/>
      <c r="EG24" s="71"/>
      <c r="EH24" s="226"/>
      <c r="EI24" s="71"/>
      <c r="EJ24" s="71"/>
      <c r="EK24" s="345"/>
      <c r="EL24" s="71"/>
      <c r="EM24" s="226"/>
      <c r="EN24" s="71"/>
      <c r="EO24" s="71"/>
      <c r="EP24" s="345"/>
      <c r="EQ24" s="71"/>
      <c r="ER24" s="226"/>
      <c r="ES24" s="71"/>
      <c r="ET24" s="71"/>
      <c r="EU24" s="345"/>
      <c r="EV24" s="71"/>
      <c r="EW24" s="226"/>
      <c r="EX24" s="71"/>
      <c r="EY24" s="71"/>
      <c r="EZ24" s="345"/>
      <c r="FA24" s="71"/>
      <c r="FB24" s="226"/>
      <c r="FC24" s="71"/>
      <c r="FD24" s="71"/>
      <c r="FE24" s="345"/>
      <c r="FF24" s="71"/>
      <c r="FG24" s="226"/>
      <c r="FH24" s="71"/>
      <c r="FI24" s="71"/>
      <c r="FJ24" s="345"/>
      <c r="FK24" s="71"/>
      <c r="FL24" s="226"/>
      <c r="FM24" s="71"/>
      <c r="FN24" s="71"/>
      <c r="FO24" s="345"/>
      <c r="FP24" s="71"/>
      <c r="FQ24" s="226"/>
      <c r="FR24" s="71"/>
      <c r="FS24" s="71"/>
      <c r="FT24" s="345"/>
      <c r="FU24" s="71"/>
      <c r="FV24" s="226"/>
      <c r="FW24" s="71"/>
      <c r="FX24" s="71"/>
      <c r="FY24" s="345"/>
      <c r="FZ24" s="71"/>
      <c r="GA24" s="226"/>
      <c r="GB24" s="71"/>
      <c r="GC24" s="71"/>
      <c r="GD24" s="345"/>
      <c r="GE24" s="71"/>
      <c r="GF24" s="226"/>
      <c r="GG24" s="71"/>
      <c r="GH24" s="71"/>
      <c r="GI24" s="345"/>
      <c r="GJ24" s="71"/>
      <c r="GK24" s="226"/>
      <c r="GL24" s="71"/>
      <c r="GM24" s="71"/>
      <c r="GN24" s="345"/>
      <c r="GO24" s="71"/>
      <c r="GP24" s="226"/>
      <c r="GQ24" s="71"/>
      <c r="GR24" s="71"/>
      <c r="GS24" s="345"/>
      <c r="GT24" s="71"/>
      <c r="GU24" s="226"/>
      <c r="GV24" s="71"/>
      <c r="GW24" s="71"/>
      <c r="GX24" s="345"/>
      <c r="GY24" s="71"/>
      <c r="GZ24" s="226"/>
      <c r="HA24" s="71"/>
      <c r="HB24" s="71"/>
      <c r="HC24" s="345"/>
      <c r="HD24" s="71"/>
      <c r="HE24" s="226"/>
      <c r="HF24" s="71"/>
      <c r="HG24" s="71"/>
      <c r="HH24" s="345"/>
      <c r="HI24" s="71"/>
      <c r="HJ24" s="226"/>
      <c r="HK24" s="71"/>
      <c r="HL24" s="71"/>
      <c r="HM24" s="345"/>
      <c r="HN24" s="71"/>
      <c r="HO24" s="226"/>
      <c r="HP24" s="71"/>
      <c r="HQ24" s="71"/>
      <c r="HR24" s="345"/>
      <c r="HS24" s="71"/>
      <c r="HT24" s="226"/>
      <c r="HU24" s="71"/>
      <c r="HV24" s="71"/>
      <c r="HW24" s="345"/>
      <c r="HX24" s="71"/>
      <c r="HY24" s="226"/>
      <c r="HZ24" s="71"/>
      <c r="IA24" s="71"/>
      <c r="IB24" s="345"/>
      <c r="IC24" s="71"/>
      <c r="ID24" s="226"/>
      <c r="IE24" s="71"/>
      <c r="IF24" s="71"/>
      <c r="IG24" s="345"/>
      <c r="IH24" s="71"/>
      <c r="II24" s="226"/>
      <c r="IJ24" s="71"/>
      <c r="IK24" s="71"/>
      <c r="IL24" s="345"/>
      <c r="IM24" s="71"/>
      <c r="IN24" s="226"/>
      <c r="IO24" s="71"/>
      <c r="IP24" s="71"/>
      <c r="IQ24" s="345"/>
      <c r="IR24" s="71"/>
      <c r="IS24" s="226"/>
      <c r="IT24" s="71"/>
      <c r="IU24" s="71"/>
      <c r="IV24" s="345"/>
    </row>
    <row r="25" spans="1:256" x14ac:dyDescent="0.2">
      <c r="A25" s="345">
        <v>28276</v>
      </c>
      <c r="B25" s="71"/>
      <c r="C25" s="226"/>
      <c r="D25" s="71"/>
      <c r="E25" s="71"/>
      <c r="F25" s="345"/>
      <c r="G25" s="71"/>
      <c r="H25" s="226"/>
      <c r="I25" s="71"/>
      <c r="J25" s="71"/>
      <c r="K25" s="345"/>
      <c r="L25" s="71"/>
      <c r="M25" s="226"/>
      <c r="N25" s="71"/>
      <c r="O25" s="71"/>
      <c r="P25" s="345"/>
      <c r="Q25" s="71"/>
      <c r="R25" s="226"/>
      <c r="S25" s="71"/>
      <c r="T25" s="71"/>
      <c r="U25" s="345"/>
      <c r="V25" s="71"/>
      <c r="W25" s="226"/>
      <c r="X25" s="71"/>
      <c r="Y25" s="71"/>
      <c r="Z25" s="345"/>
      <c r="AA25" s="71"/>
      <c r="AB25" s="226"/>
      <c r="AC25" s="71"/>
      <c r="AD25" s="71"/>
      <c r="AE25" s="345"/>
      <c r="AF25" s="71"/>
      <c r="AG25" s="226"/>
      <c r="AH25" s="71"/>
      <c r="AI25" s="71"/>
      <c r="AJ25" s="345"/>
      <c r="AK25" s="71"/>
      <c r="AL25" s="226"/>
      <c r="AM25" s="71"/>
      <c r="AN25" s="71"/>
      <c r="AO25" s="345"/>
      <c r="AP25" s="71"/>
      <c r="AQ25" s="226"/>
      <c r="AR25" s="71"/>
      <c r="AS25" s="71"/>
      <c r="AT25" s="345"/>
      <c r="AU25" s="71"/>
      <c r="AV25" s="226"/>
      <c r="AW25" s="71"/>
      <c r="AX25" s="71"/>
      <c r="AY25" s="345"/>
      <c r="AZ25" s="71"/>
      <c r="BA25" s="226"/>
      <c r="BB25" s="71"/>
      <c r="BC25" s="71"/>
      <c r="BD25" s="345"/>
      <c r="BE25" s="71"/>
      <c r="BF25" s="226"/>
      <c r="BG25" s="71"/>
      <c r="BH25" s="71"/>
      <c r="BI25" s="345"/>
      <c r="BJ25" s="71"/>
      <c r="BK25" s="226"/>
      <c r="BL25" s="71"/>
      <c r="BM25" s="71"/>
      <c r="BN25" s="345"/>
      <c r="BO25" s="71"/>
      <c r="BP25" s="226"/>
      <c r="BQ25" s="71"/>
      <c r="BR25" s="71"/>
      <c r="BS25" s="345"/>
      <c r="BT25" s="71"/>
      <c r="BU25" s="226"/>
      <c r="BV25" s="71"/>
      <c r="BW25" s="71"/>
      <c r="BX25" s="345"/>
      <c r="BY25" s="71"/>
      <c r="BZ25" s="226"/>
      <c r="CA25" s="71"/>
      <c r="CB25" s="71"/>
      <c r="CC25" s="345"/>
      <c r="CD25" s="71"/>
      <c r="CE25" s="226"/>
      <c r="CF25" s="71"/>
      <c r="CG25" s="71"/>
      <c r="CH25" s="345"/>
      <c r="CI25" s="71"/>
      <c r="CJ25" s="226"/>
      <c r="CK25" s="71"/>
      <c r="CL25" s="71"/>
      <c r="CM25" s="345"/>
      <c r="CN25" s="71"/>
      <c r="CO25" s="226"/>
      <c r="CP25" s="71"/>
      <c r="CQ25" s="71"/>
      <c r="CR25" s="345"/>
      <c r="CS25" s="71"/>
      <c r="CT25" s="226"/>
      <c r="CU25" s="71"/>
      <c r="CV25" s="71"/>
      <c r="CW25" s="345"/>
      <c r="CX25" s="71"/>
      <c r="CY25" s="226"/>
      <c r="CZ25" s="71"/>
      <c r="DA25" s="71"/>
      <c r="DB25" s="345"/>
      <c r="DC25" s="71"/>
      <c r="DD25" s="226"/>
      <c r="DE25" s="71"/>
      <c r="DF25" s="71"/>
      <c r="DG25" s="345"/>
      <c r="DH25" s="71"/>
      <c r="DI25" s="226"/>
      <c r="DJ25" s="71"/>
      <c r="DK25" s="71"/>
      <c r="DL25" s="345"/>
      <c r="DM25" s="71"/>
      <c r="DN25" s="226"/>
      <c r="DO25" s="71"/>
      <c r="DP25" s="71"/>
      <c r="DQ25" s="345"/>
      <c r="DR25" s="71"/>
      <c r="DS25" s="226"/>
      <c r="DT25" s="71"/>
      <c r="DU25" s="71"/>
      <c r="DV25" s="345"/>
      <c r="DW25" s="71"/>
      <c r="DX25" s="226"/>
      <c r="DY25" s="71"/>
      <c r="DZ25" s="71"/>
      <c r="EA25" s="345"/>
      <c r="EB25" s="71"/>
      <c r="EC25" s="226"/>
      <c r="ED25" s="71"/>
      <c r="EE25" s="71"/>
      <c r="EF25" s="345"/>
      <c r="EG25" s="71"/>
      <c r="EH25" s="226"/>
      <c r="EI25" s="71"/>
      <c r="EJ25" s="71"/>
      <c r="EK25" s="345"/>
      <c r="EL25" s="71"/>
      <c r="EM25" s="226"/>
      <c r="EN25" s="71"/>
      <c r="EO25" s="71"/>
      <c r="EP25" s="345"/>
      <c r="EQ25" s="71"/>
      <c r="ER25" s="226"/>
      <c r="ES25" s="71"/>
      <c r="ET25" s="71"/>
      <c r="EU25" s="345"/>
      <c r="EV25" s="71"/>
      <c r="EW25" s="226"/>
      <c r="EX25" s="71"/>
      <c r="EY25" s="71"/>
      <c r="EZ25" s="345"/>
      <c r="FA25" s="71"/>
      <c r="FB25" s="226"/>
      <c r="FC25" s="71"/>
      <c r="FD25" s="71"/>
      <c r="FE25" s="345"/>
      <c r="FF25" s="71"/>
      <c r="FG25" s="226"/>
      <c r="FH25" s="71"/>
      <c r="FI25" s="71"/>
      <c r="FJ25" s="345"/>
      <c r="FK25" s="71"/>
      <c r="FL25" s="226"/>
      <c r="FM25" s="71"/>
      <c r="FN25" s="71"/>
      <c r="FO25" s="345"/>
      <c r="FP25" s="71"/>
      <c r="FQ25" s="226"/>
      <c r="FR25" s="71"/>
      <c r="FS25" s="71"/>
      <c r="FT25" s="345"/>
      <c r="FU25" s="71"/>
      <c r="FV25" s="226"/>
      <c r="FW25" s="71"/>
      <c r="FX25" s="71"/>
      <c r="FY25" s="345"/>
      <c r="FZ25" s="71"/>
      <c r="GA25" s="226"/>
      <c r="GB25" s="71"/>
      <c r="GC25" s="71"/>
      <c r="GD25" s="345"/>
      <c r="GE25" s="71"/>
      <c r="GF25" s="226"/>
      <c r="GG25" s="71"/>
      <c r="GH25" s="71"/>
      <c r="GI25" s="345"/>
      <c r="GJ25" s="71"/>
      <c r="GK25" s="226"/>
      <c r="GL25" s="71"/>
      <c r="GM25" s="71"/>
      <c r="GN25" s="345"/>
      <c r="GO25" s="71"/>
      <c r="GP25" s="226"/>
      <c r="GQ25" s="71"/>
      <c r="GR25" s="71"/>
      <c r="GS25" s="345"/>
      <c r="GT25" s="71"/>
      <c r="GU25" s="226"/>
      <c r="GV25" s="71"/>
      <c r="GW25" s="71"/>
      <c r="GX25" s="345"/>
      <c r="GY25" s="71"/>
      <c r="GZ25" s="226"/>
      <c r="HA25" s="71"/>
      <c r="HB25" s="71"/>
      <c r="HC25" s="345"/>
      <c r="HD25" s="71"/>
      <c r="HE25" s="226"/>
      <c r="HF25" s="71"/>
      <c r="HG25" s="71"/>
      <c r="HH25" s="345"/>
      <c r="HI25" s="71"/>
      <c r="HJ25" s="226"/>
      <c r="HK25" s="71"/>
      <c r="HL25" s="71"/>
      <c r="HM25" s="345"/>
      <c r="HN25" s="71"/>
      <c r="HO25" s="226"/>
      <c r="HP25" s="71"/>
      <c r="HQ25" s="71"/>
      <c r="HR25" s="345"/>
      <c r="HS25" s="71"/>
      <c r="HT25" s="226"/>
      <c r="HU25" s="71"/>
      <c r="HV25" s="71"/>
      <c r="HW25" s="345"/>
      <c r="HX25" s="71"/>
      <c r="HY25" s="226"/>
      <c r="HZ25" s="71"/>
      <c r="IA25" s="71"/>
      <c r="IB25" s="345"/>
      <c r="IC25" s="71"/>
      <c r="ID25" s="226"/>
      <c r="IE25" s="71"/>
      <c r="IF25" s="71"/>
      <c r="IG25" s="345"/>
      <c r="IH25" s="71"/>
      <c r="II25" s="226"/>
      <c r="IJ25" s="71"/>
      <c r="IK25" s="71"/>
      <c r="IL25" s="345"/>
      <c r="IM25" s="71"/>
      <c r="IN25" s="226"/>
      <c r="IO25" s="71"/>
      <c r="IP25" s="71"/>
      <c r="IQ25" s="345"/>
      <c r="IR25" s="71"/>
      <c r="IS25" s="226"/>
      <c r="IT25" s="71"/>
      <c r="IU25" s="71"/>
      <c r="IV25" s="345"/>
    </row>
    <row r="26" spans="1:256" x14ac:dyDescent="0.2">
      <c r="A26" s="345">
        <v>28306</v>
      </c>
      <c r="B26" s="71"/>
      <c r="C26" s="226"/>
      <c r="D26" s="71"/>
      <c r="E26" s="71"/>
      <c r="F26" s="345"/>
      <c r="G26" s="71"/>
      <c r="H26" s="226"/>
      <c r="I26" s="71"/>
      <c r="J26" s="71"/>
      <c r="K26" s="345"/>
      <c r="L26" s="71"/>
      <c r="M26" s="226"/>
      <c r="N26" s="71"/>
      <c r="O26" s="71"/>
      <c r="P26" s="345"/>
      <c r="Q26" s="71"/>
      <c r="R26" s="226"/>
      <c r="S26" s="71"/>
      <c r="T26" s="71"/>
      <c r="U26" s="345"/>
      <c r="V26" s="71"/>
      <c r="W26" s="226"/>
      <c r="X26" s="71"/>
      <c r="Y26" s="71"/>
      <c r="Z26" s="345"/>
      <c r="AA26" s="71"/>
      <c r="AB26" s="226"/>
      <c r="AC26" s="71"/>
      <c r="AD26" s="71"/>
      <c r="AE26" s="345"/>
      <c r="AF26" s="71"/>
      <c r="AG26" s="226"/>
      <c r="AH26" s="71"/>
      <c r="AI26" s="71"/>
      <c r="AJ26" s="345"/>
      <c r="AK26" s="71"/>
      <c r="AL26" s="226"/>
      <c r="AM26" s="71"/>
      <c r="AN26" s="71"/>
      <c r="AO26" s="345"/>
      <c r="AP26" s="71"/>
      <c r="AQ26" s="226"/>
      <c r="AR26" s="71"/>
      <c r="AS26" s="71"/>
      <c r="AT26" s="345"/>
      <c r="AU26" s="71"/>
      <c r="AV26" s="226"/>
      <c r="AW26" s="71"/>
      <c r="AX26" s="71"/>
      <c r="AY26" s="345"/>
      <c r="AZ26" s="71"/>
      <c r="BA26" s="226"/>
      <c r="BB26" s="71"/>
      <c r="BC26" s="71"/>
      <c r="BD26" s="345"/>
      <c r="BE26" s="71"/>
      <c r="BF26" s="226"/>
      <c r="BG26" s="71"/>
      <c r="BH26" s="71"/>
      <c r="BI26" s="345"/>
      <c r="BJ26" s="71"/>
      <c r="BK26" s="226"/>
      <c r="BL26" s="71"/>
      <c r="BM26" s="71"/>
      <c r="BN26" s="345"/>
      <c r="BO26" s="71"/>
      <c r="BP26" s="226"/>
      <c r="BQ26" s="71"/>
      <c r="BR26" s="71"/>
      <c r="BS26" s="345"/>
      <c r="BT26" s="71"/>
      <c r="BU26" s="226"/>
      <c r="BV26" s="71"/>
      <c r="BW26" s="71"/>
      <c r="BX26" s="345"/>
      <c r="BY26" s="71"/>
      <c r="BZ26" s="226"/>
      <c r="CA26" s="71"/>
      <c r="CB26" s="71"/>
      <c r="CC26" s="345"/>
      <c r="CD26" s="71"/>
      <c r="CE26" s="226"/>
      <c r="CF26" s="71"/>
      <c r="CG26" s="71"/>
      <c r="CH26" s="345"/>
      <c r="CI26" s="71"/>
      <c r="CJ26" s="226"/>
      <c r="CK26" s="71"/>
      <c r="CL26" s="71"/>
      <c r="CM26" s="345"/>
      <c r="CN26" s="71"/>
      <c r="CO26" s="226"/>
      <c r="CP26" s="71"/>
      <c r="CQ26" s="71"/>
      <c r="CR26" s="345"/>
      <c r="CS26" s="71"/>
      <c r="CT26" s="226"/>
      <c r="CU26" s="71"/>
      <c r="CV26" s="71"/>
      <c r="CW26" s="345"/>
      <c r="CX26" s="71"/>
      <c r="CY26" s="226"/>
      <c r="CZ26" s="71"/>
      <c r="DA26" s="71"/>
      <c r="DB26" s="345"/>
      <c r="DC26" s="71"/>
      <c r="DD26" s="226"/>
      <c r="DE26" s="71"/>
      <c r="DF26" s="71"/>
      <c r="DG26" s="345"/>
      <c r="DH26" s="71"/>
      <c r="DI26" s="226"/>
      <c r="DJ26" s="71"/>
      <c r="DK26" s="71"/>
      <c r="DL26" s="345"/>
      <c r="DM26" s="71"/>
      <c r="DN26" s="226"/>
      <c r="DO26" s="71"/>
      <c r="DP26" s="71"/>
      <c r="DQ26" s="345"/>
      <c r="DR26" s="71"/>
      <c r="DS26" s="226"/>
      <c r="DT26" s="71"/>
      <c r="DU26" s="71"/>
      <c r="DV26" s="345"/>
      <c r="DW26" s="71"/>
      <c r="DX26" s="226"/>
      <c r="DY26" s="71"/>
      <c r="DZ26" s="71"/>
      <c r="EA26" s="345"/>
      <c r="EB26" s="71"/>
      <c r="EC26" s="226"/>
      <c r="ED26" s="71"/>
      <c r="EE26" s="71"/>
      <c r="EF26" s="345"/>
      <c r="EG26" s="71"/>
      <c r="EH26" s="226"/>
      <c r="EI26" s="71"/>
      <c r="EJ26" s="71"/>
      <c r="EK26" s="345"/>
      <c r="EL26" s="71"/>
      <c r="EM26" s="226"/>
      <c r="EN26" s="71"/>
      <c r="EO26" s="71"/>
      <c r="EP26" s="345"/>
      <c r="EQ26" s="71"/>
      <c r="ER26" s="226"/>
      <c r="ES26" s="71"/>
      <c r="ET26" s="71"/>
      <c r="EU26" s="345"/>
      <c r="EV26" s="71"/>
      <c r="EW26" s="226"/>
      <c r="EX26" s="71"/>
      <c r="EY26" s="71"/>
      <c r="EZ26" s="345"/>
      <c r="FA26" s="71"/>
      <c r="FB26" s="226"/>
      <c r="FC26" s="71"/>
      <c r="FD26" s="71"/>
      <c r="FE26" s="345"/>
      <c r="FF26" s="71"/>
      <c r="FG26" s="226"/>
      <c r="FH26" s="71"/>
      <c r="FI26" s="71"/>
      <c r="FJ26" s="345"/>
      <c r="FK26" s="71"/>
      <c r="FL26" s="226"/>
      <c r="FM26" s="71"/>
      <c r="FN26" s="71"/>
      <c r="FO26" s="345"/>
      <c r="FP26" s="71"/>
      <c r="FQ26" s="226"/>
      <c r="FR26" s="71"/>
      <c r="FS26" s="71"/>
      <c r="FT26" s="345"/>
      <c r="FU26" s="71"/>
      <c r="FV26" s="226"/>
      <c r="FW26" s="71"/>
      <c r="FX26" s="71"/>
      <c r="FY26" s="345"/>
      <c r="FZ26" s="71"/>
      <c r="GA26" s="226"/>
      <c r="GB26" s="71"/>
      <c r="GC26" s="71"/>
      <c r="GD26" s="345"/>
      <c r="GE26" s="71"/>
      <c r="GF26" s="226"/>
      <c r="GG26" s="71"/>
      <c r="GH26" s="71"/>
      <c r="GI26" s="345"/>
      <c r="GJ26" s="71"/>
      <c r="GK26" s="226"/>
      <c r="GL26" s="71"/>
      <c r="GM26" s="71"/>
      <c r="GN26" s="345"/>
      <c r="GO26" s="71"/>
      <c r="GP26" s="226"/>
      <c r="GQ26" s="71"/>
      <c r="GR26" s="71"/>
      <c r="GS26" s="345"/>
      <c r="GT26" s="71"/>
      <c r="GU26" s="226"/>
      <c r="GV26" s="71"/>
      <c r="GW26" s="71"/>
      <c r="GX26" s="345"/>
      <c r="GY26" s="71"/>
      <c r="GZ26" s="226"/>
      <c r="HA26" s="71"/>
      <c r="HB26" s="71"/>
      <c r="HC26" s="345"/>
      <c r="HD26" s="71"/>
      <c r="HE26" s="226"/>
      <c r="HF26" s="71"/>
      <c r="HG26" s="71"/>
      <c r="HH26" s="345"/>
      <c r="HI26" s="71"/>
      <c r="HJ26" s="226"/>
      <c r="HK26" s="71"/>
      <c r="HL26" s="71"/>
      <c r="HM26" s="345"/>
      <c r="HN26" s="71"/>
      <c r="HO26" s="226"/>
      <c r="HP26" s="71"/>
      <c r="HQ26" s="71"/>
      <c r="HR26" s="345"/>
      <c r="HS26" s="71"/>
      <c r="HT26" s="226"/>
      <c r="HU26" s="71"/>
      <c r="HV26" s="71"/>
      <c r="HW26" s="345"/>
      <c r="HX26" s="71"/>
      <c r="HY26" s="226"/>
      <c r="HZ26" s="71"/>
      <c r="IA26" s="71"/>
      <c r="IB26" s="345"/>
      <c r="IC26" s="71"/>
      <c r="ID26" s="226"/>
      <c r="IE26" s="71"/>
      <c r="IF26" s="71"/>
      <c r="IG26" s="345"/>
      <c r="IH26" s="71"/>
      <c r="II26" s="226"/>
      <c r="IJ26" s="71"/>
      <c r="IK26" s="71"/>
      <c r="IL26" s="345"/>
      <c r="IM26" s="71"/>
      <c r="IN26" s="226"/>
      <c r="IO26" s="71"/>
      <c r="IP26" s="71"/>
      <c r="IQ26" s="345"/>
      <c r="IR26" s="71"/>
      <c r="IS26" s="226"/>
      <c r="IT26" s="71"/>
      <c r="IU26" s="71"/>
      <c r="IV26" s="345"/>
    </row>
    <row r="27" spans="1:256" x14ac:dyDescent="0.2">
      <c r="A27" s="345">
        <v>28337</v>
      </c>
      <c r="B27" s="71"/>
      <c r="C27" s="226"/>
      <c r="D27" s="71"/>
      <c r="E27" s="71"/>
      <c r="F27" s="345"/>
      <c r="G27" s="71"/>
      <c r="H27" s="226"/>
      <c r="I27" s="71"/>
      <c r="J27" s="71"/>
      <c r="K27" s="345"/>
      <c r="L27" s="71"/>
      <c r="M27" s="226"/>
      <c r="N27" s="71"/>
      <c r="O27" s="71"/>
      <c r="P27" s="345"/>
      <c r="Q27" s="71"/>
      <c r="R27" s="226"/>
      <c r="S27" s="71"/>
      <c r="T27" s="71"/>
      <c r="U27" s="345"/>
      <c r="V27" s="71"/>
      <c r="W27" s="226"/>
      <c r="X27" s="71"/>
      <c r="Y27" s="71"/>
      <c r="Z27" s="345"/>
      <c r="AA27" s="71"/>
      <c r="AB27" s="226"/>
      <c r="AC27" s="71"/>
      <c r="AD27" s="71"/>
      <c r="AE27" s="345"/>
      <c r="AF27" s="71"/>
      <c r="AG27" s="226"/>
      <c r="AH27" s="71"/>
      <c r="AI27" s="71"/>
      <c r="AJ27" s="345"/>
      <c r="AK27" s="71"/>
      <c r="AL27" s="226"/>
      <c r="AM27" s="71"/>
      <c r="AN27" s="71"/>
      <c r="AO27" s="345"/>
      <c r="AP27" s="71"/>
      <c r="AQ27" s="226"/>
      <c r="AR27" s="71"/>
      <c r="AS27" s="71"/>
      <c r="AT27" s="345"/>
      <c r="AU27" s="71"/>
      <c r="AV27" s="226"/>
      <c r="AW27" s="71"/>
      <c r="AX27" s="71"/>
      <c r="AY27" s="345"/>
      <c r="AZ27" s="71"/>
      <c r="BA27" s="226"/>
      <c r="BB27" s="71"/>
      <c r="BC27" s="71"/>
      <c r="BD27" s="345"/>
      <c r="BE27" s="71"/>
      <c r="BF27" s="226"/>
      <c r="BG27" s="71"/>
      <c r="BH27" s="71"/>
      <c r="BI27" s="345"/>
      <c r="BJ27" s="71"/>
      <c r="BK27" s="226"/>
      <c r="BL27" s="71"/>
      <c r="BM27" s="71"/>
      <c r="BN27" s="345"/>
      <c r="BO27" s="71"/>
      <c r="BP27" s="226"/>
      <c r="BQ27" s="71"/>
      <c r="BR27" s="71"/>
      <c r="BS27" s="345"/>
      <c r="BT27" s="71"/>
      <c r="BU27" s="226"/>
      <c r="BV27" s="71"/>
      <c r="BW27" s="71"/>
      <c r="BX27" s="345"/>
      <c r="BY27" s="71"/>
      <c r="BZ27" s="226"/>
      <c r="CA27" s="71"/>
      <c r="CB27" s="71"/>
      <c r="CC27" s="345"/>
      <c r="CD27" s="71"/>
      <c r="CE27" s="226"/>
      <c r="CF27" s="71"/>
      <c r="CG27" s="71"/>
      <c r="CH27" s="345"/>
      <c r="CI27" s="71"/>
      <c r="CJ27" s="226"/>
      <c r="CK27" s="71"/>
      <c r="CL27" s="71"/>
      <c r="CM27" s="345"/>
      <c r="CN27" s="71"/>
      <c r="CO27" s="226"/>
      <c r="CP27" s="71"/>
      <c r="CQ27" s="71"/>
      <c r="CR27" s="345"/>
      <c r="CS27" s="71"/>
      <c r="CT27" s="226"/>
      <c r="CU27" s="71"/>
      <c r="CV27" s="71"/>
      <c r="CW27" s="345"/>
      <c r="CX27" s="71"/>
      <c r="CY27" s="226"/>
      <c r="CZ27" s="71"/>
      <c r="DA27" s="71"/>
      <c r="DB27" s="345"/>
      <c r="DC27" s="71"/>
      <c r="DD27" s="226"/>
      <c r="DE27" s="71"/>
      <c r="DF27" s="71"/>
      <c r="DG27" s="345"/>
      <c r="DH27" s="71"/>
      <c r="DI27" s="226"/>
      <c r="DJ27" s="71"/>
      <c r="DK27" s="71"/>
      <c r="DL27" s="345"/>
      <c r="DM27" s="71"/>
      <c r="DN27" s="226"/>
      <c r="DO27" s="71"/>
      <c r="DP27" s="71"/>
      <c r="DQ27" s="345"/>
      <c r="DR27" s="71"/>
      <c r="DS27" s="226"/>
      <c r="DT27" s="71"/>
      <c r="DU27" s="71"/>
      <c r="DV27" s="345"/>
      <c r="DW27" s="71"/>
      <c r="DX27" s="226"/>
      <c r="DY27" s="71"/>
      <c r="DZ27" s="71"/>
      <c r="EA27" s="345"/>
      <c r="EB27" s="71"/>
      <c r="EC27" s="226"/>
      <c r="ED27" s="71"/>
      <c r="EE27" s="71"/>
      <c r="EF27" s="345"/>
      <c r="EG27" s="71"/>
      <c r="EH27" s="226"/>
      <c r="EI27" s="71"/>
      <c r="EJ27" s="71"/>
      <c r="EK27" s="345"/>
      <c r="EL27" s="71"/>
      <c r="EM27" s="226"/>
      <c r="EN27" s="71"/>
      <c r="EO27" s="71"/>
      <c r="EP27" s="345"/>
      <c r="EQ27" s="71"/>
      <c r="ER27" s="226"/>
      <c r="ES27" s="71"/>
      <c r="ET27" s="71"/>
      <c r="EU27" s="345"/>
      <c r="EV27" s="71"/>
      <c r="EW27" s="226"/>
      <c r="EX27" s="71"/>
      <c r="EY27" s="71"/>
      <c r="EZ27" s="345"/>
      <c r="FA27" s="71"/>
      <c r="FB27" s="226"/>
      <c r="FC27" s="71"/>
      <c r="FD27" s="71"/>
      <c r="FE27" s="345"/>
      <c r="FF27" s="71"/>
      <c r="FG27" s="226"/>
      <c r="FH27" s="71"/>
      <c r="FI27" s="71"/>
      <c r="FJ27" s="345"/>
      <c r="FK27" s="71"/>
      <c r="FL27" s="226"/>
      <c r="FM27" s="71"/>
      <c r="FN27" s="71"/>
      <c r="FO27" s="345"/>
      <c r="FP27" s="71"/>
      <c r="FQ27" s="226"/>
      <c r="FR27" s="71"/>
      <c r="FS27" s="71"/>
      <c r="FT27" s="345"/>
      <c r="FU27" s="71"/>
      <c r="FV27" s="226"/>
      <c r="FW27" s="71"/>
      <c r="FX27" s="71"/>
      <c r="FY27" s="345"/>
      <c r="FZ27" s="71"/>
      <c r="GA27" s="226"/>
      <c r="GB27" s="71"/>
      <c r="GC27" s="71"/>
      <c r="GD27" s="345"/>
      <c r="GE27" s="71"/>
      <c r="GF27" s="226"/>
      <c r="GG27" s="71"/>
      <c r="GH27" s="71"/>
      <c r="GI27" s="345"/>
      <c r="GJ27" s="71"/>
      <c r="GK27" s="226"/>
      <c r="GL27" s="71"/>
      <c r="GM27" s="71"/>
      <c r="GN27" s="345"/>
      <c r="GO27" s="71"/>
      <c r="GP27" s="226"/>
      <c r="GQ27" s="71"/>
      <c r="GR27" s="71"/>
      <c r="GS27" s="345"/>
      <c r="GT27" s="71"/>
      <c r="GU27" s="226"/>
      <c r="GV27" s="71"/>
      <c r="GW27" s="71"/>
      <c r="GX27" s="345"/>
      <c r="GY27" s="71"/>
      <c r="GZ27" s="226"/>
      <c r="HA27" s="71"/>
      <c r="HB27" s="71"/>
      <c r="HC27" s="345"/>
      <c r="HD27" s="71"/>
      <c r="HE27" s="226"/>
      <c r="HF27" s="71"/>
      <c r="HG27" s="71"/>
      <c r="HH27" s="345"/>
      <c r="HI27" s="71"/>
      <c r="HJ27" s="226"/>
      <c r="HK27" s="71"/>
      <c r="HL27" s="71"/>
      <c r="HM27" s="345"/>
      <c r="HN27" s="71"/>
      <c r="HO27" s="226"/>
      <c r="HP27" s="71"/>
      <c r="HQ27" s="71"/>
      <c r="HR27" s="345"/>
      <c r="HS27" s="71"/>
      <c r="HT27" s="226"/>
      <c r="HU27" s="71"/>
      <c r="HV27" s="71"/>
      <c r="HW27" s="345"/>
      <c r="HX27" s="71"/>
      <c r="HY27" s="226"/>
      <c r="HZ27" s="71"/>
      <c r="IA27" s="71"/>
      <c r="IB27" s="345"/>
      <c r="IC27" s="71"/>
      <c r="ID27" s="226"/>
      <c r="IE27" s="71"/>
      <c r="IF27" s="71"/>
      <c r="IG27" s="345"/>
      <c r="IH27" s="71"/>
      <c r="II27" s="226"/>
      <c r="IJ27" s="71"/>
      <c r="IK27" s="71"/>
      <c r="IL27" s="345"/>
      <c r="IM27" s="71"/>
      <c r="IN27" s="226"/>
      <c r="IO27" s="71"/>
      <c r="IP27" s="71"/>
      <c r="IQ27" s="345"/>
      <c r="IR27" s="71"/>
      <c r="IS27" s="226"/>
      <c r="IT27" s="71"/>
      <c r="IU27" s="71"/>
      <c r="IV27" s="345"/>
    </row>
    <row r="28" spans="1:256" x14ac:dyDescent="0.2">
      <c r="A28" s="345">
        <v>28368</v>
      </c>
      <c r="B28" s="71"/>
      <c r="C28" s="226"/>
      <c r="D28" s="71"/>
      <c r="E28" s="71"/>
      <c r="F28" s="345"/>
      <c r="G28" s="71"/>
      <c r="H28" s="226"/>
      <c r="I28" s="71"/>
      <c r="J28" s="71"/>
      <c r="K28" s="345"/>
      <c r="L28" s="71"/>
      <c r="M28" s="226"/>
      <c r="N28" s="71"/>
      <c r="O28" s="71"/>
      <c r="P28" s="345"/>
      <c r="Q28" s="71"/>
      <c r="R28" s="226"/>
      <c r="S28" s="71"/>
      <c r="T28" s="71"/>
      <c r="U28" s="345"/>
      <c r="V28" s="71"/>
      <c r="W28" s="226"/>
      <c r="X28" s="71"/>
      <c r="Y28" s="71"/>
      <c r="Z28" s="345"/>
      <c r="AA28" s="71"/>
      <c r="AB28" s="226"/>
      <c r="AC28" s="71"/>
      <c r="AD28" s="71"/>
      <c r="AE28" s="345"/>
      <c r="AF28" s="71"/>
      <c r="AG28" s="226"/>
      <c r="AH28" s="71"/>
      <c r="AI28" s="71"/>
      <c r="AJ28" s="345"/>
      <c r="AK28" s="71"/>
      <c r="AL28" s="226"/>
      <c r="AM28" s="71"/>
      <c r="AN28" s="71"/>
      <c r="AO28" s="345"/>
      <c r="AP28" s="71"/>
      <c r="AQ28" s="226"/>
      <c r="AR28" s="71"/>
      <c r="AS28" s="71"/>
      <c r="AT28" s="345"/>
      <c r="AU28" s="71"/>
      <c r="AV28" s="226"/>
      <c r="AW28" s="71"/>
      <c r="AX28" s="71"/>
      <c r="AY28" s="345"/>
      <c r="AZ28" s="71"/>
      <c r="BA28" s="226"/>
      <c r="BB28" s="71"/>
      <c r="BC28" s="71"/>
      <c r="BD28" s="345"/>
      <c r="BE28" s="71"/>
      <c r="BF28" s="226"/>
      <c r="BG28" s="71"/>
      <c r="BH28" s="71"/>
      <c r="BI28" s="345"/>
      <c r="BJ28" s="71"/>
      <c r="BK28" s="226"/>
      <c r="BL28" s="71"/>
      <c r="BM28" s="71"/>
      <c r="BN28" s="345"/>
      <c r="BO28" s="71"/>
      <c r="BP28" s="226"/>
      <c r="BQ28" s="71"/>
      <c r="BR28" s="71"/>
      <c r="BS28" s="345"/>
      <c r="BT28" s="71"/>
      <c r="BU28" s="226"/>
      <c r="BV28" s="71"/>
      <c r="BW28" s="71"/>
      <c r="BX28" s="345"/>
      <c r="BY28" s="71"/>
      <c r="BZ28" s="226"/>
      <c r="CA28" s="71"/>
      <c r="CB28" s="71"/>
      <c r="CC28" s="345"/>
      <c r="CD28" s="71"/>
      <c r="CE28" s="226"/>
      <c r="CF28" s="71"/>
      <c r="CG28" s="71"/>
      <c r="CH28" s="345"/>
      <c r="CI28" s="71"/>
      <c r="CJ28" s="226"/>
      <c r="CK28" s="71"/>
      <c r="CL28" s="71"/>
      <c r="CM28" s="345"/>
      <c r="CN28" s="71"/>
      <c r="CO28" s="226"/>
      <c r="CP28" s="71"/>
      <c r="CQ28" s="71"/>
      <c r="CR28" s="345"/>
      <c r="CS28" s="71"/>
      <c r="CT28" s="226"/>
      <c r="CU28" s="71"/>
      <c r="CV28" s="71"/>
      <c r="CW28" s="345"/>
      <c r="CX28" s="71"/>
      <c r="CY28" s="226"/>
      <c r="CZ28" s="71"/>
      <c r="DA28" s="71"/>
      <c r="DB28" s="345"/>
      <c r="DC28" s="71"/>
      <c r="DD28" s="226"/>
      <c r="DE28" s="71"/>
      <c r="DF28" s="71"/>
      <c r="DG28" s="345"/>
      <c r="DH28" s="71"/>
      <c r="DI28" s="226"/>
      <c r="DJ28" s="71"/>
      <c r="DK28" s="71"/>
      <c r="DL28" s="345"/>
      <c r="DM28" s="71"/>
      <c r="DN28" s="226"/>
      <c r="DO28" s="71"/>
      <c r="DP28" s="71"/>
      <c r="DQ28" s="345"/>
      <c r="DR28" s="71"/>
      <c r="DS28" s="226"/>
      <c r="DT28" s="71"/>
      <c r="DU28" s="71"/>
      <c r="DV28" s="345"/>
      <c r="DW28" s="71"/>
      <c r="DX28" s="226"/>
      <c r="DY28" s="71"/>
      <c r="DZ28" s="71"/>
      <c r="EA28" s="345"/>
      <c r="EB28" s="71"/>
      <c r="EC28" s="226"/>
      <c r="ED28" s="71"/>
      <c r="EE28" s="71"/>
      <c r="EF28" s="345"/>
      <c r="EG28" s="71"/>
      <c r="EH28" s="226"/>
      <c r="EI28" s="71"/>
      <c r="EJ28" s="71"/>
      <c r="EK28" s="345"/>
      <c r="EL28" s="71"/>
      <c r="EM28" s="226"/>
      <c r="EN28" s="71"/>
      <c r="EO28" s="71"/>
      <c r="EP28" s="345"/>
      <c r="EQ28" s="71"/>
      <c r="ER28" s="226"/>
      <c r="ES28" s="71"/>
      <c r="ET28" s="71"/>
      <c r="EU28" s="345"/>
      <c r="EV28" s="71"/>
      <c r="EW28" s="226"/>
      <c r="EX28" s="71"/>
      <c r="EY28" s="71"/>
      <c r="EZ28" s="345"/>
      <c r="FA28" s="71"/>
      <c r="FB28" s="226"/>
      <c r="FC28" s="71"/>
      <c r="FD28" s="71"/>
      <c r="FE28" s="345"/>
      <c r="FF28" s="71"/>
      <c r="FG28" s="226"/>
      <c r="FH28" s="71"/>
      <c r="FI28" s="71"/>
      <c r="FJ28" s="345"/>
      <c r="FK28" s="71"/>
      <c r="FL28" s="226"/>
      <c r="FM28" s="71"/>
      <c r="FN28" s="71"/>
      <c r="FO28" s="345"/>
      <c r="FP28" s="71"/>
      <c r="FQ28" s="226"/>
      <c r="FR28" s="71"/>
      <c r="FS28" s="71"/>
      <c r="FT28" s="345"/>
      <c r="FU28" s="71"/>
      <c r="FV28" s="226"/>
      <c r="FW28" s="71"/>
      <c r="FX28" s="71"/>
      <c r="FY28" s="345"/>
      <c r="FZ28" s="71"/>
      <c r="GA28" s="226"/>
      <c r="GB28" s="71"/>
      <c r="GC28" s="71"/>
      <c r="GD28" s="345"/>
      <c r="GE28" s="71"/>
      <c r="GF28" s="226"/>
      <c r="GG28" s="71"/>
      <c r="GH28" s="71"/>
      <c r="GI28" s="345"/>
      <c r="GJ28" s="71"/>
      <c r="GK28" s="226"/>
      <c r="GL28" s="71"/>
      <c r="GM28" s="71"/>
      <c r="GN28" s="345"/>
      <c r="GO28" s="71"/>
      <c r="GP28" s="226"/>
      <c r="GQ28" s="71"/>
      <c r="GR28" s="71"/>
      <c r="GS28" s="345"/>
      <c r="GT28" s="71"/>
      <c r="GU28" s="226"/>
      <c r="GV28" s="71"/>
      <c r="GW28" s="71"/>
      <c r="GX28" s="345"/>
      <c r="GY28" s="71"/>
      <c r="GZ28" s="226"/>
      <c r="HA28" s="71"/>
      <c r="HB28" s="71"/>
      <c r="HC28" s="345"/>
      <c r="HD28" s="71"/>
      <c r="HE28" s="226"/>
      <c r="HF28" s="71"/>
      <c r="HG28" s="71"/>
      <c r="HH28" s="345"/>
      <c r="HI28" s="71"/>
      <c r="HJ28" s="226"/>
      <c r="HK28" s="71"/>
      <c r="HL28" s="71"/>
      <c r="HM28" s="345"/>
      <c r="HN28" s="71"/>
      <c r="HO28" s="226"/>
      <c r="HP28" s="71"/>
      <c r="HQ28" s="71"/>
      <c r="HR28" s="345"/>
      <c r="HS28" s="71"/>
      <c r="HT28" s="226"/>
      <c r="HU28" s="71"/>
      <c r="HV28" s="71"/>
      <c r="HW28" s="345"/>
      <c r="HX28" s="71"/>
      <c r="HY28" s="226"/>
      <c r="HZ28" s="71"/>
      <c r="IA28" s="71"/>
      <c r="IB28" s="345"/>
      <c r="IC28" s="71"/>
      <c r="ID28" s="226"/>
      <c r="IE28" s="71"/>
      <c r="IF28" s="71"/>
      <c r="IG28" s="345"/>
      <c r="IH28" s="71"/>
      <c r="II28" s="226"/>
      <c r="IJ28" s="71"/>
      <c r="IK28" s="71"/>
      <c r="IL28" s="345"/>
      <c r="IM28" s="71"/>
      <c r="IN28" s="226"/>
      <c r="IO28" s="71"/>
      <c r="IP28" s="71"/>
      <c r="IQ28" s="345"/>
      <c r="IR28" s="71"/>
      <c r="IS28" s="226"/>
      <c r="IT28" s="71"/>
      <c r="IU28" s="71"/>
      <c r="IV28" s="345"/>
    </row>
    <row r="29" spans="1:256" x14ac:dyDescent="0.2">
      <c r="A29" s="345">
        <v>28398</v>
      </c>
      <c r="B29" s="71"/>
      <c r="C29" s="226"/>
      <c r="D29" s="71"/>
      <c r="E29" s="71"/>
      <c r="F29" s="345"/>
      <c r="G29" s="71"/>
      <c r="H29" s="226"/>
      <c r="I29" s="71"/>
      <c r="J29" s="71"/>
      <c r="K29" s="345"/>
      <c r="L29" s="71"/>
      <c r="M29" s="226"/>
      <c r="N29" s="71"/>
      <c r="O29" s="71"/>
      <c r="P29" s="345"/>
      <c r="Q29" s="71"/>
      <c r="R29" s="226"/>
      <c r="S29" s="71"/>
      <c r="T29" s="71"/>
      <c r="U29" s="345"/>
      <c r="V29" s="71"/>
      <c r="W29" s="226"/>
      <c r="X29" s="71"/>
      <c r="Y29" s="71"/>
      <c r="Z29" s="345"/>
      <c r="AA29" s="71"/>
      <c r="AB29" s="226"/>
      <c r="AC29" s="71"/>
      <c r="AD29" s="71"/>
      <c r="AE29" s="345"/>
      <c r="AF29" s="71"/>
      <c r="AG29" s="226"/>
      <c r="AH29" s="71"/>
      <c r="AI29" s="71"/>
      <c r="AJ29" s="345"/>
      <c r="AK29" s="71"/>
      <c r="AL29" s="226"/>
      <c r="AM29" s="71"/>
      <c r="AN29" s="71"/>
      <c r="AO29" s="345"/>
      <c r="AP29" s="71"/>
      <c r="AQ29" s="226"/>
      <c r="AR29" s="71"/>
      <c r="AS29" s="71"/>
      <c r="AT29" s="345"/>
      <c r="AU29" s="71"/>
      <c r="AV29" s="226"/>
      <c r="AW29" s="71"/>
      <c r="AX29" s="71"/>
      <c r="AY29" s="345"/>
      <c r="AZ29" s="71"/>
      <c r="BA29" s="226"/>
      <c r="BB29" s="71"/>
      <c r="BC29" s="71"/>
      <c r="BD29" s="345"/>
      <c r="BE29" s="71"/>
      <c r="BF29" s="226"/>
      <c r="BG29" s="71"/>
      <c r="BH29" s="71"/>
      <c r="BI29" s="345"/>
      <c r="BJ29" s="71"/>
      <c r="BK29" s="226"/>
      <c r="BL29" s="71"/>
      <c r="BM29" s="71"/>
      <c r="BN29" s="345"/>
      <c r="BO29" s="71"/>
      <c r="BP29" s="226"/>
      <c r="BQ29" s="71"/>
      <c r="BR29" s="71"/>
      <c r="BS29" s="345"/>
      <c r="BT29" s="71"/>
      <c r="BU29" s="226"/>
      <c r="BV29" s="71"/>
      <c r="BW29" s="71"/>
      <c r="BX29" s="345"/>
      <c r="BY29" s="71"/>
      <c r="BZ29" s="226"/>
      <c r="CA29" s="71"/>
      <c r="CB29" s="71"/>
      <c r="CC29" s="345"/>
      <c r="CD29" s="71"/>
      <c r="CE29" s="226"/>
      <c r="CF29" s="71"/>
      <c r="CG29" s="71"/>
      <c r="CH29" s="345"/>
      <c r="CI29" s="71"/>
      <c r="CJ29" s="226"/>
      <c r="CK29" s="71"/>
      <c r="CL29" s="71"/>
      <c r="CM29" s="345"/>
      <c r="CN29" s="71"/>
      <c r="CO29" s="226"/>
      <c r="CP29" s="71"/>
      <c r="CQ29" s="71"/>
      <c r="CR29" s="345"/>
      <c r="CS29" s="71"/>
      <c r="CT29" s="226"/>
      <c r="CU29" s="71"/>
      <c r="CV29" s="71"/>
      <c r="CW29" s="345"/>
      <c r="CX29" s="71"/>
      <c r="CY29" s="226"/>
      <c r="CZ29" s="71"/>
      <c r="DA29" s="71"/>
      <c r="DB29" s="345"/>
      <c r="DC29" s="71"/>
      <c r="DD29" s="226"/>
      <c r="DE29" s="71"/>
      <c r="DF29" s="71"/>
      <c r="DG29" s="345"/>
      <c r="DH29" s="71"/>
      <c r="DI29" s="226"/>
      <c r="DJ29" s="71"/>
      <c r="DK29" s="71"/>
      <c r="DL29" s="345"/>
      <c r="DM29" s="71"/>
      <c r="DN29" s="226"/>
      <c r="DO29" s="71"/>
      <c r="DP29" s="71"/>
      <c r="DQ29" s="345"/>
      <c r="DR29" s="71"/>
      <c r="DS29" s="226"/>
      <c r="DT29" s="71"/>
      <c r="DU29" s="71"/>
      <c r="DV29" s="345"/>
      <c r="DW29" s="71"/>
      <c r="DX29" s="226"/>
      <c r="DY29" s="71"/>
      <c r="DZ29" s="71"/>
      <c r="EA29" s="345"/>
      <c r="EB29" s="71"/>
      <c r="EC29" s="226"/>
      <c r="ED29" s="71"/>
      <c r="EE29" s="71"/>
      <c r="EF29" s="345"/>
      <c r="EG29" s="71"/>
      <c r="EH29" s="226"/>
      <c r="EI29" s="71"/>
      <c r="EJ29" s="71"/>
      <c r="EK29" s="345"/>
      <c r="EL29" s="71"/>
      <c r="EM29" s="226"/>
      <c r="EN29" s="71"/>
      <c r="EO29" s="71"/>
      <c r="EP29" s="345"/>
      <c r="EQ29" s="71"/>
      <c r="ER29" s="226"/>
      <c r="ES29" s="71"/>
      <c r="ET29" s="71"/>
      <c r="EU29" s="345"/>
      <c r="EV29" s="71"/>
      <c r="EW29" s="226"/>
      <c r="EX29" s="71"/>
      <c r="EY29" s="71"/>
      <c r="EZ29" s="345"/>
      <c r="FA29" s="71"/>
      <c r="FB29" s="226"/>
      <c r="FC29" s="71"/>
      <c r="FD29" s="71"/>
      <c r="FE29" s="345"/>
      <c r="FF29" s="71"/>
      <c r="FG29" s="226"/>
      <c r="FH29" s="71"/>
      <c r="FI29" s="71"/>
      <c r="FJ29" s="345"/>
      <c r="FK29" s="71"/>
      <c r="FL29" s="226"/>
      <c r="FM29" s="71"/>
      <c r="FN29" s="71"/>
      <c r="FO29" s="345"/>
      <c r="FP29" s="71"/>
      <c r="FQ29" s="226"/>
      <c r="FR29" s="71"/>
      <c r="FS29" s="71"/>
      <c r="FT29" s="345"/>
      <c r="FU29" s="71"/>
      <c r="FV29" s="226"/>
      <c r="FW29" s="71"/>
      <c r="FX29" s="71"/>
      <c r="FY29" s="345"/>
      <c r="FZ29" s="71"/>
      <c r="GA29" s="226"/>
      <c r="GB29" s="71"/>
      <c r="GC29" s="71"/>
      <c r="GD29" s="345"/>
      <c r="GE29" s="71"/>
      <c r="GF29" s="226"/>
      <c r="GG29" s="71"/>
      <c r="GH29" s="71"/>
      <c r="GI29" s="345"/>
      <c r="GJ29" s="71"/>
      <c r="GK29" s="226"/>
      <c r="GL29" s="71"/>
      <c r="GM29" s="71"/>
      <c r="GN29" s="345"/>
      <c r="GO29" s="71"/>
      <c r="GP29" s="226"/>
      <c r="GQ29" s="71"/>
      <c r="GR29" s="71"/>
      <c r="GS29" s="345"/>
      <c r="GT29" s="71"/>
      <c r="GU29" s="226"/>
      <c r="GV29" s="71"/>
      <c r="GW29" s="71"/>
      <c r="GX29" s="345"/>
      <c r="GY29" s="71"/>
      <c r="GZ29" s="226"/>
      <c r="HA29" s="71"/>
      <c r="HB29" s="71"/>
      <c r="HC29" s="345"/>
      <c r="HD29" s="71"/>
      <c r="HE29" s="226"/>
      <c r="HF29" s="71"/>
      <c r="HG29" s="71"/>
      <c r="HH29" s="345"/>
      <c r="HI29" s="71"/>
      <c r="HJ29" s="226"/>
      <c r="HK29" s="71"/>
      <c r="HL29" s="71"/>
      <c r="HM29" s="345"/>
      <c r="HN29" s="71"/>
      <c r="HO29" s="226"/>
      <c r="HP29" s="71"/>
      <c r="HQ29" s="71"/>
      <c r="HR29" s="345"/>
      <c r="HS29" s="71"/>
      <c r="HT29" s="226"/>
      <c r="HU29" s="71"/>
      <c r="HV29" s="71"/>
      <c r="HW29" s="345"/>
      <c r="HX29" s="71"/>
      <c r="HY29" s="226"/>
      <c r="HZ29" s="71"/>
      <c r="IA29" s="71"/>
      <c r="IB29" s="345"/>
      <c r="IC29" s="71"/>
      <c r="ID29" s="226"/>
      <c r="IE29" s="71"/>
      <c r="IF29" s="71"/>
      <c r="IG29" s="345"/>
      <c r="IH29" s="71"/>
      <c r="II29" s="226"/>
      <c r="IJ29" s="71"/>
      <c r="IK29" s="71"/>
      <c r="IL29" s="345"/>
      <c r="IM29" s="71"/>
      <c r="IN29" s="226"/>
      <c r="IO29" s="71"/>
      <c r="IP29" s="71"/>
      <c r="IQ29" s="345"/>
      <c r="IR29" s="71"/>
      <c r="IS29" s="226"/>
      <c r="IT29" s="71"/>
      <c r="IU29" s="71"/>
      <c r="IV29" s="345"/>
    </row>
    <row r="30" spans="1:256" x14ac:dyDescent="0.2">
      <c r="A30" s="345">
        <v>28429</v>
      </c>
      <c r="B30" s="71"/>
      <c r="C30" s="226"/>
      <c r="D30" s="71"/>
      <c r="E30" s="71"/>
      <c r="F30" s="345"/>
      <c r="G30" s="71"/>
      <c r="H30" s="226"/>
      <c r="I30" s="71"/>
      <c r="J30" s="71"/>
      <c r="K30" s="345"/>
      <c r="L30" s="71"/>
      <c r="M30" s="226"/>
      <c r="N30" s="71"/>
      <c r="O30" s="71"/>
      <c r="P30" s="345"/>
      <c r="Q30" s="71"/>
      <c r="R30" s="226"/>
      <c r="S30" s="71"/>
      <c r="T30" s="71"/>
      <c r="U30" s="345"/>
      <c r="V30" s="71"/>
      <c r="W30" s="226"/>
      <c r="X30" s="71"/>
      <c r="Y30" s="71"/>
      <c r="Z30" s="345"/>
      <c r="AA30" s="71"/>
      <c r="AB30" s="226"/>
      <c r="AC30" s="71"/>
      <c r="AD30" s="71"/>
      <c r="AE30" s="345"/>
      <c r="AF30" s="71"/>
      <c r="AG30" s="226"/>
      <c r="AH30" s="71"/>
      <c r="AI30" s="71"/>
      <c r="AJ30" s="345"/>
      <c r="AK30" s="71"/>
      <c r="AL30" s="226"/>
      <c r="AM30" s="71"/>
      <c r="AN30" s="71"/>
      <c r="AO30" s="345"/>
      <c r="AP30" s="71"/>
      <c r="AQ30" s="226"/>
      <c r="AR30" s="71"/>
      <c r="AS30" s="71"/>
      <c r="AT30" s="345"/>
      <c r="AU30" s="71"/>
      <c r="AV30" s="226"/>
      <c r="AW30" s="71"/>
      <c r="AX30" s="71"/>
      <c r="AY30" s="345"/>
      <c r="AZ30" s="71"/>
      <c r="BA30" s="226"/>
      <c r="BB30" s="71"/>
      <c r="BC30" s="71"/>
      <c r="BD30" s="345"/>
      <c r="BE30" s="71"/>
      <c r="BF30" s="226"/>
      <c r="BG30" s="71"/>
      <c r="BH30" s="71"/>
      <c r="BI30" s="345"/>
      <c r="BJ30" s="71"/>
      <c r="BK30" s="226"/>
      <c r="BL30" s="71"/>
      <c r="BM30" s="71"/>
      <c r="BN30" s="345"/>
      <c r="BO30" s="71"/>
      <c r="BP30" s="226"/>
      <c r="BQ30" s="71"/>
      <c r="BR30" s="71"/>
      <c r="BS30" s="345"/>
      <c r="BT30" s="71"/>
      <c r="BU30" s="226"/>
      <c r="BV30" s="71"/>
      <c r="BW30" s="71"/>
      <c r="BX30" s="345"/>
      <c r="BY30" s="71"/>
      <c r="BZ30" s="226"/>
      <c r="CA30" s="71"/>
      <c r="CB30" s="71"/>
      <c r="CC30" s="345"/>
      <c r="CD30" s="71"/>
      <c r="CE30" s="226"/>
      <c r="CF30" s="71"/>
      <c r="CG30" s="71"/>
      <c r="CH30" s="345"/>
      <c r="CI30" s="71"/>
      <c r="CJ30" s="226"/>
      <c r="CK30" s="71"/>
      <c r="CL30" s="71"/>
      <c r="CM30" s="345"/>
      <c r="CN30" s="71"/>
      <c r="CO30" s="226"/>
      <c r="CP30" s="71"/>
      <c r="CQ30" s="71"/>
      <c r="CR30" s="345"/>
      <c r="CS30" s="71"/>
      <c r="CT30" s="226"/>
      <c r="CU30" s="71"/>
      <c r="CV30" s="71"/>
      <c r="CW30" s="345"/>
      <c r="CX30" s="71"/>
      <c r="CY30" s="226"/>
      <c r="CZ30" s="71"/>
      <c r="DA30" s="71"/>
      <c r="DB30" s="345"/>
      <c r="DC30" s="71"/>
      <c r="DD30" s="226"/>
      <c r="DE30" s="71"/>
      <c r="DF30" s="71"/>
      <c r="DG30" s="345"/>
      <c r="DH30" s="71"/>
      <c r="DI30" s="226"/>
      <c r="DJ30" s="71"/>
      <c r="DK30" s="71"/>
      <c r="DL30" s="345"/>
      <c r="DM30" s="71"/>
      <c r="DN30" s="226"/>
      <c r="DO30" s="71"/>
      <c r="DP30" s="71"/>
      <c r="DQ30" s="345"/>
      <c r="DR30" s="71"/>
      <c r="DS30" s="226"/>
      <c r="DT30" s="71"/>
      <c r="DU30" s="71"/>
      <c r="DV30" s="345"/>
      <c r="DW30" s="71"/>
      <c r="DX30" s="226"/>
      <c r="DY30" s="71"/>
      <c r="DZ30" s="71"/>
      <c r="EA30" s="345"/>
      <c r="EB30" s="71"/>
      <c r="EC30" s="226"/>
      <c r="ED30" s="71"/>
      <c r="EE30" s="71"/>
      <c r="EF30" s="345"/>
      <c r="EG30" s="71"/>
      <c r="EH30" s="226"/>
      <c r="EI30" s="71"/>
      <c r="EJ30" s="71"/>
      <c r="EK30" s="345"/>
      <c r="EL30" s="71"/>
      <c r="EM30" s="226"/>
      <c r="EN30" s="71"/>
      <c r="EO30" s="71"/>
      <c r="EP30" s="345"/>
      <c r="EQ30" s="71"/>
      <c r="ER30" s="226"/>
      <c r="ES30" s="71"/>
      <c r="ET30" s="71"/>
      <c r="EU30" s="345"/>
      <c r="EV30" s="71"/>
      <c r="EW30" s="226"/>
      <c r="EX30" s="71"/>
      <c r="EY30" s="71"/>
      <c r="EZ30" s="345"/>
      <c r="FA30" s="71"/>
      <c r="FB30" s="226"/>
      <c r="FC30" s="71"/>
      <c r="FD30" s="71"/>
      <c r="FE30" s="345"/>
      <c r="FF30" s="71"/>
      <c r="FG30" s="226"/>
      <c r="FH30" s="71"/>
      <c r="FI30" s="71"/>
      <c r="FJ30" s="345"/>
      <c r="FK30" s="71"/>
      <c r="FL30" s="226"/>
      <c r="FM30" s="71"/>
      <c r="FN30" s="71"/>
      <c r="FO30" s="345"/>
      <c r="FP30" s="71"/>
      <c r="FQ30" s="226"/>
      <c r="FR30" s="71"/>
      <c r="FS30" s="71"/>
      <c r="FT30" s="345"/>
      <c r="FU30" s="71"/>
      <c r="FV30" s="226"/>
      <c r="FW30" s="71"/>
      <c r="FX30" s="71"/>
      <c r="FY30" s="345"/>
      <c r="FZ30" s="71"/>
      <c r="GA30" s="226"/>
      <c r="GB30" s="71"/>
      <c r="GC30" s="71"/>
      <c r="GD30" s="345"/>
      <c r="GE30" s="71"/>
      <c r="GF30" s="226"/>
      <c r="GG30" s="71"/>
      <c r="GH30" s="71"/>
      <c r="GI30" s="345"/>
      <c r="GJ30" s="71"/>
      <c r="GK30" s="226"/>
      <c r="GL30" s="71"/>
      <c r="GM30" s="71"/>
      <c r="GN30" s="345"/>
      <c r="GO30" s="71"/>
      <c r="GP30" s="226"/>
      <c r="GQ30" s="71"/>
      <c r="GR30" s="71"/>
      <c r="GS30" s="345"/>
      <c r="GT30" s="71"/>
      <c r="GU30" s="226"/>
      <c r="GV30" s="71"/>
      <c r="GW30" s="71"/>
      <c r="GX30" s="345"/>
      <c r="GY30" s="71"/>
      <c r="GZ30" s="226"/>
      <c r="HA30" s="71"/>
      <c r="HB30" s="71"/>
      <c r="HC30" s="345"/>
      <c r="HD30" s="71"/>
      <c r="HE30" s="226"/>
      <c r="HF30" s="71"/>
      <c r="HG30" s="71"/>
      <c r="HH30" s="345"/>
      <c r="HI30" s="71"/>
      <c r="HJ30" s="226"/>
      <c r="HK30" s="71"/>
      <c r="HL30" s="71"/>
      <c r="HM30" s="345"/>
      <c r="HN30" s="71"/>
      <c r="HO30" s="226"/>
      <c r="HP30" s="71"/>
      <c r="HQ30" s="71"/>
      <c r="HR30" s="345"/>
      <c r="HS30" s="71"/>
      <c r="HT30" s="226"/>
      <c r="HU30" s="71"/>
      <c r="HV30" s="71"/>
      <c r="HW30" s="345"/>
      <c r="HX30" s="71"/>
      <c r="HY30" s="226"/>
      <c r="HZ30" s="71"/>
      <c r="IA30" s="71"/>
      <c r="IB30" s="345"/>
      <c r="IC30" s="71"/>
      <c r="ID30" s="226"/>
      <c r="IE30" s="71"/>
      <c r="IF30" s="71"/>
      <c r="IG30" s="345"/>
      <c r="IH30" s="71"/>
      <c r="II30" s="226"/>
      <c r="IJ30" s="71"/>
      <c r="IK30" s="71"/>
      <c r="IL30" s="345"/>
      <c r="IM30" s="71"/>
      <c r="IN30" s="226"/>
      <c r="IO30" s="71"/>
      <c r="IP30" s="71"/>
      <c r="IQ30" s="345"/>
      <c r="IR30" s="71"/>
      <c r="IS30" s="226"/>
      <c r="IT30" s="71"/>
      <c r="IU30" s="71"/>
      <c r="IV30" s="345"/>
    </row>
    <row r="31" spans="1:256" x14ac:dyDescent="0.2">
      <c r="A31" s="345">
        <v>28459</v>
      </c>
      <c r="B31" s="71"/>
      <c r="C31" s="226"/>
      <c r="D31" s="71"/>
      <c r="E31" s="71"/>
      <c r="F31" s="345"/>
      <c r="G31" s="71"/>
      <c r="H31" s="226"/>
      <c r="I31" s="71"/>
      <c r="J31" s="71"/>
      <c r="K31" s="345"/>
      <c r="L31" s="71"/>
      <c r="M31" s="226"/>
      <c r="N31" s="71"/>
      <c r="O31" s="71"/>
      <c r="P31" s="345"/>
      <c r="Q31" s="71"/>
      <c r="R31" s="226"/>
      <c r="S31" s="71"/>
      <c r="T31" s="71"/>
      <c r="U31" s="345"/>
      <c r="V31" s="71"/>
      <c r="W31" s="226"/>
      <c r="X31" s="71"/>
      <c r="Y31" s="71"/>
      <c r="Z31" s="345"/>
      <c r="AA31" s="71"/>
      <c r="AB31" s="226"/>
      <c r="AC31" s="71"/>
      <c r="AD31" s="71"/>
      <c r="AE31" s="345"/>
      <c r="AF31" s="71"/>
      <c r="AG31" s="226"/>
      <c r="AH31" s="71"/>
      <c r="AI31" s="71"/>
      <c r="AJ31" s="345"/>
      <c r="AK31" s="71"/>
      <c r="AL31" s="226"/>
      <c r="AM31" s="71"/>
      <c r="AN31" s="71"/>
      <c r="AO31" s="345"/>
      <c r="AP31" s="71"/>
      <c r="AQ31" s="226"/>
      <c r="AR31" s="71"/>
      <c r="AS31" s="71"/>
      <c r="AT31" s="345"/>
      <c r="AU31" s="71"/>
      <c r="AV31" s="226"/>
      <c r="AW31" s="71"/>
      <c r="AX31" s="71"/>
      <c r="AY31" s="345"/>
      <c r="AZ31" s="71"/>
      <c r="BA31" s="226"/>
      <c r="BB31" s="71"/>
      <c r="BC31" s="71"/>
      <c r="BD31" s="345"/>
      <c r="BE31" s="71"/>
      <c r="BF31" s="226"/>
      <c r="BG31" s="71"/>
      <c r="BH31" s="71"/>
      <c r="BI31" s="345"/>
      <c r="BJ31" s="71"/>
      <c r="BK31" s="226"/>
      <c r="BL31" s="71"/>
      <c r="BM31" s="71"/>
      <c r="BN31" s="345"/>
      <c r="BO31" s="71"/>
      <c r="BP31" s="226"/>
      <c r="BQ31" s="71"/>
      <c r="BR31" s="71"/>
      <c r="BS31" s="345"/>
      <c r="BT31" s="71"/>
      <c r="BU31" s="226"/>
      <c r="BV31" s="71"/>
      <c r="BW31" s="71"/>
      <c r="BX31" s="345"/>
      <c r="BY31" s="71"/>
      <c r="BZ31" s="226"/>
      <c r="CA31" s="71"/>
      <c r="CB31" s="71"/>
      <c r="CC31" s="345"/>
      <c r="CD31" s="71"/>
      <c r="CE31" s="226"/>
      <c r="CF31" s="71"/>
      <c r="CG31" s="71"/>
      <c r="CH31" s="345"/>
      <c r="CI31" s="71"/>
      <c r="CJ31" s="226"/>
      <c r="CK31" s="71"/>
      <c r="CL31" s="71"/>
      <c r="CM31" s="345"/>
      <c r="CN31" s="71"/>
      <c r="CO31" s="226"/>
      <c r="CP31" s="71"/>
      <c r="CQ31" s="71"/>
      <c r="CR31" s="345"/>
      <c r="CS31" s="71"/>
      <c r="CT31" s="226"/>
      <c r="CU31" s="71"/>
      <c r="CV31" s="71"/>
      <c r="CW31" s="345"/>
      <c r="CX31" s="71"/>
      <c r="CY31" s="226"/>
      <c r="CZ31" s="71"/>
      <c r="DA31" s="71"/>
      <c r="DB31" s="345"/>
      <c r="DC31" s="71"/>
      <c r="DD31" s="226"/>
      <c r="DE31" s="71"/>
      <c r="DF31" s="71"/>
      <c r="DG31" s="345"/>
      <c r="DH31" s="71"/>
      <c r="DI31" s="226"/>
      <c r="DJ31" s="71"/>
      <c r="DK31" s="71"/>
      <c r="DL31" s="345"/>
      <c r="DM31" s="71"/>
      <c r="DN31" s="226"/>
      <c r="DO31" s="71"/>
      <c r="DP31" s="71"/>
      <c r="DQ31" s="345"/>
      <c r="DR31" s="71"/>
      <c r="DS31" s="226"/>
      <c r="DT31" s="71"/>
      <c r="DU31" s="71"/>
      <c r="DV31" s="345"/>
      <c r="DW31" s="71"/>
      <c r="DX31" s="226"/>
      <c r="DY31" s="71"/>
      <c r="DZ31" s="71"/>
      <c r="EA31" s="345"/>
      <c r="EB31" s="71"/>
      <c r="EC31" s="226"/>
      <c r="ED31" s="71"/>
      <c r="EE31" s="71"/>
      <c r="EF31" s="345"/>
      <c r="EG31" s="71"/>
      <c r="EH31" s="226"/>
      <c r="EI31" s="71"/>
      <c r="EJ31" s="71"/>
      <c r="EK31" s="345"/>
      <c r="EL31" s="71"/>
      <c r="EM31" s="226"/>
      <c r="EN31" s="71"/>
      <c r="EO31" s="71"/>
      <c r="EP31" s="345"/>
      <c r="EQ31" s="71"/>
      <c r="ER31" s="226"/>
      <c r="ES31" s="71"/>
      <c r="ET31" s="71"/>
      <c r="EU31" s="345"/>
      <c r="EV31" s="71"/>
      <c r="EW31" s="226"/>
      <c r="EX31" s="71"/>
      <c r="EY31" s="71"/>
      <c r="EZ31" s="345"/>
      <c r="FA31" s="71"/>
      <c r="FB31" s="226"/>
      <c r="FC31" s="71"/>
      <c r="FD31" s="71"/>
      <c r="FE31" s="345"/>
      <c r="FF31" s="71"/>
      <c r="FG31" s="226"/>
      <c r="FH31" s="71"/>
      <c r="FI31" s="71"/>
      <c r="FJ31" s="345"/>
      <c r="FK31" s="71"/>
      <c r="FL31" s="226"/>
      <c r="FM31" s="71"/>
      <c r="FN31" s="71"/>
      <c r="FO31" s="345"/>
      <c r="FP31" s="71"/>
      <c r="FQ31" s="226"/>
      <c r="FR31" s="71"/>
      <c r="FS31" s="71"/>
      <c r="FT31" s="345"/>
      <c r="FU31" s="71"/>
      <c r="FV31" s="226"/>
      <c r="FW31" s="71"/>
      <c r="FX31" s="71"/>
      <c r="FY31" s="345"/>
      <c r="FZ31" s="71"/>
      <c r="GA31" s="226"/>
      <c r="GB31" s="71"/>
      <c r="GC31" s="71"/>
      <c r="GD31" s="345"/>
      <c r="GE31" s="71"/>
      <c r="GF31" s="226"/>
      <c r="GG31" s="71"/>
      <c r="GH31" s="71"/>
      <c r="GI31" s="345"/>
      <c r="GJ31" s="71"/>
      <c r="GK31" s="226"/>
      <c r="GL31" s="71"/>
      <c r="GM31" s="71"/>
      <c r="GN31" s="345"/>
      <c r="GO31" s="71"/>
      <c r="GP31" s="226"/>
      <c r="GQ31" s="71"/>
      <c r="GR31" s="71"/>
      <c r="GS31" s="345"/>
      <c r="GT31" s="71"/>
      <c r="GU31" s="226"/>
      <c r="GV31" s="71"/>
      <c r="GW31" s="71"/>
      <c r="GX31" s="345"/>
      <c r="GY31" s="71"/>
      <c r="GZ31" s="226"/>
      <c r="HA31" s="71"/>
      <c r="HB31" s="71"/>
      <c r="HC31" s="345"/>
      <c r="HD31" s="71"/>
      <c r="HE31" s="226"/>
      <c r="HF31" s="71"/>
      <c r="HG31" s="71"/>
      <c r="HH31" s="345"/>
      <c r="HI31" s="71"/>
      <c r="HJ31" s="226"/>
      <c r="HK31" s="71"/>
      <c r="HL31" s="71"/>
      <c r="HM31" s="345"/>
      <c r="HN31" s="71"/>
      <c r="HO31" s="226"/>
      <c r="HP31" s="71"/>
      <c r="HQ31" s="71"/>
      <c r="HR31" s="345"/>
      <c r="HS31" s="71"/>
      <c r="HT31" s="226"/>
      <c r="HU31" s="71"/>
      <c r="HV31" s="71"/>
      <c r="HW31" s="345"/>
      <c r="HX31" s="71"/>
      <c r="HY31" s="226"/>
      <c r="HZ31" s="71"/>
      <c r="IA31" s="71"/>
      <c r="IB31" s="345"/>
      <c r="IC31" s="71"/>
      <c r="ID31" s="226"/>
      <c r="IE31" s="71"/>
      <c r="IF31" s="71"/>
      <c r="IG31" s="345"/>
      <c r="IH31" s="71"/>
      <c r="II31" s="226"/>
      <c r="IJ31" s="71"/>
      <c r="IK31" s="71"/>
      <c r="IL31" s="345"/>
      <c r="IM31" s="71"/>
      <c r="IN31" s="226"/>
      <c r="IO31" s="71"/>
      <c r="IP31" s="71"/>
      <c r="IQ31" s="345"/>
      <c r="IR31" s="71"/>
      <c r="IS31" s="226"/>
      <c r="IT31" s="71"/>
      <c r="IU31" s="71"/>
      <c r="IV31" s="345"/>
    </row>
    <row r="32" spans="1:256" x14ac:dyDescent="0.2">
      <c r="A32" s="345">
        <v>28490</v>
      </c>
      <c r="B32" s="71"/>
      <c r="C32" s="226"/>
      <c r="D32" s="71"/>
      <c r="E32" s="71"/>
      <c r="F32" s="345"/>
      <c r="G32" s="71"/>
      <c r="H32" s="226"/>
      <c r="I32" s="71"/>
      <c r="J32" s="71"/>
      <c r="K32" s="345"/>
      <c r="L32" s="71"/>
      <c r="M32" s="226"/>
      <c r="N32" s="71"/>
      <c r="O32" s="71"/>
      <c r="P32" s="345"/>
      <c r="Q32" s="71"/>
      <c r="R32" s="226"/>
      <c r="S32" s="71"/>
      <c r="T32" s="71"/>
      <c r="U32" s="345"/>
      <c r="V32" s="71"/>
      <c r="W32" s="226"/>
      <c r="X32" s="71"/>
      <c r="Y32" s="71"/>
      <c r="Z32" s="345"/>
      <c r="AA32" s="71"/>
      <c r="AB32" s="226"/>
      <c r="AC32" s="71"/>
      <c r="AD32" s="71"/>
      <c r="AE32" s="345"/>
      <c r="AF32" s="71"/>
      <c r="AG32" s="226"/>
      <c r="AH32" s="71"/>
      <c r="AI32" s="71"/>
      <c r="AJ32" s="345"/>
      <c r="AK32" s="71"/>
      <c r="AL32" s="226"/>
      <c r="AM32" s="71"/>
      <c r="AN32" s="71"/>
      <c r="AO32" s="345"/>
      <c r="AP32" s="71"/>
      <c r="AQ32" s="226"/>
      <c r="AR32" s="71"/>
      <c r="AS32" s="71"/>
      <c r="AT32" s="345"/>
      <c r="AU32" s="71"/>
      <c r="AV32" s="226"/>
      <c r="AW32" s="71"/>
      <c r="AX32" s="71"/>
      <c r="AY32" s="345"/>
      <c r="AZ32" s="71"/>
      <c r="BA32" s="226"/>
      <c r="BB32" s="71"/>
      <c r="BC32" s="71"/>
      <c r="BD32" s="345"/>
      <c r="BE32" s="71"/>
      <c r="BF32" s="226"/>
      <c r="BG32" s="71"/>
      <c r="BH32" s="71"/>
      <c r="BI32" s="345"/>
      <c r="BJ32" s="71"/>
      <c r="BK32" s="226"/>
      <c r="BL32" s="71"/>
      <c r="BM32" s="71"/>
      <c r="BN32" s="345"/>
      <c r="BO32" s="71"/>
      <c r="BP32" s="226"/>
      <c r="BQ32" s="71"/>
      <c r="BR32" s="71"/>
      <c r="BS32" s="345"/>
      <c r="BT32" s="71"/>
      <c r="BU32" s="226"/>
      <c r="BV32" s="71"/>
      <c r="BW32" s="71"/>
      <c r="BX32" s="345"/>
      <c r="BY32" s="71"/>
      <c r="BZ32" s="226"/>
      <c r="CA32" s="71"/>
      <c r="CB32" s="71"/>
      <c r="CC32" s="345"/>
      <c r="CD32" s="71"/>
      <c r="CE32" s="226"/>
      <c r="CF32" s="71"/>
      <c r="CG32" s="71"/>
      <c r="CH32" s="345"/>
      <c r="CI32" s="71"/>
      <c r="CJ32" s="226"/>
      <c r="CK32" s="71"/>
      <c r="CL32" s="71"/>
      <c r="CM32" s="345"/>
      <c r="CN32" s="71"/>
      <c r="CO32" s="226"/>
      <c r="CP32" s="71"/>
      <c r="CQ32" s="71"/>
      <c r="CR32" s="345"/>
      <c r="CS32" s="71"/>
      <c r="CT32" s="226"/>
      <c r="CU32" s="71"/>
      <c r="CV32" s="71"/>
      <c r="CW32" s="345"/>
      <c r="CX32" s="71"/>
      <c r="CY32" s="226"/>
      <c r="CZ32" s="71"/>
      <c r="DA32" s="71"/>
      <c r="DB32" s="345"/>
      <c r="DC32" s="71"/>
      <c r="DD32" s="226"/>
      <c r="DE32" s="71"/>
      <c r="DF32" s="71"/>
      <c r="DG32" s="345"/>
      <c r="DH32" s="71"/>
      <c r="DI32" s="226"/>
      <c r="DJ32" s="71"/>
      <c r="DK32" s="71"/>
      <c r="DL32" s="345"/>
      <c r="DM32" s="71"/>
      <c r="DN32" s="226"/>
      <c r="DO32" s="71"/>
      <c r="DP32" s="71"/>
      <c r="DQ32" s="345"/>
      <c r="DR32" s="71"/>
      <c r="DS32" s="226"/>
      <c r="DT32" s="71"/>
      <c r="DU32" s="71"/>
      <c r="DV32" s="345"/>
      <c r="DW32" s="71"/>
      <c r="DX32" s="226"/>
      <c r="DY32" s="71"/>
      <c r="DZ32" s="71"/>
      <c r="EA32" s="345"/>
      <c r="EB32" s="71"/>
      <c r="EC32" s="226"/>
      <c r="ED32" s="71"/>
      <c r="EE32" s="71"/>
      <c r="EF32" s="345"/>
      <c r="EG32" s="71"/>
      <c r="EH32" s="226"/>
      <c r="EI32" s="71"/>
      <c r="EJ32" s="71"/>
      <c r="EK32" s="345"/>
      <c r="EL32" s="71"/>
      <c r="EM32" s="226"/>
      <c r="EN32" s="71"/>
      <c r="EO32" s="71"/>
      <c r="EP32" s="345"/>
      <c r="EQ32" s="71"/>
      <c r="ER32" s="226"/>
      <c r="ES32" s="71"/>
      <c r="ET32" s="71"/>
      <c r="EU32" s="345"/>
      <c r="EV32" s="71"/>
      <c r="EW32" s="226"/>
      <c r="EX32" s="71"/>
      <c r="EY32" s="71"/>
      <c r="EZ32" s="345"/>
      <c r="FA32" s="71"/>
      <c r="FB32" s="226"/>
      <c r="FC32" s="71"/>
      <c r="FD32" s="71"/>
      <c r="FE32" s="345"/>
      <c r="FF32" s="71"/>
      <c r="FG32" s="226"/>
      <c r="FH32" s="71"/>
      <c r="FI32" s="71"/>
      <c r="FJ32" s="345"/>
      <c r="FK32" s="71"/>
      <c r="FL32" s="226"/>
      <c r="FM32" s="71"/>
      <c r="FN32" s="71"/>
      <c r="FO32" s="345"/>
      <c r="FP32" s="71"/>
      <c r="FQ32" s="226"/>
      <c r="FR32" s="71"/>
      <c r="FS32" s="71"/>
      <c r="FT32" s="345"/>
      <c r="FU32" s="71"/>
      <c r="FV32" s="226"/>
      <c r="FW32" s="71"/>
      <c r="FX32" s="71"/>
      <c r="FY32" s="345"/>
      <c r="FZ32" s="71"/>
      <c r="GA32" s="226"/>
      <c r="GB32" s="71"/>
      <c r="GC32" s="71"/>
      <c r="GD32" s="345"/>
      <c r="GE32" s="71"/>
      <c r="GF32" s="226"/>
      <c r="GG32" s="71"/>
      <c r="GH32" s="71"/>
      <c r="GI32" s="345"/>
      <c r="GJ32" s="71"/>
      <c r="GK32" s="226"/>
      <c r="GL32" s="71"/>
      <c r="GM32" s="71"/>
      <c r="GN32" s="345"/>
      <c r="GO32" s="71"/>
      <c r="GP32" s="226"/>
      <c r="GQ32" s="71"/>
      <c r="GR32" s="71"/>
      <c r="GS32" s="345"/>
      <c r="GT32" s="71"/>
      <c r="GU32" s="226"/>
      <c r="GV32" s="71"/>
      <c r="GW32" s="71"/>
      <c r="GX32" s="345"/>
      <c r="GY32" s="71"/>
      <c r="GZ32" s="226"/>
      <c r="HA32" s="71"/>
      <c r="HB32" s="71"/>
      <c r="HC32" s="345"/>
      <c r="HD32" s="71"/>
      <c r="HE32" s="226"/>
      <c r="HF32" s="71"/>
      <c r="HG32" s="71"/>
      <c r="HH32" s="345"/>
      <c r="HI32" s="71"/>
      <c r="HJ32" s="226"/>
      <c r="HK32" s="71"/>
      <c r="HL32" s="71"/>
      <c r="HM32" s="345"/>
      <c r="HN32" s="71"/>
      <c r="HO32" s="226"/>
      <c r="HP32" s="71"/>
      <c r="HQ32" s="71"/>
      <c r="HR32" s="345"/>
      <c r="HS32" s="71"/>
      <c r="HT32" s="226"/>
      <c r="HU32" s="71"/>
      <c r="HV32" s="71"/>
      <c r="HW32" s="345"/>
      <c r="HX32" s="71"/>
      <c r="HY32" s="226"/>
      <c r="HZ32" s="71"/>
      <c r="IA32" s="71"/>
      <c r="IB32" s="345"/>
      <c r="IC32" s="71"/>
      <c r="ID32" s="226"/>
      <c r="IE32" s="71"/>
      <c r="IF32" s="71"/>
      <c r="IG32" s="345"/>
      <c r="IH32" s="71"/>
      <c r="II32" s="226"/>
      <c r="IJ32" s="71"/>
      <c r="IK32" s="71"/>
      <c r="IL32" s="345"/>
      <c r="IM32" s="71"/>
      <c r="IN32" s="226"/>
      <c r="IO32" s="71"/>
      <c r="IP32" s="71"/>
      <c r="IQ32" s="345"/>
      <c r="IR32" s="71"/>
      <c r="IS32" s="226"/>
      <c r="IT32" s="71"/>
      <c r="IU32" s="71"/>
      <c r="IV32" s="345"/>
    </row>
    <row r="33" spans="1:256" x14ac:dyDescent="0.2">
      <c r="A33" s="345">
        <v>28521</v>
      </c>
      <c r="B33" s="71"/>
      <c r="C33" s="226"/>
      <c r="D33" s="71"/>
      <c r="E33" s="71"/>
      <c r="F33" s="345"/>
      <c r="G33" s="71"/>
      <c r="H33" s="226"/>
      <c r="I33" s="71"/>
      <c r="J33" s="71"/>
      <c r="K33" s="345"/>
      <c r="L33" s="71"/>
      <c r="M33" s="226"/>
      <c r="N33" s="71"/>
      <c r="O33" s="71"/>
      <c r="P33" s="345"/>
      <c r="Q33" s="71"/>
      <c r="R33" s="226"/>
      <c r="S33" s="71"/>
      <c r="T33" s="71"/>
      <c r="U33" s="345"/>
      <c r="V33" s="71"/>
      <c r="W33" s="226"/>
      <c r="X33" s="71"/>
      <c r="Y33" s="71"/>
      <c r="Z33" s="345"/>
      <c r="AA33" s="71"/>
      <c r="AB33" s="226"/>
      <c r="AC33" s="71"/>
      <c r="AD33" s="71"/>
      <c r="AE33" s="345"/>
      <c r="AF33" s="71"/>
      <c r="AG33" s="226"/>
      <c r="AH33" s="71"/>
      <c r="AI33" s="71"/>
      <c r="AJ33" s="345"/>
      <c r="AK33" s="71"/>
      <c r="AL33" s="226"/>
      <c r="AM33" s="71"/>
      <c r="AN33" s="71"/>
      <c r="AO33" s="345"/>
      <c r="AP33" s="71"/>
      <c r="AQ33" s="226"/>
      <c r="AR33" s="71"/>
      <c r="AS33" s="71"/>
      <c r="AT33" s="345"/>
      <c r="AU33" s="71"/>
      <c r="AV33" s="226"/>
      <c r="AW33" s="71"/>
      <c r="AX33" s="71"/>
      <c r="AY33" s="345"/>
      <c r="AZ33" s="71"/>
      <c r="BA33" s="226"/>
      <c r="BB33" s="71"/>
      <c r="BC33" s="71"/>
      <c r="BD33" s="345"/>
      <c r="BE33" s="71"/>
      <c r="BF33" s="226"/>
      <c r="BG33" s="71"/>
      <c r="BH33" s="71"/>
      <c r="BI33" s="345"/>
      <c r="BJ33" s="71"/>
      <c r="BK33" s="226"/>
      <c r="BL33" s="71"/>
      <c r="BM33" s="71"/>
      <c r="BN33" s="345"/>
      <c r="BO33" s="71"/>
      <c r="BP33" s="226"/>
      <c r="BQ33" s="71"/>
      <c r="BR33" s="71"/>
      <c r="BS33" s="345"/>
      <c r="BT33" s="71"/>
      <c r="BU33" s="226"/>
      <c r="BV33" s="71"/>
      <c r="BW33" s="71"/>
      <c r="BX33" s="345"/>
      <c r="BY33" s="71"/>
      <c r="BZ33" s="226"/>
      <c r="CA33" s="71"/>
      <c r="CB33" s="71"/>
      <c r="CC33" s="345"/>
      <c r="CD33" s="71"/>
      <c r="CE33" s="226"/>
      <c r="CF33" s="71"/>
      <c r="CG33" s="71"/>
      <c r="CH33" s="345"/>
      <c r="CI33" s="71"/>
      <c r="CJ33" s="226"/>
      <c r="CK33" s="71"/>
      <c r="CL33" s="71"/>
      <c r="CM33" s="345"/>
      <c r="CN33" s="71"/>
      <c r="CO33" s="226"/>
      <c r="CP33" s="71"/>
      <c r="CQ33" s="71"/>
      <c r="CR33" s="345"/>
      <c r="CS33" s="71"/>
      <c r="CT33" s="226"/>
      <c r="CU33" s="71"/>
      <c r="CV33" s="71"/>
      <c r="CW33" s="345"/>
      <c r="CX33" s="71"/>
      <c r="CY33" s="226"/>
      <c r="CZ33" s="71"/>
      <c r="DA33" s="71"/>
      <c r="DB33" s="345"/>
      <c r="DC33" s="71"/>
      <c r="DD33" s="226"/>
      <c r="DE33" s="71"/>
      <c r="DF33" s="71"/>
      <c r="DG33" s="345"/>
      <c r="DH33" s="71"/>
      <c r="DI33" s="226"/>
      <c r="DJ33" s="71"/>
      <c r="DK33" s="71"/>
      <c r="DL33" s="345"/>
      <c r="DM33" s="71"/>
      <c r="DN33" s="226"/>
      <c r="DO33" s="71"/>
      <c r="DP33" s="71"/>
      <c r="DQ33" s="345"/>
      <c r="DR33" s="71"/>
      <c r="DS33" s="226"/>
      <c r="DT33" s="71"/>
      <c r="DU33" s="71"/>
      <c r="DV33" s="345"/>
      <c r="DW33" s="71"/>
      <c r="DX33" s="226"/>
      <c r="DY33" s="71"/>
      <c r="DZ33" s="71"/>
      <c r="EA33" s="345"/>
      <c r="EB33" s="71"/>
      <c r="EC33" s="226"/>
      <c r="ED33" s="71"/>
      <c r="EE33" s="71"/>
      <c r="EF33" s="345"/>
      <c r="EG33" s="71"/>
      <c r="EH33" s="226"/>
      <c r="EI33" s="71"/>
      <c r="EJ33" s="71"/>
      <c r="EK33" s="345"/>
      <c r="EL33" s="71"/>
      <c r="EM33" s="226"/>
      <c r="EN33" s="71"/>
      <c r="EO33" s="71"/>
      <c r="EP33" s="345"/>
      <c r="EQ33" s="71"/>
      <c r="ER33" s="226"/>
      <c r="ES33" s="71"/>
      <c r="ET33" s="71"/>
      <c r="EU33" s="345"/>
      <c r="EV33" s="71"/>
      <c r="EW33" s="226"/>
      <c r="EX33" s="71"/>
      <c r="EY33" s="71"/>
      <c r="EZ33" s="345"/>
      <c r="FA33" s="71"/>
      <c r="FB33" s="226"/>
      <c r="FC33" s="71"/>
      <c r="FD33" s="71"/>
      <c r="FE33" s="345"/>
      <c r="FF33" s="71"/>
      <c r="FG33" s="226"/>
      <c r="FH33" s="71"/>
      <c r="FI33" s="71"/>
      <c r="FJ33" s="345"/>
      <c r="FK33" s="71"/>
      <c r="FL33" s="226"/>
      <c r="FM33" s="71"/>
      <c r="FN33" s="71"/>
      <c r="FO33" s="345"/>
      <c r="FP33" s="71"/>
      <c r="FQ33" s="226"/>
      <c r="FR33" s="71"/>
      <c r="FS33" s="71"/>
      <c r="FT33" s="345"/>
      <c r="FU33" s="71"/>
      <c r="FV33" s="226"/>
      <c r="FW33" s="71"/>
      <c r="FX33" s="71"/>
      <c r="FY33" s="345"/>
      <c r="FZ33" s="71"/>
      <c r="GA33" s="226"/>
      <c r="GB33" s="71"/>
      <c r="GC33" s="71"/>
      <c r="GD33" s="345"/>
      <c r="GE33" s="71"/>
      <c r="GF33" s="226"/>
      <c r="GG33" s="71"/>
      <c r="GH33" s="71"/>
      <c r="GI33" s="345"/>
      <c r="GJ33" s="71"/>
      <c r="GK33" s="226"/>
      <c r="GL33" s="71"/>
      <c r="GM33" s="71"/>
      <c r="GN33" s="345"/>
      <c r="GO33" s="71"/>
      <c r="GP33" s="226"/>
      <c r="GQ33" s="71"/>
      <c r="GR33" s="71"/>
      <c r="GS33" s="345"/>
      <c r="GT33" s="71"/>
      <c r="GU33" s="226"/>
      <c r="GV33" s="71"/>
      <c r="GW33" s="71"/>
      <c r="GX33" s="345"/>
      <c r="GY33" s="71"/>
      <c r="GZ33" s="226"/>
      <c r="HA33" s="71"/>
      <c r="HB33" s="71"/>
      <c r="HC33" s="345"/>
      <c r="HD33" s="71"/>
      <c r="HE33" s="226"/>
      <c r="HF33" s="71"/>
      <c r="HG33" s="71"/>
      <c r="HH33" s="345"/>
      <c r="HI33" s="71"/>
      <c r="HJ33" s="226"/>
      <c r="HK33" s="71"/>
      <c r="HL33" s="71"/>
      <c r="HM33" s="345"/>
      <c r="HN33" s="71"/>
      <c r="HO33" s="226"/>
      <c r="HP33" s="71"/>
      <c r="HQ33" s="71"/>
      <c r="HR33" s="345"/>
      <c r="HS33" s="71"/>
      <c r="HT33" s="226"/>
      <c r="HU33" s="71"/>
      <c r="HV33" s="71"/>
      <c r="HW33" s="345"/>
      <c r="HX33" s="71"/>
      <c r="HY33" s="226"/>
      <c r="HZ33" s="71"/>
      <c r="IA33" s="71"/>
      <c r="IB33" s="345"/>
      <c r="IC33" s="71"/>
      <c r="ID33" s="226"/>
      <c r="IE33" s="71"/>
      <c r="IF33" s="71"/>
      <c r="IG33" s="345"/>
      <c r="IH33" s="71"/>
      <c r="II33" s="226"/>
      <c r="IJ33" s="71"/>
      <c r="IK33" s="71"/>
      <c r="IL33" s="345"/>
      <c r="IM33" s="71"/>
      <c r="IN33" s="226"/>
      <c r="IO33" s="71"/>
      <c r="IP33" s="71"/>
      <c r="IQ33" s="345"/>
      <c r="IR33" s="71"/>
      <c r="IS33" s="226"/>
      <c r="IT33" s="71"/>
      <c r="IU33" s="71"/>
      <c r="IV33" s="345"/>
    </row>
    <row r="34" spans="1:256" x14ac:dyDescent="0.2">
      <c r="A34" s="345">
        <v>28549</v>
      </c>
      <c r="B34" s="71"/>
      <c r="C34" s="226"/>
      <c r="D34" s="71"/>
      <c r="E34" s="71"/>
      <c r="F34" s="345"/>
      <c r="G34" s="71"/>
      <c r="H34" s="226"/>
      <c r="I34" s="71"/>
      <c r="J34" s="71"/>
      <c r="K34" s="345"/>
      <c r="L34" s="71"/>
      <c r="M34" s="226"/>
      <c r="N34" s="71"/>
      <c r="O34" s="71"/>
      <c r="P34" s="345"/>
      <c r="Q34" s="71"/>
      <c r="R34" s="226"/>
      <c r="S34" s="71"/>
      <c r="T34" s="71"/>
      <c r="U34" s="345"/>
      <c r="V34" s="71"/>
      <c r="W34" s="226"/>
      <c r="X34" s="71"/>
      <c r="Y34" s="71"/>
      <c r="Z34" s="345"/>
      <c r="AA34" s="71"/>
      <c r="AB34" s="226"/>
      <c r="AC34" s="71"/>
      <c r="AD34" s="71"/>
      <c r="AE34" s="345"/>
      <c r="AF34" s="71"/>
      <c r="AG34" s="226"/>
      <c r="AH34" s="71"/>
      <c r="AI34" s="71"/>
      <c r="AJ34" s="345"/>
      <c r="AK34" s="71"/>
      <c r="AL34" s="226"/>
      <c r="AM34" s="71"/>
      <c r="AN34" s="71"/>
      <c r="AO34" s="345"/>
      <c r="AP34" s="71"/>
      <c r="AQ34" s="226"/>
      <c r="AR34" s="71"/>
      <c r="AS34" s="71"/>
      <c r="AT34" s="345"/>
      <c r="AU34" s="71"/>
      <c r="AV34" s="226"/>
      <c r="AW34" s="71"/>
      <c r="AX34" s="71"/>
      <c r="AY34" s="345"/>
      <c r="AZ34" s="71"/>
      <c r="BA34" s="226"/>
      <c r="BB34" s="71"/>
      <c r="BC34" s="71"/>
      <c r="BD34" s="345"/>
      <c r="BE34" s="71"/>
      <c r="BF34" s="226"/>
      <c r="BG34" s="71"/>
      <c r="BH34" s="71"/>
      <c r="BI34" s="345"/>
      <c r="BJ34" s="71"/>
      <c r="BK34" s="226"/>
      <c r="BL34" s="71"/>
      <c r="BM34" s="71"/>
      <c r="BN34" s="345"/>
      <c r="BO34" s="71"/>
      <c r="BP34" s="226"/>
      <c r="BQ34" s="71"/>
      <c r="BR34" s="71"/>
      <c r="BS34" s="345"/>
      <c r="BT34" s="71"/>
      <c r="BU34" s="226"/>
      <c r="BV34" s="71"/>
      <c r="BW34" s="71"/>
      <c r="BX34" s="345"/>
      <c r="BY34" s="71"/>
      <c r="BZ34" s="226"/>
      <c r="CA34" s="71"/>
      <c r="CB34" s="71"/>
      <c r="CC34" s="345"/>
      <c r="CD34" s="71"/>
      <c r="CE34" s="226"/>
      <c r="CF34" s="71"/>
      <c r="CG34" s="71"/>
      <c r="CH34" s="345"/>
      <c r="CI34" s="71"/>
      <c r="CJ34" s="226"/>
      <c r="CK34" s="71"/>
      <c r="CL34" s="71"/>
      <c r="CM34" s="345"/>
      <c r="CN34" s="71"/>
      <c r="CO34" s="226"/>
      <c r="CP34" s="71"/>
      <c r="CQ34" s="71"/>
      <c r="CR34" s="345"/>
      <c r="CS34" s="71"/>
      <c r="CT34" s="226"/>
      <c r="CU34" s="71"/>
      <c r="CV34" s="71"/>
      <c r="CW34" s="345"/>
      <c r="CX34" s="71"/>
      <c r="CY34" s="226"/>
      <c r="CZ34" s="71"/>
      <c r="DA34" s="71"/>
      <c r="DB34" s="345"/>
      <c r="DC34" s="71"/>
      <c r="DD34" s="226"/>
      <c r="DE34" s="71"/>
      <c r="DF34" s="71"/>
      <c r="DG34" s="345"/>
      <c r="DH34" s="71"/>
      <c r="DI34" s="226"/>
      <c r="DJ34" s="71"/>
      <c r="DK34" s="71"/>
      <c r="DL34" s="345"/>
      <c r="DM34" s="71"/>
      <c r="DN34" s="226"/>
      <c r="DO34" s="71"/>
      <c r="DP34" s="71"/>
      <c r="DQ34" s="345"/>
      <c r="DR34" s="71"/>
      <c r="DS34" s="226"/>
      <c r="DT34" s="71"/>
      <c r="DU34" s="71"/>
      <c r="DV34" s="345"/>
      <c r="DW34" s="71"/>
      <c r="DX34" s="226"/>
      <c r="DY34" s="71"/>
      <c r="DZ34" s="71"/>
      <c r="EA34" s="345"/>
      <c r="EB34" s="71"/>
      <c r="EC34" s="226"/>
      <c r="ED34" s="71"/>
      <c r="EE34" s="71"/>
      <c r="EF34" s="345"/>
      <c r="EG34" s="71"/>
      <c r="EH34" s="226"/>
      <c r="EI34" s="71"/>
      <c r="EJ34" s="71"/>
      <c r="EK34" s="345"/>
      <c r="EL34" s="71"/>
      <c r="EM34" s="226"/>
      <c r="EN34" s="71"/>
      <c r="EO34" s="71"/>
      <c r="EP34" s="345"/>
      <c r="EQ34" s="71"/>
      <c r="ER34" s="226"/>
      <c r="ES34" s="71"/>
      <c r="ET34" s="71"/>
      <c r="EU34" s="345"/>
      <c r="EV34" s="71"/>
      <c r="EW34" s="226"/>
      <c r="EX34" s="71"/>
      <c r="EY34" s="71"/>
      <c r="EZ34" s="345"/>
      <c r="FA34" s="71"/>
      <c r="FB34" s="226"/>
      <c r="FC34" s="71"/>
      <c r="FD34" s="71"/>
      <c r="FE34" s="345"/>
      <c r="FF34" s="71"/>
      <c r="FG34" s="226"/>
      <c r="FH34" s="71"/>
      <c r="FI34" s="71"/>
      <c r="FJ34" s="345"/>
      <c r="FK34" s="71"/>
      <c r="FL34" s="226"/>
      <c r="FM34" s="71"/>
      <c r="FN34" s="71"/>
      <c r="FO34" s="345"/>
      <c r="FP34" s="71"/>
      <c r="FQ34" s="226"/>
      <c r="FR34" s="71"/>
      <c r="FS34" s="71"/>
      <c r="FT34" s="345"/>
      <c r="FU34" s="71"/>
      <c r="FV34" s="226"/>
      <c r="FW34" s="71"/>
      <c r="FX34" s="71"/>
      <c r="FY34" s="345"/>
      <c r="FZ34" s="71"/>
      <c r="GA34" s="226"/>
      <c r="GB34" s="71"/>
      <c r="GC34" s="71"/>
      <c r="GD34" s="345"/>
      <c r="GE34" s="71"/>
      <c r="GF34" s="226"/>
      <c r="GG34" s="71"/>
      <c r="GH34" s="71"/>
      <c r="GI34" s="345"/>
      <c r="GJ34" s="71"/>
      <c r="GK34" s="226"/>
      <c r="GL34" s="71"/>
      <c r="GM34" s="71"/>
      <c r="GN34" s="345"/>
      <c r="GO34" s="71"/>
      <c r="GP34" s="226"/>
      <c r="GQ34" s="71"/>
      <c r="GR34" s="71"/>
      <c r="GS34" s="345"/>
      <c r="GT34" s="71"/>
      <c r="GU34" s="226"/>
      <c r="GV34" s="71"/>
      <c r="GW34" s="71"/>
      <c r="GX34" s="345"/>
      <c r="GY34" s="71"/>
      <c r="GZ34" s="226"/>
      <c r="HA34" s="71"/>
      <c r="HB34" s="71"/>
      <c r="HC34" s="345"/>
      <c r="HD34" s="71"/>
      <c r="HE34" s="226"/>
      <c r="HF34" s="71"/>
      <c r="HG34" s="71"/>
      <c r="HH34" s="345"/>
      <c r="HI34" s="71"/>
      <c r="HJ34" s="226"/>
      <c r="HK34" s="71"/>
      <c r="HL34" s="71"/>
      <c r="HM34" s="345"/>
      <c r="HN34" s="71"/>
      <c r="HO34" s="226"/>
      <c r="HP34" s="71"/>
      <c r="HQ34" s="71"/>
      <c r="HR34" s="345"/>
      <c r="HS34" s="71"/>
      <c r="HT34" s="226"/>
      <c r="HU34" s="71"/>
      <c r="HV34" s="71"/>
      <c r="HW34" s="345"/>
      <c r="HX34" s="71"/>
      <c r="HY34" s="226"/>
      <c r="HZ34" s="71"/>
      <c r="IA34" s="71"/>
      <c r="IB34" s="345"/>
      <c r="IC34" s="71"/>
      <c r="ID34" s="226"/>
      <c r="IE34" s="71"/>
      <c r="IF34" s="71"/>
      <c r="IG34" s="345"/>
      <c r="IH34" s="71"/>
      <c r="II34" s="226"/>
      <c r="IJ34" s="71"/>
      <c r="IK34" s="71"/>
      <c r="IL34" s="345"/>
      <c r="IM34" s="71"/>
      <c r="IN34" s="226"/>
      <c r="IO34" s="71"/>
      <c r="IP34" s="71"/>
      <c r="IQ34" s="345"/>
      <c r="IR34" s="71"/>
      <c r="IS34" s="226"/>
      <c r="IT34" s="71"/>
      <c r="IU34" s="71"/>
      <c r="IV34" s="345"/>
    </row>
    <row r="35" spans="1:256" x14ac:dyDescent="0.2">
      <c r="A35" s="345">
        <v>28580</v>
      </c>
      <c r="B35" s="71"/>
      <c r="C35" s="226"/>
      <c r="D35" s="71"/>
      <c r="E35" s="71"/>
      <c r="F35" s="345"/>
      <c r="G35" s="71"/>
      <c r="H35" s="226"/>
      <c r="I35" s="71"/>
      <c r="J35" s="71"/>
      <c r="K35" s="345"/>
      <c r="L35" s="71"/>
      <c r="M35" s="226"/>
      <c r="N35" s="71"/>
      <c r="O35" s="71"/>
      <c r="P35" s="345"/>
      <c r="Q35" s="71"/>
      <c r="R35" s="226"/>
      <c r="S35" s="71"/>
      <c r="T35" s="71"/>
      <c r="U35" s="345"/>
      <c r="V35" s="71"/>
      <c r="W35" s="226"/>
      <c r="X35" s="71"/>
      <c r="Y35" s="71"/>
      <c r="Z35" s="345"/>
      <c r="AA35" s="71"/>
      <c r="AB35" s="226"/>
      <c r="AC35" s="71"/>
      <c r="AD35" s="71"/>
      <c r="AE35" s="345"/>
      <c r="AF35" s="71"/>
      <c r="AG35" s="226"/>
      <c r="AH35" s="71"/>
      <c r="AI35" s="71"/>
      <c r="AJ35" s="345"/>
      <c r="AK35" s="71"/>
      <c r="AL35" s="226"/>
      <c r="AM35" s="71"/>
      <c r="AN35" s="71"/>
      <c r="AO35" s="345"/>
      <c r="AP35" s="71"/>
      <c r="AQ35" s="226"/>
      <c r="AR35" s="71"/>
      <c r="AS35" s="71"/>
      <c r="AT35" s="345"/>
      <c r="AU35" s="71"/>
      <c r="AV35" s="226"/>
      <c r="AW35" s="71"/>
      <c r="AX35" s="71"/>
      <c r="AY35" s="345"/>
      <c r="AZ35" s="71"/>
      <c r="BA35" s="226"/>
      <c r="BB35" s="71"/>
      <c r="BC35" s="71"/>
      <c r="BD35" s="345"/>
      <c r="BE35" s="71"/>
      <c r="BF35" s="226"/>
      <c r="BG35" s="71"/>
      <c r="BH35" s="71"/>
      <c r="BI35" s="345"/>
      <c r="BJ35" s="71"/>
      <c r="BK35" s="226"/>
      <c r="BL35" s="71"/>
      <c r="BM35" s="71"/>
      <c r="BN35" s="345"/>
      <c r="BO35" s="71"/>
      <c r="BP35" s="226"/>
      <c r="BQ35" s="71"/>
      <c r="BR35" s="71"/>
      <c r="BS35" s="345"/>
      <c r="BT35" s="71"/>
      <c r="BU35" s="226"/>
      <c r="BV35" s="71"/>
      <c r="BW35" s="71"/>
      <c r="BX35" s="345"/>
      <c r="BY35" s="71"/>
      <c r="BZ35" s="226"/>
      <c r="CA35" s="71"/>
      <c r="CB35" s="71"/>
      <c r="CC35" s="345"/>
      <c r="CD35" s="71"/>
      <c r="CE35" s="226"/>
      <c r="CF35" s="71"/>
      <c r="CG35" s="71"/>
      <c r="CH35" s="345"/>
      <c r="CI35" s="71"/>
      <c r="CJ35" s="226"/>
      <c r="CK35" s="71"/>
      <c r="CL35" s="71"/>
      <c r="CM35" s="345"/>
      <c r="CN35" s="71"/>
      <c r="CO35" s="226"/>
      <c r="CP35" s="71"/>
      <c r="CQ35" s="71"/>
      <c r="CR35" s="345"/>
      <c r="CS35" s="71"/>
      <c r="CT35" s="226"/>
      <c r="CU35" s="71"/>
      <c r="CV35" s="71"/>
      <c r="CW35" s="345"/>
      <c r="CX35" s="71"/>
      <c r="CY35" s="226"/>
      <c r="CZ35" s="71"/>
      <c r="DA35" s="71"/>
      <c r="DB35" s="345"/>
      <c r="DC35" s="71"/>
      <c r="DD35" s="226"/>
      <c r="DE35" s="71"/>
      <c r="DF35" s="71"/>
      <c r="DG35" s="345"/>
      <c r="DH35" s="71"/>
      <c r="DI35" s="226"/>
      <c r="DJ35" s="71"/>
      <c r="DK35" s="71"/>
      <c r="DL35" s="345"/>
      <c r="DM35" s="71"/>
      <c r="DN35" s="226"/>
      <c r="DO35" s="71"/>
      <c r="DP35" s="71"/>
      <c r="DQ35" s="345"/>
      <c r="DR35" s="71"/>
      <c r="DS35" s="226"/>
      <c r="DT35" s="71"/>
      <c r="DU35" s="71"/>
      <c r="DV35" s="345"/>
      <c r="DW35" s="71"/>
      <c r="DX35" s="226"/>
      <c r="DY35" s="71"/>
      <c r="DZ35" s="71"/>
      <c r="EA35" s="345"/>
      <c r="EB35" s="71"/>
      <c r="EC35" s="226"/>
      <c r="ED35" s="71"/>
      <c r="EE35" s="71"/>
      <c r="EF35" s="345"/>
      <c r="EG35" s="71"/>
      <c r="EH35" s="226"/>
      <c r="EI35" s="71"/>
      <c r="EJ35" s="71"/>
      <c r="EK35" s="345"/>
      <c r="EL35" s="71"/>
      <c r="EM35" s="226"/>
      <c r="EN35" s="71"/>
      <c r="EO35" s="71"/>
      <c r="EP35" s="345"/>
      <c r="EQ35" s="71"/>
      <c r="ER35" s="226"/>
      <c r="ES35" s="71"/>
      <c r="ET35" s="71"/>
      <c r="EU35" s="345"/>
      <c r="EV35" s="71"/>
      <c r="EW35" s="226"/>
      <c r="EX35" s="71"/>
      <c r="EY35" s="71"/>
      <c r="EZ35" s="345"/>
      <c r="FA35" s="71"/>
      <c r="FB35" s="226"/>
      <c r="FC35" s="71"/>
      <c r="FD35" s="71"/>
      <c r="FE35" s="345"/>
      <c r="FF35" s="71"/>
      <c r="FG35" s="226"/>
      <c r="FH35" s="71"/>
      <c r="FI35" s="71"/>
      <c r="FJ35" s="345"/>
      <c r="FK35" s="71"/>
      <c r="FL35" s="226"/>
      <c r="FM35" s="71"/>
      <c r="FN35" s="71"/>
      <c r="FO35" s="345"/>
      <c r="FP35" s="71"/>
      <c r="FQ35" s="226"/>
      <c r="FR35" s="71"/>
      <c r="FS35" s="71"/>
      <c r="FT35" s="345"/>
      <c r="FU35" s="71"/>
      <c r="FV35" s="226"/>
      <c r="FW35" s="71"/>
      <c r="FX35" s="71"/>
      <c r="FY35" s="345"/>
      <c r="FZ35" s="71"/>
      <c r="GA35" s="226"/>
      <c r="GB35" s="71"/>
      <c r="GC35" s="71"/>
      <c r="GD35" s="345"/>
      <c r="GE35" s="71"/>
      <c r="GF35" s="226"/>
      <c r="GG35" s="71"/>
      <c r="GH35" s="71"/>
      <c r="GI35" s="345"/>
      <c r="GJ35" s="71"/>
      <c r="GK35" s="226"/>
      <c r="GL35" s="71"/>
      <c r="GM35" s="71"/>
      <c r="GN35" s="345"/>
      <c r="GO35" s="71"/>
      <c r="GP35" s="226"/>
      <c r="GQ35" s="71"/>
      <c r="GR35" s="71"/>
      <c r="GS35" s="345"/>
      <c r="GT35" s="71"/>
      <c r="GU35" s="226"/>
      <c r="GV35" s="71"/>
      <c r="GW35" s="71"/>
      <c r="GX35" s="345"/>
      <c r="GY35" s="71"/>
      <c r="GZ35" s="226"/>
      <c r="HA35" s="71"/>
      <c r="HB35" s="71"/>
      <c r="HC35" s="345"/>
      <c r="HD35" s="71"/>
      <c r="HE35" s="226"/>
      <c r="HF35" s="71"/>
      <c r="HG35" s="71"/>
      <c r="HH35" s="345"/>
      <c r="HI35" s="71"/>
      <c r="HJ35" s="226"/>
      <c r="HK35" s="71"/>
      <c r="HL35" s="71"/>
      <c r="HM35" s="345"/>
      <c r="HN35" s="71"/>
      <c r="HO35" s="226"/>
      <c r="HP35" s="71"/>
      <c r="HQ35" s="71"/>
      <c r="HR35" s="345"/>
      <c r="HS35" s="71"/>
      <c r="HT35" s="226"/>
      <c r="HU35" s="71"/>
      <c r="HV35" s="71"/>
      <c r="HW35" s="345"/>
      <c r="HX35" s="71"/>
      <c r="HY35" s="226"/>
      <c r="HZ35" s="71"/>
      <c r="IA35" s="71"/>
      <c r="IB35" s="345"/>
      <c r="IC35" s="71"/>
      <c r="ID35" s="226"/>
      <c r="IE35" s="71"/>
      <c r="IF35" s="71"/>
      <c r="IG35" s="345"/>
      <c r="IH35" s="71"/>
      <c r="II35" s="226"/>
      <c r="IJ35" s="71"/>
      <c r="IK35" s="71"/>
      <c r="IL35" s="345"/>
      <c r="IM35" s="71"/>
      <c r="IN35" s="226"/>
      <c r="IO35" s="71"/>
      <c r="IP35" s="71"/>
      <c r="IQ35" s="345"/>
      <c r="IR35" s="71"/>
      <c r="IS35" s="226"/>
      <c r="IT35" s="71"/>
      <c r="IU35" s="71"/>
      <c r="IV35" s="345"/>
    </row>
    <row r="36" spans="1:256" x14ac:dyDescent="0.2">
      <c r="A36" s="345">
        <v>28610</v>
      </c>
      <c r="B36" s="71"/>
      <c r="C36" s="226"/>
      <c r="D36" s="71"/>
      <c r="E36" s="71"/>
      <c r="F36" s="345"/>
      <c r="G36" s="71"/>
      <c r="H36" s="226"/>
      <c r="I36" s="71"/>
      <c r="J36" s="71"/>
      <c r="K36" s="345"/>
      <c r="L36" s="71"/>
      <c r="M36" s="226"/>
      <c r="N36" s="71"/>
      <c r="O36" s="71"/>
      <c r="P36" s="345"/>
      <c r="Q36" s="71"/>
      <c r="R36" s="226"/>
      <c r="S36" s="71"/>
      <c r="T36" s="71"/>
      <c r="U36" s="345"/>
      <c r="V36" s="71"/>
      <c r="W36" s="226"/>
      <c r="X36" s="71"/>
      <c r="Y36" s="71"/>
      <c r="Z36" s="345"/>
      <c r="AA36" s="71"/>
      <c r="AB36" s="226"/>
      <c r="AC36" s="71"/>
      <c r="AD36" s="71"/>
      <c r="AE36" s="345"/>
      <c r="AF36" s="71"/>
      <c r="AG36" s="226"/>
      <c r="AH36" s="71"/>
      <c r="AI36" s="71"/>
      <c r="AJ36" s="345"/>
      <c r="AK36" s="71"/>
      <c r="AL36" s="226"/>
      <c r="AM36" s="71"/>
      <c r="AN36" s="71"/>
      <c r="AO36" s="345"/>
      <c r="AP36" s="71"/>
      <c r="AQ36" s="226"/>
      <c r="AR36" s="71"/>
      <c r="AS36" s="71"/>
      <c r="AT36" s="345"/>
      <c r="AU36" s="71"/>
      <c r="AV36" s="226"/>
      <c r="AW36" s="71"/>
      <c r="AX36" s="71"/>
      <c r="AY36" s="345"/>
      <c r="AZ36" s="71"/>
      <c r="BA36" s="226"/>
      <c r="BB36" s="71"/>
      <c r="BC36" s="71"/>
      <c r="BD36" s="345"/>
      <c r="BE36" s="71"/>
      <c r="BF36" s="226"/>
      <c r="BG36" s="71"/>
      <c r="BH36" s="71"/>
      <c r="BI36" s="345"/>
      <c r="BJ36" s="71"/>
      <c r="BK36" s="226"/>
      <c r="BL36" s="71"/>
      <c r="BM36" s="71"/>
      <c r="BN36" s="345"/>
      <c r="BO36" s="71"/>
      <c r="BP36" s="226"/>
      <c r="BQ36" s="71"/>
      <c r="BR36" s="71"/>
      <c r="BS36" s="345"/>
      <c r="BT36" s="71"/>
      <c r="BU36" s="226"/>
      <c r="BV36" s="71"/>
      <c r="BW36" s="71"/>
      <c r="BX36" s="345"/>
      <c r="BY36" s="71"/>
      <c r="BZ36" s="226"/>
      <c r="CA36" s="71"/>
      <c r="CB36" s="71"/>
      <c r="CC36" s="345"/>
      <c r="CD36" s="71"/>
      <c r="CE36" s="226"/>
      <c r="CF36" s="71"/>
      <c r="CG36" s="71"/>
      <c r="CH36" s="345"/>
      <c r="CI36" s="71"/>
      <c r="CJ36" s="226"/>
      <c r="CK36" s="71"/>
      <c r="CL36" s="71"/>
      <c r="CM36" s="345"/>
      <c r="CN36" s="71"/>
      <c r="CO36" s="226"/>
      <c r="CP36" s="71"/>
      <c r="CQ36" s="71"/>
      <c r="CR36" s="345"/>
      <c r="CS36" s="71"/>
      <c r="CT36" s="226"/>
      <c r="CU36" s="71"/>
      <c r="CV36" s="71"/>
      <c r="CW36" s="345"/>
      <c r="CX36" s="71"/>
      <c r="CY36" s="226"/>
      <c r="CZ36" s="71"/>
      <c r="DA36" s="71"/>
      <c r="DB36" s="345"/>
      <c r="DC36" s="71"/>
      <c r="DD36" s="226"/>
      <c r="DE36" s="71"/>
      <c r="DF36" s="71"/>
      <c r="DG36" s="345"/>
      <c r="DH36" s="71"/>
      <c r="DI36" s="226"/>
      <c r="DJ36" s="71"/>
      <c r="DK36" s="71"/>
      <c r="DL36" s="345"/>
      <c r="DM36" s="71"/>
      <c r="DN36" s="226"/>
      <c r="DO36" s="71"/>
      <c r="DP36" s="71"/>
      <c r="DQ36" s="345"/>
      <c r="DR36" s="71"/>
      <c r="DS36" s="226"/>
      <c r="DT36" s="71"/>
      <c r="DU36" s="71"/>
      <c r="DV36" s="345"/>
      <c r="DW36" s="71"/>
      <c r="DX36" s="226"/>
      <c r="DY36" s="71"/>
      <c r="DZ36" s="71"/>
      <c r="EA36" s="345"/>
      <c r="EB36" s="71"/>
      <c r="EC36" s="226"/>
      <c r="ED36" s="71"/>
      <c r="EE36" s="71"/>
      <c r="EF36" s="345"/>
      <c r="EG36" s="71"/>
      <c r="EH36" s="226"/>
      <c r="EI36" s="71"/>
      <c r="EJ36" s="71"/>
      <c r="EK36" s="345"/>
      <c r="EL36" s="71"/>
      <c r="EM36" s="226"/>
      <c r="EN36" s="71"/>
      <c r="EO36" s="71"/>
      <c r="EP36" s="345"/>
      <c r="EQ36" s="71"/>
      <c r="ER36" s="226"/>
      <c r="ES36" s="71"/>
      <c r="ET36" s="71"/>
      <c r="EU36" s="345"/>
      <c r="EV36" s="71"/>
      <c r="EW36" s="226"/>
      <c r="EX36" s="71"/>
      <c r="EY36" s="71"/>
      <c r="EZ36" s="345"/>
      <c r="FA36" s="71"/>
      <c r="FB36" s="226"/>
      <c r="FC36" s="71"/>
      <c r="FD36" s="71"/>
      <c r="FE36" s="345"/>
      <c r="FF36" s="71"/>
      <c r="FG36" s="226"/>
      <c r="FH36" s="71"/>
      <c r="FI36" s="71"/>
      <c r="FJ36" s="345"/>
      <c r="FK36" s="71"/>
      <c r="FL36" s="226"/>
      <c r="FM36" s="71"/>
      <c r="FN36" s="71"/>
      <c r="FO36" s="345"/>
      <c r="FP36" s="71"/>
      <c r="FQ36" s="226"/>
      <c r="FR36" s="71"/>
      <c r="FS36" s="71"/>
      <c r="FT36" s="345"/>
      <c r="FU36" s="71"/>
      <c r="FV36" s="226"/>
      <c r="FW36" s="71"/>
      <c r="FX36" s="71"/>
      <c r="FY36" s="345"/>
      <c r="FZ36" s="71"/>
      <c r="GA36" s="226"/>
      <c r="GB36" s="71"/>
      <c r="GC36" s="71"/>
      <c r="GD36" s="345"/>
      <c r="GE36" s="71"/>
      <c r="GF36" s="226"/>
      <c r="GG36" s="71"/>
      <c r="GH36" s="71"/>
      <c r="GI36" s="345"/>
      <c r="GJ36" s="71"/>
      <c r="GK36" s="226"/>
      <c r="GL36" s="71"/>
      <c r="GM36" s="71"/>
      <c r="GN36" s="345"/>
      <c r="GO36" s="71"/>
      <c r="GP36" s="226"/>
      <c r="GQ36" s="71"/>
      <c r="GR36" s="71"/>
      <c r="GS36" s="345"/>
      <c r="GT36" s="71"/>
      <c r="GU36" s="226"/>
      <c r="GV36" s="71"/>
      <c r="GW36" s="71"/>
      <c r="GX36" s="345"/>
      <c r="GY36" s="71"/>
      <c r="GZ36" s="226"/>
      <c r="HA36" s="71"/>
      <c r="HB36" s="71"/>
      <c r="HC36" s="345"/>
      <c r="HD36" s="71"/>
      <c r="HE36" s="226"/>
      <c r="HF36" s="71"/>
      <c r="HG36" s="71"/>
      <c r="HH36" s="345"/>
      <c r="HI36" s="71"/>
      <c r="HJ36" s="226"/>
      <c r="HK36" s="71"/>
      <c r="HL36" s="71"/>
      <c r="HM36" s="345"/>
      <c r="HN36" s="71"/>
      <c r="HO36" s="226"/>
      <c r="HP36" s="71"/>
      <c r="HQ36" s="71"/>
      <c r="HR36" s="345"/>
      <c r="HS36" s="71"/>
      <c r="HT36" s="226"/>
      <c r="HU36" s="71"/>
      <c r="HV36" s="71"/>
      <c r="HW36" s="345"/>
      <c r="HX36" s="71"/>
      <c r="HY36" s="226"/>
      <c r="HZ36" s="71"/>
      <c r="IA36" s="71"/>
      <c r="IB36" s="345"/>
      <c r="IC36" s="71"/>
      <c r="ID36" s="226"/>
      <c r="IE36" s="71"/>
      <c r="IF36" s="71"/>
      <c r="IG36" s="345"/>
      <c r="IH36" s="71"/>
      <c r="II36" s="226"/>
      <c r="IJ36" s="71"/>
      <c r="IK36" s="71"/>
      <c r="IL36" s="345"/>
      <c r="IM36" s="71"/>
      <c r="IN36" s="226"/>
      <c r="IO36" s="71"/>
      <c r="IP36" s="71"/>
      <c r="IQ36" s="345"/>
      <c r="IR36" s="71"/>
      <c r="IS36" s="226"/>
      <c r="IT36" s="71"/>
      <c r="IU36" s="71"/>
      <c r="IV36" s="345"/>
    </row>
    <row r="37" spans="1:256" x14ac:dyDescent="0.2">
      <c r="A37" s="345">
        <v>28641</v>
      </c>
      <c r="B37" s="71"/>
      <c r="C37" s="226"/>
      <c r="D37" s="71"/>
      <c r="E37" s="71"/>
      <c r="F37" s="345"/>
      <c r="G37" s="71"/>
      <c r="H37" s="226"/>
      <c r="I37" s="71"/>
      <c r="J37" s="71"/>
      <c r="K37" s="345"/>
      <c r="L37" s="71"/>
      <c r="M37" s="226"/>
      <c r="N37" s="71"/>
      <c r="O37" s="71"/>
      <c r="P37" s="345"/>
      <c r="Q37" s="71"/>
      <c r="R37" s="226"/>
      <c r="S37" s="71"/>
      <c r="T37" s="71"/>
      <c r="U37" s="345"/>
      <c r="V37" s="71"/>
      <c r="W37" s="226"/>
      <c r="X37" s="71"/>
      <c r="Y37" s="71"/>
      <c r="Z37" s="345"/>
      <c r="AA37" s="71"/>
      <c r="AB37" s="226"/>
      <c r="AC37" s="71"/>
      <c r="AD37" s="71"/>
      <c r="AE37" s="345"/>
      <c r="AF37" s="71"/>
      <c r="AG37" s="226"/>
      <c r="AH37" s="71"/>
      <c r="AI37" s="71"/>
      <c r="AJ37" s="345"/>
      <c r="AK37" s="71"/>
      <c r="AL37" s="226"/>
      <c r="AM37" s="71"/>
      <c r="AN37" s="71"/>
      <c r="AO37" s="345"/>
      <c r="AP37" s="71"/>
      <c r="AQ37" s="226"/>
      <c r="AR37" s="71"/>
      <c r="AS37" s="71"/>
      <c r="AT37" s="345"/>
      <c r="AU37" s="71"/>
      <c r="AV37" s="226"/>
      <c r="AW37" s="71"/>
      <c r="AX37" s="71"/>
      <c r="AY37" s="345"/>
      <c r="AZ37" s="71"/>
      <c r="BA37" s="226"/>
      <c r="BB37" s="71"/>
      <c r="BC37" s="71"/>
      <c r="BD37" s="345"/>
      <c r="BE37" s="71"/>
      <c r="BF37" s="226"/>
      <c r="BG37" s="71"/>
      <c r="BH37" s="71"/>
      <c r="BI37" s="345"/>
      <c r="BJ37" s="71"/>
      <c r="BK37" s="226"/>
      <c r="BL37" s="71"/>
      <c r="BM37" s="71"/>
      <c r="BN37" s="345"/>
      <c r="BO37" s="71"/>
      <c r="BP37" s="226"/>
      <c r="BQ37" s="71"/>
      <c r="BR37" s="71"/>
      <c r="BS37" s="345"/>
      <c r="BT37" s="71"/>
      <c r="BU37" s="226"/>
      <c r="BV37" s="71"/>
      <c r="BW37" s="71"/>
      <c r="BX37" s="345"/>
      <c r="BY37" s="71"/>
      <c r="BZ37" s="226"/>
      <c r="CA37" s="71"/>
      <c r="CB37" s="71"/>
      <c r="CC37" s="345"/>
      <c r="CD37" s="71"/>
      <c r="CE37" s="226"/>
      <c r="CF37" s="71"/>
      <c r="CG37" s="71"/>
      <c r="CH37" s="345"/>
      <c r="CI37" s="71"/>
      <c r="CJ37" s="226"/>
      <c r="CK37" s="71"/>
      <c r="CL37" s="71"/>
      <c r="CM37" s="345"/>
      <c r="CN37" s="71"/>
      <c r="CO37" s="226"/>
      <c r="CP37" s="71"/>
      <c r="CQ37" s="71"/>
      <c r="CR37" s="345"/>
      <c r="CS37" s="71"/>
      <c r="CT37" s="226"/>
      <c r="CU37" s="71"/>
      <c r="CV37" s="71"/>
      <c r="CW37" s="345"/>
      <c r="CX37" s="71"/>
      <c r="CY37" s="226"/>
      <c r="CZ37" s="71"/>
      <c r="DA37" s="71"/>
      <c r="DB37" s="345"/>
      <c r="DC37" s="71"/>
      <c r="DD37" s="226"/>
      <c r="DE37" s="71"/>
      <c r="DF37" s="71"/>
      <c r="DG37" s="345"/>
      <c r="DH37" s="71"/>
      <c r="DI37" s="226"/>
      <c r="DJ37" s="71"/>
      <c r="DK37" s="71"/>
      <c r="DL37" s="345"/>
      <c r="DM37" s="71"/>
      <c r="DN37" s="226"/>
      <c r="DO37" s="71"/>
      <c r="DP37" s="71"/>
      <c r="DQ37" s="345"/>
      <c r="DR37" s="71"/>
      <c r="DS37" s="226"/>
      <c r="DT37" s="71"/>
      <c r="DU37" s="71"/>
      <c r="DV37" s="345"/>
      <c r="DW37" s="71"/>
      <c r="DX37" s="226"/>
      <c r="DY37" s="71"/>
      <c r="DZ37" s="71"/>
      <c r="EA37" s="345"/>
      <c r="EB37" s="71"/>
      <c r="EC37" s="226"/>
      <c r="ED37" s="71"/>
      <c r="EE37" s="71"/>
      <c r="EF37" s="345"/>
      <c r="EG37" s="71"/>
      <c r="EH37" s="226"/>
      <c r="EI37" s="71"/>
      <c r="EJ37" s="71"/>
      <c r="EK37" s="345"/>
      <c r="EL37" s="71"/>
      <c r="EM37" s="226"/>
      <c r="EN37" s="71"/>
      <c r="EO37" s="71"/>
      <c r="EP37" s="345"/>
      <c r="EQ37" s="71"/>
      <c r="ER37" s="226"/>
      <c r="ES37" s="71"/>
      <c r="ET37" s="71"/>
      <c r="EU37" s="345"/>
      <c r="EV37" s="71"/>
      <c r="EW37" s="226"/>
      <c r="EX37" s="71"/>
      <c r="EY37" s="71"/>
      <c r="EZ37" s="345"/>
      <c r="FA37" s="71"/>
      <c r="FB37" s="226"/>
      <c r="FC37" s="71"/>
      <c r="FD37" s="71"/>
      <c r="FE37" s="345"/>
      <c r="FF37" s="71"/>
      <c r="FG37" s="226"/>
      <c r="FH37" s="71"/>
      <c r="FI37" s="71"/>
      <c r="FJ37" s="345"/>
      <c r="FK37" s="71"/>
      <c r="FL37" s="226"/>
      <c r="FM37" s="71"/>
      <c r="FN37" s="71"/>
      <c r="FO37" s="345"/>
      <c r="FP37" s="71"/>
      <c r="FQ37" s="226"/>
      <c r="FR37" s="71"/>
      <c r="FS37" s="71"/>
      <c r="FT37" s="345"/>
      <c r="FU37" s="71"/>
      <c r="FV37" s="226"/>
      <c r="FW37" s="71"/>
      <c r="FX37" s="71"/>
      <c r="FY37" s="345"/>
      <c r="FZ37" s="71"/>
      <c r="GA37" s="226"/>
      <c r="GB37" s="71"/>
      <c r="GC37" s="71"/>
      <c r="GD37" s="345"/>
      <c r="GE37" s="71"/>
      <c r="GF37" s="226"/>
      <c r="GG37" s="71"/>
      <c r="GH37" s="71"/>
      <c r="GI37" s="345"/>
      <c r="GJ37" s="71"/>
      <c r="GK37" s="226"/>
      <c r="GL37" s="71"/>
      <c r="GM37" s="71"/>
      <c r="GN37" s="345"/>
      <c r="GO37" s="71"/>
      <c r="GP37" s="226"/>
      <c r="GQ37" s="71"/>
      <c r="GR37" s="71"/>
      <c r="GS37" s="345"/>
      <c r="GT37" s="71"/>
      <c r="GU37" s="226"/>
      <c r="GV37" s="71"/>
      <c r="GW37" s="71"/>
      <c r="GX37" s="345"/>
      <c r="GY37" s="71"/>
      <c r="GZ37" s="226"/>
      <c r="HA37" s="71"/>
      <c r="HB37" s="71"/>
      <c r="HC37" s="345"/>
      <c r="HD37" s="71"/>
      <c r="HE37" s="226"/>
      <c r="HF37" s="71"/>
      <c r="HG37" s="71"/>
      <c r="HH37" s="345"/>
      <c r="HI37" s="71"/>
      <c r="HJ37" s="226"/>
      <c r="HK37" s="71"/>
      <c r="HL37" s="71"/>
      <c r="HM37" s="345"/>
      <c r="HN37" s="71"/>
      <c r="HO37" s="226"/>
      <c r="HP37" s="71"/>
      <c r="HQ37" s="71"/>
      <c r="HR37" s="345"/>
      <c r="HS37" s="71"/>
      <c r="HT37" s="226"/>
      <c r="HU37" s="71"/>
      <c r="HV37" s="71"/>
      <c r="HW37" s="345"/>
      <c r="HX37" s="71"/>
      <c r="HY37" s="226"/>
      <c r="HZ37" s="71"/>
      <c r="IA37" s="71"/>
      <c r="IB37" s="345"/>
      <c r="IC37" s="71"/>
      <c r="ID37" s="226"/>
      <c r="IE37" s="71"/>
      <c r="IF37" s="71"/>
      <c r="IG37" s="345"/>
      <c r="IH37" s="71"/>
      <c r="II37" s="226"/>
      <c r="IJ37" s="71"/>
      <c r="IK37" s="71"/>
      <c r="IL37" s="345"/>
      <c r="IM37" s="71"/>
      <c r="IN37" s="226"/>
      <c r="IO37" s="71"/>
      <c r="IP37" s="71"/>
      <c r="IQ37" s="345"/>
      <c r="IR37" s="71"/>
      <c r="IS37" s="226"/>
      <c r="IT37" s="71"/>
      <c r="IU37" s="71"/>
      <c r="IV37" s="345"/>
    </row>
    <row r="38" spans="1:256" x14ac:dyDescent="0.2">
      <c r="A38" s="345">
        <v>28671</v>
      </c>
      <c r="B38" s="71"/>
      <c r="C38" s="226"/>
      <c r="D38" s="71"/>
      <c r="E38" s="71"/>
      <c r="F38" s="345"/>
      <c r="G38" s="71"/>
      <c r="H38" s="226"/>
      <c r="I38" s="71"/>
      <c r="J38" s="71"/>
      <c r="K38" s="345"/>
      <c r="L38" s="71"/>
      <c r="M38" s="226"/>
      <c r="N38" s="71"/>
      <c r="O38" s="71"/>
      <c r="P38" s="345"/>
      <c r="Q38" s="71"/>
      <c r="R38" s="226"/>
      <c r="S38" s="71"/>
      <c r="T38" s="71"/>
      <c r="U38" s="345"/>
      <c r="V38" s="71"/>
      <c r="W38" s="226"/>
      <c r="X38" s="71"/>
      <c r="Y38" s="71"/>
      <c r="Z38" s="345"/>
      <c r="AA38" s="71"/>
      <c r="AB38" s="226"/>
      <c r="AC38" s="71"/>
      <c r="AD38" s="71"/>
      <c r="AE38" s="345"/>
      <c r="AF38" s="71"/>
      <c r="AG38" s="226"/>
      <c r="AH38" s="71"/>
      <c r="AI38" s="71"/>
      <c r="AJ38" s="345"/>
      <c r="AK38" s="71"/>
      <c r="AL38" s="226"/>
      <c r="AM38" s="71"/>
      <c r="AN38" s="71"/>
      <c r="AO38" s="345"/>
      <c r="AP38" s="71"/>
      <c r="AQ38" s="226"/>
      <c r="AR38" s="71"/>
      <c r="AS38" s="71"/>
      <c r="AT38" s="345"/>
      <c r="AU38" s="71"/>
      <c r="AV38" s="226"/>
      <c r="AW38" s="71"/>
      <c r="AX38" s="71"/>
      <c r="AY38" s="345"/>
      <c r="AZ38" s="71"/>
      <c r="BA38" s="226"/>
      <c r="BB38" s="71"/>
      <c r="BC38" s="71"/>
      <c r="BD38" s="345"/>
      <c r="BE38" s="71"/>
      <c r="BF38" s="226"/>
      <c r="BG38" s="71"/>
      <c r="BH38" s="71"/>
      <c r="BI38" s="345"/>
      <c r="BJ38" s="71"/>
      <c r="BK38" s="226"/>
      <c r="BL38" s="71"/>
      <c r="BM38" s="71"/>
      <c r="BN38" s="345"/>
      <c r="BO38" s="71"/>
      <c r="BP38" s="226"/>
      <c r="BQ38" s="71"/>
      <c r="BR38" s="71"/>
      <c r="BS38" s="345"/>
      <c r="BT38" s="71"/>
      <c r="BU38" s="226"/>
      <c r="BV38" s="71"/>
      <c r="BW38" s="71"/>
      <c r="BX38" s="345"/>
      <c r="BY38" s="71"/>
      <c r="BZ38" s="226"/>
      <c r="CA38" s="71"/>
      <c r="CB38" s="71"/>
      <c r="CC38" s="345"/>
      <c r="CD38" s="71"/>
      <c r="CE38" s="226"/>
      <c r="CF38" s="71"/>
      <c r="CG38" s="71"/>
      <c r="CH38" s="345"/>
      <c r="CI38" s="71"/>
      <c r="CJ38" s="226"/>
      <c r="CK38" s="71"/>
      <c r="CL38" s="71"/>
      <c r="CM38" s="345"/>
      <c r="CN38" s="71"/>
      <c r="CO38" s="226"/>
      <c r="CP38" s="71"/>
      <c r="CQ38" s="71"/>
      <c r="CR38" s="345"/>
      <c r="CS38" s="71"/>
      <c r="CT38" s="226"/>
      <c r="CU38" s="71"/>
      <c r="CV38" s="71"/>
      <c r="CW38" s="345"/>
      <c r="CX38" s="71"/>
      <c r="CY38" s="226"/>
      <c r="CZ38" s="71"/>
      <c r="DA38" s="71"/>
      <c r="DB38" s="345"/>
      <c r="DC38" s="71"/>
      <c r="DD38" s="226"/>
      <c r="DE38" s="71"/>
      <c r="DF38" s="71"/>
      <c r="DG38" s="345"/>
      <c r="DH38" s="71"/>
      <c r="DI38" s="226"/>
      <c r="DJ38" s="71"/>
      <c r="DK38" s="71"/>
      <c r="DL38" s="345"/>
      <c r="DM38" s="71"/>
      <c r="DN38" s="226"/>
      <c r="DO38" s="71"/>
      <c r="DP38" s="71"/>
      <c r="DQ38" s="345"/>
      <c r="DR38" s="71"/>
      <c r="DS38" s="226"/>
      <c r="DT38" s="71"/>
      <c r="DU38" s="71"/>
      <c r="DV38" s="345"/>
      <c r="DW38" s="71"/>
      <c r="DX38" s="226"/>
      <c r="DY38" s="71"/>
      <c r="DZ38" s="71"/>
      <c r="EA38" s="345"/>
      <c r="EB38" s="71"/>
      <c r="EC38" s="226"/>
      <c r="ED38" s="71"/>
      <c r="EE38" s="71"/>
      <c r="EF38" s="345"/>
      <c r="EG38" s="71"/>
      <c r="EH38" s="226"/>
      <c r="EI38" s="71"/>
      <c r="EJ38" s="71"/>
      <c r="EK38" s="345"/>
      <c r="EL38" s="71"/>
      <c r="EM38" s="226"/>
      <c r="EN38" s="71"/>
      <c r="EO38" s="71"/>
      <c r="EP38" s="345"/>
      <c r="EQ38" s="71"/>
      <c r="ER38" s="226"/>
      <c r="ES38" s="71"/>
      <c r="ET38" s="71"/>
      <c r="EU38" s="345"/>
      <c r="EV38" s="71"/>
      <c r="EW38" s="226"/>
      <c r="EX38" s="71"/>
      <c r="EY38" s="71"/>
      <c r="EZ38" s="345"/>
      <c r="FA38" s="71"/>
      <c r="FB38" s="226"/>
      <c r="FC38" s="71"/>
      <c r="FD38" s="71"/>
      <c r="FE38" s="345"/>
      <c r="FF38" s="71"/>
      <c r="FG38" s="226"/>
      <c r="FH38" s="71"/>
      <c r="FI38" s="71"/>
      <c r="FJ38" s="345"/>
      <c r="FK38" s="71"/>
      <c r="FL38" s="226"/>
      <c r="FM38" s="71"/>
      <c r="FN38" s="71"/>
      <c r="FO38" s="345"/>
      <c r="FP38" s="71"/>
      <c r="FQ38" s="226"/>
      <c r="FR38" s="71"/>
      <c r="FS38" s="71"/>
      <c r="FT38" s="345"/>
      <c r="FU38" s="71"/>
      <c r="FV38" s="226"/>
      <c r="FW38" s="71"/>
      <c r="FX38" s="71"/>
      <c r="FY38" s="345"/>
      <c r="FZ38" s="71"/>
      <c r="GA38" s="226"/>
      <c r="GB38" s="71"/>
      <c r="GC38" s="71"/>
      <c r="GD38" s="345"/>
      <c r="GE38" s="71"/>
      <c r="GF38" s="226"/>
      <c r="GG38" s="71"/>
      <c r="GH38" s="71"/>
      <c r="GI38" s="345"/>
      <c r="GJ38" s="71"/>
      <c r="GK38" s="226"/>
      <c r="GL38" s="71"/>
      <c r="GM38" s="71"/>
      <c r="GN38" s="345"/>
      <c r="GO38" s="71"/>
      <c r="GP38" s="226"/>
      <c r="GQ38" s="71"/>
      <c r="GR38" s="71"/>
      <c r="GS38" s="345"/>
      <c r="GT38" s="71"/>
      <c r="GU38" s="226"/>
      <c r="GV38" s="71"/>
      <c r="GW38" s="71"/>
      <c r="GX38" s="345"/>
      <c r="GY38" s="71"/>
      <c r="GZ38" s="226"/>
      <c r="HA38" s="71"/>
      <c r="HB38" s="71"/>
      <c r="HC38" s="345"/>
      <c r="HD38" s="71"/>
      <c r="HE38" s="226"/>
      <c r="HF38" s="71"/>
      <c r="HG38" s="71"/>
      <c r="HH38" s="345"/>
      <c r="HI38" s="71"/>
      <c r="HJ38" s="226"/>
      <c r="HK38" s="71"/>
      <c r="HL38" s="71"/>
      <c r="HM38" s="345"/>
      <c r="HN38" s="71"/>
      <c r="HO38" s="226"/>
      <c r="HP38" s="71"/>
      <c r="HQ38" s="71"/>
      <c r="HR38" s="345"/>
      <c r="HS38" s="71"/>
      <c r="HT38" s="226"/>
      <c r="HU38" s="71"/>
      <c r="HV38" s="71"/>
      <c r="HW38" s="345"/>
      <c r="HX38" s="71"/>
      <c r="HY38" s="226"/>
      <c r="HZ38" s="71"/>
      <c r="IA38" s="71"/>
      <c r="IB38" s="345"/>
      <c r="IC38" s="71"/>
      <c r="ID38" s="226"/>
      <c r="IE38" s="71"/>
      <c r="IF38" s="71"/>
      <c r="IG38" s="345"/>
      <c r="IH38" s="71"/>
      <c r="II38" s="226"/>
      <c r="IJ38" s="71"/>
      <c r="IK38" s="71"/>
      <c r="IL38" s="345"/>
      <c r="IM38" s="71"/>
      <c r="IN38" s="226"/>
      <c r="IO38" s="71"/>
      <c r="IP38" s="71"/>
      <c r="IQ38" s="345"/>
      <c r="IR38" s="71"/>
      <c r="IS38" s="226"/>
      <c r="IT38" s="71"/>
      <c r="IU38" s="71"/>
      <c r="IV38" s="345"/>
    </row>
    <row r="39" spans="1:256" x14ac:dyDescent="0.2">
      <c r="A39" s="345">
        <v>28702</v>
      </c>
      <c r="B39" s="71"/>
      <c r="C39" s="226"/>
      <c r="D39" s="71"/>
      <c r="E39" s="71"/>
      <c r="F39" s="345"/>
      <c r="G39" s="71"/>
      <c r="H39" s="226"/>
      <c r="I39" s="71"/>
      <c r="J39" s="71"/>
      <c r="K39" s="345"/>
      <c r="L39" s="71"/>
      <c r="M39" s="226"/>
      <c r="N39" s="71"/>
      <c r="O39" s="71"/>
      <c r="P39" s="345"/>
      <c r="Q39" s="71"/>
      <c r="R39" s="226"/>
      <c r="S39" s="71"/>
      <c r="T39" s="71"/>
      <c r="U39" s="345"/>
      <c r="V39" s="71"/>
      <c r="W39" s="226"/>
      <c r="X39" s="71"/>
      <c r="Y39" s="71"/>
      <c r="Z39" s="345"/>
      <c r="AA39" s="71"/>
      <c r="AB39" s="226"/>
      <c r="AC39" s="71"/>
      <c r="AD39" s="71"/>
      <c r="AE39" s="345"/>
      <c r="AF39" s="71"/>
      <c r="AG39" s="226"/>
      <c r="AH39" s="71"/>
      <c r="AI39" s="71"/>
      <c r="AJ39" s="345"/>
      <c r="AK39" s="71"/>
      <c r="AL39" s="226"/>
      <c r="AM39" s="71"/>
      <c r="AN39" s="71"/>
      <c r="AO39" s="345"/>
      <c r="AP39" s="71"/>
      <c r="AQ39" s="226"/>
      <c r="AR39" s="71"/>
      <c r="AS39" s="71"/>
      <c r="AT39" s="345"/>
      <c r="AU39" s="71"/>
      <c r="AV39" s="226"/>
      <c r="AW39" s="71"/>
      <c r="AX39" s="71"/>
      <c r="AY39" s="345"/>
      <c r="AZ39" s="71"/>
      <c r="BA39" s="226"/>
      <c r="BB39" s="71"/>
      <c r="BC39" s="71"/>
      <c r="BD39" s="345"/>
      <c r="BE39" s="71"/>
      <c r="BF39" s="226"/>
      <c r="BG39" s="71"/>
      <c r="BH39" s="71"/>
      <c r="BI39" s="345"/>
      <c r="BJ39" s="71"/>
      <c r="BK39" s="226"/>
      <c r="BL39" s="71"/>
      <c r="BM39" s="71"/>
      <c r="BN39" s="345"/>
      <c r="BO39" s="71"/>
      <c r="BP39" s="226"/>
      <c r="BQ39" s="71"/>
      <c r="BR39" s="71"/>
      <c r="BS39" s="345"/>
      <c r="BT39" s="71"/>
      <c r="BU39" s="226"/>
      <c r="BV39" s="71"/>
      <c r="BW39" s="71"/>
      <c r="BX39" s="345"/>
      <c r="BY39" s="71"/>
      <c r="BZ39" s="226"/>
      <c r="CA39" s="71"/>
      <c r="CB39" s="71"/>
      <c r="CC39" s="345"/>
      <c r="CD39" s="71"/>
      <c r="CE39" s="226"/>
      <c r="CF39" s="71"/>
      <c r="CG39" s="71"/>
      <c r="CH39" s="345"/>
      <c r="CI39" s="71"/>
      <c r="CJ39" s="226"/>
      <c r="CK39" s="71"/>
      <c r="CL39" s="71"/>
      <c r="CM39" s="345"/>
      <c r="CN39" s="71"/>
      <c r="CO39" s="226"/>
      <c r="CP39" s="71"/>
      <c r="CQ39" s="71"/>
      <c r="CR39" s="345"/>
      <c r="CS39" s="71"/>
      <c r="CT39" s="226"/>
      <c r="CU39" s="71"/>
      <c r="CV39" s="71"/>
      <c r="CW39" s="345"/>
      <c r="CX39" s="71"/>
      <c r="CY39" s="226"/>
      <c r="CZ39" s="71"/>
      <c r="DA39" s="71"/>
      <c r="DB39" s="345"/>
      <c r="DC39" s="71"/>
      <c r="DD39" s="226"/>
      <c r="DE39" s="71"/>
      <c r="DF39" s="71"/>
      <c r="DG39" s="345"/>
      <c r="DH39" s="71"/>
      <c r="DI39" s="226"/>
      <c r="DJ39" s="71"/>
      <c r="DK39" s="71"/>
      <c r="DL39" s="345"/>
      <c r="DM39" s="71"/>
      <c r="DN39" s="226"/>
      <c r="DO39" s="71"/>
      <c r="DP39" s="71"/>
      <c r="DQ39" s="345"/>
      <c r="DR39" s="71"/>
      <c r="DS39" s="226"/>
      <c r="DT39" s="71"/>
      <c r="DU39" s="71"/>
      <c r="DV39" s="345"/>
      <c r="DW39" s="71"/>
      <c r="DX39" s="226"/>
      <c r="DY39" s="71"/>
      <c r="DZ39" s="71"/>
      <c r="EA39" s="345"/>
      <c r="EB39" s="71"/>
      <c r="EC39" s="226"/>
      <c r="ED39" s="71"/>
      <c r="EE39" s="71"/>
      <c r="EF39" s="345"/>
      <c r="EG39" s="71"/>
      <c r="EH39" s="226"/>
      <c r="EI39" s="71"/>
      <c r="EJ39" s="71"/>
      <c r="EK39" s="345"/>
      <c r="EL39" s="71"/>
      <c r="EM39" s="226"/>
      <c r="EN39" s="71"/>
      <c r="EO39" s="71"/>
      <c r="EP39" s="345"/>
      <c r="EQ39" s="71"/>
      <c r="ER39" s="226"/>
      <c r="ES39" s="71"/>
      <c r="ET39" s="71"/>
      <c r="EU39" s="345"/>
      <c r="EV39" s="71"/>
      <c r="EW39" s="226"/>
      <c r="EX39" s="71"/>
      <c r="EY39" s="71"/>
      <c r="EZ39" s="345"/>
      <c r="FA39" s="71"/>
      <c r="FB39" s="226"/>
      <c r="FC39" s="71"/>
      <c r="FD39" s="71"/>
      <c r="FE39" s="345"/>
      <c r="FF39" s="71"/>
      <c r="FG39" s="226"/>
      <c r="FH39" s="71"/>
      <c r="FI39" s="71"/>
      <c r="FJ39" s="345"/>
      <c r="FK39" s="71"/>
      <c r="FL39" s="226"/>
      <c r="FM39" s="71"/>
      <c r="FN39" s="71"/>
      <c r="FO39" s="345"/>
      <c r="FP39" s="71"/>
      <c r="FQ39" s="226"/>
      <c r="FR39" s="71"/>
      <c r="FS39" s="71"/>
      <c r="FT39" s="345"/>
      <c r="FU39" s="71"/>
      <c r="FV39" s="226"/>
      <c r="FW39" s="71"/>
      <c r="FX39" s="71"/>
      <c r="FY39" s="345"/>
      <c r="FZ39" s="71"/>
      <c r="GA39" s="226"/>
      <c r="GB39" s="71"/>
      <c r="GC39" s="71"/>
      <c r="GD39" s="345"/>
      <c r="GE39" s="71"/>
      <c r="GF39" s="226"/>
      <c r="GG39" s="71"/>
      <c r="GH39" s="71"/>
      <c r="GI39" s="345"/>
      <c r="GJ39" s="71"/>
      <c r="GK39" s="226"/>
      <c r="GL39" s="71"/>
      <c r="GM39" s="71"/>
      <c r="GN39" s="345"/>
      <c r="GO39" s="71"/>
      <c r="GP39" s="226"/>
      <c r="GQ39" s="71"/>
      <c r="GR39" s="71"/>
      <c r="GS39" s="345"/>
      <c r="GT39" s="71"/>
      <c r="GU39" s="226"/>
      <c r="GV39" s="71"/>
      <c r="GW39" s="71"/>
      <c r="GX39" s="345"/>
      <c r="GY39" s="71"/>
      <c r="GZ39" s="226"/>
      <c r="HA39" s="71"/>
      <c r="HB39" s="71"/>
      <c r="HC39" s="345"/>
      <c r="HD39" s="71"/>
      <c r="HE39" s="226"/>
      <c r="HF39" s="71"/>
      <c r="HG39" s="71"/>
      <c r="HH39" s="345"/>
      <c r="HI39" s="71"/>
      <c r="HJ39" s="226"/>
      <c r="HK39" s="71"/>
      <c r="HL39" s="71"/>
      <c r="HM39" s="345"/>
      <c r="HN39" s="71"/>
      <c r="HO39" s="226"/>
      <c r="HP39" s="71"/>
      <c r="HQ39" s="71"/>
      <c r="HR39" s="345"/>
      <c r="HS39" s="71"/>
      <c r="HT39" s="226"/>
      <c r="HU39" s="71"/>
      <c r="HV39" s="71"/>
      <c r="HW39" s="345"/>
      <c r="HX39" s="71"/>
      <c r="HY39" s="226"/>
      <c r="HZ39" s="71"/>
      <c r="IA39" s="71"/>
      <c r="IB39" s="345"/>
      <c r="IC39" s="71"/>
      <c r="ID39" s="226"/>
      <c r="IE39" s="71"/>
      <c r="IF39" s="71"/>
      <c r="IG39" s="345"/>
      <c r="IH39" s="71"/>
      <c r="II39" s="226"/>
      <c r="IJ39" s="71"/>
      <c r="IK39" s="71"/>
      <c r="IL39" s="345"/>
      <c r="IM39" s="71"/>
      <c r="IN39" s="226"/>
      <c r="IO39" s="71"/>
      <c r="IP39" s="71"/>
      <c r="IQ39" s="345"/>
      <c r="IR39" s="71"/>
      <c r="IS39" s="226"/>
      <c r="IT39" s="71"/>
      <c r="IU39" s="71"/>
      <c r="IV39" s="345"/>
    </row>
    <row r="40" spans="1:256" x14ac:dyDescent="0.2">
      <c r="A40" s="345">
        <v>28733</v>
      </c>
      <c r="B40" s="71"/>
      <c r="C40" s="226"/>
      <c r="D40" s="71"/>
      <c r="E40" s="71"/>
      <c r="F40" s="345"/>
      <c r="G40" s="71"/>
      <c r="H40" s="226"/>
      <c r="I40" s="71"/>
      <c r="J40" s="71"/>
      <c r="K40" s="345"/>
      <c r="L40" s="71"/>
      <c r="M40" s="226"/>
      <c r="N40" s="71"/>
      <c r="O40" s="71"/>
      <c r="P40" s="345"/>
      <c r="Q40" s="71"/>
      <c r="R40" s="226"/>
      <c r="S40" s="71"/>
      <c r="T40" s="71"/>
      <c r="U40" s="345"/>
      <c r="V40" s="71"/>
      <c r="W40" s="226"/>
      <c r="X40" s="71"/>
      <c r="Y40" s="71"/>
      <c r="Z40" s="345"/>
      <c r="AA40" s="71"/>
      <c r="AB40" s="226"/>
      <c r="AC40" s="71"/>
      <c r="AD40" s="71"/>
      <c r="AE40" s="345"/>
      <c r="AF40" s="71"/>
      <c r="AG40" s="226"/>
      <c r="AH40" s="71"/>
      <c r="AI40" s="71"/>
      <c r="AJ40" s="345"/>
      <c r="AK40" s="71"/>
      <c r="AL40" s="226"/>
      <c r="AM40" s="71"/>
      <c r="AN40" s="71"/>
      <c r="AO40" s="345"/>
      <c r="AP40" s="71"/>
      <c r="AQ40" s="226"/>
      <c r="AR40" s="71"/>
      <c r="AS40" s="71"/>
      <c r="AT40" s="345"/>
      <c r="AU40" s="71"/>
      <c r="AV40" s="226"/>
      <c r="AW40" s="71"/>
      <c r="AX40" s="71"/>
      <c r="AY40" s="345"/>
      <c r="AZ40" s="71"/>
      <c r="BA40" s="226"/>
      <c r="BB40" s="71"/>
      <c r="BC40" s="71"/>
      <c r="BD40" s="345"/>
      <c r="BE40" s="71"/>
      <c r="BF40" s="226"/>
      <c r="BG40" s="71"/>
      <c r="BH40" s="71"/>
      <c r="BI40" s="345"/>
      <c r="BJ40" s="71"/>
      <c r="BK40" s="226"/>
      <c r="BL40" s="71"/>
      <c r="BM40" s="71"/>
      <c r="BN40" s="345"/>
      <c r="BO40" s="71"/>
      <c r="BP40" s="226"/>
      <c r="BQ40" s="71"/>
      <c r="BR40" s="71"/>
      <c r="BS40" s="345"/>
      <c r="BT40" s="71"/>
      <c r="BU40" s="226"/>
      <c r="BV40" s="71"/>
      <c r="BW40" s="71"/>
      <c r="BX40" s="345"/>
      <c r="BY40" s="71"/>
      <c r="BZ40" s="226"/>
      <c r="CA40" s="71"/>
      <c r="CB40" s="71"/>
      <c r="CC40" s="345"/>
      <c r="CD40" s="71"/>
      <c r="CE40" s="226"/>
      <c r="CF40" s="71"/>
      <c r="CG40" s="71"/>
      <c r="CH40" s="345"/>
      <c r="CI40" s="71"/>
      <c r="CJ40" s="226"/>
      <c r="CK40" s="71"/>
      <c r="CL40" s="71"/>
      <c r="CM40" s="345"/>
      <c r="CN40" s="71"/>
      <c r="CO40" s="226"/>
      <c r="CP40" s="71"/>
      <c r="CQ40" s="71"/>
      <c r="CR40" s="345"/>
      <c r="CS40" s="71"/>
      <c r="CT40" s="226"/>
      <c r="CU40" s="71"/>
      <c r="CV40" s="71"/>
      <c r="CW40" s="345"/>
      <c r="CX40" s="71"/>
      <c r="CY40" s="226"/>
      <c r="CZ40" s="71"/>
      <c r="DA40" s="71"/>
      <c r="DB40" s="345"/>
      <c r="DC40" s="71"/>
      <c r="DD40" s="226"/>
      <c r="DE40" s="71"/>
      <c r="DF40" s="71"/>
      <c r="DG40" s="345"/>
      <c r="DH40" s="71"/>
      <c r="DI40" s="226"/>
      <c r="DJ40" s="71"/>
      <c r="DK40" s="71"/>
      <c r="DL40" s="345"/>
      <c r="DM40" s="71"/>
      <c r="DN40" s="226"/>
      <c r="DO40" s="71"/>
      <c r="DP40" s="71"/>
      <c r="DQ40" s="345"/>
      <c r="DR40" s="71"/>
      <c r="DS40" s="226"/>
      <c r="DT40" s="71"/>
      <c r="DU40" s="71"/>
      <c r="DV40" s="345"/>
      <c r="DW40" s="71"/>
      <c r="DX40" s="226"/>
      <c r="DY40" s="71"/>
      <c r="DZ40" s="71"/>
      <c r="EA40" s="345"/>
      <c r="EB40" s="71"/>
      <c r="EC40" s="226"/>
      <c r="ED40" s="71"/>
      <c r="EE40" s="71"/>
      <c r="EF40" s="345"/>
      <c r="EG40" s="71"/>
      <c r="EH40" s="226"/>
      <c r="EI40" s="71"/>
      <c r="EJ40" s="71"/>
      <c r="EK40" s="345"/>
      <c r="EL40" s="71"/>
      <c r="EM40" s="226"/>
      <c r="EN40" s="71"/>
      <c r="EO40" s="71"/>
      <c r="EP40" s="345"/>
      <c r="EQ40" s="71"/>
      <c r="ER40" s="226"/>
      <c r="ES40" s="71"/>
      <c r="ET40" s="71"/>
      <c r="EU40" s="345"/>
      <c r="EV40" s="71"/>
      <c r="EW40" s="226"/>
      <c r="EX40" s="71"/>
      <c r="EY40" s="71"/>
      <c r="EZ40" s="345"/>
      <c r="FA40" s="71"/>
      <c r="FB40" s="226"/>
      <c r="FC40" s="71"/>
      <c r="FD40" s="71"/>
      <c r="FE40" s="345"/>
      <c r="FF40" s="71"/>
      <c r="FG40" s="226"/>
      <c r="FH40" s="71"/>
      <c r="FI40" s="71"/>
      <c r="FJ40" s="345"/>
      <c r="FK40" s="71"/>
      <c r="FL40" s="226"/>
      <c r="FM40" s="71"/>
      <c r="FN40" s="71"/>
      <c r="FO40" s="345"/>
      <c r="FP40" s="71"/>
      <c r="FQ40" s="226"/>
      <c r="FR40" s="71"/>
      <c r="FS40" s="71"/>
      <c r="FT40" s="345"/>
      <c r="FU40" s="71"/>
      <c r="FV40" s="226"/>
      <c r="FW40" s="71"/>
      <c r="FX40" s="71"/>
      <c r="FY40" s="345"/>
      <c r="FZ40" s="71"/>
      <c r="GA40" s="226"/>
      <c r="GB40" s="71"/>
      <c r="GC40" s="71"/>
      <c r="GD40" s="345"/>
      <c r="GE40" s="71"/>
      <c r="GF40" s="226"/>
      <c r="GG40" s="71"/>
      <c r="GH40" s="71"/>
      <c r="GI40" s="345"/>
      <c r="GJ40" s="71"/>
      <c r="GK40" s="226"/>
      <c r="GL40" s="71"/>
      <c r="GM40" s="71"/>
      <c r="GN40" s="345"/>
      <c r="GO40" s="71"/>
      <c r="GP40" s="226"/>
      <c r="GQ40" s="71"/>
      <c r="GR40" s="71"/>
      <c r="GS40" s="345"/>
      <c r="GT40" s="71"/>
      <c r="GU40" s="226"/>
      <c r="GV40" s="71"/>
      <c r="GW40" s="71"/>
      <c r="GX40" s="345"/>
      <c r="GY40" s="71"/>
      <c r="GZ40" s="226"/>
      <c r="HA40" s="71"/>
      <c r="HB40" s="71"/>
      <c r="HC40" s="345"/>
      <c r="HD40" s="71"/>
      <c r="HE40" s="226"/>
      <c r="HF40" s="71"/>
      <c r="HG40" s="71"/>
      <c r="HH40" s="345"/>
      <c r="HI40" s="71"/>
      <c r="HJ40" s="226"/>
      <c r="HK40" s="71"/>
      <c r="HL40" s="71"/>
      <c r="HM40" s="345"/>
      <c r="HN40" s="71"/>
      <c r="HO40" s="226"/>
      <c r="HP40" s="71"/>
      <c r="HQ40" s="71"/>
      <c r="HR40" s="345"/>
      <c r="HS40" s="71"/>
      <c r="HT40" s="226"/>
      <c r="HU40" s="71"/>
      <c r="HV40" s="71"/>
      <c r="HW40" s="345"/>
      <c r="HX40" s="71"/>
      <c r="HY40" s="226"/>
      <c r="HZ40" s="71"/>
      <c r="IA40" s="71"/>
      <c r="IB40" s="345"/>
      <c r="IC40" s="71"/>
      <c r="ID40" s="226"/>
      <c r="IE40" s="71"/>
      <c r="IF40" s="71"/>
      <c r="IG40" s="345"/>
      <c r="IH40" s="71"/>
      <c r="II40" s="226"/>
      <c r="IJ40" s="71"/>
      <c r="IK40" s="71"/>
      <c r="IL40" s="345"/>
      <c r="IM40" s="71"/>
      <c r="IN40" s="226"/>
      <c r="IO40" s="71"/>
      <c r="IP40" s="71"/>
      <c r="IQ40" s="345"/>
      <c r="IR40" s="71"/>
      <c r="IS40" s="226"/>
      <c r="IT40" s="71"/>
      <c r="IU40" s="71"/>
      <c r="IV40" s="345"/>
    </row>
    <row r="41" spans="1:256" x14ac:dyDescent="0.2">
      <c r="A41" s="345">
        <v>28763</v>
      </c>
      <c r="B41" s="71"/>
      <c r="C41" s="226"/>
      <c r="D41" s="71"/>
      <c r="E41" s="71"/>
      <c r="F41" s="345"/>
      <c r="G41" s="71"/>
      <c r="H41" s="226"/>
      <c r="I41" s="71"/>
      <c r="J41" s="71"/>
      <c r="K41" s="345"/>
      <c r="L41" s="71"/>
      <c r="M41" s="226"/>
      <c r="N41" s="71"/>
      <c r="O41" s="71"/>
      <c r="P41" s="345"/>
      <c r="Q41" s="71"/>
      <c r="R41" s="226"/>
      <c r="S41" s="71"/>
      <c r="T41" s="71"/>
      <c r="U41" s="345"/>
      <c r="V41" s="71"/>
      <c r="W41" s="226"/>
      <c r="X41" s="71"/>
      <c r="Y41" s="71"/>
      <c r="Z41" s="345"/>
      <c r="AA41" s="71"/>
      <c r="AB41" s="226"/>
      <c r="AC41" s="71"/>
      <c r="AD41" s="71"/>
      <c r="AE41" s="345"/>
      <c r="AF41" s="71"/>
      <c r="AG41" s="226"/>
      <c r="AH41" s="71"/>
      <c r="AI41" s="71"/>
      <c r="AJ41" s="345"/>
      <c r="AK41" s="71"/>
      <c r="AL41" s="226"/>
      <c r="AM41" s="71"/>
      <c r="AN41" s="71"/>
      <c r="AO41" s="345"/>
      <c r="AP41" s="71"/>
      <c r="AQ41" s="226"/>
      <c r="AR41" s="71"/>
      <c r="AS41" s="71"/>
      <c r="AT41" s="345"/>
      <c r="AU41" s="71"/>
      <c r="AV41" s="226"/>
      <c r="AW41" s="71"/>
      <c r="AX41" s="71"/>
      <c r="AY41" s="345"/>
      <c r="AZ41" s="71"/>
      <c r="BA41" s="226"/>
      <c r="BB41" s="71"/>
      <c r="BC41" s="71"/>
      <c r="BD41" s="345"/>
      <c r="BE41" s="71"/>
      <c r="BF41" s="226"/>
      <c r="BG41" s="71"/>
      <c r="BH41" s="71"/>
      <c r="BI41" s="345"/>
      <c r="BJ41" s="71"/>
      <c r="BK41" s="226"/>
      <c r="BL41" s="71"/>
      <c r="BM41" s="71"/>
      <c r="BN41" s="345"/>
      <c r="BO41" s="71"/>
      <c r="BP41" s="226"/>
      <c r="BQ41" s="71"/>
      <c r="BR41" s="71"/>
      <c r="BS41" s="345"/>
      <c r="BT41" s="71"/>
      <c r="BU41" s="226"/>
      <c r="BV41" s="71"/>
      <c r="BW41" s="71"/>
      <c r="BX41" s="345"/>
      <c r="BY41" s="71"/>
      <c r="BZ41" s="226"/>
      <c r="CA41" s="71"/>
      <c r="CB41" s="71"/>
      <c r="CC41" s="345"/>
      <c r="CD41" s="71"/>
      <c r="CE41" s="226"/>
      <c r="CF41" s="71"/>
      <c r="CG41" s="71"/>
      <c r="CH41" s="345"/>
      <c r="CI41" s="71"/>
      <c r="CJ41" s="226"/>
      <c r="CK41" s="71"/>
      <c r="CL41" s="71"/>
      <c r="CM41" s="345"/>
      <c r="CN41" s="71"/>
      <c r="CO41" s="226"/>
      <c r="CP41" s="71"/>
      <c r="CQ41" s="71"/>
      <c r="CR41" s="345"/>
      <c r="CS41" s="71"/>
      <c r="CT41" s="226"/>
      <c r="CU41" s="71"/>
      <c r="CV41" s="71"/>
      <c r="CW41" s="345"/>
      <c r="CX41" s="71"/>
      <c r="CY41" s="226"/>
      <c r="CZ41" s="71"/>
      <c r="DA41" s="71"/>
      <c r="DB41" s="345"/>
      <c r="DC41" s="71"/>
      <c r="DD41" s="226"/>
      <c r="DE41" s="71"/>
      <c r="DF41" s="71"/>
      <c r="DG41" s="345"/>
      <c r="DH41" s="71"/>
      <c r="DI41" s="226"/>
      <c r="DJ41" s="71"/>
      <c r="DK41" s="71"/>
      <c r="DL41" s="345"/>
      <c r="DM41" s="71"/>
      <c r="DN41" s="226"/>
      <c r="DO41" s="71"/>
      <c r="DP41" s="71"/>
      <c r="DQ41" s="345"/>
      <c r="DR41" s="71"/>
      <c r="DS41" s="226"/>
      <c r="DT41" s="71"/>
      <c r="DU41" s="71"/>
      <c r="DV41" s="345"/>
      <c r="DW41" s="71"/>
      <c r="DX41" s="226"/>
      <c r="DY41" s="71"/>
      <c r="DZ41" s="71"/>
      <c r="EA41" s="345"/>
      <c r="EB41" s="71"/>
      <c r="EC41" s="226"/>
      <c r="ED41" s="71"/>
      <c r="EE41" s="71"/>
      <c r="EF41" s="345"/>
      <c r="EG41" s="71"/>
      <c r="EH41" s="226"/>
      <c r="EI41" s="71"/>
      <c r="EJ41" s="71"/>
      <c r="EK41" s="345"/>
      <c r="EL41" s="71"/>
      <c r="EM41" s="226"/>
      <c r="EN41" s="71"/>
      <c r="EO41" s="71"/>
      <c r="EP41" s="345"/>
      <c r="EQ41" s="71"/>
      <c r="ER41" s="226"/>
      <c r="ES41" s="71"/>
      <c r="ET41" s="71"/>
      <c r="EU41" s="345"/>
      <c r="EV41" s="71"/>
      <c r="EW41" s="226"/>
      <c r="EX41" s="71"/>
      <c r="EY41" s="71"/>
      <c r="EZ41" s="345"/>
      <c r="FA41" s="71"/>
      <c r="FB41" s="226"/>
      <c r="FC41" s="71"/>
      <c r="FD41" s="71"/>
      <c r="FE41" s="345"/>
      <c r="FF41" s="71"/>
      <c r="FG41" s="226"/>
      <c r="FH41" s="71"/>
      <c r="FI41" s="71"/>
      <c r="FJ41" s="345"/>
      <c r="FK41" s="71"/>
      <c r="FL41" s="226"/>
      <c r="FM41" s="71"/>
      <c r="FN41" s="71"/>
      <c r="FO41" s="345"/>
      <c r="FP41" s="71"/>
      <c r="FQ41" s="226"/>
      <c r="FR41" s="71"/>
      <c r="FS41" s="71"/>
      <c r="FT41" s="345"/>
      <c r="FU41" s="71"/>
      <c r="FV41" s="226"/>
      <c r="FW41" s="71"/>
      <c r="FX41" s="71"/>
      <c r="FY41" s="345"/>
      <c r="FZ41" s="71"/>
      <c r="GA41" s="226"/>
      <c r="GB41" s="71"/>
      <c r="GC41" s="71"/>
      <c r="GD41" s="345"/>
      <c r="GE41" s="71"/>
      <c r="GF41" s="226"/>
      <c r="GG41" s="71"/>
      <c r="GH41" s="71"/>
      <c r="GI41" s="345"/>
      <c r="GJ41" s="71"/>
      <c r="GK41" s="226"/>
      <c r="GL41" s="71"/>
      <c r="GM41" s="71"/>
      <c r="GN41" s="345"/>
      <c r="GO41" s="71"/>
      <c r="GP41" s="226"/>
      <c r="GQ41" s="71"/>
      <c r="GR41" s="71"/>
      <c r="GS41" s="345"/>
      <c r="GT41" s="71"/>
      <c r="GU41" s="226"/>
      <c r="GV41" s="71"/>
      <c r="GW41" s="71"/>
      <c r="GX41" s="345"/>
      <c r="GY41" s="71"/>
      <c r="GZ41" s="226"/>
      <c r="HA41" s="71"/>
      <c r="HB41" s="71"/>
      <c r="HC41" s="345"/>
      <c r="HD41" s="71"/>
      <c r="HE41" s="226"/>
      <c r="HF41" s="71"/>
      <c r="HG41" s="71"/>
      <c r="HH41" s="345"/>
      <c r="HI41" s="71"/>
      <c r="HJ41" s="226"/>
      <c r="HK41" s="71"/>
      <c r="HL41" s="71"/>
      <c r="HM41" s="345"/>
      <c r="HN41" s="71"/>
      <c r="HO41" s="226"/>
      <c r="HP41" s="71"/>
      <c r="HQ41" s="71"/>
      <c r="HR41" s="345"/>
      <c r="HS41" s="71"/>
      <c r="HT41" s="226"/>
      <c r="HU41" s="71"/>
      <c r="HV41" s="71"/>
      <c r="HW41" s="345"/>
      <c r="HX41" s="71"/>
      <c r="HY41" s="226"/>
      <c r="HZ41" s="71"/>
      <c r="IA41" s="71"/>
      <c r="IB41" s="345"/>
      <c r="IC41" s="71"/>
      <c r="ID41" s="226"/>
      <c r="IE41" s="71"/>
      <c r="IF41" s="71"/>
      <c r="IG41" s="345"/>
      <c r="IH41" s="71"/>
      <c r="II41" s="226"/>
      <c r="IJ41" s="71"/>
      <c r="IK41" s="71"/>
      <c r="IL41" s="345"/>
      <c r="IM41" s="71"/>
      <c r="IN41" s="226"/>
      <c r="IO41" s="71"/>
      <c r="IP41" s="71"/>
      <c r="IQ41" s="345"/>
      <c r="IR41" s="71"/>
      <c r="IS41" s="226"/>
      <c r="IT41" s="71"/>
      <c r="IU41" s="71"/>
      <c r="IV41" s="345"/>
    </row>
    <row r="42" spans="1:256" x14ac:dyDescent="0.2">
      <c r="A42" s="345">
        <v>28794</v>
      </c>
      <c r="B42" s="71"/>
      <c r="C42" s="226"/>
      <c r="D42" s="71"/>
      <c r="E42" s="71"/>
      <c r="F42" s="345"/>
      <c r="G42" s="71"/>
      <c r="H42" s="226"/>
      <c r="I42" s="71"/>
      <c r="J42" s="71"/>
      <c r="K42" s="345"/>
      <c r="L42" s="71"/>
      <c r="M42" s="226"/>
      <c r="N42" s="71"/>
      <c r="O42" s="71"/>
      <c r="P42" s="345"/>
      <c r="Q42" s="71"/>
      <c r="R42" s="226"/>
      <c r="S42" s="71"/>
      <c r="T42" s="71"/>
      <c r="U42" s="345"/>
      <c r="V42" s="71"/>
      <c r="W42" s="226"/>
      <c r="X42" s="71"/>
      <c r="Y42" s="71"/>
      <c r="Z42" s="345"/>
      <c r="AA42" s="71"/>
      <c r="AB42" s="226"/>
      <c r="AC42" s="71"/>
      <c r="AD42" s="71"/>
      <c r="AE42" s="345"/>
      <c r="AF42" s="71"/>
      <c r="AG42" s="226"/>
      <c r="AH42" s="71"/>
      <c r="AI42" s="71"/>
      <c r="AJ42" s="345"/>
      <c r="AK42" s="71"/>
      <c r="AL42" s="226"/>
      <c r="AM42" s="71"/>
      <c r="AN42" s="71"/>
      <c r="AO42" s="345"/>
      <c r="AP42" s="71"/>
      <c r="AQ42" s="226"/>
      <c r="AR42" s="71"/>
      <c r="AS42" s="71"/>
      <c r="AT42" s="345"/>
      <c r="AU42" s="71"/>
      <c r="AV42" s="226"/>
      <c r="AW42" s="71"/>
      <c r="AX42" s="71"/>
      <c r="AY42" s="345"/>
      <c r="AZ42" s="71"/>
      <c r="BA42" s="226"/>
      <c r="BB42" s="71"/>
      <c r="BC42" s="71"/>
      <c r="BD42" s="345"/>
      <c r="BE42" s="71"/>
      <c r="BF42" s="226"/>
      <c r="BG42" s="71"/>
      <c r="BH42" s="71"/>
      <c r="BI42" s="345"/>
      <c r="BJ42" s="71"/>
      <c r="BK42" s="226"/>
      <c r="BL42" s="71"/>
      <c r="BM42" s="71"/>
      <c r="BN42" s="345"/>
      <c r="BO42" s="71"/>
      <c r="BP42" s="226"/>
      <c r="BQ42" s="71"/>
      <c r="BR42" s="71"/>
      <c r="BS42" s="345"/>
      <c r="BT42" s="71"/>
      <c r="BU42" s="226"/>
      <c r="BV42" s="71"/>
      <c r="BW42" s="71"/>
      <c r="BX42" s="345"/>
      <c r="BY42" s="71"/>
      <c r="BZ42" s="226"/>
      <c r="CA42" s="71"/>
      <c r="CB42" s="71"/>
      <c r="CC42" s="345"/>
      <c r="CD42" s="71"/>
      <c r="CE42" s="226"/>
      <c r="CF42" s="71"/>
      <c r="CG42" s="71"/>
      <c r="CH42" s="345"/>
      <c r="CI42" s="71"/>
      <c r="CJ42" s="226"/>
      <c r="CK42" s="71"/>
      <c r="CL42" s="71"/>
      <c r="CM42" s="345"/>
      <c r="CN42" s="71"/>
      <c r="CO42" s="226"/>
      <c r="CP42" s="71"/>
      <c r="CQ42" s="71"/>
      <c r="CR42" s="345"/>
      <c r="CS42" s="71"/>
      <c r="CT42" s="226"/>
      <c r="CU42" s="71"/>
      <c r="CV42" s="71"/>
      <c r="CW42" s="345"/>
      <c r="CX42" s="71"/>
      <c r="CY42" s="226"/>
      <c r="CZ42" s="71"/>
      <c r="DA42" s="71"/>
      <c r="DB42" s="345"/>
      <c r="DC42" s="71"/>
      <c r="DD42" s="226"/>
      <c r="DE42" s="71"/>
      <c r="DF42" s="71"/>
      <c r="DG42" s="345"/>
      <c r="DH42" s="71"/>
      <c r="DI42" s="226"/>
      <c r="DJ42" s="71"/>
      <c r="DK42" s="71"/>
      <c r="DL42" s="345"/>
      <c r="DM42" s="71"/>
      <c r="DN42" s="226"/>
      <c r="DO42" s="71"/>
      <c r="DP42" s="71"/>
      <c r="DQ42" s="345"/>
      <c r="DR42" s="71"/>
      <c r="DS42" s="226"/>
      <c r="DT42" s="71"/>
      <c r="DU42" s="71"/>
      <c r="DV42" s="345"/>
      <c r="DW42" s="71"/>
      <c r="DX42" s="226"/>
      <c r="DY42" s="71"/>
      <c r="DZ42" s="71"/>
      <c r="EA42" s="345"/>
      <c r="EB42" s="71"/>
      <c r="EC42" s="226"/>
      <c r="ED42" s="71"/>
      <c r="EE42" s="71"/>
      <c r="EF42" s="345"/>
      <c r="EG42" s="71"/>
      <c r="EH42" s="226"/>
      <c r="EI42" s="71"/>
      <c r="EJ42" s="71"/>
      <c r="EK42" s="345"/>
      <c r="EL42" s="71"/>
      <c r="EM42" s="226"/>
      <c r="EN42" s="71"/>
      <c r="EO42" s="71"/>
      <c r="EP42" s="345"/>
      <c r="EQ42" s="71"/>
      <c r="ER42" s="226"/>
      <c r="ES42" s="71"/>
      <c r="ET42" s="71"/>
      <c r="EU42" s="345"/>
      <c r="EV42" s="71"/>
      <c r="EW42" s="226"/>
      <c r="EX42" s="71"/>
      <c r="EY42" s="71"/>
      <c r="EZ42" s="345"/>
      <c r="FA42" s="71"/>
      <c r="FB42" s="226"/>
      <c r="FC42" s="71"/>
      <c r="FD42" s="71"/>
      <c r="FE42" s="345"/>
      <c r="FF42" s="71"/>
      <c r="FG42" s="226"/>
      <c r="FH42" s="71"/>
      <c r="FI42" s="71"/>
      <c r="FJ42" s="345"/>
      <c r="FK42" s="71"/>
      <c r="FL42" s="226"/>
      <c r="FM42" s="71"/>
      <c r="FN42" s="71"/>
      <c r="FO42" s="345"/>
      <c r="FP42" s="71"/>
      <c r="FQ42" s="226"/>
      <c r="FR42" s="71"/>
      <c r="FS42" s="71"/>
      <c r="FT42" s="345"/>
      <c r="FU42" s="71"/>
      <c r="FV42" s="226"/>
      <c r="FW42" s="71"/>
      <c r="FX42" s="71"/>
      <c r="FY42" s="345"/>
      <c r="FZ42" s="71"/>
      <c r="GA42" s="226"/>
      <c r="GB42" s="71"/>
      <c r="GC42" s="71"/>
      <c r="GD42" s="345"/>
      <c r="GE42" s="71"/>
      <c r="GF42" s="226"/>
      <c r="GG42" s="71"/>
      <c r="GH42" s="71"/>
      <c r="GI42" s="345"/>
      <c r="GJ42" s="71"/>
      <c r="GK42" s="226"/>
      <c r="GL42" s="71"/>
      <c r="GM42" s="71"/>
      <c r="GN42" s="345"/>
      <c r="GO42" s="71"/>
      <c r="GP42" s="226"/>
      <c r="GQ42" s="71"/>
      <c r="GR42" s="71"/>
      <c r="GS42" s="345"/>
      <c r="GT42" s="71"/>
      <c r="GU42" s="226"/>
      <c r="GV42" s="71"/>
      <c r="GW42" s="71"/>
      <c r="GX42" s="345"/>
      <c r="GY42" s="71"/>
      <c r="GZ42" s="226"/>
      <c r="HA42" s="71"/>
      <c r="HB42" s="71"/>
      <c r="HC42" s="345"/>
      <c r="HD42" s="71"/>
      <c r="HE42" s="226"/>
      <c r="HF42" s="71"/>
      <c r="HG42" s="71"/>
      <c r="HH42" s="345"/>
      <c r="HI42" s="71"/>
      <c r="HJ42" s="226"/>
      <c r="HK42" s="71"/>
      <c r="HL42" s="71"/>
      <c r="HM42" s="345"/>
      <c r="HN42" s="71"/>
      <c r="HO42" s="226"/>
      <c r="HP42" s="71"/>
      <c r="HQ42" s="71"/>
      <c r="HR42" s="345"/>
      <c r="HS42" s="71"/>
      <c r="HT42" s="226"/>
      <c r="HU42" s="71"/>
      <c r="HV42" s="71"/>
      <c r="HW42" s="345"/>
      <c r="HX42" s="71"/>
      <c r="HY42" s="226"/>
      <c r="HZ42" s="71"/>
      <c r="IA42" s="71"/>
      <c r="IB42" s="345"/>
      <c r="IC42" s="71"/>
      <c r="ID42" s="226"/>
      <c r="IE42" s="71"/>
      <c r="IF42" s="71"/>
      <c r="IG42" s="345"/>
      <c r="IH42" s="71"/>
      <c r="II42" s="226"/>
      <c r="IJ42" s="71"/>
      <c r="IK42" s="71"/>
      <c r="IL42" s="345"/>
      <c r="IM42" s="71"/>
      <c r="IN42" s="226"/>
      <c r="IO42" s="71"/>
      <c r="IP42" s="71"/>
      <c r="IQ42" s="345"/>
      <c r="IR42" s="71"/>
      <c r="IS42" s="226"/>
      <c r="IT42" s="71"/>
      <c r="IU42" s="71"/>
      <c r="IV42" s="345"/>
    </row>
    <row r="43" spans="1:256" x14ac:dyDescent="0.2">
      <c r="A43" s="345">
        <v>28824</v>
      </c>
      <c r="B43" s="71"/>
      <c r="C43" s="226"/>
      <c r="D43" s="71"/>
      <c r="E43" s="71"/>
      <c r="F43" s="345"/>
      <c r="G43" s="71"/>
      <c r="H43" s="226"/>
      <c r="I43" s="71"/>
      <c r="J43" s="71"/>
      <c r="K43" s="345"/>
      <c r="L43" s="71"/>
      <c r="M43" s="226"/>
      <c r="N43" s="71"/>
      <c r="O43" s="71"/>
      <c r="P43" s="345"/>
      <c r="Q43" s="71"/>
      <c r="R43" s="226"/>
      <c r="S43" s="71"/>
      <c r="T43" s="71"/>
      <c r="U43" s="345"/>
      <c r="V43" s="71"/>
      <c r="W43" s="226"/>
      <c r="X43" s="71"/>
      <c r="Y43" s="71"/>
      <c r="Z43" s="345"/>
      <c r="AA43" s="71"/>
      <c r="AB43" s="226"/>
      <c r="AC43" s="71"/>
      <c r="AD43" s="71"/>
      <c r="AE43" s="345"/>
      <c r="AF43" s="71"/>
      <c r="AG43" s="226"/>
      <c r="AH43" s="71"/>
      <c r="AI43" s="71"/>
      <c r="AJ43" s="345"/>
      <c r="AK43" s="71"/>
      <c r="AL43" s="226"/>
      <c r="AM43" s="71"/>
      <c r="AN43" s="71"/>
      <c r="AO43" s="345"/>
      <c r="AP43" s="71"/>
      <c r="AQ43" s="226"/>
      <c r="AR43" s="71"/>
      <c r="AS43" s="71"/>
      <c r="AT43" s="345"/>
      <c r="AU43" s="71"/>
      <c r="AV43" s="226"/>
      <c r="AW43" s="71"/>
      <c r="AX43" s="71"/>
      <c r="AY43" s="345"/>
      <c r="AZ43" s="71"/>
      <c r="BA43" s="226"/>
      <c r="BB43" s="71"/>
      <c r="BC43" s="71"/>
      <c r="BD43" s="345"/>
      <c r="BE43" s="71"/>
      <c r="BF43" s="226"/>
      <c r="BG43" s="71"/>
      <c r="BH43" s="71"/>
      <c r="BI43" s="345"/>
      <c r="BJ43" s="71"/>
      <c r="BK43" s="226"/>
      <c r="BL43" s="71"/>
      <c r="BM43" s="71"/>
      <c r="BN43" s="345"/>
      <c r="BO43" s="71"/>
      <c r="BP43" s="226"/>
      <c r="BQ43" s="71"/>
      <c r="BR43" s="71"/>
      <c r="BS43" s="345"/>
      <c r="BT43" s="71"/>
      <c r="BU43" s="226"/>
      <c r="BV43" s="71"/>
      <c r="BW43" s="71"/>
      <c r="BX43" s="345"/>
      <c r="BY43" s="71"/>
      <c r="BZ43" s="226"/>
      <c r="CA43" s="71"/>
      <c r="CB43" s="71"/>
      <c r="CC43" s="345"/>
      <c r="CD43" s="71"/>
      <c r="CE43" s="226"/>
      <c r="CF43" s="71"/>
      <c r="CG43" s="71"/>
      <c r="CH43" s="345"/>
      <c r="CI43" s="71"/>
      <c r="CJ43" s="226"/>
      <c r="CK43" s="71"/>
      <c r="CL43" s="71"/>
      <c r="CM43" s="345"/>
      <c r="CN43" s="71"/>
      <c r="CO43" s="226"/>
      <c r="CP43" s="71"/>
      <c r="CQ43" s="71"/>
      <c r="CR43" s="345"/>
      <c r="CS43" s="71"/>
      <c r="CT43" s="226"/>
      <c r="CU43" s="71"/>
      <c r="CV43" s="71"/>
      <c r="CW43" s="345"/>
      <c r="CX43" s="71"/>
      <c r="CY43" s="226"/>
      <c r="CZ43" s="71"/>
      <c r="DA43" s="71"/>
      <c r="DB43" s="345"/>
      <c r="DC43" s="71"/>
      <c r="DD43" s="226"/>
      <c r="DE43" s="71"/>
      <c r="DF43" s="71"/>
      <c r="DG43" s="345"/>
      <c r="DH43" s="71"/>
      <c r="DI43" s="226"/>
      <c r="DJ43" s="71"/>
      <c r="DK43" s="71"/>
      <c r="DL43" s="345"/>
      <c r="DM43" s="71"/>
      <c r="DN43" s="226"/>
      <c r="DO43" s="71"/>
      <c r="DP43" s="71"/>
      <c r="DQ43" s="345"/>
      <c r="DR43" s="71"/>
      <c r="DS43" s="226"/>
      <c r="DT43" s="71"/>
      <c r="DU43" s="71"/>
      <c r="DV43" s="345"/>
      <c r="DW43" s="71"/>
      <c r="DX43" s="226"/>
      <c r="DY43" s="71"/>
      <c r="DZ43" s="71"/>
      <c r="EA43" s="345"/>
      <c r="EB43" s="71"/>
      <c r="EC43" s="226"/>
      <c r="ED43" s="71"/>
      <c r="EE43" s="71"/>
      <c r="EF43" s="345"/>
      <c r="EG43" s="71"/>
      <c r="EH43" s="226"/>
      <c r="EI43" s="71"/>
      <c r="EJ43" s="71"/>
      <c r="EK43" s="345"/>
      <c r="EL43" s="71"/>
      <c r="EM43" s="226"/>
      <c r="EN43" s="71"/>
      <c r="EO43" s="71"/>
      <c r="EP43" s="345"/>
      <c r="EQ43" s="71"/>
      <c r="ER43" s="226"/>
      <c r="ES43" s="71"/>
      <c r="ET43" s="71"/>
      <c r="EU43" s="345"/>
      <c r="EV43" s="71"/>
      <c r="EW43" s="226"/>
      <c r="EX43" s="71"/>
      <c r="EY43" s="71"/>
      <c r="EZ43" s="345"/>
      <c r="FA43" s="71"/>
      <c r="FB43" s="226"/>
      <c r="FC43" s="71"/>
      <c r="FD43" s="71"/>
      <c r="FE43" s="345"/>
      <c r="FF43" s="71"/>
      <c r="FG43" s="226"/>
      <c r="FH43" s="71"/>
      <c r="FI43" s="71"/>
      <c r="FJ43" s="345"/>
      <c r="FK43" s="71"/>
      <c r="FL43" s="226"/>
      <c r="FM43" s="71"/>
      <c r="FN43" s="71"/>
      <c r="FO43" s="345"/>
      <c r="FP43" s="71"/>
      <c r="FQ43" s="226"/>
      <c r="FR43" s="71"/>
      <c r="FS43" s="71"/>
      <c r="FT43" s="345"/>
      <c r="FU43" s="71"/>
      <c r="FV43" s="226"/>
      <c r="FW43" s="71"/>
      <c r="FX43" s="71"/>
      <c r="FY43" s="345"/>
      <c r="FZ43" s="71"/>
      <c r="GA43" s="226"/>
      <c r="GB43" s="71"/>
      <c r="GC43" s="71"/>
      <c r="GD43" s="345"/>
      <c r="GE43" s="71"/>
      <c r="GF43" s="226"/>
      <c r="GG43" s="71"/>
      <c r="GH43" s="71"/>
      <c r="GI43" s="345"/>
      <c r="GJ43" s="71"/>
      <c r="GK43" s="226"/>
      <c r="GL43" s="71"/>
      <c r="GM43" s="71"/>
      <c r="GN43" s="345"/>
      <c r="GO43" s="71"/>
      <c r="GP43" s="226"/>
      <c r="GQ43" s="71"/>
      <c r="GR43" s="71"/>
      <c r="GS43" s="345"/>
      <c r="GT43" s="71"/>
      <c r="GU43" s="226"/>
      <c r="GV43" s="71"/>
      <c r="GW43" s="71"/>
      <c r="GX43" s="345"/>
      <c r="GY43" s="71"/>
      <c r="GZ43" s="226"/>
      <c r="HA43" s="71"/>
      <c r="HB43" s="71"/>
      <c r="HC43" s="345"/>
      <c r="HD43" s="71"/>
      <c r="HE43" s="226"/>
      <c r="HF43" s="71"/>
      <c r="HG43" s="71"/>
      <c r="HH43" s="345"/>
      <c r="HI43" s="71"/>
      <c r="HJ43" s="226"/>
      <c r="HK43" s="71"/>
      <c r="HL43" s="71"/>
      <c r="HM43" s="345"/>
      <c r="HN43" s="71"/>
      <c r="HO43" s="226"/>
      <c r="HP43" s="71"/>
      <c r="HQ43" s="71"/>
      <c r="HR43" s="345"/>
      <c r="HS43" s="71"/>
      <c r="HT43" s="226"/>
      <c r="HU43" s="71"/>
      <c r="HV43" s="71"/>
      <c r="HW43" s="345"/>
      <c r="HX43" s="71"/>
      <c r="HY43" s="226"/>
      <c r="HZ43" s="71"/>
      <c r="IA43" s="71"/>
      <c r="IB43" s="345"/>
      <c r="IC43" s="71"/>
      <c r="ID43" s="226"/>
      <c r="IE43" s="71"/>
      <c r="IF43" s="71"/>
      <c r="IG43" s="345"/>
      <c r="IH43" s="71"/>
      <c r="II43" s="226"/>
      <c r="IJ43" s="71"/>
      <c r="IK43" s="71"/>
      <c r="IL43" s="345"/>
      <c r="IM43" s="71"/>
      <c r="IN43" s="226"/>
      <c r="IO43" s="71"/>
      <c r="IP43" s="71"/>
      <c r="IQ43" s="345"/>
      <c r="IR43" s="71"/>
      <c r="IS43" s="226"/>
      <c r="IT43" s="71"/>
      <c r="IU43" s="71"/>
      <c r="IV43" s="345"/>
    </row>
    <row r="44" spans="1:256" x14ac:dyDescent="0.2">
      <c r="A44" s="345">
        <v>28855</v>
      </c>
      <c r="B44" s="71"/>
      <c r="C44" s="226"/>
      <c r="D44" s="71"/>
      <c r="E44" s="71"/>
      <c r="F44" s="345"/>
      <c r="G44" s="71"/>
      <c r="H44" s="226"/>
      <c r="I44" s="71"/>
      <c r="J44" s="71"/>
      <c r="K44" s="345"/>
      <c r="L44" s="71"/>
      <c r="M44" s="226"/>
      <c r="N44" s="71"/>
      <c r="O44" s="71"/>
      <c r="P44" s="345"/>
      <c r="Q44" s="71"/>
      <c r="R44" s="226"/>
      <c r="S44" s="71"/>
      <c r="T44" s="71"/>
      <c r="U44" s="345"/>
      <c r="V44" s="71"/>
      <c r="W44" s="226"/>
      <c r="X44" s="71"/>
      <c r="Y44" s="71"/>
      <c r="Z44" s="345"/>
      <c r="AA44" s="71"/>
      <c r="AB44" s="226"/>
      <c r="AC44" s="71"/>
      <c r="AD44" s="71"/>
      <c r="AE44" s="345"/>
      <c r="AF44" s="71"/>
      <c r="AG44" s="226"/>
      <c r="AH44" s="71"/>
      <c r="AI44" s="71"/>
      <c r="AJ44" s="345"/>
      <c r="AK44" s="71"/>
      <c r="AL44" s="226"/>
      <c r="AM44" s="71"/>
      <c r="AN44" s="71"/>
      <c r="AO44" s="345"/>
      <c r="AP44" s="71"/>
      <c r="AQ44" s="226"/>
      <c r="AR44" s="71"/>
      <c r="AS44" s="71"/>
      <c r="AT44" s="345"/>
      <c r="AU44" s="71"/>
      <c r="AV44" s="226"/>
      <c r="AW44" s="71"/>
      <c r="AX44" s="71"/>
      <c r="AY44" s="345"/>
      <c r="AZ44" s="71"/>
      <c r="BA44" s="226"/>
      <c r="BB44" s="71"/>
      <c r="BC44" s="71"/>
      <c r="BD44" s="345"/>
      <c r="BE44" s="71"/>
      <c r="BF44" s="226"/>
      <c r="BG44" s="71"/>
      <c r="BH44" s="71"/>
      <c r="BI44" s="345"/>
      <c r="BJ44" s="71"/>
      <c r="BK44" s="226"/>
      <c r="BL44" s="71"/>
      <c r="BM44" s="71"/>
      <c r="BN44" s="345"/>
      <c r="BO44" s="71"/>
      <c r="BP44" s="226"/>
      <c r="BQ44" s="71"/>
      <c r="BR44" s="71"/>
      <c r="BS44" s="345"/>
      <c r="BT44" s="71"/>
      <c r="BU44" s="226"/>
      <c r="BV44" s="71"/>
      <c r="BW44" s="71"/>
      <c r="BX44" s="345"/>
      <c r="BY44" s="71"/>
      <c r="BZ44" s="226"/>
      <c r="CA44" s="71"/>
      <c r="CB44" s="71"/>
      <c r="CC44" s="345"/>
      <c r="CD44" s="71"/>
      <c r="CE44" s="226"/>
      <c r="CF44" s="71"/>
      <c r="CG44" s="71"/>
      <c r="CH44" s="345"/>
      <c r="CI44" s="71"/>
      <c r="CJ44" s="226"/>
      <c r="CK44" s="71"/>
      <c r="CL44" s="71"/>
      <c r="CM44" s="345"/>
      <c r="CN44" s="71"/>
      <c r="CO44" s="226"/>
      <c r="CP44" s="71"/>
      <c r="CQ44" s="71"/>
      <c r="CR44" s="345"/>
      <c r="CS44" s="71"/>
      <c r="CT44" s="226"/>
      <c r="CU44" s="71"/>
      <c r="CV44" s="71"/>
      <c r="CW44" s="345"/>
      <c r="CX44" s="71"/>
      <c r="CY44" s="226"/>
      <c r="CZ44" s="71"/>
      <c r="DA44" s="71"/>
      <c r="DB44" s="345"/>
      <c r="DC44" s="71"/>
      <c r="DD44" s="226"/>
      <c r="DE44" s="71"/>
      <c r="DF44" s="71"/>
      <c r="DG44" s="345"/>
      <c r="DH44" s="71"/>
      <c r="DI44" s="226"/>
      <c r="DJ44" s="71"/>
      <c r="DK44" s="71"/>
      <c r="DL44" s="345"/>
      <c r="DM44" s="71"/>
      <c r="DN44" s="226"/>
      <c r="DO44" s="71"/>
      <c r="DP44" s="71"/>
      <c r="DQ44" s="345"/>
      <c r="DR44" s="71"/>
      <c r="DS44" s="226"/>
      <c r="DT44" s="71"/>
      <c r="DU44" s="71"/>
      <c r="DV44" s="345"/>
      <c r="DW44" s="71"/>
      <c r="DX44" s="226"/>
      <c r="DY44" s="71"/>
      <c r="DZ44" s="71"/>
      <c r="EA44" s="345"/>
      <c r="EB44" s="71"/>
      <c r="EC44" s="226"/>
      <c r="ED44" s="71"/>
      <c r="EE44" s="71"/>
      <c r="EF44" s="345"/>
      <c r="EG44" s="71"/>
      <c r="EH44" s="226"/>
      <c r="EI44" s="71"/>
      <c r="EJ44" s="71"/>
      <c r="EK44" s="345"/>
      <c r="EL44" s="71"/>
      <c r="EM44" s="226"/>
      <c r="EN44" s="71"/>
      <c r="EO44" s="71"/>
      <c r="EP44" s="345"/>
      <c r="EQ44" s="71"/>
      <c r="ER44" s="226"/>
      <c r="ES44" s="71"/>
      <c r="ET44" s="71"/>
      <c r="EU44" s="345"/>
      <c r="EV44" s="71"/>
      <c r="EW44" s="226"/>
      <c r="EX44" s="71"/>
      <c r="EY44" s="71"/>
      <c r="EZ44" s="345"/>
      <c r="FA44" s="71"/>
      <c r="FB44" s="226"/>
      <c r="FC44" s="71"/>
      <c r="FD44" s="71"/>
      <c r="FE44" s="345"/>
      <c r="FF44" s="71"/>
      <c r="FG44" s="226"/>
      <c r="FH44" s="71"/>
      <c r="FI44" s="71"/>
      <c r="FJ44" s="345"/>
      <c r="FK44" s="71"/>
      <c r="FL44" s="226"/>
      <c r="FM44" s="71"/>
      <c r="FN44" s="71"/>
      <c r="FO44" s="345"/>
      <c r="FP44" s="71"/>
      <c r="FQ44" s="226"/>
      <c r="FR44" s="71"/>
      <c r="FS44" s="71"/>
      <c r="FT44" s="345"/>
      <c r="FU44" s="71"/>
      <c r="FV44" s="226"/>
      <c r="FW44" s="71"/>
      <c r="FX44" s="71"/>
      <c r="FY44" s="345"/>
      <c r="FZ44" s="71"/>
      <c r="GA44" s="226"/>
      <c r="GB44" s="71"/>
      <c r="GC44" s="71"/>
      <c r="GD44" s="345"/>
      <c r="GE44" s="71"/>
      <c r="GF44" s="226"/>
      <c r="GG44" s="71"/>
      <c r="GH44" s="71"/>
      <c r="GI44" s="345"/>
      <c r="GJ44" s="71"/>
      <c r="GK44" s="226"/>
      <c r="GL44" s="71"/>
      <c r="GM44" s="71"/>
      <c r="GN44" s="345"/>
      <c r="GO44" s="71"/>
      <c r="GP44" s="226"/>
      <c r="GQ44" s="71"/>
      <c r="GR44" s="71"/>
      <c r="GS44" s="345"/>
      <c r="GT44" s="71"/>
      <c r="GU44" s="226"/>
      <c r="GV44" s="71"/>
      <c r="GW44" s="71"/>
      <c r="GX44" s="345"/>
      <c r="GY44" s="71"/>
      <c r="GZ44" s="226"/>
      <c r="HA44" s="71"/>
      <c r="HB44" s="71"/>
      <c r="HC44" s="345"/>
      <c r="HD44" s="71"/>
      <c r="HE44" s="226"/>
      <c r="HF44" s="71"/>
      <c r="HG44" s="71"/>
      <c r="HH44" s="345"/>
      <c r="HI44" s="71"/>
      <c r="HJ44" s="226"/>
      <c r="HK44" s="71"/>
      <c r="HL44" s="71"/>
      <c r="HM44" s="345"/>
      <c r="HN44" s="71"/>
      <c r="HO44" s="226"/>
      <c r="HP44" s="71"/>
      <c r="HQ44" s="71"/>
      <c r="HR44" s="345"/>
      <c r="HS44" s="71"/>
      <c r="HT44" s="226"/>
      <c r="HU44" s="71"/>
      <c r="HV44" s="71"/>
      <c r="HW44" s="345"/>
      <c r="HX44" s="71"/>
      <c r="HY44" s="226"/>
      <c r="HZ44" s="71"/>
      <c r="IA44" s="71"/>
      <c r="IB44" s="345"/>
      <c r="IC44" s="71"/>
      <c r="ID44" s="226"/>
      <c r="IE44" s="71"/>
      <c r="IF44" s="71"/>
      <c r="IG44" s="345"/>
      <c r="IH44" s="71"/>
      <c r="II44" s="226"/>
      <c r="IJ44" s="71"/>
      <c r="IK44" s="71"/>
      <c r="IL44" s="345"/>
      <c r="IM44" s="71"/>
      <c r="IN44" s="226"/>
      <c r="IO44" s="71"/>
      <c r="IP44" s="71"/>
      <c r="IQ44" s="345"/>
      <c r="IR44" s="71"/>
      <c r="IS44" s="226"/>
      <c r="IT44" s="71"/>
      <c r="IU44" s="71"/>
      <c r="IV44" s="345"/>
    </row>
    <row r="45" spans="1:256" x14ac:dyDescent="0.2">
      <c r="A45" s="345">
        <v>28886</v>
      </c>
      <c r="B45" s="71"/>
      <c r="C45" s="226"/>
      <c r="D45" s="71"/>
      <c r="E45" s="71"/>
      <c r="F45" s="345"/>
      <c r="G45" s="71"/>
      <c r="H45" s="226"/>
      <c r="I45" s="71"/>
      <c r="J45" s="71"/>
      <c r="K45" s="345"/>
      <c r="L45" s="71"/>
      <c r="M45" s="226"/>
      <c r="N45" s="71"/>
      <c r="O45" s="71"/>
      <c r="P45" s="345"/>
      <c r="Q45" s="71"/>
      <c r="R45" s="226"/>
      <c r="S45" s="71"/>
      <c r="T45" s="71"/>
      <c r="U45" s="345"/>
      <c r="V45" s="71"/>
      <c r="W45" s="226"/>
      <c r="X45" s="71"/>
      <c r="Y45" s="71"/>
      <c r="Z45" s="345"/>
      <c r="AA45" s="71"/>
      <c r="AB45" s="226"/>
      <c r="AC45" s="71"/>
      <c r="AD45" s="71"/>
      <c r="AE45" s="345"/>
      <c r="AF45" s="71"/>
      <c r="AG45" s="226"/>
      <c r="AH45" s="71"/>
      <c r="AI45" s="71"/>
      <c r="AJ45" s="345"/>
      <c r="AK45" s="71"/>
      <c r="AL45" s="226"/>
      <c r="AM45" s="71"/>
      <c r="AN45" s="71"/>
      <c r="AO45" s="345"/>
      <c r="AP45" s="71"/>
      <c r="AQ45" s="226"/>
      <c r="AR45" s="71"/>
      <c r="AS45" s="71"/>
      <c r="AT45" s="345"/>
      <c r="AU45" s="71"/>
      <c r="AV45" s="226"/>
      <c r="AW45" s="71"/>
      <c r="AX45" s="71"/>
      <c r="AY45" s="345"/>
      <c r="AZ45" s="71"/>
      <c r="BA45" s="226"/>
      <c r="BB45" s="71"/>
      <c r="BC45" s="71"/>
      <c r="BD45" s="345"/>
      <c r="BE45" s="71"/>
      <c r="BF45" s="226"/>
      <c r="BG45" s="71"/>
      <c r="BH45" s="71"/>
      <c r="BI45" s="345"/>
      <c r="BJ45" s="71"/>
      <c r="BK45" s="226"/>
      <c r="BL45" s="71"/>
      <c r="BM45" s="71"/>
      <c r="BN45" s="345"/>
      <c r="BO45" s="71"/>
      <c r="BP45" s="226"/>
      <c r="BQ45" s="71"/>
      <c r="BR45" s="71"/>
      <c r="BS45" s="345"/>
      <c r="BT45" s="71"/>
      <c r="BU45" s="226"/>
      <c r="BV45" s="71"/>
      <c r="BW45" s="71"/>
      <c r="BX45" s="345"/>
      <c r="BY45" s="71"/>
      <c r="BZ45" s="226"/>
      <c r="CA45" s="71"/>
      <c r="CB45" s="71"/>
      <c r="CC45" s="345"/>
      <c r="CD45" s="71"/>
      <c r="CE45" s="226"/>
      <c r="CF45" s="71"/>
      <c r="CG45" s="71"/>
      <c r="CH45" s="345"/>
      <c r="CI45" s="71"/>
      <c r="CJ45" s="226"/>
      <c r="CK45" s="71"/>
      <c r="CL45" s="71"/>
      <c r="CM45" s="345"/>
      <c r="CN45" s="71"/>
      <c r="CO45" s="226"/>
      <c r="CP45" s="71"/>
      <c r="CQ45" s="71"/>
      <c r="CR45" s="345"/>
      <c r="CS45" s="71"/>
      <c r="CT45" s="226"/>
      <c r="CU45" s="71"/>
      <c r="CV45" s="71"/>
      <c r="CW45" s="345"/>
      <c r="CX45" s="71"/>
      <c r="CY45" s="226"/>
      <c r="CZ45" s="71"/>
      <c r="DA45" s="71"/>
      <c r="DB45" s="345"/>
      <c r="DC45" s="71"/>
      <c r="DD45" s="226"/>
      <c r="DE45" s="71"/>
      <c r="DF45" s="71"/>
      <c r="DG45" s="345"/>
      <c r="DH45" s="71"/>
      <c r="DI45" s="226"/>
      <c r="DJ45" s="71"/>
      <c r="DK45" s="71"/>
      <c r="DL45" s="345"/>
      <c r="DM45" s="71"/>
      <c r="DN45" s="226"/>
      <c r="DO45" s="71"/>
      <c r="DP45" s="71"/>
      <c r="DQ45" s="345"/>
      <c r="DR45" s="71"/>
      <c r="DS45" s="226"/>
      <c r="DT45" s="71"/>
      <c r="DU45" s="71"/>
      <c r="DV45" s="345"/>
      <c r="DW45" s="71"/>
      <c r="DX45" s="226"/>
      <c r="DY45" s="71"/>
      <c r="DZ45" s="71"/>
      <c r="EA45" s="345"/>
      <c r="EB45" s="71"/>
      <c r="EC45" s="226"/>
      <c r="ED45" s="71"/>
      <c r="EE45" s="71"/>
      <c r="EF45" s="345"/>
      <c r="EG45" s="71"/>
      <c r="EH45" s="226"/>
      <c r="EI45" s="71"/>
      <c r="EJ45" s="71"/>
      <c r="EK45" s="345"/>
      <c r="EL45" s="71"/>
      <c r="EM45" s="226"/>
      <c r="EN45" s="71"/>
      <c r="EO45" s="71"/>
      <c r="EP45" s="345"/>
      <c r="EQ45" s="71"/>
      <c r="ER45" s="226"/>
      <c r="ES45" s="71"/>
      <c r="ET45" s="71"/>
      <c r="EU45" s="345"/>
      <c r="EV45" s="71"/>
      <c r="EW45" s="226"/>
      <c r="EX45" s="71"/>
      <c r="EY45" s="71"/>
      <c r="EZ45" s="345"/>
      <c r="FA45" s="71"/>
      <c r="FB45" s="226"/>
      <c r="FC45" s="71"/>
      <c r="FD45" s="71"/>
      <c r="FE45" s="345"/>
      <c r="FF45" s="71"/>
      <c r="FG45" s="226"/>
      <c r="FH45" s="71"/>
      <c r="FI45" s="71"/>
      <c r="FJ45" s="345"/>
      <c r="FK45" s="71"/>
      <c r="FL45" s="226"/>
      <c r="FM45" s="71"/>
      <c r="FN45" s="71"/>
      <c r="FO45" s="345"/>
      <c r="FP45" s="71"/>
      <c r="FQ45" s="226"/>
      <c r="FR45" s="71"/>
      <c r="FS45" s="71"/>
      <c r="FT45" s="345"/>
      <c r="FU45" s="71"/>
      <c r="FV45" s="226"/>
      <c r="FW45" s="71"/>
      <c r="FX45" s="71"/>
      <c r="FY45" s="345"/>
      <c r="FZ45" s="71"/>
      <c r="GA45" s="226"/>
      <c r="GB45" s="71"/>
      <c r="GC45" s="71"/>
      <c r="GD45" s="345"/>
      <c r="GE45" s="71"/>
      <c r="GF45" s="226"/>
      <c r="GG45" s="71"/>
      <c r="GH45" s="71"/>
      <c r="GI45" s="345"/>
      <c r="GJ45" s="71"/>
      <c r="GK45" s="226"/>
      <c r="GL45" s="71"/>
      <c r="GM45" s="71"/>
      <c r="GN45" s="345"/>
      <c r="GO45" s="71"/>
      <c r="GP45" s="226"/>
      <c r="GQ45" s="71"/>
      <c r="GR45" s="71"/>
      <c r="GS45" s="345"/>
      <c r="GT45" s="71"/>
      <c r="GU45" s="226"/>
      <c r="GV45" s="71"/>
      <c r="GW45" s="71"/>
      <c r="GX45" s="345"/>
      <c r="GY45" s="71"/>
      <c r="GZ45" s="226"/>
      <c r="HA45" s="71"/>
      <c r="HB45" s="71"/>
      <c r="HC45" s="345"/>
      <c r="HD45" s="71"/>
      <c r="HE45" s="226"/>
      <c r="HF45" s="71"/>
      <c r="HG45" s="71"/>
      <c r="HH45" s="345"/>
      <c r="HI45" s="71"/>
      <c r="HJ45" s="226"/>
      <c r="HK45" s="71"/>
      <c r="HL45" s="71"/>
      <c r="HM45" s="345"/>
      <c r="HN45" s="71"/>
      <c r="HO45" s="226"/>
      <c r="HP45" s="71"/>
      <c r="HQ45" s="71"/>
      <c r="HR45" s="345"/>
      <c r="HS45" s="71"/>
      <c r="HT45" s="226"/>
      <c r="HU45" s="71"/>
      <c r="HV45" s="71"/>
      <c r="HW45" s="345"/>
      <c r="HX45" s="71"/>
      <c r="HY45" s="226"/>
      <c r="HZ45" s="71"/>
      <c r="IA45" s="71"/>
      <c r="IB45" s="345"/>
      <c r="IC45" s="71"/>
      <c r="ID45" s="226"/>
      <c r="IE45" s="71"/>
      <c r="IF45" s="71"/>
      <c r="IG45" s="345"/>
      <c r="IH45" s="71"/>
      <c r="II45" s="226"/>
      <c r="IJ45" s="71"/>
      <c r="IK45" s="71"/>
      <c r="IL45" s="345"/>
      <c r="IM45" s="71"/>
      <c r="IN45" s="226"/>
      <c r="IO45" s="71"/>
      <c r="IP45" s="71"/>
      <c r="IQ45" s="345"/>
      <c r="IR45" s="71"/>
      <c r="IS45" s="226"/>
      <c r="IT45" s="71"/>
      <c r="IU45" s="71"/>
      <c r="IV45" s="345"/>
    </row>
    <row r="46" spans="1:256" x14ac:dyDescent="0.2">
      <c r="A46" s="345">
        <v>28914</v>
      </c>
      <c r="B46" s="71"/>
      <c r="C46" s="226"/>
      <c r="D46" s="71"/>
      <c r="E46" s="71"/>
      <c r="F46" s="345"/>
      <c r="G46" s="71"/>
      <c r="H46" s="226"/>
      <c r="I46" s="71"/>
      <c r="J46" s="71"/>
      <c r="K46" s="345"/>
      <c r="L46" s="71"/>
      <c r="M46" s="226"/>
      <c r="N46" s="71"/>
      <c r="O46" s="71"/>
      <c r="P46" s="345"/>
      <c r="Q46" s="71"/>
      <c r="R46" s="226"/>
      <c r="S46" s="71"/>
      <c r="T46" s="71"/>
      <c r="U46" s="345"/>
      <c r="V46" s="71"/>
      <c r="W46" s="226"/>
      <c r="X46" s="71"/>
      <c r="Y46" s="71"/>
      <c r="Z46" s="345"/>
      <c r="AA46" s="71"/>
      <c r="AB46" s="226"/>
      <c r="AC46" s="71"/>
      <c r="AD46" s="71"/>
      <c r="AE46" s="345"/>
      <c r="AF46" s="71"/>
      <c r="AG46" s="226"/>
      <c r="AH46" s="71"/>
      <c r="AI46" s="71"/>
      <c r="AJ46" s="345"/>
      <c r="AK46" s="71"/>
      <c r="AL46" s="226"/>
      <c r="AM46" s="71"/>
      <c r="AN46" s="71"/>
      <c r="AO46" s="345"/>
      <c r="AP46" s="71"/>
      <c r="AQ46" s="226"/>
      <c r="AR46" s="71"/>
      <c r="AS46" s="71"/>
      <c r="AT46" s="345"/>
      <c r="AU46" s="71"/>
      <c r="AV46" s="226"/>
      <c r="AW46" s="71"/>
      <c r="AX46" s="71"/>
      <c r="AY46" s="345"/>
      <c r="AZ46" s="71"/>
      <c r="BA46" s="226"/>
      <c r="BB46" s="71"/>
      <c r="BC46" s="71"/>
      <c r="BD46" s="345"/>
      <c r="BE46" s="71"/>
      <c r="BF46" s="226"/>
      <c r="BG46" s="71"/>
      <c r="BH46" s="71"/>
      <c r="BI46" s="345"/>
      <c r="BJ46" s="71"/>
      <c r="BK46" s="226"/>
      <c r="BL46" s="71"/>
      <c r="BM46" s="71"/>
      <c r="BN46" s="345"/>
      <c r="BO46" s="71"/>
      <c r="BP46" s="226"/>
      <c r="BQ46" s="71"/>
      <c r="BR46" s="71"/>
      <c r="BS46" s="345"/>
      <c r="BT46" s="71"/>
      <c r="BU46" s="226"/>
      <c r="BV46" s="71"/>
      <c r="BW46" s="71"/>
      <c r="BX46" s="345"/>
      <c r="BY46" s="71"/>
      <c r="BZ46" s="226"/>
      <c r="CA46" s="71"/>
      <c r="CB46" s="71"/>
      <c r="CC46" s="345"/>
      <c r="CD46" s="71"/>
      <c r="CE46" s="226"/>
      <c r="CF46" s="71"/>
      <c r="CG46" s="71"/>
      <c r="CH46" s="345"/>
      <c r="CI46" s="71"/>
      <c r="CJ46" s="226"/>
      <c r="CK46" s="71"/>
      <c r="CL46" s="71"/>
      <c r="CM46" s="345"/>
      <c r="CN46" s="71"/>
      <c r="CO46" s="226"/>
      <c r="CP46" s="71"/>
      <c r="CQ46" s="71"/>
      <c r="CR46" s="345"/>
      <c r="CS46" s="71"/>
      <c r="CT46" s="226"/>
      <c r="CU46" s="71"/>
      <c r="CV46" s="71"/>
      <c r="CW46" s="345"/>
      <c r="CX46" s="71"/>
      <c r="CY46" s="226"/>
      <c r="CZ46" s="71"/>
      <c r="DA46" s="71"/>
      <c r="DB46" s="345"/>
      <c r="DC46" s="71"/>
      <c r="DD46" s="226"/>
      <c r="DE46" s="71"/>
      <c r="DF46" s="71"/>
      <c r="DG46" s="345"/>
      <c r="DH46" s="71"/>
      <c r="DI46" s="226"/>
      <c r="DJ46" s="71"/>
      <c r="DK46" s="71"/>
      <c r="DL46" s="345"/>
      <c r="DM46" s="71"/>
      <c r="DN46" s="226"/>
      <c r="DO46" s="71"/>
      <c r="DP46" s="71"/>
      <c r="DQ46" s="345"/>
      <c r="DR46" s="71"/>
      <c r="DS46" s="226"/>
      <c r="DT46" s="71"/>
      <c r="DU46" s="71"/>
      <c r="DV46" s="345"/>
      <c r="DW46" s="71"/>
      <c r="DX46" s="226"/>
      <c r="DY46" s="71"/>
      <c r="DZ46" s="71"/>
      <c r="EA46" s="345"/>
      <c r="EB46" s="71"/>
      <c r="EC46" s="226"/>
      <c r="ED46" s="71"/>
      <c r="EE46" s="71"/>
      <c r="EF46" s="345"/>
      <c r="EG46" s="71"/>
      <c r="EH46" s="226"/>
      <c r="EI46" s="71"/>
      <c r="EJ46" s="71"/>
      <c r="EK46" s="345"/>
      <c r="EL46" s="71"/>
      <c r="EM46" s="226"/>
      <c r="EN46" s="71"/>
      <c r="EO46" s="71"/>
      <c r="EP46" s="345"/>
      <c r="EQ46" s="71"/>
      <c r="ER46" s="226"/>
      <c r="ES46" s="71"/>
      <c r="ET46" s="71"/>
      <c r="EU46" s="345"/>
      <c r="EV46" s="71"/>
      <c r="EW46" s="226"/>
      <c r="EX46" s="71"/>
      <c r="EY46" s="71"/>
      <c r="EZ46" s="345"/>
      <c r="FA46" s="71"/>
      <c r="FB46" s="226"/>
      <c r="FC46" s="71"/>
      <c r="FD46" s="71"/>
      <c r="FE46" s="345"/>
      <c r="FF46" s="71"/>
      <c r="FG46" s="226"/>
      <c r="FH46" s="71"/>
      <c r="FI46" s="71"/>
      <c r="FJ46" s="345"/>
      <c r="FK46" s="71"/>
      <c r="FL46" s="226"/>
      <c r="FM46" s="71"/>
      <c r="FN46" s="71"/>
      <c r="FO46" s="345"/>
      <c r="FP46" s="71"/>
      <c r="FQ46" s="226"/>
      <c r="FR46" s="71"/>
      <c r="FS46" s="71"/>
      <c r="FT46" s="345"/>
      <c r="FU46" s="71"/>
      <c r="FV46" s="226"/>
      <c r="FW46" s="71"/>
      <c r="FX46" s="71"/>
      <c r="FY46" s="345"/>
      <c r="FZ46" s="71"/>
      <c r="GA46" s="226"/>
      <c r="GB46" s="71"/>
      <c r="GC46" s="71"/>
      <c r="GD46" s="345"/>
      <c r="GE46" s="71"/>
      <c r="GF46" s="226"/>
      <c r="GG46" s="71"/>
      <c r="GH46" s="71"/>
      <c r="GI46" s="345"/>
      <c r="GJ46" s="71"/>
      <c r="GK46" s="226"/>
      <c r="GL46" s="71"/>
      <c r="GM46" s="71"/>
      <c r="GN46" s="345"/>
      <c r="GO46" s="71"/>
      <c r="GP46" s="226"/>
      <c r="GQ46" s="71"/>
      <c r="GR46" s="71"/>
      <c r="GS46" s="345"/>
      <c r="GT46" s="71"/>
      <c r="GU46" s="226"/>
      <c r="GV46" s="71"/>
      <c r="GW46" s="71"/>
      <c r="GX46" s="345"/>
      <c r="GY46" s="71"/>
      <c r="GZ46" s="226"/>
      <c r="HA46" s="71"/>
      <c r="HB46" s="71"/>
      <c r="HC46" s="345"/>
      <c r="HD46" s="71"/>
      <c r="HE46" s="226"/>
      <c r="HF46" s="71"/>
      <c r="HG46" s="71"/>
      <c r="HH46" s="345"/>
      <c r="HI46" s="71"/>
      <c r="HJ46" s="226"/>
      <c r="HK46" s="71"/>
      <c r="HL46" s="71"/>
      <c r="HM46" s="345"/>
      <c r="HN46" s="71"/>
      <c r="HO46" s="226"/>
      <c r="HP46" s="71"/>
      <c r="HQ46" s="71"/>
      <c r="HR46" s="345"/>
      <c r="HS46" s="71"/>
      <c r="HT46" s="226"/>
      <c r="HU46" s="71"/>
      <c r="HV46" s="71"/>
      <c r="HW46" s="345"/>
      <c r="HX46" s="71"/>
      <c r="HY46" s="226"/>
      <c r="HZ46" s="71"/>
      <c r="IA46" s="71"/>
      <c r="IB46" s="345"/>
      <c r="IC46" s="71"/>
      <c r="ID46" s="226"/>
      <c r="IE46" s="71"/>
      <c r="IF46" s="71"/>
      <c r="IG46" s="345"/>
      <c r="IH46" s="71"/>
      <c r="II46" s="226"/>
      <c r="IJ46" s="71"/>
      <c r="IK46" s="71"/>
      <c r="IL46" s="345"/>
      <c r="IM46" s="71"/>
      <c r="IN46" s="226"/>
      <c r="IO46" s="71"/>
      <c r="IP46" s="71"/>
      <c r="IQ46" s="345"/>
      <c r="IR46" s="71"/>
      <c r="IS46" s="226"/>
      <c r="IT46" s="71"/>
      <c r="IU46" s="71"/>
      <c r="IV46" s="345"/>
    </row>
    <row r="47" spans="1:256" x14ac:dyDescent="0.2">
      <c r="A47" s="345">
        <v>28945</v>
      </c>
      <c r="B47" s="71"/>
      <c r="C47" s="226"/>
      <c r="D47" s="71"/>
      <c r="E47" s="71"/>
      <c r="F47" s="345"/>
      <c r="G47" s="71"/>
      <c r="H47" s="226"/>
      <c r="I47" s="71"/>
      <c r="J47" s="71"/>
      <c r="K47" s="345"/>
      <c r="L47" s="71"/>
      <c r="M47" s="226"/>
      <c r="N47" s="71"/>
      <c r="O47" s="71"/>
      <c r="P47" s="345"/>
      <c r="Q47" s="71"/>
      <c r="R47" s="226"/>
      <c r="S47" s="71"/>
      <c r="T47" s="71"/>
      <c r="U47" s="345"/>
      <c r="V47" s="71"/>
      <c r="W47" s="226"/>
      <c r="X47" s="71"/>
      <c r="Y47" s="71"/>
      <c r="Z47" s="345"/>
      <c r="AA47" s="71"/>
      <c r="AB47" s="226"/>
      <c r="AC47" s="71"/>
      <c r="AD47" s="71"/>
      <c r="AE47" s="345"/>
      <c r="AF47" s="71"/>
      <c r="AG47" s="226"/>
      <c r="AH47" s="71"/>
      <c r="AI47" s="71"/>
      <c r="AJ47" s="345"/>
      <c r="AK47" s="71"/>
      <c r="AL47" s="226"/>
      <c r="AM47" s="71"/>
      <c r="AN47" s="71"/>
      <c r="AO47" s="345"/>
      <c r="AP47" s="71"/>
      <c r="AQ47" s="226"/>
      <c r="AR47" s="71"/>
      <c r="AS47" s="71"/>
      <c r="AT47" s="345"/>
      <c r="AU47" s="71"/>
      <c r="AV47" s="226"/>
      <c r="AW47" s="71"/>
      <c r="AX47" s="71"/>
      <c r="AY47" s="345"/>
      <c r="AZ47" s="71"/>
      <c r="BA47" s="226"/>
      <c r="BB47" s="71"/>
      <c r="BC47" s="71"/>
      <c r="BD47" s="345"/>
      <c r="BE47" s="71"/>
      <c r="BF47" s="226"/>
      <c r="BG47" s="71"/>
      <c r="BH47" s="71"/>
      <c r="BI47" s="345"/>
      <c r="BJ47" s="71"/>
      <c r="BK47" s="226"/>
      <c r="BL47" s="71"/>
      <c r="BM47" s="71"/>
      <c r="BN47" s="345"/>
      <c r="BO47" s="71"/>
      <c r="BP47" s="226"/>
      <c r="BQ47" s="71"/>
      <c r="BR47" s="71"/>
      <c r="BS47" s="345"/>
      <c r="BT47" s="71"/>
      <c r="BU47" s="226"/>
      <c r="BV47" s="71"/>
      <c r="BW47" s="71"/>
      <c r="BX47" s="345"/>
      <c r="BY47" s="71"/>
      <c r="BZ47" s="226"/>
      <c r="CA47" s="71"/>
      <c r="CB47" s="71"/>
      <c r="CC47" s="345"/>
      <c r="CD47" s="71"/>
      <c r="CE47" s="226"/>
      <c r="CF47" s="71"/>
      <c r="CG47" s="71"/>
      <c r="CH47" s="345"/>
      <c r="CI47" s="71"/>
      <c r="CJ47" s="226"/>
      <c r="CK47" s="71"/>
      <c r="CL47" s="71"/>
      <c r="CM47" s="345"/>
      <c r="CN47" s="71"/>
      <c r="CO47" s="226"/>
      <c r="CP47" s="71"/>
      <c r="CQ47" s="71"/>
      <c r="CR47" s="345"/>
      <c r="CS47" s="71"/>
      <c r="CT47" s="226"/>
      <c r="CU47" s="71"/>
      <c r="CV47" s="71"/>
      <c r="CW47" s="345"/>
      <c r="CX47" s="71"/>
      <c r="CY47" s="226"/>
      <c r="CZ47" s="71"/>
      <c r="DA47" s="71"/>
      <c r="DB47" s="345"/>
      <c r="DC47" s="71"/>
      <c r="DD47" s="226"/>
      <c r="DE47" s="71"/>
      <c r="DF47" s="71"/>
      <c r="DG47" s="345"/>
      <c r="DH47" s="71"/>
      <c r="DI47" s="226"/>
      <c r="DJ47" s="71"/>
      <c r="DK47" s="71"/>
      <c r="DL47" s="345"/>
      <c r="DM47" s="71"/>
      <c r="DN47" s="226"/>
      <c r="DO47" s="71"/>
      <c r="DP47" s="71"/>
      <c r="DQ47" s="345"/>
      <c r="DR47" s="71"/>
      <c r="DS47" s="226"/>
      <c r="DT47" s="71"/>
      <c r="DU47" s="71"/>
      <c r="DV47" s="345"/>
      <c r="DW47" s="71"/>
      <c r="DX47" s="226"/>
      <c r="DY47" s="71"/>
      <c r="DZ47" s="71"/>
      <c r="EA47" s="345"/>
      <c r="EB47" s="71"/>
      <c r="EC47" s="226"/>
      <c r="ED47" s="71"/>
      <c r="EE47" s="71"/>
      <c r="EF47" s="345"/>
      <c r="EG47" s="71"/>
      <c r="EH47" s="226"/>
      <c r="EI47" s="71"/>
      <c r="EJ47" s="71"/>
      <c r="EK47" s="345"/>
      <c r="EL47" s="71"/>
      <c r="EM47" s="226"/>
      <c r="EN47" s="71"/>
      <c r="EO47" s="71"/>
      <c r="EP47" s="345"/>
      <c r="EQ47" s="71"/>
      <c r="ER47" s="226"/>
      <c r="ES47" s="71"/>
      <c r="ET47" s="71"/>
      <c r="EU47" s="345"/>
      <c r="EV47" s="71"/>
      <c r="EW47" s="226"/>
      <c r="EX47" s="71"/>
      <c r="EY47" s="71"/>
      <c r="EZ47" s="345"/>
      <c r="FA47" s="71"/>
      <c r="FB47" s="226"/>
      <c r="FC47" s="71"/>
      <c r="FD47" s="71"/>
      <c r="FE47" s="345"/>
      <c r="FF47" s="71"/>
      <c r="FG47" s="226"/>
      <c r="FH47" s="71"/>
      <c r="FI47" s="71"/>
      <c r="FJ47" s="345"/>
      <c r="FK47" s="71"/>
      <c r="FL47" s="226"/>
      <c r="FM47" s="71"/>
      <c r="FN47" s="71"/>
      <c r="FO47" s="345"/>
      <c r="FP47" s="71"/>
      <c r="FQ47" s="226"/>
      <c r="FR47" s="71"/>
      <c r="FS47" s="71"/>
      <c r="FT47" s="345"/>
      <c r="FU47" s="71"/>
      <c r="FV47" s="226"/>
      <c r="FW47" s="71"/>
      <c r="FX47" s="71"/>
      <c r="FY47" s="345"/>
      <c r="FZ47" s="71"/>
      <c r="GA47" s="226"/>
      <c r="GB47" s="71"/>
      <c r="GC47" s="71"/>
      <c r="GD47" s="345"/>
      <c r="GE47" s="71"/>
      <c r="GF47" s="226"/>
      <c r="GG47" s="71"/>
      <c r="GH47" s="71"/>
      <c r="GI47" s="345"/>
      <c r="GJ47" s="71"/>
      <c r="GK47" s="226"/>
      <c r="GL47" s="71"/>
      <c r="GM47" s="71"/>
      <c r="GN47" s="345"/>
      <c r="GO47" s="71"/>
      <c r="GP47" s="226"/>
      <c r="GQ47" s="71"/>
      <c r="GR47" s="71"/>
      <c r="GS47" s="345"/>
      <c r="GT47" s="71"/>
      <c r="GU47" s="226"/>
      <c r="GV47" s="71"/>
      <c r="GW47" s="71"/>
      <c r="GX47" s="345"/>
      <c r="GY47" s="71"/>
      <c r="GZ47" s="226"/>
      <c r="HA47" s="71"/>
      <c r="HB47" s="71"/>
      <c r="HC47" s="345"/>
      <c r="HD47" s="71"/>
      <c r="HE47" s="226"/>
      <c r="HF47" s="71"/>
      <c r="HG47" s="71"/>
      <c r="HH47" s="345"/>
      <c r="HI47" s="71"/>
      <c r="HJ47" s="226"/>
      <c r="HK47" s="71"/>
      <c r="HL47" s="71"/>
      <c r="HM47" s="345"/>
      <c r="HN47" s="71"/>
      <c r="HO47" s="226"/>
      <c r="HP47" s="71"/>
      <c r="HQ47" s="71"/>
      <c r="HR47" s="345"/>
      <c r="HS47" s="71"/>
      <c r="HT47" s="226"/>
      <c r="HU47" s="71"/>
      <c r="HV47" s="71"/>
      <c r="HW47" s="345"/>
      <c r="HX47" s="71"/>
      <c r="HY47" s="226"/>
      <c r="HZ47" s="71"/>
      <c r="IA47" s="71"/>
      <c r="IB47" s="345"/>
      <c r="IC47" s="71"/>
      <c r="ID47" s="226"/>
      <c r="IE47" s="71"/>
      <c r="IF47" s="71"/>
      <c r="IG47" s="345"/>
      <c r="IH47" s="71"/>
      <c r="II47" s="226"/>
      <c r="IJ47" s="71"/>
      <c r="IK47" s="71"/>
      <c r="IL47" s="345"/>
      <c r="IM47" s="71"/>
      <c r="IN47" s="226"/>
      <c r="IO47" s="71"/>
      <c r="IP47" s="71"/>
      <c r="IQ47" s="345"/>
      <c r="IR47" s="71"/>
      <c r="IS47" s="226"/>
      <c r="IT47" s="71"/>
      <c r="IU47" s="71"/>
      <c r="IV47" s="345"/>
    </row>
    <row r="48" spans="1:256" x14ac:dyDescent="0.2">
      <c r="A48" s="345">
        <v>28975</v>
      </c>
      <c r="B48" s="71"/>
      <c r="C48" s="226"/>
      <c r="D48" s="71"/>
      <c r="E48" s="71"/>
      <c r="F48" s="345"/>
      <c r="G48" s="71"/>
      <c r="H48" s="226"/>
      <c r="I48" s="71"/>
      <c r="J48" s="71"/>
      <c r="K48" s="345"/>
      <c r="L48" s="71"/>
      <c r="M48" s="226"/>
      <c r="N48" s="71"/>
      <c r="O48" s="71"/>
      <c r="P48" s="345"/>
      <c r="Q48" s="71"/>
      <c r="R48" s="226"/>
      <c r="S48" s="71"/>
      <c r="T48" s="71"/>
      <c r="U48" s="345"/>
      <c r="V48" s="71"/>
      <c r="W48" s="226"/>
      <c r="X48" s="71"/>
      <c r="Y48" s="71"/>
      <c r="Z48" s="345"/>
      <c r="AA48" s="71"/>
      <c r="AB48" s="226"/>
      <c r="AC48" s="71"/>
      <c r="AD48" s="71"/>
      <c r="AE48" s="345"/>
      <c r="AF48" s="71"/>
      <c r="AG48" s="226"/>
      <c r="AH48" s="71"/>
      <c r="AI48" s="71"/>
      <c r="AJ48" s="345"/>
      <c r="AK48" s="71"/>
      <c r="AL48" s="226"/>
      <c r="AM48" s="71"/>
      <c r="AN48" s="71"/>
      <c r="AO48" s="345"/>
      <c r="AP48" s="71"/>
      <c r="AQ48" s="226"/>
      <c r="AR48" s="71"/>
      <c r="AS48" s="71"/>
      <c r="AT48" s="345"/>
      <c r="AU48" s="71"/>
      <c r="AV48" s="226"/>
      <c r="AW48" s="71"/>
      <c r="AX48" s="71"/>
      <c r="AY48" s="345"/>
      <c r="AZ48" s="71"/>
      <c r="BA48" s="226"/>
      <c r="BB48" s="71"/>
      <c r="BC48" s="71"/>
      <c r="BD48" s="345"/>
      <c r="BE48" s="71"/>
      <c r="BF48" s="226"/>
      <c r="BG48" s="71"/>
      <c r="BH48" s="71"/>
      <c r="BI48" s="345"/>
      <c r="BJ48" s="71"/>
      <c r="BK48" s="226"/>
      <c r="BL48" s="71"/>
      <c r="BM48" s="71"/>
      <c r="BN48" s="345"/>
      <c r="BO48" s="71"/>
      <c r="BP48" s="226"/>
      <c r="BQ48" s="71"/>
      <c r="BR48" s="71"/>
      <c r="BS48" s="345"/>
      <c r="BT48" s="71"/>
      <c r="BU48" s="226"/>
      <c r="BV48" s="71"/>
      <c r="BW48" s="71"/>
      <c r="BX48" s="345"/>
      <c r="BY48" s="71"/>
      <c r="BZ48" s="226"/>
      <c r="CA48" s="71"/>
      <c r="CB48" s="71"/>
      <c r="CC48" s="345"/>
      <c r="CD48" s="71"/>
      <c r="CE48" s="226"/>
      <c r="CF48" s="71"/>
      <c r="CG48" s="71"/>
      <c r="CH48" s="345"/>
      <c r="CI48" s="71"/>
      <c r="CJ48" s="226"/>
      <c r="CK48" s="71"/>
      <c r="CL48" s="71"/>
      <c r="CM48" s="345"/>
      <c r="CN48" s="71"/>
      <c r="CO48" s="226"/>
      <c r="CP48" s="71"/>
      <c r="CQ48" s="71"/>
      <c r="CR48" s="345"/>
      <c r="CS48" s="71"/>
      <c r="CT48" s="226"/>
      <c r="CU48" s="71"/>
      <c r="CV48" s="71"/>
      <c r="CW48" s="345"/>
      <c r="CX48" s="71"/>
      <c r="CY48" s="226"/>
      <c r="CZ48" s="71"/>
      <c r="DA48" s="71"/>
      <c r="DB48" s="345"/>
      <c r="DC48" s="71"/>
      <c r="DD48" s="226"/>
      <c r="DE48" s="71"/>
      <c r="DF48" s="71"/>
      <c r="DG48" s="345"/>
      <c r="DH48" s="71"/>
      <c r="DI48" s="226"/>
      <c r="DJ48" s="71"/>
      <c r="DK48" s="71"/>
      <c r="DL48" s="345"/>
      <c r="DM48" s="71"/>
      <c r="DN48" s="226"/>
      <c r="DO48" s="71"/>
      <c r="DP48" s="71"/>
      <c r="DQ48" s="345"/>
      <c r="DR48" s="71"/>
      <c r="DS48" s="226"/>
      <c r="DT48" s="71"/>
      <c r="DU48" s="71"/>
      <c r="DV48" s="345"/>
      <c r="DW48" s="71"/>
      <c r="DX48" s="226"/>
      <c r="DY48" s="71"/>
      <c r="DZ48" s="71"/>
      <c r="EA48" s="345"/>
      <c r="EB48" s="71"/>
      <c r="EC48" s="226"/>
      <c r="ED48" s="71"/>
      <c r="EE48" s="71"/>
      <c r="EF48" s="345"/>
      <c r="EG48" s="71"/>
      <c r="EH48" s="226"/>
      <c r="EI48" s="71"/>
      <c r="EJ48" s="71"/>
      <c r="EK48" s="345"/>
      <c r="EL48" s="71"/>
      <c r="EM48" s="226"/>
      <c r="EN48" s="71"/>
      <c r="EO48" s="71"/>
      <c r="EP48" s="345"/>
      <c r="EQ48" s="71"/>
      <c r="ER48" s="226"/>
      <c r="ES48" s="71"/>
      <c r="ET48" s="71"/>
      <c r="EU48" s="345"/>
      <c r="EV48" s="71"/>
      <c r="EW48" s="226"/>
      <c r="EX48" s="71"/>
      <c r="EY48" s="71"/>
      <c r="EZ48" s="345"/>
      <c r="FA48" s="71"/>
      <c r="FB48" s="226"/>
      <c r="FC48" s="71"/>
      <c r="FD48" s="71"/>
      <c r="FE48" s="345"/>
      <c r="FF48" s="71"/>
      <c r="FG48" s="226"/>
      <c r="FH48" s="71"/>
      <c r="FI48" s="71"/>
      <c r="FJ48" s="345"/>
      <c r="FK48" s="71"/>
      <c r="FL48" s="226"/>
      <c r="FM48" s="71"/>
      <c r="FN48" s="71"/>
      <c r="FO48" s="345"/>
      <c r="FP48" s="71"/>
      <c r="FQ48" s="226"/>
      <c r="FR48" s="71"/>
      <c r="FS48" s="71"/>
      <c r="FT48" s="345"/>
      <c r="FU48" s="71"/>
      <c r="FV48" s="226"/>
      <c r="FW48" s="71"/>
      <c r="FX48" s="71"/>
      <c r="FY48" s="345"/>
      <c r="FZ48" s="71"/>
      <c r="GA48" s="226"/>
      <c r="GB48" s="71"/>
      <c r="GC48" s="71"/>
      <c r="GD48" s="345"/>
      <c r="GE48" s="71"/>
      <c r="GF48" s="226"/>
      <c r="GG48" s="71"/>
      <c r="GH48" s="71"/>
      <c r="GI48" s="345"/>
      <c r="GJ48" s="71"/>
      <c r="GK48" s="226"/>
      <c r="GL48" s="71"/>
      <c r="GM48" s="71"/>
      <c r="GN48" s="345"/>
      <c r="GO48" s="71"/>
      <c r="GP48" s="226"/>
      <c r="GQ48" s="71"/>
      <c r="GR48" s="71"/>
      <c r="GS48" s="345"/>
      <c r="GT48" s="71"/>
      <c r="GU48" s="226"/>
      <c r="GV48" s="71"/>
      <c r="GW48" s="71"/>
      <c r="GX48" s="345"/>
      <c r="GY48" s="71"/>
      <c r="GZ48" s="226"/>
      <c r="HA48" s="71"/>
      <c r="HB48" s="71"/>
      <c r="HC48" s="345"/>
      <c r="HD48" s="71"/>
      <c r="HE48" s="226"/>
      <c r="HF48" s="71"/>
      <c r="HG48" s="71"/>
      <c r="HH48" s="345"/>
      <c r="HI48" s="71"/>
      <c r="HJ48" s="226"/>
      <c r="HK48" s="71"/>
      <c r="HL48" s="71"/>
      <c r="HM48" s="345"/>
      <c r="HN48" s="71"/>
      <c r="HO48" s="226"/>
      <c r="HP48" s="71"/>
      <c r="HQ48" s="71"/>
      <c r="HR48" s="345"/>
      <c r="HS48" s="71"/>
      <c r="HT48" s="226"/>
      <c r="HU48" s="71"/>
      <c r="HV48" s="71"/>
      <c r="HW48" s="345"/>
      <c r="HX48" s="71"/>
      <c r="HY48" s="226"/>
      <c r="HZ48" s="71"/>
      <c r="IA48" s="71"/>
      <c r="IB48" s="345"/>
      <c r="IC48" s="71"/>
      <c r="ID48" s="226"/>
      <c r="IE48" s="71"/>
      <c r="IF48" s="71"/>
      <c r="IG48" s="345"/>
      <c r="IH48" s="71"/>
      <c r="II48" s="226"/>
      <c r="IJ48" s="71"/>
      <c r="IK48" s="71"/>
      <c r="IL48" s="345"/>
      <c r="IM48" s="71"/>
      <c r="IN48" s="226"/>
      <c r="IO48" s="71"/>
      <c r="IP48" s="71"/>
      <c r="IQ48" s="345"/>
      <c r="IR48" s="71"/>
      <c r="IS48" s="226"/>
      <c r="IT48" s="71"/>
      <c r="IU48" s="71"/>
      <c r="IV48" s="345"/>
    </row>
    <row r="49" spans="1:256" x14ac:dyDescent="0.2">
      <c r="A49" s="345">
        <v>29006</v>
      </c>
      <c r="B49" s="71"/>
      <c r="C49" s="226"/>
      <c r="D49" s="71"/>
      <c r="E49" s="71"/>
      <c r="F49" s="345"/>
      <c r="G49" s="71"/>
      <c r="H49" s="226"/>
      <c r="I49" s="71"/>
      <c r="J49" s="71"/>
      <c r="K49" s="345"/>
      <c r="L49" s="71"/>
      <c r="M49" s="226"/>
      <c r="N49" s="71"/>
      <c r="O49" s="71"/>
      <c r="P49" s="345"/>
      <c r="Q49" s="71"/>
      <c r="R49" s="226"/>
      <c r="S49" s="71"/>
      <c r="T49" s="71"/>
      <c r="U49" s="345"/>
      <c r="V49" s="71"/>
      <c r="W49" s="226"/>
      <c r="X49" s="71"/>
      <c r="Y49" s="71"/>
      <c r="Z49" s="345"/>
      <c r="AA49" s="71"/>
      <c r="AB49" s="226"/>
      <c r="AC49" s="71"/>
      <c r="AD49" s="71"/>
      <c r="AE49" s="345"/>
      <c r="AF49" s="71"/>
      <c r="AG49" s="226"/>
      <c r="AH49" s="71"/>
      <c r="AI49" s="71"/>
      <c r="AJ49" s="345"/>
      <c r="AK49" s="71"/>
      <c r="AL49" s="226"/>
      <c r="AM49" s="71"/>
      <c r="AN49" s="71"/>
      <c r="AO49" s="345"/>
      <c r="AP49" s="71"/>
      <c r="AQ49" s="226"/>
      <c r="AR49" s="71"/>
      <c r="AS49" s="71"/>
      <c r="AT49" s="345"/>
      <c r="AU49" s="71"/>
      <c r="AV49" s="226"/>
      <c r="AW49" s="71"/>
      <c r="AX49" s="71"/>
      <c r="AY49" s="345"/>
      <c r="AZ49" s="71"/>
      <c r="BA49" s="226"/>
      <c r="BB49" s="71"/>
      <c r="BC49" s="71"/>
      <c r="BD49" s="345"/>
      <c r="BE49" s="71"/>
      <c r="BF49" s="226"/>
      <c r="BG49" s="71"/>
      <c r="BH49" s="71"/>
      <c r="BI49" s="345"/>
      <c r="BJ49" s="71"/>
      <c r="BK49" s="226"/>
      <c r="BL49" s="71"/>
      <c r="BM49" s="71"/>
      <c r="BN49" s="345"/>
      <c r="BO49" s="71"/>
      <c r="BP49" s="226"/>
      <c r="BQ49" s="71"/>
      <c r="BR49" s="71"/>
      <c r="BS49" s="345"/>
      <c r="BT49" s="71"/>
      <c r="BU49" s="226"/>
      <c r="BV49" s="71"/>
      <c r="BW49" s="71"/>
      <c r="BX49" s="345"/>
      <c r="BY49" s="71"/>
      <c r="BZ49" s="226"/>
      <c r="CA49" s="71"/>
      <c r="CB49" s="71"/>
      <c r="CC49" s="345"/>
      <c r="CD49" s="71"/>
      <c r="CE49" s="226"/>
      <c r="CF49" s="71"/>
      <c r="CG49" s="71"/>
      <c r="CH49" s="345"/>
      <c r="CI49" s="71"/>
      <c r="CJ49" s="226"/>
      <c r="CK49" s="71"/>
      <c r="CL49" s="71"/>
      <c r="CM49" s="345"/>
      <c r="CN49" s="71"/>
      <c r="CO49" s="226"/>
      <c r="CP49" s="71"/>
      <c r="CQ49" s="71"/>
      <c r="CR49" s="345"/>
      <c r="CS49" s="71"/>
      <c r="CT49" s="226"/>
      <c r="CU49" s="71"/>
      <c r="CV49" s="71"/>
      <c r="CW49" s="345"/>
      <c r="CX49" s="71"/>
      <c r="CY49" s="226"/>
      <c r="CZ49" s="71"/>
      <c r="DA49" s="71"/>
      <c r="DB49" s="345"/>
      <c r="DC49" s="71"/>
      <c r="DD49" s="226"/>
      <c r="DE49" s="71"/>
      <c r="DF49" s="71"/>
      <c r="DG49" s="345"/>
      <c r="DH49" s="71"/>
      <c r="DI49" s="226"/>
      <c r="DJ49" s="71"/>
      <c r="DK49" s="71"/>
      <c r="DL49" s="345"/>
      <c r="DM49" s="71"/>
      <c r="DN49" s="226"/>
      <c r="DO49" s="71"/>
      <c r="DP49" s="71"/>
      <c r="DQ49" s="345"/>
      <c r="DR49" s="71"/>
      <c r="DS49" s="226"/>
      <c r="DT49" s="71"/>
      <c r="DU49" s="71"/>
      <c r="DV49" s="345"/>
      <c r="DW49" s="71"/>
      <c r="DX49" s="226"/>
      <c r="DY49" s="71"/>
      <c r="DZ49" s="71"/>
      <c r="EA49" s="345"/>
      <c r="EB49" s="71"/>
      <c r="EC49" s="226"/>
      <c r="ED49" s="71"/>
      <c r="EE49" s="71"/>
      <c r="EF49" s="345"/>
      <c r="EG49" s="71"/>
      <c r="EH49" s="226"/>
      <c r="EI49" s="71"/>
      <c r="EJ49" s="71"/>
      <c r="EK49" s="345"/>
      <c r="EL49" s="71"/>
      <c r="EM49" s="226"/>
      <c r="EN49" s="71"/>
      <c r="EO49" s="71"/>
      <c r="EP49" s="345"/>
      <c r="EQ49" s="71"/>
      <c r="ER49" s="226"/>
      <c r="ES49" s="71"/>
      <c r="ET49" s="71"/>
      <c r="EU49" s="345"/>
      <c r="EV49" s="71"/>
      <c r="EW49" s="226"/>
      <c r="EX49" s="71"/>
      <c r="EY49" s="71"/>
      <c r="EZ49" s="345"/>
      <c r="FA49" s="71"/>
      <c r="FB49" s="226"/>
      <c r="FC49" s="71"/>
      <c r="FD49" s="71"/>
      <c r="FE49" s="345"/>
      <c r="FF49" s="71"/>
      <c r="FG49" s="226"/>
      <c r="FH49" s="71"/>
      <c r="FI49" s="71"/>
      <c r="FJ49" s="345"/>
      <c r="FK49" s="71"/>
      <c r="FL49" s="226"/>
      <c r="FM49" s="71"/>
      <c r="FN49" s="71"/>
      <c r="FO49" s="345"/>
      <c r="FP49" s="71"/>
      <c r="FQ49" s="226"/>
      <c r="FR49" s="71"/>
      <c r="FS49" s="71"/>
      <c r="FT49" s="345"/>
      <c r="FU49" s="71"/>
      <c r="FV49" s="226"/>
      <c r="FW49" s="71"/>
      <c r="FX49" s="71"/>
      <c r="FY49" s="345"/>
      <c r="FZ49" s="71"/>
      <c r="GA49" s="226"/>
      <c r="GB49" s="71"/>
      <c r="GC49" s="71"/>
      <c r="GD49" s="345"/>
      <c r="GE49" s="71"/>
      <c r="GF49" s="226"/>
      <c r="GG49" s="71"/>
      <c r="GH49" s="71"/>
      <c r="GI49" s="345"/>
      <c r="GJ49" s="71"/>
      <c r="GK49" s="226"/>
      <c r="GL49" s="71"/>
      <c r="GM49" s="71"/>
      <c r="GN49" s="345"/>
      <c r="GO49" s="71"/>
      <c r="GP49" s="226"/>
      <c r="GQ49" s="71"/>
      <c r="GR49" s="71"/>
      <c r="GS49" s="345"/>
      <c r="GT49" s="71"/>
      <c r="GU49" s="226"/>
      <c r="GV49" s="71"/>
      <c r="GW49" s="71"/>
      <c r="GX49" s="345"/>
      <c r="GY49" s="71"/>
      <c r="GZ49" s="226"/>
      <c r="HA49" s="71"/>
      <c r="HB49" s="71"/>
      <c r="HC49" s="345"/>
      <c r="HD49" s="71"/>
      <c r="HE49" s="226"/>
      <c r="HF49" s="71"/>
      <c r="HG49" s="71"/>
      <c r="HH49" s="345"/>
      <c r="HI49" s="71"/>
      <c r="HJ49" s="226"/>
      <c r="HK49" s="71"/>
      <c r="HL49" s="71"/>
      <c r="HM49" s="345"/>
      <c r="HN49" s="71"/>
      <c r="HO49" s="226"/>
      <c r="HP49" s="71"/>
      <c r="HQ49" s="71"/>
      <c r="HR49" s="345"/>
      <c r="HS49" s="71"/>
      <c r="HT49" s="226"/>
      <c r="HU49" s="71"/>
      <c r="HV49" s="71"/>
      <c r="HW49" s="345"/>
      <c r="HX49" s="71"/>
      <c r="HY49" s="226"/>
      <c r="HZ49" s="71"/>
      <c r="IA49" s="71"/>
      <c r="IB49" s="345"/>
      <c r="IC49" s="71"/>
      <c r="ID49" s="226"/>
      <c r="IE49" s="71"/>
      <c r="IF49" s="71"/>
      <c r="IG49" s="345"/>
      <c r="IH49" s="71"/>
      <c r="II49" s="226"/>
      <c r="IJ49" s="71"/>
      <c r="IK49" s="71"/>
      <c r="IL49" s="345"/>
      <c r="IM49" s="71"/>
      <c r="IN49" s="226"/>
      <c r="IO49" s="71"/>
      <c r="IP49" s="71"/>
      <c r="IQ49" s="345"/>
      <c r="IR49" s="71"/>
      <c r="IS49" s="226"/>
      <c r="IT49" s="71"/>
      <c r="IU49" s="71"/>
      <c r="IV49" s="345"/>
    </row>
    <row r="50" spans="1:256" x14ac:dyDescent="0.2">
      <c r="A50" s="345">
        <v>29036</v>
      </c>
      <c r="B50" s="71"/>
      <c r="C50" s="226"/>
      <c r="D50" s="71"/>
      <c r="E50" s="71"/>
      <c r="F50" s="345"/>
      <c r="G50" s="71"/>
      <c r="H50" s="226"/>
      <c r="I50" s="71"/>
      <c r="J50" s="71"/>
      <c r="K50" s="345"/>
      <c r="L50" s="71"/>
      <c r="M50" s="226"/>
      <c r="N50" s="71"/>
      <c r="O50" s="71"/>
      <c r="P50" s="345"/>
      <c r="Q50" s="71"/>
      <c r="R50" s="226"/>
      <c r="S50" s="71"/>
      <c r="T50" s="71"/>
      <c r="U50" s="345"/>
      <c r="V50" s="71"/>
      <c r="W50" s="226"/>
      <c r="X50" s="71"/>
      <c r="Y50" s="71"/>
      <c r="Z50" s="345"/>
      <c r="AA50" s="71"/>
      <c r="AB50" s="226"/>
      <c r="AC50" s="71"/>
      <c r="AD50" s="71"/>
      <c r="AE50" s="345"/>
      <c r="AF50" s="71"/>
      <c r="AG50" s="226"/>
      <c r="AH50" s="71"/>
      <c r="AI50" s="71"/>
      <c r="AJ50" s="345"/>
      <c r="AK50" s="71"/>
      <c r="AL50" s="226"/>
      <c r="AM50" s="71"/>
      <c r="AN50" s="71"/>
      <c r="AO50" s="345"/>
      <c r="AP50" s="71"/>
      <c r="AQ50" s="226"/>
      <c r="AR50" s="71"/>
      <c r="AS50" s="71"/>
      <c r="AT50" s="345"/>
      <c r="AU50" s="71"/>
      <c r="AV50" s="226"/>
      <c r="AW50" s="71"/>
      <c r="AX50" s="71"/>
      <c r="AY50" s="345"/>
      <c r="AZ50" s="71"/>
      <c r="BA50" s="226"/>
      <c r="BB50" s="71"/>
      <c r="BC50" s="71"/>
      <c r="BD50" s="345"/>
      <c r="BE50" s="71"/>
      <c r="BF50" s="226"/>
      <c r="BG50" s="71"/>
      <c r="BH50" s="71"/>
      <c r="BI50" s="345"/>
      <c r="BJ50" s="71"/>
      <c r="BK50" s="226"/>
      <c r="BL50" s="71"/>
      <c r="BM50" s="71"/>
      <c r="BN50" s="345"/>
      <c r="BO50" s="71"/>
      <c r="BP50" s="226"/>
      <c r="BQ50" s="71"/>
      <c r="BR50" s="71"/>
      <c r="BS50" s="345"/>
      <c r="BT50" s="71"/>
      <c r="BU50" s="226"/>
      <c r="BV50" s="71"/>
      <c r="BW50" s="71"/>
      <c r="BX50" s="345"/>
      <c r="BY50" s="71"/>
      <c r="BZ50" s="226"/>
      <c r="CA50" s="71"/>
      <c r="CB50" s="71"/>
      <c r="CC50" s="345"/>
      <c r="CD50" s="71"/>
      <c r="CE50" s="226"/>
      <c r="CF50" s="71"/>
      <c r="CG50" s="71"/>
      <c r="CH50" s="345"/>
      <c r="CI50" s="71"/>
      <c r="CJ50" s="226"/>
      <c r="CK50" s="71"/>
      <c r="CL50" s="71"/>
      <c r="CM50" s="345"/>
      <c r="CN50" s="71"/>
      <c r="CO50" s="226"/>
      <c r="CP50" s="71"/>
      <c r="CQ50" s="71"/>
      <c r="CR50" s="345"/>
      <c r="CS50" s="71"/>
      <c r="CT50" s="226"/>
      <c r="CU50" s="71"/>
      <c r="CV50" s="71"/>
      <c r="CW50" s="345"/>
      <c r="CX50" s="71"/>
      <c r="CY50" s="226"/>
      <c r="CZ50" s="71"/>
      <c r="DA50" s="71"/>
      <c r="DB50" s="345"/>
      <c r="DC50" s="71"/>
      <c r="DD50" s="226"/>
      <c r="DE50" s="71"/>
      <c r="DF50" s="71"/>
      <c r="DG50" s="345"/>
      <c r="DH50" s="71"/>
      <c r="DI50" s="226"/>
      <c r="DJ50" s="71"/>
      <c r="DK50" s="71"/>
      <c r="DL50" s="345"/>
      <c r="DM50" s="71"/>
      <c r="DN50" s="226"/>
      <c r="DO50" s="71"/>
      <c r="DP50" s="71"/>
      <c r="DQ50" s="345"/>
      <c r="DR50" s="71"/>
      <c r="DS50" s="226"/>
      <c r="DT50" s="71"/>
      <c r="DU50" s="71"/>
      <c r="DV50" s="345"/>
      <c r="DW50" s="71"/>
      <c r="DX50" s="226"/>
      <c r="DY50" s="71"/>
      <c r="DZ50" s="71"/>
      <c r="EA50" s="345"/>
      <c r="EB50" s="71"/>
      <c r="EC50" s="226"/>
      <c r="ED50" s="71"/>
      <c r="EE50" s="71"/>
      <c r="EF50" s="345"/>
      <c r="EG50" s="71"/>
      <c r="EH50" s="226"/>
      <c r="EI50" s="71"/>
      <c r="EJ50" s="71"/>
      <c r="EK50" s="345"/>
      <c r="EL50" s="71"/>
      <c r="EM50" s="226"/>
      <c r="EN50" s="71"/>
      <c r="EO50" s="71"/>
      <c r="EP50" s="345"/>
      <c r="EQ50" s="71"/>
      <c r="ER50" s="226"/>
      <c r="ES50" s="71"/>
      <c r="ET50" s="71"/>
      <c r="EU50" s="345"/>
      <c r="EV50" s="71"/>
      <c r="EW50" s="226"/>
      <c r="EX50" s="71"/>
      <c r="EY50" s="71"/>
      <c r="EZ50" s="345"/>
      <c r="FA50" s="71"/>
      <c r="FB50" s="226"/>
      <c r="FC50" s="71"/>
      <c r="FD50" s="71"/>
      <c r="FE50" s="345"/>
      <c r="FF50" s="71"/>
      <c r="FG50" s="226"/>
      <c r="FH50" s="71"/>
      <c r="FI50" s="71"/>
      <c r="FJ50" s="345"/>
      <c r="FK50" s="71"/>
      <c r="FL50" s="226"/>
      <c r="FM50" s="71"/>
      <c r="FN50" s="71"/>
      <c r="FO50" s="345"/>
      <c r="FP50" s="71"/>
      <c r="FQ50" s="226"/>
      <c r="FR50" s="71"/>
      <c r="FS50" s="71"/>
      <c r="FT50" s="345"/>
      <c r="FU50" s="71"/>
      <c r="FV50" s="226"/>
      <c r="FW50" s="71"/>
      <c r="FX50" s="71"/>
      <c r="FY50" s="345"/>
      <c r="FZ50" s="71"/>
      <c r="GA50" s="226"/>
      <c r="GB50" s="71"/>
      <c r="GC50" s="71"/>
      <c r="GD50" s="345"/>
      <c r="GE50" s="71"/>
      <c r="GF50" s="226"/>
      <c r="GG50" s="71"/>
      <c r="GH50" s="71"/>
      <c r="GI50" s="345"/>
      <c r="GJ50" s="71"/>
      <c r="GK50" s="226"/>
      <c r="GL50" s="71"/>
      <c r="GM50" s="71"/>
      <c r="GN50" s="345"/>
      <c r="GO50" s="71"/>
      <c r="GP50" s="226"/>
      <c r="GQ50" s="71"/>
      <c r="GR50" s="71"/>
      <c r="GS50" s="345"/>
      <c r="GT50" s="71"/>
      <c r="GU50" s="226"/>
      <c r="GV50" s="71"/>
      <c r="GW50" s="71"/>
      <c r="GX50" s="345"/>
      <c r="GY50" s="71"/>
      <c r="GZ50" s="226"/>
      <c r="HA50" s="71"/>
      <c r="HB50" s="71"/>
      <c r="HC50" s="345"/>
      <c r="HD50" s="71"/>
      <c r="HE50" s="226"/>
      <c r="HF50" s="71"/>
      <c r="HG50" s="71"/>
      <c r="HH50" s="345"/>
      <c r="HI50" s="71"/>
      <c r="HJ50" s="226"/>
      <c r="HK50" s="71"/>
      <c r="HL50" s="71"/>
      <c r="HM50" s="345"/>
      <c r="HN50" s="71"/>
      <c r="HO50" s="226"/>
      <c r="HP50" s="71"/>
      <c r="HQ50" s="71"/>
      <c r="HR50" s="345"/>
      <c r="HS50" s="71"/>
      <c r="HT50" s="226"/>
      <c r="HU50" s="71"/>
      <c r="HV50" s="71"/>
      <c r="HW50" s="345"/>
      <c r="HX50" s="71"/>
      <c r="HY50" s="226"/>
      <c r="HZ50" s="71"/>
      <c r="IA50" s="71"/>
      <c r="IB50" s="345"/>
      <c r="IC50" s="71"/>
      <c r="ID50" s="226"/>
      <c r="IE50" s="71"/>
      <c r="IF50" s="71"/>
      <c r="IG50" s="345"/>
      <c r="IH50" s="71"/>
      <c r="II50" s="226"/>
      <c r="IJ50" s="71"/>
      <c r="IK50" s="71"/>
      <c r="IL50" s="345"/>
      <c r="IM50" s="71"/>
      <c r="IN50" s="226"/>
      <c r="IO50" s="71"/>
      <c r="IP50" s="71"/>
      <c r="IQ50" s="345"/>
      <c r="IR50" s="71"/>
      <c r="IS50" s="226"/>
      <c r="IT50" s="71"/>
      <c r="IU50" s="71"/>
      <c r="IV50" s="345"/>
    </row>
    <row r="51" spans="1:256" x14ac:dyDescent="0.2">
      <c r="A51" s="345">
        <v>29067</v>
      </c>
      <c r="B51" s="71"/>
      <c r="C51" s="226"/>
      <c r="D51" s="71"/>
      <c r="E51" s="71"/>
      <c r="F51" s="345"/>
      <c r="G51" s="71"/>
      <c r="H51" s="226"/>
      <c r="I51" s="71"/>
      <c r="J51" s="71"/>
      <c r="K51" s="345"/>
      <c r="L51" s="71"/>
      <c r="M51" s="226"/>
      <c r="N51" s="71"/>
      <c r="O51" s="71"/>
      <c r="P51" s="345"/>
      <c r="Q51" s="71"/>
      <c r="R51" s="226"/>
      <c r="S51" s="71"/>
      <c r="T51" s="71"/>
      <c r="U51" s="345"/>
      <c r="V51" s="71"/>
      <c r="W51" s="226"/>
      <c r="X51" s="71"/>
      <c r="Y51" s="71"/>
      <c r="Z51" s="345"/>
      <c r="AA51" s="71"/>
      <c r="AB51" s="226"/>
      <c r="AC51" s="71"/>
      <c r="AD51" s="71"/>
      <c r="AE51" s="345"/>
      <c r="AF51" s="71"/>
      <c r="AG51" s="226"/>
      <c r="AH51" s="71"/>
      <c r="AI51" s="71"/>
      <c r="AJ51" s="345"/>
      <c r="AK51" s="71"/>
      <c r="AL51" s="226"/>
      <c r="AM51" s="71"/>
      <c r="AN51" s="71"/>
      <c r="AO51" s="345"/>
      <c r="AP51" s="71"/>
      <c r="AQ51" s="226"/>
      <c r="AR51" s="71"/>
      <c r="AS51" s="71"/>
      <c r="AT51" s="345"/>
      <c r="AU51" s="71"/>
      <c r="AV51" s="226"/>
      <c r="AW51" s="71"/>
      <c r="AX51" s="71"/>
      <c r="AY51" s="345"/>
      <c r="AZ51" s="71"/>
      <c r="BA51" s="226"/>
      <c r="BB51" s="71"/>
      <c r="BC51" s="71"/>
      <c r="BD51" s="345"/>
      <c r="BE51" s="71"/>
      <c r="BF51" s="226"/>
      <c r="BG51" s="71"/>
      <c r="BH51" s="71"/>
      <c r="BI51" s="345"/>
      <c r="BJ51" s="71"/>
      <c r="BK51" s="226"/>
      <c r="BL51" s="71"/>
      <c r="BM51" s="71"/>
      <c r="BN51" s="345"/>
      <c r="BO51" s="71"/>
      <c r="BP51" s="226"/>
      <c r="BQ51" s="71"/>
      <c r="BR51" s="71"/>
      <c r="BS51" s="345"/>
      <c r="BT51" s="71"/>
      <c r="BU51" s="226"/>
      <c r="BV51" s="71"/>
      <c r="BW51" s="71"/>
      <c r="BX51" s="345"/>
      <c r="BY51" s="71"/>
      <c r="BZ51" s="226"/>
      <c r="CA51" s="71"/>
      <c r="CB51" s="71"/>
      <c r="CC51" s="345"/>
      <c r="CD51" s="71"/>
      <c r="CE51" s="226"/>
      <c r="CF51" s="71"/>
      <c r="CG51" s="71"/>
      <c r="CH51" s="345"/>
      <c r="CI51" s="71"/>
      <c r="CJ51" s="226"/>
      <c r="CK51" s="71"/>
      <c r="CL51" s="71"/>
      <c r="CM51" s="345"/>
      <c r="CN51" s="71"/>
      <c r="CO51" s="226"/>
      <c r="CP51" s="71"/>
      <c r="CQ51" s="71"/>
      <c r="CR51" s="345"/>
      <c r="CS51" s="71"/>
      <c r="CT51" s="226"/>
      <c r="CU51" s="71"/>
      <c r="CV51" s="71"/>
      <c r="CW51" s="345"/>
      <c r="CX51" s="71"/>
      <c r="CY51" s="226"/>
      <c r="CZ51" s="71"/>
      <c r="DA51" s="71"/>
      <c r="DB51" s="345"/>
      <c r="DC51" s="71"/>
      <c r="DD51" s="226"/>
      <c r="DE51" s="71"/>
      <c r="DF51" s="71"/>
      <c r="DG51" s="345"/>
      <c r="DH51" s="71"/>
      <c r="DI51" s="226"/>
      <c r="DJ51" s="71"/>
      <c r="DK51" s="71"/>
      <c r="DL51" s="345"/>
      <c r="DM51" s="71"/>
      <c r="DN51" s="226"/>
      <c r="DO51" s="71"/>
      <c r="DP51" s="71"/>
      <c r="DQ51" s="345"/>
      <c r="DR51" s="71"/>
      <c r="DS51" s="226"/>
      <c r="DT51" s="71"/>
      <c r="DU51" s="71"/>
      <c r="DV51" s="345"/>
      <c r="DW51" s="71"/>
      <c r="DX51" s="226"/>
      <c r="DY51" s="71"/>
      <c r="DZ51" s="71"/>
      <c r="EA51" s="345"/>
      <c r="EB51" s="71"/>
      <c r="EC51" s="226"/>
      <c r="ED51" s="71"/>
      <c r="EE51" s="71"/>
      <c r="EF51" s="345"/>
      <c r="EG51" s="71"/>
      <c r="EH51" s="226"/>
      <c r="EI51" s="71"/>
      <c r="EJ51" s="71"/>
      <c r="EK51" s="345"/>
      <c r="EL51" s="71"/>
      <c r="EM51" s="226"/>
      <c r="EN51" s="71"/>
      <c r="EO51" s="71"/>
      <c r="EP51" s="345"/>
      <c r="EQ51" s="71"/>
      <c r="ER51" s="226"/>
      <c r="ES51" s="71"/>
      <c r="ET51" s="71"/>
      <c r="EU51" s="345"/>
      <c r="EV51" s="71"/>
      <c r="EW51" s="226"/>
      <c r="EX51" s="71"/>
      <c r="EY51" s="71"/>
      <c r="EZ51" s="345"/>
      <c r="FA51" s="71"/>
      <c r="FB51" s="226"/>
      <c r="FC51" s="71"/>
      <c r="FD51" s="71"/>
      <c r="FE51" s="345"/>
      <c r="FF51" s="71"/>
      <c r="FG51" s="226"/>
      <c r="FH51" s="71"/>
      <c r="FI51" s="71"/>
      <c r="FJ51" s="345"/>
      <c r="FK51" s="71"/>
      <c r="FL51" s="226"/>
      <c r="FM51" s="71"/>
      <c r="FN51" s="71"/>
      <c r="FO51" s="345"/>
      <c r="FP51" s="71"/>
      <c r="FQ51" s="226"/>
      <c r="FR51" s="71"/>
      <c r="FS51" s="71"/>
      <c r="FT51" s="345"/>
      <c r="FU51" s="71"/>
      <c r="FV51" s="226"/>
      <c r="FW51" s="71"/>
      <c r="FX51" s="71"/>
      <c r="FY51" s="345"/>
      <c r="FZ51" s="71"/>
      <c r="GA51" s="226"/>
      <c r="GB51" s="71"/>
      <c r="GC51" s="71"/>
      <c r="GD51" s="345"/>
      <c r="GE51" s="71"/>
      <c r="GF51" s="226"/>
      <c r="GG51" s="71"/>
      <c r="GH51" s="71"/>
      <c r="GI51" s="345"/>
      <c r="GJ51" s="71"/>
      <c r="GK51" s="226"/>
      <c r="GL51" s="71"/>
      <c r="GM51" s="71"/>
      <c r="GN51" s="345"/>
      <c r="GO51" s="71"/>
      <c r="GP51" s="226"/>
      <c r="GQ51" s="71"/>
      <c r="GR51" s="71"/>
      <c r="GS51" s="345"/>
      <c r="GT51" s="71"/>
      <c r="GU51" s="226"/>
      <c r="GV51" s="71"/>
      <c r="GW51" s="71"/>
      <c r="GX51" s="345"/>
      <c r="GY51" s="71"/>
      <c r="GZ51" s="226"/>
      <c r="HA51" s="71"/>
      <c r="HB51" s="71"/>
      <c r="HC51" s="345"/>
      <c r="HD51" s="71"/>
      <c r="HE51" s="226"/>
      <c r="HF51" s="71"/>
      <c r="HG51" s="71"/>
      <c r="HH51" s="345"/>
      <c r="HI51" s="71"/>
      <c r="HJ51" s="226"/>
      <c r="HK51" s="71"/>
      <c r="HL51" s="71"/>
      <c r="HM51" s="345"/>
      <c r="HN51" s="71"/>
      <c r="HO51" s="226"/>
      <c r="HP51" s="71"/>
      <c r="HQ51" s="71"/>
      <c r="HR51" s="345"/>
      <c r="HS51" s="71"/>
      <c r="HT51" s="226"/>
      <c r="HU51" s="71"/>
      <c r="HV51" s="71"/>
      <c r="HW51" s="345"/>
      <c r="HX51" s="71"/>
      <c r="HY51" s="226"/>
      <c r="HZ51" s="71"/>
      <c r="IA51" s="71"/>
      <c r="IB51" s="345"/>
      <c r="IC51" s="71"/>
      <c r="ID51" s="226"/>
      <c r="IE51" s="71"/>
      <c r="IF51" s="71"/>
      <c r="IG51" s="345"/>
      <c r="IH51" s="71"/>
      <c r="II51" s="226"/>
      <c r="IJ51" s="71"/>
      <c r="IK51" s="71"/>
      <c r="IL51" s="345"/>
      <c r="IM51" s="71"/>
      <c r="IN51" s="226"/>
      <c r="IO51" s="71"/>
      <c r="IP51" s="71"/>
      <c r="IQ51" s="345"/>
      <c r="IR51" s="71"/>
      <c r="IS51" s="226"/>
      <c r="IT51" s="71"/>
      <c r="IU51" s="71"/>
      <c r="IV51" s="345"/>
    </row>
    <row r="52" spans="1:256" x14ac:dyDescent="0.2">
      <c r="A52" s="345">
        <v>29098</v>
      </c>
      <c r="B52" s="71"/>
      <c r="C52" s="226"/>
      <c r="D52" s="71"/>
      <c r="E52" s="71"/>
      <c r="F52" s="345"/>
      <c r="G52" s="71"/>
      <c r="H52" s="226"/>
      <c r="I52" s="71"/>
      <c r="J52" s="71"/>
      <c r="K52" s="345"/>
      <c r="L52" s="71"/>
      <c r="M52" s="226"/>
      <c r="N52" s="71"/>
      <c r="O52" s="71"/>
      <c r="P52" s="345"/>
      <c r="Q52" s="71"/>
      <c r="R52" s="226"/>
      <c r="S52" s="71"/>
      <c r="T52" s="71"/>
      <c r="U52" s="345"/>
      <c r="V52" s="71"/>
      <c r="W52" s="226"/>
      <c r="X52" s="71"/>
      <c r="Y52" s="71"/>
      <c r="Z52" s="345"/>
      <c r="AA52" s="71"/>
      <c r="AB52" s="226"/>
      <c r="AC52" s="71"/>
      <c r="AD52" s="71"/>
      <c r="AE52" s="345"/>
      <c r="AF52" s="71"/>
      <c r="AG52" s="226"/>
      <c r="AH52" s="71"/>
      <c r="AI52" s="71"/>
      <c r="AJ52" s="345"/>
      <c r="AK52" s="71"/>
      <c r="AL52" s="226"/>
      <c r="AM52" s="71"/>
      <c r="AN52" s="71"/>
      <c r="AO52" s="345"/>
      <c r="AP52" s="71"/>
      <c r="AQ52" s="226"/>
      <c r="AR52" s="71"/>
      <c r="AS52" s="71"/>
      <c r="AT52" s="345"/>
      <c r="AU52" s="71"/>
      <c r="AV52" s="226"/>
      <c r="AW52" s="71"/>
      <c r="AX52" s="71"/>
      <c r="AY52" s="345"/>
      <c r="AZ52" s="71"/>
      <c r="BA52" s="226"/>
      <c r="BB52" s="71"/>
      <c r="BC52" s="71"/>
      <c r="BD52" s="345"/>
      <c r="BE52" s="71"/>
      <c r="BF52" s="226"/>
      <c r="BG52" s="71"/>
      <c r="BH52" s="71"/>
      <c r="BI52" s="345"/>
      <c r="BJ52" s="71"/>
      <c r="BK52" s="226"/>
      <c r="BL52" s="71"/>
      <c r="BM52" s="71"/>
      <c r="BN52" s="345"/>
      <c r="BO52" s="71"/>
      <c r="BP52" s="226"/>
      <c r="BQ52" s="71"/>
      <c r="BR52" s="71"/>
      <c r="BS52" s="345"/>
      <c r="BT52" s="71"/>
      <c r="BU52" s="226"/>
      <c r="BV52" s="71"/>
      <c r="BW52" s="71"/>
      <c r="BX52" s="345"/>
      <c r="BY52" s="71"/>
      <c r="BZ52" s="226"/>
      <c r="CA52" s="71"/>
      <c r="CB52" s="71"/>
      <c r="CC52" s="345"/>
      <c r="CD52" s="71"/>
      <c r="CE52" s="226"/>
      <c r="CF52" s="71"/>
      <c r="CG52" s="71"/>
      <c r="CH52" s="345"/>
      <c r="CI52" s="71"/>
      <c r="CJ52" s="226"/>
      <c r="CK52" s="71"/>
      <c r="CL52" s="71"/>
      <c r="CM52" s="345"/>
      <c r="CN52" s="71"/>
      <c r="CO52" s="226"/>
      <c r="CP52" s="71"/>
      <c r="CQ52" s="71"/>
      <c r="CR52" s="345"/>
      <c r="CS52" s="71"/>
      <c r="CT52" s="226"/>
      <c r="CU52" s="71"/>
      <c r="CV52" s="71"/>
      <c r="CW52" s="345"/>
      <c r="CX52" s="71"/>
      <c r="CY52" s="226"/>
      <c r="CZ52" s="71"/>
      <c r="DA52" s="71"/>
      <c r="DB52" s="345"/>
      <c r="DC52" s="71"/>
      <c r="DD52" s="226"/>
      <c r="DE52" s="71"/>
      <c r="DF52" s="71"/>
      <c r="DG52" s="345"/>
      <c r="DH52" s="71"/>
      <c r="DI52" s="226"/>
      <c r="DJ52" s="71"/>
      <c r="DK52" s="71"/>
      <c r="DL52" s="345"/>
      <c r="DM52" s="71"/>
      <c r="DN52" s="226"/>
      <c r="DO52" s="71"/>
      <c r="DP52" s="71"/>
      <c r="DQ52" s="345"/>
      <c r="DR52" s="71"/>
      <c r="DS52" s="226"/>
      <c r="DT52" s="71"/>
      <c r="DU52" s="71"/>
      <c r="DV52" s="345"/>
      <c r="DW52" s="71"/>
      <c r="DX52" s="226"/>
      <c r="DY52" s="71"/>
      <c r="DZ52" s="71"/>
      <c r="EA52" s="345"/>
      <c r="EB52" s="71"/>
      <c r="EC52" s="226"/>
      <c r="ED52" s="71"/>
      <c r="EE52" s="71"/>
      <c r="EF52" s="345"/>
      <c r="EG52" s="71"/>
      <c r="EH52" s="226"/>
      <c r="EI52" s="71"/>
      <c r="EJ52" s="71"/>
      <c r="EK52" s="345"/>
      <c r="EL52" s="71"/>
      <c r="EM52" s="226"/>
      <c r="EN52" s="71"/>
      <c r="EO52" s="71"/>
      <c r="EP52" s="345"/>
      <c r="EQ52" s="71"/>
      <c r="ER52" s="226"/>
      <c r="ES52" s="71"/>
      <c r="ET52" s="71"/>
      <c r="EU52" s="345"/>
      <c r="EV52" s="71"/>
      <c r="EW52" s="226"/>
      <c r="EX52" s="71"/>
      <c r="EY52" s="71"/>
      <c r="EZ52" s="345"/>
      <c r="FA52" s="71"/>
      <c r="FB52" s="226"/>
      <c r="FC52" s="71"/>
      <c r="FD52" s="71"/>
      <c r="FE52" s="345"/>
      <c r="FF52" s="71"/>
      <c r="FG52" s="226"/>
      <c r="FH52" s="71"/>
      <c r="FI52" s="71"/>
      <c r="FJ52" s="345"/>
      <c r="FK52" s="71"/>
      <c r="FL52" s="226"/>
      <c r="FM52" s="71"/>
      <c r="FN52" s="71"/>
      <c r="FO52" s="345"/>
      <c r="FP52" s="71"/>
      <c r="FQ52" s="226"/>
      <c r="FR52" s="71"/>
      <c r="FS52" s="71"/>
      <c r="FT52" s="345"/>
      <c r="FU52" s="71"/>
      <c r="FV52" s="226"/>
      <c r="FW52" s="71"/>
      <c r="FX52" s="71"/>
      <c r="FY52" s="345"/>
      <c r="FZ52" s="71"/>
      <c r="GA52" s="226"/>
      <c r="GB52" s="71"/>
      <c r="GC52" s="71"/>
      <c r="GD52" s="345"/>
      <c r="GE52" s="71"/>
      <c r="GF52" s="226"/>
      <c r="GG52" s="71"/>
      <c r="GH52" s="71"/>
      <c r="GI52" s="345"/>
      <c r="GJ52" s="71"/>
      <c r="GK52" s="226"/>
      <c r="GL52" s="71"/>
      <c r="GM52" s="71"/>
      <c r="GN52" s="345"/>
      <c r="GO52" s="71"/>
      <c r="GP52" s="226"/>
      <c r="GQ52" s="71"/>
      <c r="GR52" s="71"/>
      <c r="GS52" s="345"/>
      <c r="GT52" s="71"/>
      <c r="GU52" s="226"/>
      <c r="GV52" s="71"/>
      <c r="GW52" s="71"/>
      <c r="GX52" s="345"/>
      <c r="GY52" s="71"/>
      <c r="GZ52" s="226"/>
      <c r="HA52" s="71"/>
      <c r="HB52" s="71"/>
      <c r="HC52" s="345"/>
      <c r="HD52" s="71"/>
      <c r="HE52" s="226"/>
      <c r="HF52" s="71"/>
      <c r="HG52" s="71"/>
      <c r="HH52" s="345"/>
      <c r="HI52" s="71"/>
      <c r="HJ52" s="226"/>
      <c r="HK52" s="71"/>
      <c r="HL52" s="71"/>
      <c r="HM52" s="345"/>
      <c r="HN52" s="71"/>
      <c r="HO52" s="226"/>
      <c r="HP52" s="71"/>
      <c r="HQ52" s="71"/>
      <c r="HR52" s="345"/>
      <c r="HS52" s="71"/>
      <c r="HT52" s="226"/>
      <c r="HU52" s="71"/>
      <c r="HV52" s="71"/>
      <c r="HW52" s="345"/>
      <c r="HX52" s="71"/>
      <c r="HY52" s="226"/>
      <c r="HZ52" s="71"/>
      <c r="IA52" s="71"/>
      <c r="IB52" s="345"/>
      <c r="IC52" s="71"/>
      <c r="ID52" s="226"/>
      <c r="IE52" s="71"/>
      <c r="IF52" s="71"/>
      <c r="IG52" s="345"/>
      <c r="IH52" s="71"/>
      <c r="II52" s="226"/>
      <c r="IJ52" s="71"/>
      <c r="IK52" s="71"/>
      <c r="IL52" s="345"/>
      <c r="IM52" s="71"/>
      <c r="IN52" s="226"/>
      <c r="IO52" s="71"/>
      <c r="IP52" s="71"/>
      <c r="IQ52" s="345"/>
      <c r="IR52" s="71"/>
      <c r="IS52" s="226"/>
      <c r="IT52" s="71"/>
      <c r="IU52" s="71"/>
      <c r="IV52" s="345"/>
    </row>
    <row r="53" spans="1:256" x14ac:dyDescent="0.2">
      <c r="A53" s="345">
        <v>29128</v>
      </c>
      <c r="B53" s="71"/>
      <c r="C53" s="226"/>
      <c r="D53" s="71"/>
      <c r="E53" s="71"/>
      <c r="F53" s="345"/>
      <c r="G53" s="71"/>
      <c r="H53" s="226"/>
      <c r="I53" s="71"/>
      <c r="J53" s="71"/>
      <c r="K53" s="345"/>
      <c r="L53" s="71"/>
      <c r="M53" s="226"/>
      <c r="N53" s="71"/>
      <c r="O53" s="71"/>
      <c r="P53" s="345"/>
      <c r="Q53" s="71"/>
      <c r="R53" s="226"/>
      <c r="S53" s="71"/>
      <c r="T53" s="71"/>
      <c r="U53" s="345"/>
      <c r="V53" s="71"/>
      <c r="W53" s="226"/>
      <c r="X53" s="71"/>
      <c r="Y53" s="71"/>
      <c r="Z53" s="345"/>
      <c r="AA53" s="71"/>
      <c r="AB53" s="226"/>
      <c r="AC53" s="71"/>
      <c r="AD53" s="71"/>
      <c r="AE53" s="345"/>
      <c r="AF53" s="71"/>
      <c r="AG53" s="226"/>
      <c r="AH53" s="71"/>
      <c r="AI53" s="71"/>
      <c r="AJ53" s="345"/>
      <c r="AK53" s="71"/>
      <c r="AL53" s="226"/>
      <c r="AM53" s="71"/>
      <c r="AN53" s="71"/>
      <c r="AO53" s="345"/>
      <c r="AP53" s="71"/>
      <c r="AQ53" s="226"/>
      <c r="AR53" s="71"/>
      <c r="AS53" s="71"/>
      <c r="AT53" s="345"/>
      <c r="AU53" s="71"/>
      <c r="AV53" s="226"/>
      <c r="AW53" s="71"/>
      <c r="AX53" s="71"/>
      <c r="AY53" s="345"/>
      <c r="AZ53" s="71"/>
      <c r="BA53" s="226"/>
      <c r="BB53" s="71"/>
      <c r="BC53" s="71"/>
      <c r="BD53" s="345"/>
      <c r="BE53" s="71"/>
      <c r="BF53" s="226"/>
      <c r="BG53" s="71"/>
      <c r="BH53" s="71"/>
      <c r="BI53" s="345"/>
      <c r="BJ53" s="71"/>
      <c r="BK53" s="226"/>
      <c r="BL53" s="71"/>
      <c r="BM53" s="71"/>
      <c r="BN53" s="345"/>
      <c r="BO53" s="71"/>
      <c r="BP53" s="226"/>
      <c r="BQ53" s="71"/>
      <c r="BR53" s="71"/>
      <c r="BS53" s="345"/>
      <c r="BT53" s="71"/>
      <c r="BU53" s="226"/>
      <c r="BV53" s="71"/>
      <c r="BW53" s="71"/>
      <c r="BX53" s="345"/>
      <c r="BY53" s="71"/>
      <c r="BZ53" s="226"/>
      <c r="CA53" s="71"/>
      <c r="CB53" s="71"/>
      <c r="CC53" s="345"/>
      <c r="CD53" s="71"/>
      <c r="CE53" s="226"/>
      <c r="CF53" s="71"/>
      <c r="CG53" s="71"/>
      <c r="CH53" s="345"/>
      <c r="CI53" s="71"/>
      <c r="CJ53" s="226"/>
      <c r="CK53" s="71"/>
      <c r="CL53" s="71"/>
      <c r="CM53" s="345"/>
      <c r="CN53" s="71"/>
      <c r="CO53" s="226"/>
      <c r="CP53" s="71"/>
      <c r="CQ53" s="71"/>
      <c r="CR53" s="345"/>
      <c r="CS53" s="71"/>
      <c r="CT53" s="226"/>
      <c r="CU53" s="71"/>
      <c r="CV53" s="71"/>
      <c r="CW53" s="345"/>
      <c r="CX53" s="71"/>
      <c r="CY53" s="226"/>
      <c r="CZ53" s="71"/>
      <c r="DA53" s="71"/>
      <c r="DB53" s="345"/>
      <c r="DC53" s="71"/>
      <c r="DD53" s="226"/>
      <c r="DE53" s="71"/>
      <c r="DF53" s="71"/>
      <c r="DG53" s="345"/>
      <c r="DH53" s="71"/>
      <c r="DI53" s="226"/>
      <c r="DJ53" s="71"/>
      <c r="DK53" s="71"/>
      <c r="DL53" s="345"/>
      <c r="DM53" s="71"/>
      <c r="DN53" s="226"/>
      <c r="DO53" s="71"/>
      <c r="DP53" s="71"/>
      <c r="DQ53" s="345"/>
      <c r="DR53" s="71"/>
      <c r="DS53" s="226"/>
      <c r="DT53" s="71"/>
      <c r="DU53" s="71"/>
      <c r="DV53" s="345"/>
      <c r="DW53" s="71"/>
      <c r="DX53" s="226"/>
      <c r="DY53" s="71"/>
      <c r="DZ53" s="71"/>
      <c r="EA53" s="345"/>
      <c r="EB53" s="71"/>
      <c r="EC53" s="226"/>
      <c r="ED53" s="71"/>
      <c r="EE53" s="71"/>
      <c r="EF53" s="345"/>
      <c r="EG53" s="71"/>
      <c r="EH53" s="226"/>
      <c r="EI53" s="71"/>
      <c r="EJ53" s="71"/>
      <c r="EK53" s="345"/>
      <c r="EL53" s="71"/>
      <c r="EM53" s="226"/>
      <c r="EN53" s="71"/>
      <c r="EO53" s="71"/>
      <c r="EP53" s="345"/>
      <c r="EQ53" s="71"/>
      <c r="ER53" s="226"/>
      <c r="ES53" s="71"/>
      <c r="ET53" s="71"/>
      <c r="EU53" s="345"/>
      <c r="EV53" s="71"/>
      <c r="EW53" s="226"/>
      <c r="EX53" s="71"/>
      <c r="EY53" s="71"/>
      <c r="EZ53" s="345"/>
      <c r="FA53" s="71"/>
      <c r="FB53" s="226"/>
      <c r="FC53" s="71"/>
      <c r="FD53" s="71"/>
      <c r="FE53" s="345"/>
      <c r="FF53" s="71"/>
      <c r="FG53" s="226"/>
      <c r="FH53" s="71"/>
      <c r="FI53" s="71"/>
      <c r="FJ53" s="345"/>
      <c r="FK53" s="71"/>
      <c r="FL53" s="226"/>
      <c r="FM53" s="71"/>
      <c r="FN53" s="71"/>
      <c r="FO53" s="345"/>
      <c r="FP53" s="71"/>
      <c r="FQ53" s="226"/>
      <c r="FR53" s="71"/>
      <c r="FS53" s="71"/>
      <c r="FT53" s="345"/>
      <c r="FU53" s="71"/>
      <c r="FV53" s="226"/>
      <c r="FW53" s="71"/>
      <c r="FX53" s="71"/>
      <c r="FY53" s="345"/>
      <c r="FZ53" s="71"/>
      <c r="GA53" s="226"/>
      <c r="GB53" s="71"/>
      <c r="GC53" s="71"/>
      <c r="GD53" s="345"/>
      <c r="GE53" s="71"/>
      <c r="GF53" s="226"/>
      <c r="GG53" s="71"/>
      <c r="GH53" s="71"/>
      <c r="GI53" s="345"/>
      <c r="GJ53" s="71"/>
      <c r="GK53" s="226"/>
      <c r="GL53" s="71"/>
      <c r="GM53" s="71"/>
      <c r="GN53" s="345"/>
      <c r="GO53" s="71"/>
      <c r="GP53" s="226"/>
      <c r="GQ53" s="71"/>
      <c r="GR53" s="71"/>
      <c r="GS53" s="345"/>
      <c r="GT53" s="71"/>
      <c r="GU53" s="226"/>
      <c r="GV53" s="71"/>
      <c r="GW53" s="71"/>
      <c r="GX53" s="345"/>
      <c r="GY53" s="71"/>
      <c r="GZ53" s="226"/>
      <c r="HA53" s="71"/>
      <c r="HB53" s="71"/>
      <c r="HC53" s="345"/>
      <c r="HD53" s="71"/>
      <c r="HE53" s="226"/>
      <c r="HF53" s="71"/>
      <c r="HG53" s="71"/>
      <c r="HH53" s="345"/>
      <c r="HI53" s="71"/>
      <c r="HJ53" s="226"/>
      <c r="HK53" s="71"/>
      <c r="HL53" s="71"/>
      <c r="HM53" s="345"/>
      <c r="HN53" s="71"/>
      <c r="HO53" s="226"/>
      <c r="HP53" s="71"/>
      <c r="HQ53" s="71"/>
      <c r="HR53" s="345"/>
      <c r="HS53" s="71"/>
      <c r="HT53" s="226"/>
      <c r="HU53" s="71"/>
      <c r="HV53" s="71"/>
      <c r="HW53" s="345"/>
      <c r="HX53" s="71"/>
      <c r="HY53" s="226"/>
      <c r="HZ53" s="71"/>
      <c r="IA53" s="71"/>
      <c r="IB53" s="345"/>
      <c r="IC53" s="71"/>
      <c r="ID53" s="226"/>
      <c r="IE53" s="71"/>
      <c r="IF53" s="71"/>
      <c r="IG53" s="345"/>
      <c r="IH53" s="71"/>
      <c r="II53" s="226"/>
      <c r="IJ53" s="71"/>
      <c r="IK53" s="71"/>
      <c r="IL53" s="345"/>
      <c r="IM53" s="71"/>
      <c r="IN53" s="226"/>
      <c r="IO53" s="71"/>
      <c r="IP53" s="71"/>
      <c r="IQ53" s="345"/>
      <c r="IR53" s="71"/>
      <c r="IS53" s="226"/>
      <c r="IT53" s="71"/>
      <c r="IU53" s="71"/>
      <c r="IV53" s="345"/>
    </row>
    <row r="54" spans="1:256" x14ac:dyDescent="0.2">
      <c r="A54" s="345">
        <v>29159</v>
      </c>
      <c r="B54" s="71"/>
      <c r="C54" s="226"/>
      <c r="D54" s="71"/>
      <c r="E54" s="71"/>
      <c r="F54" s="345"/>
      <c r="G54" s="71"/>
      <c r="H54" s="226"/>
      <c r="I54" s="71"/>
      <c r="J54" s="71"/>
      <c r="K54" s="345"/>
      <c r="L54" s="71"/>
      <c r="M54" s="226"/>
      <c r="N54" s="71"/>
      <c r="O54" s="71"/>
      <c r="P54" s="345"/>
      <c r="Q54" s="71"/>
      <c r="R54" s="226"/>
      <c r="S54" s="71"/>
      <c r="T54" s="71"/>
      <c r="U54" s="345"/>
      <c r="V54" s="71"/>
      <c r="W54" s="226"/>
      <c r="X54" s="71"/>
      <c r="Y54" s="71"/>
      <c r="Z54" s="345"/>
      <c r="AA54" s="71"/>
      <c r="AB54" s="226"/>
      <c r="AC54" s="71"/>
      <c r="AD54" s="71"/>
      <c r="AE54" s="345"/>
      <c r="AF54" s="71"/>
      <c r="AG54" s="226"/>
      <c r="AH54" s="71"/>
      <c r="AI54" s="71"/>
      <c r="AJ54" s="345"/>
      <c r="AK54" s="71"/>
      <c r="AL54" s="226"/>
      <c r="AM54" s="71"/>
      <c r="AN54" s="71"/>
      <c r="AO54" s="345"/>
      <c r="AP54" s="71"/>
      <c r="AQ54" s="226"/>
      <c r="AR54" s="71"/>
      <c r="AS54" s="71"/>
      <c r="AT54" s="345"/>
      <c r="AU54" s="71"/>
      <c r="AV54" s="226"/>
      <c r="AW54" s="71"/>
      <c r="AX54" s="71"/>
      <c r="AY54" s="345"/>
      <c r="AZ54" s="71"/>
      <c r="BA54" s="226"/>
      <c r="BB54" s="71"/>
      <c r="BC54" s="71"/>
      <c r="BD54" s="345"/>
      <c r="BE54" s="71"/>
      <c r="BF54" s="226"/>
      <c r="BG54" s="71"/>
      <c r="BH54" s="71"/>
      <c r="BI54" s="345"/>
      <c r="BJ54" s="71"/>
      <c r="BK54" s="226"/>
      <c r="BL54" s="71"/>
      <c r="BM54" s="71"/>
      <c r="BN54" s="345"/>
      <c r="BO54" s="71"/>
      <c r="BP54" s="226"/>
      <c r="BQ54" s="71"/>
      <c r="BR54" s="71"/>
      <c r="BS54" s="345"/>
      <c r="BT54" s="71"/>
      <c r="BU54" s="226"/>
      <c r="BV54" s="71"/>
      <c r="BW54" s="71"/>
      <c r="BX54" s="345"/>
      <c r="BY54" s="71"/>
      <c r="BZ54" s="226"/>
      <c r="CA54" s="71"/>
      <c r="CB54" s="71"/>
      <c r="CC54" s="345"/>
      <c r="CD54" s="71"/>
      <c r="CE54" s="226"/>
      <c r="CF54" s="71"/>
      <c r="CG54" s="71"/>
      <c r="CH54" s="345"/>
      <c r="CI54" s="71"/>
      <c r="CJ54" s="226"/>
      <c r="CK54" s="71"/>
      <c r="CL54" s="71"/>
      <c r="CM54" s="345"/>
      <c r="CN54" s="71"/>
      <c r="CO54" s="226"/>
      <c r="CP54" s="71"/>
      <c r="CQ54" s="71"/>
      <c r="CR54" s="345"/>
      <c r="CS54" s="71"/>
      <c r="CT54" s="226"/>
      <c r="CU54" s="71"/>
      <c r="CV54" s="71"/>
      <c r="CW54" s="345"/>
      <c r="CX54" s="71"/>
      <c r="CY54" s="226"/>
      <c r="CZ54" s="71"/>
      <c r="DA54" s="71"/>
      <c r="DB54" s="345"/>
      <c r="DC54" s="71"/>
      <c r="DD54" s="226"/>
      <c r="DE54" s="71"/>
      <c r="DF54" s="71"/>
      <c r="DG54" s="345"/>
      <c r="DH54" s="71"/>
      <c r="DI54" s="226"/>
      <c r="DJ54" s="71"/>
      <c r="DK54" s="71"/>
      <c r="DL54" s="345"/>
      <c r="DM54" s="71"/>
      <c r="DN54" s="226"/>
      <c r="DO54" s="71"/>
      <c r="DP54" s="71"/>
      <c r="DQ54" s="345"/>
      <c r="DR54" s="71"/>
      <c r="DS54" s="226"/>
      <c r="DT54" s="71"/>
      <c r="DU54" s="71"/>
      <c r="DV54" s="345"/>
      <c r="DW54" s="71"/>
      <c r="DX54" s="226"/>
      <c r="DY54" s="71"/>
      <c r="DZ54" s="71"/>
      <c r="EA54" s="345"/>
      <c r="EB54" s="71"/>
      <c r="EC54" s="226"/>
      <c r="ED54" s="71"/>
      <c r="EE54" s="71"/>
      <c r="EF54" s="345"/>
      <c r="EG54" s="71"/>
      <c r="EH54" s="226"/>
      <c r="EI54" s="71"/>
      <c r="EJ54" s="71"/>
      <c r="EK54" s="345"/>
      <c r="EL54" s="71"/>
      <c r="EM54" s="226"/>
      <c r="EN54" s="71"/>
      <c r="EO54" s="71"/>
      <c r="EP54" s="345"/>
      <c r="EQ54" s="71"/>
      <c r="ER54" s="226"/>
      <c r="ES54" s="71"/>
      <c r="ET54" s="71"/>
      <c r="EU54" s="345"/>
      <c r="EV54" s="71"/>
      <c r="EW54" s="226"/>
      <c r="EX54" s="71"/>
      <c r="EY54" s="71"/>
      <c r="EZ54" s="345"/>
      <c r="FA54" s="71"/>
      <c r="FB54" s="226"/>
      <c r="FC54" s="71"/>
      <c r="FD54" s="71"/>
      <c r="FE54" s="345"/>
      <c r="FF54" s="71"/>
      <c r="FG54" s="226"/>
      <c r="FH54" s="71"/>
      <c r="FI54" s="71"/>
      <c r="FJ54" s="345"/>
      <c r="FK54" s="71"/>
      <c r="FL54" s="226"/>
      <c r="FM54" s="71"/>
      <c r="FN54" s="71"/>
      <c r="FO54" s="345"/>
      <c r="FP54" s="71"/>
      <c r="FQ54" s="226"/>
      <c r="FR54" s="71"/>
      <c r="FS54" s="71"/>
      <c r="FT54" s="345"/>
      <c r="FU54" s="71"/>
      <c r="FV54" s="226"/>
      <c r="FW54" s="71"/>
      <c r="FX54" s="71"/>
      <c r="FY54" s="345"/>
      <c r="FZ54" s="71"/>
      <c r="GA54" s="226"/>
      <c r="GB54" s="71"/>
      <c r="GC54" s="71"/>
      <c r="GD54" s="345"/>
      <c r="GE54" s="71"/>
      <c r="GF54" s="226"/>
      <c r="GG54" s="71"/>
      <c r="GH54" s="71"/>
      <c r="GI54" s="345"/>
      <c r="GJ54" s="71"/>
      <c r="GK54" s="226"/>
      <c r="GL54" s="71"/>
      <c r="GM54" s="71"/>
      <c r="GN54" s="345"/>
      <c r="GO54" s="71"/>
      <c r="GP54" s="226"/>
      <c r="GQ54" s="71"/>
      <c r="GR54" s="71"/>
      <c r="GS54" s="345"/>
      <c r="GT54" s="71"/>
      <c r="GU54" s="226"/>
      <c r="GV54" s="71"/>
      <c r="GW54" s="71"/>
      <c r="GX54" s="345"/>
      <c r="GY54" s="71"/>
      <c r="GZ54" s="226"/>
      <c r="HA54" s="71"/>
      <c r="HB54" s="71"/>
      <c r="HC54" s="345"/>
      <c r="HD54" s="71"/>
      <c r="HE54" s="226"/>
      <c r="HF54" s="71"/>
      <c r="HG54" s="71"/>
      <c r="HH54" s="345"/>
      <c r="HI54" s="71"/>
      <c r="HJ54" s="226"/>
      <c r="HK54" s="71"/>
      <c r="HL54" s="71"/>
      <c r="HM54" s="345"/>
      <c r="HN54" s="71"/>
      <c r="HO54" s="226"/>
      <c r="HP54" s="71"/>
      <c r="HQ54" s="71"/>
      <c r="HR54" s="345"/>
      <c r="HS54" s="71"/>
      <c r="HT54" s="226"/>
      <c r="HU54" s="71"/>
      <c r="HV54" s="71"/>
      <c r="HW54" s="345"/>
      <c r="HX54" s="71"/>
      <c r="HY54" s="226"/>
      <c r="HZ54" s="71"/>
      <c r="IA54" s="71"/>
      <c r="IB54" s="345"/>
      <c r="IC54" s="71"/>
      <c r="ID54" s="226"/>
      <c r="IE54" s="71"/>
      <c r="IF54" s="71"/>
      <c r="IG54" s="345"/>
      <c r="IH54" s="71"/>
      <c r="II54" s="226"/>
      <c r="IJ54" s="71"/>
      <c r="IK54" s="71"/>
      <c r="IL54" s="345"/>
      <c r="IM54" s="71"/>
      <c r="IN54" s="226"/>
      <c r="IO54" s="71"/>
      <c r="IP54" s="71"/>
      <c r="IQ54" s="345"/>
      <c r="IR54" s="71"/>
      <c r="IS54" s="226"/>
      <c r="IT54" s="71"/>
      <c r="IU54" s="71"/>
      <c r="IV54" s="345"/>
    </row>
    <row r="55" spans="1:256" x14ac:dyDescent="0.2">
      <c r="A55" s="345">
        <v>29189</v>
      </c>
      <c r="B55" s="71"/>
      <c r="C55" s="226"/>
      <c r="D55" s="71"/>
      <c r="E55" s="71"/>
      <c r="F55" s="345"/>
      <c r="G55" s="71"/>
      <c r="H55" s="226"/>
      <c r="I55" s="71"/>
      <c r="J55" s="71"/>
      <c r="K55" s="345"/>
      <c r="L55" s="71"/>
      <c r="M55" s="226"/>
      <c r="N55" s="71"/>
      <c r="O55" s="71"/>
      <c r="P55" s="345"/>
      <c r="Q55" s="71"/>
      <c r="R55" s="226"/>
      <c r="S55" s="71"/>
      <c r="T55" s="71"/>
      <c r="U55" s="345"/>
      <c r="V55" s="71"/>
      <c r="W55" s="226"/>
      <c r="X55" s="71"/>
      <c r="Y55" s="71"/>
      <c r="Z55" s="345"/>
      <c r="AA55" s="71"/>
      <c r="AB55" s="226"/>
      <c r="AC55" s="71"/>
      <c r="AD55" s="71"/>
      <c r="AE55" s="345"/>
      <c r="AF55" s="71"/>
      <c r="AG55" s="226"/>
      <c r="AH55" s="71"/>
      <c r="AI55" s="71"/>
      <c r="AJ55" s="345"/>
      <c r="AK55" s="71"/>
      <c r="AL55" s="226"/>
      <c r="AM55" s="71"/>
      <c r="AN55" s="71"/>
      <c r="AO55" s="345"/>
      <c r="AP55" s="71"/>
      <c r="AQ55" s="226"/>
      <c r="AR55" s="71"/>
      <c r="AS55" s="71"/>
      <c r="AT55" s="345"/>
      <c r="AU55" s="71"/>
      <c r="AV55" s="226"/>
      <c r="AW55" s="71"/>
      <c r="AX55" s="71"/>
      <c r="AY55" s="345"/>
      <c r="AZ55" s="71"/>
      <c r="BA55" s="226"/>
      <c r="BB55" s="71"/>
      <c r="BC55" s="71"/>
      <c r="BD55" s="345"/>
      <c r="BE55" s="71"/>
      <c r="BF55" s="226"/>
      <c r="BG55" s="71"/>
      <c r="BH55" s="71"/>
      <c r="BI55" s="345"/>
      <c r="BJ55" s="71"/>
      <c r="BK55" s="226"/>
      <c r="BL55" s="71"/>
      <c r="BM55" s="71"/>
      <c r="BN55" s="345"/>
      <c r="BO55" s="71"/>
      <c r="BP55" s="226"/>
      <c r="BQ55" s="71"/>
      <c r="BR55" s="71"/>
      <c r="BS55" s="345"/>
      <c r="BT55" s="71"/>
      <c r="BU55" s="226"/>
      <c r="BV55" s="71"/>
      <c r="BW55" s="71"/>
      <c r="BX55" s="345"/>
      <c r="BY55" s="71"/>
      <c r="BZ55" s="226"/>
      <c r="CA55" s="71"/>
      <c r="CB55" s="71"/>
      <c r="CC55" s="345"/>
      <c r="CD55" s="71"/>
      <c r="CE55" s="226"/>
      <c r="CF55" s="71"/>
      <c r="CG55" s="71"/>
      <c r="CH55" s="345"/>
      <c r="CI55" s="71"/>
      <c r="CJ55" s="226"/>
      <c r="CK55" s="71"/>
      <c r="CL55" s="71"/>
      <c r="CM55" s="345"/>
      <c r="CN55" s="71"/>
      <c r="CO55" s="226"/>
      <c r="CP55" s="71"/>
      <c r="CQ55" s="71"/>
      <c r="CR55" s="345"/>
      <c r="CS55" s="71"/>
      <c r="CT55" s="226"/>
      <c r="CU55" s="71"/>
      <c r="CV55" s="71"/>
      <c r="CW55" s="345"/>
      <c r="CX55" s="71"/>
      <c r="CY55" s="226"/>
      <c r="CZ55" s="71"/>
      <c r="DA55" s="71"/>
      <c r="DB55" s="345"/>
      <c r="DC55" s="71"/>
      <c r="DD55" s="226"/>
      <c r="DE55" s="71"/>
      <c r="DF55" s="71"/>
      <c r="DG55" s="345"/>
      <c r="DH55" s="71"/>
      <c r="DI55" s="226"/>
      <c r="DJ55" s="71"/>
      <c r="DK55" s="71"/>
      <c r="DL55" s="345"/>
      <c r="DM55" s="71"/>
      <c r="DN55" s="226"/>
      <c r="DO55" s="71"/>
      <c r="DP55" s="71"/>
      <c r="DQ55" s="345"/>
      <c r="DR55" s="71"/>
      <c r="DS55" s="226"/>
      <c r="DT55" s="71"/>
      <c r="DU55" s="71"/>
      <c r="DV55" s="345"/>
      <c r="DW55" s="71"/>
      <c r="DX55" s="226"/>
      <c r="DY55" s="71"/>
      <c r="DZ55" s="71"/>
      <c r="EA55" s="345"/>
      <c r="EB55" s="71"/>
      <c r="EC55" s="226"/>
      <c r="ED55" s="71"/>
      <c r="EE55" s="71"/>
      <c r="EF55" s="345"/>
      <c r="EG55" s="71"/>
      <c r="EH55" s="226"/>
      <c r="EI55" s="71"/>
      <c r="EJ55" s="71"/>
      <c r="EK55" s="345"/>
      <c r="EL55" s="71"/>
      <c r="EM55" s="226"/>
      <c r="EN55" s="71"/>
      <c r="EO55" s="71"/>
      <c r="EP55" s="345"/>
      <c r="EQ55" s="71"/>
      <c r="ER55" s="226"/>
      <c r="ES55" s="71"/>
      <c r="ET55" s="71"/>
      <c r="EU55" s="345"/>
      <c r="EV55" s="71"/>
      <c r="EW55" s="226"/>
      <c r="EX55" s="71"/>
      <c r="EY55" s="71"/>
      <c r="EZ55" s="345"/>
      <c r="FA55" s="71"/>
      <c r="FB55" s="226"/>
      <c r="FC55" s="71"/>
      <c r="FD55" s="71"/>
      <c r="FE55" s="345"/>
      <c r="FF55" s="71"/>
      <c r="FG55" s="226"/>
      <c r="FH55" s="71"/>
      <c r="FI55" s="71"/>
      <c r="FJ55" s="345"/>
      <c r="FK55" s="71"/>
      <c r="FL55" s="226"/>
      <c r="FM55" s="71"/>
      <c r="FN55" s="71"/>
      <c r="FO55" s="345"/>
      <c r="FP55" s="71"/>
      <c r="FQ55" s="226"/>
      <c r="FR55" s="71"/>
      <c r="FS55" s="71"/>
      <c r="FT55" s="345"/>
      <c r="FU55" s="71"/>
      <c r="FV55" s="226"/>
      <c r="FW55" s="71"/>
      <c r="FX55" s="71"/>
      <c r="FY55" s="345"/>
      <c r="FZ55" s="71"/>
      <c r="GA55" s="226"/>
      <c r="GB55" s="71"/>
      <c r="GC55" s="71"/>
      <c r="GD55" s="345"/>
      <c r="GE55" s="71"/>
      <c r="GF55" s="226"/>
      <c r="GG55" s="71"/>
      <c r="GH55" s="71"/>
      <c r="GI55" s="345"/>
      <c r="GJ55" s="71"/>
      <c r="GK55" s="226"/>
      <c r="GL55" s="71"/>
      <c r="GM55" s="71"/>
      <c r="GN55" s="345"/>
      <c r="GO55" s="71"/>
      <c r="GP55" s="226"/>
      <c r="GQ55" s="71"/>
      <c r="GR55" s="71"/>
      <c r="GS55" s="345"/>
      <c r="GT55" s="71"/>
      <c r="GU55" s="226"/>
      <c r="GV55" s="71"/>
      <c r="GW55" s="71"/>
      <c r="GX55" s="345"/>
      <c r="GY55" s="71"/>
      <c r="GZ55" s="226"/>
      <c r="HA55" s="71"/>
      <c r="HB55" s="71"/>
      <c r="HC55" s="345"/>
      <c r="HD55" s="71"/>
      <c r="HE55" s="226"/>
      <c r="HF55" s="71"/>
      <c r="HG55" s="71"/>
      <c r="HH55" s="345"/>
      <c r="HI55" s="71"/>
      <c r="HJ55" s="226"/>
      <c r="HK55" s="71"/>
      <c r="HL55" s="71"/>
      <c r="HM55" s="345"/>
      <c r="HN55" s="71"/>
      <c r="HO55" s="226"/>
      <c r="HP55" s="71"/>
      <c r="HQ55" s="71"/>
      <c r="HR55" s="345"/>
      <c r="HS55" s="71"/>
      <c r="HT55" s="226"/>
      <c r="HU55" s="71"/>
      <c r="HV55" s="71"/>
      <c r="HW55" s="345"/>
      <c r="HX55" s="71"/>
      <c r="HY55" s="226"/>
      <c r="HZ55" s="71"/>
      <c r="IA55" s="71"/>
      <c r="IB55" s="345"/>
      <c r="IC55" s="71"/>
      <c r="ID55" s="226"/>
      <c r="IE55" s="71"/>
      <c r="IF55" s="71"/>
      <c r="IG55" s="345"/>
      <c r="IH55" s="71"/>
      <c r="II55" s="226"/>
      <c r="IJ55" s="71"/>
      <c r="IK55" s="71"/>
      <c r="IL55" s="345"/>
      <c r="IM55" s="71"/>
      <c r="IN55" s="226"/>
      <c r="IO55" s="71"/>
      <c r="IP55" s="71"/>
      <c r="IQ55" s="345"/>
      <c r="IR55" s="71"/>
      <c r="IS55" s="226"/>
      <c r="IT55" s="71"/>
      <c r="IU55" s="71"/>
      <c r="IV55" s="345"/>
    </row>
    <row r="56" spans="1:256" x14ac:dyDescent="0.2">
      <c r="A56" s="345">
        <v>29220</v>
      </c>
      <c r="B56" s="71"/>
      <c r="C56" s="226"/>
      <c r="D56" s="71"/>
      <c r="E56" s="71"/>
      <c r="F56" s="345"/>
      <c r="G56" s="71"/>
      <c r="H56" s="226"/>
      <c r="I56" s="71"/>
      <c r="J56" s="71"/>
      <c r="K56" s="345"/>
      <c r="L56" s="71"/>
      <c r="M56" s="226"/>
      <c r="N56" s="71"/>
      <c r="O56" s="71"/>
      <c r="P56" s="345"/>
      <c r="Q56" s="71"/>
      <c r="R56" s="226"/>
      <c r="S56" s="71"/>
      <c r="T56" s="71"/>
      <c r="U56" s="345"/>
      <c r="V56" s="71"/>
      <c r="W56" s="226"/>
      <c r="X56" s="71"/>
      <c r="Y56" s="71"/>
      <c r="Z56" s="345"/>
      <c r="AA56" s="71"/>
      <c r="AB56" s="226"/>
      <c r="AC56" s="71"/>
      <c r="AD56" s="71"/>
      <c r="AE56" s="345"/>
      <c r="AF56" s="71"/>
      <c r="AG56" s="226"/>
      <c r="AH56" s="71"/>
      <c r="AI56" s="71"/>
      <c r="AJ56" s="345"/>
      <c r="AK56" s="71"/>
      <c r="AL56" s="226"/>
      <c r="AM56" s="71"/>
      <c r="AN56" s="71"/>
      <c r="AO56" s="345"/>
      <c r="AP56" s="71"/>
      <c r="AQ56" s="226"/>
      <c r="AR56" s="71"/>
      <c r="AS56" s="71"/>
      <c r="AT56" s="345"/>
      <c r="AU56" s="71"/>
      <c r="AV56" s="226"/>
      <c r="AW56" s="71"/>
      <c r="AX56" s="71"/>
      <c r="AY56" s="345"/>
      <c r="AZ56" s="71"/>
      <c r="BA56" s="226"/>
      <c r="BB56" s="71"/>
      <c r="BC56" s="71"/>
      <c r="BD56" s="345"/>
      <c r="BE56" s="71"/>
      <c r="BF56" s="226"/>
      <c r="BG56" s="71"/>
      <c r="BH56" s="71"/>
      <c r="BI56" s="345"/>
      <c r="BJ56" s="71"/>
      <c r="BK56" s="226"/>
      <c r="BL56" s="71"/>
      <c r="BM56" s="71"/>
      <c r="BN56" s="345"/>
      <c r="BO56" s="71"/>
      <c r="BP56" s="226"/>
      <c r="BQ56" s="71"/>
      <c r="BR56" s="71"/>
      <c r="BS56" s="345"/>
      <c r="BT56" s="71"/>
      <c r="BU56" s="226"/>
      <c r="BV56" s="71"/>
      <c r="BW56" s="71"/>
      <c r="BX56" s="345"/>
      <c r="BY56" s="71"/>
      <c r="BZ56" s="226"/>
      <c r="CA56" s="71"/>
      <c r="CB56" s="71"/>
      <c r="CC56" s="345"/>
      <c r="CD56" s="71"/>
      <c r="CE56" s="226"/>
      <c r="CF56" s="71"/>
      <c r="CG56" s="71"/>
      <c r="CH56" s="345"/>
      <c r="CI56" s="71"/>
      <c r="CJ56" s="226"/>
      <c r="CK56" s="71"/>
      <c r="CL56" s="71"/>
      <c r="CM56" s="345"/>
      <c r="CN56" s="71"/>
      <c r="CO56" s="226"/>
      <c r="CP56" s="71"/>
      <c r="CQ56" s="71"/>
      <c r="CR56" s="345"/>
      <c r="CS56" s="71"/>
      <c r="CT56" s="226"/>
      <c r="CU56" s="71"/>
      <c r="CV56" s="71"/>
      <c r="CW56" s="345"/>
      <c r="CX56" s="71"/>
      <c r="CY56" s="226"/>
      <c r="CZ56" s="71"/>
      <c r="DA56" s="71"/>
      <c r="DB56" s="345"/>
      <c r="DC56" s="71"/>
      <c r="DD56" s="226"/>
      <c r="DE56" s="71"/>
      <c r="DF56" s="71"/>
      <c r="DG56" s="345"/>
      <c r="DH56" s="71"/>
      <c r="DI56" s="226"/>
      <c r="DJ56" s="71"/>
      <c r="DK56" s="71"/>
      <c r="DL56" s="345"/>
      <c r="DM56" s="71"/>
      <c r="DN56" s="226"/>
      <c r="DO56" s="71"/>
      <c r="DP56" s="71"/>
      <c r="DQ56" s="345"/>
      <c r="DR56" s="71"/>
      <c r="DS56" s="226"/>
      <c r="DT56" s="71"/>
      <c r="DU56" s="71"/>
      <c r="DV56" s="345"/>
      <c r="DW56" s="71"/>
      <c r="DX56" s="226"/>
      <c r="DY56" s="71"/>
      <c r="DZ56" s="71"/>
      <c r="EA56" s="345"/>
      <c r="EB56" s="71"/>
      <c r="EC56" s="226"/>
      <c r="ED56" s="71"/>
      <c r="EE56" s="71"/>
      <c r="EF56" s="345"/>
      <c r="EG56" s="71"/>
      <c r="EH56" s="226"/>
      <c r="EI56" s="71"/>
      <c r="EJ56" s="71"/>
      <c r="EK56" s="345"/>
      <c r="EL56" s="71"/>
      <c r="EM56" s="226"/>
      <c r="EN56" s="71"/>
      <c r="EO56" s="71"/>
      <c r="EP56" s="345"/>
      <c r="EQ56" s="71"/>
      <c r="ER56" s="226"/>
      <c r="ES56" s="71"/>
      <c r="ET56" s="71"/>
      <c r="EU56" s="345"/>
      <c r="EV56" s="71"/>
      <c r="EW56" s="226"/>
      <c r="EX56" s="71"/>
      <c r="EY56" s="71"/>
      <c r="EZ56" s="345"/>
      <c r="FA56" s="71"/>
      <c r="FB56" s="226"/>
      <c r="FC56" s="71"/>
      <c r="FD56" s="71"/>
      <c r="FE56" s="345"/>
      <c r="FF56" s="71"/>
      <c r="FG56" s="226"/>
      <c r="FH56" s="71"/>
      <c r="FI56" s="71"/>
      <c r="FJ56" s="345"/>
      <c r="FK56" s="71"/>
      <c r="FL56" s="226"/>
      <c r="FM56" s="71"/>
      <c r="FN56" s="71"/>
      <c r="FO56" s="345"/>
      <c r="FP56" s="71"/>
      <c r="FQ56" s="226"/>
      <c r="FR56" s="71"/>
      <c r="FS56" s="71"/>
      <c r="FT56" s="345"/>
      <c r="FU56" s="71"/>
      <c r="FV56" s="226"/>
      <c r="FW56" s="71"/>
      <c r="FX56" s="71"/>
      <c r="FY56" s="345"/>
      <c r="FZ56" s="71"/>
      <c r="GA56" s="226"/>
      <c r="GB56" s="71"/>
      <c r="GC56" s="71"/>
      <c r="GD56" s="345"/>
      <c r="GE56" s="71"/>
      <c r="GF56" s="226"/>
      <c r="GG56" s="71"/>
      <c r="GH56" s="71"/>
      <c r="GI56" s="345"/>
      <c r="GJ56" s="71"/>
      <c r="GK56" s="226"/>
      <c r="GL56" s="71"/>
      <c r="GM56" s="71"/>
      <c r="GN56" s="345"/>
      <c r="GO56" s="71"/>
      <c r="GP56" s="226"/>
      <c r="GQ56" s="71"/>
      <c r="GR56" s="71"/>
      <c r="GS56" s="345"/>
      <c r="GT56" s="71"/>
      <c r="GU56" s="226"/>
      <c r="GV56" s="71"/>
      <c r="GW56" s="71"/>
      <c r="GX56" s="345"/>
      <c r="GY56" s="71"/>
      <c r="GZ56" s="226"/>
      <c r="HA56" s="71"/>
      <c r="HB56" s="71"/>
      <c r="HC56" s="345"/>
      <c r="HD56" s="71"/>
      <c r="HE56" s="226"/>
      <c r="HF56" s="71"/>
      <c r="HG56" s="71"/>
      <c r="HH56" s="345"/>
      <c r="HI56" s="71"/>
      <c r="HJ56" s="226"/>
      <c r="HK56" s="71"/>
      <c r="HL56" s="71"/>
      <c r="HM56" s="345"/>
      <c r="HN56" s="71"/>
      <c r="HO56" s="226"/>
      <c r="HP56" s="71"/>
      <c r="HQ56" s="71"/>
      <c r="HR56" s="345"/>
      <c r="HS56" s="71"/>
      <c r="HT56" s="226"/>
      <c r="HU56" s="71"/>
      <c r="HV56" s="71"/>
      <c r="HW56" s="345"/>
      <c r="HX56" s="71"/>
      <c r="HY56" s="226"/>
      <c r="HZ56" s="71"/>
      <c r="IA56" s="71"/>
      <c r="IB56" s="345"/>
      <c r="IC56" s="71"/>
      <c r="ID56" s="226"/>
      <c r="IE56" s="71"/>
      <c r="IF56" s="71"/>
      <c r="IG56" s="345"/>
      <c r="IH56" s="71"/>
      <c r="II56" s="226"/>
      <c r="IJ56" s="71"/>
      <c r="IK56" s="71"/>
      <c r="IL56" s="345"/>
      <c r="IM56" s="71"/>
      <c r="IN56" s="226"/>
      <c r="IO56" s="71"/>
      <c r="IP56" s="71"/>
      <c r="IQ56" s="345"/>
      <c r="IR56" s="71"/>
      <c r="IS56" s="226"/>
      <c r="IT56" s="71"/>
      <c r="IU56" s="71"/>
      <c r="IV56" s="345"/>
    </row>
    <row r="57" spans="1:256" x14ac:dyDescent="0.2">
      <c r="A57" s="345">
        <v>29251</v>
      </c>
      <c r="B57" s="71"/>
      <c r="C57" s="226"/>
      <c r="D57" s="71"/>
      <c r="E57" s="71"/>
      <c r="F57" s="345"/>
      <c r="G57" s="71"/>
      <c r="H57" s="226"/>
      <c r="I57" s="71"/>
      <c r="J57" s="71"/>
      <c r="K57" s="345"/>
      <c r="L57" s="71"/>
      <c r="M57" s="226"/>
      <c r="N57" s="71"/>
      <c r="O57" s="71"/>
      <c r="P57" s="345"/>
      <c r="Q57" s="71"/>
      <c r="R57" s="226"/>
      <c r="S57" s="71"/>
      <c r="T57" s="71"/>
      <c r="U57" s="345"/>
      <c r="V57" s="71"/>
      <c r="W57" s="226"/>
      <c r="X57" s="71"/>
      <c r="Y57" s="71"/>
      <c r="Z57" s="345"/>
      <c r="AA57" s="71"/>
      <c r="AB57" s="226"/>
      <c r="AC57" s="71"/>
      <c r="AD57" s="71"/>
      <c r="AE57" s="345"/>
      <c r="AF57" s="71"/>
      <c r="AG57" s="226"/>
      <c r="AH57" s="71"/>
      <c r="AI57" s="71"/>
      <c r="AJ57" s="345"/>
      <c r="AK57" s="71"/>
      <c r="AL57" s="226"/>
      <c r="AM57" s="71"/>
      <c r="AN57" s="71"/>
      <c r="AO57" s="345"/>
      <c r="AP57" s="71"/>
      <c r="AQ57" s="226"/>
      <c r="AR57" s="71"/>
      <c r="AS57" s="71"/>
      <c r="AT57" s="345"/>
      <c r="AU57" s="71"/>
      <c r="AV57" s="226"/>
      <c r="AW57" s="71"/>
      <c r="AX57" s="71"/>
      <c r="AY57" s="345"/>
      <c r="AZ57" s="71"/>
      <c r="BA57" s="226"/>
      <c r="BB57" s="71"/>
      <c r="BC57" s="71"/>
      <c r="BD57" s="345"/>
      <c r="BE57" s="71"/>
      <c r="BF57" s="226"/>
      <c r="BG57" s="71"/>
      <c r="BH57" s="71"/>
      <c r="BI57" s="345"/>
      <c r="BJ57" s="71"/>
      <c r="BK57" s="226"/>
      <c r="BL57" s="71"/>
      <c r="BM57" s="71"/>
      <c r="BN57" s="345"/>
      <c r="BO57" s="71"/>
      <c r="BP57" s="226"/>
      <c r="BQ57" s="71"/>
      <c r="BR57" s="71"/>
      <c r="BS57" s="345"/>
      <c r="BT57" s="71"/>
      <c r="BU57" s="226"/>
      <c r="BV57" s="71"/>
      <c r="BW57" s="71"/>
      <c r="BX57" s="345"/>
      <c r="BY57" s="71"/>
      <c r="BZ57" s="226"/>
      <c r="CA57" s="71"/>
      <c r="CB57" s="71"/>
      <c r="CC57" s="345"/>
      <c r="CD57" s="71"/>
      <c r="CE57" s="226"/>
      <c r="CF57" s="71"/>
      <c r="CG57" s="71"/>
      <c r="CH57" s="345"/>
      <c r="CI57" s="71"/>
      <c r="CJ57" s="226"/>
      <c r="CK57" s="71"/>
      <c r="CL57" s="71"/>
      <c r="CM57" s="345"/>
      <c r="CN57" s="71"/>
      <c r="CO57" s="226"/>
      <c r="CP57" s="71"/>
      <c r="CQ57" s="71"/>
      <c r="CR57" s="345"/>
      <c r="CS57" s="71"/>
      <c r="CT57" s="226"/>
      <c r="CU57" s="71"/>
      <c r="CV57" s="71"/>
      <c r="CW57" s="345"/>
      <c r="CX57" s="71"/>
      <c r="CY57" s="226"/>
      <c r="CZ57" s="71"/>
      <c r="DA57" s="71"/>
      <c r="DB57" s="345"/>
      <c r="DC57" s="71"/>
      <c r="DD57" s="226"/>
      <c r="DE57" s="71"/>
      <c r="DF57" s="71"/>
      <c r="DG57" s="345"/>
      <c r="DH57" s="71"/>
      <c r="DI57" s="226"/>
      <c r="DJ57" s="71"/>
      <c r="DK57" s="71"/>
      <c r="DL57" s="345"/>
      <c r="DM57" s="71"/>
      <c r="DN57" s="226"/>
      <c r="DO57" s="71"/>
      <c r="DP57" s="71"/>
      <c r="DQ57" s="345"/>
      <c r="DR57" s="71"/>
      <c r="DS57" s="226"/>
      <c r="DT57" s="71"/>
      <c r="DU57" s="71"/>
      <c r="DV57" s="345"/>
      <c r="DW57" s="71"/>
      <c r="DX57" s="226"/>
      <c r="DY57" s="71"/>
      <c r="DZ57" s="71"/>
      <c r="EA57" s="345"/>
      <c r="EB57" s="71"/>
      <c r="EC57" s="226"/>
      <c r="ED57" s="71"/>
      <c r="EE57" s="71"/>
      <c r="EF57" s="345"/>
      <c r="EG57" s="71"/>
      <c r="EH57" s="226"/>
      <c r="EI57" s="71"/>
      <c r="EJ57" s="71"/>
      <c r="EK57" s="345"/>
      <c r="EL57" s="71"/>
      <c r="EM57" s="226"/>
      <c r="EN57" s="71"/>
      <c r="EO57" s="71"/>
      <c r="EP57" s="345"/>
      <c r="EQ57" s="71"/>
      <c r="ER57" s="226"/>
      <c r="ES57" s="71"/>
      <c r="ET57" s="71"/>
      <c r="EU57" s="345"/>
      <c r="EV57" s="71"/>
      <c r="EW57" s="226"/>
      <c r="EX57" s="71"/>
      <c r="EY57" s="71"/>
      <c r="EZ57" s="345"/>
      <c r="FA57" s="71"/>
      <c r="FB57" s="226"/>
      <c r="FC57" s="71"/>
      <c r="FD57" s="71"/>
      <c r="FE57" s="345"/>
      <c r="FF57" s="71"/>
      <c r="FG57" s="226"/>
      <c r="FH57" s="71"/>
      <c r="FI57" s="71"/>
      <c r="FJ57" s="345"/>
      <c r="FK57" s="71"/>
      <c r="FL57" s="226"/>
      <c r="FM57" s="71"/>
      <c r="FN57" s="71"/>
      <c r="FO57" s="345"/>
      <c r="FP57" s="71"/>
      <c r="FQ57" s="226"/>
      <c r="FR57" s="71"/>
      <c r="FS57" s="71"/>
      <c r="FT57" s="345"/>
      <c r="FU57" s="71"/>
      <c r="FV57" s="226"/>
      <c r="FW57" s="71"/>
      <c r="FX57" s="71"/>
      <c r="FY57" s="345"/>
      <c r="FZ57" s="71"/>
      <c r="GA57" s="226"/>
      <c r="GB57" s="71"/>
      <c r="GC57" s="71"/>
      <c r="GD57" s="345"/>
      <c r="GE57" s="71"/>
      <c r="GF57" s="226"/>
      <c r="GG57" s="71"/>
      <c r="GH57" s="71"/>
      <c r="GI57" s="345"/>
      <c r="GJ57" s="71"/>
      <c r="GK57" s="226"/>
      <c r="GL57" s="71"/>
      <c r="GM57" s="71"/>
      <c r="GN57" s="345"/>
      <c r="GO57" s="71"/>
      <c r="GP57" s="226"/>
      <c r="GQ57" s="71"/>
      <c r="GR57" s="71"/>
      <c r="GS57" s="345"/>
      <c r="GT57" s="71"/>
      <c r="GU57" s="226"/>
      <c r="GV57" s="71"/>
      <c r="GW57" s="71"/>
      <c r="GX57" s="345"/>
      <c r="GY57" s="71"/>
      <c r="GZ57" s="226"/>
      <c r="HA57" s="71"/>
      <c r="HB57" s="71"/>
      <c r="HC57" s="345"/>
      <c r="HD57" s="71"/>
      <c r="HE57" s="226"/>
      <c r="HF57" s="71"/>
      <c r="HG57" s="71"/>
      <c r="HH57" s="345"/>
      <c r="HI57" s="71"/>
      <c r="HJ57" s="226"/>
      <c r="HK57" s="71"/>
      <c r="HL57" s="71"/>
      <c r="HM57" s="345"/>
      <c r="HN57" s="71"/>
      <c r="HO57" s="226"/>
      <c r="HP57" s="71"/>
      <c r="HQ57" s="71"/>
      <c r="HR57" s="345"/>
      <c r="HS57" s="71"/>
      <c r="HT57" s="226"/>
      <c r="HU57" s="71"/>
      <c r="HV57" s="71"/>
      <c r="HW57" s="345"/>
      <c r="HX57" s="71"/>
      <c r="HY57" s="226"/>
      <c r="HZ57" s="71"/>
      <c r="IA57" s="71"/>
      <c r="IB57" s="345"/>
      <c r="IC57" s="71"/>
      <c r="ID57" s="226"/>
      <c r="IE57" s="71"/>
      <c r="IF57" s="71"/>
      <c r="IG57" s="345"/>
      <c r="IH57" s="71"/>
      <c r="II57" s="226"/>
      <c r="IJ57" s="71"/>
      <c r="IK57" s="71"/>
      <c r="IL57" s="345"/>
      <c r="IM57" s="71"/>
      <c r="IN57" s="226"/>
      <c r="IO57" s="71"/>
      <c r="IP57" s="71"/>
      <c r="IQ57" s="345"/>
      <c r="IR57" s="71"/>
      <c r="IS57" s="226"/>
      <c r="IT57" s="71"/>
      <c r="IU57" s="71"/>
      <c r="IV57" s="345"/>
    </row>
    <row r="58" spans="1:256" x14ac:dyDescent="0.2">
      <c r="A58" s="345">
        <v>29280</v>
      </c>
      <c r="B58" s="71"/>
      <c r="C58" s="226"/>
      <c r="D58" s="71"/>
      <c r="E58" s="71"/>
      <c r="F58" s="345"/>
      <c r="G58" s="71"/>
      <c r="H58" s="226"/>
      <c r="I58" s="71"/>
      <c r="J58" s="71"/>
      <c r="K58" s="345"/>
      <c r="L58" s="71"/>
      <c r="M58" s="226"/>
      <c r="N58" s="71"/>
      <c r="O58" s="71"/>
      <c r="P58" s="345"/>
      <c r="Q58" s="71"/>
      <c r="R58" s="226"/>
      <c r="S58" s="71"/>
      <c r="T58" s="71"/>
      <c r="U58" s="345"/>
      <c r="V58" s="71"/>
      <c r="W58" s="226"/>
      <c r="X58" s="71"/>
      <c r="Y58" s="71"/>
      <c r="Z58" s="345"/>
      <c r="AA58" s="71"/>
      <c r="AB58" s="226"/>
      <c r="AC58" s="71"/>
      <c r="AD58" s="71"/>
      <c r="AE58" s="345"/>
      <c r="AF58" s="71"/>
      <c r="AG58" s="226"/>
      <c r="AH58" s="71"/>
      <c r="AI58" s="71"/>
      <c r="AJ58" s="345"/>
      <c r="AK58" s="71"/>
      <c r="AL58" s="226"/>
      <c r="AM58" s="71"/>
      <c r="AN58" s="71"/>
      <c r="AO58" s="345"/>
      <c r="AP58" s="71"/>
      <c r="AQ58" s="226"/>
      <c r="AR58" s="71"/>
      <c r="AS58" s="71"/>
      <c r="AT58" s="345"/>
      <c r="AU58" s="71"/>
      <c r="AV58" s="226"/>
      <c r="AW58" s="71"/>
      <c r="AX58" s="71"/>
      <c r="AY58" s="345"/>
      <c r="AZ58" s="71"/>
      <c r="BA58" s="226"/>
      <c r="BB58" s="71"/>
      <c r="BC58" s="71"/>
      <c r="BD58" s="345"/>
      <c r="BE58" s="71"/>
      <c r="BF58" s="226"/>
      <c r="BG58" s="71"/>
      <c r="BH58" s="71"/>
      <c r="BI58" s="345"/>
      <c r="BJ58" s="71"/>
      <c r="BK58" s="226"/>
      <c r="BL58" s="71"/>
      <c r="BM58" s="71"/>
      <c r="BN58" s="345"/>
      <c r="BO58" s="71"/>
      <c r="BP58" s="226"/>
      <c r="BQ58" s="71"/>
      <c r="BR58" s="71"/>
      <c r="BS58" s="345"/>
      <c r="BT58" s="71"/>
      <c r="BU58" s="226"/>
      <c r="BV58" s="71"/>
      <c r="BW58" s="71"/>
      <c r="BX58" s="345"/>
      <c r="BY58" s="71"/>
      <c r="BZ58" s="226"/>
      <c r="CA58" s="71"/>
      <c r="CB58" s="71"/>
      <c r="CC58" s="345"/>
      <c r="CD58" s="71"/>
      <c r="CE58" s="226"/>
      <c r="CF58" s="71"/>
      <c r="CG58" s="71"/>
      <c r="CH58" s="345"/>
      <c r="CI58" s="71"/>
      <c r="CJ58" s="226"/>
      <c r="CK58" s="71"/>
      <c r="CL58" s="71"/>
      <c r="CM58" s="345"/>
      <c r="CN58" s="71"/>
      <c r="CO58" s="226"/>
      <c r="CP58" s="71"/>
      <c r="CQ58" s="71"/>
      <c r="CR58" s="345"/>
      <c r="CS58" s="71"/>
      <c r="CT58" s="226"/>
      <c r="CU58" s="71"/>
      <c r="CV58" s="71"/>
      <c r="CW58" s="345"/>
      <c r="CX58" s="71"/>
      <c r="CY58" s="226"/>
      <c r="CZ58" s="71"/>
      <c r="DA58" s="71"/>
      <c r="DB58" s="345"/>
      <c r="DC58" s="71"/>
      <c r="DD58" s="226"/>
      <c r="DE58" s="71"/>
      <c r="DF58" s="71"/>
      <c r="DG58" s="345"/>
      <c r="DH58" s="71"/>
      <c r="DI58" s="226"/>
      <c r="DJ58" s="71"/>
      <c r="DK58" s="71"/>
      <c r="DL58" s="345"/>
      <c r="DM58" s="71"/>
      <c r="DN58" s="226"/>
      <c r="DO58" s="71"/>
      <c r="DP58" s="71"/>
      <c r="DQ58" s="345"/>
      <c r="DR58" s="71"/>
      <c r="DS58" s="226"/>
      <c r="DT58" s="71"/>
      <c r="DU58" s="71"/>
      <c r="DV58" s="345"/>
      <c r="DW58" s="71"/>
      <c r="DX58" s="226"/>
      <c r="DY58" s="71"/>
      <c r="DZ58" s="71"/>
      <c r="EA58" s="345"/>
      <c r="EB58" s="71"/>
      <c r="EC58" s="226"/>
      <c r="ED58" s="71"/>
      <c r="EE58" s="71"/>
      <c r="EF58" s="345"/>
      <c r="EG58" s="71"/>
      <c r="EH58" s="226"/>
      <c r="EI58" s="71"/>
      <c r="EJ58" s="71"/>
      <c r="EK58" s="345"/>
      <c r="EL58" s="71"/>
      <c r="EM58" s="226"/>
      <c r="EN58" s="71"/>
      <c r="EO58" s="71"/>
      <c r="EP58" s="345"/>
      <c r="EQ58" s="71"/>
      <c r="ER58" s="226"/>
      <c r="ES58" s="71"/>
      <c r="ET58" s="71"/>
      <c r="EU58" s="345"/>
      <c r="EV58" s="71"/>
      <c r="EW58" s="226"/>
      <c r="EX58" s="71"/>
      <c r="EY58" s="71"/>
      <c r="EZ58" s="345"/>
      <c r="FA58" s="71"/>
      <c r="FB58" s="226"/>
      <c r="FC58" s="71"/>
      <c r="FD58" s="71"/>
      <c r="FE58" s="345"/>
      <c r="FF58" s="71"/>
      <c r="FG58" s="226"/>
      <c r="FH58" s="71"/>
      <c r="FI58" s="71"/>
      <c r="FJ58" s="345"/>
      <c r="FK58" s="71"/>
      <c r="FL58" s="226"/>
      <c r="FM58" s="71"/>
      <c r="FN58" s="71"/>
      <c r="FO58" s="345"/>
      <c r="FP58" s="71"/>
      <c r="FQ58" s="226"/>
      <c r="FR58" s="71"/>
      <c r="FS58" s="71"/>
      <c r="FT58" s="345"/>
      <c r="FU58" s="71"/>
      <c r="FV58" s="226"/>
      <c r="FW58" s="71"/>
      <c r="FX58" s="71"/>
      <c r="FY58" s="345"/>
      <c r="FZ58" s="71"/>
      <c r="GA58" s="226"/>
      <c r="GB58" s="71"/>
      <c r="GC58" s="71"/>
      <c r="GD58" s="345"/>
      <c r="GE58" s="71"/>
      <c r="GF58" s="226"/>
      <c r="GG58" s="71"/>
      <c r="GH58" s="71"/>
      <c r="GI58" s="345"/>
      <c r="GJ58" s="71"/>
      <c r="GK58" s="226"/>
      <c r="GL58" s="71"/>
      <c r="GM58" s="71"/>
      <c r="GN58" s="345"/>
      <c r="GO58" s="71"/>
      <c r="GP58" s="226"/>
      <c r="GQ58" s="71"/>
      <c r="GR58" s="71"/>
      <c r="GS58" s="345"/>
      <c r="GT58" s="71"/>
      <c r="GU58" s="226"/>
      <c r="GV58" s="71"/>
      <c r="GW58" s="71"/>
      <c r="GX58" s="345"/>
      <c r="GY58" s="71"/>
      <c r="GZ58" s="226"/>
      <c r="HA58" s="71"/>
      <c r="HB58" s="71"/>
      <c r="HC58" s="345"/>
      <c r="HD58" s="71"/>
      <c r="HE58" s="226"/>
      <c r="HF58" s="71"/>
      <c r="HG58" s="71"/>
      <c r="HH58" s="345"/>
      <c r="HI58" s="71"/>
      <c r="HJ58" s="226"/>
      <c r="HK58" s="71"/>
      <c r="HL58" s="71"/>
      <c r="HM58" s="345"/>
      <c r="HN58" s="71"/>
      <c r="HO58" s="226"/>
      <c r="HP58" s="71"/>
      <c r="HQ58" s="71"/>
      <c r="HR58" s="345"/>
      <c r="HS58" s="71"/>
      <c r="HT58" s="226"/>
      <c r="HU58" s="71"/>
      <c r="HV58" s="71"/>
      <c r="HW58" s="345"/>
      <c r="HX58" s="71"/>
      <c r="HY58" s="226"/>
      <c r="HZ58" s="71"/>
      <c r="IA58" s="71"/>
      <c r="IB58" s="345"/>
      <c r="IC58" s="71"/>
      <c r="ID58" s="226"/>
      <c r="IE58" s="71"/>
      <c r="IF58" s="71"/>
      <c r="IG58" s="345"/>
      <c r="IH58" s="71"/>
      <c r="II58" s="226"/>
      <c r="IJ58" s="71"/>
      <c r="IK58" s="71"/>
      <c r="IL58" s="345"/>
      <c r="IM58" s="71"/>
      <c r="IN58" s="226"/>
      <c r="IO58" s="71"/>
      <c r="IP58" s="71"/>
      <c r="IQ58" s="345"/>
      <c r="IR58" s="71"/>
      <c r="IS58" s="226"/>
      <c r="IT58" s="71"/>
      <c r="IU58" s="71"/>
      <c r="IV58" s="345"/>
    </row>
    <row r="59" spans="1:256" x14ac:dyDescent="0.2">
      <c r="A59" s="345">
        <v>29311</v>
      </c>
      <c r="B59" s="71"/>
      <c r="C59" s="226"/>
      <c r="D59" s="71"/>
      <c r="E59" s="71"/>
      <c r="F59" s="345"/>
      <c r="G59" s="71"/>
      <c r="H59" s="226"/>
      <c r="I59" s="71"/>
      <c r="J59" s="71"/>
      <c r="K59" s="345"/>
      <c r="L59" s="71"/>
      <c r="M59" s="226"/>
      <c r="N59" s="71"/>
      <c r="O59" s="71"/>
      <c r="P59" s="345"/>
      <c r="Q59" s="71"/>
      <c r="R59" s="226"/>
      <c r="S59" s="71"/>
      <c r="T59" s="71"/>
      <c r="U59" s="345"/>
      <c r="V59" s="71"/>
      <c r="W59" s="226"/>
      <c r="X59" s="71"/>
      <c r="Y59" s="71"/>
      <c r="Z59" s="345"/>
      <c r="AA59" s="71"/>
      <c r="AB59" s="226"/>
      <c r="AC59" s="71"/>
      <c r="AD59" s="71"/>
      <c r="AE59" s="345"/>
      <c r="AF59" s="71"/>
      <c r="AG59" s="226"/>
      <c r="AH59" s="71"/>
      <c r="AI59" s="71"/>
      <c r="AJ59" s="345"/>
      <c r="AK59" s="71"/>
      <c r="AL59" s="226"/>
      <c r="AM59" s="71"/>
      <c r="AN59" s="71"/>
      <c r="AO59" s="345"/>
      <c r="AP59" s="71"/>
      <c r="AQ59" s="226"/>
      <c r="AR59" s="71"/>
      <c r="AS59" s="71"/>
      <c r="AT59" s="345"/>
      <c r="AU59" s="71"/>
      <c r="AV59" s="226"/>
      <c r="AW59" s="71"/>
      <c r="AX59" s="71"/>
      <c r="AY59" s="345"/>
      <c r="AZ59" s="71"/>
      <c r="BA59" s="226"/>
      <c r="BB59" s="71"/>
      <c r="BC59" s="71"/>
      <c r="BD59" s="345"/>
      <c r="BE59" s="71"/>
      <c r="BF59" s="226"/>
      <c r="BG59" s="71"/>
      <c r="BH59" s="71"/>
      <c r="BI59" s="345"/>
      <c r="BJ59" s="71"/>
      <c r="BK59" s="226"/>
      <c r="BL59" s="71"/>
      <c r="BM59" s="71"/>
      <c r="BN59" s="345"/>
      <c r="BO59" s="71"/>
      <c r="BP59" s="226"/>
      <c r="BQ59" s="71"/>
      <c r="BR59" s="71"/>
      <c r="BS59" s="345"/>
      <c r="BT59" s="71"/>
      <c r="BU59" s="226"/>
      <c r="BV59" s="71"/>
      <c r="BW59" s="71"/>
      <c r="BX59" s="345"/>
      <c r="BY59" s="71"/>
      <c r="BZ59" s="226"/>
      <c r="CA59" s="71"/>
      <c r="CB59" s="71"/>
      <c r="CC59" s="345"/>
      <c r="CD59" s="71"/>
      <c r="CE59" s="226"/>
      <c r="CF59" s="71"/>
      <c r="CG59" s="71"/>
      <c r="CH59" s="345"/>
      <c r="CI59" s="71"/>
      <c r="CJ59" s="226"/>
      <c r="CK59" s="71"/>
      <c r="CL59" s="71"/>
      <c r="CM59" s="345"/>
      <c r="CN59" s="71"/>
      <c r="CO59" s="226"/>
      <c r="CP59" s="71"/>
      <c r="CQ59" s="71"/>
      <c r="CR59" s="345"/>
      <c r="CS59" s="71"/>
      <c r="CT59" s="226"/>
      <c r="CU59" s="71"/>
      <c r="CV59" s="71"/>
      <c r="CW59" s="345"/>
      <c r="CX59" s="71"/>
      <c r="CY59" s="226"/>
      <c r="CZ59" s="71"/>
      <c r="DA59" s="71"/>
      <c r="DB59" s="345"/>
      <c r="DC59" s="71"/>
      <c r="DD59" s="226"/>
      <c r="DE59" s="71"/>
      <c r="DF59" s="71"/>
      <c r="DG59" s="345"/>
      <c r="DH59" s="71"/>
      <c r="DI59" s="226"/>
      <c r="DJ59" s="71"/>
      <c r="DK59" s="71"/>
      <c r="DL59" s="345"/>
      <c r="DM59" s="71"/>
      <c r="DN59" s="226"/>
      <c r="DO59" s="71"/>
      <c r="DP59" s="71"/>
      <c r="DQ59" s="345"/>
      <c r="DR59" s="71"/>
      <c r="DS59" s="226"/>
      <c r="DT59" s="71"/>
      <c r="DU59" s="71"/>
      <c r="DV59" s="345"/>
      <c r="DW59" s="71"/>
      <c r="DX59" s="226"/>
      <c r="DY59" s="71"/>
      <c r="DZ59" s="71"/>
      <c r="EA59" s="345"/>
      <c r="EB59" s="71"/>
      <c r="EC59" s="226"/>
      <c r="ED59" s="71"/>
      <c r="EE59" s="71"/>
      <c r="EF59" s="345"/>
      <c r="EG59" s="71"/>
      <c r="EH59" s="226"/>
      <c r="EI59" s="71"/>
      <c r="EJ59" s="71"/>
      <c r="EK59" s="345"/>
      <c r="EL59" s="71"/>
      <c r="EM59" s="226"/>
      <c r="EN59" s="71"/>
      <c r="EO59" s="71"/>
      <c r="EP59" s="345"/>
      <c r="EQ59" s="71"/>
      <c r="ER59" s="226"/>
      <c r="ES59" s="71"/>
      <c r="ET59" s="71"/>
      <c r="EU59" s="345"/>
      <c r="EV59" s="71"/>
      <c r="EW59" s="226"/>
      <c r="EX59" s="71"/>
      <c r="EY59" s="71"/>
      <c r="EZ59" s="345"/>
      <c r="FA59" s="71"/>
      <c r="FB59" s="226"/>
      <c r="FC59" s="71"/>
      <c r="FD59" s="71"/>
      <c r="FE59" s="345"/>
      <c r="FF59" s="71"/>
      <c r="FG59" s="226"/>
      <c r="FH59" s="71"/>
      <c r="FI59" s="71"/>
      <c r="FJ59" s="345"/>
      <c r="FK59" s="71"/>
      <c r="FL59" s="226"/>
      <c r="FM59" s="71"/>
      <c r="FN59" s="71"/>
      <c r="FO59" s="345"/>
      <c r="FP59" s="71"/>
      <c r="FQ59" s="226"/>
      <c r="FR59" s="71"/>
      <c r="FS59" s="71"/>
      <c r="FT59" s="345"/>
      <c r="FU59" s="71"/>
      <c r="FV59" s="226"/>
      <c r="FW59" s="71"/>
      <c r="FX59" s="71"/>
      <c r="FY59" s="345"/>
      <c r="FZ59" s="71"/>
      <c r="GA59" s="226"/>
      <c r="GB59" s="71"/>
      <c r="GC59" s="71"/>
      <c r="GD59" s="345"/>
      <c r="GE59" s="71"/>
      <c r="GF59" s="226"/>
      <c r="GG59" s="71"/>
      <c r="GH59" s="71"/>
      <c r="GI59" s="345"/>
      <c r="GJ59" s="71"/>
      <c r="GK59" s="226"/>
      <c r="GL59" s="71"/>
      <c r="GM59" s="71"/>
      <c r="GN59" s="345"/>
      <c r="GO59" s="71"/>
      <c r="GP59" s="226"/>
      <c r="GQ59" s="71"/>
      <c r="GR59" s="71"/>
      <c r="GS59" s="345"/>
      <c r="GT59" s="71"/>
      <c r="GU59" s="226"/>
      <c r="GV59" s="71"/>
      <c r="GW59" s="71"/>
      <c r="GX59" s="345"/>
      <c r="GY59" s="71"/>
      <c r="GZ59" s="226"/>
      <c r="HA59" s="71"/>
      <c r="HB59" s="71"/>
      <c r="HC59" s="345"/>
      <c r="HD59" s="71"/>
      <c r="HE59" s="226"/>
      <c r="HF59" s="71"/>
      <c r="HG59" s="71"/>
      <c r="HH59" s="345"/>
      <c r="HI59" s="71"/>
      <c r="HJ59" s="226"/>
      <c r="HK59" s="71"/>
      <c r="HL59" s="71"/>
      <c r="HM59" s="345"/>
      <c r="HN59" s="71"/>
      <c r="HO59" s="226"/>
      <c r="HP59" s="71"/>
      <c r="HQ59" s="71"/>
      <c r="HR59" s="345"/>
      <c r="HS59" s="71"/>
      <c r="HT59" s="226"/>
      <c r="HU59" s="71"/>
      <c r="HV59" s="71"/>
      <c r="HW59" s="345"/>
      <c r="HX59" s="71"/>
      <c r="HY59" s="226"/>
      <c r="HZ59" s="71"/>
      <c r="IA59" s="71"/>
      <c r="IB59" s="345"/>
      <c r="IC59" s="71"/>
      <c r="ID59" s="226"/>
      <c r="IE59" s="71"/>
      <c r="IF59" s="71"/>
      <c r="IG59" s="345"/>
      <c r="IH59" s="71"/>
      <c r="II59" s="226"/>
      <c r="IJ59" s="71"/>
      <c r="IK59" s="71"/>
      <c r="IL59" s="345"/>
      <c r="IM59" s="71"/>
      <c r="IN59" s="226"/>
      <c r="IO59" s="71"/>
      <c r="IP59" s="71"/>
      <c r="IQ59" s="345"/>
      <c r="IR59" s="71"/>
      <c r="IS59" s="226"/>
      <c r="IT59" s="71"/>
      <c r="IU59" s="71"/>
      <c r="IV59" s="345"/>
    </row>
    <row r="60" spans="1:256" x14ac:dyDescent="0.2">
      <c r="A60" s="345">
        <v>29341</v>
      </c>
      <c r="B60" s="71"/>
      <c r="C60" s="226"/>
      <c r="D60" s="71"/>
      <c r="E60" s="71"/>
      <c r="F60" s="345"/>
      <c r="G60" s="71"/>
      <c r="H60" s="226"/>
      <c r="I60" s="71"/>
      <c r="J60" s="71"/>
      <c r="K60" s="345"/>
      <c r="L60" s="71"/>
      <c r="M60" s="226"/>
      <c r="N60" s="71"/>
      <c r="O60" s="71"/>
      <c r="P60" s="345"/>
      <c r="Q60" s="71"/>
      <c r="R60" s="226"/>
      <c r="S60" s="71"/>
      <c r="T60" s="71"/>
      <c r="U60" s="345"/>
      <c r="V60" s="71"/>
      <c r="W60" s="226"/>
      <c r="X60" s="71"/>
      <c r="Y60" s="71"/>
      <c r="Z60" s="345"/>
      <c r="AA60" s="71"/>
      <c r="AB60" s="226"/>
      <c r="AC60" s="71"/>
      <c r="AD60" s="71"/>
      <c r="AE60" s="345"/>
      <c r="AF60" s="71"/>
      <c r="AG60" s="226"/>
      <c r="AH60" s="71"/>
      <c r="AI60" s="71"/>
      <c r="AJ60" s="345"/>
      <c r="AK60" s="71"/>
      <c r="AL60" s="226"/>
      <c r="AM60" s="71"/>
      <c r="AN60" s="71"/>
      <c r="AO60" s="345"/>
      <c r="AP60" s="71"/>
      <c r="AQ60" s="226"/>
      <c r="AR60" s="71"/>
      <c r="AS60" s="71"/>
      <c r="AT60" s="345"/>
      <c r="AU60" s="71"/>
      <c r="AV60" s="226"/>
      <c r="AW60" s="71"/>
      <c r="AX60" s="71"/>
      <c r="AY60" s="345"/>
      <c r="AZ60" s="71"/>
      <c r="BA60" s="226"/>
      <c r="BB60" s="71"/>
      <c r="BC60" s="71"/>
      <c r="BD60" s="345"/>
      <c r="BE60" s="71"/>
      <c r="BF60" s="226"/>
      <c r="BG60" s="71"/>
      <c r="BH60" s="71"/>
      <c r="BI60" s="345"/>
      <c r="BJ60" s="71"/>
      <c r="BK60" s="226"/>
      <c r="BL60" s="71"/>
      <c r="BM60" s="71"/>
      <c r="BN60" s="345"/>
      <c r="BO60" s="71"/>
      <c r="BP60" s="226"/>
      <c r="BQ60" s="71"/>
      <c r="BR60" s="71"/>
      <c r="BS60" s="345"/>
      <c r="BT60" s="71"/>
      <c r="BU60" s="226"/>
      <c r="BV60" s="71"/>
      <c r="BW60" s="71"/>
      <c r="BX60" s="345"/>
      <c r="BY60" s="71"/>
      <c r="BZ60" s="226"/>
      <c r="CA60" s="71"/>
      <c r="CB60" s="71"/>
      <c r="CC60" s="345"/>
      <c r="CD60" s="71"/>
      <c r="CE60" s="226"/>
      <c r="CF60" s="71"/>
      <c r="CG60" s="71"/>
      <c r="CH60" s="345"/>
      <c r="CI60" s="71"/>
      <c r="CJ60" s="226"/>
      <c r="CK60" s="71"/>
      <c r="CL60" s="71"/>
      <c r="CM60" s="345"/>
      <c r="CN60" s="71"/>
      <c r="CO60" s="226"/>
      <c r="CP60" s="71"/>
      <c r="CQ60" s="71"/>
      <c r="CR60" s="345"/>
      <c r="CS60" s="71"/>
      <c r="CT60" s="226"/>
      <c r="CU60" s="71"/>
      <c r="CV60" s="71"/>
      <c r="CW60" s="345"/>
      <c r="CX60" s="71"/>
      <c r="CY60" s="226"/>
      <c r="CZ60" s="71"/>
      <c r="DA60" s="71"/>
      <c r="DB60" s="345"/>
      <c r="DC60" s="71"/>
      <c r="DD60" s="226"/>
      <c r="DE60" s="71"/>
      <c r="DF60" s="71"/>
      <c r="DG60" s="345"/>
      <c r="DH60" s="71"/>
      <c r="DI60" s="226"/>
      <c r="DJ60" s="71"/>
      <c r="DK60" s="71"/>
      <c r="DL60" s="345"/>
      <c r="DM60" s="71"/>
      <c r="DN60" s="226"/>
      <c r="DO60" s="71"/>
      <c r="DP60" s="71"/>
      <c r="DQ60" s="345"/>
      <c r="DR60" s="71"/>
      <c r="DS60" s="226"/>
      <c r="DT60" s="71"/>
      <c r="DU60" s="71"/>
      <c r="DV60" s="345"/>
      <c r="DW60" s="71"/>
      <c r="DX60" s="226"/>
      <c r="DY60" s="71"/>
      <c r="DZ60" s="71"/>
      <c r="EA60" s="345"/>
      <c r="EB60" s="71"/>
      <c r="EC60" s="226"/>
      <c r="ED60" s="71"/>
      <c r="EE60" s="71"/>
      <c r="EF60" s="345"/>
      <c r="EG60" s="71"/>
      <c r="EH60" s="226"/>
      <c r="EI60" s="71"/>
      <c r="EJ60" s="71"/>
      <c r="EK60" s="345"/>
      <c r="EL60" s="71"/>
      <c r="EM60" s="226"/>
      <c r="EN60" s="71"/>
      <c r="EO60" s="71"/>
      <c r="EP60" s="345"/>
      <c r="EQ60" s="71"/>
      <c r="ER60" s="226"/>
      <c r="ES60" s="71"/>
      <c r="ET60" s="71"/>
      <c r="EU60" s="345"/>
      <c r="EV60" s="71"/>
      <c r="EW60" s="226"/>
      <c r="EX60" s="71"/>
      <c r="EY60" s="71"/>
      <c r="EZ60" s="345"/>
      <c r="FA60" s="71"/>
      <c r="FB60" s="226"/>
      <c r="FC60" s="71"/>
      <c r="FD60" s="71"/>
      <c r="FE60" s="345"/>
      <c r="FF60" s="71"/>
      <c r="FG60" s="226"/>
      <c r="FH60" s="71"/>
      <c r="FI60" s="71"/>
      <c r="FJ60" s="345"/>
      <c r="FK60" s="71"/>
      <c r="FL60" s="226"/>
      <c r="FM60" s="71"/>
      <c r="FN60" s="71"/>
      <c r="FO60" s="345"/>
      <c r="FP60" s="71"/>
      <c r="FQ60" s="226"/>
      <c r="FR60" s="71"/>
      <c r="FS60" s="71"/>
      <c r="FT60" s="345"/>
      <c r="FU60" s="71"/>
      <c r="FV60" s="226"/>
      <c r="FW60" s="71"/>
      <c r="FX60" s="71"/>
      <c r="FY60" s="345"/>
      <c r="FZ60" s="71"/>
      <c r="GA60" s="226"/>
      <c r="GB60" s="71"/>
      <c r="GC60" s="71"/>
      <c r="GD60" s="345"/>
      <c r="GE60" s="71"/>
      <c r="GF60" s="226"/>
      <c r="GG60" s="71"/>
      <c r="GH60" s="71"/>
      <c r="GI60" s="345"/>
      <c r="GJ60" s="71"/>
      <c r="GK60" s="226"/>
      <c r="GL60" s="71"/>
      <c r="GM60" s="71"/>
      <c r="GN60" s="345"/>
      <c r="GO60" s="71"/>
      <c r="GP60" s="226"/>
      <c r="GQ60" s="71"/>
      <c r="GR60" s="71"/>
      <c r="GS60" s="345"/>
      <c r="GT60" s="71"/>
      <c r="GU60" s="226"/>
      <c r="GV60" s="71"/>
      <c r="GW60" s="71"/>
      <c r="GX60" s="345"/>
      <c r="GY60" s="71"/>
      <c r="GZ60" s="226"/>
      <c r="HA60" s="71"/>
      <c r="HB60" s="71"/>
      <c r="HC60" s="345"/>
      <c r="HD60" s="71"/>
      <c r="HE60" s="226"/>
      <c r="HF60" s="71"/>
      <c r="HG60" s="71"/>
      <c r="HH60" s="345"/>
      <c r="HI60" s="71"/>
      <c r="HJ60" s="226"/>
      <c r="HK60" s="71"/>
      <c r="HL60" s="71"/>
      <c r="HM60" s="345"/>
      <c r="HN60" s="71"/>
      <c r="HO60" s="226"/>
      <c r="HP60" s="71"/>
      <c r="HQ60" s="71"/>
      <c r="HR60" s="345"/>
      <c r="HS60" s="71"/>
      <c r="HT60" s="226"/>
      <c r="HU60" s="71"/>
      <c r="HV60" s="71"/>
      <c r="HW60" s="345"/>
      <c r="HX60" s="71"/>
      <c r="HY60" s="226"/>
      <c r="HZ60" s="71"/>
      <c r="IA60" s="71"/>
      <c r="IB60" s="345"/>
      <c r="IC60" s="71"/>
      <c r="ID60" s="226"/>
      <c r="IE60" s="71"/>
      <c r="IF60" s="71"/>
      <c r="IG60" s="345"/>
      <c r="IH60" s="71"/>
      <c r="II60" s="226"/>
      <c r="IJ60" s="71"/>
      <c r="IK60" s="71"/>
      <c r="IL60" s="345"/>
      <c r="IM60" s="71"/>
      <c r="IN60" s="226"/>
      <c r="IO60" s="71"/>
      <c r="IP60" s="71"/>
      <c r="IQ60" s="345"/>
      <c r="IR60" s="71"/>
      <c r="IS60" s="226"/>
      <c r="IT60" s="71"/>
      <c r="IU60" s="71"/>
      <c r="IV60" s="345"/>
    </row>
    <row r="61" spans="1:256" x14ac:dyDescent="0.2">
      <c r="A61" s="345">
        <v>29372</v>
      </c>
      <c r="B61" s="71"/>
      <c r="C61" s="226"/>
      <c r="D61" s="71"/>
      <c r="E61" s="71"/>
      <c r="F61" s="345"/>
      <c r="G61" s="71"/>
      <c r="H61" s="226"/>
      <c r="I61" s="71"/>
      <c r="J61" s="71"/>
      <c r="K61" s="345"/>
      <c r="L61" s="71"/>
      <c r="M61" s="226"/>
      <c r="N61" s="71"/>
      <c r="O61" s="71"/>
      <c r="P61" s="345"/>
      <c r="Q61" s="71"/>
      <c r="R61" s="226"/>
      <c r="S61" s="71"/>
      <c r="T61" s="71"/>
      <c r="U61" s="345"/>
      <c r="V61" s="71"/>
      <c r="W61" s="226"/>
      <c r="X61" s="71"/>
      <c r="Y61" s="71"/>
      <c r="Z61" s="345"/>
      <c r="AA61" s="71"/>
      <c r="AB61" s="226"/>
      <c r="AC61" s="71"/>
      <c r="AD61" s="71"/>
      <c r="AE61" s="345"/>
      <c r="AF61" s="71"/>
      <c r="AG61" s="226"/>
      <c r="AH61" s="71"/>
      <c r="AI61" s="71"/>
      <c r="AJ61" s="345"/>
      <c r="AK61" s="71"/>
      <c r="AL61" s="226"/>
      <c r="AM61" s="71"/>
      <c r="AN61" s="71"/>
      <c r="AO61" s="345"/>
      <c r="AP61" s="71"/>
      <c r="AQ61" s="226"/>
      <c r="AR61" s="71"/>
      <c r="AS61" s="71"/>
      <c r="AT61" s="345"/>
      <c r="AU61" s="71"/>
      <c r="AV61" s="226"/>
      <c r="AW61" s="71"/>
      <c r="AX61" s="71"/>
      <c r="AY61" s="345"/>
      <c r="AZ61" s="71"/>
      <c r="BA61" s="226"/>
      <c r="BB61" s="71"/>
      <c r="BC61" s="71"/>
      <c r="BD61" s="345"/>
      <c r="BE61" s="71"/>
      <c r="BF61" s="226"/>
      <c r="BG61" s="71"/>
      <c r="BH61" s="71"/>
      <c r="BI61" s="345"/>
      <c r="BJ61" s="71"/>
      <c r="BK61" s="226"/>
      <c r="BL61" s="71"/>
      <c r="BM61" s="71"/>
      <c r="BN61" s="345"/>
      <c r="BO61" s="71"/>
      <c r="BP61" s="226"/>
      <c r="BQ61" s="71"/>
      <c r="BR61" s="71"/>
      <c r="BS61" s="345"/>
      <c r="BT61" s="71"/>
      <c r="BU61" s="226"/>
      <c r="BV61" s="71"/>
      <c r="BW61" s="71"/>
      <c r="BX61" s="345"/>
      <c r="BY61" s="71"/>
      <c r="BZ61" s="226"/>
      <c r="CA61" s="71"/>
      <c r="CB61" s="71"/>
      <c r="CC61" s="345"/>
      <c r="CD61" s="71"/>
      <c r="CE61" s="226"/>
      <c r="CF61" s="71"/>
      <c r="CG61" s="71"/>
      <c r="CH61" s="345"/>
      <c r="CI61" s="71"/>
      <c r="CJ61" s="226"/>
      <c r="CK61" s="71"/>
      <c r="CL61" s="71"/>
      <c r="CM61" s="345"/>
      <c r="CN61" s="71"/>
      <c r="CO61" s="226"/>
      <c r="CP61" s="71"/>
      <c r="CQ61" s="71"/>
      <c r="CR61" s="345"/>
      <c r="CS61" s="71"/>
      <c r="CT61" s="226"/>
      <c r="CU61" s="71"/>
      <c r="CV61" s="71"/>
      <c r="CW61" s="345"/>
      <c r="CX61" s="71"/>
      <c r="CY61" s="226"/>
      <c r="CZ61" s="71"/>
      <c r="DA61" s="71"/>
      <c r="DB61" s="345"/>
      <c r="DC61" s="71"/>
      <c r="DD61" s="226"/>
      <c r="DE61" s="71"/>
      <c r="DF61" s="71"/>
      <c r="DG61" s="345"/>
      <c r="DH61" s="71"/>
      <c r="DI61" s="226"/>
      <c r="DJ61" s="71"/>
      <c r="DK61" s="71"/>
      <c r="DL61" s="345"/>
      <c r="DM61" s="71"/>
      <c r="DN61" s="226"/>
      <c r="DO61" s="71"/>
      <c r="DP61" s="71"/>
      <c r="DQ61" s="345"/>
      <c r="DR61" s="71"/>
      <c r="DS61" s="226"/>
      <c r="DT61" s="71"/>
      <c r="DU61" s="71"/>
      <c r="DV61" s="345"/>
      <c r="DW61" s="71"/>
      <c r="DX61" s="226"/>
      <c r="DY61" s="71"/>
      <c r="DZ61" s="71"/>
      <c r="EA61" s="345"/>
      <c r="EB61" s="71"/>
      <c r="EC61" s="226"/>
      <c r="ED61" s="71"/>
      <c r="EE61" s="71"/>
      <c r="EF61" s="345"/>
      <c r="EG61" s="71"/>
      <c r="EH61" s="226"/>
      <c r="EI61" s="71"/>
      <c r="EJ61" s="71"/>
      <c r="EK61" s="345"/>
      <c r="EL61" s="71"/>
      <c r="EM61" s="226"/>
      <c r="EN61" s="71"/>
      <c r="EO61" s="71"/>
      <c r="EP61" s="345"/>
      <c r="EQ61" s="71"/>
      <c r="ER61" s="226"/>
      <c r="ES61" s="71"/>
      <c r="ET61" s="71"/>
      <c r="EU61" s="345"/>
      <c r="EV61" s="71"/>
      <c r="EW61" s="226"/>
      <c r="EX61" s="71"/>
      <c r="EY61" s="71"/>
      <c r="EZ61" s="345"/>
      <c r="FA61" s="71"/>
      <c r="FB61" s="226"/>
      <c r="FC61" s="71"/>
      <c r="FD61" s="71"/>
      <c r="FE61" s="345"/>
      <c r="FF61" s="71"/>
      <c r="FG61" s="226"/>
      <c r="FH61" s="71"/>
      <c r="FI61" s="71"/>
      <c r="FJ61" s="345"/>
      <c r="FK61" s="71"/>
      <c r="FL61" s="226"/>
      <c r="FM61" s="71"/>
      <c r="FN61" s="71"/>
      <c r="FO61" s="345"/>
      <c r="FP61" s="71"/>
      <c r="FQ61" s="226"/>
      <c r="FR61" s="71"/>
      <c r="FS61" s="71"/>
      <c r="FT61" s="345"/>
      <c r="FU61" s="71"/>
      <c r="FV61" s="226"/>
      <c r="FW61" s="71"/>
      <c r="FX61" s="71"/>
      <c r="FY61" s="345"/>
      <c r="FZ61" s="71"/>
      <c r="GA61" s="226"/>
      <c r="GB61" s="71"/>
      <c r="GC61" s="71"/>
      <c r="GD61" s="345"/>
      <c r="GE61" s="71"/>
      <c r="GF61" s="226"/>
      <c r="GG61" s="71"/>
      <c r="GH61" s="71"/>
      <c r="GI61" s="345"/>
      <c r="GJ61" s="71"/>
      <c r="GK61" s="226"/>
      <c r="GL61" s="71"/>
      <c r="GM61" s="71"/>
      <c r="GN61" s="345"/>
      <c r="GO61" s="71"/>
      <c r="GP61" s="226"/>
      <c r="GQ61" s="71"/>
      <c r="GR61" s="71"/>
      <c r="GS61" s="345"/>
      <c r="GT61" s="71"/>
      <c r="GU61" s="226"/>
      <c r="GV61" s="71"/>
      <c r="GW61" s="71"/>
      <c r="GX61" s="345"/>
      <c r="GY61" s="71"/>
      <c r="GZ61" s="226"/>
      <c r="HA61" s="71"/>
      <c r="HB61" s="71"/>
      <c r="HC61" s="345"/>
      <c r="HD61" s="71"/>
      <c r="HE61" s="226"/>
      <c r="HF61" s="71"/>
      <c r="HG61" s="71"/>
      <c r="HH61" s="345"/>
      <c r="HI61" s="71"/>
      <c r="HJ61" s="226"/>
      <c r="HK61" s="71"/>
      <c r="HL61" s="71"/>
      <c r="HM61" s="345"/>
      <c r="HN61" s="71"/>
      <c r="HO61" s="226"/>
      <c r="HP61" s="71"/>
      <c r="HQ61" s="71"/>
      <c r="HR61" s="345"/>
      <c r="HS61" s="71"/>
      <c r="HT61" s="226"/>
      <c r="HU61" s="71"/>
      <c r="HV61" s="71"/>
      <c r="HW61" s="345"/>
      <c r="HX61" s="71"/>
      <c r="HY61" s="226"/>
      <c r="HZ61" s="71"/>
      <c r="IA61" s="71"/>
      <c r="IB61" s="345"/>
      <c r="IC61" s="71"/>
      <c r="ID61" s="226"/>
      <c r="IE61" s="71"/>
      <c r="IF61" s="71"/>
      <c r="IG61" s="345"/>
      <c r="IH61" s="71"/>
      <c r="II61" s="226"/>
      <c r="IJ61" s="71"/>
      <c r="IK61" s="71"/>
      <c r="IL61" s="345"/>
      <c r="IM61" s="71"/>
      <c r="IN61" s="226"/>
      <c r="IO61" s="71"/>
      <c r="IP61" s="71"/>
      <c r="IQ61" s="345"/>
      <c r="IR61" s="71"/>
      <c r="IS61" s="226"/>
      <c r="IT61" s="71"/>
      <c r="IU61" s="71"/>
      <c r="IV61" s="345"/>
    </row>
    <row r="62" spans="1:256" x14ac:dyDescent="0.2">
      <c r="A62" s="345">
        <v>29402</v>
      </c>
      <c r="B62" s="71"/>
      <c r="C62" s="226"/>
      <c r="D62" s="71"/>
      <c r="E62" s="71"/>
      <c r="F62" s="345"/>
      <c r="G62" s="71"/>
      <c r="H62" s="226"/>
      <c r="I62" s="71"/>
      <c r="J62" s="71"/>
      <c r="K62" s="345"/>
      <c r="L62" s="71"/>
      <c r="M62" s="226"/>
      <c r="N62" s="71"/>
      <c r="O62" s="71"/>
      <c r="P62" s="345"/>
      <c r="Q62" s="71"/>
      <c r="R62" s="226"/>
      <c r="S62" s="71"/>
      <c r="T62" s="71"/>
      <c r="U62" s="345"/>
      <c r="V62" s="71"/>
      <c r="W62" s="226"/>
      <c r="X62" s="71"/>
      <c r="Y62" s="71"/>
      <c r="Z62" s="345"/>
      <c r="AA62" s="71"/>
      <c r="AB62" s="226"/>
      <c r="AC62" s="71"/>
      <c r="AD62" s="71"/>
      <c r="AE62" s="345"/>
      <c r="AF62" s="71"/>
      <c r="AG62" s="226"/>
      <c r="AH62" s="71"/>
      <c r="AI62" s="71"/>
      <c r="AJ62" s="345"/>
      <c r="AK62" s="71"/>
      <c r="AL62" s="226"/>
      <c r="AM62" s="71"/>
      <c r="AN62" s="71"/>
      <c r="AO62" s="345"/>
      <c r="AP62" s="71"/>
      <c r="AQ62" s="226"/>
      <c r="AR62" s="71"/>
      <c r="AS62" s="71"/>
      <c r="AT62" s="345"/>
      <c r="AU62" s="71"/>
      <c r="AV62" s="226"/>
      <c r="AW62" s="71"/>
      <c r="AX62" s="71"/>
      <c r="AY62" s="345"/>
      <c r="AZ62" s="71"/>
      <c r="BA62" s="226"/>
      <c r="BB62" s="71"/>
      <c r="BC62" s="71"/>
      <c r="BD62" s="345"/>
      <c r="BE62" s="71"/>
      <c r="BF62" s="226"/>
      <c r="BG62" s="71"/>
      <c r="BH62" s="71"/>
      <c r="BI62" s="345"/>
      <c r="BJ62" s="71"/>
      <c r="BK62" s="226"/>
      <c r="BL62" s="71"/>
      <c r="BM62" s="71"/>
      <c r="BN62" s="345"/>
      <c r="BO62" s="71"/>
      <c r="BP62" s="226"/>
      <c r="BQ62" s="71"/>
      <c r="BR62" s="71"/>
      <c r="BS62" s="345"/>
      <c r="BT62" s="71"/>
      <c r="BU62" s="226"/>
      <c r="BV62" s="71"/>
      <c r="BW62" s="71"/>
      <c r="BX62" s="345"/>
      <c r="BY62" s="71"/>
      <c r="BZ62" s="226"/>
      <c r="CA62" s="71"/>
      <c r="CB62" s="71"/>
      <c r="CC62" s="345"/>
      <c r="CD62" s="71"/>
      <c r="CE62" s="226"/>
      <c r="CF62" s="71"/>
      <c r="CG62" s="71"/>
      <c r="CH62" s="345"/>
      <c r="CI62" s="71"/>
      <c r="CJ62" s="226"/>
      <c r="CK62" s="71"/>
      <c r="CL62" s="71"/>
      <c r="CM62" s="345"/>
      <c r="CN62" s="71"/>
      <c r="CO62" s="226"/>
      <c r="CP62" s="71"/>
      <c r="CQ62" s="71"/>
      <c r="CR62" s="345"/>
      <c r="CS62" s="71"/>
      <c r="CT62" s="226"/>
      <c r="CU62" s="71"/>
      <c r="CV62" s="71"/>
      <c r="CW62" s="345"/>
      <c r="CX62" s="71"/>
      <c r="CY62" s="226"/>
      <c r="CZ62" s="71"/>
      <c r="DA62" s="71"/>
      <c r="DB62" s="345"/>
      <c r="DC62" s="71"/>
      <c r="DD62" s="226"/>
      <c r="DE62" s="71"/>
      <c r="DF62" s="71"/>
      <c r="DG62" s="345"/>
      <c r="DH62" s="71"/>
      <c r="DI62" s="226"/>
      <c r="DJ62" s="71"/>
      <c r="DK62" s="71"/>
      <c r="DL62" s="345"/>
      <c r="DM62" s="71"/>
      <c r="DN62" s="226"/>
      <c r="DO62" s="71"/>
      <c r="DP62" s="71"/>
      <c r="DQ62" s="345"/>
      <c r="DR62" s="71"/>
      <c r="DS62" s="226"/>
      <c r="DT62" s="71"/>
      <c r="DU62" s="71"/>
      <c r="DV62" s="345"/>
      <c r="DW62" s="71"/>
      <c r="DX62" s="226"/>
      <c r="DY62" s="71"/>
      <c r="DZ62" s="71"/>
      <c r="EA62" s="345"/>
      <c r="EB62" s="71"/>
      <c r="EC62" s="226"/>
      <c r="ED62" s="71"/>
      <c r="EE62" s="71"/>
      <c r="EF62" s="345"/>
      <c r="EG62" s="71"/>
      <c r="EH62" s="226"/>
      <c r="EI62" s="71"/>
      <c r="EJ62" s="71"/>
      <c r="EK62" s="345"/>
      <c r="EL62" s="71"/>
      <c r="EM62" s="226"/>
      <c r="EN62" s="71"/>
      <c r="EO62" s="71"/>
      <c r="EP62" s="345"/>
      <c r="EQ62" s="71"/>
      <c r="ER62" s="226"/>
      <c r="ES62" s="71"/>
      <c r="ET62" s="71"/>
      <c r="EU62" s="345"/>
      <c r="EV62" s="71"/>
      <c r="EW62" s="226"/>
      <c r="EX62" s="71"/>
      <c r="EY62" s="71"/>
      <c r="EZ62" s="345"/>
      <c r="FA62" s="71"/>
      <c r="FB62" s="226"/>
      <c r="FC62" s="71"/>
      <c r="FD62" s="71"/>
      <c r="FE62" s="345"/>
      <c r="FF62" s="71"/>
      <c r="FG62" s="226"/>
      <c r="FH62" s="71"/>
      <c r="FI62" s="71"/>
      <c r="FJ62" s="345"/>
      <c r="FK62" s="71"/>
      <c r="FL62" s="226"/>
      <c r="FM62" s="71"/>
      <c r="FN62" s="71"/>
      <c r="FO62" s="345"/>
      <c r="FP62" s="71"/>
      <c r="FQ62" s="226"/>
      <c r="FR62" s="71"/>
      <c r="FS62" s="71"/>
      <c r="FT62" s="345"/>
      <c r="FU62" s="71"/>
      <c r="FV62" s="226"/>
      <c r="FW62" s="71"/>
      <c r="FX62" s="71"/>
      <c r="FY62" s="345"/>
      <c r="FZ62" s="71"/>
      <c r="GA62" s="226"/>
      <c r="GB62" s="71"/>
      <c r="GC62" s="71"/>
      <c r="GD62" s="345"/>
      <c r="GE62" s="71"/>
      <c r="GF62" s="226"/>
      <c r="GG62" s="71"/>
      <c r="GH62" s="71"/>
      <c r="GI62" s="345"/>
      <c r="GJ62" s="71"/>
      <c r="GK62" s="226"/>
      <c r="GL62" s="71"/>
      <c r="GM62" s="71"/>
      <c r="GN62" s="345"/>
      <c r="GO62" s="71"/>
      <c r="GP62" s="226"/>
      <c r="GQ62" s="71"/>
      <c r="GR62" s="71"/>
      <c r="GS62" s="345"/>
      <c r="GT62" s="71"/>
      <c r="GU62" s="226"/>
      <c r="GV62" s="71"/>
      <c r="GW62" s="71"/>
      <c r="GX62" s="345"/>
      <c r="GY62" s="71"/>
      <c r="GZ62" s="226"/>
      <c r="HA62" s="71"/>
      <c r="HB62" s="71"/>
      <c r="HC62" s="345"/>
      <c r="HD62" s="71"/>
      <c r="HE62" s="226"/>
      <c r="HF62" s="71"/>
      <c r="HG62" s="71"/>
      <c r="HH62" s="345"/>
      <c r="HI62" s="71"/>
      <c r="HJ62" s="226"/>
      <c r="HK62" s="71"/>
      <c r="HL62" s="71"/>
      <c r="HM62" s="345"/>
      <c r="HN62" s="71"/>
      <c r="HO62" s="226"/>
      <c r="HP62" s="71"/>
      <c r="HQ62" s="71"/>
      <c r="HR62" s="345"/>
      <c r="HS62" s="71"/>
      <c r="HT62" s="226"/>
      <c r="HU62" s="71"/>
      <c r="HV62" s="71"/>
      <c r="HW62" s="345"/>
      <c r="HX62" s="71"/>
      <c r="HY62" s="226"/>
      <c r="HZ62" s="71"/>
      <c r="IA62" s="71"/>
      <c r="IB62" s="345"/>
      <c r="IC62" s="71"/>
      <c r="ID62" s="226"/>
      <c r="IE62" s="71"/>
      <c r="IF62" s="71"/>
      <c r="IG62" s="345"/>
      <c r="IH62" s="71"/>
      <c r="II62" s="226"/>
      <c r="IJ62" s="71"/>
      <c r="IK62" s="71"/>
      <c r="IL62" s="345"/>
      <c r="IM62" s="71"/>
      <c r="IN62" s="226"/>
      <c r="IO62" s="71"/>
      <c r="IP62" s="71"/>
      <c r="IQ62" s="345"/>
      <c r="IR62" s="71"/>
      <c r="IS62" s="226"/>
      <c r="IT62" s="71"/>
      <c r="IU62" s="71"/>
      <c r="IV62" s="345"/>
    </row>
    <row r="63" spans="1:256" x14ac:dyDescent="0.2">
      <c r="A63" s="345">
        <v>29433</v>
      </c>
      <c r="B63" s="71"/>
      <c r="C63" s="226"/>
      <c r="D63" s="71"/>
      <c r="E63" s="71"/>
      <c r="F63" s="345"/>
      <c r="G63" s="71"/>
      <c r="H63" s="226"/>
      <c r="I63" s="71"/>
      <c r="J63" s="71"/>
      <c r="K63" s="345"/>
      <c r="L63" s="71"/>
      <c r="M63" s="226"/>
      <c r="N63" s="71"/>
      <c r="O63" s="71"/>
      <c r="P63" s="345"/>
      <c r="Q63" s="71"/>
      <c r="R63" s="226"/>
      <c r="S63" s="71"/>
      <c r="T63" s="71"/>
      <c r="U63" s="345"/>
      <c r="V63" s="71"/>
      <c r="W63" s="226"/>
      <c r="X63" s="71"/>
      <c r="Y63" s="71"/>
      <c r="Z63" s="345"/>
      <c r="AA63" s="71"/>
      <c r="AB63" s="226"/>
      <c r="AC63" s="71"/>
      <c r="AD63" s="71"/>
      <c r="AE63" s="345"/>
      <c r="AF63" s="71"/>
      <c r="AG63" s="226"/>
      <c r="AH63" s="71"/>
      <c r="AI63" s="71"/>
      <c r="AJ63" s="345"/>
      <c r="AK63" s="71"/>
      <c r="AL63" s="226"/>
      <c r="AM63" s="71"/>
      <c r="AN63" s="71"/>
      <c r="AO63" s="345"/>
      <c r="AP63" s="71"/>
      <c r="AQ63" s="226"/>
      <c r="AR63" s="71"/>
      <c r="AS63" s="71"/>
      <c r="AT63" s="345"/>
      <c r="AU63" s="71"/>
      <c r="AV63" s="226"/>
      <c r="AW63" s="71"/>
      <c r="AX63" s="71"/>
      <c r="AY63" s="345"/>
      <c r="AZ63" s="71"/>
      <c r="BA63" s="226"/>
      <c r="BB63" s="71"/>
      <c r="BC63" s="71"/>
      <c r="BD63" s="345"/>
      <c r="BE63" s="71"/>
      <c r="BF63" s="226"/>
      <c r="BG63" s="71"/>
      <c r="BH63" s="71"/>
      <c r="BI63" s="345"/>
      <c r="BJ63" s="71"/>
      <c r="BK63" s="226"/>
      <c r="BL63" s="71"/>
      <c r="BM63" s="71"/>
      <c r="BN63" s="345"/>
      <c r="BO63" s="71"/>
      <c r="BP63" s="226"/>
      <c r="BQ63" s="71"/>
      <c r="BR63" s="71"/>
      <c r="BS63" s="345"/>
      <c r="BT63" s="71"/>
      <c r="BU63" s="226"/>
      <c r="BV63" s="71"/>
      <c r="BW63" s="71"/>
      <c r="BX63" s="345"/>
      <c r="BY63" s="71"/>
      <c r="BZ63" s="226"/>
      <c r="CA63" s="71"/>
      <c r="CB63" s="71"/>
      <c r="CC63" s="345"/>
      <c r="CD63" s="71"/>
      <c r="CE63" s="226"/>
      <c r="CF63" s="71"/>
      <c r="CG63" s="71"/>
      <c r="CH63" s="345"/>
      <c r="CI63" s="71"/>
      <c r="CJ63" s="226"/>
      <c r="CK63" s="71"/>
      <c r="CL63" s="71"/>
      <c r="CM63" s="345"/>
      <c r="CN63" s="71"/>
      <c r="CO63" s="226"/>
      <c r="CP63" s="71"/>
      <c r="CQ63" s="71"/>
      <c r="CR63" s="345"/>
      <c r="CS63" s="71"/>
      <c r="CT63" s="226"/>
      <c r="CU63" s="71"/>
      <c r="CV63" s="71"/>
      <c r="CW63" s="345"/>
      <c r="CX63" s="71"/>
      <c r="CY63" s="226"/>
      <c r="CZ63" s="71"/>
      <c r="DA63" s="71"/>
      <c r="DB63" s="345"/>
      <c r="DC63" s="71"/>
      <c r="DD63" s="226"/>
      <c r="DE63" s="71"/>
      <c r="DF63" s="71"/>
      <c r="DG63" s="345"/>
      <c r="DH63" s="71"/>
      <c r="DI63" s="226"/>
      <c r="DJ63" s="71"/>
      <c r="DK63" s="71"/>
      <c r="DL63" s="345"/>
      <c r="DM63" s="71"/>
      <c r="DN63" s="226"/>
      <c r="DO63" s="71"/>
      <c r="DP63" s="71"/>
      <c r="DQ63" s="345"/>
      <c r="DR63" s="71"/>
      <c r="DS63" s="226"/>
      <c r="DT63" s="71"/>
      <c r="DU63" s="71"/>
      <c r="DV63" s="345"/>
      <c r="DW63" s="71"/>
      <c r="DX63" s="226"/>
      <c r="DY63" s="71"/>
      <c r="DZ63" s="71"/>
      <c r="EA63" s="345"/>
      <c r="EB63" s="71"/>
      <c r="EC63" s="226"/>
      <c r="ED63" s="71"/>
      <c r="EE63" s="71"/>
      <c r="EF63" s="345"/>
      <c r="EG63" s="71"/>
      <c r="EH63" s="226"/>
      <c r="EI63" s="71"/>
      <c r="EJ63" s="71"/>
      <c r="EK63" s="345"/>
      <c r="EL63" s="71"/>
      <c r="EM63" s="226"/>
      <c r="EN63" s="71"/>
      <c r="EO63" s="71"/>
      <c r="EP63" s="345"/>
      <c r="EQ63" s="71"/>
      <c r="ER63" s="226"/>
      <c r="ES63" s="71"/>
      <c r="ET63" s="71"/>
      <c r="EU63" s="345"/>
      <c r="EV63" s="71"/>
      <c r="EW63" s="226"/>
      <c r="EX63" s="71"/>
      <c r="EY63" s="71"/>
      <c r="EZ63" s="345"/>
      <c r="FA63" s="71"/>
      <c r="FB63" s="226"/>
      <c r="FC63" s="71"/>
      <c r="FD63" s="71"/>
      <c r="FE63" s="345"/>
      <c r="FF63" s="71"/>
      <c r="FG63" s="226"/>
      <c r="FH63" s="71"/>
      <c r="FI63" s="71"/>
      <c r="FJ63" s="345"/>
      <c r="FK63" s="71"/>
      <c r="FL63" s="226"/>
      <c r="FM63" s="71"/>
      <c r="FN63" s="71"/>
      <c r="FO63" s="345"/>
      <c r="FP63" s="71"/>
      <c r="FQ63" s="226"/>
      <c r="FR63" s="71"/>
      <c r="FS63" s="71"/>
      <c r="FT63" s="345"/>
      <c r="FU63" s="71"/>
      <c r="FV63" s="226"/>
      <c r="FW63" s="71"/>
      <c r="FX63" s="71"/>
      <c r="FY63" s="345"/>
      <c r="FZ63" s="71"/>
      <c r="GA63" s="226"/>
      <c r="GB63" s="71"/>
      <c r="GC63" s="71"/>
      <c r="GD63" s="345"/>
      <c r="GE63" s="71"/>
      <c r="GF63" s="226"/>
      <c r="GG63" s="71"/>
      <c r="GH63" s="71"/>
      <c r="GI63" s="345"/>
      <c r="GJ63" s="71"/>
      <c r="GK63" s="226"/>
      <c r="GL63" s="71"/>
      <c r="GM63" s="71"/>
      <c r="GN63" s="345"/>
      <c r="GO63" s="71"/>
      <c r="GP63" s="226"/>
      <c r="GQ63" s="71"/>
      <c r="GR63" s="71"/>
      <c r="GS63" s="345"/>
      <c r="GT63" s="71"/>
      <c r="GU63" s="226"/>
      <c r="GV63" s="71"/>
      <c r="GW63" s="71"/>
      <c r="GX63" s="345"/>
      <c r="GY63" s="71"/>
      <c r="GZ63" s="226"/>
      <c r="HA63" s="71"/>
      <c r="HB63" s="71"/>
      <c r="HC63" s="345"/>
      <c r="HD63" s="71"/>
      <c r="HE63" s="226"/>
      <c r="HF63" s="71"/>
      <c r="HG63" s="71"/>
      <c r="HH63" s="345"/>
      <c r="HI63" s="71"/>
      <c r="HJ63" s="226"/>
      <c r="HK63" s="71"/>
      <c r="HL63" s="71"/>
      <c r="HM63" s="345"/>
      <c r="HN63" s="71"/>
      <c r="HO63" s="226"/>
      <c r="HP63" s="71"/>
      <c r="HQ63" s="71"/>
      <c r="HR63" s="345"/>
      <c r="HS63" s="71"/>
      <c r="HT63" s="226"/>
      <c r="HU63" s="71"/>
      <c r="HV63" s="71"/>
      <c r="HW63" s="345"/>
      <c r="HX63" s="71"/>
      <c r="HY63" s="226"/>
      <c r="HZ63" s="71"/>
      <c r="IA63" s="71"/>
      <c r="IB63" s="345"/>
      <c r="IC63" s="71"/>
      <c r="ID63" s="226"/>
      <c r="IE63" s="71"/>
      <c r="IF63" s="71"/>
      <c r="IG63" s="345"/>
      <c r="IH63" s="71"/>
      <c r="II63" s="226"/>
      <c r="IJ63" s="71"/>
      <c r="IK63" s="71"/>
      <c r="IL63" s="345"/>
      <c r="IM63" s="71"/>
      <c r="IN63" s="226"/>
      <c r="IO63" s="71"/>
      <c r="IP63" s="71"/>
      <c r="IQ63" s="345"/>
      <c r="IR63" s="71"/>
      <c r="IS63" s="226"/>
      <c r="IT63" s="71"/>
      <c r="IU63" s="71"/>
      <c r="IV63" s="345"/>
    </row>
    <row r="64" spans="1:256" x14ac:dyDescent="0.2">
      <c r="A64" s="345">
        <v>29464</v>
      </c>
      <c r="B64" s="71"/>
      <c r="C64" s="226"/>
      <c r="D64" s="71"/>
      <c r="E64" s="71"/>
      <c r="F64" s="345"/>
      <c r="G64" s="71"/>
      <c r="H64" s="226"/>
      <c r="I64" s="71"/>
      <c r="J64" s="71"/>
      <c r="K64" s="345"/>
      <c r="L64" s="71"/>
      <c r="M64" s="226"/>
      <c r="N64" s="71"/>
      <c r="O64" s="71"/>
      <c r="P64" s="345"/>
      <c r="Q64" s="71"/>
      <c r="R64" s="226"/>
      <c r="S64" s="71"/>
      <c r="T64" s="71"/>
      <c r="U64" s="345"/>
      <c r="V64" s="71"/>
      <c r="W64" s="226"/>
      <c r="X64" s="71"/>
      <c r="Y64" s="71"/>
      <c r="Z64" s="345"/>
      <c r="AA64" s="71"/>
      <c r="AB64" s="226"/>
      <c r="AC64" s="71"/>
      <c r="AD64" s="71"/>
      <c r="AE64" s="345"/>
      <c r="AF64" s="71"/>
      <c r="AG64" s="226"/>
      <c r="AH64" s="71"/>
      <c r="AI64" s="71"/>
      <c r="AJ64" s="345"/>
      <c r="AK64" s="71"/>
      <c r="AL64" s="226"/>
      <c r="AM64" s="71"/>
      <c r="AN64" s="71"/>
      <c r="AO64" s="345"/>
      <c r="AP64" s="71"/>
      <c r="AQ64" s="226"/>
      <c r="AR64" s="71"/>
      <c r="AS64" s="71"/>
      <c r="AT64" s="345"/>
      <c r="AU64" s="71"/>
      <c r="AV64" s="226"/>
      <c r="AW64" s="71"/>
      <c r="AX64" s="71"/>
      <c r="AY64" s="345"/>
      <c r="AZ64" s="71"/>
      <c r="BA64" s="226"/>
      <c r="BB64" s="71"/>
      <c r="BC64" s="71"/>
      <c r="BD64" s="345"/>
      <c r="BE64" s="71"/>
      <c r="BF64" s="226"/>
      <c r="BG64" s="71"/>
      <c r="BH64" s="71"/>
      <c r="BI64" s="345"/>
      <c r="BJ64" s="71"/>
      <c r="BK64" s="226"/>
      <c r="BL64" s="71"/>
      <c r="BM64" s="71"/>
      <c r="BN64" s="345"/>
      <c r="BO64" s="71"/>
      <c r="BP64" s="226"/>
      <c r="BQ64" s="71"/>
      <c r="BR64" s="71"/>
      <c r="BS64" s="345"/>
      <c r="BT64" s="71"/>
      <c r="BU64" s="226"/>
      <c r="BV64" s="71"/>
      <c r="BW64" s="71"/>
      <c r="BX64" s="345"/>
      <c r="BY64" s="71"/>
      <c r="BZ64" s="226"/>
      <c r="CA64" s="71"/>
      <c r="CB64" s="71"/>
      <c r="CC64" s="345"/>
      <c r="CD64" s="71"/>
      <c r="CE64" s="226"/>
      <c r="CF64" s="71"/>
      <c r="CG64" s="71"/>
      <c r="CH64" s="345"/>
      <c r="CI64" s="71"/>
      <c r="CJ64" s="226"/>
      <c r="CK64" s="71"/>
      <c r="CL64" s="71"/>
      <c r="CM64" s="345"/>
      <c r="CN64" s="71"/>
      <c r="CO64" s="226"/>
      <c r="CP64" s="71"/>
      <c r="CQ64" s="71"/>
      <c r="CR64" s="345"/>
      <c r="CS64" s="71"/>
      <c r="CT64" s="226"/>
      <c r="CU64" s="71"/>
      <c r="CV64" s="71"/>
      <c r="CW64" s="345"/>
      <c r="CX64" s="71"/>
      <c r="CY64" s="226"/>
      <c r="CZ64" s="71"/>
      <c r="DA64" s="71"/>
      <c r="DB64" s="345"/>
      <c r="DC64" s="71"/>
      <c r="DD64" s="226"/>
      <c r="DE64" s="71"/>
      <c r="DF64" s="71"/>
      <c r="DG64" s="345"/>
      <c r="DH64" s="71"/>
      <c r="DI64" s="226"/>
      <c r="DJ64" s="71"/>
      <c r="DK64" s="71"/>
      <c r="DL64" s="345"/>
      <c r="DM64" s="71"/>
      <c r="DN64" s="226"/>
      <c r="DO64" s="71"/>
      <c r="DP64" s="71"/>
      <c r="DQ64" s="345"/>
      <c r="DR64" s="71"/>
      <c r="DS64" s="226"/>
      <c r="DT64" s="71"/>
      <c r="DU64" s="71"/>
      <c r="DV64" s="345"/>
      <c r="DW64" s="71"/>
      <c r="DX64" s="226"/>
      <c r="DY64" s="71"/>
      <c r="DZ64" s="71"/>
      <c r="EA64" s="345"/>
      <c r="EB64" s="71"/>
      <c r="EC64" s="226"/>
      <c r="ED64" s="71"/>
      <c r="EE64" s="71"/>
      <c r="EF64" s="345"/>
      <c r="EG64" s="71"/>
      <c r="EH64" s="226"/>
      <c r="EI64" s="71"/>
      <c r="EJ64" s="71"/>
      <c r="EK64" s="345"/>
      <c r="EL64" s="71"/>
      <c r="EM64" s="226"/>
      <c r="EN64" s="71"/>
      <c r="EO64" s="71"/>
      <c r="EP64" s="345"/>
      <c r="EQ64" s="71"/>
      <c r="ER64" s="226"/>
      <c r="ES64" s="71"/>
      <c r="ET64" s="71"/>
      <c r="EU64" s="345"/>
      <c r="EV64" s="71"/>
      <c r="EW64" s="226"/>
      <c r="EX64" s="71"/>
      <c r="EY64" s="71"/>
      <c r="EZ64" s="345"/>
      <c r="FA64" s="71"/>
      <c r="FB64" s="226"/>
      <c r="FC64" s="71"/>
      <c r="FD64" s="71"/>
      <c r="FE64" s="345"/>
      <c r="FF64" s="71"/>
      <c r="FG64" s="226"/>
      <c r="FH64" s="71"/>
      <c r="FI64" s="71"/>
      <c r="FJ64" s="345"/>
      <c r="FK64" s="71"/>
      <c r="FL64" s="226"/>
      <c r="FM64" s="71"/>
      <c r="FN64" s="71"/>
      <c r="FO64" s="345"/>
      <c r="FP64" s="71"/>
      <c r="FQ64" s="226"/>
      <c r="FR64" s="71"/>
      <c r="FS64" s="71"/>
      <c r="FT64" s="345"/>
      <c r="FU64" s="71"/>
      <c r="FV64" s="226"/>
      <c r="FW64" s="71"/>
      <c r="FX64" s="71"/>
      <c r="FY64" s="345"/>
      <c r="FZ64" s="71"/>
      <c r="GA64" s="226"/>
      <c r="GB64" s="71"/>
      <c r="GC64" s="71"/>
      <c r="GD64" s="345"/>
      <c r="GE64" s="71"/>
      <c r="GF64" s="226"/>
      <c r="GG64" s="71"/>
      <c r="GH64" s="71"/>
      <c r="GI64" s="345"/>
      <c r="GJ64" s="71"/>
      <c r="GK64" s="226"/>
      <c r="GL64" s="71"/>
      <c r="GM64" s="71"/>
      <c r="GN64" s="345"/>
      <c r="GO64" s="71"/>
      <c r="GP64" s="226"/>
      <c r="GQ64" s="71"/>
      <c r="GR64" s="71"/>
      <c r="GS64" s="345"/>
      <c r="GT64" s="71"/>
      <c r="GU64" s="226"/>
      <c r="GV64" s="71"/>
      <c r="GW64" s="71"/>
      <c r="GX64" s="345"/>
      <c r="GY64" s="71"/>
      <c r="GZ64" s="226"/>
      <c r="HA64" s="71"/>
      <c r="HB64" s="71"/>
      <c r="HC64" s="345"/>
      <c r="HD64" s="71"/>
      <c r="HE64" s="226"/>
      <c r="HF64" s="71"/>
      <c r="HG64" s="71"/>
      <c r="HH64" s="345"/>
      <c r="HI64" s="71"/>
      <c r="HJ64" s="226"/>
      <c r="HK64" s="71"/>
      <c r="HL64" s="71"/>
      <c r="HM64" s="345"/>
      <c r="HN64" s="71"/>
      <c r="HO64" s="226"/>
      <c r="HP64" s="71"/>
      <c r="HQ64" s="71"/>
      <c r="HR64" s="345"/>
      <c r="HS64" s="71"/>
      <c r="HT64" s="226"/>
      <c r="HU64" s="71"/>
      <c r="HV64" s="71"/>
      <c r="HW64" s="345"/>
      <c r="HX64" s="71"/>
      <c r="HY64" s="226"/>
      <c r="HZ64" s="71"/>
      <c r="IA64" s="71"/>
      <c r="IB64" s="345"/>
      <c r="IC64" s="71"/>
      <c r="ID64" s="226"/>
      <c r="IE64" s="71"/>
      <c r="IF64" s="71"/>
      <c r="IG64" s="345"/>
      <c r="IH64" s="71"/>
      <c r="II64" s="226"/>
      <c r="IJ64" s="71"/>
      <c r="IK64" s="71"/>
      <c r="IL64" s="345"/>
      <c r="IM64" s="71"/>
      <c r="IN64" s="226"/>
      <c r="IO64" s="71"/>
      <c r="IP64" s="71"/>
      <c r="IQ64" s="345"/>
      <c r="IR64" s="71"/>
      <c r="IS64" s="226"/>
      <c r="IT64" s="71"/>
      <c r="IU64" s="71"/>
      <c r="IV64" s="345"/>
    </row>
    <row r="65" spans="1:256" x14ac:dyDescent="0.2">
      <c r="A65" s="345">
        <v>29494</v>
      </c>
      <c r="B65" s="71"/>
      <c r="C65" s="226"/>
      <c r="D65" s="71"/>
      <c r="E65" s="71"/>
      <c r="F65" s="345"/>
      <c r="G65" s="71"/>
      <c r="H65" s="226"/>
      <c r="I65" s="71"/>
      <c r="J65" s="71"/>
      <c r="K65" s="345"/>
      <c r="L65" s="71"/>
      <c r="M65" s="226"/>
      <c r="N65" s="71"/>
      <c r="O65" s="71"/>
      <c r="P65" s="345"/>
      <c r="Q65" s="71"/>
      <c r="R65" s="226"/>
      <c r="S65" s="71"/>
      <c r="T65" s="71"/>
      <c r="U65" s="345"/>
      <c r="V65" s="71"/>
      <c r="W65" s="226"/>
      <c r="X65" s="71"/>
      <c r="Y65" s="71"/>
      <c r="Z65" s="345"/>
      <c r="AA65" s="71"/>
      <c r="AB65" s="226"/>
      <c r="AC65" s="71"/>
      <c r="AD65" s="71"/>
      <c r="AE65" s="345"/>
      <c r="AF65" s="71"/>
      <c r="AG65" s="226"/>
      <c r="AH65" s="71"/>
      <c r="AI65" s="71"/>
      <c r="AJ65" s="345"/>
      <c r="AK65" s="71"/>
      <c r="AL65" s="226"/>
      <c r="AM65" s="71"/>
      <c r="AN65" s="71"/>
      <c r="AO65" s="345"/>
      <c r="AP65" s="71"/>
      <c r="AQ65" s="226"/>
      <c r="AR65" s="71"/>
      <c r="AS65" s="71"/>
      <c r="AT65" s="345"/>
      <c r="AU65" s="71"/>
      <c r="AV65" s="226"/>
      <c r="AW65" s="71"/>
      <c r="AX65" s="71"/>
      <c r="AY65" s="345"/>
      <c r="AZ65" s="71"/>
      <c r="BA65" s="226"/>
      <c r="BB65" s="71"/>
      <c r="BC65" s="71"/>
      <c r="BD65" s="345"/>
      <c r="BE65" s="71"/>
      <c r="BF65" s="226"/>
      <c r="BG65" s="71"/>
      <c r="BH65" s="71"/>
      <c r="BI65" s="345"/>
      <c r="BJ65" s="71"/>
      <c r="BK65" s="226"/>
      <c r="BL65" s="71"/>
      <c r="BM65" s="71"/>
      <c r="BN65" s="345"/>
      <c r="BO65" s="71"/>
      <c r="BP65" s="226"/>
      <c r="BQ65" s="71"/>
      <c r="BR65" s="71"/>
      <c r="BS65" s="345"/>
      <c r="BT65" s="71"/>
      <c r="BU65" s="226"/>
      <c r="BV65" s="71"/>
      <c r="BW65" s="71"/>
      <c r="BX65" s="345"/>
      <c r="BY65" s="71"/>
      <c r="BZ65" s="226"/>
      <c r="CA65" s="71"/>
      <c r="CB65" s="71"/>
      <c r="CC65" s="345"/>
      <c r="CD65" s="71"/>
      <c r="CE65" s="226"/>
      <c r="CF65" s="71"/>
      <c r="CG65" s="71"/>
      <c r="CH65" s="345"/>
      <c r="CI65" s="71"/>
      <c r="CJ65" s="226"/>
      <c r="CK65" s="71"/>
      <c r="CL65" s="71"/>
      <c r="CM65" s="345"/>
      <c r="CN65" s="71"/>
      <c r="CO65" s="226"/>
      <c r="CP65" s="71"/>
      <c r="CQ65" s="71"/>
      <c r="CR65" s="345"/>
      <c r="CS65" s="71"/>
      <c r="CT65" s="226"/>
      <c r="CU65" s="71"/>
      <c r="CV65" s="71"/>
      <c r="CW65" s="345"/>
      <c r="CX65" s="71"/>
      <c r="CY65" s="226"/>
      <c r="CZ65" s="71"/>
      <c r="DA65" s="71"/>
      <c r="DB65" s="345"/>
      <c r="DC65" s="71"/>
      <c r="DD65" s="226"/>
      <c r="DE65" s="71"/>
      <c r="DF65" s="71"/>
      <c r="DG65" s="345"/>
      <c r="DH65" s="71"/>
      <c r="DI65" s="226"/>
      <c r="DJ65" s="71"/>
      <c r="DK65" s="71"/>
      <c r="DL65" s="345"/>
      <c r="DM65" s="71"/>
      <c r="DN65" s="226"/>
      <c r="DO65" s="71"/>
      <c r="DP65" s="71"/>
      <c r="DQ65" s="345"/>
      <c r="DR65" s="71"/>
      <c r="DS65" s="226"/>
      <c r="DT65" s="71"/>
      <c r="DU65" s="71"/>
      <c r="DV65" s="345"/>
      <c r="DW65" s="71"/>
      <c r="DX65" s="226"/>
      <c r="DY65" s="71"/>
      <c r="DZ65" s="71"/>
      <c r="EA65" s="345"/>
      <c r="EB65" s="71"/>
      <c r="EC65" s="226"/>
      <c r="ED65" s="71"/>
      <c r="EE65" s="71"/>
      <c r="EF65" s="345"/>
      <c r="EG65" s="71"/>
      <c r="EH65" s="226"/>
      <c r="EI65" s="71"/>
      <c r="EJ65" s="71"/>
      <c r="EK65" s="345"/>
      <c r="EL65" s="71"/>
      <c r="EM65" s="226"/>
      <c r="EN65" s="71"/>
      <c r="EO65" s="71"/>
      <c r="EP65" s="345"/>
      <c r="EQ65" s="71"/>
      <c r="ER65" s="226"/>
      <c r="ES65" s="71"/>
      <c r="ET65" s="71"/>
      <c r="EU65" s="345"/>
      <c r="EV65" s="71"/>
      <c r="EW65" s="226"/>
      <c r="EX65" s="71"/>
      <c r="EY65" s="71"/>
      <c r="EZ65" s="345"/>
      <c r="FA65" s="71"/>
      <c r="FB65" s="226"/>
      <c r="FC65" s="71"/>
      <c r="FD65" s="71"/>
      <c r="FE65" s="345"/>
      <c r="FF65" s="71"/>
      <c r="FG65" s="226"/>
      <c r="FH65" s="71"/>
      <c r="FI65" s="71"/>
      <c r="FJ65" s="345"/>
      <c r="FK65" s="71"/>
      <c r="FL65" s="226"/>
      <c r="FM65" s="71"/>
      <c r="FN65" s="71"/>
      <c r="FO65" s="345"/>
      <c r="FP65" s="71"/>
      <c r="FQ65" s="226"/>
      <c r="FR65" s="71"/>
      <c r="FS65" s="71"/>
      <c r="FT65" s="345"/>
      <c r="FU65" s="71"/>
      <c r="FV65" s="226"/>
      <c r="FW65" s="71"/>
      <c r="FX65" s="71"/>
      <c r="FY65" s="345"/>
      <c r="FZ65" s="71"/>
      <c r="GA65" s="226"/>
      <c r="GB65" s="71"/>
      <c r="GC65" s="71"/>
      <c r="GD65" s="345"/>
      <c r="GE65" s="71"/>
      <c r="GF65" s="226"/>
      <c r="GG65" s="71"/>
      <c r="GH65" s="71"/>
      <c r="GI65" s="345"/>
      <c r="GJ65" s="71"/>
      <c r="GK65" s="226"/>
      <c r="GL65" s="71"/>
      <c r="GM65" s="71"/>
      <c r="GN65" s="345"/>
      <c r="GO65" s="71"/>
      <c r="GP65" s="226"/>
      <c r="GQ65" s="71"/>
      <c r="GR65" s="71"/>
      <c r="GS65" s="345"/>
      <c r="GT65" s="71"/>
      <c r="GU65" s="226"/>
      <c r="GV65" s="71"/>
      <c r="GW65" s="71"/>
      <c r="GX65" s="345"/>
      <c r="GY65" s="71"/>
      <c r="GZ65" s="226"/>
      <c r="HA65" s="71"/>
      <c r="HB65" s="71"/>
      <c r="HC65" s="345"/>
      <c r="HD65" s="71"/>
      <c r="HE65" s="226"/>
      <c r="HF65" s="71"/>
      <c r="HG65" s="71"/>
      <c r="HH65" s="345"/>
      <c r="HI65" s="71"/>
      <c r="HJ65" s="226"/>
      <c r="HK65" s="71"/>
      <c r="HL65" s="71"/>
      <c r="HM65" s="345"/>
      <c r="HN65" s="71"/>
      <c r="HO65" s="226"/>
      <c r="HP65" s="71"/>
      <c r="HQ65" s="71"/>
      <c r="HR65" s="345"/>
      <c r="HS65" s="71"/>
      <c r="HT65" s="226"/>
      <c r="HU65" s="71"/>
      <c r="HV65" s="71"/>
      <c r="HW65" s="345"/>
      <c r="HX65" s="71"/>
      <c r="HY65" s="226"/>
      <c r="HZ65" s="71"/>
      <c r="IA65" s="71"/>
      <c r="IB65" s="345"/>
      <c r="IC65" s="71"/>
      <c r="ID65" s="226"/>
      <c r="IE65" s="71"/>
      <c r="IF65" s="71"/>
      <c r="IG65" s="345"/>
      <c r="IH65" s="71"/>
      <c r="II65" s="226"/>
      <c r="IJ65" s="71"/>
      <c r="IK65" s="71"/>
      <c r="IL65" s="345"/>
      <c r="IM65" s="71"/>
      <c r="IN65" s="226"/>
      <c r="IO65" s="71"/>
      <c r="IP65" s="71"/>
      <c r="IQ65" s="345"/>
      <c r="IR65" s="71"/>
      <c r="IS65" s="226"/>
      <c r="IT65" s="71"/>
      <c r="IU65" s="71"/>
      <c r="IV65" s="345"/>
    </row>
    <row r="66" spans="1:256" x14ac:dyDescent="0.2">
      <c r="A66" s="345">
        <v>29525</v>
      </c>
      <c r="B66" s="71"/>
      <c r="C66" s="226"/>
      <c r="D66" s="71"/>
      <c r="E66" s="71"/>
      <c r="F66" s="345"/>
      <c r="G66" s="71"/>
      <c r="H66" s="226"/>
      <c r="I66" s="71"/>
      <c r="J66" s="71"/>
      <c r="K66" s="345"/>
      <c r="L66" s="71"/>
      <c r="M66" s="226"/>
      <c r="N66" s="71"/>
      <c r="O66" s="71"/>
      <c r="P66" s="345"/>
      <c r="Q66" s="71"/>
      <c r="R66" s="226"/>
      <c r="S66" s="71"/>
      <c r="T66" s="71"/>
      <c r="U66" s="345"/>
      <c r="V66" s="71"/>
      <c r="W66" s="226"/>
      <c r="X66" s="71"/>
      <c r="Y66" s="71"/>
      <c r="Z66" s="345"/>
      <c r="AA66" s="71"/>
      <c r="AB66" s="226"/>
      <c r="AC66" s="71"/>
      <c r="AD66" s="71"/>
      <c r="AE66" s="345"/>
      <c r="AF66" s="71"/>
      <c r="AG66" s="226"/>
      <c r="AH66" s="71"/>
      <c r="AI66" s="71"/>
      <c r="AJ66" s="345"/>
      <c r="AK66" s="71"/>
      <c r="AL66" s="226"/>
      <c r="AM66" s="71"/>
      <c r="AN66" s="71"/>
      <c r="AO66" s="345"/>
      <c r="AP66" s="71"/>
      <c r="AQ66" s="226"/>
      <c r="AR66" s="71"/>
      <c r="AS66" s="71"/>
      <c r="AT66" s="345"/>
      <c r="AU66" s="71"/>
      <c r="AV66" s="226"/>
      <c r="AW66" s="71"/>
      <c r="AX66" s="71"/>
      <c r="AY66" s="345"/>
      <c r="AZ66" s="71"/>
      <c r="BA66" s="226"/>
      <c r="BB66" s="71"/>
      <c r="BC66" s="71"/>
      <c r="BD66" s="345"/>
      <c r="BE66" s="71"/>
      <c r="BF66" s="226"/>
      <c r="BG66" s="71"/>
      <c r="BH66" s="71"/>
      <c r="BI66" s="345"/>
      <c r="BJ66" s="71"/>
      <c r="BK66" s="226"/>
      <c r="BL66" s="71"/>
      <c r="BM66" s="71"/>
      <c r="BN66" s="345"/>
      <c r="BO66" s="71"/>
      <c r="BP66" s="226"/>
      <c r="BQ66" s="71"/>
      <c r="BR66" s="71"/>
      <c r="BS66" s="345"/>
      <c r="BT66" s="71"/>
      <c r="BU66" s="226"/>
      <c r="BV66" s="71"/>
      <c r="BW66" s="71"/>
      <c r="BX66" s="345"/>
      <c r="BY66" s="71"/>
      <c r="BZ66" s="226"/>
      <c r="CA66" s="71"/>
      <c r="CB66" s="71"/>
      <c r="CC66" s="345"/>
      <c r="CD66" s="71"/>
      <c r="CE66" s="226"/>
      <c r="CF66" s="71"/>
      <c r="CG66" s="71"/>
      <c r="CH66" s="345"/>
      <c r="CI66" s="71"/>
      <c r="CJ66" s="226"/>
      <c r="CK66" s="71"/>
      <c r="CL66" s="71"/>
      <c r="CM66" s="345"/>
      <c r="CN66" s="71"/>
      <c r="CO66" s="226"/>
      <c r="CP66" s="71"/>
      <c r="CQ66" s="71"/>
      <c r="CR66" s="345"/>
      <c r="CS66" s="71"/>
      <c r="CT66" s="226"/>
      <c r="CU66" s="71"/>
      <c r="CV66" s="71"/>
      <c r="CW66" s="345"/>
      <c r="CX66" s="71"/>
      <c r="CY66" s="226"/>
      <c r="CZ66" s="71"/>
      <c r="DA66" s="71"/>
      <c r="DB66" s="345"/>
      <c r="DC66" s="71"/>
      <c r="DD66" s="226"/>
      <c r="DE66" s="71"/>
      <c r="DF66" s="71"/>
      <c r="DG66" s="345"/>
      <c r="DH66" s="71"/>
      <c r="DI66" s="226"/>
      <c r="DJ66" s="71"/>
      <c r="DK66" s="71"/>
      <c r="DL66" s="345"/>
      <c r="DM66" s="71"/>
      <c r="DN66" s="226"/>
      <c r="DO66" s="71"/>
      <c r="DP66" s="71"/>
      <c r="DQ66" s="345"/>
      <c r="DR66" s="71"/>
      <c r="DS66" s="226"/>
      <c r="DT66" s="71"/>
      <c r="DU66" s="71"/>
      <c r="DV66" s="345"/>
      <c r="DW66" s="71"/>
      <c r="DX66" s="226"/>
      <c r="DY66" s="71"/>
      <c r="DZ66" s="71"/>
      <c r="EA66" s="345"/>
      <c r="EB66" s="71"/>
      <c r="EC66" s="226"/>
      <c r="ED66" s="71"/>
      <c r="EE66" s="71"/>
      <c r="EF66" s="345"/>
      <c r="EG66" s="71"/>
      <c r="EH66" s="226"/>
      <c r="EI66" s="71"/>
      <c r="EJ66" s="71"/>
      <c r="EK66" s="345"/>
      <c r="EL66" s="71"/>
      <c r="EM66" s="226"/>
      <c r="EN66" s="71"/>
      <c r="EO66" s="71"/>
      <c r="EP66" s="345"/>
      <c r="EQ66" s="71"/>
      <c r="ER66" s="226"/>
      <c r="ES66" s="71"/>
      <c r="ET66" s="71"/>
      <c r="EU66" s="345"/>
      <c r="EV66" s="71"/>
      <c r="EW66" s="226"/>
      <c r="EX66" s="71"/>
      <c r="EY66" s="71"/>
      <c r="EZ66" s="345"/>
      <c r="FA66" s="71"/>
      <c r="FB66" s="226"/>
      <c r="FC66" s="71"/>
      <c r="FD66" s="71"/>
      <c r="FE66" s="345"/>
      <c r="FF66" s="71"/>
      <c r="FG66" s="226"/>
      <c r="FH66" s="71"/>
      <c r="FI66" s="71"/>
      <c r="FJ66" s="345"/>
      <c r="FK66" s="71"/>
      <c r="FL66" s="226"/>
      <c r="FM66" s="71"/>
      <c r="FN66" s="71"/>
      <c r="FO66" s="345"/>
      <c r="FP66" s="71"/>
      <c r="FQ66" s="226"/>
      <c r="FR66" s="71"/>
      <c r="FS66" s="71"/>
      <c r="FT66" s="345"/>
      <c r="FU66" s="71"/>
      <c r="FV66" s="226"/>
      <c r="FW66" s="71"/>
      <c r="FX66" s="71"/>
      <c r="FY66" s="345"/>
      <c r="FZ66" s="71"/>
      <c r="GA66" s="226"/>
      <c r="GB66" s="71"/>
      <c r="GC66" s="71"/>
      <c r="GD66" s="345"/>
      <c r="GE66" s="71"/>
      <c r="GF66" s="226"/>
      <c r="GG66" s="71"/>
      <c r="GH66" s="71"/>
      <c r="GI66" s="345"/>
      <c r="GJ66" s="71"/>
      <c r="GK66" s="226"/>
      <c r="GL66" s="71"/>
      <c r="GM66" s="71"/>
      <c r="GN66" s="345"/>
      <c r="GO66" s="71"/>
      <c r="GP66" s="226"/>
      <c r="GQ66" s="71"/>
      <c r="GR66" s="71"/>
      <c r="GS66" s="345"/>
      <c r="GT66" s="71"/>
      <c r="GU66" s="226"/>
      <c r="GV66" s="71"/>
      <c r="GW66" s="71"/>
      <c r="GX66" s="345"/>
      <c r="GY66" s="71"/>
      <c r="GZ66" s="226"/>
      <c r="HA66" s="71"/>
      <c r="HB66" s="71"/>
      <c r="HC66" s="345"/>
      <c r="HD66" s="71"/>
      <c r="HE66" s="226"/>
      <c r="HF66" s="71"/>
      <c r="HG66" s="71"/>
      <c r="HH66" s="345"/>
      <c r="HI66" s="71"/>
      <c r="HJ66" s="226"/>
      <c r="HK66" s="71"/>
      <c r="HL66" s="71"/>
      <c r="HM66" s="345"/>
      <c r="HN66" s="71"/>
      <c r="HO66" s="226"/>
      <c r="HP66" s="71"/>
      <c r="HQ66" s="71"/>
      <c r="HR66" s="345"/>
      <c r="HS66" s="71"/>
      <c r="HT66" s="226"/>
      <c r="HU66" s="71"/>
      <c r="HV66" s="71"/>
      <c r="HW66" s="345"/>
      <c r="HX66" s="71"/>
      <c r="HY66" s="226"/>
      <c r="HZ66" s="71"/>
      <c r="IA66" s="71"/>
      <c r="IB66" s="345"/>
      <c r="IC66" s="71"/>
      <c r="ID66" s="226"/>
      <c r="IE66" s="71"/>
      <c r="IF66" s="71"/>
      <c r="IG66" s="345"/>
      <c r="IH66" s="71"/>
      <c r="II66" s="226"/>
      <c r="IJ66" s="71"/>
      <c r="IK66" s="71"/>
      <c r="IL66" s="345"/>
      <c r="IM66" s="71"/>
      <c r="IN66" s="226"/>
      <c r="IO66" s="71"/>
      <c r="IP66" s="71"/>
      <c r="IQ66" s="345"/>
      <c r="IR66" s="71"/>
      <c r="IS66" s="226"/>
      <c r="IT66" s="71"/>
      <c r="IU66" s="71"/>
      <c r="IV66" s="345"/>
    </row>
    <row r="67" spans="1:256" x14ac:dyDescent="0.2">
      <c r="A67" s="345">
        <v>29555</v>
      </c>
      <c r="B67" s="71"/>
      <c r="C67" s="226"/>
      <c r="D67" s="71"/>
      <c r="E67" s="71"/>
      <c r="F67" s="345"/>
      <c r="G67" s="71"/>
      <c r="H67" s="226"/>
      <c r="I67" s="71"/>
      <c r="J67" s="71"/>
      <c r="K67" s="345"/>
      <c r="L67" s="71"/>
      <c r="M67" s="226"/>
      <c r="N67" s="71"/>
      <c r="O67" s="71"/>
      <c r="P67" s="345"/>
      <c r="Q67" s="71"/>
      <c r="R67" s="226"/>
      <c r="S67" s="71"/>
      <c r="T67" s="71"/>
      <c r="U67" s="345"/>
      <c r="V67" s="71"/>
      <c r="W67" s="226"/>
      <c r="X67" s="71"/>
      <c r="Y67" s="71"/>
      <c r="Z67" s="345"/>
      <c r="AA67" s="71"/>
      <c r="AB67" s="226"/>
      <c r="AC67" s="71"/>
      <c r="AD67" s="71"/>
      <c r="AE67" s="345"/>
      <c r="AF67" s="71"/>
      <c r="AG67" s="226"/>
      <c r="AH67" s="71"/>
      <c r="AI67" s="71"/>
      <c r="AJ67" s="345"/>
      <c r="AK67" s="71"/>
      <c r="AL67" s="226"/>
      <c r="AM67" s="71"/>
      <c r="AN67" s="71"/>
      <c r="AO67" s="345"/>
      <c r="AP67" s="71"/>
      <c r="AQ67" s="226"/>
      <c r="AR67" s="71"/>
      <c r="AS67" s="71"/>
      <c r="AT67" s="345"/>
      <c r="AU67" s="71"/>
      <c r="AV67" s="226"/>
      <c r="AW67" s="71"/>
      <c r="AX67" s="71"/>
      <c r="AY67" s="345"/>
      <c r="AZ67" s="71"/>
      <c r="BA67" s="226"/>
      <c r="BB67" s="71"/>
      <c r="BC67" s="71"/>
      <c r="BD67" s="345"/>
      <c r="BE67" s="71"/>
      <c r="BF67" s="226"/>
      <c r="BG67" s="71"/>
      <c r="BH67" s="71"/>
      <c r="BI67" s="345"/>
      <c r="BJ67" s="71"/>
      <c r="BK67" s="226"/>
      <c r="BL67" s="71"/>
      <c r="BM67" s="71"/>
      <c r="BN67" s="345"/>
      <c r="BO67" s="71"/>
      <c r="BP67" s="226"/>
      <c r="BQ67" s="71"/>
      <c r="BR67" s="71"/>
      <c r="BS67" s="345"/>
      <c r="BT67" s="71"/>
      <c r="BU67" s="226"/>
      <c r="BV67" s="71"/>
      <c r="BW67" s="71"/>
      <c r="BX67" s="345"/>
      <c r="BY67" s="71"/>
      <c r="BZ67" s="226"/>
      <c r="CA67" s="71"/>
      <c r="CB67" s="71"/>
      <c r="CC67" s="345"/>
      <c r="CD67" s="71"/>
      <c r="CE67" s="226"/>
      <c r="CF67" s="71"/>
      <c r="CG67" s="71"/>
      <c r="CH67" s="345"/>
      <c r="CI67" s="71"/>
      <c r="CJ67" s="226"/>
      <c r="CK67" s="71"/>
      <c r="CL67" s="71"/>
      <c r="CM67" s="345"/>
      <c r="CN67" s="71"/>
      <c r="CO67" s="226"/>
      <c r="CP67" s="71"/>
      <c r="CQ67" s="71"/>
      <c r="CR67" s="345"/>
      <c r="CS67" s="71"/>
      <c r="CT67" s="226"/>
      <c r="CU67" s="71"/>
      <c r="CV67" s="71"/>
      <c r="CW67" s="345"/>
      <c r="CX67" s="71"/>
      <c r="CY67" s="226"/>
      <c r="CZ67" s="71"/>
      <c r="DA67" s="71"/>
      <c r="DB67" s="345"/>
      <c r="DC67" s="71"/>
      <c r="DD67" s="226"/>
      <c r="DE67" s="71"/>
      <c r="DF67" s="71"/>
      <c r="DG67" s="345"/>
      <c r="DH67" s="71"/>
      <c r="DI67" s="226"/>
      <c r="DJ67" s="71"/>
      <c r="DK67" s="71"/>
      <c r="DL67" s="345"/>
      <c r="DM67" s="71"/>
      <c r="DN67" s="226"/>
      <c r="DO67" s="71"/>
      <c r="DP67" s="71"/>
      <c r="DQ67" s="345"/>
      <c r="DR67" s="71"/>
      <c r="DS67" s="226"/>
      <c r="DT67" s="71"/>
      <c r="DU67" s="71"/>
      <c r="DV67" s="345"/>
      <c r="DW67" s="71"/>
      <c r="DX67" s="226"/>
      <c r="DY67" s="71"/>
      <c r="DZ67" s="71"/>
      <c r="EA67" s="345"/>
      <c r="EB67" s="71"/>
      <c r="EC67" s="226"/>
      <c r="ED67" s="71"/>
      <c r="EE67" s="71"/>
      <c r="EF67" s="345"/>
      <c r="EG67" s="71"/>
      <c r="EH67" s="226"/>
      <c r="EI67" s="71"/>
      <c r="EJ67" s="71"/>
      <c r="EK67" s="345"/>
      <c r="EL67" s="71"/>
      <c r="EM67" s="226"/>
      <c r="EN67" s="71"/>
      <c r="EO67" s="71"/>
      <c r="EP67" s="345"/>
      <c r="EQ67" s="71"/>
      <c r="ER67" s="226"/>
      <c r="ES67" s="71"/>
      <c r="ET67" s="71"/>
      <c r="EU67" s="345"/>
      <c r="EV67" s="71"/>
      <c r="EW67" s="226"/>
      <c r="EX67" s="71"/>
      <c r="EY67" s="71"/>
      <c r="EZ67" s="345"/>
      <c r="FA67" s="71"/>
      <c r="FB67" s="226"/>
      <c r="FC67" s="71"/>
      <c r="FD67" s="71"/>
      <c r="FE67" s="345"/>
      <c r="FF67" s="71"/>
      <c r="FG67" s="226"/>
      <c r="FH67" s="71"/>
      <c r="FI67" s="71"/>
      <c r="FJ67" s="345"/>
      <c r="FK67" s="71"/>
      <c r="FL67" s="226"/>
      <c r="FM67" s="71"/>
      <c r="FN67" s="71"/>
      <c r="FO67" s="345"/>
      <c r="FP67" s="71"/>
      <c r="FQ67" s="226"/>
      <c r="FR67" s="71"/>
      <c r="FS67" s="71"/>
      <c r="FT67" s="345"/>
      <c r="FU67" s="71"/>
      <c r="FV67" s="226"/>
      <c r="FW67" s="71"/>
      <c r="FX67" s="71"/>
      <c r="FY67" s="345"/>
      <c r="FZ67" s="71"/>
      <c r="GA67" s="226"/>
      <c r="GB67" s="71"/>
      <c r="GC67" s="71"/>
      <c r="GD67" s="345"/>
      <c r="GE67" s="71"/>
      <c r="GF67" s="226"/>
      <c r="GG67" s="71"/>
      <c r="GH67" s="71"/>
      <c r="GI67" s="345"/>
      <c r="GJ67" s="71"/>
      <c r="GK67" s="226"/>
      <c r="GL67" s="71"/>
      <c r="GM67" s="71"/>
      <c r="GN67" s="345"/>
      <c r="GO67" s="71"/>
      <c r="GP67" s="226"/>
      <c r="GQ67" s="71"/>
      <c r="GR67" s="71"/>
      <c r="GS67" s="345"/>
      <c r="GT67" s="71"/>
      <c r="GU67" s="226"/>
      <c r="GV67" s="71"/>
      <c r="GW67" s="71"/>
      <c r="GX67" s="345"/>
      <c r="GY67" s="71"/>
      <c r="GZ67" s="226"/>
      <c r="HA67" s="71"/>
      <c r="HB67" s="71"/>
      <c r="HC67" s="345"/>
      <c r="HD67" s="71"/>
      <c r="HE67" s="226"/>
      <c r="HF67" s="71"/>
      <c r="HG67" s="71"/>
      <c r="HH67" s="345"/>
      <c r="HI67" s="71"/>
      <c r="HJ67" s="226"/>
      <c r="HK67" s="71"/>
      <c r="HL67" s="71"/>
      <c r="HM67" s="345"/>
      <c r="HN67" s="71"/>
      <c r="HO67" s="226"/>
      <c r="HP67" s="71"/>
      <c r="HQ67" s="71"/>
      <c r="HR67" s="345"/>
      <c r="HS67" s="71"/>
      <c r="HT67" s="226"/>
      <c r="HU67" s="71"/>
      <c r="HV67" s="71"/>
      <c r="HW67" s="345"/>
      <c r="HX67" s="71"/>
      <c r="HY67" s="226"/>
      <c r="HZ67" s="71"/>
      <c r="IA67" s="71"/>
      <c r="IB67" s="345"/>
      <c r="IC67" s="71"/>
      <c r="ID67" s="226"/>
      <c r="IE67" s="71"/>
      <c r="IF67" s="71"/>
      <c r="IG67" s="345"/>
      <c r="IH67" s="71"/>
      <c r="II67" s="226"/>
      <c r="IJ67" s="71"/>
      <c r="IK67" s="71"/>
      <c r="IL67" s="345"/>
      <c r="IM67" s="71"/>
      <c r="IN67" s="226"/>
      <c r="IO67" s="71"/>
      <c r="IP67" s="71"/>
      <c r="IQ67" s="345"/>
      <c r="IR67" s="71"/>
      <c r="IS67" s="226"/>
      <c r="IT67" s="71"/>
      <c r="IU67" s="71"/>
      <c r="IV67" s="345"/>
    </row>
    <row r="68" spans="1:256" x14ac:dyDescent="0.2">
      <c r="A68" s="345">
        <v>29586</v>
      </c>
      <c r="B68" s="71"/>
      <c r="C68" s="226"/>
      <c r="D68" s="71"/>
      <c r="E68" s="71"/>
      <c r="F68" s="345"/>
      <c r="G68" s="71"/>
      <c r="H68" s="226"/>
      <c r="I68" s="71"/>
      <c r="J68" s="71"/>
      <c r="K68" s="345"/>
      <c r="L68" s="71"/>
      <c r="M68" s="226"/>
      <c r="N68" s="71"/>
      <c r="O68" s="71"/>
      <c r="P68" s="345"/>
      <c r="Q68" s="71"/>
      <c r="R68" s="226"/>
      <c r="S68" s="71"/>
      <c r="T68" s="71"/>
      <c r="U68" s="345"/>
      <c r="V68" s="71"/>
      <c r="W68" s="226"/>
      <c r="X68" s="71"/>
      <c r="Y68" s="71"/>
      <c r="Z68" s="345"/>
      <c r="AA68" s="71"/>
      <c r="AB68" s="226"/>
      <c r="AC68" s="71"/>
      <c r="AD68" s="71"/>
      <c r="AE68" s="345"/>
      <c r="AF68" s="71"/>
      <c r="AG68" s="226"/>
      <c r="AH68" s="71"/>
      <c r="AI68" s="71"/>
      <c r="AJ68" s="345"/>
      <c r="AK68" s="71"/>
      <c r="AL68" s="226"/>
      <c r="AM68" s="71"/>
      <c r="AN68" s="71"/>
      <c r="AO68" s="345"/>
      <c r="AP68" s="71"/>
      <c r="AQ68" s="226"/>
      <c r="AR68" s="71"/>
      <c r="AS68" s="71"/>
      <c r="AT68" s="345"/>
      <c r="AU68" s="71"/>
      <c r="AV68" s="226"/>
      <c r="AW68" s="71"/>
      <c r="AX68" s="71"/>
      <c r="AY68" s="345"/>
      <c r="AZ68" s="71"/>
      <c r="BA68" s="226"/>
      <c r="BB68" s="71"/>
      <c r="BC68" s="71"/>
      <c r="BD68" s="345"/>
      <c r="BE68" s="71"/>
      <c r="BF68" s="226"/>
      <c r="BG68" s="71"/>
      <c r="BH68" s="71"/>
      <c r="BI68" s="345"/>
      <c r="BJ68" s="71"/>
      <c r="BK68" s="226"/>
      <c r="BL68" s="71"/>
      <c r="BM68" s="71"/>
      <c r="BN68" s="345"/>
      <c r="BO68" s="71"/>
      <c r="BP68" s="226"/>
      <c r="BQ68" s="71"/>
      <c r="BR68" s="71"/>
      <c r="BS68" s="345"/>
      <c r="BT68" s="71"/>
      <c r="BU68" s="226"/>
      <c r="BV68" s="71"/>
      <c r="BW68" s="71"/>
      <c r="BX68" s="345"/>
      <c r="BY68" s="71"/>
      <c r="BZ68" s="226"/>
      <c r="CA68" s="71"/>
      <c r="CB68" s="71"/>
      <c r="CC68" s="345"/>
      <c r="CD68" s="71"/>
      <c r="CE68" s="226"/>
      <c r="CF68" s="71"/>
      <c r="CG68" s="71"/>
      <c r="CH68" s="345"/>
      <c r="CI68" s="71"/>
      <c r="CJ68" s="226"/>
      <c r="CK68" s="71"/>
      <c r="CL68" s="71"/>
      <c r="CM68" s="345"/>
      <c r="CN68" s="71"/>
      <c r="CO68" s="226"/>
      <c r="CP68" s="71"/>
      <c r="CQ68" s="71"/>
      <c r="CR68" s="345"/>
      <c r="CS68" s="71"/>
      <c r="CT68" s="226"/>
      <c r="CU68" s="71"/>
      <c r="CV68" s="71"/>
      <c r="CW68" s="345"/>
      <c r="CX68" s="71"/>
      <c r="CY68" s="226"/>
      <c r="CZ68" s="71"/>
      <c r="DA68" s="71"/>
      <c r="DB68" s="345"/>
      <c r="DC68" s="71"/>
      <c r="DD68" s="226"/>
      <c r="DE68" s="71"/>
      <c r="DF68" s="71"/>
      <c r="DG68" s="345"/>
      <c r="DH68" s="71"/>
      <c r="DI68" s="226"/>
      <c r="DJ68" s="71"/>
      <c r="DK68" s="71"/>
      <c r="DL68" s="345"/>
      <c r="DM68" s="71"/>
      <c r="DN68" s="226"/>
      <c r="DO68" s="71"/>
      <c r="DP68" s="71"/>
      <c r="DQ68" s="345"/>
      <c r="DR68" s="71"/>
      <c r="DS68" s="226"/>
      <c r="DT68" s="71"/>
      <c r="DU68" s="71"/>
      <c r="DV68" s="345"/>
      <c r="DW68" s="71"/>
      <c r="DX68" s="226"/>
      <c r="DY68" s="71"/>
      <c r="DZ68" s="71"/>
      <c r="EA68" s="345"/>
      <c r="EB68" s="71"/>
      <c r="EC68" s="226"/>
      <c r="ED68" s="71"/>
      <c r="EE68" s="71"/>
      <c r="EF68" s="345"/>
      <c r="EG68" s="71"/>
      <c r="EH68" s="226"/>
      <c r="EI68" s="71"/>
      <c r="EJ68" s="71"/>
      <c r="EK68" s="345"/>
      <c r="EL68" s="71"/>
      <c r="EM68" s="226"/>
      <c r="EN68" s="71"/>
      <c r="EO68" s="71"/>
      <c r="EP68" s="345"/>
      <c r="EQ68" s="71"/>
      <c r="ER68" s="226"/>
      <c r="ES68" s="71"/>
      <c r="ET68" s="71"/>
      <c r="EU68" s="345"/>
      <c r="EV68" s="71"/>
      <c r="EW68" s="226"/>
      <c r="EX68" s="71"/>
      <c r="EY68" s="71"/>
      <c r="EZ68" s="345"/>
      <c r="FA68" s="71"/>
      <c r="FB68" s="226"/>
      <c r="FC68" s="71"/>
      <c r="FD68" s="71"/>
      <c r="FE68" s="345"/>
      <c r="FF68" s="71"/>
      <c r="FG68" s="226"/>
      <c r="FH68" s="71"/>
      <c r="FI68" s="71"/>
      <c r="FJ68" s="345"/>
      <c r="FK68" s="71"/>
      <c r="FL68" s="226"/>
      <c r="FM68" s="71"/>
      <c r="FN68" s="71"/>
      <c r="FO68" s="345"/>
      <c r="FP68" s="71"/>
      <c r="FQ68" s="226"/>
      <c r="FR68" s="71"/>
      <c r="FS68" s="71"/>
      <c r="FT68" s="345"/>
      <c r="FU68" s="71"/>
      <c r="FV68" s="226"/>
      <c r="FW68" s="71"/>
      <c r="FX68" s="71"/>
      <c r="FY68" s="345"/>
      <c r="FZ68" s="71"/>
      <c r="GA68" s="226"/>
      <c r="GB68" s="71"/>
      <c r="GC68" s="71"/>
      <c r="GD68" s="345"/>
      <c r="GE68" s="71"/>
      <c r="GF68" s="226"/>
      <c r="GG68" s="71"/>
      <c r="GH68" s="71"/>
      <c r="GI68" s="345"/>
      <c r="GJ68" s="71"/>
      <c r="GK68" s="226"/>
      <c r="GL68" s="71"/>
      <c r="GM68" s="71"/>
      <c r="GN68" s="345"/>
      <c r="GO68" s="71"/>
      <c r="GP68" s="226"/>
      <c r="GQ68" s="71"/>
      <c r="GR68" s="71"/>
      <c r="GS68" s="345"/>
      <c r="GT68" s="71"/>
      <c r="GU68" s="226"/>
      <c r="GV68" s="71"/>
      <c r="GW68" s="71"/>
      <c r="GX68" s="345"/>
      <c r="GY68" s="71"/>
      <c r="GZ68" s="226"/>
      <c r="HA68" s="71"/>
      <c r="HB68" s="71"/>
      <c r="HC68" s="345"/>
      <c r="HD68" s="71"/>
      <c r="HE68" s="226"/>
      <c r="HF68" s="71"/>
      <c r="HG68" s="71"/>
      <c r="HH68" s="345"/>
      <c r="HI68" s="71"/>
      <c r="HJ68" s="226"/>
      <c r="HK68" s="71"/>
      <c r="HL68" s="71"/>
      <c r="HM68" s="345"/>
      <c r="HN68" s="71"/>
      <c r="HO68" s="226"/>
      <c r="HP68" s="71"/>
      <c r="HQ68" s="71"/>
      <c r="HR68" s="345"/>
      <c r="HS68" s="71"/>
      <c r="HT68" s="226"/>
      <c r="HU68" s="71"/>
      <c r="HV68" s="71"/>
      <c r="HW68" s="345"/>
      <c r="HX68" s="71"/>
      <c r="HY68" s="226"/>
      <c r="HZ68" s="71"/>
      <c r="IA68" s="71"/>
      <c r="IB68" s="345"/>
      <c r="IC68" s="71"/>
      <c r="ID68" s="226"/>
      <c r="IE68" s="71"/>
      <c r="IF68" s="71"/>
      <c r="IG68" s="345"/>
      <c r="IH68" s="71"/>
      <c r="II68" s="226"/>
      <c r="IJ68" s="71"/>
      <c r="IK68" s="71"/>
      <c r="IL68" s="345"/>
      <c r="IM68" s="71"/>
      <c r="IN68" s="226"/>
      <c r="IO68" s="71"/>
      <c r="IP68" s="71"/>
      <c r="IQ68" s="345"/>
      <c r="IR68" s="71"/>
      <c r="IS68" s="226"/>
      <c r="IT68" s="71"/>
      <c r="IU68" s="71"/>
      <c r="IV68" s="345"/>
    </row>
    <row r="69" spans="1:256" x14ac:dyDescent="0.2">
      <c r="A69" s="345">
        <v>29617</v>
      </c>
      <c r="B69" s="71"/>
      <c r="C69" s="226"/>
      <c r="D69" s="71"/>
      <c r="E69" s="71"/>
      <c r="F69" s="345"/>
      <c r="G69" s="71"/>
      <c r="H69" s="226"/>
      <c r="I69" s="71"/>
      <c r="J69" s="71"/>
      <c r="K69" s="345"/>
      <c r="L69" s="71"/>
      <c r="M69" s="226"/>
      <c r="N69" s="71"/>
      <c r="O69" s="71"/>
      <c r="P69" s="345"/>
      <c r="Q69" s="71"/>
      <c r="R69" s="226"/>
      <c r="S69" s="71"/>
      <c r="T69" s="71"/>
      <c r="U69" s="345"/>
      <c r="V69" s="71"/>
      <c r="W69" s="226"/>
      <c r="X69" s="71"/>
      <c r="Y69" s="71"/>
      <c r="Z69" s="345"/>
      <c r="AA69" s="71"/>
      <c r="AB69" s="226"/>
      <c r="AC69" s="71"/>
      <c r="AD69" s="71"/>
      <c r="AE69" s="345"/>
      <c r="AF69" s="71"/>
      <c r="AG69" s="226"/>
      <c r="AH69" s="71"/>
      <c r="AI69" s="71"/>
      <c r="AJ69" s="345"/>
      <c r="AK69" s="71"/>
      <c r="AL69" s="226"/>
      <c r="AM69" s="71"/>
      <c r="AN69" s="71"/>
      <c r="AO69" s="345"/>
      <c r="AP69" s="71"/>
      <c r="AQ69" s="226"/>
      <c r="AR69" s="71"/>
      <c r="AS69" s="71"/>
      <c r="AT69" s="345"/>
      <c r="AU69" s="71"/>
      <c r="AV69" s="226"/>
      <c r="AW69" s="71"/>
      <c r="AX69" s="71"/>
      <c r="AY69" s="345"/>
      <c r="AZ69" s="71"/>
      <c r="BA69" s="226"/>
      <c r="BB69" s="71"/>
      <c r="BC69" s="71"/>
      <c r="BD69" s="345"/>
      <c r="BE69" s="71"/>
      <c r="BF69" s="226"/>
      <c r="BG69" s="71"/>
      <c r="BH69" s="71"/>
      <c r="BI69" s="345"/>
      <c r="BJ69" s="71"/>
      <c r="BK69" s="226"/>
      <c r="BL69" s="71"/>
      <c r="BM69" s="71"/>
      <c r="BN69" s="345"/>
      <c r="BO69" s="71"/>
      <c r="BP69" s="226"/>
      <c r="BQ69" s="71"/>
      <c r="BR69" s="71"/>
      <c r="BS69" s="345"/>
      <c r="BT69" s="71"/>
      <c r="BU69" s="226"/>
      <c r="BV69" s="71"/>
      <c r="BW69" s="71"/>
      <c r="BX69" s="345"/>
      <c r="BY69" s="71"/>
      <c r="BZ69" s="226"/>
      <c r="CA69" s="71"/>
      <c r="CB69" s="71"/>
      <c r="CC69" s="345"/>
      <c r="CD69" s="71"/>
      <c r="CE69" s="226"/>
      <c r="CF69" s="71"/>
      <c r="CG69" s="71"/>
      <c r="CH69" s="345"/>
      <c r="CI69" s="71"/>
      <c r="CJ69" s="226"/>
      <c r="CK69" s="71"/>
      <c r="CL69" s="71"/>
      <c r="CM69" s="345"/>
      <c r="CN69" s="71"/>
      <c r="CO69" s="226"/>
      <c r="CP69" s="71"/>
      <c r="CQ69" s="71"/>
      <c r="CR69" s="345"/>
      <c r="CS69" s="71"/>
      <c r="CT69" s="226"/>
      <c r="CU69" s="71"/>
      <c r="CV69" s="71"/>
      <c r="CW69" s="345"/>
      <c r="CX69" s="71"/>
      <c r="CY69" s="226"/>
      <c r="CZ69" s="71"/>
      <c r="DA69" s="71"/>
      <c r="DB69" s="345"/>
      <c r="DC69" s="71"/>
      <c r="DD69" s="226"/>
      <c r="DE69" s="71"/>
      <c r="DF69" s="71"/>
      <c r="DG69" s="345"/>
      <c r="DH69" s="71"/>
      <c r="DI69" s="226"/>
      <c r="DJ69" s="71"/>
      <c r="DK69" s="71"/>
      <c r="DL69" s="345"/>
      <c r="DM69" s="71"/>
      <c r="DN69" s="226"/>
      <c r="DO69" s="71"/>
      <c r="DP69" s="71"/>
      <c r="DQ69" s="345"/>
      <c r="DR69" s="71"/>
      <c r="DS69" s="226"/>
      <c r="DT69" s="71"/>
      <c r="DU69" s="71"/>
      <c r="DV69" s="345"/>
      <c r="DW69" s="71"/>
      <c r="DX69" s="226"/>
      <c r="DY69" s="71"/>
      <c r="DZ69" s="71"/>
      <c r="EA69" s="345"/>
      <c r="EB69" s="71"/>
      <c r="EC69" s="226"/>
      <c r="ED69" s="71"/>
      <c r="EE69" s="71"/>
      <c r="EF69" s="345"/>
      <c r="EG69" s="71"/>
      <c r="EH69" s="226"/>
      <c r="EI69" s="71"/>
      <c r="EJ69" s="71"/>
      <c r="EK69" s="345"/>
      <c r="EL69" s="71"/>
      <c r="EM69" s="226"/>
      <c r="EN69" s="71"/>
      <c r="EO69" s="71"/>
      <c r="EP69" s="345"/>
      <c r="EQ69" s="71"/>
      <c r="ER69" s="226"/>
      <c r="ES69" s="71"/>
      <c r="ET69" s="71"/>
      <c r="EU69" s="345"/>
      <c r="EV69" s="71"/>
      <c r="EW69" s="226"/>
      <c r="EX69" s="71"/>
      <c r="EY69" s="71"/>
      <c r="EZ69" s="345"/>
      <c r="FA69" s="71"/>
      <c r="FB69" s="226"/>
      <c r="FC69" s="71"/>
      <c r="FD69" s="71"/>
      <c r="FE69" s="345"/>
      <c r="FF69" s="71"/>
      <c r="FG69" s="226"/>
      <c r="FH69" s="71"/>
      <c r="FI69" s="71"/>
      <c r="FJ69" s="345"/>
      <c r="FK69" s="71"/>
      <c r="FL69" s="226"/>
      <c r="FM69" s="71"/>
      <c r="FN69" s="71"/>
      <c r="FO69" s="345"/>
      <c r="FP69" s="71"/>
      <c r="FQ69" s="226"/>
      <c r="FR69" s="71"/>
      <c r="FS69" s="71"/>
      <c r="FT69" s="345"/>
      <c r="FU69" s="71"/>
      <c r="FV69" s="226"/>
      <c r="FW69" s="71"/>
      <c r="FX69" s="71"/>
      <c r="FY69" s="345"/>
      <c r="FZ69" s="71"/>
      <c r="GA69" s="226"/>
      <c r="GB69" s="71"/>
      <c r="GC69" s="71"/>
      <c r="GD69" s="345"/>
      <c r="GE69" s="71"/>
      <c r="GF69" s="226"/>
      <c r="GG69" s="71"/>
      <c r="GH69" s="71"/>
      <c r="GI69" s="345"/>
      <c r="GJ69" s="71"/>
      <c r="GK69" s="226"/>
      <c r="GL69" s="71"/>
      <c r="GM69" s="71"/>
      <c r="GN69" s="345"/>
      <c r="GO69" s="71"/>
      <c r="GP69" s="226"/>
      <c r="GQ69" s="71"/>
      <c r="GR69" s="71"/>
      <c r="GS69" s="345"/>
      <c r="GT69" s="71"/>
      <c r="GU69" s="226"/>
      <c r="GV69" s="71"/>
      <c r="GW69" s="71"/>
      <c r="GX69" s="345"/>
      <c r="GY69" s="71"/>
      <c r="GZ69" s="226"/>
      <c r="HA69" s="71"/>
      <c r="HB69" s="71"/>
      <c r="HC69" s="345"/>
      <c r="HD69" s="71"/>
      <c r="HE69" s="226"/>
      <c r="HF69" s="71"/>
      <c r="HG69" s="71"/>
      <c r="HH69" s="345"/>
      <c r="HI69" s="71"/>
      <c r="HJ69" s="226"/>
      <c r="HK69" s="71"/>
      <c r="HL69" s="71"/>
      <c r="HM69" s="345"/>
      <c r="HN69" s="71"/>
      <c r="HO69" s="226"/>
      <c r="HP69" s="71"/>
      <c r="HQ69" s="71"/>
      <c r="HR69" s="345"/>
      <c r="HS69" s="71"/>
      <c r="HT69" s="226"/>
      <c r="HU69" s="71"/>
      <c r="HV69" s="71"/>
      <c r="HW69" s="345"/>
      <c r="HX69" s="71"/>
      <c r="HY69" s="226"/>
      <c r="HZ69" s="71"/>
      <c r="IA69" s="71"/>
      <c r="IB69" s="345"/>
      <c r="IC69" s="71"/>
      <c r="ID69" s="226"/>
      <c r="IE69" s="71"/>
      <c r="IF69" s="71"/>
      <c r="IG69" s="345"/>
      <c r="IH69" s="71"/>
      <c r="II69" s="226"/>
      <c r="IJ69" s="71"/>
      <c r="IK69" s="71"/>
      <c r="IL69" s="345"/>
      <c r="IM69" s="71"/>
      <c r="IN69" s="226"/>
      <c r="IO69" s="71"/>
      <c r="IP69" s="71"/>
      <c r="IQ69" s="345"/>
      <c r="IR69" s="71"/>
      <c r="IS69" s="226"/>
      <c r="IT69" s="71"/>
      <c r="IU69" s="71"/>
      <c r="IV69" s="345"/>
    </row>
    <row r="70" spans="1:256" x14ac:dyDescent="0.2">
      <c r="A70" s="345">
        <v>29645</v>
      </c>
      <c r="B70" s="71"/>
      <c r="C70" s="226"/>
      <c r="D70" s="71"/>
      <c r="E70" s="71"/>
      <c r="F70" s="345"/>
      <c r="G70" s="71"/>
      <c r="H70" s="226"/>
      <c r="I70" s="71"/>
      <c r="J70" s="71"/>
      <c r="K70" s="345"/>
      <c r="L70" s="71"/>
      <c r="M70" s="226"/>
      <c r="N70" s="71"/>
      <c r="O70" s="71"/>
      <c r="P70" s="345"/>
      <c r="Q70" s="71"/>
      <c r="R70" s="226"/>
      <c r="S70" s="71"/>
      <c r="T70" s="71"/>
      <c r="U70" s="345"/>
      <c r="V70" s="71"/>
      <c r="W70" s="226"/>
      <c r="X70" s="71"/>
      <c r="Y70" s="71"/>
      <c r="Z70" s="345"/>
      <c r="AA70" s="71"/>
      <c r="AB70" s="226"/>
      <c r="AC70" s="71"/>
      <c r="AD70" s="71"/>
      <c r="AE70" s="345"/>
      <c r="AF70" s="71"/>
      <c r="AG70" s="226"/>
      <c r="AH70" s="71"/>
      <c r="AI70" s="71"/>
      <c r="AJ70" s="345"/>
      <c r="AK70" s="71"/>
      <c r="AL70" s="226"/>
      <c r="AM70" s="71"/>
      <c r="AN70" s="71"/>
      <c r="AO70" s="345"/>
      <c r="AP70" s="71"/>
      <c r="AQ70" s="226"/>
      <c r="AR70" s="71"/>
      <c r="AS70" s="71"/>
      <c r="AT70" s="345"/>
      <c r="AU70" s="71"/>
      <c r="AV70" s="226"/>
      <c r="AW70" s="71"/>
      <c r="AX70" s="71"/>
      <c r="AY70" s="345"/>
      <c r="AZ70" s="71"/>
      <c r="BA70" s="226"/>
      <c r="BB70" s="71"/>
      <c r="BC70" s="71"/>
      <c r="BD70" s="345"/>
      <c r="BE70" s="71"/>
      <c r="BF70" s="226"/>
      <c r="BG70" s="71"/>
      <c r="BH70" s="71"/>
      <c r="BI70" s="345"/>
      <c r="BJ70" s="71"/>
      <c r="BK70" s="226"/>
      <c r="BL70" s="71"/>
      <c r="BM70" s="71"/>
      <c r="BN70" s="345"/>
      <c r="BO70" s="71"/>
      <c r="BP70" s="226"/>
      <c r="BQ70" s="71"/>
      <c r="BR70" s="71"/>
      <c r="BS70" s="345"/>
      <c r="BT70" s="71"/>
      <c r="BU70" s="226"/>
      <c r="BV70" s="71"/>
      <c r="BW70" s="71"/>
      <c r="BX70" s="345"/>
      <c r="BY70" s="71"/>
      <c r="BZ70" s="226"/>
      <c r="CA70" s="71"/>
      <c r="CB70" s="71"/>
      <c r="CC70" s="345"/>
      <c r="CD70" s="71"/>
      <c r="CE70" s="226"/>
      <c r="CF70" s="71"/>
      <c r="CG70" s="71"/>
      <c r="CH70" s="345"/>
      <c r="CI70" s="71"/>
      <c r="CJ70" s="226"/>
      <c r="CK70" s="71"/>
      <c r="CL70" s="71"/>
      <c r="CM70" s="345"/>
      <c r="CN70" s="71"/>
      <c r="CO70" s="226"/>
      <c r="CP70" s="71"/>
      <c r="CQ70" s="71"/>
      <c r="CR70" s="345"/>
      <c r="CS70" s="71"/>
      <c r="CT70" s="226"/>
      <c r="CU70" s="71"/>
      <c r="CV70" s="71"/>
      <c r="CW70" s="345"/>
      <c r="CX70" s="71"/>
      <c r="CY70" s="226"/>
      <c r="CZ70" s="71"/>
      <c r="DA70" s="71"/>
      <c r="DB70" s="345"/>
      <c r="DC70" s="71"/>
      <c r="DD70" s="226"/>
      <c r="DE70" s="71"/>
      <c r="DF70" s="71"/>
      <c r="DG70" s="345"/>
      <c r="DH70" s="71"/>
      <c r="DI70" s="226"/>
      <c r="DJ70" s="71"/>
      <c r="DK70" s="71"/>
      <c r="DL70" s="345"/>
      <c r="DM70" s="71"/>
      <c r="DN70" s="226"/>
      <c r="DO70" s="71"/>
      <c r="DP70" s="71"/>
      <c r="DQ70" s="345"/>
      <c r="DR70" s="71"/>
      <c r="DS70" s="226"/>
      <c r="DT70" s="71"/>
      <c r="DU70" s="71"/>
      <c r="DV70" s="345"/>
      <c r="DW70" s="71"/>
      <c r="DX70" s="226"/>
      <c r="DY70" s="71"/>
      <c r="DZ70" s="71"/>
      <c r="EA70" s="345"/>
      <c r="EB70" s="71"/>
      <c r="EC70" s="226"/>
      <c r="ED70" s="71"/>
      <c r="EE70" s="71"/>
      <c r="EF70" s="345"/>
      <c r="EG70" s="71"/>
      <c r="EH70" s="226"/>
      <c r="EI70" s="71"/>
      <c r="EJ70" s="71"/>
      <c r="EK70" s="345"/>
      <c r="EL70" s="71"/>
      <c r="EM70" s="226"/>
      <c r="EN70" s="71"/>
      <c r="EO70" s="71"/>
      <c r="EP70" s="345"/>
      <c r="EQ70" s="71"/>
      <c r="ER70" s="226"/>
      <c r="ES70" s="71"/>
      <c r="ET70" s="71"/>
      <c r="EU70" s="345"/>
      <c r="EV70" s="71"/>
      <c r="EW70" s="226"/>
      <c r="EX70" s="71"/>
      <c r="EY70" s="71"/>
      <c r="EZ70" s="345"/>
      <c r="FA70" s="71"/>
      <c r="FB70" s="226"/>
      <c r="FC70" s="71"/>
      <c r="FD70" s="71"/>
      <c r="FE70" s="345"/>
      <c r="FF70" s="71"/>
      <c r="FG70" s="226"/>
      <c r="FH70" s="71"/>
      <c r="FI70" s="71"/>
      <c r="FJ70" s="345"/>
      <c r="FK70" s="71"/>
      <c r="FL70" s="226"/>
      <c r="FM70" s="71"/>
      <c r="FN70" s="71"/>
      <c r="FO70" s="345"/>
      <c r="FP70" s="71"/>
      <c r="FQ70" s="226"/>
      <c r="FR70" s="71"/>
      <c r="FS70" s="71"/>
      <c r="FT70" s="345"/>
      <c r="FU70" s="71"/>
      <c r="FV70" s="226"/>
      <c r="FW70" s="71"/>
      <c r="FX70" s="71"/>
      <c r="FY70" s="345"/>
      <c r="FZ70" s="71"/>
      <c r="GA70" s="226"/>
      <c r="GB70" s="71"/>
      <c r="GC70" s="71"/>
      <c r="GD70" s="345"/>
      <c r="GE70" s="71"/>
      <c r="GF70" s="226"/>
      <c r="GG70" s="71"/>
      <c r="GH70" s="71"/>
      <c r="GI70" s="345"/>
      <c r="GJ70" s="71"/>
      <c r="GK70" s="226"/>
      <c r="GL70" s="71"/>
      <c r="GM70" s="71"/>
      <c r="GN70" s="345"/>
      <c r="GO70" s="71"/>
      <c r="GP70" s="226"/>
      <c r="GQ70" s="71"/>
      <c r="GR70" s="71"/>
      <c r="GS70" s="345"/>
      <c r="GT70" s="71"/>
      <c r="GU70" s="226"/>
      <c r="GV70" s="71"/>
      <c r="GW70" s="71"/>
      <c r="GX70" s="345"/>
      <c r="GY70" s="71"/>
      <c r="GZ70" s="226"/>
      <c r="HA70" s="71"/>
      <c r="HB70" s="71"/>
      <c r="HC70" s="345"/>
      <c r="HD70" s="71"/>
      <c r="HE70" s="226"/>
      <c r="HF70" s="71"/>
      <c r="HG70" s="71"/>
      <c r="HH70" s="345"/>
      <c r="HI70" s="71"/>
      <c r="HJ70" s="226"/>
      <c r="HK70" s="71"/>
      <c r="HL70" s="71"/>
      <c r="HM70" s="345"/>
      <c r="HN70" s="71"/>
      <c r="HO70" s="226"/>
      <c r="HP70" s="71"/>
      <c r="HQ70" s="71"/>
      <c r="HR70" s="345"/>
      <c r="HS70" s="71"/>
      <c r="HT70" s="226"/>
      <c r="HU70" s="71"/>
      <c r="HV70" s="71"/>
      <c r="HW70" s="345"/>
      <c r="HX70" s="71"/>
      <c r="HY70" s="226"/>
      <c r="HZ70" s="71"/>
      <c r="IA70" s="71"/>
      <c r="IB70" s="345"/>
      <c r="IC70" s="71"/>
      <c r="ID70" s="226"/>
      <c r="IE70" s="71"/>
      <c r="IF70" s="71"/>
      <c r="IG70" s="345"/>
      <c r="IH70" s="71"/>
      <c r="II70" s="226"/>
      <c r="IJ70" s="71"/>
      <c r="IK70" s="71"/>
      <c r="IL70" s="345"/>
      <c r="IM70" s="71"/>
      <c r="IN70" s="226"/>
      <c r="IO70" s="71"/>
      <c r="IP70" s="71"/>
      <c r="IQ70" s="345"/>
      <c r="IR70" s="71"/>
      <c r="IS70" s="226"/>
      <c r="IT70" s="71"/>
      <c r="IU70" s="71"/>
      <c r="IV70" s="345"/>
    </row>
    <row r="71" spans="1:256" x14ac:dyDescent="0.2">
      <c r="A71" s="345">
        <v>29676</v>
      </c>
      <c r="B71" s="71"/>
      <c r="C71" s="226"/>
      <c r="D71" s="71"/>
      <c r="E71" s="71"/>
      <c r="F71" s="345"/>
      <c r="G71" s="71"/>
      <c r="H71" s="226"/>
      <c r="I71" s="71"/>
      <c r="J71" s="71"/>
      <c r="K71" s="345"/>
      <c r="L71" s="71"/>
      <c r="M71" s="226"/>
      <c r="N71" s="71"/>
      <c r="O71" s="71"/>
      <c r="P71" s="345"/>
      <c r="Q71" s="71"/>
      <c r="R71" s="226"/>
      <c r="S71" s="71"/>
      <c r="T71" s="71"/>
      <c r="U71" s="345"/>
      <c r="V71" s="71"/>
      <c r="W71" s="226"/>
      <c r="X71" s="71"/>
      <c r="Y71" s="71"/>
      <c r="Z71" s="345"/>
      <c r="AA71" s="71"/>
      <c r="AB71" s="226"/>
      <c r="AC71" s="71"/>
      <c r="AD71" s="71"/>
      <c r="AE71" s="345"/>
      <c r="AF71" s="71"/>
      <c r="AG71" s="226"/>
      <c r="AH71" s="71"/>
      <c r="AI71" s="71"/>
      <c r="AJ71" s="345"/>
      <c r="AK71" s="71"/>
      <c r="AL71" s="226"/>
      <c r="AM71" s="71"/>
      <c r="AN71" s="71"/>
      <c r="AO71" s="345"/>
      <c r="AP71" s="71"/>
      <c r="AQ71" s="226"/>
      <c r="AR71" s="71"/>
      <c r="AS71" s="71"/>
      <c r="AT71" s="345"/>
      <c r="AU71" s="71"/>
      <c r="AV71" s="226"/>
      <c r="AW71" s="71"/>
      <c r="AX71" s="71"/>
      <c r="AY71" s="345"/>
      <c r="AZ71" s="71"/>
      <c r="BA71" s="226"/>
      <c r="BB71" s="71"/>
      <c r="BC71" s="71"/>
      <c r="BD71" s="345"/>
      <c r="BE71" s="71"/>
      <c r="BF71" s="226"/>
      <c r="BG71" s="71"/>
      <c r="BH71" s="71"/>
      <c r="BI71" s="345"/>
      <c r="BJ71" s="71"/>
      <c r="BK71" s="226"/>
      <c r="BL71" s="71"/>
      <c r="BM71" s="71"/>
      <c r="BN71" s="345"/>
      <c r="BO71" s="71"/>
      <c r="BP71" s="226"/>
      <c r="BQ71" s="71"/>
      <c r="BR71" s="71"/>
      <c r="BS71" s="345"/>
      <c r="BT71" s="71"/>
      <c r="BU71" s="226"/>
      <c r="BV71" s="71"/>
      <c r="BW71" s="71"/>
      <c r="BX71" s="345"/>
      <c r="BY71" s="71"/>
      <c r="BZ71" s="226"/>
      <c r="CA71" s="71"/>
      <c r="CB71" s="71"/>
      <c r="CC71" s="345"/>
      <c r="CD71" s="71"/>
      <c r="CE71" s="226"/>
      <c r="CF71" s="71"/>
      <c r="CG71" s="71"/>
      <c r="CH71" s="345"/>
      <c r="CI71" s="71"/>
      <c r="CJ71" s="226"/>
      <c r="CK71" s="71"/>
      <c r="CL71" s="71"/>
      <c r="CM71" s="345"/>
      <c r="CN71" s="71"/>
      <c r="CO71" s="226"/>
      <c r="CP71" s="71"/>
      <c r="CQ71" s="71"/>
      <c r="CR71" s="345"/>
      <c r="CS71" s="71"/>
      <c r="CT71" s="226"/>
      <c r="CU71" s="71"/>
      <c r="CV71" s="71"/>
      <c r="CW71" s="345"/>
      <c r="CX71" s="71"/>
      <c r="CY71" s="226"/>
      <c r="CZ71" s="71"/>
      <c r="DA71" s="71"/>
      <c r="DB71" s="345"/>
      <c r="DC71" s="71"/>
      <c r="DD71" s="226"/>
      <c r="DE71" s="71"/>
      <c r="DF71" s="71"/>
      <c r="DG71" s="345"/>
      <c r="DH71" s="71"/>
      <c r="DI71" s="226"/>
      <c r="DJ71" s="71"/>
      <c r="DK71" s="71"/>
      <c r="DL71" s="345"/>
      <c r="DM71" s="71"/>
      <c r="DN71" s="226"/>
      <c r="DO71" s="71"/>
      <c r="DP71" s="71"/>
      <c r="DQ71" s="345"/>
      <c r="DR71" s="71"/>
      <c r="DS71" s="226"/>
      <c r="DT71" s="71"/>
      <c r="DU71" s="71"/>
      <c r="DV71" s="345"/>
      <c r="DW71" s="71"/>
      <c r="DX71" s="226"/>
      <c r="DY71" s="71"/>
      <c r="DZ71" s="71"/>
      <c r="EA71" s="345"/>
      <c r="EB71" s="71"/>
      <c r="EC71" s="226"/>
      <c r="ED71" s="71"/>
      <c r="EE71" s="71"/>
      <c r="EF71" s="345"/>
      <c r="EG71" s="71"/>
      <c r="EH71" s="226"/>
      <c r="EI71" s="71"/>
      <c r="EJ71" s="71"/>
      <c r="EK71" s="345"/>
      <c r="EL71" s="71"/>
      <c r="EM71" s="226"/>
      <c r="EN71" s="71"/>
      <c r="EO71" s="71"/>
      <c r="EP71" s="345"/>
      <c r="EQ71" s="71"/>
      <c r="ER71" s="226"/>
      <c r="ES71" s="71"/>
      <c r="ET71" s="71"/>
      <c r="EU71" s="345"/>
      <c r="EV71" s="71"/>
      <c r="EW71" s="226"/>
      <c r="EX71" s="71"/>
      <c r="EY71" s="71"/>
      <c r="EZ71" s="345"/>
      <c r="FA71" s="71"/>
      <c r="FB71" s="226"/>
      <c r="FC71" s="71"/>
      <c r="FD71" s="71"/>
      <c r="FE71" s="345"/>
      <c r="FF71" s="71"/>
      <c r="FG71" s="226"/>
      <c r="FH71" s="71"/>
      <c r="FI71" s="71"/>
      <c r="FJ71" s="345"/>
      <c r="FK71" s="71"/>
      <c r="FL71" s="226"/>
      <c r="FM71" s="71"/>
      <c r="FN71" s="71"/>
      <c r="FO71" s="345"/>
      <c r="FP71" s="71"/>
      <c r="FQ71" s="226"/>
      <c r="FR71" s="71"/>
      <c r="FS71" s="71"/>
      <c r="FT71" s="345"/>
      <c r="FU71" s="71"/>
      <c r="FV71" s="226"/>
      <c r="FW71" s="71"/>
      <c r="FX71" s="71"/>
      <c r="FY71" s="345"/>
      <c r="FZ71" s="71"/>
      <c r="GA71" s="226"/>
      <c r="GB71" s="71"/>
      <c r="GC71" s="71"/>
      <c r="GD71" s="345"/>
      <c r="GE71" s="71"/>
      <c r="GF71" s="226"/>
      <c r="GG71" s="71"/>
      <c r="GH71" s="71"/>
      <c r="GI71" s="345"/>
      <c r="GJ71" s="71"/>
      <c r="GK71" s="226"/>
      <c r="GL71" s="71"/>
      <c r="GM71" s="71"/>
      <c r="GN71" s="345"/>
      <c r="GO71" s="71"/>
      <c r="GP71" s="226"/>
      <c r="GQ71" s="71"/>
      <c r="GR71" s="71"/>
      <c r="GS71" s="345"/>
      <c r="GT71" s="71"/>
      <c r="GU71" s="226"/>
      <c r="GV71" s="71"/>
      <c r="GW71" s="71"/>
      <c r="GX71" s="345"/>
      <c r="GY71" s="71"/>
      <c r="GZ71" s="226"/>
      <c r="HA71" s="71"/>
      <c r="HB71" s="71"/>
      <c r="HC71" s="345"/>
      <c r="HD71" s="71"/>
      <c r="HE71" s="226"/>
      <c r="HF71" s="71"/>
      <c r="HG71" s="71"/>
      <c r="HH71" s="345"/>
      <c r="HI71" s="71"/>
      <c r="HJ71" s="226"/>
      <c r="HK71" s="71"/>
      <c r="HL71" s="71"/>
      <c r="HM71" s="345"/>
      <c r="HN71" s="71"/>
      <c r="HO71" s="226"/>
      <c r="HP71" s="71"/>
      <c r="HQ71" s="71"/>
      <c r="HR71" s="345"/>
      <c r="HS71" s="71"/>
      <c r="HT71" s="226"/>
      <c r="HU71" s="71"/>
      <c r="HV71" s="71"/>
      <c r="HW71" s="345"/>
      <c r="HX71" s="71"/>
      <c r="HY71" s="226"/>
      <c r="HZ71" s="71"/>
      <c r="IA71" s="71"/>
      <c r="IB71" s="345"/>
      <c r="IC71" s="71"/>
      <c r="ID71" s="226"/>
      <c r="IE71" s="71"/>
      <c r="IF71" s="71"/>
      <c r="IG71" s="345"/>
      <c r="IH71" s="71"/>
      <c r="II71" s="226"/>
      <c r="IJ71" s="71"/>
      <c r="IK71" s="71"/>
      <c r="IL71" s="345"/>
      <c r="IM71" s="71"/>
      <c r="IN71" s="226"/>
      <c r="IO71" s="71"/>
      <c r="IP71" s="71"/>
      <c r="IQ71" s="345"/>
      <c r="IR71" s="71"/>
      <c r="IS71" s="226"/>
      <c r="IT71" s="71"/>
      <c r="IU71" s="71"/>
      <c r="IV71" s="345"/>
    </row>
    <row r="72" spans="1:256" x14ac:dyDescent="0.2">
      <c r="A72" s="345">
        <v>29706</v>
      </c>
      <c r="B72" s="71"/>
      <c r="C72" s="226"/>
      <c r="D72" s="71"/>
      <c r="E72" s="71"/>
      <c r="F72" s="345"/>
      <c r="G72" s="71"/>
      <c r="H72" s="226"/>
      <c r="I72" s="71"/>
      <c r="J72" s="71"/>
      <c r="K72" s="345"/>
      <c r="L72" s="71"/>
      <c r="M72" s="226"/>
      <c r="N72" s="71"/>
      <c r="O72" s="71"/>
      <c r="P72" s="345"/>
      <c r="Q72" s="71"/>
      <c r="R72" s="226"/>
      <c r="S72" s="71"/>
      <c r="T72" s="71"/>
      <c r="U72" s="345"/>
      <c r="V72" s="71"/>
      <c r="W72" s="226"/>
      <c r="X72" s="71"/>
      <c r="Y72" s="71"/>
      <c r="Z72" s="345"/>
      <c r="AA72" s="71"/>
      <c r="AB72" s="226"/>
      <c r="AC72" s="71"/>
      <c r="AD72" s="71"/>
      <c r="AE72" s="345"/>
      <c r="AF72" s="71"/>
      <c r="AG72" s="226"/>
      <c r="AH72" s="71"/>
      <c r="AI72" s="71"/>
      <c r="AJ72" s="345"/>
      <c r="AK72" s="71"/>
      <c r="AL72" s="226"/>
      <c r="AM72" s="71"/>
      <c r="AN72" s="71"/>
      <c r="AO72" s="345"/>
      <c r="AP72" s="71"/>
      <c r="AQ72" s="226"/>
      <c r="AR72" s="71"/>
      <c r="AS72" s="71"/>
      <c r="AT72" s="345"/>
      <c r="AU72" s="71"/>
      <c r="AV72" s="226"/>
      <c r="AW72" s="71"/>
      <c r="AX72" s="71"/>
      <c r="AY72" s="345"/>
      <c r="AZ72" s="71"/>
      <c r="BA72" s="226"/>
      <c r="BB72" s="71"/>
      <c r="BC72" s="71"/>
      <c r="BD72" s="345"/>
      <c r="BE72" s="71"/>
      <c r="BF72" s="226"/>
      <c r="BG72" s="71"/>
      <c r="BH72" s="71"/>
      <c r="BI72" s="345"/>
      <c r="BJ72" s="71"/>
      <c r="BK72" s="226"/>
      <c r="BL72" s="71"/>
      <c r="BM72" s="71"/>
      <c r="BN72" s="345"/>
      <c r="BO72" s="71"/>
      <c r="BP72" s="226"/>
      <c r="BQ72" s="71"/>
      <c r="BR72" s="71"/>
      <c r="BS72" s="345"/>
      <c r="BT72" s="71"/>
      <c r="BU72" s="226"/>
      <c r="BV72" s="71"/>
      <c r="BW72" s="71"/>
      <c r="BX72" s="345"/>
      <c r="BY72" s="71"/>
      <c r="BZ72" s="226"/>
      <c r="CA72" s="71"/>
      <c r="CB72" s="71"/>
      <c r="CC72" s="345"/>
      <c r="CD72" s="71"/>
      <c r="CE72" s="226"/>
      <c r="CF72" s="71"/>
      <c r="CG72" s="71"/>
      <c r="CH72" s="345"/>
      <c r="CI72" s="71"/>
      <c r="CJ72" s="226"/>
      <c r="CK72" s="71"/>
      <c r="CL72" s="71"/>
      <c r="CM72" s="345"/>
      <c r="CN72" s="71"/>
      <c r="CO72" s="226"/>
      <c r="CP72" s="71"/>
      <c r="CQ72" s="71"/>
      <c r="CR72" s="345"/>
      <c r="CS72" s="71"/>
      <c r="CT72" s="226"/>
      <c r="CU72" s="71"/>
      <c r="CV72" s="71"/>
      <c r="CW72" s="345"/>
      <c r="CX72" s="71"/>
      <c r="CY72" s="226"/>
      <c r="CZ72" s="71"/>
      <c r="DA72" s="71"/>
      <c r="DB72" s="345"/>
      <c r="DC72" s="71"/>
      <c r="DD72" s="226"/>
      <c r="DE72" s="71"/>
      <c r="DF72" s="71"/>
      <c r="DG72" s="345"/>
      <c r="DH72" s="71"/>
      <c r="DI72" s="226"/>
      <c r="DJ72" s="71"/>
      <c r="DK72" s="71"/>
      <c r="DL72" s="345"/>
      <c r="DM72" s="71"/>
      <c r="DN72" s="226"/>
      <c r="DO72" s="71"/>
      <c r="DP72" s="71"/>
      <c r="DQ72" s="345"/>
      <c r="DR72" s="71"/>
      <c r="DS72" s="226"/>
      <c r="DT72" s="71"/>
      <c r="DU72" s="71"/>
      <c r="DV72" s="345"/>
      <c r="DW72" s="71"/>
      <c r="DX72" s="226"/>
      <c r="DY72" s="71"/>
      <c r="DZ72" s="71"/>
      <c r="EA72" s="345"/>
      <c r="EB72" s="71"/>
      <c r="EC72" s="226"/>
      <c r="ED72" s="71"/>
      <c r="EE72" s="71"/>
      <c r="EF72" s="345"/>
      <c r="EG72" s="71"/>
      <c r="EH72" s="226"/>
      <c r="EI72" s="71"/>
      <c r="EJ72" s="71"/>
      <c r="EK72" s="345"/>
      <c r="EL72" s="71"/>
      <c r="EM72" s="226"/>
      <c r="EN72" s="71"/>
      <c r="EO72" s="71"/>
      <c r="EP72" s="345"/>
      <c r="EQ72" s="71"/>
      <c r="ER72" s="226"/>
      <c r="ES72" s="71"/>
      <c r="ET72" s="71"/>
      <c r="EU72" s="345"/>
      <c r="EV72" s="71"/>
      <c r="EW72" s="226"/>
      <c r="EX72" s="71"/>
      <c r="EY72" s="71"/>
      <c r="EZ72" s="345"/>
      <c r="FA72" s="71"/>
      <c r="FB72" s="226"/>
      <c r="FC72" s="71"/>
      <c r="FD72" s="71"/>
      <c r="FE72" s="345"/>
      <c r="FF72" s="71"/>
      <c r="FG72" s="226"/>
      <c r="FH72" s="71"/>
      <c r="FI72" s="71"/>
      <c r="FJ72" s="345"/>
      <c r="FK72" s="71"/>
      <c r="FL72" s="226"/>
      <c r="FM72" s="71"/>
      <c r="FN72" s="71"/>
      <c r="FO72" s="345"/>
      <c r="FP72" s="71"/>
      <c r="FQ72" s="226"/>
      <c r="FR72" s="71"/>
      <c r="FS72" s="71"/>
      <c r="FT72" s="345"/>
      <c r="FU72" s="71"/>
      <c r="FV72" s="226"/>
      <c r="FW72" s="71"/>
      <c r="FX72" s="71"/>
      <c r="FY72" s="345"/>
      <c r="FZ72" s="71"/>
      <c r="GA72" s="226"/>
      <c r="GB72" s="71"/>
      <c r="GC72" s="71"/>
      <c r="GD72" s="345"/>
      <c r="GE72" s="71"/>
      <c r="GF72" s="226"/>
      <c r="GG72" s="71"/>
      <c r="GH72" s="71"/>
      <c r="GI72" s="345"/>
      <c r="GJ72" s="71"/>
      <c r="GK72" s="226"/>
      <c r="GL72" s="71"/>
      <c r="GM72" s="71"/>
      <c r="GN72" s="345"/>
      <c r="GO72" s="71"/>
      <c r="GP72" s="226"/>
      <c r="GQ72" s="71"/>
      <c r="GR72" s="71"/>
      <c r="GS72" s="345"/>
      <c r="GT72" s="71"/>
      <c r="GU72" s="226"/>
      <c r="GV72" s="71"/>
      <c r="GW72" s="71"/>
      <c r="GX72" s="345"/>
      <c r="GY72" s="71"/>
      <c r="GZ72" s="226"/>
      <c r="HA72" s="71"/>
      <c r="HB72" s="71"/>
      <c r="HC72" s="345"/>
      <c r="HD72" s="71"/>
      <c r="HE72" s="226"/>
      <c r="HF72" s="71"/>
      <c r="HG72" s="71"/>
      <c r="HH72" s="345"/>
      <c r="HI72" s="71"/>
      <c r="HJ72" s="226"/>
      <c r="HK72" s="71"/>
      <c r="HL72" s="71"/>
      <c r="HM72" s="345"/>
      <c r="HN72" s="71"/>
      <c r="HO72" s="226"/>
      <c r="HP72" s="71"/>
      <c r="HQ72" s="71"/>
      <c r="HR72" s="345"/>
      <c r="HS72" s="71"/>
      <c r="HT72" s="226"/>
      <c r="HU72" s="71"/>
      <c r="HV72" s="71"/>
      <c r="HW72" s="345"/>
      <c r="HX72" s="71"/>
      <c r="HY72" s="226"/>
      <c r="HZ72" s="71"/>
      <c r="IA72" s="71"/>
      <c r="IB72" s="345"/>
      <c r="IC72" s="71"/>
      <c r="ID72" s="226"/>
      <c r="IE72" s="71"/>
      <c r="IF72" s="71"/>
      <c r="IG72" s="345"/>
      <c r="IH72" s="71"/>
      <c r="II72" s="226"/>
      <c r="IJ72" s="71"/>
      <c r="IK72" s="71"/>
      <c r="IL72" s="345"/>
      <c r="IM72" s="71"/>
      <c r="IN72" s="226"/>
      <c r="IO72" s="71"/>
      <c r="IP72" s="71"/>
      <c r="IQ72" s="345"/>
      <c r="IR72" s="71"/>
      <c r="IS72" s="226"/>
      <c r="IT72" s="71"/>
      <c r="IU72" s="71"/>
      <c r="IV72" s="345"/>
    </row>
    <row r="73" spans="1:256" x14ac:dyDescent="0.2">
      <c r="A73" s="345">
        <v>29737</v>
      </c>
      <c r="B73" s="71"/>
      <c r="C73" s="226"/>
      <c r="D73" s="71"/>
      <c r="E73" s="71"/>
      <c r="F73" s="345"/>
      <c r="G73" s="71"/>
      <c r="H73" s="226"/>
      <c r="I73" s="71"/>
      <c r="J73" s="71"/>
      <c r="K73" s="345"/>
      <c r="L73" s="71"/>
      <c r="M73" s="226"/>
      <c r="N73" s="71"/>
      <c r="O73" s="71"/>
      <c r="P73" s="345"/>
      <c r="Q73" s="71"/>
      <c r="R73" s="226"/>
      <c r="S73" s="71"/>
      <c r="T73" s="71"/>
      <c r="U73" s="345"/>
      <c r="V73" s="71"/>
      <c r="W73" s="226"/>
      <c r="X73" s="71"/>
      <c r="Y73" s="71"/>
      <c r="Z73" s="345"/>
      <c r="AA73" s="71"/>
      <c r="AB73" s="226"/>
      <c r="AC73" s="71"/>
      <c r="AD73" s="71"/>
      <c r="AE73" s="345"/>
      <c r="AF73" s="71"/>
      <c r="AG73" s="226"/>
      <c r="AH73" s="71"/>
      <c r="AI73" s="71"/>
      <c r="AJ73" s="345"/>
      <c r="AK73" s="71"/>
      <c r="AL73" s="226"/>
      <c r="AM73" s="71"/>
      <c r="AN73" s="71"/>
      <c r="AO73" s="345"/>
      <c r="AP73" s="71"/>
      <c r="AQ73" s="226"/>
      <c r="AR73" s="71"/>
      <c r="AS73" s="71"/>
      <c r="AT73" s="345"/>
      <c r="AU73" s="71"/>
      <c r="AV73" s="226"/>
      <c r="AW73" s="71"/>
      <c r="AX73" s="71"/>
      <c r="AY73" s="345"/>
      <c r="AZ73" s="71"/>
      <c r="BA73" s="226"/>
      <c r="BB73" s="71"/>
      <c r="BC73" s="71"/>
      <c r="BD73" s="345"/>
      <c r="BE73" s="71"/>
      <c r="BF73" s="226"/>
      <c r="BG73" s="71"/>
      <c r="BH73" s="71"/>
      <c r="BI73" s="345"/>
      <c r="BJ73" s="71"/>
      <c r="BK73" s="226"/>
      <c r="BL73" s="71"/>
      <c r="BM73" s="71"/>
      <c r="BN73" s="345"/>
      <c r="BO73" s="71"/>
      <c r="BP73" s="226"/>
      <c r="BQ73" s="71"/>
      <c r="BR73" s="71"/>
      <c r="BS73" s="345"/>
      <c r="BT73" s="71"/>
      <c r="BU73" s="226"/>
      <c r="BV73" s="71"/>
      <c r="BW73" s="71"/>
      <c r="BX73" s="345"/>
      <c r="BY73" s="71"/>
      <c r="BZ73" s="226"/>
      <c r="CA73" s="71"/>
      <c r="CB73" s="71"/>
      <c r="CC73" s="345"/>
      <c r="CD73" s="71"/>
      <c r="CE73" s="226"/>
      <c r="CF73" s="71"/>
      <c r="CG73" s="71"/>
      <c r="CH73" s="345"/>
      <c r="CI73" s="71"/>
      <c r="CJ73" s="226"/>
      <c r="CK73" s="71"/>
      <c r="CL73" s="71"/>
      <c r="CM73" s="345"/>
      <c r="CN73" s="71"/>
      <c r="CO73" s="226"/>
      <c r="CP73" s="71"/>
      <c r="CQ73" s="71"/>
      <c r="CR73" s="345"/>
      <c r="CS73" s="71"/>
      <c r="CT73" s="226"/>
      <c r="CU73" s="71"/>
      <c r="CV73" s="71"/>
      <c r="CW73" s="345"/>
      <c r="CX73" s="71"/>
      <c r="CY73" s="226"/>
      <c r="CZ73" s="71"/>
      <c r="DA73" s="71"/>
      <c r="DB73" s="345"/>
      <c r="DC73" s="71"/>
      <c r="DD73" s="226"/>
      <c r="DE73" s="71"/>
      <c r="DF73" s="71"/>
      <c r="DG73" s="345"/>
      <c r="DH73" s="71"/>
      <c r="DI73" s="226"/>
      <c r="DJ73" s="71"/>
      <c r="DK73" s="71"/>
      <c r="DL73" s="345"/>
      <c r="DM73" s="71"/>
      <c r="DN73" s="226"/>
      <c r="DO73" s="71"/>
      <c r="DP73" s="71"/>
      <c r="DQ73" s="345"/>
      <c r="DR73" s="71"/>
      <c r="DS73" s="226"/>
      <c r="DT73" s="71"/>
      <c r="DU73" s="71"/>
      <c r="DV73" s="345"/>
      <c r="DW73" s="71"/>
      <c r="DX73" s="226"/>
      <c r="DY73" s="71"/>
      <c r="DZ73" s="71"/>
      <c r="EA73" s="345"/>
      <c r="EB73" s="71"/>
      <c r="EC73" s="226"/>
      <c r="ED73" s="71"/>
      <c r="EE73" s="71"/>
      <c r="EF73" s="345"/>
      <c r="EG73" s="71"/>
      <c r="EH73" s="226"/>
      <c r="EI73" s="71"/>
      <c r="EJ73" s="71"/>
      <c r="EK73" s="345"/>
      <c r="EL73" s="71"/>
      <c r="EM73" s="226"/>
      <c r="EN73" s="71"/>
      <c r="EO73" s="71"/>
      <c r="EP73" s="345"/>
      <c r="EQ73" s="71"/>
      <c r="ER73" s="226"/>
      <c r="ES73" s="71"/>
      <c r="ET73" s="71"/>
      <c r="EU73" s="345"/>
      <c r="EV73" s="71"/>
      <c r="EW73" s="226"/>
      <c r="EX73" s="71"/>
      <c r="EY73" s="71"/>
      <c r="EZ73" s="345"/>
      <c r="FA73" s="71"/>
      <c r="FB73" s="226"/>
      <c r="FC73" s="71"/>
      <c r="FD73" s="71"/>
      <c r="FE73" s="345"/>
      <c r="FF73" s="71"/>
      <c r="FG73" s="226"/>
      <c r="FH73" s="71"/>
      <c r="FI73" s="71"/>
      <c r="FJ73" s="345"/>
      <c r="FK73" s="71"/>
      <c r="FL73" s="226"/>
      <c r="FM73" s="71"/>
      <c r="FN73" s="71"/>
      <c r="FO73" s="345"/>
      <c r="FP73" s="71"/>
      <c r="FQ73" s="226"/>
      <c r="FR73" s="71"/>
      <c r="FS73" s="71"/>
      <c r="FT73" s="345"/>
      <c r="FU73" s="71"/>
      <c r="FV73" s="226"/>
      <c r="FW73" s="71"/>
      <c r="FX73" s="71"/>
      <c r="FY73" s="345"/>
      <c r="FZ73" s="71"/>
      <c r="GA73" s="226"/>
      <c r="GB73" s="71"/>
      <c r="GC73" s="71"/>
      <c r="GD73" s="345"/>
      <c r="GE73" s="71"/>
      <c r="GF73" s="226"/>
      <c r="GG73" s="71"/>
      <c r="GH73" s="71"/>
      <c r="GI73" s="345"/>
      <c r="GJ73" s="71"/>
      <c r="GK73" s="226"/>
      <c r="GL73" s="71"/>
      <c r="GM73" s="71"/>
      <c r="GN73" s="345"/>
      <c r="GO73" s="71"/>
      <c r="GP73" s="226"/>
      <c r="GQ73" s="71"/>
      <c r="GR73" s="71"/>
      <c r="GS73" s="345"/>
      <c r="GT73" s="71"/>
      <c r="GU73" s="226"/>
      <c r="GV73" s="71"/>
      <c r="GW73" s="71"/>
      <c r="GX73" s="345"/>
      <c r="GY73" s="71"/>
      <c r="GZ73" s="226"/>
      <c r="HA73" s="71"/>
      <c r="HB73" s="71"/>
      <c r="HC73" s="345"/>
      <c r="HD73" s="71"/>
      <c r="HE73" s="226"/>
      <c r="HF73" s="71"/>
      <c r="HG73" s="71"/>
      <c r="HH73" s="345"/>
      <c r="HI73" s="71"/>
      <c r="HJ73" s="226"/>
      <c r="HK73" s="71"/>
      <c r="HL73" s="71"/>
      <c r="HM73" s="345"/>
      <c r="HN73" s="71"/>
      <c r="HO73" s="226"/>
      <c r="HP73" s="71"/>
      <c r="HQ73" s="71"/>
      <c r="HR73" s="345"/>
      <c r="HS73" s="71"/>
      <c r="HT73" s="226"/>
      <c r="HU73" s="71"/>
      <c r="HV73" s="71"/>
      <c r="HW73" s="345"/>
      <c r="HX73" s="71"/>
      <c r="HY73" s="226"/>
      <c r="HZ73" s="71"/>
      <c r="IA73" s="71"/>
      <c r="IB73" s="345"/>
      <c r="IC73" s="71"/>
      <c r="ID73" s="226"/>
      <c r="IE73" s="71"/>
      <c r="IF73" s="71"/>
      <c r="IG73" s="345"/>
      <c r="IH73" s="71"/>
      <c r="II73" s="226"/>
      <c r="IJ73" s="71"/>
      <c r="IK73" s="71"/>
      <c r="IL73" s="345"/>
      <c r="IM73" s="71"/>
      <c r="IN73" s="226"/>
      <c r="IO73" s="71"/>
      <c r="IP73" s="71"/>
      <c r="IQ73" s="345"/>
      <c r="IR73" s="71"/>
      <c r="IS73" s="226"/>
      <c r="IT73" s="71"/>
      <c r="IU73" s="71"/>
      <c r="IV73" s="345"/>
    </row>
    <row r="74" spans="1:256" x14ac:dyDescent="0.2">
      <c r="A74" s="345">
        <v>29767</v>
      </c>
      <c r="B74" s="71"/>
      <c r="C74" s="226"/>
      <c r="D74" s="71"/>
      <c r="E74" s="71"/>
      <c r="F74" s="345"/>
      <c r="G74" s="71"/>
      <c r="H74" s="226"/>
      <c r="I74" s="71"/>
      <c r="J74" s="71"/>
      <c r="K74" s="345"/>
      <c r="L74" s="71"/>
      <c r="M74" s="226"/>
      <c r="N74" s="71"/>
      <c r="O74" s="71"/>
      <c r="P74" s="345"/>
      <c r="Q74" s="71"/>
      <c r="R74" s="226"/>
      <c r="S74" s="71"/>
      <c r="T74" s="71"/>
      <c r="U74" s="345"/>
      <c r="V74" s="71"/>
      <c r="W74" s="226"/>
      <c r="X74" s="71"/>
      <c r="Y74" s="71"/>
      <c r="Z74" s="345"/>
      <c r="AA74" s="71"/>
      <c r="AB74" s="226"/>
      <c r="AC74" s="71"/>
      <c r="AD74" s="71"/>
      <c r="AE74" s="345"/>
      <c r="AF74" s="71"/>
      <c r="AG74" s="226"/>
      <c r="AH74" s="71"/>
      <c r="AI74" s="71"/>
      <c r="AJ74" s="345"/>
      <c r="AK74" s="71"/>
      <c r="AL74" s="226"/>
      <c r="AM74" s="71"/>
      <c r="AN74" s="71"/>
      <c r="AO74" s="345"/>
      <c r="AP74" s="71"/>
      <c r="AQ74" s="226"/>
      <c r="AR74" s="71"/>
      <c r="AS74" s="71"/>
      <c r="AT74" s="345"/>
      <c r="AU74" s="71"/>
      <c r="AV74" s="226"/>
      <c r="AW74" s="71"/>
      <c r="AX74" s="71"/>
      <c r="AY74" s="345"/>
      <c r="AZ74" s="71"/>
      <c r="BA74" s="226"/>
      <c r="BB74" s="71"/>
      <c r="BC74" s="71"/>
      <c r="BD74" s="345"/>
      <c r="BE74" s="71"/>
      <c r="BF74" s="226"/>
      <c r="BG74" s="71"/>
      <c r="BH74" s="71"/>
      <c r="BI74" s="345"/>
      <c r="BJ74" s="71"/>
      <c r="BK74" s="226"/>
      <c r="BL74" s="71"/>
      <c r="BM74" s="71"/>
      <c r="BN74" s="345"/>
      <c r="BO74" s="71"/>
      <c r="BP74" s="226"/>
      <c r="BQ74" s="71"/>
      <c r="BR74" s="71"/>
      <c r="BS74" s="345"/>
      <c r="BT74" s="71"/>
      <c r="BU74" s="226"/>
      <c r="BV74" s="71"/>
      <c r="BW74" s="71"/>
      <c r="BX74" s="345"/>
      <c r="BY74" s="71"/>
      <c r="BZ74" s="226"/>
      <c r="CA74" s="71"/>
      <c r="CB74" s="71"/>
      <c r="CC74" s="345"/>
      <c r="CD74" s="71"/>
      <c r="CE74" s="226"/>
      <c r="CF74" s="71"/>
      <c r="CG74" s="71"/>
      <c r="CH74" s="345"/>
      <c r="CI74" s="71"/>
      <c r="CJ74" s="226"/>
      <c r="CK74" s="71"/>
      <c r="CL74" s="71"/>
      <c r="CM74" s="345"/>
      <c r="CN74" s="71"/>
      <c r="CO74" s="226"/>
      <c r="CP74" s="71"/>
      <c r="CQ74" s="71"/>
      <c r="CR74" s="345"/>
      <c r="CS74" s="71"/>
      <c r="CT74" s="226"/>
      <c r="CU74" s="71"/>
      <c r="CV74" s="71"/>
      <c r="CW74" s="345"/>
      <c r="CX74" s="71"/>
      <c r="CY74" s="226"/>
      <c r="CZ74" s="71"/>
      <c r="DA74" s="71"/>
      <c r="DB74" s="345"/>
      <c r="DC74" s="71"/>
      <c r="DD74" s="226"/>
      <c r="DE74" s="71"/>
      <c r="DF74" s="71"/>
      <c r="DG74" s="345"/>
      <c r="DH74" s="71"/>
      <c r="DI74" s="226"/>
      <c r="DJ74" s="71"/>
      <c r="DK74" s="71"/>
      <c r="DL74" s="345"/>
      <c r="DM74" s="71"/>
      <c r="DN74" s="226"/>
      <c r="DO74" s="71"/>
      <c r="DP74" s="71"/>
      <c r="DQ74" s="345"/>
      <c r="DR74" s="71"/>
      <c r="DS74" s="226"/>
      <c r="DT74" s="71"/>
      <c r="DU74" s="71"/>
      <c r="DV74" s="345"/>
      <c r="DW74" s="71"/>
      <c r="DX74" s="226"/>
      <c r="DY74" s="71"/>
      <c r="DZ74" s="71"/>
      <c r="EA74" s="345"/>
      <c r="EB74" s="71"/>
      <c r="EC74" s="226"/>
      <c r="ED74" s="71"/>
      <c r="EE74" s="71"/>
      <c r="EF74" s="345"/>
      <c r="EG74" s="71"/>
      <c r="EH74" s="226"/>
      <c r="EI74" s="71"/>
      <c r="EJ74" s="71"/>
      <c r="EK74" s="345"/>
      <c r="EL74" s="71"/>
      <c r="EM74" s="226"/>
      <c r="EN74" s="71"/>
      <c r="EO74" s="71"/>
      <c r="EP74" s="345"/>
      <c r="EQ74" s="71"/>
      <c r="ER74" s="226"/>
      <c r="ES74" s="71"/>
      <c r="ET74" s="71"/>
      <c r="EU74" s="345"/>
      <c r="EV74" s="71"/>
      <c r="EW74" s="226"/>
      <c r="EX74" s="71"/>
      <c r="EY74" s="71"/>
      <c r="EZ74" s="345"/>
      <c r="FA74" s="71"/>
      <c r="FB74" s="226"/>
      <c r="FC74" s="71"/>
      <c r="FD74" s="71"/>
      <c r="FE74" s="345"/>
      <c r="FF74" s="71"/>
      <c r="FG74" s="226"/>
      <c r="FH74" s="71"/>
      <c r="FI74" s="71"/>
      <c r="FJ74" s="345"/>
      <c r="FK74" s="71"/>
      <c r="FL74" s="226"/>
      <c r="FM74" s="71"/>
      <c r="FN74" s="71"/>
      <c r="FO74" s="345"/>
      <c r="FP74" s="71"/>
      <c r="FQ74" s="226"/>
      <c r="FR74" s="71"/>
      <c r="FS74" s="71"/>
      <c r="FT74" s="345"/>
      <c r="FU74" s="71"/>
      <c r="FV74" s="226"/>
      <c r="FW74" s="71"/>
      <c r="FX74" s="71"/>
      <c r="FY74" s="345"/>
      <c r="FZ74" s="71"/>
      <c r="GA74" s="226"/>
      <c r="GB74" s="71"/>
      <c r="GC74" s="71"/>
      <c r="GD74" s="345"/>
      <c r="GE74" s="71"/>
      <c r="GF74" s="226"/>
      <c r="GG74" s="71"/>
      <c r="GH74" s="71"/>
      <c r="GI74" s="345"/>
      <c r="GJ74" s="71"/>
      <c r="GK74" s="226"/>
      <c r="GL74" s="71"/>
      <c r="GM74" s="71"/>
      <c r="GN74" s="345"/>
      <c r="GO74" s="71"/>
      <c r="GP74" s="226"/>
      <c r="GQ74" s="71"/>
      <c r="GR74" s="71"/>
      <c r="GS74" s="345"/>
      <c r="GT74" s="71"/>
      <c r="GU74" s="226"/>
      <c r="GV74" s="71"/>
      <c r="GW74" s="71"/>
      <c r="GX74" s="345"/>
      <c r="GY74" s="71"/>
      <c r="GZ74" s="226"/>
      <c r="HA74" s="71"/>
      <c r="HB74" s="71"/>
      <c r="HC74" s="345"/>
      <c r="HD74" s="71"/>
      <c r="HE74" s="226"/>
      <c r="HF74" s="71"/>
      <c r="HG74" s="71"/>
      <c r="HH74" s="345"/>
      <c r="HI74" s="71"/>
      <c r="HJ74" s="226"/>
      <c r="HK74" s="71"/>
      <c r="HL74" s="71"/>
      <c r="HM74" s="345"/>
      <c r="HN74" s="71"/>
      <c r="HO74" s="226"/>
      <c r="HP74" s="71"/>
      <c r="HQ74" s="71"/>
      <c r="HR74" s="345"/>
      <c r="HS74" s="71"/>
      <c r="HT74" s="226"/>
      <c r="HU74" s="71"/>
      <c r="HV74" s="71"/>
      <c r="HW74" s="345"/>
      <c r="HX74" s="71"/>
      <c r="HY74" s="226"/>
      <c r="HZ74" s="71"/>
      <c r="IA74" s="71"/>
      <c r="IB74" s="345"/>
      <c r="IC74" s="71"/>
      <c r="ID74" s="226"/>
      <c r="IE74" s="71"/>
      <c r="IF74" s="71"/>
      <c r="IG74" s="345"/>
      <c r="IH74" s="71"/>
      <c r="II74" s="226"/>
      <c r="IJ74" s="71"/>
      <c r="IK74" s="71"/>
      <c r="IL74" s="345"/>
      <c r="IM74" s="71"/>
      <c r="IN74" s="226"/>
      <c r="IO74" s="71"/>
      <c r="IP74" s="71"/>
      <c r="IQ74" s="345"/>
      <c r="IR74" s="71"/>
      <c r="IS74" s="226"/>
      <c r="IT74" s="71"/>
      <c r="IU74" s="71"/>
      <c r="IV74" s="345"/>
    </row>
    <row r="75" spans="1:256" x14ac:dyDescent="0.2">
      <c r="A75" s="345">
        <v>29798</v>
      </c>
      <c r="B75" s="71"/>
      <c r="C75" s="226"/>
      <c r="D75" s="71"/>
      <c r="E75" s="71"/>
      <c r="F75" s="345"/>
      <c r="G75" s="71"/>
      <c r="H75" s="226"/>
      <c r="I75" s="71"/>
      <c r="J75" s="71"/>
      <c r="K75" s="345"/>
      <c r="L75" s="71"/>
      <c r="M75" s="226"/>
      <c r="N75" s="71"/>
      <c r="O75" s="71"/>
      <c r="P75" s="345"/>
      <c r="Q75" s="71"/>
      <c r="R75" s="226"/>
      <c r="S75" s="71"/>
      <c r="T75" s="71"/>
      <c r="U75" s="345"/>
      <c r="V75" s="71"/>
      <c r="W75" s="226"/>
      <c r="X75" s="71"/>
      <c r="Y75" s="71"/>
      <c r="Z75" s="345"/>
      <c r="AA75" s="71"/>
      <c r="AB75" s="226"/>
      <c r="AC75" s="71"/>
      <c r="AD75" s="71"/>
      <c r="AE75" s="345"/>
      <c r="AF75" s="71"/>
      <c r="AG75" s="226"/>
      <c r="AH75" s="71"/>
      <c r="AI75" s="71"/>
      <c r="AJ75" s="345"/>
      <c r="AK75" s="71"/>
      <c r="AL75" s="226"/>
      <c r="AM75" s="71"/>
      <c r="AN75" s="71"/>
      <c r="AO75" s="345"/>
      <c r="AP75" s="71"/>
      <c r="AQ75" s="226"/>
      <c r="AR75" s="71"/>
      <c r="AS75" s="71"/>
      <c r="AT75" s="345"/>
      <c r="AU75" s="71"/>
      <c r="AV75" s="226"/>
      <c r="AW75" s="71"/>
      <c r="AX75" s="71"/>
      <c r="AY75" s="345"/>
      <c r="AZ75" s="71"/>
      <c r="BA75" s="226"/>
      <c r="BB75" s="71"/>
      <c r="BC75" s="71"/>
      <c r="BD75" s="345"/>
      <c r="BE75" s="71"/>
      <c r="BF75" s="226"/>
      <c r="BG75" s="71"/>
      <c r="BH75" s="71"/>
      <c r="BI75" s="345"/>
      <c r="BJ75" s="71"/>
      <c r="BK75" s="226"/>
      <c r="BL75" s="71"/>
      <c r="BM75" s="71"/>
      <c r="BN75" s="345"/>
      <c r="BO75" s="71"/>
      <c r="BP75" s="226"/>
      <c r="BQ75" s="71"/>
      <c r="BR75" s="71"/>
      <c r="BS75" s="345"/>
      <c r="BT75" s="71"/>
      <c r="BU75" s="226"/>
      <c r="BV75" s="71"/>
      <c r="BW75" s="71"/>
      <c r="BX75" s="345"/>
      <c r="BY75" s="71"/>
      <c r="BZ75" s="226"/>
      <c r="CA75" s="71"/>
      <c r="CB75" s="71"/>
      <c r="CC75" s="345"/>
      <c r="CD75" s="71"/>
      <c r="CE75" s="226"/>
      <c r="CF75" s="71"/>
      <c r="CG75" s="71"/>
      <c r="CH75" s="345"/>
      <c r="CI75" s="71"/>
      <c r="CJ75" s="226"/>
      <c r="CK75" s="71"/>
      <c r="CL75" s="71"/>
      <c r="CM75" s="345"/>
      <c r="CN75" s="71"/>
      <c r="CO75" s="226"/>
      <c r="CP75" s="71"/>
      <c r="CQ75" s="71"/>
      <c r="CR75" s="345"/>
      <c r="CS75" s="71"/>
      <c r="CT75" s="226"/>
      <c r="CU75" s="71"/>
      <c r="CV75" s="71"/>
      <c r="CW75" s="345"/>
      <c r="CX75" s="71"/>
      <c r="CY75" s="226"/>
      <c r="CZ75" s="71"/>
      <c r="DA75" s="71"/>
      <c r="DB75" s="345"/>
      <c r="DC75" s="71"/>
      <c r="DD75" s="226"/>
      <c r="DE75" s="71"/>
      <c r="DF75" s="71"/>
      <c r="DG75" s="345"/>
      <c r="DH75" s="71"/>
      <c r="DI75" s="226"/>
      <c r="DJ75" s="71"/>
      <c r="DK75" s="71"/>
      <c r="DL75" s="345"/>
      <c r="DM75" s="71"/>
      <c r="DN75" s="226"/>
      <c r="DO75" s="71"/>
      <c r="DP75" s="71"/>
      <c r="DQ75" s="345"/>
      <c r="DR75" s="71"/>
      <c r="DS75" s="226"/>
      <c r="DT75" s="71"/>
      <c r="DU75" s="71"/>
      <c r="DV75" s="345"/>
      <c r="DW75" s="71"/>
      <c r="DX75" s="226"/>
      <c r="DY75" s="71"/>
      <c r="DZ75" s="71"/>
      <c r="EA75" s="345"/>
      <c r="EB75" s="71"/>
      <c r="EC75" s="226"/>
      <c r="ED75" s="71"/>
      <c r="EE75" s="71"/>
      <c r="EF75" s="345"/>
      <c r="EG75" s="71"/>
      <c r="EH75" s="226"/>
      <c r="EI75" s="71"/>
      <c r="EJ75" s="71"/>
      <c r="EK75" s="345"/>
      <c r="EL75" s="71"/>
      <c r="EM75" s="226"/>
      <c r="EN75" s="71"/>
      <c r="EO75" s="71"/>
      <c r="EP75" s="345"/>
      <c r="EQ75" s="71"/>
      <c r="ER75" s="226"/>
      <c r="ES75" s="71"/>
      <c r="ET75" s="71"/>
      <c r="EU75" s="345"/>
      <c r="EV75" s="71"/>
      <c r="EW75" s="226"/>
      <c r="EX75" s="71"/>
      <c r="EY75" s="71"/>
      <c r="EZ75" s="345"/>
      <c r="FA75" s="71"/>
      <c r="FB75" s="226"/>
      <c r="FC75" s="71"/>
      <c r="FD75" s="71"/>
      <c r="FE75" s="345"/>
      <c r="FF75" s="71"/>
      <c r="FG75" s="226"/>
      <c r="FH75" s="71"/>
      <c r="FI75" s="71"/>
      <c r="FJ75" s="345"/>
      <c r="FK75" s="71"/>
      <c r="FL75" s="226"/>
      <c r="FM75" s="71"/>
      <c r="FN75" s="71"/>
      <c r="FO75" s="345"/>
      <c r="FP75" s="71"/>
      <c r="FQ75" s="226"/>
      <c r="FR75" s="71"/>
      <c r="FS75" s="71"/>
      <c r="FT75" s="345"/>
      <c r="FU75" s="71"/>
      <c r="FV75" s="226"/>
      <c r="FW75" s="71"/>
      <c r="FX75" s="71"/>
      <c r="FY75" s="345"/>
      <c r="FZ75" s="71"/>
      <c r="GA75" s="226"/>
      <c r="GB75" s="71"/>
      <c r="GC75" s="71"/>
      <c r="GD75" s="345"/>
      <c r="GE75" s="71"/>
      <c r="GF75" s="226"/>
      <c r="GG75" s="71"/>
      <c r="GH75" s="71"/>
      <c r="GI75" s="345"/>
      <c r="GJ75" s="71"/>
      <c r="GK75" s="226"/>
      <c r="GL75" s="71"/>
      <c r="GM75" s="71"/>
      <c r="GN75" s="345"/>
      <c r="GO75" s="71"/>
      <c r="GP75" s="226"/>
      <c r="GQ75" s="71"/>
      <c r="GR75" s="71"/>
      <c r="GS75" s="345"/>
      <c r="GT75" s="71"/>
      <c r="GU75" s="226"/>
      <c r="GV75" s="71"/>
      <c r="GW75" s="71"/>
      <c r="GX75" s="345"/>
      <c r="GY75" s="71"/>
      <c r="GZ75" s="226"/>
      <c r="HA75" s="71"/>
      <c r="HB75" s="71"/>
      <c r="HC75" s="345"/>
      <c r="HD75" s="71"/>
      <c r="HE75" s="226"/>
      <c r="HF75" s="71"/>
      <c r="HG75" s="71"/>
      <c r="HH75" s="345"/>
      <c r="HI75" s="71"/>
      <c r="HJ75" s="226"/>
      <c r="HK75" s="71"/>
      <c r="HL75" s="71"/>
      <c r="HM75" s="345"/>
      <c r="HN75" s="71"/>
      <c r="HO75" s="226"/>
      <c r="HP75" s="71"/>
      <c r="HQ75" s="71"/>
      <c r="HR75" s="345"/>
      <c r="HS75" s="71"/>
      <c r="HT75" s="226"/>
      <c r="HU75" s="71"/>
      <c r="HV75" s="71"/>
      <c r="HW75" s="345"/>
      <c r="HX75" s="71"/>
      <c r="HY75" s="226"/>
      <c r="HZ75" s="71"/>
      <c r="IA75" s="71"/>
      <c r="IB75" s="345"/>
      <c r="IC75" s="71"/>
      <c r="ID75" s="226"/>
      <c r="IE75" s="71"/>
      <c r="IF75" s="71"/>
      <c r="IG75" s="345"/>
      <c r="IH75" s="71"/>
      <c r="II75" s="226"/>
      <c r="IJ75" s="71"/>
      <c r="IK75" s="71"/>
      <c r="IL75" s="345"/>
      <c r="IM75" s="71"/>
      <c r="IN75" s="226"/>
      <c r="IO75" s="71"/>
      <c r="IP75" s="71"/>
      <c r="IQ75" s="345"/>
      <c r="IR75" s="71"/>
      <c r="IS75" s="226"/>
      <c r="IT75" s="71"/>
      <c r="IU75" s="71"/>
      <c r="IV75" s="345"/>
    </row>
    <row r="76" spans="1:256" x14ac:dyDescent="0.2">
      <c r="A76" s="345">
        <v>29829</v>
      </c>
      <c r="B76" s="71"/>
      <c r="C76" s="226"/>
      <c r="D76" s="71"/>
      <c r="E76" s="71"/>
      <c r="F76" s="345"/>
      <c r="G76" s="71"/>
      <c r="H76" s="226"/>
      <c r="I76" s="71"/>
      <c r="J76" s="71"/>
      <c r="K76" s="345"/>
      <c r="L76" s="71"/>
      <c r="M76" s="226"/>
      <c r="N76" s="71"/>
      <c r="O76" s="71"/>
      <c r="P76" s="345"/>
      <c r="Q76" s="71"/>
      <c r="R76" s="226"/>
      <c r="S76" s="71"/>
      <c r="T76" s="71"/>
      <c r="U76" s="345"/>
      <c r="V76" s="71"/>
      <c r="W76" s="226"/>
      <c r="X76" s="71"/>
      <c r="Y76" s="71"/>
      <c r="Z76" s="345"/>
      <c r="AA76" s="71"/>
      <c r="AB76" s="226"/>
      <c r="AC76" s="71"/>
      <c r="AD76" s="71"/>
      <c r="AE76" s="345"/>
      <c r="AF76" s="71"/>
      <c r="AG76" s="226"/>
      <c r="AH76" s="71"/>
      <c r="AI76" s="71"/>
      <c r="AJ76" s="345"/>
      <c r="AK76" s="71"/>
      <c r="AL76" s="226"/>
      <c r="AM76" s="71"/>
      <c r="AN76" s="71"/>
      <c r="AO76" s="345"/>
      <c r="AP76" s="71"/>
      <c r="AQ76" s="226"/>
      <c r="AR76" s="71"/>
      <c r="AS76" s="71"/>
      <c r="AT76" s="345"/>
      <c r="AU76" s="71"/>
      <c r="AV76" s="226"/>
      <c r="AW76" s="71"/>
      <c r="AX76" s="71"/>
      <c r="AY76" s="345"/>
      <c r="AZ76" s="71"/>
      <c r="BA76" s="226"/>
      <c r="BB76" s="71"/>
      <c r="BC76" s="71"/>
      <c r="BD76" s="345"/>
      <c r="BE76" s="71"/>
      <c r="BF76" s="226"/>
      <c r="BG76" s="71"/>
      <c r="BH76" s="71"/>
      <c r="BI76" s="345"/>
      <c r="BJ76" s="71"/>
      <c r="BK76" s="226"/>
      <c r="BL76" s="71"/>
      <c r="BM76" s="71"/>
      <c r="BN76" s="345"/>
      <c r="BO76" s="71"/>
      <c r="BP76" s="226"/>
      <c r="BQ76" s="71"/>
      <c r="BR76" s="71"/>
      <c r="BS76" s="345"/>
      <c r="BT76" s="71"/>
      <c r="BU76" s="226"/>
      <c r="BV76" s="71"/>
      <c r="BW76" s="71"/>
      <c r="BX76" s="345"/>
      <c r="BY76" s="71"/>
      <c r="BZ76" s="226"/>
      <c r="CA76" s="71"/>
      <c r="CB76" s="71"/>
      <c r="CC76" s="345"/>
      <c r="CD76" s="71"/>
      <c r="CE76" s="226"/>
      <c r="CF76" s="71"/>
      <c r="CG76" s="71"/>
      <c r="CH76" s="345"/>
      <c r="CI76" s="71"/>
      <c r="CJ76" s="226"/>
      <c r="CK76" s="71"/>
      <c r="CL76" s="71"/>
      <c r="CM76" s="345"/>
      <c r="CN76" s="71"/>
      <c r="CO76" s="226"/>
      <c r="CP76" s="71"/>
      <c r="CQ76" s="71"/>
      <c r="CR76" s="345"/>
      <c r="CS76" s="71"/>
      <c r="CT76" s="226"/>
      <c r="CU76" s="71"/>
      <c r="CV76" s="71"/>
      <c r="CW76" s="345"/>
      <c r="CX76" s="71"/>
      <c r="CY76" s="226"/>
      <c r="CZ76" s="71"/>
      <c r="DA76" s="71"/>
      <c r="DB76" s="345"/>
      <c r="DC76" s="71"/>
      <c r="DD76" s="226"/>
      <c r="DE76" s="71"/>
      <c r="DF76" s="71"/>
      <c r="DG76" s="345"/>
      <c r="DH76" s="71"/>
      <c r="DI76" s="226"/>
      <c r="DJ76" s="71"/>
      <c r="DK76" s="71"/>
      <c r="DL76" s="345"/>
      <c r="DM76" s="71"/>
      <c r="DN76" s="226"/>
      <c r="DO76" s="71"/>
      <c r="DP76" s="71"/>
      <c r="DQ76" s="345"/>
      <c r="DR76" s="71"/>
      <c r="DS76" s="226"/>
      <c r="DT76" s="71"/>
      <c r="DU76" s="71"/>
      <c r="DV76" s="345"/>
      <c r="DW76" s="71"/>
      <c r="DX76" s="226"/>
      <c r="DY76" s="71"/>
      <c r="DZ76" s="71"/>
      <c r="EA76" s="345"/>
      <c r="EB76" s="71"/>
      <c r="EC76" s="226"/>
      <c r="ED76" s="71"/>
      <c r="EE76" s="71"/>
      <c r="EF76" s="345"/>
      <c r="EG76" s="71"/>
      <c r="EH76" s="226"/>
      <c r="EI76" s="71"/>
      <c r="EJ76" s="71"/>
      <c r="EK76" s="345"/>
      <c r="EL76" s="71"/>
      <c r="EM76" s="226"/>
      <c r="EN76" s="71"/>
      <c r="EO76" s="71"/>
      <c r="EP76" s="345"/>
      <c r="EQ76" s="71"/>
      <c r="ER76" s="226"/>
      <c r="ES76" s="71"/>
      <c r="ET76" s="71"/>
      <c r="EU76" s="345"/>
      <c r="EV76" s="71"/>
      <c r="EW76" s="226"/>
      <c r="EX76" s="71"/>
      <c r="EY76" s="71"/>
      <c r="EZ76" s="345"/>
      <c r="FA76" s="71"/>
      <c r="FB76" s="226"/>
      <c r="FC76" s="71"/>
      <c r="FD76" s="71"/>
      <c r="FE76" s="345"/>
      <c r="FF76" s="71"/>
      <c r="FG76" s="226"/>
      <c r="FH76" s="71"/>
      <c r="FI76" s="71"/>
      <c r="FJ76" s="345"/>
      <c r="FK76" s="71"/>
      <c r="FL76" s="226"/>
      <c r="FM76" s="71"/>
      <c r="FN76" s="71"/>
      <c r="FO76" s="345"/>
      <c r="FP76" s="71"/>
      <c r="FQ76" s="226"/>
      <c r="FR76" s="71"/>
      <c r="FS76" s="71"/>
      <c r="FT76" s="345"/>
      <c r="FU76" s="71"/>
      <c r="FV76" s="226"/>
      <c r="FW76" s="71"/>
      <c r="FX76" s="71"/>
      <c r="FY76" s="345"/>
      <c r="FZ76" s="71"/>
      <c r="GA76" s="226"/>
      <c r="GB76" s="71"/>
      <c r="GC76" s="71"/>
      <c r="GD76" s="345"/>
      <c r="GE76" s="71"/>
      <c r="GF76" s="226"/>
      <c r="GG76" s="71"/>
      <c r="GH76" s="71"/>
      <c r="GI76" s="345"/>
      <c r="GJ76" s="71"/>
      <c r="GK76" s="226"/>
      <c r="GL76" s="71"/>
      <c r="GM76" s="71"/>
      <c r="GN76" s="345"/>
      <c r="GO76" s="71"/>
      <c r="GP76" s="226"/>
      <c r="GQ76" s="71"/>
      <c r="GR76" s="71"/>
      <c r="GS76" s="345"/>
      <c r="GT76" s="71"/>
      <c r="GU76" s="226"/>
      <c r="GV76" s="71"/>
      <c r="GW76" s="71"/>
      <c r="GX76" s="345"/>
      <c r="GY76" s="71"/>
      <c r="GZ76" s="226"/>
      <c r="HA76" s="71"/>
      <c r="HB76" s="71"/>
      <c r="HC76" s="345"/>
      <c r="HD76" s="71"/>
      <c r="HE76" s="226"/>
      <c r="HF76" s="71"/>
      <c r="HG76" s="71"/>
      <c r="HH76" s="345"/>
      <c r="HI76" s="71"/>
      <c r="HJ76" s="226"/>
      <c r="HK76" s="71"/>
      <c r="HL76" s="71"/>
      <c r="HM76" s="345"/>
      <c r="HN76" s="71"/>
      <c r="HO76" s="226"/>
      <c r="HP76" s="71"/>
      <c r="HQ76" s="71"/>
      <c r="HR76" s="345"/>
      <c r="HS76" s="71"/>
      <c r="HT76" s="226"/>
      <c r="HU76" s="71"/>
      <c r="HV76" s="71"/>
      <c r="HW76" s="345"/>
      <c r="HX76" s="71"/>
      <c r="HY76" s="226"/>
      <c r="HZ76" s="71"/>
      <c r="IA76" s="71"/>
      <c r="IB76" s="345"/>
      <c r="IC76" s="71"/>
      <c r="ID76" s="226"/>
      <c r="IE76" s="71"/>
      <c r="IF76" s="71"/>
      <c r="IG76" s="345"/>
      <c r="IH76" s="71"/>
      <c r="II76" s="226"/>
      <c r="IJ76" s="71"/>
      <c r="IK76" s="71"/>
      <c r="IL76" s="345"/>
      <c r="IM76" s="71"/>
      <c r="IN76" s="226"/>
      <c r="IO76" s="71"/>
      <c r="IP76" s="71"/>
      <c r="IQ76" s="345"/>
      <c r="IR76" s="71"/>
      <c r="IS76" s="226"/>
      <c r="IT76" s="71"/>
      <c r="IU76" s="71"/>
      <c r="IV76" s="345"/>
    </row>
    <row r="77" spans="1:256" x14ac:dyDescent="0.2">
      <c r="A77" s="345">
        <v>29859</v>
      </c>
      <c r="B77" s="71"/>
      <c r="C77" s="226"/>
      <c r="D77" s="71"/>
      <c r="E77" s="71"/>
      <c r="F77" s="345"/>
      <c r="G77" s="71"/>
      <c r="H77" s="226"/>
      <c r="I77" s="71"/>
      <c r="J77" s="71"/>
      <c r="K77" s="345"/>
      <c r="L77" s="71"/>
      <c r="M77" s="226"/>
      <c r="N77" s="71"/>
      <c r="O77" s="71"/>
      <c r="P77" s="345"/>
      <c r="Q77" s="71"/>
      <c r="R77" s="226"/>
      <c r="S77" s="71"/>
      <c r="T77" s="71"/>
      <c r="U77" s="345"/>
      <c r="V77" s="71"/>
      <c r="W77" s="226"/>
      <c r="X77" s="71"/>
      <c r="Y77" s="71"/>
      <c r="Z77" s="345"/>
      <c r="AA77" s="71"/>
      <c r="AB77" s="226"/>
      <c r="AC77" s="71"/>
      <c r="AD77" s="71"/>
      <c r="AE77" s="345"/>
      <c r="AF77" s="71"/>
      <c r="AG77" s="226"/>
      <c r="AH77" s="71"/>
      <c r="AI77" s="71"/>
      <c r="AJ77" s="345"/>
      <c r="AK77" s="71"/>
      <c r="AL77" s="226"/>
      <c r="AM77" s="71"/>
      <c r="AN77" s="71"/>
      <c r="AO77" s="345"/>
      <c r="AP77" s="71"/>
      <c r="AQ77" s="226"/>
      <c r="AR77" s="71"/>
      <c r="AS77" s="71"/>
      <c r="AT77" s="345"/>
      <c r="AU77" s="71"/>
      <c r="AV77" s="226"/>
      <c r="AW77" s="71"/>
      <c r="AX77" s="71"/>
      <c r="AY77" s="345"/>
      <c r="AZ77" s="71"/>
      <c r="BA77" s="226"/>
      <c r="BB77" s="71"/>
      <c r="BC77" s="71"/>
      <c r="BD77" s="345"/>
      <c r="BE77" s="71"/>
      <c r="BF77" s="226"/>
      <c r="BG77" s="71"/>
      <c r="BH77" s="71"/>
      <c r="BI77" s="345"/>
      <c r="BJ77" s="71"/>
      <c r="BK77" s="226"/>
      <c r="BL77" s="71"/>
      <c r="BM77" s="71"/>
      <c r="BN77" s="345"/>
      <c r="BO77" s="71"/>
      <c r="BP77" s="226"/>
      <c r="BQ77" s="71"/>
      <c r="BR77" s="71"/>
      <c r="BS77" s="345"/>
      <c r="BT77" s="71"/>
      <c r="BU77" s="226"/>
      <c r="BV77" s="71"/>
      <c r="BW77" s="71"/>
      <c r="BX77" s="345"/>
      <c r="BY77" s="71"/>
      <c r="BZ77" s="226"/>
      <c r="CA77" s="71"/>
      <c r="CB77" s="71"/>
      <c r="CC77" s="345"/>
      <c r="CD77" s="71"/>
      <c r="CE77" s="226"/>
      <c r="CF77" s="71"/>
      <c r="CG77" s="71"/>
      <c r="CH77" s="345"/>
      <c r="CI77" s="71"/>
      <c r="CJ77" s="226"/>
      <c r="CK77" s="71"/>
      <c r="CL77" s="71"/>
      <c r="CM77" s="345"/>
      <c r="CN77" s="71"/>
      <c r="CO77" s="226"/>
      <c r="CP77" s="71"/>
      <c r="CQ77" s="71"/>
      <c r="CR77" s="345"/>
      <c r="CS77" s="71"/>
      <c r="CT77" s="226"/>
      <c r="CU77" s="71"/>
      <c r="CV77" s="71"/>
      <c r="CW77" s="345"/>
      <c r="CX77" s="71"/>
      <c r="CY77" s="226"/>
      <c r="CZ77" s="71"/>
      <c r="DA77" s="71"/>
      <c r="DB77" s="345"/>
      <c r="DC77" s="71"/>
      <c r="DD77" s="226"/>
      <c r="DE77" s="71"/>
      <c r="DF77" s="71"/>
      <c r="DG77" s="345"/>
      <c r="DH77" s="71"/>
      <c r="DI77" s="226"/>
      <c r="DJ77" s="71"/>
      <c r="DK77" s="71"/>
      <c r="DL77" s="345"/>
      <c r="DM77" s="71"/>
      <c r="DN77" s="226"/>
      <c r="DO77" s="71"/>
      <c r="DP77" s="71"/>
      <c r="DQ77" s="345"/>
      <c r="DR77" s="71"/>
      <c r="DS77" s="226"/>
      <c r="DT77" s="71"/>
      <c r="DU77" s="71"/>
      <c r="DV77" s="345"/>
      <c r="DW77" s="71"/>
      <c r="DX77" s="226"/>
      <c r="DY77" s="71"/>
      <c r="DZ77" s="71"/>
      <c r="EA77" s="345"/>
      <c r="EB77" s="71"/>
      <c r="EC77" s="226"/>
      <c r="ED77" s="71"/>
      <c r="EE77" s="71"/>
      <c r="EF77" s="345"/>
      <c r="EG77" s="71"/>
      <c r="EH77" s="226"/>
      <c r="EI77" s="71"/>
      <c r="EJ77" s="71"/>
      <c r="EK77" s="345"/>
      <c r="EL77" s="71"/>
      <c r="EM77" s="226"/>
      <c r="EN77" s="71"/>
      <c r="EO77" s="71"/>
      <c r="EP77" s="345"/>
      <c r="EQ77" s="71"/>
      <c r="ER77" s="226"/>
      <c r="ES77" s="71"/>
      <c r="ET77" s="71"/>
      <c r="EU77" s="345"/>
      <c r="EV77" s="71"/>
      <c r="EW77" s="226"/>
      <c r="EX77" s="71"/>
      <c r="EY77" s="71"/>
      <c r="EZ77" s="345"/>
      <c r="FA77" s="71"/>
      <c r="FB77" s="226"/>
      <c r="FC77" s="71"/>
      <c r="FD77" s="71"/>
      <c r="FE77" s="345"/>
      <c r="FF77" s="71"/>
      <c r="FG77" s="226"/>
      <c r="FH77" s="71"/>
      <c r="FI77" s="71"/>
      <c r="FJ77" s="345"/>
      <c r="FK77" s="71"/>
      <c r="FL77" s="226"/>
      <c r="FM77" s="71"/>
      <c r="FN77" s="71"/>
      <c r="FO77" s="345"/>
      <c r="FP77" s="71"/>
      <c r="FQ77" s="226"/>
      <c r="FR77" s="71"/>
      <c r="FS77" s="71"/>
      <c r="FT77" s="345"/>
      <c r="FU77" s="71"/>
      <c r="FV77" s="226"/>
      <c r="FW77" s="71"/>
      <c r="FX77" s="71"/>
      <c r="FY77" s="345"/>
      <c r="FZ77" s="71"/>
      <c r="GA77" s="226"/>
      <c r="GB77" s="71"/>
      <c r="GC77" s="71"/>
      <c r="GD77" s="345"/>
      <c r="GE77" s="71"/>
      <c r="GF77" s="226"/>
      <c r="GG77" s="71"/>
      <c r="GH77" s="71"/>
      <c r="GI77" s="345"/>
      <c r="GJ77" s="71"/>
      <c r="GK77" s="226"/>
      <c r="GL77" s="71"/>
      <c r="GM77" s="71"/>
      <c r="GN77" s="345"/>
      <c r="GO77" s="71"/>
      <c r="GP77" s="226"/>
      <c r="GQ77" s="71"/>
      <c r="GR77" s="71"/>
      <c r="GS77" s="345"/>
      <c r="GT77" s="71"/>
      <c r="GU77" s="226"/>
      <c r="GV77" s="71"/>
      <c r="GW77" s="71"/>
      <c r="GX77" s="345"/>
      <c r="GY77" s="71"/>
      <c r="GZ77" s="226"/>
      <c r="HA77" s="71"/>
      <c r="HB77" s="71"/>
      <c r="HC77" s="345"/>
      <c r="HD77" s="71"/>
      <c r="HE77" s="226"/>
      <c r="HF77" s="71"/>
      <c r="HG77" s="71"/>
      <c r="HH77" s="345"/>
      <c r="HI77" s="71"/>
      <c r="HJ77" s="226"/>
      <c r="HK77" s="71"/>
      <c r="HL77" s="71"/>
      <c r="HM77" s="345"/>
      <c r="HN77" s="71"/>
      <c r="HO77" s="226"/>
      <c r="HP77" s="71"/>
      <c r="HQ77" s="71"/>
      <c r="HR77" s="345"/>
      <c r="HS77" s="71"/>
      <c r="HT77" s="226"/>
      <c r="HU77" s="71"/>
      <c r="HV77" s="71"/>
      <c r="HW77" s="345"/>
      <c r="HX77" s="71"/>
      <c r="HY77" s="226"/>
      <c r="HZ77" s="71"/>
      <c r="IA77" s="71"/>
      <c r="IB77" s="345"/>
      <c r="IC77" s="71"/>
      <c r="ID77" s="226"/>
      <c r="IE77" s="71"/>
      <c r="IF77" s="71"/>
      <c r="IG77" s="345"/>
      <c r="IH77" s="71"/>
      <c r="II77" s="226"/>
      <c r="IJ77" s="71"/>
      <c r="IK77" s="71"/>
      <c r="IL77" s="345"/>
      <c r="IM77" s="71"/>
      <c r="IN77" s="226"/>
      <c r="IO77" s="71"/>
      <c r="IP77" s="71"/>
      <c r="IQ77" s="345"/>
      <c r="IR77" s="71"/>
      <c r="IS77" s="226"/>
      <c r="IT77" s="71"/>
      <c r="IU77" s="71"/>
      <c r="IV77" s="345"/>
    </row>
    <row r="78" spans="1:256" x14ac:dyDescent="0.2">
      <c r="A78" s="345">
        <v>29890</v>
      </c>
      <c r="B78" s="71"/>
      <c r="C78" s="226"/>
      <c r="D78" s="71"/>
      <c r="E78" s="71"/>
      <c r="F78" s="345"/>
      <c r="G78" s="71"/>
      <c r="H78" s="226"/>
      <c r="I78" s="71"/>
      <c r="J78" s="71"/>
      <c r="K78" s="345"/>
      <c r="L78" s="71"/>
      <c r="M78" s="226"/>
      <c r="N78" s="71"/>
      <c r="O78" s="71"/>
      <c r="P78" s="345"/>
      <c r="Q78" s="71"/>
      <c r="R78" s="226"/>
      <c r="S78" s="71"/>
      <c r="T78" s="71"/>
      <c r="U78" s="345"/>
      <c r="V78" s="71"/>
      <c r="W78" s="226"/>
      <c r="X78" s="71"/>
      <c r="Y78" s="71"/>
      <c r="Z78" s="345"/>
      <c r="AA78" s="71"/>
      <c r="AB78" s="226"/>
      <c r="AC78" s="71"/>
      <c r="AD78" s="71"/>
      <c r="AE78" s="345"/>
      <c r="AF78" s="71"/>
      <c r="AG78" s="226"/>
      <c r="AH78" s="71"/>
      <c r="AI78" s="71"/>
      <c r="AJ78" s="345"/>
      <c r="AK78" s="71"/>
      <c r="AL78" s="226"/>
      <c r="AM78" s="71"/>
      <c r="AN78" s="71"/>
      <c r="AO78" s="345"/>
      <c r="AP78" s="71"/>
      <c r="AQ78" s="226"/>
      <c r="AR78" s="71"/>
      <c r="AS78" s="71"/>
      <c r="AT78" s="345"/>
      <c r="AU78" s="71"/>
      <c r="AV78" s="226"/>
      <c r="AW78" s="71"/>
      <c r="AX78" s="71"/>
      <c r="AY78" s="345"/>
      <c r="AZ78" s="71"/>
      <c r="BA78" s="226"/>
      <c r="BB78" s="71"/>
      <c r="BC78" s="71"/>
      <c r="BD78" s="345"/>
      <c r="BE78" s="71"/>
      <c r="BF78" s="226"/>
      <c r="BG78" s="71"/>
      <c r="BH78" s="71"/>
      <c r="BI78" s="345"/>
      <c r="BJ78" s="71"/>
      <c r="BK78" s="226"/>
      <c r="BL78" s="71"/>
      <c r="BM78" s="71"/>
      <c r="BN78" s="345"/>
      <c r="BO78" s="71"/>
      <c r="BP78" s="226"/>
      <c r="BQ78" s="71"/>
      <c r="BR78" s="71"/>
      <c r="BS78" s="345"/>
      <c r="BT78" s="71"/>
      <c r="BU78" s="226"/>
      <c r="BV78" s="71"/>
      <c r="BW78" s="71"/>
      <c r="BX78" s="345"/>
      <c r="BY78" s="71"/>
      <c r="BZ78" s="226"/>
      <c r="CA78" s="71"/>
      <c r="CB78" s="71"/>
      <c r="CC78" s="345"/>
      <c r="CD78" s="71"/>
      <c r="CE78" s="226"/>
      <c r="CF78" s="71"/>
      <c r="CG78" s="71"/>
      <c r="CH78" s="345"/>
      <c r="CI78" s="71"/>
      <c r="CJ78" s="226"/>
      <c r="CK78" s="71"/>
      <c r="CL78" s="71"/>
      <c r="CM78" s="345"/>
      <c r="CN78" s="71"/>
      <c r="CO78" s="226"/>
      <c r="CP78" s="71"/>
      <c r="CQ78" s="71"/>
      <c r="CR78" s="345"/>
      <c r="CS78" s="71"/>
      <c r="CT78" s="226"/>
      <c r="CU78" s="71"/>
      <c r="CV78" s="71"/>
      <c r="CW78" s="345"/>
      <c r="CX78" s="71"/>
      <c r="CY78" s="226"/>
      <c r="CZ78" s="71"/>
      <c r="DA78" s="71"/>
      <c r="DB78" s="345"/>
      <c r="DC78" s="71"/>
      <c r="DD78" s="226"/>
      <c r="DE78" s="71"/>
      <c r="DF78" s="71"/>
      <c r="DG78" s="345"/>
      <c r="DH78" s="71"/>
      <c r="DI78" s="226"/>
      <c r="DJ78" s="71"/>
      <c r="DK78" s="71"/>
      <c r="DL78" s="345"/>
      <c r="DM78" s="71"/>
      <c r="DN78" s="226"/>
      <c r="DO78" s="71"/>
      <c r="DP78" s="71"/>
      <c r="DQ78" s="345"/>
      <c r="DR78" s="71"/>
      <c r="DS78" s="226"/>
      <c r="DT78" s="71"/>
      <c r="DU78" s="71"/>
      <c r="DV78" s="345"/>
      <c r="DW78" s="71"/>
      <c r="DX78" s="226"/>
      <c r="DY78" s="71"/>
      <c r="DZ78" s="71"/>
      <c r="EA78" s="345"/>
      <c r="EB78" s="71"/>
      <c r="EC78" s="226"/>
      <c r="ED78" s="71"/>
      <c r="EE78" s="71"/>
      <c r="EF78" s="345"/>
      <c r="EG78" s="71"/>
      <c r="EH78" s="226"/>
      <c r="EI78" s="71"/>
      <c r="EJ78" s="71"/>
      <c r="EK78" s="345"/>
      <c r="EL78" s="71"/>
      <c r="EM78" s="226"/>
      <c r="EN78" s="71"/>
      <c r="EO78" s="71"/>
      <c r="EP78" s="345"/>
      <c r="EQ78" s="71"/>
      <c r="ER78" s="226"/>
      <c r="ES78" s="71"/>
      <c r="ET78" s="71"/>
      <c r="EU78" s="345"/>
      <c r="EV78" s="71"/>
      <c r="EW78" s="226"/>
      <c r="EX78" s="71"/>
      <c r="EY78" s="71"/>
      <c r="EZ78" s="345"/>
      <c r="FA78" s="71"/>
      <c r="FB78" s="226"/>
      <c r="FC78" s="71"/>
      <c r="FD78" s="71"/>
      <c r="FE78" s="345"/>
      <c r="FF78" s="71"/>
      <c r="FG78" s="226"/>
      <c r="FH78" s="71"/>
      <c r="FI78" s="71"/>
      <c r="FJ78" s="345"/>
      <c r="FK78" s="71"/>
      <c r="FL78" s="226"/>
      <c r="FM78" s="71"/>
      <c r="FN78" s="71"/>
      <c r="FO78" s="345"/>
      <c r="FP78" s="71"/>
      <c r="FQ78" s="226"/>
      <c r="FR78" s="71"/>
      <c r="FS78" s="71"/>
      <c r="FT78" s="345"/>
      <c r="FU78" s="71"/>
      <c r="FV78" s="226"/>
      <c r="FW78" s="71"/>
      <c r="FX78" s="71"/>
      <c r="FY78" s="345"/>
      <c r="FZ78" s="71"/>
      <c r="GA78" s="226"/>
      <c r="GB78" s="71"/>
      <c r="GC78" s="71"/>
      <c r="GD78" s="345"/>
      <c r="GE78" s="71"/>
      <c r="GF78" s="226"/>
      <c r="GG78" s="71"/>
      <c r="GH78" s="71"/>
      <c r="GI78" s="345"/>
      <c r="GJ78" s="71"/>
      <c r="GK78" s="226"/>
      <c r="GL78" s="71"/>
      <c r="GM78" s="71"/>
      <c r="GN78" s="345"/>
      <c r="GO78" s="71"/>
      <c r="GP78" s="226"/>
      <c r="GQ78" s="71"/>
      <c r="GR78" s="71"/>
      <c r="GS78" s="345"/>
      <c r="GT78" s="71"/>
      <c r="GU78" s="226"/>
      <c r="GV78" s="71"/>
      <c r="GW78" s="71"/>
      <c r="GX78" s="345"/>
      <c r="GY78" s="71"/>
      <c r="GZ78" s="226"/>
      <c r="HA78" s="71"/>
      <c r="HB78" s="71"/>
      <c r="HC78" s="345"/>
      <c r="HD78" s="71"/>
      <c r="HE78" s="226"/>
      <c r="HF78" s="71"/>
      <c r="HG78" s="71"/>
      <c r="HH78" s="345"/>
      <c r="HI78" s="71"/>
      <c r="HJ78" s="226"/>
      <c r="HK78" s="71"/>
      <c r="HL78" s="71"/>
      <c r="HM78" s="345"/>
      <c r="HN78" s="71"/>
      <c r="HO78" s="226"/>
      <c r="HP78" s="71"/>
      <c r="HQ78" s="71"/>
      <c r="HR78" s="345"/>
      <c r="HS78" s="71"/>
      <c r="HT78" s="226"/>
      <c r="HU78" s="71"/>
      <c r="HV78" s="71"/>
      <c r="HW78" s="345"/>
      <c r="HX78" s="71"/>
      <c r="HY78" s="226"/>
      <c r="HZ78" s="71"/>
      <c r="IA78" s="71"/>
      <c r="IB78" s="345"/>
      <c r="IC78" s="71"/>
      <c r="ID78" s="226"/>
      <c r="IE78" s="71"/>
      <c r="IF78" s="71"/>
      <c r="IG78" s="345"/>
      <c r="IH78" s="71"/>
      <c r="II78" s="226"/>
      <c r="IJ78" s="71"/>
      <c r="IK78" s="71"/>
      <c r="IL78" s="345"/>
      <c r="IM78" s="71"/>
      <c r="IN78" s="226"/>
      <c r="IO78" s="71"/>
      <c r="IP78" s="71"/>
      <c r="IQ78" s="345"/>
      <c r="IR78" s="71"/>
      <c r="IS78" s="226"/>
      <c r="IT78" s="71"/>
      <c r="IU78" s="71"/>
      <c r="IV78" s="345"/>
    </row>
    <row r="79" spans="1:256" x14ac:dyDescent="0.2">
      <c r="A79" s="345">
        <v>29920</v>
      </c>
      <c r="B79" s="71"/>
      <c r="C79" s="226"/>
      <c r="D79" s="71"/>
      <c r="E79" s="71"/>
      <c r="F79" s="345"/>
      <c r="G79" s="71"/>
      <c r="H79" s="226"/>
      <c r="I79" s="71"/>
      <c r="J79" s="71"/>
      <c r="K79" s="345"/>
      <c r="L79" s="71"/>
      <c r="M79" s="226"/>
      <c r="N79" s="71"/>
      <c r="O79" s="71"/>
      <c r="P79" s="345"/>
      <c r="Q79" s="71"/>
      <c r="R79" s="226"/>
      <c r="S79" s="71"/>
      <c r="T79" s="71"/>
      <c r="U79" s="345"/>
      <c r="V79" s="71"/>
      <c r="W79" s="226"/>
      <c r="X79" s="71"/>
      <c r="Y79" s="71"/>
      <c r="Z79" s="345"/>
      <c r="AA79" s="71"/>
      <c r="AB79" s="226"/>
      <c r="AC79" s="71"/>
      <c r="AD79" s="71"/>
      <c r="AE79" s="345"/>
      <c r="AF79" s="71"/>
      <c r="AG79" s="226"/>
      <c r="AH79" s="71"/>
      <c r="AI79" s="71"/>
      <c r="AJ79" s="345"/>
      <c r="AK79" s="71"/>
      <c r="AL79" s="226"/>
      <c r="AM79" s="71"/>
      <c r="AN79" s="71"/>
      <c r="AO79" s="345"/>
      <c r="AP79" s="71"/>
      <c r="AQ79" s="226"/>
      <c r="AR79" s="71"/>
      <c r="AS79" s="71"/>
      <c r="AT79" s="345"/>
      <c r="AU79" s="71"/>
      <c r="AV79" s="226"/>
      <c r="AW79" s="71"/>
      <c r="AX79" s="71"/>
      <c r="AY79" s="345"/>
      <c r="AZ79" s="71"/>
      <c r="BA79" s="226"/>
      <c r="BB79" s="71"/>
      <c r="BC79" s="71"/>
      <c r="BD79" s="345"/>
      <c r="BE79" s="71"/>
      <c r="BF79" s="226"/>
      <c r="BG79" s="71"/>
      <c r="BH79" s="71"/>
      <c r="BI79" s="345"/>
      <c r="BJ79" s="71"/>
      <c r="BK79" s="226"/>
      <c r="BL79" s="71"/>
      <c r="BM79" s="71"/>
      <c r="BN79" s="345"/>
      <c r="BO79" s="71"/>
      <c r="BP79" s="226"/>
      <c r="BQ79" s="71"/>
      <c r="BR79" s="71"/>
      <c r="BS79" s="345"/>
      <c r="BT79" s="71"/>
      <c r="BU79" s="226"/>
      <c r="BV79" s="71"/>
      <c r="BW79" s="71"/>
      <c r="BX79" s="345"/>
      <c r="BY79" s="71"/>
      <c r="BZ79" s="226"/>
      <c r="CA79" s="71"/>
      <c r="CB79" s="71"/>
      <c r="CC79" s="345"/>
      <c r="CD79" s="71"/>
      <c r="CE79" s="226"/>
      <c r="CF79" s="71"/>
      <c r="CG79" s="71"/>
      <c r="CH79" s="345"/>
      <c r="CI79" s="71"/>
      <c r="CJ79" s="226"/>
      <c r="CK79" s="71"/>
      <c r="CL79" s="71"/>
      <c r="CM79" s="345"/>
      <c r="CN79" s="71"/>
      <c r="CO79" s="226"/>
      <c r="CP79" s="71"/>
      <c r="CQ79" s="71"/>
      <c r="CR79" s="345"/>
      <c r="CS79" s="71"/>
      <c r="CT79" s="226"/>
      <c r="CU79" s="71"/>
      <c r="CV79" s="71"/>
      <c r="CW79" s="345"/>
      <c r="CX79" s="71"/>
      <c r="CY79" s="226"/>
      <c r="CZ79" s="71"/>
      <c r="DA79" s="71"/>
      <c r="DB79" s="345"/>
      <c r="DC79" s="71"/>
      <c r="DD79" s="226"/>
      <c r="DE79" s="71"/>
      <c r="DF79" s="71"/>
      <c r="DG79" s="345"/>
      <c r="DH79" s="71"/>
      <c r="DI79" s="226"/>
      <c r="DJ79" s="71"/>
      <c r="DK79" s="71"/>
      <c r="DL79" s="345"/>
      <c r="DM79" s="71"/>
      <c r="DN79" s="226"/>
      <c r="DO79" s="71"/>
      <c r="DP79" s="71"/>
      <c r="DQ79" s="345"/>
      <c r="DR79" s="71"/>
      <c r="DS79" s="226"/>
      <c r="DT79" s="71"/>
      <c r="DU79" s="71"/>
      <c r="DV79" s="345"/>
      <c r="DW79" s="71"/>
      <c r="DX79" s="226"/>
      <c r="DY79" s="71"/>
      <c r="DZ79" s="71"/>
      <c r="EA79" s="345"/>
      <c r="EB79" s="71"/>
      <c r="EC79" s="226"/>
      <c r="ED79" s="71"/>
      <c r="EE79" s="71"/>
      <c r="EF79" s="345"/>
      <c r="EG79" s="71"/>
      <c r="EH79" s="226"/>
      <c r="EI79" s="71"/>
      <c r="EJ79" s="71"/>
      <c r="EK79" s="345"/>
      <c r="EL79" s="71"/>
      <c r="EM79" s="226"/>
      <c r="EN79" s="71"/>
      <c r="EO79" s="71"/>
      <c r="EP79" s="345"/>
      <c r="EQ79" s="71"/>
      <c r="ER79" s="226"/>
      <c r="ES79" s="71"/>
      <c r="ET79" s="71"/>
      <c r="EU79" s="345"/>
      <c r="EV79" s="71"/>
      <c r="EW79" s="226"/>
      <c r="EX79" s="71"/>
      <c r="EY79" s="71"/>
      <c r="EZ79" s="345"/>
      <c r="FA79" s="71"/>
      <c r="FB79" s="226"/>
      <c r="FC79" s="71"/>
      <c r="FD79" s="71"/>
      <c r="FE79" s="345"/>
      <c r="FF79" s="71"/>
      <c r="FG79" s="226"/>
      <c r="FH79" s="71"/>
      <c r="FI79" s="71"/>
      <c r="FJ79" s="345"/>
      <c r="FK79" s="71"/>
      <c r="FL79" s="226"/>
      <c r="FM79" s="71"/>
      <c r="FN79" s="71"/>
      <c r="FO79" s="345"/>
      <c r="FP79" s="71"/>
      <c r="FQ79" s="226"/>
      <c r="FR79" s="71"/>
      <c r="FS79" s="71"/>
      <c r="FT79" s="345"/>
      <c r="FU79" s="71"/>
      <c r="FV79" s="226"/>
      <c r="FW79" s="71"/>
      <c r="FX79" s="71"/>
      <c r="FY79" s="345"/>
      <c r="FZ79" s="71"/>
      <c r="GA79" s="226"/>
      <c r="GB79" s="71"/>
      <c r="GC79" s="71"/>
      <c r="GD79" s="345"/>
      <c r="GE79" s="71"/>
      <c r="GF79" s="226"/>
      <c r="GG79" s="71"/>
      <c r="GH79" s="71"/>
      <c r="GI79" s="345"/>
      <c r="GJ79" s="71"/>
      <c r="GK79" s="226"/>
      <c r="GL79" s="71"/>
      <c r="GM79" s="71"/>
      <c r="GN79" s="345"/>
      <c r="GO79" s="71"/>
      <c r="GP79" s="226"/>
      <c r="GQ79" s="71"/>
      <c r="GR79" s="71"/>
      <c r="GS79" s="345"/>
      <c r="GT79" s="71"/>
      <c r="GU79" s="226"/>
      <c r="GV79" s="71"/>
      <c r="GW79" s="71"/>
      <c r="GX79" s="345"/>
      <c r="GY79" s="71"/>
      <c r="GZ79" s="226"/>
      <c r="HA79" s="71"/>
      <c r="HB79" s="71"/>
      <c r="HC79" s="345"/>
      <c r="HD79" s="71"/>
      <c r="HE79" s="226"/>
      <c r="HF79" s="71"/>
      <c r="HG79" s="71"/>
      <c r="HH79" s="345"/>
      <c r="HI79" s="71"/>
      <c r="HJ79" s="226"/>
      <c r="HK79" s="71"/>
      <c r="HL79" s="71"/>
      <c r="HM79" s="345"/>
      <c r="HN79" s="71"/>
      <c r="HO79" s="226"/>
      <c r="HP79" s="71"/>
      <c r="HQ79" s="71"/>
      <c r="HR79" s="345"/>
      <c r="HS79" s="71"/>
      <c r="HT79" s="226"/>
      <c r="HU79" s="71"/>
      <c r="HV79" s="71"/>
      <c r="HW79" s="345"/>
      <c r="HX79" s="71"/>
      <c r="HY79" s="226"/>
      <c r="HZ79" s="71"/>
      <c r="IA79" s="71"/>
      <c r="IB79" s="345"/>
      <c r="IC79" s="71"/>
      <c r="ID79" s="226"/>
      <c r="IE79" s="71"/>
      <c r="IF79" s="71"/>
      <c r="IG79" s="345"/>
      <c r="IH79" s="71"/>
      <c r="II79" s="226"/>
      <c r="IJ79" s="71"/>
      <c r="IK79" s="71"/>
      <c r="IL79" s="345"/>
      <c r="IM79" s="71"/>
      <c r="IN79" s="226"/>
      <c r="IO79" s="71"/>
      <c r="IP79" s="71"/>
      <c r="IQ79" s="345"/>
      <c r="IR79" s="71"/>
      <c r="IS79" s="226"/>
      <c r="IT79" s="71"/>
      <c r="IU79" s="71"/>
      <c r="IV79" s="345"/>
    </row>
    <row r="80" spans="1:256" x14ac:dyDescent="0.2">
      <c r="A80" s="345">
        <v>29951</v>
      </c>
      <c r="B80" s="71"/>
      <c r="C80" s="226"/>
      <c r="D80" s="71"/>
      <c r="E80" s="71"/>
      <c r="F80" s="345"/>
      <c r="G80" s="71"/>
      <c r="H80" s="226"/>
      <c r="I80" s="71"/>
      <c r="J80" s="71"/>
      <c r="K80" s="345"/>
      <c r="L80" s="71"/>
      <c r="M80" s="226"/>
      <c r="N80" s="71"/>
      <c r="O80" s="71"/>
      <c r="P80" s="345"/>
      <c r="Q80" s="71"/>
      <c r="R80" s="226"/>
      <c r="S80" s="71"/>
      <c r="T80" s="71"/>
      <c r="U80" s="345"/>
      <c r="V80" s="71"/>
      <c r="W80" s="226"/>
      <c r="X80" s="71"/>
      <c r="Y80" s="71"/>
      <c r="Z80" s="345"/>
      <c r="AA80" s="71"/>
      <c r="AB80" s="226"/>
      <c r="AC80" s="71"/>
      <c r="AD80" s="71"/>
      <c r="AE80" s="345"/>
      <c r="AF80" s="71"/>
      <c r="AG80" s="226"/>
      <c r="AH80" s="71"/>
      <c r="AI80" s="71"/>
      <c r="AJ80" s="345"/>
      <c r="AK80" s="71"/>
      <c r="AL80" s="226"/>
      <c r="AM80" s="71"/>
      <c r="AN80" s="71"/>
      <c r="AO80" s="345"/>
      <c r="AP80" s="71"/>
      <c r="AQ80" s="226"/>
      <c r="AR80" s="71"/>
      <c r="AS80" s="71"/>
      <c r="AT80" s="345"/>
      <c r="AU80" s="71"/>
      <c r="AV80" s="226"/>
      <c r="AW80" s="71"/>
      <c r="AX80" s="71"/>
      <c r="AY80" s="345"/>
      <c r="AZ80" s="71"/>
      <c r="BA80" s="226"/>
      <c r="BB80" s="71"/>
      <c r="BC80" s="71"/>
      <c r="BD80" s="345"/>
      <c r="BE80" s="71"/>
      <c r="BF80" s="226"/>
      <c r="BG80" s="71"/>
      <c r="BH80" s="71"/>
      <c r="BI80" s="345"/>
      <c r="BJ80" s="71"/>
      <c r="BK80" s="226"/>
      <c r="BL80" s="71"/>
      <c r="BM80" s="71"/>
      <c r="BN80" s="345"/>
      <c r="BO80" s="71"/>
      <c r="BP80" s="226"/>
      <c r="BQ80" s="71"/>
      <c r="BR80" s="71"/>
      <c r="BS80" s="345"/>
      <c r="BT80" s="71"/>
      <c r="BU80" s="226"/>
      <c r="BV80" s="71"/>
      <c r="BW80" s="71"/>
      <c r="BX80" s="345"/>
      <c r="BY80" s="71"/>
      <c r="BZ80" s="226"/>
      <c r="CA80" s="71"/>
      <c r="CB80" s="71"/>
      <c r="CC80" s="345"/>
      <c r="CD80" s="71"/>
      <c r="CE80" s="226"/>
      <c r="CF80" s="71"/>
      <c r="CG80" s="71"/>
      <c r="CH80" s="345"/>
      <c r="CI80" s="71"/>
      <c r="CJ80" s="226"/>
      <c r="CK80" s="71"/>
      <c r="CL80" s="71"/>
      <c r="CM80" s="345"/>
      <c r="CN80" s="71"/>
      <c r="CO80" s="226"/>
      <c r="CP80" s="71"/>
      <c r="CQ80" s="71"/>
      <c r="CR80" s="345"/>
      <c r="CS80" s="71"/>
      <c r="CT80" s="226"/>
      <c r="CU80" s="71"/>
      <c r="CV80" s="71"/>
      <c r="CW80" s="345"/>
      <c r="CX80" s="71"/>
      <c r="CY80" s="226"/>
      <c r="CZ80" s="71"/>
      <c r="DA80" s="71"/>
      <c r="DB80" s="345"/>
      <c r="DC80" s="71"/>
      <c r="DD80" s="226"/>
      <c r="DE80" s="71"/>
      <c r="DF80" s="71"/>
      <c r="DG80" s="345"/>
      <c r="DH80" s="71"/>
      <c r="DI80" s="226"/>
      <c r="DJ80" s="71"/>
      <c r="DK80" s="71"/>
      <c r="DL80" s="345"/>
      <c r="DM80" s="71"/>
      <c r="DN80" s="226"/>
      <c r="DO80" s="71"/>
      <c r="DP80" s="71"/>
      <c r="DQ80" s="345"/>
      <c r="DR80" s="71"/>
      <c r="DS80" s="226"/>
      <c r="DT80" s="71"/>
      <c r="DU80" s="71"/>
      <c r="DV80" s="345"/>
      <c r="DW80" s="71"/>
      <c r="DX80" s="226"/>
      <c r="DY80" s="71"/>
      <c r="DZ80" s="71"/>
      <c r="EA80" s="345"/>
      <c r="EB80" s="71"/>
      <c r="EC80" s="226"/>
      <c r="ED80" s="71"/>
      <c r="EE80" s="71"/>
      <c r="EF80" s="345"/>
      <c r="EG80" s="71"/>
      <c r="EH80" s="226"/>
      <c r="EI80" s="71"/>
      <c r="EJ80" s="71"/>
      <c r="EK80" s="345"/>
      <c r="EL80" s="71"/>
      <c r="EM80" s="226"/>
      <c r="EN80" s="71"/>
      <c r="EO80" s="71"/>
      <c r="EP80" s="345"/>
      <c r="EQ80" s="71"/>
      <c r="ER80" s="226"/>
      <c r="ES80" s="71"/>
      <c r="ET80" s="71"/>
      <c r="EU80" s="345"/>
      <c r="EV80" s="71"/>
      <c r="EW80" s="226"/>
      <c r="EX80" s="71"/>
      <c r="EY80" s="71"/>
      <c r="EZ80" s="345"/>
      <c r="FA80" s="71"/>
      <c r="FB80" s="226"/>
      <c r="FC80" s="71"/>
      <c r="FD80" s="71"/>
      <c r="FE80" s="345"/>
      <c r="FF80" s="71"/>
      <c r="FG80" s="226"/>
      <c r="FH80" s="71"/>
      <c r="FI80" s="71"/>
      <c r="FJ80" s="345"/>
      <c r="FK80" s="71"/>
      <c r="FL80" s="226"/>
      <c r="FM80" s="71"/>
      <c r="FN80" s="71"/>
      <c r="FO80" s="345"/>
      <c r="FP80" s="71"/>
      <c r="FQ80" s="226"/>
      <c r="FR80" s="71"/>
      <c r="FS80" s="71"/>
      <c r="FT80" s="345"/>
      <c r="FU80" s="71"/>
      <c r="FV80" s="226"/>
      <c r="FW80" s="71"/>
      <c r="FX80" s="71"/>
      <c r="FY80" s="345"/>
      <c r="FZ80" s="71"/>
      <c r="GA80" s="226"/>
      <c r="GB80" s="71"/>
      <c r="GC80" s="71"/>
      <c r="GD80" s="345"/>
      <c r="GE80" s="71"/>
      <c r="GF80" s="226"/>
      <c r="GG80" s="71"/>
      <c r="GH80" s="71"/>
      <c r="GI80" s="345"/>
      <c r="GJ80" s="71"/>
      <c r="GK80" s="226"/>
      <c r="GL80" s="71"/>
      <c r="GM80" s="71"/>
      <c r="GN80" s="345"/>
      <c r="GO80" s="71"/>
      <c r="GP80" s="226"/>
      <c r="GQ80" s="71"/>
      <c r="GR80" s="71"/>
      <c r="GS80" s="345"/>
      <c r="GT80" s="71"/>
      <c r="GU80" s="226"/>
      <c r="GV80" s="71"/>
      <c r="GW80" s="71"/>
      <c r="GX80" s="345"/>
      <c r="GY80" s="71"/>
      <c r="GZ80" s="226"/>
      <c r="HA80" s="71"/>
      <c r="HB80" s="71"/>
      <c r="HC80" s="345"/>
      <c r="HD80" s="71"/>
      <c r="HE80" s="226"/>
      <c r="HF80" s="71"/>
      <c r="HG80" s="71"/>
      <c r="HH80" s="345"/>
      <c r="HI80" s="71"/>
      <c r="HJ80" s="226"/>
      <c r="HK80" s="71"/>
      <c r="HL80" s="71"/>
      <c r="HM80" s="345"/>
      <c r="HN80" s="71"/>
      <c r="HO80" s="226"/>
      <c r="HP80" s="71"/>
      <c r="HQ80" s="71"/>
      <c r="HR80" s="345"/>
      <c r="HS80" s="71"/>
      <c r="HT80" s="226"/>
      <c r="HU80" s="71"/>
      <c r="HV80" s="71"/>
      <c r="HW80" s="345"/>
      <c r="HX80" s="71"/>
      <c r="HY80" s="226"/>
      <c r="HZ80" s="71"/>
      <c r="IA80" s="71"/>
      <c r="IB80" s="345"/>
      <c r="IC80" s="71"/>
      <c r="ID80" s="226"/>
      <c r="IE80" s="71"/>
      <c r="IF80" s="71"/>
      <c r="IG80" s="345"/>
      <c r="IH80" s="71"/>
      <c r="II80" s="226"/>
      <c r="IJ80" s="71"/>
      <c r="IK80" s="71"/>
      <c r="IL80" s="345"/>
      <c r="IM80" s="71"/>
      <c r="IN80" s="226"/>
      <c r="IO80" s="71"/>
      <c r="IP80" s="71"/>
      <c r="IQ80" s="345"/>
      <c r="IR80" s="71"/>
      <c r="IS80" s="226"/>
      <c r="IT80" s="71"/>
      <c r="IU80" s="71"/>
      <c r="IV80" s="345"/>
    </row>
    <row r="81" spans="1:256" x14ac:dyDescent="0.2">
      <c r="A81" s="345">
        <v>29982</v>
      </c>
      <c r="B81" s="71"/>
      <c r="C81" s="226"/>
      <c r="D81" s="71"/>
      <c r="E81" s="71"/>
      <c r="F81" s="345"/>
      <c r="G81" s="71"/>
      <c r="H81" s="226"/>
      <c r="I81" s="71"/>
      <c r="J81" s="71"/>
      <c r="K81" s="345"/>
      <c r="L81" s="71"/>
      <c r="M81" s="226"/>
      <c r="N81" s="71"/>
      <c r="O81" s="71"/>
      <c r="P81" s="345"/>
      <c r="Q81" s="71"/>
      <c r="R81" s="226"/>
      <c r="S81" s="71"/>
      <c r="T81" s="71"/>
      <c r="U81" s="345"/>
      <c r="V81" s="71"/>
      <c r="W81" s="226"/>
      <c r="X81" s="71"/>
      <c r="Y81" s="71"/>
      <c r="Z81" s="345"/>
      <c r="AA81" s="71"/>
      <c r="AB81" s="226"/>
      <c r="AC81" s="71"/>
      <c r="AD81" s="71"/>
      <c r="AE81" s="345"/>
      <c r="AF81" s="71"/>
      <c r="AG81" s="226"/>
      <c r="AH81" s="71"/>
      <c r="AI81" s="71"/>
      <c r="AJ81" s="345"/>
      <c r="AK81" s="71"/>
      <c r="AL81" s="226"/>
      <c r="AM81" s="71"/>
      <c r="AN81" s="71"/>
      <c r="AO81" s="345"/>
      <c r="AP81" s="71"/>
      <c r="AQ81" s="226"/>
      <c r="AR81" s="71"/>
      <c r="AS81" s="71"/>
      <c r="AT81" s="345"/>
      <c r="AU81" s="71"/>
      <c r="AV81" s="226"/>
      <c r="AW81" s="71"/>
      <c r="AX81" s="71"/>
      <c r="AY81" s="345"/>
      <c r="AZ81" s="71"/>
      <c r="BA81" s="226"/>
      <c r="BB81" s="71"/>
      <c r="BC81" s="71"/>
      <c r="BD81" s="345"/>
      <c r="BE81" s="71"/>
      <c r="BF81" s="226"/>
      <c r="BG81" s="71"/>
      <c r="BH81" s="71"/>
      <c r="BI81" s="345"/>
      <c r="BJ81" s="71"/>
      <c r="BK81" s="226"/>
      <c r="BL81" s="71"/>
      <c r="BM81" s="71"/>
      <c r="BN81" s="345"/>
      <c r="BO81" s="71"/>
      <c r="BP81" s="226"/>
      <c r="BQ81" s="71"/>
      <c r="BR81" s="71"/>
      <c r="BS81" s="345"/>
      <c r="BT81" s="71"/>
      <c r="BU81" s="226"/>
      <c r="BV81" s="71"/>
      <c r="BW81" s="71"/>
      <c r="BX81" s="345"/>
      <c r="BY81" s="71"/>
      <c r="BZ81" s="226"/>
      <c r="CA81" s="71"/>
      <c r="CB81" s="71"/>
      <c r="CC81" s="345"/>
      <c r="CD81" s="71"/>
      <c r="CE81" s="226"/>
      <c r="CF81" s="71"/>
      <c r="CG81" s="71"/>
      <c r="CH81" s="345"/>
      <c r="CI81" s="71"/>
      <c r="CJ81" s="226"/>
      <c r="CK81" s="71"/>
      <c r="CL81" s="71"/>
      <c r="CM81" s="345"/>
      <c r="CN81" s="71"/>
      <c r="CO81" s="226"/>
      <c r="CP81" s="71"/>
      <c r="CQ81" s="71"/>
      <c r="CR81" s="345"/>
      <c r="CS81" s="71"/>
      <c r="CT81" s="226"/>
      <c r="CU81" s="71"/>
      <c r="CV81" s="71"/>
      <c r="CW81" s="345"/>
      <c r="CX81" s="71"/>
      <c r="CY81" s="226"/>
      <c r="CZ81" s="71"/>
      <c r="DA81" s="71"/>
      <c r="DB81" s="345"/>
      <c r="DC81" s="71"/>
      <c r="DD81" s="226"/>
      <c r="DE81" s="71"/>
      <c r="DF81" s="71"/>
      <c r="DG81" s="345"/>
      <c r="DH81" s="71"/>
      <c r="DI81" s="226"/>
      <c r="DJ81" s="71"/>
      <c r="DK81" s="71"/>
      <c r="DL81" s="345"/>
      <c r="DM81" s="71"/>
      <c r="DN81" s="226"/>
      <c r="DO81" s="71"/>
      <c r="DP81" s="71"/>
      <c r="DQ81" s="345"/>
      <c r="DR81" s="71"/>
      <c r="DS81" s="226"/>
      <c r="DT81" s="71"/>
      <c r="DU81" s="71"/>
      <c r="DV81" s="345"/>
      <c r="DW81" s="71"/>
      <c r="DX81" s="226"/>
      <c r="DY81" s="71"/>
      <c r="DZ81" s="71"/>
      <c r="EA81" s="345"/>
      <c r="EB81" s="71"/>
      <c r="EC81" s="226"/>
      <c r="ED81" s="71"/>
      <c r="EE81" s="71"/>
      <c r="EF81" s="345"/>
      <c r="EG81" s="71"/>
      <c r="EH81" s="226"/>
      <c r="EI81" s="71"/>
      <c r="EJ81" s="71"/>
      <c r="EK81" s="345"/>
      <c r="EL81" s="71"/>
      <c r="EM81" s="226"/>
      <c r="EN81" s="71"/>
      <c r="EO81" s="71"/>
      <c r="EP81" s="345"/>
      <c r="EQ81" s="71"/>
      <c r="ER81" s="226"/>
      <c r="ES81" s="71"/>
      <c r="ET81" s="71"/>
      <c r="EU81" s="345"/>
      <c r="EV81" s="71"/>
      <c r="EW81" s="226"/>
      <c r="EX81" s="71"/>
      <c r="EY81" s="71"/>
      <c r="EZ81" s="345"/>
      <c r="FA81" s="71"/>
      <c r="FB81" s="226"/>
      <c r="FC81" s="71"/>
      <c r="FD81" s="71"/>
      <c r="FE81" s="345"/>
      <c r="FF81" s="71"/>
      <c r="FG81" s="226"/>
      <c r="FH81" s="71"/>
      <c r="FI81" s="71"/>
      <c r="FJ81" s="345"/>
      <c r="FK81" s="71"/>
      <c r="FL81" s="226"/>
      <c r="FM81" s="71"/>
      <c r="FN81" s="71"/>
      <c r="FO81" s="345"/>
      <c r="FP81" s="71"/>
      <c r="FQ81" s="226"/>
      <c r="FR81" s="71"/>
      <c r="FS81" s="71"/>
      <c r="FT81" s="345"/>
      <c r="FU81" s="71"/>
      <c r="FV81" s="226"/>
      <c r="FW81" s="71"/>
      <c r="FX81" s="71"/>
      <c r="FY81" s="345"/>
      <c r="FZ81" s="71"/>
      <c r="GA81" s="226"/>
      <c r="GB81" s="71"/>
      <c r="GC81" s="71"/>
      <c r="GD81" s="345"/>
      <c r="GE81" s="71"/>
      <c r="GF81" s="226"/>
      <c r="GG81" s="71"/>
      <c r="GH81" s="71"/>
      <c r="GI81" s="345"/>
      <c r="GJ81" s="71"/>
      <c r="GK81" s="226"/>
      <c r="GL81" s="71"/>
      <c r="GM81" s="71"/>
      <c r="GN81" s="345"/>
      <c r="GO81" s="71"/>
      <c r="GP81" s="226"/>
      <c r="GQ81" s="71"/>
      <c r="GR81" s="71"/>
      <c r="GS81" s="345"/>
      <c r="GT81" s="71"/>
      <c r="GU81" s="226"/>
      <c r="GV81" s="71"/>
      <c r="GW81" s="71"/>
      <c r="GX81" s="345"/>
      <c r="GY81" s="71"/>
      <c r="GZ81" s="226"/>
      <c r="HA81" s="71"/>
      <c r="HB81" s="71"/>
      <c r="HC81" s="345"/>
      <c r="HD81" s="71"/>
      <c r="HE81" s="226"/>
      <c r="HF81" s="71"/>
      <c r="HG81" s="71"/>
      <c r="HH81" s="345"/>
      <c r="HI81" s="71"/>
      <c r="HJ81" s="226"/>
      <c r="HK81" s="71"/>
      <c r="HL81" s="71"/>
      <c r="HM81" s="345"/>
      <c r="HN81" s="71"/>
      <c r="HO81" s="226"/>
      <c r="HP81" s="71"/>
      <c r="HQ81" s="71"/>
      <c r="HR81" s="345"/>
      <c r="HS81" s="71"/>
      <c r="HT81" s="226"/>
      <c r="HU81" s="71"/>
      <c r="HV81" s="71"/>
      <c r="HW81" s="345"/>
      <c r="HX81" s="71"/>
      <c r="HY81" s="226"/>
      <c r="HZ81" s="71"/>
      <c r="IA81" s="71"/>
      <c r="IB81" s="345"/>
      <c r="IC81" s="71"/>
      <c r="ID81" s="226"/>
      <c r="IE81" s="71"/>
      <c r="IF81" s="71"/>
      <c r="IG81" s="345"/>
      <c r="IH81" s="71"/>
      <c r="II81" s="226"/>
      <c r="IJ81" s="71"/>
      <c r="IK81" s="71"/>
      <c r="IL81" s="345"/>
      <c r="IM81" s="71"/>
      <c r="IN81" s="226"/>
      <c r="IO81" s="71"/>
      <c r="IP81" s="71"/>
      <c r="IQ81" s="345"/>
      <c r="IR81" s="71"/>
      <c r="IS81" s="226"/>
      <c r="IT81" s="71"/>
      <c r="IU81" s="71"/>
      <c r="IV81" s="345"/>
    </row>
    <row r="82" spans="1:256" x14ac:dyDescent="0.2">
      <c r="A82" s="345">
        <v>30010</v>
      </c>
      <c r="B82" s="71"/>
      <c r="C82" s="226"/>
      <c r="D82" s="71"/>
      <c r="E82" s="71"/>
      <c r="F82" s="345"/>
      <c r="G82" s="71"/>
      <c r="H82" s="226"/>
      <c r="I82" s="71"/>
      <c r="J82" s="71"/>
      <c r="K82" s="345"/>
      <c r="L82" s="71"/>
      <c r="M82" s="226"/>
      <c r="N82" s="71"/>
      <c r="O82" s="71"/>
      <c r="P82" s="345"/>
      <c r="Q82" s="71"/>
      <c r="R82" s="226"/>
      <c r="S82" s="71"/>
      <c r="T82" s="71"/>
      <c r="U82" s="345"/>
      <c r="V82" s="71"/>
      <c r="W82" s="226"/>
      <c r="X82" s="71"/>
      <c r="Y82" s="71"/>
      <c r="Z82" s="345"/>
      <c r="AA82" s="71"/>
      <c r="AB82" s="226"/>
      <c r="AC82" s="71"/>
      <c r="AD82" s="71"/>
      <c r="AE82" s="345"/>
      <c r="AF82" s="71"/>
      <c r="AG82" s="226"/>
      <c r="AH82" s="71"/>
      <c r="AI82" s="71"/>
      <c r="AJ82" s="345"/>
      <c r="AK82" s="71"/>
      <c r="AL82" s="226"/>
      <c r="AM82" s="71"/>
      <c r="AN82" s="71"/>
      <c r="AO82" s="345"/>
      <c r="AP82" s="71"/>
      <c r="AQ82" s="226"/>
      <c r="AR82" s="71"/>
      <c r="AS82" s="71"/>
      <c r="AT82" s="345"/>
      <c r="AU82" s="71"/>
      <c r="AV82" s="226"/>
      <c r="AW82" s="71"/>
      <c r="AX82" s="71"/>
      <c r="AY82" s="345"/>
      <c r="AZ82" s="71"/>
      <c r="BA82" s="226"/>
      <c r="BB82" s="71"/>
      <c r="BC82" s="71"/>
      <c r="BD82" s="345"/>
      <c r="BE82" s="71"/>
      <c r="BF82" s="226"/>
      <c r="BG82" s="71"/>
      <c r="BH82" s="71"/>
      <c r="BI82" s="345"/>
      <c r="BJ82" s="71"/>
      <c r="BK82" s="226"/>
      <c r="BL82" s="71"/>
      <c r="BM82" s="71"/>
      <c r="BN82" s="345"/>
      <c r="BO82" s="71"/>
      <c r="BP82" s="226"/>
      <c r="BQ82" s="71"/>
      <c r="BR82" s="71"/>
      <c r="BS82" s="345"/>
      <c r="BT82" s="71"/>
      <c r="BU82" s="226"/>
      <c r="BV82" s="71"/>
      <c r="BW82" s="71"/>
      <c r="BX82" s="345"/>
      <c r="BY82" s="71"/>
      <c r="BZ82" s="226"/>
      <c r="CA82" s="71"/>
      <c r="CB82" s="71"/>
      <c r="CC82" s="345"/>
      <c r="CD82" s="71"/>
      <c r="CE82" s="226"/>
      <c r="CF82" s="71"/>
      <c r="CG82" s="71"/>
      <c r="CH82" s="345"/>
      <c r="CI82" s="71"/>
      <c r="CJ82" s="226"/>
      <c r="CK82" s="71"/>
      <c r="CL82" s="71"/>
      <c r="CM82" s="345"/>
      <c r="CN82" s="71"/>
      <c r="CO82" s="226"/>
      <c r="CP82" s="71"/>
      <c r="CQ82" s="71"/>
      <c r="CR82" s="345"/>
      <c r="CS82" s="71"/>
      <c r="CT82" s="226"/>
      <c r="CU82" s="71"/>
      <c r="CV82" s="71"/>
      <c r="CW82" s="345"/>
      <c r="CX82" s="71"/>
      <c r="CY82" s="226"/>
      <c r="CZ82" s="71"/>
      <c r="DA82" s="71"/>
      <c r="DB82" s="345"/>
      <c r="DC82" s="71"/>
      <c r="DD82" s="226"/>
      <c r="DE82" s="71"/>
      <c r="DF82" s="71"/>
      <c r="DG82" s="345"/>
      <c r="DH82" s="71"/>
      <c r="DI82" s="226"/>
      <c r="DJ82" s="71"/>
      <c r="DK82" s="71"/>
      <c r="DL82" s="345"/>
      <c r="DM82" s="71"/>
      <c r="DN82" s="226"/>
      <c r="DO82" s="71"/>
      <c r="DP82" s="71"/>
      <c r="DQ82" s="345"/>
      <c r="DR82" s="71"/>
      <c r="DS82" s="226"/>
      <c r="DT82" s="71"/>
      <c r="DU82" s="71"/>
      <c r="DV82" s="345"/>
      <c r="DW82" s="71"/>
      <c r="DX82" s="226"/>
      <c r="DY82" s="71"/>
      <c r="DZ82" s="71"/>
      <c r="EA82" s="345"/>
      <c r="EB82" s="71"/>
      <c r="EC82" s="226"/>
      <c r="ED82" s="71"/>
      <c r="EE82" s="71"/>
      <c r="EF82" s="345"/>
      <c r="EG82" s="71"/>
      <c r="EH82" s="226"/>
      <c r="EI82" s="71"/>
      <c r="EJ82" s="71"/>
      <c r="EK82" s="345"/>
      <c r="EL82" s="71"/>
      <c r="EM82" s="226"/>
      <c r="EN82" s="71"/>
      <c r="EO82" s="71"/>
      <c r="EP82" s="345"/>
      <c r="EQ82" s="71"/>
      <c r="ER82" s="226"/>
      <c r="ES82" s="71"/>
      <c r="ET82" s="71"/>
      <c r="EU82" s="345"/>
      <c r="EV82" s="71"/>
      <c r="EW82" s="226"/>
      <c r="EX82" s="71"/>
      <c r="EY82" s="71"/>
      <c r="EZ82" s="345"/>
      <c r="FA82" s="71"/>
      <c r="FB82" s="226"/>
      <c r="FC82" s="71"/>
      <c r="FD82" s="71"/>
      <c r="FE82" s="345"/>
      <c r="FF82" s="71"/>
      <c r="FG82" s="226"/>
      <c r="FH82" s="71"/>
      <c r="FI82" s="71"/>
      <c r="FJ82" s="345"/>
      <c r="FK82" s="71"/>
      <c r="FL82" s="226"/>
      <c r="FM82" s="71"/>
      <c r="FN82" s="71"/>
      <c r="FO82" s="345"/>
      <c r="FP82" s="71"/>
      <c r="FQ82" s="226"/>
      <c r="FR82" s="71"/>
      <c r="FS82" s="71"/>
      <c r="FT82" s="345"/>
      <c r="FU82" s="71"/>
      <c r="FV82" s="226"/>
      <c r="FW82" s="71"/>
      <c r="FX82" s="71"/>
      <c r="FY82" s="345"/>
      <c r="FZ82" s="71"/>
      <c r="GA82" s="226"/>
      <c r="GB82" s="71"/>
      <c r="GC82" s="71"/>
      <c r="GD82" s="345"/>
      <c r="GE82" s="71"/>
      <c r="GF82" s="226"/>
      <c r="GG82" s="71"/>
      <c r="GH82" s="71"/>
      <c r="GI82" s="345"/>
      <c r="GJ82" s="71"/>
      <c r="GK82" s="226"/>
      <c r="GL82" s="71"/>
      <c r="GM82" s="71"/>
      <c r="GN82" s="345"/>
      <c r="GO82" s="71"/>
      <c r="GP82" s="226"/>
      <c r="GQ82" s="71"/>
      <c r="GR82" s="71"/>
      <c r="GS82" s="345"/>
      <c r="GT82" s="71"/>
      <c r="GU82" s="226"/>
      <c r="GV82" s="71"/>
      <c r="GW82" s="71"/>
      <c r="GX82" s="345"/>
      <c r="GY82" s="71"/>
      <c r="GZ82" s="226"/>
      <c r="HA82" s="71"/>
      <c r="HB82" s="71"/>
      <c r="HC82" s="345"/>
      <c r="HD82" s="71"/>
      <c r="HE82" s="226"/>
      <c r="HF82" s="71"/>
      <c r="HG82" s="71"/>
      <c r="HH82" s="345"/>
      <c r="HI82" s="71"/>
      <c r="HJ82" s="226"/>
      <c r="HK82" s="71"/>
      <c r="HL82" s="71"/>
      <c r="HM82" s="345"/>
      <c r="HN82" s="71"/>
      <c r="HO82" s="226"/>
      <c r="HP82" s="71"/>
      <c r="HQ82" s="71"/>
      <c r="HR82" s="345"/>
      <c r="HS82" s="71"/>
      <c r="HT82" s="226"/>
      <c r="HU82" s="71"/>
      <c r="HV82" s="71"/>
      <c r="HW82" s="345"/>
      <c r="HX82" s="71"/>
      <c r="HY82" s="226"/>
      <c r="HZ82" s="71"/>
      <c r="IA82" s="71"/>
      <c r="IB82" s="345"/>
      <c r="IC82" s="71"/>
      <c r="ID82" s="226"/>
      <c r="IE82" s="71"/>
      <c r="IF82" s="71"/>
      <c r="IG82" s="345"/>
      <c r="IH82" s="71"/>
      <c r="II82" s="226"/>
      <c r="IJ82" s="71"/>
      <c r="IK82" s="71"/>
      <c r="IL82" s="345"/>
      <c r="IM82" s="71"/>
      <c r="IN82" s="226"/>
      <c r="IO82" s="71"/>
      <c r="IP82" s="71"/>
      <c r="IQ82" s="345"/>
      <c r="IR82" s="71"/>
      <c r="IS82" s="226"/>
      <c r="IT82" s="71"/>
      <c r="IU82" s="71"/>
      <c r="IV82" s="345"/>
    </row>
    <row r="83" spans="1:256" x14ac:dyDescent="0.2">
      <c r="A83" s="345">
        <v>30041</v>
      </c>
      <c r="B83" s="71"/>
      <c r="C83" s="226"/>
      <c r="D83" s="71"/>
      <c r="E83" s="71"/>
      <c r="F83" s="345"/>
      <c r="G83" s="71"/>
      <c r="H83" s="226"/>
      <c r="I83" s="71"/>
      <c r="J83" s="71"/>
      <c r="K83" s="345"/>
      <c r="L83" s="71"/>
      <c r="M83" s="226"/>
      <c r="N83" s="71"/>
      <c r="O83" s="71"/>
      <c r="P83" s="345"/>
      <c r="Q83" s="71"/>
      <c r="R83" s="226"/>
      <c r="S83" s="71"/>
      <c r="T83" s="71"/>
      <c r="U83" s="345"/>
      <c r="V83" s="71"/>
      <c r="W83" s="226"/>
      <c r="X83" s="71"/>
      <c r="Y83" s="71"/>
      <c r="Z83" s="345"/>
      <c r="AA83" s="71"/>
      <c r="AB83" s="226"/>
      <c r="AC83" s="71"/>
      <c r="AD83" s="71"/>
      <c r="AE83" s="345"/>
      <c r="AF83" s="71"/>
      <c r="AG83" s="226"/>
      <c r="AH83" s="71"/>
      <c r="AI83" s="71"/>
      <c r="AJ83" s="345"/>
      <c r="AK83" s="71"/>
      <c r="AL83" s="226"/>
      <c r="AM83" s="71"/>
      <c r="AN83" s="71"/>
      <c r="AO83" s="345"/>
      <c r="AP83" s="71"/>
      <c r="AQ83" s="226"/>
      <c r="AR83" s="71"/>
      <c r="AS83" s="71"/>
      <c r="AT83" s="345"/>
      <c r="AU83" s="71"/>
      <c r="AV83" s="226"/>
      <c r="AW83" s="71"/>
      <c r="AX83" s="71"/>
      <c r="AY83" s="345"/>
      <c r="AZ83" s="71"/>
      <c r="BA83" s="226"/>
      <c r="BB83" s="71"/>
      <c r="BC83" s="71"/>
      <c r="BD83" s="345"/>
      <c r="BE83" s="71"/>
      <c r="BF83" s="226"/>
      <c r="BG83" s="71"/>
      <c r="BH83" s="71"/>
      <c r="BI83" s="345"/>
      <c r="BJ83" s="71"/>
      <c r="BK83" s="226"/>
      <c r="BL83" s="71"/>
      <c r="BM83" s="71"/>
      <c r="BN83" s="345"/>
      <c r="BO83" s="71"/>
      <c r="BP83" s="226"/>
      <c r="BQ83" s="71"/>
      <c r="BR83" s="71"/>
      <c r="BS83" s="345"/>
      <c r="BT83" s="71"/>
      <c r="BU83" s="226"/>
      <c r="BV83" s="71"/>
      <c r="BW83" s="71"/>
      <c r="BX83" s="345"/>
      <c r="BY83" s="71"/>
      <c r="BZ83" s="226"/>
      <c r="CA83" s="71"/>
      <c r="CB83" s="71"/>
      <c r="CC83" s="345"/>
      <c r="CD83" s="71"/>
      <c r="CE83" s="226"/>
      <c r="CF83" s="71"/>
      <c r="CG83" s="71"/>
      <c r="CH83" s="345"/>
      <c r="CI83" s="71"/>
      <c r="CJ83" s="226"/>
      <c r="CK83" s="71"/>
      <c r="CL83" s="71"/>
      <c r="CM83" s="345"/>
      <c r="CN83" s="71"/>
      <c r="CO83" s="226"/>
      <c r="CP83" s="71"/>
      <c r="CQ83" s="71"/>
      <c r="CR83" s="345"/>
      <c r="CS83" s="71"/>
      <c r="CT83" s="226"/>
      <c r="CU83" s="71"/>
      <c r="CV83" s="71"/>
      <c r="CW83" s="345"/>
      <c r="CX83" s="71"/>
      <c r="CY83" s="226"/>
      <c r="CZ83" s="71"/>
      <c r="DA83" s="71"/>
      <c r="DB83" s="345"/>
      <c r="DC83" s="71"/>
      <c r="DD83" s="226"/>
      <c r="DE83" s="71"/>
      <c r="DF83" s="71"/>
      <c r="DG83" s="345"/>
      <c r="DH83" s="71"/>
      <c r="DI83" s="226"/>
      <c r="DJ83" s="71"/>
      <c r="DK83" s="71"/>
      <c r="DL83" s="345"/>
      <c r="DM83" s="71"/>
      <c r="DN83" s="226"/>
      <c r="DO83" s="71"/>
      <c r="DP83" s="71"/>
      <c r="DQ83" s="345"/>
      <c r="DR83" s="71"/>
      <c r="DS83" s="226"/>
      <c r="DT83" s="71"/>
      <c r="DU83" s="71"/>
      <c r="DV83" s="345"/>
      <c r="DW83" s="71"/>
      <c r="DX83" s="226"/>
      <c r="DY83" s="71"/>
      <c r="DZ83" s="71"/>
      <c r="EA83" s="345"/>
      <c r="EB83" s="71"/>
      <c r="EC83" s="226"/>
      <c r="ED83" s="71"/>
      <c r="EE83" s="71"/>
      <c r="EF83" s="345"/>
      <c r="EG83" s="71"/>
      <c r="EH83" s="226"/>
      <c r="EI83" s="71"/>
      <c r="EJ83" s="71"/>
      <c r="EK83" s="345"/>
      <c r="EL83" s="71"/>
      <c r="EM83" s="226"/>
      <c r="EN83" s="71"/>
      <c r="EO83" s="71"/>
      <c r="EP83" s="345"/>
      <c r="EQ83" s="71"/>
      <c r="ER83" s="226"/>
      <c r="ES83" s="71"/>
      <c r="ET83" s="71"/>
      <c r="EU83" s="345"/>
      <c r="EV83" s="71"/>
      <c r="EW83" s="226"/>
      <c r="EX83" s="71"/>
      <c r="EY83" s="71"/>
      <c r="EZ83" s="345"/>
      <c r="FA83" s="71"/>
      <c r="FB83" s="226"/>
      <c r="FC83" s="71"/>
      <c r="FD83" s="71"/>
      <c r="FE83" s="345"/>
      <c r="FF83" s="71"/>
      <c r="FG83" s="226"/>
      <c r="FH83" s="71"/>
      <c r="FI83" s="71"/>
      <c r="FJ83" s="345"/>
      <c r="FK83" s="71"/>
      <c r="FL83" s="226"/>
      <c r="FM83" s="71"/>
      <c r="FN83" s="71"/>
      <c r="FO83" s="345"/>
      <c r="FP83" s="71"/>
      <c r="FQ83" s="226"/>
      <c r="FR83" s="71"/>
      <c r="FS83" s="71"/>
      <c r="FT83" s="345"/>
      <c r="FU83" s="71"/>
      <c r="FV83" s="226"/>
      <c r="FW83" s="71"/>
      <c r="FX83" s="71"/>
      <c r="FY83" s="345"/>
      <c r="FZ83" s="71"/>
      <c r="GA83" s="226"/>
      <c r="GB83" s="71"/>
      <c r="GC83" s="71"/>
      <c r="GD83" s="345"/>
      <c r="GE83" s="71"/>
      <c r="GF83" s="226"/>
      <c r="GG83" s="71"/>
      <c r="GH83" s="71"/>
      <c r="GI83" s="345"/>
      <c r="GJ83" s="71"/>
      <c r="GK83" s="226"/>
      <c r="GL83" s="71"/>
      <c r="GM83" s="71"/>
      <c r="GN83" s="345"/>
      <c r="GO83" s="71"/>
      <c r="GP83" s="226"/>
      <c r="GQ83" s="71"/>
      <c r="GR83" s="71"/>
      <c r="GS83" s="345"/>
      <c r="GT83" s="71"/>
      <c r="GU83" s="226"/>
      <c r="GV83" s="71"/>
      <c r="GW83" s="71"/>
      <c r="GX83" s="345"/>
      <c r="GY83" s="71"/>
      <c r="GZ83" s="226"/>
      <c r="HA83" s="71"/>
      <c r="HB83" s="71"/>
      <c r="HC83" s="345"/>
      <c r="HD83" s="71"/>
      <c r="HE83" s="226"/>
      <c r="HF83" s="71"/>
      <c r="HG83" s="71"/>
      <c r="HH83" s="345"/>
      <c r="HI83" s="71"/>
      <c r="HJ83" s="226"/>
      <c r="HK83" s="71"/>
      <c r="HL83" s="71"/>
      <c r="HM83" s="345"/>
      <c r="HN83" s="71"/>
      <c r="HO83" s="226"/>
      <c r="HP83" s="71"/>
      <c r="HQ83" s="71"/>
      <c r="HR83" s="345"/>
      <c r="HS83" s="71"/>
      <c r="HT83" s="226"/>
      <c r="HU83" s="71"/>
      <c r="HV83" s="71"/>
      <c r="HW83" s="345"/>
      <c r="HX83" s="71"/>
      <c r="HY83" s="226"/>
      <c r="HZ83" s="71"/>
      <c r="IA83" s="71"/>
      <c r="IB83" s="345"/>
      <c r="IC83" s="71"/>
      <c r="ID83" s="226"/>
      <c r="IE83" s="71"/>
      <c r="IF83" s="71"/>
      <c r="IG83" s="345"/>
      <c r="IH83" s="71"/>
      <c r="II83" s="226"/>
      <c r="IJ83" s="71"/>
      <c r="IK83" s="71"/>
      <c r="IL83" s="345"/>
      <c r="IM83" s="71"/>
      <c r="IN83" s="226"/>
      <c r="IO83" s="71"/>
      <c r="IP83" s="71"/>
      <c r="IQ83" s="345"/>
      <c r="IR83" s="71"/>
      <c r="IS83" s="226"/>
      <c r="IT83" s="71"/>
      <c r="IU83" s="71"/>
      <c r="IV83" s="345"/>
    </row>
    <row r="84" spans="1:256" x14ac:dyDescent="0.2">
      <c r="A84" s="345">
        <v>30071</v>
      </c>
      <c r="B84" s="71"/>
      <c r="C84" s="226"/>
      <c r="D84" s="71"/>
      <c r="E84" s="71"/>
      <c r="F84" s="345"/>
      <c r="G84" s="71"/>
      <c r="H84" s="226"/>
      <c r="I84" s="71"/>
      <c r="J84" s="71"/>
      <c r="K84" s="345"/>
      <c r="L84" s="71"/>
      <c r="M84" s="226"/>
      <c r="N84" s="71"/>
      <c r="O84" s="71"/>
      <c r="P84" s="345"/>
      <c r="Q84" s="71"/>
      <c r="R84" s="226"/>
      <c r="S84" s="71"/>
      <c r="T84" s="71"/>
      <c r="U84" s="345"/>
      <c r="V84" s="71"/>
      <c r="W84" s="226"/>
      <c r="X84" s="71"/>
      <c r="Y84" s="71"/>
      <c r="Z84" s="345"/>
      <c r="AA84" s="71"/>
      <c r="AB84" s="226"/>
      <c r="AC84" s="71"/>
      <c r="AD84" s="71"/>
      <c r="AE84" s="345"/>
      <c r="AF84" s="71"/>
      <c r="AG84" s="226"/>
      <c r="AH84" s="71"/>
      <c r="AI84" s="71"/>
      <c r="AJ84" s="345"/>
      <c r="AK84" s="71"/>
      <c r="AL84" s="226"/>
      <c r="AM84" s="71"/>
      <c r="AN84" s="71"/>
      <c r="AO84" s="345"/>
      <c r="AP84" s="71"/>
      <c r="AQ84" s="226"/>
      <c r="AR84" s="71"/>
      <c r="AS84" s="71"/>
      <c r="AT84" s="345"/>
      <c r="AU84" s="71"/>
      <c r="AV84" s="226"/>
      <c r="AW84" s="71"/>
      <c r="AX84" s="71"/>
      <c r="AY84" s="345"/>
      <c r="AZ84" s="71"/>
      <c r="BA84" s="226"/>
      <c r="BB84" s="71"/>
      <c r="BC84" s="71"/>
      <c r="BD84" s="345"/>
      <c r="BE84" s="71"/>
      <c r="BF84" s="226"/>
      <c r="BG84" s="71"/>
      <c r="BH84" s="71"/>
      <c r="BI84" s="345"/>
      <c r="BJ84" s="71"/>
      <c r="BK84" s="226"/>
      <c r="BL84" s="71"/>
      <c r="BM84" s="71"/>
      <c r="BN84" s="345"/>
      <c r="BO84" s="71"/>
      <c r="BP84" s="226"/>
      <c r="BQ84" s="71"/>
      <c r="BR84" s="71"/>
      <c r="BS84" s="345"/>
      <c r="BT84" s="71"/>
      <c r="BU84" s="226"/>
      <c r="BV84" s="71"/>
      <c r="BW84" s="71"/>
      <c r="BX84" s="345"/>
      <c r="BY84" s="71"/>
      <c r="BZ84" s="226"/>
      <c r="CA84" s="71"/>
      <c r="CB84" s="71"/>
      <c r="CC84" s="345"/>
      <c r="CD84" s="71"/>
      <c r="CE84" s="226"/>
      <c r="CF84" s="71"/>
      <c r="CG84" s="71"/>
      <c r="CH84" s="345"/>
      <c r="CI84" s="71"/>
      <c r="CJ84" s="226"/>
      <c r="CK84" s="71"/>
      <c r="CL84" s="71"/>
      <c r="CM84" s="345"/>
      <c r="CN84" s="71"/>
      <c r="CO84" s="226"/>
      <c r="CP84" s="71"/>
      <c r="CQ84" s="71"/>
      <c r="CR84" s="345"/>
      <c r="CS84" s="71"/>
      <c r="CT84" s="226"/>
      <c r="CU84" s="71"/>
      <c r="CV84" s="71"/>
      <c r="CW84" s="345"/>
      <c r="CX84" s="71"/>
      <c r="CY84" s="226"/>
      <c r="CZ84" s="71"/>
      <c r="DA84" s="71"/>
      <c r="DB84" s="345"/>
      <c r="DC84" s="71"/>
      <c r="DD84" s="226"/>
      <c r="DE84" s="71"/>
      <c r="DF84" s="71"/>
      <c r="DG84" s="345"/>
      <c r="DH84" s="71"/>
      <c r="DI84" s="226"/>
      <c r="DJ84" s="71"/>
      <c r="DK84" s="71"/>
      <c r="DL84" s="345"/>
      <c r="DM84" s="71"/>
      <c r="DN84" s="226"/>
      <c r="DO84" s="71"/>
      <c r="DP84" s="71"/>
      <c r="DQ84" s="345"/>
      <c r="DR84" s="71"/>
      <c r="DS84" s="226"/>
      <c r="DT84" s="71"/>
      <c r="DU84" s="71"/>
      <c r="DV84" s="345"/>
      <c r="DW84" s="71"/>
      <c r="DX84" s="226"/>
      <c r="DY84" s="71"/>
      <c r="DZ84" s="71"/>
      <c r="EA84" s="345"/>
      <c r="EB84" s="71"/>
      <c r="EC84" s="226"/>
      <c r="ED84" s="71"/>
      <c r="EE84" s="71"/>
      <c r="EF84" s="345"/>
      <c r="EG84" s="71"/>
      <c r="EH84" s="226"/>
      <c r="EI84" s="71"/>
      <c r="EJ84" s="71"/>
      <c r="EK84" s="345"/>
      <c r="EL84" s="71"/>
      <c r="EM84" s="226"/>
      <c r="EN84" s="71"/>
      <c r="EO84" s="71"/>
      <c r="EP84" s="345"/>
      <c r="EQ84" s="71"/>
      <c r="ER84" s="226"/>
      <c r="ES84" s="71"/>
      <c r="ET84" s="71"/>
      <c r="EU84" s="345"/>
      <c r="EV84" s="71"/>
      <c r="EW84" s="226"/>
      <c r="EX84" s="71"/>
      <c r="EY84" s="71"/>
      <c r="EZ84" s="345"/>
      <c r="FA84" s="71"/>
      <c r="FB84" s="226"/>
      <c r="FC84" s="71"/>
      <c r="FD84" s="71"/>
      <c r="FE84" s="345"/>
      <c r="FF84" s="71"/>
      <c r="FG84" s="226"/>
      <c r="FH84" s="71"/>
      <c r="FI84" s="71"/>
      <c r="FJ84" s="345"/>
      <c r="FK84" s="71"/>
      <c r="FL84" s="226"/>
      <c r="FM84" s="71"/>
      <c r="FN84" s="71"/>
      <c r="FO84" s="345"/>
      <c r="FP84" s="71"/>
      <c r="FQ84" s="226"/>
      <c r="FR84" s="71"/>
      <c r="FS84" s="71"/>
      <c r="FT84" s="345"/>
      <c r="FU84" s="71"/>
      <c r="FV84" s="226"/>
      <c r="FW84" s="71"/>
      <c r="FX84" s="71"/>
      <c r="FY84" s="345"/>
      <c r="FZ84" s="71"/>
      <c r="GA84" s="226"/>
      <c r="GB84" s="71"/>
      <c r="GC84" s="71"/>
      <c r="GD84" s="345"/>
      <c r="GE84" s="71"/>
      <c r="GF84" s="226"/>
      <c r="GG84" s="71"/>
      <c r="GH84" s="71"/>
      <c r="GI84" s="345"/>
      <c r="GJ84" s="71"/>
      <c r="GK84" s="226"/>
      <c r="GL84" s="71"/>
      <c r="GM84" s="71"/>
      <c r="GN84" s="345"/>
      <c r="GO84" s="71"/>
      <c r="GP84" s="226"/>
      <c r="GQ84" s="71"/>
      <c r="GR84" s="71"/>
      <c r="GS84" s="345"/>
      <c r="GT84" s="71"/>
      <c r="GU84" s="226"/>
      <c r="GV84" s="71"/>
      <c r="GW84" s="71"/>
      <c r="GX84" s="345"/>
      <c r="GY84" s="71"/>
      <c r="GZ84" s="226"/>
      <c r="HA84" s="71"/>
      <c r="HB84" s="71"/>
      <c r="HC84" s="345"/>
      <c r="HD84" s="71"/>
      <c r="HE84" s="226"/>
      <c r="HF84" s="71"/>
      <c r="HG84" s="71"/>
      <c r="HH84" s="345"/>
      <c r="HI84" s="71"/>
      <c r="HJ84" s="226"/>
      <c r="HK84" s="71"/>
      <c r="HL84" s="71"/>
      <c r="HM84" s="345"/>
      <c r="HN84" s="71"/>
      <c r="HO84" s="226"/>
      <c r="HP84" s="71"/>
      <c r="HQ84" s="71"/>
      <c r="HR84" s="345"/>
      <c r="HS84" s="71"/>
      <c r="HT84" s="226"/>
      <c r="HU84" s="71"/>
      <c r="HV84" s="71"/>
      <c r="HW84" s="345"/>
      <c r="HX84" s="71"/>
      <c r="HY84" s="226"/>
      <c r="HZ84" s="71"/>
      <c r="IA84" s="71"/>
      <c r="IB84" s="345"/>
      <c r="IC84" s="71"/>
      <c r="ID84" s="226"/>
      <c r="IE84" s="71"/>
      <c r="IF84" s="71"/>
      <c r="IG84" s="345"/>
      <c r="IH84" s="71"/>
      <c r="II84" s="226"/>
      <c r="IJ84" s="71"/>
      <c r="IK84" s="71"/>
      <c r="IL84" s="345"/>
      <c r="IM84" s="71"/>
      <c r="IN84" s="226"/>
      <c r="IO84" s="71"/>
      <c r="IP84" s="71"/>
      <c r="IQ84" s="345"/>
      <c r="IR84" s="71"/>
      <c r="IS84" s="226"/>
      <c r="IT84" s="71"/>
      <c r="IU84" s="71"/>
      <c r="IV84" s="345"/>
    </row>
    <row r="85" spans="1:256" x14ac:dyDescent="0.2">
      <c r="A85" s="345">
        <v>30102</v>
      </c>
      <c r="B85" s="71"/>
      <c r="C85" s="226"/>
      <c r="D85" s="71"/>
      <c r="E85" s="71"/>
      <c r="F85" s="345"/>
      <c r="G85" s="71"/>
      <c r="H85" s="226"/>
      <c r="I85" s="71"/>
      <c r="J85" s="71"/>
      <c r="K85" s="345"/>
      <c r="L85" s="71"/>
      <c r="M85" s="226"/>
      <c r="N85" s="71"/>
      <c r="O85" s="71"/>
      <c r="P85" s="345"/>
      <c r="Q85" s="71"/>
      <c r="R85" s="226"/>
      <c r="S85" s="71"/>
      <c r="T85" s="71"/>
      <c r="U85" s="345"/>
      <c r="V85" s="71"/>
      <c r="W85" s="226"/>
      <c r="X85" s="71"/>
      <c r="Y85" s="71"/>
      <c r="Z85" s="345"/>
      <c r="AA85" s="71"/>
      <c r="AB85" s="226"/>
      <c r="AC85" s="71"/>
      <c r="AD85" s="71"/>
      <c r="AE85" s="345"/>
      <c r="AF85" s="71"/>
      <c r="AG85" s="226"/>
      <c r="AH85" s="71"/>
      <c r="AI85" s="71"/>
      <c r="AJ85" s="345"/>
      <c r="AK85" s="71"/>
      <c r="AL85" s="226"/>
      <c r="AM85" s="71"/>
      <c r="AN85" s="71"/>
      <c r="AO85" s="345"/>
      <c r="AP85" s="71"/>
      <c r="AQ85" s="226"/>
      <c r="AR85" s="71"/>
      <c r="AS85" s="71"/>
      <c r="AT85" s="345"/>
      <c r="AU85" s="71"/>
      <c r="AV85" s="226"/>
      <c r="AW85" s="71"/>
      <c r="AX85" s="71"/>
      <c r="AY85" s="345"/>
      <c r="AZ85" s="71"/>
      <c r="BA85" s="226"/>
      <c r="BB85" s="71"/>
      <c r="BC85" s="71"/>
      <c r="BD85" s="345"/>
      <c r="BE85" s="71"/>
      <c r="BF85" s="226"/>
      <c r="BG85" s="71"/>
      <c r="BH85" s="71"/>
      <c r="BI85" s="345"/>
      <c r="BJ85" s="71"/>
      <c r="BK85" s="226"/>
      <c r="BL85" s="71"/>
      <c r="BM85" s="71"/>
      <c r="BN85" s="345"/>
      <c r="BO85" s="71"/>
      <c r="BP85" s="226"/>
      <c r="BQ85" s="71"/>
      <c r="BR85" s="71"/>
      <c r="BS85" s="345"/>
      <c r="BT85" s="71"/>
      <c r="BU85" s="226"/>
      <c r="BV85" s="71"/>
      <c r="BW85" s="71"/>
      <c r="BX85" s="345"/>
      <c r="BY85" s="71"/>
      <c r="BZ85" s="226"/>
      <c r="CA85" s="71"/>
      <c r="CB85" s="71"/>
      <c r="CC85" s="345"/>
      <c r="CD85" s="71"/>
      <c r="CE85" s="226"/>
      <c r="CF85" s="71"/>
      <c r="CG85" s="71"/>
      <c r="CH85" s="345"/>
      <c r="CI85" s="71"/>
      <c r="CJ85" s="226"/>
      <c r="CK85" s="71"/>
      <c r="CL85" s="71"/>
      <c r="CM85" s="345"/>
      <c r="CN85" s="71"/>
      <c r="CO85" s="226"/>
      <c r="CP85" s="71"/>
      <c r="CQ85" s="71"/>
      <c r="CR85" s="345"/>
      <c r="CS85" s="71"/>
      <c r="CT85" s="226"/>
      <c r="CU85" s="71"/>
      <c r="CV85" s="71"/>
      <c r="CW85" s="345"/>
      <c r="CX85" s="71"/>
      <c r="CY85" s="226"/>
      <c r="CZ85" s="71"/>
      <c r="DA85" s="71"/>
      <c r="DB85" s="345"/>
      <c r="DC85" s="71"/>
      <c r="DD85" s="226"/>
      <c r="DE85" s="71"/>
      <c r="DF85" s="71"/>
      <c r="DG85" s="345"/>
      <c r="DH85" s="71"/>
      <c r="DI85" s="226"/>
      <c r="DJ85" s="71"/>
      <c r="DK85" s="71"/>
      <c r="DL85" s="345"/>
      <c r="DM85" s="71"/>
      <c r="DN85" s="226"/>
      <c r="DO85" s="71"/>
      <c r="DP85" s="71"/>
      <c r="DQ85" s="345"/>
      <c r="DR85" s="71"/>
      <c r="DS85" s="226"/>
      <c r="DT85" s="71"/>
      <c r="DU85" s="71"/>
      <c r="DV85" s="345"/>
      <c r="DW85" s="71"/>
      <c r="DX85" s="226"/>
      <c r="DY85" s="71"/>
      <c r="DZ85" s="71"/>
      <c r="EA85" s="345"/>
      <c r="EB85" s="71"/>
      <c r="EC85" s="226"/>
      <c r="ED85" s="71"/>
      <c r="EE85" s="71"/>
      <c r="EF85" s="345"/>
      <c r="EG85" s="71"/>
      <c r="EH85" s="226"/>
      <c r="EI85" s="71"/>
      <c r="EJ85" s="71"/>
      <c r="EK85" s="345"/>
      <c r="EL85" s="71"/>
      <c r="EM85" s="226"/>
      <c r="EN85" s="71"/>
      <c r="EO85" s="71"/>
      <c r="EP85" s="345"/>
      <c r="EQ85" s="71"/>
      <c r="ER85" s="226"/>
      <c r="ES85" s="71"/>
      <c r="ET85" s="71"/>
      <c r="EU85" s="345"/>
      <c r="EV85" s="71"/>
      <c r="EW85" s="226"/>
      <c r="EX85" s="71"/>
      <c r="EY85" s="71"/>
      <c r="EZ85" s="345"/>
      <c r="FA85" s="71"/>
      <c r="FB85" s="226"/>
      <c r="FC85" s="71"/>
      <c r="FD85" s="71"/>
      <c r="FE85" s="345"/>
      <c r="FF85" s="71"/>
      <c r="FG85" s="226"/>
      <c r="FH85" s="71"/>
      <c r="FI85" s="71"/>
      <c r="FJ85" s="345"/>
      <c r="FK85" s="71"/>
      <c r="FL85" s="226"/>
      <c r="FM85" s="71"/>
      <c r="FN85" s="71"/>
      <c r="FO85" s="345"/>
      <c r="FP85" s="71"/>
      <c r="FQ85" s="226"/>
      <c r="FR85" s="71"/>
      <c r="FS85" s="71"/>
      <c r="FT85" s="345"/>
      <c r="FU85" s="71"/>
      <c r="FV85" s="226"/>
      <c r="FW85" s="71"/>
      <c r="FX85" s="71"/>
      <c r="FY85" s="345"/>
      <c r="FZ85" s="71"/>
      <c r="GA85" s="226"/>
      <c r="GB85" s="71"/>
      <c r="GC85" s="71"/>
      <c r="GD85" s="345"/>
      <c r="GE85" s="71"/>
      <c r="GF85" s="226"/>
      <c r="GG85" s="71"/>
      <c r="GH85" s="71"/>
      <c r="GI85" s="345"/>
      <c r="GJ85" s="71"/>
      <c r="GK85" s="226"/>
      <c r="GL85" s="71"/>
      <c r="GM85" s="71"/>
      <c r="GN85" s="345"/>
      <c r="GO85" s="71"/>
      <c r="GP85" s="226"/>
      <c r="GQ85" s="71"/>
      <c r="GR85" s="71"/>
      <c r="GS85" s="345"/>
      <c r="GT85" s="71"/>
      <c r="GU85" s="226"/>
      <c r="GV85" s="71"/>
      <c r="GW85" s="71"/>
      <c r="GX85" s="345"/>
      <c r="GY85" s="71"/>
      <c r="GZ85" s="226"/>
      <c r="HA85" s="71"/>
      <c r="HB85" s="71"/>
      <c r="HC85" s="345"/>
      <c r="HD85" s="71"/>
      <c r="HE85" s="226"/>
      <c r="HF85" s="71"/>
      <c r="HG85" s="71"/>
      <c r="HH85" s="345"/>
      <c r="HI85" s="71"/>
      <c r="HJ85" s="226"/>
      <c r="HK85" s="71"/>
      <c r="HL85" s="71"/>
      <c r="HM85" s="345"/>
      <c r="HN85" s="71"/>
      <c r="HO85" s="226"/>
      <c r="HP85" s="71"/>
      <c r="HQ85" s="71"/>
      <c r="HR85" s="345"/>
      <c r="HS85" s="71"/>
      <c r="HT85" s="226"/>
      <c r="HU85" s="71"/>
      <c r="HV85" s="71"/>
      <c r="HW85" s="345"/>
      <c r="HX85" s="71"/>
      <c r="HY85" s="226"/>
      <c r="HZ85" s="71"/>
      <c r="IA85" s="71"/>
      <c r="IB85" s="345"/>
      <c r="IC85" s="71"/>
      <c r="ID85" s="226"/>
      <c r="IE85" s="71"/>
      <c r="IF85" s="71"/>
      <c r="IG85" s="345"/>
      <c r="IH85" s="71"/>
      <c r="II85" s="226"/>
      <c r="IJ85" s="71"/>
      <c r="IK85" s="71"/>
      <c r="IL85" s="345"/>
      <c r="IM85" s="71"/>
      <c r="IN85" s="226"/>
      <c r="IO85" s="71"/>
      <c r="IP85" s="71"/>
      <c r="IQ85" s="345"/>
      <c r="IR85" s="71"/>
      <c r="IS85" s="226"/>
      <c r="IT85" s="71"/>
      <c r="IU85" s="71"/>
      <c r="IV85" s="345"/>
    </row>
    <row r="86" spans="1:256" x14ac:dyDescent="0.2">
      <c r="A86" s="345">
        <v>30132</v>
      </c>
      <c r="B86" s="71"/>
      <c r="C86" s="226"/>
      <c r="D86" s="71"/>
      <c r="E86" s="71"/>
      <c r="F86" s="345"/>
      <c r="G86" s="71"/>
      <c r="H86" s="226"/>
      <c r="I86" s="71"/>
      <c r="J86" s="71"/>
      <c r="K86" s="345"/>
      <c r="L86" s="71"/>
      <c r="M86" s="226"/>
      <c r="N86" s="71"/>
      <c r="O86" s="71"/>
      <c r="P86" s="345"/>
      <c r="Q86" s="71"/>
      <c r="R86" s="226"/>
      <c r="S86" s="71"/>
      <c r="T86" s="71"/>
      <c r="U86" s="345"/>
      <c r="V86" s="71"/>
      <c r="W86" s="226"/>
      <c r="X86" s="71"/>
      <c r="Y86" s="71"/>
      <c r="Z86" s="345"/>
      <c r="AA86" s="71"/>
      <c r="AB86" s="226"/>
      <c r="AC86" s="71"/>
      <c r="AD86" s="71"/>
      <c r="AE86" s="345"/>
      <c r="AF86" s="71"/>
      <c r="AG86" s="226"/>
      <c r="AH86" s="71"/>
      <c r="AI86" s="71"/>
      <c r="AJ86" s="345"/>
      <c r="AK86" s="71"/>
      <c r="AL86" s="226"/>
      <c r="AM86" s="71"/>
      <c r="AN86" s="71"/>
      <c r="AO86" s="345"/>
      <c r="AP86" s="71"/>
      <c r="AQ86" s="226"/>
      <c r="AR86" s="71"/>
      <c r="AS86" s="71"/>
      <c r="AT86" s="345"/>
      <c r="AU86" s="71"/>
      <c r="AV86" s="226"/>
      <c r="AW86" s="71"/>
      <c r="AX86" s="71"/>
      <c r="AY86" s="345"/>
      <c r="AZ86" s="71"/>
      <c r="BA86" s="226"/>
      <c r="BB86" s="71"/>
      <c r="BC86" s="71"/>
      <c r="BD86" s="345"/>
      <c r="BE86" s="71"/>
      <c r="BF86" s="226"/>
      <c r="BG86" s="71"/>
      <c r="BH86" s="71"/>
      <c r="BI86" s="345"/>
      <c r="BJ86" s="71"/>
      <c r="BK86" s="226"/>
      <c r="BL86" s="71"/>
      <c r="BM86" s="71"/>
      <c r="BN86" s="345"/>
      <c r="BO86" s="71"/>
      <c r="BP86" s="226"/>
      <c r="BQ86" s="71"/>
      <c r="BR86" s="71"/>
      <c r="BS86" s="345"/>
      <c r="BT86" s="71"/>
      <c r="BU86" s="226"/>
      <c r="BV86" s="71"/>
      <c r="BW86" s="71"/>
      <c r="BX86" s="345"/>
      <c r="BY86" s="71"/>
      <c r="BZ86" s="226"/>
      <c r="CA86" s="71"/>
      <c r="CB86" s="71"/>
      <c r="CC86" s="345"/>
      <c r="CD86" s="71"/>
      <c r="CE86" s="226"/>
      <c r="CF86" s="71"/>
      <c r="CG86" s="71"/>
      <c r="CH86" s="345"/>
      <c r="CI86" s="71"/>
      <c r="CJ86" s="226"/>
      <c r="CK86" s="71"/>
      <c r="CL86" s="71"/>
      <c r="CM86" s="345"/>
      <c r="CN86" s="71"/>
      <c r="CO86" s="226"/>
      <c r="CP86" s="71"/>
      <c r="CQ86" s="71"/>
      <c r="CR86" s="345"/>
      <c r="CS86" s="71"/>
      <c r="CT86" s="226"/>
      <c r="CU86" s="71"/>
      <c r="CV86" s="71"/>
      <c r="CW86" s="345"/>
      <c r="CX86" s="71"/>
      <c r="CY86" s="226"/>
      <c r="CZ86" s="71"/>
      <c r="DA86" s="71"/>
      <c r="DB86" s="345"/>
      <c r="DC86" s="71"/>
      <c r="DD86" s="226"/>
      <c r="DE86" s="71"/>
      <c r="DF86" s="71"/>
      <c r="DG86" s="345"/>
      <c r="DH86" s="71"/>
      <c r="DI86" s="226"/>
      <c r="DJ86" s="71"/>
      <c r="DK86" s="71"/>
      <c r="DL86" s="345"/>
      <c r="DM86" s="71"/>
      <c r="DN86" s="226"/>
      <c r="DO86" s="71"/>
      <c r="DP86" s="71"/>
      <c r="DQ86" s="345"/>
      <c r="DR86" s="71"/>
      <c r="DS86" s="226"/>
      <c r="DT86" s="71"/>
      <c r="DU86" s="71"/>
      <c r="DV86" s="345"/>
      <c r="DW86" s="71"/>
      <c r="DX86" s="226"/>
      <c r="DY86" s="71"/>
      <c r="DZ86" s="71"/>
      <c r="EA86" s="345"/>
      <c r="EB86" s="71"/>
      <c r="EC86" s="226"/>
      <c r="ED86" s="71"/>
      <c r="EE86" s="71"/>
      <c r="EF86" s="345"/>
      <c r="EG86" s="71"/>
      <c r="EH86" s="226"/>
      <c r="EI86" s="71"/>
      <c r="EJ86" s="71"/>
      <c r="EK86" s="345"/>
      <c r="EL86" s="71"/>
      <c r="EM86" s="226"/>
      <c r="EN86" s="71"/>
      <c r="EO86" s="71"/>
      <c r="EP86" s="345"/>
      <c r="EQ86" s="71"/>
      <c r="ER86" s="226"/>
      <c r="ES86" s="71"/>
      <c r="ET86" s="71"/>
      <c r="EU86" s="345"/>
      <c r="EV86" s="71"/>
      <c r="EW86" s="226"/>
      <c r="EX86" s="71"/>
      <c r="EY86" s="71"/>
      <c r="EZ86" s="345"/>
      <c r="FA86" s="71"/>
      <c r="FB86" s="226"/>
      <c r="FC86" s="71"/>
      <c r="FD86" s="71"/>
      <c r="FE86" s="345"/>
      <c r="FF86" s="71"/>
      <c r="FG86" s="226"/>
      <c r="FH86" s="71"/>
      <c r="FI86" s="71"/>
      <c r="FJ86" s="345"/>
      <c r="FK86" s="71"/>
      <c r="FL86" s="226"/>
      <c r="FM86" s="71"/>
      <c r="FN86" s="71"/>
      <c r="FO86" s="345"/>
      <c r="FP86" s="71"/>
      <c r="FQ86" s="226"/>
      <c r="FR86" s="71"/>
      <c r="FS86" s="71"/>
      <c r="FT86" s="345"/>
      <c r="FU86" s="71"/>
      <c r="FV86" s="226"/>
      <c r="FW86" s="71"/>
      <c r="FX86" s="71"/>
      <c r="FY86" s="345"/>
      <c r="FZ86" s="71"/>
      <c r="GA86" s="226"/>
      <c r="GB86" s="71"/>
      <c r="GC86" s="71"/>
      <c r="GD86" s="345"/>
      <c r="GE86" s="71"/>
      <c r="GF86" s="226"/>
      <c r="GG86" s="71"/>
      <c r="GH86" s="71"/>
      <c r="GI86" s="345"/>
      <c r="GJ86" s="71"/>
      <c r="GK86" s="226"/>
      <c r="GL86" s="71"/>
      <c r="GM86" s="71"/>
      <c r="GN86" s="345"/>
      <c r="GO86" s="71"/>
      <c r="GP86" s="226"/>
      <c r="GQ86" s="71"/>
      <c r="GR86" s="71"/>
      <c r="GS86" s="345"/>
      <c r="GT86" s="71"/>
      <c r="GU86" s="226"/>
      <c r="GV86" s="71"/>
      <c r="GW86" s="71"/>
      <c r="GX86" s="345"/>
      <c r="GY86" s="71"/>
      <c r="GZ86" s="226"/>
      <c r="HA86" s="71"/>
      <c r="HB86" s="71"/>
      <c r="HC86" s="345"/>
      <c r="HD86" s="71"/>
      <c r="HE86" s="226"/>
      <c r="HF86" s="71"/>
      <c r="HG86" s="71"/>
      <c r="HH86" s="345"/>
      <c r="HI86" s="71"/>
      <c r="HJ86" s="226"/>
      <c r="HK86" s="71"/>
      <c r="HL86" s="71"/>
      <c r="HM86" s="345"/>
      <c r="HN86" s="71"/>
      <c r="HO86" s="226"/>
      <c r="HP86" s="71"/>
      <c r="HQ86" s="71"/>
      <c r="HR86" s="345"/>
      <c r="HS86" s="71"/>
      <c r="HT86" s="226"/>
      <c r="HU86" s="71"/>
      <c r="HV86" s="71"/>
      <c r="HW86" s="345"/>
      <c r="HX86" s="71"/>
      <c r="HY86" s="226"/>
      <c r="HZ86" s="71"/>
      <c r="IA86" s="71"/>
      <c r="IB86" s="345"/>
      <c r="IC86" s="71"/>
      <c r="ID86" s="226"/>
      <c r="IE86" s="71"/>
      <c r="IF86" s="71"/>
      <c r="IG86" s="345"/>
      <c r="IH86" s="71"/>
      <c r="II86" s="226"/>
      <c r="IJ86" s="71"/>
      <c r="IK86" s="71"/>
      <c r="IL86" s="345"/>
      <c r="IM86" s="71"/>
      <c r="IN86" s="226"/>
      <c r="IO86" s="71"/>
      <c r="IP86" s="71"/>
      <c r="IQ86" s="345"/>
      <c r="IR86" s="71"/>
      <c r="IS86" s="226"/>
      <c r="IT86" s="71"/>
      <c r="IU86" s="71"/>
      <c r="IV86" s="345"/>
    </row>
    <row r="87" spans="1:256" x14ac:dyDescent="0.2">
      <c r="A87" s="345">
        <v>30163</v>
      </c>
      <c r="B87" s="71"/>
      <c r="C87" s="226"/>
      <c r="D87" s="71"/>
      <c r="E87" s="71"/>
      <c r="F87" s="345"/>
      <c r="G87" s="71"/>
      <c r="H87" s="226"/>
      <c r="I87" s="71"/>
      <c r="J87" s="71"/>
      <c r="K87" s="345"/>
      <c r="L87" s="71"/>
      <c r="M87" s="226"/>
      <c r="N87" s="71"/>
      <c r="O87" s="71"/>
      <c r="P87" s="345"/>
      <c r="Q87" s="71"/>
      <c r="R87" s="226"/>
      <c r="S87" s="71"/>
      <c r="T87" s="71"/>
      <c r="U87" s="345"/>
      <c r="V87" s="71"/>
      <c r="W87" s="226"/>
      <c r="X87" s="71"/>
      <c r="Y87" s="71"/>
      <c r="Z87" s="345"/>
      <c r="AA87" s="71"/>
      <c r="AB87" s="226"/>
      <c r="AC87" s="71"/>
      <c r="AD87" s="71"/>
      <c r="AE87" s="345"/>
      <c r="AF87" s="71"/>
      <c r="AG87" s="226"/>
      <c r="AH87" s="71"/>
      <c r="AI87" s="71"/>
      <c r="AJ87" s="345"/>
      <c r="AK87" s="71"/>
      <c r="AL87" s="226"/>
      <c r="AM87" s="71"/>
      <c r="AN87" s="71"/>
      <c r="AO87" s="345"/>
      <c r="AP87" s="71"/>
      <c r="AQ87" s="226"/>
      <c r="AR87" s="71"/>
      <c r="AS87" s="71"/>
      <c r="AT87" s="345"/>
      <c r="AU87" s="71"/>
      <c r="AV87" s="226"/>
      <c r="AW87" s="71"/>
      <c r="AX87" s="71"/>
      <c r="AY87" s="345"/>
      <c r="AZ87" s="71"/>
      <c r="BA87" s="226"/>
      <c r="BB87" s="71"/>
      <c r="BC87" s="71"/>
      <c r="BD87" s="345"/>
      <c r="BE87" s="71"/>
      <c r="BF87" s="226"/>
      <c r="BG87" s="71"/>
      <c r="BH87" s="71"/>
      <c r="BI87" s="345"/>
      <c r="BJ87" s="71"/>
      <c r="BK87" s="226"/>
      <c r="BL87" s="71"/>
      <c r="BM87" s="71"/>
      <c r="BN87" s="345"/>
      <c r="BO87" s="71"/>
      <c r="BP87" s="226"/>
      <c r="BQ87" s="71"/>
      <c r="BR87" s="71"/>
      <c r="BS87" s="345"/>
      <c r="BT87" s="71"/>
      <c r="BU87" s="226"/>
      <c r="BV87" s="71"/>
      <c r="BW87" s="71"/>
      <c r="BX87" s="345"/>
      <c r="BY87" s="71"/>
      <c r="BZ87" s="226"/>
      <c r="CA87" s="71"/>
      <c r="CB87" s="71"/>
      <c r="CC87" s="345"/>
      <c r="CD87" s="71"/>
      <c r="CE87" s="226"/>
      <c r="CF87" s="71"/>
      <c r="CG87" s="71"/>
      <c r="CH87" s="345"/>
      <c r="CI87" s="71"/>
      <c r="CJ87" s="226"/>
      <c r="CK87" s="71"/>
      <c r="CL87" s="71"/>
      <c r="CM87" s="345"/>
      <c r="CN87" s="71"/>
      <c r="CO87" s="226"/>
      <c r="CP87" s="71"/>
      <c r="CQ87" s="71"/>
      <c r="CR87" s="345"/>
      <c r="CS87" s="71"/>
      <c r="CT87" s="226"/>
      <c r="CU87" s="71"/>
      <c r="CV87" s="71"/>
      <c r="CW87" s="345"/>
      <c r="CX87" s="71"/>
      <c r="CY87" s="226"/>
      <c r="CZ87" s="71"/>
      <c r="DA87" s="71"/>
      <c r="DB87" s="345"/>
      <c r="DC87" s="71"/>
      <c r="DD87" s="226"/>
      <c r="DE87" s="71"/>
      <c r="DF87" s="71"/>
      <c r="DG87" s="345"/>
      <c r="DH87" s="71"/>
      <c r="DI87" s="226"/>
      <c r="DJ87" s="71"/>
      <c r="DK87" s="71"/>
      <c r="DL87" s="345"/>
      <c r="DM87" s="71"/>
      <c r="DN87" s="226"/>
      <c r="DO87" s="71"/>
      <c r="DP87" s="71"/>
      <c r="DQ87" s="345"/>
      <c r="DR87" s="71"/>
      <c r="DS87" s="226"/>
      <c r="DT87" s="71"/>
      <c r="DU87" s="71"/>
      <c r="DV87" s="345"/>
      <c r="DW87" s="71"/>
      <c r="DX87" s="226"/>
      <c r="DY87" s="71"/>
      <c r="DZ87" s="71"/>
      <c r="EA87" s="345"/>
      <c r="EB87" s="71"/>
      <c r="EC87" s="226"/>
      <c r="ED87" s="71"/>
      <c r="EE87" s="71"/>
      <c r="EF87" s="345"/>
      <c r="EG87" s="71"/>
      <c r="EH87" s="226"/>
      <c r="EI87" s="71"/>
      <c r="EJ87" s="71"/>
      <c r="EK87" s="345"/>
      <c r="EL87" s="71"/>
      <c r="EM87" s="226"/>
      <c r="EN87" s="71"/>
      <c r="EO87" s="71"/>
      <c r="EP87" s="345"/>
      <c r="EQ87" s="71"/>
      <c r="ER87" s="226"/>
      <c r="ES87" s="71"/>
      <c r="ET87" s="71"/>
      <c r="EU87" s="345"/>
      <c r="EV87" s="71"/>
      <c r="EW87" s="226"/>
      <c r="EX87" s="71"/>
      <c r="EY87" s="71"/>
      <c r="EZ87" s="345"/>
      <c r="FA87" s="71"/>
      <c r="FB87" s="226"/>
      <c r="FC87" s="71"/>
      <c r="FD87" s="71"/>
      <c r="FE87" s="345"/>
      <c r="FF87" s="71"/>
      <c r="FG87" s="226"/>
      <c r="FH87" s="71"/>
      <c r="FI87" s="71"/>
      <c r="FJ87" s="345"/>
      <c r="FK87" s="71"/>
      <c r="FL87" s="226"/>
      <c r="FM87" s="71"/>
      <c r="FN87" s="71"/>
      <c r="FO87" s="345"/>
      <c r="FP87" s="71"/>
      <c r="FQ87" s="226"/>
      <c r="FR87" s="71"/>
      <c r="FS87" s="71"/>
      <c r="FT87" s="345"/>
      <c r="FU87" s="71"/>
      <c r="FV87" s="226"/>
      <c r="FW87" s="71"/>
      <c r="FX87" s="71"/>
      <c r="FY87" s="345"/>
      <c r="FZ87" s="71"/>
      <c r="GA87" s="226"/>
      <c r="GB87" s="71"/>
      <c r="GC87" s="71"/>
      <c r="GD87" s="345"/>
      <c r="GE87" s="71"/>
      <c r="GF87" s="226"/>
      <c r="GG87" s="71"/>
      <c r="GH87" s="71"/>
      <c r="GI87" s="345"/>
      <c r="GJ87" s="71"/>
      <c r="GK87" s="226"/>
      <c r="GL87" s="71"/>
      <c r="GM87" s="71"/>
      <c r="GN87" s="345"/>
      <c r="GO87" s="71"/>
      <c r="GP87" s="226"/>
      <c r="GQ87" s="71"/>
      <c r="GR87" s="71"/>
      <c r="GS87" s="345"/>
      <c r="GT87" s="71"/>
      <c r="GU87" s="226"/>
      <c r="GV87" s="71"/>
      <c r="GW87" s="71"/>
      <c r="GX87" s="345"/>
      <c r="GY87" s="71"/>
      <c r="GZ87" s="226"/>
      <c r="HA87" s="71"/>
      <c r="HB87" s="71"/>
      <c r="HC87" s="345"/>
      <c r="HD87" s="71"/>
      <c r="HE87" s="226"/>
      <c r="HF87" s="71"/>
      <c r="HG87" s="71"/>
      <c r="HH87" s="345"/>
      <c r="HI87" s="71"/>
      <c r="HJ87" s="226"/>
      <c r="HK87" s="71"/>
      <c r="HL87" s="71"/>
      <c r="HM87" s="345"/>
      <c r="HN87" s="71"/>
      <c r="HO87" s="226"/>
      <c r="HP87" s="71"/>
      <c r="HQ87" s="71"/>
      <c r="HR87" s="345"/>
      <c r="HS87" s="71"/>
      <c r="HT87" s="226"/>
      <c r="HU87" s="71"/>
      <c r="HV87" s="71"/>
      <c r="HW87" s="345"/>
      <c r="HX87" s="71"/>
      <c r="HY87" s="226"/>
      <c r="HZ87" s="71"/>
      <c r="IA87" s="71"/>
      <c r="IB87" s="345"/>
      <c r="IC87" s="71"/>
      <c r="ID87" s="226"/>
      <c r="IE87" s="71"/>
      <c r="IF87" s="71"/>
      <c r="IG87" s="345"/>
      <c r="IH87" s="71"/>
      <c r="II87" s="226"/>
      <c r="IJ87" s="71"/>
      <c r="IK87" s="71"/>
      <c r="IL87" s="345"/>
      <c r="IM87" s="71"/>
      <c r="IN87" s="226"/>
      <c r="IO87" s="71"/>
      <c r="IP87" s="71"/>
      <c r="IQ87" s="345"/>
      <c r="IR87" s="71"/>
      <c r="IS87" s="226"/>
      <c r="IT87" s="71"/>
      <c r="IU87" s="71"/>
      <c r="IV87" s="345"/>
    </row>
    <row r="88" spans="1:256" x14ac:dyDescent="0.2">
      <c r="A88" s="345">
        <v>30194</v>
      </c>
      <c r="B88" s="71"/>
      <c r="C88" s="226"/>
      <c r="D88" s="71"/>
      <c r="E88" s="71"/>
      <c r="F88" s="345"/>
      <c r="G88" s="71"/>
      <c r="H88" s="226"/>
      <c r="I88" s="71"/>
      <c r="J88" s="71"/>
      <c r="K88" s="345"/>
      <c r="L88" s="71"/>
      <c r="M88" s="226"/>
      <c r="N88" s="71"/>
      <c r="O88" s="71"/>
      <c r="P88" s="345"/>
      <c r="Q88" s="71"/>
      <c r="R88" s="226"/>
      <c r="S88" s="71"/>
      <c r="T88" s="71"/>
      <c r="U88" s="345"/>
      <c r="V88" s="71"/>
      <c r="W88" s="226"/>
      <c r="X88" s="71"/>
      <c r="Y88" s="71"/>
      <c r="Z88" s="345"/>
      <c r="AA88" s="71"/>
      <c r="AB88" s="226"/>
      <c r="AC88" s="71"/>
      <c r="AD88" s="71"/>
      <c r="AE88" s="345"/>
      <c r="AF88" s="71"/>
      <c r="AG88" s="226"/>
      <c r="AH88" s="71"/>
      <c r="AI88" s="71"/>
      <c r="AJ88" s="345"/>
      <c r="AK88" s="71"/>
      <c r="AL88" s="226"/>
      <c r="AM88" s="71"/>
      <c r="AN88" s="71"/>
      <c r="AO88" s="345"/>
      <c r="AP88" s="71"/>
      <c r="AQ88" s="226"/>
      <c r="AR88" s="71"/>
      <c r="AS88" s="71"/>
      <c r="AT88" s="345"/>
      <c r="AU88" s="71"/>
      <c r="AV88" s="226"/>
      <c r="AW88" s="71"/>
      <c r="AX88" s="71"/>
      <c r="AY88" s="345"/>
      <c r="AZ88" s="71"/>
      <c r="BA88" s="226"/>
      <c r="BB88" s="71"/>
      <c r="BC88" s="71"/>
      <c r="BD88" s="345"/>
      <c r="BE88" s="71"/>
      <c r="BF88" s="226"/>
      <c r="BG88" s="71"/>
      <c r="BH88" s="71"/>
      <c r="BI88" s="345"/>
      <c r="BJ88" s="71"/>
      <c r="BK88" s="226"/>
      <c r="BL88" s="71"/>
      <c r="BM88" s="71"/>
      <c r="BN88" s="345"/>
      <c r="BO88" s="71"/>
      <c r="BP88" s="226"/>
      <c r="BQ88" s="71"/>
      <c r="BR88" s="71"/>
      <c r="BS88" s="345"/>
      <c r="BT88" s="71"/>
      <c r="BU88" s="226"/>
      <c r="BV88" s="71"/>
      <c r="BW88" s="71"/>
      <c r="BX88" s="345"/>
      <c r="BY88" s="71"/>
      <c r="BZ88" s="226"/>
      <c r="CA88" s="71"/>
      <c r="CB88" s="71"/>
      <c r="CC88" s="345"/>
      <c r="CD88" s="71"/>
      <c r="CE88" s="226"/>
      <c r="CF88" s="71"/>
      <c r="CG88" s="71"/>
      <c r="CH88" s="345"/>
      <c r="CI88" s="71"/>
      <c r="CJ88" s="226"/>
      <c r="CK88" s="71"/>
      <c r="CL88" s="71"/>
      <c r="CM88" s="345"/>
      <c r="CN88" s="71"/>
      <c r="CO88" s="226"/>
      <c r="CP88" s="71"/>
      <c r="CQ88" s="71"/>
      <c r="CR88" s="345"/>
      <c r="CS88" s="71"/>
      <c r="CT88" s="226"/>
      <c r="CU88" s="71"/>
      <c r="CV88" s="71"/>
      <c r="CW88" s="345"/>
      <c r="CX88" s="71"/>
      <c r="CY88" s="226"/>
      <c r="CZ88" s="71"/>
      <c r="DA88" s="71"/>
      <c r="DB88" s="345"/>
      <c r="DC88" s="71"/>
      <c r="DD88" s="226"/>
      <c r="DE88" s="71"/>
      <c r="DF88" s="71"/>
      <c r="DG88" s="345"/>
      <c r="DH88" s="71"/>
      <c r="DI88" s="226"/>
      <c r="DJ88" s="71"/>
      <c r="DK88" s="71"/>
      <c r="DL88" s="345"/>
      <c r="DM88" s="71"/>
      <c r="DN88" s="226"/>
      <c r="DO88" s="71"/>
      <c r="DP88" s="71"/>
      <c r="DQ88" s="345"/>
      <c r="DR88" s="71"/>
      <c r="DS88" s="226"/>
      <c r="DT88" s="71"/>
      <c r="DU88" s="71"/>
      <c r="DV88" s="345"/>
      <c r="DW88" s="71"/>
      <c r="DX88" s="226"/>
      <c r="DY88" s="71"/>
      <c r="DZ88" s="71"/>
      <c r="EA88" s="345"/>
      <c r="EB88" s="71"/>
      <c r="EC88" s="226"/>
      <c r="ED88" s="71"/>
      <c r="EE88" s="71"/>
      <c r="EF88" s="345"/>
      <c r="EG88" s="71"/>
      <c r="EH88" s="226"/>
      <c r="EI88" s="71"/>
      <c r="EJ88" s="71"/>
      <c r="EK88" s="345"/>
      <c r="EL88" s="71"/>
      <c r="EM88" s="226"/>
      <c r="EN88" s="71"/>
      <c r="EO88" s="71"/>
      <c r="EP88" s="345"/>
      <c r="EQ88" s="71"/>
      <c r="ER88" s="226"/>
      <c r="ES88" s="71"/>
      <c r="ET88" s="71"/>
      <c r="EU88" s="345"/>
      <c r="EV88" s="71"/>
      <c r="EW88" s="226"/>
      <c r="EX88" s="71"/>
      <c r="EY88" s="71"/>
      <c r="EZ88" s="345"/>
      <c r="FA88" s="71"/>
      <c r="FB88" s="226"/>
      <c r="FC88" s="71"/>
      <c r="FD88" s="71"/>
      <c r="FE88" s="345"/>
      <c r="FF88" s="71"/>
      <c r="FG88" s="226"/>
      <c r="FH88" s="71"/>
      <c r="FI88" s="71"/>
      <c r="FJ88" s="345"/>
      <c r="FK88" s="71"/>
      <c r="FL88" s="226"/>
      <c r="FM88" s="71"/>
      <c r="FN88" s="71"/>
      <c r="FO88" s="345"/>
      <c r="FP88" s="71"/>
      <c r="FQ88" s="226"/>
      <c r="FR88" s="71"/>
      <c r="FS88" s="71"/>
      <c r="FT88" s="345"/>
      <c r="FU88" s="71"/>
      <c r="FV88" s="226"/>
      <c r="FW88" s="71"/>
      <c r="FX88" s="71"/>
      <c r="FY88" s="345"/>
      <c r="FZ88" s="71"/>
      <c r="GA88" s="226"/>
      <c r="GB88" s="71"/>
      <c r="GC88" s="71"/>
      <c r="GD88" s="345"/>
      <c r="GE88" s="71"/>
      <c r="GF88" s="226"/>
      <c r="GG88" s="71"/>
      <c r="GH88" s="71"/>
      <c r="GI88" s="345"/>
      <c r="GJ88" s="71"/>
      <c r="GK88" s="226"/>
      <c r="GL88" s="71"/>
      <c r="GM88" s="71"/>
      <c r="GN88" s="345"/>
      <c r="GO88" s="71"/>
      <c r="GP88" s="226"/>
      <c r="GQ88" s="71"/>
      <c r="GR88" s="71"/>
      <c r="GS88" s="345"/>
      <c r="GT88" s="71"/>
      <c r="GU88" s="226"/>
      <c r="GV88" s="71"/>
      <c r="GW88" s="71"/>
      <c r="GX88" s="345"/>
      <c r="GY88" s="71"/>
      <c r="GZ88" s="226"/>
      <c r="HA88" s="71"/>
      <c r="HB88" s="71"/>
      <c r="HC88" s="345"/>
      <c r="HD88" s="71"/>
      <c r="HE88" s="226"/>
      <c r="HF88" s="71"/>
      <c r="HG88" s="71"/>
      <c r="HH88" s="345"/>
      <c r="HI88" s="71"/>
      <c r="HJ88" s="226"/>
      <c r="HK88" s="71"/>
      <c r="HL88" s="71"/>
      <c r="HM88" s="345"/>
      <c r="HN88" s="71"/>
      <c r="HO88" s="226"/>
      <c r="HP88" s="71"/>
      <c r="HQ88" s="71"/>
      <c r="HR88" s="345"/>
      <c r="HS88" s="71"/>
      <c r="HT88" s="226"/>
      <c r="HU88" s="71"/>
      <c r="HV88" s="71"/>
      <c r="HW88" s="345"/>
      <c r="HX88" s="71"/>
      <c r="HY88" s="226"/>
      <c r="HZ88" s="71"/>
      <c r="IA88" s="71"/>
      <c r="IB88" s="345"/>
      <c r="IC88" s="71"/>
      <c r="ID88" s="226"/>
      <c r="IE88" s="71"/>
      <c r="IF88" s="71"/>
      <c r="IG88" s="345"/>
      <c r="IH88" s="71"/>
      <c r="II88" s="226"/>
      <c r="IJ88" s="71"/>
      <c r="IK88" s="71"/>
      <c r="IL88" s="345"/>
      <c r="IM88" s="71"/>
      <c r="IN88" s="226"/>
      <c r="IO88" s="71"/>
      <c r="IP88" s="71"/>
      <c r="IQ88" s="345"/>
      <c r="IR88" s="71"/>
      <c r="IS88" s="226"/>
      <c r="IT88" s="71"/>
      <c r="IU88" s="71"/>
      <c r="IV88" s="345"/>
    </row>
    <row r="89" spans="1:256" x14ac:dyDescent="0.2">
      <c r="A89" s="345">
        <v>30224</v>
      </c>
      <c r="B89" s="71"/>
      <c r="C89" s="226"/>
      <c r="D89" s="71"/>
      <c r="E89" s="71"/>
      <c r="F89" s="345"/>
      <c r="G89" s="71"/>
      <c r="H89" s="226"/>
      <c r="I89" s="71"/>
      <c r="J89" s="71"/>
      <c r="K89" s="345"/>
      <c r="L89" s="71"/>
      <c r="M89" s="226"/>
      <c r="N89" s="71"/>
      <c r="O89" s="71"/>
      <c r="P89" s="345"/>
      <c r="Q89" s="71"/>
      <c r="R89" s="226"/>
      <c r="S89" s="71"/>
      <c r="T89" s="71"/>
      <c r="U89" s="345"/>
      <c r="V89" s="71"/>
      <c r="W89" s="226"/>
      <c r="X89" s="71"/>
      <c r="Y89" s="71"/>
      <c r="Z89" s="345"/>
      <c r="AA89" s="71"/>
      <c r="AB89" s="226"/>
      <c r="AC89" s="71"/>
      <c r="AD89" s="71"/>
      <c r="AE89" s="345"/>
      <c r="AF89" s="71"/>
      <c r="AG89" s="226"/>
      <c r="AH89" s="71"/>
      <c r="AI89" s="71"/>
      <c r="AJ89" s="345"/>
      <c r="AK89" s="71"/>
      <c r="AL89" s="226"/>
      <c r="AM89" s="71"/>
      <c r="AN89" s="71"/>
      <c r="AO89" s="345"/>
      <c r="AP89" s="71"/>
      <c r="AQ89" s="226"/>
      <c r="AR89" s="71"/>
      <c r="AS89" s="71"/>
      <c r="AT89" s="345"/>
      <c r="AU89" s="71"/>
      <c r="AV89" s="226"/>
      <c r="AW89" s="71"/>
      <c r="AX89" s="71"/>
      <c r="AY89" s="345"/>
      <c r="AZ89" s="71"/>
      <c r="BA89" s="226"/>
      <c r="BB89" s="71"/>
      <c r="BC89" s="71"/>
      <c r="BD89" s="345"/>
      <c r="BE89" s="71"/>
      <c r="BF89" s="226"/>
      <c r="BG89" s="71"/>
      <c r="BH89" s="71"/>
      <c r="BI89" s="345"/>
      <c r="BJ89" s="71"/>
      <c r="BK89" s="226"/>
      <c r="BL89" s="71"/>
      <c r="BM89" s="71"/>
      <c r="BN89" s="345"/>
      <c r="BO89" s="71"/>
      <c r="BP89" s="226"/>
      <c r="BQ89" s="71"/>
      <c r="BR89" s="71"/>
      <c r="BS89" s="345"/>
      <c r="BT89" s="71"/>
      <c r="BU89" s="226"/>
      <c r="BV89" s="71"/>
      <c r="BW89" s="71"/>
      <c r="BX89" s="345"/>
      <c r="BY89" s="71"/>
      <c r="BZ89" s="226"/>
      <c r="CA89" s="71"/>
      <c r="CB89" s="71"/>
      <c r="CC89" s="345"/>
      <c r="CD89" s="71"/>
      <c r="CE89" s="226"/>
      <c r="CF89" s="71"/>
      <c r="CG89" s="71"/>
      <c r="CH89" s="345"/>
      <c r="CI89" s="71"/>
      <c r="CJ89" s="226"/>
      <c r="CK89" s="71"/>
      <c r="CL89" s="71"/>
      <c r="CM89" s="345"/>
      <c r="CN89" s="71"/>
      <c r="CO89" s="226"/>
      <c r="CP89" s="71"/>
      <c r="CQ89" s="71"/>
      <c r="CR89" s="345"/>
      <c r="CS89" s="71"/>
      <c r="CT89" s="226"/>
      <c r="CU89" s="71"/>
      <c r="CV89" s="71"/>
      <c r="CW89" s="345"/>
      <c r="CX89" s="71"/>
      <c r="CY89" s="226"/>
      <c r="CZ89" s="71"/>
      <c r="DA89" s="71"/>
      <c r="DB89" s="345"/>
      <c r="DC89" s="71"/>
      <c r="DD89" s="226"/>
      <c r="DE89" s="71"/>
      <c r="DF89" s="71"/>
      <c r="DG89" s="345"/>
      <c r="DH89" s="71"/>
      <c r="DI89" s="226"/>
      <c r="DJ89" s="71"/>
      <c r="DK89" s="71"/>
      <c r="DL89" s="345"/>
      <c r="DM89" s="71"/>
      <c r="DN89" s="226"/>
      <c r="DO89" s="71"/>
      <c r="DP89" s="71"/>
      <c r="DQ89" s="345"/>
      <c r="DR89" s="71"/>
      <c r="DS89" s="226"/>
      <c r="DT89" s="71"/>
      <c r="DU89" s="71"/>
      <c r="DV89" s="345"/>
      <c r="DW89" s="71"/>
      <c r="DX89" s="226"/>
      <c r="DY89" s="71"/>
      <c r="DZ89" s="71"/>
      <c r="EA89" s="345"/>
      <c r="EB89" s="71"/>
      <c r="EC89" s="226"/>
      <c r="ED89" s="71"/>
      <c r="EE89" s="71"/>
      <c r="EF89" s="345"/>
      <c r="EG89" s="71"/>
      <c r="EH89" s="226"/>
      <c r="EI89" s="71"/>
      <c r="EJ89" s="71"/>
      <c r="EK89" s="345"/>
      <c r="EL89" s="71"/>
      <c r="EM89" s="226"/>
      <c r="EN89" s="71"/>
      <c r="EO89" s="71"/>
      <c r="EP89" s="345"/>
      <c r="EQ89" s="71"/>
      <c r="ER89" s="226"/>
      <c r="ES89" s="71"/>
      <c r="ET89" s="71"/>
      <c r="EU89" s="345"/>
      <c r="EV89" s="71"/>
      <c r="EW89" s="226"/>
      <c r="EX89" s="71"/>
      <c r="EY89" s="71"/>
      <c r="EZ89" s="345"/>
      <c r="FA89" s="71"/>
      <c r="FB89" s="226"/>
      <c r="FC89" s="71"/>
      <c r="FD89" s="71"/>
      <c r="FE89" s="345"/>
      <c r="FF89" s="71"/>
      <c r="FG89" s="226"/>
      <c r="FH89" s="71"/>
      <c r="FI89" s="71"/>
      <c r="FJ89" s="345"/>
      <c r="FK89" s="71"/>
      <c r="FL89" s="226"/>
      <c r="FM89" s="71"/>
      <c r="FN89" s="71"/>
      <c r="FO89" s="345"/>
      <c r="FP89" s="71"/>
      <c r="FQ89" s="226"/>
      <c r="FR89" s="71"/>
      <c r="FS89" s="71"/>
      <c r="FT89" s="345"/>
      <c r="FU89" s="71"/>
      <c r="FV89" s="226"/>
      <c r="FW89" s="71"/>
      <c r="FX89" s="71"/>
      <c r="FY89" s="345"/>
      <c r="FZ89" s="71"/>
      <c r="GA89" s="226"/>
      <c r="GB89" s="71"/>
      <c r="GC89" s="71"/>
      <c r="GD89" s="345"/>
      <c r="GE89" s="71"/>
      <c r="GF89" s="226"/>
      <c r="GG89" s="71"/>
      <c r="GH89" s="71"/>
      <c r="GI89" s="345"/>
      <c r="GJ89" s="71"/>
      <c r="GK89" s="226"/>
      <c r="GL89" s="71"/>
      <c r="GM89" s="71"/>
      <c r="GN89" s="345"/>
      <c r="GO89" s="71"/>
      <c r="GP89" s="226"/>
      <c r="GQ89" s="71"/>
      <c r="GR89" s="71"/>
      <c r="GS89" s="345"/>
      <c r="GT89" s="71"/>
      <c r="GU89" s="226"/>
      <c r="GV89" s="71"/>
      <c r="GW89" s="71"/>
      <c r="GX89" s="345"/>
      <c r="GY89" s="71"/>
      <c r="GZ89" s="226"/>
      <c r="HA89" s="71"/>
      <c r="HB89" s="71"/>
      <c r="HC89" s="345"/>
      <c r="HD89" s="71"/>
      <c r="HE89" s="226"/>
      <c r="HF89" s="71"/>
      <c r="HG89" s="71"/>
      <c r="HH89" s="345"/>
      <c r="HI89" s="71"/>
      <c r="HJ89" s="226"/>
      <c r="HK89" s="71"/>
      <c r="HL89" s="71"/>
      <c r="HM89" s="345"/>
      <c r="HN89" s="71"/>
      <c r="HO89" s="226"/>
      <c r="HP89" s="71"/>
      <c r="HQ89" s="71"/>
      <c r="HR89" s="345"/>
      <c r="HS89" s="71"/>
      <c r="HT89" s="226"/>
      <c r="HU89" s="71"/>
      <c r="HV89" s="71"/>
      <c r="HW89" s="345"/>
      <c r="HX89" s="71"/>
      <c r="HY89" s="226"/>
      <c r="HZ89" s="71"/>
      <c r="IA89" s="71"/>
      <c r="IB89" s="345"/>
      <c r="IC89" s="71"/>
      <c r="ID89" s="226"/>
      <c r="IE89" s="71"/>
      <c r="IF89" s="71"/>
      <c r="IG89" s="345"/>
      <c r="IH89" s="71"/>
      <c r="II89" s="226"/>
      <c r="IJ89" s="71"/>
      <c r="IK89" s="71"/>
      <c r="IL89" s="345"/>
      <c r="IM89" s="71"/>
      <c r="IN89" s="226"/>
      <c r="IO89" s="71"/>
      <c r="IP89" s="71"/>
      <c r="IQ89" s="345"/>
      <c r="IR89" s="71"/>
      <c r="IS89" s="226"/>
      <c r="IT89" s="71"/>
      <c r="IU89" s="71"/>
      <c r="IV89" s="345"/>
    </row>
    <row r="90" spans="1:256" x14ac:dyDescent="0.2">
      <c r="A90" s="345">
        <v>30255</v>
      </c>
      <c r="B90" s="71"/>
      <c r="C90" s="226"/>
      <c r="D90" s="71"/>
      <c r="E90" s="71"/>
      <c r="F90" s="345"/>
      <c r="G90" s="71"/>
      <c r="H90" s="226"/>
      <c r="I90" s="71"/>
      <c r="J90" s="71"/>
      <c r="K90" s="345"/>
      <c r="L90" s="71"/>
      <c r="M90" s="226"/>
      <c r="N90" s="71"/>
      <c r="O90" s="71"/>
      <c r="P90" s="345"/>
      <c r="Q90" s="71"/>
      <c r="R90" s="226"/>
      <c r="S90" s="71"/>
      <c r="T90" s="71"/>
      <c r="U90" s="345"/>
      <c r="V90" s="71"/>
      <c r="W90" s="226"/>
      <c r="X90" s="71"/>
      <c r="Y90" s="71"/>
      <c r="Z90" s="345"/>
      <c r="AA90" s="71"/>
      <c r="AB90" s="226"/>
      <c r="AC90" s="71"/>
      <c r="AD90" s="71"/>
      <c r="AE90" s="345"/>
      <c r="AF90" s="71"/>
      <c r="AG90" s="226"/>
      <c r="AH90" s="71"/>
      <c r="AI90" s="71"/>
      <c r="AJ90" s="345"/>
      <c r="AK90" s="71"/>
      <c r="AL90" s="226"/>
      <c r="AM90" s="71"/>
      <c r="AN90" s="71"/>
      <c r="AO90" s="345"/>
      <c r="AP90" s="71"/>
      <c r="AQ90" s="226"/>
      <c r="AR90" s="71"/>
      <c r="AS90" s="71"/>
      <c r="AT90" s="345"/>
      <c r="AU90" s="71"/>
      <c r="AV90" s="226"/>
      <c r="AW90" s="71"/>
      <c r="AX90" s="71"/>
      <c r="AY90" s="345"/>
      <c r="AZ90" s="71"/>
      <c r="BA90" s="226"/>
      <c r="BB90" s="71"/>
      <c r="BC90" s="71"/>
      <c r="BD90" s="345"/>
      <c r="BE90" s="71"/>
      <c r="BF90" s="226"/>
      <c r="BG90" s="71"/>
      <c r="BH90" s="71"/>
      <c r="BI90" s="345"/>
      <c r="BJ90" s="71"/>
      <c r="BK90" s="226"/>
      <c r="BL90" s="71"/>
      <c r="BM90" s="71"/>
      <c r="BN90" s="345"/>
      <c r="BO90" s="71"/>
      <c r="BP90" s="226"/>
      <c r="BQ90" s="71"/>
      <c r="BR90" s="71"/>
      <c r="BS90" s="345"/>
      <c r="BT90" s="71"/>
      <c r="BU90" s="226"/>
      <c r="BV90" s="71"/>
      <c r="BW90" s="71"/>
      <c r="BX90" s="345"/>
      <c r="BY90" s="71"/>
      <c r="BZ90" s="226"/>
      <c r="CA90" s="71"/>
      <c r="CB90" s="71"/>
      <c r="CC90" s="345"/>
      <c r="CD90" s="71"/>
      <c r="CE90" s="226"/>
      <c r="CF90" s="71"/>
      <c r="CG90" s="71"/>
      <c r="CH90" s="345"/>
      <c r="CI90" s="71"/>
      <c r="CJ90" s="226"/>
      <c r="CK90" s="71"/>
      <c r="CL90" s="71"/>
      <c r="CM90" s="345"/>
      <c r="CN90" s="71"/>
      <c r="CO90" s="226"/>
      <c r="CP90" s="71"/>
      <c r="CQ90" s="71"/>
      <c r="CR90" s="345"/>
      <c r="CS90" s="71"/>
      <c r="CT90" s="226"/>
      <c r="CU90" s="71"/>
      <c r="CV90" s="71"/>
      <c r="CW90" s="345"/>
      <c r="CX90" s="71"/>
      <c r="CY90" s="226"/>
      <c r="CZ90" s="71"/>
      <c r="DA90" s="71"/>
      <c r="DB90" s="345"/>
      <c r="DC90" s="71"/>
      <c r="DD90" s="226"/>
      <c r="DE90" s="71"/>
      <c r="DF90" s="71"/>
      <c r="DG90" s="345"/>
      <c r="DH90" s="71"/>
      <c r="DI90" s="226"/>
      <c r="DJ90" s="71"/>
      <c r="DK90" s="71"/>
      <c r="DL90" s="345"/>
      <c r="DM90" s="71"/>
      <c r="DN90" s="226"/>
      <c r="DO90" s="71"/>
      <c r="DP90" s="71"/>
      <c r="DQ90" s="345"/>
      <c r="DR90" s="71"/>
      <c r="DS90" s="226"/>
      <c r="DT90" s="71"/>
      <c r="DU90" s="71"/>
      <c r="DV90" s="345"/>
      <c r="DW90" s="71"/>
      <c r="DX90" s="226"/>
      <c r="DY90" s="71"/>
      <c r="DZ90" s="71"/>
      <c r="EA90" s="345"/>
      <c r="EB90" s="71"/>
      <c r="EC90" s="226"/>
      <c r="ED90" s="71"/>
      <c r="EE90" s="71"/>
      <c r="EF90" s="345"/>
      <c r="EG90" s="71"/>
      <c r="EH90" s="226"/>
      <c r="EI90" s="71"/>
      <c r="EJ90" s="71"/>
      <c r="EK90" s="345"/>
      <c r="EL90" s="71"/>
      <c r="EM90" s="226"/>
      <c r="EN90" s="71"/>
      <c r="EO90" s="71"/>
      <c r="EP90" s="345"/>
      <c r="EQ90" s="71"/>
      <c r="ER90" s="226"/>
      <c r="ES90" s="71"/>
      <c r="ET90" s="71"/>
      <c r="EU90" s="345"/>
      <c r="EV90" s="71"/>
      <c r="EW90" s="226"/>
      <c r="EX90" s="71"/>
      <c r="EY90" s="71"/>
      <c r="EZ90" s="345"/>
      <c r="FA90" s="71"/>
      <c r="FB90" s="226"/>
      <c r="FC90" s="71"/>
      <c r="FD90" s="71"/>
      <c r="FE90" s="345"/>
      <c r="FF90" s="71"/>
      <c r="FG90" s="226"/>
      <c r="FH90" s="71"/>
      <c r="FI90" s="71"/>
      <c r="FJ90" s="345"/>
      <c r="FK90" s="71"/>
      <c r="FL90" s="226"/>
      <c r="FM90" s="71"/>
      <c r="FN90" s="71"/>
      <c r="FO90" s="345"/>
      <c r="FP90" s="71"/>
      <c r="FQ90" s="226"/>
      <c r="FR90" s="71"/>
      <c r="FS90" s="71"/>
      <c r="FT90" s="345"/>
      <c r="FU90" s="71"/>
      <c r="FV90" s="226"/>
      <c r="FW90" s="71"/>
      <c r="FX90" s="71"/>
      <c r="FY90" s="345"/>
      <c r="FZ90" s="71"/>
      <c r="GA90" s="226"/>
      <c r="GB90" s="71"/>
      <c r="GC90" s="71"/>
      <c r="GD90" s="345"/>
      <c r="GE90" s="71"/>
      <c r="GF90" s="226"/>
      <c r="GG90" s="71"/>
      <c r="GH90" s="71"/>
      <c r="GI90" s="345"/>
      <c r="GJ90" s="71"/>
      <c r="GK90" s="226"/>
      <c r="GL90" s="71"/>
      <c r="GM90" s="71"/>
      <c r="GN90" s="345"/>
      <c r="GO90" s="71"/>
      <c r="GP90" s="226"/>
      <c r="GQ90" s="71"/>
      <c r="GR90" s="71"/>
      <c r="GS90" s="345"/>
      <c r="GT90" s="71"/>
      <c r="GU90" s="226"/>
      <c r="GV90" s="71"/>
      <c r="GW90" s="71"/>
      <c r="GX90" s="345"/>
      <c r="GY90" s="71"/>
      <c r="GZ90" s="226"/>
      <c r="HA90" s="71"/>
      <c r="HB90" s="71"/>
      <c r="HC90" s="345"/>
      <c r="HD90" s="71"/>
      <c r="HE90" s="226"/>
      <c r="HF90" s="71"/>
      <c r="HG90" s="71"/>
      <c r="HH90" s="345"/>
      <c r="HI90" s="71"/>
      <c r="HJ90" s="226"/>
      <c r="HK90" s="71"/>
      <c r="HL90" s="71"/>
      <c r="HM90" s="345"/>
      <c r="HN90" s="71"/>
      <c r="HO90" s="226"/>
      <c r="HP90" s="71"/>
      <c r="HQ90" s="71"/>
      <c r="HR90" s="345"/>
      <c r="HS90" s="71"/>
      <c r="HT90" s="226"/>
      <c r="HU90" s="71"/>
      <c r="HV90" s="71"/>
      <c r="HW90" s="345"/>
      <c r="HX90" s="71"/>
      <c r="HY90" s="226"/>
      <c r="HZ90" s="71"/>
      <c r="IA90" s="71"/>
      <c r="IB90" s="345"/>
      <c r="IC90" s="71"/>
      <c r="ID90" s="226"/>
      <c r="IE90" s="71"/>
      <c r="IF90" s="71"/>
      <c r="IG90" s="345"/>
      <c r="IH90" s="71"/>
      <c r="II90" s="226"/>
      <c r="IJ90" s="71"/>
      <c r="IK90" s="71"/>
      <c r="IL90" s="345"/>
      <c r="IM90" s="71"/>
      <c r="IN90" s="226"/>
      <c r="IO90" s="71"/>
      <c r="IP90" s="71"/>
      <c r="IQ90" s="345"/>
      <c r="IR90" s="71"/>
      <c r="IS90" s="226"/>
      <c r="IT90" s="71"/>
      <c r="IU90" s="71"/>
      <c r="IV90" s="345"/>
    </row>
    <row r="91" spans="1:256" x14ac:dyDescent="0.2">
      <c r="A91" s="345">
        <v>30285</v>
      </c>
      <c r="B91" s="71"/>
      <c r="C91" s="226"/>
      <c r="D91" s="71"/>
      <c r="E91" s="71"/>
      <c r="F91" s="345"/>
      <c r="G91" s="71"/>
      <c r="H91" s="226"/>
      <c r="I91" s="71"/>
      <c r="J91" s="71"/>
      <c r="K91" s="345"/>
      <c r="L91" s="71"/>
      <c r="M91" s="226"/>
      <c r="N91" s="71"/>
      <c r="O91" s="71"/>
      <c r="P91" s="345"/>
      <c r="Q91" s="71"/>
      <c r="R91" s="226"/>
      <c r="S91" s="71"/>
      <c r="T91" s="71"/>
      <c r="U91" s="345"/>
      <c r="V91" s="71"/>
      <c r="W91" s="226"/>
      <c r="X91" s="71"/>
      <c r="Y91" s="71"/>
      <c r="Z91" s="345"/>
      <c r="AA91" s="71"/>
      <c r="AB91" s="226"/>
      <c r="AC91" s="71"/>
      <c r="AD91" s="71"/>
      <c r="AE91" s="345"/>
      <c r="AF91" s="71"/>
      <c r="AG91" s="226"/>
      <c r="AH91" s="71"/>
      <c r="AI91" s="71"/>
      <c r="AJ91" s="345"/>
      <c r="AK91" s="71"/>
      <c r="AL91" s="226"/>
      <c r="AM91" s="71"/>
      <c r="AN91" s="71"/>
      <c r="AO91" s="345"/>
      <c r="AP91" s="71"/>
      <c r="AQ91" s="226"/>
      <c r="AR91" s="71"/>
      <c r="AS91" s="71"/>
      <c r="AT91" s="345"/>
      <c r="AU91" s="71"/>
      <c r="AV91" s="226"/>
      <c r="AW91" s="71"/>
      <c r="AX91" s="71"/>
      <c r="AY91" s="345"/>
      <c r="AZ91" s="71"/>
      <c r="BA91" s="226"/>
      <c r="BB91" s="71"/>
      <c r="BC91" s="71"/>
      <c r="BD91" s="345"/>
      <c r="BE91" s="71"/>
      <c r="BF91" s="226"/>
      <c r="BG91" s="71"/>
      <c r="BH91" s="71"/>
      <c r="BI91" s="345"/>
      <c r="BJ91" s="71"/>
      <c r="BK91" s="226"/>
      <c r="BL91" s="71"/>
      <c r="BM91" s="71"/>
      <c r="BN91" s="345"/>
      <c r="BO91" s="71"/>
      <c r="BP91" s="226"/>
      <c r="BQ91" s="71"/>
      <c r="BR91" s="71"/>
      <c r="BS91" s="345"/>
      <c r="BT91" s="71"/>
      <c r="BU91" s="226"/>
      <c r="BV91" s="71"/>
      <c r="BW91" s="71"/>
      <c r="BX91" s="345"/>
      <c r="BY91" s="71"/>
      <c r="BZ91" s="226"/>
      <c r="CA91" s="71"/>
      <c r="CB91" s="71"/>
      <c r="CC91" s="345"/>
      <c r="CD91" s="71"/>
      <c r="CE91" s="226"/>
      <c r="CF91" s="71"/>
      <c r="CG91" s="71"/>
      <c r="CH91" s="345"/>
      <c r="CI91" s="71"/>
      <c r="CJ91" s="226"/>
      <c r="CK91" s="71"/>
      <c r="CL91" s="71"/>
      <c r="CM91" s="345"/>
      <c r="CN91" s="71"/>
      <c r="CO91" s="226"/>
      <c r="CP91" s="71"/>
      <c r="CQ91" s="71"/>
      <c r="CR91" s="345"/>
      <c r="CS91" s="71"/>
      <c r="CT91" s="226"/>
      <c r="CU91" s="71"/>
      <c r="CV91" s="71"/>
      <c r="CW91" s="345"/>
      <c r="CX91" s="71"/>
      <c r="CY91" s="226"/>
      <c r="CZ91" s="71"/>
      <c r="DA91" s="71"/>
      <c r="DB91" s="345"/>
      <c r="DC91" s="71"/>
      <c r="DD91" s="226"/>
      <c r="DE91" s="71"/>
      <c r="DF91" s="71"/>
      <c r="DG91" s="345"/>
      <c r="DH91" s="71"/>
      <c r="DI91" s="226"/>
      <c r="DJ91" s="71"/>
      <c r="DK91" s="71"/>
      <c r="DL91" s="345"/>
      <c r="DM91" s="71"/>
      <c r="DN91" s="226"/>
      <c r="DO91" s="71"/>
      <c r="DP91" s="71"/>
      <c r="DQ91" s="345"/>
      <c r="DR91" s="71"/>
      <c r="DS91" s="226"/>
      <c r="DT91" s="71"/>
      <c r="DU91" s="71"/>
      <c r="DV91" s="345"/>
      <c r="DW91" s="71"/>
      <c r="DX91" s="226"/>
      <c r="DY91" s="71"/>
      <c r="DZ91" s="71"/>
      <c r="EA91" s="345"/>
      <c r="EB91" s="71"/>
      <c r="EC91" s="226"/>
      <c r="ED91" s="71"/>
      <c r="EE91" s="71"/>
      <c r="EF91" s="345"/>
      <c r="EG91" s="71"/>
      <c r="EH91" s="226"/>
      <c r="EI91" s="71"/>
      <c r="EJ91" s="71"/>
      <c r="EK91" s="345"/>
      <c r="EL91" s="71"/>
      <c r="EM91" s="226"/>
      <c r="EN91" s="71"/>
      <c r="EO91" s="71"/>
      <c r="EP91" s="345"/>
      <c r="EQ91" s="71"/>
      <c r="ER91" s="226"/>
      <c r="ES91" s="71"/>
      <c r="ET91" s="71"/>
      <c r="EU91" s="345"/>
      <c r="EV91" s="71"/>
      <c r="EW91" s="226"/>
      <c r="EX91" s="71"/>
      <c r="EY91" s="71"/>
      <c r="EZ91" s="345"/>
      <c r="FA91" s="71"/>
      <c r="FB91" s="226"/>
      <c r="FC91" s="71"/>
      <c r="FD91" s="71"/>
      <c r="FE91" s="345"/>
      <c r="FF91" s="71"/>
      <c r="FG91" s="226"/>
      <c r="FH91" s="71"/>
      <c r="FI91" s="71"/>
      <c r="FJ91" s="345"/>
      <c r="FK91" s="71"/>
      <c r="FL91" s="226"/>
      <c r="FM91" s="71"/>
      <c r="FN91" s="71"/>
      <c r="FO91" s="345"/>
      <c r="FP91" s="71"/>
      <c r="FQ91" s="226"/>
      <c r="FR91" s="71"/>
      <c r="FS91" s="71"/>
      <c r="FT91" s="345"/>
      <c r="FU91" s="71"/>
      <c r="FV91" s="226"/>
      <c r="FW91" s="71"/>
      <c r="FX91" s="71"/>
      <c r="FY91" s="345"/>
      <c r="FZ91" s="71"/>
      <c r="GA91" s="226"/>
      <c r="GB91" s="71"/>
      <c r="GC91" s="71"/>
      <c r="GD91" s="345"/>
      <c r="GE91" s="71"/>
      <c r="GF91" s="226"/>
      <c r="GG91" s="71"/>
      <c r="GH91" s="71"/>
      <c r="GI91" s="345"/>
      <c r="GJ91" s="71"/>
      <c r="GK91" s="226"/>
      <c r="GL91" s="71"/>
      <c r="GM91" s="71"/>
      <c r="GN91" s="345"/>
      <c r="GO91" s="71"/>
      <c r="GP91" s="226"/>
      <c r="GQ91" s="71"/>
      <c r="GR91" s="71"/>
      <c r="GS91" s="345"/>
      <c r="GT91" s="71"/>
      <c r="GU91" s="226"/>
      <c r="GV91" s="71"/>
      <c r="GW91" s="71"/>
      <c r="GX91" s="345"/>
      <c r="GY91" s="71"/>
      <c r="GZ91" s="226"/>
      <c r="HA91" s="71"/>
      <c r="HB91" s="71"/>
      <c r="HC91" s="345"/>
      <c r="HD91" s="71"/>
      <c r="HE91" s="226"/>
      <c r="HF91" s="71"/>
      <c r="HG91" s="71"/>
      <c r="HH91" s="345"/>
      <c r="HI91" s="71"/>
      <c r="HJ91" s="226"/>
      <c r="HK91" s="71"/>
      <c r="HL91" s="71"/>
      <c r="HM91" s="345"/>
      <c r="HN91" s="71"/>
      <c r="HO91" s="226"/>
      <c r="HP91" s="71"/>
      <c r="HQ91" s="71"/>
      <c r="HR91" s="345"/>
      <c r="HS91" s="71"/>
      <c r="HT91" s="226"/>
      <c r="HU91" s="71"/>
      <c r="HV91" s="71"/>
      <c r="HW91" s="345"/>
      <c r="HX91" s="71"/>
      <c r="HY91" s="226"/>
      <c r="HZ91" s="71"/>
      <c r="IA91" s="71"/>
      <c r="IB91" s="345"/>
      <c r="IC91" s="71"/>
      <c r="ID91" s="226"/>
      <c r="IE91" s="71"/>
      <c r="IF91" s="71"/>
      <c r="IG91" s="345"/>
      <c r="IH91" s="71"/>
      <c r="II91" s="226"/>
      <c r="IJ91" s="71"/>
      <c r="IK91" s="71"/>
      <c r="IL91" s="345"/>
      <c r="IM91" s="71"/>
      <c r="IN91" s="226"/>
      <c r="IO91" s="71"/>
      <c r="IP91" s="71"/>
      <c r="IQ91" s="345"/>
      <c r="IR91" s="71"/>
      <c r="IS91" s="226"/>
      <c r="IT91" s="71"/>
      <c r="IU91" s="71"/>
      <c r="IV91" s="345"/>
    </row>
    <row r="92" spans="1:256" x14ac:dyDescent="0.2">
      <c r="A92" s="345">
        <v>30316</v>
      </c>
      <c r="B92" s="71"/>
      <c r="C92" s="226"/>
      <c r="D92" s="71"/>
      <c r="E92" s="71"/>
      <c r="F92" s="345"/>
      <c r="G92" s="71"/>
      <c r="H92" s="226"/>
      <c r="I92" s="71"/>
      <c r="J92" s="71"/>
      <c r="K92" s="345"/>
      <c r="L92" s="71"/>
      <c r="M92" s="226"/>
      <c r="N92" s="71"/>
      <c r="O92" s="71"/>
      <c r="P92" s="345"/>
      <c r="Q92" s="71"/>
      <c r="R92" s="226"/>
      <c r="S92" s="71"/>
      <c r="T92" s="71"/>
      <c r="U92" s="345"/>
      <c r="V92" s="71"/>
      <c r="W92" s="226"/>
      <c r="X92" s="71"/>
      <c r="Y92" s="71"/>
      <c r="Z92" s="345"/>
      <c r="AA92" s="71"/>
      <c r="AB92" s="226"/>
      <c r="AC92" s="71"/>
      <c r="AD92" s="71"/>
      <c r="AE92" s="345"/>
      <c r="AF92" s="71"/>
      <c r="AG92" s="226"/>
      <c r="AH92" s="71"/>
      <c r="AI92" s="71"/>
      <c r="AJ92" s="345"/>
      <c r="AK92" s="71"/>
      <c r="AL92" s="226"/>
      <c r="AM92" s="71"/>
      <c r="AN92" s="71"/>
      <c r="AO92" s="345"/>
      <c r="AP92" s="71"/>
      <c r="AQ92" s="226"/>
      <c r="AR92" s="71"/>
      <c r="AS92" s="71"/>
      <c r="AT92" s="345"/>
      <c r="AU92" s="71"/>
      <c r="AV92" s="226"/>
      <c r="AW92" s="71"/>
      <c r="AX92" s="71"/>
      <c r="AY92" s="345"/>
      <c r="AZ92" s="71"/>
      <c r="BA92" s="226"/>
      <c r="BB92" s="71"/>
      <c r="BC92" s="71"/>
      <c r="BD92" s="345"/>
      <c r="BE92" s="71"/>
      <c r="BF92" s="226"/>
      <c r="BG92" s="71"/>
      <c r="BH92" s="71"/>
      <c r="BI92" s="345"/>
      <c r="BJ92" s="71"/>
      <c r="BK92" s="226"/>
      <c r="BL92" s="71"/>
      <c r="BM92" s="71"/>
      <c r="BN92" s="345"/>
      <c r="BO92" s="71"/>
      <c r="BP92" s="226"/>
      <c r="BQ92" s="71"/>
      <c r="BR92" s="71"/>
      <c r="BS92" s="345"/>
      <c r="BT92" s="71"/>
      <c r="BU92" s="226"/>
      <c r="BV92" s="71"/>
      <c r="BW92" s="71"/>
      <c r="BX92" s="345"/>
      <c r="BY92" s="71"/>
      <c r="BZ92" s="226"/>
      <c r="CA92" s="71"/>
      <c r="CB92" s="71"/>
      <c r="CC92" s="345"/>
      <c r="CD92" s="71"/>
      <c r="CE92" s="226"/>
      <c r="CF92" s="71"/>
      <c r="CG92" s="71"/>
      <c r="CH92" s="345"/>
      <c r="CI92" s="71"/>
      <c r="CJ92" s="226"/>
      <c r="CK92" s="71"/>
      <c r="CL92" s="71"/>
      <c r="CM92" s="345"/>
      <c r="CN92" s="71"/>
      <c r="CO92" s="226"/>
      <c r="CP92" s="71"/>
      <c r="CQ92" s="71"/>
      <c r="CR92" s="345"/>
      <c r="CS92" s="71"/>
      <c r="CT92" s="226"/>
      <c r="CU92" s="71"/>
      <c r="CV92" s="71"/>
      <c r="CW92" s="345"/>
      <c r="CX92" s="71"/>
      <c r="CY92" s="226"/>
      <c r="CZ92" s="71"/>
      <c r="DA92" s="71"/>
      <c r="DB92" s="345"/>
      <c r="DC92" s="71"/>
      <c r="DD92" s="226"/>
      <c r="DE92" s="71"/>
      <c r="DF92" s="71"/>
      <c r="DG92" s="345"/>
      <c r="DH92" s="71"/>
      <c r="DI92" s="226"/>
      <c r="DJ92" s="71"/>
      <c r="DK92" s="71"/>
      <c r="DL92" s="345"/>
      <c r="DM92" s="71"/>
      <c r="DN92" s="226"/>
      <c r="DO92" s="71"/>
      <c r="DP92" s="71"/>
      <c r="DQ92" s="345"/>
      <c r="DR92" s="71"/>
      <c r="DS92" s="226"/>
      <c r="DT92" s="71"/>
      <c r="DU92" s="71"/>
      <c r="DV92" s="345"/>
      <c r="DW92" s="71"/>
      <c r="DX92" s="226"/>
      <c r="DY92" s="71"/>
      <c r="DZ92" s="71"/>
      <c r="EA92" s="345"/>
      <c r="EB92" s="71"/>
      <c r="EC92" s="226"/>
      <c r="ED92" s="71"/>
      <c r="EE92" s="71"/>
      <c r="EF92" s="345"/>
      <c r="EG92" s="71"/>
      <c r="EH92" s="226"/>
      <c r="EI92" s="71"/>
      <c r="EJ92" s="71"/>
      <c r="EK92" s="345"/>
      <c r="EL92" s="71"/>
      <c r="EM92" s="226"/>
      <c r="EN92" s="71"/>
      <c r="EO92" s="71"/>
      <c r="EP92" s="345"/>
      <c r="EQ92" s="71"/>
      <c r="ER92" s="226"/>
      <c r="ES92" s="71"/>
      <c r="ET92" s="71"/>
      <c r="EU92" s="345"/>
      <c r="EV92" s="71"/>
      <c r="EW92" s="226"/>
      <c r="EX92" s="71"/>
      <c r="EY92" s="71"/>
      <c r="EZ92" s="345"/>
      <c r="FA92" s="71"/>
      <c r="FB92" s="226"/>
      <c r="FC92" s="71"/>
      <c r="FD92" s="71"/>
      <c r="FE92" s="345"/>
      <c r="FF92" s="71"/>
      <c r="FG92" s="226"/>
      <c r="FH92" s="71"/>
      <c r="FI92" s="71"/>
      <c r="FJ92" s="345"/>
      <c r="FK92" s="71"/>
      <c r="FL92" s="226"/>
      <c r="FM92" s="71"/>
      <c r="FN92" s="71"/>
      <c r="FO92" s="345"/>
      <c r="FP92" s="71"/>
      <c r="FQ92" s="226"/>
      <c r="FR92" s="71"/>
      <c r="FS92" s="71"/>
      <c r="FT92" s="345"/>
      <c r="FU92" s="71"/>
      <c r="FV92" s="226"/>
      <c r="FW92" s="71"/>
      <c r="FX92" s="71"/>
      <c r="FY92" s="345"/>
      <c r="FZ92" s="71"/>
      <c r="GA92" s="226"/>
      <c r="GB92" s="71"/>
      <c r="GC92" s="71"/>
      <c r="GD92" s="345"/>
      <c r="GE92" s="71"/>
      <c r="GF92" s="226"/>
      <c r="GG92" s="71"/>
      <c r="GH92" s="71"/>
      <c r="GI92" s="345"/>
      <c r="GJ92" s="71"/>
      <c r="GK92" s="226"/>
      <c r="GL92" s="71"/>
      <c r="GM92" s="71"/>
      <c r="GN92" s="345"/>
      <c r="GO92" s="71"/>
      <c r="GP92" s="226"/>
      <c r="GQ92" s="71"/>
      <c r="GR92" s="71"/>
      <c r="GS92" s="345"/>
      <c r="GT92" s="71"/>
      <c r="GU92" s="226"/>
      <c r="GV92" s="71"/>
      <c r="GW92" s="71"/>
      <c r="GX92" s="345"/>
      <c r="GY92" s="71"/>
      <c r="GZ92" s="226"/>
      <c r="HA92" s="71"/>
      <c r="HB92" s="71"/>
      <c r="HC92" s="345"/>
      <c r="HD92" s="71"/>
      <c r="HE92" s="226"/>
      <c r="HF92" s="71"/>
      <c r="HG92" s="71"/>
      <c r="HH92" s="345"/>
      <c r="HI92" s="71"/>
      <c r="HJ92" s="226"/>
      <c r="HK92" s="71"/>
      <c r="HL92" s="71"/>
      <c r="HM92" s="345"/>
      <c r="HN92" s="71"/>
      <c r="HO92" s="226"/>
      <c r="HP92" s="71"/>
      <c r="HQ92" s="71"/>
      <c r="HR92" s="345"/>
      <c r="HS92" s="71"/>
      <c r="HT92" s="226"/>
      <c r="HU92" s="71"/>
      <c r="HV92" s="71"/>
      <c r="HW92" s="345"/>
      <c r="HX92" s="71"/>
      <c r="HY92" s="226"/>
      <c r="HZ92" s="71"/>
      <c r="IA92" s="71"/>
      <c r="IB92" s="345"/>
      <c r="IC92" s="71"/>
      <c r="ID92" s="226"/>
      <c r="IE92" s="71"/>
      <c r="IF92" s="71"/>
      <c r="IG92" s="345"/>
      <c r="IH92" s="71"/>
      <c r="II92" s="226"/>
      <c r="IJ92" s="71"/>
      <c r="IK92" s="71"/>
      <c r="IL92" s="345"/>
      <c r="IM92" s="71"/>
      <c r="IN92" s="226"/>
      <c r="IO92" s="71"/>
      <c r="IP92" s="71"/>
      <c r="IQ92" s="345"/>
      <c r="IR92" s="71"/>
      <c r="IS92" s="226"/>
      <c r="IT92" s="71"/>
      <c r="IU92" s="71"/>
      <c r="IV92" s="345"/>
    </row>
    <row r="93" spans="1:256" x14ac:dyDescent="0.2">
      <c r="A93" s="345">
        <v>30347</v>
      </c>
      <c r="B93" s="71"/>
      <c r="C93" s="226"/>
      <c r="D93" s="71"/>
      <c r="E93" s="71"/>
      <c r="F93" s="345"/>
      <c r="G93" s="71"/>
      <c r="H93" s="226"/>
      <c r="I93" s="71"/>
      <c r="J93" s="71"/>
      <c r="K93" s="345"/>
      <c r="L93" s="71"/>
      <c r="M93" s="226"/>
      <c r="N93" s="71"/>
      <c r="O93" s="71"/>
      <c r="P93" s="345"/>
      <c r="Q93" s="71"/>
      <c r="R93" s="226"/>
      <c r="S93" s="71"/>
      <c r="T93" s="71"/>
      <c r="U93" s="345"/>
      <c r="V93" s="71"/>
      <c r="W93" s="226"/>
      <c r="X93" s="71"/>
      <c r="Y93" s="71"/>
      <c r="Z93" s="345"/>
      <c r="AA93" s="71"/>
      <c r="AB93" s="226"/>
      <c r="AC93" s="71"/>
      <c r="AD93" s="71"/>
      <c r="AE93" s="345"/>
      <c r="AF93" s="71"/>
      <c r="AG93" s="226"/>
      <c r="AH93" s="71"/>
      <c r="AI93" s="71"/>
      <c r="AJ93" s="345"/>
      <c r="AK93" s="71"/>
      <c r="AL93" s="226"/>
      <c r="AM93" s="71"/>
      <c r="AN93" s="71"/>
      <c r="AO93" s="345"/>
      <c r="AP93" s="71"/>
      <c r="AQ93" s="226"/>
      <c r="AR93" s="71"/>
      <c r="AS93" s="71"/>
      <c r="AT93" s="345"/>
      <c r="AU93" s="71"/>
      <c r="AV93" s="226"/>
      <c r="AW93" s="71"/>
      <c r="AX93" s="71"/>
      <c r="AY93" s="345"/>
      <c r="AZ93" s="71"/>
      <c r="BA93" s="226"/>
      <c r="BB93" s="71"/>
      <c r="BC93" s="71"/>
      <c r="BD93" s="345"/>
      <c r="BE93" s="71"/>
      <c r="BF93" s="226"/>
      <c r="BG93" s="71"/>
      <c r="BH93" s="71"/>
      <c r="BI93" s="345"/>
      <c r="BJ93" s="71"/>
      <c r="BK93" s="226"/>
      <c r="BL93" s="71"/>
      <c r="BM93" s="71"/>
      <c r="BN93" s="345"/>
      <c r="BO93" s="71"/>
      <c r="BP93" s="226"/>
      <c r="BQ93" s="71"/>
      <c r="BR93" s="71"/>
      <c r="BS93" s="345"/>
      <c r="BT93" s="71"/>
      <c r="BU93" s="226"/>
      <c r="BV93" s="71"/>
      <c r="BW93" s="71"/>
      <c r="BX93" s="345"/>
      <c r="BY93" s="71"/>
      <c r="BZ93" s="226"/>
      <c r="CA93" s="71"/>
      <c r="CB93" s="71"/>
      <c r="CC93" s="345"/>
      <c r="CD93" s="71"/>
      <c r="CE93" s="226"/>
      <c r="CF93" s="71"/>
      <c r="CG93" s="71"/>
      <c r="CH93" s="345"/>
      <c r="CI93" s="71"/>
      <c r="CJ93" s="226"/>
      <c r="CK93" s="71"/>
      <c r="CL93" s="71"/>
      <c r="CM93" s="345"/>
      <c r="CN93" s="71"/>
      <c r="CO93" s="226"/>
      <c r="CP93" s="71"/>
      <c r="CQ93" s="71"/>
      <c r="CR93" s="345"/>
      <c r="CS93" s="71"/>
      <c r="CT93" s="226"/>
      <c r="CU93" s="71"/>
      <c r="CV93" s="71"/>
      <c r="CW93" s="345"/>
      <c r="CX93" s="71"/>
      <c r="CY93" s="226"/>
      <c r="CZ93" s="71"/>
      <c r="DA93" s="71"/>
      <c r="DB93" s="345"/>
      <c r="DC93" s="71"/>
      <c r="DD93" s="226"/>
      <c r="DE93" s="71"/>
      <c r="DF93" s="71"/>
      <c r="DG93" s="345"/>
      <c r="DH93" s="71"/>
      <c r="DI93" s="226"/>
      <c r="DJ93" s="71"/>
      <c r="DK93" s="71"/>
      <c r="DL93" s="345"/>
      <c r="DM93" s="71"/>
      <c r="DN93" s="226"/>
      <c r="DO93" s="71"/>
      <c r="DP93" s="71"/>
      <c r="DQ93" s="345"/>
      <c r="DR93" s="71"/>
      <c r="DS93" s="226"/>
      <c r="DT93" s="71"/>
      <c r="DU93" s="71"/>
      <c r="DV93" s="345"/>
      <c r="DW93" s="71"/>
      <c r="DX93" s="226"/>
      <c r="DY93" s="71"/>
      <c r="DZ93" s="71"/>
      <c r="EA93" s="345"/>
      <c r="EB93" s="71"/>
      <c r="EC93" s="226"/>
      <c r="ED93" s="71"/>
      <c r="EE93" s="71"/>
      <c r="EF93" s="345"/>
      <c r="EG93" s="71"/>
      <c r="EH93" s="226"/>
      <c r="EI93" s="71"/>
      <c r="EJ93" s="71"/>
      <c r="EK93" s="345"/>
      <c r="EL93" s="71"/>
      <c r="EM93" s="226"/>
      <c r="EN93" s="71"/>
      <c r="EO93" s="71"/>
      <c r="EP93" s="345"/>
      <c r="EQ93" s="71"/>
      <c r="ER93" s="226"/>
      <c r="ES93" s="71"/>
      <c r="ET93" s="71"/>
      <c r="EU93" s="345"/>
      <c r="EV93" s="71"/>
      <c r="EW93" s="226"/>
      <c r="EX93" s="71"/>
      <c r="EY93" s="71"/>
      <c r="EZ93" s="345"/>
      <c r="FA93" s="71"/>
      <c r="FB93" s="226"/>
      <c r="FC93" s="71"/>
      <c r="FD93" s="71"/>
      <c r="FE93" s="345"/>
      <c r="FF93" s="71"/>
      <c r="FG93" s="226"/>
      <c r="FH93" s="71"/>
      <c r="FI93" s="71"/>
      <c r="FJ93" s="345"/>
      <c r="FK93" s="71"/>
      <c r="FL93" s="226"/>
      <c r="FM93" s="71"/>
      <c r="FN93" s="71"/>
      <c r="FO93" s="345"/>
      <c r="FP93" s="71"/>
      <c r="FQ93" s="226"/>
      <c r="FR93" s="71"/>
      <c r="FS93" s="71"/>
      <c r="FT93" s="345"/>
      <c r="FU93" s="71"/>
      <c r="FV93" s="226"/>
      <c r="FW93" s="71"/>
      <c r="FX93" s="71"/>
      <c r="FY93" s="345"/>
      <c r="FZ93" s="71"/>
      <c r="GA93" s="226"/>
      <c r="GB93" s="71"/>
      <c r="GC93" s="71"/>
      <c r="GD93" s="345"/>
      <c r="GE93" s="71"/>
      <c r="GF93" s="226"/>
      <c r="GG93" s="71"/>
      <c r="GH93" s="71"/>
      <c r="GI93" s="345"/>
      <c r="GJ93" s="71"/>
      <c r="GK93" s="226"/>
      <c r="GL93" s="71"/>
      <c r="GM93" s="71"/>
      <c r="GN93" s="345"/>
      <c r="GO93" s="71"/>
      <c r="GP93" s="226"/>
      <c r="GQ93" s="71"/>
      <c r="GR93" s="71"/>
      <c r="GS93" s="345"/>
      <c r="GT93" s="71"/>
      <c r="GU93" s="226"/>
      <c r="GV93" s="71"/>
      <c r="GW93" s="71"/>
      <c r="GX93" s="345"/>
      <c r="GY93" s="71"/>
      <c r="GZ93" s="226"/>
      <c r="HA93" s="71"/>
      <c r="HB93" s="71"/>
      <c r="HC93" s="345"/>
      <c r="HD93" s="71"/>
      <c r="HE93" s="226"/>
      <c r="HF93" s="71"/>
      <c r="HG93" s="71"/>
      <c r="HH93" s="345"/>
      <c r="HI93" s="71"/>
      <c r="HJ93" s="226"/>
      <c r="HK93" s="71"/>
      <c r="HL93" s="71"/>
      <c r="HM93" s="345"/>
      <c r="HN93" s="71"/>
      <c r="HO93" s="226"/>
      <c r="HP93" s="71"/>
      <c r="HQ93" s="71"/>
      <c r="HR93" s="345"/>
      <c r="HS93" s="71"/>
      <c r="HT93" s="226"/>
      <c r="HU93" s="71"/>
      <c r="HV93" s="71"/>
      <c r="HW93" s="345"/>
      <c r="HX93" s="71"/>
      <c r="HY93" s="226"/>
      <c r="HZ93" s="71"/>
      <c r="IA93" s="71"/>
      <c r="IB93" s="345"/>
      <c r="IC93" s="71"/>
      <c r="ID93" s="226"/>
      <c r="IE93" s="71"/>
      <c r="IF93" s="71"/>
      <c r="IG93" s="345"/>
      <c r="IH93" s="71"/>
      <c r="II93" s="226"/>
      <c r="IJ93" s="71"/>
      <c r="IK93" s="71"/>
      <c r="IL93" s="345"/>
      <c r="IM93" s="71"/>
      <c r="IN93" s="226"/>
      <c r="IO93" s="71"/>
      <c r="IP93" s="71"/>
      <c r="IQ93" s="345"/>
      <c r="IR93" s="71"/>
      <c r="IS93" s="226"/>
      <c r="IT93" s="71"/>
      <c r="IU93" s="71"/>
      <c r="IV93" s="345"/>
    </row>
    <row r="94" spans="1:256" x14ac:dyDescent="0.2">
      <c r="A94" s="345">
        <v>30375</v>
      </c>
      <c r="B94" s="71"/>
      <c r="C94" s="226"/>
      <c r="D94" s="71"/>
      <c r="E94" s="71"/>
      <c r="F94" s="345"/>
      <c r="G94" s="71"/>
      <c r="H94" s="226"/>
      <c r="I94" s="71"/>
      <c r="J94" s="71"/>
      <c r="K94" s="345"/>
      <c r="L94" s="71"/>
      <c r="M94" s="226"/>
      <c r="N94" s="71"/>
      <c r="O94" s="71"/>
      <c r="P94" s="345"/>
      <c r="Q94" s="71"/>
      <c r="R94" s="226"/>
      <c r="S94" s="71"/>
      <c r="T94" s="71"/>
      <c r="U94" s="345"/>
      <c r="V94" s="71"/>
      <c r="W94" s="226"/>
      <c r="X94" s="71"/>
      <c r="Y94" s="71"/>
      <c r="Z94" s="345"/>
      <c r="AA94" s="71"/>
      <c r="AB94" s="226"/>
      <c r="AC94" s="71"/>
      <c r="AD94" s="71"/>
      <c r="AE94" s="345"/>
      <c r="AF94" s="71"/>
      <c r="AG94" s="226"/>
      <c r="AH94" s="71"/>
      <c r="AI94" s="71"/>
      <c r="AJ94" s="345"/>
      <c r="AK94" s="71"/>
      <c r="AL94" s="226"/>
      <c r="AM94" s="71"/>
      <c r="AN94" s="71"/>
      <c r="AO94" s="345"/>
      <c r="AP94" s="71"/>
      <c r="AQ94" s="226"/>
      <c r="AR94" s="71"/>
      <c r="AS94" s="71"/>
      <c r="AT94" s="345"/>
      <c r="AU94" s="71"/>
      <c r="AV94" s="226"/>
      <c r="AW94" s="71"/>
      <c r="AX94" s="71"/>
      <c r="AY94" s="345"/>
      <c r="AZ94" s="71"/>
      <c r="BA94" s="226"/>
      <c r="BB94" s="71"/>
      <c r="BC94" s="71"/>
      <c r="BD94" s="345"/>
      <c r="BE94" s="71"/>
      <c r="BF94" s="226"/>
      <c r="BG94" s="71"/>
      <c r="BH94" s="71"/>
      <c r="BI94" s="345"/>
      <c r="BJ94" s="71"/>
      <c r="BK94" s="226"/>
      <c r="BL94" s="71"/>
      <c r="BM94" s="71"/>
      <c r="BN94" s="345"/>
      <c r="BO94" s="71"/>
      <c r="BP94" s="226"/>
      <c r="BQ94" s="71"/>
      <c r="BR94" s="71"/>
      <c r="BS94" s="345"/>
      <c r="BT94" s="71"/>
      <c r="BU94" s="226"/>
      <c r="BV94" s="71"/>
      <c r="BW94" s="71"/>
      <c r="BX94" s="345"/>
      <c r="BY94" s="71"/>
      <c r="BZ94" s="226"/>
      <c r="CA94" s="71"/>
      <c r="CB94" s="71"/>
      <c r="CC94" s="345"/>
      <c r="CD94" s="71"/>
      <c r="CE94" s="226"/>
      <c r="CF94" s="71"/>
      <c r="CG94" s="71"/>
      <c r="CH94" s="345"/>
      <c r="CI94" s="71"/>
      <c r="CJ94" s="226"/>
      <c r="CK94" s="71"/>
      <c r="CL94" s="71"/>
      <c r="CM94" s="345"/>
      <c r="CN94" s="71"/>
      <c r="CO94" s="226"/>
      <c r="CP94" s="71"/>
      <c r="CQ94" s="71"/>
      <c r="CR94" s="345"/>
      <c r="CS94" s="71"/>
      <c r="CT94" s="226"/>
      <c r="CU94" s="71"/>
      <c r="CV94" s="71"/>
      <c r="CW94" s="345"/>
      <c r="CX94" s="71"/>
      <c r="CY94" s="226"/>
      <c r="CZ94" s="71"/>
      <c r="DA94" s="71"/>
      <c r="DB94" s="345"/>
      <c r="DC94" s="71"/>
      <c r="DD94" s="226"/>
      <c r="DE94" s="71"/>
      <c r="DF94" s="71"/>
      <c r="DG94" s="345"/>
      <c r="DH94" s="71"/>
      <c r="DI94" s="226"/>
      <c r="DJ94" s="71"/>
      <c r="DK94" s="71"/>
      <c r="DL94" s="345"/>
      <c r="DM94" s="71"/>
      <c r="DN94" s="226"/>
      <c r="DO94" s="71"/>
      <c r="DP94" s="71"/>
      <c r="DQ94" s="345"/>
      <c r="DR94" s="71"/>
      <c r="DS94" s="226"/>
      <c r="DT94" s="71"/>
      <c r="DU94" s="71"/>
      <c r="DV94" s="345"/>
      <c r="DW94" s="71"/>
      <c r="DX94" s="226"/>
      <c r="DY94" s="71"/>
      <c r="DZ94" s="71"/>
      <c r="EA94" s="345"/>
      <c r="EB94" s="71"/>
      <c r="EC94" s="226"/>
      <c r="ED94" s="71"/>
      <c r="EE94" s="71"/>
      <c r="EF94" s="345"/>
      <c r="EG94" s="71"/>
      <c r="EH94" s="226"/>
      <c r="EI94" s="71"/>
      <c r="EJ94" s="71"/>
      <c r="EK94" s="345"/>
      <c r="EL94" s="71"/>
      <c r="EM94" s="226"/>
      <c r="EN94" s="71"/>
      <c r="EO94" s="71"/>
      <c r="EP94" s="345"/>
      <c r="EQ94" s="71"/>
      <c r="ER94" s="226"/>
      <c r="ES94" s="71"/>
      <c r="ET94" s="71"/>
      <c r="EU94" s="345"/>
      <c r="EV94" s="71"/>
      <c r="EW94" s="226"/>
      <c r="EX94" s="71"/>
      <c r="EY94" s="71"/>
      <c r="EZ94" s="345"/>
      <c r="FA94" s="71"/>
      <c r="FB94" s="226"/>
      <c r="FC94" s="71"/>
      <c r="FD94" s="71"/>
      <c r="FE94" s="345"/>
      <c r="FF94" s="71"/>
      <c r="FG94" s="226"/>
      <c r="FH94" s="71"/>
      <c r="FI94" s="71"/>
      <c r="FJ94" s="345"/>
      <c r="FK94" s="71"/>
      <c r="FL94" s="226"/>
      <c r="FM94" s="71"/>
      <c r="FN94" s="71"/>
      <c r="FO94" s="345"/>
      <c r="FP94" s="71"/>
      <c r="FQ94" s="226"/>
      <c r="FR94" s="71"/>
      <c r="FS94" s="71"/>
      <c r="FT94" s="345"/>
      <c r="FU94" s="71"/>
      <c r="FV94" s="226"/>
      <c r="FW94" s="71"/>
      <c r="FX94" s="71"/>
      <c r="FY94" s="345"/>
      <c r="FZ94" s="71"/>
      <c r="GA94" s="226"/>
      <c r="GB94" s="71"/>
      <c r="GC94" s="71"/>
      <c r="GD94" s="345"/>
      <c r="GE94" s="71"/>
      <c r="GF94" s="226"/>
      <c r="GG94" s="71"/>
      <c r="GH94" s="71"/>
      <c r="GI94" s="345"/>
      <c r="GJ94" s="71"/>
      <c r="GK94" s="226"/>
      <c r="GL94" s="71"/>
      <c r="GM94" s="71"/>
      <c r="GN94" s="345"/>
      <c r="GO94" s="71"/>
      <c r="GP94" s="226"/>
      <c r="GQ94" s="71"/>
      <c r="GR94" s="71"/>
      <c r="GS94" s="345"/>
      <c r="GT94" s="71"/>
      <c r="GU94" s="226"/>
      <c r="GV94" s="71"/>
      <c r="GW94" s="71"/>
      <c r="GX94" s="345"/>
      <c r="GY94" s="71"/>
      <c r="GZ94" s="226"/>
      <c r="HA94" s="71"/>
      <c r="HB94" s="71"/>
      <c r="HC94" s="345"/>
      <c r="HD94" s="71"/>
      <c r="HE94" s="226"/>
      <c r="HF94" s="71"/>
      <c r="HG94" s="71"/>
      <c r="HH94" s="345"/>
      <c r="HI94" s="71"/>
      <c r="HJ94" s="226"/>
      <c r="HK94" s="71"/>
      <c r="HL94" s="71"/>
      <c r="HM94" s="345"/>
      <c r="HN94" s="71"/>
      <c r="HO94" s="226"/>
      <c r="HP94" s="71"/>
      <c r="HQ94" s="71"/>
      <c r="HR94" s="345"/>
      <c r="HS94" s="71"/>
      <c r="HT94" s="226"/>
      <c r="HU94" s="71"/>
      <c r="HV94" s="71"/>
      <c r="HW94" s="345"/>
      <c r="HX94" s="71"/>
      <c r="HY94" s="226"/>
      <c r="HZ94" s="71"/>
      <c r="IA94" s="71"/>
      <c r="IB94" s="345"/>
      <c r="IC94" s="71"/>
      <c r="ID94" s="226"/>
      <c r="IE94" s="71"/>
      <c r="IF94" s="71"/>
      <c r="IG94" s="345"/>
      <c r="IH94" s="71"/>
      <c r="II94" s="226"/>
      <c r="IJ94" s="71"/>
      <c r="IK94" s="71"/>
      <c r="IL94" s="345"/>
      <c r="IM94" s="71"/>
      <c r="IN94" s="226"/>
      <c r="IO94" s="71"/>
      <c r="IP94" s="71"/>
      <c r="IQ94" s="345"/>
      <c r="IR94" s="71"/>
      <c r="IS94" s="226"/>
      <c r="IT94" s="71"/>
      <c r="IU94" s="71"/>
      <c r="IV94" s="345"/>
    </row>
    <row r="95" spans="1:256" x14ac:dyDescent="0.2">
      <c r="A95" s="345">
        <v>30406</v>
      </c>
      <c r="B95" s="71"/>
      <c r="C95" s="226"/>
      <c r="D95" s="71"/>
      <c r="E95" s="71"/>
      <c r="F95" s="345"/>
      <c r="G95" s="71"/>
      <c r="H95" s="226"/>
      <c r="I95" s="71"/>
      <c r="J95" s="71"/>
      <c r="K95" s="345"/>
      <c r="L95" s="71"/>
      <c r="M95" s="226"/>
      <c r="N95" s="71"/>
      <c r="O95" s="71"/>
      <c r="P95" s="345"/>
      <c r="Q95" s="71"/>
      <c r="R95" s="226"/>
      <c r="S95" s="71"/>
      <c r="T95" s="71"/>
      <c r="U95" s="345"/>
      <c r="V95" s="71"/>
      <c r="W95" s="226"/>
      <c r="X95" s="71"/>
      <c r="Y95" s="71"/>
      <c r="Z95" s="345"/>
      <c r="AA95" s="71"/>
      <c r="AB95" s="226"/>
      <c r="AC95" s="71"/>
      <c r="AD95" s="71"/>
      <c r="AE95" s="345"/>
      <c r="AF95" s="71"/>
      <c r="AG95" s="226"/>
      <c r="AH95" s="71"/>
      <c r="AI95" s="71"/>
      <c r="AJ95" s="345"/>
      <c r="AK95" s="71"/>
      <c r="AL95" s="226"/>
      <c r="AM95" s="71"/>
      <c r="AN95" s="71"/>
      <c r="AO95" s="345"/>
      <c r="AP95" s="71"/>
      <c r="AQ95" s="226"/>
      <c r="AR95" s="71"/>
      <c r="AS95" s="71"/>
      <c r="AT95" s="345"/>
      <c r="AU95" s="71"/>
      <c r="AV95" s="226"/>
      <c r="AW95" s="71"/>
      <c r="AX95" s="71"/>
      <c r="AY95" s="345"/>
      <c r="AZ95" s="71"/>
      <c r="BA95" s="226"/>
      <c r="BB95" s="71"/>
      <c r="BC95" s="71"/>
      <c r="BD95" s="345"/>
      <c r="BE95" s="71"/>
      <c r="BF95" s="226"/>
      <c r="BG95" s="71"/>
      <c r="BH95" s="71"/>
      <c r="BI95" s="345"/>
      <c r="BJ95" s="71"/>
      <c r="BK95" s="226"/>
      <c r="BL95" s="71"/>
      <c r="BM95" s="71"/>
      <c r="BN95" s="345"/>
      <c r="BO95" s="71"/>
      <c r="BP95" s="226"/>
      <c r="BQ95" s="71"/>
      <c r="BR95" s="71"/>
      <c r="BS95" s="345"/>
      <c r="BT95" s="71"/>
      <c r="BU95" s="226"/>
      <c r="BV95" s="71"/>
      <c r="BW95" s="71"/>
      <c r="BX95" s="345"/>
      <c r="BY95" s="71"/>
      <c r="BZ95" s="226"/>
      <c r="CA95" s="71"/>
      <c r="CB95" s="71"/>
      <c r="CC95" s="345"/>
      <c r="CD95" s="71"/>
      <c r="CE95" s="226"/>
      <c r="CF95" s="71"/>
      <c r="CG95" s="71"/>
      <c r="CH95" s="345"/>
      <c r="CI95" s="71"/>
      <c r="CJ95" s="226"/>
      <c r="CK95" s="71"/>
      <c r="CL95" s="71"/>
      <c r="CM95" s="345"/>
      <c r="CN95" s="71"/>
      <c r="CO95" s="226"/>
      <c r="CP95" s="71"/>
      <c r="CQ95" s="71"/>
      <c r="CR95" s="345"/>
      <c r="CS95" s="71"/>
      <c r="CT95" s="226"/>
      <c r="CU95" s="71"/>
      <c r="CV95" s="71"/>
      <c r="CW95" s="345"/>
      <c r="CX95" s="71"/>
      <c r="CY95" s="226"/>
      <c r="CZ95" s="71"/>
      <c r="DA95" s="71"/>
      <c r="DB95" s="345"/>
      <c r="DC95" s="71"/>
      <c r="DD95" s="226"/>
      <c r="DE95" s="71"/>
      <c r="DF95" s="71"/>
      <c r="DG95" s="345"/>
      <c r="DH95" s="71"/>
      <c r="DI95" s="226"/>
      <c r="DJ95" s="71"/>
      <c r="DK95" s="71"/>
      <c r="DL95" s="345"/>
      <c r="DM95" s="71"/>
      <c r="DN95" s="226"/>
      <c r="DO95" s="71"/>
      <c r="DP95" s="71"/>
      <c r="DQ95" s="345"/>
      <c r="DR95" s="71"/>
      <c r="DS95" s="226"/>
      <c r="DT95" s="71"/>
      <c r="DU95" s="71"/>
      <c r="DV95" s="345"/>
      <c r="DW95" s="71"/>
      <c r="DX95" s="226"/>
      <c r="DY95" s="71"/>
      <c r="DZ95" s="71"/>
      <c r="EA95" s="345"/>
      <c r="EB95" s="71"/>
      <c r="EC95" s="226"/>
      <c r="ED95" s="71"/>
      <c r="EE95" s="71"/>
      <c r="EF95" s="345"/>
      <c r="EG95" s="71"/>
      <c r="EH95" s="226"/>
      <c r="EI95" s="71"/>
      <c r="EJ95" s="71"/>
      <c r="EK95" s="345"/>
      <c r="EL95" s="71"/>
      <c r="EM95" s="226"/>
      <c r="EN95" s="71"/>
      <c r="EO95" s="71"/>
      <c r="EP95" s="345"/>
      <c r="EQ95" s="71"/>
      <c r="ER95" s="226"/>
      <c r="ES95" s="71"/>
      <c r="ET95" s="71"/>
      <c r="EU95" s="345"/>
      <c r="EV95" s="71"/>
      <c r="EW95" s="226"/>
      <c r="EX95" s="71"/>
      <c r="EY95" s="71"/>
      <c r="EZ95" s="345"/>
      <c r="FA95" s="71"/>
      <c r="FB95" s="226"/>
      <c r="FC95" s="71"/>
      <c r="FD95" s="71"/>
      <c r="FE95" s="345"/>
      <c r="FF95" s="71"/>
      <c r="FG95" s="226"/>
      <c r="FH95" s="71"/>
      <c r="FI95" s="71"/>
      <c r="FJ95" s="345"/>
      <c r="FK95" s="71"/>
      <c r="FL95" s="226"/>
      <c r="FM95" s="71"/>
      <c r="FN95" s="71"/>
      <c r="FO95" s="345"/>
      <c r="FP95" s="71"/>
      <c r="FQ95" s="226"/>
      <c r="FR95" s="71"/>
      <c r="FS95" s="71"/>
      <c r="FT95" s="345"/>
      <c r="FU95" s="71"/>
      <c r="FV95" s="226"/>
      <c r="FW95" s="71"/>
      <c r="FX95" s="71"/>
      <c r="FY95" s="345"/>
      <c r="FZ95" s="71"/>
      <c r="GA95" s="226"/>
      <c r="GB95" s="71"/>
      <c r="GC95" s="71"/>
      <c r="GD95" s="345"/>
      <c r="GE95" s="71"/>
      <c r="GF95" s="226"/>
      <c r="GG95" s="71"/>
      <c r="GH95" s="71"/>
      <c r="GI95" s="345"/>
      <c r="GJ95" s="71"/>
      <c r="GK95" s="226"/>
      <c r="GL95" s="71"/>
      <c r="GM95" s="71"/>
      <c r="GN95" s="345"/>
      <c r="GO95" s="71"/>
      <c r="GP95" s="226"/>
      <c r="GQ95" s="71"/>
      <c r="GR95" s="71"/>
      <c r="GS95" s="345"/>
      <c r="GT95" s="71"/>
      <c r="GU95" s="226"/>
      <c r="GV95" s="71"/>
      <c r="GW95" s="71"/>
      <c r="GX95" s="345"/>
      <c r="GY95" s="71"/>
      <c r="GZ95" s="226"/>
      <c r="HA95" s="71"/>
      <c r="HB95" s="71"/>
      <c r="HC95" s="345"/>
      <c r="HD95" s="71"/>
      <c r="HE95" s="226"/>
      <c r="HF95" s="71"/>
      <c r="HG95" s="71"/>
      <c r="HH95" s="345"/>
      <c r="HI95" s="71"/>
      <c r="HJ95" s="226"/>
      <c r="HK95" s="71"/>
      <c r="HL95" s="71"/>
      <c r="HM95" s="345"/>
      <c r="HN95" s="71"/>
      <c r="HO95" s="226"/>
      <c r="HP95" s="71"/>
      <c r="HQ95" s="71"/>
      <c r="HR95" s="345"/>
      <c r="HS95" s="71"/>
      <c r="HT95" s="226"/>
      <c r="HU95" s="71"/>
      <c r="HV95" s="71"/>
      <c r="HW95" s="345"/>
      <c r="HX95" s="71"/>
      <c r="HY95" s="226"/>
      <c r="HZ95" s="71"/>
      <c r="IA95" s="71"/>
      <c r="IB95" s="345"/>
      <c r="IC95" s="71"/>
      <c r="ID95" s="226"/>
      <c r="IE95" s="71"/>
      <c r="IF95" s="71"/>
      <c r="IG95" s="345"/>
      <c r="IH95" s="71"/>
      <c r="II95" s="226"/>
      <c r="IJ95" s="71"/>
      <c r="IK95" s="71"/>
      <c r="IL95" s="345"/>
      <c r="IM95" s="71"/>
      <c r="IN95" s="226"/>
      <c r="IO95" s="71"/>
      <c r="IP95" s="71"/>
      <c r="IQ95" s="345"/>
      <c r="IR95" s="71"/>
      <c r="IS95" s="226"/>
      <c r="IT95" s="71"/>
      <c r="IU95" s="71"/>
      <c r="IV95" s="345"/>
    </row>
    <row r="96" spans="1:256" x14ac:dyDescent="0.2">
      <c r="A96" s="345">
        <v>30436</v>
      </c>
      <c r="B96" s="71"/>
      <c r="C96" s="226"/>
      <c r="D96" s="71"/>
      <c r="E96" s="71"/>
      <c r="F96" s="345"/>
      <c r="G96" s="71"/>
      <c r="H96" s="226"/>
      <c r="I96" s="71"/>
      <c r="J96" s="71"/>
      <c r="K96" s="345"/>
      <c r="L96" s="71"/>
      <c r="M96" s="226"/>
      <c r="N96" s="71"/>
      <c r="O96" s="71"/>
      <c r="P96" s="345"/>
      <c r="Q96" s="71"/>
      <c r="R96" s="226"/>
      <c r="S96" s="71"/>
      <c r="T96" s="71"/>
      <c r="U96" s="345"/>
      <c r="V96" s="71"/>
      <c r="W96" s="226"/>
      <c r="X96" s="71"/>
      <c r="Y96" s="71"/>
      <c r="Z96" s="345"/>
      <c r="AA96" s="71"/>
      <c r="AB96" s="226"/>
      <c r="AC96" s="71"/>
      <c r="AD96" s="71"/>
      <c r="AE96" s="345"/>
      <c r="AF96" s="71"/>
      <c r="AG96" s="226"/>
      <c r="AH96" s="71"/>
      <c r="AI96" s="71"/>
      <c r="AJ96" s="345"/>
      <c r="AK96" s="71"/>
      <c r="AL96" s="226"/>
      <c r="AM96" s="71"/>
      <c r="AN96" s="71"/>
      <c r="AO96" s="345"/>
      <c r="AP96" s="71"/>
      <c r="AQ96" s="226"/>
      <c r="AR96" s="71"/>
      <c r="AS96" s="71"/>
      <c r="AT96" s="345"/>
      <c r="AU96" s="71"/>
      <c r="AV96" s="226"/>
      <c r="AW96" s="71"/>
      <c r="AX96" s="71"/>
      <c r="AY96" s="345"/>
      <c r="AZ96" s="71"/>
      <c r="BA96" s="226"/>
      <c r="BB96" s="71"/>
      <c r="BC96" s="71"/>
      <c r="BD96" s="345"/>
      <c r="BE96" s="71"/>
      <c r="BF96" s="226"/>
      <c r="BG96" s="71"/>
      <c r="BH96" s="71"/>
      <c r="BI96" s="345"/>
      <c r="BJ96" s="71"/>
      <c r="BK96" s="226"/>
      <c r="BL96" s="71"/>
      <c r="BM96" s="71"/>
      <c r="BN96" s="345"/>
      <c r="BO96" s="71"/>
      <c r="BP96" s="226"/>
      <c r="BQ96" s="71"/>
      <c r="BR96" s="71"/>
      <c r="BS96" s="345"/>
      <c r="BT96" s="71"/>
      <c r="BU96" s="226"/>
      <c r="BV96" s="71"/>
      <c r="BW96" s="71"/>
      <c r="BX96" s="345"/>
      <c r="BY96" s="71"/>
      <c r="BZ96" s="226"/>
      <c r="CA96" s="71"/>
      <c r="CB96" s="71"/>
      <c r="CC96" s="345"/>
      <c r="CD96" s="71"/>
      <c r="CE96" s="226"/>
      <c r="CF96" s="71"/>
      <c r="CG96" s="71"/>
      <c r="CH96" s="345"/>
      <c r="CI96" s="71"/>
      <c r="CJ96" s="226"/>
      <c r="CK96" s="71"/>
      <c r="CL96" s="71"/>
      <c r="CM96" s="345"/>
      <c r="CN96" s="71"/>
      <c r="CO96" s="226"/>
      <c r="CP96" s="71"/>
      <c r="CQ96" s="71"/>
      <c r="CR96" s="345"/>
      <c r="CS96" s="71"/>
      <c r="CT96" s="226"/>
      <c r="CU96" s="71"/>
      <c r="CV96" s="71"/>
      <c r="CW96" s="345"/>
      <c r="CX96" s="71"/>
      <c r="CY96" s="226"/>
      <c r="CZ96" s="71"/>
      <c r="DA96" s="71"/>
      <c r="DB96" s="345"/>
      <c r="DC96" s="71"/>
      <c r="DD96" s="226"/>
      <c r="DE96" s="71"/>
      <c r="DF96" s="71"/>
      <c r="DG96" s="345"/>
      <c r="DH96" s="71"/>
      <c r="DI96" s="226"/>
      <c r="DJ96" s="71"/>
      <c r="DK96" s="71"/>
      <c r="DL96" s="345"/>
      <c r="DM96" s="71"/>
      <c r="DN96" s="226"/>
      <c r="DO96" s="71"/>
      <c r="DP96" s="71"/>
      <c r="DQ96" s="345"/>
      <c r="DR96" s="71"/>
      <c r="DS96" s="226"/>
      <c r="DT96" s="71"/>
      <c r="DU96" s="71"/>
      <c r="DV96" s="345"/>
      <c r="DW96" s="71"/>
      <c r="DX96" s="226"/>
      <c r="DY96" s="71"/>
      <c r="DZ96" s="71"/>
      <c r="EA96" s="345"/>
      <c r="EB96" s="71"/>
      <c r="EC96" s="226"/>
      <c r="ED96" s="71"/>
      <c r="EE96" s="71"/>
      <c r="EF96" s="345"/>
      <c r="EG96" s="71"/>
      <c r="EH96" s="226"/>
      <c r="EI96" s="71"/>
      <c r="EJ96" s="71"/>
      <c r="EK96" s="345"/>
      <c r="EL96" s="71"/>
      <c r="EM96" s="226"/>
      <c r="EN96" s="71"/>
      <c r="EO96" s="71"/>
      <c r="EP96" s="345"/>
      <c r="EQ96" s="71"/>
      <c r="ER96" s="226"/>
      <c r="ES96" s="71"/>
      <c r="ET96" s="71"/>
      <c r="EU96" s="345"/>
      <c r="EV96" s="71"/>
      <c r="EW96" s="226"/>
      <c r="EX96" s="71"/>
      <c r="EY96" s="71"/>
      <c r="EZ96" s="345"/>
      <c r="FA96" s="71"/>
      <c r="FB96" s="226"/>
      <c r="FC96" s="71"/>
      <c r="FD96" s="71"/>
      <c r="FE96" s="345"/>
      <c r="FF96" s="71"/>
      <c r="FG96" s="226"/>
      <c r="FH96" s="71"/>
      <c r="FI96" s="71"/>
      <c r="FJ96" s="345"/>
      <c r="FK96" s="71"/>
      <c r="FL96" s="226"/>
      <c r="FM96" s="71"/>
      <c r="FN96" s="71"/>
      <c r="FO96" s="345"/>
      <c r="FP96" s="71"/>
      <c r="FQ96" s="226"/>
      <c r="FR96" s="71"/>
      <c r="FS96" s="71"/>
      <c r="FT96" s="345"/>
      <c r="FU96" s="71"/>
      <c r="FV96" s="226"/>
      <c r="FW96" s="71"/>
      <c r="FX96" s="71"/>
      <c r="FY96" s="345"/>
      <c r="FZ96" s="71"/>
      <c r="GA96" s="226"/>
      <c r="GB96" s="71"/>
      <c r="GC96" s="71"/>
      <c r="GD96" s="345"/>
      <c r="GE96" s="71"/>
      <c r="GF96" s="226"/>
      <c r="GG96" s="71"/>
      <c r="GH96" s="71"/>
      <c r="GI96" s="345"/>
      <c r="GJ96" s="71"/>
      <c r="GK96" s="226"/>
      <c r="GL96" s="71"/>
      <c r="GM96" s="71"/>
      <c r="GN96" s="345"/>
      <c r="GO96" s="71"/>
      <c r="GP96" s="226"/>
      <c r="GQ96" s="71"/>
      <c r="GR96" s="71"/>
      <c r="GS96" s="345"/>
      <c r="GT96" s="71"/>
      <c r="GU96" s="226"/>
      <c r="GV96" s="71"/>
      <c r="GW96" s="71"/>
      <c r="GX96" s="345"/>
      <c r="GY96" s="71"/>
      <c r="GZ96" s="226"/>
      <c r="HA96" s="71"/>
      <c r="HB96" s="71"/>
      <c r="HC96" s="345"/>
      <c r="HD96" s="71"/>
      <c r="HE96" s="226"/>
      <c r="HF96" s="71"/>
      <c r="HG96" s="71"/>
      <c r="HH96" s="345"/>
      <c r="HI96" s="71"/>
      <c r="HJ96" s="226"/>
      <c r="HK96" s="71"/>
      <c r="HL96" s="71"/>
      <c r="HM96" s="345"/>
      <c r="HN96" s="71"/>
      <c r="HO96" s="226"/>
      <c r="HP96" s="71"/>
      <c r="HQ96" s="71"/>
      <c r="HR96" s="345"/>
      <c r="HS96" s="71"/>
      <c r="HT96" s="226"/>
      <c r="HU96" s="71"/>
      <c r="HV96" s="71"/>
      <c r="HW96" s="345"/>
      <c r="HX96" s="71"/>
      <c r="HY96" s="226"/>
      <c r="HZ96" s="71"/>
      <c r="IA96" s="71"/>
      <c r="IB96" s="345"/>
      <c r="IC96" s="71"/>
      <c r="ID96" s="226"/>
      <c r="IE96" s="71"/>
      <c r="IF96" s="71"/>
      <c r="IG96" s="345"/>
      <c r="IH96" s="71"/>
      <c r="II96" s="226"/>
      <c r="IJ96" s="71"/>
      <c r="IK96" s="71"/>
      <c r="IL96" s="345"/>
      <c r="IM96" s="71"/>
      <c r="IN96" s="226"/>
      <c r="IO96" s="71"/>
      <c r="IP96" s="71"/>
      <c r="IQ96" s="345"/>
      <c r="IR96" s="71"/>
      <c r="IS96" s="226"/>
      <c r="IT96" s="71"/>
      <c r="IU96" s="71"/>
      <c r="IV96" s="345"/>
    </row>
    <row r="97" spans="1:256" x14ac:dyDescent="0.2">
      <c r="A97" s="345">
        <v>30467</v>
      </c>
      <c r="B97" s="71"/>
      <c r="C97" s="226"/>
      <c r="D97" s="71"/>
      <c r="E97" s="71"/>
      <c r="F97" s="345"/>
      <c r="G97" s="71"/>
      <c r="H97" s="226"/>
      <c r="I97" s="71"/>
      <c r="J97" s="71"/>
      <c r="K97" s="345"/>
      <c r="L97" s="71"/>
      <c r="M97" s="226"/>
      <c r="N97" s="71"/>
      <c r="O97" s="71"/>
      <c r="P97" s="345"/>
      <c r="Q97" s="71"/>
      <c r="R97" s="226"/>
      <c r="S97" s="71"/>
      <c r="T97" s="71"/>
      <c r="U97" s="345"/>
      <c r="V97" s="71"/>
      <c r="W97" s="226"/>
      <c r="X97" s="71"/>
      <c r="Y97" s="71"/>
      <c r="Z97" s="345"/>
      <c r="AA97" s="71"/>
      <c r="AB97" s="226"/>
      <c r="AC97" s="71"/>
      <c r="AD97" s="71"/>
      <c r="AE97" s="345"/>
      <c r="AF97" s="71"/>
      <c r="AG97" s="226"/>
      <c r="AH97" s="71"/>
      <c r="AI97" s="71"/>
      <c r="AJ97" s="345"/>
      <c r="AK97" s="71"/>
      <c r="AL97" s="226"/>
      <c r="AM97" s="71"/>
      <c r="AN97" s="71"/>
      <c r="AO97" s="345"/>
      <c r="AP97" s="71"/>
      <c r="AQ97" s="226"/>
      <c r="AR97" s="71"/>
      <c r="AS97" s="71"/>
      <c r="AT97" s="345"/>
      <c r="AU97" s="71"/>
      <c r="AV97" s="226"/>
      <c r="AW97" s="71"/>
      <c r="AX97" s="71"/>
      <c r="AY97" s="345"/>
      <c r="AZ97" s="71"/>
      <c r="BA97" s="226"/>
      <c r="BB97" s="71"/>
      <c r="BC97" s="71"/>
      <c r="BD97" s="345"/>
      <c r="BE97" s="71"/>
      <c r="BF97" s="226"/>
      <c r="BG97" s="71"/>
      <c r="BH97" s="71"/>
      <c r="BI97" s="345"/>
      <c r="BJ97" s="71"/>
      <c r="BK97" s="226"/>
      <c r="BL97" s="71"/>
      <c r="BM97" s="71"/>
      <c r="BN97" s="345"/>
      <c r="BO97" s="71"/>
      <c r="BP97" s="226"/>
      <c r="BQ97" s="71"/>
      <c r="BR97" s="71"/>
      <c r="BS97" s="345"/>
      <c r="BT97" s="71"/>
      <c r="BU97" s="226"/>
      <c r="BV97" s="71"/>
      <c r="BW97" s="71"/>
      <c r="BX97" s="345"/>
      <c r="BY97" s="71"/>
      <c r="BZ97" s="226"/>
      <c r="CA97" s="71"/>
      <c r="CB97" s="71"/>
      <c r="CC97" s="345"/>
      <c r="CD97" s="71"/>
      <c r="CE97" s="226"/>
      <c r="CF97" s="71"/>
      <c r="CG97" s="71"/>
      <c r="CH97" s="345"/>
      <c r="CI97" s="71"/>
      <c r="CJ97" s="226"/>
      <c r="CK97" s="71"/>
      <c r="CL97" s="71"/>
      <c r="CM97" s="345"/>
      <c r="CN97" s="71"/>
      <c r="CO97" s="226"/>
      <c r="CP97" s="71"/>
      <c r="CQ97" s="71"/>
      <c r="CR97" s="345"/>
      <c r="CS97" s="71"/>
      <c r="CT97" s="226"/>
      <c r="CU97" s="71"/>
      <c r="CV97" s="71"/>
      <c r="CW97" s="345"/>
      <c r="CX97" s="71"/>
      <c r="CY97" s="226"/>
      <c r="CZ97" s="71"/>
      <c r="DA97" s="71"/>
      <c r="DB97" s="345"/>
      <c r="DC97" s="71"/>
      <c r="DD97" s="226"/>
      <c r="DE97" s="71"/>
      <c r="DF97" s="71"/>
      <c r="DG97" s="345"/>
      <c r="DH97" s="71"/>
      <c r="DI97" s="226"/>
      <c r="DJ97" s="71"/>
      <c r="DK97" s="71"/>
      <c r="DL97" s="345"/>
      <c r="DM97" s="71"/>
      <c r="DN97" s="226"/>
      <c r="DO97" s="71"/>
      <c r="DP97" s="71"/>
      <c r="DQ97" s="345"/>
      <c r="DR97" s="71"/>
      <c r="DS97" s="226"/>
      <c r="DT97" s="71"/>
      <c r="DU97" s="71"/>
      <c r="DV97" s="345"/>
      <c r="DW97" s="71"/>
      <c r="DX97" s="226"/>
      <c r="DY97" s="71"/>
      <c r="DZ97" s="71"/>
      <c r="EA97" s="345"/>
      <c r="EB97" s="71"/>
      <c r="EC97" s="226"/>
      <c r="ED97" s="71"/>
      <c r="EE97" s="71"/>
      <c r="EF97" s="345"/>
      <c r="EG97" s="71"/>
      <c r="EH97" s="226"/>
      <c r="EI97" s="71"/>
      <c r="EJ97" s="71"/>
      <c r="EK97" s="345"/>
      <c r="EL97" s="71"/>
      <c r="EM97" s="226"/>
      <c r="EN97" s="71"/>
      <c r="EO97" s="71"/>
      <c r="EP97" s="345"/>
      <c r="EQ97" s="71"/>
      <c r="ER97" s="226"/>
      <c r="ES97" s="71"/>
      <c r="ET97" s="71"/>
      <c r="EU97" s="345"/>
      <c r="EV97" s="71"/>
      <c r="EW97" s="226"/>
      <c r="EX97" s="71"/>
      <c r="EY97" s="71"/>
      <c r="EZ97" s="345"/>
      <c r="FA97" s="71"/>
      <c r="FB97" s="226"/>
      <c r="FC97" s="71"/>
      <c r="FD97" s="71"/>
      <c r="FE97" s="345"/>
      <c r="FF97" s="71"/>
      <c r="FG97" s="226"/>
      <c r="FH97" s="71"/>
      <c r="FI97" s="71"/>
      <c r="FJ97" s="345"/>
      <c r="FK97" s="71"/>
      <c r="FL97" s="226"/>
      <c r="FM97" s="71"/>
      <c r="FN97" s="71"/>
      <c r="FO97" s="345"/>
      <c r="FP97" s="71"/>
      <c r="FQ97" s="226"/>
      <c r="FR97" s="71"/>
      <c r="FS97" s="71"/>
      <c r="FT97" s="345"/>
      <c r="FU97" s="71"/>
      <c r="FV97" s="226"/>
      <c r="FW97" s="71"/>
      <c r="FX97" s="71"/>
      <c r="FY97" s="345"/>
      <c r="FZ97" s="71"/>
      <c r="GA97" s="226"/>
      <c r="GB97" s="71"/>
      <c r="GC97" s="71"/>
      <c r="GD97" s="345"/>
      <c r="GE97" s="71"/>
      <c r="GF97" s="226"/>
      <c r="GG97" s="71"/>
      <c r="GH97" s="71"/>
      <c r="GI97" s="345"/>
      <c r="GJ97" s="71"/>
      <c r="GK97" s="226"/>
      <c r="GL97" s="71"/>
      <c r="GM97" s="71"/>
      <c r="GN97" s="345"/>
      <c r="GO97" s="71"/>
      <c r="GP97" s="226"/>
      <c r="GQ97" s="71"/>
      <c r="GR97" s="71"/>
      <c r="GS97" s="345"/>
      <c r="GT97" s="71"/>
      <c r="GU97" s="226"/>
      <c r="GV97" s="71"/>
      <c r="GW97" s="71"/>
      <c r="GX97" s="345"/>
      <c r="GY97" s="71"/>
      <c r="GZ97" s="226"/>
      <c r="HA97" s="71"/>
      <c r="HB97" s="71"/>
      <c r="HC97" s="345"/>
      <c r="HD97" s="71"/>
      <c r="HE97" s="226"/>
      <c r="HF97" s="71"/>
      <c r="HG97" s="71"/>
      <c r="HH97" s="345"/>
      <c r="HI97" s="71"/>
      <c r="HJ97" s="226"/>
      <c r="HK97" s="71"/>
      <c r="HL97" s="71"/>
      <c r="HM97" s="345"/>
      <c r="HN97" s="71"/>
      <c r="HO97" s="226"/>
      <c r="HP97" s="71"/>
      <c r="HQ97" s="71"/>
      <c r="HR97" s="345"/>
      <c r="HS97" s="71"/>
      <c r="HT97" s="226"/>
      <c r="HU97" s="71"/>
      <c r="HV97" s="71"/>
      <c r="HW97" s="345"/>
      <c r="HX97" s="71"/>
      <c r="HY97" s="226"/>
      <c r="HZ97" s="71"/>
      <c r="IA97" s="71"/>
      <c r="IB97" s="345"/>
      <c r="IC97" s="71"/>
      <c r="ID97" s="226"/>
      <c r="IE97" s="71"/>
      <c r="IF97" s="71"/>
      <c r="IG97" s="345"/>
      <c r="IH97" s="71"/>
      <c r="II97" s="226"/>
      <c r="IJ97" s="71"/>
      <c r="IK97" s="71"/>
      <c r="IL97" s="345"/>
      <c r="IM97" s="71"/>
      <c r="IN97" s="226"/>
      <c r="IO97" s="71"/>
      <c r="IP97" s="71"/>
      <c r="IQ97" s="345"/>
      <c r="IR97" s="71"/>
      <c r="IS97" s="226"/>
      <c r="IT97" s="71"/>
      <c r="IU97" s="71"/>
      <c r="IV97" s="345"/>
    </row>
    <row r="98" spans="1:256" x14ac:dyDescent="0.2">
      <c r="A98" s="345">
        <v>30497</v>
      </c>
      <c r="B98" s="71"/>
      <c r="C98" s="226"/>
      <c r="D98" s="71"/>
      <c r="E98" s="71"/>
      <c r="F98" s="345"/>
      <c r="G98" s="71"/>
      <c r="H98" s="226"/>
      <c r="I98" s="71"/>
      <c r="J98" s="71"/>
      <c r="K98" s="345"/>
      <c r="L98" s="71"/>
      <c r="M98" s="226"/>
      <c r="N98" s="71"/>
      <c r="O98" s="71"/>
      <c r="P98" s="345"/>
      <c r="Q98" s="71"/>
      <c r="R98" s="226"/>
      <c r="S98" s="71"/>
      <c r="T98" s="71"/>
      <c r="U98" s="345"/>
      <c r="V98" s="71"/>
      <c r="W98" s="226"/>
      <c r="X98" s="71"/>
      <c r="Y98" s="71"/>
      <c r="Z98" s="345"/>
      <c r="AA98" s="71"/>
      <c r="AB98" s="226"/>
      <c r="AC98" s="71"/>
      <c r="AD98" s="71"/>
      <c r="AE98" s="345"/>
      <c r="AF98" s="71"/>
      <c r="AG98" s="226"/>
      <c r="AH98" s="71"/>
      <c r="AI98" s="71"/>
      <c r="AJ98" s="345"/>
      <c r="AK98" s="71"/>
      <c r="AL98" s="226"/>
      <c r="AM98" s="71"/>
      <c r="AN98" s="71"/>
      <c r="AO98" s="345"/>
      <c r="AP98" s="71"/>
      <c r="AQ98" s="226"/>
      <c r="AR98" s="71"/>
      <c r="AS98" s="71"/>
      <c r="AT98" s="345"/>
      <c r="AU98" s="71"/>
      <c r="AV98" s="226"/>
      <c r="AW98" s="71"/>
      <c r="AX98" s="71"/>
      <c r="AY98" s="345"/>
      <c r="AZ98" s="71"/>
      <c r="BA98" s="226"/>
      <c r="BB98" s="71"/>
      <c r="BC98" s="71"/>
      <c r="BD98" s="345"/>
      <c r="BE98" s="71"/>
      <c r="BF98" s="226"/>
      <c r="BG98" s="71"/>
      <c r="BH98" s="71"/>
      <c r="BI98" s="345"/>
      <c r="BJ98" s="71"/>
      <c r="BK98" s="226"/>
      <c r="BL98" s="71"/>
      <c r="BM98" s="71"/>
      <c r="BN98" s="345"/>
      <c r="BO98" s="71"/>
      <c r="BP98" s="226"/>
      <c r="BQ98" s="71"/>
      <c r="BR98" s="71"/>
      <c r="BS98" s="345"/>
      <c r="BT98" s="71"/>
      <c r="BU98" s="226"/>
      <c r="BV98" s="71"/>
      <c r="BW98" s="71"/>
      <c r="BX98" s="345"/>
      <c r="BY98" s="71"/>
      <c r="BZ98" s="226"/>
      <c r="CA98" s="71"/>
      <c r="CB98" s="71"/>
      <c r="CC98" s="345"/>
      <c r="CD98" s="71"/>
      <c r="CE98" s="226"/>
      <c r="CF98" s="71"/>
      <c r="CG98" s="71"/>
      <c r="CH98" s="345"/>
      <c r="CI98" s="71"/>
      <c r="CJ98" s="226"/>
      <c r="CK98" s="71"/>
      <c r="CL98" s="71"/>
      <c r="CM98" s="345"/>
      <c r="CN98" s="71"/>
      <c r="CO98" s="226"/>
      <c r="CP98" s="71"/>
      <c r="CQ98" s="71"/>
      <c r="CR98" s="345"/>
      <c r="CS98" s="71"/>
      <c r="CT98" s="226"/>
      <c r="CU98" s="71"/>
      <c r="CV98" s="71"/>
      <c r="CW98" s="345"/>
      <c r="CX98" s="71"/>
      <c r="CY98" s="226"/>
      <c r="CZ98" s="71"/>
      <c r="DA98" s="71"/>
      <c r="DB98" s="345"/>
      <c r="DC98" s="71"/>
      <c r="DD98" s="226"/>
      <c r="DE98" s="71"/>
      <c r="DF98" s="71"/>
      <c r="DG98" s="345"/>
      <c r="DH98" s="71"/>
      <c r="DI98" s="226"/>
      <c r="DJ98" s="71"/>
      <c r="DK98" s="71"/>
      <c r="DL98" s="345"/>
      <c r="DM98" s="71"/>
      <c r="DN98" s="226"/>
      <c r="DO98" s="71"/>
      <c r="DP98" s="71"/>
      <c r="DQ98" s="345"/>
      <c r="DR98" s="71"/>
      <c r="DS98" s="226"/>
      <c r="DT98" s="71"/>
      <c r="DU98" s="71"/>
      <c r="DV98" s="345"/>
      <c r="DW98" s="71"/>
      <c r="DX98" s="226"/>
      <c r="DY98" s="71"/>
      <c r="DZ98" s="71"/>
      <c r="EA98" s="345"/>
      <c r="EB98" s="71"/>
      <c r="EC98" s="226"/>
      <c r="ED98" s="71"/>
      <c r="EE98" s="71"/>
      <c r="EF98" s="345"/>
      <c r="EG98" s="71"/>
      <c r="EH98" s="226"/>
      <c r="EI98" s="71"/>
      <c r="EJ98" s="71"/>
      <c r="EK98" s="345"/>
      <c r="EL98" s="71"/>
      <c r="EM98" s="226"/>
      <c r="EN98" s="71"/>
      <c r="EO98" s="71"/>
      <c r="EP98" s="345"/>
      <c r="EQ98" s="71"/>
      <c r="ER98" s="226"/>
      <c r="ES98" s="71"/>
      <c r="ET98" s="71"/>
      <c r="EU98" s="345"/>
      <c r="EV98" s="71"/>
      <c r="EW98" s="226"/>
      <c r="EX98" s="71"/>
      <c r="EY98" s="71"/>
      <c r="EZ98" s="345"/>
      <c r="FA98" s="71"/>
      <c r="FB98" s="226"/>
      <c r="FC98" s="71"/>
      <c r="FD98" s="71"/>
      <c r="FE98" s="345"/>
      <c r="FF98" s="71"/>
      <c r="FG98" s="226"/>
      <c r="FH98" s="71"/>
      <c r="FI98" s="71"/>
      <c r="FJ98" s="345"/>
      <c r="FK98" s="71"/>
      <c r="FL98" s="226"/>
      <c r="FM98" s="71"/>
      <c r="FN98" s="71"/>
      <c r="FO98" s="345"/>
      <c r="FP98" s="71"/>
      <c r="FQ98" s="226"/>
      <c r="FR98" s="71"/>
      <c r="FS98" s="71"/>
      <c r="FT98" s="345"/>
      <c r="FU98" s="71"/>
      <c r="FV98" s="226"/>
      <c r="FW98" s="71"/>
      <c r="FX98" s="71"/>
      <c r="FY98" s="345"/>
      <c r="FZ98" s="71"/>
      <c r="GA98" s="226"/>
      <c r="GB98" s="71"/>
      <c r="GC98" s="71"/>
      <c r="GD98" s="345"/>
      <c r="GE98" s="71"/>
      <c r="GF98" s="226"/>
      <c r="GG98" s="71"/>
      <c r="GH98" s="71"/>
      <c r="GI98" s="345"/>
      <c r="GJ98" s="71"/>
      <c r="GK98" s="226"/>
      <c r="GL98" s="71"/>
      <c r="GM98" s="71"/>
      <c r="GN98" s="345"/>
      <c r="GO98" s="71"/>
      <c r="GP98" s="226"/>
      <c r="GQ98" s="71"/>
      <c r="GR98" s="71"/>
      <c r="GS98" s="345"/>
      <c r="GT98" s="71"/>
      <c r="GU98" s="226"/>
      <c r="GV98" s="71"/>
      <c r="GW98" s="71"/>
      <c r="GX98" s="345"/>
      <c r="GY98" s="71"/>
      <c r="GZ98" s="226"/>
      <c r="HA98" s="71"/>
      <c r="HB98" s="71"/>
      <c r="HC98" s="345"/>
      <c r="HD98" s="71"/>
      <c r="HE98" s="226"/>
      <c r="HF98" s="71"/>
      <c r="HG98" s="71"/>
      <c r="HH98" s="345"/>
      <c r="HI98" s="71"/>
      <c r="HJ98" s="226"/>
      <c r="HK98" s="71"/>
      <c r="HL98" s="71"/>
      <c r="HM98" s="345"/>
      <c r="HN98" s="71"/>
      <c r="HO98" s="226"/>
      <c r="HP98" s="71"/>
      <c r="HQ98" s="71"/>
      <c r="HR98" s="345"/>
      <c r="HS98" s="71"/>
      <c r="HT98" s="226"/>
      <c r="HU98" s="71"/>
      <c r="HV98" s="71"/>
      <c r="HW98" s="345"/>
      <c r="HX98" s="71"/>
      <c r="HY98" s="226"/>
      <c r="HZ98" s="71"/>
      <c r="IA98" s="71"/>
      <c r="IB98" s="345"/>
      <c r="IC98" s="71"/>
      <c r="ID98" s="226"/>
      <c r="IE98" s="71"/>
      <c r="IF98" s="71"/>
      <c r="IG98" s="345"/>
      <c r="IH98" s="71"/>
      <c r="II98" s="226"/>
      <c r="IJ98" s="71"/>
      <c r="IK98" s="71"/>
      <c r="IL98" s="345"/>
      <c r="IM98" s="71"/>
      <c r="IN98" s="226"/>
      <c r="IO98" s="71"/>
      <c r="IP98" s="71"/>
      <c r="IQ98" s="345"/>
      <c r="IR98" s="71"/>
      <c r="IS98" s="226"/>
      <c r="IT98" s="71"/>
      <c r="IU98" s="71"/>
      <c r="IV98" s="345"/>
    </row>
    <row r="99" spans="1:256" x14ac:dyDescent="0.2">
      <c r="A99" s="345">
        <v>30528</v>
      </c>
      <c r="B99" s="71"/>
      <c r="C99" s="226"/>
      <c r="D99" s="71"/>
      <c r="E99" s="71"/>
      <c r="F99" s="345"/>
      <c r="G99" s="71"/>
      <c r="H99" s="226"/>
      <c r="I99" s="71"/>
      <c r="J99" s="71"/>
      <c r="K99" s="345"/>
      <c r="L99" s="71"/>
      <c r="M99" s="226"/>
      <c r="N99" s="71"/>
      <c r="O99" s="71"/>
      <c r="P99" s="345"/>
      <c r="Q99" s="71"/>
      <c r="R99" s="226"/>
      <c r="S99" s="71"/>
      <c r="T99" s="71"/>
      <c r="U99" s="345"/>
      <c r="V99" s="71"/>
      <c r="W99" s="226"/>
      <c r="X99" s="71"/>
      <c r="Y99" s="71"/>
      <c r="Z99" s="345"/>
      <c r="AA99" s="71"/>
      <c r="AB99" s="226"/>
      <c r="AC99" s="71"/>
      <c r="AD99" s="71"/>
      <c r="AE99" s="345"/>
      <c r="AF99" s="71"/>
      <c r="AG99" s="226"/>
      <c r="AH99" s="71"/>
      <c r="AI99" s="71"/>
      <c r="AJ99" s="345"/>
      <c r="AK99" s="71"/>
      <c r="AL99" s="226"/>
      <c r="AM99" s="71"/>
      <c r="AN99" s="71"/>
      <c r="AO99" s="345"/>
      <c r="AP99" s="71"/>
      <c r="AQ99" s="226"/>
      <c r="AR99" s="71"/>
      <c r="AS99" s="71"/>
      <c r="AT99" s="345"/>
      <c r="AU99" s="71"/>
      <c r="AV99" s="226"/>
      <c r="AW99" s="71"/>
      <c r="AX99" s="71"/>
      <c r="AY99" s="345"/>
      <c r="AZ99" s="71"/>
      <c r="BA99" s="226"/>
      <c r="BB99" s="71"/>
      <c r="BC99" s="71"/>
      <c r="BD99" s="345"/>
      <c r="BE99" s="71"/>
      <c r="BF99" s="226"/>
      <c r="BG99" s="71"/>
      <c r="BH99" s="71"/>
      <c r="BI99" s="345"/>
      <c r="BJ99" s="71"/>
      <c r="BK99" s="226"/>
      <c r="BL99" s="71"/>
      <c r="BM99" s="71"/>
      <c r="BN99" s="345"/>
      <c r="BO99" s="71"/>
      <c r="BP99" s="226"/>
      <c r="BQ99" s="71"/>
      <c r="BR99" s="71"/>
      <c r="BS99" s="345"/>
      <c r="BT99" s="71"/>
      <c r="BU99" s="226"/>
      <c r="BV99" s="71"/>
      <c r="BW99" s="71"/>
      <c r="BX99" s="345"/>
      <c r="BY99" s="71"/>
      <c r="BZ99" s="226"/>
      <c r="CA99" s="71"/>
      <c r="CB99" s="71"/>
      <c r="CC99" s="345"/>
      <c r="CD99" s="71"/>
      <c r="CE99" s="226"/>
      <c r="CF99" s="71"/>
      <c r="CG99" s="71"/>
      <c r="CH99" s="345"/>
      <c r="CI99" s="71"/>
      <c r="CJ99" s="226"/>
      <c r="CK99" s="71"/>
      <c r="CL99" s="71"/>
      <c r="CM99" s="345"/>
      <c r="CN99" s="71"/>
      <c r="CO99" s="226"/>
      <c r="CP99" s="71"/>
      <c r="CQ99" s="71"/>
      <c r="CR99" s="345"/>
      <c r="CS99" s="71"/>
      <c r="CT99" s="226"/>
      <c r="CU99" s="71"/>
      <c r="CV99" s="71"/>
      <c r="CW99" s="345"/>
      <c r="CX99" s="71"/>
      <c r="CY99" s="226"/>
      <c r="CZ99" s="71"/>
      <c r="DA99" s="71"/>
      <c r="DB99" s="345"/>
      <c r="DC99" s="71"/>
      <c r="DD99" s="226"/>
      <c r="DE99" s="71"/>
      <c r="DF99" s="71"/>
      <c r="DG99" s="345"/>
      <c r="DH99" s="71"/>
      <c r="DI99" s="226"/>
      <c r="DJ99" s="71"/>
      <c r="DK99" s="71"/>
      <c r="DL99" s="345"/>
      <c r="DM99" s="71"/>
      <c r="DN99" s="226"/>
      <c r="DO99" s="71"/>
      <c r="DP99" s="71"/>
      <c r="DQ99" s="345"/>
      <c r="DR99" s="71"/>
      <c r="DS99" s="226"/>
      <c r="DT99" s="71"/>
      <c r="DU99" s="71"/>
      <c r="DV99" s="345"/>
      <c r="DW99" s="71"/>
      <c r="DX99" s="226"/>
      <c r="DY99" s="71"/>
      <c r="DZ99" s="71"/>
      <c r="EA99" s="345"/>
      <c r="EB99" s="71"/>
      <c r="EC99" s="226"/>
      <c r="ED99" s="71"/>
      <c r="EE99" s="71"/>
      <c r="EF99" s="345"/>
      <c r="EG99" s="71"/>
      <c r="EH99" s="226"/>
      <c r="EI99" s="71"/>
      <c r="EJ99" s="71"/>
      <c r="EK99" s="345"/>
      <c r="EL99" s="71"/>
      <c r="EM99" s="226"/>
      <c r="EN99" s="71"/>
      <c r="EO99" s="71"/>
      <c r="EP99" s="345"/>
      <c r="EQ99" s="71"/>
      <c r="ER99" s="226"/>
      <c r="ES99" s="71"/>
      <c r="ET99" s="71"/>
      <c r="EU99" s="345"/>
      <c r="EV99" s="71"/>
      <c r="EW99" s="226"/>
      <c r="EX99" s="71"/>
      <c r="EY99" s="71"/>
      <c r="EZ99" s="345"/>
      <c r="FA99" s="71"/>
      <c r="FB99" s="226"/>
      <c r="FC99" s="71"/>
      <c r="FD99" s="71"/>
      <c r="FE99" s="345"/>
      <c r="FF99" s="71"/>
      <c r="FG99" s="226"/>
      <c r="FH99" s="71"/>
      <c r="FI99" s="71"/>
      <c r="FJ99" s="345"/>
      <c r="FK99" s="71"/>
      <c r="FL99" s="226"/>
      <c r="FM99" s="71"/>
      <c r="FN99" s="71"/>
      <c r="FO99" s="345"/>
      <c r="FP99" s="71"/>
      <c r="FQ99" s="226"/>
      <c r="FR99" s="71"/>
      <c r="FS99" s="71"/>
      <c r="FT99" s="345"/>
      <c r="FU99" s="71"/>
      <c r="FV99" s="226"/>
      <c r="FW99" s="71"/>
      <c r="FX99" s="71"/>
      <c r="FY99" s="345"/>
      <c r="FZ99" s="71"/>
      <c r="GA99" s="226"/>
      <c r="GB99" s="71"/>
      <c r="GC99" s="71"/>
      <c r="GD99" s="345"/>
      <c r="GE99" s="71"/>
      <c r="GF99" s="226"/>
      <c r="GG99" s="71"/>
      <c r="GH99" s="71"/>
      <c r="GI99" s="345"/>
      <c r="GJ99" s="71"/>
      <c r="GK99" s="226"/>
      <c r="GL99" s="71"/>
      <c r="GM99" s="71"/>
      <c r="GN99" s="345"/>
      <c r="GO99" s="71"/>
      <c r="GP99" s="226"/>
      <c r="GQ99" s="71"/>
      <c r="GR99" s="71"/>
      <c r="GS99" s="345"/>
      <c r="GT99" s="71"/>
      <c r="GU99" s="226"/>
      <c r="GV99" s="71"/>
      <c r="GW99" s="71"/>
      <c r="GX99" s="345"/>
      <c r="GY99" s="71"/>
      <c r="GZ99" s="226"/>
      <c r="HA99" s="71"/>
      <c r="HB99" s="71"/>
      <c r="HC99" s="345"/>
      <c r="HD99" s="71"/>
      <c r="HE99" s="226"/>
      <c r="HF99" s="71"/>
      <c r="HG99" s="71"/>
      <c r="HH99" s="345"/>
      <c r="HI99" s="71"/>
      <c r="HJ99" s="226"/>
      <c r="HK99" s="71"/>
      <c r="HL99" s="71"/>
      <c r="HM99" s="345"/>
      <c r="HN99" s="71"/>
      <c r="HO99" s="226"/>
      <c r="HP99" s="71"/>
      <c r="HQ99" s="71"/>
      <c r="HR99" s="345"/>
      <c r="HS99" s="71"/>
      <c r="HT99" s="226"/>
      <c r="HU99" s="71"/>
      <c r="HV99" s="71"/>
      <c r="HW99" s="345"/>
      <c r="HX99" s="71"/>
      <c r="HY99" s="226"/>
      <c r="HZ99" s="71"/>
      <c r="IA99" s="71"/>
      <c r="IB99" s="345"/>
      <c r="IC99" s="71"/>
      <c r="ID99" s="226"/>
      <c r="IE99" s="71"/>
      <c r="IF99" s="71"/>
      <c r="IG99" s="345"/>
      <c r="IH99" s="71"/>
      <c r="II99" s="226"/>
      <c r="IJ99" s="71"/>
      <c r="IK99" s="71"/>
      <c r="IL99" s="345"/>
      <c r="IM99" s="71"/>
      <c r="IN99" s="226"/>
      <c r="IO99" s="71"/>
      <c r="IP99" s="71"/>
      <c r="IQ99" s="345"/>
      <c r="IR99" s="71"/>
      <c r="IS99" s="226"/>
      <c r="IT99" s="71"/>
      <c r="IU99" s="71"/>
      <c r="IV99" s="345"/>
    </row>
    <row r="100" spans="1:256" x14ac:dyDescent="0.2">
      <c r="A100" s="345">
        <v>30559</v>
      </c>
      <c r="B100" s="71"/>
      <c r="C100" s="226"/>
      <c r="D100" s="71"/>
      <c r="E100" s="71"/>
      <c r="F100" s="345"/>
      <c r="G100" s="71"/>
      <c r="H100" s="226"/>
      <c r="I100" s="71"/>
      <c r="J100" s="71"/>
      <c r="K100" s="345"/>
      <c r="L100" s="71"/>
      <c r="M100" s="226"/>
      <c r="N100" s="71"/>
      <c r="O100" s="71"/>
      <c r="P100" s="345"/>
      <c r="Q100" s="71"/>
      <c r="R100" s="226"/>
      <c r="S100" s="71"/>
      <c r="T100" s="71"/>
      <c r="U100" s="345"/>
      <c r="V100" s="71"/>
      <c r="W100" s="226"/>
      <c r="X100" s="71"/>
      <c r="Y100" s="71"/>
      <c r="Z100" s="345"/>
      <c r="AA100" s="71"/>
      <c r="AB100" s="226"/>
      <c r="AC100" s="71"/>
      <c r="AD100" s="71"/>
      <c r="AE100" s="345"/>
      <c r="AF100" s="71"/>
      <c r="AG100" s="226"/>
      <c r="AH100" s="71"/>
      <c r="AI100" s="71"/>
      <c r="AJ100" s="345"/>
      <c r="AK100" s="71"/>
      <c r="AL100" s="226"/>
      <c r="AM100" s="71"/>
      <c r="AN100" s="71"/>
      <c r="AO100" s="345"/>
      <c r="AP100" s="71"/>
      <c r="AQ100" s="226"/>
      <c r="AR100" s="71"/>
      <c r="AS100" s="71"/>
      <c r="AT100" s="345"/>
      <c r="AU100" s="71"/>
      <c r="AV100" s="226"/>
      <c r="AW100" s="71"/>
      <c r="AX100" s="71"/>
      <c r="AY100" s="345"/>
      <c r="AZ100" s="71"/>
      <c r="BA100" s="226"/>
      <c r="BB100" s="71"/>
      <c r="BC100" s="71"/>
      <c r="BD100" s="345"/>
      <c r="BE100" s="71"/>
      <c r="BF100" s="226"/>
      <c r="BG100" s="71"/>
      <c r="BH100" s="71"/>
      <c r="BI100" s="345"/>
      <c r="BJ100" s="71"/>
      <c r="BK100" s="226"/>
      <c r="BL100" s="71"/>
      <c r="BM100" s="71"/>
      <c r="BN100" s="345"/>
      <c r="BO100" s="71"/>
      <c r="BP100" s="226"/>
      <c r="BQ100" s="71"/>
      <c r="BR100" s="71"/>
      <c r="BS100" s="345"/>
      <c r="BT100" s="71"/>
      <c r="BU100" s="226"/>
      <c r="BV100" s="71"/>
      <c r="BW100" s="71"/>
      <c r="BX100" s="345"/>
      <c r="BY100" s="71"/>
      <c r="BZ100" s="226"/>
      <c r="CA100" s="71"/>
      <c r="CB100" s="71"/>
      <c r="CC100" s="345"/>
      <c r="CD100" s="71"/>
      <c r="CE100" s="226"/>
      <c r="CF100" s="71"/>
      <c r="CG100" s="71"/>
      <c r="CH100" s="345"/>
      <c r="CI100" s="71"/>
      <c r="CJ100" s="226"/>
      <c r="CK100" s="71"/>
      <c r="CL100" s="71"/>
      <c r="CM100" s="345"/>
      <c r="CN100" s="71"/>
      <c r="CO100" s="226"/>
      <c r="CP100" s="71"/>
      <c r="CQ100" s="71"/>
      <c r="CR100" s="345"/>
      <c r="CS100" s="71"/>
      <c r="CT100" s="226"/>
      <c r="CU100" s="71"/>
      <c r="CV100" s="71"/>
      <c r="CW100" s="345"/>
      <c r="CX100" s="71"/>
      <c r="CY100" s="226"/>
      <c r="CZ100" s="71"/>
      <c r="DA100" s="71"/>
      <c r="DB100" s="345"/>
      <c r="DC100" s="71"/>
      <c r="DD100" s="226"/>
      <c r="DE100" s="71"/>
      <c r="DF100" s="71"/>
      <c r="DG100" s="345"/>
      <c r="DH100" s="71"/>
      <c r="DI100" s="226"/>
      <c r="DJ100" s="71"/>
      <c r="DK100" s="71"/>
      <c r="DL100" s="345"/>
      <c r="DM100" s="71"/>
      <c r="DN100" s="226"/>
      <c r="DO100" s="71"/>
      <c r="DP100" s="71"/>
      <c r="DQ100" s="345"/>
      <c r="DR100" s="71"/>
      <c r="DS100" s="226"/>
      <c r="DT100" s="71"/>
      <c r="DU100" s="71"/>
      <c r="DV100" s="345"/>
      <c r="DW100" s="71"/>
      <c r="DX100" s="226"/>
      <c r="DY100" s="71"/>
      <c r="DZ100" s="71"/>
      <c r="EA100" s="345"/>
      <c r="EB100" s="71"/>
      <c r="EC100" s="226"/>
      <c r="ED100" s="71"/>
      <c r="EE100" s="71"/>
      <c r="EF100" s="345"/>
      <c r="EG100" s="71"/>
      <c r="EH100" s="226"/>
      <c r="EI100" s="71"/>
      <c r="EJ100" s="71"/>
      <c r="EK100" s="345"/>
      <c r="EL100" s="71"/>
      <c r="EM100" s="226"/>
      <c r="EN100" s="71"/>
      <c r="EO100" s="71"/>
      <c r="EP100" s="345"/>
      <c r="EQ100" s="71"/>
      <c r="ER100" s="226"/>
      <c r="ES100" s="71"/>
      <c r="ET100" s="71"/>
      <c r="EU100" s="345"/>
      <c r="EV100" s="71"/>
      <c r="EW100" s="226"/>
      <c r="EX100" s="71"/>
      <c r="EY100" s="71"/>
      <c r="EZ100" s="345"/>
      <c r="FA100" s="71"/>
      <c r="FB100" s="226"/>
      <c r="FC100" s="71"/>
      <c r="FD100" s="71"/>
      <c r="FE100" s="345"/>
      <c r="FF100" s="71"/>
      <c r="FG100" s="226"/>
      <c r="FH100" s="71"/>
      <c r="FI100" s="71"/>
      <c r="FJ100" s="345"/>
      <c r="FK100" s="71"/>
      <c r="FL100" s="226"/>
      <c r="FM100" s="71"/>
      <c r="FN100" s="71"/>
      <c r="FO100" s="345"/>
      <c r="FP100" s="71"/>
      <c r="FQ100" s="226"/>
      <c r="FR100" s="71"/>
      <c r="FS100" s="71"/>
      <c r="FT100" s="345"/>
      <c r="FU100" s="71"/>
      <c r="FV100" s="226"/>
      <c r="FW100" s="71"/>
      <c r="FX100" s="71"/>
      <c r="FY100" s="345"/>
      <c r="FZ100" s="71"/>
      <c r="GA100" s="226"/>
      <c r="GB100" s="71"/>
      <c r="GC100" s="71"/>
      <c r="GD100" s="345"/>
      <c r="GE100" s="71"/>
      <c r="GF100" s="226"/>
      <c r="GG100" s="71"/>
      <c r="GH100" s="71"/>
      <c r="GI100" s="345"/>
      <c r="GJ100" s="71"/>
      <c r="GK100" s="226"/>
      <c r="GL100" s="71"/>
      <c r="GM100" s="71"/>
      <c r="GN100" s="345"/>
      <c r="GO100" s="71"/>
      <c r="GP100" s="226"/>
      <c r="GQ100" s="71"/>
      <c r="GR100" s="71"/>
      <c r="GS100" s="345"/>
      <c r="GT100" s="71"/>
      <c r="GU100" s="226"/>
      <c r="GV100" s="71"/>
      <c r="GW100" s="71"/>
      <c r="GX100" s="345"/>
      <c r="GY100" s="71"/>
      <c r="GZ100" s="226"/>
      <c r="HA100" s="71"/>
      <c r="HB100" s="71"/>
      <c r="HC100" s="345"/>
      <c r="HD100" s="71"/>
      <c r="HE100" s="226"/>
      <c r="HF100" s="71"/>
      <c r="HG100" s="71"/>
      <c r="HH100" s="345"/>
      <c r="HI100" s="71"/>
      <c r="HJ100" s="226"/>
      <c r="HK100" s="71"/>
      <c r="HL100" s="71"/>
      <c r="HM100" s="345"/>
      <c r="HN100" s="71"/>
      <c r="HO100" s="226"/>
      <c r="HP100" s="71"/>
      <c r="HQ100" s="71"/>
      <c r="HR100" s="345"/>
      <c r="HS100" s="71"/>
      <c r="HT100" s="226"/>
      <c r="HU100" s="71"/>
      <c r="HV100" s="71"/>
      <c r="HW100" s="345"/>
      <c r="HX100" s="71"/>
      <c r="HY100" s="226"/>
      <c r="HZ100" s="71"/>
      <c r="IA100" s="71"/>
      <c r="IB100" s="345"/>
      <c r="IC100" s="71"/>
      <c r="ID100" s="226"/>
      <c r="IE100" s="71"/>
      <c r="IF100" s="71"/>
      <c r="IG100" s="345"/>
      <c r="IH100" s="71"/>
      <c r="II100" s="226"/>
      <c r="IJ100" s="71"/>
      <c r="IK100" s="71"/>
      <c r="IL100" s="345"/>
      <c r="IM100" s="71"/>
      <c r="IN100" s="226"/>
      <c r="IO100" s="71"/>
      <c r="IP100" s="71"/>
      <c r="IQ100" s="345"/>
      <c r="IR100" s="71"/>
      <c r="IS100" s="226"/>
      <c r="IT100" s="71"/>
      <c r="IU100" s="71"/>
      <c r="IV100" s="345"/>
    </row>
    <row r="101" spans="1:256" x14ac:dyDescent="0.2">
      <c r="A101" s="345">
        <v>30589</v>
      </c>
      <c r="B101" s="71"/>
      <c r="C101" s="226"/>
      <c r="D101" s="71"/>
      <c r="E101" s="71"/>
      <c r="F101" s="345"/>
      <c r="G101" s="71"/>
      <c r="H101" s="226"/>
      <c r="I101" s="71"/>
      <c r="J101" s="71"/>
      <c r="K101" s="345"/>
      <c r="L101" s="71"/>
      <c r="M101" s="226"/>
      <c r="N101" s="71"/>
      <c r="O101" s="71"/>
      <c r="P101" s="345"/>
      <c r="Q101" s="71"/>
      <c r="R101" s="226"/>
      <c r="S101" s="71"/>
      <c r="T101" s="71"/>
      <c r="U101" s="345"/>
      <c r="V101" s="71"/>
      <c r="W101" s="226"/>
      <c r="X101" s="71"/>
      <c r="Y101" s="71"/>
      <c r="Z101" s="345"/>
      <c r="AA101" s="71"/>
      <c r="AB101" s="226"/>
      <c r="AC101" s="71"/>
      <c r="AD101" s="71"/>
      <c r="AE101" s="345"/>
      <c r="AF101" s="71"/>
      <c r="AG101" s="226"/>
      <c r="AH101" s="71"/>
      <c r="AI101" s="71"/>
      <c r="AJ101" s="345"/>
      <c r="AK101" s="71"/>
      <c r="AL101" s="226"/>
      <c r="AM101" s="71"/>
      <c r="AN101" s="71"/>
      <c r="AO101" s="345"/>
      <c r="AP101" s="71"/>
      <c r="AQ101" s="226"/>
      <c r="AR101" s="71"/>
      <c r="AS101" s="71"/>
      <c r="AT101" s="345"/>
      <c r="AU101" s="71"/>
      <c r="AV101" s="226"/>
      <c r="AW101" s="71"/>
      <c r="AX101" s="71"/>
      <c r="AY101" s="345"/>
      <c r="AZ101" s="71"/>
      <c r="BA101" s="226"/>
      <c r="BB101" s="71"/>
      <c r="BC101" s="71"/>
      <c r="BD101" s="345"/>
      <c r="BE101" s="71"/>
      <c r="BF101" s="226"/>
      <c r="BG101" s="71"/>
      <c r="BH101" s="71"/>
      <c r="BI101" s="345"/>
      <c r="BJ101" s="71"/>
      <c r="BK101" s="226"/>
      <c r="BL101" s="71"/>
      <c r="BM101" s="71"/>
      <c r="BN101" s="345"/>
      <c r="BO101" s="71"/>
      <c r="BP101" s="226"/>
      <c r="BQ101" s="71"/>
      <c r="BR101" s="71"/>
      <c r="BS101" s="345"/>
      <c r="BT101" s="71"/>
      <c r="BU101" s="226"/>
      <c r="BV101" s="71"/>
      <c r="BW101" s="71"/>
      <c r="BX101" s="345"/>
      <c r="BY101" s="71"/>
      <c r="BZ101" s="226"/>
      <c r="CA101" s="71"/>
      <c r="CB101" s="71"/>
      <c r="CC101" s="345"/>
      <c r="CD101" s="71"/>
      <c r="CE101" s="226"/>
      <c r="CF101" s="71"/>
      <c r="CG101" s="71"/>
      <c r="CH101" s="345"/>
      <c r="CI101" s="71"/>
      <c r="CJ101" s="226"/>
      <c r="CK101" s="71"/>
      <c r="CL101" s="71"/>
      <c r="CM101" s="345"/>
      <c r="CN101" s="71"/>
      <c r="CO101" s="226"/>
      <c r="CP101" s="71"/>
      <c r="CQ101" s="71"/>
      <c r="CR101" s="345"/>
      <c r="CS101" s="71"/>
      <c r="CT101" s="226"/>
      <c r="CU101" s="71"/>
      <c r="CV101" s="71"/>
      <c r="CW101" s="345"/>
      <c r="CX101" s="71"/>
      <c r="CY101" s="226"/>
      <c r="CZ101" s="71"/>
      <c r="DA101" s="71"/>
      <c r="DB101" s="345"/>
      <c r="DC101" s="71"/>
      <c r="DD101" s="226"/>
      <c r="DE101" s="71"/>
      <c r="DF101" s="71"/>
      <c r="DG101" s="345"/>
      <c r="DH101" s="71"/>
      <c r="DI101" s="226"/>
      <c r="DJ101" s="71"/>
      <c r="DK101" s="71"/>
      <c r="DL101" s="345"/>
      <c r="DM101" s="71"/>
      <c r="DN101" s="226"/>
      <c r="DO101" s="71"/>
      <c r="DP101" s="71"/>
      <c r="DQ101" s="345"/>
      <c r="DR101" s="71"/>
      <c r="DS101" s="226"/>
      <c r="DT101" s="71"/>
      <c r="DU101" s="71"/>
      <c r="DV101" s="345"/>
      <c r="DW101" s="71"/>
      <c r="DX101" s="226"/>
      <c r="DY101" s="71"/>
      <c r="DZ101" s="71"/>
      <c r="EA101" s="345"/>
      <c r="EB101" s="71"/>
      <c r="EC101" s="226"/>
      <c r="ED101" s="71"/>
      <c r="EE101" s="71"/>
      <c r="EF101" s="345"/>
      <c r="EG101" s="71"/>
      <c r="EH101" s="226"/>
      <c r="EI101" s="71"/>
      <c r="EJ101" s="71"/>
      <c r="EK101" s="345"/>
      <c r="EL101" s="71"/>
      <c r="EM101" s="226"/>
      <c r="EN101" s="71"/>
      <c r="EO101" s="71"/>
      <c r="EP101" s="345"/>
      <c r="EQ101" s="71"/>
      <c r="ER101" s="226"/>
      <c r="ES101" s="71"/>
      <c r="ET101" s="71"/>
      <c r="EU101" s="345"/>
      <c r="EV101" s="71"/>
      <c r="EW101" s="226"/>
      <c r="EX101" s="71"/>
      <c r="EY101" s="71"/>
      <c r="EZ101" s="345"/>
      <c r="FA101" s="71"/>
      <c r="FB101" s="226"/>
      <c r="FC101" s="71"/>
      <c r="FD101" s="71"/>
      <c r="FE101" s="345"/>
      <c r="FF101" s="71"/>
      <c r="FG101" s="226"/>
      <c r="FH101" s="71"/>
      <c r="FI101" s="71"/>
      <c r="FJ101" s="345"/>
      <c r="FK101" s="71"/>
      <c r="FL101" s="226"/>
      <c r="FM101" s="71"/>
      <c r="FN101" s="71"/>
      <c r="FO101" s="345"/>
      <c r="FP101" s="71"/>
      <c r="FQ101" s="226"/>
      <c r="FR101" s="71"/>
      <c r="FS101" s="71"/>
      <c r="FT101" s="345"/>
      <c r="FU101" s="71"/>
      <c r="FV101" s="226"/>
      <c r="FW101" s="71"/>
      <c r="FX101" s="71"/>
      <c r="FY101" s="345"/>
      <c r="FZ101" s="71"/>
      <c r="GA101" s="226"/>
      <c r="GB101" s="71"/>
      <c r="GC101" s="71"/>
      <c r="GD101" s="345"/>
      <c r="GE101" s="71"/>
      <c r="GF101" s="226"/>
      <c r="GG101" s="71"/>
      <c r="GH101" s="71"/>
      <c r="GI101" s="345"/>
      <c r="GJ101" s="71"/>
      <c r="GK101" s="226"/>
      <c r="GL101" s="71"/>
      <c r="GM101" s="71"/>
      <c r="GN101" s="345"/>
      <c r="GO101" s="71"/>
      <c r="GP101" s="226"/>
      <c r="GQ101" s="71"/>
      <c r="GR101" s="71"/>
      <c r="GS101" s="345"/>
      <c r="GT101" s="71"/>
      <c r="GU101" s="226"/>
      <c r="GV101" s="71"/>
      <c r="GW101" s="71"/>
      <c r="GX101" s="345"/>
      <c r="GY101" s="71"/>
      <c r="GZ101" s="226"/>
      <c r="HA101" s="71"/>
      <c r="HB101" s="71"/>
      <c r="HC101" s="345"/>
      <c r="HD101" s="71"/>
      <c r="HE101" s="226"/>
      <c r="HF101" s="71"/>
      <c r="HG101" s="71"/>
      <c r="HH101" s="345"/>
      <c r="HI101" s="71"/>
      <c r="HJ101" s="226"/>
      <c r="HK101" s="71"/>
      <c r="HL101" s="71"/>
      <c r="HM101" s="345"/>
      <c r="HN101" s="71"/>
      <c r="HO101" s="226"/>
      <c r="HP101" s="71"/>
      <c r="HQ101" s="71"/>
      <c r="HR101" s="345"/>
      <c r="HS101" s="71"/>
      <c r="HT101" s="226"/>
      <c r="HU101" s="71"/>
      <c r="HV101" s="71"/>
      <c r="HW101" s="345"/>
      <c r="HX101" s="71"/>
      <c r="HY101" s="226"/>
      <c r="HZ101" s="71"/>
      <c r="IA101" s="71"/>
      <c r="IB101" s="345"/>
      <c r="IC101" s="71"/>
      <c r="ID101" s="226"/>
      <c r="IE101" s="71"/>
      <c r="IF101" s="71"/>
      <c r="IG101" s="345"/>
      <c r="IH101" s="71"/>
      <c r="II101" s="226"/>
      <c r="IJ101" s="71"/>
      <c r="IK101" s="71"/>
      <c r="IL101" s="345"/>
      <c r="IM101" s="71"/>
      <c r="IN101" s="226"/>
      <c r="IO101" s="71"/>
      <c r="IP101" s="71"/>
      <c r="IQ101" s="345"/>
      <c r="IR101" s="71"/>
      <c r="IS101" s="226"/>
      <c r="IT101" s="71"/>
      <c r="IU101" s="71"/>
      <c r="IV101" s="345"/>
    </row>
    <row r="102" spans="1:256" x14ac:dyDescent="0.2">
      <c r="A102" s="345">
        <v>30620</v>
      </c>
      <c r="B102" s="71"/>
      <c r="C102" s="226"/>
      <c r="D102" s="71"/>
      <c r="E102" s="71"/>
      <c r="F102" s="345"/>
      <c r="G102" s="71"/>
      <c r="H102" s="226"/>
      <c r="I102" s="71"/>
      <c r="J102" s="71"/>
      <c r="K102" s="345"/>
      <c r="L102" s="71"/>
      <c r="M102" s="226"/>
      <c r="N102" s="71"/>
      <c r="O102" s="71"/>
      <c r="P102" s="345"/>
      <c r="Q102" s="71"/>
      <c r="R102" s="226"/>
      <c r="S102" s="71"/>
      <c r="T102" s="71"/>
      <c r="U102" s="345"/>
      <c r="V102" s="71"/>
      <c r="W102" s="226"/>
      <c r="X102" s="71"/>
      <c r="Y102" s="71"/>
      <c r="Z102" s="345"/>
      <c r="AA102" s="71"/>
      <c r="AB102" s="226"/>
      <c r="AC102" s="71"/>
      <c r="AD102" s="71"/>
      <c r="AE102" s="345"/>
      <c r="AF102" s="71"/>
      <c r="AG102" s="226"/>
      <c r="AH102" s="71"/>
      <c r="AI102" s="71"/>
      <c r="AJ102" s="345"/>
      <c r="AK102" s="71"/>
      <c r="AL102" s="226"/>
      <c r="AM102" s="71"/>
      <c r="AN102" s="71"/>
      <c r="AO102" s="345"/>
      <c r="AP102" s="71"/>
      <c r="AQ102" s="226"/>
      <c r="AR102" s="71"/>
      <c r="AS102" s="71"/>
      <c r="AT102" s="345"/>
      <c r="AU102" s="71"/>
      <c r="AV102" s="226"/>
      <c r="AW102" s="71"/>
      <c r="AX102" s="71"/>
      <c r="AY102" s="345"/>
      <c r="AZ102" s="71"/>
      <c r="BA102" s="226"/>
      <c r="BB102" s="71"/>
      <c r="BC102" s="71"/>
      <c r="BD102" s="345"/>
      <c r="BE102" s="71"/>
      <c r="BF102" s="226"/>
      <c r="BG102" s="71"/>
      <c r="BH102" s="71"/>
      <c r="BI102" s="345"/>
      <c r="BJ102" s="71"/>
      <c r="BK102" s="226"/>
      <c r="BL102" s="71"/>
      <c r="BM102" s="71"/>
      <c r="BN102" s="345"/>
      <c r="BO102" s="71"/>
      <c r="BP102" s="226"/>
      <c r="BQ102" s="71"/>
      <c r="BR102" s="71"/>
      <c r="BS102" s="345"/>
      <c r="BT102" s="71"/>
      <c r="BU102" s="226"/>
      <c r="BV102" s="71"/>
      <c r="BW102" s="71"/>
      <c r="BX102" s="345"/>
      <c r="BY102" s="71"/>
      <c r="BZ102" s="226"/>
      <c r="CA102" s="71"/>
      <c r="CB102" s="71"/>
      <c r="CC102" s="345"/>
      <c r="CD102" s="71"/>
      <c r="CE102" s="226"/>
      <c r="CF102" s="71"/>
      <c r="CG102" s="71"/>
      <c r="CH102" s="345"/>
      <c r="CI102" s="71"/>
      <c r="CJ102" s="226"/>
      <c r="CK102" s="71"/>
      <c r="CL102" s="71"/>
      <c r="CM102" s="345"/>
      <c r="CN102" s="71"/>
      <c r="CO102" s="226"/>
      <c r="CP102" s="71"/>
      <c r="CQ102" s="71"/>
      <c r="CR102" s="345"/>
      <c r="CS102" s="71"/>
      <c r="CT102" s="226"/>
      <c r="CU102" s="71"/>
      <c r="CV102" s="71"/>
      <c r="CW102" s="345"/>
      <c r="CX102" s="71"/>
      <c r="CY102" s="226"/>
      <c r="CZ102" s="71"/>
      <c r="DA102" s="71"/>
      <c r="DB102" s="345"/>
      <c r="DC102" s="71"/>
      <c r="DD102" s="226"/>
      <c r="DE102" s="71"/>
      <c r="DF102" s="71"/>
      <c r="DG102" s="345"/>
      <c r="DH102" s="71"/>
      <c r="DI102" s="226"/>
      <c r="DJ102" s="71"/>
      <c r="DK102" s="71"/>
      <c r="DL102" s="345"/>
      <c r="DM102" s="71"/>
      <c r="DN102" s="226"/>
      <c r="DO102" s="71"/>
      <c r="DP102" s="71"/>
      <c r="DQ102" s="345"/>
      <c r="DR102" s="71"/>
      <c r="DS102" s="226"/>
      <c r="DT102" s="71"/>
      <c r="DU102" s="71"/>
      <c r="DV102" s="345"/>
      <c r="DW102" s="71"/>
      <c r="DX102" s="226"/>
      <c r="DY102" s="71"/>
      <c r="DZ102" s="71"/>
      <c r="EA102" s="345"/>
      <c r="EB102" s="71"/>
      <c r="EC102" s="226"/>
      <c r="ED102" s="71"/>
      <c r="EE102" s="71"/>
      <c r="EF102" s="345"/>
      <c r="EG102" s="71"/>
      <c r="EH102" s="226"/>
      <c r="EI102" s="71"/>
      <c r="EJ102" s="71"/>
      <c r="EK102" s="345"/>
      <c r="EL102" s="71"/>
      <c r="EM102" s="226"/>
      <c r="EN102" s="71"/>
      <c r="EO102" s="71"/>
      <c r="EP102" s="345"/>
      <c r="EQ102" s="71"/>
      <c r="ER102" s="226"/>
      <c r="ES102" s="71"/>
      <c r="ET102" s="71"/>
      <c r="EU102" s="345"/>
      <c r="EV102" s="71"/>
      <c r="EW102" s="226"/>
      <c r="EX102" s="71"/>
      <c r="EY102" s="71"/>
      <c r="EZ102" s="345"/>
      <c r="FA102" s="71"/>
      <c r="FB102" s="226"/>
      <c r="FC102" s="71"/>
      <c r="FD102" s="71"/>
      <c r="FE102" s="345"/>
      <c r="FF102" s="71"/>
      <c r="FG102" s="226"/>
      <c r="FH102" s="71"/>
      <c r="FI102" s="71"/>
      <c r="FJ102" s="345"/>
      <c r="FK102" s="71"/>
      <c r="FL102" s="226"/>
      <c r="FM102" s="71"/>
      <c r="FN102" s="71"/>
      <c r="FO102" s="345"/>
      <c r="FP102" s="71"/>
      <c r="FQ102" s="226"/>
      <c r="FR102" s="71"/>
      <c r="FS102" s="71"/>
      <c r="FT102" s="345"/>
      <c r="FU102" s="71"/>
      <c r="FV102" s="226"/>
      <c r="FW102" s="71"/>
      <c r="FX102" s="71"/>
      <c r="FY102" s="345"/>
      <c r="FZ102" s="71"/>
      <c r="GA102" s="226"/>
      <c r="GB102" s="71"/>
      <c r="GC102" s="71"/>
      <c r="GD102" s="345"/>
      <c r="GE102" s="71"/>
      <c r="GF102" s="226"/>
      <c r="GG102" s="71"/>
      <c r="GH102" s="71"/>
      <c r="GI102" s="345"/>
      <c r="GJ102" s="71"/>
      <c r="GK102" s="226"/>
      <c r="GL102" s="71"/>
      <c r="GM102" s="71"/>
      <c r="GN102" s="345"/>
      <c r="GO102" s="71"/>
      <c r="GP102" s="226"/>
      <c r="GQ102" s="71"/>
      <c r="GR102" s="71"/>
      <c r="GS102" s="345"/>
      <c r="GT102" s="71"/>
      <c r="GU102" s="226"/>
      <c r="GV102" s="71"/>
      <c r="GW102" s="71"/>
      <c r="GX102" s="345"/>
      <c r="GY102" s="71"/>
      <c r="GZ102" s="226"/>
      <c r="HA102" s="71"/>
      <c r="HB102" s="71"/>
      <c r="HC102" s="345"/>
      <c r="HD102" s="71"/>
      <c r="HE102" s="226"/>
      <c r="HF102" s="71"/>
      <c r="HG102" s="71"/>
      <c r="HH102" s="345"/>
      <c r="HI102" s="71"/>
      <c r="HJ102" s="226"/>
      <c r="HK102" s="71"/>
      <c r="HL102" s="71"/>
      <c r="HM102" s="345"/>
      <c r="HN102" s="71"/>
      <c r="HO102" s="226"/>
      <c r="HP102" s="71"/>
      <c r="HQ102" s="71"/>
      <c r="HR102" s="345"/>
      <c r="HS102" s="71"/>
      <c r="HT102" s="226"/>
      <c r="HU102" s="71"/>
      <c r="HV102" s="71"/>
      <c r="HW102" s="345"/>
      <c r="HX102" s="71"/>
      <c r="HY102" s="226"/>
      <c r="HZ102" s="71"/>
      <c r="IA102" s="71"/>
      <c r="IB102" s="345"/>
      <c r="IC102" s="71"/>
      <c r="ID102" s="226"/>
      <c r="IE102" s="71"/>
      <c r="IF102" s="71"/>
      <c r="IG102" s="345"/>
      <c r="IH102" s="71"/>
      <c r="II102" s="226"/>
      <c r="IJ102" s="71"/>
      <c r="IK102" s="71"/>
      <c r="IL102" s="345"/>
      <c r="IM102" s="71"/>
      <c r="IN102" s="226"/>
      <c r="IO102" s="71"/>
      <c r="IP102" s="71"/>
      <c r="IQ102" s="345"/>
      <c r="IR102" s="71"/>
      <c r="IS102" s="226"/>
      <c r="IT102" s="71"/>
      <c r="IU102" s="71"/>
      <c r="IV102" s="345"/>
    </row>
    <row r="103" spans="1:256" x14ac:dyDescent="0.2">
      <c r="A103" s="345">
        <v>30650</v>
      </c>
      <c r="B103" s="71"/>
      <c r="C103" s="226"/>
      <c r="D103" s="71"/>
      <c r="E103" s="71"/>
      <c r="F103" s="345"/>
      <c r="G103" s="71"/>
      <c r="H103" s="226"/>
      <c r="I103" s="71"/>
      <c r="J103" s="71"/>
      <c r="K103" s="345"/>
      <c r="L103" s="71"/>
      <c r="M103" s="226"/>
      <c r="N103" s="71"/>
      <c r="O103" s="71"/>
      <c r="P103" s="345"/>
      <c r="Q103" s="71"/>
      <c r="R103" s="226"/>
      <c r="S103" s="71"/>
      <c r="T103" s="71"/>
      <c r="U103" s="345"/>
      <c r="V103" s="71"/>
      <c r="W103" s="226"/>
      <c r="X103" s="71"/>
      <c r="Y103" s="71"/>
      <c r="Z103" s="345"/>
      <c r="AA103" s="71"/>
      <c r="AB103" s="226"/>
      <c r="AC103" s="71"/>
      <c r="AD103" s="71"/>
      <c r="AE103" s="345"/>
      <c r="AF103" s="71"/>
      <c r="AG103" s="226"/>
      <c r="AH103" s="71"/>
      <c r="AI103" s="71"/>
      <c r="AJ103" s="345"/>
      <c r="AK103" s="71"/>
      <c r="AL103" s="226"/>
      <c r="AM103" s="71"/>
      <c r="AN103" s="71"/>
      <c r="AO103" s="345"/>
      <c r="AP103" s="71"/>
      <c r="AQ103" s="226"/>
      <c r="AR103" s="71"/>
      <c r="AS103" s="71"/>
      <c r="AT103" s="345"/>
      <c r="AU103" s="71"/>
      <c r="AV103" s="226"/>
      <c r="AW103" s="71"/>
      <c r="AX103" s="71"/>
      <c r="AY103" s="345"/>
      <c r="AZ103" s="71"/>
      <c r="BA103" s="226"/>
      <c r="BB103" s="71"/>
      <c r="BC103" s="71"/>
      <c r="BD103" s="345"/>
      <c r="BE103" s="71"/>
      <c r="BF103" s="226"/>
      <c r="BG103" s="71"/>
      <c r="BH103" s="71"/>
      <c r="BI103" s="345"/>
      <c r="BJ103" s="71"/>
      <c r="BK103" s="226"/>
      <c r="BL103" s="71"/>
      <c r="BM103" s="71"/>
      <c r="BN103" s="345"/>
      <c r="BO103" s="71"/>
      <c r="BP103" s="226"/>
      <c r="BQ103" s="71"/>
      <c r="BR103" s="71"/>
      <c r="BS103" s="345"/>
      <c r="BT103" s="71"/>
      <c r="BU103" s="226"/>
      <c r="BV103" s="71"/>
      <c r="BW103" s="71"/>
      <c r="BX103" s="345"/>
      <c r="BY103" s="71"/>
      <c r="BZ103" s="226"/>
      <c r="CA103" s="71"/>
      <c r="CB103" s="71"/>
      <c r="CC103" s="345"/>
      <c r="CD103" s="71"/>
      <c r="CE103" s="226"/>
      <c r="CF103" s="71"/>
      <c r="CG103" s="71"/>
      <c r="CH103" s="345"/>
      <c r="CI103" s="71"/>
      <c r="CJ103" s="226"/>
      <c r="CK103" s="71"/>
      <c r="CL103" s="71"/>
      <c r="CM103" s="345"/>
      <c r="CN103" s="71"/>
      <c r="CO103" s="226"/>
      <c r="CP103" s="71"/>
      <c r="CQ103" s="71"/>
      <c r="CR103" s="345"/>
      <c r="CS103" s="71"/>
      <c r="CT103" s="226"/>
      <c r="CU103" s="71"/>
      <c r="CV103" s="71"/>
      <c r="CW103" s="345"/>
      <c r="CX103" s="71"/>
      <c r="CY103" s="226"/>
      <c r="CZ103" s="71"/>
      <c r="DA103" s="71"/>
      <c r="DB103" s="345"/>
      <c r="DC103" s="71"/>
      <c r="DD103" s="226"/>
      <c r="DE103" s="71"/>
      <c r="DF103" s="71"/>
      <c r="DG103" s="345"/>
      <c r="DH103" s="71"/>
      <c r="DI103" s="226"/>
      <c r="DJ103" s="71"/>
      <c r="DK103" s="71"/>
      <c r="DL103" s="345"/>
      <c r="DM103" s="71"/>
      <c r="DN103" s="226"/>
      <c r="DO103" s="71"/>
      <c r="DP103" s="71"/>
      <c r="DQ103" s="345"/>
      <c r="DR103" s="71"/>
      <c r="DS103" s="226"/>
      <c r="DT103" s="71"/>
      <c r="DU103" s="71"/>
      <c r="DV103" s="345"/>
      <c r="DW103" s="71"/>
      <c r="DX103" s="226"/>
      <c r="DY103" s="71"/>
      <c r="DZ103" s="71"/>
      <c r="EA103" s="345"/>
      <c r="EB103" s="71"/>
      <c r="EC103" s="226"/>
      <c r="ED103" s="71"/>
      <c r="EE103" s="71"/>
      <c r="EF103" s="345"/>
      <c r="EG103" s="71"/>
      <c r="EH103" s="226"/>
      <c r="EI103" s="71"/>
      <c r="EJ103" s="71"/>
      <c r="EK103" s="345"/>
      <c r="EL103" s="71"/>
      <c r="EM103" s="226"/>
      <c r="EN103" s="71"/>
      <c r="EO103" s="71"/>
      <c r="EP103" s="345"/>
      <c r="EQ103" s="71"/>
      <c r="ER103" s="226"/>
      <c r="ES103" s="71"/>
      <c r="ET103" s="71"/>
      <c r="EU103" s="345"/>
      <c r="EV103" s="71"/>
      <c r="EW103" s="226"/>
      <c r="EX103" s="71"/>
      <c r="EY103" s="71"/>
      <c r="EZ103" s="345"/>
      <c r="FA103" s="71"/>
      <c r="FB103" s="226"/>
      <c r="FC103" s="71"/>
      <c r="FD103" s="71"/>
      <c r="FE103" s="345"/>
      <c r="FF103" s="71"/>
      <c r="FG103" s="226"/>
      <c r="FH103" s="71"/>
      <c r="FI103" s="71"/>
      <c r="FJ103" s="345"/>
      <c r="FK103" s="71"/>
      <c r="FL103" s="226"/>
      <c r="FM103" s="71"/>
      <c r="FN103" s="71"/>
      <c r="FO103" s="345"/>
      <c r="FP103" s="71"/>
      <c r="FQ103" s="226"/>
      <c r="FR103" s="71"/>
      <c r="FS103" s="71"/>
      <c r="FT103" s="345"/>
      <c r="FU103" s="71"/>
      <c r="FV103" s="226"/>
      <c r="FW103" s="71"/>
      <c r="FX103" s="71"/>
      <c r="FY103" s="345"/>
      <c r="FZ103" s="71"/>
      <c r="GA103" s="226"/>
      <c r="GB103" s="71"/>
      <c r="GC103" s="71"/>
      <c r="GD103" s="345"/>
      <c r="GE103" s="71"/>
      <c r="GF103" s="226"/>
      <c r="GG103" s="71"/>
      <c r="GH103" s="71"/>
      <c r="GI103" s="345"/>
      <c r="GJ103" s="71"/>
      <c r="GK103" s="226"/>
      <c r="GL103" s="71"/>
      <c r="GM103" s="71"/>
      <c r="GN103" s="345"/>
      <c r="GO103" s="71"/>
      <c r="GP103" s="226"/>
      <c r="GQ103" s="71"/>
      <c r="GR103" s="71"/>
      <c r="GS103" s="345"/>
      <c r="GT103" s="71"/>
      <c r="GU103" s="226"/>
      <c r="GV103" s="71"/>
      <c r="GW103" s="71"/>
      <c r="GX103" s="345"/>
      <c r="GY103" s="71"/>
      <c r="GZ103" s="226"/>
      <c r="HA103" s="71"/>
      <c r="HB103" s="71"/>
      <c r="HC103" s="345"/>
      <c r="HD103" s="71"/>
      <c r="HE103" s="226"/>
      <c r="HF103" s="71"/>
      <c r="HG103" s="71"/>
      <c r="HH103" s="345"/>
      <c r="HI103" s="71"/>
      <c r="HJ103" s="226"/>
      <c r="HK103" s="71"/>
      <c r="HL103" s="71"/>
      <c r="HM103" s="345"/>
      <c r="HN103" s="71"/>
      <c r="HO103" s="226"/>
      <c r="HP103" s="71"/>
      <c r="HQ103" s="71"/>
      <c r="HR103" s="345"/>
      <c r="HS103" s="71"/>
      <c r="HT103" s="226"/>
      <c r="HU103" s="71"/>
      <c r="HV103" s="71"/>
      <c r="HW103" s="345"/>
      <c r="HX103" s="71"/>
      <c r="HY103" s="226"/>
      <c r="HZ103" s="71"/>
      <c r="IA103" s="71"/>
      <c r="IB103" s="345"/>
      <c r="IC103" s="71"/>
      <c r="ID103" s="226"/>
      <c r="IE103" s="71"/>
      <c r="IF103" s="71"/>
      <c r="IG103" s="345"/>
      <c r="IH103" s="71"/>
      <c r="II103" s="226"/>
      <c r="IJ103" s="71"/>
      <c r="IK103" s="71"/>
      <c r="IL103" s="345"/>
      <c r="IM103" s="71"/>
      <c r="IN103" s="226"/>
      <c r="IO103" s="71"/>
      <c r="IP103" s="71"/>
      <c r="IQ103" s="345"/>
      <c r="IR103" s="71"/>
      <c r="IS103" s="226"/>
      <c r="IT103" s="71"/>
      <c r="IU103" s="71"/>
      <c r="IV103" s="345"/>
    </row>
    <row r="104" spans="1:256" x14ac:dyDescent="0.2">
      <c r="A104" s="345">
        <v>30681</v>
      </c>
      <c r="B104" s="71"/>
      <c r="C104" s="226"/>
      <c r="D104" s="71"/>
      <c r="E104" s="71"/>
      <c r="F104" s="345"/>
      <c r="G104" s="71"/>
      <c r="H104" s="226"/>
      <c r="I104" s="71"/>
      <c r="J104" s="71"/>
      <c r="K104" s="345"/>
      <c r="L104" s="71"/>
      <c r="M104" s="226"/>
      <c r="N104" s="71"/>
      <c r="O104" s="71"/>
      <c r="P104" s="345"/>
      <c r="Q104" s="71"/>
      <c r="R104" s="226"/>
      <c r="S104" s="71"/>
      <c r="T104" s="71"/>
      <c r="U104" s="345"/>
      <c r="V104" s="71"/>
      <c r="W104" s="226"/>
      <c r="X104" s="71"/>
      <c r="Y104" s="71"/>
      <c r="Z104" s="345"/>
      <c r="AA104" s="71"/>
      <c r="AB104" s="226"/>
      <c r="AC104" s="71"/>
      <c r="AD104" s="71"/>
      <c r="AE104" s="345"/>
      <c r="AF104" s="71"/>
      <c r="AG104" s="226"/>
      <c r="AH104" s="71"/>
      <c r="AI104" s="71"/>
      <c r="AJ104" s="345"/>
      <c r="AK104" s="71"/>
      <c r="AL104" s="226"/>
      <c r="AM104" s="71"/>
      <c r="AN104" s="71"/>
      <c r="AO104" s="345"/>
      <c r="AP104" s="71"/>
      <c r="AQ104" s="226"/>
      <c r="AR104" s="71"/>
      <c r="AS104" s="71"/>
      <c r="AT104" s="345"/>
      <c r="AU104" s="71"/>
      <c r="AV104" s="226"/>
      <c r="AW104" s="71"/>
      <c r="AX104" s="71"/>
      <c r="AY104" s="345"/>
      <c r="AZ104" s="71"/>
      <c r="BA104" s="226"/>
      <c r="BB104" s="71"/>
      <c r="BC104" s="71"/>
      <c r="BD104" s="345"/>
      <c r="BE104" s="71"/>
      <c r="BF104" s="226"/>
      <c r="BG104" s="71"/>
      <c r="BH104" s="71"/>
      <c r="BI104" s="345"/>
      <c r="BJ104" s="71"/>
      <c r="BK104" s="226"/>
      <c r="BL104" s="71"/>
      <c r="BM104" s="71"/>
      <c r="BN104" s="345"/>
      <c r="BO104" s="71"/>
      <c r="BP104" s="226"/>
      <c r="BQ104" s="71"/>
      <c r="BR104" s="71"/>
      <c r="BS104" s="345"/>
      <c r="BT104" s="71"/>
      <c r="BU104" s="226"/>
      <c r="BV104" s="71"/>
      <c r="BW104" s="71"/>
      <c r="BX104" s="345"/>
      <c r="BY104" s="71"/>
      <c r="BZ104" s="226"/>
      <c r="CA104" s="71"/>
      <c r="CB104" s="71"/>
      <c r="CC104" s="345"/>
      <c r="CD104" s="71"/>
      <c r="CE104" s="226"/>
      <c r="CF104" s="71"/>
      <c r="CG104" s="71"/>
      <c r="CH104" s="345"/>
      <c r="CI104" s="71"/>
      <c r="CJ104" s="226"/>
      <c r="CK104" s="71"/>
      <c r="CL104" s="71"/>
      <c r="CM104" s="345"/>
      <c r="CN104" s="71"/>
      <c r="CO104" s="226"/>
      <c r="CP104" s="71"/>
      <c r="CQ104" s="71"/>
      <c r="CR104" s="345"/>
      <c r="CS104" s="71"/>
      <c r="CT104" s="226"/>
      <c r="CU104" s="71"/>
      <c r="CV104" s="71"/>
      <c r="CW104" s="345"/>
      <c r="CX104" s="71"/>
      <c r="CY104" s="226"/>
      <c r="CZ104" s="71"/>
      <c r="DA104" s="71"/>
      <c r="DB104" s="345"/>
      <c r="DC104" s="71"/>
      <c r="DD104" s="226"/>
      <c r="DE104" s="71"/>
      <c r="DF104" s="71"/>
      <c r="DG104" s="345"/>
      <c r="DH104" s="71"/>
      <c r="DI104" s="226"/>
      <c r="DJ104" s="71"/>
      <c r="DK104" s="71"/>
      <c r="DL104" s="345"/>
      <c r="DM104" s="71"/>
      <c r="DN104" s="226"/>
      <c r="DO104" s="71"/>
      <c r="DP104" s="71"/>
      <c r="DQ104" s="345"/>
      <c r="DR104" s="71"/>
      <c r="DS104" s="226"/>
      <c r="DT104" s="71"/>
      <c r="DU104" s="71"/>
      <c r="DV104" s="345"/>
      <c r="DW104" s="71"/>
      <c r="DX104" s="226"/>
      <c r="DY104" s="71"/>
      <c r="DZ104" s="71"/>
      <c r="EA104" s="345"/>
      <c r="EB104" s="71"/>
      <c r="EC104" s="226"/>
      <c r="ED104" s="71"/>
      <c r="EE104" s="71"/>
      <c r="EF104" s="345"/>
      <c r="EG104" s="71"/>
      <c r="EH104" s="226"/>
      <c r="EI104" s="71"/>
      <c r="EJ104" s="71"/>
      <c r="EK104" s="345"/>
      <c r="EL104" s="71"/>
      <c r="EM104" s="226"/>
      <c r="EN104" s="71"/>
      <c r="EO104" s="71"/>
      <c r="EP104" s="345"/>
      <c r="EQ104" s="71"/>
      <c r="ER104" s="226"/>
      <c r="ES104" s="71"/>
      <c r="ET104" s="71"/>
      <c r="EU104" s="345"/>
      <c r="EV104" s="71"/>
      <c r="EW104" s="226"/>
      <c r="EX104" s="71"/>
      <c r="EY104" s="71"/>
      <c r="EZ104" s="345"/>
      <c r="FA104" s="71"/>
      <c r="FB104" s="226"/>
      <c r="FC104" s="71"/>
      <c r="FD104" s="71"/>
      <c r="FE104" s="345"/>
      <c r="FF104" s="71"/>
      <c r="FG104" s="226"/>
      <c r="FH104" s="71"/>
      <c r="FI104" s="71"/>
      <c r="FJ104" s="345"/>
      <c r="FK104" s="71"/>
      <c r="FL104" s="226"/>
      <c r="FM104" s="71"/>
      <c r="FN104" s="71"/>
      <c r="FO104" s="345"/>
      <c r="FP104" s="71"/>
      <c r="FQ104" s="226"/>
      <c r="FR104" s="71"/>
      <c r="FS104" s="71"/>
      <c r="FT104" s="345"/>
      <c r="FU104" s="71"/>
      <c r="FV104" s="226"/>
      <c r="FW104" s="71"/>
      <c r="FX104" s="71"/>
      <c r="FY104" s="345"/>
      <c r="FZ104" s="71"/>
      <c r="GA104" s="226"/>
      <c r="GB104" s="71"/>
      <c r="GC104" s="71"/>
      <c r="GD104" s="345"/>
      <c r="GE104" s="71"/>
      <c r="GF104" s="226"/>
      <c r="GG104" s="71"/>
      <c r="GH104" s="71"/>
      <c r="GI104" s="345"/>
      <c r="GJ104" s="71"/>
      <c r="GK104" s="226"/>
      <c r="GL104" s="71"/>
      <c r="GM104" s="71"/>
      <c r="GN104" s="345"/>
      <c r="GO104" s="71"/>
      <c r="GP104" s="226"/>
      <c r="GQ104" s="71"/>
      <c r="GR104" s="71"/>
      <c r="GS104" s="345"/>
      <c r="GT104" s="71"/>
      <c r="GU104" s="226"/>
      <c r="GV104" s="71"/>
      <c r="GW104" s="71"/>
      <c r="GX104" s="345"/>
      <c r="GY104" s="71"/>
      <c r="GZ104" s="226"/>
      <c r="HA104" s="71"/>
      <c r="HB104" s="71"/>
      <c r="HC104" s="345"/>
      <c r="HD104" s="71"/>
      <c r="HE104" s="226"/>
      <c r="HF104" s="71"/>
      <c r="HG104" s="71"/>
      <c r="HH104" s="345"/>
      <c r="HI104" s="71"/>
      <c r="HJ104" s="226"/>
      <c r="HK104" s="71"/>
      <c r="HL104" s="71"/>
      <c r="HM104" s="345"/>
      <c r="HN104" s="71"/>
      <c r="HO104" s="226"/>
      <c r="HP104" s="71"/>
      <c r="HQ104" s="71"/>
      <c r="HR104" s="345"/>
      <c r="HS104" s="71"/>
      <c r="HT104" s="226"/>
      <c r="HU104" s="71"/>
      <c r="HV104" s="71"/>
      <c r="HW104" s="345"/>
      <c r="HX104" s="71"/>
      <c r="HY104" s="226"/>
      <c r="HZ104" s="71"/>
      <c r="IA104" s="71"/>
      <c r="IB104" s="345"/>
      <c r="IC104" s="71"/>
      <c r="ID104" s="226"/>
      <c r="IE104" s="71"/>
      <c r="IF104" s="71"/>
      <c r="IG104" s="345"/>
      <c r="IH104" s="71"/>
      <c r="II104" s="226"/>
      <c r="IJ104" s="71"/>
      <c r="IK104" s="71"/>
      <c r="IL104" s="345"/>
      <c r="IM104" s="71"/>
      <c r="IN104" s="226"/>
      <c r="IO104" s="71"/>
      <c r="IP104" s="71"/>
      <c r="IQ104" s="345"/>
      <c r="IR104" s="71"/>
      <c r="IS104" s="226"/>
      <c r="IT104" s="71"/>
      <c r="IU104" s="71"/>
      <c r="IV104" s="345"/>
    </row>
    <row r="105" spans="1:256" x14ac:dyDescent="0.2">
      <c r="A105" s="345">
        <v>30712</v>
      </c>
      <c r="B105" s="71"/>
      <c r="C105" s="226"/>
      <c r="D105" s="71"/>
      <c r="E105" s="71"/>
      <c r="F105" s="345"/>
      <c r="G105" s="71"/>
      <c r="H105" s="226"/>
      <c r="I105" s="71"/>
      <c r="J105" s="71"/>
      <c r="K105" s="345"/>
      <c r="L105" s="71"/>
      <c r="M105" s="226"/>
      <c r="N105" s="71"/>
      <c r="O105" s="71"/>
      <c r="P105" s="345"/>
      <c r="Q105" s="71"/>
      <c r="R105" s="226"/>
      <c r="S105" s="71"/>
      <c r="T105" s="71"/>
      <c r="U105" s="345"/>
      <c r="V105" s="71"/>
      <c r="W105" s="226"/>
      <c r="X105" s="71"/>
      <c r="Y105" s="71"/>
      <c r="Z105" s="345"/>
      <c r="AA105" s="71"/>
      <c r="AB105" s="226"/>
      <c r="AC105" s="71"/>
      <c r="AD105" s="71"/>
      <c r="AE105" s="345"/>
      <c r="AF105" s="71"/>
      <c r="AG105" s="226"/>
      <c r="AH105" s="71"/>
      <c r="AI105" s="71"/>
      <c r="AJ105" s="345"/>
      <c r="AK105" s="71"/>
      <c r="AL105" s="226"/>
      <c r="AM105" s="71"/>
      <c r="AN105" s="71"/>
      <c r="AO105" s="345"/>
      <c r="AP105" s="71"/>
      <c r="AQ105" s="226"/>
      <c r="AR105" s="71"/>
      <c r="AS105" s="71"/>
      <c r="AT105" s="345"/>
      <c r="AU105" s="71"/>
      <c r="AV105" s="226"/>
      <c r="AW105" s="71"/>
      <c r="AX105" s="71"/>
      <c r="AY105" s="345"/>
      <c r="AZ105" s="71"/>
      <c r="BA105" s="226"/>
      <c r="BB105" s="71"/>
      <c r="BC105" s="71"/>
      <c r="BD105" s="345"/>
      <c r="BE105" s="71"/>
      <c r="BF105" s="226"/>
      <c r="BG105" s="71"/>
      <c r="BH105" s="71"/>
      <c r="BI105" s="345"/>
      <c r="BJ105" s="71"/>
      <c r="BK105" s="226"/>
      <c r="BL105" s="71"/>
      <c r="BM105" s="71"/>
      <c r="BN105" s="345"/>
      <c r="BO105" s="71"/>
      <c r="BP105" s="226"/>
      <c r="BQ105" s="71"/>
      <c r="BR105" s="71"/>
      <c r="BS105" s="345"/>
      <c r="BT105" s="71"/>
      <c r="BU105" s="226"/>
      <c r="BV105" s="71"/>
      <c r="BW105" s="71"/>
      <c r="BX105" s="345"/>
      <c r="BY105" s="71"/>
      <c r="BZ105" s="226"/>
      <c r="CA105" s="71"/>
      <c r="CB105" s="71"/>
      <c r="CC105" s="345"/>
      <c r="CD105" s="71"/>
      <c r="CE105" s="226"/>
      <c r="CF105" s="71"/>
      <c r="CG105" s="71"/>
      <c r="CH105" s="345"/>
      <c r="CI105" s="71"/>
      <c r="CJ105" s="226"/>
      <c r="CK105" s="71"/>
      <c r="CL105" s="71"/>
      <c r="CM105" s="345"/>
      <c r="CN105" s="71"/>
      <c r="CO105" s="226"/>
      <c r="CP105" s="71"/>
      <c r="CQ105" s="71"/>
      <c r="CR105" s="345"/>
      <c r="CS105" s="71"/>
      <c r="CT105" s="226"/>
      <c r="CU105" s="71"/>
      <c r="CV105" s="71"/>
      <c r="CW105" s="345"/>
      <c r="CX105" s="71"/>
      <c r="CY105" s="226"/>
      <c r="CZ105" s="71"/>
      <c r="DA105" s="71"/>
      <c r="DB105" s="345"/>
      <c r="DC105" s="71"/>
      <c r="DD105" s="226"/>
      <c r="DE105" s="71"/>
      <c r="DF105" s="71"/>
      <c r="DG105" s="345"/>
      <c r="DH105" s="71"/>
      <c r="DI105" s="226"/>
      <c r="DJ105" s="71"/>
      <c r="DK105" s="71"/>
      <c r="DL105" s="345"/>
      <c r="DM105" s="71"/>
      <c r="DN105" s="226"/>
      <c r="DO105" s="71"/>
      <c r="DP105" s="71"/>
      <c r="DQ105" s="345"/>
      <c r="DR105" s="71"/>
      <c r="DS105" s="226"/>
      <c r="DT105" s="71"/>
      <c r="DU105" s="71"/>
      <c r="DV105" s="345"/>
      <c r="DW105" s="71"/>
      <c r="DX105" s="226"/>
      <c r="DY105" s="71"/>
      <c r="DZ105" s="71"/>
      <c r="EA105" s="345"/>
      <c r="EB105" s="71"/>
      <c r="EC105" s="226"/>
      <c r="ED105" s="71"/>
      <c r="EE105" s="71"/>
      <c r="EF105" s="345"/>
      <c r="EG105" s="71"/>
      <c r="EH105" s="226"/>
      <c r="EI105" s="71"/>
      <c r="EJ105" s="71"/>
      <c r="EK105" s="345"/>
      <c r="EL105" s="71"/>
      <c r="EM105" s="226"/>
      <c r="EN105" s="71"/>
      <c r="EO105" s="71"/>
      <c r="EP105" s="345"/>
      <c r="EQ105" s="71"/>
      <c r="ER105" s="226"/>
      <c r="ES105" s="71"/>
      <c r="ET105" s="71"/>
      <c r="EU105" s="345"/>
      <c r="EV105" s="71"/>
      <c r="EW105" s="226"/>
      <c r="EX105" s="71"/>
      <c r="EY105" s="71"/>
      <c r="EZ105" s="345"/>
      <c r="FA105" s="71"/>
      <c r="FB105" s="226"/>
      <c r="FC105" s="71"/>
      <c r="FD105" s="71"/>
      <c r="FE105" s="345"/>
      <c r="FF105" s="71"/>
      <c r="FG105" s="226"/>
      <c r="FH105" s="71"/>
      <c r="FI105" s="71"/>
      <c r="FJ105" s="345"/>
      <c r="FK105" s="71"/>
      <c r="FL105" s="226"/>
      <c r="FM105" s="71"/>
      <c r="FN105" s="71"/>
      <c r="FO105" s="345"/>
      <c r="FP105" s="71"/>
      <c r="FQ105" s="226"/>
      <c r="FR105" s="71"/>
      <c r="FS105" s="71"/>
      <c r="FT105" s="345"/>
      <c r="FU105" s="71"/>
      <c r="FV105" s="226"/>
      <c r="FW105" s="71"/>
      <c r="FX105" s="71"/>
      <c r="FY105" s="345"/>
      <c r="FZ105" s="71"/>
      <c r="GA105" s="226"/>
      <c r="GB105" s="71"/>
      <c r="GC105" s="71"/>
      <c r="GD105" s="345"/>
      <c r="GE105" s="71"/>
      <c r="GF105" s="226"/>
      <c r="GG105" s="71"/>
      <c r="GH105" s="71"/>
      <c r="GI105" s="345"/>
      <c r="GJ105" s="71"/>
      <c r="GK105" s="226"/>
      <c r="GL105" s="71"/>
      <c r="GM105" s="71"/>
      <c r="GN105" s="345"/>
      <c r="GO105" s="71"/>
      <c r="GP105" s="226"/>
      <c r="GQ105" s="71"/>
      <c r="GR105" s="71"/>
      <c r="GS105" s="345"/>
      <c r="GT105" s="71"/>
      <c r="GU105" s="226"/>
      <c r="GV105" s="71"/>
      <c r="GW105" s="71"/>
      <c r="GX105" s="345"/>
      <c r="GY105" s="71"/>
      <c r="GZ105" s="226"/>
      <c r="HA105" s="71"/>
      <c r="HB105" s="71"/>
      <c r="HC105" s="345"/>
      <c r="HD105" s="71"/>
      <c r="HE105" s="226"/>
      <c r="HF105" s="71"/>
      <c r="HG105" s="71"/>
      <c r="HH105" s="345"/>
      <c r="HI105" s="71"/>
      <c r="HJ105" s="226"/>
      <c r="HK105" s="71"/>
      <c r="HL105" s="71"/>
      <c r="HM105" s="345"/>
      <c r="HN105" s="71"/>
      <c r="HO105" s="226"/>
      <c r="HP105" s="71"/>
      <c r="HQ105" s="71"/>
      <c r="HR105" s="345"/>
      <c r="HS105" s="71"/>
      <c r="HT105" s="226"/>
      <c r="HU105" s="71"/>
      <c r="HV105" s="71"/>
      <c r="HW105" s="345"/>
      <c r="HX105" s="71"/>
      <c r="HY105" s="226"/>
      <c r="HZ105" s="71"/>
      <c r="IA105" s="71"/>
      <c r="IB105" s="345"/>
      <c r="IC105" s="71"/>
      <c r="ID105" s="226"/>
      <c r="IE105" s="71"/>
      <c r="IF105" s="71"/>
      <c r="IG105" s="345"/>
      <c r="IH105" s="71"/>
      <c r="II105" s="226"/>
      <c r="IJ105" s="71"/>
      <c r="IK105" s="71"/>
      <c r="IL105" s="345"/>
      <c r="IM105" s="71"/>
      <c r="IN105" s="226"/>
      <c r="IO105" s="71"/>
      <c r="IP105" s="71"/>
      <c r="IQ105" s="345"/>
      <c r="IR105" s="71"/>
      <c r="IS105" s="226"/>
      <c r="IT105" s="71"/>
      <c r="IU105" s="71"/>
      <c r="IV105" s="345"/>
    </row>
    <row r="106" spans="1:256" x14ac:dyDescent="0.2">
      <c r="A106" s="345">
        <v>30741</v>
      </c>
      <c r="B106" s="71"/>
      <c r="C106" s="226"/>
      <c r="D106" s="71"/>
      <c r="E106" s="71"/>
      <c r="F106" s="345"/>
      <c r="G106" s="71"/>
      <c r="H106" s="226"/>
      <c r="I106" s="71"/>
      <c r="J106" s="71"/>
      <c r="K106" s="345"/>
      <c r="L106" s="71"/>
      <c r="M106" s="226"/>
      <c r="N106" s="71"/>
      <c r="O106" s="71"/>
      <c r="P106" s="345"/>
      <c r="Q106" s="71"/>
      <c r="R106" s="226"/>
      <c r="S106" s="71"/>
      <c r="T106" s="71"/>
      <c r="U106" s="345"/>
      <c r="V106" s="71"/>
      <c r="W106" s="226"/>
      <c r="X106" s="71"/>
      <c r="Y106" s="71"/>
      <c r="Z106" s="345"/>
      <c r="AA106" s="71"/>
      <c r="AB106" s="226"/>
      <c r="AC106" s="71"/>
      <c r="AD106" s="71"/>
      <c r="AE106" s="345"/>
      <c r="AF106" s="71"/>
      <c r="AG106" s="226"/>
      <c r="AH106" s="71"/>
      <c r="AI106" s="71"/>
      <c r="AJ106" s="345"/>
      <c r="AK106" s="71"/>
      <c r="AL106" s="226"/>
      <c r="AM106" s="71"/>
      <c r="AN106" s="71"/>
      <c r="AO106" s="345"/>
      <c r="AP106" s="71"/>
      <c r="AQ106" s="226"/>
      <c r="AR106" s="71"/>
      <c r="AS106" s="71"/>
      <c r="AT106" s="345"/>
      <c r="AU106" s="71"/>
      <c r="AV106" s="226"/>
      <c r="AW106" s="71"/>
      <c r="AX106" s="71"/>
      <c r="AY106" s="345"/>
      <c r="AZ106" s="71"/>
      <c r="BA106" s="226"/>
      <c r="BB106" s="71"/>
      <c r="BC106" s="71"/>
      <c r="BD106" s="345"/>
      <c r="BE106" s="71"/>
      <c r="BF106" s="226"/>
      <c r="BG106" s="71"/>
      <c r="BH106" s="71"/>
      <c r="BI106" s="345"/>
      <c r="BJ106" s="71"/>
      <c r="BK106" s="226"/>
      <c r="BL106" s="71"/>
      <c r="BM106" s="71"/>
      <c r="BN106" s="345"/>
      <c r="BO106" s="71"/>
      <c r="BP106" s="226"/>
      <c r="BQ106" s="71"/>
      <c r="BR106" s="71"/>
      <c r="BS106" s="345"/>
      <c r="BT106" s="71"/>
      <c r="BU106" s="226"/>
      <c r="BV106" s="71"/>
      <c r="BW106" s="71"/>
      <c r="BX106" s="345"/>
      <c r="BY106" s="71"/>
      <c r="BZ106" s="226"/>
      <c r="CA106" s="71"/>
      <c r="CB106" s="71"/>
      <c r="CC106" s="345"/>
      <c r="CD106" s="71"/>
      <c r="CE106" s="226"/>
      <c r="CF106" s="71"/>
      <c r="CG106" s="71"/>
      <c r="CH106" s="345"/>
      <c r="CI106" s="71"/>
      <c r="CJ106" s="226"/>
      <c r="CK106" s="71"/>
      <c r="CL106" s="71"/>
      <c r="CM106" s="345"/>
      <c r="CN106" s="71"/>
      <c r="CO106" s="226"/>
      <c r="CP106" s="71"/>
      <c r="CQ106" s="71"/>
      <c r="CR106" s="345"/>
      <c r="CS106" s="71"/>
      <c r="CT106" s="226"/>
      <c r="CU106" s="71"/>
      <c r="CV106" s="71"/>
      <c r="CW106" s="345"/>
      <c r="CX106" s="71"/>
      <c r="CY106" s="226"/>
      <c r="CZ106" s="71"/>
      <c r="DA106" s="71"/>
      <c r="DB106" s="345"/>
      <c r="DC106" s="71"/>
      <c r="DD106" s="226"/>
      <c r="DE106" s="71"/>
      <c r="DF106" s="71"/>
      <c r="DG106" s="345"/>
      <c r="DH106" s="71"/>
      <c r="DI106" s="226"/>
      <c r="DJ106" s="71"/>
      <c r="DK106" s="71"/>
      <c r="DL106" s="345"/>
      <c r="DM106" s="71"/>
      <c r="DN106" s="226"/>
      <c r="DO106" s="71"/>
      <c r="DP106" s="71"/>
      <c r="DQ106" s="345"/>
      <c r="DR106" s="71"/>
      <c r="DS106" s="226"/>
      <c r="DT106" s="71"/>
      <c r="DU106" s="71"/>
      <c r="DV106" s="345"/>
      <c r="DW106" s="71"/>
      <c r="DX106" s="226"/>
      <c r="DY106" s="71"/>
      <c r="DZ106" s="71"/>
      <c r="EA106" s="345"/>
      <c r="EB106" s="71"/>
      <c r="EC106" s="226"/>
      <c r="ED106" s="71"/>
      <c r="EE106" s="71"/>
      <c r="EF106" s="345"/>
      <c r="EG106" s="71"/>
      <c r="EH106" s="226"/>
      <c r="EI106" s="71"/>
      <c r="EJ106" s="71"/>
      <c r="EK106" s="345"/>
      <c r="EL106" s="71"/>
      <c r="EM106" s="226"/>
      <c r="EN106" s="71"/>
      <c r="EO106" s="71"/>
      <c r="EP106" s="345"/>
      <c r="EQ106" s="71"/>
      <c r="ER106" s="226"/>
      <c r="ES106" s="71"/>
      <c r="ET106" s="71"/>
      <c r="EU106" s="345"/>
      <c r="EV106" s="71"/>
      <c r="EW106" s="226"/>
      <c r="EX106" s="71"/>
      <c r="EY106" s="71"/>
      <c r="EZ106" s="345"/>
      <c r="FA106" s="71"/>
      <c r="FB106" s="226"/>
      <c r="FC106" s="71"/>
      <c r="FD106" s="71"/>
      <c r="FE106" s="345"/>
      <c r="FF106" s="71"/>
      <c r="FG106" s="226"/>
      <c r="FH106" s="71"/>
      <c r="FI106" s="71"/>
      <c r="FJ106" s="345"/>
      <c r="FK106" s="71"/>
      <c r="FL106" s="226"/>
      <c r="FM106" s="71"/>
      <c r="FN106" s="71"/>
      <c r="FO106" s="345"/>
      <c r="FP106" s="71"/>
      <c r="FQ106" s="226"/>
      <c r="FR106" s="71"/>
      <c r="FS106" s="71"/>
      <c r="FT106" s="345"/>
      <c r="FU106" s="71"/>
      <c r="FV106" s="226"/>
      <c r="FW106" s="71"/>
      <c r="FX106" s="71"/>
      <c r="FY106" s="345"/>
      <c r="FZ106" s="71"/>
      <c r="GA106" s="226"/>
      <c r="GB106" s="71"/>
      <c r="GC106" s="71"/>
      <c r="GD106" s="345"/>
      <c r="GE106" s="71"/>
      <c r="GF106" s="226"/>
      <c r="GG106" s="71"/>
      <c r="GH106" s="71"/>
      <c r="GI106" s="345"/>
      <c r="GJ106" s="71"/>
      <c r="GK106" s="226"/>
      <c r="GL106" s="71"/>
      <c r="GM106" s="71"/>
      <c r="GN106" s="345"/>
      <c r="GO106" s="71"/>
      <c r="GP106" s="226"/>
      <c r="GQ106" s="71"/>
      <c r="GR106" s="71"/>
      <c r="GS106" s="345"/>
      <c r="GT106" s="71"/>
      <c r="GU106" s="226"/>
      <c r="GV106" s="71"/>
      <c r="GW106" s="71"/>
      <c r="GX106" s="345"/>
      <c r="GY106" s="71"/>
      <c r="GZ106" s="226"/>
      <c r="HA106" s="71"/>
      <c r="HB106" s="71"/>
      <c r="HC106" s="345"/>
      <c r="HD106" s="71"/>
      <c r="HE106" s="226"/>
      <c r="HF106" s="71"/>
      <c r="HG106" s="71"/>
      <c r="HH106" s="345"/>
      <c r="HI106" s="71"/>
      <c r="HJ106" s="226"/>
      <c r="HK106" s="71"/>
      <c r="HL106" s="71"/>
      <c r="HM106" s="345"/>
      <c r="HN106" s="71"/>
      <c r="HO106" s="226"/>
      <c r="HP106" s="71"/>
      <c r="HQ106" s="71"/>
      <c r="HR106" s="345"/>
      <c r="HS106" s="71"/>
      <c r="HT106" s="226"/>
      <c r="HU106" s="71"/>
      <c r="HV106" s="71"/>
      <c r="HW106" s="345"/>
      <c r="HX106" s="71"/>
      <c r="HY106" s="226"/>
      <c r="HZ106" s="71"/>
      <c r="IA106" s="71"/>
      <c r="IB106" s="345"/>
      <c r="IC106" s="71"/>
      <c r="ID106" s="226"/>
      <c r="IE106" s="71"/>
      <c r="IF106" s="71"/>
      <c r="IG106" s="345"/>
      <c r="IH106" s="71"/>
      <c r="II106" s="226"/>
      <c r="IJ106" s="71"/>
      <c r="IK106" s="71"/>
      <c r="IL106" s="345"/>
      <c r="IM106" s="71"/>
      <c r="IN106" s="226"/>
      <c r="IO106" s="71"/>
      <c r="IP106" s="71"/>
      <c r="IQ106" s="345"/>
      <c r="IR106" s="71"/>
      <c r="IS106" s="226"/>
      <c r="IT106" s="71"/>
      <c r="IU106" s="71"/>
      <c r="IV106" s="345"/>
    </row>
    <row r="107" spans="1:256" x14ac:dyDescent="0.2">
      <c r="A107" s="345">
        <v>30772</v>
      </c>
      <c r="B107" s="71"/>
      <c r="C107" s="226"/>
      <c r="D107" s="71"/>
      <c r="E107" s="71"/>
      <c r="F107" s="345"/>
      <c r="G107" s="71"/>
      <c r="H107" s="226"/>
      <c r="I107" s="71"/>
      <c r="J107" s="71"/>
      <c r="K107" s="345"/>
      <c r="L107" s="71"/>
      <c r="M107" s="226"/>
      <c r="N107" s="71"/>
      <c r="O107" s="71"/>
      <c r="P107" s="345"/>
      <c r="Q107" s="71"/>
      <c r="R107" s="226"/>
      <c r="S107" s="71"/>
      <c r="T107" s="71"/>
      <c r="U107" s="345"/>
      <c r="V107" s="71"/>
      <c r="W107" s="226"/>
      <c r="X107" s="71"/>
      <c r="Y107" s="71"/>
      <c r="Z107" s="345"/>
      <c r="AA107" s="71"/>
      <c r="AB107" s="226"/>
      <c r="AC107" s="71"/>
      <c r="AD107" s="71"/>
      <c r="AE107" s="345"/>
      <c r="AF107" s="71"/>
      <c r="AG107" s="226"/>
      <c r="AH107" s="71"/>
      <c r="AI107" s="71"/>
      <c r="AJ107" s="345"/>
      <c r="AK107" s="71"/>
      <c r="AL107" s="226"/>
      <c r="AM107" s="71"/>
      <c r="AN107" s="71"/>
      <c r="AO107" s="345"/>
      <c r="AP107" s="71"/>
      <c r="AQ107" s="226"/>
      <c r="AR107" s="71"/>
      <c r="AS107" s="71"/>
      <c r="AT107" s="345"/>
      <c r="AU107" s="71"/>
      <c r="AV107" s="226"/>
      <c r="AW107" s="71"/>
      <c r="AX107" s="71"/>
      <c r="AY107" s="345"/>
      <c r="AZ107" s="71"/>
      <c r="BA107" s="226"/>
      <c r="BB107" s="71"/>
      <c r="BC107" s="71"/>
      <c r="BD107" s="345"/>
      <c r="BE107" s="71"/>
      <c r="BF107" s="226"/>
      <c r="BG107" s="71"/>
      <c r="BH107" s="71"/>
      <c r="BI107" s="345"/>
      <c r="BJ107" s="71"/>
      <c r="BK107" s="226"/>
      <c r="BL107" s="71"/>
      <c r="BM107" s="71"/>
      <c r="BN107" s="345"/>
      <c r="BO107" s="71"/>
      <c r="BP107" s="226"/>
      <c r="BQ107" s="71"/>
      <c r="BR107" s="71"/>
      <c r="BS107" s="345"/>
      <c r="BT107" s="71"/>
      <c r="BU107" s="226"/>
      <c r="BV107" s="71"/>
      <c r="BW107" s="71"/>
      <c r="BX107" s="345"/>
      <c r="BY107" s="71"/>
      <c r="BZ107" s="226"/>
      <c r="CA107" s="71"/>
      <c r="CB107" s="71"/>
      <c r="CC107" s="345"/>
      <c r="CD107" s="71"/>
      <c r="CE107" s="226"/>
      <c r="CF107" s="71"/>
      <c r="CG107" s="71"/>
      <c r="CH107" s="345"/>
      <c r="CI107" s="71"/>
      <c r="CJ107" s="226"/>
      <c r="CK107" s="71"/>
      <c r="CL107" s="71"/>
      <c r="CM107" s="345"/>
      <c r="CN107" s="71"/>
      <c r="CO107" s="226"/>
      <c r="CP107" s="71"/>
      <c r="CQ107" s="71"/>
      <c r="CR107" s="345"/>
      <c r="CS107" s="71"/>
      <c r="CT107" s="226"/>
      <c r="CU107" s="71"/>
      <c r="CV107" s="71"/>
      <c r="CW107" s="345"/>
      <c r="CX107" s="71"/>
      <c r="CY107" s="226"/>
      <c r="CZ107" s="71"/>
      <c r="DA107" s="71"/>
      <c r="DB107" s="345"/>
      <c r="DC107" s="71"/>
      <c r="DD107" s="226"/>
      <c r="DE107" s="71"/>
      <c r="DF107" s="71"/>
      <c r="DG107" s="345"/>
      <c r="DH107" s="71"/>
      <c r="DI107" s="226"/>
      <c r="DJ107" s="71"/>
      <c r="DK107" s="71"/>
      <c r="DL107" s="345"/>
      <c r="DM107" s="71"/>
      <c r="DN107" s="226"/>
      <c r="DO107" s="71"/>
      <c r="DP107" s="71"/>
      <c r="DQ107" s="345"/>
      <c r="DR107" s="71"/>
      <c r="DS107" s="226"/>
      <c r="DT107" s="71"/>
      <c r="DU107" s="71"/>
      <c r="DV107" s="345"/>
      <c r="DW107" s="71"/>
      <c r="DX107" s="226"/>
      <c r="DY107" s="71"/>
      <c r="DZ107" s="71"/>
      <c r="EA107" s="345"/>
      <c r="EB107" s="71"/>
      <c r="EC107" s="226"/>
      <c r="ED107" s="71"/>
      <c r="EE107" s="71"/>
      <c r="EF107" s="345"/>
      <c r="EG107" s="71"/>
      <c r="EH107" s="226"/>
      <c r="EI107" s="71"/>
      <c r="EJ107" s="71"/>
      <c r="EK107" s="345"/>
      <c r="EL107" s="71"/>
      <c r="EM107" s="226"/>
      <c r="EN107" s="71"/>
      <c r="EO107" s="71"/>
      <c r="EP107" s="345"/>
      <c r="EQ107" s="71"/>
      <c r="ER107" s="226"/>
      <c r="ES107" s="71"/>
      <c r="ET107" s="71"/>
      <c r="EU107" s="345"/>
      <c r="EV107" s="71"/>
      <c r="EW107" s="226"/>
      <c r="EX107" s="71"/>
      <c r="EY107" s="71"/>
      <c r="EZ107" s="345"/>
      <c r="FA107" s="71"/>
      <c r="FB107" s="226"/>
      <c r="FC107" s="71"/>
      <c r="FD107" s="71"/>
      <c r="FE107" s="345"/>
      <c r="FF107" s="71"/>
      <c r="FG107" s="226"/>
      <c r="FH107" s="71"/>
      <c r="FI107" s="71"/>
      <c r="FJ107" s="345"/>
      <c r="FK107" s="71"/>
      <c r="FL107" s="226"/>
      <c r="FM107" s="71"/>
      <c r="FN107" s="71"/>
      <c r="FO107" s="345"/>
      <c r="FP107" s="71"/>
      <c r="FQ107" s="226"/>
      <c r="FR107" s="71"/>
      <c r="FS107" s="71"/>
      <c r="FT107" s="345"/>
      <c r="FU107" s="71"/>
      <c r="FV107" s="226"/>
      <c r="FW107" s="71"/>
      <c r="FX107" s="71"/>
      <c r="FY107" s="345"/>
      <c r="FZ107" s="71"/>
      <c r="GA107" s="226"/>
      <c r="GB107" s="71"/>
      <c r="GC107" s="71"/>
      <c r="GD107" s="345"/>
      <c r="GE107" s="71"/>
      <c r="GF107" s="226"/>
      <c r="GG107" s="71"/>
      <c r="GH107" s="71"/>
      <c r="GI107" s="345"/>
      <c r="GJ107" s="71"/>
      <c r="GK107" s="226"/>
      <c r="GL107" s="71"/>
      <c r="GM107" s="71"/>
      <c r="GN107" s="345"/>
      <c r="GO107" s="71"/>
      <c r="GP107" s="226"/>
      <c r="GQ107" s="71"/>
      <c r="GR107" s="71"/>
      <c r="GS107" s="345"/>
      <c r="GT107" s="71"/>
      <c r="GU107" s="226"/>
      <c r="GV107" s="71"/>
      <c r="GW107" s="71"/>
      <c r="GX107" s="345"/>
      <c r="GY107" s="71"/>
      <c r="GZ107" s="226"/>
      <c r="HA107" s="71"/>
      <c r="HB107" s="71"/>
      <c r="HC107" s="345"/>
      <c r="HD107" s="71"/>
      <c r="HE107" s="226"/>
      <c r="HF107" s="71"/>
      <c r="HG107" s="71"/>
      <c r="HH107" s="345"/>
      <c r="HI107" s="71"/>
      <c r="HJ107" s="226"/>
      <c r="HK107" s="71"/>
      <c r="HL107" s="71"/>
      <c r="HM107" s="345"/>
      <c r="HN107" s="71"/>
      <c r="HO107" s="226"/>
      <c r="HP107" s="71"/>
      <c r="HQ107" s="71"/>
      <c r="HR107" s="345"/>
      <c r="HS107" s="71"/>
      <c r="HT107" s="226"/>
      <c r="HU107" s="71"/>
      <c r="HV107" s="71"/>
      <c r="HW107" s="345"/>
      <c r="HX107" s="71"/>
      <c r="HY107" s="226"/>
      <c r="HZ107" s="71"/>
      <c r="IA107" s="71"/>
      <c r="IB107" s="345"/>
      <c r="IC107" s="71"/>
      <c r="ID107" s="226"/>
      <c r="IE107" s="71"/>
      <c r="IF107" s="71"/>
      <c r="IG107" s="345"/>
      <c r="IH107" s="71"/>
      <c r="II107" s="226"/>
      <c r="IJ107" s="71"/>
      <c r="IK107" s="71"/>
      <c r="IL107" s="345"/>
      <c r="IM107" s="71"/>
      <c r="IN107" s="226"/>
      <c r="IO107" s="71"/>
      <c r="IP107" s="71"/>
      <c r="IQ107" s="345"/>
      <c r="IR107" s="71"/>
      <c r="IS107" s="226"/>
      <c r="IT107" s="71"/>
      <c r="IU107" s="71"/>
      <c r="IV107" s="345"/>
    </row>
    <row r="108" spans="1:256" x14ac:dyDescent="0.2">
      <c r="A108" s="345">
        <v>30802</v>
      </c>
      <c r="B108" s="71"/>
      <c r="C108" s="226"/>
      <c r="D108" s="71"/>
      <c r="E108" s="71"/>
      <c r="F108" s="345"/>
      <c r="G108" s="71"/>
      <c r="H108" s="226"/>
      <c r="I108" s="71"/>
      <c r="J108" s="71"/>
      <c r="K108" s="345"/>
      <c r="L108" s="71"/>
      <c r="M108" s="226"/>
      <c r="N108" s="71"/>
      <c r="O108" s="71"/>
      <c r="P108" s="345"/>
      <c r="Q108" s="71"/>
      <c r="R108" s="226"/>
      <c r="S108" s="71"/>
      <c r="T108" s="71"/>
      <c r="U108" s="345"/>
      <c r="V108" s="71"/>
      <c r="W108" s="226"/>
      <c r="X108" s="71"/>
      <c r="Y108" s="71"/>
      <c r="Z108" s="345"/>
      <c r="AA108" s="71"/>
      <c r="AB108" s="226"/>
      <c r="AC108" s="71"/>
      <c r="AD108" s="71"/>
      <c r="AE108" s="345"/>
      <c r="AF108" s="71"/>
      <c r="AG108" s="226"/>
      <c r="AH108" s="71"/>
      <c r="AI108" s="71"/>
      <c r="AJ108" s="345"/>
      <c r="AK108" s="71"/>
      <c r="AL108" s="226"/>
      <c r="AM108" s="71"/>
      <c r="AN108" s="71"/>
      <c r="AO108" s="345"/>
      <c r="AP108" s="71"/>
      <c r="AQ108" s="226"/>
      <c r="AR108" s="71"/>
      <c r="AS108" s="71"/>
      <c r="AT108" s="345"/>
      <c r="AU108" s="71"/>
      <c r="AV108" s="226"/>
      <c r="AW108" s="71"/>
      <c r="AX108" s="71"/>
      <c r="AY108" s="345"/>
      <c r="AZ108" s="71"/>
      <c r="BA108" s="226"/>
      <c r="BB108" s="71"/>
      <c r="BC108" s="71"/>
      <c r="BD108" s="345"/>
      <c r="BE108" s="71"/>
      <c r="BF108" s="226"/>
      <c r="BG108" s="71"/>
      <c r="BH108" s="71"/>
      <c r="BI108" s="345"/>
      <c r="BJ108" s="71"/>
      <c r="BK108" s="226"/>
      <c r="BL108" s="71"/>
      <c r="BM108" s="71"/>
      <c r="BN108" s="345"/>
      <c r="BO108" s="71"/>
      <c r="BP108" s="226"/>
      <c r="BQ108" s="71"/>
      <c r="BR108" s="71"/>
      <c r="BS108" s="345"/>
      <c r="BT108" s="71"/>
      <c r="BU108" s="226"/>
      <c r="BV108" s="71"/>
      <c r="BW108" s="71"/>
      <c r="BX108" s="345"/>
      <c r="BY108" s="71"/>
      <c r="BZ108" s="226"/>
      <c r="CA108" s="71"/>
      <c r="CB108" s="71"/>
      <c r="CC108" s="345"/>
      <c r="CD108" s="71"/>
      <c r="CE108" s="226"/>
      <c r="CF108" s="71"/>
      <c r="CG108" s="71"/>
      <c r="CH108" s="345"/>
      <c r="CI108" s="71"/>
      <c r="CJ108" s="226"/>
      <c r="CK108" s="71"/>
      <c r="CL108" s="71"/>
      <c r="CM108" s="345"/>
      <c r="CN108" s="71"/>
      <c r="CO108" s="226"/>
      <c r="CP108" s="71"/>
      <c r="CQ108" s="71"/>
      <c r="CR108" s="345"/>
      <c r="CS108" s="71"/>
      <c r="CT108" s="226"/>
      <c r="CU108" s="71"/>
      <c r="CV108" s="71"/>
      <c r="CW108" s="345"/>
      <c r="CX108" s="71"/>
      <c r="CY108" s="226"/>
      <c r="CZ108" s="71"/>
      <c r="DA108" s="71"/>
      <c r="DB108" s="345"/>
      <c r="DC108" s="71"/>
      <c r="DD108" s="226"/>
      <c r="DE108" s="71"/>
      <c r="DF108" s="71"/>
      <c r="DG108" s="345"/>
      <c r="DH108" s="71"/>
      <c r="DI108" s="226"/>
      <c r="DJ108" s="71"/>
      <c r="DK108" s="71"/>
      <c r="DL108" s="345"/>
      <c r="DM108" s="71"/>
      <c r="DN108" s="226"/>
      <c r="DO108" s="71"/>
      <c r="DP108" s="71"/>
      <c r="DQ108" s="345"/>
      <c r="DR108" s="71"/>
      <c r="DS108" s="226"/>
      <c r="DT108" s="71"/>
      <c r="DU108" s="71"/>
      <c r="DV108" s="345"/>
      <c r="DW108" s="71"/>
      <c r="DX108" s="226"/>
      <c r="DY108" s="71"/>
      <c r="DZ108" s="71"/>
      <c r="EA108" s="345"/>
      <c r="EB108" s="71"/>
      <c r="EC108" s="226"/>
      <c r="ED108" s="71"/>
      <c r="EE108" s="71"/>
      <c r="EF108" s="345"/>
      <c r="EG108" s="71"/>
      <c r="EH108" s="226"/>
      <c r="EI108" s="71"/>
      <c r="EJ108" s="71"/>
      <c r="EK108" s="345"/>
      <c r="EL108" s="71"/>
      <c r="EM108" s="226"/>
      <c r="EN108" s="71"/>
      <c r="EO108" s="71"/>
      <c r="EP108" s="345"/>
      <c r="EQ108" s="71"/>
      <c r="ER108" s="226"/>
      <c r="ES108" s="71"/>
      <c r="ET108" s="71"/>
      <c r="EU108" s="345"/>
      <c r="EV108" s="71"/>
      <c r="EW108" s="226"/>
      <c r="EX108" s="71"/>
      <c r="EY108" s="71"/>
      <c r="EZ108" s="345"/>
      <c r="FA108" s="71"/>
      <c r="FB108" s="226"/>
      <c r="FC108" s="71"/>
      <c r="FD108" s="71"/>
      <c r="FE108" s="345"/>
      <c r="FF108" s="71"/>
      <c r="FG108" s="226"/>
      <c r="FH108" s="71"/>
      <c r="FI108" s="71"/>
      <c r="FJ108" s="345"/>
      <c r="FK108" s="71"/>
      <c r="FL108" s="226"/>
      <c r="FM108" s="71"/>
      <c r="FN108" s="71"/>
      <c r="FO108" s="345"/>
      <c r="FP108" s="71"/>
      <c r="FQ108" s="226"/>
      <c r="FR108" s="71"/>
      <c r="FS108" s="71"/>
      <c r="FT108" s="345"/>
      <c r="FU108" s="71"/>
      <c r="FV108" s="226"/>
      <c r="FW108" s="71"/>
      <c r="FX108" s="71"/>
      <c r="FY108" s="345"/>
      <c r="FZ108" s="71"/>
      <c r="GA108" s="226"/>
      <c r="GB108" s="71"/>
      <c r="GC108" s="71"/>
      <c r="GD108" s="345"/>
      <c r="GE108" s="71"/>
      <c r="GF108" s="226"/>
      <c r="GG108" s="71"/>
      <c r="GH108" s="71"/>
      <c r="GI108" s="345"/>
      <c r="GJ108" s="71"/>
      <c r="GK108" s="226"/>
      <c r="GL108" s="71"/>
      <c r="GM108" s="71"/>
      <c r="GN108" s="345"/>
      <c r="GO108" s="71"/>
      <c r="GP108" s="226"/>
      <c r="GQ108" s="71"/>
      <c r="GR108" s="71"/>
      <c r="GS108" s="345"/>
      <c r="GT108" s="71"/>
      <c r="GU108" s="226"/>
      <c r="GV108" s="71"/>
      <c r="GW108" s="71"/>
      <c r="GX108" s="345"/>
      <c r="GY108" s="71"/>
      <c r="GZ108" s="226"/>
      <c r="HA108" s="71"/>
      <c r="HB108" s="71"/>
      <c r="HC108" s="345"/>
      <c r="HD108" s="71"/>
      <c r="HE108" s="226"/>
      <c r="HF108" s="71"/>
      <c r="HG108" s="71"/>
      <c r="HH108" s="345"/>
      <c r="HI108" s="71"/>
      <c r="HJ108" s="226"/>
      <c r="HK108" s="71"/>
      <c r="HL108" s="71"/>
      <c r="HM108" s="345"/>
      <c r="HN108" s="71"/>
      <c r="HO108" s="226"/>
      <c r="HP108" s="71"/>
      <c r="HQ108" s="71"/>
      <c r="HR108" s="345"/>
      <c r="HS108" s="71"/>
      <c r="HT108" s="226"/>
      <c r="HU108" s="71"/>
      <c r="HV108" s="71"/>
      <c r="HW108" s="345"/>
      <c r="HX108" s="71"/>
      <c r="HY108" s="226"/>
      <c r="HZ108" s="71"/>
      <c r="IA108" s="71"/>
      <c r="IB108" s="345"/>
      <c r="IC108" s="71"/>
      <c r="ID108" s="226"/>
      <c r="IE108" s="71"/>
      <c r="IF108" s="71"/>
      <c r="IG108" s="345"/>
      <c r="IH108" s="71"/>
      <c r="II108" s="226"/>
      <c r="IJ108" s="71"/>
      <c r="IK108" s="71"/>
      <c r="IL108" s="345"/>
      <c r="IM108" s="71"/>
      <c r="IN108" s="226"/>
      <c r="IO108" s="71"/>
      <c r="IP108" s="71"/>
      <c r="IQ108" s="345"/>
      <c r="IR108" s="71"/>
      <c r="IS108" s="226"/>
      <c r="IT108" s="71"/>
      <c r="IU108" s="71"/>
      <c r="IV108" s="345"/>
    </row>
    <row r="109" spans="1:256" x14ac:dyDescent="0.2">
      <c r="A109" s="345">
        <v>30833</v>
      </c>
      <c r="B109" s="71"/>
      <c r="C109" s="226"/>
      <c r="D109" s="71"/>
      <c r="E109" s="71"/>
      <c r="F109" s="345"/>
      <c r="G109" s="71"/>
      <c r="H109" s="226"/>
      <c r="I109" s="71"/>
      <c r="J109" s="71"/>
      <c r="K109" s="345"/>
      <c r="L109" s="71"/>
      <c r="M109" s="226"/>
      <c r="N109" s="71"/>
      <c r="O109" s="71"/>
      <c r="P109" s="345"/>
      <c r="Q109" s="71"/>
      <c r="R109" s="226"/>
      <c r="S109" s="71"/>
      <c r="T109" s="71"/>
      <c r="U109" s="345"/>
      <c r="V109" s="71"/>
      <c r="W109" s="226"/>
      <c r="X109" s="71"/>
      <c r="Y109" s="71"/>
      <c r="Z109" s="345"/>
      <c r="AA109" s="71"/>
      <c r="AB109" s="226"/>
      <c r="AC109" s="71"/>
      <c r="AD109" s="71"/>
      <c r="AE109" s="345"/>
      <c r="AF109" s="71"/>
      <c r="AG109" s="226"/>
      <c r="AH109" s="71"/>
      <c r="AI109" s="71"/>
      <c r="AJ109" s="345"/>
      <c r="AK109" s="71"/>
      <c r="AL109" s="226"/>
      <c r="AM109" s="71"/>
      <c r="AN109" s="71"/>
      <c r="AO109" s="345"/>
      <c r="AP109" s="71"/>
      <c r="AQ109" s="226"/>
      <c r="AR109" s="71"/>
      <c r="AS109" s="71"/>
      <c r="AT109" s="345"/>
      <c r="AU109" s="71"/>
      <c r="AV109" s="226"/>
      <c r="AW109" s="71"/>
      <c r="AX109" s="71"/>
      <c r="AY109" s="345"/>
      <c r="AZ109" s="71"/>
      <c r="BA109" s="226"/>
      <c r="BB109" s="71"/>
      <c r="BC109" s="71"/>
      <c r="BD109" s="345"/>
      <c r="BE109" s="71"/>
      <c r="BF109" s="226"/>
      <c r="BG109" s="71"/>
      <c r="BH109" s="71"/>
      <c r="BI109" s="345"/>
      <c r="BJ109" s="71"/>
      <c r="BK109" s="226"/>
      <c r="BL109" s="71"/>
      <c r="BM109" s="71"/>
      <c r="BN109" s="345"/>
      <c r="BO109" s="71"/>
      <c r="BP109" s="226"/>
      <c r="BQ109" s="71"/>
      <c r="BR109" s="71"/>
      <c r="BS109" s="345"/>
      <c r="BT109" s="71"/>
      <c r="BU109" s="226"/>
      <c r="BV109" s="71"/>
      <c r="BW109" s="71"/>
      <c r="BX109" s="345"/>
      <c r="BY109" s="71"/>
      <c r="BZ109" s="226"/>
      <c r="CA109" s="71"/>
      <c r="CB109" s="71"/>
      <c r="CC109" s="345"/>
      <c r="CD109" s="71"/>
      <c r="CE109" s="226"/>
      <c r="CF109" s="71"/>
      <c r="CG109" s="71"/>
      <c r="CH109" s="345"/>
      <c r="CI109" s="71"/>
      <c r="CJ109" s="226"/>
      <c r="CK109" s="71"/>
      <c r="CL109" s="71"/>
      <c r="CM109" s="345"/>
      <c r="CN109" s="71"/>
      <c r="CO109" s="226"/>
      <c r="CP109" s="71"/>
      <c r="CQ109" s="71"/>
      <c r="CR109" s="345"/>
      <c r="CS109" s="71"/>
      <c r="CT109" s="226"/>
      <c r="CU109" s="71"/>
      <c r="CV109" s="71"/>
      <c r="CW109" s="345"/>
      <c r="CX109" s="71"/>
      <c r="CY109" s="226"/>
      <c r="CZ109" s="71"/>
      <c r="DA109" s="71"/>
      <c r="DB109" s="345"/>
      <c r="DC109" s="71"/>
      <c r="DD109" s="226"/>
      <c r="DE109" s="71"/>
      <c r="DF109" s="71"/>
      <c r="DG109" s="345"/>
      <c r="DH109" s="71"/>
      <c r="DI109" s="226"/>
      <c r="DJ109" s="71"/>
      <c r="DK109" s="71"/>
      <c r="DL109" s="345"/>
      <c r="DM109" s="71"/>
      <c r="DN109" s="226"/>
      <c r="DO109" s="71"/>
      <c r="DP109" s="71"/>
      <c r="DQ109" s="345"/>
      <c r="DR109" s="71"/>
      <c r="DS109" s="226"/>
      <c r="DT109" s="71"/>
      <c r="DU109" s="71"/>
      <c r="DV109" s="345"/>
      <c r="DW109" s="71"/>
      <c r="DX109" s="226"/>
      <c r="DY109" s="71"/>
      <c r="DZ109" s="71"/>
      <c r="EA109" s="345"/>
      <c r="EB109" s="71"/>
      <c r="EC109" s="226"/>
      <c r="ED109" s="71"/>
      <c r="EE109" s="71"/>
      <c r="EF109" s="345"/>
      <c r="EG109" s="71"/>
      <c r="EH109" s="226"/>
      <c r="EI109" s="71"/>
      <c r="EJ109" s="71"/>
      <c r="EK109" s="345"/>
      <c r="EL109" s="71"/>
      <c r="EM109" s="226"/>
      <c r="EN109" s="71"/>
      <c r="EO109" s="71"/>
      <c r="EP109" s="345"/>
      <c r="EQ109" s="71"/>
      <c r="ER109" s="226"/>
      <c r="ES109" s="71"/>
      <c r="ET109" s="71"/>
      <c r="EU109" s="345"/>
      <c r="EV109" s="71"/>
      <c r="EW109" s="226"/>
      <c r="EX109" s="71"/>
      <c r="EY109" s="71"/>
      <c r="EZ109" s="345"/>
      <c r="FA109" s="71"/>
      <c r="FB109" s="226"/>
      <c r="FC109" s="71"/>
      <c r="FD109" s="71"/>
      <c r="FE109" s="345"/>
      <c r="FF109" s="71"/>
      <c r="FG109" s="226"/>
      <c r="FH109" s="71"/>
      <c r="FI109" s="71"/>
      <c r="FJ109" s="345"/>
      <c r="FK109" s="71"/>
      <c r="FL109" s="226"/>
      <c r="FM109" s="71"/>
      <c r="FN109" s="71"/>
      <c r="FO109" s="345"/>
      <c r="FP109" s="71"/>
      <c r="FQ109" s="226"/>
      <c r="FR109" s="71"/>
      <c r="FS109" s="71"/>
      <c r="FT109" s="345"/>
      <c r="FU109" s="71"/>
      <c r="FV109" s="226"/>
      <c r="FW109" s="71"/>
      <c r="FX109" s="71"/>
      <c r="FY109" s="345"/>
      <c r="FZ109" s="71"/>
      <c r="GA109" s="226"/>
      <c r="GB109" s="71"/>
      <c r="GC109" s="71"/>
      <c r="GD109" s="345"/>
      <c r="GE109" s="71"/>
      <c r="GF109" s="226"/>
      <c r="GG109" s="71"/>
      <c r="GH109" s="71"/>
      <c r="GI109" s="345"/>
      <c r="GJ109" s="71"/>
      <c r="GK109" s="226"/>
      <c r="GL109" s="71"/>
      <c r="GM109" s="71"/>
      <c r="GN109" s="345"/>
      <c r="GO109" s="71"/>
      <c r="GP109" s="226"/>
      <c r="GQ109" s="71"/>
      <c r="GR109" s="71"/>
      <c r="GS109" s="345"/>
      <c r="GT109" s="71"/>
      <c r="GU109" s="226"/>
      <c r="GV109" s="71"/>
      <c r="GW109" s="71"/>
      <c r="GX109" s="345"/>
      <c r="GY109" s="71"/>
      <c r="GZ109" s="226"/>
      <c r="HA109" s="71"/>
      <c r="HB109" s="71"/>
      <c r="HC109" s="345"/>
      <c r="HD109" s="71"/>
      <c r="HE109" s="226"/>
      <c r="HF109" s="71"/>
      <c r="HG109" s="71"/>
      <c r="HH109" s="345"/>
      <c r="HI109" s="71"/>
      <c r="HJ109" s="226"/>
      <c r="HK109" s="71"/>
      <c r="HL109" s="71"/>
      <c r="HM109" s="345"/>
      <c r="HN109" s="71"/>
      <c r="HO109" s="226"/>
      <c r="HP109" s="71"/>
      <c r="HQ109" s="71"/>
      <c r="HR109" s="345"/>
      <c r="HS109" s="71"/>
      <c r="HT109" s="226"/>
      <c r="HU109" s="71"/>
      <c r="HV109" s="71"/>
      <c r="HW109" s="345"/>
      <c r="HX109" s="71"/>
      <c r="HY109" s="226"/>
      <c r="HZ109" s="71"/>
      <c r="IA109" s="71"/>
      <c r="IB109" s="345"/>
      <c r="IC109" s="71"/>
      <c r="ID109" s="226"/>
      <c r="IE109" s="71"/>
      <c r="IF109" s="71"/>
      <c r="IG109" s="345"/>
      <c r="IH109" s="71"/>
      <c r="II109" s="226"/>
      <c r="IJ109" s="71"/>
      <c r="IK109" s="71"/>
      <c r="IL109" s="345"/>
      <c r="IM109" s="71"/>
      <c r="IN109" s="226"/>
      <c r="IO109" s="71"/>
      <c r="IP109" s="71"/>
      <c r="IQ109" s="345"/>
      <c r="IR109" s="71"/>
      <c r="IS109" s="226"/>
      <c r="IT109" s="71"/>
      <c r="IU109" s="71"/>
      <c r="IV109" s="345"/>
    </row>
    <row r="110" spans="1:256" x14ac:dyDescent="0.2">
      <c r="A110" s="345">
        <v>30863</v>
      </c>
      <c r="B110" s="71"/>
      <c r="C110" s="226"/>
      <c r="D110" s="71"/>
      <c r="E110" s="71"/>
      <c r="F110" s="345"/>
      <c r="G110" s="71"/>
      <c r="H110" s="226"/>
      <c r="I110" s="71"/>
      <c r="J110" s="71"/>
      <c r="K110" s="345"/>
      <c r="L110" s="71"/>
      <c r="M110" s="226"/>
      <c r="N110" s="71"/>
      <c r="O110" s="71"/>
      <c r="P110" s="345"/>
      <c r="Q110" s="71"/>
      <c r="R110" s="226"/>
      <c r="S110" s="71"/>
      <c r="T110" s="71"/>
      <c r="U110" s="345"/>
      <c r="V110" s="71"/>
      <c r="W110" s="226"/>
      <c r="X110" s="71"/>
      <c r="Y110" s="71"/>
      <c r="Z110" s="345"/>
      <c r="AA110" s="71"/>
      <c r="AB110" s="226"/>
      <c r="AC110" s="71"/>
      <c r="AD110" s="71"/>
      <c r="AE110" s="345"/>
      <c r="AF110" s="71"/>
      <c r="AG110" s="226"/>
      <c r="AH110" s="71"/>
      <c r="AI110" s="71"/>
      <c r="AJ110" s="345"/>
      <c r="AK110" s="71"/>
      <c r="AL110" s="226"/>
      <c r="AM110" s="71"/>
      <c r="AN110" s="71"/>
      <c r="AO110" s="345"/>
      <c r="AP110" s="71"/>
      <c r="AQ110" s="226"/>
      <c r="AR110" s="71"/>
      <c r="AS110" s="71"/>
      <c r="AT110" s="345"/>
      <c r="AU110" s="71"/>
      <c r="AV110" s="226"/>
      <c r="AW110" s="71"/>
      <c r="AX110" s="71"/>
      <c r="AY110" s="345"/>
      <c r="AZ110" s="71"/>
      <c r="BA110" s="226"/>
      <c r="BB110" s="71"/>
      <c r="BC110" s="71"/>
      <c r="BD110" s="345"/>
      <c r="BE110" s="71"/>
      <c r="BF110" s="226"/>
      <c r="BG110" s="71"/>
      <c r="BH110" s="71"/>
      <c r="BI110" s="345"/>
      <c r="BJ110" s="71"/>
      <c r="BK110" s="226"/>
      <c r="BL110" s="71"/>
      <c r="BM110" s="71"/>
      <c r="BN110" s="345"/>
      <c r="BO110" s="71"/>
      <c r="BP110" s="226"/>
      <c r="BQ110" s="71"/>
      <c r="BR110" s="71"/>
      <c r="BS110" s="345"/>
      <c r="BT110" s="71"/>
      <c r="BU110" s="226"/>
      <c r="BV110" s="71"/>
      <c r="BW110" s="71"/>
      <c r="BX110" s="345"/>
      <c r="BY110" s="71"/>
      <c r="BZ110" s="226"/>
      <c r="CA110" s="71"/>
      <c r="CB110" s="71"/>
      <c r="CC110" s="345"/>
      <c r="CD110" s="71"/>
      <c r="CE110" s="226"/>
      <c r="CF110" s="71"/>
      <c r="CG110" s="71"/>
      <c r="CH110" s="345"/>
      <c r="CI110" s="71"/>
      <c r="CJ110" s="226"/>
      <c r="CK110" s="71"/>
      <c r="CL110" s="71"/>
      <c r="CM110" s="345"/>
      <c r="CN110" s="71"/>
      <c r="CO110" s="226"/>
      <c r="CP110" s="71"/>
      <c r="CQ110" s="71"/>
      <c r="CR110" s="345"/>
      <c r="CS110" s="71"/>
      <c r="CT110" s="226"/>
      <c r="CU110" s="71"/>
      <c r="CV110" s="71"/>
      <c r="CW110" s="345"/>
      <c r="CX110" s="71"/>
      <c r="CY110" s="226"/>
      <c r="CZ110" s="71"/>
      <c r="DA110" s="71"/>
      <c r="DB110" s="345"/>
      <c r="DC110" s="71"/>
      <c r="DD110" s="226"/>
      <c r="DE110" s="71"/>
      <c r="DF110" s="71"/>
      <c r="DG110" s="345"/>
      <c r="DH110" s="71"/>
      <c r="DI110" s="226"/>
      <c r="DJ110" s="71"/>
      <c r="DK110" s="71"/>
      <c r="DL110" s="345"/>
      <c r="DM110" s="71"/>
      <c r="DN110" s="226"/>
      <c r="DO110" s="71"/>
      <c r="DP110" s="71"/>
      <c r="DQ110" s="345"/>
      <c r="DR110" s="71"/>
      <c r="DS110" s="226"/>
      <c r="DT110" s="71"/>
      <c r="DU110" s="71"/>
      <c r="DV110" s="345"/>
      <c r="DW110" s="71"/>
      <c r="DX110" s="226"/>
      <c r="DY110" s="71"/>
      <c r="DZ110" s="71"/>
      <c r="EA110" s="345"/>
      <c r="EB110" s="71"/>
      <c r="EC110" s="226"/>
      <c r="ED110" s="71"/>
      <c r="EE110" s="71"/>
      <c r="EF110" s="345"/>
      <c r="EG110" s="71"/>
      <c r="EH110" s="226"/>
      <c r="EI110" s="71"/>
      <c r="EJ110" s="71"/>
      <c r="EK110" s="345"/>
      <c r="EL110" s="71"/>
      <c r="EM110" s="226"/>
      <c r="EN110" s="71"/>
      <c r="EO110" s="71"/>
      <c r="EP110" s="345"/>
      <c r="EQ110" s="71"/>
      <c r="ER110" s="226"/>
      <c r="ES110" s="71"/>
      <c r="ET110" s="71"/>
      <c r="EU110" s="345"/>
      <c r="EV110" s="71"/>
      <c r="EW110" s="226"/>
      <c r="EX110" s="71"/>
      <c r="EY110" s="71"/>
      <c r="EZ110" s="345"/>
      <c r="FA110" s="71"/>
      <c r="FB110" s="226"/>
      <c r="FC110" s="71"/>
      <c r="FD110" s="71"/>
      <c r="FE110" s="345"/>
      <c r="FF110" s="71"/>
      <c r="FG110" s="226"/>
      <c r="FH110" s="71"/>
      <c r="FI110" s="71"/>
      <c r="FJ110" s="345"/>
      <c r="FK110" s="71"/>
      <c r="FL110" s="226"/>
      <c r="FM110" s="71"/>
      <c r="FN110" s="71"/>
      <c r="FO110" s="345"/>
      <c r="FP110" s="71"/>
      <c r="FQ110" s="226"/>
      <c r="FR110" s="71"/>
      <c r="FS110" s="71"/>
      <c r="FT110" s="345"/>
      <c r="FU110" s="71"/>
      <c r="FV110" s="226"/>
      <c r="FW110" s="71"/>
      <c r="FX110" s="71"/>
      <c r="FY110" s="345"/>
      <c r="FZ110" s="71"/>
      <c r="GA110" s="226"/>
      <c r="GB110" s="71"/>
      <c r="GC110" s="71"/>
      <c r="GD110" s="345"/>
      <c r="GE110" s="71"/>
      <c r="GF110" s="226"/>
      <c r="GG110" s="71"/>
      <c r="GH110" s="71"/>
      <c r="GI110" s="345"/>
      <c r="GJ110" s="71"/>
      <c r="GK110" s="226"/>
      <c r="GL110" s="71"/>
      <c r="GM110" s="71"/>
      <c r="GN110" s="345"/>
      <c r="GO110" s="71"/>
      <c r="GP110" s="226"/>
      <c r="GQ110" s="71"/>
      <c r="GR110" s="71"/>
      <c r="GS110" s="345"/>
      <c r="GT110" s="71"/>
      <c r="GU110" s="226"/>
      <c r="GV110" s="71"/>
      <c r="GW110" s="71"/>
      <c r="GX110" s="345"/>
      <c r="GY110" s="71"/>
      <c r="GZ110" s="226"/>
      <c r="HA110" s="71"/>
      <c r="HB110" s="71"/>
      <c r="HC110" s="345"/>
      <c r="HD110" s="71"/>
      <c r="HE110" s="226"/>
      <c r="HF110" s="71"/>
      <c r="HG110" s="71"/>
      <c r="HH110" s="345"/>
      <c r="HI110" s="71"/>
      <c r="HJ110" s="226"/>
      <c r="HK110" s="71"/>
      <c r="HL110" s="71"/>
      <c r="HM110" s="345"/>
      <c r="HN110" s="71"/>
      <c r="HO110" s="226"/>
      <c r="HP110" s="71"/>
      <c r="HQ110" s="71"/>
      <c r="HR110" s="345"/>
      <c r="HS110" s="71"/>
      <c r="HT110" s="226"/>
      <c r="HU110" s="71"/>
      <c r="HV110" s="71"/>
      <c r="HW110" s="345"/>
      <c r="HX110" s="71"/>
      <c r="HY110" s="226"/>
      <c r="HZ110" s="71"/>
      <c r="IA110" s="71"/>
      <c r="IB110" s="345"/>
      <c r="IC110" s="71"/>
      <c r="ID110" s="226"/>
      <c r="IE110" s="71"/>
      <c r="IF110" s="71"/>
      <c r="IG110" s="345"/>
      <c r="IH110" s="71"/>
      <c r="II110" s="226"/>
      <c r="IJ110" s="71"/>
      <c r="IK110" s="71"/>
      <c r="IL110" s="345"/>
      <c r="IM110" s="71"/>
      <c r="IN110" s="226"/>
      <c r="IO110" s="71"/>
      <c r="IP110" s="71"/>
      <c r="IQ110" s="345"/>
      <c r="IR110" s="71"/>
      <c r="IS110" s="226"/>
      <c r="IT110" s="71"/>
      <c r="IU110" s="71"/>
      <c r="IV110" s="345"/>
    </row>
    <row r="111" spans="1:256" x14ac:dyDescent="0.2">
      <c r="A111" s="345">
        <v>30894</v>
      </c>
      <c r="B111" s="71"/>
      <c r="C111" s="226"/>
      <c r="D111" s="71"/>
      <c r="E111" s="71"/>
      <c r="F111" s="345"/>
      <c r="G111" s="71"/>
      <c r="H111" s="226"/>
      <c r="I111" s="71"/>
      <c r="J111" s="71"/>
      <c r="K111" s="345"/>
      <c r="L111" s="71"/>
      <c r="M111" s="226"/>
      <c r="N111" s="71"/>
      <c r="O111" s="71"/>
      <c r="P111" s="345"/>
      <c r="Q111" s="71"/>
      <c r="R111" s="226"/>
      <c r="S111" s="71"/>
      <c r="T111" s="71"/>
      <c r="U111" s="345"/>
      <c r="V111" s="71"/>
      <c r="W111" s="226"/>
      <c r="X111" s="71"/>
      <c r="Y111" s="71"/>
      <c r="Z111" s="345"/>
      <c r="AA111" s="71"/>
      <c r="AB111" s="226"/>
      <c r="AC111" s="71"/>
      <c r="AD111" s="71"/>
      <c r="AE111" s="345"/>
      <c r="AF111" s="71"/>
      <c r="AG111" s="226"/>
      <c r="AH111" s="71"/>
      <c r="AI111" s="71"/>
      <c r="AJ111" s="345"/>
      <c r="AK111" s="71"/>
      <c r="AL111" s="226"/>
      <c r="AM111" s="71"/>
      <c r="AN111" s="71"/>
      <c r="AO111" s="345"/>
      <c r="AP111" s="71"/>
      <c r="AQ111" s="226"/>
      <c r="AR111" s="71"/>
      <c r="AS111" s="71"/>
      <c r="AT111" s="345"/>
      <c r="AU111" s="71"/>
      <c r="AV111" s="226"/>
      <c r="AW111" s="71"/>
      <c r="AX111" s="71"/>
      <c r="AY111" s="345"/>
      <c r="AZ111" s="71"/>
      <c r="BA111" s="226"/>
      <c r="BB111" s="71"/>
      <c r="BC111" s="71"/>
      <c r="BD111" s="345"/>
      <c r="BE111" s="71"/>
      <c r="BF111" s="226"/>
      <c r="BG111" s="71"/>
      <c r="BH111" s="71"/>
      <c r="BI111" s="345"/>
      <c r="BJ111" s="71"/>
      <c r="BK111" s="226"/>
      <c r="BL111" s="71"/>
      <c r="BM111" s="71"/>
      <c r="BN111" s="345"/>
      <c r="BO111" s="71"/>
      <c r="BP111" s="226"/>
      <c r="BQ111" s="71"/>
      <c r="BR111" s="71"/>
      <c r="BS111" s="345"/>
      <c r="BT111" s="71"/>
      <c r="BU111" s="226"/>
      <c r="BV111" s="71"/>
      <c r="BW111" s="71"/>
      <c r="BX111" s="345"/>
      <c r="BY111" s="71"/>
      <c r="BZ111" s="226"/>
      <c r="CA111" s="71"/>
      <c r="CB111" s="71"/>
      <c r="CC111" s="345"/>
      <c r="CD111" s="71"/>
      <c r="CE111" s="226"/>
      <c r="CF111" s="71"/>
      <c r="CG111" s="71"/>
      <c r="CH111" s="345"/>
      <c r="CI111" s="71"/>
      <c r="CJ111" s="226"/>
      <c r="CK111" s="71"/>
      <c r="CL111" s="71"/>
      <c r="CM111" s="345"/>
      <c r="CN111" s="71"/>
      <c r="CO111" s="226"/>
      <c r="CP111" s="71"/>
      <c r="CQ111" s="71"/>
      <c r="CR111" s="345"/>
      <c r="CS111" s="71"/>
      <c r="CT111" s="226"/>
      <c r="CU111" s="71"/>
      <c r="CV111" s="71"/>
      <c r="CW111" s="345"/>
      <c r="CX111" s="71"/>
      <c r="CY111" s="226"/>
      <c r="CZ111" s="71"/>
      <c r="DA111" s="71"/>
      <c r="DB111" s="345"/>
      <c r="DC111" s="71"/>
      <c r="DD111" s="226"/>
      <c r="DE111" s="71"/>
      <c r="DF111" s="71"/>
      <c r="DG111" s="345"/>
      <c r="DH111" s="71"/>
      <c r="DI111" s="226"/>
      <c r="DJ111" s="71"/>
      <c r="DK111" s="71"/>
      <c r="DL111" s="345"/>
      <c r="DM111" s="71"/>
      <c r="DN111" s="226"/>
      <c r="DO111" s="71"/>
      <c r="DP111" s="71"/>
      <c r="DQ111" s="345"/>
      <c r="DR111" s="71"/>
      <c r="DS111" s="226"/>
      <c r="DT111" s="71"/>
      <c r="DU111" s="71"/>
      <c r="DV111" s="345"/>
      <c r="DW111" s="71"/>
      <c r="DX111" s="226"/>
      <c r="DY111" s="71"/>
      <c r="DZ111" s="71"/>
      <c r="EA111" s="345"/>
      <c r="EB111" s="71"/>
      <c r="EC111" s="226"/>
      <c r="ED111" s="71"/>
      <c r="EE111" s="71"/>
      <c r="EF111" s="345"/>
      <c r="EG111" s="71"/>
      <c r="EH111" s="226"/>
      <c r="EI111" s="71"/>
      <c r="EJ111" s="71"/>
      <c r="EK111" s="345"/>
      <c r="EL111" s="71"/>
      <c r="EM111" s="226"/>
      <c r="EN111" s="71"/>
      <c r="EO111" s="71"/>
      <c r="EP111" s="345"/>
      <c r="EQ111" s="71"/>
      <c r="ER111" s="226"/>
      <c r="ES111" s="71"/>
      <c r="ET111" s="71"/>
      <c r="EU111" s="345"/>
      <c r="EV111" s="71"/>
      <c r="EW111" s="226"/>
      <c r="EX111" s="71"/>
      <c r="EY111" s="71"/>
      <c r="EZ111" s="345"/>
      <c r="FA111" s="71"/>
      <c r="FB111" s="226"/>
      <c r="FC111" s="71"/>
      <c r="FD111" s="71"/>
      <c r="FE111" s="345"/>
      <c r="FF111" s="71"/>
      <c r="FG111" s="226"/>
      <c r="FH111" s="71"/>
      <c r="FI111" s="71"/>
      <c r="FJ111" s="345"/>
      <c r="FK111" s="71"/>
      <c r="FL111" s="226"/>
      <c r="FM111" s="71"/>
      <c r="FN111" s="71"/>
      <c r="FO111" s="345"/>
      <c r="FP111" s="71"/>
      <c r="FQ111" s="226"/>
      <c r="FR111" s="71"/>
      <c r="FS111" s="71"/>
      <c r="FT111" s="345"/>
      <c r="FU111" s="71"/>
      <c r="FV111" s="226"/>
      <c r="FW111" s="71"/>
      <c r="FX111" s="71"/>
      <c r="FY111" s="345"/>
      <c r="FZ111" s="71"/>
      <c r="GA111" s="226"/>
      <c r="GB111" s="71"/>
      <c r="GC111" s="71"/>
      <c r="GD111" s="345"/>
      <c r="GE111" s="71"/>
      <c r="GF111" s="226"/>
      <c r="GG111" s="71"/>
      <c r="GH111" s="71"/>
      <c r="GI111" s="345"/>
      <c r="GJ111" s="71"/>
      <c r="GK111" s="226"/>
      <c r="GL111" s="71"/>
      <c r="GM111" s="71"/>
      <c r="GN111" s="345"/>
      <c r="GO111" s="71"/>
      <c r="GP111" s="226"/>
      <c r="GQ111" s="71"/>
      <c r="GR111" s="71"/>
      <c r="GS111" s="345"/>
      <c r="GT111" s="71"/>
      <c r="GU111" s="226"/>
      <c r="GV111" s="71"/>
      <c r="GW111" s="71"/>
      <c r="GX111" s="345"/>
      <c r="GY111" s="71"/>
      <c r="GZ111" s="226"/>
      <c r="HA111" s="71"/>
      <c r="HB111" s="71"/>
      <c r="HC111" s="345"/>
      <c r="HD111" s="71"/>
      <c r="HE111" s="226"/>
      <c r="HF111" s="71"/>
      <c r="HG111" s="71"/>
      <c r="HH111" s="345"/>
      <c r="HI111" s="71"/>
      <c r="HJ111" s="226"/>
      <c r="HK111" s="71"/>
      <c r="HL111" s="71"/>
      <c r="HM111" s="345"/>
      <c r="HN111" s="71"/>
      <c r="HO111" s="226"/>
      <c r="HP111" s="71"/>
      <c r="HQ111" s="71"/>
      <c r="HR111" s="345"/>
      <c r="HS111" s="71"/>
      <c r="HT111" s="226"/>
      <c r="HU111" s="71"/>
      <c r="HV111" s="71"/>
      <c r="HW111" s="345"/>
      <c r="HX111" s="71"/>
      <c r="HY111" s="226"/>
      <c r="HZ111" s="71"/>
      <c r="IA111" s="71"/>
      <c r="IB111" s="345"/>
      <c r="IC111" s="71"/>
      <c r="ID111" s="226"/>
      <c r="IE111" s="71"/>
      <c r="IF111" s="71"/>
      <c r="IG111" s="345"/>
      <c r="IH111" s="71"/>
      <c r="II111" s="226"/>
      <c r="IJ111" s="71"/>
      <c r="IK111" s="71"/>
      <c r="IL111" s="345"/>
      <c r="IM111" s="71"/>
      <c r="IN111" s="226"/>
      <c r="IO111" s="71"/>
      <c r="IP111" s="71"/>
      <c r="IQ111" s="345"/>
      <c r="IR111" s="71"/>
      <c r="IS111" s="226"/>
      <c r="IT111" s="71"/>
      <c r="IU111" s="71"/>
      <c r="IV111" s="345"/>
    </row>
    <row r="112" spans="1:256" x14ac:dyDescent="0.2">
      <c r="A112" s="345">
        <v>30925</v>
      </c>
      <c r="B112" s="71"/>
      <c r="C112" s="226"/>
      <c r="D112" s="71"/>
      <c r="E112" s="71"/>
      <c r="F112" s="345"/>
      <c r="G112" s="71"/>
      <c r="H112" s="226"/>
      <c r="I112" s="71"/>
      <c r="J112" s="71"/>
      <c r="K112" s="345"/>
      <c r="L112" s="71"/>
      <c r="M112" s="226"/>
      <c r="N112" s="71"/>
      <c r="O112" s="71"/>
      <c r="P112" s="345"/>
      <c r="Q112" s="71"/>
      <c r="R112" s="226"/>
      <c r="S112" s="71"/>
      <c r="T112" s="71"/>
      <c r="U112" s="345"/>
      <c r="V112" s="71"/>
      <c r="W112" s="226"/>
      <c r="X112" s="71"/>
      <c r="Y112" s="71"/>
      <c r="Z112" s="345"/>
      <c r="AA112" s="71"/>
      <c r="AB112" s="226"/>
      <c r="AC112" s="71"/>
      <c r="AD112" s="71"/>
      <c r="AE112" s="345"/>
      <c r="AF112" s="71"/>
      <c r="AG112" s="226"/>
      <c r="AH112" s="71"/>
      <c r="AI112" s="71"/>
      <c r="AJ112" s="345"/>
      <c r="AK112" s="71"/>
      <c r="AL112" s="226"/>
      <c r="AM112" s="71"/>
      <c r="AN112" s="71"/>
      <c r="AO112" s="345"/>
      <c r="AP112" s="71"/>
      <c r="AQ112" s="226"/>
      <c r="AR112" s="71"/>
      <c r="AS112" s="71"/>
      <c r="AT112" s="345"/>
      <c r="AU112" s="71"/>
      <c r="AV112" s="226"/>
      <c r="AW112" s="71"/>
      <c r="AX112" s="71"/>
      <c r="AY112" s="345"/>
      <c r="AZ112" s="71"/>
      <c r="BA112" s="226"/>
      <c r="BB112" s="71"/>
      <c r="BC112" s="71"/>
      <c r="BD112" s="345"/>
      <c r="BE112" s="71"/>
      <c r="BF112" s="226"/>
      <c r="BG112" s="71"/>
      <c r="BH112" s="71"/>
      <c r="BI112" s="345"/>
      <c r="BJ112" s="71"/>
      <c r="BK112" s="226"/>
      <c r="BL112" s="71"/>
      <c r="BM112" s="71"/>
      <c r="BN112" s="345"/>
      <c r="BO112" s="71"/>
      <c r="BP112" s="226"/>
      <c r="BQ112" s="71"/>
      <c r="BR112" s="71"/>
      <c r="BS112" s="345"/>
      <c r="BT112" s="71"/>
      <c r="BU112" s="226"/>
      <c r="BV112" s="71"/>
      <c r="BW112" s="71"/>
      <c r="BX112" s="345"/>
      <c r="BY112" s="71"/>
      <c r="BZ112" s="226"/>
      <c r="CA112" s="71"/>
      <c r="CB112" s="71"/>
      <c r="CC112" s="345"/>
      <c r="CD112" s="71"/>
      <c r="CE112" s="226"/>
      <c r="CF112" s="71"/>
      <c r="CG112" s="71"/>
      <c r="CH112" s="345"/>
      <c r="CI112" s="71"/>
      <c r="CJ112" s="226"/>
      <c r="CK112" s="71"/>
      <c r="CL112" s="71"/>
      <c r="CM112" s="345"/>
      <c r="CN112" s="71"/>
      <c r="CO112" s="226"/>
      <c r="CP112" s="71"/>
      <c r="CQ112" s="71"/>
      <c r="CR112" s="345"/>
      <c r="CS112" s="71"/>
      <c r="CT112" s="226"/>
      <c r="CU112" s="71"/>
      <c r="CV112" s="71"/>
      <c r="CW112" s="345"/>
      <c r="CX112" s="71"/>
      <c r="CY112" s="226"/>
      <c r="CZ112" s="71"/>
      <c r="DA112" s="71"/>
      <c r="DB112" s="345"/>
      <c r="DC112" s="71"/>
      <c r="DD112" s="226"/>
      <c r="DE112" s="71"/>
      <c r="DF112" s="71"/>
      <c r="DG112" s="345"/>
      <c r="DH112" s="71"/>
      <c r="DI112" s="226"/>
      <c r="DJ112" s="71"/>
      <c r="DK112" s="71"/>
      <c r="DL112" s="345"/>
      <c r="DM112" s="71"/>
      <c r="DN112" s="226"/>
      <c r="DO112" s="71"/>
      <c r="DP112" s="71"/>
      <c r="DQ112" s="345"/>
      <c r="DR112" s="71"/>
      <c r="DS112" s="226"/>
      <c r="DT112" s="71"/>
      <c r="DU112" s="71"/>
      <c r="DV112" s="345"/>
      <c r="DW112" s="71"/>
      <c r="DX112" s="226"/>
      <c r="DY112" s="71"/>
      <c r="DZ112" s="71"/>
      <c r="EA112" s="345"/>
      <c r="EB112" s="71"/>
      <c r="EC112" s="226"/>
      <c r="ED112" s="71"/>
      <c r="EE112" s="71"/>
      <c r="EF112" s="345"/>
      <c r="EG112" s="71"/>
      <c r="EH112" s="226"/>
      <c r="EI112" s="71"/>
      <c r="EJ112" s="71"/>
      <c r="EK112" s="345"/>
      <c r="EL112" s="71"/>
      <c r="EM112" s="226"/>
      <c r="EN112" s="71"/>
      <c r="EO112" s="71"/>
      <c r="EP112" s="345"/>
      <c r="EQ112" s="71"/>
      <c r="ER112" s="226"/>
      <c r="ES112" s="71"/>
      <c r="ET112" s="71"/>
      <c r="EU112" s="345"/>
      <c r="EV112" s="71"/>
      <c r="EW112" s="226"/>
      <c r="EX112" s="71"/>
      <c r="EY112" s="71"/>
      <c r="EZ112" s="345"/>
      <c r="FA112" s="71"/>
      <c r="FB112" s="226"/>
      <c r="FC112" s="71"/>
      <c r="FD112" s="71"/>
      <c r="FE112" s="345"/>
      <c r="FF112" s="71"/>
      <c r="FG112" s="226"/>
      <c r="FH112" s="71"/>
      <c r="FI112" s="71"/>
      <c r="FJ112" s="345"/>
      <c r="FK112" s="71"/>
      <c r="FL112" s="226"/>
      <c r="FM112" s="71"/>
      <c r="FN112" s="71"/>
      <c r="FO112" s="345"/>
      <c r="FP112" s="71"/>
      <c r="FQ112" s="226"/>
      <c r="FR112" s="71"/>
      <c r="FS112" s="71"/>
      <c r="FT112" s="345"/>
      <c r="FU112" s="71"/>
      <c r="FV112" s="226"/>
      <c r="FW112" s="71"/>
      <c r="FX112" s="71"/>
      <c r="FY112" s="345"/>
      <c r="FZ112" s="71"/>
      <c r="GA112" s="226"/>
      <c r="GB112" s="71"/>
      <c r="GC112" s="71"/>
      <c r="GD112" s="345"/>
      <c r="GE112" s="71"/>
      <c r="GF112" s="226"/>
      <c r="GG112" s="71"/>
      <c r="GH112" s="71"/>
      <c r="GI112" s="345"/>
      <c r="GJ112" s="71"/>
      <c r="GK112" s="226"/>
      <c r="GL112" s="71"/>
      <c r="GM112" s="71"/>
      <c r="GN112" s="345"/>
      <c r="GO112" s="71"/>
      <c r="GP112" s="226"/>
      <c r="GQ112" s="71"/>
      <c r="GR112" s="71"/>
      <c r="GS112" s="345"/>
      <c r="GT112" s="71"/>
      <c r="GU112" s="226"/>
      <c r="GV112" s="71"/>
      <c r="GW112" s="71"/>
      <c r="GX112" s="345"/>
      <c r="GY112" s="71"/>
      <c r="GZ112" s="226"/>
      <c r="HA112" s="71"/>
      <c r="HB112" s="71"/>
      <c r="HC112" s="345"/>
      <c r="HD112" s="71"/>
      <c r="HE112" s="226"/>
      <c r="HF112" s="71"/>
      <c r="HG112" s="71"/>
      <c r="HH112" s="345"/>
      <c r="HI112" s="71"/>
      <c r="HJ112" s="226"/>
      <c r="HK112" s="71"/>
      <c r="HL112" s="71"/>
      <c r="HM112" s="345"/>
      <c r="HN112" s="71"/>
      <c r="HO112" s="226"/>
      <c r="HP112" s="71"/>
      <c r="HQ112" s="71"/>
      <c r="HR112" s="345"/>
      <c r="HS112" s="71"/>
      <c r="HT112" s="226"/>
      <c r="HU112" s="71"/>
      <c r="HV112" s="71"/>
      <c r="HW112" s="345"/>
      <c r="HX112" s="71"/>
      <c r="HY112" s="226"/>
      <c r="HZ112" s="71"/>
      <c r="IA112" s="71"/>
      <c r="IB112" s="345"/>
      <c r="IC112" s="71"/>
      <c r="ID112" s="226"/>
      <c r="IE112" s="71"/>
      <c r="IF112" s="71"/>
      <c r="IG112" s="345"/>
      <c r="IH112" s="71"/>
      <c r="II112" s="226"/>
      <c r="IJ112" s="71"/>
      <c r="IK112" s="71"/>
      <c r="IL112" s="345"/>
      <c r="IM112" s="71"/>
      <c r="IN112" s="226"/>
      <c r="IO112" s="71"/>
      <c r="IP112" s="71"/>
      <c r="IQ112" s="345"/>
      <c r="IR112" s="71"/>
      <c r="IS112" s="226"/>
      <c r="IT112" s="71"/>
      <c r="IU112" s="71"/>
      <c r="IV112" s="345"/>
    </row>
    <row r="113" spans="1:256" x14ac:dyDescent="0.2">
      <c r="A113" s="345">
        <v>30955</v>
      </c>
      <c r="B113" s="71"/>
      <c r="C113" s="226"/>
      <c r="D113" s="71"/>
      <c r="E113" s="71"/>
      <c r="F113" s="345"/>
      <c r="G113" s="71"/>
      <c r="H113" s="226"/>
      <c r="I113" s="71"/>
      <c r="J113" s="71"/>
      <c r="K113" s="345"/>
      <c r="L113" s="71"/>
      <c r="M113" s="226"/>
      <c r="N113" s="71"/>
      <c r="O113" s="71"/>
      <c r="P113" s="345"/>
      <c r="Q113" s="71"/>
      <c r="R113" s="226"/>
      <c r="S113" s="71"/>
      <c r="T113" s="71"/>
      <c r="U113" s="345"/>
      <c r="V113" s="71"/>
      <c r="W113" s="226"/>
      <c r="X113" s="71"/>
      <c r="Y113" s="71"/>
      <c r="Z113" s="345"/>
      <c r="AA113" s="71"/>
      <c r="AB113" s="226"/>
      <c r="AC113" s="71"/>
      <c r="AD113" s="71"/>
      <c r="AE113" s="345"/>
      <c r="AF113" s="71"/>
      <c r="AG113" s="226"/>
      <c r="AH113" s="71"/>
      <c r="AI113" s="71"/>
      <c r="AJ113" s="345"/>
      <c r="AK113" s="71"/>
      <c r="AL113" s="226"/>
      <c r="AM113" s="71"/>
      <c r="AN113" s="71"/>
      <c r="AO113" s="345"/>
      <c r="AP113" s="71"/>
      <c r="AQ113" s="226"/>
      <c r="AR113" s="71"/>
      <c r="AS113" s="71"/>
      <c r="AT113" s="345"/>
      <c r="AU113" s="71"/>
      <c r="AV113" s="226"/>
      <c r="AW113" s="71"/>
      <c r="AX113" s="71"/>
      <c r="AY113" s="345"/>
      <c r="AZ113" s="71"/>
      <c r="BA113" s="226"/>
      <c r="BB113" s="71"/>
      <c r="BC113" s="71"/>
      <c r="BD113" s="345"/>
      <c r="BE113" s="71"/>
      <c r="BF113" s="226"/>
      <c r="BG113" s="71"/>
      <c r="BH113" s="71"/>
      <c r="BI113" s="345"/>
      <c r="BJ113" s="71"/>
      <c r="BK113" s="226"/>
      <c r="BL113" s="71"/>
      <c r="BM113" s="71"/>
      <c r="BN113" s="345"/>
      <c r="BO113" s="71"/>
      <c r="BP113" s="226"/>
      <c r="BQ113" s="71"/>
      <c r="BR113" s="71"/>
      <c r="BS113" s="345"/>
      <c r="BT113" s="71"/>
      <c r="BU113" s="226"/>
      <c r="BV113" s="71"/>
      <c r="BW113" s="71"/>
      <c r="BX113" s="345"/>
      <c r="BY113" s="71"/>
      <c r="BZ113" s="226"/>
      <c r="CA113" s="71"/>
      <c r="CB113" s="71"/>
      <c r="CC113" s="345"/>
      <c r="CD113" s="71"/>
      <c r="CE113" s="226"/>
      <c r="CF113" s="71"/>
      <c r="CG113" s="71"/>
      <c r="CH113" s="345"/>
      <c r="CI113" s="71"/>
      <c r="CJ113" s="226"/>
      <c r="CK113" s="71"/>
      <c r="CL113" s="71"/>
      <c r="CM113" s="345"/>
      <c r="CN113" s="71"/>
      <c r="CO113" s="226"/>
      <c r="CP113" s="71"/>
      <c r="CQ113" s="71"/>
      <c r="CR113" s="345"/>
      <c r="CS113" s="71"/>
      <c r="CT113" s="226"/>
      <c r="CU113" s="71"/>
      <c r="CV113" s="71"/>
      <c r="CW113" s="345"/>
      <c r="CX113" s="71"/>
      <c r="CY113" s="226"/>
      <c r="CZ113" s="71"/>
      <c r="DA113" s="71"/>
      <c r="DB113" s="345"/>
      <c r="DC113" s="71"/>
      <c r="DD113" s="226"/>
      <c r="DE113" s="71"/>
      <c r="DF113" s="71"/>
      <c r="DG113" s="345"/>
      <c r="DH113" s="71"/>
      <c r="DI113" s="226"/>
      <c r="DJ113" s="71"/>
      <c r="DK113" s="71"/>
      <c r="DL113" s="345"/>
      <c r="DM113" s="71"/>
      <c r="DN113" s="226"/>
      <c r="DO113" s="71"/>
      <c r="DP113" s="71"/>
      <c r="DQ113" s="345"/>
      <c r="DR113" s="71"/>
      <c r="DS113" s="226"/>
      <c r="DT113" s="71"/>
      <c r="DU113" s="71"/>
      <c r="DV113" s="345"/>
      <c r="DW113" s="71"/>
      <c r="DX113" s="226"/>
      <c r="DY113" s="71"/>
      <c r="DZ113" s="71"/>
      <c r="EA113" s="345"/>
      <c r="EB113" s="71"/>
      <c r="EC113" s="226"/>
      <c r="ED113" s="71"/>
      <c r="EE113" s="71"/>
      <c r="EF113" s="345"/>
      <c r="EG113" s="71"/>
      <c r="EH113" s="226"/>
      <c r="EI113" s="71"/>
      <c r="EJ113" s="71"/>
      <c r="EK113" s="345"/>
      <c r="EL113" s="71"/>
      <c r="EM113" s="226"/>
      <c r="EN113" s="71"/>
      <c r="EO113" s="71"/>
      <c r="EP113" s="345"/>
      <c r="EQ113" s="71"/>
      <c r="ER113" s="226"/>
      <c r="ES113" s="71"/>
      <c r="ET113" s="71"/>
      <c r="EU113" s="345"/>
      <c r="EV113" s="71"/>
      <c r="EW113" s="226"/>
      <c r="EX113" s="71"/>
      <c r="EY113" s="71"/>
      <c r="EZ113" s="345"/>
      <c r="FA113" s="71"/>
      <c r="FB113" s="226"/>
      <c r="FC113" s="71"/>
      <c r="FD113" s="71"/>
      <c r="FE113" s="345"/>
      <c r="FF113" s="71"/>
      <c r="FG113" s="226"/>
      <c r="FH113" s="71"/>
      <c r="FI113" s="71"/>
      <c r="FJ113" s="345"/>
      <c r="FK113" s="71"/>
      <c r="FL113" s="226"/>
      <c r="FM113" s="71"/>
      <c r="FN113" s="71"/>
      <c r="FO113" s="345"/>
      <c r="FP113" s="71"/>
      <c r="FQ113" s="226"/>
      <c r="FR113" s="71"/>
      <c r="FS113" s="71"/>
      <c r="FT113" s="345"/>
      <c r="FU113" s="71"/>
      <c r="FV113" s="226"/>
      <c r="FW113" s="71"/>
      <c r="FX113" s="71"/>
      <c r="FY113" s="345"/>
      <c r="FZ113" s="71"/>
      <c r="GA113" s="226"/>
      <c r="GB113" s="71"/>
      <c r="GC113" s="71"/>
      <c r="GD113" s="345"/>
      <c r="GE113" s="71"/>
      <c r="GF113" s="226"/>
      <c r="GG113" s="71"/>
      <c r="GH113" s="71"/>
      <c r="GI113" s="345"/>
      <c r="GJ113" s="71"/>
      <c r="GK113" s="226"/>
      <c r="GL113" s="71"/>
      <c r="GM113" s="71"/>
      <c r="GN113" s="345"/>
      <c r="GO113" s="71"/>
      <c r="GP113" s="226"/>
      <c r="GQ113" s="71"/>
      <c r="GR113" s="71"/>
      <c r="GS113" s="345"/>
      <c r="GT113" s="71"/>
      <c r="GU113" s="226"/>
      <c r="GV113" s="71"/>
      <c r="GW113" s="71"/>
      <c r="GX113" s="345"/>
      <c r="GY113" s="71"/>
      <c r="GZ113" s="226"/>
      <c r="HA113" s="71"/>
      <c r="HB113" s="71"/>
      <c r="HC113" s="345"/>
      <c r="HD113" s="71"/>
      <c r="HE113" s="226"/>
      <c r="HF113" s="71"/>
      <c r="HG113" s="71"/>
      <c r="HH113" s="345"/>
      <c r="HI113" s="71"/>
      <c r="HJ113" s="226"/>
      <c r="HK113" s="71"/>
      <c r="HL113" s="71"/>
      <c r="HM113" s="345"/>
      <c r="HN113" s="71"/>
      <c r="HO113" s="226"/>
      <c r="HP113" s="71"/>
      <c r="HQ113" s="71"/>
      <c r="HR113" s="345"/>
      <c r="HS113" s="71"/>
      <c r="HT113" s="226"/>
      <c r="HU113" s="71"/>
      <c r="HV113" s="71"/>
      <c r="HW113" s="345"/>
      <c r="HX113" s="71"/>
      <c r="HY113" s="226"/>
      <c r="HZ113" s="71"/>
      <c r="IA113" s="71"/>
      <c r="IB113" s="345"/>
      <c r="IC113" s="71"/>
      <c r="ID113" s="226"/>
      <c r="IE113" s="71"/>
      <c r="IF113" s="71"/>
      <c r="IG113" s="345"/>
      <c r="IH113" s="71"/>
      <c r="II113" s="226"/>
      <c r="IJ113" s="71"/>
      <c r="IK113" s="71"/>
      <c r="IL113" s="345"/>
      <c r="IM113" s="71"/>
      <c r="IN113" s="226"/>
      <c r="IO113" s="71"/>
      <c r="IP113" s="71"/>
      <c r="IQ113" s="345"/>
      <c r="IR113" s="71"/>
      <c r="IS113" s="226"/>
      <c r="IT113" s="71"/>
      <c r="IU113" s="71"/>
      <c r="IV113" s="345"/>
    </row>
    <row r="114" spans="1:256" x14ac:dyDescent="0.2">
      <c r="A114" s="345">
        <v>30986</v>
      </c>
      <c r="B114" s="71"/>
      <c r="C114" s="226"/>
      <c r="D114" s="71"/>
      <c r="E114" s="71"/>
      <c r="F114" s="345"/>
      <c r="G114" s="71"/>
      <c r="H114" s="226"/>
      <c r="I114" s="71"/>
      <c r="J114" s="71"/>
      <c r="K114" s="345"/>
      <c r="L114" s="71"/>
      <c r="M114" s="226"/>
      <c r="N114" s="71"/>
      <c r="O114" s="71"/>
      <c r="P114" s="345"/>
      <c r="Q114" s="71"/>
      <c r="R114" s="226"/>
      <c r="S114" s="71"/>
      <c r="T114" s="71"/>
      <c r="U114" s="345"/>
      <c r="V114" s="71"/>
      <c r="W114" s="226"/>
      <c r="X114" s="71"/>
      <c r="Y114" s="71"/>
      <c r="Z114" s="345"/>
      <c r="AA114" s="71"/>
      <c r="AB114" s="226"/>
      <c r="AC114" s="71"/>
      <c r="AD114" s="71"/>
      <c r="AE114" s="345"/>
      <c r="AF114" s="71"/>
      <c r="AG114" s="226"/>
      <c r="AH114" s="71"/>
      <c r="AI114" s="71"/>
      <c r="AJ114" s="345"/>
      <c r="AK114" s="71"/>
      <c r="AL114" s="226"/>
      <c r="AM114" s="71"/>
      <c r="AN114" s="71"/>
      <c r="AO114" s="345"/>
      <c r="AP114" s="71"/>
      <c r="AQ114" s="226"/>
      <c r="AR114" s="71"/>
      <c r="AS114" s="71"/>
      <c r="AT114" s="345"/>
      <c r="AU114" s="71"/>
      <c r="AV114" s="226"/>
      <c r="AW114" s="71"/>
      <c r="AX114" s="71"/>
      <c r="AY114" s="345"/>
      <c r="AZ114" s="71"/>
      <c r="BA114" s="226"/>
      <c r="BB114" s="71"/>
      <c r="BC114" s="71"/>
      <c r="BD114" s="345"/>
      <c r="BE114" s="71"/>
      <c r="BF114" s="226"/>
      <c r="BG114" s="71"/>
      <c r="BH114" s="71"/>
      <c r="BI114" s="345"/>
      <c r="BJ114" s="71"/>
      <c r="BK114" s="226"/>
      <c r="BL114" s="71"/>
      <c r="BM114" s="71"/>
      <c r="BN114" s="345"/>
      <c r="BO114" s="71"/>
      <c r="BP114" s="226"/>
      <c r="BQ114" s="71"/>
      <c r="BR114" s="71"/>
      <c r="BS114" s="345"/>
      <c r="BT114" s="71"/>
      <c r="BU114" s="226"/>
      <c r="BV114" s="71"/>
      <c r="BW114" s="71"/>
      <c r="BX114" s="345"/>
      <c r="BY114" s="71"/>
      <c r="BZ114" s="226"/>
      <c r="CA114" s="71"/>
      <c r="CB114" s="71"/>
      <c r="CC114" s="345"/>
      <c r="CD114" s="71"/>
      <c r="CE114" s="226"/>
      <c r="CF114" s="71"/>
      <c r="CG114" s="71"/>
      <c r="CH114" s="345"/>
      <c r="CI114" s="71"/>
      <c r="CJ114" s="226"/>
      <c r="CK114" s="71"/>
      <c r="CL114" s="71"/>
      <c r="CM114" s="345"/>
      <c r="CN114" s="71"/>
      <c r="CO114" s="226"/>
      <c r="CP114" s="71"/>
      <c r="CQ114" s="71"/>
      <c r="CR114" s="345"/>
      <c r="CS114" s="71"/>
      <c r="CT114" s="226"/>
      <c r="CU114" s="71"/>
      <c r="CV114" s="71"/>
      <c r="CW114" s="345"/>
      <c r="CX114" s="71"/>
      <c r="CY114" s="226"/>
      <c r="CZ114" s="71"/>
      <c r="DA114" s="71"/>
      <c r="DB114" s="345"/>
      <c r="DC114" s="71"/>
      <c r="DD114" s="226"/>
      <c r="DE114" s="71"/>
      <c r="DF114" s="71"/>
      <c r="DG114" s="345"/>
      <c r="DH114" s="71"/>
      <c r="DI114" s="226"/>
      <c r="DJ114" s="71"/>
      <c r="DK114" s="71"/>
      <c r="DL114" s="345"/>
      <c r="DM114" s="71"/>
      <c r="DN114" s="226"/>
      <c r="DO114" s="71"/>
      <c r="DP114" s="71"/>
      <c r="DQ114" s="345"/>
      <c r="DR114" s="71"/>
      <c r="DS114" s="226"/>
      <c r="DT114" s="71"/>
      <c r="DU114" s="71"/>
      <c r="DV114" s="345"/>
      <c r="DW114" s="71"/>
      <c r="DX114" s="226"/>
      <c r="DY114" s="71"/>
      <c r="DZ114" s="71"/>
      <c r="EA114" s="345"/>
      <c r="EB114" s="71"/>
      <c r="EC114" s="226"/>
      <c r="ED114" s="71"/>
      <c r="EE114" s="71"/>
      <c r="EF114" s="345"/>
      <c r="EG114" s="71"/>
      <c r="EH114" s="226"/>
      <c r="EI114" s="71"/>
      <c r="EJ114" s="71"/>
      <c r="EK114" s="345"/>
      <c r="EL114" s="71"/>
      <c r="EM114" s="226"/>
      <c r="EN114" s="71"/>
      <c r="EO114" s="71"/>
      <c r="EP114" s="345"/>
      <c r="EQ114" s="71"/>
      <c r="ER114" s="226"/>
      <c r="ES114" s="71"/>
      <c r="ET114" s="71"/>
      <c r="EU114" s="345"/>
      <c r="EV114" s="71"/>
      <c r="EW114" s="226"/>
      <c r="EX114" s="71"/>
      <c r="EY114" s="71"/>
      <c r="EZ114" s="345"/>
      <c r="FA114" s="71"/>
      <c r="FB114" s="226"/>
      <c r="FC114" s="71"/>
      <c r="FD114" s="71"/>
      <c r="FE114" s="345"/>
      <c r="FF114" s="71"/>
      <c r="FG114" s="226"/>
      <c r="FH114" s="71"/>
      <c r="FI114" s="71"/>
      <c r="FJ114" s="345"/>
      <c r="FK114" s="71"/>
      <c r="FL114" s="226"/>
      <c r="FM114" s="71"/>
      <c r="FN114" s="71"/>
      <c r="FO114" s="345"/>
      <c r="FP114" s="71"/>
      <c r="FQ114" s="226"/>
      <c r="FR114" s="71"/>
      <c r="FS114" s="71"/>
      <c r="FT114" s="345"/>
      <c r="FU114" s="71"/>
      <c r="FV114" s="226"/>
      <c r="FW114" s="71"/>
      <c r="FX114" s="71"/>
      <c r="FY114" s="345"/>
      <c r="FZ114" s="71"/>
      <c r="GA114" s="226"/>
      <c r="GB114" s="71"/>
      <c r="GC114" s="71"/>
      <c r="GD114" s="345"/>
      <c r="GE114" s="71"/>
      <c r="GF114" s="226"/>
      <c r="GG114" s="71"/>
      <c r="GH114" s="71"/>
      <c r="GI114" s="345"/>
      <c r="GJ114" s="71"/>
      <c r="GK114" s="226"/>
      <c r="GL114" s="71"/>
      <c r="GM114" s="71"/>
      <c r="GN114" s="345"/>
      <c r="GO114" s="71"/>
      <c r="GP114" s="226"/>
      <c r="GQ114" s="71"/>
      <c r="GR114" s="71"/>
      <c r="GS114" s="345"/>
      <c r="GT114" s="71"/>
      <c r="GU114" s="226"/>
      <c r="GV114" s="71"/>
      <c r="GW114" s="71"/>
      <c r="GX114" s="345"/>
      <c r="GY114" s="71"/>
      <c r="GZ114" s="226"/>
      <c r="HA114" s="71"/>
      <c r="HB114" s="71"/>
      <c r="HC114" s="345"/>
      <c r="HD114" s="71"/>
      <c r="HE114" s="226"/>
      <c r="HF114" s="71"/>
      <c r="HG114" s="71"/>
      <c r="HH114" s="345"/>
      <c r="HI114" s="71"/>
      <c r="HJ114" s="226"/>
      <c r="HK114" s="71"/>
      <c r="HL114" s="71"/>
      <c r="HM114" s="345"/>
      <c r="HN114" s="71"/>
      <c r="HO114" s="226"/>
      <c r="HP114" s="71"/>
      <c r="HQ114" s="71"/>
      <c r="HR114" s="345"/>
      <c r="HS114" s="71"/>
      <c r="HT114" s="226"/>
      <c r="HU114" s="71"/>
      <c r="HV114" s="71"/>
      <c r="HW114" s="345"/>
      <c r="HX114" s="71"/>
      <c r="HY114" s="226"/>
      <c r="HZ114" s="71"/>
      <c r="IA114" s="71"/>
      <c r="IB114" s="345"/>
      <c r="IC114" s="71"/>
      <c r="ID114" s="226"/>
      <c r="IE114" s="71"/>
      <c r="IF114" s="71"/>
      <c r="IG114" s="345"/>
      <c r="IH114" s="71"/>
      <c r="II114" s="226"/>
      <c r="IJ114" s="71"/>
      <c r="IK114" s="71"/>
      <c r="IL114" s="345"/>
      <c r="IM114" s="71"/>
      <c r="IN114" s="226"/>
      <c r="IO114" s="71"/>
      <c r="IP114" s="71"/>
      <c r="IQ114" s="345"/>
      <c r="IR114" s="71"/>
      <c r="IS114" s="226"/>
      <c r="IT114" s="71"/>
      <c r="IU114" s="71"/>
      <c r="IV114" s="345"/>
    </row>
    <row r="115" spans="1:256" x14ac:dyDescent="0.2">
      <c r="A115" s="345">
        <v>31016</v>
      </c>
      <c r="B115" s="71"/>
      <c r="C115" s="226"/>
      <c r="D115" s="71"/>
      <c r="E115" s="71"/>
      <c r="F115" s="345"/>
      <c r="G115" s="71"/>
      <c r="H115" s="226"/>
      <c r="I115" s="71"/>
      <c r="J115" s="71"/>
      <c r="K115" s="345"/>
      <c r="L115" s="71"/>
      <c r="M115" s="226"/>
      <c r="N115" s="71"/>
      <c r="O115" s="71"/>
      <c r="P115" s="345"/>
      <c r="Q115" s="71"/>
      <c r="R115" s="226"/>
      <c r="S115" s="71"/>
      <c r="T115" s="71"/>
      <c r="U115" s="345"/>
      <c r="V115" s="71"/>
      <c r="W115" s="226"/>
      <c r="X115" s="71"/>
      <c r="Y115" s="71"/>
      <c r="Z115" s="345"/>
      <c r="AA115" s="71"/>
      <c r="AB115" s="226"/>
      <c r="AC115" s="71"/>
      <c r="AD115" s="71"/>
      <c r="AE115" s="345"/>
      <c r="AF115" s="71"/>
      <c r="AG115" s="226"/>
      <c r="AH115" s="71"/>
      <c r="AI115" s="71"/>
      <c r="AJ115" s="345"/>
      <c r="AK115" s="71"/>
      <c r="AL115" s="226"/>
      <c r="AM115" s="71"/>
      <c r="AN115" s="71"/>
      <c r="AO115" s="345"/>
      <c r="AP115" s="71"/>
      <c r="AQ115" s="226"/>
      <c r="AR115" s="71"/>
      <c r="AS115" s="71"/>
      <c r="AT115" s="345"/>
      <c r="AU115" s="71"/>
      <c r="AV115" s="226"/>
      <c r="AW115" s="71"/>
      <c r="AX115" s="71"/>
      <c r="AY115" s="345"/>
      <c r="AZ115" s="71"/>
      <c r="BA115" s="226"/>
      <c r="BB115" s="71"/>
      <c r="BC115" s="71"/>
      <c r="BD115" s="345"/>
      <c r="BE115" s="71"/>
      <c r="BF115" s="226"/>
      <c r="BG115" s="71"/>
      <c r="BH115" s="71"/>
      <c r="BI115" s="345"/>
      <c r="BJ115" s="71"/>
      <c r="BK115" s="226"/>
      <c r="BL115" s="71"/>
      <c r="BM115" s="71"/>
      <c r="BN115" s="345"/>
      <c r="BO115" s="71"/>
      <c r="BP115" s="226"/>
      <c r="BQ115" s="71"/>
      <c r="BR115" s="71"/>
      <c r="BS115" s="345"/>
      <c r="BT115" s="71"/>
      <c r="BU115" s="226"/>
      <c r="BV115" s="71"/>
      <c r="BW115" s="71"/>
      <c r="BX115" s="345"/>
      <c r="BY115" s="71"/>
      <c r="BZ115" s="226"/>
      <c r="CA115" s="71"/>
      <c r="CB115" s="71"/>
      <c r="CC115" s="345"/>
      <c r="CD115" s="71"/>
      <c r="CE115" s="226"/>
      <c r="CF115" s="71"/>
      <c r="CG115" s="71"/>
      <c r="CH115" s="345"/>
      <c r="CI115" s="71"/>
      <c r="CJ115" s="226"/>
      <c r="CK115" s="71"/>
      <c r="CL115" s="71"/>
      <c r="CM115" s="345"/>
      <c r="CN115" s="71"/>
      <c r="CO115" s="226"/>
      <c r="CP115" s="71"/>
      <c r="CQ115" s="71"/>
      <c r="CR115" s="345"/>
      <c r="CS115" s="71"/>
      <c r="CT115" s="226"/>
      <c r="CU115" s="71"/>
      <c r="CV115" s="71"/>
      <c r="CW115" s="345"/>
      <c r="CX115" s="71"/>
      <c r="CY115" s="226"/>
      <c r="CZ115" s="71"/>
      <c r="DA115" s="71"/>
      <c r="DB115" s="345"/>
      <c r="DC115" s="71"/>
      <c r="DD115" s="226"/>
      <c r="DE115" s="71"/>
      <c r="DF115" s="71"/>
      <c r="DG115" s="345"/>
      <c r="DH115" s="71"/>
      <c r="DI115" s="226"/>
      <c r="DJ115" s="71"/>
      <c r="DK115" s="71"/>
      <c r="DL115" s="345"/>
      <c r="DM115" s="71"/>
      <c r="DN115" s="226"/>
      <c r="DO115" s="71"/>
      <c r="DP115" s="71"/>
      <c r="DQ115" s="345"/>
      <c r="DR115" s="71"/>
      <c r="DS115" s="226"/>
      <c r="DT115" s="71"/>
      <c r="DU115" s="71"/>
      <c r="DV115" s="345"/>
      <c r="DW115" s="71"/>
      <c r="DX115" s="226"/>
      <c r="DY115" s="71"/>
      <c r="DZ115" s="71"/>
      <c r="EA115" s="345"/>
      <c r="EB115" s="71"/>
      <c r="EC115" s="226"/>
      <c r="ED115" s="71"/>
      <c r="EE115" s="71"/>
      <c r="EF115" s="345"/>
      <c r="EG115" s="71"/>
      <c r="EH115" s="226"/>
      <c r="EI115" s="71"/>
      <c r="EJ115" s="71"/>
      <c r="EK115" s="345"/>
      <c r="EL115" s="71"/>
      <c r="EM115" s="226"/>
      <c r="EN115" s="71"/>
      <c r="EO115" s="71"/>
      <c r="EP115" s="345"/>
      <c r="EQ115" s="71"/>
      <c r="ER115" s="226"/>
      <c r="ES115" s="71"/>
      <c r="ET115" s="71"/>
      <c r="EU115" s="345"/>
      <c r="EV115" s="71"/>
      <c r="EW115" s="226"/>
      <c r="EX115" s="71"/>
      <c r="EY115" s="71"/>
      <c r="EZ115" s="345"/>
      <c r="FA115" s="71"/>
      <c r="FB115" s="226"/>
      <c r="FC115" s="71"/>
      <c r="FD115" s="71"/>
      <c r="FE115" s="345"/>
      <c r="FF115" s="71"/>
      <c r="FG115" s="226"/>
      <c r="FH115" s="71"/>
      <c r="FI115" s="71"/>
      <c r="FJ115" s="345"/>
      <c r="FK115" s="71"/>
      <c r="FL115" s="226"/>
      <c r="FM115" s="71"/>
      <c r="FN115" s="71"/>
      <c r="FO115" s="345"/>
      <c r="FP115" s="71"/>
      <c r="FQ115" s="226"/>
      <c r="FR115" s="71"/>
      <c r="FS115" s="71"/>
      <c r="FT115" s="345"/>
      <c r="FU115" s="71"/>
      <c r="FV115" s="226"/>
      <c r="FW115" s="71"/>
      <c r="FX115" s="71"/>
      <c r="FY115" s="345"/>
      <c r="FZ115" s="71"/>
      <c r="GA115" s="226"/>
      <c r="GB115" s="71"/>
      <c r="GC115" s="71"/>
      <c r="GD115" s="345"/>
      <c r="GE115" s="71"/>
      <c r="GF115" s="226"/>
      <c r="GG115" s="71"/>
      <c r="GH115" s="71"/>
      <c r="GI115" s="345"/>
      <c r="GJ115" s="71"/>
      <c r="GK115" s="226"/>
      <c r="GL115" s="71"/>
      <c r="GM115" s="71"/>
      <c r="GN115" s="345"/>
      <c r="GO115" s="71"/>
      <c r="GP115" s="226"/>
      <c r="GQ115" s="71"/>
      <c r="GR115" s="71"/>
      <c r="GS115" s="345"/>
      <c r="GT115" s="71"/>
      <c r="GU115" s="226"/>
      <c r="GV115" s="71"/>
      <c r="GW115" s="71"/>
      <c r="GX115" s="345"/>
      <c r="GY115" s="71"/>
      <c r="GZ115" s="226"/>
      <c r="HA115" s="71"/>
      <c r="HB115" s="71"/>
      <c r="HC115" s="345"/>
      <c r="HD115" s="71"/>
      <c r="HE115" s="226"/>
      <c r="HF115" s="71"/>
      <c r="HG115" s="71"/>
      <c r="HH115" s="345"/>
      <c r="HI115" s="71"/>
      <c r="HJ115" s="226"/>
      <c r="HK115" s="71"/>
      <c r="HL115" s="71"/>
      <c r="HM115" s="345"/>
      <c r="HN115" s="71"/>
      <c r="HO115" s="226"/>
      <c r="HP115" s="71"/>
      <c r="HQ115" s="71"/>
      <c r="HR115" s="345"/>
      <c r="HS115" s="71"/>
      <c r="HT115" s="226"/>
      <c r="HU115" s="71"/>
      <c r="HV115" s="71"/>
      <c r="HW115" s="345"/>
      <c r="HX115" s="71"/>
      <c r="HY115" s="226"/>
      <c r="HZ115" s="71"/>
      <c r="IA115" s="71"/>
      <c r="IB115" s="345"/>
      <c r="IC115" s="71"/>
      <c r="ID115" s="226"/>
      <c r="IE115" s="71"/>
      <c r="IF115" s="71"/>
      <c r="IG115" s="345"/>
      <c r="IH115" s="71"/>
      <c r="II115" s="226"/>
      <c r="IJ115" s="71"/>
      <c r="IK115" s="71"/>
      <c r="IL115" s="345"/>
      <c r="IM115" s="71"/>
      <c r="IN115" s="226"/>
      <c r="IO115" s="71"/>
      <c r="IP115" s="71"/>
      <c r="IQ115" s="345"/>
      <c r="IR115" s="71"/>
      <c r="IS115" s="226"/>
      <c r="IT115" s="71"/>
      <c r="IU115" s="71"/>
      <c r="IV115" s="345"/>
    </row>
    <row r="116" spans="1:256" x14ac:dyDescent="0.2">
      <c r="A116" s="345">
        <v>31047</v>
      </c>
      <c r="B116" s="71"/>
      <c r="C116" s="226"/>
      <c r="D116" s="71"/>
      <c r="E116" s="71"/>
      <c r="F116" s="345"/>
      <c r="G116" s="71"/>
      <c r="H116" s="226"/>
      <c r="I116" s="71"/>
      <c r="J116" s="71"/>
      <c r="K116" s="345"/>
      <c r="L116" s="71"/>
      <c r="M116" s="226"/>
      <c r="N116" s="71"/>
      <c r="O116" s="71"/>
      <c r="P116" s="345"/>
      <c r="Q116" s="71"/>
      <c r="R116" s="226"/>
      <c r="S116" s="71"/>
      <c r="T116" s="71"/>
      <c r="U116" s="345"/>
      <c r="V116" s="71"/>
      <c r="W116" s="226"/>
      <c r="X116" s="71"/>
      <c r="Y116" s="71"/>
      <c r="Z116" s="345"/>
      <c r="AA116" s="71"/>
      <c r="AB116" s="226"/>
      <c r="AC116" s="71"/>
      <c r="AD116" s="71"/>
      <c r="AE116" s="345"/>
      <c r="AF116" s="71"/>
      <c r="AG116" s="226"/>
      <c r="AH116" s="71"/>
      <c r="AI116" s="71"/>
      <c r="AJ116" s="345"/>
      <c r="AK116" s="71"/>
      <c r="AL116" s="226"/>
      <c r="AM116" s="71"/>
      <c r="AN116" s="71"/>
      <c r="AO116" s="345"/>
      <c r="AP116" s="71"/>
      <c r="AQ116" s="226"/>
      <c r="AR116" s="71"/>
      <c r="AS116" s="71"/>
      <c r="AT116" s="345"/>
      <c r="AU116" s="71"/>
      <c r="AV116" s="226"/>
      <c r="AW116" s="71"/>
      <c r="AX116" s="71"/>
      <c r="AY116" s="345"/>
      <c r="AZ116" s="71"/>
      <c r="BA116" s="226"/>
      <c r="BB116" s="71"/>
      <c r="BC116" s="71"/>
      <c r="BD116" s="345"/>
      <c r="BE116" s="71"/>
      <c r="BF116" s="226"/>
      <c r="BG116" s="71"/>
      <c r="BH116" s="71"/>
      <c r="BI116" s="345"/>
      <c r="BJ116" s="71"/>
      <c r="BK116" s="226"/>
      <c r="BL116" s="71"/>
      <c r="BM116" s="71"/>
      <c r="BN116" s="345"/>
      <c r="BO116" s="71"/>
      <c r="BP116" s="226"/>
      <c r="BQ116" s="71"/>
      <c r="BR116" s="71"/>
      <c r="BS116" s="345"/>
      <c r="BT116" s="71"/>
      <c r="BU116" s="226"/>
      <c r="BV116" s="71"/>
      <c r="BW116" s="71"/>
      <c r="BX116" s="345"/>
      <c r="BY116" s="71"/>
      <c r="BZ116" s="226"/>
      <c r="CA116" s="71"/>
      <c r="CB116" s="71"/>
      <c r="CC116" s="345"/>
      <c r="CD116" s="71"/>
      <c r="CE116" s="226"/>
      <c r="CF116" s="71"/>
      <c r="CG116" s="71"/>
      <c r="CH116" s="345"/>
      <c r="CI116" s="71"/>
      <c r="CJ116" s="226"/>
      <c r="CK116" s="71"/>
      <c r="CL116" s="71"/>
      <c r="CM116" s="345"/>
      <c r="CN116" s="71"/>
      <c r="CO116" s="226"/>
      <c r="CP116" s="71"/>
      <c r="CQ116" s="71"/>
      <c r="CR116" s="345"/>
      <c r="CS116" s="71"/>
      <c r="CT116" s="226"/>
      <c r="CU116" s="71"/>
      <c r="CV116" s="71"/>
      <c r="CW116" s="345"/>
      <c r="CX116" s="71"/>
      <c r="CY116" s="226"/>
      <c r="CZ116" s="71"/>
      <c r="DA116" s="71"/>
      <c r="DB116" s="345"/>
      <c r="DC116" s="71"/>
      <c r="DD116" s="226"/>
      <c r="DE116" s="71"/>
      <c r="DF116" s="71"/>
      <c r="DG116" s="345"/>
      <c r="DH116" s="71"/>
      <c r="DI116" s="226"/>
      <c r="DJ116" s="71"/>
      <c r="DK116" s="71"/>
      <c r="DL116" s="345"/>
      <c r="DM116" s="71"/>
      <c r="DN116" s="226"/>
      <c r="DO116" s="71"/>
      <c r="DP116" s="71"/>
      <c r="DQ116" s="345"/>
      <c r="DR116" s="71"/>
      <c r="DS116" s="226"/>
      <c r="DT116" s="71"/>
      <c r="DU116" s="71"/>
      <c r="DV116" s="345"/>
      <c r="DW116" s="71"/>
      <c r="DX116" s="226"/>
      <c r="DY116" s="71"/>
      <c r="DZ116" s="71"/>
      <c r="EA116" s="345"/>
      <c r="EB116" s="71"/>
      <c r="EC116" s="226"/>
      <c r="ED116" s="71"/>
      <c r="EE116" s="71"/>
      <c r="EF116" s="345"/>
      <c r="EG116" s="71"/>
      <c r="EH116" s="226"/>
      <c r="EI116" s="71"/>
      <c r="EJ116" s="71"/>
      <c r="EK116" s="345"/>
      <c r="EL116" s="71"/>
      <c r="EM116" s="226"/>
      <c r="EN116" s="71"/>
      <c r="EO116" s="71"/>
      <c r="EP116" s="345"/>
      <c r="EQ116" s="71"/>
      <c r="ER116" s="226"/>
      <c r="ES116" s="71"/>
      <c r="ET116" s="71"/>
      <c r="EU116" s="345"/>
      <c r="EV116" s="71"/>
      <c r="EW116" s="226"/>
      <c r="EX116" s="71"/>
      <c r="EY116" s="71"/>
      <c r="EZ116" s="345"/>
      <c r="FA116" s="71"/>
      <c r="FB116" s="226"/>
      <c r="FC116" s="71"/>
      <c r="FD116" s="71"/>
      <c r="FE116" s="345"/>
      <c r="FF116" s="71"/>
      <c r="FG116" s="226"/>
      <c r="FH116" s="71"/>
      <c r="FI116" s="71"/>
      <c r="FJ116" s="345"/>
      <c r="FK116" s="71"/>
      <c r="FL116" s="226"/>
      <c r="FM116" s="71"/>
      <c r="FN116" s="71"/>
      <c r="FO116" s="345"/>
      <c r="FP116" s="71"/>
      <c r="FQ116" s="226"/>
      <c r="FR116" s="71"/>
      <c r="FS116" s="71"/>
      <c r="FT116" s="345"/>
      <c r="FU116" s="71"/>
      <c r="FV116" s="226"/>
      <c r="FW116" s="71"/>
      <c r="FX116" s="71"/>
      <c r="FY116" s="345"/>
      <c r="FZ116" s="71"/>
      <c r="GA116" s="226"/>
      <c r="GB116" s="71"/>
      <c r="GC116" s="71"/>
      <c r="GD116" s="345"/>
      <c r="GE116" s="71"/>
      <c r="GF116" s="226"/>
      <c r="GG116" s="71"/>
      <c r="GH116" s="71"/>
      <c r="GI116" s="345"/>
      <c r="GJ116" s="71"/>
      <c r="GK116" s="226"/>
      <c r="GL116" s="71"/>
      <c r="GM116" s="71"/>
      <c r="GN116" s="345"/>
      <c r="GO116" s="71"/>
      <c r="GP116" s="226"/>
      <c r="GQ116" s="71"/>
      <c r="GR116" s="71"/>
      <c r="GS116" s="345"/>
      <c r="GT116" s="71"/>
      <c r="GU116" s="226"/>
      <c r="GV116" s="71"/>
      <c r="GW116" s="71"/>
      <c r="GX116" s="345"/>
      <c r="GY116" s="71"/>
      <c r="GZ116" s="226"/>
      <c r="HA116" s="71"/>
      <c r="HB116" s="71"/>
      <c r="HC116" s="345"/>
      <c r="HD116" s="71"/>
      <c r="HE116" s="226"/>
      <c r="HF116" s="71"/>
      <c r="HG116" s="71"/>
      <c r="HH116" s="345"/>
      <c r="HI116" s="71"/>
      <c r="HJ116" s="226"/>
      <c r="HK116" s="71"/>
      <c r="HL116" s="71"/>
      <c r="HM116" s="345"/>
      <c r="HN116" s="71"/>
      <c r="HO116" s="226"/>
      <c r="HP116" s="71"/>
      <c r="HQ116" s="71"/>
      <c r="HR116" s="345"/>
      <c r="HS116" s="71"/>
      <c r="HT116" s="226"/>
      <c r="HU116" s="71"/>
      <c r="HV116" s="71"/>
      <c r="HW116" s="345"/>
      <c r="HX116" s="71"/>
      <c r="HY116" s="226"/>
      <c r="HZ116" s="71"/>
      <c r="IA116" s="71"/>
      <c r="IB116" s="345"/>
      <c r="IC116" s="71"/>
      <c r="ID116" s="226"/>
      <c r="IE116" s="71"/>
      <c r="IF116" s="71"/>
      <c r="IG116" s="345"/>
      <c r="IH116" s="71"/>
      <c r="II116" s="226"/>
      <c r="IJ116" s="71"/>
      <c r="IK116" s="71"/>
      <c r="IL116" s="345"/>
      <c r="IM116" s="71"/>
      <c r="IN116" s="226"/>
      <c r="IO116" s="71"/>
      <c r="IP116" s="71"/>
      <c r="IQ116" s="345"/>
      <c r="IR116" s="71"/>
      <c r="IS116" s="226"/>
      <c r="IT116" s="71"/>
      <c r="IU116" s="71"/>
      <c r="IV116" s="345"/>
    </row>
    <row r="117" spans="1:256" x14ac:dyDescent="0.2">
      <c r="A117" s="345">
        <v>31078</v>
      </c>
      <c r="B117" s="71"/>
      <c r="C117" s="226"/>
      <c r="D117" s="71"/>
      <c r="E117" s="71"/>
      <c r="F117" s="345"/>
      <c r="G117" s="71"/>
      <c r="H117" s="226"/>
      <c r="I117" s="71"/>
      <c r="J117" s="71"/>
      <c r="K117" s="345"/>
      <c r="L117" s="71"/>
      <c r="M117" s="226"/>
      <c r="N117" s="71"/>
      <c r="O117" s="71"/>
      <c r="P117" s="345"/>
      <c r="Q117" s="71"/>
      <c r="R117" s="226"/>
      <c r="S117" s="71"/>
      <c r="T117" s="71"/>
      <c r="U117" s="345"/>
      <c r="V117" s="71"/>
      <c r="W117" s="226"/>
      <c r="X117" s="71"/>
      <c r="Y117" s="71"/>
      <c r="Z117" s="345"/>
      <c r="AA117" s="71"/>
      <c r="AB117" s="226"/>
      <c r="AC117" s="71"/>
      <c r="AD117" s="71"/>
      <c r="AE117" s="345"/>
      <c r="AF117" s="71"/>
      <c r="AG117" s="226"/>
      <c r="AH117" s="71"/>
      <c r="AI117" s="71"/>
      <c r="AJ117" s="345"/>
      <c r="AK117" s="71"/>
      <c r="AL117" s="226"/>
      <c r="AM117" s="71"/>
      <c r="AN117" s="71"/>
      <c r="AO117" s="345"/>
      <c r="AP117" s="71"/>
      <c r="AQ117" s="226"/>
      <c r="AR117" s="71"/>
      <c r="AS117" s="71"/>
      <c r="AT117" s="345"/>
      <c r="AU117" s="71"/>
      <c r="AV117" s="226"/>
      <c r="AW117" s="71"/>
      <c r="AX117" s="71"/>
      <c r="AY117" s="345"/>
      <c r="AZ117" s="71"/>
      <c r="BA117" s="226"/>
      <c r="BB117" s="71"/>
      <c r="BC117" s="71"/>
      <c r="BD117" s="345"/>
      <c r="BE117" s="71"/>
      <c r="BF117" s="226"/>
      <c r="BG117" s="71"/>
      <c r="BH117" s="71"/>
      <c r="BI117" s="345"/>
      <c r="BJ117" s="71"/>
      <c r="BK117" s="226"/>
      <c r="BL117" s="71"/>
      <c r="BM117" s="71"/>
      <c r="BN117" s="345"/>
      <c r="BO117" s="71"/>
      <c r="BP117" s="226"/>
      <c r="BQ117" s="71"/>
      <c r="BR117" s="71"/>
      <c r="BS117" s="345"/>
      <c r="BT117" s="71"/>
      <c r="BU117" s="226"/>
      <c r="BV117" s="71"/>
      <c r="BW117" s="71"/>
      <c r="BX117" s="345"/>
      <c r="BY117" s="71"/>
      <c r="BZ117" s="226"/>
      <c r="CA117" s="71"/>
      <c r="CB117" s="71"/>
      <c r="CC117" s="345"/>
      <c r="CD117" s="71"/>
      <c r="CE117" s="226"/>
      <c r="CF117" s="71"/>
      <c r="CG117" s="71"/>
      <c r="CH117" s="345"/>
      <c r="CI117" s="71"/>
      <c r="CJ117" s="226"/>
      <c r="CK117" s="71"/>
      <c r="CL117" s="71"/>
      <c r="CM117" s="345"/>
      <c r="CN117" s="71"/>
      <c r="CO117" s="226"/>
      <c r="CP117" s="71"/>
      <c r="CQ117" s="71"/>
      <c r="CR117" s="345"/>
      <c r="CS117" s="71"/>
      <c r="CT117" s="226"/>
      <c r="CU117" s="71"/>
      <c r="CV117" s="71"/>
      <c r="CW117" s="345"/>
      <c r="CX117" s="71"/>
      <c r="CY117" s="226"/>
      <c r="CZ117" s="71"/>
      <c r="DA117" s="71"/>
      <c r="DB117" s="345"/>
      <c r="DC117" s="71"/>
      <c r="DD117" s="226"/>
      <c r="DE117" s="71"/>
      <c r="DF117" s="71"/>
      <c r="DG117" s="345"/>
      <c r="DH117" s="71"/>
      <c r="DI117" s="226"/>
      <c r="DJ117" s="71"/>
      <c r="DK117" s="71"/>
      <c r="DL117" s="345"/>
      <c r="DM117" s="71"/>
      <c r="DN117" s="226"/>
      <c r="DO117" s="71"/>
      <c r="DP117" s="71"/>
      <c r="DQ117" s="345"/>
      <c r="DR117" s="71"/>
      <c r="DS117" s="226"/>
      <c r="DT117" s="71"/>
      <c r="DU117" s="71"/>
      <c r="DV117" s="345"/>
      <c r="DW117" s="71"/>
      <c r="DX117" s="226"/>
      <c r="DY117" s="71"/>
      <c r="DZ117" s="71"/>
      <c r="EA117" s="345"/>
      <c r="EB117" s="71"/>
      <c r="EC117" s="226"/>
      <c r="ED117" s="71"/>
      <c r="EE117" s="71"/>
      <c r="EF117" s="345"/>
      <c r="EG117" s="71"/>
      <c r="EH117" s="226"/>
      <c r="EI117" s="71"/>
      <c r="EJ117" s="71"/>
      <c r="EK117" s="345"/>
      <c r="EL117" s="71"/>
      <c r="EM117" s="226"/>
      <c r="EN117" s="71"/>
      <c r="EO117" s="71"/>
      <c r="EP117" s="345"/>
      <c r="EQ117" s="71"/>
      <c r="ER117" s="226"/>
      <c r="ES117" s="71"/>
      <c r="ET117" s="71"/>
      <c r="EU117" s="345"/>
      <c r="EV117" s="71"/>
      <c r="EW117" s="226"/>
      <c r="EX117" s="71"/>
      <c r="EY117" s="71"/>
      <c r="EZ117" s="345"/>
      <c r="FA117" s="71"/>
      <c r="FB117" s="226"/>
      <c r="FC117" s="71"/>
      <c r="FD117" s="71"/>
      <c r="FE117" s="345"/>
      <c r="FF117" s="71"/>
      <c r="FG117" s="226"/>
      <c r="FH117" s="71"/>
      <c r="FI117" s="71"/>
      <c r="FJ117" s="345"/>
      <c r="FK117" s="71"/>
      <c r="FL117" s="226"/>
      <c r="FM117" s="71"/>
      <c r="FN117" s="71"/>
      <c r="FO117" s="345"/>
      <c r="FP117" s="71"/>
      <c r="FQ117" s="226"/>
      <c r="FR117" s="71"/>
      <c r="FS117" s="71"/>
      <c r="FT117" s="345"/>
      <c r="FU117" s="71"/>
      <c r="FV117" s="226"/>
      <c r="FW117" s="71"/>
      <c r="FX117" s="71"/>
      <c r="FY117" s="345"/>
      <c r="FZ117" s="71"/>
      <c r="GA117" s="226"/>
      <c r="GB117" s="71"/>
      <c r="GC117" s="71"/>
      <c r="GD117" s="345"/>
      <c r="GE117" s="71"/>
      <c r="GF117" s="226"/>
      <c r="GG117" s="71"/>
      <c r="GH117" s="71"/>
      <c r="GI117" s="345"/>
      <c r="GJ117" s="71"/>
      <c r="GK117" s="226"/>
      <c r="GL117" s="71"/>
      <c r="GM117" s="71"/>
      <c r="GN117" s="345"/>
      <c r="GO117" s="71"/>
      <c r="GP117" s="226"/>
      <c r="GQ117" s="71"/>
      <c r="GR117" s="71"/>
      <c r="GS117" s="345"/>
      <c r="GT117" s="71"/>
      <c r="GU117" s="226"/>
      <c r="GV117" s="71"/>
      <c r="GW117" s="71"/>
      <c r="GX117" s="345"/>
      <c r="GY117" s="71"/>
      <c r="GZ117" s="226"/>
      <c r="HA117" s="71"/>
      <c r="HB117" s="71"/>
      <c r="HC117" s="345"/>
      <c r="HD117" s="71"/>
      <c r="HE117" s="226"/>
      <c r="HF117" s="71"/>
      <c r="HG117" s="71"/>
      <c r="HH117" s="345"/>
      <c r="HI117" s="71"/>
      <c r="HJ117" s="226"/>
      <c r="HK117" s="71"/>
      <c r="HL117" s="71"/>
      <c r="HM117" s="345"/>
      <c r="HN117" s="71"/>
      <c r="HO117" s="226"/>
      <c r="HP117" s="71"/>
      <c r="HQ117" s="71"/>
      <c r="HR117" s="345"/>
      <c r="HS117" s="71"/>
      <c r="HT117" s="226"/>
      <c r="HU117" s="71"/>
      <c r="HV117" s="71"/>
      <c r="HW117" s="345"/>
      <c r="HX117" s="71"/>
      <c r="HY117" s="226"/>
      <c r="HZ117" s="71"/>
      <c r="IA117" s="71"/>
      <c r="IB117" s="345"/>
      <c r="IC117" s="71"/>
      <c r="ID117" s="226"/>
      <c r="IE117" s="71"/>
      <c r="IF117" s="71"/>
      <c r="IG117" s="345"/>
      <c r="IH117" s="71"/>
      <c r="II117" s="226"/>
      <c r="IJ117" s="71"/>
      <c r="IK117" s="71"/>
      <c r="IL117" s="345"/>
      <c r="IM117" s="71"/>
      <c r="IN117" s="226"/>
      <c r="IO117" s="71"/>
      <c r="IP117" s="71"/>
      <c r="IQ117" s="345"/>
      <c r="IR117" s="71"/>
      <c r="IS117" s="226"/>
      <c r="IT117" s="71"/>
      <c r="IU117" s="71"/>
      <c r="IV117" s="345"/>
    </row>
    <row r="118" spans="1:256" x14ac:dyDescent="0.2">
      <c r="A118" s="345">
        <v>31106</v>
      </c>
      <c r="B118" s="71"/>
      <c r="C118" s="226"/>
      <c r="D118" s="71"/>
      <c r="E118" s="71"/>
      <c r="F118" s="345"/>
      <c r="G118" s="71"/>
      <c r="H118" s="226"/>
      <c r="I118" s="71"/>
      <c r="J118" s="71"/>
      <c r="K118" s="345"/>
      <c r="L118" s="71"/>
      <c r="M118" s="226"/>
      <c r="N118" s="71"/>
      <c r="O118" s="71"/>
      <c r="P118" s="345"/>
      <c r="Q118" s="71"/>
      <c r="R118" s="226"/>
      <c r="S118" s="71"/>
      <c r="T118" s="71"/>
      <c r="U118" s="345"/>
      <c r="V118" s="71"/>
      <c r="W118" s="226"/>
      <c r="X118" s="71"/>
      <c r="Y118" s="71"/>
      <c r="Z118" s="345"/>
      <c r="AA118" s="71"/>
      <c r="AB118" s="226"/>
      <c r="AC118" s="71"/>
      <c r="AD118" s="71"/>
      <c r="AE118" s="345"/>
      <c r="AF118" s="71"/>
      <c r="AG118" s="226"/>
      <c r="AH118" s="71"/>
      <c r="AI118" s="71"/>
      <c r="AJ118" s="345"/>
      <c r="AK118" s="71"/>
      <c r="AL118" s="226"/>
      <c r="AM118" s="71"/>
      <c r="AN118" s="71"/>
      <c r="AO118" s="345"/>
      <c r="AP118" s="71"/>
      <c r="AQ118" s="226"/>
      <c r="AR118" s="71"/>
      <c r="AS118" s="71"/>
      <c r="AT118" s="345"/>
      <c r="AU118" s="71"/>
      <c r="AV118" s="226"/>
      <c r="AW118" s="71"/>
      <c r="AX118" s="71"/>
      <c r="AY118" s="345"/>
      <c r="AZ118" s="71"/>
      <c r="BA118" s="226"/>
      <c r="BB118" s="71"/>
      <c r="BC118" s="71"/>
      <c r="BD118" s="345"/>
      <c r="BE118" s="71"/>
      <c r="BF118" s="226"/>
      <c r="BG118" s="71"/>
      <c r="BH118" s="71"/>
      <c r="BI118" s="345"/>
      <c r="BJ118" s="71"/>
      <c r="BK118" s="226"/>
      <c r="BL118" s="71"/>
      <c r="BM118" s="71"/>
      <c r="BN118" s="345"/>
      <c r="BO118" s="71"/>
      <c r="BP118" s="226"/>
      <c r="BQ118" s="71"/>
      <c r="BR118" s="71"/>
      <c r="BS118" s="345"/>
      <c r="BT118" s="71"/>
      <c r="BU118" s="226"/>
      <c r="BV118" s="71"/>
      <c r="BW118" s="71"/>
      <c r="BX118" s="345"/>
      <c r="BY118" s="71"/>
      <c r="BZ118" s="226"/>
      <c r="CA118" s="71"/>
      <c r="CB118" s="71"/>
      <c r="CC118" s="345"/>
      <c r="CD118" s="71"/>
      <c r="CE118" s="226"/>
      <c r="CF118" s="71"/>
      <c r="CG118" s="71"/>
      <c r="CH118" s="345"/>
      <c r="CI118" s="71"/>
      <c r="CJ118" s="226"/>
      <c r="CK118" s="71"/>
      <c r="CL118" s="71"/>
      <c r="CM118" s="345"/>
      <c r="CN118" s="71"/>
      <c r="CO118" s="226"/>
      <c r="CP118" s="71"/>
      <c r="CQ118" s="71"/>
      <c r="CR118" s="345"/>
      <c r="CS118" s="71"/>
      <c r="CT118" s="226"/>
      <c r="CU118" s="71"/>
      <c r="CV118" s="71"/>
      <c r="CW118" s="345"/>
      <c r="CX118" s="71"/>
      <c r="CY118" s="226"/>
      <c r="CZ118" s="71"/>
      <c r="DA118" s="71"/>
      <c r="DB118" s="345"/>
      <c r="DC118" s="71"/>
      <c r="DD118" s="226"/>
      <c r="DE118" s="71"/>
      <c r="DF118" s="71"/>
      <c r="DG118" s="345"/>
      <c r="DH118" s="71"/>
      <c r="DI118" s="226"/>
      <c r="DJ118" s="71"/>
      <c r="DK118" s="71"/>
      <c r="DL118" s="345"/>
      <c r="DM118" s="71"/>
      <c r="DN118" s="226"/>
      <c r="DO118" s="71"/>
      <c r="DP118" s="71"/>
      <c r="DQ118" s="345"/>
      <c r="DR118" s="71"/>
      <c r="DS118" s="226"/>
      <c r="DT118" s="71"/>
      <c r="DU118" s="71"/>
      <c r="DV118" s="345"/>
      <c r="DW118" s="71"/>
      <c r="DX118" s="226"/>
      <c r="DY118" s="71"/>
      <c r="DZ118" s="71"/>
      <c r="EA118" s="345"/>
      <c r="EB118" s="71"/>
      <c r="EC118" s="226"/>
      <c r="ED118" s="71"/>
      <c r="EE118" s="71"/>
      <c r="EF118" s="345"/>
      <c r="EG118" s="71"/>
      <c r="EH118" s="226"/>
      <c r="EI118" s="71"/>
      <c r="EJ118" s="71"/>
      <c r="EK118" s="345"/>
      <c r="EL118" s="71"/>
      <c r="EM118" s="226"/>
      <c r="EN118" s="71"/>
      <c r="EO118" s="71"/>
      <c r="EP118" s="345"/>
      <c r="EQ118" s="71"/>
      <c r="ER118" s="226"/>
      <c r="ES118" s="71"/>
      <c r="ET118" s="71"/>
      <c r="EU118" s="345"/>
      <c r="EV118" s="71"/>
      <c r="EW118" s="226"/>
      <c r="EX118" s="71"/>
      <c r="EY118" s="71"/>
      <c r="EZ118" s="345"/>
      <c r="FA118" s="71"/>
      <c r="FB118" s="226"/>
      <c r="FC118" s="71"/>
      <c r="FD118" s="71"/>
      <c r="FE118" s="345"/>
      <c r="FF118" s="71"/>
      <c r="FG118" s="226"/>
      <c r="FH118" s="71"/>
      <c r="FI118" s="71"/>
      <c r="FJ118" s="345"/>
      <c r="FK118" s="71"/>
      <c r="FL118" s="226"/>
      <c r="FM118" s="71"/>
      <c r="FN118" s="71"/>
      <c r="FO118" s="345"/>
      <c r="FP118" s="71"/>
      <c r="FQ118" s="226"/>
      <c r="FR118" s="71"/>
      <c r="FS118" s="71"/>
      <c r="FT118" s="345"/>
      <c r="FU118" s="71"/>
      <c r="FV118" s="226"/>
      <c r="FW118" s="71"/>
      <c r="FX118" s="71"/>
      <c r="FY118" s="345"/>
      <c r="FZ118" s="71"/>
      <c r="GA118" s="226"/>
      <c r="GB118" s="71"/>
      <c r="GC118" s="71"/>
      <c r="GD118" s="345"/>
      <c r="GE118" s="71"/>
      <c r="GF118" s="226"/>
      <c r="GG118" s="71"/>
      <c r="GH118" s="71"/>
      <c r="GI118" s="345"/>
      <c r="GJ118" s="71"/>
      <c r="GK118" s="226"/>
      <c r="GL118" s="71"/>
      <c r="GM118" s="71"/>
      <c r="GN118" s="345"/>
      <c r="GO118" s="71"/>
      <c r="GP118" s="226"/>
      <c r="GQ118" s="71"/>
      <c r="GR118" s="71"/>
      <c r="GS118" s="345"/>
      <c r="GT118" s="71"/>
      <c r="GU118" s="226"/>
      <c r="GV118" s="71"/>
      <c r="GW118" s="71"/>
      <c r="GX118" s="345"/>
      <c r="GY118" s="71"/>
      <c r="GZ118" s="226"/>
      <c r="HA118" s="71"/>
      <c r="HB118" s="71"/>
      <c r="HC118" s="345"/>
      <c r="HD118" s="71"/>
      <c r="HE118" s="226"/>
      <c r="HF118" s="71"/>
      <c r="HG118" s="71"/>
      <c r="HH118" s="345"/>
      <c r="HI118" s="71"/>
      <c r="HJ118" s="226"/>
      <c r="HK118" s="71"/>
      <c r="HL118" s="71"/>
      <c r="HM118" s="345"/>
      <c r="HN118" s="71"/>
      <c r="HO118" s="226"/>
      <c r="HP118" s="71"/>
      <c r="HQ118" s="71"/>
      <c r="HR118" s="345"/>
      <c r="HS118" s="71"/>
      <c r="HT118" s="226"/>
      <c r="HU118" s="71"/>
      <c r="HV118" s="71"/>
      <c r="HW118" s="345"/>
      <c r="HX118" s="71"/>
      <c r="HY118" s="226"/>
      <c r="HZ118" s="71"/>
      <c r="IA118" s="71"/>
      <c r="IB118" s="345"/>
      <c r="IC118" s="71"/>
      <c r="ID118" s="226"/>
      <c r="IE118" s="71"/>
      <c r="IF118" s="71"/>
      <c r="IG118" s="345"/>
      <c r="IH118" s="71"/>
      <c r="II118" s="226"/>
      <c r="IJ118" s="71"/>
      <c r="IK118" s="71"/>
      <c r="IL118" s="345"/>
      <c r="IM118" s="71"/>
      <c r="IN118" s="226"/>
      <c r="IO118" s="71"/>
      <c r="IP118" s="71"/>
      <c r="IQ118" s="345"/>
      <c r="IR118" s="71"/>
      <c r="IS118" s="226"/>
      <c r="IT118" s="71"/>
      <c r="IU118" s="71"/>
      <c r="IV118" s="345"/>
    </row>
    <row r="119" spans="1:256" x14ac:dyDescent="0.2">
      <c r="A119" s="345">
        <v>31137</v>
      </c>
      <c r="B119" s="71"/>
      <c r="C119" s="226"/>
      <c r="D119" s="71"/>
      <c r="E119" s="71"/>
      <c r="F119" s="345"/>
      <c r="G119" s="71"/>
      <c r="H119" s="226"/>
      <c r="I119" s="71"/>
      <c r="J119" s="71"/>
      <c r="K119" s="345"/>
      <c r="L119" s="71"/>
      <c r="M119" s="226"/>
      <c r="N119" s="71"/>
      <c r="O119" s="71"/>
      <c r="P119" s="345"/>
      <c r="Q119" s="71"/>
      <c r="R119" s="226"/>
      <c r="S119" s="71"/>
      <c r="T119" s="71"/>
      <c r="U119" s="345"/>
      <c r="V119" s="71"/>
      <c r="W119" s="226"/>
      <c r="X119" s="71"/>
      <c r="Y119" s="71"/>
      <c r="Z119" s="345"/>
      <c r="AA119" s="71"/>
      <c r="AB119" s="226"/>
      <c r="AC119" s="71"/>
      <c r="AD119" s="71"/>
      <c r="AE119" s="345"/>
      <c r="AF119" s="71"/>
      <c r="AG119" s="226"/>
      <c r="AH119" s="71"/>
      <c r="AI119" s="71"/>
      <c r="AJ119" s="345"/>
      <c r="AK119" s="71"/>
      <c r="AL119" s="226"/>
      <c r="AM119" s="71"/>
      <c r="AN119" s="71"/>
      <c r="AO119" s="345"/>
      <c r="AP119" s="71"/>
      <c r="AQ119" s="226"/>
      <c r="AR119" s="71"/>
      <c r="AS119" s="71"/>
      <c r="AT119" s="345"/>
      <c r="AU119" s="71"/>
      <c r="AV119" s="226"/>
      <c r="AW119" s="71"/>
      <c r="AX119" s="71"/>
      <c r="AY119" s="345"/>
      <c r="AZ119" s="71"/>
      <c r="BA119" s="226"/>
      <c r="BB119" s="71"/>
      <c r="BC119" s="71"/>
      <c r="BD119" s="345"/>
      <c r="BE119" s="71"/>
      <c r="BF119" s="226"/>
      <c r="BG119" s="71"/>
      <c r="BH119" s="71"/>
      <c r="BI119" s="345"/>
      <c r="BJ119" s="71"/>
      <c r="BK119" s="226"/>
      <c r="BL119" s="71"/>
      <c r="BM119" s="71"/>
      <c r="BN119" s="345"/>
      <c r="BO119" s="71"/>
      <c r="BP119" s="226"/>
      <c r="BQ119" s="71"/>
      <c r="BR119" s="71"/>
      <c r="BS119" s="345"/>
      <c r="BT119" s="71"/>
      <c r="BU119" s="226"/>
      <c r="BV119" s="71"/>
      <c r="BW119" s="71"/>
      <c r="BX119" s="345"/>
      <c r="BY119" s="71"/>
      <c r="BZ119" s="226"/>
      <c r="CA119" s="71"/>
      <c r="CB119" s="71"/>
      <c r="CC119" s="345"/>
      <c r="CD119" s="71"/>
      <c r="CE119" s="226"/>
      <c r="CF119" s="71"/>
      <c r="CG119" s="71"/>
      <c r="CH119" s="345"/>
      <c r="CI119" s="71"/>
      <c r="CJ119" s="226"/>
      <c r="CK119" s="71"/>
      <c r="CL119" s="71"/>
      <c r="CM119" s="345"/>
      <c r="CN119" s="71"/>
      <c r="CO119" s="226"/>
      <c r="CP119" s="71"/>
      <c r="CQ119" s="71"/>
      <c r="CR119" s="345"/>
      <c r="CS119" s="71"/>
      <c r="CT119" s="226"/>
      <c r="CU119" s="71"/>
      <c r="CV119" s="71"/>
      <c r="CW119" s="345"/>
      <c r="CX119" s="71"/>
      <c r="CY119" s="226"/>
      <c r="CZ119" s="71"/>
      <c r="DA119" s="71"/>
      <c r="DB119" s="345"/>
      <c r="DC119" s="71"/>
      <c r="DD119" s="226"/>
      <c r="DE119" s="71"/>
      <c r="DF119" s="71"/>
      <c r="DG119" s="345"/>
      <c r="DH119" s="71"/>
      <c r="DI119" s="226"/>
      <c r="DJ119" s="71"/>
      <c r="DK119" s="71"/>
      <c r="DL119" s="345"/>
      <c r="DM119" s="71"/>
      <c r="DN119" s="226"/>
      <c r="DO119" s="71"/>
      <c r="DP119" s="71"/>
      <c r="DQ119" s="345"/>
      <c r="DR119" s="71"/>
      <c r="DS119" s="226"/>
      <c r="DT119" s="71"/>
      <c r="DU119" s="71"/>
      <c r="DV119" s="345"/>
      <c r="DW119" s="71"/>
      <c r="DX119" s="226"/>
      <c r="DY119" s="71"/>
      <c r="DZ119" s="71"/>
      <c r="EA119" s="345"/>
      <c r="EB119" s="71"/>
      <c r="EC119" s="226"/>
      <c r="ED119" s="71"/>
      <c r="EE119" s="71"/>
      <c r="EF119" s="345"/>
      <c r="EG119" s="71"/>
      <c r="EH119" s="226"/>
      <c r="EI119" s="71"/>
      <c r="EJ119" s="71"/>
      <c r="EK119" s="345"/>
      <c r="EL119" s="71"/>
      <c r="EM119" s="226"/>
      <c r="EN119" s="71"/>
      <c r="EO119" s="71"/>
      <c r="EP119" s="345"/>
      <c r="EQ119" s="71"/>
      <c r="ER119" s="226"/>
      <c r="ES119" s="71"/>
      <c r="ET119" s="71"/>
      <c r="EU119" s="345"/>
      <c r="EV119" s="71"/>
      <c r="EW119" s="226"/>
      <c r="EX119" s="71"/>
      <c r="EY119" s="71"/>
      <c r="EZ119" s="345"/>
      <c r="FA119" s="71"/>
      <c r="FB119" s="226"/>
      <c r="FC119" s="71"/>
      <c r="FD119" s="71"/>
      <c r="FE119" s="345"/>
      <c r="FF119" s="71"/>
      <c r="FG119" s="226"/>
      <c r="FH119" s="71"/>
      <c r="FI119" s="71"/>
      <c r="FJ119" s="345"/>
      <c r="FK119" s="71"/>
      <c r="FL119" s="226"/>
      <c r="FM119" s="71"/>
      <c r="FN119" s="71"/>
      <c r="FO119" s="345"/>
      <c r="FP119" s="71"/>
      <c r="FQ119" s="226"/>
      <c r="FR119" s="71"/>
      <c r="FS119" s="71"/>
      <c r="FT119" s="345"/>
      <c r="FU119" s="71"/>
      <c r="FV119" s="226"/>
      <c r="FW119" s="71"/>
      <c r="FX119" s="71"/>
      <c r="FY119" s="345"/>
      <c r="FZ119" s="71"/>
      <c r="GA119" s="226"/>
      <c r="GB119" s="71"/>
      <c r="GC119" s="71"/>
      <c r="GD119" s="345"/>
      <c r="GE119" s="71"/>
      <c r="GF119" s="226"/>
      <c r="GG119" s="71"/>
      <c r="GH119" s="71"/>
      <c r="GI119" s="345"/>
      <c r="GJ119" s="71"/>
      <c r="GK119" s="226"/>
      <c r="GL119" s="71"/>
      <c r="GM119" s="71"/>
      <c r="GN119" s="345"/>
      <c r="GO119" s="71"/>
      <c r="GP119" s="226"/>
      <c r="GQ119" s="71"/>
      <c r="GR119" s="71"/>
      <c r="GS119" s="345"/>
      <c r="GT119" s="71"/>
      <c r="GU119" s="226"/>
      <c r="GV119" s="71"/>
      <c r="GW119" s="71"/>
      <c r="GX119" s="345"/>
      <c r="GY119" s="71"/>
      <c r="GZ119" s="226"/>
      <c r="HA119" s="71"/>
      <c r="HB119" s="71"/>
      <c r="HC119" s="345"/>
      <c r="HD119" s="71"/>
      <c r="HE119" s="226"/>
      <c r="HF119" s="71"/>
      <c r="HG119" s="71"/>
      <c r="HH119" s="345"/>
      <c r="HI119" s="71"/>
      <c r="HJ119" s="226"/>
      <c r="HK119" s="71"/>
      <c r="HL119" s="71"/>
      <c r="HM119" s="345"/>
      <c r="HN119" s="71"/>
      <c r="HO119" s="226"/>
      <c r="HP119" s="71"/>
      <c r="HQ119" s="71"/>
      <c r="HR119" s="345"/>
      <c r="HS119" s="71"/>
      <c r="HT119" s="226"/>
      <c r="HU119" s="71"/>
      <c r="HV119" s="71"/>
      <c r="HW119" s="345"/>
      <c r="HX119" s="71"/>
      <c r="HY119" s="226"/>
      <c r="HZ119" s="71"/>
      <c r="IA119" s="71"/>
      <c r="IB119" s="345"/>
      <c r="IC119" s="71"/>
      <c r="ID119" s="226"/>
      <c r="IE119" s="71"/>
      <c r="IF119" s="71"/>
      <c r="IG119" s="345"/>
      <c r="IH119" s="71"/>
      <c r="II119" s="226"/>
      <c r="IJ119" s="71"/>
      <c r="IK119" s="71"/>
      <c r="IL119" s="345"/>
      <c r="IM119" s="71"/>
      <c r="IN119" s="226"/>
      <c r="IO119" s="71"/>
      <c r="IP119" s="71"/>
      <c r="IQ119" s="345"/>
      <c r="IR119" s="71"/>
      <c r="IS119" s="226"/>
      <c r="IT119" s="71"/>
      <c r="IU119" s="71"/>
      <c r="IV119" s="345"/>
    </row>
    <row r="120" spans="1:256" x14ac:dyDescent="0.2">
      <c r="A120" s="345">
        <v>31167</v>
      </c>
      <c r="B120" s="71"/>
      <c r="C120" s="226"/>
      <c r="D120" s="71"/>
      <c r="E120" s="71"/>
      <c r="F120" s="345"/>
      <c r="G120" s="71"/>
      <c r="H120" s="226"/>
      <c r="I120" s="71"/>
      <c r="J120" s="71"/>
      <c r="K120" s="345"/>
      <c r="L120" s="71"/>
      <c r="M120" s="226"/>
      <c r="N120" s="71"/>
      <c r="O120" s="71"/>
      <c r="P120" s="345"/>
      <c r="Q120" s="71"/>
      <c r="R120" s="226"/>
      <c r="S120" s="71"/>
      <c r="T120" s="71"/>
      <c r="U120" s="345"/>
      <c r="V120" s="71"/>
      <c r="W120" s="226"/>
      <c r="X120" s="71"/>
      <c r="Y120" s="71"/>
      <c r="Z120" s="345"/>
      <c r="AA120" s="71"/>
      <c r="AB120" s="226"/>
      <c r="AC120" s="71"/>
      <c r="AD120" s="71"/>
      <c r="AE120" s="345"/>
      <c r="AF120" s="71"/>
      <c r="AG120" s="226"/>
      <c r="AH120" s="71"/>
      <c r="AI120" s="71"/>
      <c r="AJ120" s="345"/>
      <c r="AK120" s="71"/>
      <c r="AL120" s="226"/>
      <c r="AM120" s="71"/>
      <c r="AN120" s="71"/>
      <c r="AO120" s="345"/>
      <c r="AP120" s="71"/>
      <c r="AQ120" s="226"/>
      <c r="AR120" s="71"/>
      <c r="AS120" s="71"/>
      <c r="AT120" s="345"/>
      <c r="AU120" s="71"/>
      <c r="AV120" s="226"/>
      <c r="AW120" s="71"/>
      <c r="AX120" s="71"/>
      <c r="AY120" s="345"/>
      <c r="AZ120" s="71"/>
      <c r="BA120" s="226"/>
      <c r="BB120" s="71"/>
      <c r="BC120" s="71"/>
      <c r="BD120" s="345"/>
      <c r="BE120" s="71"/>
      <c r="BF120" s="226"/>
      <c r="BG120" s="71"/>
      <c r="BH120" s="71"/>
      <c r="BI120" s="345"/>
      <c r="BJ120" s="71"/>
      <c r="BK120" s="226"/>
      <c r="BL120" s="71"/>
      <c r="BM120" s="71"/>
      <c r="BN120" s="345"/>
      <c r="BO120" s="71"/>
      <c r="BP120" s="226"/>
      <c r="BQ120" s="71"/>
      <c r="BR120" s="71"/>
      <c r="BS120" s="345"/>
      <c r="BT120" s="71"/>
      <c r="BU120" s="226"/>
      <c r="BV120" s="71"/>
      <c r="BW120" s="71"/>
      <c r="BX120" s="345"/>
      <c r="BY120" s="71"/>
      <c r="BZ120" s="226"/>
      <c r="CA120" s="71"/>
      <c r="CB120" s="71"/>
      <c r="CC120" s="345"/>
      <c r="CD120" s="71"/>
      <c r="CE120" s="226"/>
      <c r="CF120" s="71"/>
      <c r="CG120" s="71"/>
      <c r="CH120" s="345"/>
      <c r="CI120" s="71"/>
      <c r="CJ120" s="226"/>
      <c r="CK120" s="71"/>
      <c r="CL120" s="71"/>
      <c r="CM120" s="345"/>
      <c r="CN120" s="71"/>
      <c r="CO120" s="226"/>
      <c r="CP120" s="71"/>
      <c r="CQ120" s="71"/>
      <c r="CR120" s="345"/>
      <c r="CS120" s="71"/>
      <c r="CT120" s="226"/>
      <c r="CU120" s="71"/>
      <c r="CV120" s="71"/>
      <c r="CW120" s="345"/>
      <c r="CX120" s="71"/>
      <c r="CY120" s="226"/>
      <c r="CZ120" s="71"/>
      <c r="DA120" s="71"/>
      <c r="DB120" s="345"/>
      <c r="DC120" s="71"/>
      <c r="DD120" s="226"/>
      <c r="DE120" s="71"/>
      <c r="DF120" s="71"/>
      <c r="DG120" s="345"/>
      <c r="DH120" s="71"/>
      <c r="DI120" s="226"/>
      <c r="DJ120" s="71"/>
      <c r="DK120" s="71"/>
      <c r="DL120" s="345"/>
      <c r="DM120" s="71"/>
      <c r="DN120" s="226"/>
      <c r="DO120" s="71"/>
      <c r="DP120" s="71"/>
      <c r="DQ120" s="345"/>
      <c r="DR120" s="71"/>
      <c r="DS120" s="226"/>
      <c r="DT120" s="71"/>
      <c r="DU120" s="71"/>
      <c r="DV120" s="345"/>
      <c r="DW120" s="71"/>
      <c r="DX120" s="226"/>
      <c r="DY120" s="71"/>
      <c r="DZ120" s="71"/>
      <c r="EA120" s="345"/>
      <c r="EB120" s="71"/>
      <c r="EC120" s="226"/>
      <c r="ED120" s="71"/>
      <c r="EE120" s="71"/>
      <c r="EF120" s="345"/>
      <c r="EG120" s="71"/>
      <c r="EH120" s="226"/>
      <c r="EI120" s="71"/>
      <c r="EJ120" s="71"/>
      <c r="EK120" s="345"/>
      <c r="EL120" s="71"/>
      <c r="EM120" s="226"/>
      <c r="EN120" s="71"/>
      <c r="EO120" s="71"/>
      <c r="EP120" s="345"/>
      <c r="EQ120" s="71"/>
      <c r="ER120" s="226"/>
      <c r="ES120" s="71"/>
      <c r="ET120" s="71"/>
      <c r="EU120" s="345"/>
      <c r="EV120" s="71"/>
      <c r="EW120" s="226"/>
      <c r="EX120" s="71"/>
      <c r="EY120" s="71"/>
      <c r="EZ120" s="345"/>
      <c r="FA120" s="71"/>
      <c r="FB120" s="226"/>
      <c r="FC120" s="71"/>
      <c r="FD120" s="71"/>
      <c r="FE120" s="345"/>
      <c r="FF120" s="71"/>
      <c r="FG120" s="226"/>
      <c r="FH120" s="71"/>
      <c r="FI120" s="71"/>
      <c r="FJ120" s="345"/>
      <c r="FK120" s="71"/>
      <c r="FL120" s="226"/>
      <c r="FM120" s="71"/>
      <c r="FN120" s="71"/>
      <c r="FO120" s="345"/>
      <c r="FP120" s="71"/>
      <c r="FQ120" s="226"/>
      <c r="FR120" s="71"/>
      <c r="FS120" s="71"/>
      <c r="FT120" s="345"/>
      <c r="FU120" s="71"/>
      <c r="FV120" s="226"/>
      <c r="FW120" s="71"/>
      <c r="FX120" s="71"/>
      <c r="FY120" s="345"/>
      <c r="FZ120" s="71"/>
      <c r="GA120" s="226"/>
      <c r="GB120" s="71"/>
      <c r="GC120" s="71"/>
      <c r="GD120" s="345"/>
      <c r="GE120" s="71"/>
      <c r="GF120" s="226"/>
      <c r="GG120" s="71"/>
      <c r="GH120" s="71"/>
      <c r="GI120" s="345"/>
      <c r="GJ120" s="71"/>
      <c r="GK120" s="226"/>
      <c r="GL120" s="71"/>
      <c r="GM120" s="71"/>
      <c r="GN120" s="345"/>
      <c r="GO120" s="71"/>
      <c r="GP120" s="226"/>
      <c r="GQ120" s="71"/>
      <c r="GR120" s="71"/>
      <c r="GS120" s="345"/>
      <c r="GT120" s="71"/>
      <c r="GU120" s="226"/>
      <c r="GV120" s="71"/>
      <c r="GW120" s="71"/>
      <c r="GX120" s="345"/>
      <c r="GY120" s="71"/>
      <c r="GZ120" s="226"/>
      <c r="HA120" s="71"/>
      <c r="HB120" s="71"/>
      <c r="HC120" s="345"/>
      <c r="HD120" s="71"/>
      <c r="HE120" s="226"/>
      <c r="HF120" s="71"/>
      <c r="HG120" s="71"/>
      <c r="HH120" s="345"/>
      <c r="HI120" s="71"/>
      <c r="HJ120" s="226"/>
      <c r="HK120" s="71"/>
      <c r="HL120" s="71"/>
      <c r="HM120" s="345"/>
      <c r="HN120" s="71"/>
      <c r="HO120" s="226"/>
      <c r="HP120" s="71"/>
      <c r="HQ120" s="71"/>
      <c r="HR120" s="345"/>
      <c r="HS120" s="71"/>
      <c r="HT120" s="226"/>
      <c r="HU120" s="71"/>
      <c r="HV120" s="71"/>
      <c r="HW120" s="345"/>
      <c r="HX120" s="71"/>
      <c r="HY120" s="226"/>
      <c r="HZ120" s="71"/>
      <c r="IA120" s="71"/>
      <c r="IB120" s="345"/>
      <c r="IC120" s="71"/>
      <c r="ID120" s="226"/>
      <c r="IE120" s="71"/>
      <c r="IF120" s="71"/>
      <c r="IG120" s="345"/>
      <c r="IH120" s="71"/>
      <c r="II120" s="226"/>
      <c r="IJ120" s="71"/>
      <c r="IK120" s="71"/>
      <c r="IL120" s="345"/>
      <c r="IM120" s="71"/>
      <c r="IN120" s="226"/>
      <c r="IO120" s="71"/>
      <c r="IP120" s="71"/>
      <c r="IQ120" s="345"/>
      <c r="IR120" s="71"/>
      <c r="IS120" s="226"/>
      <c r="IT120" s="71"/>
      <c r="IU120" s="71"/>
      <c r="IV120" s="345"/>
    </row>
    <row r="121" spans="1:256" x14ac:dyDescent="0.2">
      <c r="A121" s="345">
        <v>31198</v>
      </c>
      <c r="B121" s="71"/>
      <c r="C121" s="226"/>
      <c r="D121" s="71"/>
      <c r="E121" s="71"/>
      <c r="F121" s="345"/>
      <c r="G121" s="71"/>
      <c r="H121" s="226"/>
      <c r="I121" s="71"/>
      <c r="J121" s="71"/>
      <c r="K121" s="345"/>
      <c r="L121" s="71"/>
      <c r="M121" s="226"/>
      <c r="N121" s="71"/>
      <c r="O121" s="71"/>
      <c r="P121" s="345"/>
      <c r="Q121" s="71"/>
      <c r="R121" s="226"/>
      <c r="S121" s="71"/>
      <c r="T121" s="71"/>
      <c r="U121" s="345"/>
      <c r="V121" s="71"/>
      <c r="W121" s="226"/>
      <c r="X121" s="71"/>
      <c r="Y121" s="71"/>
      <c r="Z121" s="345"/>
      <c r="AA121" s="71"/>
      <c r="AB121" s="226"/>
      <c r="AC121" s="71"/>
      <c r="AD121" s="71"/>
      <c r="AE121" s="345"/>
      <c r="AF121" s="71"/>
      <c r="AG121" s="226"/>
      <c r="AH121" s="71"/>
      <c r="AI121" s="71"/>
      <c r="AJ121" s="345"/>
      <c r="AK121" s="71"/>
      <c r="AL121" s="226"/>
      <c r="AM121" s="71"/>
      <c r="AN121" s="71"/>
      <c r="AO121" s="345"/>
      <c r="AP121" s="71"/>
      <c r="AQ121" s="226"/>
      <c r="AR121" s="71"/>
      <c r="AS121" s="71"/>
      <c r="AT121" s="345"/>
      <c r="AU121" s="71"/>
      <c r="AV121" s="226"/>
      <c r="AW121" s="71"/>
      <c r="AX121" s="71"/>
      <c r="AY121" s="345"/>
      <c r="AZ121" s="71"/>
      <c r="BA121" s="226"/>
      <c r="BB121" s="71"/>
      <c r="BC121" s="71"/>
      <c r="BD121" s="345"/>
      <c r="BE121" s="71"/>
      <c r="BF121" s="226"/>
      <c r="BG121" s="71"/>
      <c r="BH121" s="71"/>
      <c r="BI121" s="345"/>
      <c r="BJ121" s="71"/>
      <c r="BK121" s="226"/>
      <c r="BL121" s="71"/>
      <c r="BM121" s="71"/>
      <c r="BN121" s="345"/>
      <c r="BO121" s="71"/>
      <c r="BP121" s="226"/>
      <c r="BQ121" s="71"/>
      <c r="BR121" s="71"/>
      <c r="BS121" s="345"/>
      <c r="BT121" s="71"/>
      <c r="BU121" s="226"/>
      <c r="BV121" s="71"/>
      <c r="BW121" s="71"/>
      <c r="BX121" s="345"/>
      <c r="BY121" s="71"/>
      <c r="BZ121" s="226"/>
      <c r="CA121" s="71"/>
      <c r="CB121" s="71"/>
      <c r="CC121" s="345"/>
      <c r="CD121" s="71"/>
      <c r="CE121" s="226"/>
      <c r="CF121" s="71"/>
      <c r="CG121" s="71"/>
      <c r="CH121" s="345"/>
      <c r="CI121" s="71"/>
      <c r="CJ121" s="226"/>
      <c r="CK121" s="71"/>
      <c r="CL121" s="71"/>
      <c r="CM121" s="345"/>
      <c r="CN121" s="71"/>
      <c r="CO121" s="226"/>
      <c r="CP121" s="71"/>
      <c r="CQ121" s="71"/>
      <c r="CR121" s="345"/>
      <c r="CS121" s="71"/>
      <c r="CT121" s="226"/>
      <c r="CU121" s="71"/>
      <c r="CV121" s="71"/>
      <c r="CW121" s="345"/>
      <c r="CX121" s="71"/>
      <c r="CY121" s="226"/>
      <c r="CZ121" s="71"/>
      <c r="DA121" s="71"/>
      <c r="DB121" s="345"/>
      <c r="DC121" s="71"/>
      <c r="DD121" s="226"/>
      <c r="DE121" s="71"/>
      <c r="DF121" s="71"/>
      <c r="DG121" s="345"/>
      <c r="DH121" s="71"/>
      <c r="DI121" s="226"/>
      <c r="DJ121" s="71"/>
      <c r="DK121" s="71"/>
      <c r="DL121" s="345"/>
      <c r="DM121" s="71"/>
      <c r="DN121" s="226"/>
      <c r="DO121" s="71"/>
      <c r="DP121" s="71"/>
      <c r="DQ121" s="345"/>
      <c r="DR121" s="71"/>
      <c r="DS121" s="226"/>
      <c r="DT121" s="71"/>
      <c r="DU121" s="71"/>
      <c r="DV121" s="345"/>
      <c r="DW121" s="71"/>
      <c r="DX121" s="226"/>
      <c r="DY121" s="71"/>
      <c r="DZ121" s="71"/>
      <c r="EA121" s="345"/>
      <c r="EB121" s="71"/>
      <c r="EC121" s="226"/>
      <c r="ED121" s="71"/>
      <c r="EE121" s="71"/>
      <c r="EF121" s="345"/>
      <c r="EG121" s="71"/>
      <c r="EH121" s="226"/>
      <c r="EI121" s="71"/>
      <c r="EJ121" s="71"/>
      <c r="EK121" s="345"/>
      <c r="EL121" s="71"/>
      <c r="EM121" s="226"/>
      <c r="EN121" s="71"/>
      <c r="EO121" s="71"/>
      <c r="EP121" s="345"/>
      <c r="EQ121" s="71"/>
      <c r="ER121" s="226"/>
      <c r="ES121" s="71"/>
      <c r="ET121" s="71"/>
      <c r="EU121" s="345"/>
      <c r="EV121" s="71"/>
      <c r="EW121" s="226"/>
      <c r="EX121" s="71"/>
      <c r="EY121" s="71"/>
      <c r="EZ121" s="345"/>
      <c r="FA121" s="71"/>
      <c r="FB121" s="226"/>
      <c r="FC121" s="71"/>
      <c r="FD121" s="71"/>
      <c r="FE121" s="345"/>
      <c r="FF121" s="71"/>
      <c r="FG121" s="226"/>
      <c r="FH121" s="71"/>
      <c r="FI121" s="71"/>
      <c r="FJ121" s="345"/>
      <c r="FK121" s="71"/>
      <c r="FL121" s="226"/>
      <c r="FM121" s="71"/>
      <c r="FN121" s="71"/>
      <c r="FO121" s="345"/>
      <c r="FP121" s="71"/>
      <c r="FQ121" s="226"/>
      <c r="FR121" s="71"/>
      <c r="FS121" s="71"/>
      <c r="FT121" s="345"/>
      <c r="FU121" s="71"/>
      <c r="FV121" s="226"/>
      <c r="FW121" s="71"/>
      <c r="FX121" s="71"/>
      <c r="FY121" s="345"/>
      <c r="FZ121" s="71"/>
      <c r="GA121" s="226"/>
      <c r="GB121" s="71"/>
      <c r="GC121" s="71"/>
      <c r="GD121" s="345"/>
      <c r="GE121" s="71"/>
      <c r="GF121" s="226"/>
      <c r="GG121" s="71"/>
      <c r="GH121" s="71"/>
      <c r="GI121" s="345"/>
      <c r="GJ121" s="71"/>
      <c r="GK121" s="226"/>
      <c r="GL121" s="71"/>
      <c r="GM121" s="71"/>
      <c r="GN121" s="345"/>
      <c r="GO121" s="71"/>
      <c r="GP121" s="226"/>
      <c r="GQ121" s="71"/>
      <c r="GR121" s="71"/>
      <c r="GS121" s="345"/>
      <c r="GT121" s="71"/>
      <c r="GU121" s="226"/>
      <c r="GV121" s="71"/>
      <c r="GW121" s="71"/>
      <c r="GX121" s="345"/>
      <c r="GY121" s="71"/>
      <c r="GZ121" s="226"/>
      <c r="HA121" s="71"/>
      <c r="HB121" s="71"/>
      <c r="HC121" s="345"/>
      <c r="HD121" s="71"/>
      <c r="HE121" s="226"/>
      <c r="HF121" s="71"/>
      <c r="HG121" s="71"/>
      <c r="HH121" s="345"/>
      <c r="HI121" s="71"/>
      <c r="HJ121" s="226"/>
      <c r="HK121" s="71"/>
      <c r="HL121" s="71"/>
      <c r="HM121" s="345"/>
      <c r="HN121" s="71"/>
      <c r="HO121" s="226"/>
      <c r="HP121" s="71"/>
      <c r="HQ121" s="71"/>
      <c r="HR121" s="345"/>
      <c r="HS121" s="71"/>
      <c r="HT121" s="226"/>
      <c r="HU121" s="71"/>
      <c r="HV121" s="71"/>
      <c r="HW121" s="345"/>
      <c r="HX121" s="71"/>
      <c r="HY121" s="226"/>
      <c r="HZ121" s="71"/>
      <c r="IA121" s="71"/>
      <c r="IB121" s="345"/>
      <c r="IC121" s="71"/>
      <c r="ID121" s="226"/>
      <c r="IE121" s="71"/>
      <c r="IF121" s="71"/>
      <c r="IG121" s="345"/>
      <c r="IH121" s="71"/>
      <c r="II121" s="226"/>
      <c r="IJ121" s="71"/>
      <c r="IK121" s="71"/>
      <c r="IL121" s="345"/>
      <c r="IM121" s="71"/>
      <c r="IN121" s="226"/>
      <c r="IO121" s="71"/>
      <c r="IP121" s="71"/>
      <c r="IQ121" s="345"/>
      <c r="IR121" s="71"/>
      <c r="IS121" s="226"/>
      <c r="IT121" s="71"/>
      <c r="IU121" s="71"/>
      <c r="IV121" s="345"/>
    </row>
    <row r="122" spans="1:256" x14ac:dyDescent="0.2">
      <c r="A122" s="345">
        <v>31228</v>
      </c>
      <c r="B122" s="71"/>
      <c r="C122" s="226"/>
      <c r="D122" s="71"/>
      <c r="E122" s="71"/>
      <c r="F122" s="345"/>
      <c r="G122" s="71"/>
      <c r="H122" s="226"/>
      <c r="I122" s="71"/>
      <c r="J122" s="71"/>
      <c r="K122" s="345"/>
      <c r="L122" s="71"/>
      <c r="M122" s="226"/>
      <c r="N122" s="71"/>
      <c r="O122" s="71"/>
      <c r="P122" s="345"/>
      <c r="Q122" s="71"/>
      <c r="R122" s="226"/>
      <c r="S122" s="71"/>
      <c r="T122" s="71"/>
      <c r="U122" s="345"/>
      <c r="V122" s="71"/>
      <c r="W122" s="226"/>
      <c r="X122" s="71"/>
      <c r="Y122" s="71"/>
      <c r="Z122" s="345"/>
      <c r="AA122" s="71"/>
      <c r="AB122" s="226"/>
      <c r="AC122" s="71"/>
      <c r="AD122" s="71"/>
      <c r="AE122" s="345"/>
      <c r="AF122" s="71"/>
      <c r="AG122" s="226"/>
      <c r="AH122" s="71"/>
      <c r="AI122" s="71"/>
      <c r="AJ122" s="345"/>
      <c r="AK122" s="71"/>
      <c r="AL122" s="226"/>
      <c r="AM122" s="71"/>
      <c r="AN122" s="71"/>
      <c r="AO122" s="345"/>
      <c r="AP122" s="71"/>
      <c r="AQ122" s="226"/>
      <c r="AR122" s="71"/>
      <c r="AS122" s="71"/>
      <c r="AT122" s="345"/>
      <c r="AU122" s="71"/>
      <c r="AV122" s="226"/>
      <c r="AW122" s="71"/>
      <c r="AX122" s="71"/>
      <c r="AY122" s="345"/>
      <c r="AZ122" s="71"/>
      <c r="BA122" s="226"/>
      <c r="BB122" s="71"/>
      <c r="BC122" s="71"/>
      <c r="BD122" s="345"/>
      <c r="BE122" s="71"/>
      <c r="BF122" s="226"/>
      <c r="BG122" s="71"/>
      <c r="BH122" s="71"/>
      <c r="BI122" s="345"/>
      <c r="BJ122" s="71"/>
      <c r="BK122" s="226"/>
      <c r="BL122" s="71"/>
      <c r="BM122" s="71"/>
      <c r="BN122" s="345"/>
      <c r="BO122" s="71"/>
      <c r="BP122" s="226"/>
      <c r="BQ122" s="71"/>
      <c r="BR122" s="71"/>
      <c r="BS122" s="345"/>
      <c r="BT122" s="71"/>
      <c r="BU122" s="226"/>
      <c r="BV122" s="71"/>
      <c r="BW122" s="71"/>
      <c r="BX122" s="345"/>
      <c r="BY122" s="71"/>
      <c r="BZ122" s="226"/>
      <c r="CA122" s="71"/>
      <c r="CB122" s="71"/>
      <c r="CC122" s="345"/>
      <c r="CD122" s="71"/>
      <c r="CE122" s="226"/>
      <c r="CF122" s="71"/>
      <c r="CG122" s="71"/>
      <c r="CH122" s="345"/>
      <c r="CI122" s="71"/>
      <c r="CJ122" s="226"/>
      <c r="CK122" s="71"/>
      <c r="CL122" s="71"/>
      <c r="CM122" s="345"/>
      <c r="CN122" s="71"/>
      <c r="CO122" s="226"/>
      <c r="CP122" s="71"/>
      <c r="CQ122" s="71"/>
      <c r="CR122" s="345"/>
      <c r="CS122" s="71"/>
      <c r="CT122" s="226"/>
      <c r="CU122" s="71"/>
      <c r="CV122" s="71"/>
      <c r="CW122" s="345"/>
      <c r="CX122" s="71"/>
      <c r="CY122" s="226"/>
      <c r="CZ122" s="71"/>
      <c r="DA122" s="71"/>
      <c r="DB122" s="345"/>
      <c r="DC122" s="71"/>
      <c r="DD122" s="226"/>
      <c r="DE122" s="71"/>
      <c r="DF122" s="71"/>
      <c r="DG122" s="345"/>
      <c r="DH122" s="71"/>
      <c r="DI122" s="226"/>
      <c r="DJ122" s="71"/>
      <c r="DK122" s="71"/>
      <c r="DL122" s="345"/>
      <c r="DM122" s="71"/>
      <c r="DN122" s="226"/>
      <c r="DO122" s="71"/>
      <c r="DP122" s="71"/>
      <c r="DQ122" s="345"/>
      <c r="DR122" s="71"/>
      <c r="DS122" s="226"/>
      <c r="DT122" s="71"/>
      <c r="DU122" s="71"/>
      <c r="DV122" s="345"/>
      <c r="DW122" s="71"/>
      <c r="DX122" s="226"/>
      <c r="DY122" s="71"/>
      <c r="DZ122" s="71"/>
      <c r="EA122" s="345"/>
      <c r="EB122" s="71"/>
      <c r="EC122" s="226"/>
      <c r="ED122" s="71"/>
      <c r="EE122" s="71"/>
      <c r="EF122" s="345"/>
      <c r="EG122" s="71"/>
      <c r="EH122" s="226"/>
      <c r="EI122" s="71"/>
      <c r="EJ122" s="71"/>
      <c r="EK122" s="345"/>
      <c r="EL122" s="71"/>
      <c r="EM122" s="226"/>
      <c r="EN122" s="71"/>
      <c r="EO122" s="71"/>
      <c r="EP122" s="345"/>
      <c r="EQ122" s="71"/>
      <c r="ER122" s="226"/>
      <c r="ES122" s="71"/>
      <c r="ET122" s="71"/>
      <c r="EU122" s="345"/>
      <c r="EV122" s="71"/>
      <c r="EW122" s="226"/>
      <c r="EX122" s="71"/>
      <c r="EY122" s="71"/>
      <c r="EZ122" s="345"/>
      <c r="FA122" s="71"/>
      <c r="FB122" s="226"/>
      <c r="FC122" s="71"/>
      <c r="FD122" s="71"/>
      <c r="FE122" s="345"/>
      <c r="FF122" s="71"/>
      <c r="FG122" s="226"/>
      <c r="FH122" s="71"/>
      <c r="FI122" s="71"/>
      <c r="FJ122" s="345"/>
      <c r="FK122" s="71"/>
      <c r="FL122" s="226"/>
      <c r="FM122" s="71"/>
      <c r="FN122" s="71"/>
      <c r="FO122" s="345"/>
      <c r="FP122" s="71"/>
      <c r="FQ122" s="226"/>
      <c r="FR122" s="71"/>
      <c r="FS122" s="71"/>
      <c r="FT122" s="345"/>
      <c r="FU122" s="71"/>
      <c r="FV122" s="226"/>
      <c r="FW122" s="71"/>
      <c r="FX122" s="71"/>
      <c r="FY122" s="345"/>
      <c r="FZ122" s="71"/>
      <c r="GA122" s="226"/>
      <c r="GB122" s="71"/>
      <c r="GC122" s="71"/>
      <c r="GD122" s="345"/>
      <c r="GE122" s="71"/>
      <c r="GF122" s="226"/>
      <c r="GG122" s="71"/>
      <c r="GH122" s="71"/>
      <c r="GI122" s="345"/>
      <c r="GJ122" s="71"/>
      <c r="GK122" s="226"/>
      <c r="GL122" s="71"/>
      <c r="GM122" s="71"/>
      <c r="GN122" s="345"/>
      <c r="GO122" s="71"/>
      <c r="GP122" s="226"/>
      <c r="GQ122" s="71"/>
      <c r="GR122" s="71"/>
      <c r="GS122" s="345"/>
      <c r="GT122" s="71"/>
      <c r="GU122" s="226"/>
      <c r="GV122" s="71"/>
      <c r="GW122" s="71"/>
      <c r="GX122" s="345"/>
      <c r="GY122" s="71"/>
      <c r="GZ122" s="226"/>
      <c r="HA122" s="71"/>
      <c r="HB122" s="71"/>
      <c r="HC122" s="345"/>
      <c r="HD122" s="71"/>
      <c r="HE122" s="226"/>
      <c r="HF122" s="71"/>
      <c r="HG122" s="71"/>
      <c r="HH122" s="345"/>
      <c r="HI122" s="71"/>
      <c r="HJ122" s="226"/>
      <c r="HK122" s="71"/>
      <c r="HL122" s="71"/>
      <c r="HM122" s="345"/>
      <c r="HN122" s="71"/>
      <c r="HO122" s="226"/>
      <c r="HP122" s="71"/>
      <c r="HQ122" s="71"/>
      <c r="HR122" s="345"/>
      <c r="HS122" s="71"/>
      <c r="HT122" s="226"/>
      <c r="HU122" s="71"/>
      <c r="HV122" s="71"/>
      <c r="HW122" s="345"/>
      <c r="HX122" s="71"/>
      <c r="HY122" s="226"/>
      <c r="HZ122" s="71"/>
      <c r="IA122" s="71"/>
      <c r="IB122" s="345"/>
      <c r="IC122" s="71"/>
      <c r="ID122" s="226"/>
      <c r="IE122" s="71"/>
      <c r="IF122" s="71"/>
      <c r="IG122" s="345"/>
      <c r="IH122" s="71"/>
      <c r="II122" s="226"/>
      <c r="IJ122" s="71"/>
      <c r="IK122" s="71"/>
      <c r="IL122" s="345"/>
      <c r="IM122" s="71"/>
      <c r="IN122" s="226"/>
      <c r="IO122" s="71"/>
      <c r="IP122" s="71"/>
      <c r="IQ122" s="345"/>
      <c r="IR122" s="71"/>
      <c r="IS122" s="226"/>
      <c r="IT122" s="71"/>
      <c r="IU122" s="71"/>
      <c r="IV122" s="345"/>
    </row>
    <row r="123" spans="1:256" x14ac:dyDescent="0.2">
      <c r="A123" s="345">
        <v>31259</v>
      </c>
      <c r="B123" s="71"/>
      <c r="C123" s="226"/>
      <c r="D123" s="71"/>
      <c r="E123" s="71"/>
      <c r="F123" s="345"/>
      <c r="G123" s="71"/>
      <c r="H123" s="226"/>
      <c r="I123" s="71"/>
      <c r="J123" s="71"/>
      <c r="K123" s="345"/>
      <c r="L123" s="71"/>
      <c r="M123" s="226"/>
      <c r="N123" s="71"/>
      <c r="O123" s="71"/>
      <c r="P123" s="345"/>
      <c r="Q123" s="71"/>
      <c r="R123" s="226"/>
      <c r="S123" s="71"/>
      <c r="T123" s="71"/>
      <c r="U123" s="345"/>
      <c r="V123" s="71"/>
      <c r="W123" s="226"/>
      <c r="X123" s="71"/>
      <c r="Y123" s="71"/>
      <c r="Z123" s="345"/>
      <c r="AA123" s="71"/>
      <c r="AB123" s="226"/>
      <c r="AC123" s="71"/>
      <c r="AD123" s="71"/>
      <c r="AE123" s="345"/>
      <c r="AF123" s="71"/>
      <c r="AG123" s="226"/>
      <c r="AH123" s="71"/>
      <c r="AI123" s="71"/>
      <c r="AJ123" s="345"/>
      <c r="AK123" s="71"/>
      <c r="AL123" s="226"/>
      <c r="AM123" s="71"/>
      <c r="AN123" s="71"/>
      <c r="AO123" s="345"/>
      <c r="AP123" s="71"/>
      <c r="AQ123" s="226"/>
      <c r="AR123" s="71"/>
      <c r="AS123" s="71"/>
      <c r="AT123" s="345"/>
      <c r="AU123" s="71"/>
      <c r="AV123" s="226"/>
      <c r="AW123" s="71"/>
      <c r="AX123" s="71"/>
      <c r="AY123" s="345"/>
      <c r="AZ123" s="71"/>
      <c r="BA123" s="226"/>
      <c r="BB123" s="71"/>
      <c r="BC123" s="71"/>
      <c r="BD123" s="345"/>
      <c r="BE123" s="71"/>
      <c r="BF123" s="226"/>
      <c r="BG123" s="71"/>
      <c r="BH123" s="71"/>
      <c r="BI123" s="345"/>
      <c r="BJ123" s="71"/>
      <c r="BK123" s="226"/>
      <c r="BL123" s="71"/>
      <c r="BM123" s="71"/>
      <c r="BN123" s="345"/>
      <c r="BO123" s="71"/>
      <c r="BP123" s="226"/>
      <c r="BQ123" s="71"/>
      <c r="BR123" s="71"/>
      <c r="BS123" s="345"/>
      <c r="BT123" s="71"/>
      <c r="BU123" s="226"/>
      <c r="BV123" s="71"/>
      <c r="BW123" s="71"/>
      <c r="BX123" s="345"/>
      <c r="BY123" s="71"/>
      <c r="BZ123" s="226"/>
      <c r="CA123" s="71"/>
      <c r="CB123" s="71"/>
      <c r="CC123" s="345"/>
      <c r="CD123" s="71"/>
      <c r="CE123" s="226"/>
      <c r="CF123" s="71"/>
      <c r="CG123" s="71"/>
      <c r="CH123" s="345"/>
      <c r="CI123" s="71"/>
      <c r="CJ123" s="226"/>
      <c r="CK123" s="71"/>
      <c r="CL123" s="71"/>
      <c r="CM123" s="345"/>
      <c r="CN123" s="71"/>
      <c r="CO123" s="226"/>
      <c r="CP123" s="71"/>
      <c r="CQ123" s="71"/>
      <c r="CR123" s="345"/>
      <c r="CS123" s="71"/>
      <c r="CT123" s="226"/>
      <c r="CU123" s="71"/>
      <c r="CV123" s="71"/>
      <c r="CW123" s="345"/>
      <c r="CX123" s="71"/>
      <c r="CY123" s="226"/>
      <c r="CZ123" s="71"/>
      <c r="DA123" s="71"/>
      <c r="DB123" s="345"/>
      <c r="DC123" s="71"/>
      <c r="DD123" s="226"/>
      <c r="DE123" s="71"/>
      <c r="DF123" s="71"/>
      <c r="DG123" s="345"/>
      <c r="DH123" s="71"/>
      <c r="DI123" s="226"/>
      <c r="DJ123" s="71"/>
      <c r="DK123" s="71"/>
      <c r="DL123" s="345"/>
      <c r="DM123" s="71"/>
      <c r="DN123" s="226"/>
      <c r="DO123" s="71"/>
      <c r="DP123" s="71"/>
      <c r="DQ123" s="345"/>
      <c r="DR123" s="71"/>
      <c r="DS123" s="226"/>
      <c r="DT123" s="71"/>
      <c r="DU123" s="71"/>
      <c r="DV123" s="345"/>
      <c r="DW123" s="71"/>
      <c r="DX123" s="226"/>
      <c r="DY123" s="71"/>
      <c r="DZ123" s="71"/>
      <c r="EA123" s="345"/>
      <c r="EB123" s="71"/>
      <c r="EC123" s="226"/>
      <c r="ED123" s="71"/>
      <c r="EE123" s="71"/>
      <c r="EF123" s="345"/>
      <c r="EG123" s="71"/>
      <c r="EH123" s="226"/>
      <c r="EI123" s="71"/>
      <c r="EJ123" s="71"/>
      <c r="EK123" s="345"/>
      <c r="EL123" s="71"/>
      <c r="EM123" s="226"/>
      <c r="EN123" s="71"/>
      <c r="EO123" s="71"/>
      <c r="EP123" s="345"/>
      <c r="EQ123" s="71"/>
      <c r="ER123" s="226"/>
      <c r="ES123" s="71"/>
      <c r="ET123" s="71"/>
      <c r="EU123" s="345"/>
      <c r="EV123" s="71"/>
      <c r="EW123" s="226"/>
      <c r="EX123" s="71"/>
      <c r="EY123" s="71"/>
      <c r="EZ123" s="345"/>
      <c r="FA123" s="71"/>
      <c r="FB123" s="226"/>
      <c r="FC123" s="71"/>
      <c r="FD123" s="71"/>
      <c r="FE123" s="345"/>
      <c r="FF123" s="71"/>
      <c r="FG123" s="226"/>
      <c r="FH123" s="71"/>
      <c r="FI123" s="71"/>
      <c r="FJ123" s="345"/>
      <c r="FK123" s="71"/>
      <c r="FL123" s="226"/>
      <c r="FM123" s="71"/>
      <c r="FN123" s="71"/>
      <c r="FO123" s="345"/>
      <c r="FP123" s="71"/>
      <c r="FQ123" s="226"/>
      <c r="FR123" s="71"/>
      <c r="FS123" s="71"/>
      <c r="FT123" s="345"/>
      <c r="FU123" s="71"/>
      <c r="FV123" s="226"/>
      <c r="FW123" s="71"/>
      <c r="FX123" s="71"/>
      <c r="FY123" s="345"/>
      <c r="FZ123" s="71"/>
      <c r="GA123" s="226"/>
      <c r="GB123" s="71"/>
      <c r="GC123" s="71"/>
      <c r="GD123" s="345"/>
      <c r="GE123" s="71"/>
      <c r="GF123" s="226"/>
      <c r="GG123" s="71"/>
      <c r="GH123" s="71"/>
      <c r="GI123" s="345"/>
      <c r="GJ123" s="71"/>
      <c r="GK123" s="226"/>
      <c r="GL123" s="71"/>
      <c r="GM123" s="71"/>
      <c r="GN123" s="345"/>
      <c r="GO123" s="71"/>
      <c r="GP123" s="226"/>
      <c r="GQ123" s="71"/>
      <c r="GR123" s="71"/>
      <c r="GS123" s="345"/>
      <c r="GT123" s="71"/>
      <c r="GU123" s="226"/>
      <c r="GV123" s="71"/>
      <c r="GW123" s="71"/>
      <c r="GX123" s="345"/>
      <c r="GY123" s="71"/>
      <c r="GZ123" s="226"/>
      <c r="HA123" s="71"/>
      <c r="HB123" s="71"/>
      <c r="HC123" s="345"/>
      <c r="HD123" s="71"/>
      <c r="HE123" s="226"/>
      <c r="HF123" s="71"/>
      <c r="HG123" s="71"/>
      <c r="HH123" s="345"/>
      <c r="HI123" s="71"/>
      <c r="HJ123" s="226"/>
      <c r="HK123" s="71"/>
      <c r="HL123" s="71"/>
      <c r="HM123" s="345"/>
      <c r="HN123" s="71"/>
      <c r="HO123" s="226"/>
      <c r="HP123" s="71"/>
      <c r="HQ123" s="71"/>
      <c r="HR123" s="345"/>
      <c r="HS123" s="71"/>
      <c r="HT123" s="226"/>
      <c r="HU123" s="71"/>
      <c r="HV123" s="71"/>
      <c r="HW123" s="345"/>
      <c r="HX123" s="71"/>
      <c r="HY123" s="226"/>
      <c r="HZ123" s="71"/>
      <c r="IA123" s="71"/>
      <c r="IB123" s="345"/>
      <c r="IC123" s="71"/>
      <c r="ID123" s="226"/>
      <c r="IE123" s="71"/>
      <c r="IF123" s="71"/>
      <c r="IG123" s="345"/>
      <c r="IH123" s="71"/>
      <c r="II123" s="226"/>
      <c r="IJ123" s="71"/>
      <c r="IK123" s="71"/>
      <c r="IL123" s="345"/>
      <c r="IM123" s="71"/>
      <c r="IN123" s="226"/>
      <c r="IO123" s="71"/>
      <c r="IP123" s="71"/>
      <c r="IQ123" s="345"/>
      <c r="IR123" s="71"/>
      <c r="IS123" s="226"/>
      <c r="IT123" s="71"/>
      <c r="IU123" s="71"/>
      <c r="IV123" s="345"/>
    </row>
    <row r="124" spans="1:256" x14ac:dyDescent="0.2">
      <c r="A124" s="345">
        <v>31290</v>
      </c>
      <c r="B124" s="71"/>
      <c r="C124" s="226"/>
      <c r="D124" s="71"/>
      <c r="E124" s="71"/>
      <c r="F124" s="345"/>
      <c r="G124" s="71"/>
      <c r="H124" s="226"/>
      <c r="I124" s="71"/>
      <c r="J124" s="71"/>
      <c r="K124" s="345"/>
      <c r="L124" s="71"/>
      <c r="M124" s="226"/>
      <c r="N124" s="71"/>
      <c r="O124" s="71"/>
      <c r="P124" s="345"/>
      <c r="Q124" s="71"/>
      <c r="R124" s="226"/>
      <c r="S124" s="71"/>
      <c r="T124" s="71"/>
      <c r="U124" s="345"/>
      <c r="V124" s="71"/>
      <c r="W124" s="226"/>
      <c r="X124" s="71"/>
      <c r="Y124" s="71"/>
      <c r="Z124" s="345"/>
      <c r="AA124" s="71"/>
      <c r="AB124" s="226"/>
      <c r="AC124" s="71"/>
      <c r="AD124" s="71"/>
      <c r="AE124" s="345"/>
      <c r="AF124" s="71"/>
      <c r="AG124" s="226"/>
      <c r="AH124" s="71"/>
      <c r="AI124" s="71"/>
      <c r="AJ124" s="345"/>
      <c r="AK124" s="71"/>
      <c r="AL124" s="226"/>
      <c r="AM124" s="71"/>
      <c r="AN124" s="71"/>
      <c r="AO124" s="345"/>
      <c r="AP124" s="71"/>
      <c r="AQ124" s="226"/>
      <c r="AR124" s="71"/>
      <c r="AS124" s="71"/>
      <c r="AT124" s="345"/>
      <c r="AU124" s="71"/>
      <c r="AV124" s="226"/>
      <c r="AW124" s="71"/>
      <c r="AX124" s="71"/>
      <c r="AY124" s="345"/>
      <c r="AZ124" s="71"/>
      <c r="BA124" s="226"/>
      <c r="BB124" s="71"/>
      <c r="BC124" s="71"/>
      <c r="BD124" s="345"/>
      <c r="BE124" s="71"/>
      <c r="BF124" s="226"/>
      <c r="BG124" s="71"/>
      <c r="BH124" s="71"/>
      <c r="BI124" s="345"/>
      <c r="BJ124" s="71"/>
      <c r="BK124" s="226"/>
      <c r="BL124" s="71"/>
      <c r="BM124" s="71"/>
      <c r="BN124" s="345"/>
      <c r="BO124" s="71"/>
      <c r="BP124" s="226"/>
      <c r="BQ124" s="71"/>
      <c r="BR124" s="71"/>
      <c r="BS124" s="345"/>
      <c r="BT124" s="71"/>
      <c r="BU124" s="226"/>
      <c r="BV124" s="71"/>
      <c r="BW124" s="71"/>
      <c r="BX124" s="345"/>
      <c r="BY124" s="71"/>
      <c r="BZ124" s="226"/>
      <c r="CA124" s="71"/>
      <c r="CB124" s="71"/>
      <c r="CC124" s="345"/>
      <c r="CD124" s="71"/>
      <c r="CE124" s="226"/>
      <c r="CF124" s="71"/>
      <c r="CG124" s="71"/>
      <c r="CH124" s="345"/>
      <c r="CI124" s="71"/>
      <c r="CJ124" s="226"/>
      <c r="CK124" s="71"/>
      <c r="CL124" s="71"/>
      <c r="CM124" s="345"/>
      <c r="CN124" s="71"/>
      <c r="CO124" s="226"/>
      <c r="CP124" s="71"/>
      <c r="CQ124" s="71"/>
      <c r="CR124" s="345"/>
      <c r="CS124" s="71"/>
      <c r="CT124" s="226"/>
      <c r="CU124" s="71"/>
      <c r="CV124" s="71"/>
      <c r="CW124" s="345"/>
      <c r="CX124" s="71"/>
      <c r="CY124" s="226"/>
      <c r="CZ124" s="71"/>
      <c r="DA124" s="71"/>
      <c r="DB124" s="345"/>
      <c r="DC124" s="71"/>
      <c r="DD124" s="226"/>
      <c r="DE124" s="71"/>
      <c r="DF124" s="71"/>
      <c r="DG124" s="345"/>
      <c r="DH124" s="71"/>
      <c r="DI124" s="226"/>
      <c r="DJ124" s="71"/>
      <c r="DK124" s="71"/>
      <c r="DL124" s="345"/>
      <c r="DM124" s="71"/>
      <c r="DN124" s="226"/>
      <c r="DO124" s="71"/>
      <c r="DP124" s="71"/>
      <c r="DQ124" s="345"/>
      <c r="DR124" s="71"/>
      <c r="DS124" s="226"/>
      <c r="DT124" s="71"/>
      <c r="DU124" s="71"/>
      <c r="DV124" s="345"/>
      <c r="DW124" s="71"/>
      <c r="DX124" s="226"/>
      <c r="DY124" s="71"/>
      <c r="DZ124" s="71"/>
      <c r="EA124" s="345"/>
      <c r="EB124" s="71"/>
      <c r="EC124" s="226"/>
      <c r="ED124" s="71"/>
      <c r="EE124" s="71"/>
      <c r="EF124" s="345"/>
      <c r="EG124" s="71"/>
      <c r="EH124" s="226"/>
      <c r="EI124" s="71"/>
      <c r="EJ124" s="71"/>
      <c r="EK124" s="345"/>
      <c r="EL124" s="71"/>
      <c r="EM124" s="226"/>
      <c r="EN124" s="71"/>
      <c r="EO124" s="71"/>
      <c r="EP124" s="345"/>
      <c r="EQ124" s="71"/>
      <c r="ER124" s="226"/>
      <c r="ES124" s="71"/>
      <c r="ET124" s="71"/>
      <c r="EU124" s="345"/>
      <c r="EV124" s="71"/>
      <c r="EW124" s="226"/>
      <c r="EX124" s="71"/>
      <c r="EY124" s="71"/>
      <c r="EZ124" s="345"/>
      <c r="FA124" s="71"/>
      <c r="FB124" s="226"/>
      <c r="FC124" s="71"/>
      <c r="FD124" s="71"/>
      <c r="FE124" s="345"/>
      <c r="FF124" s="71"/>
      <c r="FG124" s="226"/>
      <c r="FH124" s="71"/>
      <c r="FI124" s="71"/>
      <c r="FJ124" s="345"/>
      <c r="FK124" s="71"/>
      <c r="FL124" s="226"/>
      <c r="FM124" s="71"/>
      <c r="FN124" s="71"/>
      <c r="FO124" s="345"/>
      <c r="FP124" s="71"/>
      <c r="FQ124" s="226"/>
      <c r="FR124" s="71"/>
      <c r="FS124" s="71"/>
      <c r="FT124" s="345"/>
      <c r="FU124" s="71"/>
      <c r="FV124" s="226"/>
      <c r="FW124" s="71"/>
      <c r="FX124" s="71"/>
      <c r="FY124" s="345"/>
      <c r="FZ124" s="71"/>
      <c r="GA124" s="226"/>
      <c r="GB124" s="71"/>
      <c r="GC124" s="71"/>
      <c r="GD124" s="345"/>
      <c r="GE124" s="71"/>
      <c r="GF124" s="226"/>
      <c r="GG124" s="71"/>
      <c r="GH124" s="71"/>
      <c r="GI124" s="345"/>
      <c r="GJ124" s="71"/>
      <c r="GK124" s="226"/>
      <c r="GL124" s="71"/>
      <c r="GM124" s="71"/>
      <c r="GN124" s="345"/>
      <c r="GO124" s="71"/>
      <c r="GP124" s="226"/>
      <c r="GQ124" s="71"/>
      <c r="GR124" s="71"/>
      <c r="GS124" s="345"/>
      <c r="GT124" s="71"/>
      <c r="GU124" s="226"/>
      <c r="GV124" s="71"/>
      <c r="GW124" s="71"/>
      <c r="GX124" s="345"/>
      <c r="GY124" s="71"/>
      <c r="GZ124" s="226"/>
      <c r="HA124" s="71"/>
      <c r="HB124" s="71"/>
      <c r="HC124" s="345"/>
      <c r="HD124" s="71"/>
      <c r="HE124" s="226"/>
      <c r="HF124" s="71"/>
      <c r="HG124" s="71"/>
      <c r="HH124" s="345"/>
      <c r="HI124" s="71"/>
      <c r="HJ124" s="226"/>
      <c r="HK124" s="71"/>
      <c r="HL124" s="71"/>
      <c r="HM124" s="345"/>
      <c r="HN124" s="71"/>
      <c r="HO124" s="226"/>
      <c r="HP124" s="71"/>
      <c r="HQ124" s="71"/>
      <c r="HR124" s="345"/>
      <c r="HS124" s="71"/>
      <c r="HT124" s="226"/>
      <c r="HU124" s="71"/>
      <c r="HV124" s="71"/>
      <c r="HW124" s="345"/>
      <c r="HX124" s="71"/>
      <c r="HY124" s="226"/>
      <c r="HZ124" s="71"/>
      <c r="IA124" s="71"/>
      <c r="IB124" s="345"/>
      <c r="IC124" s="71"/>
      <c r="ID124" s="226"/>
      <c r="IE124" s="71"/>
      <c r="IF124" s="71"/>
      <c r="IG124" s="345"/>
      <c r="IH124" s="71"/>
      <c r="II124" s="226"/>
      <c r="IJ124" s="71"/>
      <c r="IK124" s="71"/>
      <c r="IL124" s="345"/>
      <c r="IM124" s="71"/>
      <c r="IN124" s="226"/>
      <c r="IO124" s="71"/>
      <c r="IP124" s="71"/>
      <c r="IQ124" s="345"/>
      <c r="IR124" s="71"/>
      <c r="IS124" s="226"/>
      <c r="IT124" s="71"/>
      <c r="IU124" s="71"/>
      <c r="IV124" s="345"/>
    </row>
    <row r="125" spans="1:256" x14ac:dyDescent="0.2">
      <c r="A125" s="345">
        <v>31320</v>
      </c>
      <c r="B125" s="71"/>
      <c r="C125" s="226"/>
      <c r="D125" s="71"/>
      <c r="E125" s="71"/>
      <c r="F125" s="345"/>
      <c r="G125" s="71"/>
      <c r="H125" s="226"/>
      <c r="I125" s="71"/>
      <c r="J125" s="71"/>
      <c r="K125" s="345"/>
      <c r="L125" s="71"/>
      <c r="M125" s="226"/>
      <c r="N125" s="71"/>
      <c r="O125" s="71"/>
      <c r="P125" s="345"/>
      <c r="Q125" s="71"/>
      <c r="R125" s="226"/>
      <c r="S125" s="71"/>
      <c r="T125" s="71"/>
      <c r="U125" s="345"/>
      <c r="V125" s="71"/>
      <c r="W125" s="226"/>
      <c r="X125" s="71"/>
      <c r="Y125" s="71"/>
      <c r="Z125" s="345"/>
      <c r="AA125" s="71"/>
      <c r="AB125" s="226"/>
      <c r="AC125" s="71"/>
      <c r="AD125" s="71"/>
      <c r="AE125" s="345"/>
      <c r="AF125" s="71"/>
      <c r="AG125" s="226"/>
      <c r="AH125" s="71"/>
      <c r="AI125" s="71"/>
      <c r="AJ125" s="345"/>
      <c r="AK125" s="71"/>
      <c r="AL125" s="226"/>
      <c r="AM125" s="71"/>
      <c r="AN125" s="71"/>
      <c r="AO125" s="345"/>
      <c r="AP125" s="71"/>
      <c r="AQ125" s="226"/>
      <c r="AR125" s="71"/>
      <c r="AS125" s="71"/>
      <c r="AT125" s="345"/>
      <c r="AU125" s="71"/>
      <c r="AV125" s="226"/>
      <c r="AW125" s="71"/>
      <c r="AX125" s="71"/>
      <c r="AY125" s="345"/>
      <c r="AZ125" s="71"/>
      <c r="BA125" s="226"/>
      <c r="BB125" s="71"/>
      <c r="BC125" s="71"/>
      <c r="BD125" s="345"/>
      <c r="BE125" s="71"/>
      <c r="BF125" s="226"/>
      <c r="BG125" s="71"/>
      <c r="BH125" s="71"/>
      <c r="BI125" s="345"/>
      <c r="BJ125" s="71"/>
      <c r="BK125" s="226"/>
      <c r="BL125" s="71"/>
      <c r="BM125" s="71"/>
      <c r="BN125" s="345"/>
      <c r="BO125" s="71"/>
      <c r="BP125" s="226"/>
      <c r="BQ125" s="71"/>
      <c r="BR125" s="71"/>
      <c r="BS125" s="345"/>
      <c r="BT125" s="71"/>
      <c r="BU125" s="226"/>
      <c r="BV125" s="71"/>
      <c r="BW125" s="71"/>
      <c r="BX125" s="345"/>
      <c r="BY125" s="71"/>
      <c r="BZ125" s="226"/>
      <c r="CA125" s="71"/>
      <c r="CB125" s="71"/>
      <c r="CC125" s="345"/>
      <c r="CD125" s="71"/>
      <c r="CE125" s="226"/>
      <c r="CF125" s="71"/>
      <c r="CG125" s="71"/>
      <c r="CH125" s="345"/>
      <c r="CI125" s="71"/>
      <c r="CJ125" s="226"/>
      <c r="CK125" s="71"/>
      <c r="CL125" s="71"/>
      <c r="CM125" s="345"/>
      <c r="CN125" s="71"/>
      <c r="CO125" s="226"/>
      <c r="CP125" s="71"/>
      <c r="CQ125" s="71"/>
      <c r="CR125" s="345"/>
      <c r="CS125" s="71"/>
      <c r="CT125" s="226"/>
      <c r="CU125" s="71"/>
      <c r="CV125" s="71"/>
      <c r="CW125" s="345"/>
      <c r="CX125" s="71"/>
      <c r="CY125" s="226"/>
      <c r="CZ125" s="71"/>
      <c r="DA125" s="71"/>
      <c r="DB125" s="345"/>
      <c r="DC125" s="71"/>
      <c r="DD125" s="226"/>
      <c r="DE125" s="71"/>
      <c r="DF125" s="71"/>
      <c r="DG125" s="345"/>
      <c r="DH125" s="71"/>
      <c r="DI125" s="226"/>
      <c r="DJ125" s="71"/>
      <c r="DK125" s="71"/>
      <c r="DL125" s="345"/>
      <c r="DM125" s="71"/>
      <c r="DN125" s="226"/>
      <c r="DO125" s="71"/>
      <c r="DP125" s="71"/>
      <c r="DQ125" s="345"/>
      <c r="DR125" s="71"/>
      <c r="DS125" s="226"/>
      <c r="DT125" s="71"/>
      <c r="DU125" s="71"/>
      <c r="DV125" s="345"/>
      <c r="DW125" s="71"/>
      <c r="DX125" s="226"/>
      <c r="DY125" s="71"/>
      <c r="DZ125" s="71"/>
      <c r="EA125" s="345"/>
      <c r="EB125" s="71"/>
      <c r="EC125" s="226"/>
      <c r="ED125" s="71"/>
      <c r="EE125" s="71"/>
      <c r="EF125" s="345"/>
      <c r="EG125" s="71"/>
      <c r="EH125" s="226"/>
      <c r="EI125" s="71"/>
      <c r="EJ125" s="71"/>
      <c r="EK125" s="345"/>
      <c r="EL125" s="71"/>
      <c r="EM125" s="226"/>
      <c r="EN125" s="71"/>
      <c r="EO125" s="71"/>
      <c r="EP125" s="345"/>
      <c r="EQ125" s="71"/>
      <c r="ER125" s="226"/>
      <c r="ES125" s="71"/>
      <c r="ET125" s="71"/>
      <c r="EU125" s="345"/>
      <c r="EV125" s="71"/>
      <c r="EW125" s="226"/>
      <c r="EX125" s="71"/>
      <c r="EY125" s="71"/>
      <c r="EZ125" s="345"/>
      <c r="FA125" s="71"/>
      <c r="FB125" s="226"/>
      <c r="FC125" s="71"/>
      <c r="FD125" s="71"/>
      <c r="FE125" s="345"/>
      <c r="FF125" s="71"/>
      <c r="FG125" s="226"/>
      <c r="FH125" s="71"/>
      <c r="FI125" s="71"/>
      <c r="FJ125" s="345"/>
      <c r="FK125" s="71"/>
      <c r="FL125" s="226"/>
      <c r="FM125" s="71"/>
      <c r="FN125" s="71"/>
      <c r="FO125" s="345"/>
      <c r="FP125" s="71"/>
      <c r="FQ125" s="226"/>
      <c r="FR125" s="71"/>
      <c r="FS125" s="71"/>
      <c r="FT125" s="345"/>
      <c r="FU125" s="71"/>
      <c r="FV125" s="226"/>
      <c r="FW125" s="71"/>
      <c r="FX125" s="71"/>
      <c r="FY125" s="345"/>
      <c r="FZ125" s="71"/>
      <c r="GA125" s="226"/>
      <c r="GB125" s="71"/>
      <c r="GC125" s="71"/>
      <c r="GD125" s="345"/>
      <c r="GE125" s="71"/>
      <c r="GF125" s="226"/>
      <c r="GG125" s="71"/>
      <c r="GH125" s="71"/>
      <c r="GI125" s="345"/>
      <c r="GJ125" s="71"/>
      <c r="GK125" s="226"/>
      <c r="GL125" s="71"/>
      <c r="GM125" s="71"/>
      <c r="GN125" s="345"/>
      <c r="GO125" s="71"/>
      <c r="GP125" s="226"/>
      <c r="GQ125" s="71"/>
      <c r="GR125" s="71"/>
      <c r="GS125" s="345"/>
      <c r="GT125" s="71"/>
      <c r="GU125" s="226"/>
      <c r="GV125" s="71"/>
      <c r="GW125" s="71"/>
      <c r="GX125" s="345"/>
      <c r="GY125" s="71"/>
      <c r="GZ125" s="226"/>
      <c r="HA125" s="71"/>
      <c r="HB125" s="71"/>
      <c r="HC125" s="345"/>
      <c r="HD125" s="71"/>
      <c r="HE125" s="226"/>
      <c r="HF125" s="71"/>
      <c r="HG125" s="71"/>
      <c r="HH125" s="345"/>
      <c r="HI125" s="71"/>
      <c r="HJ125" s="226"/>
      <c r="HK125" s="71"/>
      <c r="HL125" s="71"/>
      <c r="HM125" s="345"/>
      <c r="HN125" s="71"/>
      <c r="HO125" s="226"/>
      <c r="HP125" s="71"/>
      <c r="HQ125" s="71"/>
      <c r="HR125" s="345"/>
      <c r="HS125" s="71"/>
      <c r="HT125" s="226"/>
      <c r="HU125" s="71"/>
      <c r="HV125" s="71"/>
      <c r="HW125" s="345"/>
      <c r="HX125" s="71"/>
      <c r="HY125" s="226"/>
      <c r="HZ125" s="71"/>
      <c r="IA125" s="71"/>
      <c r="IB125" s="345"/>
      <c r="IC125" s="71"/>
      <c r="ID125" s="226"/>
      <c r="IE125" s="71"/>
      <c r="IF125" s="71"/>
      <c r="IG125" s="345"/>
      <c r="IH125" s="71"/>
      <c r="II125" s="226"/>
      <c r="IJ125" s="71"/>
      <c r="IK125" s="71"/>
      <c r="IL125" s="345"/>
      <c r="IM125" s="71"/>
      <c r="IN125" s="226"/>
      <c r="IO125" s="71"/>
      <c r="IP125" s="71"/>
      <c r="IQ125" s="345"/>
      <c r="IR125" s="71"/>
      <c r="IS125" s="226"/>
      <c r="IT125" s="71"/>
      <c r="IU125" s="71"/>
      <c r="IV125" s="345"/>
    </row>
    <row r="126" spans="1:256" x14ac:dyDescent="0.2">
      <c r="A126" s="345">
        <v>31351</v>
      </c>
      <c r="B126" s="71"/>
      <c r="C126" s="226"/>
      <c r="D126" s="71"/>
      <c r="E126" s="71"/>
      <c r="F126" s="345"/>
      <c r="G126" s="71"/>
      <c r="H126" s="226"/>
      <c r="I126" s="71"/>
      <c r="J126" s="71"/>
      <c r="K126" s="345"/>
      <c r="L126" s="71"/>
      <c r="M126" s="226"/>
      <c r="N126" s="71"/>
      <c r="O126" s="71"/>
      <c r="P126" s="345"/>
      <c r="Q126" s="71"/>
      <c r="R126" s="226"/>
      <c r="S126" s="71"/>
      <c r="T126" s="71"/>
      <c r="U126" s="345"/>
      <c r="V126" s="71"/>
      <c r="W126" s="226"/>
      <c r="X126" s="71"/>
      <c r="Y126" s="71"/>
      <c r="Z126" s="345"/>
      <c r="AA126" s="71"/>
      <c r="AB126" s="226"/>
      <c r="AC126" s="71"/>
      <c r="AD126" s="71"/>
      <c r="AE126" s="345"/>
      <c r="AF126" s="71"/>
      <c r="AG126" s="226"/>
      <c r="AH126" s="71"/>
      <c r="AI126" s="71"/>
      <c r="AJ126" s="345"/>
      <c r="AK126" s="71"/>
      <c r="AL126" s="226"/>
      <c r="AM126" s="71"/>
      <c r="AN126" s="71"/>
      <c r="AO126" s="345"/>
      <c r="AP126" s="71"/>
      <c r="AQ126" s="226"/>
      <c r="AR126" s="71"/>
      <c r="AS126" s="71"/>
      <c r="AT126" s="345"/>
      <c r="AU126" s="71"/>
      <c r="AV126" s="226"/>
      <c r="AW126" s="71"/>
      <c r="AX126" s="71"/>
      <c r="AY126" s="345"/>
      <c r="AZ126" s="71"/>
      <c r="BA126" s="226"/>
      <c r="BB126" s="71"/>
      <c r="BC126" s="71"/>
      <c r="BD126" s="345"/>
      <c r="BE126" s="71"/>
      <c r="BF126" s="226"/>
      <c r="BG126" s="71"/>
      <c r="BH126" s="71"/>
      <c r="BI126" s="345"/>
      <c r="BJ126" s="71"/>
      <c r="BK126" s="226"/>
      <c r="BL126" s="71"/>
      <c r="BM126" s="71"/>
      <c r="BN126" s="345"/>
      <c r="BO126" s="71"/>
      <c r="BP126" s="226"/>
      <c r="BQ126" s="71"/>
      <c r="BR126" s="71"/>
      <c r="BS126" s="345"/>
      <c r="BT126" s="71"/>
      <c r="BU126" s="226"/>
      <c r="BV126" s="71"/>
      <c r="BW126" s="71"/>
      <c r="BX126" s="345"/>
      <c r="BY126" s="71"/>
      <c r="BZ126" s="226"/>
      <c r="CA126" s="71"/>
      <c r="CB126" s="71"/>
      <c r="CC126" s="345"/>
      <c r="CD126" s="71"/>
      <c r="CE126" s="226"/>
      <c r="CF126" s="71"/>
      <c r="CG126" s="71"/>
      <c r="CH126" s="345"/>
      <c r="CI126" s="71"/>
      <c r="CJ126" s="226"/>
      <c r="CK126" s="71"/>
      <c r="CL126" s="71"/>
      <c r="CM126" s="345"/>
      <c r="CN126" s="71"/>
      <c r="CO126" s="226"/>
      <c r="CP126" s="71"/>
      <c r="CQ126" s="71"/>
      <c r="CR126" s="345"/>
      <c r="CS126" s="71"/>
      <c r="CT126" s="226"/>
      <c r="CU126" s="71"/>
      <c r="CV126" s="71"/>
      <c r="CW126" s="345"/>
      <c r="CX126" s="71"/>
      <c r="CY126" s="226"/>
      <c r="CZ126" s="71"/>
      <c r="DA126" s="71"/>
      <c r="DB126" s="345"/>
      <c r="DC126" s="71"/>
      <c r="DD126" s="226"/>
      <c r="DE126" s="71"/>
      <c r="DF126" s="71"/>
      <c r="DG126" s="345"/>
      <c r="DH126" s="71"/>
      <c r="DI126" s="226"/>
      <c r="DJ126" s="71"/>
      <c r="DK126" s="71"/>
      <c r="DL126" s="345"/>
      <c r="DM126" s="71"/>
      <c r="DN126" s="226"/>
      <c r="DO126" s="71"/>
      <c r="DP126" s="71"/>
      <c r="DQ126" s="345"/>
      <c r="DR126" s="71"/>
      <c r="DS126" s="226"/>
      <c r="DT126" s="71"/>
      <c r="DU126" s="71"/>
      <c r="DV126" s="345"/>
      <c r="DW126" s="71"/>
      <c r="DX126" s="226"/>
      <c r="DY126" s="71"/>
      <c r="DZ126" s="71"/>
      <c r="EA126" s="345"/>
      <c r="EB126" s="71"/>
      <c r="EC126" s="226"/>
      <c r="ED126" s="71"/>
      <c r="EE126" s="71"/>
      <c r="EF126" s="345"/>
      <c r="EG126" s="71"/>
      <c r="EH126" s="226"/>
      <c r="EI126" s="71"/>
      <c r="EJ126" s="71"/>
      <c r="EK126" s="345"/>
      <c r="EL126" s="71"/>
      <c r="EM126" s="226"/>
      <c r="EN126" s="71"/>
      <c r="EO126" s="71"/>
      <c r="EP126" s="345"/>
      <c r="EQ126" s="71"/>
      <c r="ER126" s="226"/>
      <c r="ES126" s="71"/>
      <c r="ET126" s="71"/>
      <c r="EU126" s="345"/>
      <c r="EV126" s="71"/>
      <c r="EW126" s="226"/>
      <c r="EX126" s="71"/>
      <c r="EY126" s="71"/>
      <c r="EZ126" s="345"/>
      <c r="FA126" s="71"/>
      <c r="FB126" s="226"/>
      <c r="FC126" s="71"/>
      <c r="FD126" s="71"/>
      <c r="FE126" s="345"/>
      <c r="FF126" s="71"/>
      <c r="FG126" s="226"/>
      <c r="FH126" s="71"/>
      <c r="FI126" s="71"/>
      <c r="FJ126" s="345"/>
      <c r="FK126" s="71"/>
      <c r="FL126" s="226"/>
      <c r="FM126" s="71"/>
      <c r="FN126" s="71"/>
      <c r="FO126" s="345"/>
      <c r="FP126" s="71"/>
      <c r="FQ126" s="226"/>
      <c r="FR126" s="71"/>
      <c r="FS126" s="71"/>
      <c r="FT126" s="345"/>
      <c r="FU126" s="71"/>
      <c r="FV126" s="226"/>
      <c r="FW126" s="71"/>
      <c r="FX126" s="71"/>
      <c r="FY126" s="345"/>
      <c r="FZ126" s="71"/>
      <c r="GA126" s="226"/>
      <c r="GB126" s="71"/>
      <c r="GC126" s="71"/>
      <c r="GD126" s="345"/>
      <c r="GE126" s="71"/>
      <c r="GF126" s="226"/>
      <c r="GG126" s="71"/>
      <c r="GH126" s="71"/>
      <c r="GI126" s="345"/>
      <c r="GJ126" s="71"/>
      <c r="GK126" s="226"/>
      <c r="GL126" s="71"/>
      <c r="GM126" s="71"/>
      <c r="GN126" s="345"/>
      <c r="GO126" s="71"/>
      <c r="GP126" s="226"/>
      <c r="GQ126" s="71"/>
      <c r="GR126" s="71"/>
      <c r="GS126" s="345"/>
      <c r="GT126" s="71"/>
      <c r="GU126" s="226"/>
      <c r="GV126" s="71"/>
      <c r="GW126" s="71"/>
      <c r="GX126" s="345"/>
      <c r="GY126" s="71"/>
      <c r="GZ126" s="226"/>
      <c r="HA126" s="71"/>
      <c r="HB126" s="71"/>
      <c r="HC126" s="345"/>
      <c r="HD126" s="71"/>
      <c r="HE126" s="226"/>
      <c r="HF126" s="71"/>
      <c r="HG126" s="71"/>
      <c r="HH126" s="345"/>
      <c r="HI126" s="71"/>
      <c r="HJ126" s="226"/>
      <c r="HK126" s="71"/>
      <c r="HL126" s="71"/>
      <c r="HM126" s="345"/>
      <c r="HN126" s="71"/>
      <c r="HO126" s="226"/>
      <c r="HP126" s="71"/>
      <c r="HQ126" s="71"/>
      <c r="HR126" s="345"/>
      <c r="HS126" s="71"/>
      <c r="HT126" s="226"/>
      <c r="HU126" s="71"/>
      <c r="HV126" s="71"/>
      <c r="HW126" s="345"/>
      <c r="HX126" s="71"/>
      <c r="HY126" s="226"/>
      <c r="HZ126" s="71"/>
      <c r="IA126" s="71"/>
      <c r="IB126" s="345"/>
      <c r="IC126" s="71"/>
      <c r="ID126" s="226"/>
      <c r="IE126" s="71"/>
      <c r="IF126" s="71"/>
      <c r="IG126" s="345"/>
      <c r="IH126" s="71"/>
      <c r="II126" s="226"/>
      <c r="IJ126" s="71"/>
      <c r="IK126" s="71"/>
      <c r="IL126" s="345"/>
      <c r="IM126" s="71"/>
      <c r="IN126" s="226"/>
      <c r="IO126" s="71"/>
      <c r="IP126" s="71"/>
      <c r="IQ126" s="345"/>
      <c r="IR126" s="71"/>
      <c r="IS126" s="226"/>
      <c r="IT126" s="71"/>
      <c r="IU126" s="71"/>
      <c r="IV126" s="345"/>
    </row>
    <row r="127" spans="1:256" x14ac:dyDescent="0.2">
      <c r="A127" s="345">
        <v>31381</v>
      </c>
      <c r="B127" s="71"/>
      <c r="C127" s="226"/>
      <c r="D127" s="71"/>
      <c r="E127" s="71"/>
      <c r="F127" s="345"/>
      <c r="G127" s="71"/>
      <c r="H127" s="226"/>
      <c r="I127" s="71"/>
      <c r="J127" s="71"/>
      <c r="K127" s="345"/>
      <c r="L127" s="71"/>
      <c r="M127" s="226"/>
      <c r="N127" s="71"/>
      <c r="O127" s="71"/>
      <c r="P127" s="345"/>
      <c r="Q127" s="71"/>
      <c r="R127" s="226"/>
      <c r="S127" s="71"/>
      <c r="T127" s="71"/>
      <c r="U127" s="345"/>
      <c r="V127" s="71"/>
      <c r="W127" s="226"/>
      <c r="X127" s="71"/>
      <c r="Y127" s="71"/>
      <c r="Z127" s="345"/>
      <c r="AA127" s="71"/>
      <c r="AB127" s="226"/>
      <c r="AC127" s="71"/>
      <c r="AD127" s="71"/>
      <c r="AE127" s="345"/>
      <c r="AF127" s="71"/>
      <c r="AG127" s="226"/>
      <c r="AH127" s="71"/>
      <c r="AI127" s="71"/>
      <c r="AJ127" s="345"/>
      <c r="AK127" s="71"/>
      <c r="AL127" s="226"/>
      <c r="AM127" s="71"/>
      <c r="AN127" s="71"/>
      <c r="AO127" s="345"/>
      <c r="AP127" s="71"/>
      <c r="AQ127" s="226"/>
      <c r="AR127" s="71"/>
      <c r="AS127" s="71"/>
      <c r="AT127" s="345"/>
      <c r="AU127" s="71"/>
      <c r="AV127" s="226"/>
      <c r="AW127" s="71"/>
      <c r="AX127" s="71"/>
      <c r="AY127" s="345"/>
      <c r="AZ127" s="71"/>
      <c r="BA127" s="226"/>
      <c r="BB127" s="71"/>
      <c r="BC127" s="71"/>
      <c r="BD127" s="345"/>
      <c r="BE127" s="71"/>
      <c r="BF127" s="226"/>
      <c r="BG127" s="71"/>
      <c r="BH127" s="71"/>
      <c r="BI127" s="345"/>
      <c r="BJ127" s="71"/>
      <c r="BK127" s="226"/>
      <c r="BL127" s="71"/>
      <c r="BM127" s="71"/>
      <c r="BN127" s="345"/>
      <c r="BO127" s="71"/>
      <c r="BP127" s="226"/>
      <c r="BQ127" s="71"/>
      <c r="BR127" s="71"/>
      <c r="BS127" s="345"/>
      <c r="BT127" s="71"/>
      <c r="BU127" s="226"/>
      <c r="BV127" s="71"/>
      <c r="BW127" s="71"/>
      <c r="BX127" s="345"/>
      <c r="BY127" s="71"/>
      <c r="BZ127" s="226"/>
      <c r="CA127" s="71"/>
      <c r="CB127" s="71"/>
      <c r="CC127" s="345"/>
      <c r="CD127" s="71"/>
      <c r="CE127" s="226"/>
      <c r="CF127" s="71"/>
      <c r="CG127" s="71"/>
      <c r="CH127" s="345"/>
      <c r="CI127" s="71"/>
      <c r="CJ127" s="226"/>
      <c r="CK127" s="71"/>
      <c r="CL127" s="71"/>
      <c r="CM127" s="345"/>
      <c r="CN127" s="71"/>
      <c r="CO127" s="226"/>
      <c r="CP127" s="71"/>
      <c r="CQ127" s="71"/>
      <c r="CR127" s="345"/>
      <c r="CS127" s="71"/>
      <c r="CT127" s="226"/>
      <c r="CU127" s="71"/>
      <c r="CV127" s="71"/>
      <c r="CW127" s="345"/>
      <c r="CX127" s="71"/>
      <c r="CY127" s="226"/>
      <c r="CZ127" s="71"/>
      <c r="DA127" s="71"/>
      <c r="DB127" s="345"/>
      <c r="DC127" s="71"/>
      <c r="DD127" s="226"/>
      <c r="DE127" s="71"/>
      <c r="DF127" s="71"/>
      <c r="DG127" s="345"/>
      <c r="DH127" s="71"/>
      <c r="DI127" s="226"/>
      <c r="DJ127" s="71"/>
      <c r="DK127" s="71"/>
      <c r="DL127" s="345"/>
      <c r="DM127" s="71"/>
      <c r="DN127" s="226"/>
      <c r="DO127" s="71"/>
      <c r="DP127" s="71"/>
      <c r="DQ127" s="345"/>
      <c r="DR127" s="71"/>
      <c r="DS127" s="226"/>
      <c r="DT127" s="71"/>
      <c r="DU127" s="71"/>
      <c r="DV127" s="345"/>
      <c r="DW127" s="71"/>
      <c r="DX127" s="226"/>
      <c r="DY127" s="71"/>
      <c r="DZ127" s="71"/>
      <c r="EA127" s="345"/>
      <c r="EB127" s="71"/>
      <c r="EC127" s="226"/>
      <c r="ED127" s="71"/>
      <c r="EE127" s="71"/>
      <c r="EF127" s="345"/>
      <c r="EG127" s="71"/>
      <c r="EH127" s="226"/>
      <c r="EI127" s="71"/>
      <c r="EJ127" s="71"/>
      <c r="EK127" s="345"/>
      <c r="EL127" s="71"/>
      <c r="EM127" s="226"/>
      <c r="EN127" s="71"/>
      <c r="EO127" s="71"/>
      <c r="EP127" s="345"/>
      <c r="EQ127" s="71"/>
      <c r="ER127" s="226"/>
      <c r="ES127" s="71"/>
      <c r="ET127" s="71"/>
      <c r="EU127" s="345"/>
      <c r="EV127" s="71"/>
      <c r="EW127" s="226"/>
      <c r="EX127" s="71"/>
      <c r="EY127" s="71"/>
      <c r="EZ127" s="345"/>
      <c r="FA127" s="71"/>
      <c r="FB127" s="226"/>
      <c r="FC127" s="71"/>
      <c r="FD127" s="71"/>
      <c r="FE127" s="345"/>
      <c r="FF127" s="71"/>
      <c r="FG127" s="226"/>
      <c r="FH127" s="71"/>
      <c r="FI127" s="71"/>
      <c r="FJ127" s="345"/>
      <c r="FK127" s="71"/>
      <c r="FL127" s="226"/>
      <c r="FM127" s="71"/>
      <c r="FN127" s="71"/>
      <c r="FO127" s="345"/>
      <c r="FP127" s="71"/>
      <c r="FQ127" s="226"/>
      <c r="FR127" s="71"/>
      <c r="FS127" s="71"/>
      <c r="FT127" s="345"/>
      <c r="FU127" s="71"/>
      <c r="FV127" s="226"/>
      <c r="FW127" s="71"/>
      <c r="FX127" s="71"/>
      <c r="FY127" s="345"/>
      <c r="FZ127" s="71"/>
      <c r="GA127" s="226"/>
      <c r="GB127" s="71"/>
      <c r="GC127" s="71"/>
      <c r="GD127" s="345"/>
      <c r="GE127" s="71"/>
      <c r="GF127" s="226"/>
      <c r="GG127" s="71"/>
      <c r="GH127" s="71"/>
      <c r="GI127" s="345"/>
      <c r="GJ127" s="71"/>
      <c r="GK127" s="226"/>
      <c r="GL127" s="71"/>
      <c r="GM127" s="71"/>
      <c r="GN127" s="345"/>
      <c r="GO127" s="71"/>
      <c r="GP127" s="226"/>
      <c r="GQ127" s="71"/>
      <c r="GR127" s="71"/>
      <c r="GS127" s="345"/>
      <c r="GT127" s="71"/>
      <c r="GU127" s="226"/>
      <c r="GV127" s="71"/>
      <c r="GW127" s="71"/>
      <c r="GX127" s="345"/>
      <c r="GY127" s="71"/>
      <c r="GZ127" s="226"/>
      <c r="HA127" s="71"/>
      <c r="HB127" s="71"/>
      <c r="HC127" s="345"/>
      <c r="HD127" s="71"/>
      <c r="HE127" s="226"/>
      <c r="HF127" s="71"/>
      <c r="HG127" s="71"/>
      <c r="HH127" s="345"/>
      <c r="HI127" s="71"/>
      <c r="HJ127" s="226"/>
      <c r="HK127" s="71"/>
      <c r="HL127" s="71"/>
      <c r="HM127" s="345"/>
      <c r="HN127" s="71"/>
      <c r="HO127" s="226"/>
      <c r="HP127" s="71"/>
      <c r="HQ127" s="71"/>
      <c r="HR127" s="345"/>
      <c r="HS127" s="71"/>
      <c r="HT127" s="226"/>
      <c r="HU127" s="71"/>
      <c r="HV127" s="71"/>
      <c r="HW127" s="345"/>
      <c r="HX127" s="71"/>
      <c r="HY127" s="226"/>
      <c r="HZ127" s="71"/>
      <c r="IA127" s="71"/>
      <c r="IB127" s="345"/>
      <c r="IC127" s="71"/>
      <c r="ID127" s="226"/>
      <c r="IE127" s="71"/>
      <c r="IF127" s="71"/>
      <c r="IG127" s="345"/>
      <c r="IH127" s="71"/>
      <c r="II127" s="226"/>
      <c r="IJ127" s="71"/>
      <c r="IK127" s="71"/>
      <c r="IL127" s="345"/>
      <c r="IM127" s="71"/>
      <c r="IN127" s="226"/>
      <c r="IO127" s="71"/>
      <c r="IP127" s="71"/>
      <c r="IQ127" s="345"/>
      <c r="IR127" s="71"/>
      <c r="IS127" s="226"/>
      <c r="IT127" s="71"/>
      <c r="IU127" s="71"/>
      <c r="IV127" s="345"/>
    </row>
    <row r="128" spans="1:256" x14ac:dyDescent="0.2">
      <c r="A128" s="345">
        <v>31412</v>
      </c>
      <c r="B128" s="71"/>
      <c r="C128" s="226"/>
      <c r="D128" s="71"/>
      <c r="E128" s="71"/>
      <c r="F128" s="345"/>
      <c r="G128" s="71"/>
      <c r="H128" s="226"/>
      <c r="I128" s="71"/>
      <c r="J128" s="71"/>
      <c r="K128" s="345"/>
      <c r="L128" s="71"/>
      <c r="M128" s="226"/>
      <c r="N128" s="71"/>
      <c r="O128" s="71"/>
      <c r="P128" s="345"/>
      <c r="Q128" s="71"/>
      <c r="R128" s="226"/>
      <c r="S128" s="71"/>
      <c r="T128" s="71"/>
      <c r="U128" s="345"/>
      <c r="V128" s="71"/>
      <c r="W128" s="226"/>
      <c r="X128" s="71"/>
      <c r="Y128" s="71"/>
      <c r="Z128" s="345"/>
      <c r="AA128" s="71"/>
      <c r="AB128" s="226"/>
      <c r="AC128" s="71"/>
      <c r="AD128" s="71"/>
      <c r="AE128" s="345"/>
      <c r="AF128" s="71"/>
      <c r="AG128" s="226"/>
      <c r="AH128" s="71"/>
      <c r="AI128" s="71"/>
      <c r="AJ128" s="345"/>
      <c r="AK128" s="71"/>
      <c r="AL128" s="226"/>
      <c r="AM128" s="71"/>
      <c r="AN128" s="71"/>
      <c r="AO128" s="345"/>
      <c r="AP128" s="71"/>
      <c r="AQ128" s="226"/>
      <c r="AR128" s="71"/>
      <c r="AS128" s="71"/>
      <c r="AT128" s="345"/>
      <c r="AU128" s="71"/>
      <c r="AV128" s="226"/>
      <c r="AW128" s="71"/>
      <c r="AX128" s="71"/>
      <c r="AY128" s="345"/>
      <c r="AZ128" s="71"/>
      <c r="BA128" s="226"/>
      <c r="BB128" s="71"/>
      <c r="BC128" s="71"/>
      <c r="BD128" s="345"/>
      <c r="BE128" s="71"/>
      <c r="BF128" s="226"/>
      <c r="BG128" s="71"/>
      <c r="BH128" s="71"/>
      <c r="BI128" s="345"/>
      <c r="BJ128" s="71"/>
      <c r="BK128" s="226"/>
      <c r="BL128" s="71"/>
      <c r="BM128" s="71"/>
      <c r="BN128" s="345"/>
      <c r="BO128" s="71"/>
      <c r="BP128" s="226"/>
      <c r="BQ128" s="71"/>
      <c r="BR128" s="71"/>
      <c r="BS128" s="345"/>
      <c r="BT128" s="71"/>
      <c r="BU128" s="226"/>
      <c r="BV128" s="71"/>
      <c r="BW128" s="71"/>
      <c r="BX128" s="345"/>
      <c r="BY128" s="71"/>
      <c r="BZ128" s="226"/>
      <c r="CA128" s="71"/>
      <c r="CB128" s="71"/>
      <c r="CC128" s="345"/>
      <c r="CD128" s="71"/>
      <c r="CE128" s="226"/>
      <c r="CF128" s="71"/>
      <c r="CG128" s="71"/>
      <c r="CH128" s="345"/>
      <c r="CI128" s="71"/>
      <c r="CJ128" s="226"/>
      <c r="CK128" s="71"/>
      <c r="CL128" s="71"/>
      <c r="CM128" s="345"/>
      <c r="CN128" s="71"/>
      <c r="CO128" s="226"/>
      <c r="CP128" s="71"/>
      <c r="CQ128" s="71"/>
      <c r="CR128" s="345"/>
      <c r="CS128" s="71"/>
      <c r="CT128" s="226"/>
      <c r="CU128" s="71"/>
      <c r="CV128" s="71"/>
      <c r="CW128" s="345"/>
      <c r="CX128" s="71"/>
      <c r="CY128" s="226"/>
      <c r="CZ128" s="71"/>
      <c r="DA128" s="71"/>
      <c r="DB128" s="345"/>
      <c r="DC128" s="71"/>
      <c r="DD128" s="226"/>
      <c r="DE128" s="71"/>
      <c r="DF128" s="71"/>
      <c r="DG128" s="345"/>
      <c r="DH128" s="71"/>
      <c r="DI128" s="226"/>
      <c r="DJ128" s="71"/>
      <c r="DK128" s="71"/>
      <c r="DL128" s="345"/>
      <c r="DM128" s="71"/>
      <c r="DN128" s="226"/>
      <c r="DO128" s="71"/>
      <c r="DP128" s="71"/>
      <c r="DQ128" s="345"/>
      <c r="DR128" s="71"/>
      <c r="DS128" s="226"/>
      <c r="DT128" s="71"/>
      <c r="DU128" s="71"/>
      <c r="DV128" s="345"/>
      <c r="DW128" s="71"/>
      <c r="DX128" s="226"/>
      <c r="DY128" s="71"/>
      <c r="DZ128" s="71"/>
      <c r="EA128" s="345"/>
      <c r="EB128" s="71"/>
      <c r="EC128" s="226"/>
      <c r="ED128" s="71"/>
      <c r="EE128" s="71"/>
      <c r="EF128" s="345"/>
      <c r="EG128" s="71"/>
      <c r="EH128" s="226"/>
      <c r="EI128" s="71"/>
      <c r="EJ128" s="71"/>
      <c r="EK128" s="345"/>
      <c r="EL128" s="71"/>
      <c r="EM128" s="226"/>
      <c r="EN128" s="71"/>
      <c r="EO128" s="71"/>
      <c r="EP128" s="345"/>
      <c r="EQ128" s="71"/>
      <c r="ER128" s="226"/>
      <c r="ES128" s="71"/>
      <c r="ET128" s="71"/>
      <c r="EU128" s="345"/>
      <c r="EV128" s="71"/>
      <c r="EW128" s="226"/>
      <c r="EX128" s="71"/>
      <c r="EY128" s="71"/>
      <c r="EZ128" s="345"/>
      <c r="FA128" s="71"/>
      <c r="FB128" s="226"/>
      <c r="FC128" s="71"/>
      <c r="FD128" s="71"/>
      <c r="FE128" s="345"/>
      <c r="FF128" s="71"/>
      <c r="FG128" s="226"/>
      <c r="FH128" s="71"/>
      <c r="FI128" s="71"/>
      <c r="FJ128" s="345"/>
      <c r="FK128" s="71"/>
      <c r="FL128" s="226"/>
      <c r="FM128" s="71"/>
      <c r="FN128" s="71"/>
      <c r="FO128" s="345"/>
      <c r="FP128" s="71"/>
      <c r="FQ128" s="226"/>
      <c r="FR128" s="71"/>
      <c r="FS128" s="71"/>
      <c r="FT128" s="345"/>
      <c r="FU128" s="71"/>
      <c r="FV128" s="226"/>
      <c r="FW128" s="71"/>
      <c r="FX128" s="71"/>
      <c r="FY128" s="345"/>
      <c r="FZ128" s="71"/>
      <c r="GA128" s="226"/>
      <c r="GB128" s="71"/>
      <c r="GC128" s="71"/>
      <c r="GD128" s="345"/>
      <c r="GE128" s="71"/>
      <c r="GF128" s="226"/>
      <c r="GG128" s="71"/>
      <c r="GH128" s="71"/>
      <c r="GI128" s="345"/>
      <c r="GJ128" s="71"/>
      <c r="GK128" s="226"/>
      <c r="GL128" s="71"/>
      <c r="GM128" s="71"/>
      <c r="GN128" s="345"/>
      <c r="GO128" s="71"/>
      <c r="GP128" s="226"/>
      <c r="GQ128" s="71"/>
      <c r="GR128" s="71"/>
      <c r="GS128" s="345"/>
      <c r="GT128" s="71"/>
      <c r="GU128" s="226"/>
      <c r="GV128" s="71"/>
      <c r="GW128" s="71"/>
      <c r="GX128" s="345"/>
      <c r="GY128" s="71"/>
      <c r="GZ128" s="226"/>
      <c r="HA128" s="71"/>
      <c r="HB128" s="71"/>
      <c r="HC128" s="345"/>
      <c r="HD128" s="71"/>
      <c r="HE128" s="226"/>
      <c r="HF128" s="71"/>
      <c r="HG128" s="71"/>
      <c r="HH128" s="345"/>
      <c r="HI128" s="71"/>
      <c r="HJ128" s="226"/>
      <c r="HK128" s="71"/>
      <c r="HL128" s="71"/>
      <c r="HM128" s="345"/>
      <c r="HN128" s="71"/>
      <c r="HO128" s="226"/>
      <c r="HP128" s="71"/>
      <c r="HQ128" s="71"/>
      <c r="HR128" s="345"/>
      <c r="HS128" s="71"/>
      <c r="HT128" s="226"/>
      <c r="HU128" s="71"/>
      <c r="HV128" s="71"/>
      <c r="HW128" s="345"/>
      <c r="HX128" s="71"/>
      <c r="HY128" s="226"/>
      <c r="HZ128" s="71"/>
      <c r="IA128" s="71"/>
      <c r="IB128" s="345"/>
      <c r="IC128" s="71"/>
      <c r="ID128" s="226"/>
      <c r="IE128" s="71"/>
      <c r="IF128" s="71"/>
      <c r="IG128" s="345"/>
      <c r="IH128" s="71"/>
      <c r="II128" s="226"/>
      <c r="IJ128" s="71"/>
      <c r="IK128" s="71"/>
      <c r="IL128" s="345"/>
      <c r="IM128" s="71"/>
      <c r="IN128" s="226"/>
      <c r="IO128" s="71"/>
      <c r="IP128" s="71"/>
      <c r="IQ128" s="345"/>
      <c r="IR128" s="71"/>
      <c r="IS128" s="226"/>
      <c r="IT128" s="71"/>
      <c r="IU128" s="71"/>
      <c r="IV128" s="345"/>
    </row>
    <row r="129" spans="1:256" x14ac:dyDescent="0.2">
      <c r="A129" s="345">
        <v>31443</v>
      </c>
      <c r="B129" s="71"/>
      <c r="C129" s="226"/>
      <c r="D129" s="71"/>
      <c r="E129" s="71"/>
      <c r="F129" s="345"/>
      <c r="G129" s="71"/>
      <c r="H129" s="226"/>
      <c r="I129" s="71"/>
      <c r="J129" s="71"/>
      <c r="K129" s="345"/>
      <c r="L129" s="71"/>
      <c r="M129" s="226"/>
      <c r="N129" s="71"/>
      <c r="O129" s="71"/>
      <c r="P129" s="345"/>
      <c r="Q129" s="71"/>
      <c r="R129" s="226"/>
      <c r="S129" s="71"/>
      <c r="T129" s="71"/>
      <c r="U129" s="345"/>
      <c r="V129" s="71"/>
      <c r="W129" s="226"/>
      <c r="X129" s="71"/>
      <c r="Y129" s="71"/>
      <c r="Z129" s="345"/>
      <c r="AA129" s="71"/>
      <c r="AB129" s="226"/>
      <c r="AC129" s="71"/>
      <c r="AD129" s="71"/>
      <c r="AE129" s="345"/>
      <c r="AF129" s="71"/>
      <c r="AG129" s="226"/>
      <c r="AH129" s="71"/>
      <c r="AI129" s="71"/>
      <c r="AJ129" s="345"/>
      <c r="AK129" s="71"/>
      <c r="AL129" s="226"/>
      <c r="AM129" s="71"/>
      <c r="AN129" s="71"/>
      <c r="AO129" s="345"/>
      <c r="AP129" s="71"/>
      <c r="AQ129" s="226"/>
      <c r="AR129" s="71"/>
      <c r="AS129" s="71"/>
      <c r="AT129" s="345"/>
      <c r="AU129" s="71"/>
      <c r="AV129" s="226"/>
      <c r="AW129" s="71"/>
      <c r="AX129" s="71"/>
      <c r="AY129" s="345"/>
      <c r="AZ129" s="71"/>
      <c r="BA129" s="226"/>
      <c r="BB129" s="71"/>
      <c r="BC129" s="71"/>
      <c r="BD129" s="345"/>
      <c r="BE129" s="71"/>
      <c r="BF129" s="226"/>
      <c r="BG129" s="71"/>
      <c r="BH129" s="71"/>
      <c r="BI129" s="345"/>
      <c r="BJ129" s="71"/>
      <c r="BK129" s="226"/>
      <c r="BL129" s="71"/>
      <c r="BM129" s="71"/>
      <c r="BN129" s="345"/>
      <c r="BO129" s="71"/>
      <c r="BP129" s="226"/>
      <c r="BQ129" s="71"/>
      <c r="BR129" s="71"/>
      <c r="BS129" s="345"/>
      <c r="BT129" s="71"/>
      <c r="BU129" s="226"/>
      <c r="BV129" s="71"/>
      <c r="BW129" s="71"/>
      <c r="BX129" s="345"/>
      <c r="BY129" s="71"/>
      <c r="BZ129" s="226"/>
      <c r="CA129" s="71"/>
      <c r="CB129" s="71"/>
      <c r="CC129" s="345"/>
      <c r="CD129" s="71"/>
      <c r="CE129" s="226"/>
      <c r="CF129" s="71"/>
      <c r="CG129" s="71"/>
      <c r="CH129" s="345"/>
      <c r="CI129" s="71"/>
      <c r="CJ129" s="226"/>
      <c r="CK129" s="71"/>
      <c r="CL129" s="71"/>
      <c r="CM129" s="345"/>
      <c r="CN129" s="71"/>
      <c r="CO129" s="226"/>
      <c r="CP129" s="71"/>
      <c r="CQ129" s="71"/>
      <c r="CR129" s="345"/>
      <c r="CS129" s="71"/>
      <c r="CT129" s="226"/>
      <c r="CU129" s="71"/>
      <c r="CV129" s="71"/>
      <c r="CW129" s="345"/>
      <c r="CX129" s="71"/>
      <c r="CY129" s="226"/>
      <c r="CZ129" s="71"/>
      <c r="DA129" s="71"/>
      <c r="DB129" s="345"/>
      <c r="DC129" s="71"/>
      <c r="DD129" s="226"/>
      <c r="DE129" s="71"/>
      <c r="DF129" s="71"/>
      <c r="DG129" s="345"/>
      <c r="DH129" s="71"/>
      <c r="DI129" s="226"/>
      <c r="DJ129" s="71"/>
      <c r="DK129" s="71"/>
      <c r="DL129" s="345"/>
      <c r="DM129" s="71"/>
      <c r="DN129" s="226"/>
      <c r="DO129" s="71"/>
      <c r="DP129" s="71"/>
      <c r="DQ129" s="345"/>
      <c r="DR129" s="71"/>
      <c r="DS129" s="226"/>
      <c r="DT129" s="71"/>
      <c r="DU129" s="71"/>
      <c r="DV129" s="345"/>
      <c r="DW129" s="71"/>
      <c r="DX129" s="226"/>
      <c r="DY129" s="71"/>
      <c r="DZ129" s="71"/>
      <c r="EA129" s="345"/>
      <c r="EB129" s="71"/>
      <c r="EC129" s="226"/>
      <c r="ED129" s="71"/>
      <c r="EE129" s="71"/>
      <c r="EF129" s="345"/>
      <c r="EG129" s="71"/>
      <c r="EH129" s="226"/>
      <c r="EI129" s="71"/>
      <c r="EJ129" s="71"/>
      <c r="EK129" s="345"/>
      <c r="EL129" s="71"/>
      <c r="EM129" s="226"/>
      <c r="EN129" s="71"/>
      <c r="EO129" s="71"/>
      <c r="EP129" s="345"/>
      <c r="EQ129" s="71"/>
      <c r="ER129" s="226"/>
      <c r="ES129" s="71"/>
      <c r="ET129" s="71"/>
      <c r="EU129" s="345"/>
      <c r="EV129" s="71"/>
      <c r="EW129" s="226"/>
      <c r="EX129" s="71"/>
      <c r="EY129" s="71"/>
      <c r="EZ129" s="345"/>
      <c r="FA129" s="71"/>
      <c r="FB129" s="226"/>
      <c r="FC129" s="71"/>
      <c r="FD129" s="71"/>
      <c r="FE129" s="345"/>
      <c r="FF129" s="71"/>
      <c r="FG129" s="226"/>
      <c r="FH129" s="71"/>
      <c r="FI129" s="71"/>
      <c r="FJ129" s="345"/>
      <c r="FK129" s="71"/>
      <c r="FL129" s="226"/>
      <c r="FM129" s="71"/>
      <c r="FN129" s="71"/>
      <c r="FO129" s="345"/>
      <c r="FP129" s="71"/>
      <c r="FQ129" s="226"/>
      <c r="FR129" s="71"/>
      <c r="FS129" s="71"/>
      <c r="FT129" s="345"/>
      <c r="FU129" s="71"/>
      <c r="FV129" s="226"/>
      <c r="FW129" s="71"/>
      <c r="FX129" s="71"/>
      <c r="FY129" s="345"/>
      <c r="FZ129" s="71"/>
      <c r="GA129" s="226"/>
      <c r="GB129" s="71"/>
      <c r="GC129" s="71"/>
      <c r="GD129" s="345"/>
      <c r="GE129" s="71"/>
      <c r="GF129" s="226"/>
      <c r="GG129" s="71"/>
      <c r="GH129" s="71"/>
      <c r="GI129" s="345"/>
      <c r="GJ129" s="71"/>
      <c r="GK129" s="226"/>
      <c r="GL129" s="71"/>
      <c r="GM129" s="71"/>
      <c r="GN129" s="345"/>
      <c r="GO129" s="71"/>
      <c r="GP129" s="226"/>
      <c r="GQ129" s="71"/>
      <c r="GR129" s="71"/>
      <c r="GS129" s="345"/>
      <c r="GT129" s="71"/>
      <c r="GU129" s="226"/>
      <c r="GV129" s="71"/>
      <c r="GW129" s="71"/>
      <c r="GX129" s="345"/>
      <c r="GY129" s="71"/>
      <c r="GZ129" s="226"/>
      <c r="HA129" s="71"/>
      <c r="HB129" s="71"/>
      <c r="HC129" s="345"/>
      <c r="HD129" s="71"/>
      <c r="HE129" s="226"/>
      <c r="HF129" s="71"/>
      <c r="HG129" s="71"/>
      <c r="HH129" s="345"/>
      <c r="HI129" s="71"/>
      <c r="HJ129" s="226"/>
      <c r="HK129" s="71"/>
      <c r="HL129" s="71"/>
      <c r="HM129" s="345"/>
      <c r="HN129" s="71"/>
      <c r="HO129" s="226"/>
      <c r="HP129" s="71"/>
      <c r="HQ129" s="71"/>
      <c r="HR129" s="345"/>
      <c r="HS129" s="71"/>
      <c r="HT129" s="226"/>
      <c r="HU129" s="71"/>
      <c r="HV129" s="71"/>
      <c r="HW129" s="345"/>
      <c r="HX129" s="71"/>
      <c r="HY129" s="226"/>
      <c r="HZ129" s="71"/>
      <c r="IA129" s="71"/>
      <c r="IB129" s="345"/>
      <c r="IC129" s="71"/>
      <c r="ID129" s="226"/>
      <c r="IE129" s="71"/>
      <c r="IF129" s="71"/>
      <c r="IG129" s="345"/>
      <c r="IH129" s="71"/>
      <c r="II129" s="226"/>
      <c r="IJ129" s="71"/>
      <c r="IK129" s="71"/>
      <c r="IL129" s="345"/>
      <c r="IM129" s="71"/>
      <c r="IN129" s="226"/>
      <c r="IO129" s="71"/>
      <c r="IP129" s="71"/>
      <c r="IQ129" s="345"/>
      <c r="IR129" s="71"/>
      <c r="IS129" s="226"/>
      <c r="IT129" s="71"/>
      <c r="IU129" s="71"/>
      <c r="IV129" s="345"/>
    </row>
    <row r="130" spans="1:256" x14ac:dyDescent="0.2">
      <c r="A130" s="345">
        <v>31471</v>
      </c>
      <c r="B130" s="71"/>
      <c r="C130" s="226"/>
      <c r="D130" s="71"/>
      <c r="E130" s="71"/>
      <c r="F130" s="345"/>
      <c r="G130" s="71"/>
      <c r="H130" s="226"/>
      <c r="I130" s="71"/>
      <c r="J130" s="71"/>
      <c r="K130" s="345"/>
      <c r="L130" s="71"/>
      <c r="M130" s="226"/>
      <c r="N130" s="71"/>
      <c r="O130" s="71"/>
      <c r="P130" s="345"/>
      <c r="Q130" s="71"/>
      <c r="R130" s="226"/>
      <c r="S130" s="71"/>
      <c r="T130" s="71"/>
      <c r="U130" s="345"/>
      <c r="V130" s="71"/>
      <c r="W130" s="226"/>
      <c r="X130" s="71"/>
      <c r="Y130" s="71"/>
      <c r="Z130" s="345"/>
      <c r="AA130" s="71"/>
      <c r="AB130" s="226"/>
      <c r="AC130" s="71"/>
      <c r="AD130" s="71"/>
      <c r="AE130" s="345"/>
      <c r="AF130" s="71"/>
      <c r="AG130" s="226"/>
      <c r="AH130" s="71"/>
      <c r="AI130" s="71"/>
      <c r="AJ130" s="345"/>
      <c r="AK130" s="71"/>
      <c r="AL130" s="226"/>
      <c r="AM130" s="71"/>
      <c r="AN130" s="71"/>
      <c r="AO130" s="345"/>
      <c r="AP130" s="71"/>
      <c r="AQ130" s="226"/>
      <c r="AR130" s="71"/>
      <c r="AS130" s="71"/>
      <c r="AT130" s="345"/>
      <c r="AU130" s="71"/>
      <c r="AV130" s="226"/>
      <c r="AW130" s="71"/>
      <c r="AX130" s="71"/>
      <c r="AY130" s="345"/>
      <c r="AZ130" s="71"/>
      <c r="BA130" s="226"/>
      <c r="BB130" s="71"/>
      <c r="BC130" s="71"/>
      <c r="BD130" s="345"/>
      <c r="BE130" s="71"/>
      <c r="BF130" s="226"/>
      <c r="BG130" s="71"/>
      <c r="BH130" s="71"/>
      <c r="BI130" s="345"/>
      <c r="BJ130" s="71"/>
      <c r="BK130" s="226"/>
      <c r="BL130" s="71"/>
      <c r="BM130" s="71"/>
      <c r="BN130" s="345"/>
      <c r="BO130" s="71"/>
      <c r="BP130" s="226"/>
      <c r="BQ130" s="71"/>
      <c r="BR130" s="71"/>
      <c r="BS130" s="345"/>
      <c r="BT130" s="71"/>
      <c r="BU130" s="226"/>
      <c r="BV130" s="71"/>
      <c r="BW130" s="71"/>
      <c r="BX130" s="345"/>
      <c r="BY130" s="71"/>
      <c r="BZ130" s="226"/>
      <c r="CA130" s="71"/>
      <c r="CB130" s="71"/>
      <c r="CC130" s="345"/>
      <c r="CD130" s="71"/>
      <c r="CE130" s="226"/>
      <c r="CF130" s="71"/>
      <c r="CG130" s="71"/>
      <c r="CH130" s="345"/>
      <c r="CI130" s="71"/>
      <c r="CJ130" s="226"/>
      <c r="CK130" s="71"/>
      <c r="CL130" s="71"/>
      <c r="CM130" s="345"/>
      <c r="CN130" s="71"/>
      <c r="CO130" s="226"/>
      <c r="CP130" s="71"/>
      <c r="CQ130" s="71"/>
      <c r="CR130" s="345"/>
      <c r="CS130" s="71"/>
      <c r="CT130" s="226"/>
      <c r="CU130" s="71"/>
      <c r="CV130" s="71"/>
      <c r="CW130" s="345"/>
      <c r="CX130" s="71"/>
      <c r="CY130" s="226"/>
      <c r="CZ130" s="71"/>
      <c r="DA130" s="71"/>
      <c r="DB130" s="345"/>
      <c r="DC130" s="71"/>
      <c r="DD130" s="226"/>
      <c r="DE130" s="71"/>
      <c r="DF130" s="71"/>
      <c r="DG130" s="345"/>
      <c r="DH130" s="71"/>
      <c r="DI130" s="226"/>
      <c r="DJ130" s="71"/>
      <c r="DK130" s="71"/>
      <c r="DL130" s="345"/>
      <c r="DM130" s="71"/>
      <c r="DN130" s="226"/>
      <c r="DO130" s="71"/>
      <c r="DP130" s="71"/>
      <c r="DQ130" s="345"/>
      <c r="DR130" s="71"/>
      <c r="DS130" s="226"/>
      <c r="DT130" s="71"/>
      <c r="DU130" s="71"/>
      <c r="DV130" s="345"/>
      <c r="DW130" s="71"/>
      <c r="DX130" s="226"/>
      <c r="DY130" s="71"/>
      <c r="DZ130" s="71"/>
      <c r="EA130" s="345"/>
      <c r="EB130" s="71"/>
      <c r="EC130" s="226"/>
      <c r="ED130" s="71"/>
      <c r="EE130" s="71"/>
      <c r="EF130" s="345"/>
      <c r="EG130" s="71"/>
      <c r="EH130" s="226"/>
      <c r="EI130" s="71"/>
      <c r="EJ130" s="71"/>
      <c r="EK130" s="345"/>
      <c r="EL130" s="71"/>
      <c r="EM130" s="226"/>
      <c r="EN130" s="71"/>
      <c r="EO130" s="71"/>
      <c r="EP130" s="345"/>
      <c r="EQ130" s="71"/>
      <c r="ER130" s="226"/>
      <c r="ES130" s="71"/>
      <c r="ET130" s="71"/>
      <c r="EU130" s="345"/>
      <c r="EV130" s="71"/>
      <c r="EW130" s="226"/>
      <c r="EX130" s="71"/>
      <c r="EY130" s="71"/>
      <c r="EZ130" s="345"/>
      <c r="FA130" s="71"/>
      <c r="FB130" s="226"/>
      <c r="FC130" s="71"/>
      <c r="FD130" s="71"/>
      <c r="FE130" s="345"/>
      <c r="FF130" s="71"/>
      <c r="FG130" s="226"/>
      <c r="FH130" s="71"/>
      <c r="FI130" s="71"/>
      <c r="FJ130" s="345"/>
      <c r="FK130" s="71"/>
      <c r="FL130" s="226"/>
      <c r="FM130" s="71"/>
      <c r="FN130" s="71"/>
      <c r="FO130" s="345"/>
      <c r="FP130" s="71"/>
      <c r="FQ130" s="226"/>
      <c r="FR130" s="71"/>
      <c r="FS130" s="71"/>
      <c r="FT130" s="345"/>
      <c r="FU130" s="71"/>
      <c r="FV130" s="226"/>
      <c r="FW130" s="71"/>
      <c r="FX130" s="71"/>
      <c r="FY130" s="345"/>
      <c r="FZ130" s="71"/>
      <c r="GA130" s="226"/>
      <c r="GB130" s="71"/>
      <c r="GC130" s="71"/>
      <c r="GD130" s="345"/>
      <c r="GE130" s="71"/>
      <c r="GF130" s="226"/>
      <c r="GG130" s="71"/>
      <c r="GH130" s="71"/>
      <c r="GI130" s="345"/>
      <c r="GJ130" s="71"/>
      <c r="GK130" s="226"/>
      <c r="GL130" s="71"/>
      <c r="GM130" s="71"/>
      <c r="GN130" s="345"/>
      <c r="GO130" s="71"/>
      <c r="GP130" s="226"/>
      <c r="GQ130" s="71"/>
      <c r="GR130" s="71"/>
      <c r="GS130" s="345"/>
      <c r="GT130" s="71"/>
      <c r="GU130" s="226"/>
      <c r="GV130" s="71"/>
      <c r="GW130" s="71"/>
      <c r="GX130" s="345"/>
      <c r="GY130" s="71"/>
      <c r="GZ130" s="226"/>
      <c r="HA130" s="71"/>
      <c r="HB130" s="71"/>
      <c r="HC130" s="345"/>
      <c r="HD130" s="71"/>
      <c r="HE130" s="226"/>
      <c r="HF130" s="71"/>
      <c r="HG130" s="71"/>
      <c r="HH130" s="345"/>
      <c r="HI130" s="71"/>
      <c r="HJ130" s="226"/>
      <c r="HK130" s="71"/>
      <c r="HL130" s="71"/>
      <c r="HM130" s="345"/>
      <c r="HN130" s="71"/>
      <c r="HO130" s="226"/>
      <c r="HP130" s="71"/>
      <c r="HQ130" s="71"/>
      <c r="HR130" s="345"/>
      <c r="HS130" s="71"/>
      <c r="HT130" s="226"/>
      <c r="HU130" s="71"/>
      <c r="HV130" s="71"/>
      <c r="HW130" s="345"/>
      <c r="HX130" s="71"/>
      <c r="HY130" s="226"/>
      <c r="HZ130" s="71"/>
      <c r="IA130" s="71"/>
      <c r="IB130" s="345"/>
      <c r="IC130" s="71"/>
      <c r="ID130" s="226"/>
      <c r="IE130" s="71"/>
      <c r="IF130" s="71"/>
      <c r="IG130" s="345"/>
      <c r="IH130" s="71"/>
      <c r="II130" s="226"/>
      <c r="IJ130" s="71"/>
      <c r="IK130" s="71"/>
      <c r="IL130" s="345"/>
      <c r="IM130" s="71"/>
      <c r="IN130" s="226"/>
      <c r="IO130" s="71"/>
      <c r="IP130" s="71"/>
      <c r="IQ130" s="345"/>
      <c r="IR130" s="71"/>
      <c r="IS130" s="226"/>
      <c r="IT130" s="71"/>
      <c r="IU130" s="71"/>
      <c r="IV130" s="345"/>
    </row>
    <row r="131" spans="1:256" x14ac:dyDescent="0.2">
      <c r="A131" s="345">
        <v>31502</v>
      </c>
      <c r="B131" s="71"/>
      <c r="C131" s="226"/>
      <c r="D131" s="71"/>
      <c r="E131" s="71"/>
      <c r="F131" s="345"/>
      <c r="G131" s="71"/>
      <c r="H131" s="226"/>
      <c r="I131" s="71"/>
      <c r="J131" s="71"/>
      <c r="K131" s="345"/>
      <c r="L131" s="71"/>
      <c r="M131" s="226"/>
      <c r="N131" s="71"/>
      <c r="O131" s="71"/>
      <c r="P131" s="345"/>
      <c r="Q131" s="71"/>
      <c r="R131" s="226"/>
      <c r="S131" s="71"/>
      <c r="T131" s="71"/>
      <c r="U131" s="345"/>
      <c r="V131" s="71"/>
      <c r="W131" s="226"/>
      <c r="X131" s="71"/>
      <c r="Y131" s="71"/>
      <c r="Z131" s="345"/>
      <c r="AA131" s="71"/>
      <c r="AB131" s="226"/>
      <c r="AC131" s="71"/>
      <c r="AD131" s="71"/>
      <c r="AE131" s="345"/>
      <c r="AF131" s="71"/>
      <c r="AG131" s="226"/>
      <c r="AH131" s="71"/>
      <c r="AI131" s="71"/>
      <c r="AJ131" s="345"/>
      <c r="AK131" s="71"/>
      <c r="AL131" s="226"/>
      <c r="AM131" s="71"/>
      <c r="AN131" s="71"/>
      <c r="AO131" s="345"/>
      <c r="AP131" s="71"/>
      <c r="AQ131" s="226"/>
      <c r="AR131" s="71"/>
      <c r="AS131" s="71"/>
      <c r="AT131" s="345"/>
      <c r="AU131" s="71"/>
      <c r="AV131" s="226"/>
      <c r="AW131" s="71"/>
      <c r="AX131" s="71"/>
      <c r="AY131" s="345"/>
      <c r="AZ131" s="71"/>
      <c r="BA131" s="226"/>
      <c r="BB131" s="71"/>
      <c r="BC131" s="71"/>
      <c r="BD131" s="345"/>
      <c r="BE131" s="71"/>
      <c r="BF131" s="226"/>
      <c r="BG131" s="71"/>
      <c r="BH131" s="71"/>
      <c r="BI131" s="345"/>
      <c r="BJ131" s="71"/>
      <c r="BK131" s="226"/>
      <c r="BL131" s="71"/>
      <c r="BM131" s="71"/>
      <c r="BN131" s="345"/>
      <c r="BO131" s="71"/>
      <c r="BP131" s="226"/>
      <c r="BQ131" s="71"/>
      <c r="BR131" s="71"/>
      <c r="BS131" s="345"/>
      <c r="BT131" s="71"/>
      <c r="BU131" s="226"/>
      <c r="BV131" s="71"/>
      <c r="BW131" s="71"/>
      <c r="BX131" s="345"/>
      <c r="BY131" s="71"/>
      <c r="BZ131" s="226"/>
      <c r="CA131" s="71"/>
      <c r="CB131" s="71"/>
      <c r="CC131" s="345"/>
      <c r="CD131" s="71"/>
      <c r="CE131" s="226"/>
      <c r="CF131" s="71"/>
      <c r="CG131" s="71"/>
      <c r="CH131" s="345"/>
      <c r="CI131" s="71"/>
      <c r="CJ131" s="226"/>
      <c r="CK131" s="71"/>
      <c r="CL131" s="71"/>
      <c r="CM131" s="345"/>
      <c r="CN131" s="71"/>
      <c r="CO131" s="226"/>
      <c r="CP131" s="71"/>
      <c r="CQ131" s="71"/>
      <c r="CR131" s="345"/>
      <c r="CS131" s="71"/>
      <c r="CT131" s="226"/>
      <c r="CU131" s="71"/>
      <c r="CV131" s="71"/>
      <c r="CW131" s="345"/>
      <c r="CX131" s="71"/>
      <c r="CY131" s="226"/>
      <c r="CZ131" s="71"/>
      <c r="DA131" s="71"/>
      <c r="DB131" s="345"/>
      <c r="DC131" s="71"/>
      <c r="DD131" s="226"/>
      <c r="DE131" s="71"/>
      <c r="DF131" s="71"/>
      <c r="DG131" s="345"/>
      <c r="DH131" s="71"/>
      <c r="DI131" s="226"/>
      <c r="DJ131" s="71"/>
      <c r="DK131" s="71"/>
      <c r="DL131" s="345"/>
      <c r="DM131" s="71"/>
      <c r="DN131" s="226"/>
      <c r="DO131" s="71"/>
      <c r="DP131" s="71"/>
      <c r="DQ131" s="345"/>
      <c r="DR131" s="71"/>
      <c r="DS131" s="226"/>
      <c r="DT131" s="71"/>
      <c r="DU131" s="71"/>
      <c r="DV131" s="345"/>
      <c r="DW131" s="71"/>
      <c r="DX131" s="226"/>
      <c r="DY131" s="71"/>
      <c r="DZ131" s="71"/>
      <c r="EA131" s="345"/>
      <c r="EB131" s="71"/>
      <c r="EC131" s="226"/>
      <c r="ED131" s="71"/>
      <c r="EE131" s="71"/>
      <c r="EF131" s="345"/>
      <c r="EG131" s="71"/>
      <c r="EH131" s="226"/>
      <c r="EI131" s="71"/>
      <c r="EJ131" s="71"/>
      <c r="EK131" s="345"/>
      <c r="EL131" s="71"/>
      <c r="EM131" s="226"/>
      <c r="EN131" s="71"/>
      <c r="EO131" s="71"/>
      <c r="EP131" s="345"/>
      <c r="EQ131" s="71"/>
      <c r="ER131" s="226"/>
      <c r="ES131" s="71"/>
      <c r="ET131" s="71"/>
      <c r="EU131" s="345"/>
      <c r="EV131" s="71"/>
      <c r="EW131" s="226"/>
      <c r="EX131" s="71"/>
      <c r="EY131" s="71"/>
      <c r="EZ131" s="345"/>
      <c r="FA131" s="71"/>
      <c r="FB131" s="226"/>
      <c r="FC131" s="71"/>
      <c r="FD131" s="71"/>
      <c r="FE131" s="345"/>
      <c r="FF131" s="71"/>
      <c r="FG131" s="226"/>
      <c r="FH131" s="71"/>
      <c r="FI131" s="71"/>
      <c r="FJ131" s="345"/>
      <c r="FK131" s="71"/>
      <c r="FL131" s="226"/>
      <c r="FM131" s="71"/>
      <c r="FN131" s="71"/>
      <c r="FO131" s="345"/>
      <c r="FP131" s="71"/>
      <c r="FQ131" s="226"/>
      <c r="FR131" s="71"/>
      <c r="FS131" s="71"/>
      <c r="FT131" s="345"/>
      <c r="FU131" s="71"/>
      <c r="FV131" s="226"/>
      <c r="FW131" s="71"/>
      <c r="FX131" s="71"/>
      <c r="FY131" s="345"/>
      <c r="FZ131" s="71"/>
      <c r="GA131" s="226"/>
      <c r="GB131" s="71"/>
      <c r="GC131" s="71"/>
      <c r="GD131" s="345"/>
      <c r="GE131" s="71"/>
      <c r="GF131" s="226"/>
      <c r="GG131" s="71"/>
      <c r="GH131" s="71"/>
      <c r="GI131" s="345"/>
      <c r="GJ131" s="71"/>
      <c r="GK131" s="226"/>
      <c r="GL131" s="71"/>
      <c r="GM131" s="71"/>
      <c r="GN131" s="345"/>
      <c r="GO131" s="71"/>
      <c r="GP131" s="226"/>
      <c r="GQ131" s="71"/>
      <c r="GR131" s="71"/>
      <c r="GS131" s="345"/>
      <c r="GT131" s="71"/>
      <c r="GU131" s="226"/>
      <c r="GV131" s="71"/>
      <c r="GW131" s="71"/>
      <c r="GX131" s="345"/>
      <c r="GY131" s="71"/>
      <c r="GZ131" s="226"/>
      <c r="HA131" s="71"/>
      <c r="HB131" s="71"/>
      <c r="HC131" s="345"/>
      <c r="HD131" s="71"/>
      <c r="HE131" s="226"/>
      <c r="HF131" s="71"/>
      <c r="HG131" s="71"/>
      <c r="HH131" s="345"/>
      <c r="HI131" s="71"/>
      <c r="HJ131" s="226"/>
      <c r="HK131" s="71"/>
      <c r="HL131" s="71"/>
      <c r="HM131" s="345"/>
      <c r="HN131" s="71"/>
      <c r="HO131" s="226"/>
      <c r="HP131" s="71"/>
      <c r="HQ131" s="71"/>
      <c r="HR131" s="345"/>
      <c r="HS131" s="71"/>
      <c r="HT131" s="226"/>
      <c r="HU131" s="71"/>
      <c r="HV131" s="71"/>
      <c r="HW131" s="345"/>
      <c r="HX131" s="71"/>
      <c r="HY131" s="226"/>
      <c r="HZ131" s="71"/>
      <c r="IA131" s="71"/>
      <c r="IB131" s="345"/>
      <c r="IC131" s="71"/>
      <c r="ID131" s="226"/>
      <c r="IE131" s="71"/>
      <c r="IF131" s="71"/>
      <c r="IG131" s="345"/>
      <c r="IH131" s="71"/>
      <c r="II131" s="226"/>
      <c r="IJ131" s="71"/>
      <c r="IK131" s="71"/>
      <c r="IL131" s="345"/>
      <c r="IM131" s="71"/>
      <c r="IN131" s="226"/>
      <c r="IO131" s="71"/>
      <c r="IP131" s="71"/>
      <c r="IQ131" s="345"/>
      <c r="IR131" s="71"/>
      <c r="IS131" s="226"/>
      <c r="IT131" s="71"/>
      <c r="IU131" s="71"/>
      <c r="IV131" s="345"/>
    </row>
    <row r="132" spans="1:256" x14ac:dyDescent="0.2">
      <c r="A132" s="345">
        <v>31532</v>
      </c>
      <c r="B132" s="71"/>
      <c r="C132" s="226"/>
      <c r="D132" s="71"/>
      <c r="E132" s="71"/>
      <c r="F132" s="345"/>
      <c r="G132" s="71"/>
      <c r="H132" s="226"/>
      <c r="I132" s="71"/>
      <c r="J132" s="71"/>
      <c r="K132" s="345"/>
      <c r="L132" s="71"/>
      <c r="M132" s="226"/>
      <c r="N132" s="71"/>
      <c r="O132" s="71"/>
      <c r="P132" s="345"/>
      <c r="Q132" s="71"/>
      <c r="R132" s="226"/>
      <c r="S132" s="71"/>
      <c r="T132" s="71"/>
      <c r="U132" s="345"/>
      <c r="V132" s="71"/>
      <c r="W132" s="226"/>
      <c r="X132" s="71"/>
      <c r="Y132" s="71"/>
      <c r="Z132" s="345"/>
      <c r="AA132" s="71"/>
      <c r="AB132" s="226"/>
      <c r="AC132" s="71"/>
      <c r="AD132" s="71"/>
      <c r="AE132" s="345"/>
      <c r="AF132" s="71"/>
      <c r="AG132" s="226"/>
      <c r="AH132" s="71"/>
      <c r="AI132" s="71"/>
      <c r="AJ132" s="345"/>
      <c r="AK132" s="71"/>
      <c r="AL132" s="226"/>
      <c r="AM132" s="71"/>
      <c r="AN132" s="71"/>
      <c r="AO132" s="345"/>
      <c r="AP132" s="71"/>
      <c r="AQ132" s="226"/>
      <c r="AR132" s="71"/>
      <c r="AS132" s="71"/>
      <c r="AT132" s="345"/>
      <c r="AU132" s="71"/>
      <c r="AV132" s="226"/>
      <c r="AW132" s="71"/>
      <c r="AX132" s="71"/>
      <c r="AY132" s="345"/>
      <c r="AZ132" s="71"/>
      <c r="BA132" s="226"/>
      <c r="BB132" s="71"/>
      <c r="BC132" s="71"/>
      <c r="BD132" s="345"/>
      <c r="BE132" s="71"/>
      <c r="BF132" s="226"/>
      <c r="BG132" s="71"/>
      <c r="BH132" s="71"/>
      <c r="BI132" s="345"/>
      <c r="BJ132" s="71"/>
      <c r="BK132" s="226"/>
      <c r="BL132" s="71"/>
      <c r="BM132" s="71"/>
      <c r="BN132" s="345"/>
      <c r="BO132" s="71"/>
      <c r="BP132" s="226"/>
      <c r="BQ132" s="71"/>
      <c r="BR132" s="71"/>
      <c r="BS132" s="345"/>
      <c r="BT132" s="71"/>
      <c r="BU132" s="226"/>
      <c r="BV132" s="71"/>
      <c r="BW132" s="71"/>
      <c r="BX132" s="345"/>
      <c r="BY132" s="71"/>
      <c r="BZ132" s="226"/>
      <c r="CA132" s="71"/>
      <c r="CB132" s="71"/>
      <c r="CC132" s="345"/>
      <c r="CD132" s="71"/>
      <c r="CE132" s="226"/>
      <c r="CF132" s="71"/>
      <c r="CG132" s="71"/>
      <c r="CH132" s="345"/>
      <c r="CI132" s="71"/>
      <c r="CJ132" s="226"/>
      <c r="CK132" s="71"/>
      <c r="CL132" s="71"/>
      <c r="CM132" s="345"/>
      <c r="CN132" s="71"/>
      <c r="CO132" s="226"/>
      <c r="CP132" s="71"/>
      <c r="CQ132" s="71"/>
      <c r="CR132" s="345"/>
      <c r="CS132" s="71"/>
      <c r="CT132" s="226"/>
      <c r="CU132" s="71"/>
      <c r="CV132" s="71"/>
      <c r="CW132" s="345"/>
      <c r="CX132" s="71"/>
      <c r="CY132" s="226"/>
      <c r="CZ132" s="71"/>
      <c r="DA132" s="71"/>
      <c r="DB132" s="345"/>
      <c r="DC132" s="71"/>
      <c r="DD132" s="226"/>
      <c r="DE132" s="71"/>
      <c r="DF132" s="71"/>
      <c r="DG132" s="345"/>
      <c r="DH132" s="71"/>
      <c r="DI132" s="226"/>
      <c r="DJ132" s="71"/>
      <c r="DK132" s="71"/>
      <c r="DL132" s="345"/>
      <c r="DM132" s="71"/>
      <c r="DN132" s="226"/>
      <c r="DO132" s="71"/>
      <c r="DP132" s="71"/>
      <c r="DQ132" s="345"/>
      <c r="DR132" s="71"/>
      <c r="DS132" s="226"/>
      <c r="DT132" s="71"/>
      <c r="DU132" s="71"/>
      <c r="DV132" s="345"/>
      <c r="DW132" s="71"/>
      <c r="DX132" s="226"/>
      <c r="DY132" s="71"/>
      <c r="DZ132" s="71"/>
      <c r="EA132" s="345"/>
      <c r="EB132" s="71"/>
      <c r="EC132" s="226"/>
      <c r="ED132" s="71"/>
      <c r="EE132" s="71"/>
      <c r="EF132" s="345"/>
      <c r="EG132" s="71"/>
      <c r="EH132" s="226"/>
      <c r="EI132" s="71"/>
      <c r="EJ132" s="71"/>
      <c r="EK132" s="345"/>
      <c r="EL132" s="71"/>
      <c r="EM132" s="226"/>
      <c r="EN132" s="71"/>
      <c r="EO132" s="71"/>
      <c r="EP132" s="345"/>
      <c r="EQ132" s="71"/>
      <c r="ER132" s="226"/>
      <c r="ES132" s="71"/>
      <c r="ET132" s="71"/>
      <c r="EU132" s="345"/>
      <c r="EV132" s="71"/>
      <c r="EW132" s="226"/>
      <c r="EX132" s="71"/>
      <c r="EY132" s="71"/>
      <c r="EZ132" s="345"/>
      <c r="FA132" s="71"/>
      <c r="FB132" s="226"/>
      <c r="FC132" s="71"/>
      <c r="FD132" s="71"/>
      <c r="FE132" s="345"/>
      <c r="FF132" s="71"/>
      <c r="FG132" s="226"/>
      <c r="FH132" s="71"/>
      <c r="FI132" s="71"/>
      <c r="FJ132" s="345"/>
      <c r="FK132" s="71"/>
      <c r="FL132" s="226"/>
      <c r="FM132" s="71"/>
      <c r="FN132" s="71"/>
      <c r="FO132" s="345"/>
      <c r="FP132" s="71"/>
      <c r="FQ132" s="226"/>
      <c r="FR132" s="71"/>
      <c r="FS132" s="71"/>
      <c r="FT132" s="345"/>
      <c r="FU132" s="71"/>
      <c r="FV132" s="226"/>
      <c r="FW132" s="71"/>
      <c r="FX132" s="71"/>
      <c r="FY132" s="345"/>
      <c r="FZ132" s="71"/>
      <c r="GA132" s="226"/>
      <c r="GB132" s="71"/>
      <c r="GC132" s="71"/>
      <c r="GD132" s="345"/>
      <c r="GE132" s="71"/>
      <c r="GF132" s="226"/>
      <c r="GG132" s="71"/>
      <c r="GH132" s="71"/>
      <c r="GI132" s="345"/>
      <c r="GJ132" s="71"/>
      <c r="GK132" s="226"/>
      <c r="GL132" s="71"/>
      <c r="GM132" s="71"/>
      <c r="GN132" s="345"/>
      <c r="GO132" s="71"/>
      <c r="GP132" s="226"/>
      <c r="GQ132" s="71"/>
      <c r="GR132" s="71"/>
      <c r="GS132" s="345"/>
      <c r="GT132" s="71"/>
      <c r="GU132" s="226"/>
      <c r="GV132" s="71"/>
      <c r="GW132" s="71"/>
      <c r="GX132" s="345"/>
      <c r="GY132" s="71"/>
      <c r="GZ132" s="226"/>
      <c r="HA132" s="71"/>
      <c r="HB132" s="71"/>
      <c r="HC132" s="345"/>
      <c r="HD132" s="71"/>
      <c r="HE132" s="226"/>
      <c r="HF132" s="71"/>
      <c r="HG132" s="71"/>
      <c r="HH132" s="345"/>
      <c r="HI132" s="71"/>
      <c r="HJ132" s="226"/>
      <c r="HK132" s="71"/>
      <c r="HL132" s="71"/>
      <c r="HM132" s="345"/>
      <c r="HN132" s="71"/>
      <c r="HO132" s="226"/>
      <c r="HP132" s="71"/>
      <c r="HQ132" s="71"/>
      <c r="HR132" s="345"/>
      <c r="HS132" s="71"/>
      <c r="HT132" s="226"/>
      <c r="HU132" s="71"/>
      <c r="HV132" s="71"/>
      <c r="HW132" s="345"/>
      <c r="HX132" s="71"/>
      <c r="HY132" s="226"/>
      <c r="HZ132" s="71"/>
      <c r="IA132" s="71"/>
      <c r="IB132" s="345"/>
      <c r="IC132" s="71"/>
      <c r="ID132" s="226"/>
      <c r="IE132" s="71"/>
      <c r="IF132" s="71"/>
      <c r="IG132" s="345"/>
      <c r="IH132" s="71"/>
      <c r="II132" s="226"/>
      <c r="IJ132" s="71"/>
      <c r="IK132" s="71"/>
      <c r="IL132" s="345"/>
      <c r="IM132" s="71"/>
      <c r="IN132" s="226"/>
      <c r="IO132" s="71"/>
      <c r="IP132" s="71"/>
      <c r="IQ132" s="345"/>
      <c r="IR132" s="71"/>
      <c r="IS132" s="226"/>
      <c r="IT132" s="71"/>
      <c r="IU132" s="71"/>
      <c r="IV132" s="345"/>
    </row>
    <row r="133" spans="1:256" x14ac:dyDescent="0.2">
      <c r="A133" s="345">
        <v>31563</v>
      </c>
      <c r="B133" s="71"/>
      <c r="C133" s="226"/>
      <c r="D133" s="71"/>
      <c r="E133" s="71"/>
      <c r="F133" s="345"/>
      <c r="G133" s="71"/>
      <c r="H133" s="226"/>
      <c r="I133" s="71"/>
      <c r="J133" s="71"/>
      <c r="K133" s="345"/>
      <c r="L133" s="71"/>
      <c r="M133" s="226"/>
      <c r="N133" s="71"/>
      <c r="O133" s="71"/>
      <c r="P133" s="345"/>
      <c r="Q133" s="71"/>
      <c r="R133" s="226"/>
      <c r="S133" s="71"/>
      <c r="T133" s="71"/>
      <c r="U133" s="345"/>
      <c r="V133" s="71"/>
      <c r="W133" s="226"/>
      <c r="X133" s="71"/>
      <c r="Y133" s="71"/>
      <c r="Z133" s="345"/>
      <c r="AA133" s="71"/>
      <c r="AB133" s="226"/>
      <c r="AC133" s="71"/>
      <c r="AD133" s="71"/>
      <c r="AE133" s="345"/>
      <c r="AF133" s="71"/>
      <c r="AG133" s="226"/>
      <c r="AH133" s="71"/>
      <c r="AI133" s="71"/>
      <c r="AJ133" s="345"/>
      <c r="AK133" s="71"/>
      <c r="AL133" s="226"/>
      <c r="AM133" s="71"/>
      <c r="AN133" s="71"/>
      <c r="AO133" s="345"/>
      <c r="AP133" s="71"/>
      <c r="AQ133" s="226"/>
      <c r="AR133" s="71"/>
      <c r="AS133" s="71"/>
      <c r="AT133" s="345"/>
      <c r="AU133" s="71"/>
      <c r="AV133" s="226"/>
      <c r="AW133" s="71"/>
      <c r="AX133" s="71"/>
      <c r="AY133" s="345"/>
      <c r="AZ133" s="71"/>
      <c r="BA133" s="226"/>
      <c r="BB133" s="71"/>
      <c r="BC133" s="71"/>
      <c r="BD133" s="345"/>
      <c r="BE133" s="71"/>
      <c r="BF133" s="226"/>
      <c r="BG133" s="71"/>
      <c r="BH133" s="71"/>
      <c r="BI133" s="345"/>
      <c r="BJ133" s="71"/>
      <c r="BK133" s="226"/>
      <c r="BL133" s="71"/>
      <c r="BM133" s="71"/>
      <c r="BN133" s="345"/>
      <c r="BO133" s="71"/>
      <c r="BP133" s="226"/>
      <c r="BQ133" s="71"/>
      <c r="BR133" s="71"/>
      <c r="BS133" s="345"/>
      <c r="BT133" s="71"/>
      <c r="BU133" s="226"/>
      <c r="BV133" s="71"/>
      <c r="BW133" s="71"/>
      <c r="BX133" s="345"/>
      <c r="BY133" s="71"/>
      <c r="BZ133" s="226"/>
      <c r="CA133" s="71"/>
      <c r="CB133" s="71"/>
      <c r="CC133" s="345"/>
      <c r="CD133" s="71"/>
      <c r="CE133" s="226"/>
      <c r="CF133" s="71"/>
      <c r="CG133" s="71"/>
      <c r="CH133" s="345"/>
      <c r="CI133" s="71"/>
      <c r="CJ133" s="226"/>
      <c r="CK133" s="71"/>
      <c r="CL133" s="71"/>
      <c r="CM133" s="345"/>
      <c r="CN133" s="71"/>
      <c r="CO133" s="226"/>
      <c r="CP133" s="71"/>
      <c r="CQ133" s="71"/>
      <c r="CR133" s="345"/>
      <c r="CS133" s="71"/>
      <c r="CT133" s="226"/>
      <c r="CU133" s="71"/>
      <c r="CV133" s="71"/>
      <c r="CW133" s="345"/>
      <c r="CX133" s="71"/>
      <c r="CY133" s="226"/>
      <c r="CZ133" s="71"/>
      <c r="DA133" s="71"/>
      <c r="DB133" s="345"/>
      <c r="DC133" s="71"/>
      <c r="DD133" s="226"/>
      <c r="DE133" s="71"/>
      <c r="DF133" s="71"/>
      <c r="DG133" s="345"/>
      <c r="DH133" s="71"/>
      <c r="DI133" s="226"/>
      <c r="DJ133" s="71"/>
      <c r="DK133" s="71"/>
      <c r="DL133" s="345"/>
      <c r="DM133" s="71"/>
      <c r="DN133" s="226"/>
      <c r="DO133" s="71"/>
      <c r="DP133" s="71"/>
      <c r="DQ133" s="345"/>
      <c r="DR133" s="71"/>
      <c r="DS133" s="226"/>
      <c r="DT133" s="71"/>
      <c r="DU133" s="71"/>
      <c r="DV133" s="345"/>
      <c r="DW133" s="71"/>
      <c r="DX133" s="226"/>
      <c r="DY133" s="71"/>
      <c r="DZ133" s="71"/>
      <c r="EA133" s="345"/>
      <c r="EB133" s="71"/>
      <c r="EC133" s="226"/>
      <c r="ED133" s="71"/>
      <c r="EE133" s="71"/>
      <c r="EF133" s="345"/>
      <c r="EG133" s="71"/>
      <c r="EH133" s="226"/>
      <c r="EI133" s="71"/>
      <c r="EJ133" s="71"/>
      <c r="EK133" s="345"/>
      <c r="EL133" s="71"/>
      <c r="EM133" s="226"/>
      <c r="EN133" s="71"/>
      <c r="EO133" s="71"/>
      <c r="EP133" s="345"/>
      <c r="EQ133" s="71"/>
      <c r="ER133" s="226"/>
      <c r="ES133" s="71"/>
      <c r="ET133" s="71"/>
      <c r="EU133" s="345"/>
      <c r="EV133" s="71"/>
      <c r="EW133" s="226"/>
      <c r="EX133" s="71"/>
      <c r="EY133" s="71"/>
      <c r="EZ133" s="345"/>
      <c r="FA133" s="71"/>
      <c r="FB133" s="226"/>
      <c r="FC133" s="71"/>
      <c r="FD133" s="71"/>
      <c r="FE133" s="345"/>
      <c r="FF133" s="71"/>
      <c r="FG133" s="226"/>
      <c r="FH133" s="71"/>
      <c r="FI133" s="71"/>
      <c r="FJ133" s="345"/>
      <c r="FK133" s="71"/>
      <c r="FL133" s="226"/>
      <c r="FM133" s="71"/>
      <c r="FN133" s="71"/>
      <c r="FO133" s="345"/>
      <c r="FP133" s="71"/>
      <c r="FQ133" s="226"/>
      <c r="FR133" s="71"/>
      <c r="FS133" s="71"/>
      <c r="FT133" s="345"/>
      <c r="FU133" s="71"/>
      <c r="FV133" s="226"/>
      <c r="FW133" s="71"/>
      <c r="FX133" s="71"/>
      <c r="FY133" s="345"/>
      <c r="FZ133" s="71"/>
      <c r="GA133" s="226"/>
      <c r="GB133" s="71"/>
      <c r="GC133" s="71"/>
      <c r="GD133" s="345"/>
      <c r="GE133" s="71"/>
      <c r="GF133" s="226"/>
      <c r="GG133" s="71"/>
      <c r="GH133" s="71"/>
      <c r="GI133" s="345"/>
      <c r="GJ133" s="71"/>
      <c r="GK133" s="226"/>
      <c r="GL133" s="71"/>
      <c r="GM133" s="71"/>
      <c r="GN133" s="345"/>
      <c r="GO133" s="71"/>
      <c r="GP133" s="226"/>
      <c r="GQ133" s="71"/>
      <c r="GR133" s="71"/>
      <c r="GS133" s="345"/>
      <c r="GT133" s="71"/>
      <c r="GU133" s="226"/>
      <c r="GV133" s="71"/>
      <c r="GW133" s="71"/>
      <c r="GX133" s="345"/>
      <c r="GY133" s="71"/>
      <c r="GZ133" s="226"/>
      <c r="HA133" s="71"/>
      <c r="HB133" s="71"/>
      <c r="HC133" s="345"/>
      <c r="HD133" s="71"/>
      <c r="HE133" s="226"/>
      <c r="HF133" s="71"/>
      <c r="HG133" s="71"/>
      <c r="HH133" s="345"/>
      <c r="HI133" s="71"/>
      <c r="HJ133" s="226"/>
      <c r="HK133" s="71"/>
      <c r="HL133" s="71"/>
      <c r="HM133" s="345"/>
      <c r="HN133" s="71"/>
      <c r="HO133" s="226"/>
      <c r="HP133" s="71"/>
      <c r="HQ133" s="71"/>
      <c r="HR133" s="345"/>
      <c r="HS133" s="71"/>
      <c r="HT133" s="226"/>
      <c r="HU133" s="71"/>
      <c r="HV133" s="71"/>
      <c r="HW133" s="345"/>
      <c r="HX133" s="71"/>
      <c r="HY133" s="226"/>
      <c r="HZ133" s="71"/>
      <c r="IA133" s="71"/>
      <c r="IB133" s="345"/>
      <c r="IC133" s="71"/>
      <c r="ID133" s="226"/>
      <c r="IE133" s="71"/>
      <c r="IF133" s="71"/>
      <c r="IG133" s="345"/>
      <c r="IH133" s="71"/>
      <c r="II133" s="226"/>
      <c r="IJ133" s="71"/>
      <c r="IK133" s="71"/>
      <c r="IL133" s="345"/>
      <c r="IM133" s="71"/>
      <c r="IN133" s="226"/>
      <c r="IO133" s="71"/>
      <c r="IP133" s="71"/>
      <c r="IQ133" s="345"/>
      <c r="IR133" s="71"/>
      <c r="IS133" s="226"/>
      <c r="IT133" s="71"/>
      <c r="IU133" s="71"/>
      <c r="IV133" s="345"/>
    </row>
    <row r="134" spans="1:256" x14ac:dyDescent="0.2">
      <c r="A134" s="345">
        <v>31593</v>
      </c>
      <c r="B134" s="71"/>
      <c r="C134" s="226"/>
      <c r="D134" s="71"/>
      <c r="E134" s="71"/>
      <c r="F134" s="345"/>
      <c r="G134" s="71"/>
      <c r="H134" s="226"/>
      <c r="I134" s="71"/>
      <c r="J134" s="71"/>
      <c r="K134" s="345"/>
      <c r="L134" s="71"/>
      <c r="M134" s="226"/>
      <c r="N134" s="71"/>
      <c r="O134" s="71"/>
      <c r="P134" s="345"/>
      <c r="Q134" s="71"/>
      <c r="R134" s="226"/>
      <c r="S134" s="71"/>
      <c r="T134" s="71"/>
      <c r="U134" s="345"/>
      <c r="V134" s="71"/>
      <c r="W134" s="226"/>
      <c r="X134" s="71"/>
      <c r="Y134" s="71"/>
      <c r="Z134" s="345"/>
      <c r="AA134" s="71"/>
      <c r="AB134" s="226"/>
      <c r="AC134" s="71"/>
      <c r="AD134" s="71"/>
      <c r="AE134" s="345"/>
      <c r="AF134" s="71"/>
      <c r="AG134" s="226"/>
      <c r="AH134" s="71"/>
      <c r="AI134" s="71"/>
      <c r="AJ134" s="345"/>
      <c r="AK134" s="71"/>
      <c r="AL134" s="226"/>
      <c r="AM134" s="71"/>
      <c r="AN134" s="71"/>
      <c r="AO134" s="345"/>
      <c r="AP134" s="71"/>
      <c r="AQ134" s="226"/>
      <c r="AR134" s="71"/>
      <c r="AS134" s="71"/>
      <c r="AT134" s="345"/>
      <c r="AU134" s="71"/>
      <c r="AV134" s="226"/>
      <c r="AW134" s="71"/>
      <c r="AX134" s="71"/>
      <c r="AY134" s="345"/>
      <c r="AZ134" s="71"/>
      <c r="BA134" s="226"/>
      <c r="BB134" s="71"/>
      <c r="BC134" s="71"/>
      <c r="BD134" s="345"/>
      <c r="BE134" s="71"/>
      <c r="BF134" s="226"/>
      <c r="BG134" s="71"/>
      <c r="BH134" s="71"/>
      <c r="BI134" s="345"/>
      <c r="BJ134" s="71"/>
      <c r="BK134" s="226"/>
      <c r="BL134" s="71"/>
      <c r="BM134" s="71"/>
      <c r="BN134" s="345"/>
      <c r="BO134" s="71"/>
      <c r="BP134" s="226"/>
      <c r="BQ134" s="71"/>
      <c r="BR134" s="71"/>
      <c r="BS134" s="345"/>
      <c r="BT134" s="71"/>
      <c r="BU134" s="226"/>
      <c r="BV134" s="71"/>
      <c r="BW134" s="71"/>
      <c r="BX134" s="345"/>
      <c r="BY134" s="71"/>
      <c r="BZ134" s="226"/>
      <c r="CA134" s="71"/>
      <c r="CB134" s="71"/>
      <c r="CC134" s="345"/>
      <c r="CD134" s="71"/>
      <c r="CE134" s="226"/>
      <c r="CF134" s="71"/>
      <c r="CG134" s="71"/>
      <c r="CH134" s="345"/>
      <c r="CI134" s="71"/>
      <c r="CJ134" s="226"/>
      <c r="CK134" s="71"/>
      <c r="CL134" s="71"/>
      <c r="CM134" s="345"/>
      <c r="CN134" s="71"/>
      <c r="CO134" s="226"/>
      <c r="CP134" s="71"/>
      <c r="CQ134" s="71"/>
      <c r="CR134" s="345"/>
      <c r="CS134" s="71"/>
      <c r="CT134" s="226"/>
      <c r="CU134" s="71"/>
      <c r="CV134" s="71"/>
      <c r="CW134" s="345"/>
      <c r="CX134" s="71"/>
      <c r="CY134" s="226"/>
      <c r="CZ134" s="71"/>
      <c r="DA134" s="71"/>
      <c r="DB134" s="345"/>
      <c r="DC134" s="71"/>
      <c r="DD134" s="226"/>
      <c r="DE134" s="71"/>
      <c r="DF134" s="71"/>
      <c r="DG134" s="345"/>
      <c r="DH134" s="71"/>
      <c r="DI134" s="226"/>
      <c r="DJ134" s="71"/>
      <c r="DK134" s="71"/>
      <c r="DL134" s="345"/>
      <c r="DM134" s="71"/>
      <c r="DN134" s="226"/>
      <c r="DO134" s="71"/>
      <c r="DP134" s="71"/>
      <c r="DQ134" s="345"/>
      <c r="DR134" s="71"/>
      <c r="DS134" s="226"/>
      <c r="DT134" s="71"/>
      <c r="DU134" s="71"/>
      <c r="DV134" s="345"/>
      <c r="DW134" s="71"/>
      <c r="DX134" s="226"/>
      <c r="DY134" s="71"/>
      <c r="DZ134" s="71"/>
      <c r="EA134" s="345"/>
      <c r="EB134" s="71"/>
      <c r="EC134" s="226"/>
      <c r="ED134" s="71"/>
      <c r="EE134" s="71"/>
      <c r="EF134" s="345"/>
      <c r="EG134" s="71"/>
      <c r="EH134" s="226"/>
      <c r="EI134" s="71"/>
      <c r="EJ134" s="71"/>
      <c r="EK134" s="345"/>
      <c r="EL134" s="71"/>
      <c r="EM134" s="226"/>
      <c r="EN134" s="71"/>
      <c r="EO134" s="71"/>
      <c r="EP134" s="345"/>
      <c r="EQ134" s="71"/>
      <c r="ER134" s="226"/>
      <c r="ES134" s="71"/>
      <c r="ET134" s="71"/>
      <c r="EU134" s="345"/>
      <c r="EV134" s="71"/>
      <c r="EW134" s="226"/>
      <c r="EX134" s="71"/>
      <c r="EY134" s="71"/>
      <c r="EZ134" s="345"/>
      <c r="FA134" s="71"/>
      <c r="FB134" s="226"/>
      <c r="FC134" s="71"/>
      <c r="FD134" s="71"/>
      <c r="FE134" s="345"/>
      <c r="FF134" s="71"/>
      <c r="FG134" s="226"/>
      <c r="FH134" s="71"/>
      <c r="FI134" s="71"/>
      <c r="FJ134" s="345"/>
      <c r="FK134" s="71"/>
      <c r="FL134" s="226"/>
      <c r="FM134" s="71"/>
      <c r="FN134" s="71"/>
      <c r="FO134" s="345"/>
      <c r="FP134" s="71"/>
      <c r="FQ134" s="226"/>
      <c r="FR134" s="71"/>
      <c r="FS134" s="71"/>
      <c r="FT134" s="345"/>
      <c r="FU134" s="71"/>
      <c r="FV134" s="226"/>
      <c r="FW134" s="71"/>
      <c r="FX134" s="71"/>
      <c r="FY134" s="345"/>
      <c r="FZ134" s="71"/>
      <c r="GA134" s="226"/>
      <c r="GB134" s="71"/>
      <c r="GC134" s="71"/>
      <c r="GD134" s="345"/>
      <c r="GE134" s="71"/>
      <c r="GF134" s="226"/>
      <c r="GG134" s="71"/>
      <c r="GH134" s="71"/>
      <c r="GI134" s="345"/>
      <c r="GJ134" s="71"/>
      <c r="GK134" s="226"/>
      <c r="GL134" s="71"/>
      <c r="GM134" s="71"/>
      <c r="GN134" s="345"/>
      <c r="GO134" s="71"/>
      <c r="GP134" s="226"/>
      <c r="GQ134" s="71"/>
      <c r="GR134" s="71"/>
      <c r="GS134" s="345"/>
      <c r="GT134" s="71"/>
      <c r="GU134" s="226"/>
      <c r="GV134" s="71"/>
      <c r="GW134" s="71"/>
      <c r="GX134" s="345"/>
      <c r="GY134" s="71"/>
      <c r="GZ134" s="226"/>
      <c r="HA134" s="71"/>
      <c r="HB134" s="71"/>
      <c r="HC134" s="345"/>
      <c r="HD134" s="71"/>
      <c r="HE134" s="226"/>
      <c r="HF134" s="71"/>
      <c r="HG134" s="71"/>
      <c r="HH134" s="345"/>
      <c r="HI134" s="71"/>
      <c r="HJ134" s="226"/>
      <c r="HK134" s="71"/>
      <c r="HL134" s="71"/>
      <c r="HM134" s="345"/>
      <c r="HN134" s="71"/>
      <c r="HO134" s="226"/>
      <c r="HP134" s="71"/>
      <c r="HQ134" s="71"/>
      <c r="HR134" s="345"/>
      <c r="HS134" s="71"/>
      <c r="HT134" s="226"/>
      <c r="HU134" s="71"/>
      <c r="HV134" s="71"/>
      <c r="HW134" s="345"/>
      <c r="HX134" s="71"/>
      <c r="HY134" s="226"/>
      <c r="HZ134" s="71"/>
      <c r="IA134" s="71"/>
      <c r="IB134" s="345"/>
      <c r="IC134" s="71"/>
      <c r="ID134" s="226"/>
      <c r="IE134" s="71"/>
      <c r="IF134" s="71"/>
      <c r="IG134" s="345"/>
      <c r="IH134" s="71"/>
      <c r="II134" s="226"/>
      <c r="IJ134" s="71"/>
      <c r="IK134" s="71"/>
      <c r="IL134" s="345"/>
      <c r="IM134" s="71"/>
      <c r="IN134" s="226"/>
      <c r="IO134" s="71"/>
      <c r="IP134" s="71"/>
      <c r="IQ134" s="345"/>
      <c r="IR134" s="71"/>
      <c r="IS134" s="226"/>
      <c r="IT134" s="71"/>
      <c r="IU134" s="71"/>
      <c r="IV134" s="345"/>
    </row>
    <row r="135" spans="1:256" x14ac:dyDescent="0.2">
      <c r="A135" s="345">
        <v>31624</v>
      </c>
      <c r="B135" s="71"/>
      <c r="C135" s="226"/>
      <c r="D135" s="71"/>
      <c r="E135" s="71"/>
      <c r="F135" s="345"/>
      <c r="G135" s="71"/>
      <c r="H135" s="226"/>
      <c r="I135" s="71"/>
      <c r="J135" s="71"/>
      <c r="K135" s="345"/>
      <c r="L135" s="71"/>
      <c r="M135" s="226"/>
      <c r="N135" s="71"/>
      <c r="O135" s="71"/>
      <c r="P135" s="345"/>
      <c r="Q135" s="71"/>
      <c r="R135" s="226"/>
      <c r="S135" s="71"/>
      <c r="T135" s="71"/>
      <c r="U135" s="345"/>
      <c r="V135" s="71"/>
      <c r="W135" s="226"/>
      <c r="X135" s="71"/>
      <c r="Y135" s="71"/>
      <c r="Z135" s="345"/>
      <c r="AA135" s="71"/>
      <c r="AB135" s="226"/>
      <c r="AC135" s="71"/>
      <c r="AD135" s="71"/>
      <c r="AE135" s="345"/>
      <c r="AF135" s="71"/>
      <c r="AG135" s="226"/>
      <c r="AH135" s="71"/>
      <c r="AI135" s="71"/>
      <c r="AJ135" s="345"/>
      <c r="AK135" s="71"/>
      <c r="AL135" s="226"/>
      <c r="AM135" s="71"/>
      <c r="AN135" s="71"/>
      <c r="AO135" s="345"/>
      <c r="AP135" s="71"/>
      <c r="AQ135" s="226"/>
      <c r="AR135" s="71"/>
      <c r="AS135" s="71"/>
      <c r="AT135" s="345"/>
      <c r="AU135" s="71"/>
      <c r="AV135" s="226"/>
      <c r="AW135" s="71"/>
      <c r="AX135" s="71"/>
      <c r="AY135" s="345"/>
      <c r="AZ135" s="71"/>
      <c r="BA135" s="226"/>
      <c r="BB135" s="71"/>
      <c r="BC135" s="71"/>
      <c r="BD135" s="345"/>
      <c r="BE135" s="71"/>
      <c r="BF135" s="226"/>
      <c r="BG135" s="71"/>
      <c r="BH135" s="71"/>
      <c r="BI135" s="345"/>
      <c r="BJ135" s="71"/>
      <c r="BK135" s="226"/>
      <c r="BL135" s="71"/>
      <c r="BM135" s="71"/>
      <c r="BN135" s="345"/>
      <c r="BO135" s="71"/>
      <c r="BP135" s="226"/>
      <c r="BQ135" s="71"/>
      <c r="BR135" s="71"/>
      <c r="BS135" s="345"/>
      <c r="BT135" s="71"/>
      <c r="BU135" s="226"/>
      <c r="BV135" s="71"/>
      <c r="BW135" s="71"/>
      <c r="BX135" s="345"/>
      <c r="BY135" s="71"/>
      <c r="BZ135" s="226"/>
      <c r="CA135" s="71"/>
      <c r="CB135" s="71"/>
      <c r="CC135" s="345"/>
      <c r="CD135" s="71"/>
      <c r="CE135" s="226"/>
      <c r="CF135" s="71"/>
      <c r="CG135" s="71"/>
      <c r="CH135" s="345"/>
      <c r="CI135" s="71"/>
      <c r="CJ135" s="226"/>
      <c r="CK135" s="71"/>
      <c r="CL135" s="71"/>
      <c r="CM135" s="345"/>
      <c r="CN135" s="71"/>
      <c r="CO135" s="226"/>
      <c r="CP135" s="71"/>
      <c r="CQ135" s="71"/>
      <c r="CR135" s="345"/>
      <c r="CS135" s="71"/>
      <c r="CT135" s="226"/>
      <c r="CU135" s="71"/>
      <c r="CV135" s="71"/>
      <c r="CW135" s="345"/>
      <c r="CX135" s="71"/>
      <c r="CY135" s="226"/>
      <c r="CZ135" s="71"/>
      <c r="DA135" s="71"/>
      <c r="DB135" s="345"/>
      <c r="DC135" s="71"/>
      <c r="DD135" s="226"/>
      <c r="DE135" s="71"/>
      <c r="DF135" s="71"/>
      <c r="DG135" s="345"/>
      <c r="DH135" s="71"/>
      <c r="DI135" s="226"/>
      <c r="DJ135" s="71"/>
      <c r="DK135" s="71"/>
      <c r="DL135" s="345"/>
      <c r="DM135" s="71"/>
      <c r="DN135" s="226"/>
      <c r="DO135" s="71"/>
      <c r="DP135" s="71"/>
      <c r="DQ135" s="345"/>
      <c r="DR135" s="71"/>
      <c r="DS135" s="226"/>
      <c r="DT135" s="71"/>
      <c r="DU135" s="71"/>
      <c r="DV135" s="345"/>
      <c r="DW135" s="71"/>
      <c r="DX135" s="226"/>
      <c r="DY135" s="71"/>
      <c r="DZ135" s="71"/>
      <c r="EA135" s="345"/>
      <c r="EB135" s="71"/>
      <c r="EC135" s="226"/>
      <c r="ED135" s="71"/>
      <c r="EE135" s="71"/>
      <c r="EF135" s="345"/>
      <c r="EG135" s="71"/>
      <c r="EH135" s="226"/>
      <c r="EI135" s="71"/>
      <c r="EJ135" s="71"/>
      <c r="EK135" s="345"/>
      <c r="EL135" s="71"/>
      <c r="EM135" s="226"/>
      <c r="EN135" s="71"/>
      <c r="EO135" s="71"/>
      <c r="EP135" s="345"/>
      <c r="EQ135" s="71"/>
      <c r="ER135" s="226"/>
      <c r="ES135" s="71"/>
      <c r="ET135" s="71"/>
      <c r="EU135" s="345"/>
      <c r="EV135" s="71"/>
      <c r="EW135" s="226"/>
      <c r="EX135" s="71"/>
      <c r="EY135" s="71"/>
      <c r="EZ135" s="345"/>
      <c r="FA135" s="71"/>
      <c r="FB135" s="226"/>
      <c r="FC135" s="71"/>
      <c r="FD135" s="71"/>
      <c r="FE135" s="345"/>
      <c r="FF135" s="71"/>
      <c r="FG135" s="226"/>
      <c r="FH135" s="71"/>
      <c r="FI135" s="71"/>
      <c r="FJ135" s="345"/>
      <c r="FK135" s="71"/>
      <c r="FL135" s="226"/>
      <c r="FM135" s="71"/>
      <c r="FN135" s="71"/>
      <c r="FO135" s="345"/>
      <c r="FP135" s="71"/>
      <c r="FQ135" s="226"/>
      <c r="FR135" s="71"/>
      <c r="FS135" s="71"/>
      <c r="FT135" s="345"/>
      <c r="FU135" s="71"/>
      <c r="FV135" s="226"/>
      <c r="FW135" s="71"/>
      <c r="FX135" s="71"/>
      <c r="FY135" s="345"/>
      <c r="FZ135" s="71"/>
      <c r="GA135" s="226"/>
      <c r="GB135" s="71"/>
      <c r="GC135" s="71"/>
      <c r="GD135" s="345"/>
      <c r="GE135" s="71"/>
      <c r="GF135" s="226"/>
      <c r="GG135" s="71"/>
      <c r="GH135" s="71"/>
      <c r="GI135" s="345"/>
      <c r="GJ135" s="71"/>
      <c r="GK135" s="226"/>
      <c r="GL135" s="71"/>
      <c r="GM135" s="71"/>
      <c r="GN135" s="345"/>
      <c r="GO135" s="71"/>
      <c r="GP135" s="226"/>
      <c r="GQ135" s="71"/>
      <c r="GR135" s="71"/>
      <c r="GS135" s="345"/>
      <c r="GT135" s="71"/>
      <c r="GU135" s="226"/>
      <c r="GV135" s="71"/>
      <c r="GW135" s="71"/>
      <c r="GX135" s="345"/>
      <c r="GY135" s="71"/>
      <c r="GZ135" s="226"/>
      <c r="HA135" s="71"/>
      <c r="HB135" s="71"/>
      <c r="HC135" s="345"/>
      <c r="HD135" s="71"/>
      <c r="HE135" s="226"/>
      <c r="HF135" s="71"/>
      <c r="HG135" s="71"/>
      <c r="HH135" s="345"/>
      <c r="HI135" s="71"/>
      <c r="HJ135" s="226"/>
      <c r="HK135" s="71"/>
      <c r="HL135" s="71"/>
      <c r="HM135" s="345"/>
      <c r="HN135" s="71"/>
      <c r="HO135" s="226"/>
      <c r="HP135" s="71"/>
      <c r="HQ135" s="71"/>
      <c r="HR135" s="345"/>
      <c r="HS135" s="71"/>
      <c r="HT135" s="226"/>
      <c r="HU135" s="71"/>
      <c r="HV135" s="71"/>
      <c r="HW135" s="345"/>
      <c r="HX135" s="71"/>
      <c r="HY135" s="226"/>
      <c r="HZ135" s="71"/>
      <c r="IA135" s="71"/>
      <c r="IB135" s="345"/>
      <c r="IC135" s="71"/>
      <c r="ID135" s="226"/>
      <c r="IE135" s="71"/>
      <c r="IF135" s="71"/>
      <c r="IG135" s="345"/>
      <c r="IH135" s="71"/>
      <c r="II135" s="226"/>
      <c r="IJ135" s="71"/>
      <c r="IK135" s="71"/>
      <c r="IL135" s="345"/>
      <c r="IM135" s="71"/>
      <c r="IN135" s="226"/>
      <c r="IO135" s="71"/>
      <c r="IP135" s="71"/>
      <c r="IQ135" s="345"/>
      <c r="IR135" s="71"/>
      <c r="IS135" s="226"/>
      <c r="IT135" s="71"/>
      <c r="IU135" s="71"/>
      <c r="IV135" s="345"/>
    </row>
    <row r="136" spans="1:256" x14ac:dyDescent="0.2">
      <c r="A136" s="345">
        <v>31655</v>
      </c>
      <c r="B136" s="71"/>
      <c r="C136" s="226"/>
      <c r="D136" s="71"/>
      <c r="E136" s="71"/>
      <c r="F136" s="345"/>
      <c r="G136" s="71"/>
      <c r="H136" s="226"/>
      <c r="I136" s="71"/>
      <c r="J136" s="71"/>
      <c r="K136" s="345"/>
      <c r="L136" s="71"/>
      <c r="M136" s="226"/>
      <c r="N136" s="71"/>
      <c r="O136" s="71"/>
      <c r="P136" s="345"/>
      <c r="Q136" s="71"/>
      <c r="R136" s="226"/>
      <c r="S136" s="71"/>
      <c r="T136" s="71"/>
      <c r="U136" s="345"/>
      <c r="V136" s="71"/>
      <c r="W136" s="226"/>
      <c r="X136" s="71"/>
      <c r="Y136" s="71"/>
      <c r="Z136" s="345"/>
      <c r="AA136" s="71"/>
      <c r="AB136" s="226"/>
      <c r="AC136" s="71"/>
      <c r="AD136" s="71"/>
      <c r="AE136" s="345"/>
      <c r="AF136" s="71"/>
      <c r="AG136" s="226"/>
      <c r="AH136" s="71"/>
      <c r="AI136" s="71"/>
      <c r="AJ136" s="345"/>
      <c r="AK136" s="71"/>
      <c r="AL136" s="226"/>
      <c r="AM136" s="71"/>
      <c r="AN136" s="71"/>
      <c r="AO136" s="345"/>
      <c r="AP136" s="71"/>
      <c r="AQ136" s="226"/>
      <c r="AR136" s="71"/>
      <c r="AS136" s="71"/>
      <c r="AT136" s="345"/>
      <c r="AU136" s="71"/>
      <c r="AV136" s="226"/>
      <c r="AW136" s="71"/>
      <c r="AX136" s="71"/>
      <c r="AY136" s="345"/>
      <c r="AZ136" s="71"/>
      <c r="BA136" s="226"/>
      <c r="BB136" s="71"/>
      <c r="BC136" s="71"/>
      <c r="BD136" s="345"/>
      <c r="BE136" s="71"/>
      <c r="BF136" s="226"/>
      <c r="BG136" s="71"/>
      <c r="BH136" s="71"/>
      <c r="BI136" s="345"/>
      <c r="BJ136" s="71"/>
      <c r="BK136" s="226"/>
      <c r="BL136" s="71"/>
      <c r="BM136" s="71"/>
      <c r="BN136" s="345"/>
      <c r="BO136" s="71"/>
      <c r="BP136" s="226"/>
      <c r="BQ136" s="71"/>
      <c r="BR136" s="71"/>
      <c r="BS136" s="345"/>
      <c r="BT136" s="71"/>
      <c r="BU136" s="226"/>
      <c r="BV136" s="71"/>
      <c r="BW136" s="71"/>
      <c r="BX136" s="345"/>
      <c r="BY136" s="71"/>
      <c r="BZ136" s="226"/>
      <c r="CA136" s="71"/>
      <c r="CB136" s="71"/>
      <c r="CC136" s="345"/>
      <c r="CD136" s="71"/>
      <c r="CE136" s="226"/>
      <c r="CF136" s="71"/>
      <c r="CG136" s="71"/>
      <c r="CH136" s="345"/>
      <c r="CI136" s="71"/>
      <c r="CJ136" s="226"/>
      <c r="CK136" s="71"/>
      <c r="CL136" s="71"/>
      <c r="CM136" s="345"/>
      <c r="CN136" s="71"/>
      <c r="CO136" s="226"/>
      <c r="CP136" s="71"/>
      <c r="CQ136" s="71"/>
      <c r="CR136" s="345"/>
      <c r="CS136" s="71"/>
      <c r="CT136" s="226"/>
      <c r="CU136" s="71"/>
      <c r="CV136" s="71"/>
      <c r="CW136" s="345"/>
      <c r="CX136" s="71"/>
      <c r="CY136" s="226"/>
      <c r="CZ136" s="71"/>
      <c r="DA136" s="71"/>
      <c r="DB136" s="345"/>
      <c r="DC136" s="71"/>
      <c r="DD136" s="226"/>
      <c r="DE136" s="71"/>
      <c r="DF136" s="71"/>
      <c r="DG136" s="345"/>
      <c r="DH136" s="71"/>
      <c r="DI136" s="226"/>
      <c r="DJ136" s="71"/>
      <c r="DK136" s="71"/>
      <c r="DL136" s="345"/>
      <c r="DM136" s="71"/>
      <c r="DN136" s="226"/>
      <c r="DO136" s="71"/>
      <c r="DP136" s="71"/>
      <c r="DQ136" s="345"/>
      <c r="DR136" s="71"/>
      <c r="DS136" s="226"/>
      <c r="DT136" s="71"/>
      <c r="DU136" s="71"/>
      <c r="DV136" s="345"/>
      <c r="DW136" s="71"/>
      <c r="DX136" s="226"/>
      <c r="DY136" s="71"/>
      <c r="DZ136" s="71"/>
      <c r="EA136" s="345"/>
      <c r="EB136" s="71"/>
      <c r="EC136" s="226"/>
      <c r="ED136" s="71"/>
      <c r="EE136" s="71"/>
      <c r="EF136" s="345"/>
      <c r="EG136" s="71"/>
      <c r="EH136" s="226"/>
      <c r="EI136" s="71"/>
      <c r="EJ136" s="71"/>
      <c r="EK136" s="345"/>
      <c r="EL136" s="71"/>
      <c r="EM136" s="226"/>
      <c r="EN136" s="71"/>
      <c r="EO136" s="71"/>
      <c r="EP136" s="345"/>
      <c r="EQ136" s="71"/>
      <c r="ER136" s="226"/>
      <c r="ES136" s="71"/>
      <c r="ET136" s="71"/>
      <c r="EU136" s="345"/>
      <c r="EV136" s="71"/>
      <c r="EW136" s="226"/>
      <c r="EX136" s="71"/>
      <c r="EY136" s="71"/>
      <c r="EZ136" s="345"/>
      <c r="FA136" s="71"/>
      <c r="FB136" s="226"/>
      <c r="FC136" s="71"/>
      <c r="FD136" s="71"/>
      <c r="FE136" s="345"/>
      <c r="FF136" s="71"/>
      <c r="FG136" s="226"/>
      <c r="FH136" s="71"/>
      <c r="FI136" s="71"/>
      <c r="FJ136" s="345"/>
      <c r="FK136" s="71"/>
      <c r="FL136" s="226"/>
      <c r="FM136" s="71"/>
      <c r="FN136" s="71"/>
      <c r="FO136" s="345"/>
      <c r="FP136" s="71"/>
      <c r="FQ136" s="226"/>
      <c r="FR136" s="71"/>
      <c r="FS136" s="71"/>
      <c r="FT136" s="345"/>
      <c r="FU136" s="71"/>
      <c r="FV136" s="226"/>
      <c r="FW136" s="71"/>
      <c r="FX136" s="71"/>
      <c r="FY136" s="345"/>
      <c r="FZ136" s="71"/>
      <c r="GA136" s="226"/>
      <c r="GB136" s="71"/>
      <c r="GC136" s="71"/>
      <c r="GD136" s="345"/>
      <c r="GE136" s="71"/>
      <c r="GF136" s="226"/>
      <c r="GG136" s="71"/>
      <c r="GH136" s="71"/>
      <c r="GI136" s="345"/>
      <c r="GJ136" s="71"/>
      <c r="GK136" s="226"/>
      <c r="GL136" s="71"/>
      <c r="GM136" s="71"/>
      <c r="GN136" s="345"/>
      <c r="GO136" s="71"/>
      <c r="GP136" s="226"/>
      <c r="GQ136" s="71"/>
      <c r="GR136" s="71"/>
      <c r="GS136" s="345"/>
      <c r="GT136" s="71"/>
      <c r="GU136" s="226"/>
      <c r="GV136" s="71"/>
      <c r="GW136" s="71"/>
      <c r="GX136" s="345"/>
      <c r="GY136" s="71"/>
      <c r="GZ136" s="226"/>
      <c r="HA136" s="71"/>
      <c r="HB136" s="71"/>
      <c r="HC136" s="345"/>
      <c r="HD136" s="71"/>
      <c r="HE136" s="226"/>
      <c r="HF136" s="71"/>
      <c r="HG136" s="71"/>
      <c r="HH136" s="345"/>
      <c r="HI136" s="71"/>
      <c r="HJ136" s="226"/>
      <c r="HK136" s="71"/>
      <c r="HL136" s="71"/>
      <c r="HM136" s="345"/>
      <c r="HN136" s="71"/>
      <c r="HO136" s="226"/>
      <c r="HP136" s="71"/>
      <c r="HQ136" s="71"/>
      <c r="HR136" s="345"/>
      <c r="HS136" s="71"/>
      <c r="HT136" s="226"/>
      <c r="HU136" s="71"/>
      <c r="HV136" s="71"/>
      <c r="HW136" s="345"/>
      <c r="HX136" s="71"/>
      <c r="HY136" s="226"/>
      <c r="HZ136" s="71"/>
      <c r="IA136" s="71"/>
      <c r="IB136" s="345"/>
      <c r="IC136" s="71"/>
      <c r="ID136" s="226"/>
      <c r="IE136" s="71"/>
      <c r="IF136" s="71"/>
      <c r="IG136" s="345"/>
      <c r="IH136" s="71"/>
      <c r="II136" s="226"/>
      <c r="IJ136" s="71"/>
      <c r="IK136" s="71"/>
      <c r="IL136" s="345"/>
      <c r="IM136" s="71"/>
      <c r="IN136" s="226"/>
      <c r="IO136" s="71"/>
      <c r="IP136" s="71"/>
      <c r="IQ136" s="345"/>
      <c r="IR136" s="71"/>
      <c r="IS136" s="226"/>
      <c r="IT136" s="71"/>
      <c r="IU136" s="71"/>
      <c r="IV136" s="345"/>
    </row>
    <row r="137" spans="1:256" x14ac:dyDescent="0.2">
      <c r="A137" s="345">
        <v>31685</v>
      </c>
      <c r="B137" s="71"/>
      <c r="C137" s="226"/>
      <c r="D137" s="71"/>
      <c r="E137" s="71"/>
      <c r="F137" s="345"/>
      <c r="G137" s="71"/>
      <c r="H137" s="226"/>
      <c r="I137" s="71"/>
      <c r="J137" s="71"/>
      <c r="K137" s="345"/>
      <c r="L137" s="71"/>
      <c r="M137" s="226"/>
      <c r="N137" s="71"/>
      <c r="O137" s="71"/>
      <c r="P137" s="345"/>
      <c r="Q137" s="71"/>
      <c r="R137" s="226"/>
      <c r="S137" s="71"/>
      <c r="T137" s="71"/>
      <c r="U137" s="345"/>
      <c r="V137" s="71"/>
      <c r="W137" s="226"/>
      <c r="X137" s="71"/>
      <c r="Y137" s="71"/>
      <c r="Z137" s="345"/>
      <c r="AA137" s="71"/>
      <c r="AB137" s="226"/>
      <c r="AC137" s="71"/>
      <c r="AD137" s="71"/>
      <c r="AE137" s="345"/>
      <c r="AF137" s="71"/>
      <c r="AG137" s="226"/>
      <c r="AH137" s="71"/>
      <c r="AI137" s="71"/>
      <c r="AJ137" s="345"/>
      <c r="AK137" s="71"/>
      <c r="AL137" s="226"/>
      <c r="AM137" s="71"/>
      <c r="AN137" s="71"/>
      <c r="AO137" s="345"/>
      <c r="AP137" s="71"/>
      <c r="AQ137" s="226"/>
      <c r="AR137" s="71"/>
      <c r="AS137" s="71"/>
      <c r="AT137" s="345"/>
      <c r="AU137" s="71"/>
      <c r="AV137" s="226"/>
      <c r="AW137" s="71"/>
      <c r="AX137" s="71"/>
      <c r="AY137" s="345"/>
      <c r="AZ137" s="71"/>
      <c r="BA137" s="226"/>
      <c r="BB137" s="71"/>
      <c r="BC137" s="71"/>
      <c r="BD137" s="345"/>
      <c r="BE137" s="71"/>
      <c r="BF137" s="226"/>
      <c r="BG137" s="71"/>
      <c r="BH137" s="71"/>
      <c r="BI137" s="345"/>
      <c r="BJ137" s="71"/>
      <c r="BK137" s="226"/>
      <c r="BL137" s="71"/>
      <c r="BM137" s="71"/>
      <c r="BN137" s="345"/>
      <c r="BO137" s="71"/>
      <c r="BP137" s="226"/>
      <c r="BQ137" s="71"/>
      <c r="BR137" s="71"/>
      <c r="BS137" s="345"/>
      <c r="BT137" s="71"/>
      <c r="BU137" s="226"/>
      <c r="BV137" s="71"/>
      <c r="BW137" s="71"/>
      <c r="BX137" s="345"/>
      <c r="BY137" s="71"/>
      <c r="BZ137" s="226"/>
      <c r="CA137" s="71"/>
      <c r="CB137" s="71"/>
      <c r="CC137" s="345"/>
      <c r="CD137" s="71"/>
      <c r="CE137" s="226"/>
      <c r="CF137" s="71"/>
      <c r="CG137" s="71"/>
      <c r="CH137" s="345"/>
      <c r="CI137" s="71"/>
      <c r="CJ137" s="226"/>
      <c r="CK137" s="71"/>
      <c r="CL137" s="71"/>
      <c r="CM137" s="345"/>
      <c r="CN137" s="71"/>
      <c r="CO137" s="226"/>
      <c r="CP137" s="71"/>
      <c r="CQ137" s="71"/>
      <c r="CR137" s="345"/>
      <c r="CS137" s="71"/>
      <c r="CT137" s="226"/>
      <c r="CU137" s="71"/>
      <c r="CV137" s="71"/>
      <c r="CW137" s="345"/>
      <c r="CX137" s="71"/>
      <c r="CY137" s="226"/>
      <c r="CZ137" s="71"/>
      <c r="DA137" s="71"/>
      <c r="DB137" s="345"/>
      <c r="DC137" s="71"/>
      <c r="DD137" s="226"/>
      <c r="DE137" s="71"/>
      <c r="DF137" s="71"/>
      <c r="DG137" s="345"/>
      <c r="DH137" s="71"/>
      <c r="DI137" s="226"/>
      <c r="DJ137" s="71"/>
      <c r="DK137" s="71"/>
      <c r="DL137" s="345"/>
      <c r="DM137" s="71"/>
      <c r="DN137" s="226"/>
      <c r="DO137" s="71"/>
      <c r="DP137" s="71"/>
      <c r="DQ137" s="345"/>
      <c r="DR137" s="71"/>
      <c r="DS137" s="226"/>
      <c r="DT137" s="71"/>
      <c r="DU137" s="71"/>
      <c r="DV137" s="345"/>
      <c r="DW137" s="71"/>
      <c r="DX137" s="226"/>
      <c r="DY137" s="71"/>
      <c r="DZ137" s="71"/>
      <c r="EA137" s="345"/>
      <c r="EB137" s="71"/>
      <c r="EC137" s="226"/>
      <c r="ED137" s="71"/>
      <c r="EE137" s="71"/>
      <c r="EF137" s="345"/>
      <c r="EG137" s="71"/>
      <c r="EH137" s="226"/>
      <c r="EI137" s="71"/>
      <c r="EJ137" s="71"/>
      <c r="EK137" s="345"/>
      <c r="EL137" s="71"/>
      <c r="EM137" s="226"/>
      <c r="EN137" s="71"/>
      <c r="EO137" s="71"/>
      <c r="EP137" s="345"/>
      <c r="EQ137" s="71"/>
      <c r="ER137" s="226"/>
      <c r="ES137" s="71"/>
      <c r="ET137" s="71"/>
      <c r="EU137" s="345"/>
      <c r="EV137" s="71"/>
      <c r="EW137" s="226"/>
      <c r="EX137" s="71"/>
      <c r="EY137" s="71"/>
      <c r="EZ137" s="345"/>
      <c r="FA137" s="71"/>
      <c r="FB137" s="226"/>
      <c r="FC137" s="71"/>
      <c r="FD137" s="71"/>
      <c r="FE137" s="345"/>
      <c r="FF137" s="71"/>
      <c r="FG137" s="226"/>
      <c r="FH137" s="71"/>
      <c r="FI137" s="71"/>
      <c r="FJ137" s="345"/>
      <c r="FK137" s="71"/>
      <c r="FL137" s="226"/>
      <c r="FM137" s="71"/>
      <c r="FN137" s="71"/>
      <c r="FO137" s="345"/>
      <c r="FP137" s="71"/>
      <c r="FQ137" s="226"/>
      <c r="FR137" s="71"/>
      <c r="FS137" s="71"/>
      <c r="FT137" s="345"/>
      <c r="FU137" s="71"/>
      <c r="FV137" s="226"/>
      <c r="FW137" s="71"/>
      <c r="FX137" s="71"/>
      <c r="FY137" s="345"/>
      <c r="FZ137" s="71"/>
      <c r="GA137" s="226"/>
      <c r="GB137" s="71"/>
      <c r="GC137" s="71"/>
      <c r="GD137" s="345"/>
      <c r="GE137" s="71"/>
      <c r="GF137" s="226"/>
      <c r="GG137" s="71"/>
      <c r="GH137" s="71"/>
      <c r="GI137" s="345"/>
      <c r="GJ137" s="71"/>
      <c r="GK137" s="226"/>
      <c r="GL137" s="71"/>
      <c r="GM137" s="71"/>
      <c r="GN137" s="345"/>
      <c r="GO137" s="71"/>
      <c r="GP137" s="226"/>
      <c r="GQ137" s="71"/>
      <c r="GR137" s="71"/>
      <c r="GS137" s="345"/>
      <c r="GT137" s="71"/>
      <c r="GU137" s="226"/>
      <c r="GV137" s="71"/>
      <c r="GW137" s="71"/>
      <c r="GX137" s="345"/>
      <c r="GY137" s="71"/>
      <c r="GZ137" s="226"/>
      <c r="HA137" s="71"/>
      <c r="HB137" s="71"/>
      <c r="HC137" s="345"/>
      <c r="HD137" s="71"/>
      <c r="HE137" s="226"/>
      <c r="HF137" s="71"/>
      <c r="HG137" s="71"/>
      <c r="HH137" s="345"/>
      <c r="HI137" s="71"/>
      <c r="HJ137" s="226"/>
      <c r="HK137" s="71"/>
      <c r="HL137" s="71"/>
      <c r="HM137" s="345"/>
      <c r="HN137" s="71"/>
      <c r="HO137" s="226"/>
      <c r="HP137" s="71"/>
      <c r="HQ137" s="71"/>
      <c r="HR137" s="345"/>
      <c r="HS137" s="71"/>
      <c r="HT137" s="226"/>
      <c r="HU137" s="71"/>
      <c r="HV137" s="71"/>
      <c r="HW137" s="345"/>
      <c r="HX137" s="71"/>
      <c r="HY137" s="226"/>
      <c r="HZ137" s="71"/>
      <c r="IA137" s="71"/>
      <c r="IB137" s="345"/>
      <c r="IC137" s="71"/>
      <c r="ID137" s="226"/>
      <c r="IE137" s="71"/>
      <c r="IF137" s="71"/>
      <c r="IG137" s="345"/>
      <c r="IH137" s="71"/>
      <c r="II137" s="226"/>
      <c r="IJ137" s="71"/>
      <c r="IK137" s="71"/>
      <c r="IL137" s="345"/>
      <c r="IM137" s="71"/>
      <c r="IN137" s="226"/>
      <c r="IO137" s="71"/>
      <c r="IP137" s="71"/>
      <c r="IQ137" s="345"/>
      <c r="IR137" s="71"/>
      <c r="IS137" s="226"/>
      <c r="IT137" s="71"/>
      <c r="IU137" s="71"/>
      <c r="IV137" s="345"/>
    </row>
    <row r="138" spans="1:256" x14ac:dyDescent="0.2">
      <c r="A138" s="345">
        <v>31716</v>
      </c>
      <c r="B138" s="71"/>
      <c r="C138" s="226"/>
      <c r="D138" s="71"/>
      <c r="E138" s="71"/>
      <c r="F138" s="345"/>
      <c r="G138" s="71"/>
      <c r="H138" s="226"/>
      <c r="I138" s="71"/>
      <c r="J138" s="71"/>
      <c r="K138" s="345"/>
      <c r="L138" s="71"/>
      <c r="M138" s="226"/>
      <c r="N138" s="71"/>
      <c r="O138" s="71"/>
      <c r="P138" s="345"/>
      <c r="Q138" s="71"/>
      <c r="R138" s="226"/>
      <c r="S138" s="71"/>
      <c r="T138" s="71"/>
      <c r="U138" s="345"/>
      <c r="V138" s="71"/>
      <c r="W138" s="226"/>
      <c r="X138" s="71"/>
      <c r="Y138" s="71"/>
      <c r="Z138" s="345"/>
      <c r="AA138" s="71"/>
      <c r="AB138" s="226"/>
      <c r="AC138" s="71"/>
      <c r="AD138" s="71"/>
      <c r="AE138" s="345"/>
      <c r="AF138" s="71"/>
      <c r="AG138" s="226"/>
      <c r="AH138" s="71"/>
      <c r="AI138" s="71"/>
      <c r="AJ138" s="345"/>
      <c r="AK138" s="71"/>
      <c r="AL138" s="226"/>
      <c r="AM138" s="71"/>
      <c r="AN138" s="71"/>
      <c r="AO138" s="345"/>
      <c r="AP138" s="71"/>
      <c r="AQ138" s="226"/>
      <c r="AR138" s="71"/>
      <c r="AS138" s="71"/>
      <c r="AT138" s="345"/>
      <c r="AU138" s="71"/>
      <c r="AV138" s="226"/>
      <c r="AW138" s="71"/>
      <c r="AX138" s="71"/>
      <c r="AY138" s="345"/>
      <c r="AZ138" s="71"/>
      <c r="BA138" s="226"/>
      <c r="BB138" s="71"/>
      <c r="BC138" s="71"/>
      <c r="BD138" s="345"/>
      <c r="BE138" s="71"/>
      <c r="BF138" s="226"/>
      <c r="BG138" s="71"/>
      <c r="BH138" s="71"/>
      <c r="BI138" s="345"/>
      <c r="BJ138" s="71"/>
      <c r="BK138" s="226"/>
      <c r="BL138" s="71"/>
      <c r="BM138" s="71"/>
      <c r="BN138" s="345"/>
      <c r="BO138" s="71"/>
      <c r="BP138" s="226"/>
      <c r="BQ138" s="71"/>
      <c r="BR138" s="71"/>
      <c r="BS138" s="345"/>
      <c r="BT138" s="71"/>
      <c r="BU138" s="226"/>
      <c r="BV138" s="71"/>
      <c r="BW138" s="71"/>
      <c r="BX138" s="345"/>
      <c r="BY138" s="71"/>
      <c r="BZ138" s="226"/>
      <c r="CA138" s="71"/>
      <c r="CB138" s="71"/>
      <c r="CC138" s="345"/>
      <c r="CD138" s="71"/>
      <c r="CE138" s="226"/>
      <c r="CF138" s="71"/>
      <c r="CG138" s="71"/>
      <c r="CH138" s="345"/>
      <c r="CI138" s="71"/>
      <c r="CJ138" s="226"/>
      <c r="CK138" s="71"/>
      <c r="CL138" s="71"/>
      <c r="CM138" s="345"/>
      <c r="CN138" s="71"/>
      <c r="CO138" s="226"/>
      <c r="CP138" s="71"/>
      <c r="CQ138" s="71"/>
      <c r="CR138" s="345"/>
      <c r="CS138" s="71"/>
      <c r="CT138" s="226"/>
      <c r="CU138" s="71"/>
      <c r="CV138" s="71"/>
      <c r="CW138" s="345"/>
      <c r="CX138" s="71"/>
      <c r="CY138" s="226"/>
      <c r="CZ138" s="71"/>
      <c r="DA138" s="71"/>
      <c r="DB138" s="345"/>
      <c r="DC138" s="71"/>
      <c r="DD138" s="226"/>
      <c r="DE138" s="71"/>
      <c r="DF138" s="71"/>
      <c r="DG138" s="345"/>
      <c r="DH138" s="71"/>
      <c r="DI138" s="226"/>
      <c r="DJ138" s="71"/>
      <c r="DK138" s="71"/>
      <c r="DL138" s="345"/>
      <c r="DM138" s="71"/>
      <c r="DN138" s="226"/>
      <c r="DO138" s="71"/>
      <c r="DP138" s="71"/>
      <c r="DQ138" s="345"/>
      <c r="DR138" s="71"/>
      <c r="DS138" s="226"/>
      <c r="DT138" s="71"/>
      <c r="DU138" s="71"/>
      <c r="DV138" s="345"/>
      <c r="DW138" s="71"/>
      <c r="DX138" s="226"/>
      <c r="DY138" s="71"/>
      <c r="DZ138" s="71"/>
      <c r="EA138" s="345"/>
      <c r="EB138" s="71"/>
      <c r="EC138" s="226"/>
      <c r="ED138" s="71"/>
      <c r="EE138" s="71"/>
      <c r="EF138" s="345"/>
      <c r="EG138" s="71"/>
      <c r="EH138" s="226"/>
      <c r="EI138" s="71"/>
      <c r="EJ138" s="71"/>
      <c r="EK138" s="345"/>
      <c r="EL138" s="71"/>
      <c r="EM138" s="226"/>
      <c r="EN138" s="71"/>
      <c r="EO138" s="71"/>
      <c r="EP138" s="345"/>
      <c r="EQ138" s="71"/>
      <c r="ER138" s="226"/>
      <c r="ES138" s="71"/>
      <c r="ET138" s="71"/>
      <c r="EU138" s="345"/>
      <c r="EV138" s="71"/>
      <c r="EW138" s="226"/>
      <c r="EX138" s="71"/>
      <c r="EY138" s="71"/>
      <c r="EZ138" s="345"/>
      <c r="FA138" s="71"/>
      <c r="FB138" s="226"/>
      <c r="FC138" s="71"/>
      <c r="FD138" s="71"/>
      <c r="FE138" s="345"/>
      <c r="FF138" s="71"/>
      <c r="FG138" s="226"/>
      <c r="FH138" s="71"/>
      <c r="FI138" s="71"/>
      <c r="FJ138" s="345"/>
      <c r="FK138" s="71"/>
      <c r="FL138" s="226"/>
      <c r="FM138" s="71"/>
      <c r="FN138" s="71"/>
      <c r="FO138" s="345"/>
      <c r="FP138" s="71"/>
      <c r="FQ138" s="226"/>
      <c r="FR138" s="71"/>
      <c r="FS138" s="71"/>
      <c r="FT138" s="345"/>
      <c r="FU138" s="71"/>
      <c r="FV138" s="226"/>
      <c r="FW138" s="71"/>
      <c r="FX138" s="71"/>
      <c r="FY138" s="345"/>
      <c r="FZ138" s="71"/>
      <c r="GA138" s="226"/>
      <c r="GB138" s="71"/>
      <c r="GC138" s="71"/>
      <c r="GD138" s="345"/>
      <c r="GE138" s="71"/>
      <c r="GF138" s="226"/>
      <c r="GG138" s="71"/>
      <c r="GH138" s="71"/>
      <c r="GI138" s="345"/>
      <c r="GJ138" s="71"/>
      <c r="GK138" s="226"/>
      <c r="GL138" s="71"/>
      <c r="GM138" s="71"/>
      <c r="GN138" s="345"/>
      <c r="GO138" s="71"/>
      <c r="GP138" s="226"/>
      <c r="GQ138" s="71"/>
      <c r="GR138" s="71"/>
      <c r="GS138" s="345"/>
      <c r="GT138" s="71"/>
      <c r="GU138" s="226"/>
      <c r="GV138" s="71"/>
      <c r="GW138" s="71"/>
      <c r="GX138" s="345"/>
      <c r="GY138" s="71"/>
      <c r="GZ138" s="226"/>
      <c r="HA138" s="71"/>
      <c r="HB138" s="71"/>
      <c r="HC138" s="345"/>
      <c r="HD138" s="71"/>
      <c r="HE138" s="226"/>
      <c r="HF138" s="71"/>
      <c r="HG138" s="71"/>
      <c r="HH138" s="345"/>
      <c r="HI138" s="71"/>
      <c r="HJ138" s="226"/>
      <c r="HK138" s="71"/>
      <c r="HL138" s="71"/>
      <c r="HM138" s="345"/>
      <c r="HN138" s="71"/>
      <c r="HO138" s="226"/>
      <c r="HP138" s="71"/>
      <c r="HQ138" s="71"/>
      <c r="HR138" s="345"/>
      <c r="HS138" s="71"/>
      <c r="HT138" s="226"/>
      <c r="HU138" s="71"/>
      <c r="HV138" s="71"/>
      <c r="HW138" s="345"/>
      <c r="HX138" s="71"/>
      <c r="HY138" s="226"/>
      <c r="HZ138" s="71"/>
      <c r="IA138" s="71"/>
      <c r="IB138" s="345"/>
      <c r="IC138" s="71"/>
      <c r="ID138" s="226"/>
      <c r="IE138" s="71"/>
      <c r="IF138" s="71"/>
      <c r="IG138" s="345"/>
      <c r="IH138" s="71"/>
      <c r="II138" s="226"/>
      <c r="IJ138" s="71"/>
      <c r="IK138" s="71"/>
      <c r="IL138" s="345"/>
      <c r="IM138" s="71"/>
      <c r="IN138" s="226"/>
      <c r="IO138" s="71"/>
      <c r="IP138" s="71"/>
      <c r="IQ138" s="345"/>
      <c r="IR138" s="71"/>
      <c r="IS138" s="226"/>
      <c r="IT138" s="71"/>
      <c r="IU138" s="71"/>
      <c r="IV138" s="345"/>
    </row>
    <row r="139" spans="1:256" x14ac:dyDescent="0.2">
      <c r="A139" s="345">
        <v>31746</v>
      </c>
      <c r="B139" s="71"/>
      <c r="C139" s="226"/>
      <c r="D139" s="71"/>
      <c r="E139" s="71"/>
      <c r="F139" s="345"/>
      <c r="G139" s="71"/>
      <c r="H139" s="226"/>
      <c r="I139" s="71"/>
      <c r="J139" s="71"/>
      <c r="K139" s="345"/>
      <c r="L139" s="71"/>
      <c r="M139" s="226"/>
      <c r="N139" s="71"/>
      <c r="O139" s="71"/>
      <c r="P139" s="345"/>
      <c r="Q139" s="71"/>
      <c r="R139" s="226"/>
      <c r="S139" s="71"/>
      <c r="T139" s="71"/>
      <c r="U139" s="345"/>
      <c r="V139" s="71"/>
      <c r="W139" s="226"/>
      <c r="X139" s="71"/>
      <c r="Y139" s="71"/>
      <c r="Z139" s="345"/>
      <c r="AA139" s="71"/>
      <c r="AB139" s="226"/>
      <c r="AC139" s="71"/>
      <c r="AD139" s="71"/>
      <c r="AE139" s="345"/>
      <c r="AF139" s="71"/>
      <c r="AG139" s="226"/>
      <c r="AH139" s="71"/>
      <c r="AI139" s="71"/>
      <c r="AJ139" s="345"/>
      <c r="AK139" s="71"/>
      <c r="AL139" s="226"/>
      <c r="AM139" s="71"/>
      <c r="AN139" s="71"/>
      <c r="AO139" s="345"/>
      <c r="AP139" s="71"/>
      <c r="AQ139" s="226"/>
      <c r="AR139" s="71"/>
      <c r="AS139" s="71"/>
      <c r="AT139" s="345"/>
      <c r="AU139" s="71"/>
      <c r="AV139" s="226"/>
      <c r="AW139" s="71"/>
      <c r="AX139" s="71"/>
      <c r="AY139" s="345"/>
      <c r="AZ139" s="71"/>
      <c r="BA139" s="226"/>
      <c r="BB139" s="71"/>
      <c r="BC139" s="71"/>
      <c r="BD139" s="345"/>
      <c r="BE139" s="71"/>
      <c r="BF139" s="226"/>
      <c r="BG139" s="71"/>
      <c r="BH139" s="71"/>
      <c r="BI139" s="345"/>
      <c r="BJ139" s="71"/>
      <c r="BK139" s="226"/>
      <c r="BL139" s="71"/>
      <c r="BM139" s="71"/>
      <c r="BN139" s="345"/>
      <c r="BO139" s="71"/>
      <c r="BP139" s="226"/>
      <c r="BQ139" s="71"/>
      <c r="BR139" s="71"/>
      <c r="BS139" s="345"/>
      <c r="BT139" s="71"/>
      <c r="BU139" s="226"/>
      <c r="BV139" s="71"/>
      <c r="BW139" s="71"/>
      <c r="BX139" s="345"/>
      <c r="BY139" s="71"/>
      <c r="BZ139" s="226"/>
      <c r="CA139" s="71"/>
      <c r="CB139" s="71"/>
      <c r="CC139" s="345"/>
      <c r="CD139" s="71"/>
      <c r="CE139" s="226"/>
      <c r="CF139" s="71"/>
      <c r="CG139" s="71"/>
      <c r="CH139" s="345"/>
      <c r="CI139" s="71"/>
      <c r="CJ139" s="226"/>
      <c r="CK139" s="71"/>
      <c r="CL139" s="71"/>
      <c r="CM139" s="345"/>
      <c r="CN139" s="71"/>
      <c r="CO139" s="226"/>
      <c r="CP139" s="71"/>
      <c r="CQ139" s="71"/>
      <c r="CR139" s="345"/>
      <c r="CS139" s="71"/>
      <c r="CT139" s="226"/>
      <c r="CU139" s="71"/>
      <c r="CV139" s="71"/>
      <c r="CW139" s="345"/>
      <c r="CX139" s="71"/>
      <c r="CY139" s="226"/>
      <c r="CZ139" s="71"/>
      <c r="DA139" s="71"/>
      <c r="DB139" s="345"/>
      <c r="DC139" s="71"/>
      <c r="DD139" s="226"/>
      <c r="DE139" s="71"/>
      <c r="DF139" s="71"/>
      <c r="DG139" s="345"/>
      <c r="DH139" s="71"/>
      <c r="DI139" s="226"/>
      <c r="DJ139" s="71"/>
      <c r="DK139" s="71"/>
      <c r="DL139" s="345"/>
      <c r="DM139" s="71"/>
      <c r="DN139" s="226"/>
      <c r="DO139" s="71"/>
      <c r="DP139" s="71"/>
      <c r="DQ139" s="345"/>
      <c r="DR139" s="71"/>
      <c r="DS139" s="226"/>
      <c r="DT139" s="71"/>
      <c r="DU139" s="71"/>
      <c r="DV139" s="345"/>
      <c r="DW139" s="71"/>
      <c r="DX139" s="226"/>
      <c r="DY139" s="71"/>
      <c r="DZ139" s="71"/>
      <c r="EA139" s="345"/>
      <c r="EB139" s="71"/>
      <c r="EC139" s="226"/>
      <c r="ED139" s="71"/>
      <c r="EE139" s="71"/>
      <c r="EF139" s="345"/>
      <c r="EG139" s="71"/>
      <c r="EH139" s="226"/>
      <c r="EI139" s="71"/>
      <c r="EJ139" s="71"/>
      <c r="EK139" s="345"/>
      <c r="EL139" s="71"/>
      <c r="EM139" s="226"/>
      <c r="EN139" s="71"/>
      <c r="EO139" s="71"/>
      <c r="EP139" s="345"/>
      <c r="EQ139" s="71"/>
      <c r="ER139" s="226"/>
      <c r="ES139" s="71"/>
      <c r="ET139" s="71"/>
      <c r="EU139" s="345"/>
      <c r="EV139" s="71"/>
      <c r="EW139" s="226"/>
      <c r="EX139" s="71"/>
      <c r="EY139" s="71"/>
      <c r="EZ139" s="345"/>
      <c r="FA139" s="71"/>
      <c r="FB139" s="226"/>
      <c r="FC139" s="71"/>
      <c r="FD139" s="71"/>
      <c r="FE139" s="345"/>
      <c r="FF139" s="71"/>
      <c r="FG139" s="226"/>
      <c r="FH139" s="71"/>
      <c r="FI139" s="71"/>
      <c r="FJ139" s="345"/>
      <c r="FK139" s="71"/>
      <c r="FL139" s="226"/>
      <c r="FM139" s="71"/>
      <c r="FN139" s="71"/>
      <c r="FO139" s="345"/>
      <c r="FP139" s="71"/>
      <c r="FQ139" s="226"/>
      <c r="FR139" s="71"/>
      <c r="FS139" s="71"/>
      <c r="FT139" s="345"/>
      <c r="FU139" s="71"/>
      <c r="FV139" s="226"/>
      <c r="FW139" s="71"/>
      <c r="FX139" s="71"/>
      <c r="FY139" s="345"/>
      <c r="FZ139" s="71"/>
      <c r="GA139" s="226"/>
      <c r="GB139" s="71"/>
      <c r="GC139" s="71"/>
      <c r="GD139" s="345"/>
      <c r="GE139" s="71"/>
      <c r="GF139" s="226"/>
      <c r="GG139" s="71"/>
      <c r="GH139" s="71"/>
      <c r="GI139" s="345"/>
      <c r="GJ139" s="71"/>
      <c r="GK139" s="226"/>
      <c r="GL139" s="71"/>
      <c r="GM139" s="71"/>
      <c r="GN139" s="345"/>
      <c r="GO139" s="71"/>
      <c r="GP139" s="226"/>
      <c r="GQ139" s="71"/>
      <c r="GR139" s="71"/>
      <c r="GS139" s="345"/>
      <c r="GT139" s="71"/>
      <c r="GU139" s="226"/>
      <c r="GV139" s="71"/>
      <c r="GW139" s="71"/>
      <c r="GX139" s="345"/>
      <c r="GY139" s="71"/>
      <c r="GZ139" s="226"/>
      <c r="HA139" s="71"/>
      <c r="HB139" s="71"/>
      <c r="HC139" s="345"/>
      <c r="HD139" s="71"/>
      <c r="HE139" s="226"/>
      <c r="HF139" s="71"/>
      <c r="HG139" s="71"/>
      <c r="HH139" s="345"/>
      <c r="HI139" s="71"/>
      <c r="HJ139" s="226"/>
      <c r="HK139" s="71"/>
      <c r="HL139" s="71"/>
      <c r="HM139" s="345"/>
      <c r="HN139" s="71"/>
      <c r="HO139" s="226"/>
      <c r="HP139" s="71"/>
      <c r="HQ139" s="71"/>
      <c r="HR139" s="345"/>
      <c r="HS139" s="71"/>
      <c r="HT139" s="226"/>
      <c r="HU139" s="71"/>
      <c r="HV139" s="71"/>
      <c r="HW139" s="345"/>
      <c r="HX139" s="71"/>
      <c r="HY139" s="226"/>
      <c r="HZ139" s="71"/>
      <c r="IA139" s="71"/>
      <c r="IB139" s="345"/>
      <c r="IC139" s="71"/>
      <c r="ID139" s="226"/>
      <c r="IE139" s="71"/>
      <c r="IF139" s="71"/>
      <c r="IG139" s="345"/>
      <c r="IH139" s="71"/>
      <c r="II139" s="226"/>
      <c r="IJ139" s="71"/>
      <c r="IK139" s="71"/>
      <c r="IL139" s="345"/>
      <c r="IM139" s="71"/>
      <c r="IN139" s="226"/>
      <c r="IO139" s="71"/>
      <c r="IP139" s="71"/>
      <c r="IQ139" s="345"/>
      <c r="IR139" s="71"/>
      <c r="IS139" s="226"/>
      <c r="IT139" s="71"/>
      <c r="IU139" s="71"/>
      <c r="IV139" s="345"/>
    </row>
    <row r="140" spans="1:256" x14ac:dyDescent="0.2">
      <c r="A140" s="345">
        <v>31777</v>
      </c>
      <c r="B140" s="71"/>
      <c r="C140" s="226"/>
      <c r="D140" s="71"/>
      <c r="E140" s="71"/>
      <c r="F140" s="345"/>
      <c r="G140" s="71"/>
      <c r="H140" s="226"/>
      <c r="I140" s="71"/>
      <c r="J140" s="71"/>
      <c r="K140" s="345"/>
      <c r="L140" s="71"/>
      <c r="M140" s="226"/>
      <c r="N140" s="71"/>
      <c r="O140" s="71"/>
      <c r="P140" s="345"/>
      <c r="Q140" s="71"/>
      <c r="R140" s="226"/>
      <c r="S140" s="71"/>
      <c r="T140" s="71"/>
      <c r="U140" s="345"/>
      <c r="V140" s="71"/>
      <c r="W140" s="226"/>
      <c r="X140" s="71"/>
      <c r="Y140" s="71"/>
      <c r="Z140" s="345"/>
      <c r="AA140" s="71"/>
      <c r="AB140" s="226"/>
      <c r="AC140" s="71"/>
      <c r="AD140" s="71"/>
      <c r="AE140" s="345"/>
      <c r="AF140" s="71"/>
      <c r="AG140" s="226"/>
      <c r="AH140" s="71"/>
      <c r="AI140" s="71"/>
      <c r="AJ140" s="345"/>
      <c r="AK140" s="71"/>
      <c r="AL140" s="226"/>
      <c r="AM140" s="71"/>
      <c r="AN140" s="71"/>
      <c r="AO140" s="345"/>
      <c r="AP140" s="71"/>
      <c r="AQ140" s="226"/>
      <c r="AR140" s="71"/>
      <c r="AS140" s="71"/>
      <c r="AT140" s="345"/>
      <c r="AU140" s="71"/>
      <c r="AV140" s="226"/>
      <c r="AW140" s="71"/>
      <c r="AX140" s="71"/>
      <c r="AY140" s="345"/>
      <c r="AZ140" s="71"/>
      <c r="BA140" s="226"/>
      <c r="BB140" s="71"/>
      <c r="BC140" s="71"/>
      <c r="BD140" s="345"/>
      <c r="BE140" s="71"/>
      <c r="BF140" s="226"/>
      <c r="BG140" s="71"/>
      <c r="BH140" s="71"/>
      <c r="BI140" s="345"/>
      <c r="BJ140" s="71"/>
      <c r="BK140" s="226"/>
      <c r="BL140" s="71"/>
      <c r="BM140" s="71"/>
      <c r="BN140" s="345"/>
      <c r="BO140" s="71"/>
      <c r="BP140" s="226"/>
      <c r="BQ140" s="71"/>
      <c r="BR140" s="71"/>
      <c r="BS140" s="345"/>
      <c r="BT140" s="71"/>
      <c r="BU140" s="226"/>
      <c r="BV140" s="71"/>
      <c r="BW140" s="71"/>
      <c r="BX140" s="345"/>
      <c r="BY140" s="71"/>
      <c r="BZ140" s="226"/>
      <c r="CA140" s="71"/>
      <c r="CB140" s="71"/>
      <c r="CC140" s="345"/>
      <c r="CD140" s="71"/>
      <c r="CE140" s="226"/>
      <c r="CF140" s="71"/>
      <c r="CG140" s="71"/>
      <c r="CH140" s="345"/>
      <c r="CI140" s="71"/>
      <c r="CJ140" s="226"/>
      <c r="CK140" s="71"/>
      <c r="CL140" s="71"/>
      <c r="CM140" s="345"/>
      <c r="CN140" s="71"/>
      <c r="CO140" s="226"/>
      <c r="CP140" s="71"/>
      <c r="CQ140" s="71"/>
      <c r="CR140" s="345"/>
      <c r="CS140" s="71"/>
      <c r="CT140" s="226"/>
      <c r="CU140" s="71"/>
      <c r="CV140" s="71"/>
      <c r="CW140" s="345"/>
      <c r="CX140" s="71"/>
      <c r="CY140" s="226"/>
      <c r="CZ140" s="71"/>
      <c r="DA140" s="71"/>
      <c r="DB140" s="345"/>
      <c r="DC140" s="71"/>
      <c r="DD140" s="226"/>
      <c r="DE140" s="71"/>
      <c r="DF140" s="71"/>
      <c r="DG140" s="345"/>
      <c r="DH140" s="71"/>
      <c r="DI140" s="226"/>
      <c r="DJ140" s="71"/>
      <c r="DK140" s="71"/>
      <c r="DL140" s="345"/>
      <c r="DM140" s="71"/>
      <c r="DN140" s="226"/>
      <c r="DO140" s="71"/>
      <c r="DP140" s="71"/>
      <c r="DQ140" s="345"/>
      <c r="DR140" s="71"/>
      <c r="DS140" s="226"/>
      <c r="DT140" s="71"/>
      <c r="DU140" s="71"/>
      <c r="DV140" s="345"/>
      <c r="DW140" s="71"/>
      <c r="DX140" s="226"/>
      <c r="DY140" s="71"/>
      <c r="DZ140" s="71"/>
      <c r="EA140" s="345"/>
      <c r="EB140" s="71"/>
      <c r="EC140" s="226"/>
      <c r="ED140" s="71"/>
      <c r="EE140" s="71"/>
      <c r="EF140" s="345"/>
      <c r="EG140" s="71"/>
      <c r="EH140" s="226"/>
      <c r="EI140" s="71"/>
      <c r="EJ140" s="71"/>
      <c r="EK140" s="345"/>
      <c r="EL140" s="71"/>
      <c r="EM140" s="226"/>
      <c r="EN140" s="71"/>
      <c r="EO140" s="71"/>
      <c r="EP140" s="345"/>
      <c r="EQ140" s="71"/>
      <c r="ER140" s="226"/>
      <c r="ES140" s="71"/>
      <c r="ET140" s="71"/>
      <c r="EU140" s="345"/>
      <c r="EV140" s="71"/>
      <c r="EW140" s="226"/>
      <c r="EX140" s="71"/>
      <c r="EY140" s="71"/>
      <c r="EZ140" s="345"/>
      <c r="FA140" s="71"/>
      <c r="FB140" s="226"/>
      <c r="FC140" s="71"/>
      <c r="FD140" s="71"/>
      <c r="FE140" s="345"/>
      <c r="FF140" s="71"/>
      <c r="FG140" s="226"/>
      <c r="FH140" s="71"/>
      <c r="FI140" s="71"/>
      <c r="FJ140" s="345"/>
      <c r="FK140" s="71"/>
      <c r="FL140" s="226"/>
      <c r="FM140" s="71"/>
      <c r="FN140" s="71"/>
      <c r="FO140" s="345"/>
      <c r="FP140" s="71"/>
      <c r="FQ140" s="226"/>
      <c r="FR140" s="71"/>
      <c r="FS140" s="71"/>
      <c r="FT140" s="345"/>
      <c r="FU140" s="71"/>
      <c r="FV140" s="226"/>
      <c r="FW140" s="71"/>
      <c r="FX140" s="71"/>
      <c r="FY140" s="345"/>
      <c r="FZ140" s="71"/>
      <c r="GA140" s="226"/>
      <c r="GB140" s="71"/>
      <c r="GC140" s="71"/>
      <c r="GD140" s="345"/>
      <c r="GE140" s="71"/>
      <c r="GF140" s="226"/>
      <c r="GG140" s="71"/>
      <c r="GH140" s="71"/>
      <c r="GI140" s="345"/>
      <c r="GJ140" s="71"/>
      <c r="GK140" s="226"/>
      <c r="GL140" s="71"/>
      <c r="GM140" s="71"/>
      <c r="GN140" s="345"/>
      <c r="GO140" s="71"/>
      <c r="GP140" s="226"/>
      <c r="GQ140" s="71"/>
      <c r="GR140" s="71"/>
      <c r="GS140" s="345"/>
      <c r="GT140" s="71"/>
      <c r="GU140" s="226"/>
      <c r="GV140" s="71"/>
      <c r="GW140" s="71"/>
      <c r="GX140" s="345"/>
      <c r="GY140" s="71"/>
      <c r="GZ140" s="226"/>
      <c r="HA140" s="71"/>
      <c r="HB140" s="71"/>
      <c r="HC140" s="345"/>
      <c r="HD140" s="71"/>
      <c r="HE140" s="226"/>
      <c r="HF140" s="71"/>
      <c r="HG140" s="71"/>
      <c r="HH140" s="345"/>
      <c r="HI140" s="71"/>
      <c r="HJ140" s="226"/>
      <c r="HK140" s="71"/>
      <c r="HL140" s="71"/>
      <c r="HM140" s="345"/>
      <c r="HN140" s="71"/>
      <c r="HO140" s="226"/>
      <c r="HP140" s="71"/>
      <c r="HQ140" s="71"/>
      <c r="HR140" s="345"/>
      <c r="HS140" s="71"/>
      <c r="HT140" s="226"/>
      <c r="HU140" s="71"/>
      <c r="HV140" s="71"/>
      <c r="HW140" s="345"/>
      <c r="HX140" s="71"/>
      <c r="HY140" s="226"/>
      <c r="HZ140" s="71"/>
      <c r="IA140" s="71"/>
      <c r="IB140" s="345"/>
      <c r="IC140" s="71"/>
      <c r="ID140" s="226"/>
      <c r="IE140" s="71"/>
      <c r="IF140" s="71"/>
      <c r="IG140" s="345"/>
      <c r="IH140" s="71"/>
      <c r="II140" s="226"/>
      <c r="IJ140" s="71"/>
      <c r="IK140" s="71"/>
      <c r="IL140" s="345"/>
      <c r="IM140" s="71"/>
      <c r="IN140" s="226"/>
      <c r="IO140" s="71"/>
      <c r="IP140" s="71"/>
      <c r="IQ140" s="345"/>
      <c r="IR140" s="71"/>
      <c r="IS140" s="226"/>
      <c r="IT140" s="71"/>
      <c r="IU140" s="71"/>
      <c r="IV140" s="345"/>
    </row>
    <row r="141" spans="1:256" x14ac:dyDescent="0.2">
      <c r="A141" s="345">
        <v>31808</v>
      </c>
      <c r="B141" s="73"/>
      <c r="C141" s="25"/>
      <c r="D141" s="73"/>
      <c r="E141" s="73"/>
      <c r="F141" s="345"/>
      <c r="G141" s="73"/>
      <c r="H141" s="25"/>
      <c r="I141" s="73"/>
      <c r="J141" s="73"/>
      <c r="K141" s="345"/>
      <c r="L141" s="73"/>
      <c r="M141" s="25"/>
      <c r="N141" s="73"/>
      <c r="O141" s="73"/>
      <c r="P141" s="345"/>
      <c r="Q141" s="73"/>
      <c r="R141" s="25"/>
      <c r="S141" s="73"/>
      <c r="T141" s="73"/>
      <c r="U141" s="345"/>
      <c r="V141" s="73"/>
      <c r="W141" s="25"/>
      <c r="X141" s="73"/>
      <c r="Y141" s="73"/>
      <c r="Z141" s="345"/>
      <c r="AA141" s="73"/>
      <c r="AB141" s="25"/>
      <c r="AC141" s="73"/>
      <c r="AD141" s="73"/>
      <c r="AE141" s="345"/>
      <c r="AF141" s="73"/>
      <c r="AG141" s="25"/>
      <c r="AH141" s="73"/>
      <c r="AI141" s="73"/>
      <c r="AJ141" s="345"/>
      <c r="AK141" s="73"/>
      <c r="AL141" s="25"/>
      <c r="AM141" s="73"/>
      <c r="AN141" s="73"/>
      <c r="AO141" s="345"/>
      <c r="AP141" s="73"/>
      <c r="AQ141" s="25"/>
      <c r="AR141" s="73"/>
      <c r="AS141" s="73"/>
      <c r="AT141" s="345"/>
      <c r="AU141" s="73"/>
      <c r="AV141" s="25"/>
      <c r="AW141" s="73"/>
      <c r="AX141" s="73"/>
      <c r="AY141" s="345"/>
      <c r="AZ141" s="73"/>
      <c r="BA141" s="25"/>
      <c r="BB141" s="73"/>
      <c r="BC141" s="73"/>
      <c r="BD141" s="345"/>
      <c r="BE141" s="73"/>
      <c r="BF141" s="25"/>
      <c r="BG141" s="73"/>
      <c r="BH141" s="73"/>
      <c r="BI141" s="345"/>
      <c r="BJ141" s="73"/>
      <c r="BK141" s="25"/>
      <c r="BL141" s="73"/>
      <c r="BM141" s="73"/>
      <c r="BN141" s="345"/>
      <c r="BO141" s="73"/>
      <c r="BP141" s="25"/>
      <c r="BQ141" s="73"/>
      <c r="BR141" s="73"/>
      <c r="BS141" s="345"/>
      <c r="BT141" s="73"/>
      <c r="BU141" s="25"/>
      <c r="BV141" s="73"/>
      <c r="BW141" s="73"/>
      <c r="BX141" s="345"/>
      <c r="BY141" s="73"/>
      <c r="BZ141" s="25"/>
      <c r="CA141" s="73"/>
      <c r="CB141" s="73"/>
      <c r="CC141" s="345"/>
      <c r="CD141" s="73"/>
      <c r="CE141" s="25"/>
      <c r="CF141" s="73"/>
      <c r="CG141" s="73"/>
      <c r="CH141" s="345"/>
      <c r="CI141" s="73"/>
      <c r="CJ141" s="25"/>
      <c r="CK141" s="73"/>
      <c r="CL141" s="73"/>
      <c r="CM141" s="345"/>
      <c r="CN141" s="73"/>
      <c r="CO141" s="25"/>
      <c r="CP141" s="73"/>
      <c r="CQ141" s="73"/>
      <c r="CR141" s="345"/>
      <c r="CS141" s="73"/>
      <c r="CT141" s="25"/>
      <c r="CU141" s="73"/>
      <c r="CV141" s="73"/>
      <c r="CW141" s="345"/>
      <c r="CX141" s="73"/>
      <c r="CY141" s="25"/>
      <c r="CZ141" s="73"/>
      <c r="DA141" s="73"/>
      <c r="DB141" s="345"/>
      <c r="DC141" s="73"/>
      <c r="DD141" s="25"/>
      <c r="DE141" s="73"/>
      <c r="DF141" s="73"/>
      <c r="DG141" s="345"/>
      <c r="DH141" s="73"/>
      <c r="DI141" s="25"/>
      <c r="DJ141" s="73"/>
      <c r="DK141" s="73"/>
      <c r="DL141" s="345"/>
      <c r="DM141" s="73"/>
      <c r="DN141" s="25"/>
      <c r="DO141" s="73"/>
      <c r="DP141" s="73"/>
      <c r="DQ141" s="345"/>
      <c r="DR141" s="73"/>
      <c r="DS141" s="25"/>
      <c r="DT141" s="73"/>
      <c r="DU141" s="73"/>
      <c r="DV141" s="345"/>
      <c r="DW141" s="73"/>
      <c r="DX141" s="25"/>
      <c r="DY141" s="73"/>
      <c r="DZ141" s="73"/>
      <c r="EA141" s="345"/>
      <c r="EB141" s="73"/>
      <c r="EC141" s="25"/>
      <c r="ED141" s="73"/>
      <c r="EE141" s="73"/>
      <c r="EF141" s="345"/>
      <c r="EG141" s="73"/>
      <c r="EH141" s="25"/>
      <c r="EI141" s="73"/>
      <c r="EJ141" s="73"/>
      <c r="EK141" s="345"/>
      <c r="EL141" s="73"/>
      <c r="EM141" s="25"/>
      <c r="EN141" s="73"/>
      <c r="EO141" s="73"/>
      <c r="EP141" s="345"/>
      <c r="EQ141" s="73"/>
      <c r="ER141" s="25"/>
      <c r="ES141" s="73"/>
      <c r="ET141" s="73"/>
      <c r="EU141" s="345"/>
      <c r="EV141" s="73"/>
      <c r="EW141" s="25"/>
      <c r="EX141" s="73"/>
      <c r="EY141" s="73"/>
      <c r="EZ141" s="345"/>
      <c r="FA141" s="73"/>
      <c r="FB141" s="25"/>
      <c r="FC141" s="73"/>
      <c r="FD141" s="73"/>
      <c r="FE141" s="345"/>
      <c r="FF141" s="73"/>
      <c r="FG141" s="25"/>
      <c r="FH141" s="73"/>
      <c r="FI141" s="73"/>
      <c r="FJ141" s="345"/>
      <c r="FK141" s="73"/>
      <c r="FL141" s="25"/>
      <c r="FM141" s="73"/>
      <c r="FN141" s="73"/>
      <c r="FO141" s="345"/>
      <c r="FP141" s="73"/>
      <c r="FQ141" s="25"/>
      <c r="FR141" s="73"/>
      <c r="FS141" s="73"/>
      <c r="FT141" s="345"/>
      <c r="FU141" s="73"/>
      <c r="FV141" s="25"/>
      <c r="FW141" s="73"/>
      <c r="FX141" s="73"/>
      <c r="FY141" s="345"/>
      <c r="FZ141" s="73"/>
      <c r="GA141" s="25"/>
      <c r="GB141" s="73"/>
      <c r="GC141" s="73"/>
      <c r="GD141" s="345"/>
      <c r="GE141" s="73"/>
      <c r="GF141" s="25"/>
      <c r="GG141" s="73"/>
      <c r="GH141" s="73"/>
      <c r="GI141" s="345"/>
      <c r="GJ141" s="73"/>
      <c r="GK141" s="25"/>
      <c r="GL141" s="73"/>
      <c r="GM141" s="73"/>
      <c r="GN141" s="345"/>
      <c r="GO141" s="73"/>
      <c r="GP141" s="25"/>
      <c r="GQ141" s="73"/>
      <c r="GR141" s="73"/>
      <c r="GS141" s="345"/>
      <c r="GT141" s="73"/>
      <c r="GU141" s="25"/>
      <c r="GV141" s="73"/>
      <c r="GW141" s="73"/>
      <c r="GX141" s="345"/>
      <c r="GY141" s="73"/>
      <c r="GZ141" s="25"/>
      <c r="HA141" s="73"/>
      <c r="HB141" s="73"/>
      <c r="HC141" s="345"/>
      <c r="HD141" s="73"/>
      <c r="HE141" s="25"/>
      <c r="HF141" s="73"/>
      <c r="HG141" s="73"/>
      <c r="HH141" s="345"/>
      <c r="HI141" s="73"/>
      <c r="HJ141" s="25"/>
      <c r="HK141" s="73"/>
      <c r="HL141" s="73"/>
      <c r="HM141" s="345"/>
      <c r="HN141" s="73"/>
      <c r="HO141" s="25"/>
      <c r="HP141" s="73"/>
      <c r="HQ141" s="73"/>
      <c r="HR141" s="345"/>
      <c r="HS141" s="73"/>
      <c r="HT141" s="25"/>
      <c r="HU141" s="73"/>
      <c r="HV141" s="73"/>
      <c r="HW141" s="345"/>
      <c r="HX141" s="73"/>
      <c r="HY141" s="25"/>
      <c r="HZ141" s="73"/>
      <c r="IA141" s="73"/>
      <c r="IB141" s="345"/>
      <c r="IC141" s="73"/>
      <c r="ID141" s="25"/>
      <c r="IE141" s="73"/>
      <c r="IF141" s="73"/>
      <c r="IG141" s="345"/>
      <c r="IH141" s="73"/>
      <c r="II141" s="25"/>
      <c r="IJ141" s="73"/>
      <c r="IK141" s="73"/>
      <c r="IL141" s="345"/>
      <c r="IM141" s="73"/>
      <c r="IN141" s="25"/>
      <c r="IO141" s="73"/>
      <c r="IP141" s="73"/>
      <c r="IQ141" s="345"/>
      <c r="IR141" s="73"/>
      <c r="IS141" s="25"/>
      <c r="IT141" s="73"/>
      <c r="IU141" s="73"/>
      <c r="IV141" s="345"/>
    </row>
    <row r="142" spans="1:256" x14ac:dyDescent="0.2">
      <c r="A142" s="345">
        <v>31836</v>
      </c>
      <c r="B142" s="73"/>
      <c r="C142" s="25"/>
      <c r="D142" s="73"/>
      <c r="E142" s="73"/>
      <c r="F142" s="345"/>
      <c r="G142" s="73"/>
      <c r="H142" s="25"/>
      <c r="I142" s="73"/>
      <c r="J142" s="73"/>
      <c r="K142" s="345"/>
      <c r="L142" s="73"/>
      <c r="M142" s="25"/>
      <c r="N142" s="73"/>
      <c r="O142" s="73"/>
      <c r="P142" s="345"/>
      <c r="Q142" s="73"/>
      <c r="R142" s="25"/>
      <c r="S142" s="73"/>
      <c r="T142" s="73"/>
      <c r="U142" s="345"/>
      <c r="V142" s="73"/>
      <c r="W142" s="25"/>
      <c r="X142" s="73"/>
      <c r="Y142" s="73"/>
      <c r="Z142" s="345"/>
      <c r="AA142" s="73"/>
      <c r="AB142" s="25"/>
      <c r="AC142" s="73"/>
      <c r="AD142" s="73"/>
      <c r="AE142" s="345"/>
      <c r="AF142" s="73"/>
      <c r="AG142" s="25"/>
      <c r="AH142" s="73"/>
      <c r="AI142" s="73"/>
      <c r="AJ142" s="345"/>
      <c r="AK142" s="73"/>
      <c r="AL142" s="25"/>
      <c r="AM142" s="73"/>
      <c r="AN142" s="73"/>
      <c r="AO142" s="345"/>
      <c r="AP142" s="73"/>
      <c r="AQ142" s="25"/>
      <c r="AR142" s="73"/>
      <c r="AS142" s="73"/>
      <c r="AT142" s="345"/>
      <c r="AU142" s="73"/>
      <c r="AV142" s="25"/>
      <c r="AW142" s="73"/>
      <c r="AX142" s="73"/>
      <c r="AY142" s="345"/>
      <c r="AZ142" s="73"/>
      <c r="BA142" s="25"/>
      <c r="BB142" s="73"/>
      <c r="BC142" s="73"/>
      <c r="BD142" s="345"/>
      <c r="BE142" s="73"/>
      <c r="BF142" s="25"/>
      <c r="BG142" s="73"/>
      <c r="BH142" s="73"/>
      <c r="BI142" s="345"/>
      <c r="BJ142" s="73"/>
      <c r="BK142" s="25"/>
      <c r="BL142" s="73"/>
      <c r="BM142" s="73"/>
      <c r="BN142" s="345"/>
      <c r="BO142" s="73"/>
      <c r="BP142" s="25"/>
      <c r="BQ142" s="73"/>
      <c r="BR142" s="73"/>
      <c r="BS142" s="345"/>
      <c r="BT142" s="73"/>
      <c r="BU142" s="25"/>
      <c r="BV142" s="73"/>
      <c r="BW142" s="73"/>
      <c r="BX142" s="345"/>
      <c r="BY142" s="73"/>
      <c r="BZ142" s="25"/>
      <c r="CA142" s="73"/>
      <c r="CB142" s="73"/>
      <c r="CC142" s="345"/>
      <c r="CD142" s="73"/>
      <c r="CE142" s="25"/>
      <c r="CF142" s="73"/>
      <c r="CG142" s="73"/>
      <c r="CH142" s="345"/>
      <c r="CI142" s="73"/>
      <c r="CJ142" s="25"/>
      <c r="CK142" s="73"/>
      <c r="CL142" s="73"/>
      <c r="CM142" s="345"/>
      <c r="CN142" s="73"/>
      <c r="CO142" s="25"/>
      <c r="CP142" s="73"/>
      <c r="CQ142" s="73"/>
      <c r="CR142" s="345"/>
      <c r="CS142" s="73"/>
      <c r="CT142" s="25"/>
      <c r="CU142" s="73"/>
      <c r="CV142" s="73"/>
      <c r="CW142" s="345"/>
      <c r="CX142" s="73"/>
      <c r="CY142" s="25"/>
      <c r="CZ142" s="73"/>
      <c r="DA142" s="73"/>
      <c r="DB142" s="345"/>
      <c r="DC142" s="73"/>
      <c r="DD142" s="25"/>
      <c r="DE142" s="73"/>
      <c r="DF142" s="73"/>
      <c r="DG142" s="345"/>
      <c r="DH142" s="73"/>
      <c r="DI142" s="25"/>
      <c r="DJ142" s="73"/>
      <c r="DK142" s="73"/>
      <c r="DL142" s="345"/>
      <c r="DM142" s="73"/>
      <c r="DN142" s="25"/>
      <c r="DO142" s="73"/>
      <c r="DP142" s="73"/>
      <c r="DQ142" s="345"/>
      <c r="DR142" s="73"/>
      <c r="DS142" s="25"/>
      <c r="DT142" s="73"/>
      <c r="DU142" s="73"/>
      <c r="DV142" s="345"/>
      <c r="DW142" s="73"/>
      <c r="DX142" s="25"/>
      <c r="DY142" s="73"/>
      <c r="DZ142" s="73"/>
      <c r="EA142" s="345"/>
      <c r="EB142" s="73"/>
      <c r="EC142" s="25"/>
      <c r="ED142" s="73"/>
      <c r="EE142" s="73"/>
      <c r="EF142" s="345"/>
      <c r="EG142" s="73"/>
      <c r="EH142" s="25"/>
      <c r="EI142" s="73"/>
      <c r="EJ142" s="73"/>
      <c r="EK142" s="345"/>
      <c r="EL142" s="73"/>
      <c r="EM142" s="25"/>
      <c r="EN142" s="73"/>
      <c r="EO142" s="73"/>
      <c r="EP142" s="345"/>
      <c r="EQ142" s="73"/>
      <c r="ER142" s="25"/>
      <c r="ES142" s="73"/>
      <c r="ET142" s="73"/>
      <c r="EU142" s="345"/>
      <c r="EV142" s="73"/>
      <c r="EW142" s="25"/>
      <c r="EX142" s="73"/>
      <c r="EY142" s="73"/>
      <c r="EZ142" s="345"/>
      <c r="FA142" s="73"/>
      <c r="FB142" s="25"/>
      <c r="FC142" s="73"/>
      <c r="FD142" s="73"/>
      <c r="FE142" s="345"/>
      <c r="FF142" s="73"/>
      <c r="FG142" s="25"/>
      <c r="FH142" s="73"/>
      <c r="FI142" s="73"/>
      <c r="FJ142" s="345"/>
      <c r="FK142" s="73"/>
      <c r="FL142" s="25"/>
      <c r="FM142" s="73"/>
      <c r="FN142" s="73"/>
      <c r="FO142" s="345"/>
      <c r="FP142" s="73"/>
      <c r="FQ142" s="25"/>
      <c r="FR142" s="73"/>
      <c r="FS142" s="73"/>
      <c r="FT142" s="345"/>
      <c r="FU142" s="73"/>
      <c r="FV142" s="25"/>
      <c r="FW142" s="73"/>
      <c r="FX142" s="73"/>
      <c r="FY142" s="345"/>
      <c r="FZ142" s="73"/>
      <c r="GA142" s="25"/>
      <c r="GB142" s="73"/>
      <c r="GC142" s="73"/>
      <c r="GD142" s="345"/>
      <c r="GE142" s="73"/>
      <c r="GF142" s="25"/>
      <c r="GG142" s="73"/>
      <c r="GH142" s="73"/>
      <c r="GI142" s="345"/>
      <c r="GJ142" s="73"/>
      <c r="GK142" s="25"/>
      <c r="GL142" s="73"/>
      <c r="GM142" s="73"/>
      <c r="GN142" s="345"/>
      <c r="GO142" s="73"/>
      <c r="GP142" s="25"/>
      <c r="GQ142" s="73"/>
      <c r="GR142" s="73"/>
      <c r="GS142" s="345"/>
      <c r="GT142" s="73"/>
      <c r="GU142" s="25"/>
      <c r="GV142" s="73"/>
      <c r="GW142" s="73"/>
      <c r="GX142" s="345"/>
      <c r="GY142" s="73"/>
      <c r="GZ142" s="25"/>
      <c r="HA142" s="73"/>
      <c r="HB142" s="73"/>
      <c r="HC142" s="345"/>
      <c r="HD142" s="73"/>
      <c r="HE142" s="25"/>
      <c r="HF142" s="73"/>
      <c r="HG142" s="73"/>
      <c r="HH142" s="345"/>
      <c r="HI142" s="73"/>
      <c r="HJ142" s="25"/>
      <c r="HK142" s="73"/>
      <c r="HL142" s="73"/>
      <c r="HM142" s="345"/>
      <c r="HN142" s="73"/>
      <c r="HO142" s="25"/>
      <c r="HP142" s="73"/>
      <c r="HQ142" s="73"/>
      <c r="HR142" s="345"/>
      <c r="HS142" s="73"/>
      <c r="HT142" s="25"/>
      <c r="HU142" s="73"/>
      <c r="HV142" s="73"/>
      <c r="HW142" s="345"/>
      <c r="HX142" s="73"/>
      <c r="HY142" s="25"/>
      <c r="HZ142" s="73"/>
      <c r="IA142" s="73"/>
      <c r="IB142" s="345"/>
      <c r="IC142" s="73"/>
      <c r="ID142" s="25"/>
      <c r="IE142" s="73"/>
      <c r="IF142" s="73"/>
      <c r="IG142" s="345"/>
      <c r="IH142" s="73"/>
      <c r="II142" s="25"/>
      <c r="IJ142" s="73"/>
      <c r="IK142" s="73"/>
      <c r="IL142" s="345"/>
      <c r="IM142" s="73"/>
      <c r="IN142" s="25"/>
      <c r="IO142" s="73"/>
      <c r="IP142" s="73"/>
      <c r="IQ142" s="345"/>
      <c r="IR142" s="73"/>
      <c r="IS142" s="25"/>
      <c r="IT142" s="73"/>
      <c r="IU142" s="73"/>
      <c r="IV142" s="345"/>
    </row>
    <row r="143" spans="1:256" x14ac:dyDescent="0.2">
      <c r="A143" s="345">
        <v>31867</v>
      </c>
      <c r="B143" s="73"/>
      <c r="C143" s="25"/>
      <c r="D143" s="73"/>
      <c r="E143" s="73"/>
      <c r="F143" s="345"/>
      <c r="G143" s="73"/>
      <c r="H143" s="25"/>
      <c r="I143" s="73"/>
      <c r="J143" s="73"/>
      <c r="K143" s="345"/>
      <c r="L143" s="73"/>
      <c r="M143" s="25"/>
      <c r="N143" s="73"/>
      <c r="O143" s="73"/>
      <c r="P143" s="345"/>
      <c r="Q143" s="73"/>
      <c r="R143" s="25"/>
      <c r="S143" s="73"/>
      <c r="T143" s="73"/>
      <c r="U143" s="345"/>
      <c r="V143" s="73"/>
      <c r="W143" s="25"/>
      <c r="X143" s="73"/>
      <c r="Y143" s="73"/>
      <c r="Z143" s="345"/>
      <c r="AA143" s="73"/>
      <c r="AB143" s="25"/>
      <c r="AC143" s="73"/>
      <c r="AD143" s="73"/>
      <c r="AE143" s="345"/>
      <c r="AF143" s="73"/>
      <c r="AG143" s="25"/>
      <c r="AH143" s="73"/>
      <c r="AI143" s="73"/>
      <c r="AJ143" s="345"/>
      <c r="AK143" s="73"/>
      <c r="AL143" s="25"/>
      <c r="AM143" s="73"/>
      <c r="AN143" s="73"/>
      <c r="AO143" s="345"/>
      <c r="AP143" s="73"/>
      <c r="AQ143" s="25"/>
      <c r="AR143" s="73"/>
      <c r="AS143" s="73"/>
      <c r="AT143" s="345"/>
      <c r="AU143" s="73"/>
      <c r="AV143" s="25"/>
      <c r="AW143" s="73"/>
      <c r="AX143" s="73"/>
      <c r="AY143" s="345"/>
      <c r="AZ143" s="73"/>
      <c r="BA143" s="25"/>
      <c r="BB143" s="73"/>
      <c r="BC143" s="73"/>
      <c r="BD143" s="345"/>
      <c r="BE143" s="73"/>
      <c r="BF143" s="25"/>
      <c r="BG143" s="73"/>
      <c r="BH143" s="73"/>
      <c r="BI143" s="345"/>
      <c r="BJ143" s="73"/>
      <c r="BK143" s="25"/>
      <c r="BL143" s="73"/>
      <c r="BM143" s="73"/>
      <c r="BN143" s="345"/>
      <c r="BO143" s="73"/>
      <c r="BP143" s="25"/>
      <c r="BQ143" s="73"/>
      <c r="BR143" s="73"/>
      <c r="BS143" s="345"/>
      <c r="BT143" s="73"/>
      <c r="BU143" s="25"/>
      <c r="BV143" s="73"/>
      <c r="BW143" s="73"/>
      <c r="BX143" s="345"/>
      <c r="BY143" s="73"/>
      <c r="BZ143" s="25"/>
      <c r="CA143" s="73"/>
      <c r="CB143" s="73"/>
      <c r="CC143" s="345"/>
      <c r="CD143" s="73"/>
      <c r="CE143" s="25"/>
      <c r="CF143" s="73"/>
      <c r="CG143" s="73"/>
      <c r="CH143" s="345"/>
      <c r="CI143" s="73"/>
      <c r="CJ143" s="25"/>
      <c r="CK143" s="73"/>
      <c r="CL143" s="73"/>
      <c r="CM143" s="345"/>
      <c r="CN143" s="73"/>
      <c r="CO143" s="25"/>
      <c r="CP143" s="73"/>
      <c r="CQ143" s="73"/>
      <c r="CR143" s="345"/>
      <c r="CS143" s="73"/>
      <c r="CT143" s="25"/>
      <c r="CU143" s="73"/>
      <c r="CV143" s="73"/>
      <c r="CW143" s="345"/>
      <c r="CX143" s="73"/>
      <c r="CY143" s="25"/>
      <c r="CZ143" s="73"/>
      <c r="DA143" s="73"/>
      <c r="DB143" s="345"/>
      <c r="DC143" s="73"/>
      <c r="DD143" s="25"/>
      <c r="DE143" s="73"/>
      <c r="DF143" s="73"/>
      <c r="DG143" s="345"/>
      <c r="DH143" s="73"/>
      <c r="DI143" s="25"/>
      <c r="DJ143" s="73"/>
      <c r="DK143" s="73"/>
      <c r="DL143" s="345"/>
      <c r="DM143" s="73"/>
      <c r="DN143" s="25"/>
      <c r="DO143" s="73"/>
      <c r="DP143" s="73"/>
      <c r="DQ143" s="345"/>
      <c r="DR143" s="73"/>
      <c r="DS143" s="25"/>
      <c r="DT143" s="73"/>
      <c r="DU143" s="73"/>
      <c r="DV143" s="345"/>
      <c r="DW143" s="73"/>
      <c r="DX143" s="25"/>
      <c r="DY143" s="73"/>
      <c r="DZ143" s="73"/>
      <c r="EA143" s="345"/>
      <c r="EB143" s="73"/>
      <c r="EC143" s="25"/>
      <c r="ED143" s="73"/>
      <c r="EE143" s="73"/>
      <c r="EF143" s="345"/>
      <c r="EG143" s="73"/>
      <c r="EH143" s="25"/>
      <c r="EI143" s="73"/>
      <c r="EJ143" s="73"/>
      <c r="EK143" s="345"/>
      <c r="EL143" s="73"/>
      <c r="EM143" s="25"/>
      <c r="EN143" s="73"/>
      <c r="EO143" s="73"/>
      <c r="EP143" s="345"/>
      <c r="EQ143" s="73"/>
      <c r="ER143" s="25"/>
      <c r="ES143" s="73"/>
      <c r="ET143" s="73"/>
      <c r="EU143" s="345"/>
      <c r="EV143" s="73"/>
      <c r="EW143" s="25"/>
      <c r="EX143" s="73"/>
      <c r="EY143" s="73"/>
      <c r="EZ143" s="345"/>
      <c r="FA143" s="73"/>
      <c r="FB143" s="25"/>
      <c r="FC143" s="73"/>
      <c r="FD143" s="73"/>
      <c r="FE143" s="345"/>
      <c r="FF143" s="73"/>
      <c r="FG143" s="25"/>
      <c r="FH143" s="73"/>
      <c r="FI143" s="73"/>
      <c r="FJ143" s="345"/>
      <c r="FK143" s="73"/>
      <c r="FL143" s="25"/>
      <c r="FM143" s="73"/>
      <c r="FN143" s="73"/>
      <c r="FO143" s="345"/>
      <c r="FP143" s="73"/>
      <c r="FQ143" s="25"/>
      <c r="FR143" s="73"/>
      <c r="FS143" s="73"/>
      <c r="FT143" s="345"/>
      <c r="FU143" s="73"/>
      <c r="FV143" s="25"/>
      <c r="FW143" s="73"/>
      <c r="FX143" s="73"/>
      <c r="FY143" s="345"/>
      <c r="FZ143" s="73"/>
      <c r="GA143" s="25"/>
      <c r="GB143" s="73"/>
      <c r="GC143" s="73"/>
      <c r="GD143" s="345"/>
      <c r="GE143" s="73"/>
      <c r="GF143" s="25"/>
      <c r="GG143" s="73"/>
      <c r="GH143" s="73"/>
      <c r="GI143" s="345"/>
      <c r="GJ143" s="73"/>
      <c r="GK143" s="25"/>
      <c r="GL143" s="73"/>
      <c r="GM143" s="73"/>
      <c r="GN143" s="345"/>
      <c r="GO143" s="73"/>
      <c r="GP143" s="25"/>
      <c r="GQ143" s="73"/>
      <c r="GR143" s="73"/>
      <c r="GS143" s="345"/>
      <c r="GT143" s="73"/>
      <c r="GU143" s="25"/>
      <c r="GV143" s="73"/>
      <c r="GW143" s="73"/>
      <c r="GX143" s="345"/>
      <c r="GY143" s="73"/>
      <c r="GZ143" s="25"/>
      <c r="HA143" s="73"/>
      <c r="HB143" s="73"/>
      <c r="HC143" s="345"/>
      <c r="HD143" s="73"/>
      <c r="HE143" s="25"/>
      <c r="HF143" s="73"/>
      <c r="HG143" s="73"/>
      <c r="HH143" s="345"/>
      <c r="HI143" s="73"/>
      <c r="HJ143" s="25"/>
      <c r="HK143" s="73"/>
      <c r="HL143" s="73"/>
      <c r="HM143" s="345"/>
      <c r="HN143" s="73"/>
      <c r="HO143" s="25"/>
      <c r="HP143" s="73"/>
      <c r="HQ143" s="73"/>
      <c r="HR143" s="345"/>
      <c r="HS143" s="73"/>
      <c r="HT143" s="25"/>
      <c r="HU143" s="73"/>
      <c r="HV143" s="73"/>
      <c r="HW143" s="345"/>
      <c r="HX143" s="73"/>
      <c r="HY143" s="25"/>
      <c r="HZ143" s="73"/>
      <c r="IA143" s="73"/>
      <c r="IB143" s="345"/>
      <c r="IC143" s="73"/>
      <c r="ID143" s="25"/>
      <c r="IE143" s="73"/>
      <c r="IF143" s="73"/>
      <c r="IG143" s="345"/>
      <c r="IH143" s="73"/>
      <c r="II143" s="25"/>
      <c r="IJ143" s="73"/>
      <c r="IK143" s="73"/>
      <c r="IL143" s="345"/>
      <c r="IM143" s="73"/>
      <c r="IN143" s="25"/>
      <c r="IO143" s="73"/>
      <c r="IP143" s="73"/>
      <c r="IQ143" s="345"/>
      <c r="IR143" s="73"/>
      <c r="IS143" s="25"/>
      <c r="IT143" s="73"/>
      <c r="IU143" s="73"/>
      <c r="IV143" s="345"/>
    </row>
    <row r="144" spans="1:256" x14ac:dyDescent="0.2">
      <c r="A144" s="345">
        <v>31897</v>
      </c>
      <c r="B144" s="73"/>
      <c r="C144" s="25"/>
      <c r="D144" s="73"/>
      <c r="E144" s="73"/>
      <c r="F144" s="345"/>
      <c r="G144" s="73"/>
      <c r="H144" s="25"/>
      <c r="I144" s="73"/>
      <c r="J144" s="73"/>
      <c r="K144" s="345"/>
      <c r="L144" s="73"/>
      <c r="M144" s="25"/>
      <c r="N144" s="73"/>
      <c r="O144" s="73"/>
      <c r="P144" s="345"/>
      <c r="Q144" s="73"/>
      <c r="R144" s="25"/>
      <c r="S144" s="73"/>
      <c r="T144" s="73"/>
      <c r="U144" s="345"/>
      <c r="V144" s="73"/>
      <c r="W144" s="25"/>
      <c r="X144" s="73"/>
      <c r="Y144" s="73"/>
      <c r="Z144" s="345"/>
      <c r="AA144" s="73"/>
      <c r="AB144" s="25"/>
      <c r="AC144" s="73"/>
      <c r="AD144" s="73"/>
      <c r="AE144" s="345"/>
      <c r="AF144" s="73"/>
      <c r="AG144" s="25"/>
      <c r="AH144" s="73"/>
      <c r="AI144" s="73"/>
      <c r="AJ144" s="345"/>
      <c r="AK144" s="73"/>
      <c r="AL144" s="25"/>
      <c r="AM144" s="73"/>
      <c r="AN144" s="73"/>
      <c r="AO144" s="345"/>
      <c r="AP144" s="73"/>
      <c r="AQ144" s="25"/>
      <c r="AR144" s="73"/>
      <c r="AS144" s="73"/>
      <c r="AT144" s="345"/>
      <c r="AU144" s="73"/>
      <c r="AV144" s="25"/>
      <c r="AW144" s="73"/>
      <c r="AX144" s="73"/>
      <c r="AY144" s="345"/>
      <c r="AZ144" s="73"/>
      <c r="BA144" s="25"/>
      <c r="BB144" s="73"/>
      <c r="BC144" s="73"/>
      <c r="BD144" s="345"/>
      <c r="BE144" s="73"/>
      <c r="BF144" s="25"/>
      <c r="BG144" s="73"/>
      <c r="BH144" s="73"/>
      <c r="BI144" s="345"/>
      <c r="BJ144" s="73"/>
      <c r="BK144" s="25"/>
      <c r="BL144" s="73"/>
      <c r="BM144" s="73"/>
      <c r="BN144" s="345"/>
      <c r="BO144" s="73"/>
      <c r="BP144" s="25"/>
      <c r="BQ144" s="73"/>
      <c r="BR144" s="73"/>
      <c r="BS144" s="345"/>
      <c r="BT144" s="73"/>
      <c r="BU144" s="25"/>
      <c r="BV144" s="73"/>
      <c r="BW144" s="73"/>
      <c r="BX144" s="345"/>
      <c r="BY144" s="73"/>
      <c r="BZ144" s="25"/>
      <c r="CA144" s="73"/>
      <c r="CB144" s="73"/>
      <c r="CC144" s="345"/>
      <c r="CD144" s="73"/>
      <c r="CE144" s="25"/>
      <c r="CF144" s="73"/>
      <c r="CG144" s="73"/>
      <c r="CH144" s="345"/>
      <c r="CI144" s="73"/>
      <c r="CJ144" s="25"/>
      <c r="CK144" s="73"/>
      <c r="CL144" s="73"/>
      <c r="CM144" s="345"/>
      <c r="CN144" s="73"/>
      <c r="CO144" s="25"/>
      <c r="CP144" s="73"/>
      <c r="CQ144" s="73"/>
      <c r="CR144" s="345"/>
      <c r="CS144" s="73"/>
      <c r="CT144" s="25"/>
      <c r="CU144" s="73"/>
      <c r="CV144" s="73"/>
      <c r="CW144" s="345"/>
      <c r="CX144" s="73"/>
      <c r="CY144" s="25"/>
      <c r="CZ144" s="73"/>
      <c r="DA144" s="73"/>
      <c r="DB144" s="345"/>
      <c r="DC144" s="73"/>
      <c r="DD144" s="25"/>
      <c r="DE144" s="73"/>
      <c r="DF144" s="73"/>
      <c r="DG144" s="345"/>
      <c r="DH144" s="73"/>
      <c r="DI144" s="25"/>
      <c r="DJ144" s="73"/>
      <c r="DK144" s="73"/>
      <c r="DL144" s="345"/>
      <c r="DM144" s="73"/>
      <c r="DN144" s="25"/>
      <c r="DO144" s="73"/>
      <c r="DP144" s="73"/>
      <c r="DQ144" s="345"/>
      <c r="DR144" s="73"/>
      <c r="DS144" s="25"/>
      <c r="DT144" s="73"/>
      <c r="DU144" s="73"/>
      <c r="DV144" s="345"/>
      <c r="DW144" s="73"/>
      <c r="DX144" s="25"/>
      <c r="DY144" s="73"/>
      <c r="DZ144" s="73"/>
      <c r="EA144" s="345"/>
      <c r="EB144" s="73"/>
      <c r="EC144" s="25"/>
      <c r="ED144" s="73"/>
      <c r="EE144" s="73"/>
      <c r="EF144" s="345"/>
      <c r="EG144" s="73"/>
      <c r="EH144" s="25"/>
      <c r="EI144" s="73"/>
      <c r="EJ144" s="73"/>
      <c r="EK144" s="345"/>
      <c r="EL144" s="73"/>
      <c r="EM144" s="25"/>
      <c r="EN144" s="73"/>
      <c r="EO144" s="73"/>
      <c r="EP144" s="345"/>
      <c r="EQ144" s="73"/>
      <c r="ER144" s="25"/>
      <c r="ES144" s="73"/>
      <c r="ET144" s="73"/>
      <c r="EU144" s="345"/>
      <c r="EV144" s="73"/>
      <c r="EW144" s="25"/>
      <c r="EX144" s="73"/>
      <c r="EY144" s="73"/>
      <c r="EZ144" s="345"/>
      <c r="FA144" s="73"/>
      <c r="FB144" s="25"/>
      <c r="FC144" s="73"/>
      <c r="FD144" s="73"/>
      <c r="FE144" s="345"/>
      <c r="FF144" s="73"/>
      <c r="FG144" s="25"/>
      <c r="FH144" s="73"/>
      <c r="FI144" s="73"/>
      <c r="FJ144" s="345"/>
      <c r="FK144" s="73"/>
      <c r="FL144" s="25"/>
      <c r="FM144" s="73"/>
      <c r="FN144" s="73"/>
      <c r="FO144" s="345"/>
      <c r="FP144" s="73"/>
      <c r="FQ144" s="25"/>
      <c r="FR144" s="73"/>
      <c r="FS144" s="73"/>
      <c r="FT144" s="345"/>
      <c r="FU144" s="73"/>
      <c r="FV144" s="25"/>
      <c r="FW144" s="73"/>
      <c r="FX144" s="73"/>
      <c r="FY144" s="345"/>
      <c r="FZ144" s="73"/>
      <c r="GA144" s="25"/>
      <c r="GB144" s="73"/>
      <c r="GC144" s="73"/>
      <c r="GD144" s="345"/>
      <c r="GE144" s="73"/>
      <c r="GF144" s="25"/>
      <c r="GG144" s="73"/>
      <c r="GH144" s="73"/>
      <c r="GI144" s="345"/>
      <c r="GJ144" s="73"/>
      <c r="GK144" s="25"/>
      <c r="GL144" s="73"/>
      <c r="GM144" s="73"/>
      <c r="GN144" s="345"/>
      <c r="GO144" s="73"/>
      <c r="GP144" s="25"/>
      <c r="GQ144" s="73"/>
      <c r="GR144" s="73"/>
      <c r="GS144" s="345"/>
      <c r="GT144" s="73"/>
      <c r="GU144" s="25"/>
      <c r="GV144" s="73"/>
      <c r="GW144" s="73"/>
      <c r="GX144" s="345"/>
      <c r="GY144" s="73"/>
      <c r="GZ144" s="25"/>
      <c r="HA144" s="73"/>
      <c r="HB144" s="73"/>
      <c r="HC144" s="345"/>
      <c r="HD144" s="73"/>
      <c r="HE144" s="25"/>
      <c r="HF144" s="73"/>
      <c r="HG144" s="73"/>
      <c r="HH144" s="345"/>
      <c r="HI144" s="73"/>
      <c r="HJ144" s="25"/>
      <c r="HK144" s="73"/>
      <c r="HL144" s="73"/>
      <c r="HM144" s="345"/>
      <c r="HN144" s="73"/>
      <c r="HO144" s="25"/>
      <c r="HP144" s="73"/>
      <c r="HQ144" s="73"/>
      <c r="HR144" s="345"/>
      <c r="HS144" s="73"/>
      <c r="HT144" s="25"/>
      <c r="HU144" s="73"/>
      <c r="HV144" s="73"/>
      <c r="HW144" s="345"/>
      <c r="HX144" s="73"/>
      <c r="HY144" s="25"/>
      <c r="HZ144" s="73"/>
      <c r="IA144" s="73"/>
      <c r="IB144" s="345"/>
      <c r="IC144" s="73"/>
      <c r="ID144" s="25"/>
      <c r="IE144" s="73"/>
      <c r="IF144" s="73"/>
      <c r="IG144" s="345"/>
      <c r="IH144" s="73"/>
      <c r="II144" s="25"/>
      <c r="IJ144" s="73"/>
      <c r="IK144" s="73"/>
      <c r="IL144" s="345"/>
      <c r="IM144" s="73"/>
      <c r="IN144" s="25"/>
      <c r="IO144" s="73"/>
      <c r="IP144" s="73"/>
      <c r="IQ144" s="345"/>
      <c r="IR144" s="73"/>
      <c r="IS144" s="25"/>
      <c r="IT144" s="73"/>
      <c r="IU144" s="73"/>
      <c r="IV144" s="345"/>
    </row>
    <row r="145" spans="1:256" x14ac:dyDescent="0.2">
      <c r="A145" s="345">
        <v>31928</v>
      </c>
      <c r="B145" s="73"/>
      <c r="C145" s="25"/>
      <c r="D145" s="73"/>
      <c r="E145" s="73"/>
      <c r="F145" s="345"/>
      <c r="G145" s="73"/>
      <c r="H145" s="25"/>
      <c r="I145" s="73"/>
      <c r="J145" s="73"/>
      <c r="K145" s="345"/>
      <c r="L145" s="73"/>
      <c r="M145" s="25"/>
      <c r="N145" s="73"/>
      <c r="O145" s="73"/>
      <c r="P145" s="345"/>
      <c r="Q145" s="73"/>
      <c r="R145" s="25"/>
      <c r="S145" s="73"/>
      <c r="T145" s="73"/>
      <c r="U145" s="345"/>
      <c r="V145" s="73"/>
      <c r="W145" s="25"/>
      <c r="X145" s="73"/>
      <c r="Y145" s="73"/>
      <c r="Z145" s="345"/>
      <c r="AA145" s="73"/>
      <c r="AB145" s="25"/>
      <c r="AC145" s="73"/>
      <c r="AD145" s="73"/>
      <c r="AE145" s="345"/>
      <c r="AF145" s="73"/>
      <c r="AG145" s="25"/>
      <c r="AH145" s="73"/>
      <c r="AI145" s="73"/>
      <c r="AJ145" s="345"/>
      <c r="AK145" s="73"/>
      <c r="AL145" s="25"/>
      <c r="AM145" s="73"/>
      <c r="AN145" s="73"/>
      <c r="AO145" s="345"/>
      <c r="AP145" s="73"/>
      <c r="AQ145" s="25"/>
      <c r="AR145" s="73"/>
      <c r="AS145" s="73"/>
      <c r="AT145" s="345"/>
      <c r="AU145" s="73"/>
      <c r="AV145" s="25"/>
      <c r="AW145" s="73"/>
      <c r="AX145" s="73"/>
      <c r="AY145" s="345"/>
      <c r="AZ145" s="73"/>
      <c r="BA145" s="25"/>
      <c r="BB145" s="73"/>
      <c r="BC145" s="73"/>
      <c r="BD145" s="345"/>
      <c r="BE145" s="73"/>
      <c r="BF145" s="25"/>
      <c r="BG145" s="73"/>
      <c r="BH145" s="73"/>
      <c r="BI145" s="345"/>
      <c r="BJ145" s="73"/>
      <c r="BK145" s="25"/>
      <c r="BL145" s="73"/>
      <c r="BM145" s="73"/>
      <c r="BN145" s="345"/>
      <c r="BO145" s="73"/>
      <c r="BP145" s="25"/>
      <c r="BQ145" s="73"/>
      <c r="BR145" s="73"/>
      <c r="BS145" s="345"/>
      <c r="BT145" s="73"/>
      <c r="BU145" s="25"/>
      <c r="BV145" s="73"/>
      <c r="BW145" s="73"/>
      <c r="BX145" s="345"/>
      <c r="BY145" s="73"/>
      <c r="BZ145" s="25"/>
      <c r="CA145" s="73"/>
      <c r="CB145" s="73"/>
      <c r="CC145" s="345"/>
      <c r="CD145" s="73"/>
      <c r="CE145" s="25"/>
      <c r="CF145" s="73"/>
      <c r="CG145" s="73"/>
      <c r="CH145" s="345"/>
      <c r="CI145" s="73"/>
      <c r="CJ145" s="25"/>
      <c r="CK145" s="73"/>
      <c r="CL145" s="73"/>
      <c r="CM145" s="345"/>
      <c r="CN145" s="73"/>
      <c r="CO145" s="25"/>
      <c r="CP145" s="73"/>
      <c r="CQ145" s="73"/>
      <c r="CR145" s="345"/>
      <c r="CS145" s="73"/>
      <c r="CT145" s="25"/>
      <c r="CU145" s="73"/>
      <c r="CV145" s="73"/>
      <c r="CW145" s="345"/>
      <c r="CX145" s="73"/>
      <c r="CY145" s="25"/>
      <c r="CZ145" s="73"/>
      <c r="DA145" s="73"/>
      <c r="DB145" s="345"/>
      <c r="DC145" s="73"/>
      <c r="DD145" s="25"/>
      <c r="DE145" s="73"/>
      <c r="DF145" s="73"/>
      <c r="DG145" s="345"/>
      <c r="DH145" s="73"/>
      <c r="DI145" s="25"/>
      <c r="DJ145" s="73"/>
      <c r="DK145" s="73"/>
      <c r="DL145" s="345"/>
      <c r="DM145" s="73"/>
      <c r="DN145" s="25"/>
      <c r="DO145" s="73"/>
      <c r="DP145" s="73"/>
      <c r="DQ145" s="345"/>
      <c r="DR145" s="73"/>
      <c r="DS145" s="25"/>
      <c r="DT145" s="73"/>
      <c r="DU145" s="73"/>
      <c r="DV145" s="345"/>
      <c r="DW145" s="73"/>
      <c r="DX145" s="25"/>
      <c r="DY145" s="73"/>
      <c r="DZ145" s="73"/>
      <c r="EA145" s="345"/>
      <c r="EB145" s="73"/>
      <c r="EC145" s="25"/>
      <c r="ED145" s="73"/>
      <c r="EE145" s="73"/>
      <c r="EF145" s="345"/>
      <c r="EG145" s="73"/>
      <c r="EH145" s="25"/>
      <c r="EI145" s="73"/>
      <c r="EJ145" s="73"/>
      <c r="EK145" s="345"/>
      <c r="EL145" s="73"/>
      <c r="EM145" s="25"/>
      <c r="EN145" s="73"/>
      <c r="EO145" s="73"/>
      <c r="EP145" s="345"/>
      <c r="EQ145" s="73"/>
      <c r="ER145" s="25"/>
      <c r="ES145" s="73"/>
      <c r="ET145" s="73"/>
      <c r="EU145" s="345"/>
      <c r="EV145" s="73"/>
      <c r="EW145" s="25"/>
      <c r="EX145" s="73"/>
      <c r="EY145" s="73"/>
      <c r="EZ145" s="345"/>
      <c r="FA145" s="73"/>
      <c r="FB145" s="25"/>
      <c r="FC145" s="73"/>
      <c r="FD145" s="73"/>
      <c r="FE145" s="345"/>
      <c r="FF145" s="73"/>
      <c r="FG145" s="25"/>
      <c r="FH145" s="73"/>
      <c r="FI145" s="73"/>
      <c r="FJ145" s="345"/>
      <c r="FK145" s="73"/>
      <c r="FL145" s="25"/>
      <c r="FM145" s="73"/>
      <c r="FN145" s="73"/>
      <c r="FO145" s="345"/>
      <c r="FP145" s="73"/>
      <c r="FQ145" s="25"/>
      <c r="FR145" s="73"/>
      <c r="FS145" s="73"/>
      <c r="FT145" s="345"/>
      <c r="FU145" s="73"/>
      <c r="FV145" s="25"/>
      <c r="FW145" s="73"/>
      <c r="FX145" s="73"/>
      <c r="FY145" s="345"/>
      <c r="FZ145" s="73"/>
      <c r="GA145" s="25"/>
      <c r="GB145" s="73"/>
      <c r="GC145" s="73"/>
      <c r="GD145" s="345"/>
      <c r="GE145" s="73"/>
      <c r="GF145" s="25"/>
      <c r="GG145" s="73"/>
      <c r="GH145" s="73"/>
      <c r="GI145" s="345"/>
      <c r="GJ145" s="73"/>
      <c r="GK145" s="25"/>
      <c r="GL145" s="73"/>
      <c r="GM145" s="73"/>
      <c r="GN145" s="345"/>
      <c r="GO145" s="73"/>
      <c r="GP145" s="25"/>
      <c r="GQ145" s="73"/>
      <c r="GR145" s="73"/>
      <c r="GS145" s="345"/>
      <c r="GT145" s="73"/>
      <c r="GU145" s="25"/>
      <c r="GV145" s="73"/>
      <c r="GW145" s="73"/>
      <c r="GX145" s="345"/>
      <c r="GY145" s="73"/>
      <c r="GZ145" s="25"/>
      <c r="HA145" s="73"/>
      <c r="HB145" s="73"/>
      <c r="HC145" s="345"/>
      <c r="HD145" s="73"/>
      <c r="HE145" s="25"/>
      <c r="HF145" s="73"/>
      <c r="HG145" s="73"/>
      <c r="HH145" s="345"/>
      <c r="HI145" s="73"/>
      <c r="HJ145" s="25"/>
      <c r="HK145" s="73"/>
      <c r="HL145" s="73"/>
      <c r="HM145" s="345"/>
      <c r="HN145" s="73"/>
      <c r="HO145" s="25"/>
      <c r="HP145" s="73"/>
      <c r="HQ145" s="73"/>
      <c r="HR145" s="345"/>
      <c r="HS145" s="73"/>
      <c r="HT145" s="25"/>
      <c r="HU145" s="73"/>
      <c r="HV145" s="73"/>
      <c r="HW145" s="345"/>
      <c r="HX145" s="73"/>
      <c r="HY145" s="25"/>
      <c r="HZ145" s="73"/>
      <c r="IA145" s="73"/>
      <c r="IB145" s="345"/>
      <c r="IC145" s="73"/>
      <c r="ID145" s="25"/>
      <c r="IE145" s="73"/>
      <c r="IF145" s="73"/>
      <c r="IG145" s="345"/>
      <c r="IH145" s="73"/>
      <c r="II145" s="25"/>
      <c r="IJ145" s="73"/>
      <c r="IK145" s="73"/>
      <c r="IL145" s="345"/>
      <c r="IM145" s="73"/>
      <c r="IN145" s="25"/>
      <c r="IO145" s="73"/>
      <c r="IP145" s="73"/>
      <c r="IQ145" s="345"/>
      <c r="IR145" s="73"/>
      <c r="IS145" s="25"/>
      <c r="IT145" s="73"/>
      <c r="IU145" s="73"/>
      <c r="IV145" s="345"/>
    </row>
    <row r="146" spans="1:256" x14ac:dyDescent="0.2">
      <c r="A146" s="345">
        <v>31958</v>
      </c>
      <c r="B146" s="73"/>
      <c r="C146" s="25"/>
      <c r="D146" s="73"/>
      <c r="E146" s="73"/>
      <c r="F146" s="345"/>
      <c r="G146" s="73"/>
      <c r="H146" s="25"/>
      <c r="I146" s="73"/>
      <c r="J146" s="73"/>
      <c r="K146" s="345"/>
      <c r="L146" s="73"/>
      <c r="M146" s="25"/>
      <c r="N146" s="73"/>
      <c r="O146" s="73"/>
      <c r="P146" s="345"/>
      <c r="Q146" s="73"/>
      <c r="R146" s="25"/>
      <c r="S146" s="73"/>
      <c r="T146" s="73"/>
      <c r="U146" s="345"/>
      <c r="V146" s="73"/>
      <c r="W146" s="25"/>
      <c r="X146" s="73"/>
      <c r="Y146" s="73"/>
      <c r="Z146" s="345"/>
      <c r="AA146" s="73"/>
      <c r="AB146" s="25"/>
      <c r="AC146" s="73"/>
      <c r="AD146" s="73"/>
      <c r="AE146" s="345"/>
      <c r="AF146" s="73"/>
      <c r="AG146" s="25"/>
      <c r="AH146" s="73"/>
      <c r="AI146" s="73"/>
      <c r="AJ146" s="345"/>
      <c r="AK146" s="73"/>
      <c r="AL146" s="25"/>
      <c r="AM146" s="73"/>
      <c r="AN146" s="73"/>
      <c r="AO146" s="345"/>
      <c r="AP146" s="73"/>
      <c r="AQ146" s="25"/>
      <c r="AR146" s="73"/>
      <c r="AS146" s="73"/>
      <c r="AT146" s="345"/>
      <c r="AU146" s="73"/>
      <c r="AV146" s="25"/>
      <c r="AW146" s="73"/>
      <c r="AX146" s="73"/>
      <c r="AY146" s="345"/>
      <c r="AZ146" s="73"/>
      <c r="BA146" s="25"/>
      <c r="BB146" s="73"/>
      <c r="BC146" s="73"/>
      <c r="BD146" s="345"/>
      <c r="BE146" s="73"/>
      <c r="BF146" s="25"/>
      <c r="BG146" s="73"/>
      <c r="BH146" s="73"/>
      <c r="BI146" s="345"/>
      <c r="BJ146" s="73"/>
      <c r="BK146" s="25"/>
      <c r="BL146" s="73"/>
      <c r="BM146" s="73"/>
      <c r="BN146" s="345"/>
      <c r="BO146" s="73"/>
      <c r="BP146" s="25"/>
      <c r="BQ146" s="73"/>
      <c r="BR146" s="73"/>
      <c r="BS146" s="345"/>
      <c r="BT146" s="73"/>
      <c r="BU146" s="25"/>
      <c r="BV146" s="73"/>
      <c r="BW146" s="73"/>
      <c r="BX146" s="345"/>
      <c r="BY146" s="73"/>
      <c r="BZ146" s="25"/>
      <c r="CA146" s="73"/>
      <c r="CB146" s="73"/>
      <c r="CC146" s="345"/>
      <c r="CD146" s="73"/>
      <c r="CE146" s="25"/>
      <c r="CF146" s="73"/>
      <c r="CG146" s="73"/>
      <c r="CH146" s="345"/>
      <c r="CI146" s="73"/>
      <c r="CJ146" s="25"/>
      <c r="CK146" s="73"/>
      <c r="CL146" s="73"/>
      <c r="CM146" s="345"/>
      <c r="CN146" s="73"/>
      <c r="CO146" s="25"/>
      <c r="CP146" s="73"/>
      <c r="CQ146" s="73"/>
      <c r="CR146" s="345"/>
      <c r="CS146" s="73"/>
      <c r="CT146" s="25"/>
      <c r="CU146" s="73"/>
      <c r="CV146" s="73"/>
      <c r="CW146" s="345"/>
      <c r="CX146" s="73"/>
      <c r="CY146" s="25"/>
      <c r="CZ146" s="73"/>
      <c r="DA146" s="73"/>
      <c r="DB146" s="345"/>
      <c r="DC146" s="73"/>
      <c r="DD146" s="25"/>
      <c r="DE146" s="73"/>
      <c r="DF146" s="73"/>
      <c r="DG146" s="345"/>
      <c r="DH146" s="73"/>
      <c r="DI146" s="25"/>
      <c r="DJ146" s="73"/>
      <c r="DK146" s="73"/>
      <c r="DL146" s="345"/>
      <c r="DM146" s="73"/>
      <c r="DN146" s="25"/>
      <c r="DO146" s="73"/>
      <c r="DP146" s="73"/>
      <c r="DQ146" s="345"/>
      <c r="DR146" s="73"/>
      <c r="DS146" s="25"/>
      <c r="DT146" s="73"/>
      <c r="DU146" s="73"/>
      <c r="DV146" s="345"/>
      <c r="DW146" s="73"/>
      <c r="DX146" s="25"/>
      <c r="DY146" s="73"/>
      <c r="DZ146" s="73"/>
      <c r="EA146" s="345"/>
      <c r="EB146" s="73"/>
      <c r="EC146" s="25"/>
      <c r="ED146" s="73"/>
      <c r="EE146" s="73"/>
      <c r="EF146" s="345"/>
      <c r="EG146" s="73"/>
      <c r="EH146" s="25"/>
      <c r="EI146" s="73"/>
      <c r="EJ146" s="73"/>
      <c r="EK146" s="345"/>
      <c r="EL146" s="73"/>
      <c r="EM146" s="25"/>
      <c r="EN146" s="73"/>
      <c r="EO146" s="73"/>
      <c r="EP146" s="345"/>
      <c r="EQ146" s="73"/>
      <c r="ER146" s="25"/>
      <c r="ES146" s="73"/>
      <c r="ET146" s="73"/>
      <c r="EU146" s="345"/>
      <c r="EV146" s="73"/>
      <c r="EW146" s="25"/>
      <c r="EX146" s="73"/>
      <c r="EY146" s="73"/>
      <c r="EZ146" s="345"/>
      <c r="FA146" s="73"/>
      <c r="FB146" s="25"/>
      <c r="FC146" s="73"/>
      <c r="FD146" s="73"/>
      <c r="FE146" s="345"/>
      <c r="FF146" s="73"/>
      <c r="FG146" s="25"/>
      <c r="FH146" s="73"/>
      <c r="FI146" s="73"/>
      <c r="FJ146" s="345"/>
      <c r="FK146" s="73"/>
      <c r="FL146" s="25"/>
      <c r="FM146" s="73"/>
      <c r="FN146" s="73"/>
      <c r="FO146" s="345"/>
      <c r="FP146" s="73"/>
      <c r="FQ146" s="25"/>
      <c r="FR146" s="73"/>
      <c r="FS146" s="73"/>
      <c r="FT146" s="345"/>
      <c r="FU146" s="73"/>
      <c r="FV146" s="25"/>
      <c r="FW146" s="73"/>
      <c r="FX146" s="73"/>
      <c r="FY146" s="345"/>
      <c r="FZ146" s="73"/>
      <c r="GA146" s="25"/>
      <c r="GB146" s="73"/>
      <c r="GC146" s="73"/>
      <c r="GD146" s="345"/>
      <c r="GE146" s="73"/>
      <c r="GF146" s="25"/>
      <c r="GG146" s="73"/>
      <c r="GH146" s="73"/>
      <c r="GI146" s="345"/>
      <c r="GJ146" s="73"/>
      <c r="GK146" s="25"/>
      <c r="GL146" s="73"/>
      <c r="GM146" s="73"/>
      <c r="GN146" s="345"/>
      <c r="GO146" s="73"/>
      <c r="GP146" s="25"/>
      <c r="GQ146" s="73"/>
      <c r="GR146" s="73"/>
      <c r="GS146" s="345"/>
      <c r="GT146" s="73"/>
      <c r="GU146" s="25"/>
      <c r="GV146" s="73"/>
      <c r="GW146" s="73"/>
      <c r="GX146" s="345"/>
      <c r="GY146" s="73"/>
      <c r="GZ146" s="25"/>
      <c r="HA146" s="73"/>
      <c r="HB146" s="73"/>
      <c r="HC146" s="345"/>
      <c r="HD146" s="73"/>
      <c r="HE146" s="25"/>
      <c r="HF146" s="73"/>
      <c r="HG146" s="73"/>
      <c r="HH146" s="345"/>
      <c r="HI146" s="73"/>
      <c r="HJ146" s="25"/>
      <c r="HK146" s="73"/>
      <c r="HL146" s="73"/>
      <c r="HM146" s="345"/>
      <c r="HN146" s="73"/>
      <c r="HO146" s="25"/>
      <c r="HP146" s="73"/>
      <c r="HQ146" s="73"/>
      <c r="HR146" s="345"/>
      <c r="HS146" s="73"/>
      <c r="HT146" s="25"/>
      <c r="HU146" s="73"/>
      <c r="HV146" s="73"/>
      <c r="HW146" s="345"/>
      <c r="HX146" s="73"/>
      <c r="HY146" s="25"/>
      <c r="HZ146" s="73"/>
      <c r="IA146" s="73"/>
      <c r="IB146" s="345"/>
      <c r="IC146" s="73"/>
      <c r="ID146" s="25"/>
      <c r="IE146" s="73"/>
      <c r="IF146" s="73"/>
      <c r="IG146" s="345"/>
      <c r="IH146" s="73"/>
      <c r="II146" s="25"/>
      <c r="IJ146" s="73"/>
      <c r="IK146" s="73"/>
      <c r="IL146" s="345"/>
      <c r="IM146" s="73"/>
      <c r="IN146" s="25"/>
      <c r="IO146" s="73"/>
      <c r="IP146" s="73"/>
      <c r="IQ146" s="345"/>
      <c r="IR146" s="73"/>
      <c r="IS146" s="25"/>
      <c r="IT146" s="73"/>
      <c r="IU146" s="73"/>
      <c r="IV146" s="345"/>
    </row>
    <row r="147" spans="1:256" x14ac:dyDescent="0.2">
      <c r="A147" s="345">
        <v>31989</v>
      </c>
      <c r="B147" s="73"/>
      <c r="C147" s="25"/>
      <c r="D147" s="73"/>
      <c r="E147" s="73"/>
      <c r="F147" s="345"/>
      <c r="G147" s="73"/>
      <c r="H147" s="25"/>
      <c r="I147" s="73"/>
      <c r="J147" s="73"/>
      <c r="K147" s="345"/>
      <c r="L147" s="73"/>
      <c r="M147" s="25"/>
      <c r="N147" s="73"/>
      <c r="O147" s="73"/>
      <c r="P147" s="345"/>
      <c r="Q147" s="73"/>
      <c r="R147" s="25"/>
      <c r="S147" s="73"/>
      <c r="T147" s="73"/>
      <c r="U147" s="345"/>
      <c r="V147" s="73"/>
      <c r="W147" s="25"/>
      <c r="X147" s="73"/>
      <c r="Y147" s="73"/>
      <c r="Z147" s="345"/>
      <c r="AA147" s="73"/>
      <c r="AB147" s="25"/>
      <c r="AC147" s="73"/>
      <c r="AD147" s="73"/>
      <c r="AE147" s="345"/>
      <c r="AF147" s="73"/>
      <c r="AG147" s="25"/>
      <c r="AH147" s="73"/>
      <c r="AI147" s="73"/>
      <c r="AJ147" s="345"/>
      <c r="AK147" s="73"/>
      <c r="AL147" s="25"/>
      <c r="AM147" s="73"/>
      <c r="AN147" s="73"/>
      <c r="AO147" s="345"/>
      <c r="AP147" s="73"/>
      <c r="AQ147" s="25"/>
      <c r="AR147" s="73"/>
      <c r="AS147" s="73"/>
      <c r="AT147" s="345"/>
      <c r="AU147" s="73"/>
      <c r="AV147" s="25"/>
      <c r="AW147" s="73"/>
      <c r="AX147" s="73"/>
      <c r="AY147" s="345"/>
      <c r="AZ147" s="73"/>
      <c r="BA147" s="25"/>
      <c r="BB147" s="73"/>
      <c r="BC147" s="73"/>
      <c r="BD147" s="345"/>
      <c r="BE147" s="73"/>
      <c r="BF147" s="25"/>
      <c r="BG147" s="73"/>
      <c r="BH147" s="73"/>
      <c r="BI147" s="345"/>
      <c r="BJ147" s="73"/>
      <c r="BK147" s="25"/>
      <c r="BL147" s="73"/>
      <c r="BM147" s="73"/>
      <c r="BN147" s="345"/>
      <c r="BO147" s="73"/>
      <c r="BP147" s="25"/>
      <c r="BQ147" s="73"/>
      <c r="BR147" s="73"/>
      <c r="BS147" s="345"/>
      <c r="BT147" s="73"/>
      <c r="BU147" s="25"/>
      <c r="BV147" s="73"/>
      <c r="BW147" s="73"/>
      <c r="BX147" s="345"/>
      <c r="BY147" s="73"/>
      <c r="BZ147" s="25"/>
      <c r="CA147" s="73"/>
      <c r="CB147" s="73"/>
      <c r="CC147" s="345"/>
      <c r="CD147" s="73"/>
      <c r="CE147" s="25"/>
      <c r="CF147" s="73"/>
      <c r="CG147" s="73"/>
      <c r="CH147" s="345"/>
      <c r="CI147" s="73"/>
      <c r="CJ147" s="25"/>
      <c r="CK147" s="73"/>
      <c r="CL147" s="73"/>
      <c r="CM147" s="345"/>
      <c r="CN147" s="73"/>
      <c r="CO147" s="25"/>
      <c r="CP147" s="73"/>
      <c r="CQ147" s="73"/>
      <c r="CR147" s="345"/>
      <c r="CS147" s="73"/>
      <c r="CT147" s="25"/>
      <c r="CU147" s="73"/>
      <c r="CV147" s="73"/>
      <c r="CW147" s="345"/>
      <c r="CX147" s="73"/>
      <c r="CY147" s="25"/>
      <c r="CZ147" s="73"/>
      <c r="DA147" s="73"/>
      <c r="DB147" s="345"/>
      <c r="DC147" s="73"/>
      <c r="DD147" s="25"/>
      <c r="DE147" s="73"/>
      <c r="DF147" s="73"/>
      <c r="DG147" s="345"/>
      <c r="DH147" s="73"/>
      <c r="DI147" s="25"/>
      <c r="DJ147" s="73"/>
      <c r="DK147" s="73"/>
      <c r="DL147" s="345"/>
      <c r="DM147" s="73"/>
      <c r="DN147" s="25"/>
      <c r="DO147" s="73"/>
      <c r="DP147" s="73"/>
      <c r="DQ147" s="345"/>
      <c r="DR147" s="73"/>
      <c r="DS147" s="25"/>
      <c r="DT147" s="73"/>
      <c r="DU147" s="73"/>
      <c r="DV147" s="345"/>
      <c r="DW147" s="73"/>
      <c r="DX147" s="25"/>
      <c r="DY147" s="73"/>
      <c r="DZ147" s="73"/>
      <c r="EA147" s="345"/>
      <c r="EB147" s="73"/>
      <c r="EC147" s="25"/>
      <c r="ED147" s="73"/>
      <c r="EE147" s="73"/>
      <c r="EF147" s="345"/>
      <c r="EG147" s="73"/>
      <c r="EH147" s="25"/>
      <c r="EI147" s="73"/>
      <c r="EJ147" s="73"/>
      <c r="EK147" s="345"/>
      <c r="EL147" s="73"/>
      <c r="EM147" s="25"/>
      <c r="EN147" s="73"/>
      <c r="EO147" s="73"/>
      <c r="EP147" s="345"/>
      <c r="EQ147" s="73"/>
      <c r="ER147" s="25"/>
      <c r="ES147" s="73"/>
      <c r="ET147" s="73"/>
      <c r="EU147" s="345"/>
      <c r="EV147" s="73"/>
      <c r="EW147" s="25"/>
      <c r="EX147" s="73"/>
      <c r="EY147" s="73"/>
      <c r="EZ147" s="345"/>
      <c r="FA147" s="73"/>
      <c r="FB147" s="25"/>
      <c r="FC147" s="73"/>
      <c r="FD147" s="73"/>
      <c r="FE147" s="345"/>
      <c r="FF147" s="73"/>
      <c r="FG147" s="25"/>
      <c r="FH147" s="73"/>
      <c r="FI147" s="73"/>
      <c r="FJ147" s="345"/>
      <c r="FK147" s="73"/>
      <c r="FL147" s="25"/>
      <c r="FM147" s="73"/>
      <c r="FN147" s="73"/>
      <c r="FO147" s="345"/>
      <c r="FP147" s="73"/>
      <c r="FQ147" s="25"/>
      <c r="FR147" s="73"/>
      <c r="FS147" s="73"/>
      <c r="FT147" s="345"/>
      <c r="FU147" s="73"/>
      <c r="FV147" s="25"/>
      <c r="FW147" s="73"/>
      <c r="FX147" s="73"/>
      <c r="FY147" s="345"/>
      <c r="FZ147" s="73"/>
      <c r="GA147" s="25"/>
      <c r="GB147" s="73"/>
      <c r="GC147" s="73"/>
      <c r="GD147" s="345"/>
      <c r="GE147" s="73"/>
      <c r="GF147" s="25"/>
      <c r="GG147" s="73"/>
      <c r="GH147" s="73"/>
      <c r="GI147" s="345"/>
      <c r="GJ147" s="73"/>
      <c r="GK147" s="25"/>
      <c r="GL147" s="73"/>
      <c r="GM147" s="73"/>
      <c r="GN147" s="345"/>
      <c r="GO147" s="73"/>
      <c r="GP147" s="25"/>
      <c r="GQ147" s="73"/>
      <c r="GR147" s="73"/>
      <c r="GS147" s="345"/>
      <c r="GT147" s="73"/>
      <c r="GU147" s="25"/>
      <c r="GV147" s="73"/>
      <c r="GW147" s="73"/>
      <c r="GX147" s="345"/>
      <c r="GY147" s="73"/>
      <c r="GZ147" s="25"/>
      <c r="HA147" s="73"/>
      <c r="HB147" s="73"/>
      <c r="HC147" s="345"/>
      <c r="HD147" s="73"/>
      <c r="HE147" s="25"/>
      <c r="HF147" s="73"/>
      <c r="HG147" s="73"/>
      <c r="HH147" s="345"/>
      <c r="HI147" s="73"/>
      <c r="HJ147" s="25"/>
      <c r="HK147" s="73"/>
      <c r="HL147" s="73"/>
      <c r="HM147" s="345"/>
      <c r="HN147" s="73"/>
      <c r="HO147" s="25"/>
      <c r="HP147" s="73"/>
      <c r="HQ147" s="73"/>
      <c r="HR147" s="345"/>
      <c r="HS147" s="73"/>
      <c r="HT147" s="25"/>
      <c r="HU147" s="73"/>
      <c r="HV147" s="73"/>
      <c r="HW147" s="345"/>
      <c r="HX147" s="73"/>
      <c r="HY147" s="25"/>
      <c r="HZ147" s="73"/>
      <c r="IA147" s="73"/>
      <c r="IB147" s="345"/>
      <c r="IC147" s="73"/>
      <c r="ID147" s="25"/>
      <c r="IE147" s="73"/>
      <c r="IF147" s="73"/>
      <c r="IG147" s="345"/>
      <c r="IH147" s="73"/>
      <c r="II147" s="25"/>
      <c r="IJ147" s="73"/>
      <c r="IK147" s="73"/>
      <c r="IL147" s="345"/>
      <c r="IM147" s="73"/>
      <c r="IN147" s="25"/>
      <c r="IO147" s="73"/>
      <c r="IP147" s="73"/>
      <c r="IQ147" s="345"/>
      <c r="IR147" s="73"/>
      <c r="IS147" s="25"/>
      <c r="IT147" s="73"/>
      <c r="IU147" s="73"/>
      <c r="IV147" s="345"/>
    </row>
    <row r="148" spans="1:256" x14ac:dyDescent="0.2">
      <c r="A148" s="345">
        <v>32020</v>
      </c>
      <c r="B148" s="73"/>
      <c r="C148" s="25"/>
      <c r="D148" s="73"/>
      <c r="E148" s="73"/>
      <c r="F148" s="345"/>
      <c r="G148" s="73"/>
      <c r="H148" s="25"/>
      <c r="I148" s="73"/>
      <c r="J148" s="73"/>
      <c r="K148" s="345"/>
      <c r="L148" s="73"/>
      <c r="M148" s="25"/>
      <c r="N148" s="73"/>
      <c r="O148" s="73"/>
      <c r="P148" s="345"/>
      <c r="Q148" s="73"/>
      <c r="R148" s="25"/>
      <c r="S148" s="73"/>
      <c r="T148" s="73"/>
      <c r="U148" s="345"/>
      <c r="V148" s="73"/>
      <c r="W148" s="25"/>
      <c r="X148" s="73"/>
      <c r="Y148" s="73"/>
      <c r="Z148" s="345"/>
      <c r="AA148" s="73"/>
      <c r="AB148" s="25"/>
      <c r="AC148" s="73"/>
      <c r="AD148" s="73"/>
      <c r="AE148" s="345"/>
      <c r="AF148" s="73"/>
      <c r="AG148" s="25"/>
      <c r="AH148" s="73"/>
      <c r="AI148" s="73"/>
      <c r="AJ148" s="345"/>
      <c r="AK148" s="73"/>
      <c r="AL148" s="25"/>
      <c r="AM148" s="73"/>
      <c r="AN148" s="73"/>
      <c r="AO148" s="345"/>
      <c r="AP148" s="73"/>
      <c r="AQ148" s="25"/>
      <c r="AR148" s="73"/>
      <c r="AS148" s="73"/>
      <c r="AT148" s="345"/>
      <c r="AU148" s="73"/>
      <c r="AV148" s="25"/>
      <c r="AW148" s="73"/>
      <c r="AX148" s="73"/>
      <c r="AY148" s="345"/>
      <c r="AZ148" s="73"/>
      <c r="BA148" s="25"/>
      <c r="BB148" s="73"/>
      <c r="BC148" s="73"/>
      <c r="BD148" s="345"/>
      <c r="BE148" s="73"/>
      <c r="BF148" s="25"/>
      <c r="BG148" s="73"/>
      <c r="BH148" s="73"/>
      <c r="BI148" s="345"/>
      <c r="BJ148" s="73"/>
      <c r="BK148" s="25"/>
      <c r="BL148" s="73"/>
      <c r="BM148" s="73"/>
      <c r="BN148" s="345"/>
      <c r="BO148" s="73"/>
      <c r="BP148" s="25"/>
      <c r="BQ148" s="73"/>
      <c r="BR148" s="73"/>
      <c r="BS148" s="345"/>
      <c r="BT148" s="73"/>
      <c r="BU148" s="25"/>
      <c r="BV148" s="73"/>
      <c r="BW148" s="73"/>
      <c r="BX148" s="345"/>
      <c r="BY148" s="73"/>
      <c r="BZ148" s="25"/>
      <c r="CA148" s="73"/>
      <c r="CB148" s="73"/>
      <c r="CC148" s="345"/>
      <c r="CD148" s="73"/>
      <c r="CE148" s="25"/>
      <c r="CF148" s="73"/>
      <c r="CG148" s="73"/>
      <c r="CH148" s="345"/>
      <c r="CI148" s="73"/>
      <c r="CJ148" s="25"/>
      <c r="CK148" s="73"/>
      <c r="CL148" s="73"/>
      <c r="CM148" s="345"/>
      <c r="CN148" s="73"/>
      <c r="CO148" s="25"/>
      <c r="CP148" s="73"/>
      <c r="CQ148" s="73"/>
      <c r="CR148" s="345"/>
      <c r="CS148" s="73"/>
      <c r="CT148" s="25"/>
      <c r="CU148" s="73"/>
      <c r="CV148" s="73"/>
      <c r="CW148" s="345"/>
      <c r="CX148" s="73"/>
      <c r="CY148" s="25"/>
      <c r="CZ148" s="73"/>
      <c r="DA148" s="73"/>
      <c r="DB148" s="345"/>
      <c r="DC148" s="73"/>
      <c r="DD148" s="25"/>
      <c r="DE148" s="73"/>
      <c r="DF148" s="73"/>
      <c r="DG148" s="345"/>
      <c r="DH148" s="73"/>
      <c r="DI148" s="25"/>
      <c r="DJ148" s="73"/>
      <c r="DK148" s="73"/>
      <c r="DL148" s="345"/>
      <c r="DM148" s="73"/>
      <c r="DN148" s="25"/>
      <c r="DO148" s="73"/>
      <c r="DP148" s="73"/>
      <c r="DQ148" s="345"/>
      <c r="DR148" s="73"/>
      <c r="DS148" s="25"/>
      <c r="DT148" s="73"/>
      <c r="DU148" s="73"/>
      <c r="DV148" s="345"/>
      <c r="DW148" s="73"/>
      <c r="DX148" s="25"/>
      <c r="DY148" s="73"/>
      <c r="DZ148" s="73"/>
      <c r="EA148" s="345"/>
      <c r="EB148" s="73"/>
      <c r="EC148" s="25"/>
      <c r="ED148" s="73"/>
      <c r="EE148" s="73"/>
      <c r="EF148" s="345"/>
      <c r="EG148" s="73"/>
      <c r="EH148" s="25"/>
      <c r="EI148" s="73"/>
      <c r="EJ148" s="73"/>
      <c r="EK148" s="345"/>
      <c r="EL148" s="73"/>
      <c r="EM148" s="25"/>
      <c r="EN148" s="73"/>
      <c r="EO148" s="73"/>
      <c r="EP148" s="345"/>
      <c r="EQ148" s="73"/>
      <c r="ER148" s="25"/>
      <c r="ES148" s="73"/>
      <c r="ET148" s="73"/>
      <c r="EU148" s="345"/>
      <c r="EV148" s="73"/>
      <c r="EW148" s="25"/>
      <c r="EX148" s="73"/>
      <c r="EY148" s="73"/>
      <c r="EZ148" s="345"/>
      <c r="FA148" s="73"/>
      <c r="FB148" s="25"/>
      <c r="FC148" s="73"/>
      <c r="FD148" s="73"/>
      <c r="FE148" s="345"/>
      <c r="FF148" s="73"/>
      <c r="FG148" s="25"/>
      <c r="FH148" s="73"/>
      <c r="FI148" s="73"/>
      <c r="FJ148" s="345"/>
      <c r="FK148" s="73"/>
      <c r="FL148" s="25"/>
      <c r="FM148" s="73"/>
      <c r="FN148" s="73"/>
      <c r="FO148" s="345"/>
      <c r="FP148" s="73"/>
      <c r="FQ148" s="25"/>
      <c r="FR148" s="73"/>
      <c r="FS148" s="73"/>
      <c r="FT148" s="345"/>
      <c r="FU148" s="73"/>
      <c r="FV148" s="25"/>
      <c r="FW148" s="73"/>
      <c r="FX148" s="73"/>
      <c r="FY148" s="345"/>
      <c r="FZ148" s="73"/>
      <c r="GA148" s="25"/>
      <c r="GB148" s="73"/>
      <c r="GC148" s="73"/>
      <c r="GD148" s="345"/>
      <c r="GE148" s="73"/>
      <c r="GF148" s="25"/>
      <c r="GG148" s="73"/>
      <c r="GH148" s="73"/>
      <c r="GI148" s="345"/>
      <c r="GJ148" s="73"/>
      <c r="GK148" s="25"/>
      <c r="GL148" s="73"/>
      <c r="GM148" s="73"/>
      <c r="GN148" s="345"/>
      <c r="GO148" s="73"/>
      <c r="GP148" s="25"/>
      <c r="GQ148" s="73"/>
      <c r="GR148" s="73"/>
      <c r="GS148" s="345"/>
      <c r="GT148" s="73"/>
      <c r="GU148" s="25"/>
      <c r="GV148" s="73"/>
      <c r="GW148" s="73"/>
      <c r="GX148" s="345"/>
      <c r="GY148" s="73"/>
      <c r="GZ148" s="25"/>
      <c r="HA148" s="73"/>
      <c r="HB148" s="73"/>
      <c r="HC148" s="345"/>
      <c r="HD148" s="73"/>
      <c r="HE148" s="25"/>
      <c r="HF148" s="73"/>
      <c r="HG148" s="73"/>
      <c r="HH148" s="345"/>
      <c r="HI148" s="73"/>
      <c r="HJ148" s="25"/>
      <c r="HK148" s="73"/>
      <c r="HL148" s="73"/>
      <c r="HM148" s="345"/>
      <c r="HN148" s="73"/>
      <c r="HO148" s="25"/>
      <c r="HP148" s="73"/>
      <c r="HQ148" s="73"/>
      <c r="HR148" s="345"/>
      <c r="HS148" s="73"/>
      <c r="HT148" s="25"/>
      <c r="HU148" s="73"/>
      <c r="HV148" s="73"/>
      <c r="HW148" s="345"/>
      <c r="HX148" s="73"/>
      <c r="HY148" s="25"/>
      <c r="HZ148" s="73"/>
      <c r="IA148" s="73"/>
      <c r="IB148" s="345"/>
      <c r="IC148" s="73"/>
      <c r="ID148" s="25"/>
      <c r="IE148" s="73"/>
      <c r="IF148" s="73"/>
      <c r="IG148" s="345"/>
      <c r="IH148" s="73"/>
      <c r="II148" s="25"/>
      <c r="IJ148" s="73"/>
      <c r="IK148" s="73"/>
      <c r="IL148" s="345"/>
      <c r="IM148" s="73"/>
      <c r="IN148" s="25"/>
      <c r="IO148" s="73"/>
      <c r="IP148" s="73"/>
      <c r="IQ148" s="345"/>
      <c r="IR148" s="73"/>
      <c r="IS148" s="25"/>
      <c r="IT148" s="73"/>
      <c r="IU148" s="73"/>
      <c r="IV148" s="345"/>
    </row>
    <row r="149" spans="1:256" x14ac:dyDescent="0.2">
      <c r="A149" s="345">
        <v>32050</v>
      </c>
      <c r="B149" s="73"/>
      <c r="C149" s="25"/>
      <c r="D149" s="73"/>
      <c r="E149" s="73"/>
      <c r="F149" s="345"/>
      <c r="G149" s="73"/>
      <c r="H149" s="25"/>
      <c r="I149" s="73"/>
      <c r="J149" s="73"/>
      <c r="K149" s="345"/>
      <c r="L149" s="73"/>
      <c r="M149" s="25"/>
      <c r="N149" s="73"/>
      <c r="O149" s="73"/>
      <c r="P149" s="345"/>
      <c r="Q149" s="73"/>
      <c r="R149" s="25"/>
      <c r="S149" s="73"/>
      <c r="T149" s="73"/>
      <c r="U149" s="345"/>
      <c r="V149" s="73"/>
      <c r="W149" s="25"/>
      <c r="X149" s="73"/>
      <c r="Y149" s="73"/>
      <c r="Z149" s="345"/>
      <c r="AA149" s="73"/>
      <c r="AB149" s="25"/>
      <c r="AC149" s="73"/>
      <c r="AD149" s="73"/>
      <c r="AE149" s="345"/>
      <c r="AF149" s="73"/>
      <c r="AG149" s="25"/>
      <c r="AH149" s="73"/>
      <c r="AI149" s="73"/>
      <c r="AJ149" s="345"/>
      <c r="AK149" s="73"/>
      <c r="AL149" s="25"/>
      <c r="AM149" s="73"/>
      <c r="AN149" s="73"/>
      <c r="AO149" s="345"/>
      <c r="AP149" s="73"/>
      <c r="AQ149" s="25"/>
      <c r="AR149" s="73"/>
      <c r="AS149" s="73"/>
      <c r="AT149" s="345"/>
      <c r="AU149" s="73"/>
      <c r="AV149" s="25"/>
      <c r="AW149" s="73"/>
      <c r="AX149" s="73"/>
      <c r="AY149" s="345"/>
      <c r="AZ149" s="73"/>
      <c r="BA149" s="25"/>
      <c r="BB149" s="73"/>
      <c r="BC149" s="73"/>
      <c r="BD149" s="345"/>
      <c r="BE149" s="73"/>
      <c r="BF149" s="25"/>
      <c r="BG149" s="73"/>
      <c r="BH149" s="73"/>
      <c r="BI149" s="345"/>
      <c r="BJ149" s="73"/>
      <c r="BK149" s="25"/>
      <c r="BL149" s="73"/>
      <c r="BM149" s="73"/>
      <c r="BN149" s="345"/>
      <c r="BO149" s="73"/>
      <c r="BP149" s="25"/>
      <c r="BQ149" s="73"/>
      <c r="BR149" s="73"/>
      <c r="BS149" s="345"/>
      <c r="BT149" s="73"/>
      <c r="BU149" s="25"/>
      <c r="BV149" s="73"/>
      <c r="BW149" s="73"/>
      <c r="BX149" s="345"/>
      <c r="BY149" s="73"/>
      <c r="BZ149" s="25"/>
      <c r="CA149" s="73"/>
      <c r="CB149" s="73"/>
      <c r="CC149" s="345"/>
      <c r="CD149" s="73"/>
      <c r="CE149" s="25"/>
      <c r="CF149" s="73"/>
      <c r="CG149" s="73"/>
      <c r="CH149" s="345"/>
      <c r="CI149" s="73"/>
      <c r="CJ149" s="25"/>
      <c r="CK149" s="73"/>
      <c r="CL149" s="73"/>
      <c r="CM149" s="345"/>
      <c r="CN149" s="73"/>
      <c r="CO149" s="25"/>
      <c r="CP149" s="73"/>
      <c r="CQ149" s="73"/>
      <c r="CR149" s="345"/>
      <c r="CS149" s="73"/>
      <c r="CT149" s="25"/>
      <c r="CU149" s="73"/>
      <c r="CV149" s="73"/>
      <c r="CW149" s="345"/>
      <c r="CX149" s="73"/>
      <c r="CY149" s="25"/>
      <c r="CZ149" s="73"/>
      <c r="DA149" s="73"/>
      <c r="DB149" s="345"/>
      <c r="DC149" s="73"/>
      <c r="DD149" s="25"/>
      <c r="DE149" s="73"/>
      <c r="DF149" s="73"/>
      <c r="DG149" s="345"/>
      <c r="DH149" s="73"/>
      <c r="DI149" s="25"/>
      <c r="DJ149" s="73"/>
      <c r="DK149" s="73"/>
      <c r="DL149" s="345"/>
      <c r="DM149" s="73"/>
      <c r="DN149" s="25"/>
      <c r="DO149" s="73"/>
      <c r="DP149" s="73"/>
      <c r="DQ149" s="345"/>
      <c r="DR149" s="73"/>
      <c r="DS149" s="25"/>
      <c r="DT149" s="73"/>
      <c r="DU149" s="73"/>
      <c r="DV149" s="345"/>
      <c r="DW149" s="73"/>
      <c r="DX149" s="25"/>
      <c r="DY149" s="73"/>
      <c r="DZ149" s="73"/>
      <c r="EA149" s="345"/>
      <c r="EB149" s="73"/>
      <c r="EC149" s="25"/>
      <c r="ED149" s="73"/>
      <c r="EE149" s="73"/>
      <c r="EF149" s="345"/>
      <c r="EG149" s="73"/>
      <c r="EH149" s="25"/>
      <c r="EI149" s="73"/>
      <c r="EJ149" s="73"/>
      <c r="EK149" s="345"/>
      <c r="EL149" s="73"/>
      <c r="EM149" s="25"/>
      <c r="EN149" s="73"/>
      <c r="EO149" s="73"/>
      <c r="EP149" s="345"/>
      <c r="EQ149" s="73"/>
      <c r="ER149" s="25"/>
      <c r="ES149" s="73"/>
      <c r="ET149" s="73"/>
      <c r="EU149" s="345"/>
      <c r="EV149" s="73"/>
      <c r="EW149" s="25"/>
      <c r="EX149" s="73"/>
      <c r="EY149" s="73"/>
      <c r="EZ149" s="345"/>
      <c r="FA149" s="73"/>
      <c r="FB149" s="25"/>
      <c r="FC149" s="73"/>
      <c r="FD149" s="73"/>
      <c r="FE149" s="345"/>
      <c r="FF149" s="73"/>
      <c r="FG149" s="25"/>
      <c r="FH149" s="73"/>
      <c r="FI149" s="73"/>
      <c r="FJ149" s="345"/>
      <c r="FK149" s="73"/>
      <c r="FL149" s="25"/>
      <c r="FM149" s="73"/>
      <c r="FN149" s="73"/>
      <c r="FO149" s="345"/>
      <c r="FP149" s="73"/>
      <c r="FQ149" s="25"/>
      <c r="FR149" s="73"/>
      <c r="FS149" s="73"/>
      <c r="FT149" s="345"/>
      <c r="FU149" s="73"/>
      <c r="FV149" s="25"/>
      <c r="FW149" s="73"/>
      <c r="FX149" s="73"/>
      <c r="FY149" s="345"/>
      <c r="FZ149" s="73"/>
      <c r="GA149" s="25"/>
      <c r="GB149" s="73"/>
      <c r="GC149" s="73"/>
      <c r="GD149" s="345"/>
      <c r="GE149" s="73"/>
      <c r="GF149" s="25"/>
      <c r="GG149" s="73"/>
      <c r="GH149" s="73"/>
      <c r="GI149" s="345"/>
      <c r="GJ149" s="73"/>
      <c r="GK149" s="25"/>
      <c r="GL149" s="73"/>
      <c r="GM149" s="73"/>
      <c r="GN149" s="345"/>
      <c r="GO149" s="73"/>
      <c r="GP149" s="25"/>
      <c r="GQ149" s="73"/>
      <c r="GR149" s="73"/>
      <c r="GS149" s="345"/>
      <c r="GT149" s="73"/>
      <c r="GU149" s="25"/>
      <c r="GV149" s="73"/>
      <c r="GW149" s="73"/>
      <c r="GX149" s="345"/>
      <c r="GY149" s="73"/>
      <c r="GZ149" s="25"/>
      <c r="HA149" s="73"/>
      <c r="HB149" s="73"/>
      <c r="HC149" s="345"/>
      <c r="HD149" s="73"/>
      <c r="HE149" s="25"/>
      <c r="HF149" s="73"/>
      <c r="HG149" s="73"/>
      <c r="HH149" s="345"/>
      <c r="HI149" s="73"/>
      <c r="HJ149" s="25"/>
      <c r="HK149" s="73"/>
      <c r="HL149" s="73"/>
      <c r="HM149" s="345"/>
      <c r="HN149" s="73"/>
      <c r="HO149" s="25"/>
      <c r="HP149" s="73"/>
      <c r="HQ149" s="73"/>
      <c r="HR149" s="345"/>
      <c r="HS149" s="73"/>
      <c r="HT149" s="25"/>
      <c r="HU149" s="73"/>
      <c r="HV149" s="73"/>
      <c r="HW149" s="345"/>
      <c r="HX149" s="73"/>
      <c r="HY149" s="25"/>
      <c r="HZ149" s="73"/>
      <c r="IA149" s="73"/>
      <c r="IB149" s="345"/>
      <c r="IC149" s="73"/>
      <c r="ID149" s="25"/>
      <c r="IE149" s="73"/>
      <c r="IF149" s="73"/>
      <c r="IG149" s="345"/>
      <c r="IH149" s="73"/>
      <c r="II149" s="25"/>
      <c r="IJ149" s="73"/>
      <c r="IK149" s="73"/>
      <c r="IL149" s="345"/>
      <c r="IM149" s="73"/>
      <c r="IN149" s="25"/>
      <c r="IO149" s="73"/>
      <c r="IP149" s="73"/>
      <c r="IQ149" s="345"/>
      <c r="IR149" s="73"/>
      <c r="IS149" s="25"/>
      <c r="IT149" s="73"/>
      <c r="IU149" s="73"/>
      <c r="IV149" s="345"/>
    </row>
    <row r="150" spans="1:256" x14ac:dyDescent="0.2">
      <c r="A150" s="345">
        <v>32081</v>
      </c>
      <c r="B150" s="73"/>
      <c r="C150" s="25"/>
      <c r="D150" s="73"/>
      <c r="E150" s="73"/>
      <c r="F150" s="345"/>
      <c r="G150" s="73"/>
      <c r="H150" s="25"/>
      <c r="I150" s="73"/>
      <c r="J150" s="73"/>
      <c r="K150" s="345"/>
      <c r="L150" s="73"/>
      <c r="M150" s="25"/>
      <c r="N150" s="73"/>
      <c r="O150" s="73"/>
      <c r="P150" s="345"/>
      <c r="Q150" s="73"/>
      <c r="R150" s="25"/>
      <c r="S150" s="73"/>
      <c r="T150" s="73"/>
      <c r="U150" s="345"/>
      <c r="V150" s="73"/>
      <c r="W150" s="25"/>
      <c r="X150" s="73"/>
      <c r="Y150" s="73"/>
      <c r="Z150" s="345"/>
      <c r="AA150" s="73"/>
      <c r="AB150" s="25"/>
      <c r="AC150" s="73"/>
      <c r="AD150" s="73"/>
      <c r="AE150" s="345"/>
      <c r="AF150" s="73"/>
      <c r="AG150" s="25"/>
      <c r="AH150" s="73"/>
      <c r="AI150" s="73"/>
      <c r="AJ150" s="345"/>
      <c r="AK150" s="73"/>
      <c r="AL150" s="25"/>
      <c r="AM150" s="73"/>
      <c r="AN150" s="73"/>
      <c r="AO150" s="345"/>
      <c r="AP150" s="73"/>
      <c r="AQ150" s="25"/>
      <c r="AR150" s="73"/>
      <c r="AS150" s="73"/>
      <c r="AT150" s="345"/>
      <c r="AU150" s="73"/>
      <c r="AV150" s="25"/>
      <c r="AW150" s="73"/>
      <c r="AX150" s="73"/>
      <c r="AY150" s="345"/>
      <c r="AZ150" s="73"/>
      <c r="BA150" s="25"/>
      <c r="BB150" s="73"/>
      <c r="BC150" s="73"/>
      <c r="BD150" s="345"/>
      <c r="BE150" s="73"/>
      <c r="BF150" s="25"/>
      <c r="BG150" s="73"/>
      <c r="BH150" s="73"/>
      <c r="BI150" s="345"/>
      <c r="BJ150" s="73"/>
      <c r="BK150" s="25"/>
      <c r="BL150" s="73"/>
      <c r="BM150" s="73"/>
      <c r="BN150" s="345"/>
      <c r="BO150" s="73"/>
      <c r="BP150" s="25"/>
      <c r="BQ150" s="73"/>
      <c r="BR150" s="73"/>
      <c r="BS150" s="345"/>
      <c r="BT150" s="73"/>
      <c r="BU150" s="25"/>
      <c r="BV150" s="73"/>
      <c r="BW150" s="73"/>
      <c r="BX150" s="345"/>
      <c r="BY150" s="73"/>
      <c r="BZ150" s="25"/>
      <c r="CA150" s="73"/>
      <c r="CB150" s="73"/>
      <c r="CC150" s="345"/>
      <c r="CD150" s="73"/>
      <c r="CE150" s="25"/>
      <c r="CF150" s="73"/>
      <c r="CG150" s="73"/>
      <c r="CH150" s="345"/>
      <c r="CI150" s="73"/>
      <c r="CJ150" s="25"/>
      <c r="CK150" s="73"/>
      <c r="CL150" s="73"/>
      <c r="CM150" s="345"/>
      <c r="CN150" s="73"/>
      <c r="CO150" s="25"/>
      <c r="CP150" s="73"/>
      <c r="CQ150" s="73"/>
      <c r="CR150" s="345"/>
      <c r="CS150" s="73"/>
      <c r="CT150" s="25"/>
      <c r="CU150" s="73"/>
      <c r="CV150" s="73"/>
      <c r="CW150" s="345"/>
      <c r="CX150" s="73"/>
      <c r="CY150" s="25"/>
      <c r="CZ150" s="73"/>
      <c r="DA150" s="73"/>
      <c r="DB150" s="345"/>
      <c r="DC150" s="73"/>
      <c r="DD150" s="25"/>
      <c r="DE150" s="73"/>
      <c r="DF150" s="73"/>
      <c r="DG150" s="345"/>
      <c r="DH150" s="73"/>
      <c r="DI150" s="25"/>
      <c r="DJ150" s="73"/>
      <c r="DK150" s="73"/>
      <c r="DL150" s="345"/>
      <c r="DM150" s="73"/>
      <c r="DN150" s="25"/>
      <c r="DO150" s="73"/>
      <c r="DP150" s="73"/>
      <c r="DQ150" s="345"/>
      <c r="DR150" s="73"/>
      <c r="DS150" s="25"/>
      <c r="DT150" s="73"/>
      <c r="DU150" s="73"/>
      <c r="DV150" s="345"/>
      <c r="DW150" s="73"/>
      <c r="DX150" s="25"/>
      <c r="DY150" s="73"/>
      <c r="DZ150" s="73"/>
      <c r="EA150" s="345"/>
      <c r="EB150" s="73"/>
      <c r="EC150" s="25"/>
      <c r="ED150" s="73"/>
      <c r="EE150" s="73"/>
      <c r="EF150" s="345"/>
      <c r="EG150" s="73"/>
      <c r="EH150" s="25"/>
      <c r="EI150" s="73"/>
      <c r="EJ150" s="73"/>
      <c r="EK150" s="345"/>
      <c r="EL150" s="73"/>
      <c r="EM150" s="25"/>
      <c r="EN150" s="73"/>
      <c r="EO150" s="73"/>
      <c r="EP150" s="345"/>
      <c r="EQ150" s="73"/>
      <c r="ER150" s="25"/>
      <c r="ES150" s="73"/>
      <c r="ET150" s="73"/>
      <c r="EU150" s="345"/>
      <c r="EV150" s="73"/>
      <c r="EW150" s="25"/>
      <c r="EX150" s="73"/>
      <c r="EY150" s="73"/>
      <c r="EZ150" s="345"/>
      <c r="FA150" s="73"/>
      <c r="FB150" s="25"/>
      <c r="FC150" s="73"/>
      <c r="FD150" s="73"/>
      <c r="FE150" s="345"/>
      <c r="FF150" s="73"/>
      <c r="FG150" s="25"/>
      <c r="FH150" s="73"/>
      <c r="FI150" s="73"/>
      <c r="FJ150" s="345"/>
      <c r="FK150" s="73"/>
      <c r="FL150" s="25"/>
      <c r="FM150" s="73"/>
      <c r="FN150" s="73"/>
      <c r="FO150" s="345"/>
      <c r="FP150" s="73"/>
      <c r="FQ150" s="25"/>
      <c r="FR150" s="73"/>
      <c r="FS150" s="73"/>
      <c r="FT150" s="345"/>
      <c r="FU150" s="73"/>
      <c r="FV150" s="25"/>
      <c r="FW150" s="73"/>
      <c r="FX150" s="73"/>
      <c r="FY150" s="345"/>
      <c r="FZ150" s="73"/>
      <c r="GA150" s="25"/>
      <c r="GB150" s="73"/>
      <c r="GC150" s="73"/>
      <c r="GD150" s="345"/>
      <c r="GE150" s="73"/>
      <c r="GF150" s="25"/>
      <c r="GG150" s="73"/>
      <c r="GH150" s="73"/>
      <c r="GI150" s="345"/>
      <c r="GJ150" s="73"/>
      <c r="GK150" s="25"/>
      <c r="GL150" s="73"/>
      <c r="GM150" s="73"/>
      <c r="GN150" s="345"/>
      <c r="GO150" s="73"/>
      <c r="GP150" s="25"/>
      <c r="GQ150" s="73"/>
      <c r="GR150" s="73"/>
      <c r="GS150" s="345"/>
      <c r="GT150" s="73"/>
      <c r="GU150" s="25"/>
      <c r="GV150" s="73"/>
      <c r="GW150" s="73"/>
      <c r="GX150" s="345"/>
      <c r="GY150" s="73"/>
      <c r="GZ150" s="25"/>
      <c r="HA150" s="73"/>
      <c r="HB150" s="73"/>
      <c r="HC150" s="345"/>
      <c r="HD150" s="73"/>
      <c r="HE150" s="25"/>
      <c r="HF150" s="73"/>
      <c r="HG150" s="73"/>
      <c r="HH150" s="345"/>
      <c r="HI150" s="73"/>
      <c r="HJ150" s="25"/>
      <c r="HK150" s="73"/>
      <c r="HL150" s="73"/>
      <c r="HM150" s="345"/>
      <c r="HN150" s="73"/>
      <c r="HO150" s="25"/>
      <c r="HP150" s="73"/>
      <c r="HQ150" s="73"/>
      <c r="HR150" s="345"/>
      <c r="HS150" s="73"/>
      <c r="HT150" s="25"/>
      <c r="HU150" s="73"/>
      <c r="HV150" s="73"/>
      <c r="HW150" s="345"/>
      <c r="HX150" s="73"/>
      <c r="HY150" s="25"/>
      <c r="HZ150" s="73"/>
      <c r="IA150" s="73"/>
      <c r="IB150" s="345"/>
      <c r="IC150" s="73"/>
      <c r="ID150" s="25"/>
      <c r="IE150" s="73"/>
      <c r="IF150" s="73"/>
      <c r="IG150" s="345"/>
      <c r="IH150" s="73"/>
      <c r="II150" s="25"/>
      <c r="IJ150" s="73"/>
      <c r="IK150" s="73"/>
      <c r="IL150" s="345"/>
      <c r="IM150" s="73"/>
      <c r="IN150" s="25"/>
      <c r="IO150" s="73"/>
      <c r="IP150" s="73"/>
      <c r="IQ150" s="345"/>
      <c r="IR150" s="73"/>
      <c r="IS150" s="25"/>
      <c r="IT150" s="73"/>
      <c r="IU150" s="73"/>
      <c r="IV150" s="345"/>
    </row>
    <row r="151" spans="1:256" x14ac:dyDescent="0.2">
      <c r="A151" s="345">
        <v>32111</v>
      </c>
      <c r="B151" s="73"/>
      <c r="C151" s="25"/>
      <c r="D151" s="73"/>
      <c r="E151" s="73"/>
      <c r="F151" s="345"/>
      <c r="G151" s="73"/>
      <c r="H151" s="25"/>
      <c r="I151" s="73"/>
      <c r="J151" s="73"/>
      <c r="K151" s="345"/>
      <c r="L151" s="73"/>
      <c r="M151" s="25"/>
      <c r="N151" s="73"/>
      <c r="O151" s="73"/>
      <c r="P151" s="345"/>
      <c r="Q151" s="73"/>
      <c r="R151" s="25"/>
      <c r="S151" s="73"/>
      <c r="T151" s="73"/>
      <c r="U151" s="345"/>
      <c r="V151" s="73"/>
      <c r="W151" s="25"/>
      <c r="X151" s="73"/>
      <c r="Y151" s="73"/>
      <c r="Z151" s="345"/>
      <c r="AA151" s="73"/>
      <c r="AB151" s="25"/>
      <c r="AC151" s="73"/>
      <c r="AD151" s="73"/>
      <c r="AE151" s="345"/>
      <c r="AF151" s="73"/>
      <c r="AG151" s="25"/>
      <c r="AH151" s="73"/>
      <c r="AI151" s="73"/>
      <c r="AJ151" s="345"/>
      <c r="AK151" s="73"/>
      <c r="AL151" s="25"/>
      <c r="AM151" s="73"/>
      <c r="AN151" s="73"/>
      <c r="AO151" s="345"/>
      <c r="AP151" s="73"/>
      <c r="AQ151" s="25"/>
      <c r="AR151" s="73"/>
      <c r="AS151" s="73"/>
      <c r="AT151" s="345"/>
      <c r="AU151" s="73"/>
      <c r="AV151" s="25"/>
      <c r="AW151" s="73"/>
      <c r="AX151" s="73"/>
      <c r="AY151" s="345"/>
      <c r="AZ151" s="73"/>
      <c r="BA151" s="25"/>
      <c r="BB151" s="73"/>
      <c r="BC151" s="73"/>
      <c r="BD151" s="345"/>
      <c r="BE151" s="73"/>
      <c r="BF151" s="25"/>
      <c r="BG151" s="73"/>
      <c r="BH151" s="73"/>
      <c r="BI151" s="345"/>
      <c r="BJ151" s="73"/>
      <c r="BK151" s="25"/>
      <c r="BL151" s="73"/>
      <c r="BM151" s="73"/>
      <c r="BN151" s="345"/>
      <c r="BO151" s="73"/>
      <c r="BP151" s="25"/>
      <c r="BQ151" s="73"/>
      <c r="BR151" s="73"/>
      <c r="BS151" s="345"/>
      <c r="BT151" s="73"/>
      <c r="BU151" s="25"/>
      <c r="BV151" s="73"/>
      <c r="BW151" s="73"/>
      <c r="BX151" s="345"/>
      <c r="BY151" s="73"/>
      <c r="BZ151" s="25"/>
      <c r="CA151" s="73"/>
      <c r="CB151" s="73"/>
      <c r="CC151" s="345"/>
      <c r="CD151" s="73"/>
      <c r="CE151" s="25"/>
      <c r="CF151" s="73"/>
      <c r="CG151" s="73"/>
      <c r="CH151" s="345"/>
      <c r="CI151" s="73"/>
      <c r="CJ151" s="25"/>
      <c r="CK151" s="73"/>
      <c r="CL151" s="73"/>
      <c r="CM151" s="345"/>
      <c r="CN151" s="73"/>
      <c r="CO151" s="25"/>
      <c r="CP151" s="73"/>
      <c r="CQ151" s="73"/>
      <c r="CR151" s="345"/>
      <c r="CS151" s="73"/>
      <c r="CT151" s="25"/>
      <c r="CU151" s="73"/>
      <c r="CV151" s="73"/>
      <c r="CW151" s="345"/>
      <c r="CX151" s="73"/>
      <c r="CY151" s="25"/>
      <c r="CZ151" s="73"/>
      <c r="DA151" s="73"/>
      <c r="DB151" s="345"/>
      <c r="DC151" s="73"/>
      <c r="DD151" s="25"/>
      <c r="DE151" s="73"/>
      <c r="DF151" s="73"/>
      <c r="DG151" s="345"/>
      <c r="DH151" s="73"/>
      <c r="DI151" s="25"/>
      <c r="DJ151" s="73"/>
      <c r="DK151" s="73"/>
      <c r="DL151" s="345"/>
      <c r="DM151" s="73"/>
      <c r="DN151" s="25"/>
      <c r="DO151" s="73"/>
      <c r="DP151" s="73"/>
      <c r="DQ151" s="345"/>
      <c r="DR151" s="73"/>
      <c r="DS151" s="25"/>
      <c r="DT151" s="73"/>
      <c r="DU151" s="73"/>
      <c r="DV151" s="345"/>
      <c r="DW151" s="73"/>
      <c r="DX151" s="25"/>
      <c r="DY151" s="73"/>
      <c r="DZ151" s="73"/>
      <c r="EA151" s="345"/>
      <c r="EB151" s="73"/>
      <c r="EC151" s="25"/>
      <c r="ED151" s="73"/>
      <c r="EE151" s="73"/>
      <c r="EF151" s="345"/>
      <c r="EG151" s="73"/>
      <c r="EH151" s="25"/>
      <c r="EI151" s="73"/>
      <c r="EJ151" s="73"/>
      <c r="EK151" s="345"/>
      <c r="EL151" s="73"/>
      <c r="EM151" s="25"/>
      <c r="EN151" s="73"/>
      <c r="EO151" s="73"/>
      <c r="EP151" s="345"/>
      <c r="EQ151" s="73"/>
      <c r="ER151" s="25"/>
      <c r="ES151" s="73"/>
      <c r="ET151" s="73"/>
      <c r="EU151" s="345"/>
      <c r="EV151" s="73"/>
      <c r="EW151" s="25"/>
      <c r="EX151" s="73"/>
      <c r="EY151" s="73"/>
      <c r="EZ151" s="345"/>
      <c r="FA151" s="73"/>
      <c r="FB151" s="25"/>
      <c r="FC151" s="73"/>
      <c r="FD151" s="73"/>
      <c r="FE151" s="345"/>
      <c r="FF151" s="73"/>
      <c r="FG151" s="25"/>
      <c r="FH151" s="73"/>
      <c r="FI151" s="73"/>
      <c r="FJ151" s="345"/>
      <c r="FK151" s="73"/>
      <c r="FL151" s="25"/>
      <c r="FM151" s="73"/>
      <c r="FN151" s="73"/>
      <c r="FO151" s="345"/>
      <c r="FP151" s="73"/>
      <c r="FQ151" s="25"/>
      <c r="FR151" s="73"/>
      <c r="FS151" s="73"/>
      <c r="FT151" s="345"/>
      <c r="FU151" s="73"/>
      <c r="FV151" s="25"/>
      <c r="FW151" s="73"/>
      <c r="FX151" s="73"/>
      <c r="FY151" s="345"/>
      <c r="FZ151" s="73"/>
      <c r="GA151" s="25"/>
      <c r="GB151" s="73"/>
      <c r="GC151" s="73"/>
      <c r="GD151" s="345"/>
      <c r="GE151" s="73"/>
      <c r="GF151" s="25"/>
      <c r="GG151" s="73"/>
      <c r="GH151" s="73"/>
      <c r="GI151" s="345"/>
      <c r="GJ151" s="73"/>
      <c r="GK151" s="25"/>
      <c r="GL151" s="73"/>
      <c r="GM151" s="73"/>
      <c r="GN151" s="345"/>
      <c r="GO151" s="73"/>
      <c r="GP151" s="25"/>
      <c r="GQ151" s="73"/>
      <c r="GR151" s="73"/>
      <c r="GS151" s="345"/>
      <c r="GT151" s="73"/>
      <c r="GU151" s="25"/>
      <c r="GV151" s="73"/>
      <c r="GW151" s="73"/>
      <c r="GX151" s="345"/>
      <c r="GY151" s="73"/>
      <c r="GZ151" s="25"/>
      <c r="HA151" s="73"/>
      <c r="HB151" s="73"/>
      <c r="HC151" s="345"/>
      <c r="HD151" s="73"/>
      <c r="HE151" s="25"/>
      <c r="HF151" s="73"/>
      <c r="HG151" s="73"/>
      <c r="HH151" s="345"/>
      <c r="HI151" s="73"/>
      <c r="HJ151" s="25"/>
      <c r="HK151" s="73"/>
      <c r="HL151" s="73"/>
      <c r="HM151" s="345"/>
      <c r="HN151" s="73"/>
      <c r="HO151" s="25"/>
      <c r="HP151" s="73"/>
      <c r="HQ151" s="73"/>
      <c r="HR151" s="345"/>
      <c r="HS151" s="73"/>
      <c r="HT151" s="25"/>
      <c r="HU151" s="73"/>
      <c r="HV151" s="73"/>
      <c r="HW151" s="345"/>
      <c r="HX151" s="73"/>
      <c r="HY151" s="25"/>
      <c r="HZ151" s="73"/>
      <c r="IA151" s="73"/>
      <c r="IB151" s="345"/>
      <c r="IC151" s="73"/>
      <c r="ID151" s="25"/>
      <c r="IE151" s="73"/>
      <c r="IF151" s="73"/>
      <c r="IG151" s="345"/>
      <c r="IH151" s="73"/>
      <c r="II151" s="25"/>
      <c r="IJ151" s="73"/>
      <c r="IK151" s="73"/>
      <c r="IL151" s="345"/>
      <c r="IM151" s="73"/>
      <c r="IN151" s="25"/>
      <c r="IO151" s="73"/>
      <c r="IP151" s="73"/>
      <c r="IQ151" s="345"/>
      <c r="IR151" s="73"/>
      <c r="IS151" s="25"/>
      <c r="IT151" s="73"/>
      <c r="IU151" s="73"/>
      <c r="IV151" s="345"/>
    </row>
    <row r="152" spans="1:256" x14ac:dyDescent="0.2">
      <c r="A152" s="345">
        <v>32142</v>
      </c>
      <c r="B152" s="73"/>
      <c r="C152" s="25"/>
      <c r="D152" s="73"/>
      <c r="E152" s="73"/>
      <c r="F152" s="345"/>
      <c r="G152" s="73"/>
      <c r="H152" s="25"/>
      <c r="I152" s="73"/>
      <c r="J152" s="73"/>
      <c r="K152" s="345"/>
      <c r="L152" s="73"/>
      <c r="M152" s="25"/>
      <c r="N152" s="73"/>
      <c r="O152" s="73"/>
      <c r="P152" s="345"/>
      <c r="Q152" s="73"/>
      <c r="R152" s="25"/>
      <c r="S152" s="73"/>
      <c r="T152" s="73"/>
      <c r="U152" s="345"/>
      <c r="V152" s="73"/>
      <c r="W152" s="25"/>
      <c r="X152" s="73"/>
      <c r="Y152" s="73"/>
      <c r="Z152" s="345"/>
      <c r="AA152" s="73"/>
      <c r="AB152" s="25"/>
      <c r="AC152" s="73"/>
      <c r="AD152" s="73"/>
      <c r="AE152" s="345"/>
      <c r="AF152" s="73"/>
      <c r="AG152" s="25"/>
      <c r="AH152" s="73"/>
      <c r="AI152" s="73"/>
      <c r="AJ152" s="345"/>
      <c r="AK152" s="73"/>
      <c r="AL152" s="25"/>
      <c r="AM152" s="73"/>
      <c r="AN152" s="73"/>
      <c r="AO152" s="345"/>
      <c r="AP152" s="73"/>
      <c r="AQ152" s="25"/>
      <c r="AR152" s="73"/>
      <c r="AS152" s="73"/>
      <c r="AT152" s="345"/>
      <c r="AU152" s="73"/>
      <c r="AV152" s="25"/>
      <c r="AW152" s="73"/>
      <c r="AX152" s="73"/>
      <c r="AY152" s="345"/>
      <c r="AZ152" s="73"/>
      <c r="BA152" s="25"/>
      <c r="BB152" s="73"/>
      <c r="BC152" s="73"/>
      <c r="BD152" s="345"/>
      <c r="BE152" s="73"/>
      <c r="BF152" s="25"/>
      <c r="BG152" s="73"/>
      <c r="BH152" s="73"/>
      <c r="BI152" s="345"/>
      <c r="BJ152" s="73"/>
      <c r="BK152" s="25"/>
      <c r="BL152" s="73"/>
      <c r="BM152" s="73"/>
      <c r="BN152" s="345"/>
      <c r="BO152" s="73"/>
      <c r="BP152" s="25"/>
      <c r="BQ152" s="73"/>
      <c r="BR152" s="73"/>
      <c r="BS152" s="345"/>
      <c r="BT152" s="73"/>
      <c r="BU152" s="25"/>
      <c r="BV152" s="73"/>
      <c r="BW152" s="73"/>
      <c r="BX152" s="345"/>
      <c r="BY152" s="73"/>
      <c r="BZ152" s="25"/>
      <c r="CA152" s="73"/>
      <c r="CB152" s="73"/>
      <c r="CC152" s="345"/>
      <c r="CD152" s="73"/>
      <c r="CE152" s="25"/>
      <c r="CF152" s="73"/>
      <c r="CG152" s="73"/>
      <c r="CH152" s="345"/>
      <c r="CI152" s="73"/>
      <c r="CJ152" s="25"/>
      <c r="CK152" s="73"/>
      <c r="CL152" s="73"/>
      <c r="CM152" s="345"/>
      <c r="CN152" s="73"/>
      <c r="CO152" s="25"/>
      <c r="CP152" s="73"/>
      <c r="CQ152" s="73"/>
      <c r="CR152" s="345"/>
      <c r="CS152" s="73"/>
      <c r="CT152" s="25"/>
      <c r="CU152" s="73"/>
      <c r="CV152" s="73"/>
      <c r="CW152" s="345"/>
      <c r="CX152" s="73"/>
      <c r="CY152" s="25"/>
      <c r="CZ152" s="73"/>
      <c r="DA152" s="73"/>
      <c r="DB152" s="345"/>
      <c r="DC152" s="73"/>
      <c r="DD152" s="25"/>
      <c r="DE152" s="73"/>
      <c r="DF152" s="73"/>
      <c r="DG152" s="345"/>
      <c r="DH152" s="73"/>
      <c r="DI152" s="25"/>
      <c r="DJ152" s="73"/>
      <c r="DK152" s="73"/>
      <c r="DL152" s="345"/>
      <c r="DM152" s="73"/>
      <c r="DN152" s="25"/>
      <c r="DO152" s="73"/>
      <c r="DP152" s="73"/>
      <c r="DQ152" s="345"/>
      <c r="DR152" s="73"/>
      <c r="DS152" s="25"/>
      <c r="DT152" s="73"/>
      <c r="DU152" s="73"/>
      <c r="DV152" s="345"/>
      <c r="DW152" s="73"/>
      <c r="DX152" s="25"/>
      <c r="DY152" s="73"/>
      <c r="DZ152" s="73"/>
      <c r="EA152" s="345"/>
      <c r="EB152" s="73"/>
      <c r="EC152" s="25"/>
      <c r="ED152" s="73"/>
      <c r="EE152" s="73"/>
      <c r="EF152" s="345"/>
      <c r="EG152" s="73"/>
      <c r="EH152" s="25"/>
      <c r="EI152" s="73"/>
      <c r="EJ152" s="73"/>
      <c r="EK152" s="345"/>
      <c r="EL152" s="73"/>
      <c r="EM152" s="25"/>
      <c r="EN152" s="73"/>
      <c r="EO152" s="73"/>
      <c r="EP152" s="345"/>
      <c r="EQ152" s="73"/>
      <c r="ER152" s="25"/>
      <c r="ES152" s="73"/>
      <c r="ET152" s="73"/>
      <c r="EU152" s="345"/>
      <c r="EV152" s="73"/>
      <c r="EW152" s="25"/>
      <c r="EX152" s="73"/>
      <c r="EY152" s="73"/>
      <c r="EZ152" s="345"/>
      <c r="FA152" s="73"/>
      <c r="FB152" s="25"/>
      <c r="FC152" s="73"/>
      <c r="FD152" s="73"/>
      <c r="FE152" s="345"/>
      <c r="FF152" s="73"/>
      <c r="FG152" s="25"/>
      <c r="FH152" s="73"/>
      <c r="FI152" s="73"/>
      <c r="FJ152" s="345"/>
      <c r="FK152" s="73"/>
      <c r="FL152" s="25"/>
      <c r="FM152" s="73"/>
      <c r="FN152" s="73"/>
      <c r="FO152" s="345"/>
      <c r="FP152" s="73"/>
      <c r="FQ152" s="25"/>
      <c r="FR152" s="73"/>
      <c r="FS152" s="73"/>
      <c r="FT152" s="345"/>
      <c r="FU152" s="73"/>
      <c r="FV152" s="25"/>
      <c r="FW152" s="73"/>
      <c r="FX152" s="73"/>
      <c r="FY152" s="345"/>
      <c r="FZ152" s="73"/>
      <c r="GA152" s="25"/>
      <c r="GB152" s="73"/>
      <c r="GC152" s="73"/>
      <c r="GD152" s="345"/>
      <c r="GE152" s="73"/>
      <c r="GF152" s="25"/>
      <c r="GG152" s="73"/>
      <c r="GH152" s="73"/>
      <c r="GI152" s="345"/>
      <c r="GJ152" s="73"/>
      <c r="GK152" s="25"/>
      <c r="GL152" s="73"/>
      <c r="GM152" s="73"/>
      <c r="GN152" s="345"/>
      <c r="GO152" s="73"/>
      <c r="GP152" s="25"/>
      <c r="GQ152" s="73"/>
      <c r="GR152" s="73"/>
      <c r="GS152" s="345"/>
      <c r="GT152" s="73"/>
      <c r="GU152" s="25"/>
      <c r="GV152" s="73"/>
      <c r="GW152" s="73"/>
      <c r="GX152" s="345"/>
      <c r="GY152" s="73"/>
      <c r="GZ152" s="25"/>
      <c r="HA152" s="73"/>
      <c r="HB152" s="73"/>
      <c r="HC152" s="345"/>
      <c r="HD152" s="73"/>
      <c r="HE152" s="25"/>
      <c r="HF152" s="73"/>
      <c r="HG152" s="73"/>
      <c r="HH152" s="345"/>
      <c r="HI152" s="73"/>
      <c r="HJ152" s="25"/>
      <c r="HK152" s="73"/>
      <c r="HL152" s="73"/>
      <c r="HM152" s="345"/>
      <c r="HN152" s="73"/>
      <c r="HO152" s="25"/>
      <c r="HP152" s="73"/>
      <c r="HQ152" s="73"/>
      <c r="HR152" s="345"/>
      <c r="HS152" s="73"/>
      <c r="HT152" s="25"/>
      <c r="HU152" s="73"/>
      <c r="HV152" s="73"/>
      <c r="HW152" s="345"/>
      <c r="HX152" s="73"/>
      <c r="HY152" s="25"/>
      <c r="HZ152" s="73"/>
      <c r="IA152" s="73"/>
      <c r="IB152" s="345"/>
      <c r="IC152" s="73"/>
      <c r="ID152" s="25"/>
      <c r="IE152" s="73"/>
      <c r="IF152" s="73"/>
      <c r="IG152" s="345"/>
      <c r="IH152" s="73"/>
      <c r="II152" s="25"/>
      <c r="IJ152" s="73"/>
      <c r="IK152" s="73"/>
      <c r="IL152" s="345"/>
      <c r="IM152" s="73"/>
      <c r="IN152" s="25"/>
      <c r="IO152" s="73"/>
      <c r="IP152" s="73"/>
      <c r="IQ152" s="345"/>
      <c r="IR152" s="73"/>
      <c r="IS152" s="25"/>
      <c r="IT152" s="73"/>
      <c r="IU152" s="73"/>
      <c r="IV152" s="345"/>
    </row>
    <row r="153" spans="1:256" x14ac:dyDescent="0.2">
      <c r="A153" s="345">
        <v>32173</v>
      </c>
      <c r="B153" s="73"/>
      <c r="C153" s="25"/>
      <c r="D153" s="73"/>
      <c r="E153" s="73"/>
      <c r="F153" s="345"/>
      <c r="G153" s="73"/>
      <c r="H153" s="25"/>
      <c r="I153" s="73"/>
      <c r="J153" s="73"/>
      <c r="K153" s="345"/>
      <c r="L153" s="73"/>
      <c r="M153" s="25"/>
      <c r="N153" s="73"/>
      <c r="O153" s="73"/>
      <c r="P153" s="345"/>
      <c r="Q153" s="73"/>
      <c r="R153" s="25"/>
      <c r="S153" s="73"/>
      <c r="T153" s="73"/>
      <c r="U153" s="345"/>
      <c r="V153" s="73"/>
      <c r="W153" s="25"/>
      <c r="X153" s="73"/>
      <c r="Y153" s="73"/>
      <c r="Z153" s="345"/>
      <c r="AA153" s="73"/>
      <c r="AB153" s="25"/>
      <c r="AC153" s="73"/>
      <c r="AD153" s="73"/>
      <c r="AE153" s="345"/>
      <c r="AF153" s="73"/>
      <c r="AG153" s="25"/>
      <c r="AH153" s="73"/>
      <c r="AI153" s="73"/>
      <c r="AJ153" s="345"/>
      <c r="AK153" s="73"/>
      <c r="AL153" s="25"/>
      <c r="AM153" s="73"/>
      <c r="AN153" s="73"/>
      <c r="AO153" s="345"/>
      <c r="AP153" s="73"/>
      <c r="AQ153" s="25"/>
      <c r="AR153" s="73"/>
      <c r="AS153" s="73"/>
      <c r="AT153" s="345"/>
      <c r="AU153" s="73"/>
      <c r="AV153" s="25"/>
      <c r="AW153" s="73"/>
      <c r="AX153" s="73"/>
      <c r="AY153" s="345"/>
      <c r="AZ153" s="73"/>
      <c r="BA153" s="25"/>
      <c r="BB153" s="73"/>
      <c r="BC153" s="73"/>
      <c r="BD153" s="345"/>
      <c r="BE153" s="73"/>
      <c r="BF153" s="25"/>
      <c r="BG153" s="73"/>
      <c r="BH153" s="73"/>
      <c r="BI153" s="345"/>
      <c r="BJ153" s="73"/>
      <c r="BK153" s="25"/>
      <c r="BL153" s="73"/>
      <c r="BM153" s="73"/>
      <c r="BN153" s="345"/>
      <c r="BO153" s="73"/>
      <c r="BP153" s="25"/>
      <c r="BQ153" s="73"/>
      <c r="BR153" s="73"/>
      <c r="BS153" s="345"/>
      <c r="BT153" s="73"/>
      <c r="BU153" s="25"/>
      <c r="BV153" s="73"/>
      <c r="BW153" s="73"/>
      <c r="BX153" s="345"/>
      <c r="BY153" s="73"/>
      <c r="BZ153" s="25"/>
      <c r="CA153" s="73"/>
      <c r="CB153" s="73"/>
      <c r="CC153" s="345"/>
      <c r="CD153" s="73"/>
      <c r="CE153" s="25"/>
      <c r="CF153" s="73"/>
      <c r="CG153" s="73"/>
      <c r="CH153" s="345"/>
      <c r="CI153" s="73"/>
      <c r="CJ153" s="25"/>
      <c r="CK153" s="73"/>
      <c r="CL153" s="73"/>
      <c r="CM153" s="345"/>
      <c r="CN153" s="73"/>
      <c r="CO153" s="25"/>
      <c r="CP153" s="73"/>
      <c r="CQ153" s="73"/>
      <c r="CR153" s="345"/>
      <c r="CS153" s="73"/>
      <c r="CT153" s="25"/>
      <c r="CU153" s="73"/>
      <c r="CV153" s="73"/>
      <c r="CW153" s="345"/>
      <c r="CX153" s="73"/>
      <c r="CY153" s="25"/>
      <c r="CZ153" s="73"/>
      <c r="DA153" s="73"/>
      <c r="DB153" s="345"/>
      <c r="DC153" s="73"/>
      <c r="DD153" s="25"/>
      <c r="DE153" s="73"/>
      <c r="DF153" s="73"/>
      <c r="DG153" s="345"/>
      <c r="DH153" s="73"/>
      <c r="DI153" s="25"/>
      <c r="DJ153" s="73"/>
      <c r="DK153" s="73"/>
      <c r="DL153" s="345"/>
      <c r="DM153" s="73"/>
      <c r="DN153" s="25"/>
      <c r="DO153" s="73"/>
      <c r="DP153" s="73"/>
      <c r="DQ153" s="345"/>
      <c r="DR153" s="73"/>
      <c r="DS153" s="25"/>
      <c r="DT153" s="73"/>
      <c r="DU153" s="73"/>
      <c r="DV153" s="345"/>
      <c r="DW153" s="73"/>
      <c r="DX153" s="25"/>
      <c r="DY153" s="73"/>
      <c r="DZ153" s="73"/>
      <c r="EA153" s="345"/>
      <c r="EB153" s="73"/>
      <c r="EC153" s="25"/>
      <c r="ED153" s="73"/>
      <c r="EE153" s="73"/>
      <c r="EF153" s="345"/>
      <c r="EG153" s="73"/>
      <c r="EH153" s="25"/>
      <c r="EI153" s="73"/>
      <c r="EJ153" s="73"/>
      <c r="EK153" s="345"/>
      <c r="EL153" s="73"/>
      <c r="EM153" s="25"/>
      <c r="EN153" s="73"/>
      <c r="EO153" s="73"/>
      <c r="EP153" s="345"/>
      <c r="EQ153" s="73"/>
      <c r="ER153" s="25"/>
      <c r="ES153" s="73"/>
      <c r="ET153" s="73"/>
      <c r="EU153" s="345"/>
      <c r="EV153" s="73"/>
      <c r="EW153" s="25"/>
      <c r="EX153" s="73"/>
      <c r="EY153" s="73"/>
      <c r="EZ153" s="345"/>
      <c r="FA153" s="73"/>
      <c r="FB153" s="25"/>
      <c r="FC153" s="73"/>
      <c r="FD153" s="73"/>
      <c r="FE153" s="345"/>
      <c r="FF153" s="73"/>
      <c r="FG153" s="25"/>
      <c r="FH153" s="73"/>
      <c r="FI153" s="73"/>
      <c r="FJ153" s="345"/>
      <c r="FK153" s="73"/>
      <c r="FL153" s="25"/>
      <c r="FM153" s="73"/>
      <c r="FN153" s="73"/>
      <c r="FO153" s="345"/>
      <c r="FP153" s="73"/>
      <c r="FQ153" s="25"/>
      <c r="FR153" s="73"/>
      <c r="FS153" s="73"/>
      <c r="FT153" s="345"/>
      <c r="FU153" s="73"/>
      <c r="FV153" s="25"/>
      <c r="FW153" s="73"/>
      <c r="FX153" s="73"/>
      <c r="FY153" s="345"/>
      <c r="FZ153" s="73"/>
      <c r="GA153" s="25"/>
      <c r="GB153" s="73"/>
      <c r="GC153" s="73"/>
      <c r="GD153" s="345"/>
      <c r="GE153" s="73"/>
      <c r="GF153" s="25"/>
      <c r="GG153" s="73"/>
      <c r="GH153" s="73"/>
      <c r="GI153" s="345"/>
      <c r="GJ153" s="73"/>
      <c r="GK153" s="25"/>
      <c r="GL153" s="73"/>
      <c r="GM153" s="73"/>
      <c r="GN153" s="345"/>
      <c r="GO153" s="73"/>
      <c r="GP153" s="25"/>
      <c r="GQ153" s="73"/>
      <c r="GR153" s="73"/>
      <c r="GS153" s="345"/>
      <c r="GT153" s="73"/>
      <c r="GU153" s="25"/>
      <c r="GV153" s="73"/>
      <c r="GW153" s="73"/>
      <c r="GX153" s="345"/>
      <c r="GY153" s="73"/>
      <c r="GZ153" s="25"/>
      <c r="HA153" s="73"/>
      <c r="HB153" s="73"/>
      <c r="HC153" s="345"/>
      <c r="HD153" s="73"/>
      <c r="HE153" s="25"/>
      <c r="HF153" s="73"/>
      <c r="HG153" s="73"/>
      <c r="HH153" s="345"/>
      <c r="HI153" s="73"/>
      <c r="HJ153" s="25"/>
      <c r="HK153" s="73"/>
      <c r="HL153" s="73"/>
      <c r="HM153" s="345"/>
      <c r="HN153" s="73"/>
      <c r="HO153" s="25"/>
      <c r="HP153" s="73"/>
      <c r="HQ153" s="73"/>
      <c r="HR153" s="345"/>
      <c r="HS153" s="73"/>
      <c r="HT153" s="25"/>
      <c r="HU153" s="73"/>
      <c r="HV153" s="73"/>
      <c r="HW153" s="345"/>
      <c r="HX153" s="73"/>
      <c r="HY153" s="25"/>
      <c r="HZ153" s="73"/>
      <c r="IA153" s="73"/>
      <c r="IB153" s="345"/>
      <c r="IC153" s="73"/>
      <c r="ID153" s="25"/>
      <c r="IE153" s="73"/>
      <c r="IF153" s="73"/>
      <c r="IG153" s="345"/>
      <c r="IH153" s="73"/>
      <c r="II153" s="25"/>
      <c r="IJ153" s="73"/>
      <c r="IK153" s="73"/>
      <c r="IL153" s="345"/>
      <c r="IM153" s="73"/>
      <c r="IN153" s="25"/>
      <c r="IO153" s="73"/>
      <c r="IP153" s="73"/>
      <c r="IQ153" s="345"/>
      <c r="IR153" s="73"/>
      <c r="IS153" s="25"/>
      <c r="IT153" s="73"/>
      <c r="IU153" s="73"/>
      <c r="IV153" s="345"/>
    </row>
    <row r="154" spans="1:256" x14ac:dyDescent="0.2">
      <c r="A154" s="345">
        <v>32202</v>
      </c>
      <c r="B154" s="73"/>
      <c r="C154" s="25"/>
      <c r="D154" s="73"/>
      <c r="E154" s="73"/>
      <c r="F154" s="345"/>
      <c r="G154" s="73"/>
      <c r="H154" s="25"/>
      <c r="I154" s="73"/>
      <c r="J154" s="73"/>
      <c r="K154" s="345"/>
      <c r="L154" s="73"/>
      <c r="M154" s="25"/>
      <c r="N154" s="73"/>
      <c r="O154" s="73"/>
      <c r="P154" s="345"/>
      <c r="Q154" s="73"/>
      <c r="R154" s="25"/>
      <c r="S154" s="73"/>
      <c r="T154" s="73"/>
      <c r="U154" s="345"/>
      <c r="V154" s="73"/>
      <c r="W154" s="25"/>
      <c r="X154" s="73"/>
      <c r="Y154" s="73"/>
      <c r="Z154" s="345"/>
      <c r="AA154" s="73"/>
      <c r="AB154" s="25"/>
      <c r="AC154" s="73"/>
      <c r="AD154" s="73"/>
      <c r="AE154" s="345"/>
      <c r="AF154" s="73"/>
      <c r="AG154" s="25"/>
      <c r="AH154" s="73"/>
      <c r="AI154" s="73"/>
      <c r="AJ154" s="345"/>
      <c r="AK154" s="73"/>
      <c r="AL154" s="25"/>
      <c r="AM154" s="73"/>
      <c r="AN154" s="73"/>
      <c r="AO154" s="345"/>
      <c r="AP154" s="73"/>
      <c r="AQ154" s="25"/>
      <c r="AR154" s="73"/>
      <c r="AS154" s="73"/>
      <c r="AT154" s="345"/>
      <c r="AU154" s="73"/>
      <c r="AV154" s="25"/>
      <c r="AW154" s="73"/>
      <c r="AX154" s="73"/>
      <c r="AY154" s="345"/>
      <c r="AZ154" s="73"/>
      <c r="BA154" s="25"/>
      <c r="BB154" s="73"/>
      <c r="BC154" s="73"/>
      <c r="BD154" s="345"/>
      <c r="BE154" s="73"/>
      <c r="BF154" s="25"/>
      <c r="BG154" s="73"/>
      <c r="BH154" s="73"/>
      <c r="BI154" s="345"/>
      <c r="BJ154" s="73"/>
      <c r="BK154" s="25"/>
      <c r="BL154" s="73"/>
      <c r="BM154" s="73"/>
      <c r="BN154" s="345"/>
      <c r="BO154" s="73"/>
      <c r="BP154" s="25"/>
      <c r="BQ154" s="73"/>
      <c r="BR154" s="73"/>
      <c r="BS154" s="345"/>
      <c r="BT154" s="73"/>
      <c r="BU154" s="25"/>
      <c r="BV154" s="73"/>
      <c r="BW154" s="73"/>
      <c r="BX154" s="345"/>
      <c r="BY154" s="73"/>
      <c r="BZ154" s="25"/>
      <c r="CA154" s="73"/>
      <c r="CB154" s="73"/>
      <c r="CC154" s="345"/>
      <c r="CD154" s="73"/>
      <c r="CE154" s="25"/>
      <c r="CF154" s="73"/>
      <c r="CG154" s="73"/>
      <c r="CH154" s="345"/>
      <c r="CI154" s="73"/>
      <c r="CJ154" s="25"/>
      <c r="CK154" s="73"/>
      <c r="CL154" s="73"/>
      <c r="CM154" s="345"/>
      <c r="CN154" s="73"/>
      <c r="CO154" s="25"/>
      <c r="CP154" s="73"/>
      <c r="CQ154" s="73"/>
      <c r="CR154" s="345"/>
      <c r="CS154" s="73"/>
      <c r="CT154" s="25"/>
      <c r="CU154" s="73"/>
      <c r="CV154" s="73"/>
      <c r="CW154" s="345"/>
      <c r="CX154" s="73"/>
      <c r="CY154" s="25"/>
      <c r="CZ154" s="73"/>
      <c r="DA154" s="73"/>
      <c r="DB154" s="345"/>
      <c r="DC154" s="73"/>
      <c r="DD154" s="25"/>
      <c r="DE154" s="73"/>
      <c r="DF154" s="73"/>
      <c r="DG154" s="345"/>
      <c r="DH154" s="73"/>
      <c r="DI154" s="25"/>
      <c r="DJ154" s="73"/>
      <c r="DK154" s="73"/>
      <c r="DL154" s="345"/>
      <c r="DM154" s="73"/>
      <c r="DN154" s="25"/>
      <c r="DO154" s="73"/>
      <c r="DP154" s="73"/>
      <c r="DQ154" s="345"/>
      <c r="DR154" s="73"/>
      <c r="DS154" s="25"/>
      <c r="DT154" s="73"/>
      <c r="DU154" s="73"/>
      <c r="DV154" s="345"/>
      <c r="DW154" s="73"/>
      <c r="DX154" s="25"/>
      <c r="DY154" s="73"/>
      <c r="DZ154" s="73"/>
      <c r="EA154" s="345"/>
      <c r="EB154" s="73"/>
      <c r="EC154" s="25"/>
      <c r="ED154" s="73"/>
      <c r="EE154" s="73"/>
      <c r="EF154" s="345"/>
      <c r="EG154" s="73"/>
      <c r="EH154" s="25"/>
      <c r="EI154" s="73"/>
      <c r="EJ154" s="73"/>
      <c r="EK154" s="345"/>
      <c r="EL154" s="73"/>
      <c r="EM154" s="25"/>
      <c r="EN154" s="73"/>
      <c r="EO154" s="73"/>
      <c r="EP154" s="345"/>
      <c r="EQ154" s="73"/>
      <c r="ER154" s="25"/>
      <c r="ES154" s="73"/>
      <c r="ET154" s="73"/>
      <c r="EU154" s="345"/>
      <c r="EV154" s="73"/>
      <c r="EW154" s="25"/>
      <c r="EX154" s="73"/>
      <c r="EY154" s="73"/>
      <c r="EZ154" s="345"/>
      <c r="FA154" s="73"/>
      <c r="FB154" s="25"/>
      <c r="FC154" s="73"/>
      <c r="FD154" s="73"/>
      <c r="FE154" s="345"/>
      <c r="FF154" s="73"/>
      <c r="FG154" s="25"/>
      <c r="FH154" s="73"/>
      <c r="FI154" s="73"/>
      <c r="FJ154" s="345"/>
      <c r="FK154" s="73"/>
      <c r="FL154" s="25"/>
      <c r="FM154" s="73"/>
      <c r="FN154" s="73"/>
      <c r="FO154" s="345"/>
      <c r="FP154" s="73"/>
      <c r="FQ154" s="25"/>
      <c r="FR154" s="73"/>
      <c r="FS154" s="73"/>
      <c r="FT154" s="345"/>
      <c r="FU154" s="73"/>
      <c r="FV154" s="25"/>
      <c r="FW154" s="73"/>
      <c r="FX154" s="73"/>
      <c r="FY154" s="345"/>
      <c r="FZ154" s="73"/>
      <c r="GA154" s="25"/>
      <c r="GB154" s="73"/>
      <c r="GC154" s="73"/>
      <c r="GD154" s="345"/>
      <c r="GE154" s="73"/>
      <c r="GF154" s="25"/>
      <c r="GG154" s="73"/>
      <c r="GH154" s="73"/>
      <c r="GI154" s="345"/>
      <c r="GJ154" s="73"/>
      <c r="GK154" s="25"/>
      <c r="GL154" s="73"/>
      <c r="GM154" s="73"/>
      <c r="GN154" s="345"/>
      <c r="GO154" s="73"/>
      <c r="GP154" s="25"/>
      <c r="GQ154" s="73"/>
      <c r="GR154" s="73"/>
      <c r="GS154" s="345"/>
      <c r="GT154" s="73"/>
      <c r="GU154" s="25"/>
      <c r="GV154" s="73"/>
      <c r="GW154" s="73"/>
      <c r="GX154" s="345"/>
      <c r="GY154" s="73"/>
      <c r="GZ154" s="25"/>
      <c r="HA154" s="73"/>
      <c r="HB154" s="73"/>
      <c r="HC154" s="345"/>
      <c r="HD154" s="73"/>
      <c r="HE154" s="25"/>
      <c r="HF154" s="73"/>
      <c r="HG154" s="73"/>
      <c r="HH154" s="345"/>
      <c r="HI154" s="73"/>
      <c r="HJ154" s="25"/>
      <c r="HK154" s="73"/>
      <c r="HL154" s="73"/>
      <c r="HM154" s="345"/>
      <c r="HN154" s="73"/>
      <c r="HO154" s="25"/>
      <c r="HP154" s="73"/>
      <c r="HQ154" s="73"/>
      <c r="HR154" s="345"/>
      <c r="HS154" s="73"/>
      <c r="HT154" s="25"/>
      <c r="HU154" s="73"/>
      <c r="HV154" s="73"/>
      <c r="HW154" s="345"/>
      <c r="HX154" s="73"/>
      <c r="HY154" s="25"/>
      <c r="HZ154" s="73"/>
      <c r="IA154" s="73"/>
      <c r="IB154" s="345"/>
      <c r="IC154" s="73"/>
      <c r="ID154" s="25"/>
      <c r="IE154" s="73"/>
      <c r="IF154" s="73"/>
      <c r="IG154" s="345"/>
      <c r="IH154" s="73"/>
      <c r="II154" s="25"/>
      <c r="IJ154" s="73"/>
      <c r="IK154" s="73"/>
      <c r="IL154" s="345"/>
      <c r="IM154" s="73"/>
      <c r="IN154" s="25"/>
      <c r="IO154" s="73"/>
      <c r="IP154" s="73"/>
      <c r="IQ154" s="345"/>
      <c r="IR154" s="73"/>
      <c r="IS154" s="25"/>
      <c r="IT154" s="73"/>
      <c r="IU154" s="73"/>
      <c r="IV154" s="345"/>
    </row>
    <row r="155" spans="1:256" x14ac:dyDescent="0.2">
      <c r="A155" s="345">
        <v>32233</v>
      </c>
      <c r="B155" s="73"/>
      <c r="C155" s="25"/>
      <c r="D155" s="73"/>
      <c r="E155" s="73"/>
      <c r="F155" s="345"/>
      <c r="G155" s="73"/>
      <c r="H155" s="25"/>
      <c r="I155" s="73"/>
      <c r="J155" s="73"/>
      <c r="K155" s="345"/>
      <c r="L155" s="73"/>
      <c r="M155" s="25"/>
      <c r="N155" s="73"/>
      <c r="O155" s="73"/>
      <c r="P155" s="345"/>
      <c r="Q155" s="73"/>
      <c r="R155" s="25"/>
      <c r="S155" s="73"/>
      <c r="T155" s="73"/>
      <c r="U155" s="345"/>
      <c r="V155" s="73"/>
      <c r="W155" s="25"/>
      <c r="X155" s="73"/>
      <c r="Y155" s="73"/>
      <c r="Z155" s="345"/>
      <c r="AA155" s="73"/>
      <c r="AB155" s="25"/>
      <c r="AC155" s="73"/>
      <c r="AD155" s="73"/>
      <c r="AE155" s="345"/>
      <c r="AF155" s="73"/>
      <c r="AG155" s="25"/>
      <c r="AH155" s="73"/>
      <c r="AI155" s="73"/>
      <c r="AJ155" s="345"/>
      <c r="AK155" s="73"/>
      <c r="AL155" s="25"/>
      <c r="AM155" s="73"/>
      <c r="AN155" s="73"/>
      <c r="AO155" s="345"/>
      <c r="AP155" s="73"/>
      <c r="AQ155" s="25"/>
      <c r="AR155" s="73"/>
      <c r="AS155" s="73"/>
      <c r="AT155" s="345"/>
      <c r="AU155" s="73"/>
      <c r="AV155" s="25"/>
      <c r="AW155" s="73"/>
      <c r="AX155" s="73"/>
      <c r="AY155" s="345"/>
      <c r="AZ155" s="73"/>
      <c r="BA155" s="25"/>
      <c r="BB155" s="73"/>
      <c r="BC155" s="73"/>
      <c r="BD155" s="345"/>
      <c r="BE155" s="73"/>
      <c r="BF155" s="25"/>
      <c r="BG155" s="73"/>
      <c r="BH155" s="73"/>
      <c r="BI155" s="345"/>
      <c r="BJ155" s="73"/>
      <c r="BK155" s="25"/>
      <c r="BL155" s="73"/>
      <c r="BM155" s="73"/>
      <c r="BN155" s="345"/>
      <c r="BO155" s="73"/>
      <c r="BP155" s="25"/>
      <c r="BQ155" s="73"/>
      <c r="BR155" s="73"/>
      <c r="BS155" s="345"/>
      <c r="BT155" s="73"/>
      <c r="BU155" s="25"/>
      <c r="BV155" s="73"/>
      <c r="BW155" s="73"/>
      <c r="BX155" s="345"/>
      <c r="BY155" s="73"/>
      <c r="BZ155" s="25"/>
      <c r="CA155" s="73"/>
      <c r="CB155" s="73"/>
      <c r="CC155" s="345"/>
      <c r="CD155" s="73"/>
      <c r="CE155" s="25"/>
      <c r="CF155" s="73"/>
      <c r="CG155" s="73"/>
      <c r="CH155" s="345"/>
      <c r="CI155" s="73"/>
      <c r="CJ155" s="25"/>
      <c r="CK155" s="73"/>
      <c r="CL155" s="73"/>
      <c r="CM155" s="345"/>
      <c r="CN155" s="73"/>
      <c r="CO155" s="25"/>
      <c r="CP155" s="73"/>
      <c r="CQ155" s="73"/>
      <c r="CR155" s="345"/>
      <c r="CS155" s="73"/>
      <c r="CT155" s="25"/>
      <c r="CU155" s="73"/>
      <c r="CV155" s="73"/>
      <c r="CW155" s="345"/>
      <c r="CX155" s="73"/>
      <c r="CY155" s="25"/>
      <c r="CZ155" s="73"/>
      <c r="DA155" s="73"/>
      <c r="DB155" s="345"/>
      <c r="DC155" s="73"/>
      <c r="DD155" s="25"/>
      <c r="DE155" s="73"/>
      <c r="DF155" s="73"/>
      <c r="DG155" s="345"/>
      <c r="DH155" s="73"/>
      <c r="DI155" s="25"/>
      <c r="DJ155" s="73"/>
      <c r="DK155" s="73"/>
      <c r="DL155" s="345"/>
      <c r="DM155" s="73"/>
      <c r="DN155" s="25"/>
      <c r="DO155" s="73"/>
      <c r="DP155" s="73"/>
      <c r="DQ155" s="345"/>
      <c r="DR155" s="73"/>
      <c r="DS155" s="25"/>
      <c r="DT155" s="73"/>
      <c r="DU155" s="73"/>
      <c r="DV155" s="345"/>
      <c r="DW155" s="73"/>
      <c r="DX155" s="25"/>
      <c r="DY155" s="73"/>
      <c r="DZ155" s="73"/>
      <c r="EA155" s="345"/>
      <c r="EB155" s="73"/>
      <c r="EC155" s="25"/>
      <c r="ED155" s="73"/>
      <c r="EE155" s="73"/>
      <c r="EF155" s="345"/>
      <c r="EG155" s="73"/>
      <c r="EH155" s="25"/>
      <c r="EI155" s="73"/>
      <c r="EJ155" s="73"/>
      <c r="EK155" s="345"/>
      <c r="EL155" s="73"/>
      <c r="EM155" s="25"/>
      <c r="EN155" s="73"/>
      <c r="EO155" s="73"/>
      <c r="EP155" s="345"/>
      <c r="EQ155" s="73"/>
      <c r="ER155" s="25"/>
      <c r="ES155" s="73"/>
      <c r="ET155" s="73"/>
      <c r="EU155" s="345"/>
      <c r="EV155" s="73"/>
      <c r="EW155" s="25"/>
      <c r="EX155" s="73"/>
      <c r="EY155" s="73"/>
      <c r="EZ155" s="345"/>
      <c r="FA155" s="73"/>
      <c r="FB155" s="25"/>
      <c r="FC155" s="73"/>
      <c r="FD155" s="73"/>
      <c r="FE155" s="345"/>
      <c r="FF155" s="73"/>
      <c r="FG155" s="25"/>
      <c r="FH155" s="73"/>
      <c r="FI155" s="73"/>
      <c r="FJ155" s="345"/>
      <c r="FK155" s="73"/>
      <c r="FL155" s="25"/>
      <c r="FM155" s="73"/>
      <c r="FN155" s="73"/>
      <c r="FO155" s="345"/>
      <c r="FP155" s="73"/>
      <c r="FQ155" s="25"/>
      <c r="FR155" s="73"/>
      <c r="FS155" s="73"/>
      <c r="FT155" s="345"/>
      <c r="FU155" s="73"/>
      <c r="FV155" s="25"/>
      <c r="FW155" s="73"/>
      <c r="FX155" s="73"/>
      <c r="FY155" s="345"/>
      <c r="FZ155" s="73"/>
      <c r="GA155" s="25"/>
      <c r="GB155" s="73"/>
      <c r="GC155" s="73"/>
      <c r="GD155" s="345"/>
      <c r="GE155" s="73"/>
      <c r="GF155" s="25"/>
      <c r="GG155" s="73"/>
      <c r="GH155" s="73"/>
      <c r="GI155" s="345"/>
      <c r="GJ155" s="73"/>
      <c r="GK155" s="25"/>
      <c r="GL155" s="73"/>
      <c r="GM155" s="73"/>
      <c r="GN155" s="345"/>
      <c r="GO155" s="73"/>
      <c r="GP155" s="25"/>
      <c r="GQ155" s="73"/>
      <c r="GR155" s="73"/>
      <c r="GS155" s="345"/>
      <c r="GT155" s="73"/>
      <c r="GU155" s="25"/>
      <c r="GV155" s="73"/>
      <c r="GW155" s="73"/>
      <c r="GX155" s="345"/>
      <c r="GY155" s="73"/>
      <c r="GZ155" s="25"/>
      <c r="HA155" s="73"/>
      <c r="HB155" s="73"/>
      <c r="HC155" s="345"/>
      <c r="HD155" s="73"/>
      <c r="HE155" s="25"/>
      <c r="HF155" s="73"/>
      <c r="HG155" s="73"/>
      <c r="HH155" s="345"/>
      <c r="HI155" s="73"/>
      <c r="HJ155" s="25"/>
      <c r="HK155" s="73"/>
      <c r="HL155" s="73"/>
      <c r="HM155" s="345"/>
      <c r="HN155" s="73"/>
      <c r="HO155" s="25"/>
      <c r="HP155" s="73"/>
      <c r="HQ155" s="73"/>
      <c r="HR155" s="345"/>
      <c r="HS155" s="73"/>
      <c r="HT155" s="25"/>
      <c r="HU155" s="73"/>
      <c r="HV155" s="73"/>
      <c r="HW155" s="345"/>
      <c r="HX155" s="73"/>
      <c r="HY155" s="25"/>
      <c r="HZ155" s="73"/>
      <c r="IA155" s="73"/>
      <c r="IB155" s="345"/>
      <c r="IC155" s="73"/>
      <c r="ID155" s="25"/>
      <c r="IE155" s="73"/>
      <c r="IF155" s="73"/>
      <c r="IG155" s="345"/>
      <c r="IH155" s="73"/>
      <c r="II155" s="25"/>
      <c r="IJ155" s="73"/>
      <c r="IK155" s="73"/>
      <c r="IL155" s="345"/>
      <c r="IM155" s="73"/>
      <c r="IN155" s="25"/>
      <c r="IO155" s="73"/>
      <c r="IP155" s="73"/>
      <c r="IQ155" s="345"/>
      <c r="IR155" s="73"/>
      <c r="IS155" s="25"/>
      <c r="IT155" s="73"/>
      <c r="IU155" s="73"/>
      <c r="IV155" s="345"/>
    </row>
    <row r="156" spans="1:256" x14ac:dyDescent="0.2">
      <c r="A156" s="345">
        <v>32263</v>
      </c>
      <c r="B156" s="73"/>
      <c r="C156" s="25"/>
      <c r="D156" s="73"/>
      <c r="E156" s="73"/>
      <c r="F156" s="345"/>
      <c r="G156" s="73"/>
      <c r="H156" s="25"/>
      <c r="I156" s="73"/>
      <c r="J156" s="73"/>
      <c r="K156" s="345"/>
      <c r="L156" s="73"/>
      <c r="M156" s="25"/>
      <c r="N156" s="73"/>
      <c r="O156" s="73"/>
      <c r="P156" s="345"/>
      <c r="Q156" s="73"/>
      <c r="R156" s="25"/>
      <c r="S156" s="73"/>
      <c r="T156" s="73"/>
      <c r="U156" s="345"/>
      <c r="V156" s="73"/>
      <c r="W156" s="25"/>
      <c r="X156" s="73"/>
      <c r="Y156" s="73"/>
      <c r="Z156" s="345"/>
      <c r="AA156" s="73"/>
      <c r="AB156" s="25"/>
      <c r="AC156" s="73"/>
      <c r="AD156" s="73"/>
      <c r="AE156" s="345"/>
      <c r="AF156" s="73"/>
      <c r="AG156" s="25"/>
      <c r="AH156" s="73"/>
      <c r="AI156" s="73"/>
      <c r="AJ156" s="345"/>
      <c r="AK156" s="73"/>
      <c r="AL156" s="25"/>
      <c r="AM156" s="73"/>
      <c r="AN156" s="73"/>
      <c r="AO156" s="345"/>
      <c r="AP156" s="73"/>
      <c r="AQ156" s="25"/>
      <c r="AR156" s="73"/>
      <c r="AS156" s="73"/>
      <c r="AT156" s="345"/>
      <c r="AU156" s="73"/>
      <c r="AV156" s="25"/>
      <c r="AW156" s="73"/>
      <c r="AX156" s="73"/>
      <c r="AY156" s="345"/>
      <c r="AZ156" s="73"/>
      <c r="BA156" s="25"/>
      <c r="BB156" s="73"/>
      <c r="BC156" s="73"/>
      <c r="BD156" s="345"/>
      <c r="BE156" s="73"/>
      <c r="BF156" s="25"/>
      <c r="BG156" s="73"/>
      <c r="BH156" s="73"/>
      <c r="BI156" s="345"/>
      <c r="BJ156" s="73"/>
      <c r="BK156" s="25"/>
      <c r="BL156" s="73"/>
      <c r="BM156" s="73"/>
      <c r="BN156" s="345"/>
      <c r="BO156" s="73"/>
      <c r="BP156" s="25"/>
      <c r="BQ156" s="73"/>
      <c r="BR156" s="73"/>
      <c r="BS156" s="345"/>
      <c r="BT156" s="73"/>
      <c r="BU156" s="25"/>
      <c r="BV156" s="73"/>
      <c r="BW156" s="73"/>
      <c r="BX156" s="345"/>
      <c r="BY156" s="73"/>
      <c r="BZ156" s="25"/>
      <c r="CA156" s="73"/>
      <c r="CB156" s="73"/>
      <c r="CC156" s="345"/>
      <c r="CD156" s="73"/>
      <c r="CE156" s="25"/>
      <c r="CF156" s="73"/>
      <c r="CG156" s="73"/>
      <c r="CH156" s="345"/>
      <c r="CI156" s="73"/>
      <c r="CJ156" s="25"/>
      <c r="CK156" s="73"/>
      <c r="CL156" s="73"/>
      <c r="CM156" s="345"/>
      <c r="CN156" s="73"/>
      <c r="CO156" s="25"/>
      <c r="CP156" s="73"/>
      <c r="CQ156" s="73"/>
      <c r="CR156" s="345"/>
      <c r="CS156" s="73"/>
      <c r="CT156" s="25"/>
      <c r="CU156" s="73"/>
      <c r="CV156" s="73"/>
      <c r="CW156" s="345"/>
      <c r="CX156" s="73"/>
      <c r="CY156" s="25"/>
      <c r="CZ156" s="73"/>
      <c r="DA156" s="73"/>
      <c r="DB156" s="345"/>
      <c r="DC156" s="73"/>
      <c r="DD156" s="25"/>
      <c r="DE156" s="73"/>
      <c r="DF156" s="73"/>
      <c r="DG156" s="345"/>
      <c r="DH156" s="73"/>
      <c r="DI156" s="25"/>
      <c r="DJ156" s="73"/>
      <c r="DK156" s="73"/>
      <c r="DL156" s="345"/>
      <c r="DM156" s="73"/>
      <c r="DN156" s="25"/>
      <c r="DO156" s="73"/>
      <c r="DP156" s="73"/>
      <c r="DQ156" s="345"/>
      <c r="DR156" s="73"/>
      <c r="DS156" s="25"/>
      <c r="DT156" s="73"/>
      <c r="DU156" s="73"/>
      <c r="DV156" s="345"/>
      <c r="DW156" s="73"/>
      <c r="DX156" s="25"/>
      <c r="DY156" s="73"/>
      <c r="DZ156" s="73"/>
      <c r="EA156" s="345"/>
      <c r="EB156" s="73"/>
      <c r="EC156" s="25"/>
      <c r="ED156" s="73"/>
      <c r="EE156" s="73"/>
      <c r="EF156" s="345"/>
      <c r="EG156" s="73"/>
      <c r="EH156" s="25"/>
      <c r="EI156" s="73"/>
      <c r="EJ156" s="73"/>
      <c r="EK156" s="345"/>
      <c r="EL156" s="73"/>
      <c r="EM156" s="25"/>
      <c r="EN156" s="73"/>
      <c r="EO156" s="73"/>
      <c r="EP156" s="345"/>
      <c r="EQ156" s="73"/>
      <c r="ER156" s="25"/>
      <c r="ES156" s="73"/>
      <c r="ET156" s="73"/>
      <c r="EU156" s="345"/>
      <c r="EV156" s="73"/>
      <c r="EW156" s="25"/>
      <c r="EX156" s="73"/>
      <c r="EY156" s="73"/>
      <c r="EZ156" s="345"/>
      <c r="FA156" s="73"/>
      <c r="FB156" s="25"/>
      <c r="FC156" s="73"/>
      <c r="FD156" s="73"/>
      <c r="FE156" s="345"/>
      <c r="FF156" s="73"/>
      <c r="FG156" s="25"/>
      <c r="FH156" s="73"/>
      <c r="FI156" s="73"/>
      <c r="FJ156" s="345"/>
      <c r="FK156" s="73"/>
      <c r="FL156" s="25"/>
      <c r="FM156" s="73"/>
      <c r="FN156" s="73"/>
      <c r="FO156" s="345"/>
      <c r="FP156" s="73"/>
      <c r="FQ156" s="25"/>
      <c r="FR156" s="73"/>
      <c r="FS156" s="73"/>
      <c r="FT156" s="345"/>
      <c r="FU156" s="73"/>
      <c r="FV156" s="25"/>
      <c r="FW156" s="73"/>
      <c r="FX156" s="73"/>
      <c r="FY156" s="345"/>
      <c r="FZ156" s="73"/>
      <c r="GA156" s="25"/>
      <c r="GB156" s="73"/>
      <c r="GC156" s="73"/>
      <c r="GD156" s="345"/>
      <c r="GE156" s="73"/>
      <c r="GF156" s="25"/>
      <c r="GG156" s="73"/>
      <c r="GH156" s="73"/>
      <c r="GI156" s="345"/>
      <c r="GJ156" s="73"/>
      <c r="GK156" s="25"/>
      <c r="GL156" s="73"/>
      <c r="GM156" s="73"/>
      <c r="GN156" s="345"/>
      <c r="GO156" s="73"/>
      <c r="GP156" s="25"/>
      <c r="GQ156" s="73"/>
      <c r="GR156" s="73"/>
      <c r="GS156" s="345"/>
      <c r="GT156" s="73"/>
      <c r="GU156" s="25"/>
      <c r="GV156" s="73"/>
      <c r="GW156" s="73"/>
      <c r="GX156" s="345"/>
      <c r="GY156" s="73"/>
      <c r="GZ156" s="25"/>
      <c r="HA156" s="73"/>
      <c r="HB156" s="73"/>
      <c r="HC156" s="345"/>
      <c r="HD156" s="73"/>
      <c r="HE156" s="25"/>
      <c r="HF156" s="73"/>
      <c r="HG156" s="73"/>
      <c r="HH156" s="345"/>
      <c r="HI156" s="73"/>
      <c r="HJ156" s="25"/>
      <c r="HK156" s="73"/>
      <c r="HL156" s="73"/>
      <c r="HM156" s="345"/>
      <c r="HN156" s="73"/>
      <c r="HO156" s="25"/>
      <c r="HP156" s="73"/>
      <c r="HQ156" s="73"/>
      <c r="HR156" s="345"/>
      <c r="HS156" s="73"/>
      <c r="HT156" s="25"/>
      <c r="HU156" s="73"/>
      <c r="HV156" s="73"/>
      <c r="HW156" s="345"/>
      <c r="HX156" s="73"/>
      <c r="HY156" s="25"/>
      <c r="HZ156" s="73"/>
      <c r="IA156" s="73"/>
      <c r="IB156" s="345"/>
      <c r="IC156" s="73"/>
      <c r="ID156" s="25"/>
      <c r="IE156" s="73"/>
      <c r="IF156" s="73"/>
      <c r="IG156" s="345"/>
      <c r="IH156" s="73"/>
      <c r="II156" s="25"/>
      <c r="IJ156" s="73"/>
      <c r="IK156" s="73"/>
      <c r="IL156" s="345"/>
      <c r="IM156" s="73"/>
      <c r="IN156" s="25"/>
      <c r="IO156" s="73"/>
      <c r="IP156" s="73"/>
      <c r="IQ156" s="345"/>
      <c r="IR156" s="73"/>
      <c r="IS156" s="25"/>
      <c r="IT156" s="73"/>
      <c r="IU156" s="73"/>
      <c r="IV156" s="345"/>
    </row>
    <row r="157" spans="1:256" x14ac:dyDescent="0.2">
      <c r="A157" s="345">
        <v>32294</v>
      </c>
      <c r="B157" s="73"/>
      <c r="C157" s="25"/>
      <c r="D157" s="73"/>
      <c r="E157" s="73"/>
      <c r="F157" s="345"/>
      <c r="G157" s="73"/>
      <c r="H157" s="25"/>
      <c r="I157" s="73"/>
      <c r="J157" s="73"/>
      <c r="K157" s="345"/>
      <c r="L157" s="73"/>
      <c r="M157" s="25"/>
      <c r="N157" s="73"/>
      <c r="O157" s="73"/>
      <c r="P157" s="345"/>
      <c r="Q157" s="73"/>
      <c r="R157" s="25"/>
      <c r="S157" s="73"/>
      <c r="T157" s="73"/>
      <c r="U157" s="345"/>
      <c r="V157" s="73"/>
      <c r="W157" s="25"/>
      <c r="X157" s="73"/>
      <c r="Y157" s="73"/>
      <c r="Z157" s="345"/>
      <c r="AA157" s="73"/>
      <c r="AB157" s="25"/>
      <c r="AC157" s="73"/>
      <c r="AD157" s="73"/>
      <c r="AE157" s="345"/>
      <c r="AF157" s="73"/>
      <c r="AG157" s="25"/>
      <c r="AH157" s="73"/>
      <c r="AI157" s="73"/>
      <c r="AJ157" s="345"/>
      <c r="AK157" s="73"/>
      <c r="AL157" s="25"/>
      <c r="AM157" s="73"/>
      <c r="AN157" s="73"/>
      <c r="AO157" s="345"/>
      <c r="AP157" s="73"/>
      <c r="AQ157" s="25"/>
      <c r="AR157" s="73"/>
      <c r="AS157" s="73"/>
      <c r="AT157" s="345"/>
      <c r="AU157" s="73"/>
      <c r="AV157" s="25"/>
      <c r="AW157" s="73"/>
      <c r="AX157" s="73"/>
      <c r="AY157" s="345"/>
      <c r="AZ157" s="73"/>
      <c r="BA157" s="25"/>
      <c r="BB157" s="73"/>
      <c r="BC157" s="73"/>
      <c r="BD157" s="345"/>
      <c r="BE157" s="73"/>
      <c r="BF157" s="25"/>
      <c r="BG157" s="73"/>
      <c r="BH157" s="73"/>
      <c r="BI157" s="345"/>
      <c r="BJ157" s="73"/>
      <c r="BK157" s="25"/>
      <c r="BL157" s="73"/>
      <c r="BM157" s="73"/>
      <c r="BN157" s="345"/>
      <c r="BO157" s="73"/>
      <c r="BP157" s="25"/>
      <c r="BQ157" s="73"/>
      <c r="BR157" s="73"/>
      <c r="BS157" s="345"/>
      <c r="BT157" s="73"/>
      <c r="BU157" s="25"/>
      <c r="BV157" s="73"/>
      <c r="BW157" s="73"/>
      <c r="BX157" s="345"/>
      <c r="BY157" s="73"/>
      <c r="BZ157" s="25"/>
      <c r="CA157" s="73"/>
      <c r="CB157" s="73"/>
      <c r="CC157" s="345"/>
      <c r="CD157" s="73"/>
      <c r="CE157" s="25"/>
      <c r="CF157" s="73"/>
      <c r="CG157" s="73"/>
      <c r="CH157" s="345"/>
      <c r="CI157" s="73"/>
      <c r="CJ157" s="25"/>
      <c r="CK157" s="73"/>
      <c r="CL157" s="73"/>
      <c r="CM157" s="345"/>
      <c r="CN157" s="73"/>
      <c r="CO157" s="25"/>
      <c r="CP157" s="73"/>
      <c r="CQ157" s="73"/>
      <c r="CR157" s="345"/>
      <c r="CS157" s="73"/>
      <c r="CT157" s="25"/>
      <c r="CU157" s="73"/>
      <c r="CV157" s="73"/>
      <c r="CW157" s="345"/>
      <c r="CX157" s="73"/>
      <c r="CY157" s="25"/>
      <c r="CZ157" s="73"/>
      <c r="DA157" s="73"/>
      <c r="DB157" s="345"/>
      <c r="DC157" s="73"/>
      <c r="DD157" s="25"/>
      <c r="DE157" s="73"/>
      <c r="DF157" s="73"/>
      <c r="DG157" s="345"/>
      <c r="DH157" s="73"/>
      <c r="DI157" s="25"/>
      <c r="DJ157" s="73"/>
      <c r="DK157" s="73"/>
      <c r="DL157" s="345"/>
      <c r="DM157" s="73"/>
      <c r="DN157" s="25"/>
      <c r="DO157" s="73"/>
      <c r="DP157" s="73"/>
      <c r="DQ157" s="345"/>
      <c r="DR157" s="73"/>
      <c r="DS157" s="25"/>
      <c r="DT157" s="73"/>
      <c r="DU157" s="73"/>
      <c r="DV157" s="345"/>
      <c r="DW157" s="73"/>
      <c r="DX157" s="25"/>
      <c r="DY157" s="73"/>
      <c r="DZ157" s="73"/>
      <c r="EA157" s="345"/>
      <c r="EB157" s="73"/>
      <c r="EC157" s="25"/>
      <c r="ED157" s="73"/>
      <c r="EE157" s="73"/>
      <c r="EF157" s="345"/>
      <c r="EG157" s="73"/>
      <c r="EH157" s="25"/>
      <c r="EI157" s="73"/>
      <c r="EJ157" s="73"/>
      <c r="EK157" s="345"/>
      <c r="EL157" s="73"/>
      <c r="EM157" s="25"/>
      <c r="EN157" s="73"/>
      <c r="EO157" s="73"/>
      <c r="EP157" s="345"/>
      <c r="EQ157" s="73"/>
      <c r="ER157" s="25"/>
      <c r="ES157" s="73"/>
      <c r="ET157" s="73"/>
      <c r="EU157" s="345"/>
      <c r="EV157" s="73"/>
      <c r="EW157" s="25"/>
      <c r="EX157" s="73"/>
      <c r="EY157" s="73"/>
      <c r="EZ157" s="345"/>
      <c r="FA157" s="73"/>
      <c r="FB157" s="25"/>
      <c r="FC157" s="73"/>
      <c r="FD157" s="73"/>
      <c r="FE157" s="345"/>
      <c r="FF157" s="73"/>
      <c r="FG157" s="25"/>
      <c r="FH157" s="73"/>
      <c r="FI157" s="73"/>
      <c r="FJ157" s="345"/>
      <c r="FK157" s="73"/>
      <c r="FL157" s="25"/>
      <c r="FM157" s="73"/>
      <c r="FN157" s="73"/>
      <c r="FO157" s="345"/>
      <c r="FP157" s="73"/>
      <c r="FQ157" s="25"/>
      <c r="FR157" s="73"/>
      <c r="FS157" s="73"/>
      <c r="FT157" s="345"/>
      <c r="FU157" s="73"/>
      <c r="FV157" s="25"/>
      <c r="FW157" s="73"/>
      <c r="FX157" s="73"/>
      <c r="FY157" s="345"/>
      <c r="FZ157" s="73"/>
      <c r="GA157" s="25"/>
      <c r="GB157" s="73"/>
      <c r="GC157" s="73"/>
      <c r="GD157" s="345"/>
      <c r="GE157" s="73"/>
      <c r="GF157" s="25"/>
      <c r="GG157" s="73"/>
      <c r="GH157" s="73"/>
      <c r="GI157" s="345"/>
      <c r="GJ157" s="73"/>
      <c r="GK157" s="25"/>
      <c r="GL157" s="73"/>
      <c r="GM157" s="73"/>
      <c r="GN157" s="345"/>
      <c r="GO157" s="73"/>
      <c r="GP157" s="25"/>
      <c r="GQ157" s="73"/>
      <c r="GR157" s="73"/>
      <c r="GS157" s="345"/>
      <c r="GT157" s="73"/>
      <c r="GU157" s="25"/>
      <c r="GV157" s="73"/>
      <c r="GW157" s="73"/>
      <c r="GX157" s="345"/>
      <c r="GY157" s="73"/>
      <c r="GZ157" s="25"/>
      <c r="HA157" s="73"/>
      <c r="HB157" s="73"/>
      <c r="HC157" s="345"/>
      <c r="HD157" s="73"/>
      <c r="HE157" s="25"/>
      <c r="HF157" s="73"/>
      <c r="HG157" s="73"/>
      <c r="HH157" s="345"/>
      <c r="HI157" s="73"/>
      <c r="HJ157" s="25"/>
      <c r="HK157" s="73"/>
      <c r="HL157" s="73"/>
      <c r="HM157" s="345"/>
      <c r="HN157" s="73"/>
      <c r="HO157" s="25"/>
      <c r="HP157" s="73"/>
      <c r="HQ157" s="73"/>
      <c r="HR157" s="345"/>
      <c r="HS157" s="73"/>
      <c r="HT157" s="25"/>
      <c r="HU157" s="73"/>
      <c r="HV157" s="73"/>
      <c r="HW157" s="345"/>
      <c r="HX157" s="73"/>
      <c r="HY157" s="25"/>
      <c r="HZ157" s="73"/>
      <c r="IA157" s="73"/>
      <c r="IB157" s="345"/>
      <c r="IC157" s="73"/>
      <c r="ID157" s="25"/>
      <c r="IE157" s="73"/>
      <c r="IF157" s="73"/>
      <c r="IG157" s="345"/>
      <c r="IH157" s="73"/>
      <c r="II157" s="25"/>
      <c r="IJ157" s="73"/>
      <c r="IK157" s="73"/>
      <c r="IL157" s="345"/>
      <c r="IM157" s="73"/>
      <c r="IN157" s="25"/>
      <c r="IO157" s="73"/>
      <c r="IP157" s="73"/>
      <c r="IQ157" s="345"/>
      <c r="IR157" s="73"/>
      <c r="IS157" s="25"/>
      <c r="IT157" s="73"/>
      <c r="IU157" s="73"/>
      <c r="IV157" s="345"/>
    </row>
    <row r="158" spans="1:256" x14ac:dyDescent="0.2">
      <c r="A158" s="345">
        <v>32324</v>
      </c>
      <c r="B158" s="73"/>
      <c r="C158" s="25"/>
      <c r="D158" s="73"/>
      <c r="E158" s="73"/>
      <c r="F158" s="345"/>
      <c r="G158" s="73"/>
      <c r="H158" s="25"/>
      <c r="I158" s="73"/>
      <c r="J158" s="73"/>
      <c r="K158" s="345"/>
      <c r="L158" s="73"/>
      <c r="M158" s="25"/>
      <c r="N158" s="73"/>
      <c r="O158" s="73"/>
      <c r="P158" s="345"/>
      <c r="Q158" s="73"/>
      <c r="R158" s="25"/>
      <c r="S158" s="73"/>
      <c r="T158" s="73"/>
      <c r="U158" s="345"/>
      <c r="V158" s="73"/>
      <c r="W158" s="25"/>
      <c r="X158" s="73"/>
      <c r="Y158" s="73"/>
      <c r="Z158" s="345"/>
      <c r="AA158" s="73"/>
      <c r="AB158" s="25"/>
      <c r="AC158" s="73"/>
      <c r="AD158" s="73"/>
      <c r="AE158" s="345"/>
      <c r="AF158" s="73"/>
      <c r="AG158" s="25"/>
      <c r="AH158" s="73"/>
      <c r="AI158" s="73"/>
      <c r="AJ158" s="345"/>
      <c r="AK158" s="73"/>
      <c r="AL158" s="25"/>
      <c r="AM158" s="73"/>
      <c r="AN158" s="73"/>
      <c r="AO158" s="345"/>
      <c r="AP158" s="73"/>
      <c r="AQ158" s="25"/>
      <c r="AR158" s="73"/>
      <c r="AS158" s="73"/>
      <c r="AT158" s="345"/>
      <c r="AU158" s="73"/>
      <c r="AV158" s="25"/>
      <c r="AW158" s="73"/>
      <c r="AX158" s="73"/>
      <c r="AY158" s="345"/>
      <c r="AZ158" s="73"/>
      <c r="BA158" s="25"/>
      <c r="BB158" s="73"/>
      <c r="BC158" s="73"/>
      <c r="BD158" s="345"/>
      <c r="BE158" s="73"/>
      <c r="BF158" s="25"/>
      <c r="BG158" s="73"/>
      <c r="BH158" s="73"/>
      <c r="BI158" s="345"/>
      <c r="BJ158" s="73"/>
      <c r="BK158" s="25"/>
      <c r="BL158" s="73"/>
      <c r="BM158" s="73"/>
      <c r="BN158" s="345"/>
      <c r="BO158" s="73"/>
      <c r="BP158" s="25"/>
      <c r="BQ158" s="73"/>
      <c r="BR158" s="73"/>
      <c r="BS158" s="345"/>
      <c r="BT158" s="73"/>
      <c r="BU158" s="25"/>
      <c r="BV158" s="73"/>
      <c r="BW158" s="73"/>
      <c r="BX158" s="345"/>
      <c r="BY158" s="73"/>
      <c r="BZ158" s="25"/>
      <c r="CA158" s="73"/>
      <c r="CB158" s="73"/>
      <c r="CC158" s="345"/>
      <c r="CD158" s="73"/>
      <c r="CE158" s="25"/>
      <c r="CF158" s="73"/>
      <c r="CG158" s="73"/>
      <c r="CH158" s="345"/>
      <c r="CI158" s="73"/>
      <c r="CJ158" s="25"/>
      <c r="CK158" s="73"/>
      <c r="CL158" s="73"/>
      <c r="CM158" s="345"/>
      <c r="CN158" s="73"/>
      <c r="CO158" s="25"/>
      <c r="CP158" s="73"/>
      <c r="CQ158" s="73"/>
      <c r="CR158" s="345"/>
      <c r="CS158" s="73"/>
      <c r="CT158" s="25"/>
      <c r="CU158" s="73"/>
      <c r="CV158" s="73"/>
      <c r="CW158" s="345"/>
      <c r="CX158" s="73"/>
      <c r="CY158" s="25"/>
      <c r="CZ158" s="73"/>
      <c r="DA158" s="73"/>
      <c r="DB158" s="345"/>
      <c r="DC158" s="73"/>
      <c r="DD158" s="25"/>
      <c r="DE158" s="73"/>
      <c r="DF158" s="73"/>
      <c r="DG158" s="345"/>
      <c r="DH158" s="73"/>
      <c r="DI158" s="25"/>
      <c r="DJ158" s="73"/>
      <c r="DK158" s="73"/>
      <c r="DL158" s="345"/>
      <c r="DM158" s="73"/>
      <c r="DN158" s="25"/>
      <c r="DO158" s="73"/>
      <c r="DP158" s="73"/>
      <c r="DQ158" s="345"/>
      <c r="DR158" s="73"/>
      <c r="DS158" s="25"/>
      <c r="DT158" s="73"/>
      <c r="DU158" s="73"/>
      <c r="DV158" s="345"/>
      <c r="DW158" s="73"/>
      <c r="DX158" s="25"/>
      <c r="DY158" s="73"/>
      <c r="DZ158" s="73"/>
      <c r="EA158" s="345"/>
      <c r="EB158" s="73"/>
      <c r="EC158" s="25"/>
      <c r="ED158" s="73"/>
      <c r="EE158" s="73"/>
      <c r="EF158" s="345"/>
      <c r="EG158" s="73"/>
      <c r="EH158" s="25"/>
      <c r="EI158" s="73"/>
      <c r="EJ158" s="73"/>
      <c r="EK158" s="345"/>
      <c r="EL158" s="73"/>
      <c r="EM158" s="25"/>
      <c r="EN158" s="73"/>
      <c r="EO158" s="73"/>
      <c r="EP158" s="345"/>
      <c r="EQ158" s="73"/>
      <c r="ER158" s="25"/>
      <c r="ES158" s="73"/>
      <c r="ET158" s="73"/>
      <c r="EU158" s="345"/>
      <c r="EV158" s="73"/>
      <c r="EW158" s="25"/>
      <c r="EX158" s="73"/>
      <c r="EY158" s="73"/>
      <c r="EZ158" s="345"/>
      <c r="FA158" s="73"/>
      <c r="FB158" s="25"/>
      <c r="FC158" s="73"/>
      <c r="FD158" s="73"/>
      <c r="FE158" s="345"/>
      <c r="FF158" s="73"/>
      <c r="FG158" s="25"/>
      <c r="FH158" s="73"/>
      <c r="FI158" s="73"/>
      <c r="FJ158" s="345"/>
      <c r="FK158" s="73"/>
      <c r="FL158" s="25"/>
      <c r="FM158" s="73"/>
      <c r="FN158" s="73"/>
      <c r="FO158" s="345"/>
      <c r="FP158" s="73"/>
      <c r="FQ158" s="25"/>
      <c r="FR158" s="73"/>
      <c r="FS158" s="73"/>
      <c r="FT158" s="345"/>
      <c r="FU158" s="73"/>
      <c r="FV158" s="25"/>
      <c r="FW158" s="73"/>
      <c r="FX158" s="73"/>
      <c r="FY158" s="345"/>
      <c r="FZ158" s="73"/>
      <c r="GA158" s="25"/>
      <c r="GB158" s="73"/>
      <c r="GC158" s="73"/>
      <c r="GD158" s="345"/>
      <c r="GE158" s="73"/>
      <c r="GF158" s="25"/>
      <c r="GG158" s="73"/>
      <c r="GH158" s="73"/>
      <c r="GI158" s="345"/>
      <c r="GJ158" s="73"/>
      <c r="GK158" s="25"/>
      <c r="GL158" s="73"/>
      <c r="GM158" s="73"/>
      <c r="GN158" s="345"/>
      <c r="GO158" s="73"/>
      <c r="GP158" s="25"/>
      <c r="GQ158" s="73"/>
      <c r="GR158" s="73"/>
      <c r="GS158" s="345"/>
      <c r="GT158" s="73"/>
      <c r="GU158" s="25"/>
      <c r="GV158" s="73"/>
      <c r="GW158" s="73"/>
      <c r="GX158" s="345"/>
      <c r="GY158" s="73"/>
      <c r="GZ158" s="25"/>
      <c r="HA158" s="73"/>
      <c r="HB158" s="73"/>
      <c r="HC158" s="345"/>
      <c r="HD158" s="73"/>
      <c r="HE158" s="25"/>
      <c r="HF158" s="73"/>
      <c r="HG158" s="73"/>
      <c r="HH158" s="345"/>
      <c r="HI158" s="73"/>
      <c r="HJ158" s="25"/>
      <c r="HK158" s="73"/>
      <c r="HL158" s="73"/>
      <c r="HM158" s="345"/>
      <c r="HN158" s="73"/>
      <c r="HO158" s="25"/>
      <c r="HP158" s="73"/>
      <c r="HQ158" s="73"/>
      <c r="HR158" s="345"/>
      <c r="HS158" s="73"/>
      <c r="HT158" s="25"/>
      <c r="HU158" s="73"/>
      <c r="HV158" s="73"/>
      <c r="HW158" s="345"/>
      <c r="HX158" s="73"/>
      <c r="HY158" s="25"/>
      <c r="HZ158" s="73"/>
      <c r="IA158" s="73"/>
      <c r="IB158" s="345"/>
      <c r="IC158" s="73"/>
      <c r="ID158" s="25"/>
      <c r="IE158" s="73"/>
      <c r="IF158" s="73"/>
      <c r="IG158" s="345"/>
      <c r="IH158" s="73"/>
      <c r="II158" s="25"/>
      <c r="IJ158" s="73"/>
      <c r="IK158" s="73"/>
      <c r="IL158" s="345"/>
      <c r="IM158" s="73"/>
      <c r="IN158" s="25"/>
      <c r="IO158" s="73"/>
      <c r="IP158" s="73"/>
      <c r="IQ158" s="345"/>
      <c r="IR158" s="73"/>
      <c r="IS158" s="25"/>
      <c r="IT158" s="73"/>
      <c r="IU158" s="73"/>
      <c r="IV158" s="345"/>
    </row>
    <row r="159" spans="1:256" x14ac:dyDescent="0.2">
      <c r="A159" s="345">
        <v>32355</v>
      </c>
      <c r="B159" s="73"/>
      <c r="C159" s="25"/>
      <c r="D159" s="73"/>
      <c r="E159" s="73"/>
      <c r="F159" s="345"/>
      <c r="G159" s="73"/>
      <c r="H159" s="25"/>
      <c r="I159" s="73"/>
      <c r="J159" s="73"/>
      <c r="K159" s="345"/>
      <c r="L159" s="73"/>
      <c r="M159" s="25"/>
      <c r="N159" s="73"/>
      <c r="O159" s="73"/>
      <c r="P159" s="345"/>
      <c r="Q159" s="73"/>
      <c r="R159" s="25"/>
      <c r="S159" s="73"/>
      <c r="T159" s="73"/>
      <c r="U159" s="345"/>
      <c r="V159" s="73"/>
      <c r="W159" s="25"/>
      <c r="X159" s="73"/>
      <c r="Y159" s="73"/>
      <c r="Z159" s="345"/>
      <c r="AA159" s="73"/>
      <c r="AB159" s="25"/>
      <c r="AC159" s="73"/>
      <c r="AD159" s="73"/>
      <c r="AE159" s="345"/>
      <c r="AF159" s="73"/>
      <c r="AG159" s="25"/>
      <c r="AH159" s="73"/>
      <c r="AI159" s="73"/>
      <c r="AJ159" s="345"/>
      <c r="AK159" s="73"/>
      <c r="AL159" s="25"/>
      <c r="AM159" s="73"/>
      <c r="AN159" s="73"/>
      <c r="AO159" s="345"/>
      <c r="AP159" s="73"/>
      <c r="AQ159" s="25"/>
      <c r="AR159" s="73"/>
      <c r="AS159" s="73"/>
      <c r="AT159" s="345"/>
      <c r="AU159" s="73"/>
      <c r="AV159" s="25"/>
      <c r="AW159" s="73"/>
      <c r="AX159" s="73"/>
      <c r="AY159" s="345"/>
      <c r="AZ159" s="73"/>
      <c r="BA159" s="25"/>
      <c r="BB159" s="73"/>
      <c r="BC159" s="73"/>
      <c r="BD159" s="345"/>
      <c r="BE159" s="73"/>
      <c r="BF159" s="25"/>
      <c r="BG159" s="73"/>
      <c r="BH159" s="73"/>
      <c r="BI159" s="345"/>
      <c r="BJ159" s="73"/>
      <c r="BK159" s="25"/>
      <c r="BL159" s="73"/>
      <c r="BM159" s="73"/>
      <c r="BN159" s="345"/>
      <c r="BO159" s="73"/>
      <c r="BP159" s="25"/>
      <c r="BQ159" s="73"/>
      <c r="BR159" s="73"/>
      <c r="BS159" s="345"/>
      <c r="BT159" s="73"/>
      <c r="BU159" s="25"/>
      <c r="BV159" s="73"/>
      <c r="BW159" s="73"/>
      <c r="BX159" s="345"/>
      <c r="BY159" s="73"/>
      <c r="BZ159" s="25"/>
      <c r="CA159" s="73"/>
      <c r="CB159" s="73"/>
      <c r="CC159" s="345"/>
      <c r="CD159" s="73"/>
      <c r="CE159" s="25"/>
      <c r="CF159" s="73"/>
      <c r="CG159" s="73"/>
      <c r="CH159" s="345"/>
      <c r="CI159" s="73"/>
      <c r="CJ159" s="25"/>
      <c r="CK159" s="73"/>
      <c r="CL159" s="73"/>
      <c r="CM159" s="345"/>
      <c r="CN159" s="73"/>
      <c r="CO159" s="25"/>
      <c r="CP159" s="73"/>
      <c r="CQ159" s="73"/>
      <c r="CR159" s="345"/>
      <c r="CS159" s="73"/>
      <c r="CT159" s="25"/>
      <c r="CU159" s="73"/>
      <c r="CV159" s="73"/>
      <c r="CW159" s="345"/>
      <c r="CX159" s="73"/>
      <c r="CY159" s="25"/>
      <c r="CZ159" s="73"/>
      <c r="DA159" s="73"/>
      <c r="DB159" s="345"/>
      <c r="DC159" s="73"/>
      <c r="DD159" s="25"/>
      <c r="DE159" s="73"/>
      <c r="DF159" s="73"/>
      <c r="DG159" s="345"/>
      <c r="DH159" s="73"/>
      <c r="DI159" s="25"/>
      <c r="DJ159" s="73"/>
      <c r="DK159" s="73"/>
      <c r="DL159" s="345"/>
      <c r="DM159" s="73"/>
      <c r="DN159" s="25"/>
      <c r="DO159" s="73"/>
      <c r="DP159" s="73"/>
      <c r="DQ159" s="345"/>
      <c r="DR159" s="73"/>
      <c r="DS159" s="25"/>
      <c r="DT159" s="73"/>
      <c r="DU159" s="73"/>
      <c r="DV159" s="345"/>
      <c r="DW159" s="73"/>
      <c r="DX159" s="25"/>
      <c r="DY159" s="73"/>
      <c r="DZ159" s="73"/>
      <c r="EA159" s="345"/>
      <c r="EB159" s="73"/>
      <c r="EC159" s="25"/>
      <c r="ED159" s="73"/>
      <c r="EE159" s="73"/>
      <c r="EF159" s="345"/>
      <c r="EG159" s="73"/>
      <c r="EH159" s="25"/>
      <c r="EI159" s="73"/>
      <c r="EJ159" s="73"/>
      <c r="EK159" s="345"/>
      <c r="EL159" s="73"/>
      <c r="EM159" s="25"/>
      <c r="EN159" s="73"/>
      <c r="EO159" s="73"/>
      <c r="EP159" s="345"/>
      <c r="EQ159" s="73"/>
      <c r="ER159" s="25"/>
      <c r="ES159" s="73"/>
      <c r="ET159" s="73"/>
      <c r="EU159" s="345"/>
      <c r="EV159" s="73"/>
      <c r="EW159" s="25"/>
      <c r="EX159" s="73"/>
      <c r="EY159" s="73"/>
      <c r="EZ159" s="345"/>
      <c r="FA159" s="73"/>
      <c r="FB159" s="25"/>
      <c r="FC159" s="73"/>
      <c r="FD159" s="73"/>
      <c r="FE159" s="345"/>
      <c r="FF159" s="73"/>
      <c r="FG159" s="25"/>
      <c r="FH159" s="73"/>
      <c r="FI159" s="73"/>
      <c r="FJ159" s="345"/>
      <c r="FK159" s="73"/>
      <c r="FL159" s="25"/>
      <c r="FM159" s="73"/>
      <c r="FN159" s="73"/>
      <c r="FO159" s="345"/>
      <c r="FP159" s="73"/>
      <c r="FQ159" s="25"/>
      <c r="FR159" s="73"/>
      <c r="FS159" s="73"/>
      <c r="FT159" s="345"/>
      <c r="FU159" s="73"/>
      <c r="FV159" s="25"/>
      <c r="FW159" s="73"/>
      <c r="FX159" s="73"/>
      <c r="FY159" s="345"/>
      <c r="FZ159" s="73"/>
      <c r="GA159" s="25"/>
      <c r="GB159" s="73"/>
      <c r="GC159" s="73"/>
      <c r="GD159" s="345"/>
      <c r="GE159" s="73"/>
      <c r="GF159" s="25"/>
      <c r="GG159" s="73"/>
      <c r="GH159" s="73"/>
      <c r="GI159" s="345"/>
      <c r="GJ159" s="73"/>
      <c r="GK159" s="25"/>
      <c r="GL159" s="73"/>
      <c r="GM159" s="73"/>
      <c r="GN159" s="345"/>
      <c r="GO159" s="73"/>
      <c r="GP159" s="25"/>
      <c r="GQ159" s="73"/>
      <c r="GR159" s="73"/>
      <c r="GS159" s="345"/>
      <c r="GT159" s="73"/>
      <c r="GU159" s="25"/>
      <c r="GV159" s="73"/>
      <c r="GW159" s="73"/>
      <c r="GX159" s="345"/>
      <c r="GY159" s="73"/>
      <c r="GZ159" s="25"/>
      <c r="HA159" s="73"/>
      <c r="HB159" s="73"/>
      <c r="HC159" s="345"/>
      <c r="HD159" s="73"/>
      <c r="HE159" s="25"/>
      <c r="HF159" s="73"/>
      <c r="HG159" s="73"/>
      <c r="HH159" s="345"/>
      <c r="HI159" s="73"/>
      <c r="HJ159" s="25"/>
      <c r="HK159" s="73"/>
      <c r="HL159" s="73"/>
      <c r="HM159" s="345"/>
      <c r="HN159" s="73"/>
      <c r="HO159" s="25"/>
      <c r="HP159" s="73"/>
      <c r="HQ159" s="73"/>
      <c r="HR159" s="345"/>
      <c r="HS159" s="73"/>
      <c r="HT159" s="25"/>
      <c r="HU159" s="73"/>
      <c r="HV159" s="73"/>
      <c r="HW159" s="345"/>
      <c r="HX159" s="73"/>
      <c r="HY159" s="25"/>
      <c r="HZ159" s="73"/>
      <c r="IA159" s="73"/>
      <c r="IB159" s="345"/>
      <c r="IC159" s="73"/>
      <c r="ID159" s="25"/>
      <c r="IE159" s="73"/>
      <c r="IF159" s="73"/>
      <c r="IG159" s="345"/>
      <c r="IH159" s="73"/>
      <c r="II159" s="25"/>
      <c r="IJ159" s="73"/>
      <c r="IK159" s="73"/>
      <c r="IL159" s="345"/>
      <c r="IM159" s="73"/>
      <c r="IN159" s="25"/>
      <c r="IO159" s="73"/>
      <c r="IP159" s="73"/>
      <c r="IQ159" s="345"/>
      <c r="IR159" s="73"/>
      <c r="IS159" s="25"/>
      <c r="IT159" s="73"/>
      <c r="IU159" s="73"/>
      <c r="IV159" s="345"/>
    </row>
    <row r="160" spans="1:256" x14ac:dyDescent="0.2">
      <c r="A160" s="345">
        <v>32386</v>
      </c>
      <c r="B160" s="73"/>
      <c r="C160" s="25"/>
      <c r="D160" s="73"/>
      <c r="E160" s="73"/>
      <c r="F160" s="345"/>
      <c r="G160" s="73"/>
      <c r="H160" s="25"/>
      <c r="I160" s="73"/>
      <c r="J160" s="73"/>
      <c r="K160" s="345"/>
      <c r="L160" s="73"/>
      <c r="M160" s="25"/>
      <c r="N160" s="73"/>
      <c r="O160" s="73"/>
      <c r="P160" s="345"/>
      <c r="Q160" s="73"/>
      <c r="R160" s="25"/>
      <c r="S160" s="73"/>
      <c r="T160" s="73"/>
      <c r="U160" s="345"/>
      <c r="V160" s="73"/>
      <c r="W160" s="25"/>
      <c r="X160" s="73"/>
      <c r="Y160" s="73"/>
      <c r="Z160" s="345"/>
      <c r="AA160" s="73"/>
      <c r="AB160" s="25"/>
      <c r="AC160" s="73"/>
      <c r="AD160" s="73"/>
      <c r="AE160" s="345"/>
      <c r="AF160" s="73"/>
      <c r="AG160" s="25"/>
      <c r="AH160" s="73"/>
      <c r="AI160" s="73"/>
      <c r="AJ160" s="345"/>
      <c r="AK160" s="73"/>
      <c r="AL160" s="25"/>
      <c r="AM160" s="73"/>
      <c r="AN160" s="73"/>
      <c r="AO160" s="345"/>
      <c r="AP160" s="73"/>
      <c r="AQ160" s="25"/>
      <c r="AR160" s="73"/>
      <c r="AS160" s="73"/>
      <c r="AT160" s="345"/>
      <c r="AU160" s="73"/>
      <c r="AV160" s="25"/>
      <c r="AW160" s="73"/>
      <c r="AX160" s="73"/>
      <c r="AY160" s="345"/>
      <c r="AZ160" s="73"/>
      <c r="BA160" s="25"/>
      <c r="BB160" s="73"/>
      <c r="BC160" s="73"/>
      <c r="BD160" s="345"/>
      <c r="BE160" s="73"/>
      <c r="BF160" s="25"/>
      <c r="BG160" s="73"/>
      <c r="BH160" s="73"/>
      <c r="BI160" s="345"/>
      <c r="BJ160" s="73"/>
      <c r="BK160" s="25"/>
      <c r="BL160" s="73"/>
      <c r="BM160" s="73"/>
      <c r="BN160" s="345"/>
      <c r="BO160" s="73"/>
      <c r="BP160" s="25"/>
      <c r="BQ160" s="73"/>
      <c r="BR160" s="73"/>
      <c r="BS160" s="345"/>
      <c r="BT160" s="73"/>
      <c r="BU160" s="25"/>
      <c r="BV160" s="73"/>
      <c r="BW160" s="73"/>
      <c r="BX160" s="345"/>
      <c r="BY160" s="73"/>
      <c r="BZ160" s="25"/>
      <c r="CA160" s="73"/>
      <c r="CB160" s="73"/>
      <c r="CC160" s="345"/>
      <c r="CD160" s="73"/>
      <c r="CE160" s="25"/>
      <c r="CF160" s="73"/>
      <c r="CG160" s="73"/>
      <c r="CH160" s="345"/>
      <c r="CI160" s="73"/>
      <c r="CJ160" s="25"/>
      <c r="CK160" s="73"/>
      <c r="CL160" s="73"/>
      <c r="CM160" s="345"/>
      <c r="CN160" s="73"/>
      <c r="CO160" s="25"/>
      <c r="CP160" s="73"/>
      <c r="CQ160" s="73"/>
      <c r="CR160" s="345"/>
      <c r="CS160" s="73"/>
      <c r="CT160" s="25"/>
      <c r="CU160" s="73"/>
      <c r="CV160" s="73"/>
      <c r="CW160" s="345"/>
      <c r="CX160" s="73"/>
      <c r="CY160" s="25"/>
      <c r="CZ160" s="73"/>
      <c r="DA160" s="73"/>
      <c r="DB160" s="345"/>
      <c r="DC160" s="73"/>
      <c r="DD160" s="25"/>
      <c r="DE160" s="73"/>
      <c r="DF160" s="73"/>
      <c r="DG160" s="345"/>
      <c r="DH160" s="73"/>
      <c r="DI160" s="25"/>
      <c r="DJ160" s="73"/>
      <c r="DK160" s="73"/>
      <c r="DL160" s="345"/>
      <c r="DM160" s="73"/>
      <c r="DN160" s="25"/>
      <c r="DO160" s="73"/>
      <c r="DP160" s="73"/>
      <c r="DQ160" s="345"/>
      <c r="DR160" s="73"/>
      <c r="DS160" s="25"/>
      <c r="DT160" s="73"/>
      <c r="DU160" s="73"/>
      <c r="DV160" s="345"/>
      <c r="DW160" s="73"/>
      <c r="DX160" s="25"/>
      <c r="DY160" s="73"/>
      <c r="DZ160" s="73"/>
      <c r="EA160" s="345"/>
      <c r="EB160" s="73"/>
      <c r="EC160" s="25"/>
      <c r="ED160" s="73"/>
      <c r="EE160" s="73"/>
      <c r="EF160" s="345"/>
      <c r="EG160" s="73"/>
      <c r="EH160" s="25"/>
      <c r="EI160" s="73"/>
      <c r="EJ160" s="73"/>
      <c r="EK160" s="345"/>
      <c r="EL160" s="73"/>
      <c r="EM160" s="25"/>
      <c r="EN160" s="73"/>
      <c r="EO160" s="73"/>
      <c r="EP160" s="345"/>
      <c r="EQ160" s="73"/>
      <c r="ER160" s="25"/>
      <c r="ES160" s="73"/>
      <c r="ET160" s="73"/>
      <c r="EU160" s="345"/>
      <c r="EV160" s="73"/>
      <c r="EW160" s="25"/>
      <c r="EX160" s="73"/>
      <c r="EY160" s="73"/>
      <c r="EZ160" s="345"/>
      <c r="FA160" s="73"/>
      <c r="FB160" s="25"/>
      <c r="FC160" s="73"/>
      <c r="FD160" s="73"/>
      <c r="FE160" s="345"/>
      <c r="FF160" s="73"/>
      <c r="FG160" s="25"/>
      <c r="FH160" s="73"/>
      <c r="FI160" s="73"/>
      <c r="FJ160" s="345"/>
      <c r="FK160" s="73"/>
      <c r="FL160" s="25"/>
      <c r="FM160" s="73"/>
      <c r="FN160" s="73"/>
      <c r="FO160" s="345"/>
      <c r="FP160" s="73"/>
      <c r="FQ160" s="25"/>
      <c r="FR160" s="73"/>
      <c r="FS160" s="73"/>
      <c r="FT160" s="345"/>
      <c r="FU160" s="73"/>
      <c r="FV160" s="25"/>
      <c r="FW160" s="73"/>
      <c r="FX160" s="73"/>
      <c r="FY160" s="345"/>
      <c r="FZ160" s="73"/>
      <c r="GA160" s="25"/>
      <c r="GB160" s="73"/>
      <c r="GC160" s="73"/>
      <c r="GD160" s="345"/>
      <c r="GE160" s="73"/>
      <c r="GF160" s="25"/>
      <c r="GG160" s="73"/>
      <c r="GH160" s="73"/>
      <c r="GI160" s="345"/>
      <c r="GJ160" s="73"/>
      <c r="GK160" s="25"/>
      <c r="GL160" s="73"/>
      <c r="GM160" s="73"/>
      <c r="GN160" s="345"/>
      <c r="GO160" s="73"/>
      <c r="GP160" s="25"/>
      <c r="GQ160" s="73"/>
      <c r="GR160" s="73"/>
      <c r="GS160" s="345"/>
      <c r="GT160" s="73"/>
      <c r="GU160" s="25"/>
      <c r="GV160" s="73"/>
      <c r="GW160" s="73"/>
      <c r="GX160" s="345"/>
      <c r="GY160" s="73"/>
      <c r="GZ160" s="25"/>
      <c r="HA160" s="73"/>
      <c r="HB160" s="73"/>
      <c r="HC160" s="345"/>
      <c r="HD160" s="73"/>
      <c r="HE160" s="25"/>
      <c r="HF160" s="73"/>
      <c r="HG160" s="73"/>
      <c r="HH160" s="345"/>
      <c r="HI160" s="73"/>
      <c r="HJ160" s="25"/>
      <c r="HK160" s="73"/>
      <c r="HL160" s="73"/>
      <c r="HM160" s="345"/>
      <c r="HN160" s="73"/>
      <c r="HO160" s="25"/>
      <c r="HP160" s="73"/>
      <c r="HQ160" s="73"/>
      <c r="HR160" s="345"/>
      <c r="HS160" s="73"/>
      <c r="HT160" s="25"/>
      <c r="HU160" s="73"/>
      <c r="HV160" s="73"/>
      <c r="HW160" s="345"/>
      <c r="HX160" s="73"/>
      <c r="HY160" s="25"/>
      <c r="HZ160" s="73"/>
      <c r="IA160" s="73"/>
      <c r="IB160" s="345"/>
      <c r="IC160" s="73"/>
      <c r="ID160" s="25"/>
      <c r="IE160" s="73"/>
      <c r="IF160" s="73"/>
      <c r="IG160" s="345"/>
      <c r="IH160" s="73"/>
      <c r="II160" s="25"/>
      <c r="IJ160" s="73"/>
      <c r="IK160" s="73"/>
      <c r="IL160" s="345"/>
      <c r="IM160" s="73"/>
      <c r="IN160" s="25"/>
      <c r="IO160" s="73"/>
      <c r="IP160" s="73"/>
      <c r="IQ160" s="345"/>
      <c r="IR160" s="73"/>
      <c r="IS160" s="25"/>
      <c r="IT160" s="73"/>
      <c r="IU160" s="73"/>
      <c r="IV160" s="345"/>
    </row>
    <row r="161" spans="1:256" x14ac:dyDescent="0.2">
      <c r="A161" s="345">
        <v>32416</v>
      </c>
      <c r="B161" s="73"/>
      <c r="C161" s="25"/>
      <c r="D161" s="73"/>
      <c r="E161" s="73"/>
      <c r="F161" s="345"/>
      <c r="G161" s="73"/>
      <c r="H161" s="25"/>
      <c r="I161" s="73"/>
      <c r="J161" s="73"/>
      <c r="K161" s="345"/>
      <c r="L161" s="73"/>
      <c r="M161" s="25"/>
      <c r="N161" s="73"/>
      <c r="O161" s="73"/>
      <c r="P161" s="345"/>
      <c r="Q161" s="73"/>
      <c r="R161" s="25"/>
      <c r="S161" s="73"/>
      <c r="T161" s="73"/>
      <c r="U161" s="345"/>
      <c r="V161" s="73"/>
      <c r="W161" s="25"/>
      <c r="X161" s="73"/>
      <c r="Y161" s="73"/>
      <c r="Z161" s="345"/>
      <c r="AA161" s="73"/>
      <c r="AB161" s="25"/>
      <c r="AC161" s="73"/>
      <c r="AD161" s="73"/>
      <c r="AE161" s="345"/>
      <c r="AF161" s="73"/>
      <c r="AG161" s="25"/>
      <c r="AH161" s="73"/>
      <c r="AI161" s="73"/>
      <c r="AJ161" s="345"/>
      <c r="AK161" s="73"/>
      <c r="AL161" s="25"/>
      <c r="AM161" s="73"/>
      <c r="AN161" s="73"/>
      <c r="AO161" s="345"/>
      <c r="AP161" s="73"/>
      <c r="AQ161" s="25"/>
      <c r="AR161" s="73"/>
      <c r="AS161" s="73"/>
      <c r="AT161" s="345"/>
      <c r="AU161" s="73"/>
      <c r="AV161" s="25"/>
      <c r="AW161" s="73"/>
      <c r="AX161" s="73"/>
      <c r="AY161" s="345"/>
      <c r="AZ161" s="73"/>
      <c r="BA161" s="25"/>
      <c r="BB161" s="73"/>
      <c r="BC161" s="73"/>
      <c r="BD161" s="345"/>
      <c r="BE161" s="73"/>
      <c r="BF161" s="25"/>
      <c r="BG161" s="73"/>
      <c r="BH161" s="73"/>
      <c r="BI161" s="345"/>
      <c r="BJ161" s="73"/>
      <c r="BK161" s="25"/>
      <c r="BL161" s="73"/>
      <c r="BM161" s="73"/>
      <c r="BN161" s="345"/>
      <c r="BO161" s="73"/>
      <c r="BP161" s="25"/>
      <c r="BQ161" s="73"/>
      <c r="BR161" s="73"/>
      <c r="BS161" s="345"/>
      <c r="BT161" s="73"/>
      <c r="BU161" s="25"/>
      <c r="BV161" s="73"/>
      <c r="BW161" s="73"/>
      <c r="BX161" s="345"/>
      <c r="BY161" s="73"/>
      <c r="BZ161" s="25"/>
      <c r="CA161" s="73"/>
      <c r="CB161" s="73"/>
      <c r="CC161" s="345"/>
      <c r="CD161" s="73"/>
      <c r="CE161" s="25"/>
      <c r="CF161" s="73"/>
      <c r="CG161" s="73"/>
      <c r="CH161" s="345"/>
      <c r="CI161" s="73"/>
      <c r="CJ161" s="25"/>
      <c r="CK161" s="73"/>
      <c r="CL161" s="73"/>
      <c r="CM161" s="345"/>
      <c r="CN161" s="73"/>
      <c r="CO161" s="25"/>
      <c r="CP161" s="73"/>
      <c r="CQ161" s="73"/>
      <c r="CR161" s="345"/>
      <c r="CS161" s="73"/>
      <c r="CT161" s="25"/>
      <c r="CU161" s="73"/>
      <c r="CV161" s="73"/>
      <c r="CW161" s="345"/>
      <c r="CX161" s="73"/>
      <c r="CY161" s="25"/>
      <c r="CZ161" s="73"/>
      <c r="DA161" s="73"/>
      <c r="DB161" s="345"/>
      <c r="DC161" s="73"/>
      <c r="DD161" s="25"/>
      <c r="DE161" s="73"/>
      <c r="DF161" s="73"/>
      <c r="DG161" s="345"/>
      <c r="DH161" s="73"/>
      <c r="DI161" s="25"/>
      <c r="DJ161" s="73"/>
      <c r="DK161" s="73"/>
      <c r="DL161" s="345"/>
      <c r="DM161" s="73"/>
      <c r="DN161" s="25"/>
      <c r="DO161" s="73"/>
      <c r="DP161" s="73"/>
      <c r="DQ161" s="345"/>
      <c r="DR161" s="73"/>
      <c r="DS161" s="25"/>
      <c r="DT161" s="73"/>
      <c r="DU161" s="73"/>
      <c r="DV161" s="345"/>
      <c r="DW161" s="73"/>
      <c r="DX161" s="25"/>
      <c r="DY161" s="73"/>
      <c r="DZ161" s="73"/>
      <c r="EA161" s="345"/>
      <c r="EB161" s="73"/>
      <c r="EC161" s="25"/>
      <c r="ED161" s="73"/>
      <c r="EE161" s="73"/>
      <c r="EF161" s="345"/>
      <c r="EG161" s="73"/>
      <c r="EH161" s="25"/>
      <c r="EI161" s="73"/>
      <c r="EJ161" s="73"/>
      <c r="EK161" s="345"/>
      <c r="EL161" s="73"/>
      <c r="EM161" s="25"/>
      <c r="EN161" s="73"/>
      <c r="EO161" s="73"/>
      <c r="EP161" s="345"/>
      <c r="EQ161" s="73"/>
      <c r="ER161" s="25"/>
      <c r="ES161" s="73"/>
      <c r="ET161" s="73"/>
      <c r="EU161" s="345"/>
      <c r="EV161" s="73"/>
      <c r="EW161" s="25"/>
      <c r="EX161" s="73"/>
      <c r="EY161" s="73"/>
      <c r="EZ161" s="345"/>
      <c r="FA161" s="73"/>
      <c r="FB161" s="25"/>
      <c r="FC161" s="73"/>
      <c r="FD161" s="73"/>
      <c r="FE161" s="345"/>
      <c r="FF161" s="73"/>
      <c r="FG161" s="25"/>
      <c r="FH161" s="73"/>
      <c r="FI161" s="73"/>
      <c r="FJ161" s="345"/>
      <c r="FK161" s="73"/>
      <c r="FL161" s="25"/>
      <c r="FM161" s="73"/>
      <c r="FN161" s="73"/>
      <c r="FO161" s="345"/>
      <c r="FP161" s="73"/>
      <c r="FQ161" s="25"/>
      <c r="FR161" s="73"/>
      <c r="FS161" s="73"/>
      <c r="FT161" s="345"/>
      <c r="FU161" s="73"/>
      <c r="FV161" s="25"/>
      <c r="FW161" s="73"/>
      <c r="FX161" s="73"/>
      <c r="FY161" s="345"/>
      <c r="FZ161" s="73"/>
      <c r="GA161" s="25"/>
      <c r="GB161" s="73"/>
      <c r="GC161" s="73"/>
      <c r="GD161" s="345"/>
      <c r="GE161" s="73"/>
      <c r="GF161" s="25"/>
      <c r="GG161" s="73"/>
      <c r="GH161" s="73"/>
      <c r="GI161" s="345"/>
      <c r="GJ161" s="73"/>
      <c r="GK161" s="25"/>
      <c r="GL161" s="73"/>
      <c r="GM161" s="73"/>
      <c r="GN161" s="345"/>
      <c r="GO161" s="73"/>
      <c r="GP161" s="25"/>
      <c r="GQ161" s="73"/>
      <c r="GR161" s="73"/>
      <c r="GS161" s="345"/>
      <c r="GT161" s="73"/>
      <c r="GU161" s="25"/>
      <c r="GV161" s="73"/>
      <c r="GW161" s="73"/>
      <c r="GX161" s="345"/>
      <c r="GY161" s="73"/>
      <c r="GZ161" s="25"/>
      <c r="HA161" s="73"/>
      <c r="HB161" s="73"/>
      <c r="HC161" s="345"/>
      <c r="HD161" s="73"/>
      <c r="HE161" s="25"/>
      <c r="HF161" s="73"/>
      <c r="HG161" s="73"/>
      <c r="HH161" s="345"/>
      <c r="HI161" s="73"/>
      <c r="HJ161" s="25"/>
      <c r="HK161" s="73"/>
      <c r="HL161" s="73"/>
      <c r="HM161" s="345"/>
      <c r="HN161" s="73"/>
      <c r="HO161" s="25"/>
      <c r="HP161" s="73"/>
      <c r="HQ161" s="73"/>
      <c r="HR161" s="345"/>
      <c r="HS161" s="73"/>
      <c r="HT161" s="25"/>
      <c r="HU161" s="73"/>
      <c r="HV161" s="73"/>
      <c r="HW161" s="345"/>
      <c r="HX161" s="73"/>
      <c r="HY161" s="25"/>
      <c r="HZ161" s="73"/>
      <c r="IA161" s="73"/>
      <c r="IB161" s="345"/>
      <c r="IC161" s="73"/>
      <c r="ID161" s="25"/>
      <c r="IE161" s="73"/>
      <c r="IF161" s="73"/>
      <c r="IG161" s="345"/>
      <c r="IH161" s="73"/>
      <c r="II161" s="25"/>
      <c r="IJ161" s="73"/>
      <c r="IK161" s="73"/>
      <c r="IL161" s="345"/>
      <c r="IM161" s="73"/>
      <c r="IN161" s="25"/>
      <c r="IO161" s="73"/>
      <c r="IP161" s="73"/>
      <c r="IQ161" s="345"/>
      <c r="IR161" s="73"/>
      <c r="IS161" s="25"/>
      <c r="IT161" s="73"/>
      <c r="IU161" s="73"/>
      <c r="IV161" s="345"/>
    </row>
    <row r="162" spans="1:256" x14ac:dyDescent="0.2">
      <c r="A162" s="345">
        <v>32447</v>
      </c>
      <c r="B162" s="73"/>
      <c r="C162" s="25"/>
      <c r="D162" s="73"/>
      <c r="E162" s="73"/>
      <c r="F162" s="345"/>
      <c r="G162" s="73"/>
      <c r="H162" s="25"/>
      <c r="I162" s="73"/>
      <c r="J162" s="73"/>
      <c r="K162" s="345"/>
      <c r="L162" s="73"/>
      <c r="M162" s="25"/>
      <c r="N162" s="73"/>
      <c r="O162" s="73"/>
      <c r="P162" s="345"/>
      <c r="Q162" s="73"/>
      <c r="R162" s="25"/>
      <c r="S162" s="73"/>
      <c r="T162" s="73"/>
      <c r="U162" s="345"/>
      <c r="V162" s="73"/>
      <c r="W162" s="25"/>
      <c r="X162" s="73"/>
      <c r="Y162" s="73"/>
      <c r="Z162" s="345"/>
      <c r="AA162" s="73"/>
      <c r="AB162" s="25"/>
      <c r="AC162" s="73"/>
      <c r="AD162" s="73"/>
      <c r="AE162" s="345"/>
      <c r="AF162" s="73"/>
      <c r="AG162" s="25"/>
      <c r="AH162" s="73"/>
      <c r="AI162" s="73"/>
      <c r="AJ162" s="345"/>
      <c r="AK162" s="73"/>
      <c r="AL162" s="25"/>
      <c r="AM162" s="73"/>
      <c r="AN162" s="73"/>
      <c r="AO162" s="345"/>
      <c r="AP162" s="73"/>
      <c r="AQ162" s="25"/>
      <c r="AR162" s="73"/>
      <c r="AS162" s="73"/>
      <c r="AT162" s="345"/>
      <c r="AU162" s="73"/>
      <c r="AV162" s="25"/>
      <c r="AW162" s="73"/>
      <c r="AX162" s="73"/>
      <c r="AY162" s="345"/>
      <c r="AZ162" s="73"/>
      <c r="BA162" s="25"/>
      <c r="BB162" s="73"/>
      <c r="BC162" s="73"/>
      <c r="BD162" s="345"/>
      <c r="BE162" s="73"/>
      <c r="BF162" s="25"/>
      <c r="BG162" s="73"/>
      <c r="BH162" s="73"/>
      <c r="BI162" s="345"/>
      <c r="BJ162" s="73"/>
      <c r="BK162" s="25"/>
      <c r="BL162" s="73"/>
      <c r="BM162" s="73"/>
      <c r="BN162" s="345"/>
      <c r="BO162" s="73"/>
      <c r="BP162" s="25"/>
      <c r="BQ162" s="73"/>
      <c r="BR162" s="73"/>
      <c r="BS162" s="345"/>
      <c r="BT162" s="73"/>
      <c r="BU162" s="25"/>
      <c r="BV162" s="73"/>
      <c r="BW162" s="73"/>
      <c r="BX162" s="345"/>
      <c r="BY162" s="73"/>
      <c r="BZ162" s="25"/>
      <c r="CA162" s="73"/>
      <c r="CB162" s="73"/>
      <c r="CC162" s="345"/>
      <c r="CD162" s="73"/>
      <c r="CE162" s="25"/>
      <c r="CF162" s="73"/>
      <c r="CG162" s="73"/>
      <c r="CH162" s="345"/>
      <c r="CI162" s="73"/>
      <c r="CJ162" s="25"/>
      <c r="CK162" s="73"/>
      <c r="CL162" s="73"/>
      <c r="CM162" s="345"/>
      <c r="CN162" s="73"/>
      <c r="CO162" s="25"/>
      <c r="CP162" s="73"/>
      <c r="CQ162" s="73"/>
      <c r="CR162" s="345"/>
      <c r="CS162" s="73"/>
      <c r="CT162" s="25"/>
      <c r="CU162" s="73"/>
      <c r="CV162" s="73"/>
      <c r="CW162" s="345"/>
      <c r="CX162" s="73"/>
      <c r="CY162" s="25"/>
      <c r="CZ162" s="73"/>
      <c r="DA162" s="73"/>
      <c r="DB162" s="345"/>
      <c r="DC162" s="73"/>
      <c r="DD162" s="25"/>
      <c r="DE162" s="73"/>
      <c r="DF162" s="73"/>
      <c r="DG162" s="345"/>
      <c r="DH162" s="73"/>
      <c r="DI162" s="25"/>
      <c r="DJ162" s="73"/>
      <c r="DK162" s="73"/>
      <c r="DL162" s="345"/>
      <c r="DM162" s="73"/>
      <c r="DN162" s="25"/>
      <c r="DO162" s="73"/>
      <c r="DP162" s="73"/>
      <c r="DQ162" s="345"/>
      <c r="DR162" s="73"/>
      <c r="DS162" s="25"/>
      <c r="DT162" s="73"/>
      <c r="DU162" s="73"/>
      <c r="DV162" s="345"/>
      <c r="DW162" s="73"/>
      <c r="DX162" s="25"/>
      <c r="DY162" s="73"/>
      <c r="DZ162" s="73"/>
      <c r="EA162" s="345"/>
      <c r="EB162" s="73"/>
      <c r="EC162" s="25"/>
      <c r="ED162" s="73"/>
      <c r="EE162" s="73"/>
      <c r="EF162" s="345"/>
      <c r="EG162" s="73"/>
      <c r="EH162" s="25"/>
      <c r="EI162" s="73"/>
      <c r="EJ162" s="73"/>
      <c r="EK162" s="345"/>
      <c r="EL162" s="73"/>
      <c r="EM162" s="25"/>
      <c r="EN162" s="73"/>
      <c r="EO162" s="73"/>
      <c r="EP162" s="345"/>
      <c r="EQ162" s="73"/>
      <c r="ER162" s="25"/>
      <c r="ES162" s="73"/>
      <c r="ET162" s="73"/>
      <c r="EU162" s="345"/>
      <c r="EV162" s="73"/>
      <c r="EW162" s="25"/>
      <c r="EX162" s="73"/>
      <c r="EY162" s="73"/>
      <c r="EZ162" s="345"/>
      <c r="FA162" s="73"/>
      <c r="FB162" s="25"/>
      <c r="FC162" s="73"/>
      <c r="FD162" s="73"/>
      <c r="FE162" s="345"/>
      <c r="FF162" s="73"/>
      <c r="FG162" s="25"/>
      <c r="FH162" s="73"/>
      <c r="FI162" s="73"/>
      <c r="FJ162" s="345"/>
      <c r="FK162" s="73"/>
      <c r="FL162" s="25"/>
      <c r="FM162" s="73"/>
      <c r="FN162" s="73"/>
      <c r="FO162" s="345"/>
      <c r="FP162" s="73"/>
      <c r="FQ162" s="25"/>
      <c r="FR162" s="73"/>
      <c r="FS162" s="73"/>
      <c r="FT162" s="345"/>
      <c r="FU162" s="73"/>
      <c r="FV162" s="25"/>
      <c r="FW162" s="73"/>
      <c r="FX162" s="73"/>
      <c r="FY162" s="345"/>
      <c r="FZ162" s="73"/>
      <c r="GA162" s="25"/>
      <c r="GB162" s="73"/>
      <c r="GC162" s="73"/>
      <c r="GD162" s="345"/>
      <c r="GE162" s="73"/>
      <c r="GF162" s="25"/>
      <c r="GG162" s="73"/>
      <c r="GH162" s="73"/>
      <c r="GI162" s="345"/>
      <c r="GJ162" s="73"/>
      <c r="GK162" s="25"/>
      <c r="GL162" s="73"/>
      <c r="GM162" s="73"/>
      <c r="GN162" s="345"/>
      <c r="GO162" s="73"/>
      <c r="GP162" s="25"/>
      <c r="GQ162" s="73"/>
      <c r="GR162" s="73"/>
      <c r="GS162" s="345"/>
      <c r="GT162" s="73"/>
      <c r="GU162" s="25"/>
      <c r="GV162" s="73"/>
      <c r="GW162" s="73"/>
      <c r="GX162" s="345"/>
      <c r="GY162" s="73"/>
      <c r="GZ162" s="25"/>
      <c r="HA162" s="73"/>
      <c r="HB162" s="73"/>
      <c r="HC162" s="345"/>
      <c r="HD162" s="73"/>
      <c r="HE162" s="25"/>
      <c r="HF162" s="73"/>
      <c r="HG162" s="73"/>
      <c r="HH162" s="345"/>
      <c r="HI162" s="73"/>
      <c r="HJ162" s="25"/>
      <c r="HK162" s="73"/>
      <c r="HL162" s="73"/>
      <c r="HM162" s="345"/>
      <c r="HN162" s="73"/>
      <c r="HO162" s="25"/>
      <c r="HP162" s="73"/>
      <c r="HQ162" s="73"/>
      <c r="HR162" s="345"/>
      <c r="HS162" s="73"/>
      <c r="HT162" s="25"/>
      <c r="HU162" s="73"/>
      <c r="HV162" s="73"/>
      <c r="HW162" s="345"/>
      <c r="HX162" s="73"/>
      <c r="HY162" s="25"/>
      <c r="HZ162" s="73"/>
      <c r="IA162" s="73"/>
      <c r="IB162" s="345"/>
      <c r="IC162" s="73"/>
      <c r="ID162" s="25"/>
      <c r="IE162" s="73"/>
      <c r="IF162" s="73"/>
      <c r="IG162" s="345"/>
      <c r="IH162" s="73"/>
      <c r="II162" s="25"/>
      <c r="IJ162" s="73"/>
      <c r="IK162" s="73"/>
      <c r="IL162" s="345"/>
      <c r="IM162" s="73"/>
      <c r="IN162" s="25"/>
      <c r="IO162" s="73"/>
      <c r="IP162" s="73"/>
      <c r="IQ162" s="345"/>
      <c r="IR162" s="73"/>
      <c r="IS162" s="25"/>
      <c r="IT162" s="73"/>
      <c r="IU162" s="73"/>
      <c r="IV162" s="345"/>
    </row>
    <row r="163" spans="1:256" x14ac:dyDescent="0.2">
      <c r="A163" s="345">
        <v>32477</v>
      </c>
      <c r="B163" s="73"/>
      <c r="C163" s="25"/>
      <c r="D163" s="73"/>
      <c r="E163" s="73"/>
      <c r="F163" s="345"/>
      <c r="G163" s="73"/>
      <c r="H163" s="25"/>
      <c r="I163" s="73"/>
      <c r="J163" s="73"/>
      <c r="K163" s="345"/>
      <c r="L163" s="73"/>
      <c r="M163" s="25"/>
      <c r="N163" s="73"/>
      <c r="O163" s="73"/>
      <c r="P163" s="345"/>
      <c r="Q163" s="73"/>
      <c r="R163" s="25"/>
      <c r="S163" s="73"/>
      <c r="T163" s="73"/>
      <c r="U163" s="345"/>
      <c r="V163" s="73"/>
      <c r="W163" s="25"/>
      <c r="X163" s="73"/>
      <c r="Y163" s="73"/>
      <c r="Z163" s="345"/>
      <c r="AA163" s="73"/>
      <c r="AB163" s="25"/>
      <c r="AC163" s="73"/>
      <c r="AD163" s="73"/>
      <c r="AE163" s="345"/>
      <c r="AF163" s="73"/>
      <c r="AG163" s="25"/>
      <c r="AH163" s="73"/>
      <c r="AI163" s="73"/>
      <c r="AJ163" s="345"/>
      <c r="AK163" s="73"/>
      <c r="AL163" s="25"/>
      <c r="AM163" s="73"/>
      <c r="AN163" s="73"/>
      <c r="AO163" s="345"/>
      <c r="AP163" s="73"/>
      <c r="AQ163" s="25"/>
      <c r="AR163" s="73"/>
      <c r="AS163" s="73"/>
      <c r="AT163" s="345"/>
      <c r="AU163" s="73"/>
      <c r="AV163" s="25"/>
      <c r="AW163" s="73"/>
      <c r="AX163" s="73"/>
      <c r="AY163" s="345"/>
      <c r="AZ163" s="73"/>
      <c r="BA163" s="25"/>
      <c r="BB163" s="73"/>
      <c r="BC163" s="73"/>
      <c r="BD163" s="345"/>
      <c r="BE163" s="73"/>
      <c r="BF163" s="25"/>
      <c r="BG163" s="73"/>
      <c r="BH163" s="73"/>
      <c r="BI163" s="345"/>
      <c r="BJ163" s="73"/>
      <c r="BK163" s="25"/>
      <c r="BL163" s="73"/>
      <c r="BM163" s="73"/>
      <c r="BN163" s="345"/>
      <c r="BO163" s="73"/>
      <c r="BP163" s="25"/>
      <c r="BQ163" s="73"/>
      <c r="BR163" s="73"/>
      <c r="BS163" s="345"/>
      <c r="BT163" s="73"/>
      <c r="BU163" s="25"/>
      <c r="BV163" s="73"/>
      <c r="BW163" s="73"/>
      <c r="BX163" s="345"/>
      <c r="BY163" s="73"/>
      <c r="BZ163" s="25"/>
      <c r="CA163" s="73"/>
      <c r="CB163" s="73"/>
      <c r="CC163" s="345"/>
      <c r="CD163" s="73"/>
      <c r="CE163" s="25"/>
      <c r="CF163" s="73"/>
      <c r="CG163" s="73"/>
      <c r="CH163" s="345"/>
      <c r="CI163" s="73"/>
      <c r="CJ163" s="25"/>
      <c r="CK163" s="73"/>
      <c r="CL163" s="73"/>
      <c r="CM163" s="345"/>
      <c r="CN163" s="73"/>
      <c r="CO163" s="25"/>
      <c r="CP163" s="73"/>
      <c r="CQ163" s="73"/>
      <c r="CR163" s="345"/>
      <c r="CS163" s="73"/>
      <c r="CT163" s="25"/>
      <c r="CU163" s="73"/>
      <c r="CV163" s="73"/>
      <c r="CW163" s="345"/>
      <c r="CX163" s="73"/>
      <c r="CY163" s="25"/>
      <c r="CZ163" s="73"/>
      <c r="DA163" s="73"/>
      <c r="DB163" s="345"/>
      <c r="DC163" s="73"/>
      <c r="DD163" s="25"/>
      <c r="DE163" s="73"/>
      <c r="DF163" s="73"/>
      <c r="DG163" s="345"/>
      <c r="DH163" s="73"/>
      <c r="DI163" s="25"/>
      <c r="DJ163" s="73"/>
      <c r="DK163" s="73"/>
      <c r="DL163" s="345"/>
      <c r="DM163" s="73"/>
      <c r="DN163" s="25"/>
      <c r="DO163" s="73"/>
      <c r="DP163" s="73"/>
      <c r="DQ163" s="345"/>
      <c r="DR163" s="73"/>
      <c r="DS163" s="25"/>
      <c r="DT163" s="73"/>
      <c r="DU163" s="73"/>
      <c r="DV163" s="345"/>
      <c r="DW163" s="73"/>
      <c r="DX163" s="25"/>
      <c r="DY163" s="73"/>
      <c r="DZ163" s="73"/>
      <c r="EA163" s="345"/>
      <c r="EB163" s="73"/>
      <c r="EC163" s="25"/>
      <c r="ED163" s="73"/>
      <c r="EE163" s="73"/>
      <c r="EF163" s="345"/>
      <c r="EG163" s="73"/>
      <c r="EH163" s="25"/>
      <c r="EI163" s="73"/>
      <c r="EJ163" s="73"/>
      <c r="EK163" s="345"/>
      <c r="EL163" s="73"/>
      <c r="EM163" s="25"/>
      <c r="EN163" s="73"/>
      <c r="EO163" s="73"/>
      <c r="EP163" s="345"/>
      <c r="EQ163" s="73"/>
      <c r="ER163" s="25"/>
      <c r="ES163" s="73"/>
      <c r="ET163" s="73"/>
      <c r="EU163" s="345"/>
      <c r="EV163" s="73"/>
      <c r="EW163" s="25"/>
      <c r="EX163" s="73"/>
      <c r="EY163" s="73"/>
      <c r="EZ163" s="345"/>
      <c r="FA163" s="73"/>
      <c r="FB163" s="25"/>
      <c r="FC163" s="73"/>
      <c r="FD163" s="73"/>
      <c r="FE163" s="345"/>
      <c r="FF163" s="73"/>
      <c r="FG163" s="25"/>
      <c r="FH163" s="73"/>
      <c r="FI163" s="73"/>
      <c r="FJ163" s="345"/>
      <c r="FK163" s="73"/>
      <c r="FL163" s="25"/>
      <c r="FM163" s="73"/>
      <c r="FN163" s="73"/>
      <c r="FO163" s="345"/>
      <c r="FP163" s="73"/>
      <c r="FQ163" s="25"/>
      <c r="FR163" s="73"/>
      <c r="FS163" s="73"/>
      <c r="FT163" s="345"/>
      <c r="FU163" s="73"/>
      <c r="FV163" s="25"/>
      <c r="FW163" s="73"/>
      <c r="FX163" s="73"/>
      <c r="FY163" s="345"/>
      <c r="FZ163" s="73"/>
      <c r="GA163" s="25"/>
      <c r="GB163" s="73"/>
      <c r="GC163" s="73"/>
      <c r="GD163" s="345"/>
      <c r="GE163" s="73"/>
      <c r="GF163" s="25"/>
      <c r="GG163" s="73"/>
      <c r="GH163" s="73"/>
      <c r="GI163" s="345"/>
      <c r="GJ163" s="73"/>
      <c r="GK163" s="25"/>
      <c r="GL163" s="73"/>
      <c r="GM163" s="73"/>
      <c r="GN163" s="345"/>
      <c r="GO163" s="73"/>
      <c r="GP163" s="25"/>
      <c r="GQ163" s="73"/>
      <c r="GR163" s="73"/>
      <c r="GS163" s="345"/>
      <c r="GT163" s="73"/>
      <c r="GU163" s="25"/>
      <c r="GV163" s="73"/>
      <c r="GW163" s="73"/>
      <c r="GX163" s="345"/>
      <c r="GY163" s="73"/>
      <c r="GZ163" s="25"/>
      <c r="HA163" s="73"/>
      <c r="HB163" s="73"/>
      <c r="HC163" s="345"/>
      <c r="HD163" s="73"/>
      <c r="HE163" s="25"/>
      <c r="HF163" s="73"/>
      <c r="HG163" s="73"/>
      <c r="HH163" s="345"/>
      <c r="HI163" s="73"/>
      <c r="HJ163" s="25"/>
      <c r="HK163" s="73"/>
      <c r="HL163" s="73"/>
      <c r="HM163" s="345"/>
      <c r="HN163" s="73"/>
      <c r="HO163" s="25"/>
      <c r="HP163" s="73"/>
      <c r="HQ163" s="73"/>
      <c r="HR163" s="345"/>
      <c r="HS163" s="73"/>
      <c r="HT163" s="25"/>
      <c r="HU163" s="73"/>
      <c r="HV163" s="73"/>
      <c r="HW163" s="345"/>
      <c r="HX163" s="73"/>
      <c r="HY163" s="25"/>
      <c r="HZ163" s="73"/>
      <c r="IA163" s="73"/>
      <c r="IB163" s="345"/>
      <c r="IC163" s="73"/>
      <c r="ID163" s="25"/>
      <c r="IE163" s="73"/>
      <c r="IF163" s="73"/>
      <c r="IG163" s="345"/>
      <c r="IH163" s="73"/>
      <c r="II163" s="25"/>
      <c r="IJ163" s="73"/>
      <c r="IK163" s="73"/>
      <c r="IL163" s="345"/>
      <c r="IM163" s="73"/>
      <c r="IN163" s="25"/>
      <c r="IO163" s="73"/>
      <c r="IP163" s="73"/>
      <c r="IQ163" s="345"/>
      <c r="IR163" s="73"/>
      <c r="IS163" s="25"/>
      <c r="IT163" s="73"/>
      <c r="IU163" s="73"/>
      <c r="IV163" s="345"/>
    </row>
    <row r="164" spans="1:256" x14ac:dyDescent="0.2">
      <c r="A164" s="345">
        <v>32508</v>
      </c>
      <c r="B164" s="73"/>
      <c r="C164" s="25"/>
      <c r="D164" s="73"/>
      <c r="E164" s="73"/>
      <c r="F164" s="345"/>
      <c r="G164" s="73"/>
      <c r="H164" s="25"/>
      <c r="I164" s="73"/>
      <c r="J164" s="73"/>
      <c r="K164" s="345"/>
      <c r="L164" s="73"/>
      <c r="M164" s="25"/>
      <c r="N164" s="73"/>
      <c r="O164" s="73"/>
      <c r="P164" s="345"/>
      <c r="Q164" s="73"/>
      <c r="R164" s="25"/>
      <c r="S164" s="73"/>
      <c r="T164" s="73"/>
      <c r="U164" s="345"/>
      <c r="V164" s="73"/>
      <c r="W164" s="25"/>
      <c r="X164" s="73"/>
      <c r="Y164" s="73"/>
      <c r="Z164" s="345"/>
      <c r="AA164" s="73"/>
      <c r="AB164" s="25"/>
      <c r="AC164" s="73"/>
      <c r="AD164" s="73"/>
      <c r="AE164" s="345"/>
      <c r="AF164" s="73"/>
      <c r="AG164" s="25"/>
      <c r="AH164" s="73"/>
      <c r="AI164" s="73"/>
      <c r="AJ164" s="345"/>
      <c r="AK164" s="73"/>
      <c r="AL164" s="25"/>
      <c r="AM164" s="73"/>
      <c r="AN164" s="73"/>
      <c r="AO164" s="345"/>
      <c r="AP164" s="73"/>
      <c r="AQ164" s="25"/>
      <c r="AR164" s="73"/>
      <c r="AS164" s="73"/>
      <c r="AT164" s="345"/>
      <c r="AU164" s="73"/>
      <c r="AV164" s="25"/>
      <c r="AW164" s="73"/>
      <c r="AX164" s="73"/>
      <c r="AY164" s="345"/>
      <c r="AZ164" s="73"/>
      <c r="BA164" s="25"/>
      <c r="BB164" s="73"/>
      <c r="BC164" s="73"/>
      <c r="BD164" s="345"/>
      <c r="BE164" s="73"/>
      <c r="BF164" s="25"/>
      <c r="BG164" s="73"/>
      <c r="BH164" s="73"/>
      <c r="BI164" s="345"/>
      <c r="BJ164" s="73"/>
      <c r="BK164" s="25"/>
      <c r="BL164" s="73"/>
      <c r="BM164" s="73"/>
      <c r="BN164" s="345"/>
      <c r="BO164" s="73"/>
      <c r="BP164" s="25"/>
      <c r="BQ164" s="73"/>
      <c r="BR164" s="73"/>
      <c r="BS164" s="345"/>
      <c r="BT164" s="73"/>
      <c r="BU164" s="25"/>
      <c r="BV164" s="73"/>
      <c r="BW164" s="73"/>
      <c r="BX164" s="345"/>
      <c r="BY164" s="73"/>
      <c r="BZ164" s="25"/>
      <c r="CA164" s="73"/>
      <c r="CB164" s="73"/>
      <c r="CC164" s="345"/>
      <c r="CD164" s="73"/>
      <c r="CE164" s="25"/>
      <c r="CF164" s="73"/>
      <c r="CG164" s="73"/>
      <c r="CH164" s="345"/>
      <c r="CI164" s="73"/>
      <c r="CJ164" s="25"/>
      <c r="CK164" s="73"/>
      <c r="CL164" s="73"/>
      <c r="CM164" s="345"/>
      <c r="CN164" s="73"/>
      <c r="CO164" s="25"/>
      <c r="CP164" s="73"/>
      <c r="CQ164" s="73"/>
      <c r="CR164" s="345"/>
      <c r="CS164" s="73"/>
      <c r="CT164" s="25"/>
      <c r="CU164" s="73"/>
      <c r="CV164" s="73"/>
      <c r="CW164" s="345"/>
      <c r="CX164" s="73"/>
      <c r="CY164" s="25"/>
      <c r="CZ164" s="73"/>
      <c r="DA164" s="73"/>
      <c r="DB164" s="345"/>
      <c r="DC164" s="73"/>
      <c r="DD164" s="25"/>
      <c r="DE164" s="73"/>
      <c r="DF164" s="73"/>
      <c r="DG164" s="345"/>
      <c r="DH164" s="73"/>
      <c r="DI164" s="25"/>
      <c r="DJ164" s="73"/>
      <c r="DK164" s="73"/>
      <c r="DL164" s="345"/>
      <c r="DM164" s="73"/>
      <c r="DN164" s="25"/>
      <c r="DO164" s="73"/>
      <c r="DP164" s="73"/>
      <c r="DQ164" s="345"/>
      <c r="DR164" s="73"/>
      <c r="DS164" s="25"/>
      <c r="DT164" s="73"/>
      <c r="DU164" s="73"/>
      <c r="DV164" s="345"/>
      <c r="DW164" s="73"/>
      <c r="DX164" s="25"/>
      <c r="DY164" s="73"/>
      <c r="DZ164" s="73"/>
      <c r="EA164" s="345"/>
      <c r="EB164" s="73"/>
      <c r="EC164" s="25"/>
      <c r="ED164" s="73"/>
      <c r="EE164" s="73"/>
      <c r="EF164" s="345"/>
      <c r="EG164" s="73"/>
      <c r="EH164" s="25"/>
      <c r="EI164" s="73"/>
      <c r="EJ164" s="73"/>
      <c r="EK164" s="345"/>
      <c r="EL164" s="73"/>
      <c r="EM164" s="25"/>
      <c r="EN164" s="73"/>
      <c r="EO164" s="73"/>
      <c r="EP164" s="345"/>
      <c r="EQ164" s="73"/>
      <c r="ER164" s="25"/>
      <c r="ES164" s="73"/>
      <c r="ET164" s="73"/>
      <c r="EU164" s="345"/>
      <c r="EV164" s="73"/>
      <c r="EW164" s="25"/>
      <c r="EX164" s="73"/>
      <c r="EY164" s="73"/>
      <c r="EZ164" s="345"/>
      <c r="FA164" s="73"/>
      <c r="FB164" s="25"/>
      <c r="FC164" s="73"/>
      <c r="FD164" s="73"/>
      <c r="FE164" s="345"/>
      <c r="FF164" s="73"/>
      <c r="FG164" s="25"/>
      <c r="FH164" s="73"/>
      <c r="FI164" s="73"/>
      <c r="FJ164" s="345"/>
      <c r="FK164" s="73"/>
      <c r="FL164" s="25"/>
      <c r="FM164" s="73"/>
      <c r="FN164" s="73"/>
      <c r="FO164" s="345"/>
      <c r="FP164" s="73"/>
      <c r="FQ164" s="25"/>
      <c r="FR164" s="73"/>
      <c r="FS164" s="73"/>
      <c r="FT164" s="345"/>
      <c r="FU164" s="73"/>
      <c r="FV164" s="25"/>
      <c r="FW164" s="73"/>
      <c r="FX164" s="73"/>
      <c r="FY164" s="345"/>
      <c r="FZ164" s="73"/>
      <c r="GA164" s="25"/>
      <c r="GB164" s="73"/>
      <c r="GC164" s="73"/>
      <c r="GD164" s="345"/>
      <c r="GE164" s="73"/>
      <c r="GF164" s="25"/>
      <c r="GG164" s="73"/>
      <c r="GH164" s="73"/>
      <c r="GI164" s="345"/>
      <c r="GJ164" s="73"/>
      <c r="GK164" s="25"/>
      <c r="GL164" s="73"/>
      <c r="GM164" s="73"/>
      <c r="GN164" s="345"/>
      <c r="GO164" s="73"/>
      <c r="GP164" s="25"/>
      <c r="GQ164" s="73"/>
      <c r="GR164" s="73"/>
      <c r="GS164" s="345"/>
      <c r="GT164" s="73"/>
      <c r="GU164" s="25"/>
      <c r="GV164" s="73"/>
      <c r="GW164" s="73"/>
      <c r="GX164" s="345"/>
      <c r="GY164" s="73"/>
      <c r="GZ164" s="25"/>
      <c r="HA164" s="73"/>
      <c r="HB164" s="73"/>
      <c r="HC164" s="345"/>
      <c r="HD164" s="73"/>
      <c r="HE164" s="25"/>
      <c r="HF164" s="73"/>
      <c r="HG164" s="73"/>
      <c r="HH164" s="345"/>
      <c r="HI164" s="73"/>
      <c r="HJ164" s="25"/>
      <c r="HK164" s="73"/>
      <c r="HL164" s="73"/>
      <c r="HM164" s="345"/>
      <c r="HN164" s="73"/>
      <c r="HO164" s="25"/>
      <c r="HP164" s="73"/>
      <c r="HQ164" s="73"/>
      <c r="HR164" s="345"/>
      <c r="HS164" s="73"/>
      <c r="HT164" s="25"/>
      <c r="HU164" s="73"/>
      <c r="HV164" s="73"/>
      <c r="HW164" s="345"/>
      <c r="HX164" s="73"/>
      <c r="HY164" s="25"/>
      <c r="HZ164" s="73"/>
      <c r="IA164" s="73"/>
      <c r="IB164" s="345"/>
      <c r="IC164" s="73"/>
      <c r="ID164" s="25"/>
      <c r="IE164" s="73"/>
      <c r="IF164" s="73"/>
      <c r="IG164" s="345"/>
      <c r="IH164" s="73"/>
      <c r="II164" s="25"/>
      <c r="IJ164" s="73"/>
      <c r="IK164" s="73"/>
      <c r="IL164" s="345"/>
      <c r="IM164" s="73"/>
      <c r="IN164" s="25"/>
      <c r="IO164" s="73"/>
      <c r="IP164" s="73"/>
      <c r="IQ164" s="345"/>
      <c r="IR164" s="73"/>
      <c r="IS164" s="25"/>
      <c r="IT164" s="73"/>
      <c r="IU164" s="73"/>
      <c r="IV164" s="345"/>
    </row>
    <row r="165" spans="1:256" x14ac:dyDescent="0.2">
      <c r="A165" s="345">
        <v>32539</v>
      </c>
      <c r="B165" s="73"/>
      <c r="C165" s="25"/>
      <c r="D165" s="73"/>
      <c r="E165" s="73"/>
      <c r="F165" s="345"/>
      <c r="G165" s="73"/>
      <c r="H165" s="25"/>
      <c r="I165" s="73"/>
      <c r="J165" s="73"/>
      <c r="K165" s="345"/>
      <c r="L165" s="73"/>
      <c r="M165" s="25"/>
      <c r="N165" s="73"/>
      <c r="O165" s="73"/>
      <c r="P165" s="345"/>
      <c r="Q165" s="73"/>
      <c r="R165" s="25"/>
      <c r="S165" s="73"/>
      <c r="T165" s="73"/>
      <c r="U165" s="345"/>
      <c r="V165" s="73"/>
      <c r="W165" s="25"/>
      <c r="X165" s="73"/>
      <c r="Y165" s="73"/>
      <c r="Z165" s="345"/>
      <c r="AA165" s="73"/>
      <c r="AB165" s="25"/>
      <c r="AC165" s="73"/>
      <c r="AD165" s="73"/>
      <c r="AE165" s="345"/>
      <c r="AF165" s="73"/>
      <c r="AG165" s="25"/>
      <c r="AH165" s="73"/>
      <c r="AI165" s="73"/>
      <c r="AJ165" s="345"/>
      <c r="AK165" s="73"/>
      <c r="AL165" s="25"/>
      <c r="AM165" s="73"/>
      <c r="AN165" s="73"/>
      <c r="AO165" s="345"/>
      <c r="AP165" s="73"/>
      <c r="AQ165" s="25"/>
      <c r="AR165" s="73"/>
      <c r="AS165" s="73"/>
      <c r="AT165" s="345"/>
      <c r="AU165" s="73"/>
      <c r="AV165" s="25"/>
      <c r="AW165" s="73"/>
      <c r="AX165" s="73"/>
      <c r="AY165" s="345"/>
      <c r="AZ165" s="73"/>
      <c r="BA165" s="25"/>
      <c r="BB165" s="73"/>
      <c r="BC165" s="73"/>
      <c r="BD165" s="345"/>
      <c r="BE165" s="73"/>
      <c r="BF165" s="25"/>
      <c r="BG165" s="73"/>
      <c r="BH165" s="73"/>
      <c r="BI165" s="345"/>
      <c r="BJ165" s="73"/>
      <c r="BK165" s="25"/>
      <c r="BL165" s="73"/>
      <c r="BM165" s="73"/>
      <c r="BN165" s="345"/>
      <c r="BO165" s="73"/>
      <c r="BP165" s="25"/>
      <c r="BQ165" s="73"/>
      <c r="BR165" s="73"/>
      <c r="BS165" s="345"/>
      <c r="BT165" s="73"/>
      <c r="BU165" s="25"/>
      <c r="BV165" s="73"/>
      <c r="BW165" s="73"/>
      <c r="BX165" s="345"/>
      <c r="BY165" s="73"/>
      <c r="BZ165" s="25"/>
      <c r="CA165" s="73"/>
      <c r="CB165" s="73"/>
      <c r="CC165" s="345"/>
      <c r="CD165" s="73"/>
      <c r="CE165" s="25"/>
      <c r="CF165" s="73"/>
      <c r="CG165" s="73"/>
      <c r="CH165" s="345"/>
      <c r="CI165" s="73"/>
      <c r="CJ165" s="25"/>
      <c r="CK165" s="73"/>
      <c r="CL165" s="73"/>
      <c r="CM165" s="345"/>
      <c r="CN165" s="73"/>
      <c r="CO165" s="25"/>
      <c r="CP165" s="73"/>
      <c r="CQ165" s="73"/>
      <c r="CR165" s="345"/>
      <c r="CS165" s="73"/>
      <c r="CT165" s="25"/>
      <c r="CU165" s="73"/>
      <c r="CV165" s="73"/>
      <c r="CW165" s="345"/>
      <c r="CX165" s="73"/>
      <c r="CY165" s="25"/>
      <c r="CZ165" s="73"/>
      <c r="DA165" s="73"/>
      <c r="DB165" s="345"/>
      <c r="DC165" s="73"/>
      <c r="DD165" s="25"/>
      <c r="DE165" s="73"/>
      <c r="DF165" s="73"/>
      <c r="DG165" s="345"/>
      <c r="DH165" s="73"/>
      <c r="DI165" s="25"/>
      <c r="DJ165" s="73"/>
      <c r="DK165" s="73"/>
      <c r="DL165" s="345"/>
      <c r="DM165" s="73"/>
      <c r="DN165" s="25"/>
      <c r="DO165" s="73"/>
      <c r="DP165" s="73"/>
      <c r="DQ165" s="345"/>
      <c r="DR165" s="73"/>
      <c r="DS165" s="25"/>
      <c r="DT165" s="73"/>
      <c r="DU165" s="73"/>
      <c r="DV165" s="345"/>
      <c r="DW165" s="73"/>
      <c r="DX165" s="25"/>
      <c r="DY165" s="73"/>
      <c r="DZ165" s="73"/>
      <c r="EA165" s="345"/>
      <c r="EB165" s="73"/>
      <c r="EC165" s="25"/>
      <c r="ED165" s="73"/>
      <c r="EE165" s="73"/>
      <c r="EF165" s="345"/>
      <c r="EG165" s="73"/>
      <c r="EH165" s="25"/>
      <c r="EI165" s="73"/>
      <c r="EJ165" s="73"/>
      <c r="EK165" s="345"/>
      <c r="EL165" s="73"/>
      <c r="EM165" s="25"/>
      <c r="EN165" s="73"/>
      <c r="EO165" s="73"/>
      <c r="EP165" s="345"/>
      <c r="EQ165" s="73"/>
      <c r="ER165" s="25"/>
      <c r="ES165" s="73"/>
      <c r="ET165" s="73"/>
      <c r="EU165" s="345"/>
      <c r="EV165" s="73"/>
      <c r="EW165" s="25"/>
      <c r="EX165" s="73"/>
      <c r="EY165" s="73"/>
      <c r="EZ165" s="345"/>
      <c r="FA165" s="73"/>
      <c r="FB165" s="25"/>
      <c r="FC165" s="73"/>
      <c r="FD165" s="73"/>
      <c r="FE165" s="345"/>
      <c r="FF165" s="73"/>
      <c r="FG165" s="25"/>
      <c r="FH165" s="73"/>
      <c r="FI165" s="73"/>
      <c r="FJ165" s="345"/>
      <c r="FK165" s="73"/>
      <c r="FL165" s="25"/>
      <c r="FM165" s="73"/>
      <c r="FN165" s="73"/>
      <c r="FO165" s="345"/>
      <c r="FP165" s="73"/>
      <c r="FQ165" s="25"/>
      <c r="FR165" s="73"/>
      <c r="FS165" s="73"/>
      <c r="FT165" s="345"/>
      <c r="FU165" s="73"/>
      <c r="FV165" s="25"/>
      <c r="FW165" s="73"/>
      <c r="FX165" s="73"/>
      <c r="FY165" s="345"/>
      <c r="FZ165" s="73"/>
      <c r="GA165" s="25"/>
      <c r="GB165" s="73"/>
      <c r="GC165" s="73"/>
      <c r="GD165" s="345"/>
      <c r="GE165" s="73"/>
      <c r="GF165" s="25"/>
      <c r="GG165" s="73"/>
      <c r="GH165" s="73"/>
      <c r="GI165" s="345"/>
      <c r="GJ165" s="73"/>
      <c r="GK165" s="25"/>
      <c r="GL165" s="73"/>
      <c r="GM165" s="73"/>
      <c r="GN165" s="345"/>
      <c r="GO165" s="73"/>
      <c r="GP165" s="25"/>
      <c r="GQ165" s="73"/>
      <c r="GR165" s="73"/>
      <c r="GS165" s="345"/>
      <c r="GT165" s="73"/>
      <c r="GU165" s="25"/>
      <c r="GV165" s="73"/>
      <c r="GW165" s="73"/>
      <c r="GX165" s="345"/>
      <c r="GY165" s="73"/>
      <c r="GZ165" s="25"/>
      <c r="HA165" s="73"/>
      <c r="HB165" s="73"/>
      <c r="HC165" s="345"/>
      <c r="HD165" s="73"/>
      <c r="HE165" s="25"/>
      <c r="HF165" s="73"/>
      <c r="HG165" s="73"/>
      <c r="HH165" s="345"/>
      <c r="HI165" s="73"/>
      <c r="HJ165" s="25"/>
      <c r="HK165" s="73"/>
      <c r="HL165" s="73"/>
      <c r="HM165" s="345"/>
      <c r="HN165" s="73"/>
      <c r="HO165" s="25"/>
      <c r="HP165" s="73"/>
      <c r="HQ165" s="73"/>
      <c r="HR165" s="345"/>
      <c r="HS165" s="73"/>
      <c r="HT165" s="25"/>
      <c r="HU165" s="73"/>
      <c r="HV165" s="73"/>
      <c r="HW165" s="345"/>
      <c r="HX165" s="73"/>
      <c r="HY165" s="25"/>
      <c r="HZ165" s="73"/>
      <c r="IA165" s="73"/>
      <c r="IB165" s="345"/>
      <c r="IC165" s="73"/>
      <c r="ID165" s="25"/>
      <c r="IE165" s="73"/>
      <c r="IF165" s="73"/>
      <c r="IG165" s="345"/>
      <c r="IH165" s="73"/>
      <c r="II165" s="25"/>
      <c r="IJ165" s="73"/>
      <c r="IK165" s="73"/>
      <c r="IL165" s="345"/>
      <c r="IM165" s="73"/>
      <c r="IN165" s="25"/>
      <c r="IO165" s="73"/>
      <c r="IP165" s="73"/>
      <c r="IQ165" s="345"/>
      <c r="IR165" s="73"/>
      <c r="IS165" s="25"/>
      <c r="IT165" s="73"/>
      <c r="IU165" s="73"/>
      <c r="IV165" s="345"/>
    </row>
    <row r="166" spans="1:256" x14ac:dyDescent="0.2">
      <c r="A166" s="345">
        <v>32567</v>
      </c>
      <c r="B166" s="73"/>
      <c r="C166" s="25"/>
      <c r="D166" s="73"/>
      <c r="E166" s="73"/>
      <c r="F166" s="345"/>
      <c r="G166" s="73"/>
      <c r="H166" s="25"/>
      <c r="I166" s="73"/>
      <c r="J166" s="73"/>
      <c r="K166" s="345"/>
      <c r="L166" s="73"/>
      <c r="M166" s="25"/>
      <c r="N166" s="73"/>
      <c r="O166" s="73"/>
      <c r="P166" s="345"/>
      <c r="Q166" s="73"/>
      <c r="R166" s="25"/>
      <c r="S166" s="73"/>
      <c r="T166" s="73"/>
      <c r="U166" s="345"/>
      <c r="V166" s="73"/>
      <c r="W166" s="25"/>
      <c r="X166" s="73"/>
      <c r="Y166" s="73"/>
      <c r="Z166" s="345"/>
      <c r="AA166" s="73"/>
      <c r="AB166" s="25"/>
      <c r="AC166" s="73"/>
      <c r="AD166" s="73"/>
      <c r="AE166" s="345"/>
      <c r="AF166" s="73"/>
      <c r="AG166" s="25"/>
      <c r="AH166" s="73"/>
      <c r="AI166" s="73"/>
      <c r="AJ166" s="345"/>
      <c r="AK166" s="73"/>
      <c r="AL166" s="25"/>
      <c r="AM166" s="73"/>
      <c r="AN166" s="73"/>
      <c r="AO166" s="345"/>
      <c r="AP166" s="73"/>
      <c r="AQ166" s="25"/>
      <c r="AR166" s="73"/>
      <c r="AS166" s="73"/>
      <c r="AT166" s="345"/>
      <c r="AU166" s="73"/>
      <c r="AV166" s="25"/>
      <c r="AW166" s="73"/>
      <c r="AX166" s="73"/>
      <c r="AY166" s="345"/>
      <c r="AZ166" s="73"/>
      <c r="BA166" s="25"/>
      <c r="BB166" s="73"/>
      <c r="BC166" s="73"/>
      <c r="BD166" s="345"/>
      <c r="BE166" s="73"/>
      <c r="BF166" s="25"/>
      <c r="BG166" s="73"/>
      <c r="BH166" s="73"/>
      <c r="BI166" s="345"/>
      <c r="BJ166" s="73"/>
      <c r="BK166" s="25"/>
      <c r="BL166" s="73"/>
      <c r="BM166" s="73"/>
      <c r="BN166" s="345"/>
      <c r="BO166" s="73"/>
      <c r="BP166" s="25"/>
      <c r="BQ166" s="73"/>
      <c r="BR166" s="73"/>
      <c r="BS166" s="345"/>
      <c r="BT166" s="73"/>
      <c r="BU166" s="25"/>
      <c r="BV166" s="73"/>
      <c r="BW166" s="73"/>
      <c r="BX166" s="345"/>
      <c r="BY166" s="73"/>
      <c r="BZ166" s="25"/>
      <c r="CA166" s="73"/>
      <c r="CB166" s="73"/>
      <c r="CC166" s="345"/>
      <c r="CD166" s="73"/>
      <c r="CE166" s="25"/>
      <c r="CF166" s="73"/>
      <c r="CG166" s="73"/>
      <c r="CH166" s="345"/>
      <c r="CI166" s="73"/>
      <c r="CJ166" s="25"/>
      <c r="CK166" s="73"/>
      <c r="CL166" s="73"/>
      <c r="CM166" s="345"/>
      <c r="CN166" s="73"/>
      <c r="CO166" s="25"/>
      <c r="CP166" s="73"/>
      <c r="CQ166" s="73"/>
      <c r="CR166" s="345"/>
      <c r="CS166" s="73"/>
      <c r="CT166" s="25"/>
      <c r="CU166" s="73"/>
      <c r="CV166" s="73"/>
      <c r="CW166" s="345"/>
      <c r="CX166" s="73"/>
      <c r="CY166" s="25"/>
      <c r="CZ166" s="73"/>
      <c r="DA166" s="73"/>
      <c r="DB166" s="345"/>
      <c r="DC166" s="73"/>
      <c r="DD166" s="25"/>
      <c r="DE166" s="73"/>
      <c r="DF166" s="73"/>
      <c r="DG166" s="345"/>
      <c r="DH166" s="73"/>
      <c r="DI166" s="25"/>
      <c r="DJ166" s="73"/>
      <c r="DK166" s="73"/>
      <c r="DL166" s="345"/>
      <c r="DM166" s="73"/>
      <c r="DN166" s="25"/>
      <c r="DO166" s="73"/>
      <c r="DP166" s="73"/>
      <c r="DQ166" s="345"/>
      <c r="DR166" s="73"/>
      <c r="DS166" s="25"/>
      <c r="DT166" s="73"/>
      <c r="DU166" s="73"/>
      <c r="DV166" s="345"/>
      <c r="DW166" s="73"/>
      <c r="DX166" s="25"/>
      <c r="DY166" s="73"/>
      <c r="DZ166" s="73"/>
      <c r="EA166" s="345"/>
      <c r="EB166" s="73"/>
      <c r="EC166" s="25"/>
      <c r="ED166" s="73"/>
      <c r="EE166" s="73"/>
      <c r="EF166" s="345"/>
      <c r="EG166" s="73"/>
      <c r="EH166" s="25"/>
      <c r="EI166" s="73"/>
      <c r="EJ166" s="73"/>
      <c r="EK166" s="345"/>
      <c r="EL166" s="73"/>
      <c r="EM166" s="25"/>
      <c r="EN166" s="73"/>
      <c r="EO166" s="73"/>
      <c r="EP166" s="345"/>
      <c r="EQ166" s="73"/>
      <c r="ER166" s="25"/>
      <c r="ES166" s="73"/>
      <c r="ET166" s="73"/>
      <c r="EU166" s="345"/>
      <c r="EV166" s="73"/>
      <c r="EW166" s="25"/>
      <c r="EX166" s="73"/>
      <c r="EY166" s="73"/>
      <c r="EZ166" s="345"/>
      <c r="FA166" s="73"/>
      <c r="FB166" s="25"/>
      <c r="FC166" s="73"/>
      <c r="FD166" s="73"/>
      <c r="FE166" s="345"/>
      <c r="FF166" s="73"/>
      <c r="FG166" s="25"/>
      <c r="FH166" s="73"/>
      <c r="FI166" s="73"/>
      <c r="FJ166" s="345"/>
      <c r="FK166" s="73"/>
      <c r="FL166" s="25"/>
      <c r="FM166" s="73"/>
      <c r="FN166" s="73"/>
      <c r="FO166" s="345"/>
      <c r="FP166" s="73"/>
      <c r="FQ166" s="25"/>
      <c r="FR166" s="73"/>
      <c r="FS166" s="73"/>
      <c r="FT166" s="345"/>
      <c r="FU166" s="73"/>
      <c r="FV166" s="25"/>
      <c r="FW166" s="73"/>
      <c r="FX166" s="73"/>
      <c r="FY166" s="345"/>
      <c r="FZ166" s="73"/>
      <c r="GA166" s="25"/>
      <c r="GB166" s="73"/>
      <c r="GC166" s="73"/>
      <c r="GD166" s="345"/>
      <c r="GE166" s="73"/>
      <c r="GF166" s="25"/>
      <c r="GG166" s="73"/>
      <c r="GH166" s="73"/>
      <c r="GI166" s="345"/>
      <c r="GJ166" s="73"/>
      <c r="GK166" s="25"/>
      <c r="GL166" s="73"/>
      <c r="GM166" s="73"/>
      <c r="GN166" s="345"/>
      <c r="GO166" s="73"/>
      <c r="GP166" s="25"/>
      <c r="GQ166" s="73"/>
      <c r="GR166" s="73"/>
      <c r="GS166" s="345"/>
      <c r="GT166" s="73"/>
      <c r="GU166" s="25"/>
      <c r="GV166" s="73"/>
      <c r="GW166" s="73"/>
      <c r="GX166" s="345"/>
      <c r="GY166" s="73"/>
      <c r="GZ166" s="25"/>
      <c r="HA166" s="73"/>
      <c r="HB166" s="73"/>
      <c r="HC166" s="345"/>
      <c r="HD166" s="73"/>
      <c r="HE166" s="25"/>
      <c r="HF166" s="73"/>
      <c r="HG166" s="73"/>
      <c r="HH166" s="345"/>
      <c r="HI166" s="73"/>
      <c r="HJ166" s="25"/>
      <c r="HK166" s="73"/>
      <c r="HL166" s="73"/>
      <c r="HM166" s="345"/>
      <c r="HN166" s="73"/>
      <c r="HO166" s="25"/>
      <c r="HP166" s="73"/>
      <c r="HQ166" s="73"/>
      <c r="HR166" s="345"/>
      <c r="HS166" s="73"/>
      <c r="HT166" s="25"/>
      <c r="HU166" s="73"/>
      <c r="HV166" s="73"/>
      <c r="HW166" s="345"/>
      <c r="HX166" s="73"/>
      <c r="HY166" s="25"/>
      <c r="HZ166" s="73"/>
      <c r="IA166" s="73"/>
      <c r="IB166" s="345"/>
      <c r="IC166" s="73"/>
      <c r="ID166" s="25"/>
      <c r="IE166" s="73"/>
      <c r="IF166" s="73"/>
      <c r="IG166" s="345"/>
      <c r="IH166" s="73"/>
      <c r="II166" s="25"/>
      <c r="IJ166" s="73"/>
      <c r="IK166" s="73"/>
      <c r="IL166" s="345"/>
      <c r="IM166" s="73"/>
      <c r="IN166" s="25"/>
      <c r="IO166" s="73"/>
      <c r="IP166" s="73"/>
      <c r="IQ166" s="345"/>
      <c r="IR166" s="73"/>
      <c r="IS166" s="25"/>
      <c r="IT166" s="73"/>
      <c r="IU166" s="73"/>
      <c r="IV166" s="345"/>
    </row>
    <row r="167" spans="1:256" x14ac:dyDescent="0.2">
      <c r="A167" s="345">
        <v>32598</v>
      </c>
      <c r="B167" s="73"/>
      <c r="C167" s="25"/>
      <c r="D167" s="73"/>
      <c r="E167" s="73"/>
      <c r="F167" s="345"/>
      <c r="G167" s="73"/>
      <c r="H167" s="25"/>
      <c r="I167" s="73"/>
      <c r="J167" s="73"/>
      <c r="K167" s="345"/>
      <c r="L167" s="73"/>
      <c r="M167" s="25"/>
      <c r="N167" s="73"/>
      <c r="O167" s="73"/>
      <c r="P167" s="345"/>
      <c r="Q167" s="73"/>
      <c r="R167" s="25"/>
      <c r="S167" s="73"/>
      <c r="T167" s="73"/>
      <c r="U167" s="345"/>
      <c r="V167" s="73"/>
      <c r="W167" s="25"/>
      <c r="X167" s="73"/>
      <c r="Y167" s="73"/>
      <c r="Z167" s="345"/>
      <c r="AA167" s="73"/>
      <c r="AB167" s="25"/>
      <c r="AC167" s="73"/>
      <c r="AD167" s="73"/>
      <c r="AE167" s="345"/>
      <c r="AF167" s="73"/>
      <c r="AG167" s="25"/>
      <c r="AH167" s="73"/>
      <c r="AI167" s="73"/>
      <c r="AJ167" s="345"/>
      <c r="AK167" s="73"/>
      <c r="AL167" s="25"/>
      <c r="AM167" s="73"/>
      <c r="AN167" s="73"/>
      <c r="AO167" s="345"/>
      <c r="AP167" s="73"/>
      <c r="AQ167" s="25"/>
      <c r="AR167" s="73"/>
      <c r="AS167" s="73"/>
      <c r="AT167" s="345"/>
      <c r="AU167" s="73"/>
      <c r="AV167" s="25"/>
      <c r="AW167" s="73"/>
      <c r="AX167" s="73"/>
      <c r="AY167" s="345"/>
      <c r="AZ167" s="73"/>
      <c r="BA167" s="25"/>
      <c r="BB167" s="73"/>
      <c r="BC167" s="73"/>
      <c r="BD167" s="345"/>
      <c r="BE167" s="73"/>
      <c r="BF167" s="25"/>
      <c r="BG167" s="73"/>
      <c r="BH167" s="73"/>
      <c r="BI167" s="345"/>
      <c r="BJ167" s="73"/>
      <c r="BK167" s="25"/>
      <c r="BL167" s="73"/>
      <c r="BM167" s="73"/>
      <c r="BN167" s="345"/>
      <c r="BO167" s="73"/>
      <c r="BP167" s="25"/>
      <c r="BQ167" s="73"/>
      <c r="BR167" s="73"/>
      <c r="BS167" s="345"/>
      <c r="BT167" s="73"/>
      <c r="BU167" s="25"/>
      <c r="BV167" s="73"/>
      <c r="BW167" s="73"/>
      <c r="BX167" s="345"/>
      <c r="BY167" s="73"/>
      <c r="BZ167" s="25"/>
      <c r="CA167" s="73"/>
      <c r="CB167" s="73"/>
      <c r="CC167" s="345"/>
      <c r="CD167" s="73"/>
      <c r="CE167" s="25"/>
      <c r="CF167" s="73"/>
      <c r="CG167" s="73"/>
      <c r="CH167" s="345"/>
      <c r="CI167" s="73"/>
      <c r="CJ167" s="25"/>
      <c r="CK167" s="73"/>
      <c r="CL167" s="73"/>
      <c r="CM167" s="345"/>
      <c r="CN167" s="73"/>
      <c r="CO167" s="25"/>
      <c r="CP167" s="73"/>
      <c r="CQ167" s="73"/>
      <c r="CR167" s="345"/>
      <c r="CS167" s="73"/>
      <c r="CT167" s="25"/>
      <c r="CU167" s="73"/>
      <c r="CV167" s="73"/>
      <c r="CW167" s="345"/>
      <c r="CX167" s="73"/>
      <c r="CY167" s="25"/>
      <c r="CZ167" s="73"/>
      <c r="DA167" s="73"/>
      <c r="DB167" s="345"/>
      <c r="DC167" s="73"/>
      <c r="DD167" s="25"/>
      <c r="DE167" s="73"/>
      <c r="DF167" s="73"/>
      <c r="DG167" s="345"/>
      <c r="DH167" s="73"/>
      <c r="DI167" s="25"/>
      <c r="DJ167" s="73"/>
      <c r="DK167" s="73"/>
      <c r="DL167" s="345"/>
      <c r="DM167" s="73"/>
      <c r="DN167" s="25"/>
      <c r="DO167" s="73"/>
      <c r="DP167" s="73"/>
      <c r="DQ167" s="345"/>
      <c r="DR167" s="73"/>
      <c r="DS167" s="25"/>
      <c r="DT167" s="73"/>
      <c r="DU167" s="73"/>
      <c r="DV167" s="345"/>
      <c r="DW167" s="73"/>
      <c r="DX167" s="25"/>
      <c r="DY167" s="73"/>
      <c r="DZ167" s="73"/>
      <c r="EA167" s="345"/>
      <c r="EB167" s="73"/>
      <c r="EC167" s="25"/>
      <c r="ED167" s="73"/>
      <c r="EE167" s="73"/>
      <c r="EF167" s="345"/>
      <c r="EG167" s="73"/>
      <c r="EH167" s="25"/>
      <c r="EI167" s="73"/>
      <c r="EJ167" s="73"/>
      <c r="EK167" s="345"/>
      <c r="EL167" s="73"/>
      <c r="EM167" s="25"/>
      <c r="EN167" s="73"/>
      <c r="EO167" s="73"/>
      <c r="EP167" s="345"/>
      <c r="EQ167" s="73"/>
      <c r="ER167" s="25"/>
      <c r="ES167" s="73"/>
      <c r="ET167" s="73"/>
      <c r="EU167" s="345"/>
      <c r="EV167" s="73"/>
      <c r="EW167" s="25"/>
      <c r="EX167" s="73"/>
      <c r="EY167" s="73"/>
      <c r="EZ167" s="345"/>
      <c r="FA167" s="73"/>
      <c r="FB167" s="25"/>
      <c r="FC167" s="73"/>
      <c r="FD167" s="73"/>
      <c r="FE167" s="345"/>
      <c r="FF167" s="73"/>
      <c r="FG167" s="25"/>
      <c r="FH167" s="73"/>
      <c r="FI167" s="73"/>
      <c r="FJ167" s="345"/>
      <c r="FK167" s="73"/>
      <c r="FL167" s="25"/>
      <c r="FM167" s="73"/>
      <c r="FN167" s="73"/>
      <c r="FO167" s="345"/>
      <c r="FP167" s="73"/>
      <c r="FQ167" s="25"/>
      <c r="FR167" s="73"/>
      <c r="FS167" s="73"/>
      <c r="FT167" s="345"/>
      <c r="FU167" s="73"/>
      <c r="FV167" s="25"/>
      <c r="FW167" s="73"/>
      <c r="FX167" s="73"/>
      <c r="FY167" s="345"/>
      <c r="FZ167" s="73"/>
      <c r="GA167" s="25"/>
      <c r="GB167" s="73"/>
      <c r="GC167" s="73"/>
      <c r="GD167" s="345"/>
      <c r="GE167" s="73"/>
      <c r="GF167" s="25"/>
      <c r="GG167" s="73"/>
      <c r="GH167" s="73"/>
      <c r="GI167" s="345"/>
      <c r="GJ167" s="73"/>
      <c r="GK167" s="25"/>
      <c r="GL167" s="73"/>
      <c r="GM167" s="73"/>
      <c r="GN167" s="345"/>
      <c r="GO167" s="73"/>
      <c r="GP167" s="25"/>
      <c r="GQ167" s="73"/>
      <c r="GR167" s="73"/>
      <c r="GS167" s="345"/>
      <c r="GT167" s="73"/>
      <c r="GU167" s="25"/>
      <c r="GV167" s="73"/>
      <c r="GW167" s="73"/>
      <c r="GX167" s="345"/>
      <c r="GY167" s="73"/>
      <c r="GZ167" s="25"/>
      <c r="HA167" s="73"/>
      <c r="HB167" s="73"/>
      <c r="HC167" s="345"/>
      <c r="HD167" s="73"/>
      <c r="HE167" s="25"/>
      <c r="HF167" s="73"/>
      <c r="HG167" s="73"/>
      <c r="HH167" s="345"/>
      <c r="HI167" s="73"/>
      <c r="HJ167" s="25"/>
      <c r="HK167" s="73"/>
      <c r="HL167" s="73"/>
      <c r="HM167" s="345"/>
      <c r="HN167" s="73"/>
      <c r="HO167" s="25"/>
      <c r="HP167" s="73"/>
      <c r="HQ167" s="73"/>
      <c r="HR167" s="345"/>
      <c r="HS167" s="73"/>
      <c r="HT167" s="25"/>
      <c r="HU167" s="73"/>
      <c r="HV167" s="73"/>
      <c r="HW167" s="345"/>
      <c r="HX167" s="73"/>
      <c r="HY167" s="25"/>
      <c r="HZ167" s="73"/>
      <c r="IA167" s="73"/>
      <c r="IB167" s="345"/>
      <c r="IC167" s="73"/>
      <c r="ID167" s="25"/>
      <c r="IE167" s="73"/>
      <c r="IF167" s="73"/>
      <c r="IG167" s="345"/>
      <c r="IH167" s="73"/>
      <c r="II167" s="25"/>
      <c r="IJ167" s="73"/>
      <c r="IK167" s="73"/>
      <c r="IL167" s="345"/>
      <c r="IM167" s="73"/>
      <c r="IN167" s="25"/>
      <c r="IO167" s="73"/>
      <c r="IP167" s="73"/>
      <c r="IQ167" s="345"/>
      <c r="IR167" s="73"/>
      <c r="IS167" s="25"/>
      <c r="IT167" s="73"/>
      <c r="IU167" s="73"/>
      <c r="IV167" s="345"/>
    </row>
    <row r="168" spans="1:256" x14ac:dyDescent="0.2">
      <c r="A168" s="345">
        <v>32628</v>
      </c>
      <c r="B168" s="73"/>
      <c r="C168" s="25"/>
      <c r="D168" s="73"/>
      <c r="E168" s="73"/>
      <c r="F168" s="345"/>
      <c r="G168" s="73"/>
      <c r="H168" s="25"/>
      <c r="I168" s="73"/>
      <c r="J168" s="73"/>
      <c r="K168" s="345"/>
      <c r="L168" s="73"/>
      <c r="M168" s="25"/>
      <c r="N168" s="73"/>
      <c r="O168" s="73"/>
      <c r="P168" s="345"/>
      <c r="Q168" s="73"/>
      <c r="R168" s="25"/>
      <c r="S168" s="73"/>
      <c r="T168" s="73"/>
      <c r="U168" s="345"/>
      <c r="V168" s="73"/>
      <c r="W168" s="25"/>
      <c r="X168" s="73"/>
      <c r="Y168" s="73"/>
      <c r="Z168" s="345"/>
      <c r="AA168" s="73"/>
      <c r="AB168" s="25"/>
      <c r="AC168" s="73"/>
      <c r="AD168" s="73"/>
      <c r="AE168" s="345"/>
      <c r="AF168" s="73"/>
      <c r="AG168" s="25"/>
      <c r="AH168" s="73"/>
      <c r="AI168" s="73"/>
      <c r="AJ168" s="345"/>
      <c r="AK168" s="73"/>
      <c r="AL168" s="25"/>
      <c r="AM168" s="73"/>
      <c r="AN168" s="73"/>
      <c r="AO168" s="345"/>
      <c r="AP168" s="73"/>
      <c r="AQ168" s="25"/>
      <c r="AR168" s="73"/>
      <c r="AS168" s="73"/>
      <c r="AT168" s="345"/>
      <c r="AU168" s="73"/>
      <c r="AV168" s="25"/>
      <c r="AW168" s="73"/>
      <c r="AX168" s="73"/>
      <c r="AY168" s="345"/>
      <c r="AZ168" s="73"/>
      <c r="BA168" s="25"/>
      <c r="BB168" s="73"/>
      <c r="BC168" s="73"/>
      <c r="BD168" s="345"/>
      <c r="BE168" s="73"/>
      <c r="BF168" s="25"/>
      <c r="BG168" s="73"/>
      <c r="BH168" s="73"/>
      <c r="BI168" s="345"/>
      <c r="BJ168" s="73"/>
      <c r="BK168" s="25"/>
      <c r="BL168" s="73"/>
      <c r="BM168" s="73"/>
      <c r="BN168" s="345"/>
      <c r="BO168" s="73"/>
      <c r="BP168" s="25"/>
      <c r="BQ168" s="73"/>
      <c r="BR168" s="73"/>
      <c r="BS168" s="345"/>
      <c r="BT168" s="73"/>
      <c r="BU168" s="25"/>
      <c r="BV168" s="73"/>
      <c r="BW168" s="73"/>
      <c r="BX168" s="345"/>
      <c r="BY168" s="73"/>
      <c r="BZ168" s="25"/>
      <c r="CA168" s="73"/>
      <c r="CB168" s="73"/>
      <c r="CC168" s="345"/>
      <c r="CD168" s="73"/>
      <c r="CE168" s="25"/>
      <c r="CF168" s="73"/>
      <c r="CG168" s="73"/>
      <c r="CH168" s="345"/>
      <c r="CI168" s="73"/>
      <c r="CJ168" s="25"/>
      <c r="CK168" s="73"/>
      <c r="CL168" s="73"/>
      <c r="CM168" s="345"/>
      <c r="CN168" s="73"/>
      <c r="CO168" s="25"/>
      <c r="CP168" s="73"/>
      <c r="CQ168" s="73"/>
      <c r="CR168" s="345"/>
      <c r="CS168" s="73"/>
      <c r="CT168" s="25"/>
      <c r="CU168" s="73"/>
      <c r="CV168" s="73"/>
      <c r="CW168" s="345"/>
      <c r="CX168" s="73"/>
      <c r="CY168" s="25"/>
      <c r="CZ168" s="73"/>
      <c r="DA168" s="73"/>
      <c r="DB168" s="345"/>
      <c r="DC168" s="73"/>
      <c r="DD168" s="25"/>
      <c r="DE168" s="73"/>
      <c r="DF168" s="73"/>
      <c r="DG168" s="345"/>
      <c r="DH168" s="73"/>
      <c r="DI168" s="25"/>
      <c r="DJ168" s="73"/>
      <c r="DK168" s="73"/>
      <c r="DL168" s="345"/>
      <c r="DM168" s="73"/>
      <c r="DN168" s="25"/>
      <c r="DO168" s="73"/>
      <c r="DP168" s="73"/>
      <c r="DQ168" s="345"/>
      <c r="DR168" s="73"/>
      <c r="DS168" s="25"/>
      <c r="DT168" s="73"/>
      <c r="DU168" s="73"/>
      <c r="DV168" s="345"/>
      <c r="DW168" s="73"/>
      <c r="DX168" s="25"/>
      <c r="DY168" s="73"/>
      <c r="DZ168" s="73"/>
      <c r="EA168" s="345"/>
      <c r="EB168" s="73"/>
      <c r="EC168" s="25"/>
      <c r="ED168" s="73"/>
      <c r="EE168" s="73"/>
      <c r="EF168" s="345"/>
      <c r="EG168" s="73"/>
      <c r="EH168" s="25"/>
      <c r="EI168" s="73"/>
      <c r="EJ168" s="73"/>
      <c r="EK168" s="345"/>
      <c r="EL168" s="73"/>
      <c r="EM168" s="25"/>
      <c r="EN168" s="73"/>
      <c r="EO168" s="73"/>
      <c r="EP168" s="345"/>
      <c r="EQ168" s="73"/>
      <c r="ER168" s="25"/>
      <c r="ES168" s="73"/>
      <c r="ET168" s="73"/>
      <c r="EU168" s="345"/>
      <c r="EV168" s="73"/>
      <c r="EW168" s="25"/>
      <c r="EX168" s="73"/>
      <c r="EY168" s="73"/>
      <c r="EZ168" s="345"/>
      <c r="FA168" s="73"/>
      <c r="FB168" s="25"/>
      <c r="FC168" s="73"/>
      <c r="FD168" s="73"/>
      <c r="FE168" s="345"/>
      <c r="FF168" s="73"/>
      <c r="FG168" s="25"/>
      <c r="FH168" s="73"/>
      <c r="FI168" s="73"/>
      <c r="FJ168" s="345"/>
      <c r="FK168" s="73"/>
      <c r="FL168" s="25"/>
      <c r="FM168" s="73"/>
      <c r="FN168" s="73"/>
      <c r="FO168" s="345"/>
      <c r="FP168" s="73"/>
      <c r="FQ168" s="25"/>
      <c r="FR168" s="73"/>
      <c r="FS168" s="73"/>
      <c r="FT168" s="345"/>
      <c r="FU168" s="73"/>
      <c r="FV168" s="25"/>
      <c r="FW168" s="73"/>
      <c r="FX168" s="73"/>
      <c r="FY168" s="345"/>
      <c r="FZ168" s="73"/>
      <c r="GA168" s="25"/>
      <c r="GB168" s="73"/>
      <c r="GC168" s="73"/>
      <c r="GD168" s="345"/>
      <c r="GE168" s="73"/>
      <c r="GF168" s="25"/>
      <c r="GG168" s="73"/>
      <c r="GH168" s="73"/>
      <c r="GI168" s="345"/>
      <c r="GJ168" s="73"/>
      <c r="GK168" s="25"/>
      <c r="GL168" s="73"/>
      <c r="GM168" s="73"/>
      <c r="GN168" s="345"/>
      <c r="GO168" s="73"/>
      <c r="GP168" s="25"/>
      <c r="GQ168" s="73"/>
      <c r="GR168" s="73"/>
      <c r="GS168" s="345"/>
      <c r="GT168" s="73"/>
      <c r="GU168" s="25"/>
      <c r="GV168" s="73"/>
      <c r="GW168" s="73"/>
      <c r="GX168" s="345"/>
      <c r="GY168" s="73"/>
      <c r="GZ168" s="25"/>
      <c r="HA168" s="73"/>
      <c r="HB168" s="73"/>
      <c r="HC168" s="345"/>
      <c r="HD168" s="73"/>
      <c r="HE168" s="25"/>
      <c r="HF168" s="73"/>
      <c r="HG168" s="73"/>
      <c r="HH168" s="345"/>
      <c r="HI168" s="73"/>
      <c r="HJ168" s="25"/>
      <c r="HK168" s="73"/>
      <c r="HL168" s="73"/>
      <c r="HM168" s="345"/>
      <c r="HN168" s="73"/>
      <c r="HO168" s="25"/>
      <c r="HP168" s="73"/>
      <c r="HQ168" s="73"/>
      <c r="HR168" s="345"/>
      <c r="HS168" s="73"/>
      <c r="HT168" s="25"/>
      <c r="HU168" s="73"/>
      <c r="HV168" s="73"/>
      <c r="HW168" s="345"/>
      <c r="HX168" s="73"/>
      <c r="HY168" s="25"/>
      <c r="HZ168" s="73"/>
      <c r="IA168" s="73"/>
      <c r="IB168" s="345"/>
      <c r="IC168" s="73"/>
      <c r="ID168" s="25"/>
      <c r="IE168" s="73"/>
      <c r="IF168" s="73"/>
      <c r="IG168" s="345"/>
      <c r="IH168" s="73"/>
      <c r="II168" s="25"/>
      <c r="IJ168" s="73"/>
      <c r="IK168" s="73"/>
      <c r="IL168" s="345"/>
      <c r="IM168" s="73"/>
      <c r="IN168" s="25"/>
      <c r="IO168" s="73"/>
      <c r="IP168" s="73"/>
      <c r="IQ168" s="345"/>
      <c r="IR168" s="73"/>
      <c r="IS168" s="25"/>
      <c r="IT168" s="73"/>
      <c r="IU168" s="73"/>
      <c r="IV168" s="345"/>
    </row>
    <row r="169" spans="1:256" x14ac:dyDescent="0.2">
      <c r="A169" s="345">
        <v>32659</v>
      </c>
      <c r="B169" s="73"/>
      <c r="C169" s="25"/>
      <c r="D169" s="73"/>
      <c r="E169" s="73"/>
      <c r="F169" s="345"/>
      <c r="G169" s="73"/>
      <c r="H169" s="25"/>
      <c r="I169" s="73"/>
      <c r="J169" s="73"/>
      <c r="K169" s="345"/>
      <c r="L169" s="73"/>
      <c r="M169" s="25"/>
      <c r="N169" s="73"/>
      <c r="O169" s="73"/>
      <c r="P169" s="345"/>
      <c r="Q169" s="73"/>
      <c r="R169" s="25"/>
      <c r="S169" s="73"/>
      <c r="T169" s="73"/>
      <c r="U169" s="345"/>
      <c r="V169" s="73"/>
      <c r="W169" s="25"/>
      <c r="X169" s="73"/>
      <c r="Y169" s="73"/>
      <c r="Z169" s="345"/>
      <c r="AA169" s="73"/>
      <c r="AB169" s="25"/>
      <c r="AC169" s="73"/>
      <c r="AD169" s="73"/>
      <c r="AE169" s="345"/>
      <c r="AF169" s="73"/>
      <c r="AG169" s="25"/>
      <c r="AH169" s="73"/>
      <c r="AI169" s="73"/>
      <c r="AJ169" s="345"/>
      <c r="AK169" s="73"/>
      <c r="AL169" s="25"/>
      <c r="AM169" s="73"/>
      <c r="AN169" s="73"/>
      <c r="AO169" s="345"/>
      <c r="AP169" s="73"/>
      <c r="AQ169" s="25"/>
      <c r="AR169" s="73"/>
      <c r="AS169" s="73"/>
      <c r="AT169" s="345"/>
      <c r="AU169" s="73"/>
      <c r="AV169" s="25"/>
      <c r="AW169" s="73"/>
      <c r="AX169" s="73"/>
      <c r="AY169" s="345"/>
      <c r="AZ169" s="73"/>
      <c r="BA169" s="25"/>
      <c r="BB169" s="73"/>
      <c r="BC169" s="73"/>
      <c r="BD169" s="345"/>
      <c r="BE169" s="73"/>
      <c r="BF169" s="25"/>
      <c r="BG169" s="73"/>
      <c r="BH169" s="73"/>
      <c r="BI169" s="345"/>
      <c r="BJ169" s="73"/>
      <c r="BK169" s="25"/>
      <c r="BL169" s="73"/>
      <c r="BM169" s="73"/>
      <c r="BN169" s="345"/>
      <c r="BO169" s="73"/>
      <c r="BP169" s="25"/>
      <c r="BQ169" s="73"/>
      <c r="BR169" s="73"/>
      <c r="BS169" s="345"/>
      <c r="BT169" s="73"/>
      <c r="BU169" s="25"/>
      <c r="BV169" s="73"/>
      <c r="BW169" s="73"/>
      <c r="BX169" s="345"/>
      <c r="BY169" s="73"/>
      <c r="BZ169" s="25"/>
      <c r="CA169" s="73"/>
      <c r="CB169" s="73"/>
      <c r="CC169" s="345"/>
      <c r="CD169" s="73"/>
      <c r="CE169" s="25"/>
      <c r="CF169" s="73"/>
      <c r="CG169" s="73"/>
      <c r="CH169" s="345"/>
      <c r="CI169" s="73"/>
      <c r="CJ169" s="25"/>
      <c r="CK169" s="73"/>
      <c r="CL169" s="73"/>
      <c r="CM169" s="345"/>
      <c r="CN169" s="73"/>
      <c r="CO169" s="25"/>
      <c r="CP169" s="73"/>
      <c r="CQ169" s="73"/>
      <c r="CR169" s="345"/>
      <c r="CS169" s="73"/>
      <c r="CT169" s="25"/>
      <c r="CU169" s="73"/>
      <c r="CV169" s="73"/>
      <c r="CW169" s="345"/>
      <c r="CX169" s="73"/>
      <c r="CY169" s="25"/>
      <c r="CZ169" s="73"/>
      <c r="DA169" s="73"/>
      <c r="DB169" s="345"/>
      <c r="DC169" s="73"/>
      <c r="DD169" s="25"/>
      <c r="DE169" s="73"/>
      <c r="DF169" s="73"/>
      <c r="DG169" s="345"/>
      <c r="DH169" s="73"/>
      <c r="DI169" s="25"/>
      <c r="DJ169" s="73"/>
      <c r="DK169" s="73"/>
      <c r="DL169" s="345"/>
      <c r="DM169" s="73"/>
      <c r="DN169" s="25"/>
      <c r="DO169" s="73"/>
      <c r="DP169" s="73"/>
      <c r="DQ169" s="345"/>
      <c r="DR169" s="73"/>
      <c r="DS169" s="25"/>
      <c r="DT169" s="73"/>
      <c r="DU169" s="73"/>
      <c r="DV169" s="345"/>
      <c r="DW169" s="73"/>
      <c r="DX169" s="25"/>
      <c r="DY169" s="73"/>
      <c r="DZ169" s="73"/>
      <c r="EA169" s="345"/>
      <c r="EB169" s="73"/>
      <c r="EC169" s="25"/>
      <c r="ED169" s="73"/>
      <c r="EE169" s="73"/>
      <c r="EF169" s="345"/>
      <c r="EG169" s="73"/>
      <c r="EH169" s="25"/>
      <c r="EI169" s="73"/>
      <c r="EJ169" s="73"/>
      <c r="EK169" s="345"/>
      <c r="EL169" s="73"/>
      <c r="EM169" s="25"/>
      <c r="EN169" s="73"/>
      <c r="EO169" s="73"/>
      <c r="EP169" s="345"/>
      <c r="EQ169" s="73"/>
      <c r="ER169" s="25"/>
      <c r="ES169" s="73"/>
      <c r="ET169" s="73"/>
      <c r="EU169" s="345"/>
      <c r="EV169" s="73"/>
      <c r="EW169" s="25"/>
      <c r="EX169" s="73"/>
      <c r="EY169" s="73"/>
      <c r="EZ169" s="345"/>
      <c r="FA169" s="73"/>
      <c r="FB169" s="25"/>
      <c r="FC169" s="73"/>
      <c r="FD169" s="73"/>
      <c r="FE169" s="345"/>
      <c r="FF169" s="73"/>
      <c r="FG169" s="25"/>
      <c r="FH169" s="73"/>
      <c r="FI169" s="73"/>
      <c r="FJ169" s="345"/>
      <c r="FK169" s="73"/>
      <c r="FL169" s="25"/>
      <c r="FM169" s="73"/>
      <c r="FN169" s="73"/>
      <c r="FO169" s="345"/>
      <c r="FP169" s="73"/>
      <c r="FQ169" s="25"/>
      <c r="FR169" s="73"/>
      <c r="FS169" s="73"/>
      <c r="FT169" s="345"/>
      <c r="FU169" s="73"/>
      <c r="FV169" s="25"/>
      <c r="FW169" s="73"/>
      <c r="FX169" s="73"/>
      <c r="FY169" s="345"/>
      <c r="FZ169" s="73"/>
      <c r="GA169" s="25"/>
      <c r="GB169" s="73"/>
      <c r="GC169" s="73"/>
      <c r="GD169" s="345"/>
      <c r="GE169" s="73"/>
      <c r="GF169" s="25"/>
      <c r="GG169" s="73"/>
      <c r="GH169" s="73"/>
      <c r="GI169" s="345"/>
      <c r="GJ169" s="73"/>
      <c r="GK169" s="25"/>
      <c r="GL169" s="73"/>
      <c r="GM169" s="73"/>
      <c r="GN169" s="345"/>
      <c r="GO169" s="73"/>
      <c r="GP169" s="25"/>
      <c r="GQ169" s="73"/>
      <c r="GR169" s="73"/>
      <c r="GS169" s="345"/>
      <c r="GT169" s="73"/>
      <c r="GU169" s="25"/>
      <c r="GV169" s="73"/>
      <c r="GW169" s="73"/>
      <c r="GX169" s="345"/>
      <c r="GY169" s="73"/>
      <c r="GZ169" s="25"/>
      <c r="HA169" s="73"/>
      <c r="HB169" s="73"/>
      <c r="HC169" s="345"/>
      <c r="HD169" s="73"/>
      <c r="HE169" s="25"/>
      <c r="HF169" s="73"/>
      <c r="HG169" s="73"/>
      <c r="HH169" s="345"/>
      <c r="HI169" s="73"/>
      <c r="HJ169" s="25"/>
      <c r="HK169" s="73"/>
      <c r="HL169" s="73"/>
      <c r="HM169" s="345"/>
      <c r="HN169" s="73"/>
      <c r="HO169" s="25"/>
      <c r="HP169" s="73"/>
      <c r="HQ169" s="73"/>
      <c r="HR169" s="345"/>
      <c r="HS169" s="73"/>
      <c r="HT169" s="25"/>
      <c r="HU169" s="73"/>
      <c r="HV169" s="73"/>
      <c r="HW169" s="345"/>
      <c r="HX169" s="73"/>
      <c r="HY169" s="25"/>
      <c r="HZ169" s="73"/>
      <c r="IA169" s="73"/>
      <c r="IB169" s="345"/>
      <c r="IC169" s="73"/>
      <c r="ID169" s="25"/>
      <c r="IE169" s="73"/>
      <c r="IF169" s="73"/>
      <c r="IG169" s="345"/>
      <c r="IH169" s="73"/>
      <c r="II169" s="25"/>
      <c r="IJ169" s="73"/>
      <c r="IK169" s="73"/>
      <c r="IL169" s="345"/>
      <c r="IM169" s="73"/>
      <c r="IN169" s="25"/>
      <c r="IO169" s="73"/>
      <c r="IP169" s="73"/>
      <c r="IQ169" s="345"/>
      <c r="IR169" s="73"/>
      <c r="IS169" s="25"/>
      <c r="IT169" s="73"/>
      <c r="IU169" s="73"/>
      <c r="IV169" s="345"/>
    </row>
    <row r="170" spans="1:256" x14ac:dyDescent="0.2">
      <c r="A170" s="345">
        <v>32689</v>
      </c>
      <c r="B170" s="73"/>
      <c r="C170" s="25"/>
      <c r="D170" s="73"/>
      <c r="E170" s="73"/>
      <c r="F170" s="345"/>
      <c r="G170" s="73"/>
      <c r="H170" s="25"/>
      <c r="I170" s="73"/>
      <c r="J170" s="73"/>
      <c r="K170" s="345"/>
      <c r="L170" s="73"/>
      <c r="M170" s="25"/>
      <c r="N170" s="73"/>
      <c r="O170" s="73"/>
      <c r="P170" s="345"/>
      <c r="Q170" s="73"/>
      <c r="R170" s="25"/>
      <c r="S170" s="73"/>
      <c r="T170" s="73"/>
      <c r="U170" s="345"/>
      <c r="V170" s="73"/>
      <c r="W170" s="25"/>
      <c r="X170" s="73"/>
      <c r="Y170" s="73"/>
      <c r="Z170" s="345"/>
      <c r="AA170" s="73"/>
      <c r="AB170" s="25"/>
      <c r="AC170" s="73"/>
      <c r="AD170" s="73"/>
      <c r="AE170" s="345"/>
      <c r="AF170" s="73"/>
      <c r="AG170" s="25"/>
      <c r="AH170" s="73"/>
      <c r="AI170" s="73"/>
      <c r="AJ170" s="345"/>
      <c r="AK170" s="73"/>
      <c r="AL170" s="25"/>
      <c r="AM170" s="73"/>
      <c r="AN170" s="73"/>
      <c r="AO170" s="345"/>
      <c r="AP170" s="73"/>
      <c r="AQ170" s="25"/>
      <c r="AR170" s="73"/>
      <c r="AS170" s="73"/>
      <c r="AT170" s="345"/>
      <c r="AU170" s="73"/>
      <c r="AV170" s="25"/>
      <c r="AW170" s="73"/>
      <c r="AX170" s="73"/>
      <c r="AY170" s="345"/>
      <c r="AZ170" s="73"/>
      <c r="BA170" s="25"/>
      <c r="BB170" s="73"/>
      <c r="BC170" s="73"/>
      <c r="BD170" s="345"/>
      <c r="BE170" s="73"/>
      <c r="BF170" s="25"/>
      <c r="BG170" s="73"/>
      <c r="BH170" s="73"/>
      <c r="BI170" s="345"/>
      <c r="BJ170" s="73"/>
      <c r="BK170" s="25"/>
      <c r="BL170" s="73"/>
      <c r="BM170" s="73"/>
      <c r="BN170" s="345"/>
      <c r="BO170" s="73"/>
      <c r="BP170" s="25"/>
      <c r="BQ170" s="73"/>
      <c r="BR170" s="73"/>
      <c r="BS170" s="345"/>
      <c r="BT170" s="73"/>
      <c r="BU170" s="25"/>
      <c r="BV170" s="73"/>
      <c r="BW170" s="73"/>
      <c r="BX170" s="345"/>
      <c r="BY170" s="73"/>
      <c r="BZ170" s="25"/>
      <c r="CA170" s="73"/>
      <c r="CB170" s="73"/>
      <c r="CC170" s="345"/>
      <c r="CD170" s="73"/>
      <c r="CE170" s="25"/>
      <c r="CF170" s="73"/>
      <c r="CG170" s="73"/>
      <c r="CH170" s="345"/>
      <c r="CI170" s="73"/>
      <c r="CJ170" s="25"/>
      <c r="CK170" s="73"/>
      <c r="CL170" s="73"/>
      <c r="CM170" s="345"/>
      <c r="CN170" s="73"/>
      <c r="CO170" s="25"/>
      <c r="CP170" s="73"/>
      <c r="CQ170" s="73"/>
      <c r="CR170" s="345"/>
      <c r="CS170" s="73"/>
      <c r="CT170" s="25"/>
      <c r="CU170" s="73"/>
      <c r="CV170" s="73"/>
      <c r="CW170" s="345"/>
      <c r="CX170" s="73"/>
      <c r="CY170" s="25"/>
      <c r="CZ170" s="73"/>
      <c r="DA170" s="73"/>
      <c r="DB170" s="345"/>
      <c r="DC170" s="73"/>
      <c r="DD170" s="25"/>
      <c r="DE170" s="73"/>
      <c r="DF170" s="73"/>
      <c r="DG170" s="345"/>
      <c r="DH170" s="73"/>
      <c r="DI170" s="25"/>
      <c r="DJ170" s="73"/>
      <c r="DK170" s="73"/>
      <c r="DL170" s="345"/>
      <c r="DM170" s="73"/>
      <c r="DN170" s="25"/>
      <c r="DO170" s="73"/>
      <c r="DP170" s="73"/>
      <c r="DQ170" s="345"/>
      <c r="DR170" s="73"/>
      <c r="DS170" s="25"/>
      <c r="DT170" s="73"/>
      <c r="DU170" s="73"/>
      <c r="DV170" s="345"/>
      <c r="DW170" s="73"/>
      <c r="DX170" s="25"/>
      <c r="DY170" s="73"/>
      <c r="DZ170" s="73"/>
      <c r="EA170" s="345"/>
      <c r="EB170" s="73"/>
      <c r="EC170" s="25"/>
      <c r="ED170" s="73"/>
      <c r="EE170" s="73"/>
      <c r="EF170" s="345"/>
      <c r="EG170" s="73"/>
      <c r="EH170" s="25"/>
      <c r="EI170" s="73"/>
      <c r="EJ170" s="73"/>
      <c r="EK170" s="345"/>
      <c r="EL170" s="73"/>
      <c r="EM170" s="25"/>
      <c r="EN170" s="73"/>
      <c r="EO170" s="73"/>
      <c r="EP170" s="345"/>
      <c r="EQ170" s="73"/>
      <c r="ER170" s="25"/>
      <c r="ES170" s="73"/>
      <c r="ET170" s="73"/>
      <c r="EU170" s="345"/>
      <c r="EV170" s="73"/>
      <c r="EW170" s="25"/>
      <c r="EX170" s="73"/>
      <c r="EY170" s="73"/>
      <c r="EZ170" s="345"/>
      <c r="FA170" s="73"/>
      <c r="FB170" s="25"/>
      <c r="FC170" s="73"/>
      <c r="FD170" s="73"/>
      <c r="FE170" s="345"/>
      <c r="FF170" s="73"/>
      <c r="FG170" s="25"/>
      <c r="FH170" s="73"/>
      <c r="FI170" s="73"/>
      <c r="FJ170" s="345"/>
      <c r="FK170" s="73"/>
      <c r="FL170" s="25"/>
      <c r="FM170" s="73"/>
      <c r="FN170" s="73"/>
      <c r="FO170" s="345"/>
      <c r="FP170" s="73"/>
      <c r="FQ170" s="25"/>
      <c r="FR170" s="73"/>
      <c r="FS170" s="73"/>
      <c r="FT170" s="345"/>
      <c r="FU170" s="73"/>
      <c r="FV170" s="25"/>
      <c r="FW170" s="73"/>
      <c r="FX170" s="73"/>
      <c r="FY170" s="345"/>
      <c r="FZ170" s="73"/>
      <c r="GA170" s="25"/>
      <c r="GB170" s="73"/>
      <c r="GC170" s="73"/>
      <c r="GD170" s="345"/>
      <c r="GE170" s="73"/>
      <c r="GF170" s="25"/>
      <c r="GG170" s="73"/>
      <c r="GH170" s="73"/>
      <c r="GI170" s="345"/>
      <c r="GJ170" s="73"/>
      <c r="GK170" s="25"/>
      <c r="GL170" s="73"/>
      <c r="GM170" s="73"/>
      <c r="GN170" s="345"/>
      <c r="GO170" s="73"/>
      <c r="GP170" s="25"/>
      <c r="GQ170" s="73"/>
      <c r="GR170" s="73"/>
      <c r="GS170" s="345"/>
      <c r="GT170" s="73"/>
      <c r="GU170" s="25"/>
      <c r="GV170" s="73"/>
      <c r="GW170" s="73"/>
      <c r="GX170" s="345"/>
      <c r="GY170" s="73"/>
      <c r="GZ170" s="25"/>
      <c r="HA170" s="73"/>
      <c r="HB170" s="73"/>
      <c r="HC170" s="345"/>
      <c r="HD170" s="73"/>
      <c r="HE170" s="25"/>
      <c r="HF170" s="73"/>
      <c r="HG170" s="73"/>
      <c r="HH170" s="345"/>
      <c r="HI170" s="73"/>
      <c r="HJ170" s="25"/>
      <c r="HK170" s="73"/>
      <c r="HL170" s="73"/>
      <c r="HM170" s="345"/>
      <c r="HN170" s="73"/>
      <c r="HO170" s="25"/>
      <c r="HP170" s="73"/>
      <c r="HQ170" s="73"/>
      <c r="HR170" s="345"/>
      <c r="HS170" s="73"/>
      <c r="HT170" s="25"/>
      <c r="HU170" s="73"/>
      <c r="HV170" s="73"/>
      <c r="HW170" s="345"/>
      <c r="HX170" s="73"/>
      <c r="HY170" s="25"/>
      <c r="HZ170" s="73"/>
      <c r="IA170" s="73"/>
      <c r="IB170" s="345"/>
      <c r="IC170" s="73"/>
      <c r="ID170" s="25"/>
      <c r="IE170" s="73"/>
      <c r="IF170" s="73"/>
      <c r="IG170" s="345"/>
      <c r="IH170" s="73"/>
      <c r="II170" s="25"/>
      <c r="IJ170" s="73"/>
      <c r="IK170" s="73"/>
      <c r="IL170" s="345"/>
      <c r="IM170" s="73"/>
      <c r="IN170" s="25"/>
      <c r="IO170" s="73"/>
      <c r="IP170" s="73"/>
      <c r="IQ170" s="345"/>
      <c r="IR170" s="73"/>
      <c r="IS170" s="25"/>
      <c r="IT170" s="73"/>
      <c r="IU170" s="73"/>
      <c r="IV170" s="345"/>
    </row>
    <row r="171" spans="1:256" x14ac:dyDescent="0.2">
      <c r="A171" s="345">
        <v>32720</v>
      </c>
      <c r="B171" s="73"/>
      <c r="C171" s="25"/>
      <c r="D171" s="73"/>
      <c r="E171" s="73"/>
      <c r="F171" s="345"/>
      <c r="G171" s="73"/>
      <c r="H171" s="25"/>
      <c r="I171" s="73"/>
      <c r="J171" s="73"/>
      <c r="K171" s="345"/>
      <c r="L171" s="73"/>
      <c r="M171" s="25"/>
      <c r="N171" s="73"/>
      <c r="O171" s="73"/>
      <c r="P171" s="345"/>
      <c r="Q171" s="73"/>
      <c r="R171" s="25"/>
      <c r="S171" s="73"/>
      <c r="T171" s="73"/>
      <c r="U171" s="345"/>
      <c r="V171" s="73"/>
      <c r="W171" s="25"/>
      <c r="X171" s="73"/>
      <c r="Y171" s="73"/>
      <c r="Z171" s="345"/>
      <c r="AA171" s="73"/>
      <c r="AB171" s="25"/>
      <c r="AC171" s="73"/>
      <c r="AD171" s="73"/>
      <c r="AE171" s="345"/>
      <c r="AF171" s="73"/>
      <c r="AG171" s="25"/>
      <c r="AH171" s="73"/>
      <c r="AI171" s="73"/>
      <c r="AJ171" s="345"/>
      <c r="AK171" s="73"/>
      <c r="AL171" s="25"/>
      <c r="AM171" s="73"/>
      <c r="AN171" s="73"/>
      <c r="AO171" s="345"/>
      <c r="AP171" s="73"/>
      <c r="AQ171" s="25"/>
      <c r="AR171" s="73"/>
      <c r="AS171" s="73"/>
      <c r="AT171" s="345"/>
      <c r="AU171" s="73"/>
      <c r="AV171" s="25"/>
      <c r="AW171" s="73"/>
      <c r="AX171" s="73"/>
      <c r="AY171" s="345"/>
      <c r="AZ171" s="73"/>
      <c r="BA171" s="25"/>
      <c r="BB171" s="73"/>
      <c r="BC171" s="73"/>
      <c r="BD171" s="345"/>
      <c r="BE171" s="73"/>
      <c r="BF171" s="25"/>
      <c r="BG171" s="73"/>
      <c r="BH171" s="73"/>
      <c r="BI171" s="345"/>
      <c r="BJ171" s="73"/>
      <c r="BK171" s="25"/>
      <c r="BL171" s="73"/>
      <c r="BM171" s="73"/>
      <c r="BN171" s="345"/>
      <c r="BO171" s="73"/>
      <c r="BP171" s="25"/>
      <c r="BQ171" s="73"/>
      <c r="BR171" s="73"/>
      <c r="BS171" s="345"/>
      <c r="BT171" s="73"/>
      <c r="BU171" s="25"/>
      <c r="BV171" s="73"/>
      <c r="BW171" s="73"/>
      <c r="BX171" s="345"/>
      <c r="BY171" s="73"/>
      <c r="BZ171" s="25"/>
      <c r="CA171" s="73"/>
      <c r="CB171" s="73"/>
      <c r="CC171" s="345"/>
      <c r="CD171" s="73"/>
      <c r="CE171" s="25"/>
      <c r="CF171" s="73"/>
      <c r="CG171" s="73"/>
      <c r="CH171" s="345"/>
      <c r="CI171" s="73"/>
      <c r="CJ171" s="25"/>
      <c r="CK171" s="73"/>
      <c r="CL171" s="73"/>
      <c r="CM171" s="345"/>
      <c r="CN171" s="73"/>
      <c r="CO171" s="25"/>
      <c r="CP171" s="73"/>
      <c r="CQ171" s="73"/>
      <c r="CR171" s="345"/>
      <c r="CS171" s="73"/>
      <c r="CT171" s="25"/>
      <c r="CU171" s="73"/>
      <c r="CV171" s="73"/>
      <c r="CW171" s="345"/>
      <c r="CX171" s="73"/>
      <c r="CY171" s="25"/>
      <c r="CZ171" s="73"/>
      <c r="DA171" s="73"/>
      <c r="DB171" s="345"/>
      <c r="DC171" s="73"/>
      <c r="DD171" s="25"/>
      <c r="DE171" s="73"/>
      <c r="DF171" s="73"/>
      <c r="DG171" s="345"/>
      <c r="DH171" s="73"/>
      <c r="DI171" s="25"/>
      <c r="DJ171" s="73"/>
      <c r="DK171" s="73"/>
      <c r="DL171" s="345"/>
      <c r="DM171" s="73"/>
      <c r="DN171" s="25"/>
      <c r="DO171" s="73"/>
      <c r="DP171" s="73"/>
      <c r="DQ171" s="345"/>
      <c r="DR171" s="73"/>
      <c r="DS171" s="25"/>
      <c r="DT171" s="73"/>
      <c r="DU171" s="73"/>
      <c r="DV171" s="345"/>
      <c r="DW171" s="73"/>
      <c r="DX171" s="25"/>
      <c r="DY171" s="73"/>
      <c r="DZ171" s="73"/>
      <c r="EA171" s="345"/>
      <c r="EB171" s="73"/>
      <c r="EC171" s="25"/>
      <c r="ED171" s="73"/>
      <c r="EE171" s="73"/>
      <c r="EF171" s="345"/>
      <c r="EG171" s="73"/>
      <c r="EH171" s="25"/>
      <c r="EI171" s="73"/>
      <c r="EJ171" s="73"/>
      <c r="EK171" s="345"/>
      <c r="EL171" s="73"/>
      <c r="EM171" s="25"/>
      <c r="EN171" s="73"/>
      <c r="EO171" s="73"/>
      <c r="EP171" s="345"/>
      <c r="EQ171" s="73"/>
      <c r="ER171" s="25"/>
      <c r="ES171" s="73"/>
      <c r="ET171" s="73"/>
      <c r="EU171" s="345"/>
      <c r="EV171" s="73"/>
      <c r="EW171" s="25"/>
      <c r="EX171" s="73"/>
      <c r="EY171" s="73"/>
      <c r="EZ171" s="345"/>
      <c r="FA171" s="73"/>
      <c r="FB171" s="25"/>
      <c r="FC171" s="73"/>
      <c r="FD171" s="73"/>
      <c r="FE171" s="345"/>
      <c r="FF171" s="73"/>
      <c r="FG171" s="25"/>
      <c r="FH171" s="73"/>
      <c r="FI171" s="73"/>
      <c r="FJ171" s="345"/>
      <c r="FK171" s="73"/>
      <c r="FL171" s="25"/>
      <c r="FM171" s="73"/>
      <c r="FN171" s="73"/>
      <c r="FO171" s="345"/>
      <c r="FP171" s="73"/>
      <c r="FQ171" s="25"/>
      <c r="FR171" s="73"/>
      <c r="FS171" s="73"/>
      <c r="FT171" s="345"/>
      <c r="FU171" s="73"/>
      <c r="FV171" s="25"/>
      <c r="FW171" s="73"/>
      <c r="FX171" s="73"/>
      <c r="FY171" s="345"/>
      <c r="FZ171" s="73"/>
      <c r="GA171" s="25"/>
      <c r="GB171" s="73"/>
      <c r="GC171" s="73"/>
      <c r="GD171" s="345"/>
      <c r="GE171" s="73"/>
      <c r="GF171" s="25"/>
      <c r="GG171" s="73"/>
      <c r="GH171" s="73"/>
      <c r="GI171" s="345"/>
      <c r="GJ171" s="73"/>
      <c r="GK171" s="25"/>
      <c r="GL171" s="73"/>
      <c r="GM171" s="73"/>
      <c r="GN171" s="345"/>
      <c r="GO171" s="73"/>
      <c r="GP171" s="25"/>
      <c r="GQ171" s="73"/>
      <c r="GR171" s="73"/>
      <c r="GS171" s="345"/>
      <c r="GT171" s="73"/>
      <c r="GU171" s="25"/>
      <c r="GV171" s="73"/>
      <c r="GW171" s="73"/>
      <c r="GX171" s="345"/>
      <c r="GY171" s="73"/>
      <c r="GZ171" s="25"/>
      <c r="HA171" s="73"/>
      <c r="HB171" s="73"/>
      <c r="HC171" s="345"/>
      <c r="HD171" s="73"/>
      <c r="HE171" s="25"/>
      <c r="HF171" s="73"/>
      <c r="HG171" s="73"/>
      <c r="HH171" s="345"/>
      <c r="HI171" s="73"/>
      <c r="HJ171" s="25"/>
      <c r="HK171" s="73"/>
      <c r="HL171" s="73"/>
      <c r="HM171" s="345"/>
      <c r="HN171" s="73"/>
      <c r="HO171" s="25"/>
      <c r="HP171" s="73"/>
      <c r="HQ171" s="73"/>
      <c r="HR171" s="345"/>
      <c r="HS171" s="73"/>
      <c r="HT171" s="25"/>
      <c r="HU171" s="73"/>
      <c r="HV171" s="73"/>
      <c r="HW171" s="345"/>
      <c r="HX171" s="73"/>
      <c r="HY171" s="25"/>
      <c r="HZ171" s="73"/>
      <c r="IA171" s="73"/>
      <c r="IB171" s="345"/>
      <c r="IC171" s="73"/>
      <c r="ID171" s="25"/>
      <c r="IE171" s="73"/>
      <c r="IF171" s="73"/>
      <c r="IG171" s="345"/>
      <c r="IH171" s="73"/>
      <c r="II171" s="25"/>
      <c r="IJ171" s="73"/>
      <c r="IK171" s="73"/>
      <c r="IL171" s="345"/>
      <c r="IM171" s="73"/>
      <c r="IN171" s="25"/>
      <c r="IO171" s="73"/>
      <c r="IP171" s="73"/>
      <c r="IQ171" s="345"/>
      <c r="IR171" s="73"/>
      <c r="IS171" s="25"/>
      <c r="IT171" s="73"/>
      <c r="IU171" s="73"/>
      <c r="IV171" s="345"/>
    </row>
    <row r="172" spans="1:256" x14ac:dyDescent="0.2">
      <c r="A172" s="345">
        <v>32751</v>
      </c>
      <c r="B172" s="73"/>
      <c r="C172" s="25"/>
      <c r="D172" s="73"/>
      <c r="E172" s="73"/>
      <c r="F172" s="345"/>
      <c r="G172" s="73"/>
      <c r="H172" s="25"/>
      <c r="I172" s="73"/>
      <c r="J172" s="73"/>
      <c r="K172" s="345"/>
      <c r="L172" s="73"/>
      <c r="M172" s="25"/>
      <c r="N172" s="73"/>
      <c r="O172" s="73"/>
      <c r="P172" s="345"/>
      <c r="Q172" s="73"/>
      <c r="R172" s="25"/>
      <c r="S172" s="73"/>
      <c r="T172" s="73"/>
      <c r="U172" s="345"/>
      <c r="V172" s="73"/>
      <c r="W172" s="25"/>
      <c r="X172" s="73"/>
      <c r="Y172" s="73"/>
      <c r="Z172" s="345"/>
      <c r="AA172" s="73"/>
      <c r="AB172" s="25"/>
      <c r="AC172" s="73"/>
      <c r="AD172" s="73"/>
      <c r="AE172" s="345"/>
      <c r="AF172" s="73"/>
      <c r="AG172" s="25"/>
      <c r="AH172" s="73"/>
      <c r="AI172" s="73"/>
      <c r="AJ172" s="345"/>
      <c r="AK172" s="73"/>
      <c r="AL172" s="25"/>
      <c r="AM172" s="73"/>
      <c r="AN172" s="73"/>
      <c r="AO172" s="345"/>
      <c r="AP172" s="73"/>
      <c r="AQ172" s="25"/>
      <c r="AR172" s="73"/>
      <c r="AS172" s="73"/>
      <c r="AT172" s="345"/>
      <c r="AU172" s="73"/>
      <c r="AV172" s="25"/>
      <c r="AW172" s="73"/>
      <c r="AX172" s="73"/>
      <c r="AY172" s="345"/>
      <c r="AZ172" s="73"/>
      <c r="BA172" s="25"/>
      <c r="BB172" s="73"/>
      <c r="BC172" s="73"/>
      <c r="BD172" s="345"/>
      <c r="BE172" s="73"/>
      <c r="BF172" s="25"/>
      <c r="BG172" s="73"/>
      <c r="BH172" s="73"/>
      <c r="BI172" s="345"/>
      <c r="BJ172" s="73"/>
      <c r="BK172" s="25"/>
      <c r="BL172" s="73"/>
      <c r="BM172" s="73"/>
      <c r="BN172" s="345"/>
      <c r="BO172" s="73"/>
      <c r="BP172" s="25"/>
      <c r="BQ172" s="73"/>
      <c r="BR172" s="73"/>
      <c r="BS172" s="345"/>
      <c r="BT172" s="73"/>
      <c r="BU172" s="25"/>
      <c r="BV172" s="73"/>
      <c r="BW172" s="73"/>
      <c r="BX172" s="345"/>
      <c r="BY172" s="73"/>
      <c r="BZ172" s="25"/>
      <c r="CA172" s="73"/>
      <c r="CB172" s="73"/>
      <c r="CC172" s="345"/>
      <c r="CD172" s="73"/>
      <c r="CE172" s="25"/>
      <c r="CF172" s="73"/>
      <c r="CG172" s="73"/>
      <c r="CH172" s="345"/>
      <c r="CI172" s="73"/>
      <c r="CJ172" s="25"/>
      <c r="CK172" s="73"/>
      <c r="CL172" s="73"/>
      <c r="CM172" s="345"/>
      <c r="CN172" s="73"/>
      <c r="CO172" s="25"/>
      <c r="CP172" s="73"/>
      <c r="CQ172" s="73"/>
      <c r="CR172" s="345"/>
      <c r="CS172" s="73"/>
      <c r="CT172" s="25"/>
      <c r="CU172" s="73"/>
      <c r="CV172" s="73"/>
      <c r="CW172" s="345"/>
      <c r="CX172" s="73"/>
      <c r="CY172" s="25"/>
      <c r="CZ172" s="73"/>
      <c r="DA172" s="73"/>
      <c r="DB172" s="345"/>
      <c r="DC172" s="73"/>
      <c r="DD172" s="25"/>
      <c r="DE172" s="73"/>
      <c r="DF172" s="73"/>
      <c r="DG172" s="345"/>
      <c r="DH172" s="73"/>
      <c r="DI172" s="25"/>
      <c r="DJ172" s="73"/>
      <c r="DK172" s="73"/>
      <c r="DL172" s="345"/>
      <c r="DM172" s="73"/>
      <c r="DN172" s="25"/>
      <c r="DO172" s="73"/>
      <c r="DP172" s="73"/>
      <c r="DQ172" s="345"/>
      <c r="DR172" s="73"/>
      <c r="DS172" s="25"/>
      <c r="DT172" s="73"/>
      <c r="DU172" s="73"/>
      <c r="DV172" s="345"/>
      <c r="DW172" s="73"/>
      <c r="DX172" s="25"/>
      <c r="DY172" s="73"/>
      <c r="DZ172" s="73"/>
      <c r="EA172" s="345"/>
      <c r="EB172" s="73"/>
      <c r="EC172" s="25"/>
      <c r="ED172" s="73"/>
      <c r="EE172" s="73"/>
      <c r="EF172" s="345"/>
      <c r="EG172" s="73"/>
      <c r="EH172" s="25"/>
      <c r="EI172" s="73"/>
      <c r="EJ172" s="73"/>
      <c r="EK172" s="345"/>
      <c r="EL172" s="73"/>
      <c r="EM172" s="25"/>
      <c r="EN172" s="73"/>
      <c r="EO172" s="73"/>
      <c r="EP172" s="345"/>
      <c r="EQ172" s="73"/>
      <c r="ER172" s="25"/>
      <c r="ES172" s="73"/>
      <c r="ET172" s="73"/>
      <c r="EU172" s="345"/>
      <c r="EV172" s="73"/>
      <c r="EW172" s="25"/>
      <c r="EX172" s="73"/>
      <c r="EY172" s="73"/>
      <c r="EZ172" s="345"/>
      <c r="FA172" s="73"/>
      <c r="FB172" s="25"/>
      <c r="FC172" s="73"/>
      <c r="FD172" s="73"/>
      <c r="FE172" s="345"/>
      <c r="FF172" s="73"/>
      <c r="FG172" s="25"/>
      <c r="FH172" s="73"/>
      <c r="FI172" s="73"/>
      <c r="FJ172" s="345"/>
      <c r="FK172" s="73"/>
      <c r="FL172" s="25"/>
      <c r="FM172" s="73"/>
      <c r="FN172" s="73"/>
      <c r="FO172" s="345"/>
      <c r="FP172" s="73"/>
      <c r="FQ172" s="25"/>
      <c r="FR172" s="73"/>
      <c r="FS172" s="73"/>
      <c r="FT172" s="345"/>
      <c r="FU172" s="73"/>
      <c r="FV172" s="25"/>
      <c r="FW172" s="73"/>
      <c r="FX172" s="73"/>
      <c r="FY172" s="345"/>
      <c r="FZ172" s="73"/>
      <c r="GA172" s="25"/>
      <c r="GB172" s="73"/>
      <c r="GC172" s="73"/>
      <c r="GD172" s="345"/>
      <c r="GE172" s="73"/>
      <c r="GF172" s="25"/>
      <c r="GG172" s="73"/>
      <c r="GH172" s="73"/>
      <c r="GI172" s="345"/>
      <c r="GJ172" s="73"/>
      <c r="GK172" s="25"/>
      <c r="GL172" s="73"/>
      <c r="GM172" s="73"/>
      <c r="GN172" s="345"/>
      <c r="GO172" s="73"/>
      <c r="GP172" s="25"/>
      <c r="GQ172" s="73"/>
      <c r="GR172" s="73"/>
      <c r="GS172" s="345"/>
      <c r="GT172" s="73"/>
      <c r="GU172" s="25"/>
      <c r="GV172" s="73"/>
      <c r="GW172" s="73"/>
      <c r="GX172" s="345"/>
      <c r="GY172" s="73"/>
      <c r="GZ172" s="25"/>
      <c r="HA172" s="73"/>
      <c r="HB172" s="73"/>
      <c r="HC172" s="345"/>
      <c r="HD172" s="73"/>
      <c r="HE172" s="25"/>
      <c r="HF172" s="73"/>
      <c r="HG172" s="73"/>
      <c r="HH172" s="345"/>
      <c r="HI172" s="73"/>
      <c r="HJ172" s="25"/>
      <c r="HK172" s="73"/>
      <c r="HL172" s="73"/>
      <c r="HM172" s="345"/>
      <c r="HN172" s="73"/>
      <c r="HO172" s="25"/>
      <c r="HP172" s="73"/>
      <c r="HQ172" s="73"/>
      <c r="HR172" s="345"/>
      <c r="HS172" s="73"/>
      <c r="HT172" s="25"/>
      <c r="HU172" s="73"/>
      <c r="HV172" s="73"/>
      <c r="HW172" s="345"/>
      <c r="HX172" s="73"/>
      <c r="HY172" s="25"/>
      <c r="HZ172" s="73"/>
      <c r="IA172" s="73"/>
      <c r="IB172" s="345"/>
      <c r="IC172" s="73"/>
      <c r="ID172" s="25"/>
      <c r="IE172" s="73"/>
      <c r="IF172" s="73"/>
      <c r="IG172" s="345"/>
      <c r="IH172" s="73"/>
      <c r="II172" s="25"/>
      <c r="IJ172" s="73"/>
      <c r="IK172" s="73"/>
      <c r="IL172" s="345"/>
      <c r="IM172" s="73"/>
      <c r="IN172" s="25"/>
      <c r="IO172" s="73"/>
      <c r="IP172" s="73"/>
      <c r="IQ172" s="345"/>
      <c r="IR172" s="73"/>
      <c r="IS172" s="25"/>
      <c r="IT172" s="73"/>
      <c r="IU172" s="73"/>
      <c r="IV172" s="345"/>
    </row>
    <row r="173" spans="1:256" x14ac:dyDescent="0.2">
      <c r="A173" s="345">
        <v>32781</v>
      </c>
      <c r="B173" s="73"/>
      <c r="C173" s="25"/>
      <c r="D173" s="73"/>
      <c r="E173" s="73"/>
      <c r="F173" s="345"/>
      <c r="G173" s="73"/>
      <c r="H173" s="25"/>
      <c r="I173" s="73"/>
      <c r="J173" s="73"/>
      <c r="K173" s="345"/>
      <c r="L173" s="73"/>
      <c r="M173" s="25"/>
      <c r="N173" s="73"/>
      <c r="O173" s="73"/>
      <c r="P173" s="345"/>
      <c r="Q173" s="73"/>
      <c r="R173" s="25"/>
      <c r="S173" s="73"/>
      <c r="T173" s="73"/>
      <c r="U173" s="345"/>
      <c r="V173" s="73"/>
      <c r="W173" s="25"/>
      <c r="X173" s="73"/>
      <c r="Y173" s="73"/>
      <c r="Z173" s="345"/>
      <c r="AA173" s="73"/>
      <c r="AB173" s="25"/>
      <c r="AC173" s="73"/>
      <c r="AD173" s="73"/>
      <c r="AE173" s="345"/>
      <c r="AF173" s="73"/>
      <c r="AG173" s="25"/>
      <c r="AH173" s="73"/>
      <c r="AI173" s="73"/>
      <c r="AJ173" s="345"/>
      <c r="AK173" s="73"/>
      <c r="AL173" s="25"/>
      <c r="AM173" s="73"/>
      <c r="AN173" s="73"/>
      <c r="AO173" s="345"/>
      <c r="AP173" s="73"/>
      <c r="AQ173" s="25"/>
      <c r="AR173" s="73"/>
      <c r="AS173" s="73"/>
      <c r="AT173" s="345"/>
      <c r="AU173" s="73"/>
      <c r="AV173" s="25"/>
      <c r="AW173" s="73"/>
      <c r="AX173" s="73"/>
      <c r="AY173" s="345"/>
      <c r="AZ173" s="73"/>
      <c r="BA173" s="25"/>
      <c r="BB173" s="73"/>
      <c r="BC173" s="73"/>
      <c r="BD173" s="345"/>
      <c r="BE173" s="73"/>
      <c r="BF173" s="25"/>
      <c r="BG173" s="73"/>
      <c r="BH173" s="73"/>
      <c r="BI173" s="345"/>
      <c r="BJ173" s="73"/>
      <c r="BK173" s="25"/>
      <c r="BL173" s="73"/>
      <c r="BM173" s="73"/>
      <c r="BN173" s="345"/>
      <c r="BO173" s="73"/>
      <c r="BP173" s="25"/>
      <c r="BQ173" s="73"/>
      <c r="BR173" s="73"/>
      <c r="BS173" s="345"/>
      <c r="BT173" s="73"/>
      <c r="BU173" s="25"/>
      <c r="BV173" s="73"/>
      <c r="BW173" s="73"/>
      <c r="BX173" s="345"/>
      <c r="BY173" s="73"/>
      <c r="BZ173" s="25"/>
      <c r="CA173" s="73"/>
      <c r="CB173" s="73"/>
      <c r="CC173" s="345"/>
      <c r="CD173" s="73"/>
      <c r="CE173" s="25"/>
      <c r="CF173" s="73"/>
      <c r="CG173" s="73"/>
      <c r="CH173" s="345"/>
      <c r="CI173" s="73"/>
      <c r="CJ173" s="25"/>
      <c r="CK173" s="73"/>
      <c r="CL173" s="73"/>
      <c r="CM173" s="345"/>
      <c r="CN173" s="73"/>
      <c r="CO173" s="25"/>
      <c r="CP173" s="73"/>
      <c r="CQ173" s="73"/>
      <c r="CR173" s="345"/>
      <c r="CS173" s="73"/>
      <c r="CT173" s="25"/>
      <c r="CU173" s="73"/>
      <c r="CV173" s="73"/>
      <c r="CW173" s="345"/>
      <c r="CX173" s="73"/>
      <c r="CY173" s="25"/>
      <c r="CZ173" s="73"/>
      <c r="DA173" s="73"/>
      <c r="DB173" s="345"/>
      <c r="DC173" s="73"/>
      <c r="DD173" s="25"/>
      <c r="DE173" s="73"/>
      <c r="DF173" s="73"/>
      <c r="DG173" s="345"/>
      <c r="DH173" s="73"/>
      <c r="DI173" s="25"/>
      <c r="DJ173" s="73"/>
      <c r="DK173" s="73"/>
      <c r="DL173" s="345"/>
      <c r="DM173" s="73"/>
      <c r="DN173" s="25"/>
      <c r="DO173" s="73"/>
      <c r="DP173" s="73"/>
      <c r="DQ173" s="345"/>
      <c r="DR173" s="73"/>
      <c r="DS173" s="25"/>
      <c r="DT173" s="73"/>
      <c r="DU173" s="73"/>
      <c r="DV173" s="345"/>
      <c r="DW173" s="73"/>
      <c r="DX173" s="25"/>
      <c r="DY173" s="73"/>
      <c r="DZ173" s="73"/>
      <c r="EA173" s="345"/>
      <c r="EB173" s="73"/>
      <c r="EC173" s="25"/>
      <c r="ED173" s="73"/>
      <c r="EE173" s="73"/>
      <c r="EF173" s="345"/>
      <c r="EG173" s="73"/>
      <c r="EH173" s="25"/>
      <c r="EI173" s="73"/>
      <c r="EJ173" s="73"/>
      <c r="EK173" s="345"/>
      <c r="EL173" s="73"/>
      <c r="EM173" s="25"/>
      <c r="EN173" s="73"/>
      <c r="EO173" s="73"/>
      <c r="EP173" s="345"/>
      <c r="EQ173" s="73"/>
      <c r="ER173" s="25"/>
      <c r="ES173" s="73"/>
      <c r="ET173" s="73"/>
      <c r="EU173" s="345"/>
      <c r="EV173" s="73"/>
      <c r="EW173" s="25"/>
      <c r="EX173" s="73"/>
      <c r="EY173" s="73"/>
      <c r="EZ173" s="345"/>
      <c r="FA173" s="73"/>
      <c r="FB173" s="25"/>
      <c r="FC173" s="73"/>
      <c r="FD173" s="73"/>
      <c r="FE173" s="345"/>
      <c r="FF173" s="73"/>
      <c r="FG173" s="25"/>
      <c r="FH173" s="73"/>
      <c r="FI173" s="73"/>
      <c r="FJ173" s="345"/>
      <c r="FK173" s="73"/>
      <c r="FL173" s="25"/>
      <c r="FM173" s="73"/>
      <c r="FN173" s="73"/>
      <c r="FO173" s="345"/>
      <c r="FP173" s="73"/>
      <c r="FQ173" s="25"/>
      <c r="FR173" s="73"/>
      <c r="FS173" s="73"/>
      <c r="FT173" s="345"/>
      <c r="FU173" s="73"/>
      <c r="FV173" s="25"/>
      <c r="FW173" s="73"/>
      <c r="FX173" s="73"/>
      <c r="FY173" s="345"/>
      <c r="FZ173" s="73"/>
      <c r="GA173" s="25"/>
      <c r="GB173" s="73"/>
      <c r="GC173" s="73"/>
      <c r="GD173" s="345"/>
      <c r="GE173" s="73"/>
      <c r="GF173" s="25"/>
      <c r="GG173" s="73"/>
      <c r="GH173" s="73"/>
      <c r="GI173" s="345"/>
      <c r="GJ173" s="73"/>
      <c r="GK173" s="25"/>
      <c r="GL173" s="73"/>
      <c r="GM173" s="73"/>
      <c r="GN173" s="345"/>
      <c r="GO173" s="73"/>
      <c r="GP173" s="25"/>
      <c r="GQ173" s="73"/>
      <c r="GR173" s="73"/>
      <c r="GS173" s="345"/>
      <c r="GT173" s="73"/>
      <c r="GU173" s="25"/>
      <c r="GV173" s="73"/>
      <c r="GW173" s="73"/>
      <c r="GX173" s="345"/>
      <c r="GY173" s="73"/>
      <c r="GZ173" s="25"/>
      <c r="HA173" s="73"/>
      <c r="HB173" s="73"/>
      <c r="HC173" s="345"/>
      <c r="HD173" s="73"/>
      <c r="HE173" s="25"/>
      <c r="HF173" s="73"/>
      <c r="HG173" s="73"/>
      <c r="HH173" s="345"/>
      <c r="HI173" s="73"/>
      <c r="HJ173" s="25"/>
      <c r="HK173" s="73"/>
      <c r="HL173" s="73"/>
      <c r="HM173" s="345"/>
      <c r="HN173" s="73"/>
      <c r="HO173" s="25"/>
      <c r="HP173" s="73"/>
      <c r="HQ173" s="73"/>
      <c r="HR173" s="345"/>
      <c r="HS173" s="73"/>
      <c r="HT173" s="25"/>
      <c r="HU173" s="73"/>
      <c r="HV173" s="73"/>
      <c r="HW173" s="345"/>
      <c r="HX173" s="73"/>
      <c r="HY173" s="25"/>
      <c r="HZ173" s="73"/>
      <c r="IA173" s="73"/>
      <c r="IB173" s="345"/>
      <c r="IC173" s="73"/>
      <c r="ID173" s="25"/>
      <c r="IE173" s="73"/>
      <c r="IF173" s="73"/>
      <c r="IG173" s="345"/>
      <c r="IH173" s="73"/>
      <c r="II173" s="25"/>
      <c r="IJ173" s="73"/>
      <c r="IK173" s="73"/>
      <c r="IL173" s="345"/>
      <c r="IM173" s="73"/>
      <c r="IN173" s="25"/>
      <c r="IO173" s="73"/>
      <c r="IP173" s="73"/>
      <c r="IQ173" s="345"/>
      <c r="IR173" s="73"/>
      <c r="IS173" s="25"/>
      <c r="IT173" s="73"/>
      <c r="IU173" s="73"/>
      <c r="IV173" s="345"/>
    </row>
    <row r="174" spans="1:256" x14ac:dyDescent="0.2">
      <c r="A174" s="345">
        <v>32812</v>
      </c>
      <c r="B174" s="73"/>
      <c r="C174" s="25"/>
      <c r="D174" s="73"/>
      <c r="E174" s="73"/>
      <c r="F174" s="345"/>
      <c r="G174" s="73"/>
      <c r="H174" s="25"/>
      <c r="I174" s="73"/>
      <c r="J174" s="73"/>
      <c r="K174" s="345"/>
      <c r="L174" s="73"/>
      <c r="M174" s="25"/>
      <c r="N174" s="73"/>
      <c r="O174" s="73"/>
      <c r="P174" s="345"/>
      <c r="Q174" s="73"/>
      <c r="R174" s="25"/>
      <c r="S174" s="73"/>
      <c r="T174" s="73"/>
      <c r="U174" s="345"/>
      <c r="V174" s="73"/>
      <c r="W174" s="25"/>
      <c r="X174" s="73"/>
      <c r="Y174" s="73"/>
      <c r="Z174" s="345"/>
      <c r="AA174" s="73"/>
      <c r="AB174" s="25"/>
      <c r="AC174" s="73"/>
      <c r="AD174" s="73"/>
      <c r="AE174" s="345"/>
      <c r="AF174" s="73"/>
      <c r="AG174" s="25"/>
      <c r="AH174" s="73"/>
      <c r="AI174" s="73"/>
      <c r="AJ174" s="345"/>
      <c r="AK174" s="73"/>
      <c r="AL174" s="25"/>
      <c r="AM174" s="73"/>
      <c r="AN174" s="73"/>
      <c r="AO174" s="345"/>
      <c r="AP174" s="73"/>
      <c r="AQ174" s="25"/>
      <c r="AR174" s="73"/>
      <c r="AS174" s="73"/>
      <c r="AT174" s="345"/>
      <c r="AU174" s="73"/>
      <c r="AV174" s="25"/>
      <c r="AW174" s="73"/>
      <c r="AX174" s="73"/>
      <c r="AY174" s="345"/>
      <c r="AZ174" s="73"/>
      <c r="BA174" s="25"/>
      <c r="BB174" s="73"/>
      <c r="BC174" s="73"/>
      <c r="BD174" s="345"/>
      <c r="BE174" s="73"/>
      <c r="BF174" s="25"/>
      <c r="BG174" s="73"/>
      <c r="BH174" s="73"/>
      <c r="BI174" s="345"/>
      <c r="BJ174" s="73"/>
      <c r="BK174" s="25"/>
      <c r="BL174" s="73"/>
      <c r="BM174" s="73"/>
      <c r="BN174" s="345"/>
      <c r="BO174" s="73"/>
      <c r="BP174" s="25"/>
      <c r="BQ174" s="73"/>
      <c r="BR174" s="73"/>
      <c r="BS174" s="345"/>
      <c r="BT174" s="73"/>
      <c r="BU174" s="25"/>
      <c r="BV174" s="73"/>
      <c r="BW174" s="73"/>
      <c r="BX174" s="345"/>
      <c r="BY174" s="73"/>
      <c r="BZ174" s="25"/>
      <c r="CA174" s="73"/>
      <c r="CB174" s="73"/>
      <c r="CC174" s="345"/>
      <c r="CD174" s="73"/>
      <c r="CE174" s="25"/>
      <c r="CF174" s="73"/>
      <c r="CG174" s="73"/>
      <c r="CH174" s="345"/>
      <c r="CI174" s="73"/>
      <c r="CJ174" s="25"/>
      <c r="CK174" s="73"/>
      <c r="CL174" s="73"/>
      <c r="CM174" s="345"/>
      <c r="CN174" s="73"/>
      <c r="CO174" s="25"/>
      <c r="CP174" s="73"/>
      <c r="CQ174" s="73"/>
      <c r="CR174" s="345"/>
      <c r="CS174" s="73"/>
      <c r="CT174" s="25"/>
      <c r="CU174" s="73"/>
      <c r="CV174" s="73"/>
      <c r="CW174" s="345"/>
      <c r="CX174" s="73"/>
      <c r="CY174" s="25"/>
      <c r="CZ174" s="73"/>
      <c r="DA174" s="73"/>
      <c r="DB174" s="345"/>
      <c r="DC174" s="73"/>
      <c r="DD174" s="25"/>
      <c r="DE174" s="73"/>
      <c r="DF174" s="73"/>
      <c r="DG174" s="345"/>
      <c r="DH174" s="73"/>
      <c r="DI174" s="25"/>
      <c r="DJ174" s="73"/>
      <c r="DK174" s="73"/>
      <c r="DL174" s="345"/>
      <c r="DM174" s="73"/>
      <c r="DN174" s="25"/>
      <c r="DO174" s="73"/>
      <c r="DP174" s="73"/>
      <c r="DQ174" s="345"/>
      <c r="DR174" s="73"/>
      <c r="DS174" s="25"/>
      <c r="DT174" s="73"/>
      <c r="DU174" s="73"/>
      <c r="DV174" s="345"/>
      <c r="DW174" s="73"/>
      <c r="DX174" s="25"/>
      <c r="DY174" s="73"/>
      <c r="DZ174" s="73"/>
      <c r="EA174" s="345"/>
      <c r="EB174" s="73"/>
      <c r="EC174" s="25"/>
      <c r="ED174" s="73"/>
      <c r="EE174" s="73"/>
      <c r="EF174" s="345"/>
      <c r="EG174" s="73"/>
      <c r="EH174" s="25"/>
      <c r="EI174" s="73"/>
      <c r="EJ174" s="73"/>
      <c r="EK174" s="345"/>
      <c r="EL174" s="73"/>
      <c r="EM174" s="25"/>
      <c r="EN174" s="73"/>
      <c r="EO174" s="73"/>
      <c r="EP174" s="345"/>
      <c r="EQ174" s="73"/>
      <c r="ER174" s="25"/>
      <c r="ES174" s="73"/>
      <c r="ET174" s="73"/>
      <c r="EU174" s="345"/>
      <c r="EV174" s="73"/>
      <c r="EW174" s="25"/>
      <c r="EX174" s="73"/>
      <c r="EY174" s="73"/>
      <c r="EZ174" s="345"/>
      <c r="FA174" s="73"/>
      <c r="FB174" s="25"/>
      <c r="FC174" s="73"/>
      <c r="FD174" s="73"/>
      <c r="FE174" s="345"/>
      <c r="FF174" s="73"/>
      <c r="FG174" s="25"/>
      <c r="FH174" s="73"/>
      <c r="FI174" s="73"/>
      <c r="FJ174" s="345"/>
      <c r="FK174" s="73"/>
      <c r="FL174" s="25"/>
      <c r="FM174" s="73"/>
      <c r="FN174" s="73"/>
      <c r="FO174" s="345"/>
      <c r="FP174" s="73"/>
      <c r="FQ174" s="25"/>
      <c r="FR174" s="73"/>
      <c r="FS174" s="73"/>
      <c r="FT174" s="345"/>
      <c r="FU174" s="73"/>
      <c r="FV174" s="25"/>
      <c r="FW174" s="73"/>
      <c r="FX174" s="73"/>
      <c r="FY174" s="345"/>
      <c r="FZ174" s="73"/>
      <c r="GA174" s="25"/>
      <c r="GB174" s="73"/>
      <c r="GC174" s="73"/>
      <c r="GD174" s="345"/>
      <c r="GE174" s="73"/>
      <c r="GF174" s="25"/>
      <c r="GG174" s="73"/>
      <c r="GH174" s="73"/>
      <c r="GI174" s="345"/>
      <c r="GJ174" s="73"/>
      <c r="GK174" s="25"/>
      <c r="GL174" s="73"/>
      <c r="GM174" s="73"/>
      <c r="GN174" s="345"/>
      <c r="GO174" s="73"/>
      <c r="GP174" s="25"/>
      <c r="GQ174" s="73"/>
      <c r="GR174" s="73"/>
      <c r="GS174" s="345"/>
      <c r="GT174" s="73"/>
      <c r="GU174" s="25"/>
      <c r="GV174" s="73"/>
      <c r="GW174" s="73"/>
      <c r="GX174" s="345"/>
      <c r="GY174" s="73"/>
      <c r="GZ174" s="25"/>
      <c r="HA174" s="73"/>
      <c r="HB174" s="73"/>
      <c r="HC174" s="345"/>
      <c r="HD174" s="73"/>
      <c r="HE174" s="25"/>
      <c r="HF174" s="73"/>
      <c r="HG174" s="73"/>
      <c r="HH174" s="345"/>
      <c r="HI174" s="73"/>
      <c r="HJ174" s="25"/>
      <c r="HK174" s="73"/>
      <c r="HL174" s="73"/>
      <c r="HM174" s="345"/>
      <c r="HN174" s="73"/>
      <c r="HO174" s="25"/>
      <c r="HP174" s="73"/>
      <c r="HQ174" s="73"/>
      <c r="HR174" s="345"/>
      <c r="HS174" s="73"/>
      <c r="HT174" s="25"/>
      <c r="HU174" s="73"/>
      <c r="HV174" s="73"/>
      <c r="HW174" s="345"/>
      <c r="HX174" s="73"/>
      <c r="HY174" s="25"/>
      <c r="HZ174" s="73"/>
      <c r="IA174" s="73"/>
      <c r="IB174" s="345"/>
      <c r="IC174" s="73"/>
      <c r="ID174" s="25"/>
      <c r="IE174" s="73"/>
      <c r="IF174" s="73"/>
      <c r="IG174" s="345"/>
      <c r="IH174" s="73"/>
      <c r="II174" s="25"/>
      <c r="IJ174" s="73"/>
      <c r="IK174" s="73"/>
      <c r="IL174" s="345"/>
      <c r="IM174" s="73"/>
      <c r="IN174" s="25"/>
      <c r="IO174" s="73"/>
      <c r="IP174" s="73"/>
      <c r="IQ174" s="345"/>
      <c r="IR174" s="73"/>
      <c r="IS174" s="25"/>
      <c r="IT174" s="73"/>
      <c r="IU174" s="73"/>
      <c r="IV174" s="345"/>
    </row>
    <row r="175" spans="1:256" x14ac:dyDescent="0.2">
      <c r="A175" s="345">
        <v>32842</v>
      </c>
      <c r="B175" s="73"/>
      <c r="C175" s="25"/>
      <c r="D175" s="73"/>
      <c r="E175" s="73"/>
      <c r="F175" s="345"/>
      <c r="G175" s="73"/>
      <c r="H175" s="25"/>
      <c r="I175" s="73"/>
      <c r="J175" s="73"/>
      <c r="K175" s="345"/>
      <c r="L175" s="73"/>
      <c r="M175" s="25"/>
      <c r="N175" s="73"/>
      <c r="O175" s="73"/>
      <c r="P175" s="345"/>
      <c r="Q175" s="73"/>
      <c r="R175" s="25"/>
      <c r="S175" s="73"/>
      <c r="T175" s="73"/>
      <c r="U175" s="345"/>
      <c r="V175" s="73"/>
      <c r="W175" s="25"/>
      <c r="X175" s="73"/>
      <c r="Y175" s="73"/>
      <c r="Z175" s="345"/>
      <c r="AA175" s="73"/>
      <c r="AB175" s="25"/>
      <c r="AC175" s="73"/>
      <c r="AD175" s="73"/>
      <c r="AE175" s="345"/>
      <c r="AF175" s="73"/>
      <c r="AG175" s="25"/>
      <c r="AH175" s="73"/>
      <c r="AI175" s="73"/>
      <c r="AJ175" s="345"/>
      <c r="AK175" s="73"/>
      <c r="AL175" s="25"/>
      <c r="AM175" s="73"/>
      <c r="AN175" s="73"/>
      <c r="AO175" s="345"/>
      <c r="AP175" s="73"/>
      <c r="AQ175" s="25"/>
      <c r="AR175" s="73"/>
      <c r="AS175" s="73"/>
      <c r="AT175" s="345"/>
      <c r="AU175" s="73"/>
      <c r="AV175" s="25"/>
      <c r="AW175" s="73"/>
      <c r="AX175" s="73"/>
      <c r="AY175" s="345"/>
      <c r="AZ175" s="73"/>
      <c r="BA175" s="25"/>
      <c r="BB175" s="73"/>
      <c r="BC175" s="73"/>
      <c r="BD175" s="345"/>
      <c r="BE175" s="73"/>
      <c r="BF175" s="25"/>
      <c r="BG175" s="73"/>
      <c r="BH175" s="73"/>
      <c r="BI175" s="345"/>
      <c r="BJ175" s="73"/>
      <c r="BK175" s="25"/>
      <c r="BL175" s="73"/>
      <c r="BM175" s="73"/>
      <c r="BN175" s="345"/>
      <c r="BO175" s="73"/>
      <c r="BP175" s="25"/>
      <c r="BQ175" s="73"/>
      <c r="BR175" s="73"/>
      <c r="BS175" s="345"/>
      <c r="BT175" s="73"/>
      <c r="BU175" s="25"/>
      <c r="BV175" s="73"/>
      <c r="BW175" s="73"/>
      <c r="BX175" s="345"/>
      <c r="BY175" s="73"/>
      <c r="BZ175" s="25"/>
      <c r="CA175" s="73"/>
      <c r="CB175" s="73"/>
      <c r="CC175" s="345"/>
      <c r="CD175" s="73"/>
      <c r="CE175" s="25"/>
      <c r="CF175" s="73"/>
      <c r="CG175" s="73"/>
      <c r="CH175" s="345"/>
      <c r="CI175" s="73"/>
      <c r="CJ175" s="25"/>
      <c r="CK175" s="73"/>
      <c r="CL175" s="73"/>
      <c r="CM175" s="345"/>
      <c r="CN175" s="73"/>
      <c r="CO175" s="25"/>
      <c r="CP175" s="73"/>
      <c r="CQ175" s="73"/>
      <c r="CR175" s="345"/>
      <c r="CS175" s="73"/>
      <c r="CT175" s="25"/>
      <c r="CU175" s="73"/>
      <c r="CV175" s="73"/>
      <c r="CW175" s="345"/>
      <c r="CX175" s="73"/>
      <c r="CY175" s="25"/>
      <c r="CZ175" s="73"/>
      <c r="DA175" s="73"/>
      <c r="DB175" s="345"/>
      <c r="DC175" s="73"/>
      <c r="DD175" s="25"/>
      <c r="DE175" s="73"/>
      <c r="DF175" s="73"/>
      <c r="DG175" s="345"/>
      <c r="DH175" s="73"/>
      <c r="DI175" s="25"/>
      <c r="DJ175" s="73"/>
      <c r="DK175" s="73"/>
      <c r="DL175" s="345"/>
      <c r="DM175" s="73"/>
      <c r="DN175" s="25"/>
      <c r="DO175" s="73"/>
      <c r="DP175" s="73"/>
      <c r="DQ175" s="345"/>
      <c r="DR175" s="73"/>
      <c r="DS175" s="25"/>
      <c r="DT175" s="73"/>
      <c r="DU175" s="73"/>
      <c r="DV175" s="345"/>
      <c r="DW175" s="73"/>
      <c r="DX175" s="25"/>
      <c r="DY175" s="73"/>
      <c r="DZ175" s="73"/>
      <c r="EA175" s="345"/>
      <c r="EB175" s="73"/>
      <c r="EC175" s="25"/>
      <c r="ED175" s="73"/>
      <c r="EE175" s="73"/>
      <c r="EF175" s="345"/>
      <c r="EG175" s="73"/>
      <c r="EH175" s="25"/>
      <c r="EI175" s="73"/>
      <c r="EJ175" s="73"/>
      <c r="EK175" s="345"/>
      <c r="EL175" s="73"/>
      <c r="EM175" s="25"/>
      <c r="EN175" s="73"/>
      <c r="EO175" s="73"/>
      <c r="EP175" s="345"/>
      <c r="EQ175" s="73"/>
      <c r="ER175" s="25"/>
      <c r="ES175" s="73"/>
      <c r="ET175" s="73"/>
      <c r="EU175" s="345"/>
      <c r="EV175" s="73"/>
      <c r="EW175" s="25"/>
      <c r="EX175" s="73"/>
      <c r="EY175" s="73"/>
      <c r="EZ175" s="345"/>
      <c r="FA175" s="73"/>
      <c r="FB175" s="25"/>
      <c r="FC175" s="73"/>
      <c r="FD175" s="73"/>
      <c r="FE175" s="345"/>
      <c r="FF175" s="73"/>
      <c r="FG175" s="25"/>
      <c r="FH175" s="73"/>
      <c r="FI175" s="73"/>
      <c r="FJ175" s="345"/>
      <c r="FK175" s="73"/>
      <c r="FL175" s="25"/>
      <c r="FM175" s="73"/>
      <c r="FN175" s="73"/>
      <c r="FO175" s="345"/>
      <c r="FP175" s="73"/>
      <c r="FQ175" s="25"/>
      <c r="FR175" s="73"/>
      <c r="FS175" s="73"/>
      <c r="FT175" s="345"/>
      <c r="FU175" s="73"/>
      <c r="FV175" s="25"/>
      <c r="FW175" s="73"/>
      <c r="FX175" s="73"/>
      <c r="FY175" s="345"/>
      <c r="FZ175" s="73"/>
      <c r="GA175" s="25"/>
      <c r="GB175" s="73"/>
      <c r="GC175" s="73"/>
      <c r="GD175" s="345"/>
      <c r="GE175" s="73"/>
      <c r="GF175" s="25"/>
      <c r="GG175" s="73"/>
      <c r="GH175" s="73"/>
      <c r="GI175" s="345"/>
      <c r="GJ175" s="73"/>
      <c r="GK175" s="25"/>
      <c r="GL175" s="73"/>
      <c r="GM175" s="73"/>
      <c r="GN175" s="345"/>
      <c r="GO175" s="73"/>
      <c r="GP175" s="25"/>
      <c r="GQ175" s="73"/>
      <c r="GR175" s="73"/>
      <c r="GS175" s="345"/>
      <c r="GT175" s="73"/>
      <c r="GU175" s="25"/>
      <c r="GV175" s="73"/>
      <c r="GW175" s="73"/>
      <c r="GX175" s="345"/>
      <c r="GY175" s="73"/>
      <c r="GZ175" s="25"/>
      <c r="HA175" s="73"/>
      <c r="HB175" s="73"/>
      <c r="HC175" s="345"/>
      <c r="HD175" s="73"/>
      <c r="HE175" s="25"/>
      <c r="HF175" s="73"/>
      <c r="HG175" s="73"/>
      <c r="HH175" s="345"/>
      <c r="HI175" s="73"/>
      <c r="HJ175" s="25"/>
      <c r="HK175" s="73"/>
      <c r="HL175" s="73"/>
      <c r="HM175" s="345"/>
      <c r="HN175" s="73"/>
      <c r="HO175" s="25"/>
      <c r="HP175" s="73"/>
      <c r="HQ175" s="73"/>
      <c r="HR175" s="345"/>
      <c r="HS175" s="73"/>
      <c r="HT175" s="25"/>
      <c r="HU175" s="73"/>
      <c r="HV175" s="73"/>
      <c r="HW175" s="345"/>
      <c r="HX175" s="73"/>
      <c r="HY175" s="25"/>
      <c r="HZ175" s="73"/>
      <c r="IA175" s="73"/>
      <c r="IB175" s="345"/>
      <c r="IC175" s="73"/>
      <c r="ID175" s="25"/>
      <c r="IE175" s="73"/>
      <c r="IF175" s="73"/>
      <c r="IG175" s="345"/>
      <c r="IH175" s="73"/>
      <c r="II175" s="25"/>
      <c r="IJ175" s="73"/>
      <c r="IK175" s="73"/>
      <c r="IL175" s="345"/>
      <c r="IM175" s="73"/>
      <c r="IN175" s="25"/>
      <c r="IO175" s="73"/>
      <c r="IP175" s="73"/>
      <c r="IQ175" s="345"/>
      <c r="IR175" s="73"/>
      <c r="IS175" s="25"/>
      <c r="IT175" s="73"/>
      <c r="IU175" s="73"/>
      <c r="IV175" s="345"/>
    </row>
    <row r="176" spans="1:256" x14ac:dyDescent="0.2">
      <c r="A176" s="345">
        <v>32873</v>
      </c>
      <c r="B176" s="73"/>
      <c r="C176" s="25"/>
      <c r="D176" s="73"/>
      <c r="E176" s="73"/>
      <c r="F176" s="345"/>
      <c r="G176" s="73"/>
      <c r="H176" s="25"/>
      <c r="I176" s="73"/>
      <c r="J176" s="73"/>
      <c r="K176" s="345"/>
      <c r="L176" s="73"/>
      <c r="M176" s="25"/>
      <c r="N176" s="73"/>
      <c r="O176" s="73"/>
      <c r="P176" s="345"/>
      <c r="Q176" s="73"/>
      <c r="R176" s="25"/>
      <c r="S176" s="73"/>
      <c r="T176" s="73"/>
      <c r="U176" s="345"/>
      <c r="V176" s="73"/>
      <c r="W176" s="25"/>
      <c r="X176" s="73"/>
      <c r="Y176" s="73"/>
      <c r="Z176" s="345"/>
      <c r="AA176" s="73"/>
      <c r="AB176" s="25"/>
      <c r="AC176" s="73"/>
      <c r="AD176" s="73"/>
      <c r="AE176" s="345"/>
      <c r="AF176" s="73"/>
      <c r="AG176" s="25"/>
      <c r="AH176" s="73"/>
      <c r="AI176" s="73"/>
      <c r="AJ176" s="345"/>
      <c r="AK176" s="73"/>
      <c r="AL176" s="25"/>
      <c r="AM176" s="73"/>
      <c r="AN176" s="73"/>
      <c r="AO176" s="345"/>
      <c r="AP176" s="73"/>
      <c r="AQ176" s="25"/>
      <c r="AR176" s="73"/>
      <c r="AS176" s="73"/>
      <c r="AT176" s="345"/>
      <c r="AU176" s="73"/>
      <c r="AV176" s="25"/>
      <c r="AW176" s="73"/>
      <c r="AX176" s="73"/>
      <c r="AY176" s="345"/>
      <c r="AZ176" s="73"/>
      <c r="BA176" s="25"/>
      <c r="BB176" s="73"/>
      <c r="BC176" s="73"/>
      <c r="BD176" s="345"/>
      <c r="BE176" s="73"/>
      <c r="BF176" s="25"/>
      <c r="BG176" s="73"/>
      <c r="BH176" s="73"/>
      <c r="BI176" s="345"/>
      <c r="BJ176" s="73"/>
      <c r="BK176" s="25"/>
      <c r="BL176" s="73"/>
      <c r="BM176" s="73"/>
      <c r="BN176" s="345"/>
      <c r="BO176" s="73"/>
      <c r="BP176" s="25"/>
      <c r="BQ176" s="73"/>
      <c r="BR176" s="73"/>
      <c r="BS176" s="345"/>
      <c r="BT176" s="73"/>
      <c r="BU176" s="25"/>
      <c r="BV176" s="73"/>
      <c r="BW176" s="73"/>
      <c r="BX176" s="345"/>
      <c r="BY176" s="73"/>
      <c r="BZ176" s="25"/>
      <c r="CA176" s="73"/>
      <c r="CB176" s="73"/>
      <c r="CC176" s="345"/>
      <c r="CD176" s="73"/>
      <c r="CE176" s="25"/>
      <c r="CF176" s="73"/>
      <c r="CG176" s="73"/>
      <c r="CH176" s="345"/>
      <c r="CI176" s="73"/>
      <c r="CJ176" s="25"/>
      <c r="CK176" s="73"/>
      <c r="CL176" s="73"/>
      <c r="CM176" s="345"/>
      <c r="CN176" s="73"/>
      <c r="CO176" s="25"/>
      <c r="CP176" s="73"/>
      <c r="CQ176" s="73"/>
      <c r="CR176" s="345"/>
      <c r="CS176" s="73"/>
      <c r="CT176" s="25"/>
      <c r="CU176" s="73"/>
      <c r="CV176" s="73"/>
      <c r="CW176" s="345"/>
      <c r="CX176" s="73"/>
      <c r="CY176" s="25"/>
      <c r="CZ176" s="73"/>
      <c r="DA176" s="73"/>
      <c r="DB176" s="345"/>
      <c r="DC176" s="73"/>
      <c r="DD176" s="25"/>
      <c r="DE176" s="73"/>
      <c r="DF176" s="73"/>
      <c r="DG176" s="345"/>
      <c r="DH176" s="73"/>
      <c r="DI176" s="25"/>
      <c r="DJ176" s="73"/>
      <c r="DK176" s="73"/>
      <c r="DL176" s="345"/>
      <c r="DM176" s="73"/>
      <c r="DN176" s="25"/>
      <c r="DO176" s="73"/>
      <c r="DP176" s="73"/>
      <c r="DQ176" s="345"/>
      <c r="DR176" s="73"/>
      <c r="DS176" s="25"/>
      <c r="DT176" s="73"/>
      <c r="DU176" s="73"/>
      <c r="DV176" s="345"/>
      <c r="DW176" s="73"/>
      <c r="DX176" s="25"/>
      <c r="DY176" s="73"/>
      <c r="DZ176" s="73"/>
      <c r="EA176" s="345"/>
      <c r="EB176" s="73"/>
      <c r="EC176" s="25"/>
      <c r="ED176" s="73"/>
      <c r="EE176" s="73"/>
      <c r="EF176" s="345"/>
      <c r="EG176" s="73"/>
      <c r="EH176" s="25"/>
      <c r="EI176" s="73"/>
      <c r="EJ176" s="73"/>
      <c r="EK176" s="345"/>
      <c r="EL176" s="73"/>
      <c r="EM176" s="25"/>
      <c r="EN176" s="73"/>
      <c r="EO176" s="73"/>
      <c r="EP176" s="345"/>
      <c r="EQ176" s="73"/>
      <c r="ER176" s="25"/>
      <c r="ES176" s="73"/>
      <c r="ET176" s="73"/>
      <c r="EU176" s="345"/>
      <c r="EV176" s="73"/>
      <c r="EW176" s="25"/>
      <c r="EX176" s="73"/>
      <c r="EY176" s="73"/>
      <c r="EZ176" s="345"/>
      <c r="FA176" s="73"/>
      <c r="FB176" s="25"/>
      <c r="FC176" s="73"/>
      <c r="FD176" s="73"/>
      <c r="FE176" s="345"/>
      <c r="FF176" s="73"/>
      <c r="FG176" s="25"/>
      <c r="FH176" s="73"/>
      <c r="FI176" s="73"/>
      <c r="FJ176" s="345"/>
      <c r="FK176" s="73"/>
      <c r="FL176" s="25"/>
      <c r="FM176" s="73"/>
      <c r="FN176" s="73"/>
      <c r="FO176" s="345"/>
      <c r="FP176" s="73"/>
      <c r="FQ176" s="25"/>
      <c r="FR176" s="73"/>
      <c r="FS176" s="73"/>
      <c r="FT176" s="345"/>
      <c r="FU176" s="73"/>
      <c r="FV176" s="25"/>
      <c r="FW176" s="73"/>
      <c r="FX176" s="73"/>
      <c r="FY176" s="345"/>
      <c r="FZ176" s="73"/>
      <c r="GA176" s="25"/>
      <c r="GB176" s="73"/>
      <c r="GC176" s="73"/>
      <c r="GD176" s="345"/>
      <c r="GE176" s="73"/>
      <c r="GF176" s="25"/>
      <c r="GG176" s="73"/>
      <c r="GH176" s="73"/>
      <c r="GI176" s="345"/>
      <c r="GJ176" s="73"/>
      <c r="GK176" s="25"/>
      <c r="GL176" s="73"/>
      <c r="GM176" s="73"/>
      <c r="GN176" s="345"/>
      <c r="GO176" s="73"/>
      <c r="GP176" s="25"/>
      <c r="GQ176" s="73"/>
      <c r="GR176" s="73"/>
      <c r="GS176" s="345"/>
      <c r="GT176" s="73"/>
      <c r="GU176" s="25"/>
      <c r="GV176" s="73"/>
      <c r="GW176" s="73"/>
      <c r="GX176" s="345"/>
      <c r="GY176" s="73"/>
      <c r="GZ176" s="25"/>
      <c r="HA176" s="73"/>
      <c r="HB176" s="73"/>
      <c r="HC176" s="345"/>
      <c r="HD176" s="73"/>
      <c r="HE176" s="25"/>
      <c r="HF176" s="73"/>
      <c r="HG176" s="73"/>
      <c r="HH176" s="345"/>
      <c r="HI176" s="73"/>
      <c r="HJ176" s="25"/>
      <c r="HK176" s="73"/>
      <c r="HL176" s="73"/>
      <c r="HM176" s="345"/>
      <c r="HN176" s="73"/>
      <c r="HO176" s="25"/>
      <c r="HP176" s="73"/>
      <c r="HQ176" s="73"/>
      <c r="HR176" s="345"/>
      <c r="HS176" s="73"/>
      <c r="HT176" s="25"/>
      <c r="HU176" s="73"/>
      <c r="HV176" s="73"/>
      <c r="HW176" s="345"/>
      <c r="HX176" s="73"/>
      <c r="HY176" s="25"/>
      <c r="HZ176" s="73"/>
      <c r="IA176" s="73"/>
      <c r="IB176" s="345"/>
      <c r="IC176" s="73"/>
      <c r="ID176" s="25"/>
      <c r="IE176" s="73"/>
      <c r="IF176" s="73"/>
      <c r="IG176" s="345"/>
      <c r="IH176" s="73"/>
      <c r="II176" s="25"/>
      <c r="IJ176" s="73"/>
      <c r="IK176" s="73"/>
      <c r="IL176" s="345"/>
      <c r="IM176" s="73"/>
      <c r="IN176" s="25"/>
      <c r="IO176" s="73"/>
      <c r="IP176" s="73"/>
      <c r="IQ176" s="345"/>
      <c r="IR176" s="73"/>
      <c r="IS176" s="25"/>
      <c r="IT176" s="73"/>
      <c r="IU176" s="73"/>
      <c r="IV176" s="345"/>
    </row>
    <row r="177" spans="1:256" x14ac:dyDescent="0.2">
      <c r="A177" s="345">
        <v>32904</v>
      </c>
      <c r="B177" s="73"/>
      <c r="C177" s="25"/>
      <c r="D177" s="73"/>
      <c r="E177" s="73"/>
      <c r="F177" s="345"/>
      <c r="G177" s="73"/>
      <c r="H177" s="25"/>
      <c r="I177" s="73"/>
      <c r="J177" s="73"/>
      <c r="K177" s="345"/>
      <c r="L177" s="73"/>
      <c r="M177" s="25"/>
      <c r="N177" s="73"/>
      <c r="O177" s="73"/>
      <c r="P177" s="345"/>
      <c r="Q177" s="73"/>
      <c r="R177" s="25"/>
      <c r="S177" s="73"/>
      <c r="T177" s="73"/>
      <c r="U177" s="345"/>
      <c r="V177" s="73"/>
      <c r="W177" s="25"/>
      <c r="X177" s="73"/>
      <c r="Y177" s="73"/>
      <c r="Z177" s="345"/>
      <c r="AA177" s="73"/>
      <c r="AB177" s="25"/>
      <c r="AC177" s="73"/>
      <c r="AD177" s="73"/>
      <c r="AE177" s="345"/>
      <c r="AF177" s="73"/>
      <c r="AG177" s="25"/>
      <c r="AH177" s="73"/>
      <c r="AI177" s="73"/>
      <c r="AJ177" s="345"/>
      <c r="AK177" s="73"/>
      <c r="AL177" s="25"/>
      <c r="AM177" s="73"/>
      <c r="AN177" s="73"/>
      <c r="AO177" s="345"/>
      <c r="AP177" s="73"/>
      <c r="AQ177" s="25"/>
      <c r="AR177" s="73"/>
      <c r="AS177" s="73"/>
      <c r="AT177" s="345"/>
      <c r="AU177" s="73"/>
      <c r="AV177" s="25"/>
      <c r="AW177" s="73"/>
      <c r="AX177" s="73"/>
      <c r="AY177" s="345"/>
      <c r="AZ177" s="73"/>
      <c r="BA177" s="25"/>
      <c r="BB177" s="73"/>
      <c r="BC177" s="73"/>
      <c r="BD177" s="345"/>
      <c r="BE177" s="73"/>
      <c r="BF177" s="25"/>
      <c r="BG177" s="73"/>
      <c r="BH177" s="73"/>
      <c r="BI177" s="345"/>
      <c r="BJ177" s="73"/>
      <c r="BK177" s="25"/>
      <c r="BL177" s="73"/>
      <c r="BM177" s="73"/>
      <c r="BN177" s="345"/>
      <c r="BO177" s="73"/>
      <c r="BP177" s="25"/>
      <c r="BQ177" s="73"/>
      <c r="BR177" s="73"/>
      <c r="BS177" s="345"/>
      <c r="BT177" s="73"/>
      <c r="BU177" s="25"/>
      <c r="BV177" s="73"/>
      <c r="BW177" s="73"/>
      <c r="BX177" s="345"/>
      <c r="BY177" s="73"/>
      <c r="BZ177" s="25"/>
      <c r="CA177" s="73"/>
      <c r="CB177" s="73"/>
      <c r="CC177" s="345"/>
      <c r="CD177" s="73"/>
      <c r="CE177" s="25"/>
      <c r="CF177" s="73"/>
      <c r="CG177" s="73"/>
      <c r="CH177" s="345"/>
      <c r="CI177" s="73"/>
      <c r="CJ177" s="25"/>
      <c r="CK177" s="73"/>
      <c r="CL177" s="73"/>
      <c r="CM177" s="345"/>
      <c r="CN177" s="73"/>
      <c r="CO177" s="25"/>
      <c r="CP177" s="73"/>
      <c r="CQ177" s="73"/>
      <c r="CR177" s="345"/>
      <c r="CS177" s="73"/>
      <c r="CT177" s="25"/>
      <c r="CU177" s="73"/>
      <c r="CV177" s="73"/>
      <c r="CW177" s="345"/>
      <c r="CX177" s="73"/>
      <c r="CY177" s="25"/>
      <c r="CZ177" s="73"/>
      <c r="DA177" s="73"/>
      <c r="DB177" s="345"/>
      <c r="DC177" s="73"/>
      <c r="DD177" s="25"/>
      <c r="DE177" s="73"/>
      <c r="DF177" s="73"/>
      <c r="DG177" s="345"/>
      <c r="DH177" s="73"/>
      <c r="DI177" s="25"/>
      <c r="DJ177" s="73"/>
      <c r="DK177" s="73"/>
      <c r="DL177" s="345"/>
      <c r="DM177" s="73"/>
      <c r="DN177" s="25"/>
      <c r="DO177" s="73"/>
      <c r="DP177" s="73"/>
      <c r="DQ177" s="345"/>
      <c r="DR177" s="73"/>
      <c r="DS177" s="25"/>
      <c r="DT177" s="73"/>
      <c r="DU177" s="73"/>
      <c r="DV177" s="345"/>
      <c r="DW177" s="73"/>
      <c r="DX177" s="25"/>
      <c r="DY177" s="73"/>
      <c r="DZ177" s="73"/>
      <c r="EA177" s="345"/>
      <c r="EB177" s="73"/>
      <c r="EC177" s="25"/>
      <c r="ED177" s="73"/>
      <c r="EE177" s="73"/>
      <c r="EF177" s="345"/>
      <c r="EG177" s="73"/>
      <c r="EH177" s="25"/>
      <c r="EI177" s="73"/>
      <c r="EJ177" s="73"/>
      <c r="EK177" s="345"/>
      <c r="EL177" s="73"/>
      <c r="EM177" s="25"/>
      <c r="EN177" s="73"/>
      <c r="EO177" s="73"/>
      <c r="EP177" s="345"/>
      <c r="EQ177" s="73"/>
      <c r="ER177" s="25"/>
      <c r="ES177" s="73"/>
      <c r="ET177" s="73"/>
      <c r="EU177" s="345"/>
      <c r="EV177" s="73"/>
      <c r="EW177" s="25"/>
      <c r="EX177" s="73"/>
      <c r="EY177" s="73"/>
      <c r="EZ177" s="345"/>
      <c r="FA177" s="73"/>
      <c r="FB177" s="25"/>
      <c r="FC177" s="73"/>
      <c r="FD177" s="73"/>
      <c r="FE177" s="345"/>
      <c r="FF177" s="73"/>
      <c r="FG177" s="25"/>
      <c r="FH177" s="73"/>
      <c r="FI177" s="73"/>
      <c r="FJ177" s="345"/>
      <c r="FK177" s="73"/>
      <c r="FL177" s="25"/>
      <c r="FM177" s="73"/>
      <c r="FN177" s="73"/>
      <c r="FO177" s="345"/>
      <c r="FP177" s="73"/>
      <c r="FQ177" s="25"/>
      <c r="FR177" s="73"/>
      <c r="FS177" s="73"/>
      <c r="FT177" s="345"/>
      <c r="FU177" s="73"/>
      <c r="FV177" s="25"/>
      <c r="FW177" s="73"/>
      <c r="FX177" s="73"/>
      <c r="FY177" s="345"/>
      <c r="FZ177" s="73"/>
      <c r="GA177" s="25"/>
      <c r="GB177" s="73"/>
      <c r="GC177" s="73"/>
      <c r="GD177" s="345"/>
      <c r="GE177" s="73"/>
      <c r="GF177" s="25"/>
      <c r="GG177" s="73"/>
      <c r="GH177" s="73"/>
      <c r="GI177" s="345"/>
      <c r="GJ177" s="73"/>
      <c r="GK177" s="25"/>
      <c r="GL177" s="73"/>
      <c r="GM177" s="73"/>
      <c r="GN177" s="345"/>
      <c r="GO177" s="73"/>
      <c r="GP177" s="25"/>
      <c r="GQ177" s="73"/>
      <c r="GR177" s="73"/>
      <c r="GS177" s="345"/>
      <c r="GT177" s="73"/>
      <c r="GU177" s="25"/>
      <c r="GV177" s="73"/>
      <c r="GW177" s="73"/>
      <c r="GX177" s="345"/>
      <c r="GY177" s="73"/>
      <c r="GZ177" s="25"/>
      <c r="HA177" s="73"/>
      <c r="HB177" s="73"/>
      <c r="HC177" s="345"/>
      <c r="HD177" s="73"/>
      <c r="HE177" s="25"/>
      <c r="HF177" s="73"/>
      <c r="HG177" s="73"/>
      <c r="HH177" s="345"/>
      <c r="HI177" s="73"/>
      <c r="HJ177" s="25"/>
      <c r="HK177" s="73"/>
      <c r="HL177" s="73"/>
      <c r="HM177" s="345"/>
      <c r="HN177" s="73"/>
      <c r="HO177" s="25"/>
      <c r="HP177" s="73"/>
      <c r="HQ177" s="73"/>
      <c r="HR177" s="345"/>
      <c r="HS177" s="73"/>
      <c r="HT177" s="25"/>
      <c r="HU177" s="73"/>
      <c r="HV177" s="73"/>
      <c r="HW177" s="345"/>
      <c r="HX177" s="73"/>
      <c r="HY177" s="25"/>
      <c r="HZ177" s="73"/>
      <c r="IA177" s="73"/>
      <c r="IB177" s="345"/>
      <c r="IC177" s="73"/>
      <c r="ID177" s="25"/>
      <c r="IE177" s="73"/>
      <c r="IF177" s="73"/>
      <c r="IG177" s="345"/>
      <c r="IH177" s="73"/>
      <c r="II177" s="25"/>
      <c r="IJ177" s="73"/>
      <c r="IK177" s="73"/>
      <c r="IL177" s="345"/>
      <c r="IM177" s="73"/>
      <c r="IN177" s="25"/>
      <c r="IO177" s="73"/>
      <c r="IP177" s="73"/>
      <c r="IQ177" s="345"/>
      <c r="IR177" s="73"/>
      <c r="IS177" s="25"/>
      <c r="IT177" s="73"/>
      <c r="IU177" s="73"/>
      <c r="IV177" s="345"/>
    </row>
    <row r="178" spans="1:256" x14ac:dyDescent="0.2">
      <c r="A178" s="345">
        <v>32932</v>
      </c>
      <c r="B178" s="73"/>
      <c r="C178" s="25"/>
      <c r="D178" s="73"/>
      <c r="E178" s="73"/>
      <c r="F178" s="345"/>
      <c r="G178" s="73"/>
      <c r="H178" s="25"/>
      <c r="I178" s="73"/>
      <c r="J178" s="73"/>
      <c r="K178" s="345"/>
      <c r="L178" s="73"/>
      <c r="M178" s="25"/>
      <c r="N178" s="73"/>
      <c r="O178" s="73"/>
      <c r="P178" s="345"/>
      <c r="Q178" s="73"/>
      <c r="R178" s="25"/>
      <c r="S178" s="73"/>
      <c r="T178" s="73"/>
      <c r="U178" s="345"/>
      <c r="V178" s="73"/>
      <c r="W178" s="25"/>
      <c r="X178" s="73"/>
      <c r="Y178" s="73"/>
      <c r="Z178" s="345"/>
      <c r="AA178" s="73"/>
      <c r="AB178" s="25"/>
      <c r="AC178" s="73"/>
      <c r="AD178" s="73"/>
      <c r="AE178" s="345"/>
      <c r="AF178" s="73"/>
      <c r="AG178" s="25"/>
      <c r="AH178" s="73"/>
      <c r="AI178" s="73"/>
      <c r="AJ178" s="345"/>
      <c r="AK178" s="73"/>
      <c r="AL178" s="25"/>
      <c r="AM178" s="73"/>
      <c r="AN178" s="73"/>
      <c r="AO178" s="345"/>
      <c r="AP178" s="73"/>
      <c r="AQ178" s="25"/>
      <c r="AR178" s="73"/>
      <c r="AS178" s="73"/>
      <c r="AT178" s="345"/>
      <c r="AU178" s="73"/>
      <c r="AV178" s="25"/>
      <c r="AW178" s="73"/>
      <c r="AX178" s="73"/>
      <c r="AY178" s="345"/>
      <c r="AZ178" s="73"/>
      <c r="BA178" s="25"/>
      <c r="BB178" s="73"/>
      <c r="BC178" s="73"/>
      <c r="BD178" s="345"/>
      <c r="BE178" s="73"/>
      <c r="BF178" s="25"/>
      <c r="BG178" s="73"/>
      <c r="BH178" s="73"/>
      <c r="BI178" s="345"/>
      <c r="BJ178" s="73"/>
      <c r="BK178" s="25"/>
      <c r="BL178" s="73"/>
      <c r="BM178" s="73"/>
      <c r="BN178" s="345"/>
      <c r="BO178" s="73"/>
      <c r="BP178" s="25"/>
      <c r="BQ178" s="73"/>
      <c r="BR178" s="73"/>
      <c r="BS178" s="345"/>
      <c r="BT178" s="73"/>
      <c r="BU178" s="25"/>
      <c r="BV178" s="73"/>
      <c r="BW178" s="73"/>
      <c r="BX178" s="345"/>
      <c r="BY178" s="73"/>
      <c r="BZ178" s="25"/>
      <c r="CA178" s="73"/>
      <c r="CB178" s="73"/>
      <c r="CC178" s="345"/>
      <c r="CD178" s="73"/>
      <c r="CE178" s="25"/>
      <c r="CF178" s="73"/>
      <c r="CG178" s="73"/>
      <c r="CH178" s="345"/>
      <c r="CI178" s="73"/>
      <c r="CJ178" s="25"/>
      <c r="CK178" s="73"/>
      <c r="CL178" s="73"/>
      <c r="CM178" s="345"/>
      <c r="CN178" s="73"/>
      <c r="CO178" s="25"/>
      <c r="CP178" s="73"/>
      <c r="CQ178" s="73"/>
      <c r="CR178" s="345"/>
      <c r="CS178" s="73"/>
      <c r="CT178" s="25"/>
      <c r="CU178" s="73"/>
      <c r="CV178" s="73"/>
      <c r="CW178" s="345"/>
      <c r="CX178" s="73"/>
      <c r="CY178" s="25"/>
      <c r="CZ178" s="73"/>
      <c r="DA178" s="73"/>
      <c r="DB178" s="345"/>
      <c r="DC178" s="73"/>
      <c r="DD178" s="25"/>
      <c r="DE178" s="73"/>
      <c r="DF178" s="73"/>
      <c r="DG178" s="345"/>
      <c r="DH178" s="73"/>
      <c r="DI178" s="25"/>
      <c r="DJ178" s="73"/>
      <c r="DK178" s="73"/>
      <c r="DL178" s="345"/>
      <c r="DM178" s="73"/>
      <c r="DN178" s="25"/>
      <c r="DO178" s="73"/>
      <c r="DP178" s="73"/>
      <c r="DQ178" s="345"/>
      <c r="DR178" s="73"/>
      <c r="DS178" s="25"/>
      <c r="DT178" s="73"/>
      <c r="DU178" s="73"/>
      <c r="DV178" s="345"/>
      <c r="DW178" s="73"/>
      <c r="DX178" s="25"/>
      <c r="DY178" s="73"/>
      <c r="DZ178" s="73"/>
      <c r="EA178" s="345"/>
      <c r="EB178" s="73"/>
      <c r="EC178" s="25"/>
      <c r="ED178" s="73"/>
      <c r="EE178" s="73"/>
      <c r="EF178" s="345"/>
      <c r="EG178" s="73"/>
      <c r="EH178" s="25"/>
      <c r="EI178" s="73"/>
      <c r="EJ178" s="73"/>
      <c r="EK178" s="345"/>
      <c r="EL178" s="73"/>
      <c r="EM178" s="25"/>
      <c r="EN178" s="73"/>
      <c r="EO178" s="73"/>
      <c r="EP178" s="345"/>
      <c r="EQ178" s="73"/>
      <c r="ER178" s="25"/>
      <c r="ES178" s="73"/>
      <c r="ET178" s="73"/>
      <c r="EU178" s="345"/>
      <c r="EV178" s="73"/>
      <c r="EW178" s="25"/>
      <c r="EX178" s="73"/>
      <c r="EY178" s="73"/>
      <c r="EZ178" s="345"/>
      <c r="FA178" s="73"/>
      <c r="FB178" s="25"/>
      <c r="FC178" s="73"/>
      <c r="FD178" s="73"/>
      <c r="FE178" s="345"/>
      <c r="FF178" s="73"/>
      <c r="FG178" s="25"/>
      <c r="FH178" s="73"/>
      <c r="FI178" s="73"/>
      <c r="FJ178" s="345"/>
      <c r="FK178" s="73"/>
      <c r="FL178" s="25"/>
      <c r="FM178" s="73"/>
      <c r="FN178" s="73"/>
      <c r="FO178" s="345"/>
      <c r="FP178" s="73"/>
      <c r="FQ178" s="25"/>
      <c r="FR178" s="73"/>
      <c r="FS178" s="73"/>
      <c r="FT178" s="345"/>
      <c r="FU178" s="73"/>
      <c r="FV178" s="25"/>
      <c r="FW178" s="73"/>
      <c r="FX178" s="73"/>
      <c r="FY178" s="345"/>
      <c r="FZ178" s="73"/>
      <c r="GA178" s="25"/>
      <c r="GB178" s="73"/>
      <c r="GC178" s="73"/>
      <c r="GD178" s="345"/>
      <c r="GE178" s="73"/>
      <c r="GF178" s="25"/>
      <c r="GG178" s="73"/>
      <c r="GH178" s="73"/>
      <c r="GI178" s="345"/>
      <c r="GJ178" s="73"/>
      <c r="GK178" s="25"/>
      <c r="GL178" s="73"/>
      <c r="GM178" s="73"/>
      <c r="GN178" s="345"/>
      <c r="GO178" s="73"/>
      <c r="GP178" s="25"/>
      <c r="GQ178" s="73"/>
      <c r="GR178" s="73"/>
      <c r="GS178" s="345"/>
      <c r="GT178" s="73"/>
      <c r="GU178" s="25"/>
      <c r="GV178" s="73"/>
      <c r="GW178" s="73"/>
      <c r="GX178" s="345"/>
      <c r="GY178" s="73"/>
      <c r="GZ178" s="25"/>
      <c r="HA178" s="73"/>
      <c r="HB178" s="73"/>
      <c r="HC178" s="345"/>
      <c r="HD178" s="73"/>
      <c r="HE178" s="25"/>
      <c r="HF178" s="73"/>
      <c r="HG178" s="73"/>
      <c r="HH178" s="345"/>
      <c r="HI178" s="73"/>
      <c r="HJ178" s="25"/>
      <c r="HK178" s="73"/>
      <c r="HL178" s="73"/>
      <c r="HM178" s="345"/>
      <c r="HN178" s="73"/>
      <c r="HO178" s="25"/>
      <c r="HP178" s="73"/>
      <c r="HQ178" s="73"/>
      <c r="HR178" s="345"/>
      <c r="HS178" s="73"/>
      <c r="HT178" s="25"/>
      <c r="HU178" s="73"/>
      <c r="HV178" s="73"/>
      <c r="HW178" s="345"/>
      <c r="HX178" s="73"/>
      <c r="HY178" s="25"/>
      <c r="HZ178" s="73"/>
      <c r="IA178" s="73"/>
      <c r="IB178" s="345"/>
      <c r="IC178" s="73"/>
      <c r="ID178" s="25"/>
      <c r="IE178" s="73"/>
      <c r="IF178" s="73"/>
      <c r="IG178" s="345"/>
      <c r="IH178" s="73"/>
      <c r="II178" s="25"/>
      <c r="IJ178" s="73"/>
      <c r="IK178" s="73"/>
      <c r="IL178" s="345"/>
      <c r="IM178" s="73"/>
      <c r="IN178" s="25"/>
      <c r="IO178" s="73"/>
      <c r="IP178" s="73"/>
      <c r="IQ178" s="345"/>
      <c r="IR178" s="73"/>
      <c r="IS178" s="25"/>
      <c r="IT178" s="73"/>
      <c r="IU178" s="73"/>
      <c r="IV178" s="345"/>
    </row>
    <row r="179" spans="1:256" x14ac:dyDescent="0.2">
      <c r="A179" s="345">
        <v>32963</v>
      </c>
      <c r="B179" s="73"/>
      <c r="C179" s="25"/>
      <c r="D179" s="73"/>
      <c r="E179" s="73"/>
      <c r="F179" s="345"/>
      <c r="G179" s="73"/>
      <c r="H179" s="25"/>
      <c r="I179" s="73"/>
      <c r="J179" s="73"/>
      <c r="K179" s="345"/>
      <c r="L179" s="73"/>
      <c r="M179" s="25"/>
      <c r="N179" s="73"/>
      <c r="O179" s="73"/>
      <c r="P179" s="345"/>
      <c r="Q179" s="73"/>
      <c r="R179" s="25"/>
      <c r="S179" s="73"/>
      <c r="T179" s="73"/>
      <c r="U179" s="345"/>
      <c r="V179" s="73"/>
      <c r="W179" s="25"/>
      <c r="X179" s="73"/>
      <c r="Y179" s="73"/>
      <c r="Z179" s="345"/>
      <c r="AA179" s="73"/>
      <c r="AB179" s="25"/>
      <c r="AC179" s="73"/>
      <c r="AD179" s="73"/>
      <c r="AE179" s="345"/>
      <c r="AF179" s="73"/>
      <c r="AG179" s="25"/>
      <c r="AH179" s="73"/>
      <c r="AI179" s="73"/>
      <c r="AJ179" s="345"/>
      <c r="AK179" s="73"/>
      <c r="AL179" s="25"/>
      <c r="AM179" s="73"/>
      <c r="AN179" s="73"/>
      <c r="AO179" s="345"/>
      <c r="AP179" s="73"/>
      <c r="AQ179" s="25"/>
      <c r="AR179" s="73"/>
      <c r="AS179" s="73"/>
      <c r="AT179" s="345"/>
      <c r="AU179" s="73"/>
      <c r="AV179" s="25"/>
      <c r="AW179" s="73"/>
      <c r="AX179" s="73"/>
      <c r="AY179" s="345"/>
      <c r="AZ179" s="73"/>
      <c r="BA179" s="25"/>
      <c r="BB179" s="73"/>
      <c r="BC179" s="73"/>
      <c r="BD179" s="345"/>
      <c r="BE179" s="73"/>
      <c r="BF179" s="25"/>
      <c r="BG179" s="73"/>
      <c r="BH179" s="73"/>
      <c r="BI179" s="345"/>
      <c r="BJ179" s="73"/>
      <c r="BK179" s="25"/>
      <c r="BL179" s="73"/>
      <c r="BM179" s="73"/>
      <c r="BN179" s="345"/>
      <c r="BO179" s="73"/>
      <c r="BP179" s="25"/>
      <c r="BQ179" s="73"/>
      <c r="BR179" s="73"/>
      <c r="BS179" s="345"/>
      <c r="BT179" s="73"/>
      <c r="BU179" s="25"/>
      <c r="BV179" s="73"/>
      <c r="BW179" s="73"/>
      <c r="BX179" s="345"/>
      <c r="BY179" s="73"/>
      <c r="BZ179" s="25"/>
      <c r="CA179" s="73"/>
      <c r="CB179" s="73"/>
      <c r="CC179" s="345"/>
      <c r="CD179" s="73"/>
      <c r="CE179" s="25"/>
      <c r="CF179" s="73"/>
      <c r="CG179" s="73"/>
      <c r="CH179" s="345"/>
      <c r="CI179" s="73"/>
      <c r="CJ179" s="25"/>
      <c r="CK179" s="73"/>
      <c r="CL179" s="73"/>
      <c r="CM179" s="345"/>
      <c r="CN179" s="73"/>
      <c r="CO179" s="25"/>
      <c r="CP179" s="73"/>
      <c r="CQ179" s="73"/>
      <c r="CR179" s="345"/>
      <c r="CS179" s="73"/>
      <c r="CT179" s="25"/>
      <c r="CU179" s="73"/>
      <c r="CV179" s="73"/>
      <c r="CW179" s="345"/>
      <c r="CX179" s="73"/>
      <c r="CY179" s="25"/>
      <c r="CZ179" s="73"/>
      <c r="DA179" s="73"/>
      <c r="DB179" s="345"/>
      <c r="DC179" s="73"/>
      <c r="DD179" s="25"/>
      <c r="DE179" s="73"/>
      <c r="DF179" s="73"/>
      <c r="DG179" s="345"/>
      <c r="DH179" s="73"/>
      <c r="DI179" s="25"/>
      <c r="DJ179" s="73"/>
      <c r="DK179" s="73"/>
      <c r="DL179" s="345"/>
      <c r="DM179" s="73"/>
      <c r="DN179" s="25"/>
      <c r="DO179" s="73"/>
      <c r="DP179" s="73"/>
      <c r="DQ179" s="345"/>
      <c r="DR179" s="73"/>
      <c r="DS179" s="25"/>
      <c r="DT179" s="73"/>
      <c r="DU179" s="73"/>
      <c r="DV179" s="345"/>
      <c r="DW179" s="73"/>
      <c r="DX179" s="25"/>
      <c r="DY179" s="73"/>
      <c r="DZ179" s="73"/>
      <c r="EA179" s="345"/>
      <c r="EB179" s="73"/>
      <c r="EC179" s="25"/>
      <c r="ED179" s="73"/>
      <c r="EE179" s="73"/>
      <c r="EF179" s="345"/>
      <c r="EG179" s="73"/>
      <c r="EH179" s="25"/>
      <c r="EI179" s="73"/>
      <c r="EJ179" s="73"/>
      <c r="EK179" s="345"/>
      <c r="EL179" s="73"/>
      <c r="EM179" s="25"/>
      <c r="EN179" s="73"/>
      <c r="EO179" s="73"/>
      <c r="EP179" s="345"/>
      <c r="EQ179" s="73"/>
      <c r="ER179" s="25"/>
      <c r="ES179" s="73"/>
      <c r="ET179" s="73"/>
      <c r="EU179" s="345"/>
      <c r="EV179" s="73"/>
      <c r="EW179" s="25"/>
      <c r="EX179" s="73"/>
      <c r="EY179" s="73"/>
      <c r="EZ179" s="345"/>
      <c r="FA179" s="73"/>
      <c r="FB179" s="25"/>
      <c r="FC179" s="73"/>
      <c r="FD179" s="73"/>
      <c r="FE179" s="345"/>
      <c r="FF179" s="73"/>
      <c r="FG179" s="25"/>
      <c r="FH179" s="73"/>
      <c r="FI179" s="73"/>
      <c r="FJ179" s="345"/>
      <c r="FK179" s="73"/>
      <c r="FL179" s="25"/>
      <c r="FM179" s="73"/>
      <c r="FN179" s="73"/>
      <c r="FO179" s="345"/>
      <c r="FP179" s="73"/>
      <c r="FQ179" s="25"/>
      <c r="FR179" s="73"/>
      <c r="FS179" s="73"/>
      <c r="FT179" s="345"/>
      <c r="FU179" s="73"/>
      <c r="FV179" s="25"/>
      <c r="FW179" s="73"/>
      <c r="FX179" s="73"/>
      <c r="FY179" s="345"/>
      <c r="FZ179" s="73"/>
      <c r="GA179" s="25"/>
      <c r="GB179" s="73"/>
      <c r="GC179" s="73"/>
      <c r="GD179" s="345"/>
      <c r="GE179" s="73"/>
      <c r="GF179" s="25"/>
      <c r="GG179" s="73"/>
      <c r="GH179" s="73"/>
      <c r="GI179" s="345"/>
      <c r="GJ179" s="73"/>
      <c r="GK179" s="25"/>
      <c r="GL179" s="73"/>
      <c r="GM179" s="73"/>
      <c r="GN179" s="345"/>
      <c r="GO179" s="73"/>
      <c r="GP179" s="25"/>
      <c r="GQ179" s="73"/>
      <c r="GR179" s="73"/>
      <c r="GS179" s="345"/>
      <c r="GT179" s="73"/>
      <c r="GU179" s="25"/>
      <c r="GV179" s="73"/>
      <c r="GW179" s="73"/>
      <c r="GX179" s="345"/>
      <c r="GY179" s="73"/>
      <c r="GZ179" s="25"/>
      <c r="HA179" s="73"/>
      <c r="HB179" s="73"/>
      <c r="HC179" s="345"/>
      <c r="HD179" s="73"/>
      <c r="HE179" s="25"/>
      <c r="HF179" s="73"/>
      <c r="HG179" s="73"/>
      <c r="HH179" s="345"/>
      <c r="HI179" s="73"/>
      <c r="HJ179" s="25"/>
      <c r="HK179" s="73"/>
      <c r="HL179" s="73"/>
      <c r="HM179" s="345"/>
      <c r="HN179" s="73"/>
      <c r="HO179" s="25"/>
      <c r="HP179" s="73"/>
      <c r="HQ179" s="73"/>
      <c r="HR179" s="345"/>
      <c r="HS179" s="73"/>
      <c r="HT179" s="25"/>
      <c r="HU179" s="73"/>
      <c r="HV179" s="73"/>
      <c r="HW179" s="345"/>
      <c r="HX179" s="73"/>
      <c r="HY179" s="25"/>
      <c r="HZ179" s="73"/>
      <c r="IA179" s="73"/>
      <c r="IB179" s="345"/>
      <c r="IC179" s="73"/>
      <c r="ID179" s="25"/>
      <c r="IE179" s="73"/>
      <c r="IF179" s="73"/>
      <c r="IG179" s="345"/>
      <c r="IH179" s="73"/>
      <c r="II179" s="25"/>
      <c r="IJ179" s="73"/>
      <c r="IK179" s="73"/>
      <c r="IL179" s="345"/>
      <c r="IM179" s="73"/>
      <c r="IN179" s="25"/>
      <c r="IO179" s="73"/>
      <c r="IP179" s="73"/>
      <c r="IQ179" s="345"/>
      <c r="IR179" s="73"/>
      <c r="IS179" s="25"/>
      <c r="IT179" s="73"/>
      <c r="IU179" s="73"/>
      <c r="IV179" s="345"/>
    </row>
    <row r="180" spans="1:256" x14ac:dyDescent="0.2">
      <c r="A180" s="345">
        <v>32993</v>
      </c>
      <c r="B180" s="73"/>
      <c r="C180" s="25"/>
      <c r="D180" s="73"/>
      <c r="E180" s="73"/>
      <c r="F180" s="345"/>
      <c r="G180" s="73"/>
      <c r="H180" s="25"/>
      <c r="I180" s="73"/>
      <c r="J180" s="73"/>
      <c r="K180" s="345"/>
      <c r="L180" s="73"/>
      <c r="M180" s="25"/>
      <c r="N180" s="73"/>
      <c r="O180" s="73"/>
      <c r="P180" s="345"/>
      <c r="Q180" s="73"/>
      <c r="R180" s="25"/>
      <c r="S180" s="73"/>
      <c r="T180" s="73"/>
      <c r="U180" s="345"/>
      <c r="V180" s="73"/>
      <c r="W180" s="25"/>
      <c r="X180" s="73"/>
      <c r="Y180" s="73"/>
      <c r="Z180" s="345"/>
      <c r="AA180" s="73"/>
      <c r="AB180" s="25"/>
      <c r="AC180" s="73"/>
      <c r="AD180" s="73"/>
      <c r="AE180" s="345"/>
      <c r="AF180" s="73"/>
      <c r="AG180" s="25"/>
      <c r="AH180" s="73"/>
      <c r="AI180" s="73"/>
      <c r="AJ180" s="345"/>
      <c r="AK180" s="73"/>
      <c r="AL180" s="25"/>
      <c r="AM180" s="73"/>
      <c r="AN180" s="73"/>
      <c r="AO180" s="345"/>
      <c r="AP180" s="73"/>
      <c r="AQ180" s="25"/>
      <c r="AR180" s="73"/>
      <c r="AS180" s="73"/>
      <c r="AT180" s="345"/>
      <c r="AU180" s="73"/>
      <c r="AV180" s="25"/>
      <c r="AW180" s="73"/>
      <c r="AX180" s="73"/>
      <c r="AY180" s="345"/>
      <c r="AZ180" s="73"/>
      <c r="BA180" s="25"/>
      <c r="BB180" s="73"/>
      <c r="BC180" s="73"/>
      <c r="BD180" s="345"/>
      <c r="BE180" s="73"/>
      <c r="BF180" s="25"/>
      <c r="BG180" s="73"/>
      <c r="BH180" s="73"/>
      <c r="BI180" s="345"/>
      <c r="BJ180" s="73"/>
      <c r="BK180" s="25"/>
      <c r="BL180" s="73"/>
      <c r="BM180" s="73"/>
      <c r="BN180" s="345"/>
      <c r="BO180" s="73"/>
      <c r="BP180" s="25"/>
      <c r="BQ180" s="73"/>
      <c r="BR180" s="73"/>
      <c r="BS180" s="345"/>
      <c r="BT180" s="73"/>
      <c r="BU180" s="25"/>
      <c r="BV180" s="73"/>
      <c r="BW180" s="73"/>
      <c r="BX180" s="345"/>
      <c r="BY180" s="73"/>
      <c r="BZ180" s="25"/>
      <c r="CA180" s="73"/>
      <c r="CB180" s="73"/>
      <c r="CC180" s="345"/>
      <c r="CD180" s="73"/>
      <c r="CE180" s="25"/>
      <c r="CF180" s="73"/>
      <c r="CG180" s="73"/>
      <c r="CH180" s="345"/>
      <c r="CI180" s="73"/>
      <c r="CJ180" s="25"/>
      <c r="CK180" s="73"/>
      <c r="CL180" s="73"/>
      <c r="CM180" s="345"/>
      <c r="CN180" s="73"/>
      <c r="CO180" s="25"/>
      <c r="CP180" s="73"/>
      <c r="CQ180" s="73"/>
      <c r="CR180" s="345"/>
      <c r="CS180" s="73"/>
      <c r="CT180" s="25"/>
      <c r="CU180" s="73"/>
      <c r="CV180" s="73"/>
      <c r="CW180" s="345"/>
      <c r="CX180" s="73"/>
      <c r="CY180" s="25"/>
      <c r="CZ180" s="73"/>
      <c r="DA180" s="73"/>
      <c r="DB180" s="345"/>
      <c r="DC180" s="73"/>
      <c r="DD180" s="25"/>
      <c r="DE180" s="73"/>
      <c r="DF180" s="73"/>
      <c r="DG180" s="345"/>
      <c r="DH180" s="73"/>
      <c r="DI180" s="25"/>
      <c r="DJ180" s="73"/>
      <c r="DK180" s="73"/>
      <c r="DL180" s="345"/>
      <c r="DM180" s="73"/>
      <c r="DN180" s="25"/>
      <c r="DO180" s="73"/>
      <c r="DP180" s="73"/>
      <c r="DQ180" s="345"/>
      <c r="DR180" s="73"/>
      <c r="DS180" s="25"/>
      <c r="DT180" s="73"/>
      <c r="DU180" s="73"/>
      <c r="DV180" s="345"/>
      <c r="DW180" s="73"/>
      <c r="DX180" s="25"/>
      <c r="DY180" s="73"/>
      <c r="DZ180" s="73"/>
      <c r="EA180" s="345"/>
      <c r="EB180" s="73"/>
      <c r="EC180" s="25"/>
      <c r="ED180" s="73"/>
      <c r="EE180" s="73"/>
      <c r="EF180" s="345"/>
      <c r="EG180" s="73"/>
      <c r="EH180" s="25"/>
      <c r="EI180" s="73"/>
      <c r="EJ180" s="73"/>
      <c r="EK180" s="345"/>
      <c r="EL180" s="73"/>
      <c r="EM180" s="25"/>
      <c r="EN180" s="73"/>
      <c r="EO180" s="73"/>
      <c r="EP180" s="345"/>
      <c r="EQ180" s="73"/>
      <c r="ER180" s="25"/>
      <c r="ES180" s="73"/>
      <c r="ET180" s="73"/>
      <c r="EU180" s="345"/>
      <c r="EV180" s="73"/>
      <c r="EW180" s="25"/>
      <c r="EX180" s="73"/>
      <c r="EY180" s="73"/>
      <c r="EZ180" s="345"/>
      <c r="FA180" s="73"/>
      <c r="FB180" s="25"/>
      <c r="FC180" s="73"/>
      <c r="FD180" s="73"/>
      <c r="FE180" s="345"/>
      <c r="FF180" s="73"/>
      <c r="FG180" s="25"/>
      <c r="FH180" s="73"/>
      <c r="FI180" s="73"/>
      <c r="FJ180" s="345"/>
      <c r="FK180" s="73"/>
      <c r="FL180" s="25"/>
      <c r="FM180" s="73"/>
      <c r="FN180" s="73"/>
      <c r="FO180" s="345"/>
      <c r="FP180" s="73"/>
      <c r="FQ180" s="25"/>
      <c r="FR180" s="73"/>
      <c r="FS180" s="73"/>
      <c r="FT180" s="345"/>
      <c r="FU180" s="73"/>
      <c r="FV180" s="25"/>
      <c r="FW180" s="73"/>
      <c r="FX180" s="73"/>
      <c r="FY180" s="345"/>
      <c r="FZ180" s="73"/>
      <c r="GA180" s="25"/>
      <c r="GB180" s="73"/>
      <c r="GC180" s="73"/>
      <c r="GD180" s="345"/>
      <c r="GE180" s="73"/>
      <c r="GF180" s="25"/>
      <c r="GG180" s="73"/>
      <c r="GH180" s="73"/>
      <c r="GI180" s="345"/>
      <c r="GJ180" s="73"/>
      <c r="GK180" s="25"/>
      <c r="GL180" s="73"/>
      <c r="GM180" s="73"/>
      <c r="GN180" s="345"/>
      <c r="GO180" s="73"/>
      <c r="GP180" s="25"/>
      <c r="GQ180" s="73"/>
      <c r="GR180" s="73"/>
      <c r="GS180" s="345"/>
      <c r="GT180" s="73"/>
      <c r="GU180" s="25"/>
      <c r="GV180" s="73"/>
      <c r="GW180" s="73"/>
      <c r="GX180" s="345"/>
      <c r="GY180" s="73"/>
      <c r="GZ180" s="25"/>
      <c r="HA180" s="73"/>
      <c r="HB180" s="73"/>
      <c r="HC180" s="345"/>
      <c r="HD180" s="73"/>
      <c r="HE180" s="25"/>
      <c r="HF180" s="73"/>
      <c r="HG180" s="73"/>
      <c r="HH180" s="345"/>
      <c r="HI180" s="73"/>
      <c r="HJ180" s="25"/>
      <c r="HK180" s="73"/>
      <c r="HL180" s="73"/>
      <c r="HM180" s="345"/>
      <c r="HN180" s="73"/>
      <c r="HO180" s="25"/>
      <c r="HP180" s="73"/>
      <c r="HQ180" s="73"/>
      <c r="HR180" s="345"/>
      <c r="HS180" s="73"/>
      <c r="HT180" s="25"/>
      <c r="HU180" s="73"/>
      <c r="HV180" s="73"/>
      <c r="HW180" s="345"/>
      <c r="HX180" s="73"/>
      <c r="HY180" s="25"/>
      <c r="HZ180" s="73"/>
      <c r="IA180" s="73"/>
      <c r="IB180" s="345"/>
      <c r="IC180" s="73"/>
      <c r="ID180" s="25"/>
      <c r="IE180" s="73"/>
      <c r="IF180" s="73"/>
      <c r="IG180" s="345"/>
      <c r="IH180" s="73"/>
      <c r="II180" s="25"/>
      <c r="IJ180" s="73"/>
      <c r="IK180" s="73"/>
      <c r="IL180" s="345"/>
      <c r="IM180" s="73"/>
      <c r="IN180" s="25"/>
      <c r="IO180" s="73"/>
      <c r="IP180" s="73"/>
      <c r="IQ180" s="345"/>
      <c r="IR180" s="73"/>
      <c r="IS180" s="25"/>
      <c r="IT180" s="73"/>
      <c r="IU180" s="73"/>
      <c r="IV180" s="345"/>
    </row>
    <row r="181" spans="1:256" x14ac:dyDescent="0.2">
      <c r="A181" s="345">
        <v>33024</v>
      </c>
      <c r="B181" s="73"/>
      <c r="C181" s="25"/>
      <c r="D181" s="73"/>
      <c r="E181" s="73"/>
      <c r="F181" s="345"/>
      <c r="G181" s="73"/>
      <c r="H181" s="25"/>
      <c r="I181" s="73"/>
      <c r="J181" s="73"/>
      <c r="K181" s="345"/>
      <c r="L181" s="73"/>
      <c r="M181" s="25"/>
      <c r="N181" s="73"/>
      <c r="O181" s="73"/>
      <c r="P181" s="345"/>
      <c r="Q181" s="73"/>
      <c r="R181" s="25"/>
      <c r="S181" s="73"/>
      <c r="T181" s="73"/>
      <c r="U181" s="345"/>
      <c r="V181" s="73"/>
      <c r="W181" s="25"/>
      <c r="X181" s="73"/>
      <c r="Y181" s="73"/>
      <c r="Z181" s="345"/>
      <c r="AA181" s="73"/>
      <c r="AB181" s="25"/>
      <c r="AC181" s="73"/>
      <c r="AD181" s="73"/>
      <c r="AE181" s="345"/>
      <c r="AF181" s="73"/>
      <c r="AG181" s="25"/>
      <c r="AH181" s="73"/>
      <c r="AI181" s="73"/>
      <c r="AJ181" s="345"/>
      <c r="AK181" s="73"/>
      <c r="AL181" s="25"/>
      <c r="AM181" s="73"/>
      <c r="AN181" s="73"/>
      <c r="AO181" s="345"/>
      <c r="AP181" s="73"/>
      <c r="AQ181" s="25"/>
      <c r="AR181" s="73"/>
      <c r="AS181" s="73"/>
      <c r="AT181" s="345"/>
      <c r="AU181" s="73"/>
      <c r="AV181" s="25"/>
      <c r="AW181" s="73"/>
      <c r="AX181" s="73"/>
      <c r="AY181" s="345"/>
      <c r="AZ181" s="73"/>
      <c r="BA181" s="25"/>
      <c r="BB181" s="73"/>
      <c r="BC181" s="73"/>
      <c r="BD181" s="345"/>
      <c r="BE181" s="73"/>
      <c r="BF181" s="25"/>
      <c r="BG181" s="73"/>
      <c r="BH181" s="73"/>
      <c r="BI181" s="345"/>
      <c r="BJ181" s="73"/>
      <c r="BK181" s="25"/>
      <c r="BL181" s="73"/>
      <c r="BM181" s="73"/>
      <c r="BN181" s="345"/>
      <c r="BO181" s="73"/>
      <c r="BP181" s="25"/>
      <c r="BQ181" s="73"/>
      <c r="BR181" s="73"/>
      <c r="BS181" s="345"/>
      <c r="BT181" s="73"/>
      <c r="BU181" s="25"/>
      <c r="BV181" s="73"/>
      <c r="BW181" s="73"/>
      <c r="BX181" s="345"/>
      <c r="BY181" s="73"/>
      <c r="BZ181" s="25"/>
      <c r="CA181" s="73"/>
      <c r="CB181" s="73"/>
      <c r="CC181" s="345"/>
      <c r="CD181" s="73"/>
      <c r="CE181" s="25"/>
      <c r="CF181" s="73"/>
      <c r="CG181" s="73"/>
      <c r="CH181" s="345"/>
      <c r="CI181" s="73"/>
      <c r="CJ181" s="25"/>
      <c r="CK181" s="73"/>
      <c r="CL181" s="73"/>
      <c r="CM181" s="345"/>
      <c r="CN181" s="73"/>
      <c r="CO181" s="25"/>
      <c r="CP181" s="73"/>
      <c r="CQ181" s="73"/>
      <c r="CR181" s="345"/>
      <c r="CS181" s="73"/>
      <c r="CT181" s="25"/>
      <c r="CU181" s="73"/>
      <c r="CV181" s="73"/>
      <c r="CW181" s="345"/>
      <c r="CX181" s="73"/>
      <c r="CY181" s="25"/>
      <c r="CZ181" s="73"/>
      <c r="DA181" s="73"/>
      <c r="DB181" s="345"/>
      <c r="DC181" s="73"/>
      <c r="DD181" s="25"/>
      <c r="DE181" s="73"/>
      <c r="DF181" s="73"/>
      <c r="DG181" s="345"/>
      <c r="DH181" s="73"/>
      <c r="DI181" s="25"/>
      <c r="DJ181" s="73"/>
      <c r="DK181" s="73"/>
      <c r="DL181" s="345"/>
      <c r="DM181" s="73"/>
      <c r="DN181" s="25"/>
      <c r="DO181" s="73"/>
      <c r="DP181" s="73"/>
      <c r="DQ181" s="345"/>
      <c r="DR181" s="73"/>
      <c r="DS181" s="25"/>
      <c r="DT181" s="73"/>
      <c r="DU181" s="73"/>
      <c r="DV181" s="345"/>
      <c r="DW181" s="73"/>
      <c r="DX181" s="25"/>
      <c r="DY181" s="73"/>
      <c r="DZ181" s="73"/>
      <c r="EA181" s="345"/>
      <c r="EB181" s="73"/>
      <c r="EC181" s="25"/>
      <c r="ED181" s="73"/>
      <c r="EE181" s="73"/>
      <c r="EF181" s="345"/>
      <c r="EG181" s="73"/>
      <c r="EH181" s="25"/>
      <c r="EI181" s="73"/>
      <c r="EJ181" s="73"/>
      <c r="EK181" s="345"/>
      <c r="EL181" s="73"/>
      <c r="EM181" s="25"/>
      <c r="EN181" s="73"/>
      <c r="EO181" s="73"/>
      <c r="EP181" s="345"/>
      <c r="EQ181" s="73"/>
      <c r="ER181" s="25"/>
      <c r="ES181" s="73"/>
      <c r="ET181" s="73"/>
      <c r="EU181" s="345"/>
      <c r="EV181" s="73"/>
      <c r="EW181" s="25"/>
      <c r="EX181" s="73"/>
      <c r="EY181" s="73"/>
      <c r="EZ181" s="345"/>
      <c r="FA181" s="73"/>
      <c r="FB181" s="25"/>
      <c r="FC181" s="73"/>
      <c r="FD181" s="73"/>
      <c r="FE181" s="345"/>
      <c r="FF181" s="73"/>
      <c r="FG181" s="25"/>
      <c r="FH181" s="73"/>
      <c r="FI181" s="73"/>
      <c r="FJ181" s="345"/>
      <c r="FK181" s="73"/>
      <c r="FL181" s="25"/>
      <c r="FM181" s="73"/>
      <c r="FN181" s="73"/>
      <c r="FO181" s="345"/>
      <c r="FP181" s="73"/>
      <c r="FQ181" s="25"/>
      <c r="FR181" s="73"/>
      <c r="FS181" s="73"/>
      <c r="FT181" s="345"/>
      <c r="FU181" s="73"/>
      <c r="FV181" s="25"/>
      <c r="FW181" s="73"/>
      <c r="FX181" s="73"/>
      <c r="FY181" s="345"/>
      <c r="FZ181" s="73"/>
      <c r="GA181" s="25"/>
      <c r="GB181" s="73"/>
      <c r="GC181" s="73"/>
      <c r="GD181" s="345"/>
      <c r="GE181" s="73"/>
      <c r="GF181" s="25"/>
      <c r="GG181" s="73"/>
      <c r="GH181" s="73"/>
      <c r="GI181" s="345"/>
      <c r="GJ181" s="73"/>
      <c r="GK181" s="25"/>
      <c r="GL181" s="73"/>
      <c r="GM181" s="73"/>
      <c r="GN181" s="345"/>
      <c r="GO181" s="73"/>
      <c r="GP181" s="25"/>
      <c r="GQ181" s="73"/>
      <c r="GR181" s="73"/>
      <c r="GS181" s="345"/>
      <c r="GT181" s="73"/>
      <c r="GU181" s="25"/>
      <c r="GV181" s="73"/>
      <c r="GW181" s="73"/>
      <c r="GX181" s="345"/>
      <c r="GY181" s="73"/>
      <c r="GZ181" s="25"/>
      <c r="HA181" s="73"/>
      <c r="HB181" s="73"/>
      <c r="HC181" s="345"/>
      <c r="HD181" s="73"/>
      <c r="HE181" s="25"/>
      <c r="HF181" s="73"/>
      <c r="HG181" s="73"/>
      <c r="HH181" s="345"/>
      <c r="HI181" s="73"/>
      <c r="HJ181" s="25"/>
      <c r="HK181" s="73"/>
      <c r="HL181" s="73"/>
      <c r="HM181" s="345"/>
      <c r="HN181" s="73"/>
      <c r="HO181" s="25"/>
      <c r="HP181" s="73"/>
      <c r="HQ181" s="73"/>
      <c r="HR181" s="345"/>
      <c r="HS181" s="73"/>
      <c r="HT181" s="25"/>
      <c r="HU181" s="73"/>
      <c r="HV181" s="73"/>
      <c r="HW181" s="345"/>
      <c r="HX181" s="73"/>
      <c r="HY181" s="25"/>
      <c r="HZ181" s="73"/>
      <c r="IA181" s="73"/>
      <c r="IB181" s="345"/>
      <c r="IC181" s="73"/>
      <c r="ID181" s="25"/>
      <c r="IE181" s="73"/>
      <c r="IF181" s="73"/>
      <c r="IG181" s="345"/>
      <c r="IH181" s="73"/>
      <c r="II181" s="25"/>
      <c r="IJ181" s="73"/>
      <c r="IK181" s="73"/>
      <c r="IL181" s="345"/>
      <c r="IM181" s="73"/>
      <c r="IN181" s="25"/>
      <c r="IO181" s="73"/>
      <c r="IP181" s="73"/>
      <c r="IQ181" s="345"/>
      <c r="IR181" s="73"/>
      <c r="IS181" s="25"/>
      <c r="IT181" s="73"/>
      <c r="IU181" s="73"/>
      <c r="IV181" s="345"/>
    </row>
    <row r="182" spans="1:256" x14ac:dyDescent="0.2">
      <c r="A182" s="345">
        <v>33054</v>
      </c>
      <c r="B182" s="73"/>
      <c r="C182" s="25"/>
      <c r="D182" s="73"/>
      <c r="E182" s="73"/>
      <c r="F182" s="345"/>
      <c r="G182" s="73"/>
      <c r="H182" s="25"/>
      <c r="I182" s="73"/>
      <c r="J182" s="73"/>
      <c r="K182" s="345"/>
      <c r="L182" s="73"/>
      <c r="M182" s="25"/>
      <c r="N182" s="73"/>
      <c r="O182" s="73"/>
      <c r="P182" s="345"/>
      <c r="Q182" s="73"/>
      <c r="R182" s="25"/>
      <c r="S182" s="73"/>
      <c r="T182" s="73"/>
      <c r="U182" s="345"/>
      <c r="V182" s="73"/>
      <c r="W182" s="25"/>
      <c r="X182" s="73"/>
      <c r="Y182" s="73"/>
      <c r="Z182" s="345"/>
      <c r="AA182" s="73"/>
      <c r="AB182" s="25"/>
      <c r="AC182" s="73"/>
      <c r="AD182" s="73"/>
      <c r="AE182" s="345"/>
      <c r="AF182" s="73"/>
      <c r="AG182" s="25"/>
      <c r="AH182" s="73"/>
      <c r="AI182" s="73"/>
      <c r="AJ182" s="345"/>
      <c r="AK182" s="73"/>
      <c r="AL182" s="25"/>
      <c r="AM182" s="73"/>
      <c r="AN182" s="73"/>
      <c r="AO182" s="345"/>
      <c r="AP182" s="73"/>
      <c r="AQ182" s="25"/>
      <c r="AR182" s="73"/>
      <c r="AS182" s="73"/>
      <c r="AT182" s="345"/>
      <c r="AU182" s="73"/>
      <c r="AV182" s="25"/>
      <c r="AW182" s="73"/>
      <c r="AX182" s="73"/>
      <c r="AY182" s="345"/>
      <c r="AZ182" s="73"/>
      <c r="BA182" s="25"/>
      <c r="BB182" s="73"/>
      <c r="BC182" s="73"/>
      <c r="BD182" s="345"/>
      <c r="BE182" s="73"/>
      <c r="BF182" s="25"/>
      <c r="BG182" s="73"/>
      <c r="BH182" s="73"/>
      <c r="BI182" s="345"/>
      <c r="BJ182" s="73"/>
      <c r="BK182" s="25"/>
      <c r="BL182" s="73"/>
      <c r="BM182" s="73"/>
      <c r="BN182" s="345"/>
      <c r="BO182" s="73"/>
      <c r="BP182" s="25"/>
      <c r="BQ182" s="73"/>
      <c r="BR182" s="73"/>
      <c r="BS182" s="345"/>
      <c r="BT182" s="73"/>
      <c r="BU182" s="25"/>
      <c r="BV182" s="73"/>
      <c r="BW182" s="73"/>
      <c r="BX182" s="345"/>
      <c r="BY182" s="73"/>
      <c r="BZ182" s="25"/>
      <c r="CA182" s="73"/>
      <c r="CB182" s="73"/>
      <c r="CC182" s="345"/>
      <c r="CD182" s="73"/>
      <c r="CE182" s="25"/>
      <c r="CF182" s="73"/>
      <c r="CG182" s="73"/>
      <c r="CH182" s="345"/>
      <c r="CI182" s="73"/>
      <c r="CJ182" s="25"/>
      <c r="CK182" s="73"/>
      <c r="CL182" s="73"/>
      <c r="CM182" s="345"/>
      <c r="CN182" s="73"/>
      <c r="CO182" s="25"/>
      <c r="CP182" s="73"/>
      <c r="CQ182" s="73"/>
      <c r="CR182" s="345"/>
      <c r="CS182" s="73"/>
      <c r="CT182" s="25"/>
      <c r="CU182" s="73"/>
      <c r="CV182" s="73"/>
      <c r="CW182" s="345"/>
      <c r="CX182" s="73"/>
      <c r="CY182" s="25"/>
      <c r="CZ182" s="73"/>
      <c r="DA182" s="73"/>
      <c r="DB182" s="345"/>
      <c r="DC182" s="73"/>
      <c r="DD182" s="25"/>
      <c r="DE182" s="73"/>
      <c r="DF182" s="73"/>
      <c r="DG182" s="345"/>
      <c r="DH182" s="73"/>
      <c r="DI182" s="25"/>
      <c r="DJ182" s="73"/>
      <c r="DK182" s="73"/>
      <c r="DL182" s="345"/>
      <c r="DM182" s="73"/>
      <c r="DN182" s="25"/>
      <c r="DO182" s="73"/>
      <c r="DP182" s="73"/>
      <c r="DQ182" s="345"/>
      <c r="DR182" s="73"/>
      <c r="DS182" s="25"/>
      <c r="DT182" s="73"/>
      <c r="DU182" s="73"/>
      <c r="DV182" s="345"/>
      <c r="DW182" s="73"/>
      <c r="DX182" s="25"/>
      <c r="DY182" s="73"/>
      <c r="DZ182" s="73"/>
      <c r="EA182" s="345"/>
      <c r="EB182" s="73"/>
      <c r="EC182" s="25"/>
      <c r="ED182" s="73"/>
      <c r="EE182" s="73"/>
      <c r="EF182" s="345"/>
      <c r="EG182" s="73"/>
      <c r="EH182" s="25"/>
      <c r="EI182" s="73"/>
      <c r="EJ182" s="73"/>
      <c r="EK182" s="345"/>
      <c r="EL182" s="73"/>
      <c r="EM182" s="25"/>
      <c r="EN182" s="73"/>
      <c r="EO182" s="73"/>
      <c r="EP182" s="345"/>
      <c r="EQ182" s="73"/>
      <c r="ER182" s="25"/>
      <c r="ES182" s="73"/>
      <c r="ET182" s="73"/>
      <c r="EU182" s="345"/>
      <c r="EV182" s="73"/>
      <c r="EW182" s="25"/>
      <c r="EX182" s="73"/>
      <c r="EY182" s="73"/>
      <c r="EZ182" s="345"/>
      <c r="FA182" s="73"/>
      <c r="FB182" s="25"/>
      <c r="FC182" s="73"/>
      <c r="FD182" s="73"/>
      <c r="FE182" s="345"/>
      <c r="FF182" s="73"/>
      <c r="FG182" s="25"/>
      <c r="FH182" s="73"/>
      <c r="FI182" s="73"/>
      <c r="FJ182" s="345"/>
      <c r="FK182" s="73"/>
      <c r="FL182" s="25"/>
      <c r="FM182" s="73"/>
      <c r="FN182" s="73"/>
      <c r="FO182" s="345"/>
      <c r="FP182" s="73"/>
      <c r="FQ182" s="25"/>
      <c r="FR182" s="73"/>
      <c r="FS182" s="73"/>
      <c r="FT182" s="345"/>
      <c r="FU182" s="73"/>
      <c r="FV182" s="25"/>
      <c r="FW182" s="73"/>
      <c r="FX182" s="73"/>
      <c r="FY182" s="345"/>
      <c r="FZ182" s="73"/>
      <c r="GA182" s="25"/>
      <c r="GB182" s="73"/>
      <c r="GC182" s="73"/>
      <c r="GD182" s="345"/>
      <c r="GE182" s="73"/>
      <c r="GF182" s="25"/>
      <c r="GG182" s="73"/>
      <c r="GH182" s="73"/>
      <c r="GI182" s="345"/>
      <c r="GJ182" s="73"/>
      <c r="GK182" s="25"/>
      <c r="GL182" s="73"/>
      <c r="GM182" s="73"/>
      <c r="GN182" s="345"/>
      <c r="GO182" s="73"/>
      <c r="GP182" s="25"/>
      <c r="GQ182" s="73"/>
      <c r="GR182" s="73"/>
      <c r="GS182" s="345"/>
      <c r="GT182" s="73"/>
      <c r="GU182" s="25"/>
      <c r="GV182" s="73"/>
      <c r="GW182" s="73"/>
      <c r="GX182" s="345"/>
      <c r="GY182" s="73"/>
      <c r="GZ182" s="25"/>
      <c r="HA182" s="73"/>
      <c r="HB182" s="73"/>
      <c r="HC182" s="345"/>
      <c r="HD182" s="73"/>
      <c r="HE182" s="25"/>
      <c r="HF182" s="73"/>
      <c r="HG182" s="73"/>
      <c r="HH182" s="345"/>
      <c r="HI182" s="73"/>
      <c r="HJ182" s="25"/>
      <c r="HK182" s="73"/>
      <c r="HL182" s="73"/>
      <c r="HM182" s="345"/>
      <c r="HN182" s="73"/>
      <c r="HO182" s="25"/>
      <c r="HP182" s="73"/>
      <c r="HQ182" s="73"/>
      <c r="HR182" s="345"/>
      <c r="HS182" s="73"/>
      <c r="HT182" s="25"/>
      <c r="HU182" s="73"/>
      <c r="HV182" s="73"/>
      <c r="HW182" s="345"/>
      <c r="HX182" s="73"/>
      <c r="HY182" s="25"/>
      <c r="HZ182" s="73"/>
      <c r="IA182" s="73"/>
      <c r="IB182" s="345"/>
      <c r="IC182" s="73"/>
      <c r="ID182" s="25"/>
      <c r="IE182" s="73"/>
      <c r="IF182" s="73"/>
      <c r="IG182" s="345"/>
      <c r="IH182" s="73"/>
      <c r="II182" s="25"/>
      <c r="IJ182" s="73"/>
      <c r="IK182" s="73"/>
      <c r="IL182" s="345"/>
      <c r="IM182" s="73"/>
      <c r="IN182" s="25"/>
      <c r="IO182" s="73"/>
      <c r="IP182" s="73"/>
      <c r="IQ182" s="345"/>
      <c r="IR182" s="73"/>
      <c r="IS182" s="25"/>
      <c r="IT182" s="73"/>
      <c r="IU182" s="73"/>
      <c r="IV182" s="345"/>
    </row>
    <row r="183" spans="1:256" x14ac:dyDescent="0.2">
      <c r="A183" s="345">
        <v>33085</v>
      </c>
      <c r="B183" s="73"/>
      <c r="C183" s="25"/>
      <c r="D183" s="73"/>
      <c r="E183" s="73"/>
      <c r="F183" s="345"/>
      <c r="G183" s="73"/>
      <c r="H183" s="25"/>
      <c r="I183" s="73"/>
      <c r="J183" s="73"/>
      <c r="K183" s="345"/>
      <c r="L183" s="73"/>
      <c r="M183" s="25"/>
      <c r="N183" s="73"/>
      <c r="O183" s="73"/>
      <c r="P183" s="345"/>
      <c r="Q183" s="73"/>
      <c r="R183" s="25"/>
      <c r="S183" s="73"/>
      <c r="T183" s="73"/>
      <c r="U183" s="345"/>
      <c r="V183" s="73"/>
      <c r="W183" s="25"/>
      <c r="X183" s="73"/>
      <c r="Y183" s="73"/>
      <c r="Z183" s="345"/>
      <c r="AA183" s="73"/>
      <c r="AB183" s="25"/>
      <c r="AC183" s="73"/>
      <c r="AD183" s="73"/>
      <c r="AE183" s="345"/>
      <c r="AF183" s="73"/>
      <c r="AG183" s="25"/>
      <c r="AH183" s="73"/>
      <c r="AI183" s="73"/>
      <c r="AJ183" s="345"/>
      <c r="AK183" s="73"/>
      <c r="AL183" s="25"/>
      <c r="AM183" s="73"/>
      <c r="AN183" s="73"/>
      <c r="AO183" s="345"/>
      <c r="AP183" s="73"/>
      <c r="AQ183" s="25"/>
      <c r="AR183" s="73"/>
      <c r="AS183" s="73"/>
      <c r="AT183" s="345"/>
      <c r="AU183" s="73"/>
      <c r="AV183" s="25"/>
      <c r="AW183" s="73"/>
      <c r="AX183" s="73"/>
      <c r="AY183" s="345"/>
      <c r="AZ183" s="73"/>
      <c r="BA183" s="25"/>
      <c r="BB183" s="73"/>
      <c r="BC183" s="73"/>
      <c r="BD183" s="345"/>
      <c r="BE183" s="73"/>
      <c r="BF183" s="25"/>
      <c r="BG183" s="73"/>
      <c r="BH183" s="73"/>
      <c r="BI183" s="345"/>
      <c r="BJ183" s="73"/>
      <c r="BK183" s="25"/>
      <c r="BL183" s="73"/>
      <c r="BM183" s="73"/>
      <c r="BN183" s="345"/>
      <c r="BO183" s="73"/>
      <c r="BP183" s="25"/>
      <c r="BQ183" s="73"/>
      <c r="BR183" s="73"/>
      <c r="BS183" s="345"/>
      <c r="BT183" s="73"/>
      <c r="BU183" s="25"/>
      <c r="BV183" s="73"/>
      <c r="BW183" s="73"/>
      <c r="BX183" s="345"/>
      <c r="BY183" s="73"/>
      <c r="BZ183" s="25"/>
      <c r="CA183" s="73"/>
      <c r="CB183" s="73"/>
      <c r="CC183" s="345"/>
      <c r="CD183" s="73"/>
      <c r="CE183" s="25"/>
      <c r="CF183" s="73"/>
      <c r="CG183" s="73"/>
      <c r="CH183" s="345"/>
      <c r="CI183" s="73"/>
      <c r="CJ183" s="25"/>
      <c r="CK183" s="73"/>
      <c r="CL183" s="73"/>
      <c r="CM183" s="345"/>
      <c r="CN183" s="73"/>
      <c r="CO183" s="25"/>
      <c r="CP183" s="73"/>
      <c r="CQ183" s="73"/>
      <c r="CR183" s="345"/>
      <c r="CS183" s="73"/>
      <c r="CT183" s="25"/>
      <c r="CU183" s="73"/>
      <c r="CV183" s="73"/>
      <c r="CW183" s="345"/>
      <c r="CX183" s="73"/>
      <c r="CY183" s="25"/>
      <c r="CZ183" s="73"/>
      <c r="DA183" s="73"/>
      <c r="DB183" s="345"/>
      <c r="DC183" s="73"/>
      <c r="DD183" s="25"/>
      <c r="DE183" s="73"/>
      <c r="DF183" s="73"/>
      <c r="DG183" s="345"/>
      <c r="DH183" s="73"/>
      <c r="DI183" s="25"/>
      <c r="DJ183" s="73"/>
      <c r="DK183" s="73"/>
      <c r="DL183" s="345"/>
      <c r="DM183" s="73"/>
      <c r="DN183" s="25"/>
      <c r="DO183" s="73"/>
      <c r="DP183" s="73"/>
      <c r="DQ183" s="345"/>
      <c r="DR183" s="73"/>
      <c r="DS183" s="25"/>
      <c r="DT183" s="73"/>
      <c r="DU183" s="73"/>
      <c r="DV183" s="345"/>
      <c r="DW183" s="73"/>
      <c r="DX183" s="25"/>
      <c r="DY183" s="73"/>
      <c r="DZ183" s="73"/>
      <c r="EA183" s="345"/>
      <c r="EB183" s="73"/>
      <c r="EC183" s="25"/>
      <c r="ED183" s="73"/>
      <c r="EE183" s="73"/>
      <c r="EF183" s="345"/>
      <c r="EG183" s="73"/>
      <c r="EH183" s="25"/>
      <c r="EI183" s="73"/>
      <c r="EJ183" s="73"/>
      <c r="EK183" s="345"/>
      <c r="EL183" s="73"/>
      <c r="EM183" s="25"/>
      <c r="EN183" s="73"/>
      <c r="EO183" s="73"/>
      <c r="EP183" s="345"/>
      <c r="EQ183" s="73"/>
      <c r="ER183" s="25"/>
      <c r="ES183" s="73"/>
      <c r="ET183" s="73"/>
      <c r="EU183" s="345"/>
      <c r="EV183" s="73"/>
      <c r="EW183" s="25"/>
      <c r="EX183" s="73"/>
      <c r="EY183" s="73"/>
      <c r="EZ183" s="345"/>
      <c r="FA183" s="73"/>
      <c r="FB183" s="25"/>
      <c r="FC183" s="73"/>
      <c r="FD183" s="73"/>
      <c r="FE183" s="345"/>
      <c r="FF183" s="73"/>
      <c r="FG183" s="25"/>
      <c r="FH183" s="73"/>
      <c r="FI183" s="73"/>
      <c r="FJ183" s="345"/>
      <c r="FK183" s="73"/>
      <c r="FL183" s="25"/>
      <c r="FM183" s="73"/>
      <c r="FN183" s="73"/>
      <c r="FO183" s="345"/>
      <c r="FP183" s="73"/>
      <c r="FQ183" s="25"/>
      <c r="FR183" s="73"/>
      <c r="FS183" s="73"/>
      <c r="FT183" s="345"/>
      <c r="FU183" s="73"/>
      <c r="FV183" s="25"/>
      <c r="FW183" s="73"/>
      <c r="FX183" s="73"/>
      <c r="FY183" s="345"/>
      <c r="FZ183" s="73"/>
      <c r="GA183" s="25"/>
      <c r="GB183" s="73"/>
      <c r="GC183" s="73"/>
      <c r="GD183" s="345"/>
      <c r="GE183" s="73"/>
      <c r="GF183" s="25"/>
      <c r="GG183" s="73"/>
      <c r="GH183" s="73"/>
      <c r="GI183" s="345"/>
      <c r="GJ183" s="73"/>
      <c r="GK183" s="25"/>
      <c r="GL183" s="73"/>
      <c r="GM183" s="73"/>
      <c r="GN183" s="345"/>
      <c r="GO183" s="73"/>
      <c r="GP183" s="25"/>
      <c r="GQ183" s="73"/>
      <c r="GR183" s="73"/>
      <c r="GS183" s="345"/>
      <c r="GT183" s="73"/>
      <c r="GU183" s="25"/>
      <c r="GV183" s="73"/>
      <c r="GW183" s="73"/>
      <c r="GX183" s="345"/>
      <c r="GY183" s="73"/>
      <c r="GZ183" s="25"/>
      <c r="HA183" s="73"/>
      <c r="HB183" s="73"/>
      <c r="HC183" s="345"/>
      <c r="HD183" s="73"/>
      <c r="HE183" s="25"/>
      <c r="HF183" s="73"/>
      <c r="HG183" s="73"/>
      <c r="HH183" s="345"/>
      <c r="HI183" s="73"/>
      <c r="HJ183" s="25"/>
      <c r="HK183" s="73"/>
      <c r="HL183" s="73"/>
      <c r="HM183" s="345"/>
      <c r="HN183" s="73"/>
      <c r="HO183" s="25"/>
      <c r="HP183" s="73"/>
      <c r="HQ183" s="73"/>
      <c r="HR183" s="345"/>
      <c r="HS183" s="73"/>
      <c r="HT183" s="25"/>
      <c r="HU183" s="73"/>
      <c r="HV183" s="73"/>
      <c r="HW183" s="345"/>
      <c r="HX183" s="73"/>
      <c r="HY183" s="25"/>
      <c r="HZ183" s="73"/>
      <c r="IA183" s="73"/>
      <c r="IB183" s="345"/>
      <c r="IC183" s="73"/>
      <c r="ID183" s="25"/>
      <c r="IE183" s="73"/>
      <c r="IF183" s="73"/>
      <c r="IG183" s="345"/>
      <c r="IH183" s="73"/>
      <c r="II183" s="25"/>
      <c r="IJ183" s="73"/>
      <c r="IK183" s="73"/>
      <c r="IL183" s="345"/>
      <c r="IM183" s="73"/>
      <c r="IN183" s="25"/>
      <c r="IO183" s="73"/>
      <c r="IP183" s="73"/>
      <c r="IQ183" s="345"/>
      <c r="IR183" s="73"/>
      <c r="IS183" s="25"/>
      <c r="IT183" s="73"/>
      <c r="IU183" s="73"/>
      <c r="IV183" s="345"/>
    </row>
    <row r="184" spans="1:256" x14ac:dyDescent="0.2">
      <c r="A184" s="345">
        <v>33116</v>
      </c>
      <c r="B184" s="73"/>
      <c r="C184" s="25"/>
      <c r="D184" s="73"/>
      <c r="E184" s="73"/>
      <c r="F184" s="345"/>
      <c r="G184" s="73"/>
      <c r="H184" s="25"/>
      <c r="I184" s="73"/>
      <c r="J184" s="73"/>
      <c r="K184" s="345"/>
      <c r="L184" s="73"/>
      <c r="M184" s="25"/>
      <c r="N184" s="73"/>
      <c r="O184" s="73"/>
      <c r="P184" s="345"/>
      <c r="Q184" s="73"/>
      <c r="R184" s="25"/>
      <c r="S184" s="73"/>
      <c r="T184" s="73"/>
      <c r="U184" s="345"/>
      <c r="V184" s="73"/>
      <c r="W184" s="25"/>
      <c r="X184" s="73"/>
      <c r="Y184" s="73"/>
      <c r="Z184" s="345"/>
      <c r="AA184" s="73"/>
      <c r="AB184" s="25"/>
      <c r="AC184" s="73"/>
      <c r="AD184" s="73"/>
      <c r="AE184" s="345"/>
      <c r="AF184" s="73"/>
      <c r="AG184" s="25"/>
      <c r="AH184" s="73"/>
      <c r="AI184" s="73"/>
      <c r="AJ184" s="345"/>
      <c r="AK184" s="73"/>
      <c r="AL184" s="25"/>
      <c r="AM184" s="73"/>
      <c r="AN184" s="73"/>
      <c r="AO184" s="345"/>
      <c r="AP184" s="73"/>
      <c r="AQ184" s="25"/>
      <c r="AR184" s="73"/>
      <c r="AS184" s="73"/>
      <c r="AT184" s="345"/>
      <c r="AU184" s="73"/>
      <c r="AV184" s="25"/>
      <c r="AW184" s="73"/>
      <c r="AX184" s="73"/>
      <c r="AY184" s="345"/>
      <c r="AZ184" s="73"/>
      <c r="BA184" s="25"/>
      <c r="BB184" s="73"/>
      <c r="BC184" s="73"/>
      <c r="BD184" s="345"/>
      <c r="BE184" s="73"/>
      <c r="BF184" s="25"/>
      <c r="BG184" s="73"/>
      <c r="BH184" s="73"/>
      <c r="BI184" s="345"/>
      <c r="BJ184" s="73"/>
      <c r="BK184" s="25"/>
      <c r="BL184" s="73"/>
      <c r="BM184" s="73"/>
      <c r="BN184" s="345"/>
      <c r="BO184" s="73"/>
      <c r="BP184" s="25"/>
      <c r="BQ184" s="73"/>
      <c r="BR184" s="73"/>
      <c r="BS184" s="345"/>
      <c r="BT184" s="73"/>
      <c r="BU184" s="25"/>
      <c r="BV184" s="73"/>
      <c r="BW184" s="73"/>
      <c r="BX184" s="345"/>
      <c r="BY184" s="73"/>
      <c r="BZ184" s="25"/>
      <c r="CA184" s="73"/>
      <c r="CB184" s="73"/>
      <c r="CC184" s="345"/>
      <c r="CD184" s="73"/>
      <c r="CE184" s="25"/>
      <c r="CF184" s="73"/>
      <c r="CG184" s="73"/>
      <c r="CH184" s="345"/>
      <c r="CI184" s="73"/>
      <c r="CJ184" s="25"/>
      <c r="CK184" s="73"/>
      <c r="CL184" s="73"/>
      <c r="CM184" s="345"/>
      <c r="CN184" s="73"/>
      <c r="CO184" s="25"/>
      <c r="CP184" s="73"/>
      <c r="CQ184" s="73"/>
      <c r="CR184" s="345"/>
      <c r="CS184" s="73"/>
      <c r="CT184" s="25"/>
      <c r="CU184" s="73"/>
      <c r="CV184" s="73"/>
      <c r="CW184" s="345"/>
      <c r="CX184" s="73"/>
      <c r="CY184" s="25"/>
      <c r="CZ184" s="73"/>
      <c r="DA184" s="73"/>
      <c r="DB184" s="345"/>
      <c r="DC184" s="73"/>
      <c r="DD184" s="25"/>
      <c r="DE184" s="73"/>
      <c r="DF184" s="73"/>
      <c r="DG184" s="345"/>
      <c r="DH184" s="73"/>
      <c r="DI184" s="25"/>
      <c r="DJ184" s="73"/>
      <c r="DK184" s="73"/>
      <c r="DL184" s="345"/>
      <c r="DM184" s="73"/>
      <c r="DN184" s="25"/>
      <c r="DO184" s="73"/>
      <c r="DP184" s="73"/>
      <c r="DQ184" s="345"/>
      <c r="DR184" s="73"/>
      <c r="DS184" s="25"/>
      <c r="DT184" s="73"/>
      <c r="DU184" s="73"/>
      <c r="DV184" s="345"/>
      <c r="DW184" s="73"/>
      <c r="DX184" s="25"/>
      <c r="DY184" s="73"/>
      <c r="DZ184" s="73"/>
      <c r="EA184" s="345"/>
      <c r="EB184" s="73"/>
      <c r="EC184" s="25"/>
      <c r="ED184" s="73"/>
      <c r="EE184" s="73"/>
      <c r="EF184" s="345"/>
      <c r="EG184" s="73"/>
      <c r="EH184" s="25"/>
      <c r="EI184" s="73"/>
      <c r="EJ184" s="73"/>
      <c r="EK184" s="345"/>
      <c r="EL184" s="73"/>
      <c r="EM184" s="25"/>
      <c r="EN184" s="73"/>
      <c r="EO184" s="73"/>
      <c r="EP184" s="345"/>
      <c r="EQ184" s="73"/>
      <c r="ER184" s="25"/>
      <c r="ES184" s="73"/>
      <c r="ET184" s="73"/>
      <c r="EU184" s="345"/>
      <c r="EV184" s="73"/>
      <c r="EW184" s="25"/>
      <c r="EX184" s="73"/>
      <c r="EY184" s="73"/>
      <c r="EZ184" s="345"/>
      <c r="FA184" s="73"/>
      <c r="FB184" s="25"/>
      <c r="FC184" s="73"/>
      <c r="FD184" s="73"/>
      <c r="FE184" s="345"/>
      <c r="FF184" s="73"/>
      <c r="FG184" s="25"/>
      <c r="FH184" s="73"/>
      <c r="FI184" s="73"/>
      <c r="FJ184" s="345"/>
      <c r="FK184" s="73"/>
      <c r="FL184" s="25"/>
      <c r="FM184" s="73"/>
      <c r="FN184" s="73"/>
      <c r="FO184" s="345"/>
      <c r="FP184" s="73"/>
      <c r="FQ184" s="25"/>
      <c r="FR184" s="73"/>
      <c r="FS184" s="73"/>
      <c r="FT184" s="345"/>
      <c r="FU184" s="73"/>
      <c r="FV184" s="25"/>
      <c r="FW184" s="73"/>
      <c r="FX184" s="73"/>
      <c r="FY184" s="345"/>
      <c r="FZ184" s="73"/>
      <c r="GA184" s="25"/>
      <c r="GB184" s="73"/>
      <c r="GC184" s="73"/>
      <c r="GD184" s="345"/>
      <c r="GE184" s="73"/>
      <c r="GF184" s="25"/>
      <c r="GG184" s="73"/>
      <c r="GH184" s="73"/>
      <c r="GI184" s="345"/>
      <c r="GJ184" s="73"/>
      <c r="GK184" s="25"/>
      <c r="GL184" s="73"/>
      <c r="GM184" s="73"/>
      <c r="GN184" s="345"/>
      <c r="GO184" s="73"/>
      <c r="GP184" s="25"/>
      <c r="GQ184" s="73"/>
      <c r="GR184" s="73"/>
      <c r="GS184" s="345"/>
      <c r="GT184" s="73"/>
      <c r="GU184" s="25"/>
      <c r="GV184" s="73"/>
      <c r="GW184" s="73"/>
      <c r="GX184" s="345"/>
      <c r="GY184" s="73"/>
      <c r="GZ184" s="25"/>
      <c r="HA184" s="73"/>
      <c r="HB184" s="73"/>
      <c r="HC184" s="345"/>
      <c r="HD184" s="73"/>
      <c r="HE184" s="25"/>
      <c r="HF184" s="73"/>
      <c r="HG184" s="73"/>
      <c r="HH184" s="345"/>
      <c r="HI184" s="73"/>
      <c r="HJ184" s="25"/>
      <c r="HK184" s="73"/>
      <c r="HL184" s="73"/>
      <c r="HM184" s="345"/>
      <c r="HN184" s="73"/>
      <c r="HO184" s="25"/>
      <c r="HP184" s="73"/>
      <c r="HQ184" s="73"/>
      <c r="HR184" s="345"/>
      <c r="HS184" s="73"/>
      <c r="HT184" s="25"/>
      <c r="HU184" s="73"/>
      <c r="HV184" s="73"/>
      <c r="HW184" s="345"/>
      <c r="HX184" s="73"/>
      <c r="HY184" s="25"/>
      <c r="HZ184" s="73"/>
      <c r="IA184" s="73"/>
      <c r="IB184" s="345"/>
      <c r="IC184" s="73"/>
      <c r="ID184" s="25"/>
      <c r="IE184" s="73"/>
      <c r="IF184" s="73"/>
      <c r="IG184" s="345"/>
      <c r="IH184" s="73"/>
      <c r="II184" s="25"/>
      <c r="IJ184" s="73"/>
      <c r="IK184" s="73"/>
      <c r="IL184" s="345"/>
      <c r="IM184" s="73"/>
      <c r="IN184" s="25"/>
      <c r="IO184" s="73"/>
      <c r="IP184" s="73"/>
      <c r="IQ184" s="345"/>
      <c r="IR184" s="73"/>
      <c r="IS184" s="25"/>
      <c r="IT184" s="73"/>
      <c r="IU184" s="73"/>
      <c r="IV184" s="345"/>
    </row>
    <row r="185" spans="1:256" x14ac:dyDescent="0.2">
      <c r="A185" s="345">
        <v>33146</v>
      </c>
      <c r="B185" s="73"/>
      <c r="C185" s="25"/>
      <c r="D185" s="73"/>
      <c r="E185" s="73"/>
      <c r="F185" s="345"/>
      <c r="G185" s="73"/>
      <c r="H185" s="25"/>
      <c r="I185" s="73"/>
      <c r="J185" s="73"/>
      <c r="K185" s="345"/>
      <c r="L185" s="73"/>
      <c r="M185" s="25"/>
      <c r="N185" s="73"/>
      <c r="O185" s="73"/>
      <c r="P185" s="345"/>
      <c r="Q185" s="73"/>
      <c r="R185" s="25"/>
      <c r="S185" s="73"/>
      <c r="T185" s="73"/>
      <c r="U185" s="345"/>
      <c r="V185" s="73"/>
      <c r="W185" s="25"/>
      <c r="X185" s="73"/>
      <c r="Y185" s="73"/>
      <c r="Z185" s="345"/>
      <c r="AA185" s="73"/>
      <c r="AB185" s="25"/>
      <c r="AC185" s="73"/>
      <c r="AD185" s="73"/>
      <c r="AE185" s="345"/>
      <c r="AF185" s="73"/>
      <c r="AG185" s="25"/>
      <c r="AH185" s="73"/>
      <c r="AI185" s="73"/>
      <c r="AJ185" s="345"/>
      <c r="AK185" s="73"/>
      <c r="AL185" s="25"/>
      <c r="AM185" s="73"/>
      <c r="AN185" s="73"/>
      <c r="AO185" s="345"/>
      <c r="AP185" s="73"/>
      <c r="AQ185" s="25"/>
      <c r="AR185" s="73"/>
      <c r="AS185" s="73"/>
      <c r="AT185" s="345"/>
      <c r="AU185" s="73"/>
      <c r="AV185" s="25"/>
      <c r="AW185" s="73"/>
      <c r="AX185" s="73"/>
      <c r="AY185" s="345"/>
      <c r="AZ185" s="73"/>
      <c r="BA185" s="25"/>
      <c r="BB185" s="73"/>
      <c r="BC185" s="73"/>
      <c r="BD185" s="345"/>
      <c r="BE185" s="73"/>
      <c r="BF185" s="25"/>
      <c r="BG185" s="73"/>
      <c r="BH185" s="73"/>
      <c r="BI185" s="345"/>
      <c r="BJ185" s="73"/>
      <c r="BK185" s="25"/>
      <c r="BL185" s="73"/>
      <c r="BM185" s="73"/>
      <c r="BN185" s="345"/>
      <c r="BO185" s="73"/>
      <c r="BP185" s="25"/>
      <c r="BQ185" s="73"/>
      <c r="BR185" s="73"/>
      <c r="BS185" s="345"/>
      <c r="BT185" s="73"/>
      <c r="BU185" s="25"/>
      <c r="BV185" s="73"/>
      <c r="BW185" s="73"/>
      <c r="BX185" s="345"/>
      <c r="BY185" s="73"/>
      <c r="BZ185" s="25"/>
      <c r="CA185" s="73"/>
      <c r="CB185" s="73"/>
      <c r="CC185" s="345"/>
      <c r="CD185" s="73"/>
      <c r="CE185" s="25"/>
      <c r="CF185" s="73"/>
      <c r="CG185" s="73"/>
      <c r="CH185" s="345"/>
      <c r="CI185" s="73"/>
      <c r="CJ185" s="25"/>
      <c r="CK185" s="73"/>
      <c r="CL185" s="73"/>
      <c r="CM185" s="345"/>
      <c r="CN185" s="73"/>
      <c r="CO185" s="25"/>
      <c r="CP185" s="73"/>
      <c r="CQ185" s="73"/>
      <c r="CR185" s="345"/>
      <c r="CS185" s="73"/>
      <c r="CT185" s="25"/>
      <c r="CU185" s="73"/>
      <c r="CV185" s="73"/>
      <c r="CW185" s="345"/>
      <c r="CX185" s="73"/>
      <c r="CY185" s="25"/>
      <c r="CZ185" s="73"/>
      <c r="DA185" s="73"/>
      <c r="DB185" s="345"/>
      <c r="DC185" s="73"/>
      <c r="DD185" s="25"/>
      <c r="DE185" s="73"/>
      <c r="DF185" s="73"/>
      <c r="DG185" s="345"/>
      <c r="DH185" s="73"/>
      <c r="DI185" s="25"/>
      <c r="DJ185" s="73"/>
      <c r="DK185" s="73"/>
      <c r="DL185" s="345"/>
      <c r="DM185" s="73"/>
      <c r="DN185" s="25"/>
      <c r="DO185" s="73"/>
      <c r="DP185" s="73"/>
      <c r="DQ185" s="345"/>
      <c r="DR185" s="73"/>
      <c r="DS185" s="25"/>
      <c r="DT185" s="73"/>
      <c r="DU185" s="73"/>
      <c r="DV185" s="345"/>
      <c r="DW185" s="73"/>
      <c r="DX185" s="25"/>
      <c r="DY185" s="73"/>
      <c r="DZ185" s="73"/>
      <c r="EA185" s="345"/>
      <c r="EB185" s="73"/>
      <c r="EC185" s="25"/>
      <c r="ED185" s="73"/>
      <c r="EE185" s="73"/>
      <c r="EF185" s="345"/>
      <c r="EG185" s="73"/>
      <c r="EH185" s="25"/>
      <c r="EI185" s="73"/>
      <c r="EJ185" s="73"/>
      <c r="EK185" s="345"/>
      <c r="EL185" s="73"/>
      <c r="EM185" s="25"/>
      <c r="EN185" s="73"/>
      <c r="EO185" s="73"/>
      <c r="EP185" s="345"/>
      <c r="EQ185" s="73"/>
      <c r="ER185" s="25"/>
      <c r="ES185" s="73"/>
      <c r="ET185" s="73"/>
      <c r="EU185" s="345"/>
      <c r="EV185" s="73"/>
      <c r="EW185" s="25"/>
      <c r="EX185" s="73"/>
      <c r="EY185" s="73"/>
      <c r="EZ185" s="345"/>
      <c r="FA185" s="73"/>
      <c r="FB185" s="25"/>
      <c r="FC185" s="73"/>
      <c r="FD185" s="73"/>
      <c r="FE185" s="345"/>
      <c r="FF185" s="73"/>
      <c r="FG185" s="25"/>
      <c r="FH185" s="73"/>
      <c r="FI185" s="73"/>
      <c r="FJ185" s="345"/>
      <c r="FK185" s="73"/>
      <c r="FL185" s="25"/>
      <c r="FM185" s="73"/>
      <c r="FN185" s="73"/>
      <c r="FO185" s="345"/>
      <c r="FP185" s="73"/>
      <c r="FQ185" s="25"/>
      <c r="FR185" s="73"/>
      <c r="FS185" s="73"/>
      <c r="FT185" s="345"/>
      <c r="FU185" s="73"/>
      <c r="FV185" s="25"/>
      <c r="FW185" s="73"/>
      <c r="FX185" s="73"/>
      <c r="FY185" s="345"/>
      <c r="FZ185" s="73"/>
      <c r="GA185" s="25"/>
      <c r="GB185" s="73"/>
      <c r="GC185" s="73"/>
      <c r="GD185" s="345"/>
      <c r="GE185" s="73"/>
      <c r="GF185" s="25"/>
      <c r="GG185" s="73"/>
      <c r="GH185" s="73"/>
      <c r="GI185" s="345"/>
      <c r="GJ185" s="73"/>
      <c r="GK185" s="25"/>
      <c r="GL185" s="73"/>
      <c r="GM185" s="73"/>
      <c r="GN185" s="345"/>
      <c r="GO185" s="73"/>
      <c r="GP185" s="25"/>
      <c r="GQ185" s="73"/>
      <c r="GR185" s="73"/>
      <c r="GS185" s="345"/>
      <c r="GT185" s="73"/>
      <c r="GU185" s="25"/>
      <c r="GV185" s="73"/>
      <c r="GW185" s="73"/>
      <c r="GX185" s="345"/>
      <c r="GY185" s="73"/>
      <c r="GZ185" s="25"/>
      <c r="HA185" s="73"/>
      <c r="HB185" s="73"/>
      <c r="HC185" s="345"/>
      <c r="HD185" s="73"/>
      <c r="HE185" s="25"/>
      <c r="HF185" s="73"/>
      <c r="HG185" s="73"/>
      <c r="HH185" s="345"/>
      <c r="HI185" s="73"/>
      <c r="HJ185" s="25"/>
      <c r="HK185" s="73"/>
      <c r="HL185" s="73"/>
      <c r="HM185" s="345"/>
      <c r="HN185" s="73"/>
      <c r="HO185" s="25"/>
      <c r="HP185" s="73"/>
      <c r="HQ185" s="73"/>
      <c r="HR185" s="345"/>
      <c r="HS185" s="73"/>
      <c r="HT185" s="25"/>
      <c r="HU185" s="73"/>
      <c r="HV185" s="73"/>
      <c r="HW185" s="345"/>
      <c r="HX185" s="73"/>
      <c r="HY185" s="25"/>
      <c r="HZ185" s="73"/>
      <c r="IA185" s="73"/>
      <c r="IB185" s="345"/>
      <c r="IC185" s="73"/>
      <c r="ID185" s="25"/>
      <c r="IE185" s="73"/>
      <c r="IF185" s="73"/>
      <c r="IG185" s="345"/>
      <c r="IH185" s="73"/>
      <c r="II185" s="25"/>
      <c r="IJ185" s="73"/>
      <c r="IK185" s="73"/>
      <c r="IL185" s="345"/>
      <c r="IM185" s="73"/>
      <c r="IN185" s="25"/>
      <c r="IO185" s="73"/>
      <c r="IP185" s="73"/>
      <c r="IQ185" s="345"/>
      <c r="IR185" s="73"/>
      <c r="IS185" s="25"/>
      <c r="IT185" s="73"/>
      <c r="IU185" s="73"/>
      <c r="IV185" s="345"/>
    </row>
    <row r="186" spans="1:256" x14ac:dyDescent="0.2">
      <c r="A186" s="345">
        <v>33177</v>
      </c>
      <c r="B186" s="73"/>
      <c r="C186" s="25"/>
      <c r="D186" s="73"/>
      <c r="E186" s="73"/>
      <c r="F186" s="345"/>
      <c r="G186" s="73"/>
      <c r="H186" s="25"/>
      <c r="I186" s="73"/>
      <c r="J186" s="73"/>
      <c r="K186" s="345"/>
      <c r="L186" s="73"/>
      <c r="M186" s="25"/>
      <c r="N186" s="73"/>
      <c r="O186" s="73"/>
      <c r="P186" s="345"/>
      <c r="Q186" s="73"/>
      <c r="R186" s="25"/>
      <c r="S186" s="73"/>
      <c r="T186" s="73"/>
      <c r="U186" s="345"/>
      <c r="V186" s="73"/>
      <c r="W186" s="25"/>
      <c r="X186" s="73"/>
      <c r="Y186" s="73"/>
      <c r="Z186" s="345"/>
      <c r="AA186" s="73"/>
      <c r="AB186" s="25"/>
      <c r="AC186" s="73"/>
      <c r="AD186" s="73"/>
      <c r="AE186" s="345"/>
      <c r="AF186" s="73"/>
      <c r="AG186" s="25"/>
      <c r="AH186" s="73"/>
      <c r="AI186" s="73"/>
      <c r="AJ186" s="345"/>
      <c r="AK186" s="73"/>
      <c r="AL186" s="25"/>
      <c r="AM186" s="73"/>
      <c r="AN186" s="73"/>
      <c r="AO186" s="345"/>
      <c r="AP186" s="73"/>
      <c r="AQ186" s="25"/>
      <c r="AR186" s="73"/>
      <c r="AS186" s="73"/>
      <c r="AT186" s="345"/>
      <c r="AU186" s="73"/>
      <c r="AV186" s="25"/>
      <c r="AW186" s="73"/>
      <c r="AX186" s="73"/>
      <c r="AY186" s="345"/>
      <c r="AZ186" s="73"/>
      <c r="BA186" s="25"/>
      <c r="BB186" s="73"/>
      <c r="BC186" s="73"/>
      <c r="BD186" s="345"/>
      <c r="BE186" s="73"/>
      <c r="BF186" s="25"/>
      <c r="BG186" s="73"/>
      <c r="BH186" s="73"/>
      <c r="BI186" s="345"/>
      <c r="BJ186" s="73"/>
      <c r="BK186" s="25"/>
      <c r="BL186" s="73"/>
      <c r="BM186" s="73"/>
      <c r="BN186" s="345"/>
      <c r="BO186" s="73"/>
      <c r="BP186" s="25"/>
      <c r="BQ186" s="73"/>
      <c r="BR186" s="73"/>
      <c r="BS186" s="345"/>
      <c r="BT186" s="73"/>
      <c r="BU186" s="25"/>
      <c r="BV186" s="73"/>
      <c r="BW186" s="73"/>
      <c r="BX186" s="345"/>
      <c r="BY186" s="73"/>
      <c r="BZ186" s="25"/>
      <c r="CA186" s="73"/>
      <c r="CB186" s="73"/>
      <c r="CC186" s="345"/>
      <c r="CD186" s="73"/>
      <c r="CE186" s="25"/>
      <c r="CF186" s="73"/>
      <c r="CG186" s="73"/>
      <c r="CH186" s="345"/>
      <c r="CI186" s="73"/>
      <c r="CJ186" s="25"/>
      <c r="CK186" s="73"/>
      <c r="CL186" s="73"/>
      <c r="CM186" s="345"/>
      <c r="CN186" s="73"/>
      <c r="CO186" s="25"/>
      <c r="CP186" s="73"/>
      <c r="CQ186" s="73"/>
      <c r="CR186" s="345"/>
      <c r="CS186" s="73"/>
      <c r="CT186" s="25"/>
      <c r="CU186" s="73"/>
      <c r="CV186" s="73"/>
      <c r="CW186" s="345"/>
      <c r="CX186" s="73"/>
      <c r="CY186" s="25"/>
      <c r="CZ186" s="73"/>
      <c r="DA186" s="73"/>
      <c r="DB186" s="345"/>
      <c r="DC186" s="73"/>
      <c r="DD186" s="25"/>
      <c r="DE186" s="73"/>
      <c r="DF186" s="73"/>
      <c r="DG186" s="345"/>
      <c r="DH186" s="73"/>
      <c r="DI186" s="25"/>
      <c r="DJ186" s="73"/>
      <c r="DK186" s="73"/>
      <c r="DL186" s="345"/>
      <c r="DM186" s="73"/>
      <c r="DN186" s="25"/>
      <c r="DO186" s="73"/>
      <c r="DP186" s="73"/>
      <c r="DQ186" s="345"/>
      <c r="DR186" s="73"/>
      <c r="DS186" s="25"/>
      <c r="DT186" s="73"/>
      <c r="DU186" s="73"/>
      <c r="DV186" s="345"/>
      <c r="DW186" s="73"/>
      <c r="DX186" s="25"/>
      <c r="DY186" s="73"/>
      <c r="DZ186" s="73"/>
      <c r="EA186" s="345"/>
      <c r="EB186" s="73"/>
      <c r="EC186" s="25"/>
      <c r="ED186" s="73"/>
      <c r="EE186" s="73"/>
      <c r="EF186" s="345"/>
      <c r="EG186" s="73"/>
      <c r="EH186" s="25"/>
      <c r="EI186" s="73"/>
      <c r="EJ186" s="73"/>
      <c r="EK186" s="345"/>
      <c r="EL186" s="73"/>
      <c r="EM186" s="25"/>
      <c r="EN186" s="73"/>
      <c r="EO186" s="73"/>
      <c r="EP186" s="345"/>
      <c r="EQ186" s="73"/>
      <c r="ER186" s="25"/>
      <c r="ES186" s="73"/>
      <c r="ET186" s="73"/>
      <c r="EU186" s="345"/>
      <c r="EV186" s="73"/>
      <c r="EW186" s="25"/>
      <c r="EX186" s="73"/>
      <c r="EY186" s="73"/>
      <c r="EZ186" s="345"/>
      <c r="FA186" s="73"/>
      <c r="FB186" s="25"/>
      <c r="FC186" s="73"/>
      <c r="FD186" s="73"/>
      <c r="FE186" s="345"/>
      <c r="FF186" s="73"/>
      <c r="FG186" s="25"/>
      <c r="FH186" s="73"/>
      <c r="FI186" s="73"/>
      <c r="FJ186" s="345"/>
      <c r="FK186" s="73"/>
      <c r="FL186" s="25"/>
      <c r="FM186" s="73"/>
      <c r="FN186" s="73"/>
      <c r="FO186" s="345"/>
      <c r="FP186" s="73"/>
      <c r="FQ186" s="25"/>
      <c r="FR186" s="73"/>
      <c r="FS186" s="73"/>
      <c r="FT186" s="345"/>
      <c r="FU186" s="73"/>
      <c r="FV186" s="25"/>
      <c r="FW186" s="73"/>
      <c r="FX186" s="73"/>
      <c r="FY186" s="345"/>
      <c r="FZ186" s="73"/>
      <c r="GA186" s="25"/>
      <c r="GB186" s="73"/>
      <c r="GC186" s="73"/>
      <c r="GD186" s="345"/>
      <c r="GE186" s="73"/>
      <c r="GF186" s="25"/>
      <c r="GG186" s="73"/>
      <c r="GH186" s="73"/>
      <c r="GI186" s="345"/>
      <c r="GJ186" s="73"/>
      <c r="GK186" s="25"/>
      <c r="GL186" s="73"/>
      <c r="GM186" s="73"/>
      <c r="GN186" s="345"/>
      <c r="GO186" s="73"/>
      <c r="GP186" s="25"/>
      <c r="GQ186" s="73"/>
      <c r="GR186" s="73"/>
      <c r="GS186" s="345"/>
      <c r="GT186" s="73"/>
      <c r="GU186" s="25"/>
      <c r="GV186" s="73"/>
      <c r="GW186" s="73"/>
      <c r="GX186" s="345"/>
      <c r="GY186" s="73"/>
      <c r="GZ186" s="25"/>
      <c r="HA186" s="73"/>
      <c r="HB186" s="73"/>
      <c r="HC186" s="345"/>
      <c r="HD186" s="73"/>
      <c r="HE186" s="25"/>
      <c r="HF186" s="73"/>
      <c r="HG186" s="73"/>
      <c r="HH186" s="345"/>
      <c r="HI186" s="73"/>
      <c r="HJ186" s="25"/>
      <c r="HK186" s="73"/>
      <c r="HL186" s="73"/>
      <c r="HM186" s="345"/>
      <c r="HN186" s="73"/>
      <c r="HO186" s="25"/>
      <c r="HP186" s="73"/>
      <c r="HQ186" s="73"/>
      <c r="HR186" s="345"/>
      <c r="HS186" s="73"/>
      <c r="HT186" s="25"/>
      <c r="HU186" s="73"/>
      <c r="HV186" s="73"/>
      <c r="HW186" s="345"/>
      <c r="HX186" s="73"/>
      <c r="HY186" s="25"/>
      <c r="HZ186" s="73"/>
      <c r="IA186" s="73"/>
      <c r="IB186" s="345"/>
      <c r="IC186" s="73"/>
      <c r="ID186" s="25"/>
      <c r="IE186" s="73"/>
      <c r="IF186" s="73"/>
      <c r="IG186" s="345"/>
      <c r="IH186" s="73"/>
      <c r="II186" s="25"/>
      <c r="IJ186" s="73"/>
      <c r="IK186" s="73"/>
      <c r="IL186" s="345"/>
      <c r="IM186" s="73"/>
      <c r="IN186" s="25"/>
      <c r="IO186" s="73"/>
      <c r="IP186" s="73"/>
      <c r="IQ186" s="345"/>
      <c r="IR186" s="73"/>
      <c r="IS186" s="25"/>
      <c r="IT186" s="73"/>
      <c r="IU186" s="73"/>
      <c r="IV186" s="345"/>
    </row>
    <row r="187" spans="1:256" x14ac:dyDescent="0.2">
      <c r="A187" s="345">
        <v>33207</v>
      </c>
      <c r="B187" s="73"/>
      <c r="C187" s="25"/>
      <c r="D187" s="73"/>
      <c r="E187" s="73"/>
      <c r="F187" s="345"/>
      <c r="G187" s="73"/>
      <c r="H187" s="25"/>
      <c r="I187" s="73"/>
      <c r="J187" s="73"/>
      <c r="K187" s="345"/>
      <c r="L187" s="73"/>
      <c r="M187" s="25"/>
      <c r="N187" s="73"/>
      <c r="O187" s="73"/>
      <c r="P187" s="345"/>
      <c r="Q187" s="73"/>
      <c r="R187" s="25"/>
      <c r="S187" s="73"/>
      <c r="T187" s="73"/>
      <c r="U187" s="345"/>
      <c r="V187" s="73"/>
      <c r="W187" s="25"/>
      <c r="X187" s="73"/>
      <c r="Y187" s="73"/>
      <c r="Z187" s="345"/>
      <c r="AA187" s="73"/>
      <c r="AB187" s="25"/>
      <c r="AC187" s="73"/>
      <c r="AD187" s="73"/>
      <c r="AE187" s="345"/>
      <c r="AF187" s="73"/>
      <c r="AG187" s="25"/>
      <c r="AH187" s="73"/>
      <c r="AI187" s="73"/>
      <c r="AJ187" s="345"/>
      <c r="AK187" s="73"/>
      <c r="AL187" s="25"/>
      <c r="AM187" s="73"/>
      <c r="AN187" s="73"/>
      <c r="AO187" s="345"/>
      <c r="AP187" s="73"/>
      <c r="AQ187" s="25"/>
      <c r="AR187" s="73"/>
      <c r="AS187" s="73"/>
      <c r="AT187" s="345"/>
      <c r="AU187" s="73"/>
      <c r="AV187" s="25"/>
      <c r="AW187" s="73"/>
      <c r="AX187" s="73"/>
      <c r="AY187" s="345"/>
      <c r="AZ187" s="73"/>
      <c r="BA187" s="25"/>
      <c r="BB187" s="73"/>
      <c r="BC187" s="73"/>
      <c r="BD187" s="345"/>
      <c r="BE187" s="73"/>
      <c r="BF187" s="25"/>
      <c r="BG187" s="73"/>
      <c r="BH187" s="73"/>
      <c r="BI187" s="345"/>
      <c r="BJ187" s="73"/>
      <c r="BK187" s="25"/>
      <c r="BL187" s="73"/>
      <c r="BM187" s="73"/>
      <c r="BN187" s="345"/>
      <c r="BO187" s="73"/>
      <c r="BP187" s="25"/>
      <c r="BQ187" s="73"/>
      <c r="BR187" s="73"/>
      <c r="BS187" s="345"/>
      <c r="BT187" s="73"/>
      <c r="BU187" s="25"/>
      <c r="BV187" s="73"/>
      <c r="BW187" s="73"/>
      <c r="BX187" s="345"/>
      <c r="BY187" s="73"/>
      <c r="BZ187" s="25"/>
      <c r="CA187" s="73"/>
      <c r="CB187" s="73"/>
      <c r="CC187" s="345"/>
      <c r="CD187" s="73"/>
      <c r="CE187" s="25"/>
      <c r="CF187" s="73"/>
      <c r="CG187" s="73"/>
      <c r="CH187" s="345"/>
      <c r="CI187" s="73"/>
      <c r="CJ187" s="25"/>
      <c r="CK187" s="73"/>
      <c r="CL187" s="73"/>
      <c r="CM187" s="345"/>
      <c r="CN187" s="73"/>
      <c r="CO187" s="25"/>
      <c r="CP187" s="73"/>
      <c r="CQ187" s="73"/>
      <c r="CR187" s="345"/>
      <c r="CS187" s="73"/>
      <c r="CT187" s="25"/>
      <c r="CU187" s="73"/>
      <c r="CV187" s="73"/>
      <c r="CW187" s="345"/>
      <c r="CX187" s="73"/>
      <c r="CY187" s="25"/>
      <c r="CZ187" s="73"/>
      <c r="DA187" s="73"/>
      <c r="DB187" s="345"/>
      <c r="DC187" s="73"/>
      <c r="DD187" s="25"/>
      <c r="DE187" s="73"/>
      <c r="DF187" s="73"/>
      <c r="DG187" s="345"/>
      <c r="DH187" s="73"/>
      <c r="DI187" s="25"/>
      <c r="DJ187" s="73"/>
      <c r="DK187" s="73"/>
      <c r="DL187" s="345"/>
      <c r="DM187" s="73"/>
      <c r="DN187" s="25"/>
      <c r="DO187" s="73"/>
      <c r="DP187" s="73"/>
      <c r="DQ187" s="345"/>
      <c r="DR187" s="73"/>
      <c r="DS187" s="25"/>
      <c r="DT187" s="73"/>
      <c r="DU187" s="73"/>
      <c r="DV187" s="345"/>
      <c r="DW187" s="73"/>
      <c r="DX187" s="25"/>
      <c r="DY187" s="73"/>
      <c r="DZ187" s="73"/>
      <c r="EA187" s="345"/>
      <c r="EB187" s="73"/>
      <c r="EC187" s="25"/>
      <c r="ED187" s="73"/>
      <c r="EE187" s="73"/>
      <c r="EF187" s="345"/>
      <c r="EG187" s="73"/>
      <c r="EH187" s="25"/>
      <c r="EI187" s="73"/>
      <c r="EJ187" s="73"/>
      <c r="EK187" s="345"/>
      <c r="EL187" s="73"/>
      <c r="EM187" s="25"/>
      <c r="EN187" s="73"/>
      <c r="EO187" s="73"/>
      <c r="EP187" s="345"/>
      <c r="EQ187" s="73"/>
      <c r="ER187" s="25"/>
      <c r="ES187" s="73"/>
      <c r="ET187" s="73"/>
      <c r="EU187" s="345"/>
      <c r="EV187" s="73"/>
      <c r="EW187" s="25"/>
      <c r="EX187" s="73"/>
      <c r="EY187" s="73"/>
      <c r="EZ187" s="345"/>
      <c r="FA187" s="73"/>
      <c r="FB187" s="25"/>
      <c r="FC187" s="73"/>
      <c r="FD187" s="73"/>
      <c r="FE187" s="345"/>
      <c r="FF187" s="73"/>
      <c r="FG187" s="25"/>
      <c r="FH187" s="73"/>
      <c r="FI187" s="73"/>
      <c r="FJ187" s="345"/>
      <c r="FK187" s="73"/>
      <c r="FL187" s="25"/>
      <c r="FM187" s="73"/>
      <c r="FN187" s="73"/>
      <c r="FO187" s="345"/>
      <c r="FP187" s="73"/>
      <c r="FQ187" s="25"/>
      <c r="FR187" s="73"/>
      <c r="FS187" s="73"/>
      <c r="FT187" s="345"/>
      <c r="FU187" s="73"/>
      <c r="FV187" s="25"/>
      <c r="FW187" s="73"/>
      <c r="FX187" s="73"/>
      <c r="FY187" s="345"/>
      <c r="FZ187" s="73"/>
      <c r="GA187" s="25"/>
      <c r="GB187" s="73"/>
      <c r="GC187" s="73"/>
      <c r="GD187" s="345"/>
      <c r="GE187" s="73"/>
      <c r="GF187" s="25"/>
      <c r="GG187" s="73"/>
      <c r="GH187" s="73"/>
      <c r="GI187" s="345"/>
      <c r="GJ187" s="73"/>
      <c r="GK187" s="25"/>
      <c r="GL187" s="73"/>
      <c r="GM187" s="73"/>
      <c r="GN187" s="345"/>
      <c r="GO187" s="73"/>
      <c r="GP187" s="25"/>
      <c r="GQ187" s="73"/>
      <c r="GR187" s="73"/>
      <c r="GS187" s="345"/>
      <c r="GT187" s="73"/>
      <c r="GU187" s="25"/>
      <c r="GV187" s="73"/>
      <c r="GW187" s="73"/>
      <c r="GX187" s="345"/>
      <c r="GY187" s="73"/>
      <c r="GZ187" s="25"/>
      <c r="HA187" s="73"/>
      <c r="HB187" s="73"/>
      <c r="HC187" s="345"/>
      <c r="HD187" s="73"/>
      <c r="HE187" s="25"/>
      <c r="HF187" s="73"/>
      <c r="HG187" s="73"/>
      <c r="HH187" s="345"/>
      <c r="HI187" s="73"/>
      <c r="HJ187" s="25"/>
      <c r="HK187" s="73"/>
      <c r="HL187" s="73"/>
      <c r="HM187" s="345"/>
      <c r="HN187" s="73"/>
      <c r="HO187" s="25"/>
      <c r="HP187" s="73"/>
      <c r="HQ187" s="73"/>
      <c r="HR187" s="345"/>
      <c r="HS187" s="73"/>
      <c r="HT187" s="25"/>
      <c r="HU187" s="73"/>
      <c r="HV187" s="73"/>
      <c r="HW187" s="345"/>
      <c r="HX187" s="73"/>
      <c r="HY187" s="25"/>
      <c r="HZ187" s="73"/>
      <c r="IA187" s="73"/>
      <c r="IB187" s="345"/>
      <c r="IC187" s="73"/>
      <c r="ID187" s="25"/>
      <c r="IE187" s="73"/>
      <c r="IF187" s="73"/>
      <c r="IG187" s="345"/>
      <c r="IH187" s="73"/>
      <c r="II187" s="25"/>
      <c r="IJ187" s="73"/>
      <c r="IK187" s="73"/>
      <c r="IL187" s="345"/>
      <c r="IM187" s="73"/>
      <c r="IN187" s="25"/>
      <c r="IO187" s="73"/>
      <c r="IP187" s="73"/>
      <c r="IQ187" s="345"/>
      <c r="IR187" s="73"/>
      <c r="IS187" s="25"/>
      <c r="IT187" s="73"/>
      <c r="IU187" s="73"/>
      <c r="IV187" s="345"/>
    </row>
    <row r="188" spans="1:256" x14ac:dyDescent="0.2">
      <c r="A188" s="345">
        <v>33238</v>
      </c>
      <c r="B188" s="73"/>
      <c r="C188" s="25"/>
      <c r="D188" s="73"/>
      <c r="E188" s="73"/>
      <c r="F188" s="345"/>
      <c r="G188" s="73"/>
      <c r="H188" s="25"/>
      <c r="I188" s="73"/>
      <c r="J188" s="73"/>
      <c r="K188" s="345"/>
      <c r="L188" s="73"/>
      <c r="M188" s="25"/>
      <c r="N188" s="73"/>
      <c r="O188" s="73"/>
      <c r="P188" s="345"/>
      <c r="Q188" s="73"/>
      <c r="R188" s="25"/>
      <c r="S188" s="73"/>
      <c r="T188" s="73"/>
      <c r="U188" s="345"/>
      <c r="V188" s="73"/>
      <c r="W188" s="25"/>
      <c r="X188" s="73"/>
      <c r="Y188" s="73"/>
      <c r="Z188" s="345"/>
      <c r="AA188" s="73"/>
      <c r="AB188" s="25"/>
      <c r="AC188" s="73"/>
      <c r="AD188" s="73"/>
      <c r="AE188" s="345"/>
      <c r="AF188" s="73"/>
      <c r="AG188" s="25"/>
      <c r="AH188" s="73"/>
      <c r="AI188" s="73"/>
      <c r="AJ188" s="345"/>
      <c r="AK188" s="73"/>
      <c r="AL188" s="25"/>
      <c r="AM188" s="73"/>
      <c r="AN188" s="73"/>
      <c r="AO188" s="345"/>
      <c r="AP188" s="73"/>
      <c r="AQ188" s="25"/>
      <c r="AR188" s="73"/>
      <c r="AS188" s="73"/>
      <c r="AT188" s="345"/>
      <c r="AU188" s="73"/>
      <c r="AV188" s="25"/>
      <c r="AW188" s="73"/>
      <c r="AX188" s="73"/>
      <c r="AY188" s="345"/>
      <c r="AZ188" s="73"/>
      <c r="BA188" s="25"/>
      <c r="BB188" s="73"/>
      <c r="BC188" s="73"/>
      <c r="BD188" s="345"/>
      <c r="BE188" s="73"/>
      <c r="BF188" s="25"/>
      <c r="BG188" s="73"/>
      <c r="BH188" s="73"/>
      <c r="BI188" s="345"/>
      <c r="BJ188" s="73"/>
      <c r="BK188" s="25"/>
      <c r="BL188" s="73"/>
      <c r="BM188" s="73"/>
      <c r="BN188" s="345"/>
      <c r="BO188" s="73"/>
      <c r="BP188" s="25"/>
      <c r="BQ188" s="73"/>
      <c r="BR188" s="73"/>
      <c r="BS188" s="345"/>
      <c r="BT188" s="73"/>
      <c r="BU188" s="25"/>
      <c r="BV188" s="73"/>
      <c r="BW188" s="73"/>
      <c r="BX188" s="345"/>
      <c r="BY188" s="73"/>
      <c r="BZ188" s="25"/>
      <c r="CA188" s="73"/>
      <c r="CB188" s="73"/>
      <c r="CC188" s="345"/>
      <c r="CD188" s="73"/>
      <c r="CE188" s="25"/>
      <c r="CF188" s="73"/>
      <c r="CG188" s="73"/>
      <c r="CH188" s="345"/>
      <c r="CI188" s="73"/>
      <c r="CJ188" s="25"/>
      <c r="CK188" s="73"/>
      <c r="CL188" s="73"/>
      <c r="CM188" s="345"/>
      <c r="CN188" s="73"/>
      <c r="CO188" s="25"/>
      <c r="CP188" s="73"/>
      <c r="CQ188" s="73"/>
      <c r="CR188" s="345"/>
      <c r="CS188" s="73"/>
      <c r="CT188" s="25"/>
      <c r="CU188" s="73"/>
      <c r="CV188" s="73"/>
      <c r="CW188" s="345"/>
      <c r="CX188" s="73"/>
      <c r="CY188" s="25"/>
      <c r="CZ188" s="73"/>
      <c r="DA188" s="73"/>
      <c r="DB188" s="345"/>
      <c r="DC188" s="73"/>
      <c r="DD188" s="25"/>
      <c r="DE188" s="73"/>
      <c r="DF188" s="73"/>
      <c r="DG188" s="345"/>
      <c r="DH188" s="73"/>
      <c r="DI188" s="25"/>
      <c r="DJ188" s="73"/>
      <c r="DK188" s="73"/>
      <c r="DL188" s="345"/>
      <c r="DM188" s="73"/>
      <c r="DN188" s="25"/>
      <c r="DO188" s="73"/>
      <c r="DP188" s="73"/>
      <c r="DQ188" s="345"/>
      <c r="DR188" s="73"/>
      <c r="DS188" s="25"/>
      <c r="DT188" s="73"/>
      <c r="DU188" s="73"/>
      <c r="DV188" s="345"/>
      <c r="DW188" s="73"/>
      <c r="DX188" s="25"/>
      <c r="DY188" s="73"/>
      <c r="DZ188" s="73"/>
      <c r="EA188" s="345"/>
      <c r="EB188" s="73"/>
      <c r="EC188" s="25"/>
      <c r="ED188" s="73"/>
      <c r="EE188" s="73"/>
      <c r="EF188" s="345"/>
      <c r="EG188" s="73"/>
      <c r="EH188" s="25"/>
      <c r="EI188" s="73"/>
      <c r="EJ188" s="73"/>
      <c r="EK188" s="345"/>
      <c r="EL188" s="73"/>
      <c r="EM188" s="25"/>
      <c r="EN188" s="73"/>
      <c r="EO188" s="73"/>
      <c r="EP188" s="345"/>
      <c r="EQ188" s="73"/>
      <c r="ER188" s="25"/>
      <c r="ES188" s="73"/>
      <c r="ET188" s="73"/>
      <c r="EU188" s="345"/>
      <c r="EV188" s="73"/>
      <c r="EW188" s="25"/>
      <c r="EX188" s="73"/>
      <c r="EY188" s="73"/>
      <c r="EZ188" s="345"/>
      <c r="FA188" s="73"/>
      <c r="FB188" s="25"/>
      <c r="FC188" s="73"/>
      <c r="FD188" s="73"/>
      <c r="FE188" s="345"/>
      <c r="FF188" s="73"/>
      <c r="FG188" s="25"/>
      <c r="FH188" s="73"/>
      <c r="FI188" s="73"/>
      <c r="FJ188" s="345"/>
      <c r="FK188" s="73"/>
      <c r="FL188" s="25"/>
      <c r="FM188" s="73"/>
      <c r="FN188" s="73"/>
      <c r="FO188" s="345"/>
      <c r="FP188" s="73"/>
      <c r="FQ188" s="25"/>
      <c r="FR188" s="73"/>
      <c r="FS188" s="73"/>
      <c r="FT188" s="345"/>
      <c r="FU188" s="73"/>
      <c r="FV188" s="25"/>
      <c r="FW188" s="73"/>
      <c r="FX188" s="73"/>
      <c r="FY188" s="345"/>
      <c r="FZ188" s="73"/>
      <c r="GA188" s="25"/>
      <c r="GB188" s="73"/>
      <c r="GC188" s="73"/>
      <c r="GD188" s="345"/>
      <c r="GE188" s="73"/>
      <c r="GF188" s="25"/>
      <c r="GG188" s="73"/>
      <c r="GH188" s="73"/>
      <c r="GI188" s="345"/>
      <c r="GJ188" s="73"/>
      <c r="GK188" s="25"/>
      <c r="GL188" s="73"/>
      <c r="GM188" s="73"/>
      <c r="GN188" s="345"/>
      <c r="GO188" s="73"/>
      <c r="GP188" s="25"/>
      <c r="GQ188" s="73"/>
      <c r="GR188" s="73"/>
      <c r="GS188" s="345"/>
      <c r="GT188" s="73"/>
      <c r="GU188" s="25"/>
      <c r="GV188" s="73"/>
      <c r="GW188" s="73"/>
      <c r="GX188" s="345"/>
      <c r="GY188" s="73"/>
      <c r="GZ188" s="25"/>
      <c r="HA188" s="73"/>
      <c r="HB188" s="73"/>
      <c r="HC188" s="345"/>
      <c r="HD188" s="73"/>
      <c r="HE188" s="25"/>
      <c r="HF188" s="73"/>
      <c r="HG188" s="73"/>
      <c r="HH188" s="345"/>
      <c r="HI188" s="73"/>
      <c r="HJ188" s="25"/>
      <c r="HK188" s="73"/>
      <c r="HL188" s="73"/>
      <c r="HM188" s="345"/>
      <c r="HN188" s="73"/>
      <c r="HO188" s="25"/>
      <c r="HP188" s="73"/>
      <c r="HQ188" s="73"/>
      <c r="HR188" s="345"/>
      <c r="HS188" s="73"/>
      <c r="HT188" s="25"/>
      <c r="HU188" s="73"/>
      <c r="HV188" s="73"/>
      <c r="HW188" s="345"/>
      <c r="HX188" s="73"/>
      <c r="HY188" s="25"/>
      <c r="HZ188" s="73"/>
      <c r="IA188" s="73"/>
      <c r="IB188" s="345"/>
      <c r="IC188" s="73"/>
      <c r="ID188" s="25"/>
      <c r="IE188" s="73"/>
      <c r="IF188" s="73"/>
      <c r="IG188" s="345"/>
      <c r="IH188" s="73"/>
      <c r="II188" s="25"/>
      <c r="IJ188" s="73"/>
      <c r="IK188" s="73"/>
      <c r="IL188" s="345"/>
      <c r="IM188" s="73"/>
      <c r="IN188" s="25"/>
      <c r="IO188" s="73"/>
      <c r="IP188" s="73"/>
      <c r="IQ188" s="345"/>
      <c r="IR188" s="73"/>
      <c r="IS188" s="25"/>
      <c r="IT188" s="73"/>
      <c r="IU188" s="73"/>
      <c r="IV188" s="345"/>
    </row>
    <row r="189" spans="1:256" x14ac:dyDescent="0.2">
      <c r="A189" s="345">
        <v>33269</v>
      </c>
      <c r="B189" s="73"/>
      <c r="C189" s="25"/>
      <c r="D189" s="73"/>
      <c r="E189" s="73"/>
      <c r="F189" s="345"/>
      <c r="G189" s="73"/>
      <c r="H189" s="25"/>
      <c r="I189" s="73"/>
      <c r="J189" s="73"/>
      <c r="K189" s="345"/>
      <c r="L189" s="73"/>
      <c r="M189" s="25"/>
      <c r="N189" s="73"/>
      <c r="O189" s="73"/>
      <c r="P189" s="345"/>
      <c r="Q189" s="73"/>
      <c r="R189" s="25"/>
      <c r="S189" s="73"/>
      <c r="T189" s="73"/>
      <c r="U189" s="345"/>
      <c r="V189" s="73"/>
      <c r="W189" s="25"/>
      <c r="X189" s="73"/>
      <c r="Y189" s="73"/>
      <c r="Z189" s="345"/>
      <c r="AA189" s="73"/>
      <c r="AB189" s="25"/>
      <c r="AC189" s="73"/>
      <c r="AD189" s="73"/>
      <c r="AE189" s="345"/>
      <c r="AF189" s="73"/>
      <c r="AG189" s="25"/>
      <c r="AH189" s="73"/>
      <c r="AI189" s="73"/>
      <c r="AJ189" s="345"/>
      <c r="AK189" s="73"/>
      <c r="AL189" s="25"/>
      <c r="AM189" s="73"/>
      <c r="AN189" s="73"/>
      <c r="AO189" s="345"/>
      <c r="AP189" s="73"/>
      <c r="AQ189" s="25"/>
      <c r="AR189" s="73"/>
      <c r="AS189" s="73"/>
      <c r="AT189" s="345"/>
      <c r="AU189" s="73"/>
      <c r="AV189" s="25"/>
      <c r="AW189" s="73"/>
      <c r="AX189" s="73"/>
      <c r="AY189" s="345"/>
      <c r="AZ189" s="73"/>
      <c r="BA189" s="25"/>
      <c r="BB189" s="73"/>
      <c r="BC189" s="73"/>
      <c r="BD189" s="345"/>
      <c r="BE189" s="73"/>
      <c r="BF189" s="25"/>
      <c r="BG189" s="73"/>
      <c r="BH189" s="73"/>
      <c r="BI189" s="345"/>
      <c r="BJ189" s="73"/>
      <c r="BK189" s="25"/>
      <c r="BL189" s="73"/>
      <c r="BM189" s="73"/>
      <c r="BN189" s="345"/>
      <c r="BO189" s="73"/>
      <c r="BP189" s="25"/>
      <c r="BQ189" s="73"/>
      <c r="BR189" s="73"/>
      <c r="BS189" s="345"/>
      <c r="BT189" s="73"/>
      <c r="BU189" s="25"/>
      <c r="BV189" s="73"/>
      <c r="BW189" s="73"/>
      <c r="BX189" s="345"/>
      <c r="BY189" s="73"/>
      <c r="BZ189" s="25"/>
      <c r="CA189" s="73"/>
      <c r="CB189" s="73"/>
      <c r="CC189" s="345"/>
      <c r="CD189" s="73"/>
      <c r="CE189" s="25"/>
      <c r="CF189" s="73"/>
      <c r="CG189" s="73"/>
      <c r="CH189" s="345"/>
      <c r="CI189" s="73"/>
      <c r="CJ189" s="25"/>
      <c r="CK189" s="73"/>
      <c r="CL189" s="73"/>
      <c r="CM189" s="345"/>
      <c r="CN189" s="73"/>
      <c r="CO189" s="25"/>
      <c r="CP189" s="73"/>
      <c r="CQ189" s="73"/>
      <c r="CR189" s="345"/>
      <c r="CS189" s="73"/>
      <c r="CT189" s="25"/>
      <c r="CU189" s="73"/>
      <c r="CV189" s="73"/>
      <c r="CW189" s="345"/>
      <c r="CX189" s="73"/>
      <c r="CY189" s="25"/>
      <c r="CZ189" s="73"/>
      <c r="DA189" s="73"/>
      <c r="DB189" s="345"/>
      <c r="DC189" s="73"/>
      <c r="DD189" s="25"/>
      <c r="DE189" s="73"/>
      <c r="DF189" s="73"/>
      <c r="DG189" s="345"/>
      <c r="DH189" s="73"/>
      <c r="DI189" s="25"/>
      <c r="DJ189" s="73"/>
      <c r="DK189" s="73"/>
      <c r="DL189" s="345"/>
      <c r="DM189" s="73"/>
      <c r="DN189" s="25"/>
      <c r="DO189" s="73"/>
      <c r="DP189" s="73"/>
      <c r="DQ189" s="345"/>
      <c r="DR189" s="73"/>
      <c r="DS189" s="25"/>
      <c r="DT189" s="73"/>
      <c r="DU189" s="73"/>
      <c r="DV189" s="345"/>
      <c r="DW189" s="73"/>
      <c r="DX189" s="25"/>
      <c r="DY189" s="73"/>
      <c r="DZ189" s="73"/>
      <c r="EA189" s="345"/>
      <c r="EB189" s="73"/>
      <c r="EC189" s="25"/>
      <c r="ED189" s="73"/>
      <c r="EE189" s="73"/>
      <c r="EF189" s="345"/>
      <c r="EG189" s="73"/>
      <c r="EH189" s="25"/>
      <c r="EI189" s="73"/>
      <c r="EJ189" s="73"/>
      <c r="EK189" s="345"/>
      <c r="EL189" s="73"/>
      <c r="EM189" s="25"/>
      <c r="EN189" s="73"/>
      <c r="EO189" s="73"/>
      <c r="EP189" s="345"/>
      <c r="EQ189" s="73"/>
      <c r="ER189" s="25"/>
      <c r="ES189" s="73"/>
      <c r="ET189" s="73"/>
      <c r="EU189" s="345"/>
      <c r="EV189" s="73"/>
      <c r="EW189" s="25"/>
      <c r="EX189" s="73"/>
      <c r="EY189" s="73"/>
      <c r="EZ189" s="345"/>
      <c r="FA189" s="73"/>
      <c r="FB189" s="25"/>
      <c r="FC189" s="73"/>
      <c r="FD189" s="73"/>
      <c r="FE189" s="345"/>
      <c r="FF189" s="73"/>
      <c r="FG189" s="25"/>
      <c r="FH189" s="73"/>
      <c r="FI189" s="73"/>
      <c r="FJ189" s="345"/>
      <c r="FK189" s="73"/>
      <c r="FL189" s="25"/>
      <c r="FM189" s="73"/>
      <c r="FN189" s="73"/>
      <c r="FO189" s="345"/>
      <c r="FP189" s="73"/>
      <c r="FQ189" s="25"/>
      <c r="FR189" s="73"/>
      <c r="FS189" s="73"/>
      <c r="FT189" s="345"/>
      <c r="FU189" s="73"/>
      <c r="FV189" s="25"/>
      <c r="FW189" s="73"/>
      <c r="FX189" s="73"/>
      <c r="FY189" s="345"/>
      <c r="FZ189" s="73"/>
      <c r="GA189" s="25"/>
      <c r="GB189" s="73"/>
      <c r="GC189" s="73"/>
      <c r="GD189" s="345"/>
      <c r="GE189" s="73"/>
      <c r="GF189" s="25"/>
      <c r="GG189" s="73"/>
      <c r="GH189" s="73"/>
      <c r="GI189" s="345"/>
      <c r="GJ189" s="73"/>
      <c r="GK189" s="25"/>
      <c r="GL189" s="73"/>
      <c r="GM189" s="73"/>
      <c r="GN189" s="345"/>
      <c r="GO189" s="73"/>
      <c r="GP189" s="25"/>
      <c r="GQ189" s="73"/>
      <c r="GR189" s="73"/>
      <c r="GS189" s="345"/>
      <c r="GT189" s="73"/>
      <c r="GU189" s="25"/>
      <c r="GV189" s="73"/>
      <c r="GW189" s="73"/>
      <c r="GX189" s="345"/>
      <c r="GY189" s="73"/>
      <c r="GZ189" s="25"/>
      <c r="HA189" s="73"/>
      <c r="HB189" s="73"/>
      <c r="HC189" s="345"/>
      <c r="HD189" s="73"/>
      <c r="HE189" s="25"/>
      <c r="HF189" s="73"/>
      <c r="HG189" s="73"/>
      <c r="HH189" s="345"/>
      <c r="HI189" s="73"/>
      <c r="HJ189" s="25"/>
      <c r="HK189" s="73"/>
      <c r="HL189" s="73"/>
      <c r="HM189" s="345"/>
      <c r="HN189" s="73"/>
      <c r="HO189" s="25"/>
      <c r="HP189" s="73"/>
      <c r="HQ189" s="73"/>
      <c r="HR189" s="345"/>
      <c r="HS189" s="73"/>
      <c r="HT189" s="25"/>
      <c r="HU189" s="73"/>
      <c r="HV189" s="73"/>
      <c r="HW189" s="345"/>
      <c r="HX189" s="73"/>
      <c r="HY189" s="25"/>
      <c r="HZ189" s="73"/>
      <c r="IA189" s="73"/>
      <c r="IB189" s="345"/>
      <c r="IC189" s="73"/>
      <c r="ID189" s="25"/>
      <c r="IE189" s="73"/>
      <c r="IF189" s="73"/>
      <c r="IG189" s="345"/>
      <c r="IH189" s="73"/>
      <c r="II189" s="25"/>
      <c r="IJ189" s="73"/>
      <c r="IK189" s="73"/>
      <c r="IL189" s="345"/>
      <c r="IM189" s="73"/>
      <c r="IN189" s="25"/>
      <c r="IO189" s="73"/>
      <c r="IP189" s="73"/>
      <c r="IQ189" s="345"/>
      <c r="IR189" s="73"/>
      <c r="IS189" s="25"/>
      <c r="IT189" s="73"/>
      <c r="IU189" s="73"/>
      <c r="IV189" s="345"/>
    </row>
    <row r="190" spans="1:256" x14ac:dyDescent="0.2">
      <c r="A190" s="345">
        <v>33297</v>
      </c>
      <c r="B190" s="73"/>
      <c r="C190" s="25"/>
      <c r="D190" s="73"/>
      <c r="E190" s="73"/>
      <c r="F190" s="345"/>
      <c r="G190" s="73"/>
      <c r="H190" s="25"/>
      <c r="I190" s="73"/>
      <c r="J190" s="73"/>
      <c r="K190" s="345"/>
      <c r="L190" s="73"/>
      <c r="M190" s="25"/>
      <c r="N190" s="73"/>
      <c r="O190" s="73"/>
      <c r="P190" s="345"/>
      <c r="Q190" s="73"/>
      <c r="R190" s="25"/>
      <c r="S190" s="73"/>
      <c r="T190" s="73"/>
      <c r="U190" s="345"/>
      <c r="V190" s="73"/>
      <c r="W190" s="25"/>
      <c r="X190" s="73"/>
      <c r="Y190" s="73"/>
      <c r="Z190" s="345"/>
      <c r="AA190" s="73"/>
      <c r="AB190" s="25"/>
      <c r="AC190" s="73"/>
      <c r="AD190" s="73"/>
      <c r="AE190" s="345"/>
      <c r="AF190" s="73"/>
      <c r="AG190" s="25"/>
      <c r="AH190" s="73"/>
      <c r="AI190" s="73"/>
      <c r="AJ190" s="345"/>
      <c r="AK190" s="73"/>
      <c r="AL190" s="25"/>
      <c r="AM190" s="73"/>
      <c r="AN190" s="73"/>
      <c r="AO190" s="345"/>
      <c r="AP190" s="73"/>
      <c r="AQ190" s="25"/>
      <c r="AR190" s="73"/>
      <c r="AS190" s="73"/>
      <c r="AT190" s="345"/>
      <c r="AU190" s="73"/>
      <c r="AV190" s="25"/>
      <c r="AW190" s="73"/>
      <c r="AX190" s="73"/>
      <c r="AY190" s="345"/>
      <c r="AZ190" s="73"/>
      <c r="BA190" s="25"/>
      <c r="BB190" s="73"/>
      <c r="BC190" s="73"/>
      <c r="BD190" s="345"/>
      <c r="BE190" s="73"/>
      <c r="BF190" s="25"/>
      <c r="BG190" s="73"/>
      <c r="BH190" s="73"/>
      <c r="BI190" s="345"/>
      <c r="BJ190" s="73"/>
      <c r="BK190" s="25"/>
      <c r="BL190" s="73"/>
      <c r="BM190" s="73"/>
      <c r="BN190" s="345"/>
      <c r="BO190" s="73"/>
      <c r="BP190" s="25"/>
      <c r="BQ190" s="73"/>
      <c r="BR190" s="73"/>
      <c r="BS190" s="345"/>
      <c r="BT190" s="73"/>
      <c r="BU190" s="25"/>
      <c r="BV190" s="73"/>
      <c r="BW190" s="73"/>
      <c r="BX190" s="345"/>
      <c r="BY190" s="73"/>
      <c r="BZ190" s="25"/>
      <c r="CA190" s="73"/>
      <c r="CB190" s="73"/>
      <c r="CC190" s="345"/>
      <c r="CD190" s="73"/>
      <c r="CE190" s="25"/>
      <c r="CF190" s="73"/>
      <c r="CG190" s="73"/>
      <c r="CH190" s="345"/>
      <c r="CI190" s="73"/>
      <c r="CJ190" s="25"/>
      <c r="CK190" s="73"/>
      <c r="CL190" s="73"/>
      <c r="CM190" s="345"/>
      <c r="CN190" s="73"/>
      <c r="CO190" s="25"/>
      <c r="CP190" s="73"/>
      <c r="CQ190" s="73"/>
      <c r="CR190" s="345"/>
      <c r="CS190" s="73"/>
      <c r="CT190" s="25"/>
      <c r="CU190" s="73"/>
      <c r="CV190" s="73"/>
      <c r="CW190" s="345"/>
      <c r="CX190" s="73"/>
      <c r="CY190" s="25"/>
      <c r="CZ190" s="73"/>
      <c r="DA190" s="73"/>
      <c r="DB190" s="345"/>
      <c r="DC190" s="73"/>
      <c r="DD190" s="25"/>
      <c r="DE190" s="73"/>
      <c r="DF190" s="73"/>
      <c r="DG190" s="345"/>
      <c r="DH190" s="73"/>
      <c r="DI190" s="25"/>
      <c r="DJ190" s="73"/>
      <c r="DK190" s="73"/>
      <c r="DL190" s="345"/>
      <c r="DM190" s="73"/>
      <c r="DN190" s="25"/>
      <c r="DO190" s="73"/>
      <c r="DP190" s="73"/>
      <c r="DQ190" s="345"/>
      <c r="DR190" s="73"/>
      <c r="DS190" s="25"/>
      <c r="DT190" s="73"/>
      <c r="DU190" s="73"/>
      <c r="DV190" s="345"/>
      <c r="DW190" s="73"/>
      <c r="DX190" s="25"/>
      <c r="DY190" s="73"/>
      <c r="DZ190" s="73"/>
      <c r="EA190" s="345"/>
      <c r="EB190" s="73"/>
      <c r="EC190" s="25"/>
      <c r="ED190" s="73"/>
      <c r="EE190" s="73"/>
      <c r="EF190" s="345"/>
      <c r="EG190" s="73"/>
      <c r="EH190" s="25"/>
      <c r="EI190" s="73"/>
      <c r="EJ190" s="73"/>
      <c r="EK190" s="345"/>
      <c r="EL190" s="73"/>
      <c r="EM190" s="25"/>
      <c r="EN190" s="73"/>
      <c r="EO190" s="73"/>
      <c r="EP190" s="345"/>
      <c r="EQ190" s="73"/>
      <c r="ER190" s="25"/>
      <c r="ES190" s="73"/>
      <c r="ET190" s="73"/>
      <c r="EU190" s="345"/>
      <c r="EV190" s="73"/>
      <c r="EW190" s="25"/>
      <c r="EX190" s="73"/>
      <c r="EY190" s="73"/>
      <c r="EZ190" s="345"/>
      <c r="FA190" s="73"/>
      <c r="FB190" s="25"/>
      <c r="FC190" s="73"/>
      <c r="FD190" s="73"/>
      <c r="FE190" s="345"/>
      <c r="FF190" s="73"/>
      <c r="FG190" s="25"/>
      <c r="FH190" s="73"/>
      <c r="FI190" s="73"/>
      <c r="FJ190" s="345"/>
      <c r="FK190" s="73"/>
      <c r="FL190" s="25"/>
      <c r="FM190" s="73"/>
      <c r="FN190" s="73"/>
      <c r="FO190" s="345"/>
      <c r="FP190" s="73"/>
      <c r="FQ190" s="25"/>
      <c r="FR190" s="73"/>
      <c r="FS190" s="73"/>
      <c r="FT190" s="345"/>
      <c r="FU190" s="73"/>
      <c r="FV190" s="25"/>
      <c r="FW190" s="73"/>
      <c r="FX190" s="73"/>
      <c r="FY190" s="345"/>
      <c r="FZ190" s="73"/>
      <c r="GA190" s="25"/>
      <c r="GB190" s="73"/>
      <c r="GC190" s="73"/>
      <c r="GD190" s="345"/>
      <c r="GE190" s="73"/>
      <c r="GF190" s="25"/>
      <c r="GG190" s="73"/>
      <c r="GH190" s="73"/>
      <c r="GI190" s="345"/>
      <c r="GJ190" s="73"/>
      <c r="GK190" s="25"/>
      <c r="GL190" s="73"/>
      <c r="GM190" s="73"/>
      <c r="GN190" s="345"/>
      <c r="GO190" s="73"/>
      <c r="GP190" s="25"/>
      <c r="GQ190" s="73"/>
      <c r="GR190" s="73"/>
      <c r="GS190" s="345"/>
      <c r="GT190" s="73"/>
      <c r="GU190" s="25"/>
      <c r="GV190" s="73"/>
      <c r="GW190" s="73"/>
      <c r="GX190" s="345"/>
      <c r="GY190" s="73"/>
      <c r="GZ190" s="25"/>
      <c r="HA190" s="73"/>
      <c r="HB190" s="73"/>
      <c r="HC190" s="345"/>
      <c r="HD190" s="73"/>
      <c r="HE190" s="25"/>
      <c r="HF190" s="73"/>
      <c r="HG190" s="73"/>
      <c r="HH190" s="345"/>
      <c r="HI190" s="73"/>
      <c r="HJ190" s="25"/>
      <c r="HK190" s="73"/>
      <c r="HL190" s="73"/>
      <c r="HM190" s="345"/>
      <c r="HN190" s="73"/>
      <c r="HO190" s="25"/>
      <c r="HP190" s="73"/>
      <c r="HQ190" s="73"/>
      <c r="HR190" s="345"/>
      <c r="HS190" s="73"/>
      <c r="HT190" s="25"/>
      <c r="HU190" s="73"/>
      <c r="HV190" s="73"/>
      <c r="HW190" s="345"/>
      <c r="HX190" s="73"/>
      <c r="HY190" s="25"/>
      <c r="HZ190" s="73"/>
      <c r="IA190" s="73"/>
      <c r="IB190" s="345"/>
      <c r="IC190" s="73"/>
      <c r="ID190" s="25"/>
      <c r="IE190" s="73"/>
      <c r="IF190" s="73"/>
      <c r="IG190" s="345"/>
      <c r="IH190" s="73"/>
      <c r="II190" s="25"/>
      <c r="IJ190" s="73"/>
      <c r="IK190" s="73"/>
      <c r="IL190" s="345"/>
      <c r="IM190" s="73"/>
      <c r="IN190" s="25"/>
      <c r="IO190" s="73"/>
      <c r="IP190" s="73"/>
      <c r="IQ190" s="345"/>
      <c r="IR190" s="73"/>
      <c r="IS190" s="25"/>
      <c r="IT190" s="73"/>
      <c r="IU190" s="73"/>
      <c r="IV190" s="345"/>
    </row>
    <row r="191" spans="1:256" x14ac:dyDescent="0.2">
      <c r="A191" s="345">
        <v>33328</v>
      </c>
      <c r="B191" s="73"/>
      <c r="C191" s="25"/>
      <c r="D191" s="73"/>
      <c r="E191" s="73"/>
      <c r="F191" s="345"/>
      <c r="G191" s="73"/>
      <c r="H191" s="25"/>
      <c r="I191" s="73"/>
      <c r="J191" s="73"/>
      <c r="K191" s="345"/>
      <c r="L191" s="73"/>
      <c r="M191" s="25"/>
      <c r="N191" s="73"/>
      <c r="O191" s="73"/>
      <c r="P191" s="345"/>
      <c r="Q191" s="73"/>
      <c r="R191" s="25"/>
      <c r="S191" s="73"/>
      <c r="T191" s="73"/>
      <c r="U191" s="345"/>
      <c r="V191" s="73"/>
      <c r="W191" s="25"/>
      <c r="X191" s="73"/>
      <c r="Y191" s="73"/>
      <c r="Z191" s="345"/>
      <c r="AA191" s="73"/>
      <c r="AB191" s="25"/>
      <c r="AC191" s="73"/>
      <c r="AD191" s="73"/>
      <c r="AE191" s="345"/>
      <c r="AF191" s="73"/>
      <c r="AG191" s="25"/>
      <c r="AH191" s="73"/>
      <c r="AI191" s="73"/>
      <c r="AJ191" s="345"/>
      <c r="AK191" s="73"/>
      <c r="AL191" s="25"/>
      <c r="AM191" s="73"/>
      <c r="AN191" s="73"/>
      <c r="AO191" s="345"/>
      <c r="AP191" s="73"/>
      <c r="AQ191" s="25"/>
      <c r="AR191" s="73"/>
      <c r="AS191" s="73"/>
      <c r="AT191" s="345"/>
      <c r="AU191" s="73"/>
      <c r="AV191" s="25"/>
      <c r="AW191" s="73"/>
      <c r="AX191" s="73"/>
      <c r="AY191" s="345"/>
      <c r="AZ191" s="73"/>
      <c r="BA191" s="25"/>
      <c r="BB191" s="73"/>
      <c r="BC191" s="73"/>
      <c r="BD191" s="345"/>
      <c r="BE191" s="73"/>
      <c r="BF191" s="25"/>
      <c r="BG191" s="73"/>
      <c r="BH191" s="73"/>
      <c r="BI191" s="345"/>
      <c r="BJ191" s="73"/>
      <c r="BK191" s="25"/>
      <c r="BL191" s="73"/>
      <c r="BM191" s="73"/>
      <c r="BN191" s="345"/>
      <c r="BO191" s="73"/>
      <c r="BP191" s="25"/>
      <c r="BQ191" s="73"/>
      <c r="BR191" s="73"/>
      <c r="BS191" s="345"/>
      <c r="BT191" s="73"/>
      <c r="BU191" s="25"/>
      <c r="BV191" s="73"/>
      <c r="BW191" s="73"/>
      <c r="BX191" s="345"/>
      <c r="BY191" s="73"/>
      <c r="BZ191" s="25"/>
      <c r="CA191" s="73"/>
      <c r="CB191" s="73"/>
      <c r="CC191" s="345"/>
      <c r="CD191" s="73"/>
      <c r="CE191" s="25"/>
      <c r="CF191" s="73"/>
      <c r="CG191" s="73"/>
      <c r="CH191" s="345"/>
      <c r="CI191" s="73"/>
      <c r="CJ191" s="25"/>
      <c r="CK191" s="73"/>
      <c r="CL191" s="73"/>
      <c r="CM191" s="345"/>
      <c r="CN191" s="73"/>
      <c r="CO191" s="25"/>
      <c r="CP191" s="73"/>
      <c r="CQ191" s="73"/>
      <c r="CR191" s="345"/>
      <c r="CS191" s="73"/>
      <c r="CT191" s="25"/>
      <c r="CU191" s="73"/>
      <c r="CV191" s="73"/>
      <c r="CW191" s="345"/>
      <c r="CX191" s="73"/>
      <c r="CY191" s="25"/>
      <c r="CZ191" s="73"/>
      <c r="DA191" s="73"/>
      <c r="DB191" s="345"/>
      <c r="DC191" s="73"/>
      <c r="DD191" s="25"/>
      <c r="DE191" s="73"/>
      <c r="DF191" s="73"/>
      <c r="DG191" s="345"/>
      <c r="DH191" s="73"/>
      <c r="DI191" s="25"/>
      <c r="DJ191" s="73"/>
      <c r="DK191" s="73"/>
      <c r="DL191" s="345"/>
      <c r="DM191" s="73"/>
      <c r="DN191" s="25"/>
      <c r="DO191" s="73"/>
      <c r="DP191" s="73"/>
      <c r="DQ191" s="345"/>
      <c r="DR191" s="73"/>
      <c r="DS191" s="25"/>
      <c r="DT191" s="73"/>
      <c r="DU191" s="73"/>
      <c r="DV191" s="345"/>
      <c r="DW191" s="73"/>
      <c r="DX191" s="25"/>
      <c r="DY191" s="73"/>
      <c r="DZ191" s="73"/>
      <c r="EA191" s="345"/>
      <c r="EB191" s="73"/>
      <c r="EC191" s="25"/>
      <c r="ED191" s="73"/>
      <c r="EE191" s="73"/>
      <c r="EF191" s="345"/>
      <c r="EG191" s="73"/>
      <c r="EH191" s="25"/>
      <c r="EI191" s="73"/>
      <c r="EJ191" s="73"/>
      <c r="EK191" s="345"/>
      <c r="EL191" s="73"/>
      <c r="EM191" s="25"/>
      <c r="EN191" s="73"/>
      <c r="EO191" s="73"/>
      <c r="EP191" s="345"/>
      <c r="EQ191" s="73"/>
      <c r="ER191" s="25"/>
      <c r="ES191" s="73"/>
      <c r="ET191" s="73"/>
      <c r="EU191" s="345"/>
      <c r="EV191" s="73"/>
      <c r="EW191" s="25"/>
      <c r="EX191" s="73"/>
      <c r="EY191" s="73"/>
      <c r="EZ191" s="345"/>
      <c r="FA191" s="73"/>
      <c r="FB191" s="25"/>
      <c r="FC191" s="73"/>
      <c r="FD191" s="73"/>
      <c r="FE191" s="345"/>
      <c r="FF191" s="73"/>
      <c r="FG191" s="25"/>
      <c r="FH191" s="73"/>
      <c r="FI191" s="73"/>
      <c r="FJ191" s="345"/>
      <c r="FK191" s="73"/>
      <c r="FL191" s="25"/>
      <c r="FM191" s="73"/>
      <c r="FN191" s="73"/>
      <c r="FO191" s="345"/>
      <c r="FP191" s="73"/>
      <c r="FQ191" s="25"/>
      <c r="FR191" s="73"/>
      <c r="FS191" s="73"/>
      <c r="FT191" s="345"/>
      <c r="FU191" s="73"/>
      <c r="FV191" s="25"/>
      <c r="FW191" s="73"/>
      <c r="FX191" s="73"/>
      <c r="FY191" s="345"/>
      <c r="FZ191" s="73"/>
      <c r="GA191" s="25"/>
      <c r="GB191" s="73"/>
      <c r="GC191" s="73"/>
      <c r="GD191" s="345"/>
      <c r="GE191" s="73"/>
      <c r="GF191" s="25"/>
      <c r="GG191" s="73"/>
      <c r="GH191" s="73"/>
      <c r="GI191" s="345"/>
      <c r="GJ191" s="73"/>
      <c r="GK191" s="25"/>
      <c r="GL191" s="73"/>
      <c r="GM191" s="73"/>
      <c r="GN191" s="345"/>
      <c r="GO191" s="73"/>
      <c r="GP191" s="25"/>
      <c r="GQ191" s="73"/>
      <c r="GR191" s="73"/>
      <c r="GS191" s="345"/>
      <c r="GT191" s="73"/>
      <c r="GU191" s="25"/>
      <c r="GV191" s="73"/>
      <c r="GW191" s="73"/>
      <c r="GX191" s="345"/>
      <c r="GY191" s="73"/>
      <c r="GZ191" s="25"/>
      <c r="HA191" s="73"/>
      <c r="HB191" s="73"/>
      <c r="HC191" s="345"/>
      <c r="HD191" s="73"/>
      <c r="HE191" s="25"/>
      <c r="HF191" s="73"/>
      <c r="HG191" s="73"/>
      <c r="HH191" s="345"/>
      <c r="HI191" s="73"/>
      <c r="HJ191" s="25"/>
      <c r="HK191" s="73"/>
      <c r="HL191" s="73"/>
      <c r="HM191" s="345"/>
      <c r="HN191" s="73"/>
      <c r="HO191" s="25"/>
      <c r="HP191" s="73"/>
      <c r="HQ191" s="73"/>
      <c r="HR191" s="345"/>
      <c r="HS191" s="73"/>
      <c r="HT191" s="25"/>
      <c r="HU191" s="73"/>
      <c r="HV191" s="73"/>
      <c r="HW191" s="345"/>
      <c r="HX191" s="73"/>
      <c r="HY191" s="25"/>
      <c r="HZ191" s="73"/>
      <c r="IA191" s="73"/>
      <c r="IB191" s="345"/>
      <c r="IC191" s="73"/>
      <c r="ID191" s="25"/>
      <c r="IE191" s="73"/>
      <c r="IF191" s="73"/>
      <c r="IG191" s="345"/>
      <c r="IH191" s="73"/>
      <c r="II191" s="25"/>
      <c r="IJ191" s="73"/>
      <c r="IK191" s="73"/>
      <c r="IL191" s="345"/>
      <c r="IM191" s="73"/>
      <c r="IN191" s="25"/>
      <c r="IO191" s="73"/>
      <c r="IP191" s="73"/>
      <c r="IQ191" s="345"/>
      <c r="IR191" s="73"/>
      <c r="IS191" s="25"/>
      <c r="IT191" s="73"/>
      <c r="IU191" s="73"/>
      <c r="IV191" s="345"/>
    </row>
    <row r="192" spans="1:256" x14ac:dyDescent="0.2">
      <c r="A192" s="345">
        <v>33358</v>
      </c>
      <c r="B192" s="73"/>
      <c r="C192" s="25"/>
      <c r="D192" s="73"/>
      <c r="E192" s="73"/>
      <c r="F192" s="345"/>
      <c r="G192" s="73"/>
      <c r="H192" s="25"/>
      <c r="I192" s="73"/>
      <c r="J192" s="73"/>
      <c r="K192" s="345"/>
      <c r="L192" s="73"/>
      <c r="M192" s="25"/>
      <c r="N192" s="73"/>
      <c r="O192" s="73"/>
      <c r="P192" s="345"/>
      <c r="Q192" s="73"/>
      <c r="R192" s="25"/>
      <c r="S192" s="73"/>
      <c r="T192" s="73"/>
      <c r="U192" s="345"/>
      <c r="V192" s="73"/>
      <c r="W192" s="25"/>
      <c r="X192" s="73"/>
      <c r="Y192" s="73"/>
      <c r="Z192" s="345"/>
      <c r="AA192" s="73"/>
      <c r="AB192" s="25"/>
      <c r="AC192" s="73"/>
      <c r="AD192" s="73"/>
      <c r="AE192" s="345"/>
      <c r="AF192" s="73"/>
      <c r="AG192" s="25"/>
      <c r="AH192" s="73"/>
      <c r="AI192" s="73"/>
      <c r="AJ192" s="345"/>
      <c r="AK192" s="73"/>
      <c r="AL192" s="25"/>
      <c r="AM192" s="73"/>
      <c r="AN192" s="73"/>
      <c r="AO192" s="345"/>
      <c r="AP192" s="73"/>
      <c r="AQ192" s="25"/>
      <c r="AR192" s="73"/>
      <c r="AS192" s="73"/>
      <c r="AT192" s="345"/>
      <c r="AU192" s="73"/>
      <c r="AV192" s="25"/>
      <c r="AW192" s="73"/>
      <c r="AX192" s="73"/>
      <c r="AY192" s="345"/>
      <c r="AZ192" s="73"/>
      <c r="BA192" s="25"/>
      <c r="BB192" s="73"/>
      <c r="BC192" s="73"/>
      <c r="BD192" s="345"/>
      <c r="BE192" s="73"/>
      <c r="BF192" s="25"/>
      <c r="BG192" s="73"/>
      <c r="BH192" s="73"/>
      <c r="BI192" s="345"/>
      <c r="BJ192" s="73"/>
      <c r="BK192" s="25"/>
      <c r="BL192" s="73"/>
      <c r="BM192" s="73"/>
      <c r="BN192" s="345"/>
      <c r="BO192" s="73"/>
      <c r="BP192" s="25"/>
      <c r="BQ192" s="73"/>
      <c r="BR192" s="73"/>
      <c r="BS192" s="345"/>
      <c r="BT192" s="73"/>
      <c r="BU192" s="25"/>
      <c r="BV192" s="73"/>
      <c r="BW192" s="73"/>
      <c r="BX192" s="345"/>
      <c r="BY192" s="73"/>
      <c r="BZ192" s="25"/>
      <c r="CA192" s="73"/>
      <c r="CB192" s="73"/>
      <c r="CC192" s="345"/>
      <c r="CD192" s="73"/>
      <c r="CE192" s="25"/>
      <c r="CF192" s="73"/>
      <c r="CG192" s="73"/>
      <c r="CH192" s="345"/>
      <c r="CI192" s="73"/>
      <c r="CJ192" s="25"/>
      <c r="CK192" s="73"/>
      <c r="CL192" s="73"/>
      <c r="CM192" s="345"/>
      <c r="CN192" s="73"/>
      <c r="CO192" s="25"/>
      <c r="CP192" s="73"/>
      <c r="CQ192" s="73"/>
      <c r="CR192" s="345"/>
      <c r="CS192" s="73"/>
      <c r="CT192" s="25"/>
      <c r="CU192" s="73"/>
      <c r="CV192" s="73"/>
      <c r="CW192" s="345"/>
      <c r="CX192" s="73"/>
      <c r="CY192" s="25"/>
      <c r="CZ192" s="73"/>
      <c r="DA192" s="73"/>
      <c r="DB192" s="345"/>
      <c r="DC192" s="73"/>
      <c r="DD192" s="25"/>
      <c r="DE192" s="73"/>
      <c r="DF192" s="73"/>
      <c r="DG192" s="345"/>
      <c r="DH192" s="73"/>
      <c r="DI192" s="25"/>
      <c r="DJ192" s="73"/>
      <c r="DK192" s="73"/>
      <c r="DL192" s="345"/>
      <c r="DM192" s="73"/>
      <c r="DN192" s="25"/>
      <c r="DO192" s="73"/>
      <c r="DP192" s="73"/>
      <c r="DQ192" s="345"/>
      <c r="DR192" s="73"/>
      <c r="DS192" s="25"/>
      <c r="DT192" s="73"/>
      <c r="DU192" s="73"/>
      <c r="DV192" s="345"/>
      <c r="DW192" s="73"/>
      <c r="DX192" s="25"/>
      <c r="DY192" s="73"/>
      <c r="DZ192" s="73"/>
      <c r="EA192" s="345"/>
      <c r="EB192" s="73"/>
      <c r="EC192" s="25"/>
      <c r="ED192" s="73"/>
      <c r="EE192" s="73"/>
      <c r="EF192" s="345"/>
      <c r="EG192" s="73"/>
      <c r="EH192" s="25"/>
      <c r="EI192" s="73"/>
      <c r="EJ192" s="73"/>
      <c r="EK192" s="345"/>
      <c r="EL192" s="73"/>
      <c r="EM192" s="25"/>
      <c r="EN192" s="73"/>
      <c r="EO192" s="73"/>
      <c r="EP192" s="345"/>
      <c r="EQ192" s="73"/>
      <c r="ER192" s="25"/>
      <c r="ES192" s="73"/>
      <c r="ET192" s="73"/>
      <c r="EU192" s="345"/>
      <c r="EV192" s="73"/>
      <c r="EW192" s="25"/>
      <c r="EX192" s="73"/>
      <c r="EY192" s="73"/>
      <c r="EZ192" s="345"/>
      <c r="FA192" s="73"/>
      <c r="FB192" s="25"/>
      <c r="FC192" s="73"/>
      <c r="FD192" s="73"/>
      <c r="FE192" s="345"/>
      <c r="FF192" s="73"/>
      <c r="FG192" s="25"/>
      <c r="FH192" s="73"/>
      <c r="FI192" s="73"/>
      <c r="FJ192" s="345"/>
      <c r="FK192" s="73"/>
      <c r="FL192" s="25"/>
      <c r="FM192" s="73"/>
      <c r="FN192" s="73"/>
      <c r="FO192" s="345"/>
      <c r="FP192" s="73"/>
      <c r="FQ192" s="25"/>
      <c r="FR192" s="73"/>
      <c r="FS192" s="73"/>
      <c r="FT192" s="345"/>
      <c r="FU192" s="73"/>
      <c r="FV192" s="25"/>
      <c r="FW192" s="73"/>
      <c r="FX192" s="73"/>
      <c r="FY192" s="345"/>
      <c r="FZ192" s="73"/>
      <c r="GA192" s="25"/>
      <c r="GB192" s="73"/>
      <c r="GC192" s="73"/>
      <c r="GD192" s="345"/>
      <c r="GE192" s="73"/>
      <c r="GF192" s="25"/>
      <c r="GG192" s="73"/>
      <c r="GH192" s="73"/>
      <c r="GI192" s="345"/>
      <c r="GJ192" s="73"/>
      <c r="GK192" s="25"/>
      <c r="GL192" s="73"/>
      <c r="GM192" s="73"/>
      <c r="GN192" s="345"/>
      <c r="GO192" s="73"/>
      <c r="GP192" s="25"/>
      <c r="GQ192" s="73"/>
      <c r="GR192" s="73"/>
      <c r="GS192" s="345"/>
      <c r="GT192" s="73"/>
      <c r="GU192" s="25"/>
      <c r="GV192" s="73"/>
      <c r="GW192" s="73"/>
      <c r="GX192" s="345"/>
      <c r="GY192" s="73"/>
      <c r="GZ192" s="25"/>
      <c r="HA192" s="73"/>
      <c r="HB192" s="73"/>
      <c r="HC192" s="345"/>
      <c r="HD192" s="73"/>
      <c r="HE192" s="25"/>
      <c r="HF192" s="73"/>
      <c r="HG192" s="73"/>
      <c r="HH192" s="345"/>
      <c r="HI192" s="73"/>
      <c r="HJ192" s="25"/>
      <c r="HK192" s="73"/>
      <c r="HL192" s="73"/>
      <c r="HM192" s="345"/>
      <c r="HN192" s="73"/>
      <c r="HO192" s="25"/>
      <c r="HP192" s="73"/>
      <c r="HQ192" s="73"/>
      <c r="HR192" s="345"/>
      <c r="HS192" s="73"/>
      <c r="HT192" s="25"/>
      <c r="HU192" s="73"/>
      <c r="HV192" s="73"/>
      <c r="HW192" s="345"/>
      <c r="HX192" s="73"/>
      <c r="HY192" s="25"/>
      <c r="HZ192" s="73"/>
      <c r="IA192" s="73"/>
      <c r="IB192" s="345"/>
      <c r="IC192" s="73"/>
      <c r="ID192" s="25"/>
      <c r="IE192" s="73"/>
      <c r="IF192" s="73"/>
      <c r="IG192" s="345"/>
      <c r="IH192" s="73"/>
      <c r="II192" s="25"/>
      <c r="IJ192" s="73"/>
      <c r="IK192" s="73"/>
      <c r="IL192" s="345"/>
      <c r="IM192" s="73"/>
      <c r="IN192" s="25"/>
      <c r="IO192" s="73"/>
      <c r="IP192" s="73"/>
      <c r="IQ192" s="345"/>
      <c r="IR192" s="73"/>
      <c r="IS192" s="25"/>
      <c r="IT192" s="73"/>
      <c r="IU192" s="73"/>
      <c r="IV192" s="345"/>
    </row>
    <row r="193" spans="1:256" x14ac:dyDescent="0.2">
      <c r="A193" s="345">
        <v>33389</v>
      </c>
      <c r="B193" s="73"/>
      <c r="C193" s="25"/>
      <c r="D193" s="73"/>
      <c r="E193" s="73"/>
      <c r="F193" s="345"/>
      <c r="G193" s="73"/>
      <c r="H193" s="25"/>
      <c r="I193" s="73"/>
      <c r="J193" s="73"/>
      <c r="K193" s="345"/>
      <c r="L193" s="73"/>
      <c r="M193" s="25"/>
      <c r="N193" s="73"/>
      <c r="O193" s="73"/>
      <c r="P193" s="345"/>
      <c r="Q193" s="73"/>
      <c r="R193" s="25"/>
      <c r="S193" s="73"/>
      <c r="T193" s="73"/>
      <c r="U193" s="345"/>
      <c r="V193" s="73"/>
      <c r="W193" s="25"/>
      <c r="X193" s="73"/>
      <c r="Y193" s="73"/>
      <c r="Z193" s="345"/>
      <c r="AA193" s="73"/>
      <c r="AB193" s="25"/>
      <c r="AC193" s="73"/>
      <c r="AD193" s="73"/>
      <c r="AE193" s="345"/>
      <c r="AF193" s="73"/>
      <c r="AG193" s="25"/>
      <c r="AH193" s="73"/>
      <c r="AI193" s="73"/>
      <c r="AJ193" s="345"/>
      <c r="AK193" s="73"/>
      <c r="AL193" s="25"/>
      <c r="AM193" s="73"/>
      <c r="AN193" s="73"/>
      <c r="AO193" s="345"/>
      <c r="AP193" s="73"/>
      <c r="AQ193" s="25"/>
      <c r="AR193" s="73"/>
      <c r="AS193" s="73"/>
      <c r="AT193" s="345"/>
      <c r="AU193" s="73"/>
      <c r="AV193" s="25"/>
      <c r="AW193" s="73"/>
      <c r="AX193" s="73"/>
      <c r="AY193" s="345"/>
      <c r="AZ193" s="73"/>
      <c r="BA193" s="25"/>
      <c r="BB193" s="73"/>
      <c r="BC193" s="73"/>
      <c r="BD193" s="345"/>
      <c r="BE193" s="73"/>
      <c r="BF193" s="25"/>
      <c r="BG193" s="73"/>
      <c r="BH193" s="73"/>
      <c r="BI193" s="345"/>
      <c r="BJ193" s="73"/>
      <c r="BK193" s="25"/>
      <c r="BL193" s="73"/>
      <c r="BM193" s="73"/>
      <c r="BN193" s="345"/>
      <c r="BO193" s="73"/>
      <c r="BP193" s="25"/>
      <c r="BQ193" s="73"/>
      <c r="BR193" s="73"/>
      <c r="BS193" s="345"/>
      <c r="BT193" s="73"/>
      <c r="BU193" s="25"/>
      <c r="BV193" s="73"/>
      <c r="BW193" s="73"/>
      <c r="BX193" s="345"/>
      <c r="BY193" s="73"/>
      <c r="BZ193" s="25"/>
      <c r="CA193" s="73"/>
      <c r="CB193" s="73"/>
      <c r="CC193" s="345"/>
      <c r="CD193" s="73"/>
      <c r="CE193" s="25"/>
      <c r="CF193" s="73"/>
      <c r="CG193" s="73"/>
      <c r="CH193" s="345"/>
      <c r="CI193" s="73"/>
      <c r="CJ193" s="25"/>
      <c r="CK193" s="73"/>
      <c r="CL193" s="73"/>
      <c r="CM193" s="345"/>
      <c r="CN193" s="73"/>
      <c r="CO193" s="25"/>
      <c r="CP193" s="73"/>
      <c r="CQ193" s="73"/>
      <c r="CR193" s="345"/>
      <c r="CS193" s="73"/>
      <c r="CT193" s="25"/>
      <c r="CU193" s="73"/>
      <c r="CV193" s="73"/>
      <c r="CW193" s="345"/>
      <c r="CX193" s="73"/>
      <c r="CY193" s="25"/>
      <c r="CZ193" s="73"/>
      <c r="DA193" s="73"/>
      <c r="DB193" s="345"/>
      <c r="DC193" s="73"/>
      <c r="DD193" s="25"/>
      <c r="DE193" s="73"/>
      <c r="DF193" s="73"/>
      <c r="DG193" s="345"/>
      <c r="DH193" s="73"/>
      <c r="DI193" s="25"/>
      <c r="DJ193" s="73"/>
      <c r="DK193" s="73"/>
      <c r="DL193" s="345"/>
      <c r="DM193" s="73"/>
      <c r="DN193" s="25"/>
      <c r="DO193" s="73"/>
      <c r="DP193" s="73"/>
      <c r="DQ193" s="345"/>
      <c r="DR193" s="73"/>
      <c r="DS193" s="25"/>
      <c r="DT193" s="73"/>
      <c r="DU193" s="73"/>
      <c r="DV193" s="345"/>
      <c r="DW193" s="73"/>
      <c r="DX193" s="25"/>
      <c r="DY193" s="73"/>
      <c r="DZ193" s="73"/>
      <c r="EA193" s="345"/>
      <c r="EB193" s="73"/>
      <c r="EC193" s="25"/>
      <c r="ED193" s="73"/>
      <c r="EE193" s="73"/>
      <c r="EF193" s="345"/>
      <c r="EG193" s="73"/>
      <c r="EH193" s="25"/>
      <c r="EI193" s="73"/>
      <c r="EJ193" s="73"/>
      <c r="EK193" s="345"/>
      <c r="EL193" s="73"/>
      <c r="EM193" s="25"/>
      <c r="EN193" s="73"/>
      <c r="EO193" s="73"/>
      <c r="EP193" s="345"/>
      <c r="EQ193" s="73"/>
      <c r="ER193" s="25"/>
      <c r="ES193" s="73"/>
      <c r="ET193" s="73"/>
      <c r="EU193" s="345"/>
      <c r="EV193" s="73"/>
      <c r="EW193" s="25"/>
      <c r="EX193" s="73"/>
      <c r="EY193" s="73"/>
      <c r="EZ193" s="345"/>
      <c r="FA193" s="73"/>
      <c r="FB193" s="25"/>
      <c r="FC193" s="73"/>
      <c r="FD193" s="73"/>
      <c r="FE193" s="345"/>
      <c r="FF193" s="73"/>
      <c r="FG193" s="25"/>
      <c r="FH193" s="73"/>
      <c r="FI193" s="73"/>
      <c r="FJ193" s="345"/>
      <c r="FK193" s="73"/>
      <c r="FL193" s="25"/>
      <c r="FM193" s="73"/>
      <c r="FN193" s="73"/>
      <c r="FO193" s="345"/>
      <c r="FP193" s="73"/>
      <c r="FQ193" s="25"/>
      <c r="FR193" s="73"/>
      <c r="FS193" s="73"/>
      <c r="FT193" s="345"/>
      <c r="FU193" s="73"/>
      <c r="FV193" s="25"/>
      <c r="FW193" s="73"/>
      <c r="FX193" s="73"/>
      <c r="FY193" s="345"/>
      <c r="FZ193" s="73"/>
      <c r="GA193" s="25"/>
      <c r="GB193" s="73"/>
      <c r="GC193" s="73"/>
      <c r="GD193" s="345"/>
      <c r="GE193" s="73"/>
      <c r="GF193" s="25"/>
      <c r="GG193" s="73"/>
      <c r="GH193" s="73"/>
      <c r="GI193" s="345"/>
      <c r="GJ193" s="73"/>
      <c r="GK193" s="25"/>
      <c r="GL193" s="73"/>
      <c r="GM193" s="73"/>
      <c r="GN193" s="345"/>
      <c r="GO193" s="73"/>
      <c r="GP193" s="25"/>
      <c r="GQ193" s="73"/>
      <c r="GR193" s="73"/>
      <c r="GS193" s="345"/>
      <c r="GT193" s="73"/>
      <c r="GU193" s="25"/>
      <c r="GV193" s="73"/>
      <c r="GW193" s="73"/>
      <c r="GX193" s="345"/>
      <c r="GY193" s="73"/>
      <c r="GZ193" s="25"/>
      <c r="HA193" s="73"/>
      <c r="HB193" s="73"/>
      <c r="HC193" s="345"/>
      <c r="HD193" s="73"/>
      <c r="HE193" s="25"/>
      <c r="HF193" s="73"/>
      <c r="HG193" s="73"/>
      <c r="HH193" s="345"/>
      <c r="HI193" s="73"/>
      <c r="HJ193" s="25"/>
      <c r="HK193" s="73"/>
      <c r="HL193" s="73"/>
      <c r="HM193" s="345"/>
      <c r="HN193" s="73"/>
      <c r="HO193" s="25"/>
      <c r="HP193" s="73"/>
      <c r="HQ193" s="73"/>
      <c r="HR193" s="345"/>
      <c r="HS193" s="73"/>
      <c r="HT193" s="25"/>
      <c r="HU193" s="73"/>
      <c r="HV193" s="73"/>
      <c r="HW193" s="345"/>
      <c r="HX193" s="73"/>
      <c r="HY193" s="25"/>
      <c r="HZ193" s="73"/>
      <c r="IA193" s="73"/>
      <c r="IB193" s="345"/>
      <c r="IC193" s="73"/>
      <c r="ID193" s="25"/>
      <c r="IE193" s="73"/>
      <c r="IF193" s="73"/>
      <c r="IG193" s="345"/>
      <c r="IH193" s="73"/>
      <c r="II193" s="25"/>
      <c r="IJ193" s="73"/>
      <c r="IK193" s="73"/>
      <c r="IL193" s="345"/>
      <c r="IM193" s="73"/>
      <c r="IN193" s="25"/>
      <c r="IO193" s="73"/>
      <c r="IP193" s="73"/>
      <c r="IQ193" s="345"/>
      <c r="IR193" s="73"/>
      <c r="IS193" s="25"/>
      <c r="IT193" s="73"/>
      <c r="IU193" s="73"/>
      <c r="IV193" s="345"/>
    </row>
    <row r="194" spans="1:256" x14ac:dyDescent="0.2">
      <c r="A194" s="345">
        <v>33419</v>
      </c>
      <c r="B194" s="73"/>
      <c r="C194" s="25"/>
      <c r="D194" s="73"/>
      <c r="E194" s="73"/>
      <c r="F194" s="345"/>
      <c r="G194" s="73"/>
      <c r="H194" s="25"/>
      <c r="I194" s="73"/>
      <c r="J194" s="73"/>
      <c r="K194" s="345"/>
      <c r="L194" s="73"/>
      <c r="M194" s="25"/>
      <c r="N194" s="73"/>
      <c r="O194" s="73"/>
      <c r="P194" s="345"/>
      <c r="Q194" s="73"/>
      <c r="R194" s="25"/>
      <c r="S194" s="73"/>
      <c r="T194" s="73"/>
      <c r="U194" s="345"/>
      <c r="V194" s="73"/>
      <c r="W194" s="25"/>
      <c r="X194" s="73"/>
      <c r="Y194" s="73"/>
      <c r="Z194" s="345"/>
      <c r="AA194" s="73"/>
      <c r="AB194" s="25"/>
      <c r="AC194" s="73"/>
      <c r="AD194" s="73"/>
      <c r="AE194" s="345"/>
      <c r="AF194" s="73"/>
      <c r="AG194" s="25"/>
      <c r="AH194" s="73"/>
      <c r="AI194" s="73"/>
      <c r="AJ194" s="345"/>
      <c r="AK194" s="73"/>
      <c r="AL194" s="25"/>
      <c r="AM194" s="73"/>
      <c r="AN194" s="73"/>
      <c r="AO194" s="345"/>
      <c r="AP194" s="73"/>
      <c r="AQ194" s="25"/>
      <c r="AR194" s="73"/>
      <c r="AS194" s="73"/>
      <c r="AT194" s="345"/>
      <c r="AU194" s="73"/>
      <c r="AV194" s="25"/>
      <c r="AW194" s="73"/>
      <c r="AX194" s="73"/>
      <c r="AY194" s="345"/>
      <c r="AZ194" s="73"/>
      <c r="BA194" s="25"/>
      <c r="BB194" s="73"/>
      <c r="BC194" s="73"/>
      <c r="BD194" s="345"/>
      <c r="BE194" s="73"/>
      <c r="BF194" s="25"/>
      <c r="BG194" s="73"/>
      <c r="BH194" s="73"/>
      <c r="BI194" s="345"/>
      <c r="BJ194" s="73"/>
      <c r="BK194" s="25"/>
      <c r="BL194" s="73"/>
      <c r="BM194" s="73"/>
      <c r="BN194" s="345"/>
      <c r="BO194" s="73"/>
      <c r="BP194" s="25"/>
      <c r="BQ194" s="73"/>
      <c r="BR194" s="73"/>
      <c r="BS194" s="345"/>
      <c r="BT194" s="73"/>
      <c r="BU194" s="25"/>
      <c r="BV194" s="73"/>
      <c r="BW194" s="73"/>
      <c r="BX194" s="345"/>
      <c r="BY194" s="73"/>
      <c r="BZ194" s="25"/>
      <c r="CA194" s="73"/>
      <c r="CB194" s="73"/>
      <c r="CC194" s="345"/>
      <c r="CD194" s="73"/>
      <c r="CE194" s="25"/>
      <c r="CF194" s="73"/>
      <c r="CG194" s="73"/>
      <c r="CH194" s="345"/>
      <c r="CI194" s="73"/>
      <c r="CJ194" s="25"/>
      <c r="CK194" s="73"/>
      <c r="CL194" s="73"/>
      <c r="CM194" s="345"/>
      <c r="CN194" s="73"/>
      <c r="CO194" s="25"/>
      <c r="CP194" s="73"/>
      <c r="CQ194" s="73"/>
      <c r="CR194" s="345"/>
      <c r="CS194" s="73"/>
      <c r="CT194" s="25"/>
      <c r="CU194" s="73"/>
      <c r="CV194" s="73"/>
      <c r="CW194" s="345"/>
      <c r="CX194" s="73"/>
      <c r="CY194" s="25"/>
      <c r="CZ194" s="73"/>
      <c r="DA194" s="73"/>
      <c r="DB194" s="345"/>
      <c r="DC194" s="73"/>
      <c r="DD194" s="25"/>
      <c r="DE194" s="73"/>
      <c r="DF194" s="73"/>
      <c r="DG194" s="345"/>
      <c r="DH194" s="73"/>
      <c r="DI194" s="25"/>
      <c r="DJ194" s="73"/>
      <c r="DK194" s="73"/>
      <c r="DL194" s="345"/>
      <c r="DM194" s="73"/>
      <c r="DN194" s="25"/>
      <c r="DO194" s="73"/>
      <c r="DP194" s="73"/>
      <c r="DQ194" s="345"/>
      <c r="DR194" s="73"/>
      <c r="DS194" s="25"/>
      <c r="DT194" s="73"/>
      <c r="DU194" s="73"/>
      <c r="DV194" s="345"/>
      <c r="DW194" s="73"/>
      <c r="DX194" s="25"/>
      <c r="DY194" s="73"/>
      <c r="DZ194" s="73"/>
      <c r="EA194" s="345"/>
      <c r="EB194" s="73"/>
      <c r="EC194" s="25"/>
      <c r="ED194" s="73"/>
      <c r="EE194" s="73"/>
      <c r="EF194" s="345"/>
      <c r="EG194" s="73"/>
      <c r="EH194" s="25"/>
      <c r="EI194" s="73"/>
      <c r="EJ194" s="73"/>
      <c r="EK194" s="345"/>
      <c r="EL194" s="73"/>
      <c r="EM194" s="25"/>
      <c r="EN194" s="73"/>
      <c r="EO194" s="73"/>
      <c r="EP194" s="345"/>
      <c r="EQ194" s="73"/>
      <c r="ER194" s="25"/>
      <c r="ES194" s="73"/>
      <c r="ET194" s="73"/>
      <c r="EU194" s="345"/>
      <c r="EV194" s="73"/>
      <c r="EW194" s="25"/>
      <c r="EX194" s="73"/>
      <c r="EY194" s="73"/>
      <c r="EZ194" s="345"/>
      <c r="FA194" s="73"/>
      <c r="FB194" s="25"/>
      <c r="FC194" s="73"/>
      <c r="FD194" s="73"/>
      <c r="FE194" s="345"/>
      <c r="FF194" s="73"/>
      <c r="FG194" s="25"/>
      <c r="FH194" s="73"/>
      <c r="FI194" s="73"/>
      <c r="FJ194" s="345"/>
      <c r="FK194" s="73"/>
      <c r="FL194" s="25"/>
      <c r="FM194" s="73"/>
      <c r="FN194" s="73"/>
      <c r="FO194" s="345"/>
      <c r="FP194" s="73"/>
      <c r="FQ194" s="25"/>
      <c r="FR194" s="73"/>
      <c r="FS194" s="73"/>
      <c r="FT194" s="345"/>
      <c r="FU194" s="73"/>
      <c r="FV194" s="25"/>
      <c r="FW194" s="73"/>
      <c r="FX194" s="73"/>
      <c r="FY194" s="345"/>
      <c r="FZ194" s="73"/>
      <c r="GA194" s="25"/>
      <c r="GB194" s="73"/>
      <c r="GC194" s="73"/>
      <c r="GD194" s="345"/>
      <c r="GE194" s="73"/>
      <c r="GF194" s="25"/>
      <c r="GG194" s="73"/>
      <c r="GH194" s="73"/>
      <c r="GI194" s="345"/>
      <c r="GJ194" s="73"/>
      <c r="GK194" s="25"/>
      <c r="GL194" s="73"/>
      <c r="GM194" s="73"/>
      <c r="GN194" s="345"/>
      <c r="GO194" s="73"/>
      <c r="GP194" s="25"/>
      <c r="GQ194" s="73"/>
      <c r="GR194" s="73"/>
      <c r="GS194" s="345"/>
      <c r="GT194" s="73"/>
      <c r="GU194" s="25"/>
      <c r="GV194" s="73"/>
      <c r="GW194" s="73"/>
      <c r="GX194" s="345"/>
      <c r="GY194" s="73"/>
      <c r="GZ194" s="25"/>
      <c r="HA194" s="73"/>
      <c r="HB194" s="73"/>
      <c r="HC194" s="345"/>
      <c r="HD194" s="73"/>
      <c r="HE194" s="25"/>
      <c r="HF194" s="73"/>
      <c r="HG194" s="73"/>
      <c r="HH194" s="345"/>
      <c r="HI194" s="73"/>
      <c r="HJ194" s="25"/>
      <c r="HK194" s="73"/>
      <c r="HL194" s="73"/>
      <c r="HM194" s="345"/>
      <c r="HN194" s="73"/>
      <c r="HO194" s="25"/>
      <c r="HP194" s="73"/>
      <c r="HQ194" s="73"/>
      <c r="HR194" s="345"/>
      <c r="HS194" s="73"/>
      <c r="HT194" s="25"/>
      <c r="HU194" s="73"/>
      <c r="HV194" s="73"/>
      <c r="HW194" s="345"/>
      <c r="HX194" s="73"/>
      <c r="HY194" s="25"/>
      <c r="HZ194" s="73"/>
      <c r="IA194" s="73"/>
      <c r="IB194" s="345"/>
      <c r="IC194" s="73"/>
      <c r="ID194" s="25"/>
      <c r="IE194" s="73"/>
      <c r="IF194" s="73"/>
      <c r="IG194" s="345"/>
      <c r="IH194" s="73"/>
      <c r="II194" s="25"/>
      <c r="IJ194" s="73"/>
      <c r="IK194" s="73"/>
      <c r="IL194" s="345"/>
      <c r="IM194" s="73"/>
      <c r="IN194" s="25"/>
      <c r="IO194" s="73"/>
      <c r="IP194" s="73"/>
      <c r="IQ194" s="345"/>
      <c r="IR194" s="73"/>
      <c r="IS194" s="25"/>
      <c r="IT194" s="73"/>
      <c r="IU194" s="73"/>
      <c r="IV194" s="345"/>
    </row>
    <row r="195" spans="1:256" x14ac:dyDescent="0.2">
      <c r="A195" s="345">
        <v>33450</v>
      </c>
      <c r="B195" s="73"/>
      <c r="C195" s="25"/>
      <c r="D195" s="73"/>
      <c r="E195" s="73"/>
      <c r="F195" s="345"/>
      <c r="G195" s="73"/>
      <c r="H195" s="25"/>
      <c r="I195" s="73"/>
      <c r="J195" s="73"/>
      <c r="K195" s="345"/>
      <c r="L195" s="73"/>
      <c r="M195" s="25"/>
      <c r="N195" s="73"/>
      <c r="O195" s="73"/>
      <c r="P195" s="345"/>
      <c r="Q195" s="73"/>
      <c r="R195" s="25"/>
      <c r="S195" s="73"/>
      <c r="T195" s="73"/>
      <c r="U195" s="345"/>
      <c r="V195" s="73"/>
      <c r="W195" s="25"/>
      <c r="X195" s="73"/>
      <c r="Y195" s="73"/>
      <c r="Z195" s="345"/>
      <c r="AA195" s="73"/>
      <c r="AB195" s="25"/>
      <c r="AC195" s="73"/>
      <c r="AD195" s="73"/>
      <c r="AE195" s="345"/>
      <c r="AF195" s="73"/>
      <c r="AG195" s="25"/>
      <c r="AH195" s="73"/>
      <c r="AI195" s="73"/>
      <c r="AJ195" s="345"/>
      <c r="AK195" s="73"/>
      <c r="AL195" s="25"/>
      <c r="AM195" s="73"/>
      <c r="AN195" s="73"/>
      <c r="AO195" s="345"/>
      <c r="AP195" s="73"/>
      <c r="AQ195" s="25"/>
      <c r="AR195" s="73"/>
      <c r="AS195" s="73"/>
      <c r="AT195" s="345"/>
      <c r="AU195" s="73"/>
      <c r="AV195" s="25"/>
      <c r="AW195" s="73"/>
      <c r="AX195" s="73"/>
      <c r="AY195" s="345"/>
      <c r="AZ195" s="73"/>
      <c r="BA195" s="25"/>
      <c r="BB195" s="73"/>
      <c r="BC195" s="73"/>
      <c r="BD195" s="345"/>
      <c r="BE195" s="73"/>
      <c r="BF195" s="25"/>
      <c r="BG195" s="73"/>
      <c r="BH195" s="73"/>
      <c r="BI195" s="345"/>
      <c r="BJ195" s="73"/>
      <c r="BK195" s="25"/>
      <c r="BL195" s="73"/>
      <c r="BM195" s="73"/>
      <c r="BN195" s="345"/>
      <c r="BO195" s="73"/>
      <c r="BP195" s="25"/>
      <c r="BQ195" s="73"/>
      <c r="BR195" s="73"/>
      <c r="BS195" s="345"/>
      <c r="BT195" s="73"/>
      <c r="BU195" s="25"/>
      <c r="BV195" s="73"/>
      <c r="BW195" s="73"/>
      <c r="BX195" s="345"/>
      <c r="BY195" s="73"/>
      <c r="BZ195" s="25"/>
      <c r="CA195" s="73"/>
      <c r="CB195" s="73"/>
      <c r="CC195" s="345"/>
      <c r="CD195" s="73"/>
      <c r="CE195" s="25"/>
      <c r="CF195" s="73"/>
      <c r="CG195" s="73"/>
      <c r="CH195" s="345"/>
      <c r="CI195" s="73"/>
      <c r="CJ195" s="25"/>
      <c r="CK195" s="73"/>
      <c r="CL195" s="73"/>
      <c r="CM195" s="345"/>
      <c r="CN195" s="73"/>
      <c r="CO195" s="25"/>
      <c r="CP195" s="73"/>
      <c r="CQ195" s="73"/>
      <c r="CR195" s="345"/>
      <c r="CS195" s="73"/>
      <c r="CT195" s="25"/>
      <c r="CU195" s="73"/>
      <c r="CV195" s="73"/>
      <c r="CW195" s="345"/>
      <c r="CX195" s="73"/>
      <c r="CY195" s="25"/>
      <c r="CZ195" s="73"/>
      <c r="DA195" s="73"/>
      <c r="DB195" s="345"/>
      <c r="DC195" s="73"/>
      <c r="DD195" s="25"/>
      <c r="DE195" s="73"/>
      <c r="DF195" s="73"/>
      <c r="DG195" s="345"/>
      <c r="DH195" s="73"/>
      <c r="DI195" s="25"/>
      <c r="DJ195" s="73"/>
      <c r="DK195" s="73"/>
      <c r="DL195" s="345"/>
      <c r="DM195" s="73"/>
      <c r="DN195" s="25"/>
      <c r="DO195" s="73"/>
      <c r="DP195" s="73"/>
      <c r="DQ195" s="345"/>
      <c r="DR195" s="73"/>
      <c r="DS195" s="25"/>
      <c r="DT195" s="73"/>
      <c r="DU195" s="73"/>
      <c r="DV195" s="345"/>
      <c r="DW195" s="73"/>
      <c r="DX195" s="25"/>
      <c r="DY195" s="73"/>
      <c r="DZ195" s="73"/>
      <c r="EA195" s="345"/>
      <c r="EB195" s="73"/>
      <c r="EC195" s="25"/>
      <c r="ED195" s="73"/>
      <c r="EE195" s="73"/>
      <c r="EF195" s="345"/>
      <c r="EG195" s="73"/>
      <c r="EH195" s="25"/>
      <c r="EI195" s="73"/>
      <c r="EJ195" s="73"/>
      <c r="EK195" s="345"/>
      <c r="EL195" s="73"/>
      <c r="EM195" s="25"/>
      <c r="EN195" s="73"/>
      <c r="EO195" s="73"/>
      <c r="EP195" s="345"/>
      <c r="EQ195" s="73"/>
      <c r="ER195" s="25"/>
      <c r="ES195" s="73"/>
      <c r="ET195" s="73"/>
      <c r="EU195" s="345"/>
      <c r="EV195" s="73"/>
      <c r="EW195" s="25"/>
      <c r="EX195" s="73"/>
      <c r="EY195" s="73"/>
      <c r="EZ195" s="345"/>
      <c r="FA195" s="73"/>
      <c r="FB195" s="25"/>
      <c r="FC195" s="73"/>
      <c r="FD195" s="73"/>
      <c r="FE195" s="345"/>
      <c r="FF195" s="73"/>
      <c r="FG195" s="25"/>
      <c r="FH195" s="73"/>
      <c r="FI195" s="73"/>
      <c r="FJ195" s="345"/>
      <c r="FK195" s="73"/>
      <c r="FL195" s="25"/>
      <c r="FM195" s="73"/>
      <c r="FN195" s="73"/>
      <c r="FO195" s="345"/>
      <c r="FP195" s="73"/>
      <c r="FQ195" s="25"/>
      <c r="FR195" s="73"/>
      <c r="FS195" s="73"/>
      <c r="FT195" s="345"/>
      <c r="FU195" s="73"/>
      <c r="FV195" s="25"/>
      <c r="FW195" s="73"/>
      <c r="FX195" s="73"/>
      <c r="FY195" s="345"/>
      <c r="FZ195" s="73"/>
      <c r="GA195" s="25"/>
      <c r="GB195" s="73"/>
      <c r="GC195" s="73"/>
      <c r="GD195" s="345"/>
      <c r="GE195" s="73"/>
      <c r="GF195" s="25"/>
      <c r="GG195" s="73"/>
      <c r="GH195" s="73"/>
      <c r="GI195" s="345"/>
      <c r="GJ195" s="73"/>
      <c r="GK195" s="25"/>
      <c r="GL195" s="73"/>
      <c r="GM195" s="73"/>
      <c r="GN195" s="345"/>
      <c r="GO195" s="73"/>
      <c r="GP195" s="25"/>
      <c r="GQ195" s="73"/>
      <c r="GR195" s="73"/>
      <c r="GS195" s="345"/>
      <c r="GT195" s="73"/>
      <c r="GU195" s="25"/>
      <c r="GV195" s="73"/>
      <c r="GW195" s="73"/>
      <c r="GX195" s="345"/>
      <c r="GY195" s="73"/>
      <c r="GZ195" s="25"/>
      <c r="HA195" s="73"/>
      <c r="HB195" s="73"/>
      <c r="HC195" s="345"/>
      <c r="HD195" s="73"/>
      <c r="HE195" s="25"/>
      <c r="HF195" s="73"/>
      <c r="HG195" s="73"/>
      <c r="HH195" s="345"/>
      <c r="HI195" s="73"/>
      <c r="HJ195" s="25"/>
      <c r="HK195" s="73"/>
      <c r="HL195" s="73"/>
      <c r="HM195" s="345"/>
      <c r="HN195" s="73"/>
      <c r="HO195" s="25"/>
      <c r="HP195" s="73"/>
      <c r="HQ195" s="73"/>
      <c r="HR195" s="345"/>
      <c r="HS195" s="73"/>
      <c r="HT195" s="25"/>
      <c r="HU195" s="73"/>
      <c r="HV195" s="73"/>
      <c r="HW195" s="345"/>
      <c r="HX195" s="73"/>
      <c r="HY195" s="25"/>
      <c r="HZ195" s="73"/>
      <c r="IA195" s="73"/>
      <c r="IB195" s="345"/>
      <c r="IC195" s="73"/>
      <c r="ID195" s="25"/>
      <c r="IE195" s="73"/>
      <c r="IF195" s="73"/>
      <c r="IG195" s="345"/>
      <c r="IH195" s="73"/>
      <c r="II195" s="25"/>
      <c r="IJ195" s="73"/>
      <c r="IK195" s="73"/>
      <c r="IL195" s="345"/>
      <c r="IM195" s="73"/>
      <c r="IN195" s="25"/>
      <c r="IO195" s="73"/>
      <c r="IP195" s="73"/>
      <c r="IQ195" s="345"/>
      <c r="IR195" s="73"/>
      <c r="IS195" s="25"/>
      <c r="IT195" s="73"/>
      <c r="IU195" s="73"/>
      <c r="IV195" s="345"/>
    </row>
    <row r="196" spans="1:256" x14ac:dyDescent="0.2">
      <c r="A196" s="345">
        <v>33481</v>
      </c>
      <c r="B196" s="73"/>
      <c r="C196" s="25"/>
      <c r="D196" s="73"/>
      <c r="E196" s="73"/>
      <c r="F196" s="345"/>
      <c r="G196" s="73"/>
      <c r="H196" s="25"/>
      <c r="I196" s="73"/>
      <c r="J196" s="73"/>
      <c r="K196" s="345"/>
      <c r="L196" s="73"/>
      <c r="M196" s="25"/>
      <c r="N196" s="73"/>
      <c r="O196" s="73"/>
      <c r="P196" s="345"/>
      <c r="Q196" s="73"/>
      <c r="R196" s="25"/>
      <c r="S196" s="73"/>
      <c r="T196" s="73"/>
      <c r="U196" s="345"/>
      <c r="V196" s="73"/>
      <c r="W196" s="25"/>
      <c r="X196" s="73"/>
      <c r="Y196" s="73"/>
      <c r="Z196" s="345"/>
      <c r="AA196" s="73"/>
      <c r="AB196" s="25"/>
      <c r="AC196" s="73"/>
      <c r="AD196" s="73"/>
      <c r="AE196" s="345"/>
      <c r="AF196" s="73"/>
      <c r="AG196" s="25"/>
      <c r="AH196" s="73"/>
      <c r="AI196" s="73"/>
      <c r="AJ196" s="345"/>
      <c r="AK196" s="73"/>
      <c r="AL196" s="25"/>
      <c r="AM196" s="73"/>
      <c r="AN196" s="73"/>
      <c r="AO196" s="345"/>
      <c r="AP196" s="73"/>
      <c r="AQ196" s="25"/>
      <c r="AR196" s="73"/>
      <c r="AS196" s="73"/>
      <c r="AT196" s="345"/>
      <c r="AU196" s="73"/>
      <c r="AV196" s="25"/>
      <c r="AW196" s="73"/>
      <c r="AX196" s="73"/>
      <c r="AY196" s="345"/>
      <c r="AZ196" s="73"/>
      <c r="BA196" s="25"/>
      <c r="BB196" s="73"/>
      <c r="BC196" s="73"/>
      <c r="BD196" s="345"/>
      <c r="BE196" s="73"/>
      <c r="BF196" s="25"/>
      <c r="BG196" s="73"/>
      <c r="BH196" s="73"/>
      <c r="BI196" s="345"/>
      <c r="BJ196" s="73"/>
      <c r="BK196" s="25"/>
      <c r="BL196" s="73"/>
      <c r="BM196" s="73"/>
      <c r="BN196" s="345"/>
      <c r="BO196" s="73"/>
      <c r="BP196" s="25"/>
      <c r="BQ196" s="73"/>
      <c r="BR196" s="73"/>
      <c r="BS196" s="345"/>
      <c r="BT196" s="73"/>
      <c r="BU196" s="25"/>
      <c r="BV196" s="73"/>
      <c r="BW196" s="73"/>
      <c r="BX196" s="345"/>
      <c r="BY196" s="73"/>
      <c r="BZ196" s="25"/>
      <c r="CA196" s="73"/>
      <c r="CB196" s="73"/>
      <c r="CC196" s="345"/>
      <c r="CD196" s="73"/>
      <c r="CE196" s="25"/>
      <c r="CF196" s="73"/>
      <c r="CG196" s="73"/>
      <c r="CH196" s="345"/>
      <c r="CI196" s="73"/>
      <c r="CJ196" s="25"/>
      <c r="CK196" s="73"/>
      <c r="CL196" s="73"/>
      <c r="CM196" s="345"/>
      <c r="CN196" s="73"/>
      <c r="CO196" s="25"/>
      <c r="CP196" s="73"/>
      <c r="CQ196" s="73"/>
      <c r="CR196" s="345"/>
      <c r="CS196" s="73"/>
      <c r="CT196" s="25"/>
      <c r="CU196" s="73"/>
      <c r="CV196" s="73"/>
      <c r="CW196" s="345"/>
      <c r="CX196" s="73"/>
      <c r="CY196" s="25"/>
      <c r="CZ196" s="73"/>
      <c r="DA196" s="73"/>
      <c r="DB196" s="345"/>
      <c r="DC196" s="73"/>
      <c r="DD196" s="25"/>
      <c r="DE196" s="73"/>
      <c r="DF196" s="73"/>
      <c r="DG196" s="345"/>
      <c r="DH196" s="73"/>
      <c r="DI196" s="25"/>
      <c r="DJ196" s="73"/>
      <c r="DK196" s="73"/>
      <c r="DL196" s="345"/>
      <c r="DM196" s="73"/>
      <c r="DN196" s="25"/>
      <c r="DO196" s="73"/>
      <c r="DP196" s="73"/>
      <c r="DQ196" s="345"/>
      <c r="DR196" s="73"/>
      <c r="DS196" s="25"/>
      <c r="DT196" s="73"/>
      <c r="DU196" s="73"/>
      <c r="DV196" s="345"/>
      <c r="DW196" s="73"/>
      <c r="DX196" s="25"/>
      <c r="DY196" s="73"/>
      <c r="DZ196" s="73"/>
      <c r="EA196" s="345"/>
      <c r="EB196" s="73"/>
      <c r="EC196" s="25"/>
      <c r="ED196" s="73"/>
      <c r="EE196" s="73"/>
      <c r="EF196" s="345"/>
      <c r="EG196" s="73"/>
      <c r="EH196" s="25"/>
      <c r="EI196" s="73"/>
      <c r="EJ196" s="73"/>
      <c r="EK196" s="345"/>
      <c r="EL196" s="73"/>
      <c r="EM196" s="25"/>
      <c r="EN196" s="73"/>
      <c r="EO196" s="73"/>
      <c r="EP196" s="345"/>
      <c r="EQ196" s="73"/>
      <c r="ER196" s="25"/>
      <c r="ES196" s="73"/>
      <c r="ET196" s="73"/>
      <c r="EU196" s="345"/>
      <c r="EV196" s="73"/>
      <c r="EW196" s="25"/>
      <c r="EX196" s="73"/>
      <c r="EY196" s="73"/>
      <c r="EZ196" s="345"/>
      <c r="FA196" s="73"/>
      <c r="FB196" s="25"/>
      <c r="FC196" s="73"/>
      <c r="FD196" s="73"/>
      <c r="FE196" s="345"/>
      <c r="FF196" s="73"/>
      <c r="FG196" s="25"/>
      <c r="FH196" s="73"/>
      <c r="FI196" s="73"/>
      <c r="FJ196" s="345"/>
      <c r="FK196" s="73"/>
      <c r="FL196" s="25"/>
      <c r="FM196" s="73"/>
      <c r="FN196" s="73"/>
      <c r="FO196" s="345"/>
      <c r="FP196" s="73"/>
      <c r="FQ196" s="25"/>
      <c r="FR196" s="73"/>
      <c r="FS196" s="73"/>
      <c r="FT196" s="345"/>
      <c r="FU196" s="73"/>
      <c r="FV196" s="25"/>
      <c r="FW196" s="73"/>
      <c r="FX196" s="73"/>
      <c r="FY196" s="345"/>
      <c r="FZ196" s="73"/>
      <c r="GA196" s="25"/>
      <c r="GB196" s="73"/>
      <c r="GC196" s="73"/>
      <c r="GD196" s="345"/>
      <c r="GE196" s="73"/>
      <c r="GF196" s="25"/>
      <c r="GG196" s="73"/>
      <c r="GH196" s="73"/>
      <c r="GI196" s="345"/>
      <c r="GJ196" s="73"/>
      <c r="GK196" s="25"/>
      <c r="GL196" s="73"/>
      <c r="GM196" s="73"/>
      <c r="GN196" s="345"/>
      <c r="GO196" s="73"/>
      <c r="GP196" s="25"/>
      <c r="GQ196" s="73"/>
      <c r="GR196" s="73"/>
      <c r="GS196" s="345"/>
      <c r="GT196" s="73"/>
      <c r="GU196" s="25"/>
      <c r="GV196" s="73"/>
      <c r="GW196" s="73"/>
      <c r="GX196" s="345"/>
      <c r="GY196" s="73"/>
      <c r="GZ196" s="25"/>
      <c r="HA196" s="73"/>
      <c r="HB196" s="73"/>
      <c r="HC196" s="345"/>
      <c r="HD196" s="73"/>
      <c r="HE196" s="25"/>
      <c r="HF196" s="73"/>
      <c r="HG196" s="73"/>
      <c r="HH196" s="345"/>
      <c r="HI196" s="73"/>
      <c r="HJ196" s="25"/>
      <c r="HK196" s="73"/>
      <c r="HL196" s="73"/>
      <c r="HM196" s="345"/>
      <c r="HN196" s="73"/>
      <c r="HO196" s="25"/>
      <c r="HP196" s="73"/>
      <c r="HQ196" s="73"/>
      <c r="HR196" s="345"/>
      <c r="HS196" s="73"/>
      <c r="HT196" s="25"/>
      <c r="HU196" s="73"/>
      <c r="HV196" s="73"/>
      <c r="HW196" s="345"/>
      <c r="HX196" s="73"/>
      <c r="HY196" s="25"/>
      <c r="HZ196" s="73"/>
      <c r="IA196" s="73"/>
      <c r="IB196" s="345"/>
      <c r="IC196" s="73"/>
      <c r="ID196" s="25"/>
      <c r="IE196" s="73"/>
      <c r="IF196" s="73"/>
      <c r="IG196" s="345"/>
      <c r="IH196" s="73"/>
      <c r="II196" s="25"/>
      <c r="IJ196" s="73"/>
      <c r="IK196" s="73"/>
      <c r="IL196" s="345"/>
      <c r="IM196" s="73"/>
      <c r="IN196" s="25"/>
      <c r="IO196" s="73"/>
      <c r="IP196" s="73"/>
      <c r="IQ196" s="345"/>
      <c r="IR196" s="73"/>
      <c r="IS196" s="25"/>
      <c r="IT196" s="73"/>
      <c r="IU196" s="73"/>
      <c r="IV196" s="345"/>
    </row>
    <row r="197" spans="1:256" x14ac:dyDescent="0.2">
      <c r="A197" s="345">
        <v>33511</v>
      </c>
      <c r="B197" s="73"/>
      <c r="C197" s="25"/>
      <c r="D197" s="73"/>
      <c r="E197" s="73"/>
      <c r="F197" s="345"/>
      <c r="G197" s="73"/>
      <c r="H197" s="25"/>
      <c r="I197" s="73"/>
      <c r="J197" s="73"/>
      <c r="K197" s="345"/>
      <c r="L197" s="73"/>
      <c r="M197" s="25"/>
      <c r="N197" s="73"/>
      <c r="O197" s="73"/>
      <c r="P197" s="345"/>
      <c r="Q197" s="73"/>
      <c r="R197" s="25"/>
      <c r="S197" s="73"/>
      <c r="T197" s="73"/>
      <c r="U197" s="345"/>
      <c r="V197" s="73"/>
      <c r="W197" s="25"/>
      <c r="X197" s="73"/>
      <c r="Y197" s="73"/>
      <c r="Z197" s="345"/>
      <c r="AA197" s="73"/>
      <c r="AB197" s="25"/>
      <c r="AC197" s="73"/>
      <c r="AD197" s="73"/>
      <c r="AE197" s="345"/>
      <c r="AF197" s="73"/>
      <c r="AG197" s="25"/>
      <c r="AH197" s="73"/>
      <c r="AI197" s="73"/>
      <c r="AJ197" s="345"/>
      <c r="AK197" s="73"/>
      <c r="AL197" s="25"/>
      <c r="AM197" s="73"/>
      <c r="AN197" s="73"/>
      <c r="AO197" s="345"/>
      <c r="AP197" s="73"/>
      <c r="AQ197" s="25"/>
      <c r="AR197" s="73"/>
      <c r="AS197" s="73"/>
      <c r="AT197" s="345"/>
      <c r="AU197" s="73"/>
      <c r="AV197" s="25"/>
      <c r="AW197" s="73"/>
      <c r="AX197" s="73"/>
      <c r="AY197" s="345"/>
      <c r="AZ197" s="73"/>
      <c r="BA197" s="25"/>
      <c r="BB197" s="73"/>
      <c r="BC197" s="73"/>
      <c r="BD197" s="345"/>
      <c r="BE197" s="73"/>
      <c r="BF197" s="25"/>
      <c r="BG197" s="73"/>
      <c r="BH197" s="73"/>
      <c r="BI197" s="345"/>
      <c r="BJ197" s="73"/>
      <c r="BK197" s="25"/>
      <c r="BL197" s="73"/>
      <c r="BM197" s="73"/>
      <c r="BN197" s="345"/>
      <c r="BO197" s="73"/>
      <c r="BP197" s="25"/>
      <c r="BQ197" s="73"/>
      <c r="BR197" s="73"/>
      <c r="BS197" s="345"/>
      <c r="BT197" s="73"/>
      <c r="BU197" s="25"/>
      <c r="BV197" s="73"/>
      <c r="BW197" s="73"/>
      <c r="BX197" s="345"/>
      <c r="BY197" s="73"/>
      <c r="BZ197" s="25"/>
      <c r="CA197" s="73"/>
      <c r="CB197" s="73"/>
      <c r="CC197" s="345"/>
      <c r="CD197" s="73"/>
      <c r="CE197" s="25"/>
      <c r="CF197" s="73"/>
      <c r="CG197" s="73"/>
      <c r="CH197" s="345"/>
      <c r="CI197" s="73"/>
      <c r="CJ197" s="25"/>
      <c r="CK197" s="73"/>
      <c r="CL197" s="73"/>
      <c r="CM197" s="345"/>
      <c r="CN197" s="73"/>
      <c r="CO197" s="25"/>
      <c r="CP197" s="73"/>
      <c r="CQ197" s="73"/>
      <c r="CR197" s="345"/>
      <c r="CS197" s="73"/>
      <c r="CT197" s="25"/>
      <c r="CU197" s="73"/>
      <c r="CV197" s="73"/>
      <c r="CW197" s="345"/>
      <c r="CX197" s="73"/>
      <c r="CY197" s="25"/>
      <c r="CZ197" s="73"/>
      <c r="DA197" s="73"/>
      <c r="DB197" s="345"/>
      <c r="DC197" s="73"/>
      <c r="DD197" s="25"/>
      <c r="DE197" s="73"/>
      <c r="DF197" s="73"/>
      <c r="DG197" s="345"/>
      <c r="DH197" s="73"/>
      <c r="DI197" s="25"/>
      <c r="DJ197" s="73"/>
      <c r="DK197" s="73"/>
      <c r="DL197" s="345"/>
      <c r="DM197" s="73"/>
      <c r="DN197" s="25"/>
      <c r="DO197" s="73"/>
      <c r="DP197" s="73"/>
      <c r="DQ197" s="345"/>
      <c r="DR197" s="73"/>
      <c r="DS197" s="25"/>
      <c r="DT197" s="73"/>
      <c r="DU197" s="73"/>
      <c r="DV197" s="345"/>
      <c r="DW197" s="73"/>
      <c r="DX197" s="25"/>
      <c r="DY197" s="73"/>
      <c r="DZ197" s="73"/>
      <c r="EA197" s="345"/>
      <c r="EB197" s="73"/>
      <c r="EC197" s="25"/>
      <c r="ED197" s="73"/>
      <c r="EE197" s="73"/>
      <c r="EF197" s="345"/>
      <c r="EG197" s="73"/>
      <c r="EH197" s="25"/>
      <c r="EI197" s="73"/>
      <c r="EJ197" s="73"/>
      <c r="EK197" s="345"/>
      <c r="EL197" s="73"/>
      <c r="EM197" s="25"/>
      <c r="EN197" s="73"/>
      <c r="EO197" s="73"/>
      <c r="EP197" s="345"/>
      <c r="EQ197" s="73"/>
      <c r="ER197" s="25"/>
      <c r="ES197" s="73"/>
      <c r="ET197" s="73"/>
      <c r="EU197" s="345"/>
      <c r="EV197" s="73"/>
      <c r="EW197" s="25"/>
      <c r="EX197" s="73"/>
      <c r="EY197" s="73"/>
      <c r="EZ197" s="345"/>
      <c r="FA197" s="73"/>
      <c r="FB197" s="25"/>
      <c r="FC197" s="73"/>
      <c r="FD197" s="73"/>
      <c r="FE197" s="345"/>
      <c r="FF197" s="73"/>
      <c r="FG197" s="25"/>
      <c r="FH197" s="73"/>
      <c r="FI197" s="73"/>
      <c r="FJ197" s="345"/>
      <c r="FK197" s="73"/>
      <c r="FL197" s="25"/>
      <c r="FM197" s="73"/>
      <c r="FN197" s="73"/>
      <c r="FO197" s="345"/>
      <c r="FP197" s="73"/>
      <c r="FQ197" s="25"/>
      <c r="FR197" s="73"/>
      <c r="FS197" s="73"/>
      <c r="FT197" s="345"/>
      <c r="FU197" s="73"/>
      <c r="FV197" s="25"/>
      <c r="FW197" s="73"/>
      <c r="FX197" s="73"/>
      <c r="FY197" s="345"/>
      <c r="FZ197" s="73"/>
      <c r="GA197" s="25"/>
      <c r="GB197" s="73"/>
      <c r="GC197" s="73"/>
      <c r="GD197" s="345"/>
      <c r="GE197" s="73"/>
      <c r="GF197" s="25"/>
      <c r="GG197" s="73"/>
      <c r="GH197" s="73"/>
      <c r="GI197" s="345"/>
      <c r="GJ197" s="73"/>
      <c r="GK197" s="25"/>
      <c r="GL197" s="73"/>
      <c r="GM197" s="73"/>
      <c r="GN197" s="345"/>
      <c r="GO197" s="73"/>
      <c r="GP197" s="25"/>
      <c r="GQ197" s="73"/>
      <c r="GR197" s="73"/>
      <c r="GS197" s="345"/>
      <c r="GT197" s="73"/>
      <c r="GU197" s="25"/>
      <c r="GV197" s="73"/>
      <c r="GW197" s="73"/>
      <c r="GX197" s="345"/>
      <c r="GY197" s="73"/>
      <c r="GZ197" s="25"/>
      <c r="HA197" s="73"/>
      <c r="HB197" s="73"/>
      <c r="HC197" s="345"/>
      <c r="HD197" s="73"/>
      <c r="HE197" s="25"/>
      <c r="HF197" s="73"/>
      <c r="HG197" s="73"/>
      <c r="HH197" s="345"/>
      <c r="HI197" s="73"/>
      <c r="HJ197" s="25"/>
      <c r="HK197" s="73"/>
      <c r="HL197" s="73"/>
      <c r="HM197" s="345"/>
      <c r="HN197" s="73"/>
      <c r="HO197" s="25"/>
      <c r="HP197" s="73"/>
      <c r="HQ197" s="73"/>
      <c r="HR197" s="345"/>
      <c r="HS197" s="73"/>
      <c r="HT197" s="25"/>
      <c r="HU197" s="73"/>
      <c r="HV197" s="73"/>
      <c r="HW197" s="345"/>
      <c r="HX197" s="73"/>
      <c r="HY197" s="25"/>
      <c r="HZ197" s="73"/>
      <c r="IA197" s="73"/>
      <c r="IB197" s="345"/>
      <c r="IC197" s="73"/>
      <c r="ID197" s="25"/>
      <c r="IE197" s="73"/>
      <c r="IF197" s="73"/>
      <c r="IG197" s="345"/>
      <c r="IH197" s="73"/>
      <c r="II197" s="25"/>
      <c r="IJ197" s="73"/>
      <c r="IK197" s="73"/>
      <c r="IL197" s="345"/>
      <c r="IM197" s="73"/>
      <c r="IN197" s="25"/>
      <c r="IO197" s="73"/>
      <c r="IP197" s="73"/>
      <c r="IQ197" s="345"/>
      <c r="IR197" s="73"/>
      <c r="IS197" s="25"/>
      <c r="IT197" s="73"/>
      <c r="IU197" s="73"/>
      <c r="IV197" s="345"/>
    </row>
    <row r="198" spans="1:256" x14ac:dyDescent="0.2">
      <c r="A198" s="345">
        <v>33542</v>
      </c>
      <c r="B198" s="73"/>
      <c r="C198" s="25"/>
      <c r="D198" s="73"/>
      <c r="E198" s="73"/>
      <c r="F198" s="345"/>
      <c r="G198" s="73"/>
      <c r="H198" s="25"/>
      <c r="I198" s="73"/>
      <c r="J198" s="73"/>
      <c r="K198" s="345"/>
      <c r="L198" s="73"/>
      <c r="M198" s="25"/>
      <c r="N198" s="73"/>
      <c r="O198" s="73"/>
      <c r="P198" s="345"/>
      <c r="Q198" s="73"/>
      <c r="R198" s="25"/>
      <c r="S198" s="73"/>
      <c r="T198" s="73"/>
      <c r="U198" s="345"/>
      <c r="V198" s="73"/>
      <c r="W198" s="25"/>
      <c r="X198" s="73"/>
      <c r="Y198" s="73"/>
      <c r="Z198" s="345"/>
      <c r="AA198" s="73"/>
      <c r="AB198" s="25"/>
      <c r="AC198" s="73"/>
      <c r="AD198" s="73"/>
      <c r="AE198" s="345"/>
      <c r="AF198" s="73"/>
      <c r="AG198" s="25"/>
      <c r="AH198" s="73"/>
      <c r="AI198" s="73"/>
      <c r="AJ198" s="345"/>
      <c r="AK198" s="73"/>
      <c r="AL198" s="25"/>
      <c r="AM198" s="73"/>
      <c r="AN198" s="73"/>
      <c r="AO198" s="345"/>
      <c r="AP198" s="73"/>
      <c r="AQ198" s="25"/>
      <c r="AR198" s="73"/>
      <c r="AS198" s="73"/>
      <c r="AT198" s="345"/>
      <c r="AU198" s="73"/>
      <c r="AV198" s="25"/>
      <c r="AW198" s="73"/>
      <c r="AX198" s="73"/>
      <c r="AY198" s="345"/>
      <c r="AZ198" s="73"/>
      <c r="BA198" s="25"/>
      <c r="BB198" s="73"/>
      <c r="BC198" s="73"/>
      <c r="BD198" s="345"/>
      <c r="BE198" s="73"/>
      <c r="BF198" s="25"/>
      <c r="BG198" s="73"/>
      <c r="BH198" s="73"/>
      <c r="BI198" s="345"/>
      <c r="BJ198" s="73"/>
      <c r="BK198" s="25"/>
      <c r="BL198" s="73"/>
      <c r="BM198" s="73"/>
      <c r="BN198" s="345"/>
      <c r="BO198" s="73"/>
      <c r="BP198" s="25"/>
      <c r="BQ198" s="73"/>
      <c r="BR198" s="73"/>
      <c r="BS198" s="345"/>
      <c r="BT198" s="73"/>
      <c r="BU198" s="25"/>
      <c r="BV198" s="73"/>
      <c r="BW198" s="73"/>
      <c r="BX198" s="345"/>
      <c r="BY198" s="73"/>
      <c r="BZ198" s="25"/>
      <c r="CA198" s="73"/>
      <c r="CB198" s="73"/>
      <c r="CC198" s="345"/>
      <c r="CD198" s="73"/>
      <c r="CE198" s="25"/>
      <c r="CF198" s="73"/>
      <c r="CG198" s="73"/>
      <c r="CH198" s="345"/>
      <c r="CI198" s="73"/>
      <c r="CJ198" s="25"/>
      <c r="CK198" s="73"/>
      <c r="CL198" s="73"/>
      <c r="CM198" s="345"/>
      <c r="CN198" s="73"/>
      <c r="CO198" s="25"/>
      <c r="CP198" s="73"/>
      <c r="CQ198" s="73"/>
      <c r="CR198" s="345"/>
      <c r="CS198" s="73"/>
      <c r="CT198" s="25"/>
      <c r="CU198" s="73"/>
      <c r="CV198" s="73"/>
      <c r="CW198" s="345"/>
      <c r="CX198" s="73"/>
      <c r="CY198" s="25"/>
      <c r="CZ198" s="73"/>
      <c r="DA198" s="73"/>
      <c r="DB198" s="345"/>
      <c r="DC198" s="73"/>
      <c r="DD198" s="25"/>
      <c r="DE198" s="73"/>
      <c r="DF198" s="73"/>
      <c r="DG198" s="345"/>
      <c r="DH198" s="73"/>
      <c r="DI198" s="25"/>
      <c r="DJ198" s="73"/>
      <c r="DK198" s="73"/>
      <c r="DL198" s="345"/>
      <c r="DM198" s="73"/>
      <c r="DN198" s="25"/>
      <c r="DO198" s="73"/>
      <c r="DP198" s="73"/>
      <c r="DQ198" s="345"/>
      <c r="DR198" s="73"/>
      <c r="DS198" s="25"/>
      <c r="DT198" s="73"/>
      <c r="DU198" s="73"/>
      <c r="DV198" s="345"/>
      <c r="DW198" s="73"/>
      <c r="DX198" s="25"/>
      <c r="DY198" s="73"/>
      <c r="DZ198" s="73"/>
      <c r="EA198" s="345"/>
      <c r="EB198" s="73"/>
      <c r="EC198" s="25"/>
      <c r="ED198" s="73"/>
      <c r="EE198" s="73"/>
      <c r="EF198" s="345"/>
      <c r="EG198" s="73"/>
      <c r="EH198" s="25"/>
      <c r="EI198" s="73"/>
      <c r="EJ198" s="73"/>
      <c r="EK198" s="345"/>
      <c r="EL198" s="73"/>
      <c r="EM198" s="25"/>
      <c r="EN198" s="73"/>
      <c r="EO198" s="73"/>
      <c r="EP198" s="345"/>
      <c r="EQ198" s="73"/>
      <c r="ER198" s="25"/>
      <c r="ES198" s="73"/>
      <c r="ET198" s="73"/>
      <c r="EU198" s="345"/>
      <c r="EV198" s="73"/>
      <c r="EW198" s="25"/>
      <c r="EX198" s="73"/>
      <c r="EY198" s="73"/>
      <c r="EZ198" s="345"/>
      <c r="FA198" s="73"/>
      <c r="FB198" s="25"/>
      <c r="FC198" s="73"/>
      <c r="FD198" s="73"/>
      <c r="FE198" s="345"/>
      <c r="FF198" s="73"/>
      <c r="FG198" s="25"/>
      <c r="FH198" s="73"/>
      <c r="FI198" s="73"/>
      <c r="FJ198" s="345"/>
      <c r="FK198" s="73"/>
      <c r="FL198" s="25"/>
      <c r="FM198" s="73"/>
      <c r="FN198" s="73"/>
      <c r="FO198" s="345"/>
      <c r="FP198" s="73"/>
      <c r="FQ198" s="25"/>
      <c r="FR198" s="73"/>
      <c r="FS198" s="73"/>
      <c r="FT198" s="345"/>
      <c r="FU198" s="73"/>
      <c r="FV198" s="25"/>
      <c r="FW198" s="73"/>
      <c r="FX198" s="73"/>
      <c r="FY198" s="345"/>
      <c r="FZ198" s="73"/>
      <c r="GA198" s="25"/>
      <c r="GB198" s="73"/>
      <c r="GC198" s="73"/>
      <c r="GD198" s="345"/>
      <c r="GE198" s="73"/>
      <c r="GF198" s="25"/>
      <c r="GG198" s="73"/>
      <c r="GH198" s="73"/>
      <c r="GI198" s="345"/>
      <c r="GJ198" s="73"/>
      <c r="GK198" s="25"/>
      <c r="GL198" s="73"/>
      <c r="GM198" s="73"/>
      <c r="GN198" s="345"/>
      <c r="GO198" s="73"/>
      <c r="GP198" s="25"/>
      <c r="GQ198" s="73"/>
      <c r="GR198" s="73"/>
      <c r="GS198" s="345"/>
      <c r="GT198" s="73"/>
      <c r="GU198" s="25"/>
      <c r="GV198" s="73"/>
      <c r="GW198" s="73"/>
      <c r="GX198" s="345"/>
      <c r="GY198" s="73"/>
      <c r="GZ198" s="25"/>
      <c r="HA198" s="73"/>
      <c r="HB198" s="73"/>
      <c r="HC198" s="345"/>
      <c r="HD198" s="73"/>
      <c r="HE198" s="25"/>
      <c r="HF198" s="73"/>
      <c r="HG198" s="73"/>
      <c r="HH198" s="345"/>
      <c r="HI198" s="73"/>
      <c r="HJ198" s="25"/>
      <c r="HK198" s="73"/>
      <c r="HL198" s="73"/>
      <c r="HM198" s="345"/>
      <c r="HN198" s="73"/>
      <c r="HO198" s="25"/>
      <c r="HP198" s="73"/>
      <c r="HQ198" s="73"/>
      <c r="HR198" s="345"/>
      <c r="HS198" s="73"/>
      <c r="HT198" s="25"/>
      <c r="HU198" s="73"/>
      <c r="HV198" s="73"/>
      <c r="HW198" s="345"/>
      <c r="HX198" s="73"/>
      <c r="HY198" s="25"/>
      <c r="HZ198" s="73"/>
      <c r="IA198" s="73"/>
      <c r="IB198" s="345"/>
      <c r="IC198" s="73"/>
      <c r="ID198" s="25"/>
      <c r="IE198" s="73"/>
      <c r="IF198" s="73"/>
      <c r="IG198" s="345"/>
      <c r="IH198" s="73"/>
      <c r="II198" s="25"/>
      <c r="IJ198" s="73"/>
      <c r="IK198" s="73"/>
      <c r="IL198" s="345"/>
      <c r="IM198" s="73"/>
      <c r="IN198" s="25"/>
      <c r="IO198" s="73"/>
      <c r="IP198" s="73"/>
      <c r="IQ198" s="345"/>
      <c r="IR198" s="73"/>
      <c r="IS198" s="25"/>
      <c r="IT198" s="73"/>
      <c r="IU198" s="73"/>
      <c r="IV198" s="345"/>
    </row>
    <row r="199" spans="1:256" x14ac:dyDescent="0.2">
      <c r="A199" s="345">
        <v>33572</v>
      </c>
      <c r="B199" s="73"/>
      <c r="C199" s="25"/>
      <c r="D199" s="73"/>
      <c r="E199" s="73"/>
      <c r="F199" s="345"/>
      <c r="G199" s="73"/>
      <c r="H199" s="25"/>
      <c r="I199" s="73"/>
      <c r="J199" s="73"/>
      <c r="K199" s="345"/>
      <c r="L199" s="73"/>
      <c r="M199" s="25"/>
      <c r="N199" s="73"/>
      <c r="O199" s="73"/>
      <c r="P199" s="345"/>
      <c r="Q199" s="73"/>
      <c r="R199" s="25"/>
      <c r="S199" s="73"/>
      <c r="T199" s="73"/>
      <c r="U199" s="345"/>
      <c r="V199" s="73"/>
      <c r="W199" s="25"/>
      <c r="X199" s="73"/>
      <c r="Y199" s="73"/>
      <c r="Z199" s="345"/>
      <c r="AA199" s="73"/>
      <c r="AB199" s="25"/>
      <c r="AC199" s="73"/>
      <c r="AD199" s="73"/>
      <c r="AE199" s="345"/>
      <c r="AF199" s="73"/>
      <c r="AG199" s="25"/>
      <c r="AH199" s="73"/>
      <c r="AI199" s="73"/>
      <c r="AJ199" s="345"/>
      <c r="AK199" s="73"/>
      <c r="AL199" s="25"/>
      <c r="AM199" s="73"/>
      <c r="AN199" s="73"/>
      <c r="AO199" s="345"/>
      <c r="AP199" s="73"/>
      <c r="AQ199" s="25"/>
      <c r="AR199" s="73"/>
      <c r="AS199" s="73"/>
      <c r="AT199" s="345"/>
      <c r="AU199" s="73"/>
      <c r="AV199" s="25"/>
      <c r="AW199" s="73"/>
      <c r="AX199" s="73"/>
      <c r="AY199" s="345"/>
      <c r="AZ199" s="73"/>
      <c r="BA199" s="25"/>
      <c r="BB199" s="73"/>
      <c r="BC199" s="73"/>
      <c r="BD199" s="345"/>
      <c r="BE199" s="73"/>
      <c r="BF199" s="25"/>
      <c r="BG199" s="73"/>
      <c r="BH199" s="73"/>
      <c r="BI199" s="345"/>
      <c r="BJ199" s="73"/>
      <c r="BK199" s="25"/>
      <c r="BL199" s="73"/>
      <c r="BM199" s="73"/>
      <c r="BN199" s="345"/>
      <c r="BO199" s="73"/>
      <c r="BP199" s="25"/>
      <c r="BQ199" s="73"/>
      <c r="BR199" s="73"/>
      <c r="BS199" s="345"/>
      <c r="BT199" s="73"/>
      <c r="BU199" s="25"/>
      <c r="BV199" s="73"/>
      <c r="BW199" s="73"/>
      <c r="BX199" s="345"/>
      <c r="BY199" s="73"/>
      <c r="BZ199" s="25"/>
      <c r="CA199" s="73"/>
      <c r="CB199" s="73"/>
      <c r="CC199" s="345"/>
      <c r="CD199" s="73"/>
      <c r="CE199" s="25"/>
      <c r="CF199" s="73"/>
      <c r="CG199" s="73"/>
      <c r="CH199" s="345"/>
      <c r="CI199" s="73"/>
      <c r="CJ199" s="25"/>
      <c r="CK199" s="73"/>
      <c r="CL199" s="73"/>
      <c r="CM199" s="345"/>
      <c r="CN199" s="73"/>
      <c r="CO199" s="25"/>
      <c r="CP199" s="73"/>
      <c r="CQ199" s="73"/>
      <c r="CR199" s="345"/>
      <c r="CS199" s="73"/>
      <c r="CT199" s="25"/>
      <c r="CU199" s="73"/>
      <c r="CV199" s="73"/>
      <c r="CW199" s="345"/>
      <c r="CX199" s="73"/>
      <c r="CY199" s="25"/>
      <c r="CZ199" s="73"/>
      <c r="DA199" s="73"/>
      <c r="DB199" s="345"/>
      <c r="DC199" s="73"/>
      <c r="DD199" s="25"/>
      <c r="DE199" s="73"/>
      <c r="DF199" s="73"/>
      <c r="DG199" s="345"/>
      <c r="DH199" s="73"/>
      <c r="DI199" s="25"/>
      <c r="DJ199" s="73"/>
      <c r="DK199" s="73"/>
      <c r="DL199" s="345"/>
      <c r="DM199" s="73"/>
      <c r="DN199" s="25"/>
      <c r="DO199" s="73"/>
      <c r="DP199" s="73"/>
      <c r="DQ199" s="345"/>
      <c r="DR199" s="73"/>
      <c r="DS199" s="25"/>
      <c r="DT199" s="73"/>
      <c r="DU199" s="73"/>
      <c r="DV199" s="345"/>
      <c r="DW199" s="73"/>
      <c r="DX199" s="25"/>
      <c r="DY199" s="73"/>
      <c r="DZ199" s="73"/>
      <c r="EA199" s="345"/>
      <c r="EB199" s="73"/>
      <c r="EC199" s="25"/>
      <c r="ED199" s="73"/>
      <c r="EE199" s="73"/>
      <c r="EF199" s="345"/>
      <c r="EG199" s="73"/>
      <c r="EH199" s="25"/>
      <c r="EI199" s="73"/>
      <c r="EJ199" s="73"/>
      <c r="EK199" s="345"/>
      <c r="EL199" s="73"/>
      <c r="EM199" s="25"/>
      <c r="EN199" s="73"/>
      <c r="EO199" s="73"/>
      <c r="EP199" s="345"/>
      <c r="EQ199" s="73"/>
      <c r="ER199" s="25"/>
      <c r="ES199" s="73"/>
      <c r="ET199" s="73"/>
      <c r="EU199" s="345"/>
      <c r="EV199" s="73"/>
      <c r="EW199" s="25"/>
      <c r="EX199" s="73"/>
      <c r="EY199" s="73"/>
      <c r="EZ199" s="345"/>
      <c r="FA199" s="73"/>
      <c r="FB199" s="25"/>
      <c r="FC199" s="73"/>
      <c r="FD199" s="73"/>
      <c r="FE199" s="345"/>
      <c r="FF199" s="73"/>
      <c r="FG199" s="25"/>
      <c r="FH199" s="73"/>
      <c r="FI199" s="73"/>
      <c r="FJ199" s="345"/>
      <c r="FK199" s="73"/>
      <c r="FL199" s="25"/>
      <c r="FM199" s="73"/>
      <c r="FN199" s="73"/>
      <c r="FO199" s="345"/>
      <c r="FP199" s="73"/>
      <c r="FQ199" s="25"/>
      <c r="FR199" s="73"/>
      <c r="FS199" s="73"/>
      <c r="FT199" s="345"/>
      <c r="FU199" s="73"/>
      <c r="FV199" s="25"/>
      <c r="FW199" s="73"/>
      <c r="FX199" s="73"/>
      <c r="FY199" s="345"/>
      <c r="FZ199" s="73"/>
      <c r="GA199" s="25"/>
      <c r="GB199" s="73"/>
      <c r="GC199" s="73"/>
      <c r="GD199" s="345"/>
      <c r="GE199" s="73"/>
      <c r="GF199" s="25"/>
      <c r="GG199" s="73"/>
      <c r="GH199" s="73"/>
      <c r="GI199" s="345"/>
      <c r="GJ199" s="73"/>
      <c r="GK199" s="25"/>
      <c r="GL199" s="73"/>
      <c r="GM199" s="73"/>
      <c r="GN199" s="345"/>
      <c r="GO199" s="73"/>
      <c r="GP199" s="25"/>
      <c r="GQ199" s="73"/>
      <c r="GR199" s="73"/>
      <c r="GS199" s="345"/>
      <c r="GT199" s="73"/>
      <c r="GU199" s="25"/>
      <c r="GV199" s="73"/>
      <c r="GW199" s="73"/>
      <c r="GX199" s="345"/>
      <c r="GY199" s="73"/>
      <c r="GZ199" s="25"/>
      <c r="HA199" s="73"/>
      <c r="HB199" s="73"/>
      <c r="HC199" s="345"/>
      <c r="HD199" s="73"/>
      <c r="HE199" s="25"/>
      <c r="HF199" s="73"/>
      <c r="HG199" s="73"/>
      <c r="HH199" s="345"/>
      <c r="HI199" s="73"/>
      <c r="HJ199" s="25"/>
      <c r="HK199" s="73"/>
      <c r="HL199" s="73"/>
      <c r="HM199" s="345"/>
      <c r="HN199" s="73"/>
      <c r="HO199" s="25"/>
      <c r="HP199" s="73"/>
      <c r="HQ199" s="73"/>
      <c r="HR199" s="345"/>
      <c r="HS199" s="73"/>
      <c r="HT199" s="25"/>
      <c r="HU199" s="73"/>
      <c r="HV199" s="73"/>
      <c r="HW199" s="345"/>
      <c r="HX199" s="73"/>
      <c r="HY199" s="25"/>
      <c r="HZ199" s="73"/>
      <c r="IA199" s="73"/>
      <c r="IB199" s="345"/>
      <c r="IC199" s="73"/>
      <c r="ID199" s="25"/>
      <c r="IE199" s="73"/>
      <c r="IF199" s="73"/>
      <c r="IG199" s="345"/>
      <c r="IH199" s="73"/>
      <c r="II199" s="25"/>
      <c r="IJ199" s="73"/>
      <c r="IK199" s="73"/>
      <c r="IL199" s="345"/>
      <c r="IM199" s="73"/>
      <c r="IN199" s="25"/>
      <c r="IO199" s="73"/>
      <c r="IP199" s="73"/>
      <c r="IQ199" s="345"/>
      <c r="IR199" s="73"/>
      <c r="IS199" s="25"/>
      <c r="IT199" s="73"/>
      <c r="IU199" s="73"/>
      <c r="IV199" s="345"/>
    </row>
    <row r="200" spans="1:256" x14ac:dyDescent="0.2">
      <c r="A200" s="345">
        <v>33603</v>
      </c>
      <c r="B200" s="73"/>
      <c r="C200" s="25"/>
      <c r="D200" s="73"/>
      <c r="E200" s="73"/>
      <c r="F200" s="345"/>
      <c r="G200" s="73"/>
      <c r="H200" s="25"/>
      <c r="I200" s="73"/>
      <c r="J200" s="73"/>
      <c r="K200" s="345"/>
      <c r="L200" s="73"/>
      <c r="M200" s="25"/>
      <c r="N200" s="73"/>
      <c r="O200" s="73"/>
      <c r="P200" s="345"/>
      <c r="Q200" s="73"/>
      <c r="R200" s="25"/>
      <c r="S200" s="73"/>
      <c r="T200" s="73"/>
      <c r="U200" s="345"/>
      <c r="V200" s="73"/>
      <c r="W200" s="25"/>
      <c r="X200" s="73"/>
      <c r="Y200" s="73"/>
      <c r="Z200" s="345"/>
      <c r="AA200" s="73"/>
      <c r="AB200" s="25"/>
      <c r="AC200" s="73"/>
      <c r="AD200" s="73"/>
      <c r="AE200" s="345"/>
      <c r="AF200" s="73"/>
      <c r="AG200" s="25"/>
      <c r="AH200" s="73"/>
      <c r="AI200" s="73"/>
      <c r="AJ200" s="345"/>
      <c r="AK200" s="73"/>
      <c r="AL200" s="25"/>
      <c r="AM200" s="73"/>
      <c r="AN200" s="73"/>
      <c r="AO200" s="345"/>
      <c r="AP200" s="73"/>
      <c r="AQ200" s="25"/>
      <c r="AR200" s="73"/>
      <c r="AS200" s="73"/>
      <c r="AT200" s="345"/>
      <c r="AU200" s="73"/>
      <c r="AV200" s="25"/>
      <c r="AW200" s="73"/>
      <c r="AX200" s="73"/>
      <c r="AY200" s="345"/>
      <c r="AZ200" s="73"/>
      <c r="BA200" s="25"/>
      <c r="BB200" s="73"/>
      <c r="BC200" s="73"/>
      <c r="BD200" s="345"/>
      <c r="BE200" s="73"/>
      <c r="BF200" s="25"/>
      <c r="BG200" s="73"/>
      <c r="BH200" s="73"/>
      <c r="BI200" s="345"/>
      <c r="BJ200" s="73"/>
      <c r="BK200" s="25"/>
      <c r="BL200" s="73"/>
      <c r="BM200" s="73"/>
      <c r="BN200" s="345"/>
      <c r="BO200" s="73"/>
      <c r="BP200" s="25"/>
      <c r="BQ200" s="73"/>
      <c r="BR200" s="73"/>
      <c r="BS200" s="345"/>
      <c r="BT200" s="73"/>
      <c r="BU200" s="25"/>
      <c r="BV200" s="73"/>
      <c r="BW200" s="73"/>
      <c r="BX200" s="345"/>
      <c r="BY200" s="73"/>
      <c r="BZ200" s="25"/>
      <c r="CA200" s="73"/>
      <c r="CB200" s="73"/>
      <c r="CC200" s="345"/>
      <c r="CD200" s="73"/>
      <c r="CE200" s="25"/>
      <c r="CF200" s="73"/>
      <c r="CG200" s="73"/>
      <c r="CH200" s="345"/>
      <c r="CI200" s="73"/>
      <c r="CJ200" s="25"/>
      <c r="CK200" s="73"/>
      <c r="CL200" s="73"/>
      <c r="CM200" s="345"/>
      <c r="CN200" s="73"/>
      <c r="CO200" s="25"/>
      <c r="CP200" s="73"/>
      <c r="CQ200" s="73"/>
      <c r="CR200" s="345"/>
      <c r="CS200" s="73"/>
      <c r="CT200" s="25"/>
      <c r="CU200" s="73"/>
      <c r="CV200" s="73"/>
      <c r="CW200" s="345"/>
      <c r="CX200" s="73"/>
      <c r="CY200" s="25"/>
      <c r="CZ200" s="73"/>
      <c r="DA200" s="73"/>
      <c r="DB200" s="345"/>
      <c r="DC200" s="73"/>
      <c r="DD200" s="25"/>
      <c r="DE200" s="73"/>
      <c r="DF200" s="73"/>
      <c r="DG200" s="345"/>
      <c r="DH200" s="73"/>
      <c r="DI200" s="25"/>
      <c r="DJ200" s="73"/>
      <c r="DK200" s="73"/>
      <c r="DL200" s="345"/>
      <c r="DM200" s="73"/>
      <c r="DN200" s="25"/>
      <c r="DO200" s="73"/>
      <c r="DP200" s="73"/>
      <c r="DQ200" s="345"/>
      <c r="DR200" s="73"/>
      <c r="DS200" s="25"/>
      <c r="DT200" s="73"/>
      <c r="DU200" s="73"/>
      <c r="DV200" s="345"/>
      <c r="DW200" s="73"/>
      <c r="DX200" s="25"/>
      <c r="DY200" s="73"/>
      <c r="DZ200" s="73"/>
      <c r="EA200" s="345"/>
      <c r="EB200" s="73"/>
      <c r="EC200" s="25"/>
      <c r="ED200" s="73"/>
      <c r="EE200" s="73"/>
      <c r="EF200" s="345"/>
      <c r="EG200" s="73"/>
      <c r="EH200" s="25"/>
      <c r="EI200" s="73"/>
      <c r="EJ200" s="73"/>
      <c r="EK200" s="345"/>
      <c r="EL200" s="73"/>
      <c r="EM200" s="25"/>
      <c r="EN200" s="73"/>
      <c r="EO200" s="73"/>
      <c r="EP200" s="345"/>
      <c r="EQ200" s="73"/>
      <c r="ER200" s="25"/>
      <c r="ES200" s="73"/>
      <c r="ET200" s="73"/>
      <c r="EU200" s="345"/>
      <c r="EV200" s="73"/>
      <c r="EW200" s="25"/>
      <c r="EX200" s="73"/>
      <c r="EY200" s="73"/>
      <c r="EZ200" s="345"/>
      <c r="FA200" s="73"/>
      <c r="FB200" s="25"/>
      <c r="FC200" s="73"/>
      <c r="FD200" s="73"/>
      <c r="FE200" s="345"/>
      <c r="FF200" s="73"/>
      <c r="FG200" s="25"/>
      <c r="FH200" s="73"/>
      <c r="FI200" s="73"/>
      <c r="FJ200" s="345"/>
      <c r="FK200" s="73"/>
      <c r="FL200" s="25"/>
      <c r="FM200" s="73"/>
      <c r="FN200" s="73"/>
      <c r="FO200" s="345"/>
      <c r="FP200" s="73"/>
      <c r="FQ200" s="25"/>
      <c r="FR200" s="73"/>
      <c r="FS200" s="73"/>
      <c r="FT200" s="345"/>
      <c r="FU200" s="73"/>
      <c r="FV200" s="25"/>
      <c r="FW200" s="73"/>
      <c r="FX200" s="73"/>
      <c r="FY200" s="345"/>
      <c r="FZ200" s="73"/>
      <c r="GA200" s="25"/>
      <c r="GB200" s="73"/>
      <c r="GC200" s="73"/>
      <c r="GD200" s="345"/>
      <c r="GE200" s="73"/>
      <c r="GF200" s="25"/>
      <c r="GG200" s="73"/>
      <c r="GH200" s="73"/>
      <c r="GI200" s="345"/>
      <c r="GJ200" s="73"/>
      <c r="GK200" s="25"/>
      <c r="GL200" s="73"/>
      <c r="GM200" s="73"/>
      <c r="GN200" s="345"/>
      <c r="GO200" s="73"/>
      <c r="GP200" s="25"/>
      <c r="GQ200" s="73"/>
      <c r="GR200" s="73"/>
      <c r="GS200" s="345"/>
      <c r="GT200" s="73"/>
      <c r="GU200" s="25"/>
      <c r="GV200" s="73"/>
      <c r="GW200" s="73"/>
      <c r="GX200" s="345"/>
      <c r="GY200" s="73"/>
      <c r="GZ200" s="25"/>
      <c r="HA200" s="73"/>
      <c r="HB200" s="73"/>
      <c r="HC200" s="345"/>
      <c r="HD200" s="73"/>
      <c r="HE200" s="25"/>
      <c r="HF200" s="73"/>
      <c r="HG200" s="73"/>
      <c r="HH200" s="345"/>
      <c r="HI200" s="73"/>
      <c r="HJ200" s="25"/>
      <c r="HK200" s="73"/>
      <c r="HL200" s="73"/>
      <c r="HM200" s="345"/>
      <c r="HN200" s="73"/>
      <c r="HO200" s="25"/>
      <c r="HP200" s="73"/>
      <c r="HQ200" s="73"/>
      <c r="HR200" s="345"/>
      <c r="HS200" s="73"/>
      <c r="HT200" s="25"/>
      <c r="HU200" s="73"/>
      <c r="HV200" s="73"/>
      <c r="HW200" s="345"/>
      <c r="HX200" s="73"/>
      <c r="HY200" s="25"/>
      <c r="HZ200" s="73"/>
      <c r="IA200" s="73"/>
      <c r="IB200" s="345"/>
      <c r="IC200" s="73"/>
      <c r="ID200" s="25"/>
      <c r="IE200" s="73"/>
      <c r="IF200" s="73"/>
      <c r="IG200" s="345"/>
      <c r="IH200" s="73"/>
      <c r="II200" s="25"/>
      <c r="IJ200" s="73"/>
      <c r="IK200" s="73"/>
      <c r="IL200" s="345"/>
      <c r="IM200" s="73"/>
      <c r="IN200" s="25"/>
      <c r="IO200" s="73"/>
      <c r="IP200" s="73"/>
      <c r="IQ200" s="345"/>
      <c r="IR200" s="73"/>
      <c r="IS200" s="25"/>
      <c r="IT200" s="73"/>
      <c r="IU200" s="73"/>
      <c r="IV200" s="345"/>
    </row>
    <row r="201" spans="1:256" x14ac:dyDescent="0.2">
      <c r="A201" s="345">
        <v>33634</v>
      </c>
      <c r="B201" s="73"/>
      <c r="C201" s="25"/>
      <c r="D201" s="73"/>
      <c r="E201" s="73"/>
      <c r="F201" s="345"/>
      <c r="G201" s="73"/>
      <c r="H201" s="25"/>
      <c r="I201" s="73"/>
      <c r="J201" s="73"/>
      <c r="K201" s="345"/>
      <c r="L201" s="73"/>
      <c r="M201" s="25"/>
      <c r="N201" s="73"/>
      <c r="O201" s="73"/>
      <c r="P201" s="345"/>
      <c r="Q201" s="73"/>
      <c r="R201" s="25"/>
      <c r="S201" s="73"/>
      <c r="T201" s="73"/>
      <c r="U201" s="345"/>
      <c r="V201" s="73"/>
      <c r="W201" s="25"/>
      <c r="X201" s="73"/>
      <c r="Y201" s="73"/>
      <c r="Z201" s="345"/>
      <c r="AA201" s="73"/>
      <c r="AB201" s="25"/>
      <c r="AC201" s="73"/>
      <c r="AD201" s="73"/>
      <c r="AE201" s="345"/>
      <c r="AF201" s="73"/>
      <c r="AG201" s="25"/>
      <c r="AH201" s="73"/>
      <c r="AI201" s="73"/>
      <c r="AJ201" s="345"/>
      <c r="AK201" s="73"/>
      <c r="AL201" s="25"/>
      <c r="AM201" s="73"/>
      <c r="AN201" s="73"/>
      <c r="AO201" s="345"/>
      <c r="AP201" s="73"/>
      <c r="AQ201" s="25"/>
      <c r="AR201" s="73"/>
      <c r="AS201" s="73"/>
      <c r="AT201" s="345"/>
      <c r="AU201" s="73"/>
      <c r="AV201" s="25"/>
      <c r="AW201" s="73"/>
      <c r="AX201" s="73"/>
      <c r="AY201" s="345"/>
      <c r="AZ201" s="73"/>
      <c r="BA201" s="25"/>
      <c r="BB201" s="73"/>
      <c r="BC201" s="73"/>
      <c r="BD201" s="345"/>
      <c r="BE201" s="73"/>
      <c r="BF201" s="25"/>
      <c r="BG201" s="73"/>
      <c r="BH201" s="73"/>
      <c r="BI201" s="345"/>
      <c r="BJ201" s="73"/>
      <c r="BK201" s="25"/>
      <c r="BL201" s="73"/>
      <c r="BM201" s="73"/>
      <c r="BN201" s="345"/>
      <c r="BO201" s="73"/>
      <c r="BP201" s="25"/>
      <c r="BQ201" s="73"/>
      <c r="BR201" s="73"/>
      <c r="BS201" s="345"/>
      <c r="BT201" s="73"/>
      <c r="BU201" s="25"/>
      <c r="BV201" s="73"/>
      <c r="BW201" s="73"/>
      <c r="BX201" s="345"/>
      <c r="BY201" s="73"/>
      <c r="BZ201" s="25"/>
      <c r="CA201" s="73"/>
      <c r="CB201" s="73"/>
      <c r="CC201" s="345"/>
      <c r="CD201" s="73"/>
      <c r="CE201" s="25"/>
      <c r="CF201" s="73"/>
      <c r="CG201" s="73"/>
      <c r="CH201" s="345"/>
      <c r="CI201" s="73"/>
      <c r="CJ201" s="25"/>
      <c r="CK201" s="73"/>
      <c r="CL201" s="73"/>
      <c r="CM201" s="345"/>
      <c r="CN201" s="73"/>
      <c r="CO201" s="25"/>
      <c r="CP201" s="73"/>
      <c r="CQ201" s="73"/>
      <c r="CR201" s="345"/>
      <c r="CS201" s="73"/>
      <c r="CT201" s="25"/>
      <c r="CU201" s="73"/>
      <c r="CV201" s="73"/>
      <c r="CW201" s="345"/>
      <c r="CX201" s="73"/>
      <c r="CY201" s="25"/>
      <c r="CZ201" s="73"/>
      <c r="DA201" s="73"/>
      <c r="DB201" s="345"/>
      <c r="DC201" s="73"/>
      <c r="DD201" s="25"/>
      <c r="DE201" s="73"/>
      <c r="DF201" s="73"/>
      <c r="DG201" s="345"/>
      <c r="DH201" s="73"/>
      <c r="DI201" s="25"/>
      <c r="DJ201" s="73"/>
      <c r="DK201" s="73"/>
      <c r="DL201" s="345"/>
      <c r="DM201" s="73"/>
      <c r="DN201" s="25"/>
      <c r="DO201" s="73"/>
      <c r="DP201" s="73"/>
      <c r="DQ201" s="345"/>
      <c r="DR201" s="73"/>
      <c r="DS201" s="25"/>
      <c r="DT201" s="73"/>
      <c r="DU201" s="73"/>
      <c r="DV201" s="345"/>
      <c r="DW201" s="73"/>
      <c r="DX201" s="25"/>
      <c r="DY201" s="73"/>
      <c r="DZ201" s="73"/>
      <c r="EA201" s="345"/>
      <c r="EB201" s="73"/>
      <c r="EC201" s="25"/>
      <c r="ED201" s="73"/>
      <c r="EE201" s="73"/>
      <c r="EF201" s="345"/>
      <c r="EG201" s="73"/>
      <c r="EH201" s="25"/>
      <c r="EI201" s="73"/>
      <c r="EJ201" s="73"/>
      <c r="EK201" s="345"/>
      <c r="EL201" s="73"/>
      <c r="EM201" s="25"/>
      <c r="EN201" s="73"/>
      <c r="EO201" s="73"/>
      <c r="EP201" s="345"/>
      <c r="EQ201" s="73"/>
      <c r="ER201" s="25"/>
      <c r="ES201" s="73"/>
      <c r="ET201" s="73"/>
      <c r="EU201" s="345"/>
      <c r="EV201" s="73"/>
      <c r="EW201" s="25"/>
      <c r="EX201" s="73"/>
      <c r="EY201" s="73"/>
      <c r="EZ201" s="345"/>
      <c r="FA201" s="73"/>
      <c r="FB201" s="25"/>
      <c r="FC201" s="73"/>
      <c r="FD201" s="73"/>
      <c r="FE201" s="345"/>
      <c r="FF201" s="73"/>
      <c r="FG201" s="25"/>
      <c r="FH201" s="73"/>
      <c r="FI201" s="73"/>
      <c r="FJ201" s="345"/>
      <c r="FK201" s="73"/>
      <c r="FL201" s="25"/>
      <c r="FM201" s="73"/>
      <c r="FN201" s="73"/>
      <c r="FO201" s="345"/>
      <c r="FP201" s="73"/>
      <c r="FQ201" s="25"/>
      <c r="FR201" s="73"/>
      <c r="FS201" s="73"/>
      <c r="FT201" s="345"/>
      <c r="FU201" s="73"/>
      <c r="FV201" s="25"/>
      <c r="FW201" s="73"/>
      <c r="FX201" s="73"/>
      <c r="FY201" s="345"/>
      <c r="FZ201" s="73"/>
      <c r="GA201" s="25"/>
      <c r="GB201" s="73"/>
      <c r="GC201" s="73"/>
      <c r="GD201" s="345"/>
      <c r="GE201" s="73"/>
      <c r="GF201" s="25"/>
      <c r="GG201" s="73"/>
      <c r="GH201" s="73"/>
      <c r="GI201" s="345"/>
      <c r="GJ201" s="73"/>
      <c r="GK201" s="25"/>
      <c r="GL201" s="73"/>
      <c r="GM201" s="73"/>
      <c r="GN201" s="345"/>
      <c r="GO201" s="73"/>
      <c r="GP201" s="25"/>
      <c r="GQ201" s="73"/>
      <c r="GR201" s="73"/>
      <c r="GS201" s="345"/>
      <c r="GT201" s="73"/>
      <c r="GU201" s="25"/>
      <c r="GV201" s="73"/>
      <c r="GW201" s="73"/>
      <c r="GX201" s="345"/>
      <c r="GY201" s="73"/>
      <c r="GZ201" s="25"/>
      <c r="HA201" s="73"/>
      <c r="HB201" s="73"/>
      <c r="HC201" s="345"/>
      <c r="HD201" s="73"/>
      <c r="HE201" s="25"/>
      <c r="HF201" s="73"/>
      <c r="HG201" s="73"/>
      <c r="HH201" s="345"/>
      <c r="HI201" s="73"/>
      <c r="HJ201" s="25"/>
      <c r="HK201" s="73"/>
      <c r="HL201" s="73"/>
      <c r="HM201" s="345"/>
      <c r="HN201" s="73"/>
      <c r="HO201" s="25"/>
      <c r="HP201" s="73"/>
      <c r="HQ201" s="73"/>
      <c r="HR201" s="345"/>
      <c r="HS201" s="73"/>
      <c r="HT201" s="25"/>
      <c r="HU201" s="73"/>
      <c r="HV201" s="73"/>
      <c r="HW201" s="345"/>
      <c r="HX201" s="73"/>
      <c r="HY201" s="25"/>
      <c r="HZ201" s="73"/>
      <c r="IA201" s="73"/>
      <c r="IB201" s="345"/>
      <c r="IC201" s="73"/>
      <c r="ID201" s="25"/>
      <c r="IE201" s="73"/>
      <c r="IF201" s="73"/>
      <c r="IG201" s="345"/>
      <c r="IH201" s="73"/>
      <c r="II201" s="25"/>
      <c r="IJ201" s="73"/>
      <c r="IK201" s="73"/>
      <c r="IL201" s="345"/>
      <c r="IM201" s="73"/>
      <c r="IN201" s="25"/>
      <c r="IO201" s="73"/>
      <c r="IP201" s="73"/>
      <c r="IQ201" s="345"/>
      <c r="IR201" s="73"/>
      <c r="IS201" s="25"/>
      <c r="IT201" s="73"/>
      <c r="IU201" s="73"/>
      <c r="IV201" s="345"/>
    </row>
    <row r="202" spans="1:256" x14ac:dyDescent="0.2">
      <c r="A202" s="345">
        <v>33663</v>
      </c>
      <c r="B202" s="73"/>
      <c r="C202" s="25"/>
      <c r="D202" s="73"/>
      <c r="E202" s="73"/>
      <c r="F202" s="345"/>
      <c r="G202" s="73"/>
      <c r="H202" s="25"/>
      <c r="I202" s="73"/>
      <c r="J202" s="73"/>
      <c r="K202" s="345"/>
      <c r="L202" s="73"/>
      <c r="M202" s="25"/>
      <c r="N202" s="73"/>
      <c r="O202" s="73"/>
      <c r="P202" s="345"/>
      <c r="Q202" s="73"/>
      <c r="R202" s="25"/>
      <c r="S202" s="73"/>
      <c r="T202" s="73"/>
      <c r="U202" s="345"/>
      <c r="V202" s="73"/>
      <c r="W202" s="25"/>
      <c r="X202" s="73"/>
      <c r="Y202" s="73"/>
      <c r="Z202" s="345"/>
      <c r="AA202" s="73"/>
      <c r="AB202" s="25"/>
      <c r="AC202" s="73"/>
      <c r="AD202" s="73"/>
      <c r="AE202" s="345"/>
      <c r="AF202" s="73"/>
      <c r="AG202" s="25"/>
      <c r="AH202" s="73"/>
      <c r="AI202" s="73"/>
      <c r="AJ202" s="345"/>
      <c r="AK202" s="73"/>
      <c r="AL202" s="25"/>
      <c r="AM202" s="73"/>
      <c r="AN202" s="73"/>
      <c r="AO202" s="345"/>
      <c r="AP202" s="73"/>
      <c r="AQ202" s="25"/>
      <c r="AR202" s="73"/>
      <c r="AS202" s="73"/>
      <c r="AT202" s="345"/>
      <c r="AU202" s="73"/>
      <c r="AV202" s="25"/>
      <c r="AW202" s="73"/>
      <c r="AX202" s="73"/>
      <c r="AY202" s="345"/>
      <c r="AZ202" s="73"/>
      <c r="BA202" s="25"/>
      <c r="BB202" s="73"/>
      <c r="BC202" s="73"/>
      <c r="BD202" s="345"/>
      <c r="BE202" s="73"/>
      <c r="BF202" s="25"/>
      <c r="BG202" s="73"/>
      <c r="BH202" s="73"/>
      <c r="BI202" s="345"/>
      <c r="BJ202" s="73"/>
      <c r="BK202" s="25"/>
      <c r="BL202" s="73"/>
      <c r="BM202" s="73"/>
      <c r="BN202" s="345"/>
      <c r="BO202" s="73"/>
      <c r="BP202" s="25"/>
      <c r="BQ202" s="73"/>
      <c r="BR202" s="73"/>
      <c r="BS202" s="345"/>
      <c r="BT202" s="73"/>
      <c r="BU202" s="25"/>
      <c r="BV202" s="73"/>
      <c r="BW202" s="73"/>
      <c r="BX202" s="345"/>
      <c r="BY202" s="73"/>
      <c r="BZ202" s="25"/>
      <c r="CA202" s="73"/>
      <c r="CB202" s="73"/>
      <c r="CC202" s="345"/>
      <c r="CD202" s="73"/>
      <c r="CE202" s="25"/>
      <c r="CF202" s="73"/>
      <c r="CG202" s="73"/>
      <c r="CH202" s="345"/>
      <c r="CI202" s="73"/>
      <c r="CJ202" s="25"/>
      <c r="CK202" s="73"/>
      <c r="CL202" s="73"/>
      <c r="CM202" s="345"/>
      <c r="CN202" s="73"/>
      <c r="CO202" s="25"/>
      <c r="CP202" s="73"/>
      <c r="CQ202" s="73"/>
      <c r="CR202" s="345"/>
      <c r="CS202" s="73"/>
      <c r="CT202" s="25"/>
      <c r="CU202" s="73"/>
      <c r="CV202" s="73"/>
      <c r="CW202" s="345"/>
      <c r="CX202" s="73"/>
      <c r="CY202" s="25"/>
      <c r="CZ202" s="73"/>
      <c r="DA202" s="73"/>
      <c r="DB202" s="345"/>
      <c r="DC202" s="73"/>
      <c r="DD202" s="25"/>
      <c r="DE202" s="73"/>
      <c r="DF202" s="73"/>
      <c r="DG202" s="345"/>
      <c r="DH202" s="73"/>
      <c r="DI202" s="25"/>
      <c r="DJ202" s="73"/>
      <c r="DK202" s="73"/>
      <c r="DL202" s="345"/>
      <c r="DM202" s="73"/>
      <c r="DN202" s="25"/>
      <c r="DO202" s="73"/>
      <c r="DP202" s="73"/>
      <c r="DQ202" s="345"/>
      <c r="DR202" s="73"/>
      <c r="DS202" s="25"/>
      <c r="DT202" s="73"/>
      <c r="DU202" s="73"/>
      <c r="DV202" s="345"/>
      <c r="DW202" s="73"/>
      <c r="DX202" s="25"/>
      <c r="DY202" s="73"/>
      <c r="DZ202" s="73"/>
      <c r="EA202" s="345"/>
      <c r="EB202" s="73"/>
      <c r="EC202" s="25"/>
      <c r="ED202" s="73"/>
      <c r="EE202" s="73"/>
      <c r="EF202" s="345"/>
      <c r="EG202" s="73"/>
      <c r="EH202" s="25"/>
      <c r="EI202" s="73"/>
      <c r="EJ202" s="73"/>
      <c r="EK202" s="345"/>
      <c r="EL202" s="73"/>
      <c r="EM202" s="25"/>
      <c r="EN202" s="73"/>
      <c r="EO202" s="73"/>
      <c r="EP202" s="345"/>
      <c r="EQ202" s="73"/>
      <c r="ER202" s="25"/>
      <c r="ES202" s="73"/>
      <c r="ET202" s="73"/>
      <c r="EU202" s="345"/>
      <c r="EV202" s="73"/>
      <c r="EW202" s="25"/>
      <c r="EX202" s="73"/>
      <c r="EY202" s="73"/>
      <c r="EZ202" s="345"/>
      <c r="FA202" s="73"/>
      <c r="FB202" s="25"/>
      <c r="FC202" s="73"/>
      <c r="FD202" s="73"/>
      <c r="FE202" s="345"/>
      <c r="FF202" s="73"/>
      <c r="FG202" s="25"/>
      <c r="FH202" s="73"/>
      <c r="FI202" s="73"/>
      <c r="FJ202" s="345"/>
      <c r="FK202" s="73"/>
      <c r="FL202" s="25"/>
      <c r="FM202" s="73"/>
      <c r="FN202" s="73"/>
      <c r="FO202" s="345"/>
      <c r="FP202" s="73"/>
      <c r="FQ202" s="25"/>
      <c r="FR202" s="73"/>
      <c r="FS202" s="73"/>
      <c r="FT202" s="345"/>
      <c r="FU202" s="73"/>
      <c r="FV202" s="25"/>
      <c r="FW202" s="73"/>
      <c r="FX202" s="73"/>
      <c r="FY202" s="345"/>
      <c r="FZ202" s="73"/>
      <c r="GA202" s="25"/>
      <c r="GB202" s="73"/>
      <c r="GC202" s="73"/>
      <c r="GD202" s="345"/>
      <c r="GE202" s="73"/>
      <c r="GF202" s="25"/>
      <c r="GG202" s="73"/>
      <c r="GH202" s="73"/>
      <c r="GI202" s="345"/>
      <c r="GJ202" s="73"/>
      <c r="GK202" s="25"/>
      <c r="GL202" s="73"/>
      <c r="GM202" s="73"/>
      <c r="GN202" s="345"/>
      <c r="GO202" s="73"/>
      <c r="GP202" s="25"/>
      <c r="GQ202" s="73"/>
      <c r="GR202" s="73"/>
      <c r="GS202" s="345"/>
      <c r="GT202" s="73"/>
      <c r="GU202" s="25"/>
      <c r="GV202" s="73"/>
      <c r="GW202" s="73"/>
      <c r="GX202" s="345"/>
      <c r="GY202" s="73"/>
      <c r="GZ202" s="25"/>
      <c r="HA202" s="73"/>
      <c r="HB202" s="73"/>
      <c r="HC202" s="345"/>
      <c r="HD202" s="73"/>
      <c r="HE202" s="25"/>
      <c r="HF202" s="73"/>
      <c r="HG202" s="73"/>
      <c r="HH202" s="345"/>
      <c r="HI202" s="73"/>
      <c r="HJ202" s="25"/>
      <c r="HK202" s="73"/>
      <c r="HL202" s="73"/>
      <c r="HM202" s="345"/>
      <c r="HN202" s="73"/>
      <c r="HO202" s="25"/>
      <c r="HP202" s="73"/>
      <c r="HQ202" s="73"/>
      <c r="HR202" s="345"/>
      <c r="HS202" s="73"/>
      <c r="HT202" s="25"/>
      <c r="HU202" s="73"/>
      <c r="HV202" s="73"/>
      <c r="HW202" s="345"/>
      <c r="HX202" s="73"/>
      <c r="HY202" s="25"/>
      <c r="HZ202" s="73"/>
      <c r="IA202" s="73"/>
      <c r="IB202" s="345"/>
      <c r="IC202" s="73"/>
      <c r="ID202" s="25"/>
      <c r="IE202" s="73"/>
      <c r="IF202" s="73"/>
      <c r="IG202" s="345"/>
      <c r="IH202" s="73"/>
      <c r="II202" s="25"/>
      <c r="IJ202" s="73"/>
      <c r="IK202" s="73"/>
      <c r="IL202" s="345"/>
      <c r="IM202" s="73"/>
      <c r="IN202" s="25"/>
      <c r="IO202" s="73"/>
      <c r="IP202" s="73"/>
      <c r="IQ202" s="345"/>
      <c r="IR202" s="73"/>
      <c r="IS202" s="25"/>
      <c r="IT202" s="73"/>
      <c r="IU202" s="73"/>
      <c r="IV202" s="345"/>
    </row>
    <row r="203" spans="1:256" x14ac:dyDescent="0.2">
      <c r="A203" s="345">
        <v>33694</v>
      </c>
      <c r="B203" s="73"/>
      <c r="C203" s="25"/>
      <c r="D203" s="73"/>
      <c r="E203" s="73"/>
      <c r="F203" s="345"/>
      <c r="G203" s="73"/>
      <c r="H203" s="25"/>
      <c r="I203" s="73"/>
      <c r="J203" s="73"/>
      <c r="K203" s="345"/>
      <c r="L203" s="73"/>
      <c r="M203" s="25"/>
      <c r="N203" s="73"/>
      <c r="O203" s="73"/>
      <c r="P203" s="345"/>
      <c r="Q203" s="73"/>
      <c r="R203" s="25"/>
      <c r="S203" s="73"/>
      <c r="T203" s="73"/>
      <c r="U203" s="345"/>
      <c r="V203" s="73"/>
      <c r="W203" s="25"/>
      <c r="X203" s="73"/>
      <c r="Y203" s="73"/>
      <c r="Z203" s="345"/>
      <c r="AA203" s="73"/>
      <c r="AB203" s="25"/>
      <c r="AC203" s="73"/>
      <c r="AD203" s="73"/>
      <c r="AE203" s="345"/>
      <c r="AF203" s="73"/>
      <c r="AG203" s="25"/>
      <c r="AH203" s="73"/>
      <c r="AI203" s="73"/>
      <c r="AJ203" s="345"/>
      <c r="AK203" s="73"/>
      <c r="AL203" s="25"/>
      <c r="AM203" s="73"/>
      <c r="AN203" s="73"/>
      <c r="AO203" s="345"/>
      <c r="AP203" s="73"/>
      <c r="AQ203" s="25"/>
      <c r="AR203" s="73"/>
      <c r="AS203" s="73"/>
      <c r="AT203" s="345"/>
      <c r="AU203" s="73"/>
      <c r="AV203" s="25"/>
      <c r="AW203" s="73"/>
      <c r="AX203" s="73"/>
      <c r="AY203" s="345"/>
      <c r="AZ203" s="73"/>
      <c r="BA203" s="25"/>
      <c r="BB203" s="73"/>
      <c r="BC203" s="73"/>
      <c r="BD203" s="345"/>
      <c r="BE203" s="73"/>
      <c r="BF203" s="25"/>
      <c r="BG203" s="73"/>
      <c r="BH203" s="73"/>
      <c r="BI203" s="345"/>
      <c r="BJ203" s="73"/>
      <c r="BK203" s="25"/>
      <c r="BL203" s="73"/>
      <c r="BM203" s="73"/>
      <c r="BN203" s="345"/>
      <c r="BO203" s="73"/>
      <c r="BP203" s="25"/>
      <c r="BQ203" s="73"/>
      <c r="BR203" s="73"/>
      <c r="BS203" s="345"/>
      <c r="BT203" s="73"/>
      <c r="BU203" s="25"/>
      <c r="BV203" s="73"/>
      <c r="BW203" s="73"/>
      <c r="BX203" s="345"/>
      <c r="BY203" s="73"/>
      <c r="BZ203" s="25"/>
      <c r="CA203" s="73"/>
      <c r="CB203" s="73"/>
      <c r="CC203" s="345"/>
      <c r="CD203" s="73"/>
      <c r="CE203" s="25"/>
      <c r="CF203" s="73"/>
      <c r="CG203" s="73"/>
      <c r="CH203" s="345"/>
      <c r="CI203" s="73"/>
      <c r="CJ203" s="25"/>
      <c r="CK203" s="73"/>
      <c r="CL203" s="73"/>
      <c r="CM203" s="345"/>
      <c r="CN203" s="73"/>
      <c r="CO203" s="25"/>
      <c r="CP203" s="73"/>
      <c r="CQ203" s="73"/>
      <c r="CR203" s="345"/>
      <c r="CS203" s="73"/>
      <c r="CT203" s="25"/>
      <c r="CU203" s="73"/>
      <c r="CV203" s="73"/>
      <c r="CW203" s="345"/>
      <c r="CX203" s="73"/>
      <c r="CY203" s="25"/>
      <c r="CZ203" s="73"/>
      <c r="DA203" s="73"/>
      <c r="DB203" s="345"/>
      <c r="DC203" s="73"/>
      <c r="DD203" s="25"/>
      <c r="DE203" s="73"/>
      <c r="DF203" s="73"/>
      <c r="DG203" s="345"/>
      <c r="DH203" s="73"/>
      <c r="DI203" s="25"/>
      <c r="DJ203" s="73"/>
      <c r="DK203" s="73"/>
      <c r="DL203" s="345"/>
      <c r="DM203" s="73"/>
      <c r="DN203" s="25"/>
      <c r="DO203" s="73"/>
      <c r="DP203" s="73"/>
      <c r="DQ203" s="345"/>
      <c r="DR203" s="73"/>
      <c r="DS203" s="25"/>
      <c r="DT203" s="73"/>
      <c r="DU203" s="73"/>
      <c r="DV203" s="345"/>
      <c r="DW203" s="73"/>
      <c r="DX203" s="25"/>
      <c r="DY203" s="73"/>
      <c r="DZ203" s="73"/>
      <c r="EA203" s="345"/>
      <c r="EB203" s="73"/>
      <c r="EC203" s="25"/>
      <c r="ED203" s="73"/>
      <c r="EE203" s="73"/>
      <c r="EF203" s="345"/>
      <c r="EG203" s="73"/>
      <c r="EH203" s="25"/>
      <c r="EI203" s="73"/>
      <c r="EJ203" s="73"/>
      <c r="EK203" s="345"/>
      <c r="EL203" s="73"/>
      <c r="EM203" s="25"/>
      <c r="EN203" s="73"/>
      <c r="EO203" s="73"/>
      <c r="EP203" s="345"/>
      <c r="EQ203" s="73"/>
      <c r="ER203" s="25"/>
      <c r="ES203" s="73"/>
      <c r="ET203" s="73"/>
      <c r="EU203" s="345"/>
      <c r="EV203" s="73"/>
      <c r="EW203" s="25"/>
      <c r="EX203" s="73"/>
      <c r="EY203" s="73"/>
      <c r="EZ203" s="345"/>
      <c r="FA203" s="73"/>
      <c r="FB203" s="25"/>
      <c r="FC203" s="73"/>
      <c r="FD203" s="73"/>
      <c r="FE203" s="345"/>
      <c r="FF203" s="73"/>
      <c r="FG203" s="25"/>
      <c r="FH203" s="73"/>
      <c r="FI203" s="73"/>
      <c r="FJ203" s="345"/>
      <c r="FK203" s="73"/>
      <c r="FL203" s="25"/>
      <c r="FM203" s="73"/>
      <c r="FN203" s="73"/>
      <c r="FO203" s="345"/>
      <c r="FP203" s="73"/>
      <c r="FQ203" s="25"/>
      <c r="FR203" s="73"/>
      <c r="FS203" s="73"/>
      <c r="FT203" s="345"/>
      <c r="FU203" s="73"/>
      <c r="FV203" s="25"/>
      <c r="FW203" s="73"/>
      <c r="FX203" s="73"/>
      <c r="FY203" s="345"/>
      <c r="FZ203" s="73"/>
      <c r="GA203" s="25"/>
      <c r="GB203" s="73"/>
      <c r="GC203" s="73"/>
      <c r="GD203" s="345"/>
      <c r="GE203" s="73"/>
      <c r="GF203" s="25"/>
      <c r="GG203" s="73"/>
      <c r="GH203" s="73"/>
      <c r="GI203" s="345"/>
      <c r="GJ203" s="73"/>
      <c r="GK203" s="25"/>
      <c r="GL203" s="73"/>
      <c r="GM203" s="73"/>
      <c r="GN203" s="345"/>
      <c r="GO203" s="73"/>
      <c r="GP203" s="25"/>
      <c r="GQ203" s="73"/>
      <c r="GR203" s="73"/>
      <c r="GS203" s="345"/>
      <c r="GT203" s="73"/>
      <c r="GU203" s="25"/>
      <c r="GV203" s="73"/>
      <c r="GW203" s="73"/>
      <c r="GX203" s="345"/>
      <c r="GY203" s="73"/>
      <c r="GZ203" s="25"/>
      <c r="HA203" s="73"/>
      <c r="HB203" s="73"/>
      <c r="HC203" s="345"/>
      <c r="HD203" s="73"/>
      <c r="HE203" s="25"/>
      <c r="HF203" s="73"/>
      <c r="HG203" s="73"/>
      <c r="HH203" s="345"/>
      <c r="HI203" s="73"/>
      <c r="HJ203" s="25"/>
      <c r="HK203" s="73"/>
      <c r="HL203" s="73"/>
      <c r="HM203" s="345"/>
      <c r="HN203" s="73"/>
      <c r="HO203" s="25"/>
      <c r="HP203" s="73"/>
      <c r="HQ203" s="73"/>
      <c r="HR203" s="345"/>
      <c r="HS203" s="73"/>
      <c r="HT203" s="25"/>
      <c r="HU203" s="73"/>
      <c r="HV203" s="73"/>
      <c r="HW203" s="345"/>
      <c r="HX203" s="73"/>
      <c r="HY203" s="25"/>
      <c r="HZ203" s="73"/>
      <c r="IA203" s="73"/>
      <c r="IB203" s="345"/>
      <c r="IC203" s="73"/>
      <c r="ID203" s="25"/>
      <c r="IE203" s="73"/>
      <c r="IF203" s="73"/>
      <c r="IG203" s="345"/>
      <c r="IH203" s="73"/>
      <c r="II203" s="25"/>
      <c r="IJ203" s="73"/>
      <c r="IK203" s="73"/>
      <c r="IL203" s="345"/>
      <c r="IM203" s="73"/>
      <c r="IN203" s="25"/>
      <c r="IO203" s="73"/>
      <c r="IP203" s="73"/>
      <c r="IQ203" s="345"/>
      <c r="IR203" s="73"/>
      <c r="IS203" s="25"/>
      <c r="IT203" s="73"/>
      <c r="IU203" s="73"/>
      <c r="IV203" s="345"/>
    </row>
    <row r="204" spans="1:256" x14ac:dyDescent="0.2">
      <c r="A204" s="345">
        <v>33724</v>
      </c>
      <c r="B204" s="73"/>
      <c r="C204" s="25"/>
      <c r="D204" s="73"/>
      <c r="E204" s="73"/>
      <c r="F204" s="345"/>
      <c r="G204" s="73"/>
      <c r="H204" s="25"/>
      <c r="I204" s="73"/>
      <c r="J204" s="73"/>
      <c r="K204" s="345"/>
      <c r="L204" s="73"/>
      <c r="M204" s="25"/>
      <c r="N204" s="73"/>
      <c r="O204" s="73"/>
      <c r="P204" s="345"/>
      <c r="Q204" s="73"/>
      <c r="R204" s="25"/>
      <c r="S204" s="73"/>
      <c r="T204" s="73"/>
      <c r="U204" s="345"/>
      <c r="V204" s="73"/>
      <c r="W204" s="25"/>
      <c r="X204" s="73"/>
      <c r="Y204" s="73"/>
      <c r="Z204" s="345"/>
      <c r="AA204" s="73"/>
      <c r="AB204" s="25"/>
      <c r="AC204" s="73"/>
      <c r="AD204" s="73"/>
      <c r="AE204" s="345"/>
      <c r="AF204" s="73"/>
      <c r="AG204" s="25"/>
      <c r="AH204" s="73"/>
      <c r="AI204" s="73"/>
      <c r="AJ204" s="345"/>
      <c r="AK204" s="73"/>
      <c r="AL204" s="25"/>
      <c r="AM204" s="73"/>
      <c r="AN204" s="73"/>
      <c r="AO204" s="345"/>
      <c r="AP204" s="73"/>
      <c r="AQ204" s="25"/>
      <c r="AR204" s="73"/>
      <c r="AS204" s="73"/>
      <c r="AT204" s="345"/>
      <c r="AU204" s="73"/>
      <c r="AV204" s="25"/>
      <c r="AW204" s="73"/>
      <c r="AX204" s="73"/>
      <c r="AY204" s="345"/>
      <c r="AZ204" s="73"/>
      <c r="BA204" s="25"/>
      <c r="BB204" s="73"/>
      <c r="BC204" s="73"/>
      <c r="BD204" s="345"/>
      <c r="BE204" s="73"/>
      <c r="BF204" s="25"/>
      <c r="BG204" s="73"/>
      <c r="BH204" s="73"/>
      <c r="BI204" s="345"/>
      <c r="BJ204" s="73"/>
      <c r="BK204" s="25"/>
      <c r="BL204" s="73"/>
      <c r="BM204" s="73"/>
      <c r="BN204" s="345"/>
      <c r="BO204" s="73"/>
      <c r="BP204" s="25"/>
      <c r="BQ204" s="73"/>
      <c r="BR204" s="73"/>
      <c r="BS204" s="345"/>
      <c r="BT204" s="73"/>
      <c r="BU204" s="25"/>
      <c r="BV204" s="73"/>
      <c r="BW204" s="73"/>
      <c r="BX204" s="345"/>
      <c r="BY204" s="73"/>
      <c r="BZ204" s="25"/>
      <c r="CA204" s="73"/>
      <c r="CB204" s="73"/>
      <c r="CC204" s="345"/>
      <c r="CD204" s="73"/>
      <c r="CE204" s="25"/>
      <c r="CF204" s="73"/>
      <c r="CG204" s="73"/>
      <c r="CH204" s="345"/>
      <c r="CI204" s="73"/>
      <c r="CJ204" s="25"/>
      <c r="CK204" s="73"/>
      <c r="CL204" s="73"/>
      <c r="CM204" s="345"/>
      <c r="CN204" s="73"/>
      <c r="CO204" s="25"/>
      <c r="CP204" s="73"/>
      <c r="CQ204" s="73"/>
      <c r="CR204" s="345"/>
      <c r="CS204" s="73"/>
      <c r="CT204" s="25"/>
      <c r="CU204" s="73"/>
      <c r="CV204" s="73"/>
      <c r="CW204" s="345"/>
      <c r="CX204" s="73"/>
      <c r="CY204" s="25"/>
      <c r="CZ204" s="73"/>
      <c r="DA204" s="73"/>
      <c r="DB204" s="345"/>
      <c r="DC204" s="73"/>
      <c r="DD204" s="25"/>
      <c r="DE204" s="73"/>
      <c r="DF204" s="73"/>
      <c r="DG204" s="345"/>
      <c r="DH204" s="73"/>
      <c r="DI204" s="25"/>
      <c r="DJ204" s="73"/>
      <c r="DK204" s="73"/>
      <c r="DL204" s="345"/>
      <c r="DM204" s="73"/>
      <c r="DN204" s="25"/>
      <c r="DO204" s="73"/>
      <c r="DP204" s="73"/>
      <c r="DQ204" s="345"/>
      <c r="DR204" s="73"/>
      <c r="DS204" s="25"/>
      <c r="DT204" s="73"/>
      <c r="DU204" s="73"/>
      <c r="DV204" s="345"/>
      <c r="DW204" s="73"/>
      <c r="DX204" s="25"/>
      <c r="DY204" s="73"/>
      <c r="DZ204" s="73"/>
      <c r="EA204" s="345"/>
      <c r="EB204" s="73"/>
      <c r="EC204" s="25"/>
      <c r="ED204" s="73"/>
      <c r="EE204" s="73"/>
      <c r="EF204" s="345"/>
      <c r="EG204" s="73"/>
      <c r="EH204" s="25"/>
      <c r="EI204" s="73"/>
      <c r="EJ204" s="73"/>
      <c r="EK204" s="345"/>
      <c r="EL204" s="73"/>
      <c r="EM204" s="25"/>
      <c r="EN204" s="73"/>
      <c r="EO204" s="73"/>
      <c r="EP204" s="345"/>
      <c r="EQ204" s="73"/>
      <c r="ER204" s="25"/>
      <c r="ES204" s="73"/>
      <c r="ET204" s="73"/>
      <c r="EU204" s="345"/>
      <c r="EV204" s="73"/>
      <c r="EW204" s="25"/>
      <c r="EX204" s="73"/>
      <c r="EY204" s="73"/>
      <c r="EZ204" s="345"/>
      <c r="FA204" s="73"/>
      <c r="FB204" s="25"/>
      <c r="FC204" s="73"/>
      <c r="FD204" s="73"/>
      <c r="FE204" s="345"/>
      <c r="FF204" s="73"/>
      <c r="FG204" s="25"/>
      <c r="FH204" s="73"/>
      <c r="FI204" s="73"/>
      <c r="FJ204" s="345"/>
      <c r="FK204" s="73"/>
      <c r="FL204" s="25"/>
      <c r="FM204" s="73"/>
      <c r="FN204" s="73"/>
      <c r="FO204" s="345"/>
      <c r="FP204" s="73"/>
      <c r="FQ204" s="25"/>
      <c r="FR204" s="73"/>
      <c r="FS204" s="73"/>
      <c r="FT204" s="345"/>
      <c r="FU204" s="73"/>
      <c r="FV204" s="25"/>
      <c r="FW204" s="73"/>
      <c r="FX204" s="73"/>
      <c r="FY204" s="345"/>
      <c r="FZ204" s="73"/>
      <c r="GA204" s="25"/>
      <c r="GB204" s="73"/>
      <c r="GC204" s="73"/>
      <c r="GD204" s="345"/>
      <c r="GE204" s="73"/>
      <c r="GF204" s="25"/>
      <c r="GG204" s="73"/>
      <c r="GH204" s="73"/>
      <c r="GI204" s="345"/>
      <c r="GJ204" s="73"/>
      <c r="GK204" s="25"/>
      <c r="GL204" s="73"/>
      <c r="GM204" s="73"/>
      <c r="GN204" s="345"/>
      <c r="GO204" s="73"/>
      <c r="GP204" s="25"/>
      <c r="GQ204" s="73"/>
      <c r="GR204" s="73"/>
      <c r="GS204" s="345"/>
      <c r="GT204" s="73"/>
      <c r="GU204" s="25"/>
      <c r="GV204" s="73"/>
      <c r="GW204" s="73"/>
      <c r="GX204" s="345"/>
      <c r="GY204" s="73"/>
      <c r="GZ204" s="25"/>
      <c r="HA204" s="73"/>
      <c r="HB204" s="73"/>
      <c r="HC204" s="345"/>
      <c r="HD204" s="73"/>
      <c r="HE204" s="25"/>
      <c r="HF204" s="73"/>
      <c r="HG204" s="73"/>
      <c r="HH204" s="345"/>
      <c r="HI204" s="73"/>
      <c r="HJ204" s="25"/>
      <c r="HK204" s="73"/>
      <c r="HL204" s="73"/>
      <c r="HM204" s="345"/>
      <c r="HN204" s="73"/>
      <c r="HO204" s="25"/>
      <c r="HP204" s="73"/>
      <c r="HQ204" s="73"/>
      <c r="HR204" s="345"/>
      <c r="HS204" s="73"/>
      <c r="HT204" s="25"/>
      <c r="HU204" s="73"/>
      <c r="HV204" s="73"/>
      <c r="HW204" s="345"/>
      <c r="HX204" s="73"/>
      <c r="HY204" s="25"/>
      <c r="HZ204" s="73"/>
      <c r="IA204" s="73"/>
      <c r="IB204" s="345"/>
      <c r="IC204" s="73"/>
      <c r="ID204" s="25"/>
      <c r="IE204" s="73"/>
      <c r="IF204" s="73"/>
      <c r="IG204" s="345"/>
      <c r="IH204" s="73"/>
      <c r="II204" s="25"/>
      <c r="IJ204" s="73"/>
      <c r="IK204" s="73"/>
      <c r="IL204" s="345"/>
      <c r="IM204" s="73"/>
      <c r="IN204" s="25"/>
      <c r="IO204" s="73"/>
      <c r="IP204" s="73"/>
      <c r="IQ204" s="345"/>
      <c r="IR204" s="73"/>
      <c r="IS204" s="25"/>
      <c r="IT204" s="73"/>
      <c r="IU204" s="73"/>
      <c r="IV204" s="345"/>
    </row>
    <row r="205" spans="1:256" x14ac:dyDescent="0.2">
      <c r="A205" s="345">
        <v>33755</v>
      </c>
      <c r="B205" s="73"/>
      <c r="C205" s="25"/>
      <c r="D205" s="73"/>
      <c r="E205" s="73"/>
      <c r="F205" s="345"/>
      <c r="G205" s="73"/>
      <c r="H205" s="25"/>
      <c r="I205" s="73"/>
      <c r="J205" s="73"/>
      <c r="K205" s="345"/>
      <c r="L205" s="73"/>
      <c r="M205" s="25"/>
      <c r="N205" s="73"/>
      <c r="O205" s="73"/>
      <c r="P205" s="345"/>
      <c r="Q205" s="73"/>
      <c r="R205" s="25"/>
      <c r="S205" s="73"/>
      <c r="T205" s="73"/>
      <c r="U205" s="345"/>
      <c r="V205" s="73"/>
      <c r="W205" s="25"/>
      <c r="X205" s="73"/>
      <c r="Y205" s="73"/>
      <c r="Z205" s="345"/>
      <c r="AA205" s="73"/>
      <c r="AB205" s="25"/>
      <c r="AC205" s="73"/>
      <c r="AD205" s="73"/>
      <c r="AE205" s="345"/>
      <c r="AF205" s="73"/>
      <c r="AG205" s="25"/>
      <c r="AH205" s="73"/>
      <c r="AI205" s="73"/>
      <c r="AJ205" s="345"/>
      <c r="AK205" s="73"/>
      <c r="AL205" s="25"/>
      <c r="AM205" s="73"/>
      <c r="AN205" s="73"/>
      <c r="AO205" s="345"/>
      <c r="AP205" s="73"/>
      <c r="AQ205" s="25"/>
      <c r="AR205" s="73"/>
      <c r="AS205" s="73"/>
      <c r="AT205" s="345"/>
      <c r="AU205" s="73"/>
      <c r="AV205" s="25"/>
      <c r="AW205" s="73"/>
      <c r="AX205" s="73"/>
      <c r="AY205" s="345"/>
      <c r="AZ205" s="73"/>
      <c r="BA205" s="25"/>
      <c r="BB205" s="73"/>
      <c r="BC205" s="73"/>
      <c r="BD205" s="345"/>
      <c r="BE205" s="73"/>
      <c r="BF205" s="25"/>
      <c r="BG205" s="73"/>
      <c r="BH205" s="73"/>
      <c r="BI205" s="345"/>
      <c r="BJ205" s="73"/>
      <c r="BK205" s="25"/>
      <c r="BL205" s="73"/>
      <c r="BM205" s="73"/>
      <c r="BN205" s="345"/>
      <c r="BO205" s="73"/>
      <c r="BP205" s="25"/>
      <c r="BQ205" s="73"/>
      <c r="BR205" s="73"/>
      <c r="BS205" s="345"/>
      <c r="BT205" s="73"/>
      <c r="BU205" s="25"/>
      <c r="BV205" s="73"/>
      <c r="BW205" s="73"/>
      <c r="BX205" s="345"/>
      <c r="BY205" s="73"/>
      <c r="BZ205" s="25"/>
      <c r="CA205" s="73"/>
      <c r="CB205" s="73"/>
      <c r="CC205" s="345"/>
      <c r="CD205" s="73"/>
      <c r="CE205" s="25"/>
      <c r="CF205" s="73"/>
      <c r="CG205" s="73"/>
      <c r="CH205" s="345"/>
      <c r="CI205" s="73"/>
      <c r="CJ205" s="25"/>
      <c r="CK205" s="73"/>
      <c r="CL205" s="73"/>
      <c r="CM205" s="345"/>
      <c r="CN205" s="73"/>
      <c r="CO205" s="25"/>
      <c r="CP205" s="73"/>
      <c r="CQ205" s="73"/>
      <c r="CR205" s="345"/>
      <c r="CS205" s="73"/>
      <c r="CT205" s="25"/>
      <c r="CU205" s="73"/>
      <c r="CV205" s="73"/>
      <c r="CW205" s="345"/>
      <c r="CX205" s="73"/>
      <c r="CY205" s="25"/>
      <c r="CZ205" s="73"/>
      <c r="DA205" s="73"/>
      <c r="DB205" s="345"/>
      <c r="DC205" s="73"/>
      <c r="DD205" s="25"/>
      <c r="DE205" s="73"/>
      <c r="DF205" s="73"/>
      <c r="DG205" s="345"/>
      <c r="DH205" s="73"/>
      <c r="DI205" s="25"/>
      <c r="DJ205" s="73"/>
      <c r="DK205" s="73"/>
      <c r="DL205" s="345"/>
      <c r="DM205" s="73"/>
      <c r="DN205" s="25"/>
      <c r="DO205" s="73"/>
      <c r="DP205" s="73"/>
      <c r="DQ205" s="345"/>
      <c r="DR205" s="73"/>
      <c r="DS205" s="25"/>
      <c r="DT205" s="73"/>
      <c r="DU205" s="73"/>
      <c r="DV205" s="345"/>
      <c r="DW205" s="73"/>
      <c r="DX205" s="25"/>
      <c r="DY205" s="73"/>
      <c r="DZ205" s="73"/>
      <c r="EA205" s="345"/>
      <c r="EB205" s="73"/>
      <c r="EC205" s="25"/>
      <c r="ED205" s="73"/>
      <c r="EE205" s="73"/>
      <c r="EF205" s="345"/>
      <c r="EG205" s="73"/>
      <c r="EH205" s="25"/>
      <c r="EI205" s="73"/>
      <c r="EJ205" s="73"/>
      <c r="EK205" s="345"/>
      <c r="EL205" s="73"/>
      <c r="EM205" s="25"/>
      <c r="EN205" s="73"/>
      <c r="EO205" s="73"/>
      <c r="EP205" s="345"/>
      <c r="EQ205" s="73"/>
      <c r="ER205" s="25"/>
      <c r="ES205" s="73"/>
      <c r="ET205" s="73"/>
      <c r="EU205" s="345"/>
      <c r="EV205" s="73"/>
      <c r="EW205" s="25"/>
      <c r="EX205" s="73"/>
      <c r="EY205" s="73"/>
      <c r="EZ205" s="345"/>
      <c r="FA205" s="73"/>
      <c r="FB205" s="25"/>
      <c r="FC205" s="73"/>
      <c r="FD205" s="73"/>
      <c r="FE205" s="345"/>
      <c r="FF205" s="73"/>
      <c r="FG205" s="25"/>
      <c r="FH205" s="73"/>
      <c r="FI205" s="73"/>
      <c r="FJ205" s="345"/>
      <c r="FK205" s="73"/>
      <c r="FL205" s="25"/>
      <c r="FM205" s="73"/>
      <c r="FN205" s="73"/>
      <c r="FO205" s="345"/>
      <c r="FP205" s="73"/>
      <c r="FQ205" s="25"/>
      <c r="FR205" s="73"/>
      <c r="FS205" s="73"/>
      <c r="FT205" s="345"/>
      <c r="FU205" s="73"/>
      <c r="FV205" s="25"/>
      <c r="FW205" s="73"/>
      <c r="FX205" s="73"/>
      <c r="FY205" s="345"/>
      <c r="FZ205" s="73"/>
      <c r="GA205" s="25"/>
      <c r="GB205" s="73"/>
      <c r="GC205" s="73"/>
      <c r="GD205" s="345"/>
      <c r="GE205" s="73"/>
      <c r="GF205" s="25"/>
      <c r="GG205" s="73"/>
      <c r="GH205" s="73"/>
      <c r="GI205" s="345"/>
      <c r="GJ205" s="73"/>
      <c r="GK205" s="25"/>
      <c r="GL205" s="73"/>
      <c r="GM205" s="73"/>
      <c r="GN205" s="345"/>
      <c r="GO205" s="73"/>
      <c r="GP205" s="25"/>
      <c r="GQ205" s="73"/>
      <c r="GR205" s="73"/>
      <c r="GS205" s="345"/>
      <c r="GT205" s="73"/>
      <c r="GU205" s="25"/>
      <c r="GV205" s="73"/>
      <c r="GW205" s="73"/>
      <c r="GX205" s="345"/>
      <c r="GY205" s="73"/>
      <c r="GZ205" s="25"/>
      <c r="HA205" s="73"/>
      <c r="HB205" s="73"/>
      <c r="HC205" s="345"/>
      <c r="HD205" s="73"/>
      <c r="HE205" s="25"/>
      <c r="HF205" s="73"/>
      <c r="HG205" s="73"/>
      <c r="HH205" s="345"/>
      <c r="HI205" s="73"/>
      <c r="HJ205" s="25"/>
      <c r="HK205" s="73"/>
      <c r="HL205" s="73"/>
      <c r="HM205" s="345"/>
      <c r="HN205" s="73"/>
      <c r="HO205" s="25"/>
      <c r="HP205" s="73"/>
      <c r="HQ205" s="73"/>
      <c r="HR205" s="345"/>
      <c r="HS205" s="73"/>
      <c r="HT205" s="25"/>
      <c r="HU205" s="73"/>
      <c r="HV205" s="73"/>
      <c r="HW205" s="345"/>
      <c r="HX205" s="73"/>
      <c r="HY205" s="25"/>
      <c r="HZ205" s="73"/>
      <c r="IA205" s="73"/>
      <c r="IB205" s="345"/>
      <c r="IC205" s="73"/>
      <c r="ID205" s="25"/>
      <c r="IE205" s="73"/>
      <c r="IF205" s="73"/>
      <c r="IG205" s="345"/>
      <c r="IH205" s="73"/>
      <c r="II205" s="25"/>
      <c r="IJ205" s="73"/>
      <c r="IK205" s="73"/>
      <c r="IL205" s="345"/>
      <c r="IM205" s="73"/>
      <c r="IN205" s="25"/>
      <c r="IO205" s="73"/>
      <c r="IP205" s="73"/>
      <c r="IQ205" s="345"/>
      <c r="IR205" s="73"/>
      <c r="IS205" s="25"/>
      <c r="IT205" s="73"/>
      <c r="IU205" s="73"/>
      <c r="IV205" s="345"/>
    </row>
    <row r="206" spans="1:256" x14ac:dyDescent="0.2">
      <c r="A206" s="345">
        <v>33785</v>
      </c>
      <c r="B206" s="73"/>
      <c r="C206" s="25"/>
      <c r="D206" s="73"/>
      <c r="E206" s="73"/>
      <c r="F206" s="345"/>
      <c r="G206" s="73"/>
      <c r="H206" s="25"/>
      <c r="I206" s="73"/>
      <c r="J206" s="73"/>
      <c r="K206" s="345"/>
      <c r="L206" s="73"/>
      <c r="M206" s="25"/>
      <c r="N206" s="73"/>
      <c r="O206" s="73"/>
      <c r="P206" s="345"/>
      <c r="Q206" s="73"/>
      <c r="R206" s="25"/>
      <c r="S206" s="73"/>
      <c r="T206" s="73"/>
      <c r="U206" s="345"/>
      <c r="V206" s="73"/>
      <c r="W206" s="25"/>
      <c r="X206" s="73"/>
      <c r="Y206" s="73"/>
      <c r="Z206" s="345"/>
      <c r="AA206" s="73"/>
      <c r="AB206" s="25"/>
      <c r="AC206" s="73"/>
      <c r="AD206" s="73"/>
      <c r="AE206" s="345"/>
      <c r="AF206" s="73"/>
      <c r="AG206" s="25"/>
      <c r="AH206" s="73"/>
      <c r="AI206" s="73"/>
      <c r="AJ206" s="345"/>
      <c r="AK206" s="73"/>
      <c r="AL206" s="25"/>
      <c r="AM206" s="73"/>
      <c r="AN206" s="73"/>
      <c r="AO206" s="345"/>
      <c r="AP206" s="73"/>
      <c r="AQ206" s="25"/>
      <c r="AR206" s="73"/>
      <c r="AS206" s="73"/>
      <c r="AT206" s="345"/>
      <c r="AU206" s="73"/>
      <c r="AV206" s="25"/>
      <c r="AW206" s="73"/>
      <c r="AX206" s="73"/>
      <c r="AY206" s="345"/>
      <c r="AZ206" s="73"/>
      <c r="BA206" s="25"/>
      <c r="BB206" s="73"/>
      <c r="BC206" s="73"/>
      <c r="BD206" s="345"/>
      <c r="BE206" s="73"/>
      <c r="BF206" s="25"/>
      <c r="BG206" s="73"/>
      <c r="BH206" s="73"/>
      <c r="BI206" s="345"/>
      <c r="BJ206" s="73"/>
      <c r="BK206" s="25"/>
      <c r="BL206" s="73"/>
      <c r="BM206" s="73"/>
      <c r="BN206" s="345"/>
      <c r="BO206" s="73"/>
      <c r="BP206" s="25"/>
      <c r="BQ206" s="73"/>
      <c r="BR206" s="73"/>
      <c r="BS206" s="345"/>
      <c r="BT206" s="73"/>
      <c r="BU206" s="25"/>
      <c r="BV206" s="73"/>
      <c r="BW206" s="73"/>
      <c r="BX206" s="345"/>
      <c r="BY206" s="73"/>
      <c r="BZ206" s="25"/>
      <c r="CA206" s="73"/>
      <c r="CB206" s="73"/>
      <c r="CC206" s="345"/>
      <c r="CD206" s="73"/>
      <c r="CE206" s="25"/>
      <c r="CF206" s="73"/>
      <c r="CG206" s="73"/>
      <c r="CH206" s="345"/>
      <c r="CI206" s="73"/>
      <c r="CJ206" s="25"/>
      <c r="CK206" s="73"/>
      <c r="CL206" s="73"/>
      <c r="CM206" s="345"/>
      <c r="CN206" s="73"/>
      <c r="CO206" s="25"/>
      <c r="CP206" s="73"/>
      <c r="CQ206" s="73"/>
      <c r="CR206" s="345"/>
      <c r="CS206" s="73"/>
      <c r="CT206" s="25"/>
      <c r="CU206" s="73"/>
      <c r="CV206" s="73"/>
      <c r="CW206" s="345"/>
      <c r="CX206" s="73"/>
      <c r="CY206" s="25"/>
      <c r="CZ206" s="73"/>
      <c r="DA206" s="73"/>
      <c r="DB206" s="345"/>
      <c r="DC206" s="73"/>
      <c r="DD206" s="25"/>
      <c r="DE206" s="73"/>
      <c r="DF206" s="73"/>
      <c r="DG206" s="345"/>
      <c r="DH206" s="73"/>
      <c r="DI206" s="25"/>
      <c r="DJ206" s="73"/>
      <c r="DK206" s="73"/>
      <c r="DL206" s="345"/>
      <c r="DM206" s="73"/>
      <c r="DN206" s="25"/>
      <c r="DO206" s="73"/>
      <c r="DP206" s="73"/>
      <c r="DQ206" s="345"/>
      <c r="DR206" s="73"/>
      <c r="DS206" s="25"/>
      <c r="DT206" s="73"/>
      <c r="DU206" s="73"/>
      <c r="DV206" s="345"/>
      <c r="DW206" s="73"/>
      <c r="DX206" s="25"/>
      <c r="DY206" s="73"/>
      <c r="DZ206" s="73"/>
      <c r="EA206" s="345"/>
      <c r="EB206" s="73"/>
      <c r="EC206" s="25"/>
      <c r="ED206" s="73"/>
      <c r="EE206" s="73"/>
      <c r="EF206" s="345"/>
      <c r="EG206" s="73"/>
      <c r="EH206" s="25"/>
      <c r="EI206" s="73"/>
      <c r="EJ206" s="73"/>
      <c r="EK206" s="345"/>
      <c r="EL206" s="73"/>
      <c r="EM206" s="25"/>
      <c r="EN206" s="73"/>
      <c r="EO206" s="73"/>
      <c r="EP206" s="345"/>
      <c r="EQ206" s="73"/>
      <c r="ER206" s="25"/>
      <c r="ES206" s="73"/>
      <c r="ET206" s="73"/>
      <c r="EU206" s="345"/>
      <c r="EV206" s="73"/>
      <c r="EW206" s="25"/>
      <c r="EX206" s="73"/>
      <c r="EY206" s="73"/>
      <c r="EZ206" s="345"/>
      <c r="FA206" s="73"/>
      <c r="FB206" s="25"/>
      <c r="FC206" s="73"/>
      <c r="FD206" s="73"/>
      <c r="FE206" s="345"/>
      <c r="FF206" s="73"/>
      <c r="FG206" s="25"/>
      <c r="FH206" s="73"/>
      <c r="FI206" s="73"/>
      <c r="FJ206" s="345"/>
      <c r="FK206" s="73"/>
      <c r="FL206" s="25"/>
      <c r="FM206" s="73"/>
      <c r="FN206" s="73"/>
      <c r="FO206" s="345"/>
      <c r="FP206" s="73"/>
      <c r="FQ206" s="25"/>
      <c r="FR206" s="73"/>
      <c r="FS206" s="73"/>
      <c r="FT206" s="345"/>
      <c r="FU206" s="73"/>
      <c r="FV206" s="25"/>
      <c r="FW206" s="73"/>
      <c r="FX206" s="73"/>
      <c r="FY206" s="345"/>
      <c r="FZ206" s="73"/>
      <c r="GA206" s="25"/>
      <c r="GB206" s="73"/>
      <c r="GC206" s="73"/>
      <c r="GD206" s="345"/>
      <c r="GE206" s="73"/>
      <c r="GF206" s="25"/>
      <c r="GG206" s="73"/>
      <c r="GH206" s="73"/>
      <c r="GI206" s="345"/>
      <c r="GJ206" s="73"/>
      <c r="GK206" s="25"/>
      <c r="GL206" s="73"/>
      <c r="GM206" s="73"/>
      <c r="GN206" s="345"/>
      <c r="GO206" s="73"/>
      <c r="GP206" s="25"/>
      <c r="GQ206" s="73"/>
      <c r="GR206" s="73"/>
      <c r="GS206" s="345"/>
      <c r="GT206" s="73"/>
      <c r="GU206" s="25"/>
      <c r="GV206" s="73"/>
      <c r="GW206" s="73"/>
      <c r="GX206" s="345"/>
      <c r="GY206" s="73"/>
      <c r="GZ206" s="25"/>
      <c r="HA206" s="73"/>
      <c r="HB206" s="73"/>
      <c r="HC206" s="345"/>
      <c r="HD206" s="73"/>
      <c r="HE206" s="25"/>
      <c r="HF206" s="73"/>
      <c r="HG206" s="73"/>
      <c r="HH206" s="345"/>
      <c r="HI206" s="73"/>
      <c r="HJ206" s="25"/>
      <c r="HK206" s="73"/>
      <c r="HL206" s="73"/>
      <c r="HM206" s="345"/>
      <c r="HN206" s="73"/>
      <c r="HO206" s="25"/>
      <c r="HP206" s="73"/>
      <c r="HQ206" s="73"/>
      <c r="HR206" s="345"/>
      <c r="HS206" s="73"/>
      <c r="HT206" s="25"/>
      <c r="HU206" s="73"/>
      <c r="HV206" s="73"/>
      <c r="HW206" s="345"/>
      <c r="HX206" s="73"/>
      <c r="HY206" s="25"/>
      <c r="HZ206" s="73"/>
      <c r="IA206" s="73"/>
      <c r="IB206" s="345"/>
      <c r="IC206" s="73"/>
      <c r="ID206" s="25"/>
      <c r="IE206" s="73"/>
      <c r="IF206" s="73"/>
      <c r="IG206" s="345"/>
      <c r="IH206" s="73"/>
      <c r="II206" s="25"/>
      <c r="IJ206" s="73"/>
      <c r="IK206" s="73"/>
      <c r="IL206" s="345"/>
      <c r="IM206" s="73"/>
      <c r="IN206" s="25"/>
      <c r="IO206" s="73"/>
      <c r="IP206" s="73"/>
      <c r="IQ206" s="345"/>
      <c r="IR206" s="73"/>
      <c r="IS206" s="25"/>
      <c r="IT206" s="73"/>
      <c r="IU206" s="73"/>
      <c r="IV206" s="345"/>
    </row>
    <row r="207" spans="1:256" x14ac:dyDescent="0.2">
      <c r="A207" s="345">
        <v>33816</v>
      </c>
      <c r="B207" s="73"/>
      <c r="C207" s="25"/>
      <c r="D207" s="73"/>
      <c r="E207" s="73"/>
      <c r="F207" s="345"/>
      <c r="G207" s="73"/>
      <c r="H207" s="25"/>
      <c r="I207" s="73"/>
      <c r="J207" s="73"/>
      <c r="K207" s="345"/>
      <c r="L207" s="73"/>
      <c r="M207" s="25"/>
      <c r="N207" s="73"/>
      <c r="O207" s="73"/>
      <c r="P207" s="345"/>
      <c r="Q207" s="73"/>
      <c r="R207" s="25"/>
      <c r="S207" s="73"/>
      <c r="T207" s="73"/>
      <c r="U207" s="345"/>
      <c r="V207" s="73"/>
      <c r="W207" s="25"/>
      <c r="X207" s="73"/>
      <c r="Y207" s="73"/>
      <c r="Z207" s="345"/>
      <c r="AA207" s="73"/>
      <c r="AB207" s="25"/>
      <c r="AC207" s="73"/>
      <c r="AD207" s="73"/>
      <c r="AE207" s="345"/>
      <c r="AF207" s="73"/>
      <c r="AG207" s="25"/>
      <c r="AH207" s="73"/>
      <c r="AI207" s="73"/>
      <c r="AJ207" s="345"/>
      <c r="AK207" s="73"/>
      <c r="AL207" s="25"/>
      <c r="AM207" s="73"/>
      <c r="AN207" s="73"/>
      <c r="AO207" s="345"/>
      <c r="AP207" s="73"/>
      <c r="AQ207" s="25"/>
      <c r="AR207" s="73"/>
      <c r="AS207" s="73"/>
      <c r="AT207" s="345"/>
      <c r="AU207" s="73"/>
      <c r="AV207" s="25"/>
      <c r="AW207" s="73"/>
      <c r="AX207" s="73"/>
      <c r="AY207" s="345"/>
      <c r="AZ207" s="73"/>
      <c r="BA207" s="25"/>
      <c r="BB207" s="73"/>
      <c r="BC207" s="73"/>
      <c r="BD207" s="345"/>
      <c r="BE207" s="73"/>
      <c r="BF207" s="25"/>
      <c r="BG207" s="73"/>
      <c r="BH207" s="73"/>
      <c r="BI207" s="345"/>
      <c r="BJ207" s="73"/>
      <c r="BK207" s="25"/>
      <c r="BL207" s="73"/>
      <c r="BM207" s="73"/>
      <c r="BN207" s="345"/>
      <c r="BO207" s="73"/>
      <c r="BP207" s="25"/>
      <c r="BQ207" s="73"/>
      <c r="BR207" s="73"/>
      <c r="BS207" s="345"/>
      <c r="BT207" s="73"/>
      <c r="BU207" s="25"/>
      <c r="BV207" s="73"/>
      <c r="BW207" s="73"/>
      <c r="BX207" s="345"/>
      <c r="BY207" s="73"/>
      <c r="BZ207" s="25"/>
      <c r="CA207" s="73"/>
      <c r="CB207" s="73"/>
      <c r="CC207" s="345"/>
      <c r="CD207" s="73"/>
      <c r="CE207" s="25"/>
      <c r="CF207" s="73"/>
      <c r="CG207" s="73"/>
      <c r="CH207" s="345"/>
      <c r="CI207" s="73"/>
      <c r="CJ207" s="25"/>
      <c r="CK207" s="73"/>
      <c r="CL207" s="73"/>
      <c r="CM207" s="345"/>
      <c r="CN207" s="73"/>
      <c r="CO207" s="25"/>
      <c r="CP207" s="73"/>
      <c r="CQ207" s="73"/>
      <c r="CR207" s="345"/>
      <c r="CS207" s="73"/>
      <c r="CT207" s="25"/>
      <c r="CU207" s="73"/>
      <c r="CV207" s="73"/>
      <c r="CW207" s="345"/>
      <c r="CX207" s="73"/>
      <c r="CY207" s="25"/>
      <c r="CZ207" s="73"/>
      <c r="DA207" s="73"/>
      <c r="DB207" s="345"/>
      <c r="DC207" s="73"/>
      <c r="DD207" s="25"/>
      <c r="DE207" s="73"/>
      <c r="DF207" s="73"/>
      <c r="DG207" s="345"/>
      <c r="DH207" s="73"/>
      <c r="DI207" s="25"/>
      <c r="DJ207" s="73"/>
      <c r="DK207" s="73"/>
      <c r="DL207" s="345"/>
      <c r="DM207" s="73"/>
      <c r="DN207" s="25"/>
      <c r="DO207" s="73"/>
      <c r="DP207" s="73"/>
      <c r="DQ207" s="345"/>
      <c r="DR207" s="73"/>
      <c r="DS207" s="25"/>
      <c r="DT207" s="73"/>
      <c r="DU207" s="73"/>
      <c r="DV207" s="345"/>
      <c r="DW207" s="73"/>
      <c r="DX207" s="25"/>
      <c r="DY207" s="73"/>
      <c r="DZ207" s="73"/>
      <c r="EA207" s="345"/>
      <c r="EB207" s="73"/>
      <c r="EC207" s="25"/>
      <c r="ED207" s="73"/>
      <c r="EE207" s="73"/>
      <c r="EF207" s="345"/>
      <c r="EG207" s="73"/>
      <c r="EH207" s="25"/>
      <c r="EI207" s="73"/>
      <c r="EJ207" s="73"/>
      <c r="EK207" s="345"/>
      <c r="EL207" s="73"/>
      <c r="EM207" s="25"/>
      <c r="EN207" s="73"/>
      <c r="EO207" s="73"/>
      <c r="EP207" s="345"/>
      <c r="EQ207" s="73"/>
      <c r="ER207" s="25"/>
      <c r="ES207" s="73"/>
      <c r="ET207" s="73"/>
      <c r="EU207" s="345"/>
      <c r="EV207" s="73"/>
      <c r="EW207" s="25"/>
      <c r="EX207" s="73"/>
      <c r="EY207" s="73"/>
      <c r="EZ207" s="345"/>
      <c r="FA207" s="73"/>
      <c r="FB207" s="25"/>
      <c r="FC207" s="73"/>
      <c r="FD207" s="73"/>
      <c r="FE207" s="345"/>
      <c r="FF207" s="73"/>
      <c r="FG207" s="25"/>
      <c r="FH207" s="73"/>
      <c r="FI207" s="73"/>
      <c r="FJ207" s="345"/>
      <c r="FK207" s="73"/>
      <c r="FL207" s="25"/>
      <c r="FM207" s="73"/>
      <c r="FN207" s="73"/>
      <c r="FO207" s="345"/>
      <c r="FP207" s="73"/>
      <c r="FQ207" s="25"/>
      <c r="FR207" s="73"/>
      <c r="FS207" s="73"/>
      <c r="FT207" s="345"/>
      <c r="FU207" s="73"/>
      <c r="FV207" s="25"/>
      <c r="FW207" s="73"/>
      <c r="FX207" s="73"/>
      <c r="FY207" s="345"/>
      <c r="FZ207" s="73"/>
      <c r="GA207" s="25"/>
      <c r="GB207" s="73"/>
      <c r="GC207" s="73"/>
      <c r="GD207" s="345"/>
      <c r="GE207" s="73"/>
      <c r="GF207" s="25"/>
      <c r="GG207" s="73"/>
      <c r="GH207" s="73"/>
      <c r="GI207" s="345"/>
      <c r="GJ207" s="73"/>
      <c r="GK207" s="25"/>
      <c r="GL207" s="73"/>
      <c r="GM207" s="73"/>
      <c r="GN207" s="345"/>
      <c r="GO207" s="73"/>
      <c r="GP207" s="25"/>
      <c r="GQ207" s="73"/>
      <c r="GR207" s="73"/>
      <c r="GS207" s="345"/>
      <c r="GT207" s="73"/>
      <c r="GU207" s="25"/>
      <c r="GV207" s="73"/>
      <c r="GW207" s="73"/>
      <c r="GX207" s="345"/>
      <c r="GY207" s="73"/>
      <c r="GZ207" s="25"/>
      <c r="HA207" s="73"/>
      <c r="HB207" s="73"/>
      <c r="HC207" s="345"/>
      <c r="HD207" s="73"/>
      <c r="HE207" s="25"/>
      <c r="HF207" s="73"/>
      <c r="HG207" s="73"/>
      <c r="HH207" s="345"/>
      <c r="HI207" s="73"/>
      <c r="HJ207" s="25"/>
      <c r="HK207" s="73"/>
      <c r="HL207" s="73"/>
      <c r="HM207" s="345"/>
      <c r="HN207" s="73"/>
      <c r="HO207" s="25"/>
      <c r="HP207" s="73"/>
      <c r="HQ207" s="73"/>
      <c r="HR207" s="345"/>
      <c r="HS207" s="73"/>
      <c r="HT207" s="25"/>
      <c r="HU207" s="73"/>
      <c r="HV207" s="73"/>
      <c r="HW207" s="345"/>
      <c r="HX207" s="73"/>
      <c r="HY207" s="25"/>
      <c r="HZ207" s="73"/>
      <c r="IA207" s="73"/>
      <c r="IB207" s="345"/>
      <c r="IC207" s="73"/>
      <c r="ID207" s="25"/>
      <c r="IE207" s="73"/>
      <c r="IF207" s="73"/>
      <c r="IG207" s="345"/>
      <c r="IH207" s="73"/>
      <c r="II207" s="25"/>
      <c r="IJ207" s="73"/>
      <c r="IK207" s="73"/>
      <c r="IL207" s="345"/>
      <c r="IM207" s="73"/>
      <c r="IN207" s="25"/>
      <c r="IO207" s="73"/>
      <c r="IP207" s="73"/>
      <c r="IQ207" s="345"/>
      <c r="IR207" s="73"/>
      <c r="IS207" s="25"/>
      <c r="IT207" s="73"/>
      <c r="IU207" s="73"/>
      <c r="IV207" s="345"/>
    </row>
    <row r="208" spans="1:256" x14ac:dyDescent="0.2">
      <c r="A208" s="345">
        <v>33847</v>
      </c>
      <c r="B208" s="73"/>
      <c r="C208" s="25"/>
      <c r="D208" s="73"/>
      <c r="E208" s="73"/>
      <c r="F208" s="345"/>
      <c r="G208" s="73"/>
      <c r="H208" s="25"/>
      <c r="I208" s="73"/>
      <c r="J208" s="73"/>
      <c r="K208" s="345"/>
      <c r="L208" s="73"/>
      <c r="M208" s="25"/>
      <c r="N208" s="73"/>
      <c r="O208" s="73"/>
      <c r="P208" s="345"/>
      <c r="Q208" s="73"/>
      <c r="R208" s="25"/>
      <c r="S208" s="73"/>
      <c r="T208" s="73"/>
      <c r="U208" s="345"/>
      <c r="V208" s="73"/>
      <c r="W208" s="25"/>
      <c r="X208" s="73"/>
      <c r="Y208" s="73"/>
      <c r="Z208" s="345"/>
      <c r="AA208" s="73"/>
      <c r="AB208" s="25"/>
      <c r="AC208" s="73"/>
      <c r="AD208" s="73"/>
      <c r="AE208" s="345"/>
      <c r="AF208" s="73"/>
      <c r="AG208" s="25"/>
      <c r="AH208" s="73"/>
      <c r="AI208" s="73"/>
      <c r="AJ208" s="345"/>
      <c r="AK208" s="73"/>
      <c r="AL208" s="25"/>
      <c r="AM208" s="73"/>
      <c r="AN208" s="73"/>
      <c r="AO208" s="345"/>
      <c r="AP208" s="73"/>
      <c r="AQ208" s="25"/>
      <c r="AR208" s="73"/>
      <c r="AS208" s="73"/>
      <c r="AT208" s="345"/>
      <c r="AU208" s="73"/>
      <c r="AV208" s="25"/>
      <c r="AW208" s="73"/>
      <c r="AX208" s="73"/>
      <c r="AY208" s="345"/>
      <c r="AZ208" s="73"/>
      <c r="BA208" s="25"/>
      <c r="BB208" s="73"/>
      <c r="BC208" s="73"/>
      <c r="BD208" s="345"/>
      <c r="BE208" s="73"/>
      <c r="BF208" s="25"/>
      <c r="BG208" s="73"/>
      <c r="BH208" s="73"/>
      <c r="BI208" s="345"/>
      <c r="BJ208" s="73"/>
      <c r="BK208" s="25"/>
      <c r="BL208" s="73"/>
      <c r="BM208" s="73"/>
      <c r="BN208" s="345"/>
      <c r="BO208" s="73"/>
      <c r="BP208" s="25"/>
      <c r="BQ208" s="73"/>
      <c r="BR208" s="73"/>
      <c r="BS208" s="345"/>
      <c r="BT208" s="73"/>
      <c r="BU208" s="25"/>
      <c r="BV208" s="73"/>
      <c r="BW208" s="73"/>
      <c r="BX208" s="345"/>
      <c r="BY208" s="73"/>
      <c r="BZ208" s="25"/>
      <c r="CA208" s="73"/>
      <c r="CB208" s="73"/>
      <c r="CC208" s="345"/>
      <c r="CD208" s="73"/>
      <c r="CE208" s="25"/>
      <c r="CF208" s="73"/>
      <c r="CG208" s="73"/>
      <c r="CH208" s="345"/>
      <c r="CI208" s="73"/>
      <c r="CJ208" s="25"/>
      <c r="CK208" s="73"/>
      <c r="CL208" s="73"/>
      <c r="CM208" s="345"/>
      <c r="CN208" s="73"/>
      <c r="CO208" s="25"/>
      <c r="CP208" s="73"/>
      <c r="CQ208" s="73"/>
      <c r="CR208" s="345"/>
      <c r="CS208" s="73"/>
      <c r="CT208" s="25"/>
      <c r="CU208" s="73"/>
      <c r="CV208" s="73"/>
      <c r="CW208" s="345"/>
      <c r="CX208" s="73"/>
      <c r="CY208" s="25"/>
      <c r="CZ208" s="73"/>
      <c r="DA208" s="73"/>
      <c r="DB208" s="345"/>
      <c r="DC208" s="73"/>
      <c r="DD208" s="25"/>
      <c r="DE208" s="73"/>
      <c r="DF208" s="73"/>
      <c r="DG208" s="345"/>
      <c r="DH208" s="73"/>
      <c r="DI208" s="25"/>
      <c r="DJ208" s="73"/>
      <c r="DK208" s="73"/>
      <c r="DL208" s="345"/>
      <c r="DM208" s="73"/>
      <c r="DN208" s="25"/>
      <c r="DO208" s="73"/>
      <c r="DP208" s="73"/>
      <c r="DQ208" s="345"/>
      <c r="DR208" s="73"/>
      <c r="DS208" s="25"/>
      <c r="DT208" s="73"/>
      <c r="DU208" s="73"/>
      <c r="DV208" s="345"/>
      <c r="DW208" s="73"/>
      <c r="DX208" s="25"/>
      <c r="DY208" s="73"/>
      <c r="DZ208" s="73"/>
      <c r="EA208" s="345"/>
      <c r="EB208" s="73"/>
      <c r="EC208" s="25"/>
      <c r="ED208" s="73"/>
      <c r="EE208" s="73"/>
      <c r="EF208" s="345"/>
      <c r="EG208" s="73"/>
      <c r="EH208" s="25"/>
      <c r="EI208" s="73"/>
      <c r="EJ208" s="73"/>
      <c r="EK208" s="345"/>
      <c r="EL208" s="73"/>
      <c r="EM208" s="25"/>
      <c r="EN208" s="73"/>
      <c r="EO208" s="73"/>
      <c r="EP208" s="345"/>
      <c r="EQ208" s="73"/>
      <c r="ER208" s="25"/>
      <c r="ES208" s="73"/>
      <c r="ET208" s="73"/>
      <c r="EU208" s="345"/>
      <c r="EV208" s="73"/>
      <c r="EW208" s="25"/>
      <c r="EX208" s="73"/>
      <c r="EY208" s="73"/>
      <c r="EZ208" s="345"/>
      <c r="FA208" s="73"/>
      <c r="FB208" s="25"/>
      <c r="FC208" s="73"/>
      <c r="FD208" s="73"/>
      <c r="FE208" s="345"/>
      <c r="FF208" s="73"/>
      <c r="FG208" s="25"/>
      <c r="FH208" s="73"/>
      <c r="FI208" s="73"/>
      <c r="FJ208" s="345"/>
      <c r="FK208" s="73"/>
      <c r="FL208" s="25"/>
      <c r="FM208" s="73"/>
      <c r="FN208" s="73"/>
      <c r="FO208" s="345"/>
      <c r="FP208" s="73"/>
      <c r="FQ208" s="25"/>
      <c r="FR208" s="73"/>
      <c r="FS208" s="73"/>
      <c r="FT208" s="345"/>
      <c r="FU208" s="73"/>
      <c r="FV208" s="25"/>
      <c r="FW208" s="73"/>
      <c r="FX208" s="73"/>
      <c r="FY208" s="345"/>
      <c r="FZ208" s="73"/>
      <c r="GA208" s="25"/>
      <c r="GB208" s="73"/>
      <c r="GC208" s="73"/>
      <c r="GD208" s="345"/>
      <c r="GE208" s="73"/>
      <c r="GF208" s="25"/>
      <c r="GG208" s="73"/>
      <c r="GH208" s="73"/>
      <c r="GI208" s="345"/>
      <c r="GJ208" s="73"/>
      <c r="GK208" s="25"/>
      <c r="GL208" s="73"/>
      <c r="GM208" s="73"/>
      <c r="GN208" s="345"/>
      <c r="GO208" s="73"/>
      <c r="GP208" s="25"/>
      <c r="GQ208" s="73"/>
      <c r="GR208" s="73"/>
      <c r="GS208" s="345"/>
      <c r="GT208" s="73"/>
      <c r="GU208" s="25"/>
      <c r="GV208" s="73"/>
      <c r="GW208" s="73"/>
      <c r="GX208" s="345"/>
      <c r="GY208" s="73"/>
      <c r="GZ208" s="25"/>
      <c r="HA208" s="73"/>
      <c r="HB208" s="73"/>
      <c r="HC208" s="345"/>
      <c r="HD208" s="73"/>
      <c r="HE208" s="25"/>
      <c r="HF208" s="73"/>
      <c r="HG208" s="73"/>
      <c r="HH208" s="345"/>
      <c r="HI208" s="73"/>
      <c r="HJ208" s="25"/>
      <c r="HK208" s="73"/>
      <c r="HL208" s="73"/>
      <c r="HM208" s="345"/>
      <c r="HN208" s="73"/>
      <c r="HO208" s="25"/>
      <c r="HP208" s="73"/>
      <c r="HQ208" s="73"/>
      <c r="HR208" s="345"/>
      <c r="HS208" s="73"/>
      <c r="HT208" s="25"/>
      <c r="HU208" s="73"/>
      <c r="HV208" s="73"/>
      <c r="HW208" s="345"/>
      <c r="HX208" s="73"/>
      <c r="HY208" s="25"/>
      <c r="HZ208" s="73"/>
      <c r="IA208" s="73"/>
      <c r="IB208" s="345"/>
      <c r="IC208" s="73"/>
      <c r="ID208" s="25"/>
      <c r="IE208" s="73"/>
      <c r="IF208" s="73"/>
      <c r="IG208" s="345"/>
      <c r="IH208" s="73"/>
      <c r="II208" s="25"/>
      <c r="IJ208" s="73"/>
      <c r="IK208" s="73"/>
      <c r="IL208" s="345"/>
      <c r="IM208" s="73"/>
      <c r="IN208" s="25"/>
      <c r="IO208" s="73"/>
      <c r="IP208" s="73"/>
      <c r="IQ208" s="345"/>
      <c r="IR208" s="73"/>
      <c r="IS208" s="25"/>
      <c r="IT208" s="73"/>
      <c r="IU208" s="73"/>
      <c r="IV208" s="345"/>
    </row>
    <row r="209" spans="1:256" x14ac:dyDescent="0.2">
      <c r="A209" s="345">
        <v>33877</v>
      </c>
      <c r="B209" s="73"/>
      <c r="C209" s="25"/>
      <c r="D209" s="73"/>
      <c r="E209" s="73"/>
      <c r="F209" s="345"/>
      <c r="G209" s="73"/>
      <c r="H209" s="25"/>
      <c r="I209" s="73"/>
      <c r="J209" s="73"/>
      <c r="K209" s="345"/>
      <c r="L209" s="73"/>
      <c r="M209" s="25"/>
      <c r="N209" s="73"/>
      <c r="O209" s="73"/>
      <c r="P209" s="345"/>
      <c r="Q209" s="73"/>
      <c r="R209" s="25"/>
      <c r="S209" s="73"/>
      <c r="T209" s="73"/>
      <c r="U209" s="345"/>
      <c r="V209" s="73"/>
      <c r="W209" s="25"/>
      <c r="X209" s="73"/>
      <c r="Y209" s="73"/>
      <c r="Z209" s="345"/>
      <c r="AA209" s="73"/>
      <c r="AB209" s="25"/>
      <c r="AC209" s="73"/>
      <c r="AD209" s="73"/>
      <c r="AE209" s="345"/>
      <c r="AF209" s="73"/>
      <c r="AG209" s="25"/>
      <c r="AH209" s="73"/>
      <c r="AI209" s="73"/>
      <c r="AJ209" s="345"/>
      <c r="AK209" s="73"/>
      <c r="AL209" s="25"/>
      <c r="AM209" s="73"/>
      <c r="AN209" s="73"/>
      <c r="AO209" s="345"/>
      <c r="AP209" s="73"/>
      <c r="AQ209" s="25"/>
      <c r="AR209" s="73"/>
      <c r="AS209" s="73"/>
      <c r="AT209" s="345"/>
      <c r="AU209" s="73"/>
      <c r="AV209" s="25"/>
      <c r="AW209" s="73"/>
      <c r="AX209" s="73"/>
      <c r="AY209" s="345"/>
      <c r="AZ209" s="73"/>
      <c r="BA209" s="25"/>
      <c r="BB209" s="73"/>
      <c r="BC209" s="73"/>
      <c r="BD209" s="345"/>
      <c r="BE209" s="73"/>
      <c r="BF209" s="25"/>
      <c r="BG209" s="73"/>
      <c r="BH209" s="73"/>
      <c r="BI209" s="345"/>
      <c r="BJ209" s="73"/>
      <c r="BK209" s="25"/>
      <c r="BL209" s="73"/>
      <c r="BM209" s="73"/>
      <c r="BN209" s="345"/>
      <c r="BO209" s="73"/>
      <c r="BP209" s="25"/>
      <c r="BQ209" s="73"/>
      <c r="BR209" s="73"/>
      <c r="BS209" s="345"/>
      <c r="BT209" s="73"/>
      <c r="BU209" s="25"/>
      <c r="BV209" s="73"/>
      <c r="BW209" s="73"/>
      <c r="BX209" s="345"/>
      <c r="BY209" s="73"/>
      <c r="BZ209" s="25"/>
      <c r="CA209" s="73"/>
      <c r="CB209" s="73"/>
      <c r="CC209" s="345"/>
      <c r="CD209" s="73"/>
      <c r="CE209" s="25"/>
      <c r="CF209" s="73"/>
      <c r="CG209" s="73"/>
      <c r="CH209" s="345"/>
      <c r="CI209" s="73"/>
      <c r="CJ209" s="25"/>
      <c r="CK209" s="73"/>
      <c r="CL209" s="73"/>
      <c r="CM209" s="345"/>
      <c r="CN209" s="73"/>
      <c r="CO209" s="25"/>
      <c r="CP209" s="73"/>
      <c r="CQ209" s="73"/>
      <c r="CR209" s="345"/>
      <c r="CS209" s="73"/>
      <c r="CT209" s="25"/>
      <c r="CU209" s="73"/>
      <c r="CV209" s="73"/>
      <c r="CW209" s="345"/>
      <c r="CX209" s="73"/>
      <c r="CY209" s="25"/>
      <c r="CZ209" s="73"/>
      <c r="DA209" s="73"/>
      <c r="DB209" s="345"/>
      <c r="DC209" s="73"/>
      <c r="DD209" s="25"/>
      <c r="DE209" s="73"/>
      <c r="DF209" s="73"/>
      <c r="DG209" s="345"/>
      <c r="DH209" s="73"/>
      <c r="DI209" s="25"/>
      <c r="DJ209" s="73"/>
      <c r="DK209" s="73"/>
      <c r="DL209" s="345"/>
      <c r="DM209" s="73"/>
      <c r="DN209" s="25"/>
      <c r="DO209" s="73"/>
      <c r="DP209" s="73"/>
      <c r="DQ209" s="345"/>
      <c r="DR209" s="73"/>
      <c r="DS209" s="25"/>
      <c r="DT209" s="73"/>
      <c r="DU209" s="73"/>
      <c r="DV209" s="345"/>
      <c r="DW209" s="73"/>
      <c r="DX209" s="25"/>
      <c r="DY209" s="73"/>
      <c r="DZ209" s="73"/>
      <c r="EA209" s="345"/>
      <c r="EB209" s="73"/>
      <c r="EC209" s="25"/>
      <c r="ED209" s="73"/>
      <c r="EE209" s="73"/>
      <c r="EF209" s="345"/>
      <c r="EG209" s="73"/>
      <c r="EH209" s="25"/>
      <c r="EI209" s="73"/>
      <c r="EJ209" s="73"/>
      <c r="EK209" s="345"/>
      <c r="EL209" s="73"/>
      <c r="EM209" s="25"/>
      <c r="EN209" s="73"/>
      <c r="EO209" s="73"/>
      <c r="EP209" s="345"/>
      <c r="EQ209" s="73"/>
      <c r="ER209" s="25"/>
      <c r="ES209" s="73"/>
      <c r="ET209" s="73"/>
      <c r="EU209" s="345"/>
      <c r="EV209" s="73"/>
      <c r="EW209" s="25"/>
      <c r="EX209" s="73"/>
      <c r="EY209" s="73"/>
      <c r="EZ209" s="345"/>
      <c r="FA209" s="73"/>
      <c r="FB209" s="25"/>
      <c r="FC209" s="73"/>
      <c r="FD209" s="73"/>
      <c r="FE209" s="345"/>
      <c r="FF209" s="73"/>
      <c r="FG209" s="25"/>
      <c r="FH209" s="73"/>
      <c r="FI209" s="73"/>
      <c r="FJ209" s="345"/>
      <c r="FK209" s="73"/>
      <c r="FL209" s="25"/>
      <c r="FM209" s="73"/>
      <c r="FN209" s="73"/>
      <c r="FO209" s="345"/>
      <c r="FP209" s="73"/>
      <c r="FQ209" s="25"/>
      <c r="FR209" s="73"/>
      <c r="FS209" s="73"/>
      <c r="FT209" s="345"/>
      <c r="FU209" s="73"/>
      <c r="FV209" s="25"/>
      <c r="FW209" s="73"/>
      <c r="FX209" s="73"/>
      <c r="FY209" s="345"/>
      <c r="FZ209" s="73"/>
      <c r="GA209" s="25"/>
      <c r="GB209" s="73"/>
      <c r="GC209" s="73"/>
      <c r="GD209" s="345"/>
      <c r="GE209" s="73"/>
      <c r="GF209" s="25"/>
      <c r="GG209" s="73"/>
      <c r="GH209" s="73"/>
      <c r="GI209" s="345"/>
      <c r="GJ209" s="73"/>
      <c r="GK209" s="25"/>
      <c r="GL209" s="73"/>
      <c r="GM209" s="73"/>
      <c r="GN209" s="345"/>
      <c r="GO209" s="73"/>
      <c r="GP209" s="25"/>
      <c r="GQ209" s="73"/>
      <c r="GR209" s="73"/>
      <c r="GS209" s="345"/>
      <c r="GT209" s="73"/>
      <c r="GU209" s="25"/>
      <c r="GV209" s="73"/>
      <c r="GW209" s="73"/>
      <c r="GX209" s="345"/>
      <c r="GY209" s="73"/>
      <c r="GZ209" s="25"/>
      <c r="HA209" s="73"/>
      <c r="HB209" s="73"/>
      <c r="HC209" s="345"/>
      <c r="HD209" s="73"/>
      <c r="HE209" s="25"/>
      <c r="HF209" s="73"/>
      <c r="HG209" s="73"/>
      <c r="HH209" s="345"/>
      <c r="HI209" s="73"/>
      <c r="HJ209" s="25"/>
      <c r="HK209" s="73"/>
      <c r="HL209" s="73"/>
      <c r="HM209" s="345"/>
      <c r="HN209" s="73"/>
      <c r="HO209" s="25"/>
      <c r="HP209" s="73"/>
      <c r="HQ209" s="73"/>
      <c r="HR209" s="345"/>
      <c r="HS209" s="73"/>
      <c r="HT209" s="25"/>
      <c r="HU209" s="73"/>
      <c r="HV209" s="73"/>
      <c r="HW209" s="345"/>
      <c r="HX209" s="73"/>
      <c r="HY209" s="25"/>
      <c r="HZ209" s="73"/>
      <c r="IA209" s="73"/>
      <c r="IB209" s="345"/>
      <c r="IC209" s="73"/>
      <c r="ID209" s="25"/>
      <c r="IE209" s="73"/>
      <c r="IF209" s="73"/>
      <c r="IG209" s="345"/>
      <c r="IH209" s="73"/>
      <c r="II209" s="25"/>
      <c r="IJ209" s="73"/>
      <c r="IK209" s="73"/>
      <c r="IL209" s="345"/>
      <c r="IM209" s="73"/>
      <c r="IN209" s="25"/>
      <c r="IO209" s="73"/>
      <c r="IP209" s="73"/>
      <c r="IQ209" s="345"/>
      <c r="IR209" s="73"/>
      <c r="IS209" s="25"/>
      <c r="IT209" s="73"/>
      <c r="IU209" s="73"/>
      <c r="IV209" s="345"/>
    </row>
    <row r="210" spans="1:256" x14ac:dyDescent="0.2">
      <c r="A210" s="345">
        <v>33908</v>
      </c>
      <c r="B210" s="73"/>
      <c r="C210" s="25"/>
      <c r="D210" s="73"/>
      <c r="E210" s="73"/>
      <c r="F210" s="345"/>
      <c r="G210" s="73"/>
      <c r="H210" s="25"/>
      <c r="I210" s="73"/>
      <c r="J210" s="73"/>
      <c r="K210" s="345"/>
      <c r="L210" s="73"/>
      <c r="M210" s="25"/>
      <c r="N210" s="73"/>
      <c r="O210" s="73"/>
      <c r="P210" s="345"/>
      <c r="Q210" s="73"/>
      <c r="R210" s="25"/>
      <c r="S210" s="73"/>
      <c r="T210" s="73"/>
      <c r="U210" s="345"/>
      <c r="V210" s="73"/>
      <c r="W210" s="25"/>
      <c r="X210" s="73"/>
      <c r="Y210" s="73"/>
      <c r="Z210" s="345"/>
      <c r="AA210" s="73"/>
      <c r="AB210" s="25"/>
      <c r="AC210" s="73"/>
      <c r="AD210" s="73"/>
      <c r="AE210" s="345"/>
      <c r="AF210" s="73"/>
      <c r="AG210" s="25"/>
      <c r="AH210" s="73"/>
      <c r="AI210" s="73"/>
      <c r="AJ210" s="345"/>
      <c r="AK210" s="73"/>
      <c r="AL210" s="25"/>
      <c r="AM210" s="73"/>
      <c r="AN210" s="73"/>
      <c r="AO210" s="345"/>
      <c r="AP210" s="73"/>
      <c r="AQ210" s="25"/>
      <c r="AR210" s="73"/>
      <c r="AS210" s="73"/>
      <c r="AT210" s="345"/>
      <c r="AU210" s="73"/>
      <c r="AV210" s="25"/>
      <c r="AW210" s="73"/>
      <c r="AX210" s="73"/>
      <c r="AY210" s="345"/>
      <c r="AZ210" s="73"/>
      <c r="BA210" s="25"/>
      <c r="BB210" s="73"/>
      <c r="BC210" s="73"/>
      <c r="BD210" s="345"/>
      <c r="BE210" s="73"/>
      <c r="BF210" s="25"/>
      <c r="BG210" s="73"/>
      <c r="BH210" s="73"/>
      <c r="BI210" s="345"/>
      <c r="BJ210" s="73"/>
      <c r="BK210" s="25"/>
      <c r="BL210" s="73"/>
      <c r="BM210" s="73"/>
      <c r="BN210" s="345"/>
      <c r="BO210" s="73"/>
      <c r="BP210" s="25"/>
      <c r="BQ210" s="73"/>
      <c r="BR210" s="73"/>
      <c r="BS210" s="345"/>
      <c r="BT210" s="73"/>
      <c r="BU210" s="25"/>
      <c r="BV210" s="73"/>
      <c r="BW210" s="73"/>
      <c r="BX210" s="345"/>
      <c r="BY210" s="73"/>
      <c r="BZ210" s="25"/>
      <c r="CA210" s="73"/>
      <c r="CB210" s="73"/>
      <c r="CC210" s="345"/>
      <c r="CD210" s="73"/>
      <c r="CE210" s="25"/>
      <c r="CF210" s="73"/>
      <c r="CG210" s="73"/>
      <c r="CH210" s="345"/>
      <c r="CI210" s="73"/>
      <c r="CJ210" s="25"/>
      <c r="CK210" s="73"/>
      <c r="CL210" s="73"/>
      <c r="CM210" s="345"/>
      <c r="CN210" s="73"/>
      <c r="CO210" s="25"/>
      <c r="CP210" s="73"/>
      <c r="CQ210" s="73"/>
      <c r="CR210" s="345"/>
      <c r="CS210" s="73"/>
      <c r="CT210" s="25"/>
      <c r="CU210" s="73"/>
      <c r="CV210" s="73"/>
      <c r="CW210" s="345"/>
      <c r="CX210" s="73"/>
      <c r="CY210" s="25"/>
      <c r="CZ210" s="73"/>
      <c r="DA210" s="73"/>
      <c r="DB210" s="345"/>
      <c r="DC210" s="73"/>
      <c r="DD210" s="25"/>
      <c r="DE210" s="73"/>
      <c r="DF210" s="73"/>
      <c r="DG210" s="345"/>
      <c r="DH210" s="73"/>
      <c r="DI210" s="25"/>
      <c r="DJ210" s="73"/>
      <c r="DK210" s="73"/>
      <c r="DL210" s="345"/>
      <c r="DM210" s="73"/>
      <c r="DN210" s="25"/>
      <c r="DO210" s="73"/>
      <c r="DP210" s="73"/>
      <c r="DQ210" s="345"/>
      <c r="DR210" s="73"/>
      <c r="DS210" s="25"/>
      <c r="DT210" s="73"/>
      <c r="DU210" s="73"/>
      <c r="DV210" s="345"/>
      <c r="DW210" s="73"/>
      <c r="DX210" s="25"/>
      <c r="DY210" s="73"/>
      <c r="DZ210" s="73"/>
      <c r="EA210" s="345"/>
      <c r="EB210" s="73"/>
      <c r="EC210" s="25"/>
      <c r="ED210" s="73"/>
      <c r="EE210" s="73"/>
      <c r="EF210" s="345"/>
      <c r="EG210" s="73"/>
      <c r="EH210" s="25"/>
      <c r="EI210" s="73"/>
      <c r="EJ210" s="73"/>
      <c r="EK210" s="345"/>
      <c r="EL210" s="73"/>
      <c r="EM210" s="25"/>
      <c r="EN210" s="73"/>
      <c r="EO210" s="73"/>
      <c r="EP210" s="345"/>
      <c r="EQ210" s="73"/>
      <c r="ER210" s="25"/>
      <c r="ES210" s="73"/>
      <c r="ET210" s="73"/>
      <c r="EU210" s="345"/>
      <c r="EV210" s="73"/>
      <c r="EW210" s="25"/>
      <c r="EX210" s="73"/>
      <c r="EY210" s="73"/>
      <c r="EZ210" s="345"/>
      <c r="FA210" s="73"/>
      <c r="FB210" s="25"/>
      <c r="FC210" s="73"/>
      <c r="FD210" s="73"/>
      <c r="FE210" s="345"/>
      <c r="FF210" s="73"/>
      <c r="FG210" s="25"/>
      <c r="FH210" s="73"/>
      <c r="FI210" s="73"/>
      <c r="FJ210" s="345"/>
      <c r="FK210" s="73"/>
      <c r="FL210" s="25"/>
      <c r="FM210" s="73"/>
      <c r="FN210" s="73"/>
      <c r="FO210" s="345"/>
      <c r="FP210" s="73"/>
      <c r="FQ210" s="25"/>
      <c r="FR210" s="73"/>
      <c r="FS210" s="73"/>
      <c r="FT210" s="345"/>
      <c r="FU210" s="73"/>
      <c r="FV210" s="25"/>
      <c r="FW210" s="73"/>
      <c r="FX210" s="73"/>
      <c r="FY210" s="345"/>
      <c r="FZ210" s="73"/>
      <c r="GA210" s="25"/>
      <c r="GB210" s="73"/>
      <c r="GC210" s="73"/>
      <c r="GD210" s="345"/>
      <c r="GE210" s="73"/>
      <c r="GF210" s="25"/>
      <c r="GG210" s="73"/>
      <c r="GH210" s="73"/>
      <c r="GI210" s="345"/>
      <c r="GJ210" s="73"/>
      <c r="GK210" s="25"/>
      <c r="GL210" s="73"/>
      <c r="GM210" s="73"/>
      <c r="GN210" s="345"/>
      <c r="GO210" s="73"/>
      <c r="GP210" s="25"/>
      <c r="GQ210" s="73"/>
      <c r="GR210" s="73"/>
      <c r="GS210" s="345"/>
      <c r="GT210" s="73"/>
      <c r="GU210" s="25"/>
      <c r="GV210" s="73"/>
      <c r="GW210" s="73"/>
      <c r="GX210" s="345"/>
      <c r="GY210" s="73"/>
      <c r="GZ210" s="25"/>
      <c r="HA210" s="73"/>
      <c r="HB210" s="73"/>
      <c r="HC210" s="345"/>
      <c r="HD210" s="73"/>
      <c r="HE210" s="25"/>
      <c r="HF210" s="73"/>
      <c r="HG210" s="73"/>
      <c r="HH210" s="345"/>
      <c r="HI210" s="73"/>
      <c r="HJ210" s="25"/>
      <c r="HK210" s="73"/>
      <c r="HL210" s="73"/>
      <c r="HM210" s="345"/>
      <c r="HN210" s="73"/>
      <c r="HO210" s="25"/>
      <c r="HP210" s="73"/>
      <c r="HQ210" s="73"/>
      <c r="HR210" s="345"/>
      <c r="HS210" s="73"/>
      <c r="HT210" s="25"/>
      <c r="HU210" s="73"/>
      <c r="HV210" s="73"/>
      <c r="HW210" s="345"/>
      <c r="HX210" s="73"/>
      <c r="HY210" s="25"/>
      <c r="HZ210" s="73"/>
      <c r="IA210" s="73"/>
      <c r="IB210" s="345"/>
      <c r="IC210" s="73"/>
      <c r="ID210" s="25"/>
      <c r="IE210" s="73"/>
      <c r="IF210" s="73"/>
      <c r="IG210" s="345"/>
      <c r="IH210" s="73"/>
      <c r="II210" s="25"/>
      <c r="IJ210" s="73"/>
      <c r="IK210" s="73"/>
      <c r="IL210" s="345"/>
      <c r="IM210" s="73"/>
      <c r="IN210" s="25"/>
      <c r="IO210" s="73"/>
      <c r="IP210" s="73"/>
      <c r="IQ210" s="345"/>
      <c r="IR210" s="73"/>
      <c r="IS210" s="25"/>
      <c r="IT210" s="73"/>
      <c r="IU210" s="73"/>
      <c r="IV210" s="345"/>
    </row>
    <row r="211" spans="1:256" x14ac:dyDescent="0.2">
      <c r="A211" s="345">
        <v>33938</v>
      </c>
      <c r="B211" s="73"/>
      <c r="C211" s="25"/>
      <c r="D211" s="73"/>
      <c r="E211" s="73"/>
      <c r="F211" s="345"/>
      <c r="G211" s="73"/>
      <c r="H211" s="25"/>
      <c r="I211" s="73"/>
      <c r="J211" s="73"/>
      <c r="K211" s="345"/>
      <c r="L211" s="73"/>
      <c r="M211" s="25"/>
      <c r="N211" s="73"/>
      <c r="O211" s="73"/>
      <c r="P211" s="345"/>
      <c r="Q211" s="73"/>
      <c r="R211" s="25"/>
      <c r="S211" s="73"/>
      <c r="T211" s="73"/>
      <c r="U211" s="345"/>
      <c r="V211" s="73"/>
      <c r="W211" s="25"/>
      <c r="X211" s="73"/>
      <c r="Y211" s="73"/>
      <c r="Z211" s="345"/>
      <c r="AA211" s="73"/>
      <c r="AB211" s="25"/>
      <c r="AC211" s="73"/>
      <c r="AD211" s="73"/>
      <c r="AE211" s="345"/>
      <c r="AF211" s="73"/>
      <c r="AG211" s="25"/>
      <c r="AH211" s="73"/>
      <c r="AI211" s="73"/>
      <c r="AJ211" s="345"/>
      <c r="AK211" s="73"/>
      <c r="AL211" s="25"/>
      <c r="AM211" s="73"/>
      <c r="AN211" s="73"/>
      <c r="AO211" s="345"/>
      <c r="AP211" s="73"/>
      <c r="AQ211" s="25"/>
      <c r="AR211" s="73"/>
      <c r="AS211" s="73"/>
      <c r="AT211" s="345"/>
      <c r="AU211" s="73"/>
      <c r="AV211" s="25"/>
      <c r="AW211" s="73"/>
      <c r="AX211" s="73"/>
      <c r="AY211" s="345"/>
      <c r="AZ211" s="73"/>
      <c r="BA211" s="25"/>
      <c r="BB211" s="73"/>
      <c r="BC211" s="73"/>
      <c r="BD211" s="345"/>
      <c r="BE211" s="73"/>
      <c r="BF211" s="25"/>
      <c r="BG211" s="73"/>
      <c r="BH211" s="73"/>
      <c r="BI211" s="345"/>
      <c r="BJ211" s="73"/>
      <c r="BK211" s="25"/>
      <c r="BL211" s="73"/>
      <c r="BM211" s="73"/>
      <c r="BN211" s="345"/>
      <c r="BO211" s="73"/>
      <c r="BP211" s="25"/>
      <c r="BQ211" s="73"/>
      <c r="BR211" s="73"/>
      <c r="BS211" s="345"/>
      <c r="BT211" s="73"/>
      <c r="BU211" s="25"/>
      <c r="BV211" s="73"/>
      <c r="BW211" s="73"/>
      <c r="BX211" s="345"/>
      <c r="BY211" s="73"/>
      <c r="BZ211" s="25"/>
      <c r="CA211" s="73"/>
      <c r="CB211" s="73"/>
      <c r="CC211" s="345"/>
      <c r="CD211" s="73"/>
      <c r="CE211" s="25"/>
      <c r="CF211" s="73"/>
      <c r="CG211" s="73"/>
      <c r="CH211" s="345"/>
      <c r="CI211" s="73"/>
      <c r="CJ211" s="25"/>
      <c r="CK211" s="73"/>
      <c r="CL211" s="73"/>
      <c r="CM211" s="345"/>
      <c r="CN211" s="73"/>
      <c r="CO211" s="25"/>
      <c r="CP211" s="73"/>
      <c r="CQ211" s="73"/>
      <c r="CR211" s="345"/>
      <c r="CS211" s="73"/>
      <c r="CT211" s="25"/>
      <c r="CU211" s="73"/>
      <c r="CV211" s="73"/>
      <c r="CW211" s="345"/>
      <c r="CX211" s="73"/>
      <c r="CY211" s="25"/>
      <c r="CZ211" s="73"/>
      <c r="DA211" s="73"/>
      <c r="DB211" s="345"/>
      <c r="DC211" s="73"/>
      <c r="DD211" s="25"/>
      <c r="DE211" s="73"/>
      <c r="DF211" s="73"/>
      <c r="DG211" s="345"/>
      <c r="DH211" s="73"/>
      <c r="DI211" s="25"/>
      <c r="DJ211" s="73"/>
      <c r="DK211" s="73"/>
      <c r="DL211" s="345"/>
      <c r="DM211" s="73"/>
      <c r="DN211" s="25"/>
      <c r="DO211" s="73"/>
      <c r="DP211" s="73"/>
      <c r="DQ211" s="345"/>
      <c r="DR211" s="73"/>
      <c r="DS211" s="25"/>
      <c r="DT211" s="73"/>
      <c r="DU211" s="73"/>
      <c r="DV211" s="345"/>
      <c r="DW211" s="73"/>
      <c r="DX211" s="25"/>
      <c r="DY211" s="73"/>
      <c r="DZ211" s="73"/>
      <c r="EA211" s="345"/>
      <c r="EB211" s="73"/>
      <c r="EC211" s="25"/>
      <c r="ED211" s="73"/>
      <c r="EE211" s="73"/>
      <c r="EF211" s="345"/>
      <c r="EG211" s="73"/>
      <c r="EH211" s="25"/>
      <c r="EI211" s="73"/>
      <c r="EJ211" s="73"/>
      <c r="EK211" s="345"/>
      <c r="EL211" s="73"/>
      <c r="EM211" s="25"/>
      <c r="EN211" s="73"/>
      <c r="EO211" s="73"/>
      <c r="EP211" s="345"/>
      <c r="EQ211" s="73"/>
      <c r="ER211" s="25"/>
      <c r="ES211" s="73"/>
      <c r="ET211" s="73"/>
      <c r="EU211" s="345"/>
      <c r="EV211" s="73"/>
      <c r="EW211" s="25"/>
      <c r="EX211" s="73"/>
      <c r="EY211" s="73"/>
      <c r="EZ211" s="345"/>
      <c r="FA211" s="73"/>
      <c r="FB211" s="25"/>
      <c r="FC211" s="73"/>
      <c r="FD211" s="73"/>
      <c r="FE211" s="345"/>
      <c r="FF211" s="73"/>
      <c r="FG211" s="25"/>
      <c r="FH211" s="73"/>
      <c r="FI211" s="73"/>
      <c r="FJ211" s="345"/>
      <c r="FK211" s="73"/>
      <c r="FL211" s="25"/>
      <c r="FM211" s="73"/>
      <c r="FN211" s="73"/>
      <c r="FO211" s="345"/>
      <c r="FP211" s="73"/>
      <c r="FQ211" s="25"/>
      <c r="FR211" s="73"/>
      <c r="FS211" s="73"/>
      <c r="FT211" s="345"/>
      <c r="FU211" s="73"/>
      <c r="FV211" s="25"/>
      <c r="FW211" s="73"/>
      <c r="FX211" s="73"/>
      <c r="FY211" s="345"/>
      <c r="FZ211" s="73"/>
      <c r="GA211" s="25"/>
      <c r="GB211" s="73"/>
      <c r="GC211" s="73"/>
      <c r="GD211" s="345"/>
      <c r="GE211" s="73"/>
      <c r="GF211" s="25"/>
      <c r="GG211" s="73"/>
      <c r="GH211" s="73"/>
      <c r="GI211" s="345"/>
      <c r="GJ211" s="73"/>
      <c r="GK211" s="25"/>
      <c r="GL211" s="73"/>
      <c r="GM211" s="73"/>
      <c r="GN211" s="345"/>
      <c r="GO211" s="73"/>
      <c r="GP211" s="25"/>
      <c r="GQ211" s="73"/>
      <c r="GR211" s="73"/>
      <c r="GS211" s="345"/>
      <c r="GT211" s="73"/>
      <c r="GU211" s="25"/>
      <c r="GV211" s="73"/>
      <c r="GW211" s="73"/>
      <c r="GX211" s="345"/>
      <c r="GY211" s="73"/>
      <c r="GZ211" s="25"/>
      <c r="HA211" s="73"/>
      <c r="HB211" s="73"/>
      <c r="HC211" s="345"/>
      <c r="HD211" s="73"/>
      <c r="HE211" s="25"/>
      <c r="HF211" s="73"/>
      <c r="HG211" s="73"/>
      <c r="HH211" s="345"/>
      <c r="HI211" s="73"/>
      <c r="HJ211" s="25"/>
      <c r="HK211" s="73"/>
      <c r="HL211" s="73"/>
      <c r="HM211" s="345"/>
      <c r="HN211" s="73"/>
      <c r="HO211" s="25"/>
      <c r="HP211" s="73"/>
      <c r="HQ211" s="73"/>
      <c r="HR211" s="345"/>
      <c r="HS211" s="73"/>
      <c r="HT211" s="25"/>
      <c r="HU211" s="73"/>
      <c r="HV211" s="73"/>
      <c r="HW211" s="345"/>
      <c r="HX211" s="73"/>
      <c r="HY211" s="25"/>
      <c r="HZ211" s="73"/>
      <c r="IA211" s="73"/>
      <c r="IB211" s="345"/>
      <c r="IC211" s="73"/>
      <c r="ID211" s="25"/>
      <c r="IE211" s="73"/>
      <c r="IF211" s="73"/>
      <c r="IG211" s="345"/>
      <c r="IH211" s="73"/>
      <c r="II211" s="25"/>
      <c r="IJ211" s="73"/>
      <c r="IK211" s="73"/>
      <c r="IL211" s="345"/>
      <c r="IM211" s="73"/>
      <c r="IN211" s="25"/>
      <c r="IO211" s="73"/>
      <c r="IP211" s="73"/>
      <c r="IQ211" s="345"/>
      <c r="IR211" s="73"/>
      <c r="IS211" s="25"/>
      <c r="IT211" s="73"/>
      <c r="IU211" s="73"/>
      <c r="IV211" s="345"/>
    </row>
    <row r="212" spans="1:256" x14ac:dyDescent="0.2">
      <c r="A212" s="345">
        <v>33969</v>
      </c>
      <c r="B212" s="73"/>
      <c r="C212" s="25"/>
      <c r="D212" s="73"/>
      <c r="E212" s="73"/>
      <c r="F212" s="345"/>
      <c r="G212" s="73"/>
      <c r="H212" s="25"/>
      <c r="I212" s="73"/>
      <c r="J212" s="73"/>
      <c r="K212" s="345"/>
      <c r="L212" s="73"/>
      <c r="M212" s="25"/>
      <c r="N212" s="73"/>
      <c r="O212" s="73"/>
      <c r="P212" s="345"/>
      <c r="Q212" s="73"/>
      <c r="R212" s="25"/>
      <c r="S212" s="73"/>
      <c r="T212" s="73"/>
      <c r="U212" s="345"/>
      <c r="V212" s="73"/>
      <c r="W212" s="25"/>
      <c r="X212" s="73"/>
      <c r="Y212" s="73"/>
      <c r="Z212" s="345"/>
      <c r="AA212" s="73"/>
      <c r="AB212" s="25"/>
      <c r="AC212" s="73"/>
      <c r="AD212" s="73"/>
      <c r="AE212" s="345"/>
      <c r="AF212" s="73"/>
      <c r="AG212" s="25"/>
      <c r="AH212" s="73"/>
      <c r="AI212" s="73"/>
      <c r="AJ212" s="345"/>
      <c r="AK212" s="73"/>
      <c r="AL212" s="25"/>
      <c r="AM212" s="73"/>
      <c r="AN212" s="73"/>
      <c r="AO212" s="345"/>
      <c r="AP212" s="73"/>
      <c r="AQ212" s="25"/>
      <c r="AR212" s="73"/>
      <c r="AS212" s="73"/>
      <c r="AT212" s="345"/>
      <c r="AU212" s="73"/>
      <c r="AV212" s="25"/>
      <c r="AW212" s="73"/>
      <c r="AX212" s="73"/>
      <c r="AY212" s="345"/>
      <c r="AZ212" s="73"/>
      <c r="BA212" s="25"/>
      <c r="BB212" s="73"/>
      <c r="BC212" s="73"/>
      <c r="BD212" s="345"/>
      <c r="BE212" s="73"/>
      <c r="BF212" s="25"/>
      <c r="BG212" s="73"/>
      <c r="BH212" s="73"/>
      <c r="BI212" s="345"/>
      <c r="BJ212" s="73"/>
      <c r="BK212" s="25"/>
      <c r="BL212" s="73"/>
      <c r="BM212" s="73"/>
      <c r="BN212" s="345"/>
      <c r="BO212" s="73"/>
      <c r="BP212" s="25"/>
      <c r="BQ212" s="73"/>
      <c r="BR212" s="73"/>
      <c r="BS212" s="345"/>
      <c r="BT212" s="73"/>
      <c r="BU212" s="25"/>
      <c r="BV212" s="73"/>
      <c r="BW212" s="73"/>
      <c r="BX212" s="345"/>
      <c r="BY212" s="73"/>
      <c r="BZ212" s="25"/>
      <c r="CA212" s="73"/>
      <c r="CB212" s="73"/>
      <c r="CC212" s="345"/>
      <c r="CD212" s="73"/>
      <c r="CE212" s="25"/>
      <c r="CF212" s="73"/>
      <c r="CG212" s="73"/>
      <c r="CH212" s="345"/>
      <c r="CI212" s="73"/>
      <c r="CJ212" s="25"/>
      <c r="CK212" s="73"/>
      <c r="CL212" s="73"/>
      <c r="CM212" s="345"/>
      <c r="CN212" s="73"/>
      <c r="CO212" s="25"/>
      <c r="CP212" s="73"/>
      <c r="CQ212" s="73"/>
      <c r="CR212" s="345"/>
      <c r="CS212" s="73"/>
      <c r="CT212" s="25"/>
      <c r="CU212" s="73"/>
      <c r="CV212" s="73"/>
      <c r="CW212" s="345"/>
      <c r="CX212" s="73"/>
      <c r="CY212" s="25"/>
      <c r="CZ212" s="73"/>
      <c r="DA212" s="73"/>
      <c r="DB212" s="345"/>
      <c r="DC212" s="73"/>
      <c r="DD212" s="25"/>
      <c r="DE212" s="73"/>
      <c r="DF212" s="73"/>
      <c r="DG212" s="345"/>
      <c r="DH212" s="73"/>
      <c r="DI212" s="25"/>
      <c r="DJ212" s="73"/>
      <c r="DK212" s="73"/>
      <c r="DL212" s="345"/>
      <c r="DM212" s="73"/>
      <c r="DN212" s="25"/>
      <c r="DO212" s="73"/>
      <c r="DP212" s="73"/>
      <c r="DQ212" s="345"/>
      <c r="DR212" s="73"/>
      <c r="DS212" s="25"/>
      <c r="DT212" s="73"/>
      <c r="DU212" s="73"/>
      <c r="DV212" s="345"/>
      <c r="DW212" s="73"/>
      <c r="DX212" s="25"/>
      <c r="DY212" s="73"/>
      <c r="DZ212" s="73"/>
      <c r="EA212" s="345"/>
      <c r="EB212" s="73"/>
      <c r="EC212" s="25"/>
      <c r="ED212" s="73"/>
      <c r="EE212" s="73"/>
      <c r="EF212" s="345"/>
      <c r="EG212" s="73"/>
      <c r="EH212" s="25"/>
      <c r="EI212" s="73"/>
      <c r="EJ212" s="73"/>
      <c r="EK212" s="345"/>
      <c r="EL212" s="73"/>
      <c r="EM212" s="25"/>
      <c r="EN212" s="73"/>
      <c r="EO212" s="73"/>
      <c r="EP212" s="345"/>
      <c r="EQ212" s="73"/>
      <c r="ER212" s="25"/>
      <c r="ES212" s="73"/>
      <c r="ET212" s="73"/>
      <c r="EU212" s="345"/>
      <c r="EV212" s="73"/>
      <c r="EW212" s="25"/>
      <c r="EX212" s="73"/>
      <c r="EY212" s="73"/>
      <c r="EZ212" s="345"/>
      <c r="FA212" s="73"/>
      <c r="FB212" s="25"/>
      <c r="FC212" s="73"/>
      <c r="FD212" s="73"/>
      <c r="FE212" s="345"/>
      <c r="FF212" s="73"/>
      <c r="FG212" s="25"/>
      <c r="FH212" s="73"/>
      <c r="FI212" s="73"/>
      <c r="FJ212" s="345"/>
      <c r="FK212" s="73"/>
      <c r="FL212" s="25"/>
      <c r="FM212" s="73"/>
      <c r="FN212" s="73"/>
      <c r="FO212" s="345"/>
      <c r="FP212" s="73"/>
      <c r="FQ212" s="25"/>
      <c r="FR212" s="73"/>
      <c r="FS212" s="73"/>
      <c r="FT212" s="345"/>
      <c r="FU212" s="73"/>
      <c r="FV212" s="25"/>
      <c r="FW212" s="73"/>
      <c r="FX212" s="73"/>
      <c r="FY212" s="345"/>
      <c r="FZ212" s="73"/>
      <c r="GA212" s="25"/>
      <c r="GB212" s="73"/>
      <c r="GC212" s="73"/>
      <c r="GD212" s="345"/>
      <c r="GE212" s="73"/>
      <c r="GF212" s="25"/>
      <c r="GG212" s="73"/>
      <c r="GH212" s="73"/>
      <c r="GI212" s="345"/>
      <c r="GJ212" s="73"/>
      <c r="GK212" s="25"/>
      <c r="GL212" s="73"/>
      <c r="GM212" s="73"/>
      <c r="GN212" s="345"/>
      <c r="GO212" s="73"/>
      <c r="GP212" s="25"/>
      <c r="GQ212" s="73"/>
      <c r="GR212" s="73"/>
      <c r="GS212" s="345"/>
      <c r="GT212" s="73"/>
      <c r="GU212" s="25"/>
      <c r="GV212" s="73"/>
      <c r="GW212" s="73"/>
      <c r="GX212" s="345"/>
      <c r="GY212" s="73"/>
      <c r="GZ212" s="25"/>
      <c r="HA212" s="73"/>
      <c r="HB212" s="73"/>
      <c r="HC212" s="345"/>
      <c r="HD212" s="73"/>
      <c r="HE212" s="25"/>
      <c r="HF212" s="73"/>
      <c r="HG212" s="73"/>
      <c r="HH212" s="345"/>
      <c r="HI212" s="73"/>
      <c r="HJ212" s="25"/>
      <c r="HK212" s="73"/>
      <c r="HL212" s="73"/>
      <c r="HM212" s="345"/>
      <c r="HN212" s="73"/>
      <c r="HO212" s="25"/>
      <c r="HP212" s="73"/>
      <c r="HQ212" s="73"/>
      <c r="HR212" s="345"/>
      <c r="HS212" s="73"/>
      <c r="HT212" s="25"/>
      <c r="HU212" s="73"/>
      <c r="HV212" s="73"/>
      <c r="HW212" s="345"/>
      <c r="HX212" s="73"/>
      <c r="HY212" s="25"/>
      <c r="HZ212" s="73"/>
      <c r="IA212" s="73"/>
      <c r="IB212" s="345"/>
      <c r="IC212" s="73"/>
      <c r="ID212" s="25"/>
      <c r="IE212" s="73"/>
      <c r="IF212" s="73"/>
      <c r="IG212" s="345"/>
      <c r="IH212" s="73"/>
      <c r="II212" s="25"/>
      <c r="IJ212" s="73"/>
      <c r="IK212" s="73"/>
      <c r="IL212" s="345"/>
      <c r="IM212" s="73"/>
      <c r="IN212" s="25"/>
      <c r="IO212" s="73"/>
      <c r="IP212" s="73"/>
      <c r="IQ212" s="345"/>
      <c r="IR212" s="73"/>
      <c r="IS212" s="25"/>
      <c r="IT212" s="73"/>
      <c r="IU212" s="73"/>
      <c r="IV212" s="345"/>
    </row>
    <row r="213" spans="1:256" x14ac:dyDescent="0.2">
      <c r="A213" s="345">
        <v>34000</v>
      </c>
      <c r="B213" s="73"/>
      <c r="C213" s="25"/>
      <c r="D213" s="73"/>
      <c r="E213" s="73"/>
      <c r="F213" s="345"/>
      <c r="G213" s="73"/>
      <c r="H213" s="25"/>
      <c r="I213" s="73"/>
      <c r="J213" s="73"/>
      <c r="K213" s="345"/>
      <c r="L213" s="73"/>
      <c r="M213" s="25"/>
      <c r="N213" s="73"/>
      <c r="O213" s="73"/>
      <c r="P213" s="345"/>
      <c r="Q213" s="73"/>
      <c r="R213" s="25"/>
      <c r="S213" s="73"/>
      <c r="T213" s="73"/>
      <c r="U213" s="345"/>
      <c r="V213" s="73"/>
      <c r="W213" s="25"/>
      <c r="X213" s="73"/>
      <c r="Y213" s="73"/>
      <c r="Z213" s="345"/>
      <c r="AA213" s="73"/>
      <c r="AB213" s="25"/>
      <c r="AC213" s="73"/>
      <c r="AD213" s="73"/>
      <c r="AE213" s="345"/>
      <c r="AF213" s="73"/>
      <c r="AG213" s="25"/>
      <c r="AH213" s="73"/>
      <c r="AI213" s="73"/>
      <c r="AJ213" s="345"/>
      <c r="AK213" s="73"/>
      <c r="AL213" s="25"/>
      <c r="AM213" s="73"/>
      <c r="AN213" s="73"/>
      <c r="AO213" s="345"/>
      <c r="AP213" s="73"/>
      <c r="AQ213" s="25"/>
      <c r="AR213" s="73"/>
      <c r="AS213" s="73"/>
      <c r="AT213" s="345"/>
      <c r="AU213" s="73"/>
      <c r="AV213" s="25"/>
      <c r="AW213" s="73"/>
      <c r="AX213" s="73"/>
      <c r="AY213" s="345"/>
      <c r="AZ213" s="73"/>
      <c r="BA213" s="25"/>
      <c r="BB213" s="73"/>
      <c r="BC213" s="73"/>
      <c r="BD213" s="345"/>
      <c r="BE213" s="73"/>
      <c r="BF213" s="25"/>
      <c r="BG213" s="73"/>
      <c r="BH213" s="73"/>
      <c r="BI213" s="345"/>
      <c r="BJ213" s="73"/>
      <c r="BK213" s="25"/>
      <c r="BL213" s="73"/>
      <c r="BM213" s="73"/>
      <c r="BN213" s="345"/>
      <c r="BO213" s="73"/>
      <c r="BP213" s="25"/>
      <c r="BQ213" s="73"/>
      <c r="BR213" s="73"/>
      <c r="BS213" s="345"/>
      <c r="BT213" s="73"/>
      <c r="BU213" s="25"/>
      <c r="BV213" s="73"/>
      <c r="BW213" s="73"/>
      <c r="BX213" s="345"/>
      <c r="BY213" s="73"/>
      <c r="BZ213" s="25"/>
      <c r="CA213" s="73"/>
      <c r="CB213" s="73"/>
      <c r="CC213" s="345"/>
      <c r="CD213" s="73"/>
      <c r="CE213" s="25"/>
      <c r="CF213" s="73"/>
      <c r="CG213" s="73"/>
      <c r="CH213" s="345"/>
      <c r="CI213" s="73"/>
      <c r="CJ213" s="25"/>
      <c r="CK213" s="73"/>
      <c r="CL213" s="73"/>
      <c r="CM213" s="345"/>
      <c r="CN213" s="73"/>
      <c r="CO213" s="25"/>
      <c r="CP213" s="73"/>
      <c r="CQ213" s="73"/>
      <c r="CR213" s="345"/>
      <c r="CS213" s="73"/>
      <c r="CT213" s="25"/>
      <c r="CU213" s="73"/>
      <c r="CV213" s="73"/>
      <c r="CW213" s="345"/>
      <c r="CX213" s="73"/>
      <c r="CY213" s="25"/>
      <c r="CZ213" s="73"/>
      <c r="DA213" s="73"/>
      <c r="DB213" s="345"/>
      <c r="DC213" s="73"/>
      <c r="DD213" s="25"/>
      <c r="DE213" s="73"/>
      <c r="DF213" s="73"/>
      <c r="DG213" s="345"/>
      <c r="DH213" s="73"/>
      <c r="DI213" s="25"/>
      <c r="DJ213" s="73"/>
      <c r="DK213" s="73"/>
      <c r="DL213" s="345"/>
      <c r="DM213" s="73"/>
      <c r="DN213" s="25"/>
      <c r="DO213" s="73"/>
      <c r="DP213" s="73"/>
      <c r="DQ213" s="345"/>
      <c r="DR213" s="73"/>
      <c r="DS213" s="25"/>
      <c r="DT213" s="73"/>
      <c r="DU213" s="73"/>
      <c r="DV213" s="345"/>
      <c r="DW213" s="73"/>
      <c r="DX213" s="25"/>
      <c r="DY213" s="73"/>
      <c r="DZ213" s="73"/>
      <c r="EA213" s="345"/>
      <c r="EB213" s="73"/>
      <c r="EC213" s="25"/>
      <c r="ED213" s="73"/>
      <c r="EE213" s="73"/>
      <c r="EF213" s="345"/>
      <c r="EG213" s="73"/>
      <c r="EH213" s="25"/>
      <c r="EI213" s="73"/>
      <c r="EJ213" s="73"/>
      <c r="EK213" s="345"/>
      <c r="EL213" s="73"/>
      <c r="EM213" s="25"/>
      <c r="EN213" s="73"/>
      <c r="EO213" s="73"/>
      <c r="EP213" s="345"/>
      <c r="EQ213" s="73"/>
      <c r="ER213" s="25"/>
      <c r="ES213" s="73"/>
      <c r="ET213" s="73"/>
      <c r="EU213" s="345"/>
      <c r="EV213" s="73"/>
      <c r="EW213" s="25"/>
      <c r="EX213" s="73"/>
      <c r="EY213" s="73"/>
      <c r="EZ213" s="345"/>
      <c r="FA213" s="73"/>
      <c r="FB213" s="25"/>
      <c r="FC213" s="73"/>
      <c r="FD213" s="73"/>
      <c r="FE213" s="345"/>
      <c r="FF213" s="73"/>
      <c r="FG213" s="25"/>
      <c r="FH213" s="73"/>
      <c r="FI213" s="73"/>
      <c r="FJ213" s="345"/>
      <c r="FK213" s="73"/>
      <c r="FL213" s="25"/>
      <c r="FM213" s="73"/>
      <c r="FN213" s="73"/>
      <c r="FO213" s="345"/>
      <c r="FP213" s="73"/>
      <c r="FQ213" s="25"/>
      <c r="FR213" s="73"/>
      <c r="FS213" s="73"/>
      <c r="FT213" s="345"/>
      <c r="FU213" s="73"/>
      <c r="FV213" s="25"/>
      <c r="FW213" s="73"/>
      <c r="FX213" s="73"/>
      <c r="FY213" s="345"/>
      <c r="FZ213" s="73"/>
      <c r="GA213" s="25"/>
      <c r="GB213" s="73"/>
      <c r="GC213" s="73"/>
      <c r="GD213" s="345"/>
      <c r="GE213" s="73"/>
      <c r="GF213" s="25"/>
      <c r="GG213" s="73"/>
      <c r="GH213" s="73"/>
      <c r="GI213" s="345"/>
      <c r="GJ213" s="73"/>
      <c r="GK213" s="25"/>
      <c r="GL213" s="73"/>
      <c r="GM213" s="73"/>
      <c r="GN213" s="345"/>
      <c r="GO213" s="73"/>
      <c r="GP213" s="25"/>
      <c r="GQ213" s="73"/>
      <c r="GR213" s="73"/>
      <c r="GS213" s="345"/>
      <c r="GT213" s="73"/>
      <c r="GU213" s="25"/>
      <c r="GV213" s="73"/>
      <c r="GW213" s="73"/>
      <c r="GX213" s="345"/>
      <c r="GY213" s="73"/>
      <c r="GZ213" s="25"/>
      <c r="HA213" s="73"/>
      <c r="HB213" s="73"/>
      <c r="HC213" s="345"/>
      <c r="HD213" s="73"/>
      <c r="HE213" s="25"/>
      <c r="HF213" s="73"/>
      <c r="HG213" s="73"/>
      <c r="HH213" s="345"/>
      <c r="HI213" s="73"/>
      <c r="HJ213" s="25"/>
      <c r="HK213" s="73"/>
      <c r="HL213" s="73"/>
      <c r="HM213" s="345"/>
      <c r="HN213" s="73"/>
      <c r="HO213" s="25"/>
      <c r="HP213" s="73"/>
      <c r="HQ213" s="73"/>
      <c r="HR213" s="345"/>
      <c r="HS213" s="73"/>
      <c r="HT213" s="25"/>
      <c r="HU213" s="73"/>
      <c r="HV213" s="73"/>
      <c r="HW213" s="345"/>
      <c r="HX213" s="73"/>
      <c r="HY213" s="25"/>
      <c r="HZ213" s="73"/>
      <c r="IA213" s="73"/>
      <c r="IB213" s="345"/>
      <c r="IC213" s="73"/>
      <c r="ID213" s="25"/>
      <c r="IE213" s="73"/>
      <c r="IF213" s="73"/>
      <c r="IG213" s="345"/>
      <c r="IH213" s="73"/>
      <c r="II213" s="25"/>
      <c r="IJ213" s="73"/>
      <c r="IK213" s="73"/>
      <c r="IL213" s="345"/>
      <c r="IM213" s="73"/>
      <c r="IN213" s="25"/>
      <c r="IO213" s="73"/>
      <c r="IP213" s="73"/>
      <c r="IQ213" s="345"/>
      <c r="IR213" s="73"/>
      <c r="IS213" s="25"/>
      <c r="IT213" s="73"/>
      <c r="IU213" s="73"/>
      <c r="IV213" s="345"/>
    </row>
    <row r="214" spans="1:256" x14ac:dyDescent="0.2">
      <c r="A214" s="345">
        <v>34028</v>
      </c>
      <c r="B214" s="73"/>
      <c r="C214" s="25"/>
      <c r="D214" s="73"/>
      <c r="E214" s="73"/>
      <c r="F214" s="345"/>
      <c r="G214" s="73"/>
      <c r="H214" s="25"/>
      <c r="I214" s="73"/>
      <c r="J214" s="73"/>
      <c r="K214" s="345"/>
      <c r="L214" s="73"/>
      <c r="M214" s="25"/>
      <c r="N214" s="73"/>
      <c r="O214" s="73"/>
      <c r="P214" s="345"/>
      <c r="Q214" s="73"/>
      <c r="R214" s="25"/>
      <c r="S214" s="73"/>
      <c r="T214" s="73"/>
      <c r="U214" s="345"/>
      <c r="V214" s="73"/>
      <c r="W214" s="25"/>
      <c r="X214" s="73"/>
      <c r="Y214" s="73"/>
      <c r="Z214" s="345"/>
      <c r="AA214" s="73"/>
      <c r="AB214" s="25"/>
      <c r="AC214" s="73"/>
      <c r="AD214" s="73"/>
      <c r="AE214" s="345"/>
      <c r="AF214" s="73"/>
      <c r="AG214" s="25"/>
      <c r="AH214" s="73"/>
      <c r="AI214" s="73"/>
      <c r="AJ214" s="345"/>
      <c r="AK214" s="73"/>
      <c r="AL214" s="25"/>
      <c r="AM214" s="73"/>
      <c r="AN214" s="73"/>
      <c r="AO214" s="345"/>
      <c r="AP214" s="73"/>
      <c r="AQ214" s="25"/>
      <c r="AR214" s="73"/>
      <c r="AS214" s="73"/>
      <c r="AT214" s="345"/>
      <c r="AU214" s="73"/>
      <c r="AV214" s="25"/>
      <c r="AW214" s="73"/>
      <c r="AX214" s="73"/>
      <c r="AY214" s="345"/>
      <c r="AZ214" s="73"/>
      <c r="BA214" s="25"/>
      <c r="BB214" s="73"/>
      <c r="BC214" s="73"/>
      <c r="BD214" s="345"/>
      <c r="BE214" s="73"/>
      <c r="BF214" s="25"/>
      <c r="BG214" s="73"/>
      <c r="BH214" s="73"/>
      <c r="BI214" s="345"/>
      <c r="BJ214" s="73"/>
      <c r="BK214" s="25"/>
      <c r="BL214" s="73"/>
      <c r="BM214" s="73"/>
      <c r="BN214" s="345"/>
      <c r="BO214" s="73"/>
      <c r="BP214" s="25"/>
      <c r="BQ214" s="73"/>
      <c r="BR214" s="73"/>
      <c r="BS214" s="345"/>
      <c r="BT214" s="73"/>
      <c r="BU214" s="25"/>
      <c r="BV214" s="73"/>
      <c r="BW214" s="73"/>
      <c r="BX214" s="345"/>
      <c r="BY214" s="73"/>
      <c r="BZ214" s="25"/>
      <c r="CA214" s="73"/>
      <c r="CB214" s="73"/>
      <c r="CC214" s="345"/>
      <c r="CD214" s="73"/>
      <c r="CE214" s="25"/>
      <c r="CF214" s="73"/>
      <c r="CG214" s="73"/>
      <c r="CH214" s="345"/>
      <c r="CI214" s="73"/>
      <c r="CJ214" s="25"/>
      <c r="CK214" s="73"/>
      <c r="CL214" s="73"/>
      <c r="CM214" s="345"/>
      <c r="CN214" s="73"/>
      <c r="CO214" s="25"/>
      <c r="CP214" s="73"/>
      <c r="CQ214" s="73"/>
      <c r="CR214" s="345"/>
      <c r="CS214" s="73"/>
      <c r="CT214" s="25"/>
      <c r="CU214" s="73"/>
      <c r="CV214" s="73"/>
      <c r="CW214" s="345"/>
      <c r="CX214" s="73"/>
      <c r="CY214" s="25"/>
      <c r="CZ214" s="73"/>
      <c r="DA214" s="73"/>
      <c r="DB214" s="345"/>
      <c r="DC214" s="73"/>
      <c r="DD214" s="25"/>
      <c r="DE214" s="73"/>
      <c r="DF214" s="73"/>
      <c r="DG214" s="345"/>
      <c r="DH214" s="73"/>
      <c r="DI214" s="25"/>
      <c r="DJ214" s="73"/>
      <c r="DK214" s="73"/>
      <c r="DL214" s="345"/>
      <c r="DM214" s="73"/>
      <c r="DN214" s="25"/>
      <c r="DO214" s="73"/>
      <c r="DP214" s="73"/>
      <c r="DQ214" s="345"/>
      <c r="DR214" s="73"/>
      <c r="DS214" s="25"/>
      <c r="DT214" s="73"/>
      <c r="DU214" s="73"/>
      <c r="DV214" s="345"/>
      <c r="DW214" s="73"/>
      <c r="DX214" s="25"/>
      <c r="DY214" s="73"/>
      <c r="DZ214" s="73"/>
      <c r="EA214" s="345"/>
      <c r="EB214" s="73"/>
      <c r="EC214" s="25"/>
      <c r="ED214" s="73"/>
      <c r="EE214" s="73"/>
      <c r="EF214" s="345"/>
      <c r="EG214" s="73"/>
      <c r="EH214" s="25"/>
      <c r="EI214" s="73"/>
      <c r="EJ214" s="73"/>
      <c r="EK214" s="345"/>
      <c r="EL214" s="73"/>
      <c r="EM214" s="25"/>
      <c r="EN214" s="73"/>
      <c r="EO214" s="73"/>
      <c r="EP214" s="345"/>
      <c r="EQ214" s="73"/>
      <c r="ER214" s="25"/>
      <c r="ES214" s="73"/>
      <c r="ET214" s="73"/>
      <c r="EU214" s="345"/>
      <c r="EV214" s="73"/>
      <c r="EW214" s="25"/>
      <c r="EX214" s="73"/>
      <c r="EY214" s="73"/>
      <c r="EZ214" s="345"/>
      <c r="FA214" s="73"/>
      <c r="FB214" s="25"/>
      <c r="FC214" s="73"/>
      <c r="FD214" s="73"/>
      <c r="FE214" s="345"/>
      <c r="FF214" s="73"/>
      <c r="FG214" s="25"/>
      <c r="FH214" s="73"/>
      <c r="FI214" s="73"/>
      <c r="FJ214" s="345"/>
      <c r="FK214" s="73"/>
      <c r="FL214" s="25"/>
      <c r="FM214" s="73"/>
      <c r="FN214" s="73"/>
      <c r="FO214" s="345"/>
      <c r="FP214" s="73"/>
      <c r="FQ214" s="25"/>
      <c r="FR214" s="73"/>
      <c r="FS214" s="73"/>
      <c r="FT214" s="345"/>
      <c r="FU214" s="73"/>
      <c r="FV214" s="25"/>
      <c r="FW214" s="73"/>
      <c r="FX214" s="73"/>
      <c r="FY214" s="345"/>
      <c r="FZ214" s="73"/>
      <c r="GA214" s="25"/>
      <c r="GB214" s="73"/>
      <c r="GC214" s="73"/>
      <c r="GD214" s="345"/>
      <c r="GE214" s="73"/>
      <c r="GF214" s="25"/>
      <c r="GG214" s="73"/>
      <c r="GH214" s="73"/>
      <c r="GI214" s="345"/>
      <c r="GJ214" s="73"/>
      <c r="GK214" s="25"/>
      <c r="GL214" s="73"/>
      <c r="GM214" s="73"/>
      <c r="GN214" s="345"/>
      <c r="GO214" s="73"/>
      <c r="GP214" s="25"/>
      <c r="GQ214" s="73"/>
      <c r="GR214" s="73"/>
      <c r="GS214" s="345"/>
      <c r="GT214" s="73"/>
      <c r="GU214" s="25"/>
      <c r="GV214" s="73"/>
      <c r="GW214" s="73"/>
      <c r="GX214" s="345"/>
      <c r="GY214" s="73"/>
      <c r="GZ214" s="25"/>
      <c r="HA214" s="73"/>
      <c r="HB214" s="73"/>
      <c r="HC214" s="345"/>
      <c r="HD214" s="73"/>
      <c r="HE214" s="25"/>
      <c r="HF214" s="73"/>
      <c r="HG214" s="73"/>
      <c r="HH214" s="345"/>
      <c r="HI214" s="73"/>
      <c r="HJ214" s="25"/>
      <c r="HK214" s="73"/>
      <c r="HL214" s="73"/>
      <c r="HM214" s="345"/>
      <c r="HN214" s="73"/>
      <c r="HO214" s="25"/>
      <c r="HP214" s="73"/>
      <c r="HQ214" s="73"/>
      <c r="HR214" s="345"/>
      <c r="HS214" s="73"/>
      <c r="HT214" s="25"/>
      <c r="HU214" s="73"/>
      <c r="HV214" s="73"/>
      <c r="HW214" s="345"/>
      <c r="HX214" s="73"/>
      <c r="HY214" s="25"/>
      <c r="HZ214" s="73"/>
      <c r="IA214" s="73"/>
      <c r="IB214" s="345"/>
      <c r="IC214" s="73"/>
      <c r="ID214" s="25"/>
      <c r="IE214" s="73"/>
      <c r="IF214" s="73"/>
      <c r="IG214" s="345"/>
      <c r="IH214" s="73"/>
      <c r="II214" s="25"/>
      <c r="IJ214" s="73"/>
      <c r="IK214" s="73"/>
      <c r="IL214" s="345"/>
      <c r="IM214" s="73"/>
      <c r="IN214" s="25"/>
      <c r="IO214" s="73"/>
      <c r="IP214" s="73"/>
      <c r="IQ214" s="345"/>
      <c r="IR214" s="73"/>
      <c r="IS214" s="25"/>
      <c r="IT214" s="73"/>
      <c r="IU214" s="73"/>
      <c r="IV214" s="345"/>
    </row>
    <row r="215" spans="1:256" x14ac:dyDescent="0.2">
      <c r="A215" s="345">
        <v>34059</v>
      </c>
      <c r="B215" s="73"/>
      <c r="C215" s="25"/>
      <c r="D215" s="73"/>
      <c r="E215" s="73"/>
      <c r="F215" s="345"/>
      <c r="G215" s="73"/>
      <c r="H215" s="25"/>
      <c r="I215" s="73"/>
      <c r="J215" s="73"/>
      <c r="K215" s="345"/>
      <c r="L215" s="73"/>
      <c r="M215" s="25"/>
      <c r="N215" s="73"/>
      <c r="O215" s="73"/>
      <c r="P215" s="345"/>
      <c r="Q215" s="73"/>
      <c r="R215" s="25"/>
      <c r="S215" s="73"/>
      <c r="T215" s="73"/>
      <c r="U215" s="345"/>
      <c r="V215" s="73"/>
      <c r="W215" s="25"/>
      <c r="X215" s="73"/>
      <c r="Y215" s="73"/>
      <c r="Z215" s="345"/>
      <c r="AA215" s="73"/>
      <c r="AB215" s="25"/>
      <c r="AC215" s="73"/>
      <c r="AD215" s="73"/>
      <c r="AE215" s="345"/>
      <c r="AF215" s="73"/>
      <c r="AG215" s="25"/>
      <c r="AH215" s="73"/>
      <c r="AI215" s="73"/>
      <c r="AJ215" s="345"/>
      <c r="AK215" s="73"/>
      <c r="AL215" s="25"/>
      <c r="AM215" s="73"/>
      <c r="AN215" s="73"/>
      <c r="AO215" s="345"/>
      <c r="AP215" s="73"/>
      <c r="AQ215" s="25"/>
      <c r="AR215" s="73"/>
      <c r="AS215" s="73"/>
      <c r="AT215" s="345"/>
      <c r="AU215" s="73"/>
      <c r="AV215" s="25"/>
      <c r="AW215" s="73"/>
      <c r="AX215" s="73"/>
      <c r="AY215" s="345"/>
      <c r="AZ215" s="73"/>
      <c r="BA215" s="25"/>
      <c r="BB215" s="73"/>
      <c r="BC215" s="73"/>
      <c r="BD215" s="345"/>
      <c r="BE215" s="73"/>
      <c r="BF215" s="25"/>
      <c r="BG215" s="73"/>
      <c r="BH215" s="73"/>
      <c r="BI215" s="345"/>
      <c r="BJ215" s="73"/>
      <c r="BK215" s="25"/>
      <c r="BL215" s="73"/>
      <c r="BM215" s="73"/>
      <c r="BN215" s="345"/>
      <c r="BO215" s="73"/>
      <c r="BP215" s="25"/>
      <c r="BQ215" s="73"/>
      <c r="BR215" s="73"/>
      <c r="BS215" s="345"/>
      <c r="BT215" s="73"/>
      <c r="BU215" s="25"/>
      <c r="BV215" s="73"/>
      <c r="BW215" s="73"/>
      <c r="BX215" s="345"/>
      <c r="BY215" s="73"/>
      <c r="BZ215" s="25"/>
      <c r="CA215" s="73"/>
      <c r="CB215" s="73"/>
      <c r="CC215" s="345"/>
      <c r="CD215" s="73"/>
      <c r="CE215" s="25"/>
      <c r="CF215" s="73"/>
      <c r="CG215" s="73"/>
      <c r="CH215" s="345"/>
      <c r="CI215" s="73"/>
      <c r="CJ215" s="25"/>
      <c r="CK215" s="73"/>
      <c r="CL215" s="73"/>
      <c r="CM215" s="345"/>
      <c r="CN215" s="73"/>
      <c r="CO215" s="25"/>
      <c r="CP215" s="73"/>
      <c r="CQ215" s="73"/>
      <c r="CR215" s="345"/>
      <c r="CS215" s="73"/>
      <c r="CT215" s="25"/>
      <c r="CU215" s="73"/>
      <c r="CV215" s="73"/>
      <c r="CW215" s="345"/>
      <c r="CX215" s="73"/>
      <c r="CY215" s="25"/>
      <c r="CZ215" s="73"/>
      <c r="DA215" s="73"/>
      <c r="DB215" s="345"/>
      <c r="DC215" s="73"/>
      <c r="DD215" s="25"/>
      <c r="DE215" s="73"/>
      <c r="DF215" s="73"/>
      <c r="DG215" s="345"/>
      <c r="DH215" s="73"/>
      <c r="DI215" s="25"/>
      <c r="DJ215" s="73"/>
      <c r="DK215" s="73"/>
      <c r="DL215" s="345"/>
      <c r="DM215" s="73"/>
      <c r="DN215" s="25"/>
      <c r="DO215" s="73"/>
      <c r="DP215" s="73"/>
      <c r="DQ215" s="345"/>
      <c r="DR215" s="73"/>
      <c r="DS215" s="25"/>
      <c r="DT215" s="73"/>
      <c r="DU215" s="73"/>
      <c r="DV215" s="345"/>
      <c r="DW215" s="73"/>
      <c r="DX215" s="25"/>
      <c r="DY215" s="73"/>
      <c r="DZ215" s="73"/>
      <c r="EA215" s="345"/>
      <c r="EB215" s="73"/>
      <c r="EC215" s="25"/>
      <c r="ED215" s="73"/>
      <c r="EE215" s="73"/>
      <c r="EF215" s="345"/>
      <c r="EG215" s="73"/>
      <c r="EH215" s="25"/>
      <c r="EI215" s="73"/>
      <c r="EJ215" s="73"/>
      <c r="EK215" s="345"/>
      <c r="EL215" s="73"/>
      <c r="EM215" s="25"/>
      <c r="EN215" s="73"/>
      <c r="EO215" s="73"/>
      <c r="EP215" s="345"/>
      <c r="EQ215" s="73"/>
      <c r="ER215" s="25"/>
      <c r="ES215" s="73"/>
      <c r="ET215" s="73"/>
      <c r="EU215" s="345"/>
      <c r="EV215" s="73"/>
      <c r="EW215" s="25"/>
      <c r="EX215" s="73"/>
      <c r="EY215" s="73"/>
      <c r="EZ215" s="345"/>
      <c r="FA215" s="73"/>
      <c r="FB215" s="25"/>
      <c r="FC215" s="73"/>
      <c r="FD215" s="73"/>
      <c r="FE215" s="345"/>
      <c r="FF215" s="73"/>
      <c r="FG215" s="25"/>
      <c r="FH215" s="73"/>
      <c r="FI215" s="73"/>
      <c r="FJ215" s="345"/>
      <c r="FK215" s="73"/>
      <c r="FL215" s="25"/>
      <c r="FM215" s="73"/>
      <c r="FN215" s="73"/>
      <c r="FO215" s="345"/>
      <c r="FP215" s="73"/>
      <c r="FQ215" s="25"/>
      <c r="FR215" s="73"/>
      <c r="FS215" s="73"/>
      <c r="FT215" s="345"/>
      <c r="FU215" s="73"/>
      <c r="FV215" s="25"/>
      <c r="FW215" s="73"/>
      <c r="FX215" s="73"/>
      <c r="FY215" s="345"/>
      <c r="FZ215" s="73"/>
      <c r="GA215" s="25"/>
      <c r="GB215" s="73"/>
      <c r="GC215" s="73"/>
      <c r="GD215" s="345"/>
      <c r="GE215" s="73"/>
      <c r="GF215" s="25"/>
      <c r="GG215" s="73"/>
      <c r="GH215" s="73"/>
      <c r="GI215" s="345"/>
      <c r="GJ215" s="73"/>
      <c r="GK215" s="25"/>
      <c r="GL215" s="73"/>
      <c r="GM215" s="73"/>
      <c r="GN215" s="345"/>
      <c r="GO215" s="73"/>
      <c r="GP215" s="25"/>
      <c r="GQ215" s="73"/>
      <c r="GR215" s="73"/>
      <c r="GS215" s="345"/>
      <c r="GT215" s="73"/>
      <c r="GU215" s="25"/>
      <c r="GV215" s="73"/>
      <c r="GW215" s="73"/>
      <c r="GX215" s="345"/>
      <c r="GY215" s="73"/>
      <c r="GZ215" s="25"/>
      <c r="HA215" s="73"/>
      <c r="HB215" s="73"/>
      <c r="HC215" s="345"/>
      <c r="HD215" s="73"/>
      <c r="HE215" s="25"/>
      <c r="HF215" s="73"/>
      <c r="HG215" s="73"/>
      <c r="HH215" s="345"/>
      <c r="HI215" s="73"/>
      <c r="HJ215" s="25"/>
      <c r="HK215" s="73"/>
      <c r="HL215" s="73"/>
      <c r="HM215" s="345"/>
      <c r="HN215" s="73"/>
      <c r="HO215" s="25"/>
      <c r="HP215" s="73"/>
      <c r="HQ215" s="73"/>
      <c r="HR215" s="345"/>
      <c r="HS215" s="73"/>
      <c r="HT215" s="25"/>
      <c r="HU215" s="73"/>
      <c r="HV215" s="73"/>
      <c r="HW215" s="345"/>
      <c r="HX215" s="73"/>
      <c r="HY215" s="25"/>
      <c r="HZ215" s="73"/>
      <c r="IA215" s="73"/>
      <c r="IB215" s="345"/>
      <c r="IC215" s="73"/>
      <c r="ID215" s="25"/>
      <c r="IE215" s="73"/>
      <c r="IF215" s="73"/>
      <c r="IG215" s="345"/>
      <c r="IH215" s="73"/>
      <c r="II215" s="25"/>
      <c r="IJ215" s="73"/>
      <c r="IK215" s="73"/>
      <c r="IL215" s="345"/>
      <c r="IM215" s="73"/>
      <c r="IN215" s="25"/>
      <c r="IO215" s="73"/>
      <c r="IP215" s="73"/>
      <c r="IQ215" s="345"/>
      <c r="IR215" s="73"/>
      <c r="IS215" s="25"/>
      <c r="IT215" s="73"/>
      <c r="IU215" s="73"/>
      <c r="IV215" s="345"/>
    </row>
    <row r="216" spans="1:256" x14ac:dyDescent="0.2">
      <c r="A216" s="345">
        <v>34089</v>
      </c>
      <c r="B216" s="73"/>
      <c r="C216" s="25"/>
      <c r="D216" s="73"/>
      <c r="E216" s="73"/>
      <c r="F216" s="345"/>
      <c r="G216" s="73"/>
      <c r="H216" s="25"/>
      <c r="I216" s="73"/>
      <c r="J216" s="73"/>
      <c r="K216" s="345"/>
      <c r="L216" s="73"/>
      <c r="M216" s="25"/>
      <c r="N216" s="73"/>
      <c r="O216" s="73"/>
      <c r="P216" s="345"/>
      <c r="Q216" s="73"/>
      <c r="R216" s="25"/>
      <c r="S216" s="73"/>
      <c r="T216" s="73"/>
      <c r="U216" s="345"/>
      <c r="V216" s="73"/>
      <c r="W216" s="25"/>
      <c r="X216" s="73"/>
      <c r="Y216" s="73"/>
      <c r="Z216" s="345"/>
      <c r="AA216" s="73"/>
      <c r="AB216" s="25"/>
      <c r="AC216" s="73"/>
      <c r="AD216" s="73"/>
      <c r="AE216" s="345"/>
      <c r="AF216" s="73"/>
      <c r="AG216" s="25"/>
      <c r="AH216" s="73"/>
      <c r="AI216" s="73"/>
      <c r="AJ216" s="345"/>
      <c r="AK216" s="73"/>
      <c r="AL216" s="25"/>
      <c r="AM216" s="73"/>
      <c r="AN216" s="73"/>
      <c r="AO216" s="345"/>
      <c r="AP216" s="73"/>
      <c r="AQ216" s="25"/>
      <c r="AR216" s="73"/>
      <c r="AS216" s="73"/>
      <c r="AT216" s="345"/>
      <c r="AU216" s="73"/>
      <c r="AV216" s="25"/>
      <c r="AW216" s="73"/>
      <c r="AX216" s="73"/>
      <c r="AY216" s="345"/>
      <c r="AZ216" s="73"/>
      <c r="BA216" s="25"/>
      <c r="BB216" s="73"/>
      <c r="BC216" s="73"/>
      <c r="BD216" s="345"/>
      <c r="BE216" s="73"/>
      <c r="BF216" s="25"/>
      <c r="BG216" s="73"/>
      <c r="BH216" s="73"/>
      <c r="BI216" s="345"/>
      <c r="BJ216" s="73"/>
      <c r="BK216" s="25"/>
      <c r="BL216" s="73"/>
      <c r="BM216" s="73"/>
      <c r="BN216" s="345"/>
      <c r="BO216" s="73"/>
      <c r="BP216" s="25"/>
      <c r="BQ216" s="73"/>
      <c r="BR216" s="73"/>
      <c r="BS216" s="345"/>
      <c r="BT216" s="73"/>
      <c r="BU216" s="25"/>
      <c r="BV216" s="73"/>
      <c r="BW216" s="73"/>
      <c r="BX216" s="345"/>
      <c r="BY216" s="73"/>
      <c r="BZ216" s="25"/>
      <c r="CA216" s="73"/>
      <c r="CB216" s="73"/>
      <c r="CC216" s="345"/>
      <c r="CD216" s="73"/>
      <c r="CE216" s="25"/>
      <c r="CF216" s="73"/>
      <c r="CG216" s="73"/>
      <c r="CH216" s="345"/>
      <c r="CI216" s="73"/>
      <c r="CJ216" s="25"/>
      <c r="CK216" s="73"/>
      <c r="CL216" s="73"/>
      <c r="CM216" s="345"/>
      <c r="CN216" s="73"/>
      <c r="CO216" s="25"/>
      <c r="CP216" s="73"/>
      <c r="CQ216" s="73"/>
      <c r="CR216" s="345"/>
      <c r="CS216" s="73"/>
      <c r="CT216" s="25"/>
      <c r="CU216" s="73"/>
      <c r="CV216" s="73"/>
      <c r="CW216" s="345"/>
      <c r="CX216" s="73"/>
      <c r="CY216" s="25"/>
      <c r="CZ216" s="73"/>
      <c r="DA216" s="73"/>
      <c r="DB216" s="345"/>
      <c r="DC216" s="73"/>
      <c r="DD216" s="25"/>
      <c r="DE216" s="73"/>
      <c r="DF216" s="73"/>
      <c r="DG216" s="345"/>
      <c r="DH216" s="73"/>
      <c r="DI216" s="25"/>
      <c r="DJ216" s="73"/>
      <c r="DK216" s="73"/>
      <c r="DL216" s="345"/>
      <c r="DM216" s="73"/>
      <c r="DN216" s="25"/>
      <c r="DO216" s="73"/>
      <c r="DP216" s="73"/>
      <c r="DQ216" s="345"/>
      <c r="DR216" s="73"/>
      <c r="DS216" s="25"/>
      <c r="DT216" s="73"/>
      <c r="DU216" s="73"/>
      <c r="DV216" s="345"/>
      <c r="DW216" s="73"/>
      <c r="DX216" s="25"/>
      <c r="DY216" s="73"/>
      <c r="DZ216" s="73"/>
      <c r="EA216" s="345"/>
      <c r="EB216" s="73"/>
      <c r="EC216" s="25"/>
      <c r="ED216" s="73"/>
      <c r="EE216" s="73"/>
      <c r="EF216" s="345"/>
      <c r="EG216" s="73"/>
      <c r="EH216" s="25"/>
      <c r="EI216" s="73"/>
      <c r="EJ216" s="73"/>
      <c r="EK216" s="345"/>
      <c r="EL216" s="73"/>
      <c r="EM216" s="25"/>
      <c r="EN216" s="73"/>
      <c r="EO216" s="73"/>
      <c r="EP216" s="345"/>
      <c r="EQ216" s="73"/>
      <c r="ER216" s="25"/>
      <c r="ES216" s="73"/>
      <c r="ET216" s="73"/>
      <c r="EU216" s="345"/>
      <c r="EV216" s="73"/>
      <c r="EW216" s="25"/>
      <c r="EX216" s="73"/>
      <c r="EY216" s="73"/>
      <c r="EZ216" s="345"/>
      <c r="FA216" s="73"/>
      <c r="FB216" s="25"/>
      <c r="FC216" s="73"/>
      <c r="FD216" s="73"/>
      <c r="FE216" s="345"/>
      <c r="FF216" s="73"/>
      <c r="FG216" s="25"/>
      <c r="FH216" s="73"/>
      <c r="FI216" s="73"/>
      <c r="FJ216" s="345"/>
      <c r="FK216" s="73"/>
      <c r="FL216" s="25"/>
      <c r="FM216" s="73"/>
      <c r="FN216" s="73"/>
      <c r="FO216" s="345"/>
      <c r="FP216" s="73"/>
      <c r="FQ216" s="25"/>
      <c r="FR216" s="73"/>
      <c r="FS216" s="73"/>
      <c r="FT216" s="345"/>
      <c r="FU216" s="73"/>
      <c r="FV216" s="25"/>
      <c r="FW216" s="73"/>
      <c r="FX216" s="73"/>
      <c r="FY216" s="345"/>
      <c r="FZ216" s="73"/>
      <c r="GA216" s="25"/>
      <c r="GB216" s="73"/>
      <c r="GC216" s="73"/>
      <c r="GD216" s="345"/>
      <c r="GE216" s="73"/>
      <c r="GF216" s="25"/>
      <c r="GG216" s="73"/>
      <c r="GH216" s="73"/>
      <c r="GI216" s="345"/>
      <c r="GJ216" s="73"/>
      <c r="GK216" s="25"/>
      <c r="GL216" s="73"/>
      <c r="GM216" s="73"/>
      <c r="GN216" s="345"/>
      <c r="GO216" s="73"/>
      <c r="GP216" s="25"/>
      <c r="GQ216" s="73"/>
      <c r="GR216" s="73"/>
      <c r="GS216" s="345"/>
      <c r="GT216" s="73"/>
      <c r="GU216" s="25"/>
      <c r="GV216" s="73"/>
      <c r="GW216" s="73"/>
      <c r="GX216" s="345"/>
      <c r="GY216" s="73"/>
      <c r="GZ216" s="25"/>
      <c r="HA216" s="73"/>
      <c r="HB216" s="73"/>
      <c r="HC216" s="345"/>
      <c r="HD216" s="73"/>
      <c r="HE216" s="25"/>
      <c r="HF216" s="73"/>
      <c r="HG216" s="73"/>
      <c r="HH216" s="345"/>
      <c r="HI216" s="73"/>
      <c r="HJ216" s="25"/>
      <c r="HK216" s="73"/>
      <c r="HL216" s="73"/>
      <c r="HM216" s="345"/>
      <c r="HN216" s="73"/>
      <c r="HO216" s="25"/>
      <c r="HP216" s="73"/>
      <c r="HQ216" s="73"/>
      <c r="HR216" s="345"/>
      <c r="HS216" s="73"/>
      <c r="HT216" s="25"/>
      <c r="HU216" s="73"/>
      <c r="HV216" s="73"/>
      <c r="HW216" s="345"/>
      <c r="HX216" s="73"/>
      <c r="HY216" s="25"/>
      <c r="HZ216" s="73"/>
      <c r="IA216" s="73"/>
      <c r="IB216" s="345"/>
      <c r="IC216" s="73"/>
      <c r="ID216" s="25"/>
      <c r="IE216" s="73"/>
      <c r="IF216" s="73"/>
      <c r="IG216" s="345"/>
      <c r="IH216" s="73"/>
      <c r="II216" s="25"/>
      <c r="IJ216" s="73"/>
      <c r="IK216" s="73"/>
      <c r="IL216" s="345"/>
      <c r="IM216" s="73"/>
      <c r="IN216" s="25"/>
      <c r="IO216" s="73"/>
      <c r="IP216" s="73"/>
      <c r="IQ216" s="345"/>
      <c r="IR216" s="73"/>
      <c r="IS216" s="25"/>
      <c r="IT216" s="73"/>
      <c r="IU216" s="73"/>
      <c r="IV216" s="345"/>
    </row>
    <row r="217" spans="1:256" x14ac:dyDescent="0.2">
      <c r="A217" s="345">
        <v>34120</v>
      </c>
      <c r="B217" s="73"/>
      <c r="C217" s="25"/>
      <c r="D217" s="73"/>
      <c r="E217" s="73"/>
      <c r="F217" s="345"/>
      <c r="G217" s="73"/>
      <c r="H217" s="25"/>
      <c r="I217" s="73"/>
      <c r="J217" s="73"/>
      <c r="K217" s="345"/>
      <c r="L217" s="73"/>
      <c r="M217" s="25"/>
      <c r="N217" s="73"/>
      <c r="O217" s="73"/>
      <c r="P217" s="345"/>
      <c r="Q217" s="73"/>
      <c r="R217" s="25"/>
      <c r="S217" s="73"/>
      <c r="T217" s="73"/>
      <c r="U217" s="345"/>
      <c r="V217" s="73"/>
      <c r="W217" s="25"/>
      <c r="X217" s="73"/>
      <c r="Y217" s="73"/>
      <c r="Z217" s="345"/>
      <c r="AA217" s="73"/>
      <c r="AB217" s="25"/>
      <c r="AC217" s="73"/>
      <c r="AD217" s="73"/>
      <c r="AE217" s="345"/>
      <c r="AF217" s="73"/>
      <c r="AG217" s="25"/>
      <c r="AH217" s="73"/>
      <c r="AI217" s="73"/>
      <c r="AJ217" s="345"/>
      <c r="AK217" s="73"/>
      <c r="AL217" s="25"/>
      <c r="AM217" s="73"/>
      <c r="AN217" s="73"/>
      <c r="AO217" s="345"/>
      <c r="AP217" s="73"/>
      <c r="AQ217" s="25"/>
      <c r="AR217" s="73"/>
      <c r="AS217" s="73"/>
      <c r="AT217" s="345"/>
      <c r="AU217" s="73"/>
      <c r="AV217" s="25"/>
      <c r="AW217" s="73"/>
      <c r="AX217" s="73"/>
      <c r="AY217" s="345"/>
      <c r="AZ217" s="73"/>
      <c r="BA217" s="25"/>
      <c r="BB217" s="73"/>
      <c r="BC217" s="73"/>
      <c r="BD217" s="345"/>
      <c r="BE217" s="73"/>
      <c r="BF217" s="25"/>
      <c r="BG217" s="73"/>
      <c r="BH217" s="73"/>
      <c r="BI217" s="345"/>
      <c r="BJ217" s="73"/>
      <c r="BK217" s="25"/>
      <c r="BL217" s="73"/>
      <c r="BM217" s="73"/>
      <c r="BN217" s="345"/>
      <c r="BO217" s="73"/>
      <c r="BP217" s="25"/>
      <c r="BQ217" s="73"/>
      <c r="BR217" s="73"/>
      <c r="BS217" s="345"/>
      <c r="BT217" s="73"/>
      <c r="BU217" s="25"/>
      <c r="BV217" s="73"/>
      <c r="BW217" s="73"/>
      <c r="BX217" s="345"/>
      <c r="BY217" s="73"/>
      <c r="BZ217" s="25"/>
      <c r="CA217" s="73"/>
      <c r="CB217" s="73"/>
      <c r="CC217" s="345"/>
      <c r="CD217" s="73"/>
      <c r="CE217" s="25"/>
      <c r="CF217" s="73"/>
      <c r="CG217" s="73"/>
      <c r="CH217" s="345"/>
      <c r="CI217" s="73"/>
      <c r="CJ217" s="25"/>
      <c r="CK217" s="73"/>
      <c r="CL217" s="73"/>
      <c r="CM217" s="345"/>
      <c r="CN217" s="73"/>
      <c r="CO217" s="25"/>
      <c r="CP217" s="73"/>
      <c r="CQ217" s="73"/>
      <c r="CR217" s="345"/>
      <c r="CS217" s="73"/>
      <c r="CT217" s="25"/>
      <c r="CU217" s="73"/>
      <c r="CV217" s="73"/>
      <c r="CW217" s="345"/>
      <c r="CX217" s="73"/>
      <c r="CY217" s="25"/>
      <c r="CZ217" s="73"/>
      <c r="DA217" s="73"/>
      <c r="DB217" s="345"/>
      <c r="DC217" s="73"/>
      <c r="DD217" s="25"/>
      <c r="DE217" s="73"/>
      <c r="DF217" s="73"/>
      <c r="DG217" s="345"/>
      <c r="DH217" s="73"/>
      <c r="DI217" s="25"/>
      <c r="DJ217" s="73"/>
      <c r="DK217" s="73"/>
      <c r="DL217" s="345"/>
      <c r="DM217" s="73"/>
      <c r="DN217" s="25"/>
      <c r="DO217" s="73"/>
      <c r="DP217" s="73"/>
      <c r="DQ217" s="345"/>
      <c r="DR217" s="73"/>
      <c r="DS217" s="25"/>
      <c r="DT217" s="73"/>
      <c r="DU217" s="73"/>
      <c r="DV217" s="345"/>
      <c r="DW217" s="73"/>
      <c r="DX217" s="25"/>
      <c r="DY217" s="73"/>
      <c r="DZ217" s="73"/>
      <c r="EA217" s="345"/>
      <c r="EB217" s="73"/>
      <c r="EC217" s="25"/>
      <c r="ED217" s="73"/>
      <c r="EE217" s="73"/>
      <c r="EF217" s="345"/>
      <c r="EG217" s="73"/>
      <c r="EH217" s="25"/>
      <c r="EI217" s="73"/>
      <c r="EJ217" s="73"/>
      <c r="EK217" s="345"/>
      <c r="EL217" s="73"/>
      <c r="EM217" s="25"/>
      <c r="EN217" s="73"/>
      <c r="EO217" s="73"/>
      <c r="EP217" s="345"/>
      <c r="EQ217" s="73"/>
      <c r="ER217" s="25"/>
      <c r="ES217" s="73"/>
      <c r="ET217" s="73"/>
      <c r="EU217" s="345"/>
      <c r="EV217" s="73"/>
      <c r="EW217" s="25"/>
      <c r="EX217" s="73"/>
      <c r="EY217" s="73"/>
      <c r="EZ217" s="345"/>
      <c r="FA217" s="73"/>
      <c r="FB217" s="25"/>
      <c r="FC217" s="73"/>
      <c r="FD217" s="73"/>
      <c r="FE217" s="345"/>
      <c r="FF217" s="73"/>
      <c r="FG217" s="25"/>
      <c r="FH217" s="73"/>
      <c r="FI217" s="73"/>
      <c r="FJ217" s="345"/>
      <c r="FK217" s="73"/>
      <c r="FL217" s="25"/>
      <c r="FM217" s="73"/>
      <c r="FN217" s="73"/>
      <c r="FO217" s="345"/>
      <c r="FP217" s="73"/>
      <c r="FQ217" s="25"/>
      <c r="FR217" s="73"/>
      <c r="FS217" s="73"/>
      <c r="FT217" s="345"/>
      <c r="FU217" s="73"/>
      <c r="FV217" s="25"/>
      <c r="FW217" s="73"/>
      <c r="FX217" s="73"/>
      <c r="FY217" s="345"/>
      <c r="FZ217" s="73"/>
      <c r="GA217" s="25"/>
      <c r="GB217" s="73"/>
      <c r="GC217" s="73"/>
      <c r="GD217" s="345"/>
      <c r="GE217" s="73"/>
      <c r="GF217" s="25"/>
      <c r="GG217" s="73"/>
      <c r="GH217" s="73"/>
      <c r="GI217" s="345"/>
      <c r="GJ217" s="73"/>
      <c r="GK217" s="25"/>
      <c r="GL217" s="73"/>
      <c r="GM217" s="73"/>
      <c r="GN217" s="345"/>
      <c r="GO217" s="73"/>
      <c r="GP217" s="25"/>
      <c r="GQ217" s="73"/>
      <c r="GR217" s="73"/>
      <c r="GS217" s="345"/>
      <c r="GT217" s="73"/>
      <c r="GU217" s="25"/>
      <c r="GV217" s="73"/>
      <c r="GW217" s="73"/>
      <c r="GX217" s="345"/>
      <c r="GY217" s="73"/>
      <c r="GZ217" s="25"/>
      <c r="HA217" s="73"/>
      <c r="HB217" s="73"/>
      <c r="HC217" s="345"/>
      <c r="HD217" s="73"/>
      <c r="HE217" s="25"/>
      <c r="HF217" s="73"/>
      <c r="HG217" s="73"/>
      <c r="HH217" s="345"/>
      <c r="HI217" s="73"/>
      <c r="HJ217" s="25"/>
      <c r="HK217" s="73"/>
      <c r="HL217" s="73"/>
      <c r="HM217" s="345"/>
      <c r="HN217" s="73"/>
      <c r="HO217" s="25"/>
      <c r="HP217" s="73"/>
      <c r="HQ217" s="73"/>
      <c r="HR217" s="345"/>
      <c r="HS217" s="73"/>
      <c r="HT217" s="25"/>
      <c r="HU217" s="73"/>
      <c r="HV217" s="73"/>
      <c r="HW217" s="345"/>
      <c r="HX217" s="73"/>
      <c r="HY217" s="25"/>
      <c r="HZ217" s="73"/>
      <c r="IA217" s="73"/>
      <c r="IB217" s="345"/>
      <c r="IC217" s="73"/>
      <c r="ID217" s="25"/>
      <c r="IE217" s="73"/>
      <c r="IF217" s="73"/>
      <c r="IG217" s="345"/>
      <c r="IH217" s="73"/>
      <c r="II217" s="25"/>
      <c r="IJ217" s="73"/>
      <c r="IK217" s="73"/>
      <c r="IL217" s="345"/>
      <c r="IM217" s="73"/>
      <c r="IN217" s="25"/>
      <c r="IO217" s="73"/>
      <c r="IP217" s="73"/>
      <c r="IQ217" s="345"/>
      <c r="IR217" s="73"/>
      <c r="IS217" s="25"/>
      <c r="IT217" s="73"/>
      <c r="IU217" s="73"/>
      <c r="IV217" s="345"/>
    </row>
    <row r="218" spans="1:256" x14ac:dyDescent="0.2">
      <c r="A218" s="345">
        <v>34150</v>
      </c>
      <c r="B218" s="73"/>
      <c r="C218" s="25"/>
      <c r="D218" s="73"/>
      <c r="E218" s="73"/>
      <c r="F218" s="345"/>
      <c r="G218" s="73"/>
      <c r="H218" s="25"/>
      <c r="I218" s="73"/>
      <c r="J218" s="73"/>
      <c r="K218" s="345"/>
      <c r="L218" s="73"/>
      <c r="M218" s="25"/>
      <c r="N218" s="73"/>
      <c r="O218" s="73"/>
      <c r="P218" s="345"/>
      <c r="Q218" s="73"/>
      <c r="R218" s="25"/>
      <c r="S218" s="73"/>
      <c r="T218" s="73"/>
      <c r="U218" s="345"/>
      <c r="V218" s="73"/>
      <c r="W218" s="25"/>
      <c r="X218" s="73"/>
      <c r="Y218" s="73"/>
      <c r="Z218" s="345"/>
      <c r="AA218" s="73"/>
      <c r="AB218" s="25"/>
      <c r="AC218" s="73"/>
      <c r="AD218" s="73"/>
      <c r="AE218" s="345"/>
      <c r="AF218" s="73"/>
      <c r="AG218" s="25"/>
      <c r="AH218" s="73"/>
      <c r="AI218" s="73"/>
      <c r="AJ218" s="345"/>
      <c r="AK218" s="73"/>
      <c r="AL218" s="25"/>
      <c r="AM218" s="73"/>
      <c r="AN218" s="73"/>
      <c r="AO218" s="345"/>
      <c r="AP218" s="73"/>
      <c r="AQ218" s="25"/>
      <c r="AR218" s="73"/>
      <c r="AS218" s="73"/>
      <c r="AT218" s="345"/>
      <c r="AU218" s="73"/>
      <c r="AV218" s="25"/>
      <c r="AW218" s="73"/>
      <c r="AX218" s="73"/>
      <c r="AY218" s="345"/>
      <c r="AZ218" s="73"/>
      <c r="BA218" s="25"/>
      <c r="BB218" s="73"/>
      <c r="BC218" s="73"/>
      <c r="BD218" s="345"/>
      <c r="BE218" s="73"/>
      <c r="BF218" s="25"/>
      <c r="BG218" s="73"/>
      <c r="BH218" s="73"/>
      <c r="BI218" s="345"/>
      <c r="BJ218" s="73"/>
      <c r="BK218" s="25"/>
      <c r="BL218" s="73"/>
      <c r="BM218" s="73"/>
      <c r="BN218" s="345"/>
      <c r="BO218" s="73"/>
      <c r="BP218" s="25"/>
      <c r="BQ218" s="73"/>
      <c r="BR218" s="73"/>
      <c r="BS218" s="345"/>
      <c r="BT218" s="73"/>
      <c r="BU218" s="25"/>
      <c r="BV218" s="73"/>
      <c r="BW218" s="73"/>
      <c r="BX218" s="345"/>
      <c r="BY218" s="73"/>
      <c r="BZ218" s="25"/>
      <c r="CA218" s="73"/>
      <c r="CB218" s="73"/>
      <c r="CC218" s="345"/>
      <c r="CD218" s="73"/>
      <c r="CE218" s="25"/>
      <c r="CF218" s="73"/>
      <c r="CG218" s="73"/>
      <c r="CH218" s="345"/>
      <c r="CI218" s="73"/>
      <c r="CJ218" s="25"/>
      <c r="CK218" s="73"/>
      <c r="CL218" s="73"/>
      <c r="CM218" s="345"/>
      <c r="CN218" s="73"/>
      <c r="CO218" s="25"/>
      <c r="CP218" s="73"/>
      <c r="CQ218" s="73"/>
      <c r="CR218" s="345"/>
      <c r="CS218" s="73"/>
      <c r="CT218" s="25"/>
      <c r="CU218" s="73"/>
      <c r="CV218" s="73"/>
      <c r="CW218" s="345"/>
      <c r="CX218" s="73"/>
      <c r="CY218" s="25"/>
      <c r="CZ218" s="73"/>
      <c r="DA218" s="73"/>
      <c r="DB218" s="345"/>
      <c r="DC218" s="73"/>
      <c r="DD218" s="25"/>
      <c r="DE218" s="73"/>
      <c r="DF218" s="73"/>
      <c r="DG218" s="345"/>
      <c r="DH218" s="73"/>
      <c r="DI218" s="25"/>
      <c r="DJ218" s="73"/>
      <c r="DK218" s="73"/>
      <c r="DL218" s="345"/>
      <c r="DM218" s="73"/>
      <c r="DN218" s="25"/>
      <c r="DO218" s="73"/>
      <c r="DP218" s="73"/>
      <c r="DQ218" s="345"/>
      <c r="DR218" s="73"/>
      <c r="DS218" s="25"/>
      <c r="DT218" s="73"/>
      <c r="DU218" s="73"/>
      <c r="DV218" s="345"/>
      <c r="DW218" s="73"/>
      <c r="DX218" s="25"/>
      <c r="DY218" s="73"/>
      <c r="DZ218" s="73"/>
      <c r="EA218" s="345"/>
      <c r="EB218" s="73"/>
      <c r="EC218" s="25"/>
      <c r="ED218" s="73"/>
      <c r="EE218" s="73"/>
      <c r="EF218" s="345"/>
      <c r="EG218" s="73"/>
      <c r="EH218" s="25"/>
      <c r="EI218" s="73"/>
      <c r="EJ218" s="73"/>
      <c r="EK218" s="345"/>
      <c r="EL218" s="73"/>
      <c r="EM218" s="25"/>
      <c r="EN218" s="73"/>
      <c r="EO218" s="73"/>
      <c r="EP218" s="345"/>
      <c r="EQ218" s="73"/>
      <c r="ER218" s="25"/>
      <c r="ES218" s="73"/>
      <c r="ET218" s="73"/>
      <c r="EU218" s="345"/>
      <c r="EV218" s="73"/>
      <c r="EW218" s="25"/>
      <c r="EX218" s="73"/>
      <c r="EY218" s="73"/>
      <c r="EZ218" s="345"/>
      <c r="FA218" s="73"/>
      <c r="FB218" s="25"/>
      <c r="FC218" s="73"/>
      <c r="FD218" s="73"/>
      <c r="FE218" s="345"/>
      <c r="FF218" s="73"/>
      <c r="FG218" s="25"/>
      <c r="FH218" s="73"/>
      <c r="FI218" s="73"/>
      <c r="FJ218" s="345"/>
      <c r="FK218" s="73"/>
      <c r="FL218" s="25"/>
      <c r="FM218" s="73"/>
      <c r="FN218" s="73"/>
      <c r="FO218" s="345"/>
      <c r="FP218" s="73"/>
      <c r="FQ218" s="25"/>
      <c r="FR218" s="73"/>
      <c r="FS218" s="73"/>
      <c r="FT218" s="345"/>
      <c r="FU218" s="73"/>
      <c r="FV218" s="25"/>
      <c r="FW218" s="73"/>
      <c r="FX218" s="73"/>
      <c r="FY218" s="345"/>
      <c r="FZ218" s="73"/>
      <c r="GA218" s="25"/>
      <c r="GB218" s="73"/>
      <c r="GC218" s="73"/>
      <c r="GD218" s="345"/>
      <c r="GE218" s="73"/>
      <c r="GF218" s="25"/>
      <c r="GG218" s="73"/>
      <c r="GH218" s="73"/>
      <c r="GI218" s="345"/>
      <c r="GJ218" s="73"/>
      <c r="GK218" s="25"/>
      <c r="GL218" s="73"/>
      <c r="GM218" s="73"/>
      <c r="GN218" s="345"/>
      <c r="GO218" s="73"/>
      <c r="GP218" s="25"/>
      <c r="GQ218" s="73"/>
      <c r="GR218" s="73"/>
      <c r="GS218" s="345"/>
      <c r="GT218" s="73"/>
      <c r="GU218" s="25"/>
      <c r="GV218" s="73"/>
      <c r="GW218" s="73"/>
      <c r="GX218" s="345"/>
      <c r="GY218" s="73"/>
      <c r="GZ218" s="25"/>
      <c r="HA218" s="73"/>
      <c r="HB218" s="73"/>
      <c r="HC218" s="345"/>
      <c r="HD218" s="73"/>
      <c r="HE218" s="25"/>
      <c r="HF218" s="73"/>
      <c r="HG218" s="73"/>
      <c r="HH218" s="345"/>
      <c r="HI218" s="73"/>
      <c r="HJ218" s="25"/>
      <c r="HK218" s="73"/>
      <c r="HL218" s="73"/>
      <c r="HM218" s="345"/>
      <c r="HN218" s="73"/>
      <c r="HO218" s="25"/>
      <c r="HP218" s="73"/>
      <c r="HQ218" s="73"/>
      <c r="HR218" s="345"/>
      <c r="HS218" s="73"/>
      <c r="HT218" s="25"/>
      <c r="HU218" s="73"/>
      <c r="HV218" s="73"/>
      <c r="HW218" s="345"/>
      <c r="HX218" s="73"/>
      <c r="HY218" s="25"/>
      <c r="HZ218" s="73"/>
      <c r="IA218" s="73"/>
      <c r="IB218" s="345"/>
      <c r="IC218" s="73"/>
      <c r="ID218" s="25"/>
      <c r="IE218" s="73"/>
      <c r="IF218" s="73"/>
      <c r="IG218" s="345"/>
      <c r="IH218" s="73"/>
      <c r="II218" s="25"/>
      <c r="IJ218" s="73"/>
      <c r="IK218" s="73"/>
      <c r="IL218" s="345"/>
      <c r="IM218" s="73"/>
      <c r="IN218" s="25"/>
      <c r="IO218" s="73"/>
      <c r="IP218" s="73"/>
      <c r="IQ218" s="345"/>
      <c r="IR218" s="73"/>
      <c r="IS218" s="25"/>
      <c r="IT218" s="73"/>
      <c r="IU218" s="73"/>
      <c r="IV218" s="345"/>
    </row>
    <row r="219" spans="1:256" x14ac:dyDescent="0.2">
      <c r="A219" s="345">
        <v>34181</v>
      </c>
      <c r="B219" s="73"/>
      <c r="C219" s="25"/>
      <c r="D219" s="73"/>
      <c r="E219" s="73"/>
      <c r="F219" s="345"/>
      <c r="G219" s="73"/>
      <c r="H219" s="25"/>
      <c r="I219" s="73"/>
      <c r="J219" s="73"/>
      <c r="K219" s="345"/>
      <c r="L219" s="73"/>
      <c r="M219" s="25"/>
      <c r="N219" s="73"/>
      <c r="O219" s="73"/>
      <c r="P219" s="345"/>
      <c r="Q219" s="73"/>
      <c r="R219" s="25"/>
      <c r="S219" s="73"/>
      <c r="T219" s="73"/>
      <c r="U219" s="345"/>
      <c r="V219" s="73"/>
      <c r="W219" s="25"/>
      <c r="X219" s="73"/>
      <c r="Y219" s="73"/>
      <c r="Z219" s="345"/>
      <c r="AA219" s="73"/>
      <c r="AB219" s="25"/>
      <c r="AC219" s="73"/>
      <c r="AD219" s="73"/>
      <c r="AE219" s="345"/>
      <c r="AF219" s="73"/>
      <c r="AG219" s="25"/>
      <c r="AH219" s="73"/>
      <c r="AI219" s="73"/>
      <c r="AJ219" s="345"/>
      <c r="AK219" s="73"/>
      <c r="AL219" s="25"/>
      <c r="AM219" s="73"/>
      <c r="AN219" s="73"/>
      <c r="AO219" s="345"/>
      <c r="AP219" s="73"/>
      <c r="AQ219" s="25"/>
      <c r="AR219" s="73"/>
      <c r="AS219" s="73"/>
      <c r="AT219" s="345"/>
      <c r="AU219" s="73"/>
      <c r="AV219" s="25"/>
      <c r="AW219" s="73"/>
      <c r="AX219" s="73"/>
      <c r="AY219" s="345"/>
      <c r="AZ219" s="73"/>
      <c r="BA219" s="25"/>
      <c r="BB219" s="73"/>
      <c r="BC219" s="73"/>
      <c r="BD219" s="345"/>
      <c r="BE219" s="73"/>
      <c r="BF219" s="25"/>
      <c r="BG219" s="73"/>
      <c r="BH219" s="73"/>
      <c r="BI219" s="345"/>
      <c r="BJ219" s="73"/>
      <c r="BK219" s="25"/>
      <c r="BL219" s="73"/>
      <c r="BM219" s="73"/>
      <c r="BN219" s="345"/>
      <c r="BO219" s="73"/>
      <c r="BP219" s="25"/>
      <c r="BQ219" s="73"/>
      <c r="BR219" s="73"/>
      <c r="BS219" s="345"/>
      <c r="BT219" s="73"/>
      <c r="BU219" s="25"/>
      <c r="BV219" s="73"/>
      <c r="BW219" s="73"/>
      <c r="BX219" s="345"/>
      <c r="BY219" s="73"/>
      <c r="BZ219" s="25"/>
      <c r="CA219" s="73"/>
      <c r="CB219" s="73"/>
      <c r="CC219" s="345"/>
      <c r="CD219" s="73"/>
      <c r="CE219" s="25"/>
      <c r="CF219" s="73"/>
      <c r="CG219" s="73"/>
      <c r="CH219" s="345"/>
      <c r="CI219" s="73"/>
      <c r="CJ219" s="25"/>
      <c r="CK219" s="73"/>
      <c r="CL219" s="73"/>
      <c r="CM219" s="345"/>
      <c r="CN219" s="73"/>
      <c r="CO219" s="25"/>
      <c r="CP219" s="73"/>
      <c r="CQ219" s="73"/>
      <c r="CR219" s="345"/>
      <c r="CS219" s="73"/>
      <c r="CT219" s="25"/>
      <c r="CU219" s="73"/>
      <c r="CV219" s="73"/>
      <c r="CW219" s="345"/>
      <c r="CX219" s="73"/>
      <c r="CY219" s="25"/>
      <c r="CZ219" s="73"/>
      <c r="DA219" s="73"/>
      <c r="DB219" s="345"/>
      <c r="DC219" s="73"/>
      <c r="DD219" s="25"/>
      <c r="DE219" s="73"/>
      <c r="DF219" s="73"/>
      <c r="DG219" s="345"/>
      <c r="DH219" s="73"/>
      <c r="DI219" s="25"/>
      <c r="DJ219" s="73"/>
      <c r="DK219" s="73"/>
      <c r="DL219" s="345"/>
      <c r="DM219" s="73"/>
      <c r="DN219" s="25"/>
      <c r="DO219" s="73"/>
      <c r="DP219" s="73"/>
      <c r="DQ219" s="345"/>
      <c r="DR219" s="73"/>
      <c r="DS219" s="25"/>
      <c r="DT219" s="73"/>
      <c r="DU219" s="73"/>
      <c r="DV219" s="345"/>
      <c r="DW219" s="73"/>
      <c r="DX219" s="25"/>
      <c r="DY219" s="73"/>
      <c r="DZ219" s="73"/>
      <c r="EA219" s="345"/>
      <c r="EB219" s="73"/>
      <c r="EC219" s="25"/>
      <c r="ED219" s="73"/>
      <c r="EE219" s="73"/>
      <c r="EF219" s="345"/>
      <c r="EG219" s="73"/>
      <c r="EH219" s="25"/>
      <c r="EI219" s="73"/>
      <c r="EJ219" s="73"/>
      <c r="EK219" s="345"/>
      <c r="EL219" s="73"/>
      <c r="EM219" s="25"/>
      <c r="EN219" s="73"/>
      <c r="EO219" s="73"/>
      <c r="EP219" s="345"/>
      <c r="EQ219" s="73"/>
      <c r="ER219" s="25"/>
      <c r="ES219" s="73"/>
      <c r="ET219" s="73"/>
      <c r="EU219" s="345"/>
      <c r="EV219" s="73"/>
      <c r="EW219" s="25"/>
      <c r="EX219" s="73"/>
      <c r="EY219" s="73"/>
      <c r="EZ219" s="345"/>
      <c r="FA219" s="73"/>
      <c r="FB219" s="25"/>
      <c r="FC219" s="73"/>
      <c r="FD219" s="73"/>
      <c r="FE219" s="345"/>
      <c r="FF219" s="73"/>
      <c r="FG219" s="25"/>
      <c r="FH219" s="73"/>
      <c r="FI219" s="73"/>
      <c r="FJ219" s="345"/>
      <c r="FK219" s="73"/>
      <c r="FL219" s="25"/>
      <c r="FM219" s="73"/>
      <c r="FN219" s="73"/>
      <c r="FO219" s="345"/>
      <c r="FP219" s="73"/>
      <c r="FQ219" s="25"/>
      <c r="FR219" s="73"/>
      <c r="FS219" s="73"/>
      <c r="FT219" s="345"/>
      <c r="FU219" s="73"/>
      <c r="FV219" s="25"/>
      <c r="FW219" s="73"/>
      <c r="FX219" s="73"/>
      <c r="FY219" s="345"/>
      <c r="FZ219" s="73"/>
      <c r="GA219" s="25"/>
      <c r="GB219" s="73"/>
      <c r="GC219" s="73"/>
      <c r="GD219" s="345"/>
      <c r="GE219" s="73"/>
      <c r="GF219" s="25"/>
      <c r="GG219" s="73"/>
      <c r="GH219" s="73"/>
      <c r="GI219" s="345"/>
      <c r="GJ219" s="73"/>
      <c r="GK219" s="25"/>
      <c r="GL219" s="73"/>
      <c r="GM219" s="73"/>
      <c r="GN219" s="345"/>
      <c r="GO219" s="73"/>
      <c r="GP219" s="25"/>
      <c r="GQ219" s="73"/>
      <c r="GR219" s="73"/>
      <c r="GS219" s="345"/>
      <c r="GT219" s="73"/>
      <c r="GU219" s="25"/>
      <c r="GV219" s="73"/>
      <c r="GW219" s="73"/>
      <c r="GX219" s="345"/>
      <c r="GY219" s="73"/>
      <c r="GZ219" s="25"/>
      <c r="HA219" s="73"/>
      <c r="HB219" s="73"/>
      <c r="HC219" s="345"/>
      <c r="HD219" s="73"/>
      <c r="HE219" s="25"/>
      <c r="HF219" s="73"/>
      <c r="HG219" s="73"/>
      <c r="HH219" s="345"/>
      <c r="HI219" s="73"/>
      <c r="HJ219" s="25"/>
      <c r="HK219" s="73"/>
      <c r="HL219" s="73"/>
      <c r="HM219" s="345"/>
      <c r="HN219" s="73"/>
      <c r="HO219" s="25"/>
      <c r="HP219" s="73"/>
      <c r="HQ219" s="73"/>
      <c r="HR219" s="345"/>
      <c r="HS219" s="73"/>
      <c r="HT219" s="25"/>
      <c r="HU219" s="73"/>
      <c r="HV219" s="73"/>
      <c r="HW219" s="345"/>
      <c r="HX219" s="73"/>
      <c r="HY219" s="25"/>
      <c r="HZ219" s="73"/>
      <c r="IA219" s="73"/>
      <c r="IB219" s="345"/>
      <c r="IC219" s="73"/>
      <c r="ID219" s="25"/>
      <c r="IE219" s="73"/>
      <c r="IF219" s="73"/>
      <c r="IG219" s="345"/>
      <c r="IH219" s="73"/>
      <c r="II219" s="25"/>
      <c r="IJ219" s="73"/>
      <c r="IK219" s="73"/>
      <c r="IL219" s="345"/>
      <c r="IM219" s="73"/>
      <c r="IN219" s="25"/>
      <c r="IO219" s="73"/>
      <c r="IP219" s="73"/>
      <c r="IQ219" s="345"/>
      <c r="IR219" s="73"/>
      <c r="IS219" s="25"/>
      <c r="IT219" s="73"/>
      <c r="IU219" s="73"/>
      <c r="IV219" s="345"/>
    </row>
    <row r="220" spans="1:256" x14ac:dyDescent="0.2">
      <c r="A220" s="345">
        <v>34212</v>
      </c>
      <c r="B220" s="73"/>
      <c r="C220" s="25"/>
      <c r="D220" s="73"/>
      <c r="E220" s="73"/>
      <c r="F220" s="345"/>
      <c r="G220" s="73"/>
      <c r="H220" s="25"/>
      <c r="I220" s="73"/>
      <c r="J220" s="73"/>
      <c r="K220" s="345"/>
      <c r="L220" s="73"/>
      <c r="M220" s="25"/>
      <c r="N220" s="73"/>
      <c r="O220" s="73"/>
      <c r="P220" s="345"/>
      <c r="Q220" s="73"/>
      <c r="R220" s="25"/>
      <c r="S220" s="73"/>
      <c r="T220" s="73"/>
      <c r="U220" s="345"/>
      <c r="V220" s="73"/>
      <c r="W220" s="25"/>
      <c r="X220" s="73"/>
      <c r="Y220" s="73"/>
      <c r="Z220" s="345"/>
      <c r="AA220" s="73"/>
      <c r="AB220" s="25"/>
      <c r="AC220" s="73"/>
      <c r="AD220" s="73"/>
      <c r="AE220" s="345"/>
      <c r="AF220" s="73"/>
      <c r="AG220" s="25"/>
      <c r="AH220" s="73"/>
      <c r="AI220" s="73"/>
      <c r="AJ220" s="345"/>
      <c r="AK220" s="73"/>
      <c r="AL220" s="25"/>
      <c r="AM220" s="73"/>
      <c r="AN220" s="73"/>
      <c r="AO220" s="345"/>
      <c r="AP220" s="73"/>
      <c r="AQ220" s="25"/>
      <c r="AR220" s="73"/>
      <c r="AS220" s="73"/>
      <c r="AT220" s="345"/>
      <c r="AU220" s="73"/>
      <c r="AV220" s="25"/>
      <c r="AW220" s="73"/>
      <c r="AX220" s="73"/>
      <c r="AY220" s="345"/>
      <c r="AZ220" s="73"/>
      <c r="BA220" s="25"/>
      <c r="BB220" s="73"/>
      <c r="BC220" s="73"/>
      <c r="BD220" s="345"/>
      <c r="BE220" s="73"/>
      <c r="BF220" s="25"/>
      <c r="BG220" s="73"/>
      <c r="BH220" s="73"/>
      <c r="BI220" s="345"/>
      <c r="BJ220" s="73"/>
      <c r="BK220" s="25"/>
      <c r="BL220" s="73"/>
      <c r="BM220" s="73"/>
      <c r="BN220" s="345"/>
      <c r="BO220" s="73"/>
      <c r="BP220" s="25"/>
      <c r="BQ220" s="73"/>
      <c r="BR220" s="73"/>
      <c r="BS220" s="345"/>
      <c r="BT220" s="73"/>
      <c r="BU220" s="25"/>
      <c r="BV220" s="73"/>
      <c r="BW220" s="73"/>
      <c r="BX220" s="345"/>
      <c r="BY220" s="73"/>
      <c r="BZ220" s="25"/>
      <c r="CA220" s="73"/>
      <c r="CB220" s="73"/>
      <c r="CC220" s="345"/>
      <c r="CD220" s="73"/>
      <c r="CE220" s="25"/>
      <c r="CF220" s="73"/>
      <c r="CG220" s="73"/>
      <c r="CH220" s="345"/>
      <c r="CI220" s="73"/>
      <c r="CJ220" s="25"/>
      <c r="CK220" s="73"/>
      <c r="CL220" s="73"/>
      <c r="CM220" s="345"/>
      <c r="CN220" s="73"/>
      <c r="CO220" s="25"/>
      <c r="CP220" s="73"/>
      <c r="CQ220" s="73"/>
      <c r="CR220" s="345"/>
      <c r="CS220" s="73"/>
      <c r="CT220" s="25"/>
      <c r="CU220" s="73"/>
      <c r="CV220" s="73"/>
      <c r="CW220" s="345"/>
      <c r="CX220" s="73"/>
      <c r="CY220" s="25"/>
      <c r="CZ220" s="73"/>
      <c r="DA220" s="73"/>
      <c r="DB220" s="345"/>
      <c r="DC220" s="73"/>
      <c r="DD220" s="25"/>
      <c r="DE220" s="73"/>
      <c r="DF220" s="73"/>
      <c r="DG220" s="345"/>
      <c r="DH220" s="73"/>
      <c r="DI220" s="25"/>
      <c r="DJ220" s="73"/>
      <c r="DK220" s="73"/>
      <c r="DL220" s="345"/>
      <c r="DM220" s="73"/>
      <c r="DN220" s="25"/>
      <c r="DO220" s="73"/>
      <c r="DP220" s="73"/>
      <c r="DQ220" s="345"/>
      <c r="DR220" s="73"/>
      <c r="DS220" s="25"/>
      <c r="DT220" s="73"/>
      <c r="DU220" s="73"/>
      <c r="DV220" s="345"/>
      <c r="DW220" s="73"/>
      <c r="DX220" s="25"/>
      <c r="DY220" s="73"/>
      <c r="DZ220" s="73"/>
      <c r="EA220" s="345"/>
      <c r="EB220" s="73"/>
      <c r="EC220" s="25"/>
      <c r="ED220" s="73"/>
      <c r="EE220" s="73"/>
      <c r="EF220" s="345"/>
      <c r="EG220" s="73"/>
      <c r="EH220" s="25"/>
      <c r="EI220" s="73"/>
      <c r="EJ220" s="73"/>
      <c r="EK220" s="345"/>
      <c r="EL220" s="73"/>
      <c r="EM220" s="25"/>
      <c r="EN220" s="73"/>
      <c r="EO220" s="73"/>
      <c r="EP220" s="345"/>
      <c r="EQ220" s="73"/>
      <c r="ER220" s="25"/>
      <c r="ES220" s="73"/>
      <c r="ET220" s="73"/>
      <c r="EU220" s="345"/>
      <c r="EV220" s="73"/>
      <c r="EW220" s="25"/>
      <c r="EX220" s="73"/>
      <c r="EY220" s="73"/>
      <c r="EZ220" s="345"/>
      <c r="FA220" s="73"/>
      <c r="FB220" s="25"/>
      <c r="FC220" s="73"/>
      <c r="FD220" s="73"/>
      <c r="FE220" s="345"/>
      <c r="FF220" s="73"/>
      <c r="FG220" s="25"/>
      <c r="FH220" s="73"/>
      <c r="FI220" s="73"/>
      <c r="FJ220" s="345"/>
      <c r="FK220" s="73"/>
      <c r="FL220" s="25"/>
      <c r="FM220" s="73"/>
      <c r="FN220" s="73"/>
      <c r="FO220" s="345"/>
      <c r="FP220" s="73"/>
      <c r="FQ220" s="25"/>
      <c r="FR220" s="73"/>
      <c r="FS220" s="73"/>
      <c r="FT220" s="345"/>
      <c r="FU220" s="73"/>
      <c r="FV220" s="25"/>
      <c r="FW220" s="73"/>
      <c r="FX220" s="73"/>
      <c r="FY220" s="345"/>
      <c r="FZ220" s="73"/>
      <c r="GA220" s="25"/>
      <c r="GB220" s="73"/>
      <c r="GC220" s="73"/>
      <c r="GD220" s="345"/>
      <c r="GE220" s="73"/>
      <c r="GF220" s="25"/>
      <c r="GG220" s="73"/>
      <c r="GH220" s="73"/>
      <c r="GI220" s="345"/>
      <c r="GJ220" s="73"/>
      <c r="GK220" s="25"/>
      <c r="GL220" s="73"/>
      <c r="GM220" s="73"/>
      <c r="GN220" s="345"/>
      <c r="GO220" s="73"/>
      <c r="GP220" s="25"/>
      <c r="GQ220" s="73"/>
      <c r="GR220" s="73"/>
      <c r="GS220" s="345"/>
      <c r="GT220" s="73"/>
      <c r="GU220" s="25"/>
      <c r="GV220" s="73"/>
      <c r="GW220" s="73"/>
      <c r="GX220" s="345"/>
      <c r="GY220" s="73"/>
      <c r="GZ220" s="25"/>
      <c r="HA220" s="73"/>
      <c r="HB220" s="73"/>
      <c r="HC220" s="345"/>
      <c r="HD220" s="73"/>
      <c r="HE220" s="25"/>
      <c r="HF220" s="73"/>
      <c r="HG220" s="73"/>
      <c r="HH220" s="345"/>
      <c r="HI220" s="73"/>
      <c r="HJ220" s="25"/>
      <c r="HK220" s="73"/>
      <c r="HL220" s="73"/>
      <c r="HM220" s="345"/>
      <c r="HN220" s="73"/>
      <c r="HO220" s="25"/>
      <c r="HP220" s="73"/>
      <c r="HQ220" s="73"/>
      <c r="HR220" s="345"/>
      <c r="HS220" s="73"/>
      <c r="HT220" s="25"/>
      <c r="HU220" s="73"/>
      <c r="HV220" s="73"/>
      <c r="HW220" s="345"/>
      <c r="HX220" s="73"/>
      <c r="HY220" s="25"/>
      <c r="HZ220" s="73"/>
      <c r="IA220" s="73"/>
      <c r="IB220" s="345"/>
      <c r="IC220" s="73"/>
      <c r="ID220" s="25"/>
      <c r="IE220" s="73"/>
      <c r="IF220" s="73"/>
      <c r="IG220" s="345"/>
      <c r="IH220" s="73"/>
      <c r="II220" s="25"/>
      <c r="IJ220" s="73"/>
      <c r="IK220" s="73"/>
      <c r="IL220" s="345"/>
      <c r="IM220" s="73"/>
      <c r="IN220" s="25"/>
      <c r="IO220" s="73"/>
      <c r="IP220" s="73"/>
      <c r="IQ220" s="345"/>
      <c r="IR220" s="73"/>
      <c r="IS220" s="25"/>
      <c r="IT220" s="73"/>
      <c r="IU220" s="73"/>
      <c r="IV220" s="345"/>
    </row>
    <row r="221" spans="1:256" x14ac:dyDescent="0.2">
      <c r="A221" s="345">
        <v>34242</v>
      </c>
      <c r="B221" s="73"/>
      <c r="C221" s="25"/>
      <c r="D221" s="73"/>
      <c r="E221" s="73"/>
      <c r="F221" s="345"/>
      <c r="G221" s="73"/>
      <c r="H221" s="25"/>
      <c r="I221" s="73"/>
      <c r="J221" s="73"/>
      <c r="K221" s="345"/>
      <c r="L221" s="73"/>
      <c r="M221" s="25"/>
      <c r="N221" s="73"/>
      <c r="O221" s="73"/>
      <c r="P221" s="345"/>
      <c r="Q221" s="73"/>
      <c r="R221" s="25"/>
      <c r="S221" s="73"/>
      <c r="T221" s="73"/>
      <c r="U221" s="345"/>
      <c r="V221" s="73"/>
      <c r="W221" s="25"/>
      <c r="X221" s="73"/>
      <c r="Y221" s="73"/>
      <c r="Z221" s="345"/>
      <c r="AA221" s="73"/>
      <c r="AB221" s="25"/>
      <c r="AC221" s="73"/>
      <c r="AD221" s="73"/>
      <c r="AE221" s="345"/>
      <c r="AF221" s="73"/>
      <c r="AG221" s="25"/>
      <c r="AH221" s="73"/>
      <c r="AI221" s="73"/>
      <c r="AJ221" s="345"/>
      <c r="AK221" s="73"/>
      <c r="AL221" s="25"/>
      <c r="AM221" s="73"/>
      <c r="AN221" s="73"/>
      <c r="AO221" s="345"/>
      <c r="AP221" s="73"/>
      <c r="AQ221" s="25"/>
      <c r="AR221" s="73"/>
      <c r="AS221" s="73"/>
      <c r="AT221" s="345"/>
      <c r="AU221" s="73"/>
      <c r="AV221" s="25"/>
      <c r="AW221" s="73"/>
      <c r="AX221" s="73"/>
      <c r="AY221" s="345"/>
      <c r="AZ221" s="73"/>
      <c r="BA221" s="25"/>
      <c r="BB221" s="73"/>
      <c r="BC221" s="73"/>
      <c r="BD221" s="345"/>
      <c r="BE221" s="73"/>
      <c r="BF221" s="25"/>
      <c r="BG221" s="73"/>
      <c r="BH221" s="73"/>
      <c r="BI221" s="345"/>
      <c r="BJ221" s="73"/>
      <c r="BK221" s="25"/>
      <c r="BL221" s="73"/>
      <c r="BM221" s="73"/>
      <c r="BN221" s="345"/>
      <c r="BO221" s="73"/>
      <c r="BP221" s="25"/>
      <c r="BQ221" s="73"/>
      <c r="BR221" s="73"/>
      <c r="BS221" s="345"/>
      <c r="BT221" s="73"/>
      <c r="BU221" s="25"/>
      <c r="BV221" s="73"/>
      <c r="BW221" s="73"/>
      <c r="BX221" s="345"/>
      <c r="BY221" s="73"/>
      <c r="BZ221" s="25"/>
      <c r="CA221" s="73"/>
      <c r="CB221" s="73"/>
      <c r="CC221" s="345"/>
      <c r="CD221" s="73"/>
      <c r="CE221" s="25"/>
      <c r="CF221" s="73"/>
      <c r="CG221" s="73"/>
      <c r="CH221" s="345"/>
      <c r="CI221" s="73"/>
      <c r="CJ221" s="25"/>
      <c r="CK221" s="73"/>
      <c r="CL221" s="73"/>
      <c r="CM221" s="345"/>
      <c r="CN221" s="73"/>
      <c r="CO221" s="25"/>
      <c r="CP221" s="73"/>
      <c r="CQ221" s="73"/>
      <c r="CR221" s="345"/>
      <c r="CS221" s="73"/>
      <c r="CT221" s="25"/>
      <c r="CU221" s="73"/>
      <c r="CV221" s="73"/>
      <c r="CW221" s="345"/>
      <c r="CX221" s="73"/>
      <c r="CY221" s="25"/>
      <c r="CZ221" s="73"/>
      <c r="DA221" s="73"/>
      <c r="DB221" s="345"/>
      <c r="DC221" s="73"/>
      <c r="DD221" s="25"/>
      <c r="DE221" s="73"/>
      <c r="DF221" s="73"/>
      <c r="DG221" s="345"/>
      <c r="DH221" s="73"/>
      <c r="DI221" s="25"/>
      <c r="DJ221" s="73"/>
      <c r="DK221" s="73"/>
      <c r="DL221" s="345"/>
      <c r="DM221" s="73"/>
      <c r="DN221" s="25"/>
      <c r="DO221" s="73"/>
      <c r="DP221" s="73"/>
      <c r="DQ221" s="345"/>
      <c r="DR221" s="73"/>
      <c r="DS221" s="25"/>
      <c r="DT221" s="73"/>
      <c r="DU221" s="73"/>
      <c r="DV221" s="345"/>
      <c r="DW221" s="73"/>
      <c r="DX221" s="25"/>
      <c r="DY221" s="73"/>
      <c r="DZ221" s="73"/>
      <c r="EA221" s="345"/>
      <c r="EB221" s="73"/>
      <c r="EC221" s="25"/>
      <c r="ED221" s="73"/>
      <c r="EE221" s="73"/>
      <c r="EF221" s="345"/>
      <c r="EG221" s="73"/>
      <c r="EH221" s="25"/>
      <c r="EI221" s="73"/>
      <c r="EJ221" s="73"/>
      <c r="EK221" s="345"/>
      <c r="EL221" s="73"/>
      <c r="EM221" s="25"/>
      <c r="EN221" s="73"/>
      <c r="EO221" s="73"/>
      <c r="EP221" s="345"/>
      <c r="EQ221" s="73"/>
      <c r="ER221" s="25"/>
      <c r="ES221" s="73"/>
      <c r="ET221" s="73"/>
      <c r="EU221" s="345"/>
      <c r="EV221" s="73"/>
      <c r="EW221" s="25"/>
      <c r="EX221" s="73"/>
      <c r="EY221" s="73"/>
      <c r="EZ221" s="345"/>
      <c r="FA221" s="73"/>
      <c r="FB221" s="25"/>
      <c r="FC221" s="73"/>
      <c r="FD221" s="73"/>
      <c r="FE221" s="345"/>
      <c r="FF221" s="73"/>
      <c r="FG221" s="25"/>
      <c r="FH221" s="73"/>
      <c r="FI221" s="73"/>
      <c r="FJ221" s="345"/>
      <c r="FK221" s="73"/>
      <c r="FL221" s="25"/>
      <c r="FM221" s="73"/>
      <c r="FN221" s="73"/>
      <c r="FO221" s="345"/>
      <c r="FP221" s="73"/>
      <c r="FQ221" s="25"/>
      <c r="FR221" s="73"/>
      <c r="FS221" s="73"/>
      <c r="FT221" s="345"/>
      <c r="FU221" s="73"/>
      <c r="FV221" s="25"/>
      <c r="FW221" s="73"/>
      <c r="FX221" s="73"/>
      <c r="FY221" s="345"/>
      <c r="FZ221" s="73"/>
      <c r="GA221" s="25"/>
      <c r="GB221" s="73"/>
      <c r="GC221" s="73"/>
      <c r="GD221" s="345"/>
      <c r="GE221" s="73"/>
      <c r="GF221" s="25"/>
      <c r="GG221" s="73"/>
      <c r="GH221" s="73"/>
      <c r="GI221" s="345"/>
      <c r="GJ221" s="73"/>
      <c r="GK221" s="25"/>
      <c r="GL221" s="73"/>
      <c r="GM221" s="73"/>
      <c r="GN221" s="345"/>
      <c r="GO221" s="73"/>
      <c r="GP221" s="25"/>
      <c r="GQ221" s="73"/>
      <c r="GR221" s="73"/>
      <c r="GS221" s="345"/>
      <c r="GT221" s="73"/>
      <c r="GU221" s="25"/>
      <c r="GV221" s="73"/>
      <c r="GW221" s="73"/>
      <c r="GX221" s="345"/>
      <c r="GY221" s="73"/>
      <c r="GZ221" s="25"/>
      <c r="HA221" s="73"/>
      <c r="HB221" s="73"/>
      <c r="HC221" s="345"/>
      <c r="HD221" s="73"/>
      <c r="HE221" s="25"/>
      <c r="HF221" s="73"/>
      <c r="HG221" s="73"/>
      <c r="HH221" s="345"/>
      <c r="HI221" s="73"/>
      <c r="HJ221" s="25"/>
      <c r="HK221" s="73"/>
      <c r="HL221" s="73"/>
      <c r="HM221" s="345"/>
      <c r="HN221" s="73"/>
      <c r="HO221" s="25"/>
      <c r="HP221" s="73"/>
      <c r="HQ221" s="73"/>
      <c r="HR221" s="345"/>
      <c r="HS221" s="73"/>
      <c r="HT221" s="25"/>
      <c r="HU221" s="73"/>
      <c r="HV221" s="73"/>
      <c r="HW221" s="345"/>
      <c r="HX221" s="73"/>
      <c r="HY221" s="25"/>
      <c r="HZ221" s="73"/>
      <c r="IA221" s="73"/>
      <c r="IB221" s="345"/>
      <c r="IC221" s="73"/>
      <c r="ID221" s="25"/>
      <c r="IE221" s="73"/>
      <c r="IF221" s="73"/>
      <c r="IG221" s="345"/>
      <c r="IH221" s="73"/>
      <c r="II221" s="25"/>
      <c r="IJ221" s="73"/>
      <c r="IK221" s="73"/>
      <c r="IL221" s="345"/>
      <c r="IM221" s="73"/>
      <c r="IN221" s="25"/>
      <c r="IO221" s="73"/>
      <c r="IP221" s="73"/>
      <c r="IQ221" s="345"/>
      <c r="IR221" s="73"/>
      <c r="IS221" s="25"/>
      <c r="IT221" s="73"/>
      <c r="IU221" s="73"/>
      <c r="IV221" s="345"/>
    </row>
    <row r="222" spans="1:256" x14ac:dyDescent="0.2">
      <c r="A222" s="345">
        <v>34273</v>
      </c>
      <c r="B222" s="73"/>
      <c r="C222" s="25"/>
      <c r="D222" s="73"/>
      <c r="E222" s="73"/>
      <c r="F222" s="345"/>
      <c r="G222" s="73"/>
      <c r="H222" s="25"/>
      <c r="I222" s="73"/>
      <c r="J222" s="73"/>
      <c r="K222" s="345"/>
      <c r="L222" s="73"/>
      <c r="M222" s="25"/>
      <c r="N222" s="73"/>
      <c r="O222" s="73"/>
      <c r="P222" s="345"/>
      <c r="Q222" s="73"/>
      <c r="R222" s="25"/>
      <c r="S222" s="73"/>
      <c r="T222" s="73"/>
      <c r="U222" s="345"/>
      <c r="V222" s="73"/>
      <c r="W222" s="25"/>
      <c r="X222" s="73"/>
      <c r="Y222" s="73"/>
      <c r="Z222" s="345"/>
      <c r="AA222" s="73"/>
      <c r="AB222" s="25"/>
      <c r="AC222" s="73"/>
      <c r="AD222" s="73"/>
      <c r="AE222" s="345"/>
      <c r="AF222" s="73"/>
      <c r="AG222" s="25"/>
      <c r="AH222" s="73"/>
      <c r="AI222" s="73"/>
      <c r="AJ222" s="345"/>
      <c r="AK222" s="73"/>
      <c r="AL222" s="25"/>
      <c r="AM222" s="73"/>
      <c r="AN222" s="73"/>
      <c r="AO222" s="345"/>
      <c r="AP222" s="73"/>
      <c r="AQ222" s="25"/>
      <c r="AR222" s="73"/>
      <c r="AS222" s="73"/>
      <c r="AT222" s="345"/>
      <c r="AU222" s="73"/>
      <c r="AV222" s="25"/>
      <c r="AW222" s="73"/>
      <c r="AX222" s="73"/>
      <c r="AY222" s="345"/>
      <c r="AZ222" s="73"/>
      <c r="BA222" s="25"/>
      <c r="BB222" s="73"/>
      <c r="BC222" s="73"/>
      <c r="BD222" s="345"/>
      <c r="BE222" s="73"/>
      <c r="BF222" s="25"/>
      <c r="BG222" s="73"/>
      <c r="BH222" s="73"/>
      <c r="BI222" s="345"/>
      <c r="BJ222" s="73"/>
      <c r="BK222" s="25"/>
      <c r="BL222" s="73"/>
      <c r="BM222" s="73"/>
      <c r="BN222" s="345"/>
      <c r="BO222" s="73"/>
      <c r="BP222" s="25"/>
      <c r="BQ222" s="73"/>
      <c r="BR222" s="73"/>
      <c r="BS222" s="345"/>
      <c r="BT222" s="73"/>
      <c r="BU222" s="25"/>
      <c r="BV222" s="73"/>
      <c r="BW222" s="73"/>
      <c r="BX222" s="345"/>
      <c r="BY222" s="73"/>
      <c r="BZ222" s="25"/>
      <c r="CA222" s="73"/>
      <c r="CB222" s="73"/>
      <c r="CC222" s="345"/>
      <c r="CD222" s="73"/>
      <c r="CE222" s="25"/>
      <c r="CF222" s="73"/>
      <c r="CG222" s="73"/>
      <c r="CH222" s="345"/>
      <c r="CI222" s="73"/>
      <c r="CJ222" s="25"/>
      <c r="CK222" s="73"/>
      <c r="CL222" s="73"/>
      <c r="CM222" s="345"/>
      <c r="CN222" s="73"/>
      <c r="CO222" s="25"/>
      <c r="CP222" s="73"/>
      <c r="CQ222" s="73"/>
      <c r="CR222" s="345"/>
      <c r="CS222" s="73"/>
      <c r="CT222" s="25"/>
      <c r="CU222" s="73"/>
      <c r="CV222" s="73"/>
      <c r="CW222" s="345"/>
      <c r="CX222" s="73"/>
      <c r="CY222" s="25"/>
      <c r="CZ222" s="73"/>
      <c r="DA222" s="73"/>
      <c r="DB222" s="345"/>
      <c r="DC222" s="73"/>
      <c r="DD222" s="25"/>
      <c r="DE222" s="73"/>
      <c r="DF222" s="73"/>
      <c r="DG222" s="345"/>
      <c r="DH222" s="73"/>
      <c r="DI222" s="25"/>
      <c r="DJ222" s="73"/>
      <c r="DK222" s="73"/>
      <c r="DL222" s="345"/>
      <c r="DM222" s="73"/>
      <c r="DN222" s="25"/>
      <c r="DO222" s="73"/>
      <c r="DP222" s="73"/>
      <c r="DQ222" s="345"/>
      <c r="DR222" s="73"/>
      <c r="DS222" s="25"/>
      <c r="DT222" s="73"/>
      <c r="DU222" s="73"/>
      <c r="DV222" s="345"/>
      <c r="DW222" s="73"/>
      <c r="DX222" s="25"/>
      <c r="DY222" s="73"/>
      <c r="DZ222" s="73"/>
      <c r="EA222" s="345"/>
      <c r="EB222" s="73"/>
      <c r="EC222" s="25"/>
      <c r="ED222" s="73"/>
      <c r="EE222" s="73"/>
      <c r="EF222" s="345"/>
      <c r="EG222" s="73"/>
      <c r="EH222" s="25"/>
      <c r="EI222" s="73"/>
      <c r="EJ222" s="73"/>
      <c r="EK222" s="345"/>
      <c r="EL222" s="73"/>
      <c r="EM222" s="25"/>
      <c r="EN222" s="73"/>
      <c r="EO222" s="73"/>
      <c r="EP222" s="345"/>
      <c r="EQ222" s="73"/>
      <c r="ER222" s="25"/>
      <c r="ES222" s="73"/>
      <c r="ET222" s="73"/>
      <c r="EU222" s="345"/>
      <c r="EV222" s="73"/>
      <c r="EW222" s="25"/>
      <c r="EX222" s="73"/>
      <c r="EY222" s="73"/>
      <c r="EZ222" s="345"/>
      <c r="FA222" s="73"/>
      <c r="FB222" s="25"/>
      <c r="FC222" s="73"/>
      <c r="FD222" s="73"/>
      <c r="FE222" s="345"/>
      <c r="FF222" s="73"/>
      <c r="FG222" s="25"/>
      <c r="FH222" s="73"/>
      <c r="FI222" s="73"/>
      <c r="FJ222" s="345"/>
      <c r="FK222" s="73"/>
      <c r="FL222" s="25"/>
      <c r="FM222" s="73"/>
      <c r="FN222" s="73"/>
      <c r="FO222" s="345"/>
      <c r="FP222" s="73"/>
      <c r="FQ222" s="25"/>
      <c r="FR222" s="73"/>
      <c r="FS222" s="73"/>
      <c r="FT222" s="345"/>
      <c r="FU222" s="73"/>
      <c r="FV222" s="25"/>
      <c r="FW222" s="73"/>
      <c r="FX222" s="73"/>
      <c r="FY222" s="345"/>
      <c r="FZ222" s="73"/>
      <c r="GA222" s="25"/>
      <c r="GB222" s="73"/>
      <c r="GC222" s="73"/>
      <c r="GD222" s="345"/>
      <c r="GE222" s="73"/>
      <c r="GF222" s="25"/>
      <c r="GG222" s="73"/>
      <c r="GH222" s="73"/>
      <c r="GI222" s="345"/>
      <c r="GJ222" s="73"/>
      <c r="GK222" s="25"/>
      <c r="GL222" s="73"/>
      <c r="GM222" s="73"/>
      <c r="GN222" s="345"/>
      <c r="GO222" s="73"/>
      <c r="GP222" s="25"/>
      <c r="GQ222" s="73"/>
      <c r="GR222" s="73"/>
      <c r="GS222" s="345"/>
      <c r="GT222" s="73"/>
      <c r="GU222" s="25"/>
      <c r="GV222" s="73"/>
      <c r="GW222" s="73"/>
      <c r="GX222" s="345"/>
      <c r="GY222" s="73"/>
      <c r="GZ222" s="25"/>
      <c r="HA222" s="73"/>
      <c r="HB222" s="73"/>
      <c r="HC222" s="345"/>
      <c r="HD222" s="73"/>
      <c r="HE222" s="25"/>
      <c r="HF222" s="73"/>
      <c r="HG222" s="73"/>
      <c r="HH222" s="345"/>
      <c r="HI222" s="73"/>
      <c r="HJ222" s="25"/>
      <c r="HK222" s="73"/>
      <c r="HL222" s="73"/>
      <c r="HM222" s="345"/>
      <c r="HN222" s="73"/>
      <c r="HO222" s="25"/>
      <c r="HP222" s="73"/>
      <c r="HQ222" s="73"/>
      <c r="HR222" s="345"/>
      <c r="HS222" s="73"/>
      <c r="HT222" s="25"/>
      <c r="HU222" s="73"/>
      <c r="HV222" s="73"/>
      <c r="HW222" s="345"/>
      <c r="HX222" s="73"/>
      <c r="HY222" s="25"/>
      <c r="HZ222" s="73"/>
      <c r="IA222" s="73"/>
      <c r="IB222" s="345"/>
      <c r="IC222" s="73"/>
      <c r="ID222" s="25"/>
      <c r="IE222" s="73"/>
      <c r="IF222" s="73"/>
      <c r="IG222" s="345"/>
      <c r="IH222" s="73"/>
      <c r="II222" s="25"/>
      <c r="IJ222" s="73"/>
      <c r="IK222" s="73"/>
      <c r="IL222" s="345"/>
      <c r="IM222" s="73"/>
      <c r="IN222" s="25"/>
      <c r="IO222" s="73"/>
      <c r="IP222" s="73"/>
      <c r="IQ222" s="345"/>
      <c r="IR222" s="73"/>
      <c r="IS222" s="25"/>
      <c r="IT222" s="73"/>
      <c r="IU222" s="73"/>
      <c r="IV222" s="345"/>
    </row>
    <row r="223" spans="1:256" x14ac:dyDescent="0.2">
      <c r="A223" s="345">
        <v>34303</v>
      </c>
      <c r="B223" s="73"/>
      <c r="C223" s="25"/>
      <c r="D223" s="73"/>
      <c r="E223" s="73"/>
      <c r="F223" s="345"/>
      <c r="G223" s="73"/>
      <c r="H223" s="25"/>
      <c r="I223" s="73"/>
      <c r="J223" s="73"/>
      <c r="K223" s="345"/>
      <c r="L223" s="73"/>
      <c r="M223" s="25"/>
      <c r="N223" s="73"/>
      <c r="O223" s="73"/>
      <c r="P223" s="345"/>
      <c r="Q223" s="73"/>
      <c r="R223" s="25"/>
      <c r="S223" s="73"/>
      <c r="T223" s="73"/>
      <c r="U223" s="345"/>
      <c r="V223" s="73"/>
      <c r="W223" s="25"/>
      <c r="X223" s="73"/>
      <c r="Y223" s="73"/>
      <c r="Z223" s="345"/>
      <c r="AA223" s="73"/>
      <c r="AB223" s="25"/>
      <c r="AC223" s="73"/>
      <c r="AD223" s="73"/>
      <c r="AE223" s="345"/>
      <c r="AF223" s="73"/>
      <c r="AG223" s="25"/>
      <c r="AH223" s="73"/>
      <c r="AI223" s="73"/>
      <c r="AJ223" s="345"/>
      <c r="AK223" s="73"/>
      <c r="AL223" s="25"/>
      <c r="AM223" s="73"/>
      <c r="AN223" s="73"/>
      <c r="AO223" s="345"/>
      <c r="AP223" s="73"/>
      <c r="AQ223" s="25"/>
      <c r="AR223" s="73"/>
      <c r="AS223" s="73"/>
      <c r="AT223" s="345"/>
      <c r="AU223" s="73"/>
      <c r="AV223" s="25"/>
      <c r="AW223" s="73"/>
      <c r="AX223" s="73"/>
      <c r="AY223" s="345"/>
      <c r="AZ223" s="73"/>
      <c r="BA223" s="25"/>
      <c r="BB223" s="73"/>
      <c r="BC223" s="73"/>
      <c r="BD223" s="345"/>
      <c r="BE223" s="73"/>
      <c r="BF223" s="25"/>
      <c r="BG223" s="73"/>
      <c r="BH223" s="73"/>
      <c r="BI223" s="345"/>
      <c r="BJ223" s="73"/>
      <c r="BK223" s="25"/>
      <c r="BL223" s="73"/>
      <c r="BM223" s="73"/>
      <c r="BN223" s="345"/>
      <c r="BO223" s="73"/>
      <c r="BP223" s="25"/>
      <c r="BQ223" s="73"/>
      <c r="BR223" s="73"/>
      <c r="BS223" s="345"/>
      <c r="BT223" s="73"/>
      <c r="BU223" s="25"/>
      <c r="BV223" s="73"/>
      <c r="BW223" s="73"/>
      <c r="BX223" s="345"/>
      <c r="BY223" s="73"/>
      <c r="BZ223" s="25"/>
      <c r="CA223" s="73"/>
      <c r="CB223" s="73"/>
      <c r="CC223" s="345"/>
      <c r="CD223" s="73"/>
      <c r="CE223" s="25"/>
      <c r="CF223" s="73"/>
      <c r="CG223" s="73"/>
      <c r="CH223" s="345"/>
      <c r="CI223" s="73"/>
      <c r="CJ223" s="25"/>
      <c r="CK223" s="73"/>
      <c r="CL223" s="73"/>
      <c r="CM223" s="345"/>
      <c r="CN223" s="73"/>
      <c r="CO223" s="25"/>
      <c r="CP223" s="73"/>
      <c r="CQ223" s="73"/>
      <c r="CR223" s="345"/>
      <c r="CS223" s="73"/>
      <c r="CT223" s="25"/>
      <c r="CU223" s="73"/>
      <c r="CV223" s="73"/>
      <c r="CW223" s="345"/>
      <c r="CX223" s="73"/>
      <c r="CY223" s="25"/>
      <c r="CZ223" s="73"/>
      <c r="DA223" s="73"/>
      <c r="DB223" s="345"/>
      <c r="DC223" s="73"/>
      <c r="DD223" s="25"/>
      <c r="DE223" s="73"/>
      <c r="DF223" s="73"/>
      <c r="DG223" s="345"/>
      <c r="DH223" s="73"/>
      <c r="DI223" s="25"/>
      <c r="DJ223" s="73"/>
      <c r="DK223" s="73"/>
      <c r="DL223" s="345"/>
      <c r="DM223" s="73"/>
      <c r="DN223" s="25"/>
      <c r="DO223" s="73"/>
      <c r="DP223" s="73"/>
      <c r="DQ223" s="345"/>
      <c r="DR223" s="73"/>
      <c r="DS223" s="25"/>
      <c r="DT223" s="73"/>
      <c r="DU223" s="73"/>
      <c r="DV223" s="345"/>
      <c r="DW223" s="73"/>
      <c r="DX223" s="25"/>
      <c r="DY223" s="73"/>
      <c r="DZ223" s="73"/>
      <c r="EA223" s="345"/>
      <c r="EB223" s="73"/>
      <c r="EC223" s="25"/>
      <c r="ED223" s="73"/>
      <c r="EE223" s="73"/>
      <c r="EF223" s="345"/>
      <c r="EG223" s="73"/>
      <c r="EH223" s="25"/>
      <c r="EI223" s="73"/>
      <c r="EJ223" s="73"/>
      <c r="EK223" s="345"/>
      <c r="EL223" s="73"/>
      <c r="EM223" s="25"/>
      <c r="EN223" s="73"/>
      <c r="EO223" s="73"/>
      <c r="EP223" s="345"/>
      <c r="EQ223" s="73"/>
      <c r="ER223" s="25"/>
      <c r="ES223" s="73"/>
      <c r="ET223" s="73"/>
      <c r="EU223" s="345"/>
      <c r="EV223" s="73"/>
      <c r="EW223" s="25"/>
      <c r="EX223" s="73"/>
      <c r="EY223" s="73"/>
      <c r="EZ223" s="345"/>
      <c r="FA223" s="73"/>
      <c r="FB223" s="25"/>
      <c r="FC223" s="73"/>
      <c r="FD223" s="73"/>
      <c r="FE223" s="345"/>
      <c r="FF223" s="73"/>
      <c r="FG223" s="25"/>
      <c r="FH223" s="73"/>
      <c r="FI223" s="73"/>
      <c r="FJ223" s="345"/>
      <c r="FK223" s="73"/>
      <c r="FL223" s="25"/>
      <c r="FM223" s="73"/>
      <c r="FN223" s="73"/>
      <c r="FO223" s="345"/>
      <c r="FP223" s="73"/>
      <c r="FQ223" s="25"/>
      <c r="FR223" s="73"/>
      <c r="FS223" s="73"/>
      <c r="FT223" s="345"/>
      <c r="FU223" s="73"/>
      <c r="FV223" s="25"/>
      <c r="FW223" s="73"/>
      <c r="FX223" s="73"/>
      <c r="FY223" s="345"/>
      <c r="FZ223" s="73"/>
      <c r="GA223" s="25"/>
      <c r="GB223" s="73"/>
      <c r="GC223" s="73"/>
      <c r="GD223" s="345"/>
      <c r="GE223" s="73"/>
      <c r="GF223" s="25"/>
      <c r="GG223" s="73"/>
      <c r="GH223" s="73"/>
      <c r="GI223" s="345"/>
      <c r="GJ223" s="73"/>
      <c r="GK223" s="25"/>
      <c r="GL223" s="73"/>
      <c r="GM223" s="73"/>
      <c r="GN223" s="345"/>
      <c r="GO223" s="73"/>
      <c r="GP223" s="25"/>
      <c r="GQ223" s="73"/>
      <c r="GR223" s="73"/>
      <c r="GS223" s="345"/>
      <c r="GT223" s="73"/>
      <c r="GU223" s="25"/>
      <c r="GV223" s="73"/>
      <c r="GW223" s="73"/>
      <c r="GX223" s="345"/>
      <c r="GY223" s="73"/>
      <c r="GZ223" s="25"/>
      <c r="HA223" s="73"/>
      <c r="HB223" s="73"/>
      <c r="HC223" s="345"/>
      <c r="HD223" s="73"/>
      <c r="HE223" s="25"/>
      <c r="HF223" s="73"/>
      <c r="HG223" s="73"/>
      <c r="HH223" s="345"/>
      <c r="HI223" s="73"/>
      <c r="HJ223" s="25"/>
      <c r="HK223" s="73"/>
      <c r="HL223" s="73"/>
      <c r="HM223" s="345"/>
      <c r="HN223" s="73"/>
      <c r="HO223" s="25"/>
      <c r="HP223" s="73"/>
      <c r="HQ223" s="73"/>
      <c r="HR223" s="345"/>
      <c r="HS223" s="73"/>
      <c r="HT223" s="25"/>
      <c r="HU223" s="73"/>
      <c r="HV223" s="73"/>
      <c r="HW223" s="345"/>
      <c r="HX223" s="73"/>
      <c r="HY223" s="25"/>
      <c r="HZ223" s="73"/>
      <c r="IA223" s="73"/>
      <c r="IB223" s="345"/>
      <c r="IC223" s="73"/>
      <c r="ID223" s="25"/>
      <c r="IE223" s="73"/>
      <c r="IF223" s="73"/>
      <c r="IG223" s="345"/>
      <c r="IH223" s="73"/>
      <c r="II223" s="25"/>
      <c r="IJ223" s="73"/>
      <c r="IK223" s="73"/>
      <c r="IL223" s="345"/>
      <c r="IM223" s="73"/>
      <c r="IN223" s="25"/>
      <c r="IO223" s="73"/>
      <c r="IP223" s="73"/>
      <c r="IQ223" s="345"/>
      <c r="IR223" s="73"/>
      <c r="IS223" s="25"/>
      <c r="IT223" s="73"/>
      <c r="IU223" s="73"/>
      <c r="IV223" s="345"/>
    </row>
    <row r="224" spans="1:256" x14ac:dyDescent="0.2">
      <c r="A224" s="345">
        <v>34334</v>
      </c>
      <c r="B224" s="73"/>
      <c r="C224" s="25"/>
      <c r="D224" s="73"/>
      <c r="E224" s="73"/>
      <c r="F224" s="345"/>
      <c r="G224" s="73"/>
      <c r="H224" s="25"/>
      <c r="I224" s="73"/>
      <c r="J224" s="73"/>
      <c r="K224" s="345"/>
      <c r="L224" s="73"/>
      <c r="M224" s="25"/>
      <c r="N224" s="73"/>
      <c r="O224" s="73"/>
      <c r="P224" s="345"/>
      <c r="Q224" s="73"/>
      <c r="R224" s="25"/>
      <c r="S224" s="73"/>
      <c r="T224" s="73"/>
      <c r="U224" s="345"/>
      <c r="V224" s="73"/>
      <c r="W224" s="25"/>
      <c r="X224" s="73"/>
      <c r="Y224" s="73"/>
      <c r="Z224" s="345"/>
      <c r="AA224" s="73"/>
      <c r="AB224" s="25"/>
      <c r="AC224" s="73"/>
      <c r="AD224" s="73"/>
      <c r="AE224" s="345"/>
      <c r="AF224" s="73"/>
      <c r="AG224" s="25"/>
      <c r="AH224" s="73"/>
      <c r="AI224" s="73"/>
      <c r="AJ224" s="345"/>
      <c r="AK224" s="73"/>
      <c r="AL224" s="25"/>
      <c r="AM224" s="73"/>
      <c r="AN224" s="73"/>
      <c r="AO224" s="345"/>
      <c r="AP224" s="73"/>
      <c r="AQ224" s="25"/>
      <c r="AR224" s="73"/>
      <c r="AS224" s="73"/>
      <c r="AT224" s="345"/>
      <c r="AU224" s="73"/>
      <c r="AV224" s="25"/>
      <c r="AW224" s="73"/>
      <c r="AX224" s="73"/>
      <c r="AY224" s="345"/>
      <c r="AZ224" s="73"/>
      <c r="BA224" s="25"/>
      <c r="BB224" s="73"/>
      <c r="BC224" s="73"/>
      <c r="BD224" s="345"/>
      <c r="BE224" s="73"/>
      <c r="BF224" s="25"/>
      <c r="BG224" s="73"/>
      <c r="BH224" s="73"/>
      <c r="BI224" s="345"/>
      <c r="BJ224" s="73"/>
      <c r="BK224" s="25"/>
      <c r="BL224" s="73"/>
      <c r="BM224" s="73"/>
      <c r="BN224" s="345"/>
      <c r="BO224" s="73"/>
      <c r="BP224" s="25"/>
      <c r="BQ224" s="73"/>
      <c r="BR224" s="73"/>
      <c r="BS224" s="345"/>
      <c r="BT224" s="73"/>
      <c r="BU224" s="25"/>
      <c r="BV224" s="73"/>
      <c r="BW224" s="73"/>
      <c r="BX224" s="345"/>
      <c r="BY224" s="73"/>
      <c r="BZ224" s="25"/>
      <c r="CA224" s="73"/>
      <c r="CB224" s="73"/>
      <c r="CC224" s="345"/>
      <c r="CD224" s="73"/>
      <c r="CE224" s="25"/>
      <c r="CF224" s="73"/>
      <c r="CG224" s="73"/>
      <c r="CH224" s="345"/>
      <c r="CI224" s="73"/>
      <c r="CJ224" s="25"/>
      <c r="CK224" s="73"/>
      <c r="CL224" s="73"/>
      <c r="CM224" s="345"/>
      <c r="CN224" s="73"/>
      <c r="CO224" s="25"/>
      <c r="CP224" s="73"/>
      <c r="CQ224" s="73"/>
      <c r="CR224" s="345"/>
      <c r="CS224" s="73"/>
      <c r="CT224" s="25"/>
      <c r="CU224" s="73"/>
      <c r="CV224" s="73"/>
      <c r="CW224" s="345"/>
      <c r="CX224" s="73"/>
      <c r="CY224" s="25"/>
      <c r="CZ224" s="73"/>
      <c r="DA224" s="73"/>
      <c r="DB224" s="345"/>
      <c r="DC224" s="73"/>
      <c r="DD224" s="25"/>
      <c r="DE224" s="73"/>
      <c r="DF224" s="73"/>
      <c r="DG224" s="345"/>
      <c r="DH224" s="73"/>
      <c r="DI224" s="25"/>
      <c r="DJ224" s="73"/>
      <c r="DK224" s="73"/>
      <c r="DL224" s="345"/>
      <c r="DM224" s="73"/>
      <c r="DN224" s="25"/>
      <c r="DO224" s="73"/>
      <c r="DP224" s="73"/>
      <c r="DQ224" s="345"/>
      <c r="DR224" s="73"/>
      <c r="DS224" s="25"/>
      <c r="DT224" s="73"/>
      <c r="DU224" s="73"/>
      <c r="DV224" s="345"/>
      <c r="DW224" s="73"/>
      <c r="DX224" s="25"/>
      <c r="DY224" s="73"/>
      <c r="DZ224" s="73"/>
      <c r="EA224" s="345"/>
      <c r="EB224" s="73"/>
      <c r="EC224" s="25"/>
      <c r="ED224" s="73"/>
      <c r="EE224" s="73"/>
      <c r="EF224" s="345"/>
      <c r="EG224" s="73"/>
      <c r="EH224" s="25"/>
      <c r="EI224" s="73"/>
      <c r="EJ224" s="73"/>
      <c r="EK224" s="345"/>
      <c r="EL224" s="73"/>
      <c r="EM224" s="25"/>
      <c r="EN224" s="73"/>
      <c r="EO224" s="73"/>
      <c r="EP224" s="345"/>
      <c r="EQ224" s="73"/>
      <c r="ER224" s="25"/>
      <c r="ES224" s="73"/>
      <c r="ET224" s="73"/>
      <c r="EU224" s="345"/>
      <c r="EV224" s="73"/>
      <c r="EW224" s="25"/>
      <c r="EX224" s="73"/>
      <c r="EY224" s="73"/>
      <c r="EZ224" s="345"/>
      <c r="FA224" s="73"/>
      <c r="FB224" s="25"/>
      <c r="FC224" s="73"/>
      <c r="FD224" s="73"/>
      <c r="FE224" s="345"/>
      <c r="FF224" s="73"/>
      <c r="FG224" s="25"/>
      <c r="FH224" s="73"/>
      <c r="FI224" s="73"/>
      <c r="FJ224" s="345"/>
      <c r="FK224" s="73"/>
      <c r="FL224" s="25"/>
      <c r="FM224" s="73"/>
      <c r="FN224" s="73"/>
      <c r="FO224" s="345"/>
      <c r="FP224" s="73"/>
      <c r="FQ224" s="25"/>
      <c r="FR224" s="73"/>
      <c r="FS224" s="73"/>
      <c r="FT224" s="345"/>
      <c r="FU224" s="73"/>
      <c r="FV224" s="25"/>
      <c r="FW224" s="73"/>
      <c r="FX224" s="73"/>
      <c r="FY224" s="345"/>
      <c r="FZ224" s="73"/>
      <c r="GA224" s="25"/>
      <c r="GB224" s="73"/>
      <c r="GC224" s="73"/>
      <c r="GD224" s="345"/>
      <c r="GE224" s="73"/>
      <c r="GF224" s="25"/>
      <c r="GG224" s="73"/>
      <c r="GH224" s="73"/>
      <c r="GI224" s="345"/>
      <c r="GJ224" s="73"/>
      <c r="GK224" s="25"/>
      <c r="GL224" s="73"/>
      <c r="GM224" s="73"/>
      <c r="GN224" s="345"/>
      <c r="GO224" s="73"/>
      <c r="GP224" s="25"/>
      <c r="GQ224" s="73"/>
      <c r="GR224" s="73"/>
      <c r="GS224" s="345"/>
      <c r="GT224" s="73"/>
      <c r="GU224" s="25"/>
      <c r="GV224" s="73"/>
      <c r="GW224" s="73"/>
      <c r="GX224" s="345"/>
      <c r="GY224" s="73"/>
      <c r="GZ224" s="25"/>
      <c r="HA224" s="73"/>
      <c r="HB224" s="73"/>
      <c r="HC224" s="345"/>
      <c r="HD224" s="73"/>
      <c r="HE224" s="25"/>
      <c r="HF224" s="73"/>
      <c r="HG224" s="73"/>
      <c r="HH224" s="345"/>
      <c r="HI224" s="73"/>
      <c r="HJ224" s="25"/>
      <c r="HK224" s="73"/>
      <c r="HL224" s="73"/>
      <c r="HM224" s="345"/>
      <c r="HN224" s="73"/>
      <c r="HO224" s="25"/>
      <c r="HP224" s="73"/>
      <c r="HQ224" s="73"/>
      <c r="HR224" s="345"/>
      <c r="HS224" s="73"/>
      <c r="HT224" s="25"/>
      <c r="HU224" s="73"/>
      <c r="HV224" s="73"/>
      <c r="HW224" s="345"/>
      <c r="HX224" s="73"/>
      <c r="HY224" s="25"/>
      <c r="HZ224" s="73"/>
      <c r="IA224" s="73"/>
      <c r="IB224" s="345"/>
      <c r="IC224" s="73"/>
      <c r="ID224" s="25"/>
      <c r="IE224" s="73"/>
      <c r="IF224" s="73"/>
      <c r="IG224" s="345"/>
      <c r="IH224" s="73"/>
      <c r="II224" s="25"/>
      <c r="IJ224" s="73"/>
      <c r="IK224" s="73"/>
      <c r="IL224" s="345"/>
      <c r="IM224" s="73"/>
      <c r="IN224" s="25"/>
      <c r="IO224" s="73"/>
      <c r="IP224" s="73"/>
      <c r="IQ224" s="345"/>
      <c r="IR224" s="73"/>
      <c r="IS224" s="25"/>
      <c r="IT224" s="73"/>
      <c r="IU224" s="73"/>
      <c r="IV224" s="345"/>
    </row>
    <row r="225" spans="1:256" x14ac:dyDescent="0.2">
      <c r="A225" s="345">
        <v>34365</v>
      </c>
      <c r="B225" s="73"/>
      <c r="C225" s="25"/>
      <c r="D225" s="73"/>
      <c r="E225" s="73"/>
      <c r="F225" s="345"/>
      <c r="G225" s="73"/>
      <c r="H225" s="25"/>
      <c r="I225" s="73"/>
      <c r="J225" s="73"/>
      <c r="K225" s="345"/>
      <c r="L225" s="73"/>
      <c r="M225" s="25"/>
      <c r="N225" s="73"/>
      <c r="O225" s="73"/>
      <c r="P225" s="345"/>
      <c r="Q225" s="73"/>
      <c r="R225" s="25"/>
      <c r="S225" s="73"/>
      <c r="T225" s="73"/>
      <c r="U225" s="345"/>
      <c r="V225" s="73"/>
      <c r="W225" s="25"/>
      <c r="X225" s="73"/>
      <c r="Y225" s="73"/>
      <c r="Z225" s="345"/>
      <c r="AA225" s="73"/>
      <c r="AB225" s="25"/>
      <c r="AC225" s="73"/>
      <c r="AD225" s="73"/>
      <c r="AE225" s="345"/>
      <c r="AF225" s="73"/>
      <c r="AG225" s="25"/>
      <c r="AH225" s="73"/>
      <c r="AI225" s="73"/>
      <c r="AJ225" s="345"/>
      <c r="AK225" s="73"/>
      <c r="AL225" s="25"/>
      <c r="AM225" s="73"/>
      <c r="AN225" s="73"/>
      <c r="AO225" s="345"/>
      <c r="AP225" s="73"/>
      <c r="AQ225" s="25"/>
      <c r="AR225" s="73"/>
      <c r="AS225" s="73"/>
      <c r="AT225" s="345"/>
      <c r="AU225" s="73"/>
      <c r="AV225" s="25"/>
      <c r="AW225" s="73"/>
      <c r="AX225" s="73"/>
      <c r="AY225" s="345"/>
      <c r="AZ225" s="73"/>
      <c r="BA225" s="25"/>
      <c r="BB225" s="73"/>
      <c r="BC225" s="73"/>
      <c r="BD225" s="345"/>
      <c r="BE225" s="73"/>
      <c r="BF225" s="25"/>
      <c r="BG225" s="73"/>
      <c r="BH225" s="73"/>
      <c r="BI225" s="345"/>
      <c r="BJ225" s="73"/>
      <c r="BK225" s="25"/>
      <c r="BL225" s="73"/>
      <c r="BM225" s="73"/>
      <c r="BN225" s="345"/>
      <c r="BO225" s="73"/>
      <c r="BP225" s="25"/>
      <c r="BQ225" s="73"/>
      <c r="BR225" s="73"/>
      <c r="BS225" s="345"/>
      <c r="BT225" s="73"/>
      <c r="BU225" s="25"/>
      <c r="BV225" s="73"/>
      <c r="BW225" s="73"/>
      <c r="BX225" s="345"/>
      <c r="BY225" s="73"/>
      <c r="BZ225" s="25"/>
      <c r="CA225" s="73"/>
      <c r="CB225" s="73"/>
      <c r="CC225" s="345"/>
      <c r="CD225" s="73"/>
      <c r="CE225" s="25"/>
      <c r="CF225" s="73"/>
      <c r="CG225" s="73"/>
      <c r="CH225" s="345"/>
      <c r="CI225" s="73"/>
      <c r="CJ225" s="25"/>
      <c r="CK225" s="73"/>
      <c r="CL225" s="73"/>
      <c r="CM225" s="345"/>
      <c r="CN225" s="73"/>
      <c r="CO225" s="25"/>
      <c r="CP225" s="73"/>
      <c r="CQ225" s="73"/>
      <c r="CR225" s="345"/>
      <c r="CS225" s="73"/>
      <c r="CT225" s="25"/>
      <c r="CU225" s="73"/>
      <c r="CV225" s="73"/>
      <c r="CW225" s="345"/>
      <c r="CX225" s="73"/>
      <c r="CY225" s="25"/>
      <c r="CZ225" s="73"/>
      <c r="DA225" s="73"/>
      <c r="DB225" s="345"/>
      <c r="DC225" s="73"/>
      <c r="DD225" s="25"/>
      <c r="DE225" s="73"/>
      <c r="DF225" s="73"/>
      <c r="DG225" s="345"/>
      <c r="DH225" s="73"/>
      <c r="DI225" s="25"/>
      <c r="DJ225" s="73"/>
      <c r="DK225" s="73"/>
      <c r="DL225" s="345"/>
      <c r="DM225" s="73"/>
      <c r="DN225" s="25"/>
      <c r="DO225" s="73"/>
      <c r="DP225" s="73"/>
      <c r="DQ225" s="345"/>
      <c r="DR225" s="73"/>
      <c r="DS225" s="25"/>
      <c r="DT225" s="73"/>
      <c r="DU225" s="73"/>
      <c r="DV225" s="345"/>
      <c r="DW225" s="73"/>
      <c r="DX225" s="25"/>
      <c r="DY225" s="73"/>
      <c r="DZ225" s="73"/>
      <c r="EA225" s="345"/>
      <c r="EB225" s="73"/>
      <c r="EC225" s="25"/>
      <c r="ED225" s="73"/>
      <c r="EE225" s="73"/>
      <c r="EF225" s="345"/>
      <c r="EG225" s="73"/>
      <c r="EH225" s="25"/>
      <c r="EI225" s="73"/>
      <c r="EJ225" s="73"/>
      <c r="EK225" s="345"/>
      <c r="EL225" s="73"/>
      <c r="EM225" s="25"/>
      <c r="EN225" s="73"/>
      <c r="EO225" s="73"/>
      <c r="EP225" s="345"/>
      <c r="EQ225" s="73"/>
      <c r="ER225" s="25"/>
      <c r="ES225" s="73"/>
      <c r="ET225" s="73"/>
      <c r="EU225" s="345"/>
      <c r="EV225" s="73"/>
      <c r="EW225" s="25"/>
      <c r="EX225" s="73"/>
      <c r="EY225" s="73"/>
      <c r="EZ225" s="345"/>
      <c r="FA225" s="73"/>
      <c r="FB225" s="25"/>
      <c r="FC225" s="73"/>
      <c r="FD225" s="73"/>
      <c r="FE225" s="345"/>
      <c r="FF225" s="73"/>
      <c r="FG225" s="25"/>
      <c r="FH225" s="73"/>
      <c r="FI225" s="73"/>
      <c r="FJ225" s="345"/>
      <c r="FK225" s="73"/>
      <c r="FL225" s="25"/>
      <c r="FM225" s="73"/>
      <c r="FN225" s="73"/>
      <c r="FO225" s="345"/>
      <c r="FP225" s="73"/>
      <c r="FQ225" s="25"/>
      <c r="FR225" s="73"/>
      <c r="FS225" s="73"/>
      <c r="FT225" s="345"/>
      <c r="FU225" s="73"/>
      <c r="FV225" s="25"/>
      <c r="FW225" s="73"/>
      <c r="FX225" s="73"/>
      <c r="FY225" s="345"/>
      <c r="FZ225" s="73"/>
      <c r="GA225" s="25"/>
      <c r="GB225" s="73"/>
      <c r="GC225" s="73"/>
      <c r="GD225" s="345"/>
      <c r="GE225" s="73"/>
      <c r="GF225" s="25"/>
      <c r="GG225" s="73"/>
      <c r="GH225" s="73"/>
      <c r="GI225" s="345"/>
      <c r="GJ225" s="73"/>
      <c r="GK225" s="25"/>
      <c r="GL225" s="73"/>
      <c r="GM225" s="73"/>
      <c r="GN225" s="345"/>
      <c r="GO225" s="73"/>
      <c r="GP225" s="25"/>
      <c r="GQ225" s="73"/>
      <c r="GR225" s="73"/>
      <c r="GS225" s="345"/>
      <c r="GT225" s="73"/>
      <c r="GU225" s="25"/>
      <c r="GV225" s="73"/>
      <c r="GW225" s="73"/>
      <c r="GX225" s="345"/>
      <c r="GY225" s="73"/>
      <c r="GZ225" s="25"/>
      <c r="HA225" s="73"/>
      <c r="HB225" s="73"/>
      <c r="HC225" s="345"/>
      <c r="HD225" s="73"/>
      <c r="HE225" s="25"/>
      <c r="HF225" s="73"/>
      <c r="HG225" s="73"/>
      <c r="HH225" s="345"/>
      <c r="HI225" s="73"/>
      <c r="HJ225" s="25"/>
      <c r="HK225" s="73"/>
      <c r="HL225" s="73"/>
      <c r="HM225" s="345"/>
      <c r="HN225" s="73"/>
      <c r="HO225" s="25"/>
      <c r="HP225" s="73"/>
      <c r="HQ225" s="73"/>
      <c r="HR225" s="345"/>
      <c r="HS225" s="73"/>
      <c r="HT225" s="25"/>
      <c r="HU225" s="73"/>
      <c r="HV225" s="73"/>
      <c r="HW225" s="345"/>
      <c r="HX225" s="73"/>
      <c r="HY225" s="25"/>
      <c r="HZ225" s="73"/>
      <c r="IA225" s="73"/>
      <c r="IB225" s="345"/>
      <c r="IC225" s="73"/>
      <c r="ID225" s="25"/>
      <c r="IE225" s="73"/>
      <c r="IF225" s="73"/>
      <c r="IG225" s="345"/>
      <c r="IH225" s="73"/>
      <c r="II225" s="25"/>
      <c r="IJ225" s="73"/>
      <c r="IK225" s="73"/>
      <c r="IL225" s="345"/>
      <c r="IM225" s="73"/>
      <c r="IN225" s="25"/>
      <c r="IO225" s="73"/>
      <c r="IP225" s="73"/>
      <c r="IQ225" s="345"/>
      <c r="IR225" s="73"/>
      <c r="IS225" s="25"/>
      <c r="IT225" s="73"/>
      <c r="IU225" s="73"/>
      <c r="IV225" s="345"/>
    </row>
    <row r="226" spans="1:256" x14ac:dyDescent="0.2">
      <c r="A226" s="345">
        <v>34393</v>
      </c>
      <c r="B226" s="73"/>
      <c r="C226" s="25"/>
      <c r="D226" s="73"/>
      <c r="E226" s="73"/>
      <c r="F226" s="345"/>
      <c r="G226" s="73"/>
      <c r="H226" s="25"/>
      <c r="I226" s="73"/>
      <c r="J226" s="73"/>
      <c r="K226" s="345"/>
      <c r="L226" s="73"/>
      <c r="M226" s="25"/>
      <c r="N226" s="73"/>
      <c r="O226" s="73"/>
      <c r="P226" s="345"/>
      <c r="Q226" s="73"/>
      <c r="R226" s="25"/>
      <c r="S226" s="73"/>
      <c r="T226" s="73"/>
      <c r="U226" s="345"/>
      <c r="V226" s="73"/>
      <c r="W226" s="25"/>
      <c r="X226" s="73"/>
      <c r="Y226" s="73"/>
      <c r="Z226" s="345"/>
      <c r="AA226" s="73"/>
      <c r="AB226" s="25"/>
      <c r="AC226" s="73"/>
      <c r="AD226" s="73"/>
      <c r="AE226" s="345"/>
      <c r="AF226" s="73"/>
      <c r="AG226" s="25"/>
      <c r="AH226" s="73"/>
      <c r="AI226" s="73"/>
      <c r="AJ226" s="345"/>
      <c r="AK226" s="73"/>
      <c r="AL226" s="25"/>
      <c r="AM226" s="73"/>
      <c r="AN226" s="73"/>
      <c r="AO226" s="345"/>
      <c r="AP226" s="73"/>
      <c r="AQ226" s="25"/>
      <c r="AR226" s="73"/>
      <c r="AS226" s="73"/>
      <c r="AT226" s="345"/>
      <c r="AU226" s="73"/>
      <c r="AV226" s="25"/>
      <c r="AW226" s="73"/>
      <c r="AX226" s="73"/>
      <c r="AY226" s="345"/>
      <c r="AZ226" s="73"/>
      <c r="BA226" s="25"/>
      <c r="BB226" s="73"/>
      <c r="BC226" s="73"/>
      <c r="BD226" s="345"/>
      <c r="BE226" s="73"/>
      <c r="BF226" s="25"/>
      <c r="BG226" s="73"/>
      <c r="BH226" s="73"/>
      <c r="BI226" s="345"/>
      <c r="BJ226" s="73"/>
      <c r="BK226" s="25"/>
      <c r="BL226" s="73"/>
      <c r="BM226" s="73"/>
      <c r="BN226" s="345"/>
      <c r="BO226" s="73"/>
      <c r="BP226" s="25"/>
      <c r="BQ226" s="73"/>
      <c r="BR226" s="73"/>
      <c r="BS226" s="345"/>
      <c r="BT226" s="73"/>
      <c r="BU226" s="25"/>
      <c r="BV226" s="73"/>
      <c r="BW226" s="73"/>
      <c r="BX226" s="345"/>
      <c r="BY226" s="73"/>
      <c r="BZ226" s="25"/>
      <c r="CA226" s="73"/>
      <c r="CB226" s="73"/>
      <c r="CC226" s="345"/>
      <c r="CD226" s="73"/>
      <c r="CE226" s="25"/>
      <c r="CF226" s="73"/>
      <c r="CG226" s="73"/>
      <c r="CH226" s="345"/>
      <c r="CI226" s="73"/>
      <c r="CJ226" s="25"/>
      <c r="CK226" s="73"/>
      <c r="CL226" s="73"/>
      <c r="CM226" s="345"/>
      <c r="CN226" s="73"/>
      <c r="CO226" s="25"/>
      <c r="CP226" s="73"/>
      <c r="CQ226" s="73"/>
      <c r="CR226" s="345"/>
      <c r="CS226" s="73"/>
      <c r="CT226" s="25"/>
      <c r="CU226" s="73"/>
      <c r="CV226" s="73"/>
      <c r="CW226" s="345"/>
      <c r="CX226" s="73"/>
      <c r="CY226" s="25"/>
      <c r="CZ226" s="73"/>
      <c r="DA226" s="73"/>
      <c r="DB226" s="345"/>
      <c r="DC226" s="73"/>
      <c r="DD226" s="25"/>
      <c r="DE226" s="73"/>
      <c r="DF226" s="73"/>
      <c r="DG226" s="345"/>
      <c r="DH226" s="73"/>
      <c r="DI226" s="25"/>
      <c r="DJ226" s="73"/>
      <c r="DK226" s="73"/>
      <c r="DL226" s="345"/>
      <c r="DM226" s="73"/>
      <c r="DN226" s="25"/>
      <c r="DO226" s="73"/>
      <c r="DP226" s="73"/>
      <c r="DQ226" s="345"/>
      <c r="DR226" s="73"/>
      <c r="DS226" s="25"/>
      <c r="DT226" s="73"/>
      <c r="DU226" s="73"/>
      <c r="DV226" s="345"/>
      <c r="DW226" s="73"/>
      <c r="DX226" s="25"/>
      <c r="DY226" s="73"/>
      <c r="DZ226" s="73"/>
      <c r="EA226" s="345"/>
      <c r="EB226" s="73"/>
      <c r="EC226" s="25"/>
      <c r="ED226" s="73"/>
      <c r="EE226" s="73"/>
      <c r="EF226" s="345"/>
      <c r="EG226" s="73"/>
      <c r="EH226" s="25"/>
      <c r="EI226" s="73"/>
      <c r="EJ226" s="73"/>
      <c r="EK226" s="345"/>
      <c r="EL226" s="73"/>
      <c r="EM226" s="25"/>
      <c r="EN226" s="73"/>
      <c r="EO226" s="73"/>
      <c r="EP226" s="345"/>
      <c r="EQ226" s="73"/>
      <c r="ER226" s="25"/>
      <c r="ES226" s="73"/>
      <c r="ET226" s="73"/>
      <c r="EU226" s="345"/>
      <c r="EV226" s="73"/>
      <c r="EW226" s="25"/>
      <c r="EX226" s="73"/>
      <c r="EY226" s="73"/>
      <c r="EZ226" s="345"/>
      <c r="FA226" s="73"/>
      <c r="FB226" s="25"/>
      <c r="FC226" s="73"/>
      <c r="FD226" s="73"/>
      <c r="FE226" s="345"/>
      <c r="FF226" s="73"/>
      <c r="FG226" s="25"/>
      <c r="FH226" s="73"/>
      <c r="FI226" s="73"/>
      <c r="FJ226" s="345"/>
      <c r="FK226" s="73"/>
      <c r="FL226" s="25"/>
      <c r="FM226" s="73"/>
      <c r="FN226" s="73"/>
      <c r="FO226" s="345"/>
      <c r="FP226" s="73"/>
      <c r="FQ226" s="25"/>
      <c r="FR226" s="73"/>
      <c r="FS226" s="73"/>
      <c r="FT226" s="345"/>
      <c r="FU226" s="73"/>
      <c r="FV226" s="25"/>
      <c r="FW226" s="73"/>
      <c r="FX226" s="73"/>
      <c r="FY226" s="345"/>
      <c r="FZ226" s="73"/>
      <c r="GA226" s="25"/>
      <c r="GB226" s="73"/>
      <c r="GC226" s="73"/>
      <c r="GD226" s="345"/>
      <c r="GE226" s="73"/>
      <c r="GF226" s="25"/>
      <c r="GG226" s="73"/>
      <c r="GH226" s="73"/>
      <c r="GI226" s="345"/>
      <c r="GJ226" s="73"/>
      <c r="GK226" s="25"/>
      <c r="GL226" s="73"/>
      <c r="GM226" s="73"/>
      <c r="GN226" s="345"/>
      <c r="GO226" s="73"/>
      <c r="GP226" s="25"/>
      <c r="GQ226" s="73"/>
      <c r="GR226" s="73"/>
      <c r="GS226" s="345"/>
      <c r="GT226" s="73"/>
      <c r="GU226" s="25"/>
      <c r="GV226" s="73"/>
      <c r="GW226" s="73"/>
      <c r="GX226" s="345"/>
      <c r="GY226" s="73"/>
      <c r="GZ226" s="25"/>
      <c r="HA226" s="73"/>
      <c r="HB226" s="73"/>
      <c r="HC226" s="345"/>
      <c r="HD226" s="73"/>
      <c r="HE226" s="25"/>
      <c r="HF226" s="73"/>
      <c r="HG226" s="73"/>
      <c r="HH226" s="345"/>
      <c r="HI226" s="73"/>
      <c r="HJ226" s="25"/>
      <c r="HK226" s="73"/>
      <c r="HL226" s="73"/>
      <c r="HM226" s="345"/>
      <c r="HN226" s="73"/>
      <c r="HO226" s="25"/>
      <c r="HP226" s="73"/>
      <c r="HQ226" s="73"/>
      <c r="HR226" s="345"/>
      <c r="HS226" s="73"/>
      <c r="HT226" s="25"/>
      <c r="HU226" s="73"/>
      <c r="HV226" s="73"/>
      <c r="HW226" s="345"/>
      <c r="HX226" s="73"/>
      <c r="HY226" s="25"/>
      <c r="HZ226" s="73"/>
      <c r="IA226" s="73"/>
      <c r="IB226" s="345"/>
      <c r="IC226" s="73"/>
      <c r="ID226" s="25"/>
      <c r="IE226" s="73"/>
      <c r="IF226" s="73"/>
      <c r="IG226" s="345"/>
      <c r="IH226" s="73"/>
      <c r="II226" s="25"/>
      <c r="IJ226" s="73"/>
      <c r="IK226" s="73"/>
      <c r="IL226" s="345"/>
      <c r="IM226" s="73"/>
      <c r="IN226" s="25"/>
      <c r="IO226" s="73"/>
      <c r="IP226" s="73"/>
      <c r="IQ226" s="345"/>
      <c r="IR226" s="73"/>
      <c r="IS226" s="25"/>
      <c r="IT226" s="73"/>
      <c r="IU226" s="73"/>
      <c r="IV226" s="345"/>
    </row>
    <row r="227" spans="1:256" x14ac:dyDescent="0.2">
      <c r="A227" s="345">
        <v>34424</v>
      </c>
      <c r="B227" s="73"/>
      <c r="C227" s="25"/>
      <c r="D227" s="73"/>
      <c r="E227" s="73"/>
      <c r="F227" s="345"/>
      <c r="G227" s="73"/>
      <c r="H227" s="25"/>
      <c r="I227" s="73"/>
      <c r="J227" s="73"/>
      <c r="K227" s="345"/>
      <c r="L227" s="73"/>
      <c r="M227" s="25"/>
      <c r="N227" s="73"/>
      <c r="O227" s="73"/>
      <c r="P227" s="345"/>
      <c r="Q227" s="73"/>
      <c r="R227" s="25"/>
      <c r="S227" s="73"/>
      <c r="T227" s="73"/>
      <c r="U227" s="345"/>
      <c r="V227" s="73"/>
      <c r="W227" s="25"/>
      <c r="X227" s="73"/>
      <c r="Y227" s="73"/>
      <c r="Z227" s="345"/>
      <c r="AA227" s="73"/>
      <c r="AB227" s="25"/>
      <c r="AC227" s="73"/>
      <c r="AD227" s="73"/>
      <c r="AE227" s="345"/>
      <c r="AF227" s="73"/>
      <c r="AG227" s="25"/>
      <c r="AH227" s="73"/>
      <c r="AI227" s="73"/>
      <c r="AJ227" s="345"/>
      <c r="AK227" s="73"/>
      <c r="AL227" s="25"/>
      <c r="AM227" s="73"/>
      <c r="AN227" s="73"/>
      <c r="AO227" s="345"/>
      <c r="AP227" s="73"/>
      <c r="AQ227" s="25"/>
      <c r="AR227" s="73"/>
      <c r="AS227" s="73"/>
      <c r="AT227" s="345"/>
      <c r="AU227" s="73"/>
      <c r="AV227" s="25"/>
      <c r="AW227" s="73"/>
      <c r="AX227" s="73"/>
      <c r="AY227" s="345"/>
      <c r="AZ227" s="73"/>
      <c r="BA227" s="25"/>
      <c r="BB227" s="73"/>
      <c r="BC227" s="73"/>
      <c r="BD227" s="345"/>
      <c r="BE227" s="73"/>
      <c r="BF227" s="25"/>
      <c r="BG227" s="73"/>
      <c r="BH227" s="73"/>
      <c r="BI227" s="345"/>
      <c r="BJ227" s="73"/>
      <c r="BK227" s="25"/>
      <c r="BL227" s="73"/>
      <c r="BM227" s="73"/>
      <c r="BN227" s="345"/>
      <c r="BO227" s="73"/>
      <c r="BP227" s="25"/>
      <c r="BQ227" s="73"/>
      <c r="BR227" s="73"/>
      <c r="BS227" s="345"/>
      <c r="BT227" s="73"/>
      <c r="BU227" s="25"/>
      <c r="BV227" s="73"/>
      <c r="BW227" s="73"/>
      <c r="BX227" s="345"/>
      <c r="BY227" s="73"/>
      <c r="BZ227" s="25"/>
      <c r="CA227" s="73"/>
      <c r="CB227" s="73"/>
      <c r="CC227" s="345"/>
      <c r="CD227" s="73"/>
      <c r="CE227" s="25"/>
      <c r="CF227" s="73"/>
      <c r="CG227" s="73"/>
      <c r="CH227" s="345"/>
      <c r="CI227" s="73"/>
      <c r="CJ227" s="25"/>
      <c r="CK227" s="73"/>
      <c r="CL227" s="73"/>
      <c r="CM227" s="345"/>
      <c r="CN227" s="73"/>
      <c r="CO227" s="25"/>
      <c r="CP227" s="73"/>
      <c r="CQ227" s="73"/>
      <c r="CR227" s="345"/>
      <c r="CS227" s="73"/>
      <c r="CT227" s="25"/>
      <c r="CU227" s="73"/>
      <c r="CV227" s="73"/>
      <c r="CW227" s="345"/>
      <c r="CX227" s="73"/>
      <c r="CY227" s="25"/>
      <c r="CZ227" s="73"/>
      <c r="DA227" s="73"/>
      <c r="DB227" s="345"/>
      <c r="DC227" s="73"/>
      <c r="DD227" s="25"/>
      <c r="DE227" s="73"/>
      <c r="DF227" s="73"/>
      <c r="DG227" s="345"/>
      <c r="DH227" s="73"/>
      <c r="DI227" s="25"/>
      <c r="DJ227" s="73"/>
      <c r="DK227" s="73"/>
      <c r="DL227" s="345"/>
      <c r="DM227" s="73"/>
      <c r="DN227" s="25"/>
      <c r="DO227" s="73"/>
      <c r="DP227" s="73"/>
      <c r="DQ227" s="345"/>
      <c r="DR227" s="73"/>
      <c r="DS227" s="25"/>
      <c r="DT227" s="73"/>
      <c r="DU227" s="73"/>
      <c r="DV227" s="345"/>
      <c r="DW227" s="73"/>
      <c r="DX227" s="25"/>
      <c r="DY227" s="73"/>
      <c r="DZ227" s="73"/>
      <c r="EA227" s="345"/>
      <c r="EB227" s="73"/>
      <c r="EC227" s="25"/>
      <c r="ED227" s="73"/>
      <c r="EE227" s="73"/>
      <c r="EF227" s="345"/>
      <c r="EG227" s="73"/>
      <c r="EH227" s="25"/>
      <c r="EI227" s="73"/>
      <c r="EJ227" s="73"/>
      <c r="EK227" s="345"/>
      <c r="EL227" s="73"/>
      <c r="EM227" s="25"/>
      <c r="EN227" s="73"/>
      <c r="EO227" s="73"/>
      <c r="EP227" s="345"/>
      <c r="EQ227" s="73"/>
      <c r="ER227" s="25"/>
      <c r="ES227" s="73"/>
      <c r="ET227" s="73"/>
      <c r="EU227" s="345"/>
      <c r="EV227" s="73"/>
      <c r="EW227" s="25"/>
      <c r="EX227" s="73"/>
      <c r="EY227" s="73"/>
      <c r="EZ227" s="345"/>
      <c r="FA227" s="73"/>
      <c r="FB227" s="25"/>
      <c r="FC227" s="73"/>
      <c r="FD227" s="73"/>
      <c r="FE227" s="345"/>
      <c r="FF227" s="73"/>
      <c r="FG227" s="25"/>
      <c r="FH227" s="73"/>
      <c r="FI227" s="73"/>
      <c r="FJ227" s="345"/>
      <c r="FK227" s="73"/>
      <c r="FL227" s="25"/>
      <c r="FM227" s="73"/>
      <c r="FN227" s="73"/>
      <c r="FO227" s="345"/>
      <c r="FP227" s="73"/>
      <c r="FQ227" s="25"/>
      <c r="FR227" s="73"/>
      <c r="FS227" s="73"/>
      <c r="FT227" s="345"/>
      <c r="FU227" s="73"/>
      <c r="FV227" s="25"/>
      <c r="FW227" s="73"/>
      <c r="FX227" s="73"/>
      <c r="FY227" s="345"/>
      <c r="FZ227" s="73"/>
      <c r="GA227" s="25"/>
      <c r="GB227" s="73"/>
      <c r="GC227" s="73"/>
      <c r="GD227" s="345"/>
      <c r="GE227" s="73"/>
      <c r="GF227" s="25"/>
      <c r="GG227" s="73"/>
      <c r="GH227" s="73"/>
      <c r="GI227" s="345"/>
      <c r="GJ227" s="73"/>
      <c r="GK227" s="25"/>
      <c r="GL227" s="73"/>
      <c r="GM227" s="73"/>
      <c r="GN227" s="345"/>
      <c r="GO227" s="73"/>
      <c r="GP227" s="25"/>
      <c r="GQ227" s="73"/>
      <c r="GR227" s="73"/>
      <c r="GS227" s="345"/>
      <c r="GT227" s="73"/>
      <c r="GU227" s="25"/>
      <c r="GV227" s="73"/>
      <c r="GW227" s="73"/>
      <c r="GX227" s="345"/>
      <c r="GY227" s="73"/>
      <c r="GZ227" s="25"/>
      <c r="HA227" s="73"/>
      <c r="HB227" s="73"/>
      <c r="HC227" s="345"/>
      <c r="HD227" s="73"/>
      <c r="HE227" s="25"/>
      <c r="HF227" s="73"/>
      <c r="HG227" s="73"/>
      <c r="HH227" s="345"/>
      <c r="HI227" s="73"/>
      <c r="HJ227" s="25"/>
      <c r="HK227" s="73"/>
      <c r="HL227" s="73"/>
      <c r="HM227" s="345"/>
      <c r="HN227" s="73"/>
      <c r="HO227" s="25"/>
      <c r="HP227" s="73"/>
      <c r="HQ227" s="73"/>
      <c r="HR227" s="345"/>
      <c r="HS227" s="73"/>
      <c r="HT227" s="25"/>
      <c r="HU227" s="73"/>
      <c r="HV227" s="73"/>
      <c r="HW227" s="345"/>
      <c r="HX227" s="73"/>
      <c r="HY227" s="25"/>
      <c r="HZ227" s="73"/>
      <c r="IA227" s="73"/>
      <c r="IB227" s="345"/>
      <c r="IC227" s="73"/>
      <c r="ID227" s="25"/>
      <c r="IE227" s="73"/>
      <c r="IF227" s="73"/>
      <c r="IG227" s="345"/>
      <c r="IH227" s="73"/>
      <c r="II227" s="25"/>
      <c r="IJ227" s="73"/>
      <c r="IK227" s="73"/>
      <c r="IL227" s="345"/>
      <c r="IM227" s="73"/>
      <c r="IN227" s="25"/>
      <c r="IO227" s="73"/>
      <c r="IP227" s="73"/>
      <c r="IQ227" s="345"/>
      <c r="IR227" s="73"/>
      <c r="IS227" s="25"/>
      <c r="IT227" s="73"/>
      <c r="IU227" s="73"/>
      <c r="IV227" s="345"/>
    </row>
    <row r="228" spans="1:256" x14ac:dyDescent="0.2">
      <c r="A228" s="345">
        <v>34454</v>
      </c>
      <c r="B228" s="73"/>
      <c r="C228" s="25"/>
      <c r="D228" s="73"/>
      <c r="E228" s="73"/>
      <c r="F228" s="345"/>
      <c r="G228" s="73"/>
      <c r="H228" s="25"/>
      <c r="I228" s="73"/>
      <c r="J228" s="73"/>
      <c r="K228" s="345"/>
      <c r="L228" s="73"/>
      <c r="M228" s="25"/>
      <c r="N228" s="73"/>
      <c r="O228" s="73"/>
      <c r="P228" s="345"/>
      <c r="Q228" s="73"/>
      <c r="R228" s="25"/>
      <c r="S228" s="73"/>
      <c r="T228" s="73"/>
      <c r="U228" s="345"/>
      <c r="V228" s="73"/>
      <c r="W228" s="25"/>
      <c r="X228" s="73"/>
      <c r="Y228" s="73"/>
      <c r="Z228" s="345"/>
      <c r="AA228" s="73"/>
      <c r="AB228" s="25"/>
      <c r="AC228" s="73"/>
      <c r="AD228" s="73"/>
      <c r="AE228" s="345"/>
      <c r="AF228" s="73"/>
      <c r="AG228" s="25"/>
      <c r="AH228" s="73"/>
      <c r="AI228" s="73"/>
      <c r="AJ228" s="345"/>
      <c r="AK228" s="73"/>
      <c r="AL228" s="25"/>
      <c r="AM228" s="73"/>
      <c r="AN228" s="73"/>
      <c r="AO228" s="345"/>
      <c r="AP228" s="73"/>
      <c r="AQ228" s="25"/>
      <c r="AR228" s="73"/>
      <c r="AS228" s="73"/>
      <c r="AT228" s="345"/>
      <c r="AU228" s="73"/>
      <c r="AV228" s="25"/>
      <c r="AW228" s="73"/>
      <c r="AX228" s="73"/>
      <c r="AY228" s="345"/>
      <c r="AZ228" s="73"/>
      <c r="BA228" s="25"/>
      <c r="BB228" s="73"/>
      <c r="BC228" s="73"/>
      <c r="BD228" s="345"/>
      <c r="BE228" s="73"/>
      <c r="BF228" s="25"/>
      <c r="BG228" s="73"/>
      <c r="BH228" s="73"/>
      <c r="BI228" s="345"/>
      <c r="BJ228" s="73"/>
      <c r="BK228" s="25"/>
      <c r="BL228" s="73"/>
      <c r="BM228" s="73"/>
      <c r="BN228" s="345"/>
      <c r="BO228" s="73"/>
      <c r="BP228" s="25"/>
      <c r="BQ228" s="73"/>
      <c r="BR228" s="73"/>
      <c r="BS228" s="345"/>
      <c r="BT228" s="73"/>
      <c r="BU228" s="25"/>
      <c r="BV228" s="73"/>
      <c r="BW228" s="73"/>
      <c r="BX228" s="345"/>
      <c r="BY228" s="73"/>
      <c r="BZ228" s="25"/>
      <c r="CA228" s="73"/>
      <c r="CB228" s="73"/>
      <c r="CC228" s="345"/>
      <c r="CD228" s="73"/>
      <c r="CE228" s="25"/>
      <c r="CF228" s="73"/>
      <c r="CG228" s="73"/>
      <c r="CH228" s="345"/>
      <c r="CI228" s="73"/>
      <c r="CJ228" s="25"/>
      <c r="CK228" s="73"/>
      <c r="CL228" s="73"/>
      <c r="CM228" s="345"/>
      <c r="CN228" s="73"/>
      <c r="CO228" s="25"/>
      <c r="CP228" s="73"/>
      <c r="CQ228" s="73"/>
      <c r="CR228" s="345"/>
      <c r="CS228" s="73"/>
      <c r="CT228" s="25"/>
      <c r="CU228" s="73"/>
      <c r="CV228" s="73"/>
      <c r="CW228" s="345"/>
      <c r="CX228" s="73"/>
      <c r="CY228" s="25"/>
      <c r="CZ228" s="73"/>
      <c r="DA228" s="73"/>
      <c r="DB228" s="345"/>
      <c r="DC228" s="73"/>
      <c r="DD228" s="25"/>
      <c r="DE228" s="73"/>
      <c r="DF228" s="73"/>
      <c r="DG228" s="345"/>
      <c r="DH228" s="73"/>
      <c r="DI228" s="25"/>
      <c r="DJ228" s="73"/>
      <c r="DK228" s="73"/>
      <c r="DL228" s="345"/>
      <c r="DM228" s="73"/>
      <c r="DN228" s="25"/>
      <c r="DO228" s="73"/>
      <c r="DP228" s="73"/>
      <c r="DQ228" s="345"/>
      <c r="DR228" s="73"/>
      <c r="DS228" s="25"/>
      <c r="DT228" s="73"/>
      <c r="DU228" s="73"/>
      <c r="DV228" s="345"/>
      <c r="DW228" s="73"/>
      <c r="DX228" s="25"/>
      <c r="DY228" s="73"/>
      <c r="DZ228" s="73"/>
      <c r="EA228" s="345"/>
      <c r="EB228" s="73"/>
      <c r="EC228" s="25"/>
      <c r="ED228" s="73"/>
      <c r="EE228" s="73"/>
      <c r="EF228" s="345"/>
      <c r="EG228" s="73"/>
      <c r="EH228" s="25"/>
      <c r="EI228" s="73"/>
      <c r="EJ228" s="73"/>
      <c r="EK228" s="345"/>
      <c r="EL228" s="73"/>
      <c r="EM228" s="25"/>
      <c r="EN228" s="73"/>
      <c r="EO228" s="73"/>
      <c r="EP228" s="345"/>
      <c r="EQ228" s="73"/>
      <c r="ER228" s="25"/>
      <c r="ES228" s="73"/>
      <c r="ET228" s="73"/>
      <c r="EU228" s="345"/>
      <c r="EV228" s="73"/>
      <c r="EW228" s="25"/>
      <c r="EX228" s="73"/>
      <c r="EY228" s="73"/>
      <c r="EZ228" s="345"/>
      <c r="FA228" s="73"/>
      <c r="FB228" s="25"/>
      <c r="FC228" s="73"/>
      <c r="FD228" s="73"/>
      <c r="FE228" s="345"/>
      <c r="FF228" s="73"/>
      <c r="FG228" s="25"/>
      <c r="FH228" s="73"/>
      <c r="FI228" s="73"/>
      <c r="FJ228" s="345"/>
      <c r="FK228" s="73"/>
      <c r="FL228" s="25"/>
      <c r="FM228" s="73"/>
      <c r="FN228" s="73"/>
      <c r="FO228" s="345"/>
      <c r="FP228" s="73"/>
      <c r="FQ228" s="25"/>
      <c r="FR228" s="73"/>
      <c r="FS228" s="73"/>
      <c r="FT228" s="345"/>
      <c r="FU228" s="73"/>
      <c r="FV228" s="25"/>
      <c r="FW228" s="73"/>
      <c r="FX228" s="73"/>
      <c r="FY228" s="345"/>
      <c r="FZ228" s="73"/>
      <c r="GA228" s="25"/>
      <c r="GB228" s="73"/>
      <c r="GC228" s="73"/>
      <c r="GD228" s="345"/>
      <c r="GE228" s="73"/>
      <c r="GF228" s="25"/>
      <c r="GG228" s="73"/>
      <c r="GH228" s="73"/>
      <c r="GI228" s="345"/>
      <c r="GJ228" s="73"/>
      <c r="GK228" s="25"/>
      <c r="GL228" s="73"/>
      <c r="GM228" s="73"/>
      <c r="GN228" s="345"/>
      <c r="GO228" s="73"/>
      <c r="GP228" s="25"/>
      <c r="GQ228" s="73"/>
      <c r="GR228" s="73"/>
      <c r="GS228" s="345"/>
      <c r="GT228" s="73"/>
      <c r="GU228" s="25"/>
      <c r="GV228" s="73"/>
      <c r="GW228" s="73"/>
      <c r="GX228" s="345"/>
      <c r="GY228" s="73"/>
      <c r="GZ228" s="25"/>
      <c r="HA228" s="73"/>
      <c r="HB228" s="73"/>
      <c r="HC228" s="345"/>
      <c r="HD228" s="73"/>
      <c r="HE228" s="25"/>
      <c r="HF228" s="73"/>
      <c r="HG228" s="73"/>
      <c r="HH228" s="345"/>
      <c r="HI228" s="73"/>
      <c r="HJ228" s="25"/>
      <c r="HK228" s="73"/>
      <c r="HL228" s="73"/>
      <c r="HM228" s="345"/>
      <c r="HN228" s="73"/>
      <c r="HO228" s="25"/>
      <c r="HP228" s="73"/>
      <c r="HQ228" s="73"/>
      <c r="HR228" s="345"/>
      <c r="HS228" s="73"/>
      <c r="HT228" s="25"/>
      <c r="HU228" s="73"/>
      <c r="HV228" s="73"/>
      <c r="HW228" s="345"/>
      <c r="HX228" s="73"/>
      <c r="HY228" s="25"/>
      <c r="HZ228" s="73"/>
      <c r="IA228" s="73"/>
      <c r="IB228" s="345"/>
      <c r="IC228" s="73"/>
      <c r="ID228" s="25"/>
      <c r="IE228" s="73"/>
      <c r="IF228" s="73"/>
      <c r="IG228" s="345"/>
      <c r="IH228" s="73"/>
      <c r="II228" s="25"/>
      <c r="IJ228" s="73"/>
      <c r="IK228" s="73"/>
      <c r="IL228" s="345"/>
      <c r="IM228" s="73"/>
      <c r="IN228" s="25"/>
      <c r="IO228" s="73"/>
      <c r="IP228" s="73"/>
      <c r="IQ228" s="345"/>
      <c r="IR228" s="73"/>
      <c r="IS228" s="25"/>
      <c r="IT228" s="73"/>
      <c r="IU228" s="73"/>
      <c r="IV228" s="345"/>
    </row>
    <row r="229" spans="1:256" x14ac:dyDescent="0.2">
      <c r="A229" s="345">
        <v>34485</v>
      </c>
      <c r="B229" s="73"/>
      <c r="C229" s="25"/>
      <c r="D229" s="73"/>
      <c r="E229" s="73"/>
      <c r="F229" s="345"/>
      <c r="G229" s="73"/>
      <c r="H229" s="25"/>
      <c r="I229" s="73"/>
      <c r="J229" s="73"/>
      <c r="K229" s="345"/>
      <c r="L229" s="73"/>
      <c r="M229" s="25"/>
      <c r="N229" s="73"/>
      <c r="O229" s="73"/>
      <c r="P229" s="345"/>
      <c r="Q229" s="73"/>
      <c r="R229" s="25"/>
      <c r="S229" s="73"/>
      <c r="T229" s="73"/>
      <c r="U229" s="345"/>
      <c r="V229" s="73"/>
      <c r="W229" s="25"/>
      <c r="X229" s="73"/>
      <c r="Y229" s="73"/>
      <c r="Z229" s="345"/>
      <c r="AA229" s="73"/>
      <c r="AB229" s="25"/>
      <c r="AC229" s="73"/>
      <c r="AD229" s="73"/>
      <c r="AE229" s="345"/>
      <c r="AF229" s="73"/>
      <c r="AG229" s="25"/>
      <c r="AH229" s="73"/>
      <c r="AI229" s="73"/>
      <c r="AJ229" s="345"/>
      <c r="AK229" s="73"/>
      <c r="AL229" s="25"/>
      <c r="AM229" s="73"/>
      <c r="AN229" s="73"/>
      <c r="AO229" s="345"/>
      <c r="AP229" s="73"/>
      <c r="AQ229" s="25"/>
      <c r="AR229" s="73"/>
      <c r="AS229" s="73"/>
      <c r="AT229" s="345"/>
      <c r="AU229" s="73"/>
      <c r="AV229" s="25"/>
      <c r="AW229" s="73"/>
      <c r="AX229" s="73"/>
      <c r="AY229" s="345"/>
      <c r="AZ229" s="73"/>
      <c r="BA229" s="25"/>
      <c r="BB229" s="73"/>
      <c r="BC229" s="73"/>
      <c r="BD229" s="345"/>
      <c r="BE229" s="73"/>
      <c r="BF229" s="25"/>
      <c r="BG229" s="73"/>
      <c r="BH229" s="73"/>
      <c r="BI229" s="345"/>
      <c r="BJ229" s="73"/>
      <c r="BK229" s="25"/>
      <c r="BL229" s="73"/>
      <c r="BM229" s="73"/>
      <c r="BN229" s="345"/>
      <c r="BO229" s="73"/>
      <c r="BP229" s="25"/>
      <c r="BQ229" s="73"/>
      <c r="BR229" s="73"/>
      <c r="BS229" s="345"/>
      <c r="BT229" s="73"/>
      <c r="BU229" s="25"/>
      <c r="BV229" s="73"/>
      <c r="BW229" s="73"/>
      <c r="BX229" s="345"/>
      <c r="BY229" s="73"/>
      <c r="BZ229" s="25"/>
      <c r="CA229" s="73"/>
      <c r="CB229" s="73"/>
      <c r="CC229" s="345"/>
      <c r="CD229" s="73"/>
      <c r="CE229" s="25"/>
      <c r="CF229" s="73"/>
      <c r="CG229" s="73"/>
      <c r="CH229" s="345"/>
      <c r="CI229" s="73"/>
      <c r="CJ229" s="25"/>
      <c r="CK229" s="73"/>
      <c r="CL229" s="73"/>
      <c r="CM229" s="345"/>
      <c r="CN229" s="73"/>
      <c r="CO229" s="25"/>
      <c r="CP229" s="73"/>
      <c r="CQ229" s="73"/>
      <c r="CR229" s="345"/>
      <c r="CS229" s="73"/>
      <c r="CT229" s="25"/>
      <c r="CU229" s="73"/>
      <c r="CV229" s="73"/>
      <c r="CW229" s="345"/>
      <c r="CX229" s="73"/>
      <c r="CY229" s="25"/>
      <c r="CZ229" s="73"/>
      <c r="DA229" s="73"/>
      <c r="DB229" s="345"/>
      <c r="DC229" s="73"/>
      <c r="DD229" s="25"/>
      <c r="DE229" s="73"/>
      <c r="DF229" s="73"/>
      <c r="DG229" s="345"/>
      <c r="DH229" s="73"/>
      <c r="DI229" s="25"/>
      <c r="DJ229" s="73"/>
      <c r="DK229" s="73"/>
      <c r="DL229" s="345"/>
      <c r="DM229" s="73"/>
      <c r="DN229" s="25"/>
      <c r="DO229" s="73"/>
      <c r="DP229" s="73"/>
      <c r="DQ229" s="345"/>
      <c r="DR229" s="73"/>
      <c r="DS229" s="25"/>
      <c r="DT229" s="73"/>
      <c r="DU229" s="73"/>
      <c r="DV229" s="345"/>
      <c r="DW229" s="73"/>
      <c r="DX229" s="25"/>
      <c r="DY229" s="73"/>
      <c r="DZ229" s="73"/>
      <c r="EA229" s="345"/>
      <c r="EB229" s="73"/>
      <c r="EC229" s="25"/>
      <c r="ED229" s="73"/>
      <c r="EE229" s="73"/>
      <c r="EF229" s="345"/>
      <c r="EG229" s="73"/>
      <c r="EH229" s="25"/>
      <c r="EI229" s="73"/>
      <c r="EJ229" s="73"/>
      <c r="EK229" s="345"/>
      <c r="EL229" s="73"/>
      <c r="EM229" s="25"/>
      <c r="EN229" s="73"/>
      <c r="EO229" s="73"/>
      <c r="EP229" s="345"/>
      <c r="EQ229" s="73"/>
      <c r="ER229" s="25"/>
      <c r="ES229" s="73"/>
      <c r="ET229" s="73"/>
      <c r="EU229" s="345"/>
      <c r="EV229" s="73"/>
      <c r="EW229" s="25"/>
      <c r="EX229" s="73"/>
      <c r="EY229" s="73"/>
      <c r="EZ229" s="345"/>
      <c r="FA229" s="73"/>
      <c r="FB229" s="25"/>
      <c r="FC229" s="73"/>
      <c r="FD229" s="73"/>
      <c r="FE229" s="345"/>
      <c r="FF229" s="73"/>
      <c r="FG229" s="25"/>
      <c r="FH229" s="73"/>
      <c r="FI229" s="73"/>
      <c r="FJ229" s="345"/>
      <c r="FK229" s="73"/>
      <c r="FL229" s="25"/>
      <c r="FM229" s="73"/>
      <c r="FN229" s="73"/>
      <c r="FO229" s="345"/>
      <c r="FP229" s="73"/>
      <c r="FQ229" s="25"/>
      <c r="FR229" s="73"/>
      <c r="FS229" s="73"/>
      <c r="FT229" s="345"/>
      <c r="FU229" s="73"/>
      <c r="FV229" s="25"/>
      <c r="FW229" s="73"/>
      <c r="FX229" s="73"/>
      <c r="FY229" s="345"/>
      <c r="FZ229" s="73"/>
      <c r="GA229" s="25"/>
      <c r="GB229" s="73"/>
      <c r="GC229" s="73"/>
      <c r="GD229" s="345"/>
      <c r="GE229" s="73"/>
      <c r="GF229" s="25"/>
      <c r="GG229" s="73"/>
      <c r="GH229" s="73"/>
      <c r="GI229" s="345"/>
      <c r="GJ229" s="73"/>
      <c r="GK229" s="25"/>
      <c r="GL229" s="73"/>
      <c r="GM229" s="73"/>
      <c r="GN229" s="345"/>
      <c r="GO229" s="73"/>
      <c r="GP229" s="25"/>
      <c r="GQ229" s="73"/>
      <c r="GR229" s="73"/>
      <c r="GS229" s="345"/>
      <c r="GT229" s="73"/>
      <c r="GU229" s="25"/>
      <c r="GV229" s="73"/>
      <c r="GW229" s="73"/>
      <c r="GX229" s="345"/>
      <c r="GY229" s="73"/>
      <c r="GZ229" s="25"/>
      <c r="HA229" s="73"/>
      <c r="HB229" s="73"/>
      <c r="HC229" s="345"/>
      <c r="HD229" s="73"/>
      <c r="HE229" s="25"/>
      <c r="HF229" s="73"/>
      <c r="HG229" s="73"/>
      <c r="HH229" s="345"/>
      <c r="HI229" s="73"/>
      <c r="HJ229" s="25"/>
      <c r="HK229" s="73"/>
      <c r="HL229" s="73"/>
      <c r="HM229" s="345"/>
      <c r="HN229" s="73"/>
      <c r="HO229" s="25"/>
      <c r="HP229" s="73"/>
      <c r="HQ229" s="73"/>
      <c r="HR229" s="345"/>
      <c r="HS229" s="73"/>
      <c r="HT229" s="25"/>
      <c r="HU229" s="73"/>
      <c r="HV229" s="73"/>
      <c r="HW229" s="345"/>
      <c r="HX229" s="73"/>
      <c r="HY229" s="25"/>
      <c r="HZ229" s="73"/>
      <c r="IA229" s="73"/>
      <c r="IB229" s="345"/>
      <c r="IC229" s="73"/>
      <c r="ID229" s="25"/>
      <c r="IE229" s="73"/>
      <c r="IF229" s="73"/>
      <c r="IG229" s="345"/>
      <c r="IH229" s="73"/>
      <c r="II229" s="25"/>
      <c r="IJ229" s="73"/>
      <c r="IK229" s="73"/>
      <c r="IL229" s="345"/>
      <c r="IM229" s="73"/>
      <c r="IN229" s="25"/>
      <c r="IO229" s="73"/>
      <c r="IP229" s="73"/>
      <c r="IQ229" s="345"/>
      <c r="IR229" s="73"/>
      <c r="IS229" s="25"/>
      <c r="IT229" s="73"/>
      <c r="IU229" s="73"/>
      <c r="IV229" s="345"/>
    </row>
    <row r="230" spans="1:256" x14ac:dyDescent="0.2">
      <c r="A230" s="345">
        <v>34515</v>
      </c>
      <c r="B230" s="73"/>
      <c r="C230" s="25"/>
      <c r="D230" s="73"/>
      <c r="E230" s="73"/>
      <c r="F230" s="345"/>
      <c r="G230" s="73"/>
      <c r="H230" s="25"/>
      <c r="I230" s="73"/>
      <c r="J230" s="73"/>
      <c r="K230" s="345"/>
      <c r="L230" s="73"/>
      <c r="M230" s="25"/>
      <c r="N230" s="73"/>
      <c r="O230" s="73"/>
      <c r="P230" s="345"/>
      <c r="Q230" s="73"/>
      <c r="R230" s="25"/>
      <c r="S230" s="73"/>
      <c r="T230" s="73"/>
      <c r="U230" s="345"/>
      <c r="V230" s="73"/>
      <c r="W230" s="25"/>
      <c r="X230" s="73"/>
      <c r="Y230" s="73"/>
      <c r="Z230" s="345"/>
      <c r="AA230" s="73"/>
      <c r="AB230" s="25"/>
      <c r="AC230" s="73"/>
      <c r="AD230" s="73"/>
      <c r="AE230" s="345"/>
      <c r="AF230" s="73"/>
      <c r="AG230" s="25"/>
      <c r="AH230" s="73"/>
      <c r="AI230" s="73"/>
      <c r="AJ230" s="345"/>
      <c r="AK230" s="73"/>
      <c r="AL230" s="25"/>
      <c r="AM230" s="73"/>
      <c r="AN230" s="73"/>
      <c r="AO230" s="345"/>
      <c r="AP230" s="73"/>
      <c r="AQ230" s="25"/>
      <c r="AR230" s="73"/>
      <c r="AS230" s="73"/>
      <c r="AT230" s="345"/>
      <c r="AU230" s="73"/>
      <c r="AV230" s="25"/>
      <c r="AW230" s="73"/>
      <c r="AX230" s="73"/>
      <c r="AY230" s="345"/>
      <c r="AZ230" s="73"/>
      <c r="BA230" s="25"/>
      <c r="BB230" s="73"/>
      <c r="BC230" s="73"/>
      <c r="BD230" s="345"/>
      <c r="BE230" s="73"/>
      <c r="BF230" s="25"/>
      <c r="BG230" s="73"/>
      <c r="BH230" s="73"/>
      <c r="BI230" s="345"/>
      <c r="BJ230" s="73"/>
      <c r="BK230" s="25"/>
      <c r="BL230" s="73"/>
      <c r="BM230" s="73"/>
      <c r="BN230" s="345"/>
      <c r="BO230" s="73"/>
      <c r="BP230" s="25"/>
      <c r="BQ230" s="73"/>
      <c r="BR230" s="73"/>
      <c r="BS230" s="345"/>
      <c r="BT230" s="73"/>
      <c r="BU230" s="25"/>
      <c r="BV230" s="73"/>
      <c r="BW230" s="73"/>
      <c r="BX230" s="345"/>
      <c r="BY230" s="73"/>
      <c r="BZ230" s="25"/>
      <c r="CA230" s="73"/>
      <c r="CB230" s="73"/>
      <c r="CC230" s="345"/>
      <c r="CD230" s="73"/>
      <c r="CE230" s="25"/>
      <c r="CF230" s="73"/>
      <c r="CG230" s="73"/>
      <c r="CH230" s="345"/>
      <c r="CI230" s="73"/>
      <c r="CJ230" s="25"/>
      <c r="CK230" s="73"/>
      <c r="CL230" s="73"/>
      <c r="CM230" s="345"/>
      <c r="CN230" s="73"/>
      <c r="CO230" s="25"/>
      <c r="CP230" s="73"/>
      <c r="CQ230" s="73"/>
      <c r="CR230" s="345"/>
      <c r="CS230" s="73"/>
      <c r="CT230" s="25"/>
      <c r="CU230" s="73"/>
      <c r="CV230" s="73"/>
      <c r="CW230" s="345"/>
      <c r="CX230" s="73"/>
      <c r="CY230" s="25"/>
      <c r="CZ230" s="73"/>
      <c r="DA230" s="73"/>
      <c r="DB230" s="345"/>
      <c r="DC230" s="73"/>
      <c r="DD230" s="25"/>
      <c r="DE230" s="73"/>
      <c r="DF230" s="73"/>
      <c r="DG230" s="345"/>
      <c r="DH230" s="73"/>
      <c r="DI230" s="25"/>
      <c r="DJ230" s="73"/>
      <c r="DK230" s="73"/>
      <c r="DL230" s="345"/>
      <c r="DM230" s="73"/>
      <c r="DN230" s="25"/>
      <c r="DO230" s="73"/>
      <c r="DP230" s="73"/>
      <c r="DQ230" s="345"/>
      <c r="DR230" s="73"/>
      <c r="DS230" s="25"/>
      <c r="DT230" s="73"/>
      <c r="DU230" s="73"/>
      <c r="DV230" s="345"/>
      <c r="DW230" s="73"/>
      <c r="DX230" s="25"/>
      <c r="DY230" s="73"/>
      <c r="DZ230" s="73"/>
      <c r="EA230" s="345"/>
      <c r="EB230" s="73"/>
      <c r="EC230" s="25"/>
      <c r="ED230" s="73"/>
      <c r="EE230" s="73"/>
      <c r="EF230" s="345"/>
      <c r="EG230" s="73"/>
      <c r="EH230" s="25"/>
      <c r="EI230" s="73"/>
      <c r="EJ230" s="73"/>
      <c r="EK230" s="345"/>
      <c r="EL230" s="73"/>
      <c r="EM230" s="25"/>
      <c r="EN230" s="73"/>
      <c r="EO230" s="73"/>
      <c r="EP230" s="345"/>
      <c r="EQ230" s="73"/>
      <c r="ER230" s="25"/>
      <c r="ES230" s="73"/>
      <c r="ET230" s="73"/>
      <c r="EU230" s="345"/>
      <c r="EV230" s="73"/>
      <c r="EW230" s="25"/>
      <c r="EX230" s="73"/>
      <c r="EY230" s="73"/>
      <c r="EZ230" s="345"/>
      <c r="FA230" s="73"/>
      <c r="FB230" s="25"/>
      <c r="FC230" s="73"/>
      <c r="FD230" s="73"/>
      <c r="FE230" s="345"/>
      <c r="FF230" s="73"/>
      <c r="FG230" s="25"/>
      <c r="FH230" s="73"/>
      <c r="FI230" s="73"/>
      <c r="FJ230" s="345"/>
      <c r="FK230" s="73"/>
      <c r="FL230" s="25"/>
      <c r="FM230" s="73"/>
      <c r="FN230" s="73"/>
      <c r="FO230" s="345"/>
      <c r="FP230" s="73"/>
      <c r="FQ230" s="25"/>
      <c r="FR230" s="73"/>
      <c r="FS230" s="73"/>
      <c r="FT230" s="345"/>
      <c r="FU230" s="73"/>
      <c r="FV230" s="25"/>
      <c r="FW230" s="73"/>
      <c r="FX230" s="73"/>
      <c r="FY230" s="345"/>
      <c r="FZ230" s="73"/>
      <c r="GA230" s="25"/>
      <c r="GB230" s="73"/>
      <c r="GC230" s="73"/>
      <c r="GD230" s="345"/>
      <c r="GE230" s="73"/>
      <c r="GF230" s="25"/>
      <c r="GG230" s="73"/>
      <c r="GH230" s="73"/>
      <c r="GI230" s="345"/>
      <c r="GJ230" s="73"/>
      <c r="GK230" s="25"/>
      <c r="GL230" s="73"/>
      <c r="GM230" s="73"/>
      <c r="GN230" s="345"/>
      <c r="GO230" s="73"/>
      <c r="GP230" s="25"/>
      <c r="GQ230" s="73"/>
      <c r="GR230" s="73"/>
      <c r="GS230" s="345"/>
      <c r="GT230" s="73"/>
      <c r="GU230" s="25"/>
      <c r="GV230" s="73"/>
      <c r="GW230" s="73"/>
      <c r="GX230" s="345"/>
      <c r="GY230" s="73"/>
      <c r="GZ230" s="25"/>
      <c r="HA230" s="73"/>
      <c r="HB230" s="73"/>
      <c r="HC230" s="345"/>
      <c r="HD230" s="73"/>
      <c r="HE230" s="25"/>
      <c r="HF230" s="73"/>
      <c r="HG230" s="73"/>
      <c r="HH230" s="345"/>
      <c r="HI230" s="73"/>
      <c r="HJ230" s="25"/>
      <c r="HK230" s="73"/>
      <c r="HL230" s="73"/>
      <c r="HM230" s="345"/>
      <c r="HN230" s="73"/>
      <c r="HO230" s="25"/>
      <c r="HP230" s="73"/>
      <c r="HQ230" s="73"/>
      <c r="HR230" s="345"/>
      <c r="HS230" s="73"/>
      <c r="HT230" s="25"/>
      <c r="HU230" s="73"/>
      <c r="HV230" s="73"/>
      <c r="HW230" s="345"/>
      <c r="HX230" s="73"/>
      <c r="HY230" s="25"/>
      <c r="HZ230" s="73"/>
      <c r="IA230" s="73"/>
      <c r="IB230" s="345"/>
      <c r="IC230" s="73"/>
      <c r="ID230" s="25"/>
      <c r="IE230" s="73"/>
      <c r="IF230" s="73"/>
      <c r="IG230" s="345"/>
      <c r="IH230" s="73"/>
      <c r="II230" s="25"/>
      <c r="IJ230" s="73"/>
      <c r="IK230" s="73"/>
      <c r="IL230" s="345"/>
      <c r="IM230" s="73"/>
      <c r="IN230" s="25"/>
      <c r="IO230" s="73"/>
      <c r="IP230" s="73"/>
      <c r="IQ230" s="345"/>
      <c r="IR230" s="73"/>
      <c r="IS230" s="25"/>
      <c r="IT230" s="73"/>
      <c r="IU230" s="73"/>
      <c r="IV230" s="345"/>
    </row>
    <row r="231" spans="1:256" x14ac:dyDescent="0.2">
      <c r="A231" s="345">
        <v>34546</v>
      </c>
      <c r="B231" s="73"/>
      <c r="C231" s="25"/>
      <c r="D231" s="73"/>
      <c r="E231" s="73"/>
      <c r="F231" s="345"/>
      <c r="G231" s="73"/>
      <c r="H231" s="25"/>
      <c r="I231" s="73"/>
      <c r="J231" s="73"/>
      <c r="K231" s="345"/>
      <c r="L231" s="73"/>
      <c r="M231" s="25"/>
      <c r="N231" s="73"/>
      <c r="O231" s="73"/>
      <c r="P231" s="345"/>
      <c r="Q231" s="73"/>
      <c r="R231" s="25"/>
      <c r="S231" s="73"/>
      <c r="T231" s="73"/>
      <c r="U231" s="345"/>
      <c r="V231" s="73"/>
      <c r="W231" s="25"/>
      <c r="X231" s="73"/>
      <c r="Y231" s="73"/>
      <c r="Z231" s="345"/>
      <c r="AA231" s="73"/>
      <c r="AB231" s="25"/>
      <c r="AC231" s="73"/>
      <c r="AD231" s="73"/>
      <c r="AE231" s="345"/>
      <c r="AF231" s="73"/>
      <c r="AG231" s="25"/>
      <c r="AH231" s="73"/>
      <c r="AI231" s="73"/>
      <c r="AJ231" s="345"/>
      <c r="AK231" s="73"/>
      <c r="AL231" s="25"/>
      <c r="AM231" s="73"/>
      <c r="AN231" s="73"/>
      <c r="AO231" s="345"/>
      <c r="AP231" s="73"/>
      <c r="AQ231" s="25"/>
      <c r="AR231" s="73"/>
      <c r="AS231" s="73"/>
      <c r="AT231" s="345"/>
      <c r="AU231" s="73"/>
      <c r="AV231" s="25"/>
      <c r="AW231" s="73"/>
      <c r="AX231" s="73"/>
      <c r="AY231" s="345"/>
      <c r="AZ231" s="73"/>
      <c r="BA231" s="25"/>
      <c r="BB231" s="73"/>
      <c r="BC231" s="73"/>
      <c r="BD231" s="345"/>
      <c r="BE231" s="73"/>
      <c r="BF231" s="25"/>
      <c r="BG231" s="73"/>
      <c r="BH231" s="73"/>
      <c r="BI231" s="345"/>
      <c r="BJ231" s="73"/>
      <c r="BK231" s="25"/>
      <c r="BL231" s="73"/>
      <c r="BM231" s="73"/>
      <c r="BN231" s="345"/>
      <c r="BO231" s="73"/>
      <c r="BP231" s="25"/>
      <c r="BQ231" s="73"/>
      <c r="BR231" s="73"/>
      <c r="BS231" s="345"/>
      <c r="BT231" s="73"/>
      <c r="BU231" s="25"/>
      <c r="BV231" s="73"/>
      <c r="BW231" s="73"/>
      <c r="BX231" s="345"/>
      <c r="BY231" s="73"/>
      <c r="BZ231" s="25"/>
      <c r="CA231" s="73"/>
      <c r="CB231" s="73"/>
      <c r="CC231" s="345"/>
      <c r="CD231" s="73"/>
      <c r="CE231" s="25"/>
      <c r="CF231" s="73"/>
      <c r="CG231" s="73"/>
      <c r="CH231" s="345"/>
      <c r="CI231" s="73"/>
      <c r="CJ231" s="25"/>
      <c r="CK231" s="73"/>
      <c r="CL231" s="73"/>
      <c r="CM231" s="345"/>
      <c r="CN231" s="73"/>
      <c r="CO231" s="25"/>
      <c r="CP231" s="73"/>
      <c r="CQ231" s="73"/>
      <c r="CR231" s="345"/>
      <c r="CS231" s="73"/>
      <c r="CT231" s="25"/>
      <c r="CU231" s="73"/>
      <c r="CV231" s="73"/>
      <c r="CW231" s="345"/>
      <c r="CX231" s="73"/>
      <c r="CY231" s="25"/>
      <c r="CZ231" s="73"/>
      <c r="DA231" s="73"/>
      <c r="DB231" s="345"/>
      <c r="DC231" s="73"/>
      <c r="DD231" s="25"/>
      <c r="DE231" s="73"/>
      <c r="DF231" s="73"/>
      <c r="DG231" s="345"/>
      <c r="DH231" s="73"/>
      <c r="DI231" s="25"/>
      <c r="DJ231" s="73"/>
      <c r="DK231" s="73"/>
      <c r="DL231" s="345"/>
      <c r="DM231" s="73"/>
      <c r="DN231" s="25"/>
      <c r="DO231" s="73"/>
      <c r="DP231" s="73"/>
      <c r="DQ231" s="345"/>
      <c r="DR231" s="73"/>
      <c r="DS231" s="25"/>
      <c r="DT231" s="73"/>
      <c r="DU231" s="73"/>
      <c r="DV231" s="345"/>
      <c r="DW231" s="73"/>
      <c r="DX231" s="25"/>
      <c r="DY231" s="73"/>
      <c r="DZ231" s="73"/>
      <c r="EA231" s="345"/>
      <c r="EB231" s="73"/>
      <c r="EC231" s="25"/>
      <c r="ED231" s="73"/>
      <c r="EE231" s="73"/>
      <c r="EF231" s="345"/>
      <c r="EG231" s="73"/>
      <c r="EH231" s="25"/>
      <c r="EI231" s="73"/>
      <c r="EJ231" s="73"/>
      <c r="EK231" s="345"/>
      <c r="EL231" s="73"/>
      <c r="EM231" s="25"/>
      <c r="EN231" s="73"/>
      <c r="EO231" s="73"/>
      <c r="EP231" s="345"/>
      <c r="EQ231" s="73"/>
      <c r="ER231" s="25"/>
      <c r="ES231" s="73"/>
      <c r="ET231" s="73"/>
      <c r="EU231" s="345"/>
      <c r="EV231" s="73"/>
      <c r="EW231" s="25"/>
      <c r="EX231" s="73"/>
      <c r="EY231" s="73"/>
      <c r="EZ231" s="345"/>
      <c r="FA231" s="73"/>
      <c r="FB231" s="25"/>
      <c r="FC231" s="73"/>
      <c r="FD231" s="73"/>
      <c r="FE231" s="345"/>
      <c r="FF231" s="73"/>
      <c r="FG231" s="25"/>
      <c r="FH231" s="73"/>
      <c r="FI231" s="73"/>
      <c r="FJ231" s="345"/>
      <c r="FK231" s="73"/>
      <c r="FL231" s="25"/>
      <c r="FM231" s="73"/>
      <c r="FN231" s="73"/>
      <c r="FO231" s="345"/>
      <c r="FP231" s="73"/>
      <c r="FQ231" s="25"/>
      <c r="FR231" s="73"/>
      <c r="FS231" s="73"/>
      <c r="FT231" s="345"/>
      <c r="FU231" s="73"/>
      <c r="FV231" s="25"/>
      <c r="FW231" s="73"/>
      <c r="FX231" s="73"/>
      <c r="FY231" s="345"/>
      <c r="FZ231" s="73"/>
      <c r="GA231" s="25"/>
      <c r="GB231" s="73"/>
      <c r="GC231" s="73"/>
      <c r="GD231" s="345"/>
      <c r="GE231" s="73"/>
      <c r="GF231" s="25"/>
      <c r="GG231" s="73"/>
      <c r="GH231" s="73"/>
      <c r="GI231" s="345"/>
      <c r="GJ231" s="73"/>
      <c r="GK231" s="25"/>
      <c r="GL231" s="73"/>
      <c r="GM231" s="73"/>
      <c r="GN231" s="345"/>
      <c r="GO231" s="73"/>
      <c r="GP231" s="25"/>
      <c r="GQ231" s="73"/>
      <c r="GR231" s="73"/>
      <c r="GS231" s="345"/>
      <c r="GT231" s="73"/>
      <c r="GU231" s="25"/>
      <c r="GV231" s="73"/>
      <c r="GW231" s="73"/>
      <c r="GX231" s="345"/>
      <c r="GY231" s="73"/>
      <c r="GZ231" s="25"/>
      <c r="HA231" s="73"/>
      <c r="HB231" s="73"/>
      <c r="HC231" s="345"/>
      <c r="HD231" s="73"/>
      <c r="HE231" s="25"/>
      <c r="HF231" s="73"/>
      <c r="HG231" s="73"/>
      <c r="HH231" s="345"/>
      <c r="HI231" s="73"/>
      <c r="HJ231" s="25"/>
      <c r="HK231" s="73"/>
      <c r="HL231" s="73"/>
      <c r="HM231" s="345"/>
      <c r="HN231" s="73"/>
      <c r="HO231" s="25"/>
      <c r="HP231" s="73"/>
      <c r="HQ231" s="73"/>
      <c r="HR231" s="345"/>
      <c r="HS231" s="73"/>
      <c r="HT231" s="25"/>
      <c r="HU231" s="73"/>
      <c r="HV231" s="73"/>
      <c r="HW231" s="345"/>
      <c r="HX231" s="73"/>
      <c r="HY231" s="25"/>
      <c r="HZ231" s="73"/>
      <c r="IA231" s="73"/>
      <c r="IB231" s="345"/>
      <c r="IC231" s="73"/>
      <c r="ID231" s="25"/>
      <c r="IE231" s="73"/>
      <c r="IF231" s="73"/>
      <c r="IG231" s="345"/>
      <c r="IH231" s="73"/>
      <c r="II231" s="25"/>
      <c r="IJ231" s="73"/>
      <c r="IK231" s="73"/>
      <c r="IL231" s="345"/>
      <c r="IM231" s="73"/>
      <c r="IN231" s="25"/>
      <c r="IO231" s="73"/>
      <c r="IP231" s="73"/>
      <c r="IQ231" s="345"/>
      <c r="IR231" s="73"/>
      <c r="IS231" s="25"/>
      <c r="IT231" s="73"/>
      <c r="IU231" s="73"/>
      <c r="IV231" s="345"/>
    </row>
    <row r="232" spans="1:256" x14ac:dyDescent="0.2">
      <c r="A232" s="345">
        <v>34577</v>
      </c>
      <c r="B232" s="73"/>
      <c r="C232" s="25"/>
      <c r="D232" s="73"/>
      <c r="E232" s="73"/>
      <c r="F232" s="345"/>
      <c r="G232" s="73"/>
      <c r="H232" s="25"/>
      <c r="I232" s="73"/>
      <c r="J232" s="73"/>
      <c r="K232" s="345"/>
      <c r="L232" s="73"/>
      <c r="M232" s="25"/>
      <c r="N232" s="73"/>
      <c r="O232" s="73"/>
      <c r="P232" s="345"/>
      <c r="Q232" s="73"/>
      <c r="R232" s="25"/>
      <c r="S232" s="73"/>
      <c r="T232" s="73"/>
      <c r="U232" s="345"/>
      <c r="V232" s="73"/>
      <c r="W232" s="25"/>
      <c r="X232" s="73"/>
      <c r="Y232" s="73"/>
      <c r="Z232" s="345"/>
      <c r="AA232" s="73"/>
      <c r="AB232" s="25"/>
      <c r="AC232" s="73"/>
      <c r="AD232" s="73"/>
      <c r="AE232" s="345"/>
      <c r="AF232" s="73"/>
      <c r="AG232" s="25"/>
      <c r="AH232" s="73"/>
      <c r="AI232" s="73"/>
      <c r="AJ232" s="345"/>
      <c r="AK232" s="73"/>
      <c r="AL232" s="25"/>
      <c r="AM232" s="73"/>
      <c r="AN232" s="73"/>
      <c r="AO232" s="345"/>
      <c r="AP232" s="73"/>
      <c r="AQ232" s="25"/>
      <c r="AR232" s="73"/>
      <c r="AS232" s="73"/>
      <c r="AT232" s="345"/>
      <c r="AU232" s="73"/>
      <c r="AV232" s="25"/>
      <c r="AW232" s="73"/>
      <c r="AX232" s="73"/>
      <c r="AY232" s="345"/>
      <c r="AZ232" s="73"/>
      <c r="BA232" s="25"/>
      <c r="BB232" s="73"/>
      <c r="BC232" s="73"/>
      <c r="BD232" s="345"/>
      <c r="BE232" s="73"/>
      <c r="BF232" s="25"/>
      <c r="BG232" s="73"/>
      <c r="BH232" s="73"/>
      <c r="BI232" s="345"/>
      <c r="BJ232" s="73"/>
      <c r="BK232" s="25"/>
      <c r="BL232" s="73"/>
      <c r="BM232" s="73"/>
      <c r="BN232" s="345"/>
      <c r="BO232" s="73"/>
      <c r="BP232" s="25"/>
      <c r="BQ232" s="73"/>
      <c r="BR232" s="73"/>
      <c r="BS232" s="345"/>
      <c r="BT232" s="73"/>
      <c r="BU232" s="25"/>
      <c r="BV232" s="73"/>
      <c r="BW232" s="73"/>
      <c r="BX232" s="345"/>
      <c r="BY232" s="73"/>
      <c r="BZ232" s="25"/>
      <c r="CA232" s="73"/>
      <c r="CB232" s="73"/>
      <c r="CC232" s="345"/>
      <c r="CD232" s="73"/>
      <c r="CE232" s="25"/>
      <c r="CF232" s="73"/>
      <c r="CG232" s="73"/>
      <c r="CH232" s="345"/>
      <c r="CI232" s="73"/>
      <c r="CJ232" s="25"/>
      <c r="CK232" s="73"/>
      <c r="CL232" s="73"/>
      <c r="CM232" s="345"/>
      <c r="CN232" s="73"/>
      <c r="CO232" s="25"/>
      <c r="CP232" s="73"/>
      <c r="CQ232" s="73"/>
      <c r="CR232" s="345"/>
      <c r="CS232" s="73"/>
      <c r="CT232" s="25"/>
      <c r="CU232" s="73"/>
      <c r="CV232" s="73"/>
      <c r="CW232" s="345"/>
      <c r="CX232" s="73"/>
      <c r="CY232" s="25"/>
      <c r="CZ232" s="73"/>
      <c r="DA232" s="73"/>
      <c r="DB232" s="345"/>
      <c r="DC232" s="73"/>
      <c r="DD232" s="25"/>
      <c r="DE232" s="73"/>
      <c r="DF232" s="73"/>
      <c r="DG232" s="345"/>
      <c r="DH232" s="73"/>
      <c r="DI232" s="25"/>
      <c r="DJ232" s="73"/>
      <c r="DK232" s="73"/>
      <c r="DL232" s="345"/>
      <c r="DM232" s="73"/>
      <c r="DN232" s="25"/>
      <c r="DO232" s="73"/>
      <c r="DP232" s="73"/>
      <c r="DQ232" s="345"/>
      <c r="DR232" s="73"/>
      <c r="DS232" s="25"/>
      <c r="DT232" s="73"/>
      <c r="DU232" s="73"/>
      <c r="DV232" s="345"/>
      <c r="DW232" s="73"/>
      <c r="DX232" s="25"/>
      <c r="DY232" s="73"/>
      <c r="DZ232" s="73"/>
      <c r="EA232" s="345"/>
      <c r="EB232" s="73"/>
      <c r="EC232" s="25"/>
      <c r="ED232" s="73"/>
      <c r="EE232" s="73"/>
      <c r="EF232" s="345"/>
      <c r="EG232" s="73"/>
      <c r="EH232" s="25"/>
      <c r="EI232" s="73"/>
      <c r="EJ232" s="73"/>
      <c r="EK232" s="345"/>
      <c r="EL232" s="73"/>
      <c r="EM232" s="25"/>
      <c r="EN232" s="73"/>
      <c r="EO232" s="73"/>
      <c r="EP232" s="345"/>
      <c r="EQ232" s="73"/>
      <c r="ER232" s="25"/>
      <c r="ES232" s="73"/>
      <c r="ET232" s="73"/>
      <c r="EU232" s="345"/>
      <c r="EV232" s="73"/>
      <c r="EW232" s="25"/>
      <c r="EX232" s="73"/>
      <c r="EY232" s="73"/>
      <c r="EZ232" s="345"/>
      <c r="FA232" s="73"/>
      <c r="FB232" s="25"/>
      <c r="FC232" s="73"/>
      <c r="FD232" s="73"/>
      <c r="FE232" s="345"/>
      <c r="FF232" s="73"/>
      <c r="FG232" s="25"/>
      <c r="FH232" s="73"/>
      <c r="FI232" s="73"/>
      <c r="FJ232" s="345"/>
      <c r="FK232" s="73"/>
      <c r="FL232" s="25"/>
      <c r="FM232" s="73"/>
      <c r="FN232" s="73"/>
      <c r="FO232" s="345"/>
      <c r="FP232" s="73"/>
      <c r="FQ232" s="25"/>
      <c r="FR232" s="73"/>
      <c r="FS232" s="73"/>
      <c r="FT232" s="345"/>
      <c r="FU232" s="73"/>
      <c r="FV232" s="25"/>
      <c r="FW232" s="73"/>
      <c r="FX232" s="73"/>
      <c r="FY232" s="345"/>
      <c r="FZ232" s="73"/>
      <c r="GA232" s="25"/>
      <c r="GB232" s="73"/>
      <c r="GC232" s="73"/>
      <c r="GD232" s="345"/>
      <c r="GE232" s="73"/>
      <c r="GF232" s="25"/>
      <c r="GG232" s="73"/>
      <c r="GH232" s="73"/>
      <c r="GI232" s="345"/>
      <c r="GJ232" s="73"/>
      <c r="GK232" s="25"/>
      <c r="GL232" s="73"/>
      <c r="GM232" s="73"/>
      <c r="GN232" s="345"/>
      <c r="GO232" s="73"/>
      <c r="GP232" s="25"/>
      <c r="GQ232" s="73"/>
      <c r="GR232" s="73"/>
      <c r="GS232" s="345"/>
      <c r="GT232" s="73"/>
      <c r="GU232" s="25"/>
      <c r="GV232" s="73"/>
      <c r="GW232" s="73"/>
      <c r="GX232" s="345"/>
      <c r="GY232" s="73"/>
      <c r="GZ232" s="25"/>
      <c r="HA232" s="73"/>
      <c r="HB232" s="73"/>
      <c r="HC232" s="345"/>
      <c r="HD232" s="73"/>
      <c r="HE232" s="25"/>
      <c r="HF232" s="73"/>
      <c r="HG232" s="73"/>
      <c r="HH232" s="345"/>
      <c r="HI232" s="73"/>
      <c r="HJ232" s="25"/>
      <c r="HK232" s="73"/>
      <c r="HL232" s="73"/>
      <c r="HM232" s="345"/>
      <c r="HN232" s="73"/>
      <c r="HO232" s="25"/>
      <c r="HP232" s="73"/>
      <c r="HQ232" s="73"/>
      <c r="HR232" s="345"/>
      <c r="HS232" s="73"/>
      <c r="HT232" s="25"/>
      <c r="HU232" s="73"/>
      <c r="HV232" s="73"/>
      <c r="HW232" s="345"/>
      <c r="HX232" s="73"/>
      <c r="HY232" s="25"/>
      <c r="HZ232" s="73"/>
      <c r="IA232" s="73"/>
      <c r="IB232" s="345"/>
      <c r="IC232" s="73"/>
      <c r="ID232" s="25"/>
      <c r="IE232" s="73"/>
      <c r="IF232" s="73"/>
      <c r="IG232" s="345"/>
      <c r="IH232" s="73"/>
      <c r="II232" s="25"/>
      <c r="IJ232" s="73"/>
      <c r="IK232" s="73"/>
      <c r="IL232" s="345"/>
      <c r="IM232" s="73"/>
      <c r="IN232" s="25"/>
      <c r="IO232" s="73"/>
      <c r="IP232" s="73"/>
      <c r="IQ232" s="345"/>
      <c r="IR232" s="73"/>
      <c r="IS232" s="25"/>
      <c r="IT232" s="73"/>
      <c r="IU232" s="73"/>
      <c r="IV232" s="345"/>
    </row>
    <row r="233" spans="1:256" x14ac:dyDescent="0.2">
      <c r="A233" s="345">
        <v>34607</v>
      </c>
      <c r="B233" s="73"/>
      <c r="C233" s="25"/>
      <c r="D233" s="73"/>
      <c r="E233" s="73"/>
      <c r="F233" s="345"/>
      <c r="G233" s="73"/>
      <c r="H233" s="25"/>
      <c r="I233" s="73"/>
      <c r="J233" s="73"/>
      <c r="K233" s="345"/>
      <c r="L233" s="73"/>
      <c r="M233" s="25"/>
      <c r="N233" s="73"/>
      <c r="O233" s="73"/>
      <c r="P233" s="345"/>
      <c r="Q233" s="73"/>
      <c r="R233" s="25"/>
      <c r="S233" s="73"/>
      <c r="T233" s="73"/>
      <c r="U233" s="345"/>
      <c r="V233" s="73"/>
      <c r="W233" s="25"/>
      <c r="X233" s="73"/>
      <c r="Y233" s="73"/>
      <c r="Z233" s="345"/>
      <c r="AA233" s="73"/>
      <c r="AB233" s="25"/>
      <c r="AC233" s="73"/>
      <c r="AD233" s="73"/>
      <c r="AE233" s="345"/>
      <c r="AF233" s="73"/>
      <c r="AG233" s="25"/>
      <c r="AH233" s="73"/>
      <c r="AI233" s="73"/>
      <c r="AJ233" s="345"/>
      <c r="AK233" s="73"/>
      <c r="AL233" s="25"/>
      <c r="AM233" s="73"/>
      <c r="AN233" s="73"/>
      <c r="AO233" s="345"/>
      <c r="AP233" s="73"/>
      <c r="AQ233" s="25"/>
      <c r="AR233" s="73"/>
      <c r="AS233" s="73"/>
      <c r="AT233" s="345"/>
      <c r="AU233" s="73"/>
      <c r="AV233" s="25"/>
      <c r="AW233" s="73"/>
      <c r="AX233" s="73"/>
      <c r="AY233" s="345"/>
      <c r="AZ233" s="73"/>
      <c r="BA233" s="25"/>
      <c r="BB233" s="73"/>
      <c r="BC233" s="73"/>
      <c r="BD233" s="345"/>
      <c r="BE233" s="73"/>
      <c r="BF233" s="25"/>
      <c r="BG233" s="73"/>
      <c r="BH233" s="73"/>
      <c r="BI233" s="345"/>
      <c r="BJ233" s="73"/>
      <c r="BK233" s="25"/>
      <c r="BL233" s="73"/>
      <c r="BM233" s="73"/>
      <c r="BN233" s="345"/>
      <c r="BO233" s="73"/>
      <c r="BP233" s="25"/>
      <c r="BQ233" s="73"/>
      <c r="BR233" s="73"/>
      <c r="BS233" s="345"/>
      <c r="BT233" s="73"/>
      <c r="BU233" s="25"/>
      <c r="BV233" s="73"/>
      <c r="BW233" s="73"/>
      <c r="BX233" s="345"/>
      <c r="BY233" s="73"/>
      <c r="BZ233" s="25"/>
      <c r="CA233" s="73"/>
      <c r="CB233" s="73"/>
      <c r="CC233" s="345"/>
      <c r="CD233" s="73"/>
      <c r="CE233" s="25"/>
      <c r="CF233" s="73"/>
      <c r="CG233" s="73"/>
      <c r="CH233" s="345"/>
      <c r="CI233" s="73"/>
      <c r="CJ233" s="25"/>
      <c r="CK233" s="73"/>
      <c r="CL233" s="73"/>
      <c r="CM233" s="345"/>
      <c r="CN233" s="73"/>
      <c r="CO233" s="25"/>
      <c r="CP233" s="73"/>
      <c r="CQ233" s="73"/>
      <c r="CR233" s="345"/>
      <c r="CS233" s="73"/>
      <c r="CT233" s="25"/>
      <c r="CU233" s="73"/>
      <c r="CV233" s="73"/>
      <c r="CW233" s="345"/>
      <c r="CX233" s="73"/>
      <c r="CY233" s="25"/>
      <c r="CZ233" s="73"/>
      <c r="DA233" s="73"/>
      <c r="DB233" s="345"/>
      <c r="DC233" s="73"/>
      <c r="DD233" s="25"/>
      <c r="DE233" s="73"/>
      <c r="DF233" s="73"/>
      <c r="DG233" s="345"/>
      <c r="DH233" s="73"/>
      <c r="DI233" s="25"/>
      <c r="DJ233" s="73"/>
      <c r="DK233" s="73"/>
      <c r="DL233" s="345"/>
      <c r="DM233" s="73"/>
      <c r="DN233" s="25"/>
      <c r="DO233" s="73"/>
      <c r="DP233" s="73"/>
      <c r="DQ233" s="345"/>
      <c r="DR233" s="73"/>
      <c r="DS233" s="25"/>
      <c r="DT233" s="73"/>
      <c r="DU233" s="73"/>
      <c r="DV233" s="345"/>
      <c r="DW233" s="73"/>
      <c r="DX233" s="25"/>
      <c r="DY233" s="73"/>
      <c r="DZ233" s="73"/>
      <c r="EA233" s="345"/>
      <c r="EB233" s="73"/>
      <c r="EC233" s="25"/>
      <c r="ED233" s="73"/>
      <c r="EE233" s="73"/>
      <c r="EF233" s="345"/>
      <c r="EG233" s="73"/>
      <c r="EH233" s="25"/>
      <c r="EI233" s="73"/>
      <c r="EJ233" s="73"/>
      <c r="EK233" s="345"/>
      <c r="EL233" s="73"/>
      <c r="EM233" s="25"/>
      <c r="EN233" s="73"/>
      <c r="EO233" s="73"/>
      <c r="EP233" s="345"/>
      <c r="EQ233" s="73"/>
      <c r="ER233" s="25"/>
      <c r="ES233" s="73"/>
      <c r="ET233" s="73"/>
      <c r="EU233" s="345"/>
      <c r="EV233" s="73"/>
      <c r="EW233" s="25"/>
      <c r="EX233" s="73"/>
      <c r="EY233" s="73"/>
      <c r="EZ233" s="345"/>
      <c r="FA233" s="73"/>
      <c r="FB233" s="25"/>
      <c r="FC233" s="73"/>
      <c r="FD233" s="73"/>
      <c r="FE233" s="345"/>
      <c r="FF233" s="73"/>
      <c r="FG233" s="25"/>
      <c r="FH233" s="73"/>
      <c r="FI233" s="73"/>
      <c r="FJ233" s="345"/>
      <c r="FK233" s="73"/>
      <c r="FL233" s="25"/>
      <c r="FM233" s="73"/>
      <c r="FN233" s="73"/>
      <c r="FO233" s="345"/>
      <c r="FP233" s="73"/>
      <c r="FQ233" s="25"/>
      <c r="FR233" s="73"/>
      <c r="FS233" s="73"/>
      <c r="FT233" s="345"/>
      <c r="FU233" s="73"/>
      <c r="FV233" s="25"/>
      <c r="FW233" s="73"/>
      <c r="FX233" s="73"/>
      <c r="FY233" s="345"/>
      <c r="FZ233" s="73"/>
      <c r="GA233" s="25"/>
      <c r="GB233" s="73"/>
      <c r="GC233" s="73"/>
      <c r="GD233" s="345"/>
      <c r="GE233" s="73"/>
      <c r="GF233" s="25"/>
      <c r="GG233" s="73"/>
      <c r="GH233" s="73"/>
      <c r="GI233" s="345"/>
      <c r="GJ233" s="73"/>
      <c r="GK233" s="25"/>
      <c r="GL233" s="73"/>
      <c r="GM233" s="73"/>
      <c r="GN233" s="345"/>
      <c r="GO233" s="73"/>
      <c r="GP233" s="25"/>
      <c r="GQ233" s="73"/>
      <c r="GR233" s="73"/>
      <c r="GS233" s="345"/>
      <c r="GT233" s="73"/>
      <c r="GU233" s="25"/>
      <c r="GV233" s="73"/>
      <c r="GW233" s="73"/>
      <c r="GX233" s="345"/>
      <c r="GY233" s="73"/>
      <c r="GZ233" s="25"/>
      <c r="HA233" s="73"/>
      <c r="HB233" s="73"/>
      <c r="HC233" s="345"/>
      <c r="HD233" s="73"/>
      <c r="HE233" s="25"/>
      <c r="HF233" s="73"/>
      <c r="HG233" s="73"/>
      <c r="HH233" s="345"/>
      <c r="HI233" s="73"/>
      <c r="HJ233" s="25"/>
      <c r="HK233" s="73"/>
      <c r="HL233" s="73"/>
      <c r="HM233" s="345"/>
      <c r="HN233" s="73"/>
      <c r="HO233" s="25"/>
      <c r="HP233" s="73"/>
      <c r="HQ233" s="73"/>
      <c r="HR233" s="345"/>
      <c r="HS233" s="73"/>
      <c r="HT233" s="25"/>
      <c r="HU233" s="73"/>
      <c r="HV233" s="73"/>
      <c r="HW233" s="345"/>
      <c r="HX233" s="73"/>
      <c r="HY233" s="25"/>
      <c r="HZ233" s="73"/>
      <c r="IA233" s="73"/>
      <c r="IB233" s="345"/>
      <c r="IC233" s="73"/>
      <c r="ID233" s="25"/>
      <c r="IE233" s="73"/>
      <c r="IF233" s="73"/>
      <c r="IG233" s="345"/>
      <c r="IH233" s="73"/>
      <c r="II233" s="25"/>
      <c r="IJ233" s="73"/>
      <c r="IK233" s="73"/>
      <c r="IL233" s="345"/>
      <c r="IM233" s="73"/>
      <c r="IN233" s="25"/>
      <c r="IO233" s="73"/>
      <c r="IP233" s="73"/>
      <c r="IQ233" s="345"/>
      <c r="IR233" s="73"/>
      <c r="IS233" s="25"/>
      <c r="IT233" s="73"/>
      <c r="IU233" s="73"/>
      <c r="IV233" s="345"/>
    </row>
    <row r="234" spans="1:256" x14ac:dyDescent="0.2">
      <c r="A234" s="345">
        <v>34638</v>
      </c>
      <c r="B234" s="73"/>
      <c r="C234" s="25"/>
      <c r="D234" s="73"/>
      <c r="E234" s="73"/>
      <c r="F234" s="345"/>
      <c r="G234" s="73"/>
      <c r="H234" s="25"/>
      <c r="I234" s="73"/>
      <c r="J234" s="73"/>
      <c r="K234" s="345"/>
      <c r="L234" s="73"/>
      <c r="M234" s="25"/>
      <c r="N234" s="73"/>
      <c r="O234" s="73"/>
      <c r="P234" s="345"/>
      <c r="Q234" s="73"/>
      <c r="R234" s="25"/>
      <c r="S234" s="73"/>
      <c r="T234" s="73"/>
      <c r="U234" s="345"/>
      <c r="V234" s="73"/>
      <c r="W234" s="25"/>
      <c r="X234" s="73"/>
      <c r="Y234" s="73"/>
      <c r="Z234" s="345"/>
      <c r="AA234" s="73"/>
      <c r="AB234" s="25"/>
      <c r="AC234" s="73"/>
      <c r="AD234" s="73"/>
      <c r="AE234" s="345"/>
      <c r="AF234" s="73"/>
      <c r="AG234" s="25"/>
      <c r="AH234" s="73"/>
      <c r="AI234" s="73"/>
      <c r="AJ234" s="345"/>
      <c r="AK234" s="73"/>
      <c r="AL234" s="25"/>
      <c r="AM234" s="73"/>
      <c r="AN234" s="73"/>
      <c r="AO234" s="345"/>
      <c r="AP234" s="73"/>
      <c r="AQ234" s="25"/>
      <c r="AR234" s="73"/>
      <c r="AS234" s="73"/>
      <c r="AT234" s="345"/>
      <c r="AU234" s="73"/>
      <c r="AV234" s="25"/>
      <c r="AW234" s="73"/>
      <c r="AX234" s="73"/>
      <c r="AY234" s="345"/>
      <c r="AZ234" s="73"/>
      <c r="BA234" s="25"/>
      <c r="BB234" s="73"/>
      <c r="BC234" s="73"/>
      <c r="BD234" s="345"/>
      <c r="BE234" s="73"/>
      <c r="BF234" s="25"/>
      <c r="BG234" s="73"/>
      <c r="BH234" s="73"/>
      <c r="BI234" s="345"/>
      <c r="BJ234" s="73"/>
      <c r="BK234" s="25"/>
      <c r="BL234" s="73"/>
      <c r="BM234" s="73"/>
      <c r="BN234" s="345"/>
      <c r="BO234" s="73"/>
      <c r="BP234" s="25"/>
      <c r="BQ234" s="73"/>
      <c r="BR234" s="73"/>
      <c r="BS234" s="345"/>
      <c r="BT234" s="73"/>
      <c r="BU234" s="25"/>
      <c r="BV234" s="73"/>
      <c r="BW234" s="73"/>
      <c r="BX234" s="345"/>
      <c r="BY234" s="73"/>
      <c r="BZ234" s="25"/>
      <c r="CA234" s="73"/>
      <c r="CB234" s="73"/>
      <c r="CC234" s="345"/>
      <c r="CD234" s="73"/>
      <c r="CE234" s="25"/>
      <c r="CF234" s="73"/>
      <c r="CG234" s="73"/>
      <c r="CH234" s="345"/>
      <c r="CI234" s="73"/>
      <c r="CJ234" s="25"/>
      <c r="CK234" s="73"/>
      <c r="CL234" s="73"/>
      <c r="CM234" s="345"/>
      <c r="CN234" s="73"/>
      <c r="CO234" s="25"/>
      <c r="CP234" s="73"/>
      <c r="CQ234" s="73"/>
      <c r="CR234" s="345"/>
      <c r="CS234" s="73"/>
      <c r="CT234" s="25"/>
      <c r="CU234" s="73"/>
      <c r="CV234" s="73"/>
      <c r="CW234" s="345"/>
      <c r="CX234" s="73"/>
      <c r="CY234" s="25"/>
      <c r="CZ234" s="73"/>
      <c r="DA234" s="73"/>
      <c r="DB234" s="345"/>
      <c r="DC234" s="73"/>
      <c r="DD234" s="25"/>
      <c r="DE234" s="73"/>
      <c r="DF234" s="73"/>
      <c r="DG234" s="345"/>
      <c r="DH234" s="73"/>
      <c r="DI234" s="25"/>
      <c r="DJ234" s="73"/>
      <c r="DK234" s="73"/>
      <c r="DL234" s="345"/>
      <c r="DM234" s="73"/>
      <c r="DN234" s="25"/>
      <c r="DO234" s="73"/>
      <c r="DP234" s="73"/>
      <c r="DQ234" s="345"/>
      <c r="DR234" s="73"/>
      <c r="DS234" s="25"/>
      <c r="DT234" s="73"/>
      <c r="DU234" s="73"/>
      <c r="DV234" s="345"/>
      <c r="DW234" s="73"/>
      <c r="DX234" s="25"/>
      <c r="DY234" s="73"/>
      <c r="DZ234" s="73"/>
      <c r="EA234" s="345"/>
      <c r="EB234" s="73"/>
      <c r="EC234" s="25"/>
      <c r="ED234" s="73"/>
      <c r="EE234" s="73"/>
      <c r="EF234" s="345"/>
      <c r="EG234" s="73"/>
      <c r="EH234" s="25"/>
      <c r="EI234" s="73"/>
      <c r="EJ234" s="73"/>
      <c r="EK234" s="345"/>
      <c r="EL234" s="73"/>
      <c r="EM234" s="25"/>
      <c r="EN234" s="73"/>
      <c r="EO234" s="73"/>
      <c r="EP234" s="345"/>
      <c r="EQ234" s="73"/>
      <c r="ER234" s="25"/>
      <c r="ES234" s="73"/>
      <c r="ET234" s="73"/>
      <c r="EU234" s="345"/>
      <c r="EV234" s="73"/>
      <c r="EW234" s="25"/>
      <c r="EX234" s="73"/>
      <c r="EY234" s="73"/>
      <c r="EZ234" s="345"/>
      <c r="FA234" s="73"/>
      <c r="FB234" s="25"/>
      <c r="FC234" s="73"/>
      <c r="FD234" s="73"/>
      <c r="FE234" s="345"/>
      <c r="FF234" s="73"/>
      <c r="FG234" s="25"/>
      <c r="FH234" s="73"/>
      <c r="FI234" s="73"/>
      <c r="FJ234" s="345"/>
      <c r="FK234" s="73"/>
      <c r="FL234" s="25"/>
      <c r="FM234" s="73"/>
      <c r="FN234" s="73"/>
      <c r="FO234" s="345"/>
      <c r="FP234" s="73"/>
      <c r="FQ234" s="25"/>
      <c r="FR234" s="73"/>
      <c r="FS234" s="73"/>
      <c r="FT234" s="345"/>
      <c r="FU234" s="73"/>
      <c r="FV234" s="25"/>
      <c r="FW234" s="73"/>
      <c r="FX234" s="73"/>
      <c r="FY234" s="345"/>
      <c r="FZ234" s="73"/>
      <c r="GA234" s="25"/>
      <c r="GB234" s="73"/>
      <c r="GC234" s="73"/>
      <c r="GD234" s="345"/>
      <c r="GE234" s="73"/>
      <c r="GF234" s="25"/>
      <c r="GG234" s="73"/>
      <c r="GH234" s="73"/>
      <c r="GI234" s="345"/>
      <c r="GJ234" s="73"/>
      <c r="GK234" s="25"/>
      <c r="GL234" s="73"/>
      <c r="GM234" s="73"/>
      <c r="GN234" s="345"/>
      <c r="GO234" s="73"/>
      <c r="GP234" s="25"/>
      <c r="GQ234" s="73"/>
      <c r="GR234" s="73"/>
      <c r="GS234" s="345"/>
      <c r="GT234" s="73"/>
      <c r="GU234" s="25"/>
      <c r="GV234" s="73"/>
      <c r="GW234" s="73"/>
      <c r="GX234" s="345"/>
      <c r="GY234" s="73"/>
      <c r="GZ234" s="25"/>
      <c r="HA234" s="73"/>
      <c r="HB234" s="73"/>
      <c r="HC234" s="345"/>
      <c r="HD234" s="73"/>
      <c r="HE234" s="25"/>
      <c r="HF234" s="73"/>
      <c r="HG234" s="73"/>
      <c r="HH234" s="345"/>
      <c r="HI234" s="73"/>
      <c r="HJ234" s="25"/>
      <c r="HK234" s="73"/>
      <c r="HL234" s="73"/>
      <c r="HM234" s="345"/>
      <c r="HN234" s="73"/>
      <c r="HO234" s="25"/>
      <c r="HP234" s="73"/>
      <c r="HQ234" s="73"/>
      <c r="HR234" s="345"/>
      <c r="HS234" s="73"/>
      <c r="HT234" s="25"/>
      <c r="HU234" s="73"/>
      <c r="HV234" s="73"/>
      <c r="HW234" s="345"/>
      <c r="HX234" s="73"/>
      <c r="HY234" s="25"/>
      <c r="HZ234" s="73"/>
      <c r="IA234" s="73"/>
      <c r="IB234" s="345"/>
      <c r="IC234" s="73"/>
      <c r="ID234" s="25"/>
      <c r="IE234" s="73"/>
      <c r="IF234" s="73"/>
      <c r="IG234" s="345"/>
      <c r="IH234" s="73"/>
      <c r="II234" s="25"/>
      <c r="IJ234" s="73"/>
      <c r="IK234" s="73"/>
      <c r="IL234" s="345"/>
      <c r="IM234" s="73"/>
      <c r="IN234" s="25"/>
      <c r="IO234" s="73"/>
      <c r="IP234" s="73"/>
      <c r="IQ234" s="345"/>
      <c r="IR234" s="73"/>
      <c r="IS234" s="25"/>
      <c r="IT234" s="73"/>
      <c r="IU234" s="73"/>
      <c r="IV234" s="345"/>
    </row>
    <row r="235" spans="1:256" x14ac:dyDescent="0.2">
      <c r="A235" s="345">
        <v>34668</v>
      </c>
      <c r="B235" s="73"/>
      <c r="C235" s="25"/>
      <c r="D235" s="73"/>
      <c r="E235" s="73"/>
      <c r="F235" s="345"/>
      <c r="G235" s="73"/>
      <c r="H235" s="25"/>
      <c r="I235" s="73"/>
      <c r="J235" s="73"/>
      <c r="K235" s="345"/>
      <c r="L235" s="73"/>
      <c r="M235" s="25"/>
      <c r="N235" s="73"/>
      <c r="O235" s="73"/>
      <c r="P235" s="345"/>
      <c r="Q235" s="73"/>
      <c r="R235" s="25"/>
      <c r="S235" s="73"/>
      <c r="T235" s="73"/>
      <c r="U235" s="345"/>
      <c r="V235" s="73"/>
      <c r="W235" s="25"/>
      <c r="X235" s="73"/>
      <c r="Y235" s="73"/>
      <c r="Z235" s="345"/>
      <c r="AA235" s="73"/>
      <c r="AB235" s="25"/>
      <c r="AC235" s="73"/>
      <c r="AD235" s="73"/>
      <c r="AE235" s="345"/>
      <c r="AF235" s="73"/>
      <c r="AG235" s="25"/>
      <c r="AH235" s="73"/>
      <c r="AI235" s="73"/>
      <c r="AJ235" s="345"/>
      <c r="AK235" s="73"/>
      <c r="AL235" s="25"/>
      <c r="AM235" s="73"/>
      <c r="AN235" s="73"/>
      <c r="AO235" s="345"/>
      <c r="AP235" s="73"/>
      <c r="AQ235" s="25"/>
      <c r="AR235" s="73"/>
      <c r="AS235" s="73"/>
      <c r="AT235" s="345"/>
      <c r="AU235" s="73"/>
      <c r="AV235" s="25"/>
      <c r="AW235" s="73"/>
      <c r="AX235" s="73"/>
      <c r="AY235" s="345"/>
      <c r="AZ235" s="73"/>
      <c r="BA235" s="25"/>
      <c r="BB235" s="73"/>
      <c r="BC235" s="73"/>
      <c r="BD235" s="345"/>
      <c r="BE235" s="73"/>
      <c r="BF235" s="25"/>
      <c r="BG235" s="73"/>
      <c r="BH235" s="73"/>
      <c r="BI235" s="345"/>
      <c r="BJ235" s="73"/>
      <c r="BK235" s="25"/>
      <c r="BL235" s="73"/>
      <c r="BM235" s="73"/>
      <c r="BN235" s="345"/>
      <c r="BO235" s="73"/>
      <c r="BP235" s="25"/>
      <c r="BQ235" s="73"/>
      <c r="BR235" s="73"/>
      <c r="BS235" s="345"/>
      <c r="BT235" s="73"/>
      <c r="BU235" s="25"/>
      <c r="BV235" s="73"/>
      <c r="BW235" s="73"/>
      <c r="BX235" s="345"/>
      <c r="BY235" s="73"/>
      <c r="BZ235" s="25"/>
      <c r="CA235" s="73"/>
      <c r="CB235" s="73"/>
      <c r="CC235" s="345"/>
      <c r="CD235" s="73"/>
      <c r="CE235" s="25"/>
      <c r="CF235" s="73"/>
      <c r="CG235" s="73"/>
      <c r="CH235" s="345"/>
      <c r="CI235" s="73"/>
      <c r="CJ235" s="25"/>
      <c r="CK235" s="73"/>
      <c r="CL235" s="73"/>
      <c r="CM235" s="345"/>
      <c r="CN235" s="73"/>
      <c r="CO235" s="25"/>
      <c r="CP235" s="73"/>
      <c r="CQ235" s="73"/>
      <c r="CR235" s="345"/>
      <c r="CS235" s="73"/>
      <c r="CT235" s="25"/>
      <c r="CU235" s="73"/>
      <c r="CV235" s="73"/>
      <c r="CW235" s="345"/>
      <c r="CX235" s="73"/>
      <c r="CY235" s="25"/>
      <c r="CZ235" s="73"/>
      <c r="DA235" s="73"/>
      <c r="DB235" s="345"/>
      <c r="DC235" s="73"/>
      <c r="DD235" s="25"/>
      <c r="DE235" s="73"/>
      <c r="DF235" s="73"/>
      <c r="DG235" s="345"/>
      <c r="DH235" s="73"/>
      <c r="DI235" s="25"/>
      <c r="DJ235" s="73"/>
      <c r="DK235" s="73"/>
      <c r="DL235" s="345"/>
      <c r="DM235" s="73"/>
      <c r="DN235" s="25"/>
      <c r="DO235" s="73"/>
      <c r="DP235" s="73"/>
      <c r="DQ235" s="345"/>
      <c r="DR235" s="73"/>
      <c r="DS235" s="25"/>
      <c r="DT235" s="73"/>
      <c r="DU235" s="73"/>
      <c r="DV235" s="345"/>
      <c r="DW235" s="73"/>
      <c r="DX235" s="25"/>
      <c r="DY235" s="73"/>
      <c r="DZ235" s="73"/>
      <c r="EA235" s="345"/>
      <c r="EB235" s="73"/>
      <c r="EC235" s="25"/>
      <c r="ED235" s="73"/>
      <c r="EE235" s="73"/>
      <c r="EF235" s="345"/>
      <c r="EG235" s="73"/>
      <c r="EH235" s="25"/>
      <c r="EI235" s="73"/>
      <c r="EJ235" s="73"/>
      <c r="EK235" s="345"/>
      <c r="EL235" s="73"/>
      <c r="EM235" s="25"/>
      <c r="EN235" s="73"/>
      <c r="EO235" s="73"/>
      <c r="EP235" s="345"/>
      <c r="EQ235" s="73"/>
      <c r="ER235" s="25"/>
      <c r="ES235" s="73"/>
      <c r="ET235" s="73"/>
      <c r="EU235" s="345"/>
      <c r="EV235" s="73"/>
      <c r="EW235" s="25"/>
      <c r="EX235" s="73"/>
      <c r="EY235" s="73"/>
      <c r="EZ235" s="345"/>
      <c r="FA235" s="73"/>
      <c r="FB235" s="25"/>
      <c r="FC235" s="73"/>
      <c r="FD235" s="73"/>
      <c r="FE235" s="345"/>
      <c r="FF235" s="73"/>
      <c r="FG235" s="25"/>
      <c r="FH235" s="73"/>
      <c r="FI235" s="73"/>
      <c r="FJ235" s="345"/>
      <c r="FK235" s="73"/>
      <c r="FL235" s="25"/>
      <c r="FM235" s="73"/>
      <c r="FN235" s="73"/>
      <c r="FO235" s="345"/>
      <c r="FP235" s="73"/>
      <c r="FQ235" s="25"/>
      <c r="FR235" s="73"/>
      <c r="FS235" s="73"/>
      <c r="FT235" s="345"/>
      <c r="FU235" s="73"/>
      <c r="FV235" s="25"/>
      <c r="FW235" s="73"/>
      <c r="FX235" s="73"/>
      <c r="FY235" s="345"/>
      <c r="FZ235" s="73"/>
      <c r="GA235" s="25"/>
      <c r="GB235" s="73"/>
      <c r="GC235" s="73"/>
      <c r="GD235" s="345"/>
      <c r="GE235" s="73"/>
      <c r="GF235" s="25"/>
      <c r="GG235" s="73"/>
      <c r="GH235" s="73"/>
      <c r="GI235" s="345"/>
      <c r="GJ235" s="73"/>
      <c r="GK235" s="25"/>
      <c r="GL235" s="73"/>
      <c r="GM235" s="73"/>
      <c r="GN235" s="345"/>
      <c r="GO235" s="73"/>
      <c r="GP235" s="25"/>
      <c r="GQ235" s="73"/>
      <c r="GR235" s="73"/>
      <c r="GS235" s="345"/>
      <c r="GT235" s="73"/>
      <c r="GU235" s="25"/>
      <c r="GV235" s="73"/>
      <c r="GW235" s="73"/>
      <c r="GX235" s="345"/>
      <c r="GY235" s="73"/>
      <c r="GZ235" s="25"/>
      <c r="HA235" s="73"/>
      <c r="HB235" s="73"/>
      <c r="HC235" s="345"/>
      <c r="HD235" s="73"/>
      <c r="HE235" s="25"/>
      <c r="HF235" s="73"/>
      <c r="HG235" s="73"/>
      <c r="HH235" s="345"/>
      <c r="HI235" s="73"/>
      <c r="HJ235" s="25"/>
      <c r="HK235" s="73"/>
      <c r="HL235" s="73"/>
      <c r="HM235" s="345"/>
      <c r="HN235" s="73"/>
      <c r="HO235" s="25"/>
      <c r="HP235" s="73"/>
      <c r="HQ235" s="73"/>
      <c r="HR235" s="345"/>
      <c r="HS235" s="73"/>
      <c r="HT235" s="25"/>
      <c r="HU235" s="73"/>
      <c r="HV235" s="73"/>
      <c r="HW235" s="345"/>
      <c r="HX235" s="73"/>
      <c r="HY235" s="25"/>
      <c r="HZ235" s="73"/>
      <c r="IA235" s="73"/>
      <c r="IB235" s="345"/>
      <c r="IC235" s="73"/>
      <c r="ID235" s="25"/>
      <c r="IE235" s="73"/>
      <c r="IF235" s="73"/>
      <c r="IG235" s="345"/>
      <c r="IH235" s="73"/>
      <c r="II235" s="25"/>
      <c r="IJ235" s="73"/>
      <c r="IK235" s="73"/>
      <c r="IL235" s="345"/>
      <c r="IM235" s="73"/>
      <c r="IN235" s="25"/>
      <c r="IO235" s="73"/>
      <c r="IP235" s="73"/>
      <c r="IQ235" s="345"/>
      <c r="IR235" s="73"/>
      <c r="IS235" s="25"/>
      <c r="IT235" s="73"/>
      <c r="IU235" s="73"/>
      <c r="IV235" s="345"/>
    </row>
    <row r="236" spans="1:256" x14ac:dyDescent="0.2">
      <c r="A236" s="345">
        <v>34699</v>
      </c>
      <c r="B236" s="73"/>
      <c r="C236" s="25"/>
      <c r="D236" s="73"/>
      <c r="E236" s="73"/>
      <c r="F236" s="345"/>
      <c r="G236" s="73"/>
      <c r="H236" s="25"/>
      <c r="I236" s="73"/>
      <c r="J236" s="73"/>
      <c r="K236" s="345"/>
      <c r="L236" s="73"/>
      <c r="M236" s="25"/>
      <c r="N236" s="73"/>
      <c r="O236" s="73"/>
      <c r="P236" s="345"/>
      <c r="Q236" s="73"/>
      <c r="R236" s="25"/>
      <c r="S236" s="73"/>
      <c r="T236" s="73"/>
      <c r="U236" s="345"/>
      <c r="V236" s="73"/>
      <c r="W236" s="25"/>
      <c r="X236" s="73"/>
      <c r="Y236" s="73"/>
      <c r="Z236" s="345"/>
      <c r="AA236" s="73"/>
      <c r="AB236" s="25"/>
      <c r="AC236" s="73"/>
      <c r="AD236" s="73"/>
      <c r="AE236" s="345"/>
      <c r="AF236" s="73"/>
      <c r="AG236" s="25"/>
      <c r="AH236" s="73"/>
      <c r="AI236" s="73"/>
      <c r="AJ236" s="345"/>
      <c r="AK236" s="73"/>
      <c r="AL236" s="25"/>
      <c r="AM236" s="73"/>
      <c r="AN236" s="73"/>
      <c r="AO236" s="345"/>
      <c r="AP236" s="73"/>
      <c r="AQ236" s="25"/>
      <c r="AR236" s="73"/>
      <c r="AS236" s="73"/>
      <c r="AT236" s="345"/>
      <c r="AU236" s="73"/>
      <c r="AV236" s="25"/>
      <c r="AW236" s="73"/>
      <c r="AX236" s="73"/>
      <c r="AY236" s="345"/>
      <c r="AZ236" s="73"/>
      <c r="BA236" s="25"/>
      <c r="BB236" s="73"/>
      <c r="BC236" s="73"/>
      <c r="BD236" s="345"/>
      <c r="BE236" s="73"/>
      <c r="BF236" s="25"/>
      <c r="BG236" s="73"/>
      <c r="BH236" s="73"/>
      <c r="BI236" s="345"/>
      <c r="BJ236" s="73"/>
      <c r="BK236" s="25"/>
      <c r="BL236" s="73"/>
      <c r="BM236" s="73"/>
      <c r="BN236" s="345"/>
      <c r="BO236" s="73"/>
      <c r="BP236" s="25"/>
      <c r="BQ236" s="73"/>
      <c r="BR236" s="73"/>
      <c r="BS236" s="345"/>
      <c r="BT236" s="73"/>
      <c r="BU236" s="25"/>
      <c r="BV236" s="73"/>
      <c r="BW236" s="73"/>
      <c r="BX236" s="345"/>
      <c r="BY236" s="73"/>
      <c r="BZ236" s="25"/>
      <c r="CA236" s="73"/>
      <c r="CB236" s="73"/>
      <c r="CC236" s="345"/>
      <c r="CD236" s="73"/>
      <c r="CE236" s="25"/>
      <c r="CF236" s="73"/>
      <c r="CG236" s="73"/>
      <c r="CH236" s="345"/>
      <c r="CI236" s="73"/>
      <c r="CJ236" s="25"/>
      <c r="CK236" s="73"/>
      <c r="CL236" s="73"/>
      <c r="CM236" s="345"/>
      <c r="CN236" s="73"/>
      <c r="CO236" s="25"/>
      <c r="CP236" s="73"/>
      <c r="CQ236" s="73"/>
      <c r="CR236" s="345"/>
      <c r="CS236" s="73"/>
      <c r="CT236" s="25"/>
      <c r="CU236" s="73"/>
      <c r="CV236" s="73"/>
      <c r="CW236" s="345"/>
      <c r="CX236" s="73"/>
      <c r="CY236" s="25"/>
      <c r="CZ236" s="73"/>
      <c r="DA236" s="73"/>
      <c r="DB236" s="345"/>
      <c r="DC236" s="73"/>
      <c r="DD236" s="25"/>
      <c r="DE236" s="73"/>
      <c r="DF236" s="73"/>
      <c r="DG236" s="345"/>
      <c r="DH236" s="73"/>
      <c r="DI236" s="25"/>
      <c r="DJ236" s="73"/>
      <c r="DK236" s="73"/>
      <c r="DL236" s="345"/>
      <c r="DM236" s="73"/>
      <c r="DN236" s="25"/>
      <c r="DO236" s="73"/>
      <c r="DP236" s="73"/>
      <c r="DQ236" s="345"/>
      <c r="DR236" s="73"/>
      <c r="DS236" s="25"/>
      <c r="DT236" s="73"/>
      <c r="DU236" s="73"/>
      <c r="DV236" s="345"/>
      <c r="DW236" s="73"/>
      <c r="DX236" s="25"/>
      <c r="DY236" s="73"/>
      <c r="DZ236" s="73"/>
      <c r="EA236" s="345"/>
      <c r="EB236" s="73"/>
      <c r="EC236" s="25"/>
      <c r="ED236" s="73"/>
      <c r="EE236" s="73"/>
      <c r="EF236" s="345"/>
      <c r="EG236" s="73"/>
      <c r="EH236" s="25"/>
      <c r="EI236" s="73"/>
      <c r="EJ236" s="73"/>
      <c r="EK236" s="345"/>
      <c r="EL236" s="73"/>
      <c r="EM236" s="25"/>
      <c r="EN236" s="73"/>
      <c r="EO236" s="73"/>
      <c r="EP236" s="345"/>
      <c r="EQ236" s="73"/>
      <c r="ER236" s="25"/>
      <c r="ES236" s="73"/>
      <c r="ET236" s="73"/>
      <c r="EU236" s="345"/>
      <c r="EV236" s="73"/>
      <c r="EW236" s="25"/>
      <c r="EX236" s="73"/>
      <c r="EY236" s="73"/>
      <c r="EZ236" s="345"/>
      <c r="FA236" s="73"/>
      <c r="FB236" s="25"/>
      <c r="FC236" s="73"/>
      <c r="FD236" s="73"/>
      <c r="FE236" s="345"/>
      <c r="FF236" s="73"/>
      <c r="FG236" s="25"/>
      <c r="FH236" s="73"/>
      <c r="FI236" s="73"/>
      <c r="FJ236" s="345"/>
      <c r="FK236" s="73"/>
      <c r="FL236" s="25"/>
      <c r="FM236" s="73"/>
      <c r="FN236" s="73"/>
      <c r="FO236" s="345"/>
      <c r="FP236" s="73"/>
      <c r="FQ236" s="25"/>
      <c r="FR236" s="73"/>
      <c r="FS236" s="73"/>
      <c r="FT236" s="345"/>
      <c r="FU236" s="73"/>
      <c r="FV236" s="25"/>
      <c r="FW236" s="73"/>
      <c r="FX236" s="73"/>
      <c r="FY236" s="345"/>
      <c r="FZ236" s="73"/>
      <c r="GA236" s="25"/>
      <c r="GB236" s="73"/>
      <c r="GC236" s="73"/>
      <c r="GD236" s="345"/>
      <c r="GE236" s="73"/>
      <c r="GF236" s="25"/>
      <c r="GG236" s="73"/>
      <c r="GH236" s="73"/>
      <c r="GI236" s="345"/>
      <c r="GJ236" s="73"/>
      <c r="GK236" s="25"/>
      <c r="GL236" s="73"/>
      <c r="GM236" s="73"/>
      <c r="GN236" s="345"/>
      <c r="GO236" s="73"/>
      <c r="GP236" s="25"/>
      <c r="GQ236" s="73"/>
      <c r="GR236" s="73"/>
      <c r="GS236" s="345"/>
      <c r="GT236" s="73"/>
      <c r="GU236" s="25"/>
      <c r="GV236" s="73"/>
      <c r="GW236" s="73"/>
      <c r="GX236" s="345"/>
      <c r="GY236" s="73"/>
      <c r="GZ236" s="25"/>
      <c r="HA236" s="73"/>
      <c r="HB236" s="73"/>
      <c r="HC236" s="345"/>
      <c r="HD236" s="73"/>
      <c r="HE236" s="25"/>
      <c r="HF236" s="73"/>
      <c r="HG236" s="73"/>
      <c r="HH236" s="345"/>
      <c r="HI236" s="73"/>
      <c r="HJ236" s="25"/>
      <c r="HK236" s="73"/>
      <c r="HL236" s="73"/>
      <c r="HM236" s="345"/>
      <c r="HN236" s="73"/>
      <c r="HO236" s="25"/>
      <c r="HP236" s="73"/>
      <c r="HQ236" s="73"/>
      <c r="HR236" s="345"/>
      <c r="HS236" s="73"/>
      <c r="HT236" s="25"/>
      <c r="HU236" s="73"/>
      <c r="HV236" s="73"/>
      <c r="HW236" s="345"/>
      <c r="HX236" s="73"/>
      <c r="HY236" s="25"/>
      <c r="HZ236" s="73"/>
      <c r="IA236" s="73"/>
      <c r="IB236" s="345"/>
      <c r="IC236" s="73"/>
      <c r="ID236" s="25"/>
      <c r="IE236" s="73"/>
      <c r="IF236" s="73"/>
      <c r="IG236" s="345"/>
      <c r="IH236" s="73"/>
      <c r="II236" s="25"/>
      <c r="IJ236" s="73"/>
      <c r="IK236" s="73"/>
      <c r="IL236" s="345"/>
      <c r="IM236" s="73"/>
      <c r="IN236" s="25"/>
      <c r="IO236" s="73"/>
      <c r="IP236" s="73"/>
      <c r="IQ236" s="345"/>
      <c r="IR236" s="73"/>
      <c r="IS236" s="25"/>
      <c r="IT236" s="73"/>
      <c r="IU236" s="73"/>
      <c r="IV236" s="345"/>
    </row>
    <row r="237" spans="1:256" x14ac:dyDescent="0.2">
      <c r="A237" s="345">
        <v>34730</v>
      </c>
      <c r="B237" s="73"/>
      <c r="C237" s="25"/>
      <c r="D237" s="73"/>
      <c r="E237" s="73"/>
      <c r="F237" s="345"/>
      <c r="G237" s="73"/>
      <c r="H237" s="25"/>
      <c r="I237" s="73"/>
      <c r="J237" s="73"/>
      <c r="K237" s="345"/>
      <c r="L237" s="73"/>
      <c r="M237" s="25"/>
      <c r="N237" s="73"/>
      <c r="O237" s="73"/>
      <c r="P237" s="345"/>
      <c r="Q237" s="73"/>
      <c r="R237" s="25"/>
      <c r="S237" s="73"/>
      <c r="T237" s="73"/>
      <c r="U237" s="345"/>
      <c r="V237" s="73"/>
      <c r="W237" s="25"/>
      <c r="X237" s="73"/>
      <c r="Y237" s="73"/>
      <c r="Z237" s="345"/>
      <c r="AA237" s="73"/>
      <c r="AB237" s="25"/>
      <c r="AC237" s="73"/>
      <c r="AD237" s="73"/>
      <c r="AE237" s="345"/>
      <c r="AF237" s="73"/>
      <c r="AG237" s="25"/>
      <c r="AH237" s="73"/>
      <c r="AI237" s="73"/>
      <c r="AJ237" s="345"/>
      <c r="AK237" s="73"/>
      <c r="AL237" s="25"/>
      <c r="AM237" s="73"/>
      <c r="AN237" s="73"/>
      <c r="AO237" s="345"/>
      <c r="AP237" s="73"/>
      <c r="AQ237" s="25"/>
      <c r="AR237" s="73"/>
      <c r="AS237" s="73"/>
      <c r="AT237" s="345"/>
      <c r="AU237" s="73"/>
      <c r="AV237" s="25"/>
      <c r="AW237" s="73"/>
      <c r="AX237" s="73"/>
      <c r="AY237" s="345"/>
      <c r="AZ237" s="73"/>
      <c r="BA237" s="25"/>
      <c r="BB237" s="73"/>
      <c r="BC237" s="73"/>
      <c r="BD237" s="345"/>
      <c r="BE237" s="73"/>
      <c r="BF237" s="25"/>
      <c r="BG237" s="73"/>
      <c r="BH237" s="73"/>
      <c r="BI237" s="345"/>
      <c r="BJ237" s="73"/>
      <c r="BK237" s="25"/>
      <c r="BL237" s="73"/>
      <c r="BM237" s="73"/>
      <c r="BN237" s="345"/>
      <c r="BO237" s="73"/>
      <c r="BP237" s="25"/>
      <c r="BQ237" s="73"/>
      <c r="BR237" s="73"/>
      <c r="BS237" s="345"/>
      <c r="BT237" s="73"/>
      <c r="BU237" s="25"/>
      <c r="BV237" s="73"/>
      <c r="BW237" s="73"/>
      <c r="BX237" s="345"/>
      <c r="BY237" s="73"/>
      <c r="BZ237" s="25"/>
      <c r="CA237" s="73"/>
      <c r="CB237" s="73"/>
      <c r="CC237" s="345"/>
      <c r="CD237" s="73"/>
      <c r="CE237" s="25"/>
      <c r="CF237" s="73"/>
      <c r="CG237" s="73"/>
      <c r="CH237" s="345"/>
      <c r="CI237" s="73"/>
      <c r="CJ237" s="25"/>
      <c r="CK237" s="73"/>
      <c r="CL237" s="73"/>
      <c r="CM237" s="345"/>
      <c r="CN237" s="73"/>
      <c r="CO237" s="25"/>
      <c r="CP237" s="73"/>
      <c r="CQ237" s="73"/>
      <c r="CR237" s="345"/>
      <c r="CS237" s="73"/>
      <c r="CT237" s="25"/>
      <c r="CU237" s="73"/>
      <c r="CV237" s="73"/>
      <c r="CW237" s="345"/>
      <c r="CX237" s="73"/>
      <c r="CY237" s="25"/>
      <c r="CZ237" s="73"/>
      <c r="DA237" s="73"/>
      <c r="DB237" s="345"/>
      <c r="DC237" s="73"/>
      <c r="DD237" s="25"/>
      <c r="DE237" s="73"/>
      <c r="DF237" s="73"/>
      <c r="DG237" s="345"/>
      <c r="DH237" s="73"/>
      <c r="DI237" s="25"/>
      <c r="DJ237" s="73"/>
      <c r="DK237" s="73"/>
      <c r="DL237" s="345"/>
      <c r="DM237" s="73"/>
      <c r="DN237" s="25"/>
      <c r="DO237" s="73"/>
      <c r="DP237" s="73"/>
      <c r="DQ237" s="345"/>
      <c r="DR237" s="73"/>
      <c r="DS237" s="25"/>
      <c r="DT237" s="73"/>
      <c r="DU237" s="73"/>
      <c r="DV237" s="345"/>
      <c r="DW237" s="73"/>
      <c r="DX237" s="25"/>
      <c r="DY237" s="73"/>
      <c r="DZ237" s="73"/>
      <c r="EA237" s="345"/>
      <c r="EB237" s="73"/>
      <c r="EC237" s="25"/>
      <c r="ED237" s="73"/>
      <c r="EE237" s="73"/>
      <c r="EF237" s="345"/>
      <c r="EG237" s="73"/>
      <c r="EH237" s="25"/>
      <c r="EI237" s="73"/>
      <c r="EJ237" s="73"/>
      <c r="EK237" s="345"/>
      <c r="EL237" s="73"/>
      <c r="EM237" s="25"/>
      <c r="EN237" s="73"/>
      <c r="EO237" s="73"/>
      <c r="EP237" s="345"/>
      <c r="EQ237" s="73"/>
      <c r="ER237" s="25"/>
      <c r="ES237" s="73"/>
      <c r="ET237" s="73"/>
      <c r="EU237" s="345"/>
      <c r="EV237" s="73"/>
      <c r="EW237" s="25"/>
      <c r="EX237" s="73"/>
      <c r="EY237" s="73"/>
      <c r="EZ237" s="345"/>
      <c r="FA237" s="73"/>
      <c r="FB237" s="25"/>
      <c r="FC237" s="73"/>
      <c r="FD237" s="73"/>
      <c r="FE237" s="345"/>
      <c r="FF237" s="73"/>
      <c r="FG237" s="25"/>
      <c r="FH237" s="73"/>
      <c r="FI237" s="73"/>
      <c r="FJ237" s="345"/>
      <c r="FK237" s="73"/>
      <c r="FL237" s="25"/>
      <c r="FM237" s="73"/>
      <c r="FN237" s="73"/>
      <c r="FO237" s="345"/>
      <c r="FP237" s="73"/>
      <c r="FQ237" s="25"/>
      <c r="FR237" s="73"/>
      <c r="FS237" s="73"/>
      <c r="FT237" s="345"/>
      <c r="FU237" s="73"/>
      <c r="FV237" s="25"/>
      <c r="FW237" s="73"/>
      <c r="FX237" s="73"/>
      <c r="FY237" s="345"/>
      <c r="FZ237" s="73"/>
      <c r="GA237" s="25"/>
      <c r="GB237" s="73"/>
      <c r="GC237" s="73"/>
      <c r="GD237" s="345"/>
      <c r="GE237" s="73"/>
      <c r="GF237" s="25"/>
      <c r="GG237" s="73"/>
      <c r="GH237" s="73"/>
      <c r="GI237" s="345"/>
      <c r="GJ237" s="73"/>
      <c r="GK237" s="25"/>
      <c r="GL237" s="73"/>
      <c r="GM237" s="73"/>
      <c r="GN237" s="345"/>
      <c r="GO237" s="73"/>
      <c r="GP237" s="25"/>
      <c r="GQ237" s="73"/>
      <c r="GR237" s="73"/>
      <c r="GS237" s="345"/>
      <c r="GT237" s="73"/>
      <c r="GU237" s="25"/>
      <c r="GV237" s="73"/>
      <c r="GW237" s="73"/>
      <c r="GX237" s="345"/>
      <c r="GY237" s="73"/>
      <c r="GZ237" s="25"/>
      <c r="HA237" s="73"/>
      <c r="HB237" s="73"/>
      <c r="HC237" s="345"/>
      <c r="HD237" s="73"/>
      <c r="HE237" s="25"/>
      <c r="HF237" s="73"/>
      <c r="HG237" s="73"/>
      <c r="HH237" s="345"/>
      <c r="HI237" s="73"/>
      <c r="HJ237" s="25"/>
      <c r="HK237" s="73"/>
      <c r="HL237" s="73"/>
      <c r="HM237" s="345"/>
      <c r="HN237" s="73"/>
      <c r="HO237" s="25"/>
      <c r="HP237" s="73"/>
      <c r="HQ237" s="73"/>
      <c r="HR237" s="345"/>
      <c r="HS237" s="73"/>
      <c r="HT237" s="25"/>
      <c r="HU237" s="73"/>
      <c r="HV237" s="73"/>
      <c r="HW237" s="345"/>
      <c r="HX237" s="73"/>
      <c r="HY237" s="25"/>
      <c r="HZ237" s="73"/>
      <c r="IA237" s="73"/>
      <c r="IB237" s="345"/>
      <c r="IC237" s="73"/>
      <c r="ID237" s="25"/>
      <c r="IE237" s="73"/>
      <c r="IF237" s="73"/>
      <c r="IG237" s="345"/>
      <c r="IH237" s="73"/>
      <c r="II237" s="25"/>
      <c r="IJ237" s="73"/>
      <c r="IK237" s="73"/>
      <c r="IL237" s="345"/>
      <c r="IM237" s="73"/>
      <c r="IN237" s="25"/>
      <c r="IO237" s="73"/>
      <c r="IP237" s="73"/>
      <c r="IQ237" s="345"/>
      <c r="IR237" s="73"/>
      <c r="IS237" s="25"/>
      <c r="IT237" s="73"/>
      <c r="IU237" s="73"/>
      <c r="IV237" s="345"/>
    </row>
    <row r="238" spans="1:256" x14ac:dyDescent="0.2">
      <c r="A238" s="345">
        <v>34758</v>
      </c>
      <c r="B238" s="73"/>
      <c r="C238" s="25"/>
      <c r="D238" s="73"/>
      <c r="E238" s="73"/>
      <c r="F238" s="345"/>
      <c r="G238" s="73"/>
      <c r="H238" s="25"/>
      <c r="I238" s="73"/>
      <c r="J238" s="73"/>
      <c r="K238" s="345"/>
      <c r="L238" s="73"/>
      <c r="M238" s="25"/>
      <c r="N238" s="73"/>
      <c r="O238" s="73"/>
      <c r="P238" s="345"/>
      <c r="Q238" s="73"/>
      <c r="R238" s="25"/>
      <c r="S238" s="73"/>
      <c r="T238" s="73"/>
      <c r="U238" s="345"/>
      <c r="V238" s="73"/>
      <c r="W238" s="25"/>
      <c r="X238" s="73"/>
      <c r="Y238" s="73"/>
      <c r="Z238" s="345"/>
      <c r="AA238" s="73"/>
      <c r="AB238" s="25"/>
      <c r="AC238" s="73"/>
      <c r="AD238" s="73"/>
      <c r="AE238" s="345"/>
      <c r="AF238" s="73"/>
      <c r="AG238" s="25"/>
      <c r="AH238" s="73"/>
      <c r="AI238" s="73"/>
      <c r="AJ238" s="345"/>
      <c r="AK238" s="73"/>
      <c r="AL238" s="25"/>
      <c r="AM238" s="73"/>
      <c r="AN238" s="73"/>
      <c r="AO238" s="345"/>
      <c r="AP238" s="73"/>
      <c r="AQ238" s="25"/>
      <c r="AR238" s="73"/>
      <c r="AS238" s="73"/>
      <c r="AT238" s="345"/>
      <c r="AU238" s="73"/>
      <c r="AV238" s="25"/>
      <c r="AW238" s="73"/>
      <c r="AX238" s="73"/>
      <c r="AY238" s="345"/>
      <c r="AZ238" s="73"/>
      <c r="BA238" s="25"/>
      <c r="BB238" s="73"/>
      <c r="BC238" s="73"/>
      <c r="BD238" s="345"/>
      <c r="BE238" s="73"/>
      <c r="BF238" s="25"/>
      <c r="BG238" s="73"/>
      <c r="BH238" s="73"/>
      <c r="BI238" s="345"/>
      <c r="BJ238" s="73"/>
      <c r="BK238" s="25"/>
      <c r="BL238" s="73"/>
      <c r="BM238" s="73"/>
      <c r="BN238" s="345"/>
      <c r="BO238" s="73"/>
      <c r="BP238" s="25"/>
      <c r="BQ238" s="73"/>
      <c r="BR238" s="73"/>
      <c r="BS238" s="345"/>
      <c r="BT238" s="73"/>
      <c r="BU238" s="25"/>
      <c r="BV238" s="73"/>
      <c r="BW238" s="73"/>
      <c r="BX238" s="345"/>
      <c r="BY238" s="73"/>
      <c r="BZ238" s="25"/>
      <c r="CA238" s="73"/>
      <c r="CB238" s="73"/>
      <c r="CC238" s="345"/>
      <c r="CD238" s="73"/>
      <c r="CE238" s="25"/>
      <c r="CF238" s="73"/>
      <c r="CG238" s="73"/>
      <c r="CH238" s="345"/>
      <c r="CI238" s="73"/>
      <c r="CJ238" s="25"/>
      <c r="CK238" s="73"/>
      <c r="CL238" s="73"/>
      <c r="CM238" s="345"/>
      <c r="CN238" s="73"/>
      <c r="CO238" s="25"/>
      <c r="CP238" s="73"/>
      <c r="CQ238" s="73"/>
      <c r="CR238" s="345"/>
      <c r="CS238" s="73"/>
      <c r="CT238" s="25"/>
      <c r="CU238" s="73"/>
      <c r="CV238" s="73"/>
      <c r="CW238" s="345"/>
      <c r="CX238" s="73"/>
      <c r="CY238" s="25"/>
      <c r="CZ238" s="73"/>
      <c r="DA238" s="73"/>
      <c r="DB238" s="345"/>
      <c r="DC238" s="73"/>
      <c r="DD238" s="25"/>
      <c r="DE238" s="73"/>
      <c r="DF238" s="73"/>
      <c r="DG238" s="345"/>
      <c r="DH238" s="73"/>
      <c r="DI238" s="25"/>
      <c r="DJ238" s="73"/>
      <c r="DK238" s="73"/>
      <c r="DL238" s="345"/>
      <c r="DM238" s="73"/>
      <c r="DN238" s="25"/>
      <c r="DO238" s="73"/>
      <c r="DP238" s="73"/>
      <c r="DQ238" s="345"/>
      <c r="DR238" s="73"/>
      <c r="DS238" s="25"/>
      <c r="DT238" s="73"/>
      <c r="DU238" s="73"/>
      <c r="DV238" s="345"/>
      <c r="DW238" s="73"/>
      <c r="DX238" s="25"/>
      <c r="DY238" s="73"/>
      <c r="DZ238" s="73"/>
      <c r="EA238" s="345"/>
      <c r="EB238" s="73"/>
      <c r="EC238" s="25"/>
      <c r="ED238" s="73"/>
      <c r="EE238" s="73"/>
      <c r="EF238" s="345"/>
      <c r="EG238" s="73"/>
      <c r="EH238" s="25"/>
      <c r="EI238" s="73"/>
      <c r="EJ238" s="73"/>
      <c r="EK238" s="345"/>
      <c r="EL238" s="73"/>
      <c r="EM238" s="25"/>
      <c r="EN238" s="73"/>
      <c r="EO238" s="73"/>
      <c r="EP238" s="345"/>
      <c r="EQ238" s="73"/>
      <c r="ER238" s="25"/>
      <c r="ES238" s="73"/>
      <c r="ET238" s="73"/>
      <c r="EU238" s="345"/>
      <c r="EV238" s="73"/>
      <c r="EW238" s="25"/>
      <c r="EX238" s="73"/>
      <c r="EY238" s="73"/>
      <c r="EZ238" s="345"/>
      <c r="FA238" s="73"/>
      <c r="FB238" s="25"/>
      <c r="FC238" s="73"/>
      <c r="FD238" s="73"/>
      <c r="FE238" s="345"/>
      <c r="FF238" s="73"/>
      <c r="FG238" s="25"/>
      <c r="FH238" s="73"/>
      <c r="FI238" s="73"/>
      <c r="FJ238" s="345"/>
      <c r="FK238" s="73"/>
      <c r="FL238" s="25"/>
      <c r="FM238" s="73"/>
      <c r="FN238" s="73"/>
      <c r="FO238" s="345"/>
      <c r="FP238" s="73"/>
      <c r="FQ238" s="25"/>
      <c r="FR238" s="73"/>
      <c r="FS238" s="73"/>
      <c r="FT238" s="345"/>
      <c r="FU238" s="73"/>
      <c r="FV238" s="25"/>
      <c r="FW238" s="73"/>
      <c r="FX238" s="73"/>
      <c r="FY238" s="345"/>
      <c r="FZ238" s="73"/>
      <c r="GA238" s="25"/>
      <c r="GB238" s="73"/>
      <c r="GC238" s="73"/>
      <c r="GD238" s="345"/>
      <c r="GE238" s="73"/>
      <c r="GF238" s="25"/>
      <c r="GG238" s="73"/>
      <c r="GH238" s="73"/>
      <c r="GI238" s="345"/>
      <c r="GJ238" s="73"/>
      <c r="GK238" s="25"/>
      <c r="GL238" s="73"/>
      <c r="GM238" s="73"/>
      <c r="GN238" s="345"/>
      <c r="GO238" s="73"/>
      <c r="GP238" s="25"/>
      <c r="GQ238" s="73"/>
      <c r="GR238" s="73"/>
      <c r="GS238" s="345"/>
      <c r="GT238" s="73"/>
      <c r="GU238" s="25"/>
      <c r="GV238" s="73"/>
      <c r="GW238" s="73"/>
      <c r="GX238" s="345"/>
      <c r="GY238" s="73"/>
      <c r="GZ238" s="25"/>
      <c r="HA238" s="73"/>
      <c r="HB238" s="73"/>
      <c r="HC238" s="345"/>
      <c r="HD238" s="73"/>
      <c r="HE238" s="25"/>
      <c r="HF238" s="73"/>
      <c r="HG238" s="73"/>
      <c r="HH238" s="345"/>
      <c r="HI238" s="73"/>
      <c r="HJ238" s="25"/>
      <c r="HK238" s="73"/>
      <c r="HL238" s="73"/>
      <c r="HM238" s="345"/>
      <c r="HN238" s="73"/>
      <c r="HO238" s="25"/>
      <c r="HP238" s="73"/>
      <c r="HQ238" s="73"/>
      <c r="HR238" s="345"/>
      <c r="HS238" s="73"/>
      <c r="HT238" s="25"/>
      <c r="HU238" s="73"/>
      <c r="HV238" s="73"/>
      <c r="HW238" s="345"/>
      <c r="HX238" s="73"/>
      <c r="HY238" s="25"/>
      <c r="HZ238" s="73"/>
      <c r="IA238" s="73"/>
      <c r="IB238" s="345"/>
      <c r="IC238" s="73"/>
      <c r="ID238" s="25"/>
      <c r="IE238" s="73"/>
      <c r="IF238" s="73"/>
      <c r="IG238" s="345"/>
      <c r="IH238" s="73"/>
      <c r="II238" s="25"/>
      <c r="IJ238" s="73"/>
      <c r="IK238" s="73"/>
      <c r="IL238" s="345"/>
      <c r="IM238" s="73"/>
      <c r="IN238" s="25"/>
      <c r="IO238" s="73"/>
      <c r="IP238" s="73"/>
      <c r="IQ238" s="345"/>
      <c r="IR238" s="73"/>
      <c r="IS238" s="25"/>
      <c r="IT238" s="73"/>
      <c r="IU238" s="73"/>
      <c r="IV238" s="345"/>
    </row>
    <row r="239" spans="1:256" x14ac:dyDescent="0.2">
      <c r="A239" s="345">
        <v>34789</v>
      </c>
      <c r="B239" s="73"/>
      <c r="C239" s="25"/>
      <c r="D239" s="73"/>
      <c r="E239" s="73"/>
      <c r="F239" s="345"/>
      <c r="G239" s="73"/>
      <c r="H239" s="25"/>
      <c r="I239" s="73"/>
      <c r="J239" s="73"/>
      <c r="K239" s="345"/>
      <c r="L239" s="73"/>
      <c r="M239" s="25"/>
      <c r="N239" s="73"/>
      <c r="O239" s="73"/>
      <c r="P239" s="345"/>
      <c r="Q239" s="73"/>
      <c r="R239" s="25"/>
      <c r="S239" s="73"/>
      <c r="T239" s="73"/>
      <c r="U239" s="345"/>
      <c r="V239" s="73"/>
      <c r="W239" s="25"/>
      <c r="X239" s="73"/>
      <c r="Y239" s="73"/>
      <c r="Z239" s="345"/>
      <c r="AA239" s="73"/>
      <c r="AB239" s="25"/>
      <c r="AC239" s="73"/>
      <c r="AD239" s="73"/>
      <c r="AE239" s="345"/>
      <c r="AF239" s="73"/>
      <c r="AG239" s="25"/>
      <c r="AH239" s="73"/>
      <c r="AI239" s="73"/>
      <c r="AJ239" s="345"/>
      <c r="AK239" s="73"/>
      <c r="AL239" s="25"/>
      <c r="AM239" s="73"/>
      <c r="AN239" s="73"/>
      <c r="AO239" s="345"/>
      <c r="AP239" s="73"/>
      <c r="AQ239" s="25"/>
      <c r="AR239" s="73"/>
      <c r="AS239" s="73"/>
      <c r="AT239" s="345"/>
      <c r="AU239" s="73"/>
      <c r="AV239" s="25"/>
      <c r="AW239" s="73"/>
      <c r="AX239" s="73"/>
      <c r="AY239" s="345"/>
      <c r="AZ239" s="73"/>
      <c r="BA239" s="25"/>
      <c r="BB239" s="73"/>
      <c r="BC239" s="73"/>
      <c r="BD239" s="345"/>
      <c r="BE239" s="73"/>
      <c r="BF239" s="25"/>
      <c r="BG239" s="73"/>
      <c r="BH239" s="73"/>
      <c r="BI239" s="345"/>
      <c r="BJ239" s="73"/>
      <c r="BK239" s="25"/>
      <c r="BL239" s="73"/>
      <c r="BM239" s="73"/>
      <c r="BN239" s="345"/>
      <c r="BO239" s="73"/>
      <c r="BP239" s="25"/>
      <c r="BQ239" s="73"/>
      <c r="BR239" s="73"/>
      <c r="BS239" s="345"/>
      <c r="BT239" s="73"/>
      <c r="BU239" s="25"/>
      <c r="BV239" s="73"/>
      <c r="BW239" s="73"/>
      <c r="BX239" s="345"/>
      <c r="BY239" s="73"/>
      <c r="BZ239" s="25"/>
      <c r="CA239" s="73"/>
      <c r="CB239" s="73"/>
      <c r="CC239" s="345"/>
      <c r="CD239" s="73"/>
      <c r="CE239" s="25"/>
      <c r="CF239" s="73"/>
      <c r="CG239" s="73"/>
      <c r="CH239" s="345"/>
      <c r="CI239" s="73"/>
      <c r="CJ239" s="25"/>
      <c r="CK239" s="73"/>
      <c r="CL239" s="73"/>
      <c r="CM239" s="345"/>
      <c r="CN239" s="73"/>
      <c r="CO239" s="25"/>
      <c r="CP239" s="73"/>
      <c r="CQ239" s="73"/>
      <c r="CR239" s="345"/>
      <c r="CS239" s="73"/>
      <c r="CT239" s="25"/>
      <c r="CU239" s="73"/>
      <c r="CV239" s="73"/>
      <c r="CW239" s="345"/>
      <c r="CX239" s="73"/>
      <c r="CY239" s="25"/>
      <c r="CZ239" s="73"/>
      <c r="DA239" s="73"/>
      <c r="DB239" s="345"/>
      <c r="DC239" s="73"/>
      <c r="DD239" s="25"/>
      <c r="DE239" s="73"/>
      <c r="DF239" s="73"/>
      <c r="DG239" s="345"/>
      <c r="DH239" s="73"/>
      <c r="DI239" s="25"/>
      <c r="DJ239" s="73"/>
      <c r="DK239" s="73"/>
      <c r="DL239" s="345"/>
      <c r="DM239" s="73"/>
      <c r="DN239" s="25"/>
      <c r="DO239" s="73"/>
      <c r="DP239" s="73"/>
      <c r="DQ239" s="345"/>
      <c r="DR239" s="73"/>
      <c r="DS239" s="25"/>
      <c r="DT239" s="73"/>
      <c r="DU239" s="73"/>
      <c r="DV239" s="345"/>
      <c r="DW239" s="73"/>
      <c r="DX239" s="25"/>
      <c r="DY239" s="73"/>
      <c r="DZ239" s="73"/>
      <c r="EA239" s="345"/>
      <c r="EB239" s="73"/>
      <c r="EC239" s="25"/>
      <c r="ED239" s="73"/>
      <c r="EE239" s="73"/>
      <c r="EF239" s="345"/>
      <c r="EG239" s="73"/>
      <c r="EH239" s="25"/>
      <c r="EI239" s="73"/>
      <c r="EJ239" s="73"/>
      <c r="EK239" s="345"/>
      <c r="EL239" s="73"/>
      <c r="EM239" s="25"/>
      <c r="EN239" s="73"/>
      <c r="EO239" s="73"/>
      <c r="EP239" s="345"/>
      <c r="EQ239" s="73"/>
      <c r="ER239" s="25"/>
      <c r="ES239" s="73"/>
      <c r="ET239" s="73"/>
      <c r="EU239" s="345"/>
      <c r="EV239" s="73"/>
      <c r="EW239" s="25"/>
      <c r="EX239" s="73"/>
      <c r="EY239" s="73"/>
      <c r="EZ239" s="345"/>
      <c r="FA239" s="73"/>
      <c r="FB239" s="25"/>
      <c r="FC239" s="73"/>
      <c r="FD239" s="73"/>
      <c r="FE239" s="345"/>
      <c r="FF239" s="73"/>
      <c r="FG239" s="25"/>
      <c r="FH239" s="73"/>
      <c r="FI239" s="73"/>
      <c r="FJ239" s="345"/>
      <c r="FK239" s="73"/>
      <c r="FL239" s="25"/>
      <c r="FM239" s="73"/>
      <c r="FN239" s="73"/>
      <c r="FO239" s="345"/>
      <c r="FP239" s="73"/>
      <c r="FQ239" s="25"/>
      <c r="FR239" s="73"/>
      <c r="FS239" s="73"/>
      <c r="FT239" s="345"/>
      <c r="FU239" s="73"/>
      <c r="FV239" s="25"/>
      <c r="FW239" s="73"/>
      <c r="FX239" s="73"/>
      <c r="FY239" s="345"/>
      <c r="FZ239" s="73"/>
      <c r="GA239" s="25"/>
      <c r="GB239" s="73"/>
      <c r="GC239" s="73"/>
      <c r="GD239" s="345"/>
      <c r="GE239" s="73"/>
      <c r="GF239" s="25"/>
      <c r="GG239" s="73"/>
      <c r="GH239" s="73"/>
      <c r="GI239" s="345"/>
      <c r="GJ239" s="73"/>
      <c r="GK239" s="25"/>
      <c r="GL239" s="73"/>
      <c r="GM239" s="73"/>
      <c r="GN239" s="345"/>
      <c r="GO239" s="73"/>
      <c r="GP239" s="25"/>
      <c r="GQ239" s="73"/>
      <c r="GR239" s="73"/>
      <c r="GS239" s="345"/>
      <c r="GT239" s="73"/>
      <c r="GU239" s="25"/>
      <c r="GV239" s="73"/>
      <c r="GW239" s="73"/>
      <c r="GX239" s="345"/>
      <c r="GY239" s="73"/>
      <c r="GZ239" s="25"/>
      <c r="HA239" s="73"/>
      <c r="HB239" s="73"/>
      <c r="HC239" s="345"/>
      <c r="HD239" s="73"/>
      <c r="HE239" s="25"/>
      <c r="HF239" s="73"/>
      <c r="HG239" s="73"/>
      <c r="HH239" s="345"/>
      <c r="HI239" s="73"/>
      <c r="HJ239" s="25"/>
      <c r="HK239" s="73"/>
      <c r="HL239" s="73"/>
      <c r="HM239" s="345"/>
      <c r="HN239" s="73"/>
      <c r="HO239" s="25"/>
      <c r="HP239" s="73"/>
      <c r="HQ239" s="73"/>
      <c r="HR239" s="345"/>
      <c r="HS239" s="73"/>
      <c r="HT239" s="25"/>
      <c r="HU239" s="73"/>
      <c r="HV239" s="73"/>
      <c r="HW239" s="345"/>
      <c r="HX239" s="73"/>
      <c r="HY239" s="25"/>
      <c r="HZ239" s="73"/>
      <c r="IA239" s="73"/>
      <c r="IB239" s="345"/>
      <c r="IC239" s="73"/>
      <c r="ID239" s="25"/>
      <c r="IE239" s="73"/>
      <c r="IF239" s="73"/>
      <c r="IG239" s="345"/>
      <c r="IH239" s="73"/>
      <c r="II239" s="25"/>
      <c r="IJ239" s="73"/>
      <c r="IK239" s="73"/>
      <c r="IL239" s="345"/>
      <c r="IM239" s="73"/>
      <c r="IN239" s="25"/>
      <c r="IO239" s="73"/>
      <c r="IP239" s="73"/>
      <c r="IQ239" s="345"/>
      <c r="IR239" s="73"/>
      <c r="IS239" s="25"/>
      <c r="IT239" s="73"/>
      <c r="IU239" s="73"/>
      <c r="IV239" s="345"/>
    </row>
    <row r="240" spans="1:256" x14ac:dyDescent="0.2">
      <c r="A240" s="345">
        <v>34819</v>
      </c>
      <c r="B240" s="73"/>
      <c r="C240" s="25"/>
      <c r="D240" s="73"/>
      <c r="E240" s="73"/>
      <c r="F240" s="345"/>
      <c r="G240" s="73"/>
      <c r="H240" s="25"/>
      <c r="I240" s="73"/>
      <c r="J240" s="73"/>
      <c r="K240" s="345"/>
      <c r="L240" s="73"/>
      <c r="M240" s="25"/>
      <c r="N240" s="73"/>
      <c r="O240" s="73"/>
      <c r="P240" s="345"/>
      <c r="Q240" s="73"/>
      <c r="R240" s="25"/>
      <c r="S240" s="73"/>
      <c r="T240" s="73"/>
      <c r="U240" s="345"/>
      <c r="V240" s="73"/>
      <c r="W240" s="25"/>
      <c r="X240" s="73"/>
      <c r="Y240" s="73"/>
      <c r="Z240" s="345"/>
      <c r="AA240" s="73"/>
      <c r="AB240" s="25"/>
      <c r="AC240" s="73"/>
      <c r="AD240" s="73"/>
      <c r="AE240" s="345"/>
      <c r="AF240" s="73"/>
      <c r="AG240" s="25"/>
      <c r="AH240" s="73"/>
      <c r="AI240" s="73"/>
      <c r="AJ240" s="345"/>
      <c r="AK240" s="73"/>
      <c r="AL240" s="25"/>
      <c r="AM240" s="73"/>
      <c r="AN240" s="73"/>
      <c r="AO240" s="345"/>
      <c r="AP240" s="73"/>
      <c r="AQ240" s="25"/>
      <c r="AR240" s="73"/>
      <c r="AS240" s="73"/>
      <c r="AT240" s="345"/>
      <c r="AU240" s="73"/>
      <c r="AV240" s="25"/>
      <c r="AW240" s="73"/>
      <c r="AX240" s="73"/>
      <c r="AY240" s="345"/>
      <c r="AZ240" s="73"/>
      <c r="BA240" s="25"/>
      <c r="BB240" s="73"/>
      <c r="BC240" s="73"/>
      <c r="BD240" s="345"/>
      <c r="BE240" s="73"/>
      <c r="BF240" s="25"/>
      <c r="BG240" s="73"/>
      <c r="BH240" s="73"/>
      <c r="BI240" s="345"/>
      <c r="BJ240" s="73"/>
      <c r="BK240" s="25"/>
      <c r="BL240" s="73"/>
      <c r="BM240" s="73"/>
      <c r="BN240" s="345"/>
      <c r="BO240" s="73"/>
      <c r="BP240" s="25"/>
      <c r="BQ240" s="73"/>
      <c r="BR240" s="73"/>
      <c r="BS240" s="345"/>
      <c r="BT240" s="73"/>
      <c r="BU240" s="25"/>
      <c r="BV240" s="73"/>
      <c r="BW240" s="73"/>
      <c r="BX240" s="345"/>
      <c r="BY240" s="73"/>
      <c r="BZ240" s="25"/>
      <c r="CA240" s="73"/>
      <c r="CB240" s="73"/>
      <c r="CC240" s="345"/>
      <c r="CD240" s="73"/>
      <c r="CE240" s="25"/>
      <c r="CF240" s="73"/>
      <c r="CG240" s="73"/>
      <c r="CH240" s="345"/>
      <c r="CI240" s="73"/>
      <c r="CJ240" s="25"/>
      <c r="CK240" s="73"/>
      <c r="CL240" s="73"/>
      <c r="CM240" s="345"/>
      <c r="CN240" s="73"/>
      <c r="CO240" s="25"/>
      <c r="CP240" s="73"/>
      <c r="CQ240" s="73"/>
      <c r="CR240" s="345"/>
      <c r="CS240" s="73"/>
      <c r="CT240" s="25"/>
      <c r="CU240" s="73"/>
      <c r="CV240" s="73"/>
      <c r="CW240" s="345"/>
      <c r="CX240" s="73"/>
      <c r="CY240" s="25"/>
      <c r="CZ240" s="73"/>
      <c r="DA240" s="73"/>
      <c r="DB240" s="345"/>
      <c r="DC240" s="73"/>
      <c r="DD240" s="25"/>
      <c r="DE240" s="73"/>
      <c r="DF240" s="73"/>
      <c r="DG240" s="345"/>
      <c r="DH240" s="73"/>
      <c r="DI240" s="25"/>
      <c r="DJ240" s="73"/>
      <c r="DK240" s="73"/>
      <c r="DL240" s="345"/>
      <c r="DM240" s="73"/>
      <c r="DN240" s="25"/>
      <c r="DO240" s="73"/>
      <c r="DP240" s="73"/>
      <c r="DQ240" s="345"/>
      <c r="DR240" s="73"/>
      <c r="DS240" s="25"/>
      <c r="DT240" s="73"/>
      <c r="DU240" s="73"/>
      <c r="DV240" s="345"/>
      <c r="DW240" s="73"/>
      <c r="DX240" s="25"/>
      <c r="DY240" s="73"/>
      <c r="DZ240" s="73"/>
      <c r="EA240" s="345"/>
      <c r="EB240" s="73"/>
      <c r="EC240" s="25"/>
      <c r="ED240" s="73"/>
      <c r="EE240" s="73"/>
      <c r="EF240" s="345"/>
      <c r="EG240" s="73"/>
      <c r="EH240" s="25"/>
      <c r="EI240" s="73"/>
      <c r="EJ240" s="73"/>
      <c r="EK240" s="345"/>
      <c r="EL240" s="73"/>
      <c r="EM240" s="25"/>
      <c r="EN240" s="73"/>
      <c r="EO240" s="73"/>
      <c r="EP240" s="345"/>
      <c r="EQ240" s="73"/>
      <c r="ER240" s="25"/>
      <c r="ES240" s="73"/>
      <c r="ET240" s="73"/>
      <c r="EU240" s="345"/>
      <c r="EV240" s="73"/>
      <c r="EW240" s="25"/>
      <c r="EX240" s="73"/>
      <c r="EY240" s="73"/>
      <c r="EZ240" s="345"/>
      <c r="FA240" s="73"/>
      <c r="FB240" s="25"/>
      <c r="FC240" s="73"/>
      <c r="FD240" s="73"/>
      <c r="FE240" s="345"/>
      <c r="FF240" s="73"/>
      <c r="FG240" s="25"/>
      <c r="FH240" s="73"/>
      <c r="FI240" s="73"/>
      <c r="FJ240" s="345"/>
      <c r="FK240" s="73"/>
      <c r="FL240" s="25"/>
      <c r="FM240" s="73"/>
      <c r="FN240" s="73"/>
      <c r="FO240" s="345"/>
      <c r="FP240" s="73"/>
      <c r="FQ240" s="25"/>
      <c r="FR240" s="73"/>
      <c r="FS240" s="73"/>
      <c r="FT240" s="345"/>
      <c r="FU240" s="73"/>
      <c r="FV240" s="25"/>
      <c r="FW240" s="73"/>
      <c r="FX240" s="73"/>
      <c r="FY240" s="345"/>
      <c r="FZ240" s="73"/>
      <c r="GA240" s="25"/>
      <c r="GB240" s="73"/>
      <c r="GC240" s="73"/>
      <c r="GD240" s="345"/>
      <c r="GE240" s="73"/>
      <c r="GF240" s="25"/>
      <c r="GG240" s="73"/>
      <c r="GH240" s="73"/>
      <c r="GI240" s="345"/>
      <c r="GJ240" s="73"/>
      <c r="GK240" s="25"/>
      <c r="GL240" s="73"/>
      <c r="GM240" s="73"/>
      <c r="GN240" s="345"/>
      <c r="GO240" s="73"/>
      <c r="GP240" s="25"/>
      <c r="GQ240" s="73"/>
      <c r="GR240" s="73"/>
      <c r="GS240" s="345"/>
      <c r="GT240" s="73"/>
      <c r="GU240" s="25"/>
      <c r="GV240" s="73"/>
      <c r="GW240" s="73"/>
      <c r="GX240" s="345"/>
      <c r="GY240" s="73"/>
      <c r="GZ240" s="25"/>
      <c r="HA240" s="73"/>
      <c r="HB240" s="73"/>
      <c r="HC240" s="345"/>
      <c r="HD240" s="73"/>
      <c r="HE240" s="25"/>
      <c r="HF240" s="73"/>
      <c r="HG240" s="73"/>
      <c r="HH240" s="345"/>
      <c r="HI240" s="73"/>
      <c r="HJ240" s="25"/>
      <c r="HK240" s="73"/>
      <c r="HL240" s="73"/>
      <c r="HM240" s="345"/>
      <c r="HN240" s="73"/>
      <c r="HO240" s="25"/>
      <c r="HP240" s="73"/>
      <c r="HQ240" s="73"/>
      <c r="HR240" s="345"/>
      <c r="HS240" s="73"/>
      <c r="HT240" s="25"/>
      <c r="HU240" s="73"/>
      <c r="HV240" s="73"/>
      <c r="HW240" s="345"/>
      <c r="HX240" s="73"/>
      <c r="HY240" s="25"/>
      <c r="HZ240" s="73"/>
      <c r="IA240" s="73"/>
      <c r="IB240" s="345"/>
      <c r="IC240" s="73"/>
      <c r="ID240" s="25"/>
      <c r="IE240" s="73"/>
      <c r="IF240" s="73"/>
      <c r="IG240" s="345"/>
      <c r="IH240" s="73"/>
      <c r="II240" s="25"/>
      <c r="IJ240" s="73"/>
      <c r="IK240" s="73"/>
      <c r="IL240" s="345"/>
      <c r="IM240" s="73"/>
      <c r="IN240" s="25"/>
      <c r="IO240" s="73"/>
      <c r="IP240" s="73"/>
      <c r="IQ240" s="345"/>
      <c r="IR240" s="73"/>
      <c r="IS240" s="25"/>
      <c r="IT240" s="73"/>
      <c r="IU240" s="73"/>
      <c r="IV240" s="345"/>
    </row>
    <row r="241" spans="1:256" x14ac:dyDescent="0.2">
      <c r="A241" s="345">
        <v>34850</v>
      </c>
      <c r="B241" s="73"/>
      <c r="C241" s="25"/>
      <c r="D241" s="73"/>
      <c r="E241" s="73"/>
      <c r="F241" s="345"/>
      <c r="G241" s="73"/>
      <c r="H241" s="25"/>
      <c r="I241" s="73"/>
      <c r="J241" s="73"/>
      <c r="K241" s="345"/>
      <c r="L241" s="73"/>
      <c r="M241" s="25"/>
      <c r="N241" s="73"/>
      <c r="O241" s="73"/>
      <c r="P241" s="345"/>
      <c r="Q241" s="73"/>
      <c r="R241" s="25"/>
      <c r="S241" s="73"/>
      <c r="T241" s="73"/>
      <c r="U241" s="345"/>
      <c r="V241" s="73"/>
      <c r="W241" s="25"/>
      <c r="X241" s="73"/>
      <c r="Y241" s="73"/>
      <c r="Z241" s="345"/>
      <c r="AA241" s="73"/>
      <c r="AB241" s="25"/>
      <c r="AC241" s="73"/>
      <c r="AD241" s="73"/>
      <c r="AE241" s="345"/>
      <c r="AF241" s="73"/>
      <c r="AG241" s="25"/>
      <c r="AH241" s="73"/>
      <c r="AI241" s="73"/>
      <c r="AJ241" s="345"/>
      <c r="AK241" s="73"/>
      <c r="AL241" s="25"/>
      <c r="AM241" s="73"/>
      <c r="AN241" s="73"/>
      <c r="AO241" s="345"/>
      <c r="AP241" s="73"/>
      <c r="AQ241" s="25"/>
      <c r="AR241" s="73"/>
      <c r="AS241" s="73"/>
      <c r="AT241" s="345"/>
      <c r="AU241" s="73"/>
      <c r="AV241" s="25"/>
      <c r="AW241" s="73"/>
      <c r="AX241" s="73"/>
      <c r="AY241" s="345"/>
      <c r="AZ241" s="73"/>
      <c r="BA241" s="25"/>
      <c r="BB241" s="73"/>
      <c r="BC241" s="73"/>
      <c r="BD241" s="345"/>
      <c r="BE241" s="73"/>
      <c r="BF241" s="25"/>
      <c r="BG241" s="73"/>
      <c r="BH241" s="73"/>
      <c r="BI241" s="345"/>
      <c r="BJ241" s="73"/>
      <c r="BK241" s="25"/>
      <c r="BL241" s="73"/>
      <c r="BM241" s="73"/>
      <c r="BN241" s="345"/>
      <c r="BO241" s="73"/>
      <c r="BP241" s="25"/>
      <c r="BQ241" s="73"/>
      <c r="BR241" s="73"/>
      <c r="BS241" s="345"/>
      <c r="BT241" s="73"/>
      <c r="BU241" s="25"/>
      <c r="BV241" s="73"/>
      <c r="BW241" s="73"/>
      <c r="BX241" s="345"/>
      <c r="BY241" s="73"/>
      <c r="BZ241" s="25"/>
      <c r="CA241" s="73"/>
      <c r="CB241" s="73"/>
      <c r="CC241" s="345"/>
      <c r="CD241" s="73"/>
      <c r="CE241" s="25"/>
      <c r="CF241" s="73"/>
      <c r="CG241" s="73"/>
      <c r="CH241" s="345"/>
      <c r="CI241" s="73"/>
      <c r="CJ241" s="25"/>
      <c r="CK241" s="73"/>
      <c r="CL241" s="73"/>
      <c r="CM241" s="345"/>
      <c r="CN241" s="73"/>
      <c r="CO241" s="25"/>
      <c r="CP241" s="73"/>
      <c r="CQ241" s="73"/>
      <c r="CR241" s="345"/>
      <c r="CS241" s="73"/>
      <c r="CT241" s="25"/>
      <c r="CU241" s="73"/>
      <c r="CV241" s="73"/>
      <c r="CW241" s="345"/>
      <c r="CX241" s="73"/>
      <c r="CY241" s="25"/>
      <c r="CZ241" s="73"/>
      <c r="DA241" s="73"/>
      <c r="DB241" s="345"/>
      <c r="DC241" s="73"/>
      <c r="DD241" s="25"/>
      <c r="DE241" s="73"/>
      <c r="DF241" s="73"/>
      <c r="DG241" s="345"/>
      <c r="DH241" s="73"/>
      <c r="DI241" s="25"/>
      <c r="DJ241" s="73"/>
      <c r="DK241" s="73"/>
      <c r="DL241" s="345"/>
      <c r="DM241" s="73"/>
      <c r="DN241" s="25"/>
      <c r="DO241" s="73"/>
      <c r="DP241" s="73"/>
      <c r="DQ241" s="345"/>
      <c r="DR241" s="73"/>
      <c r="DS241" s="25"/>
      <c r="DT241" s="73"/>
      <c r="DU241" s="73"/>
      <c r="DV241" s="345"/>
      <c r="DW241" s="73"/>
      <c r="DX241" s="25"/>
      <c r="DY241" s="73"/>
      <c r="DZ241" s="73"/>
      <c r="EA241" s="345"/>
      <c r="EB241" s="73"/>
      <c r="EC241" s="25"/>
      <c r="ED241" s="73"/>
      <c r="EE241" s="73"/>
      <c r="EF241" s="345"/>
      <c r="EG241" s="73"/>
      <c r="EH241" s="25"/>
      <c r="EI241" s="73"/>
      <c r="EJ241" s="73"/>
      <c r="EK241" s="345"/>
      <c r="EL241" s="73"/>
      <c r="EM241" s="25"/>
      <c r="EN241" s="73"/>
      <c r="EO241" s="73"/>
      <c r="EP241" s="345"/>
      <c r="EQ241" s="73"/>
      <c r="ER241" s="25"/>
      <c r="ES241" s="73"/>
      <c r="ET241" s="73"/>
      <c r="EU241" s="345"/>
      <c r="EV241" s="73"/>
      <c r="EW241" s="25"/>
      <c r="EX241" s="73"/>
      <c r="EY241" s="73"/>
      <c r="EZ241" s="345"/>
      <c r="FA241" s="73"/>
      <c r="FB241" s="25"/>
      <c r="FC241" s="73"/>
      <c r="FD241" s="73"/>
      <c r="FE241" s="345"/>
      <c r="FF241" s="73"/>
      <c r="FG241" s="25"/>
      <c r="FH241" s="73"/>
      <c r="FI241" s="73"/>
      <c r="FJ241" s="345"/>
      <c r="FK241" s="73"/>
      <c r="FL241" s="25"/>
      <c r="FM241" s="73"/>
      <c r="FN241" s="73"/>
      <c r="FO241" s="345"/>
      <c r="FP241" s="73"/>
      <c r="FQ241" s="25"/>
      <c r="FR241" s="73"/>
      <c r="FS241" s="73"/>
      <c r="FT241" s="345"/>
      <c r="FU241" s="73"/>
      <c r="FV241" s="25"/>
      <c r="FW241" s="73"/>
      <c r="FX241" s="73"/>
      <c r="FY241" s="345"/>
      <c r="FZ241" s="73"/>
      <c r="GA241" s="25"/>
      <c r="GB241" s="73"/>
      <c r="GC241" s="73"/>
      <c r="GD241" s="345"/>
      <c r="GE241" s="73"/>
      <c r="GF241" s="25"/>
      <c r="GG241" s="73"/>
      <c r="GH241" s="73"/>
      <c r="GI241" s="345"/>
      <c r="GJ241" s="73"/>
      <c r="GK241" s="25"/>
      <c r="GL241" s="73"/>
      <c r="GM241" s="73"/>
      <c r="GN241" s="345"/>
      <c r="GO241" s="73"/>
      <c r="GP241" s="25"/>
      <c r="GQ241" s="73"/>
      <c r="GR241" s="73"/>
      <c r="GS241" s="345"/>
      <c r="GT241" s="73"/>
      <c r="GU241" s="25"/>
      <c r="GV241" s="73"/>
      <c r="GW241" s="73"/>
      <c r="GX241" s="345"/>
      <c r="GY241" s="73"/>
      <c r="GZ241" s="25"/>
      <c r="HA241" s="73"/>
      <c r="HB241" s="73"/>
      <c r="HC241" s="345"/>
      <c r="HD241" s="73"/>
      <c r="HE241" s="25"/>
      <c r="HF241" s="73"/>
      <c r="HG241" s="73"/>
      <c r="HH241" s="345"/>
      <c r="HI241" s="73"/>
      <c r="HJ241" s="25"/>
      <c r="HK241" s="73"/>
      <c r="HL241" s="73"/>
      <c r="HM241" s="345"/>
      <c r="HN241" s="73"/>
      <c r="HO241" s="25"/>
      <c r="HP241" s="73"/>
      <c r="HQ241" s="73"/>
      <c r="HR241" s="345"/>
      <c r="HS241" s="73"/>
      <c r="HT241" s="25"/>
      <c r="HU241" s="73"/>
      <c r="HV241" s="73"/>
      <c r="HW241" s="345"/>
      <c r="HX241" s="73"/>
      <c r="HY241" s="25"/>
      <c r="HZ241" s="73"/>
      <c r="IA241" s="73"/>
      <c r="IB241" s="345"/>
      <c r="IC241" s="73"/>
      <c r="ID241" s="25"/>
      <c r="IE241" s="73"/>
      <c r="IF241" s="73"/>
      <c r="IG241" s="345"/>
      <c r="IH241" s="73"/>
      <c r="II241" s="25"/>
      <c r="IJ241" s="73"/>
      <c r="IK241" s="73"/>
      <c r="IL241" s="345"/>
      <c r="IM241" s="73"/>
      <c r="IN241" s="25"/>
      <c r="IO241" s="73"/>
      <c r="IP241" s="73"/>
      <c r="IQ241" s="345"/>
      <c r="IR241" s="73"/>
      <c r="IS241" s="25"/>
      <c r="IT241" s="73"/>
      <c r="IU241" s="73"/>
      <c r="IV241" s="345"/>
    </row>
    <row r="242" spans="1:256" x14ac:dyDescent="0.2">
      <c r="A242" s="345">
        <v>34880</v>
      </c>
      <c r="B242" s="73"/>
      <c r="C242" s="25"/>
      <c r="D242" s="73"/>
      <c r="E242" s="73"/>
      <c r="F242" s="345"/>
      <c r="G242" s="73"/>
      <c r="H242" s="25"/>
      <c r="I242" s="73"/>
      <c r="J242" s="73"/>
      <c r="K242" s="345"/>
      <c r="L242" s="73"/>
      <c r="M242" s="25"/>
      <c r="N242" s="73"/>
      <c r="O242" s="73"/>
      <c r="P242" s="345"/>
      <c r="Q242" s="73"/>
      <c r="R242" s="25"/>
      <c r="S242" s="73"/>
      <c r="T242" s="73"/>
      <c r="U242" s="345"/>
      <c r="V242" s="73"/>
      <c r="W242" s="25"/>
      <c r="X242" s="73"/>
      <c r="Y242" s="73"/>
      <c r="Z242" s="345"/>
      <c r="AA242" s="73"/>
      <c r="AB242" s="25"/>
      <c r="AC242" s="73"/>
      <c r="AD242" s="73"/>
      <c r="AE242" s="345"/>
      <c r="AF242" s="73"/>
      <c r="AG242" s="25"/>
      <c r="AH242" s="73"/>
      <c r="AI242" s="73"/>
      <c r="AJ242" s="345"/>
      <c r="AK242" s="73"/>
      <c r="AL242" s="25"/>
      <c r="AM242" s="73"/>
      <c r="AN242" s="73"/>
      <c r="AO242" s="345"/>
      <c r="AP242" s="73"/>
      <c r="AQ242" s="25"/>
      <c r="AR242" s="73"/>
      <c r="AS242" s="73"/>
      <c r="AT242" s="345"/>
      <c r="AU242" s="73"/>
      <c r="AV242" s="25"/>
      <c r="AW242" s="73"/>
      <c r="AX242" s="73"/>
      <c r="AY242" s="345"/>
      <c r="AZ242" s="73"/>
      <c r="BA242" s="25"/>
      <c r="BB242" s="73"/>
      <c r="BC242" s="73"/>
      <c r="BD242" s="345"/>
      <c r="BE242" s="73"/>
      <c r="BF242" s="25"/>
      <c r="BG242" s="73"/>
      <c r="BH242" s="73"/>
      <c r="BI242" s="345"/>
      <c r="BJ242" s="73"/>
      <c r="BK242" s="25"/>
      <c r="BL242" s="73"/>
      <c r="BM242" s="73"/>
      <c r="BN242" s="345"/>
      <c r="BO242" s="73"/>
      <c r="BP242" s="25"/>
      <c r="BQ242" s="73"/>
      <c r="BR242" s="73"/>
      <c r="BS242" s="345"/>
      <c r="BT242" s="73"/>
      <c r="BU242" s="25"/>
      <c r="BV242" s="73"/>
      <c r="BW242" s="73"/>
      <c r="BX242" s="345"/>
      <c r="BY242" s="73"/>
      <c r="BZ242" s="25"/>
      <c r="CA242" s="73"/>
      <c r="CB242" s="73"/>
      <c r="CC242" s="345"/>
      <c r="CD242" s="73"/>
      <c r="CE242" s="25"/>
      <c r="CF242" s="73"/>
      <c r="CG242" s="73"/>
      <c r="CH242" s="345"/>
      <c r="CI242" s="73"/>
      <c r="CJ242" s="25"/>
      <c r="CK242" s="73"/>
      <c r="CL242" s="73"/>
      <c r="CM242" s="345"/>
      <c r="CN242" s="73"/>
      <c r="CO242" s="25"/>
      <c r="CP242" s="73"/>
      <c r="CQ242" s="73"/>
      <c r="CR242" s="345"/>
      <c r="CS242" s="73"/>
      <c r="CT242" s="25"/>
      <c r="CU242" s="73"/>
      <c r="CV242" s="73"/>
      <c r="CW242" s="345"/>
      <c r="CX242" s="73"/>
      <c r="CY242" s="25"/>
      <c r="CZ242" s="73"/>
      <c r="DA242" s="73"/>
      <c r="DB242" s="345"/>
      <c r="DC242" s="73"/>
      <c r="DD242" s="25"/>
      <c r="DE242" s="73"/>
      <c r="DF242" s="73"/>
      <c r="DG242" s="345"/>
      <c r="DH242" s="73"/>
      <c r="DI242" s="25"/>
      <c r="DJ242" s="73"/>
      <c r="DK242" s="73"/>
      <c r="DL242" s="345"/>
      <c r="DM242" s="73"/>
      <c r="DN242" s="25"/>
      <c r="DO242" s="73"/>
      <c r="DP242" s="73"/>
      <c r="DQ242" s="345"/>
      <c r="DR242" s="73"/>
      <c r="DS242" s="25"/>
      <c r="DT242" s="73"/>
      <c r="DU242" s="73"/>
      <c r="DV242" s="345"/>
      <c r="DW242" s="73"/>
      <c r="DX242" s="25"/>
      <c r="DY242" s="73"/>
      <c r="DZ242" s="73"/>
      <c r="EA242" s="345"/>
      <c r="EB242" s="73"/>
      <c r="EC242" s="25"/>
      <c r="ED242" s="73"/>
      <c r="EE242" s="73"/>
      <c r="EF242" s="345"/>
      <c r="EG242" s="73"/>
      <c r="EH242" s="25"/>
      <c r="EI242" s="73"/>
      <c r="EJ242" s="73"/>
      <c r="EK242" s="345"/>
      <c r="EL242" s="73"/>
      <c r="EM242" s="25"/>
      <c r="EN242" s="73"/>
      <c r="EO242" s="73"/>
      <c r="EP242" s="345"/>
      <c r="EQ242" s="73"/>
      <c r="ER242" s="25"/>
      <c r="ES242" s="73"/>
      <c r="ET242" s="73"/>
      <c r="EU242" s="345"/>
      <c r="EV242" s="73"/>
      <c r="EW242" s="25"/>
      <c r="EX242" s="73"/>
      <c r="EY242" s="73"/>
      <c r="EZ242" s="345"/>
      <c r="FA242" s="73"/>
      <c r="FB242" s="25"/>
      <c r="FC242" s="73"/>
      <c r="FD242" s="73"/>
      <c r="FE242" s="345"/>
      <c r="FF242" s="73"/>
      <c r="FG242" s="25"/>
      <c r="FH242" s="73"/>
      <c r="FI242" s="73"/>
      <c r="FJ242" s="345"/>
      <c r="FK242" s="73"/>
      <c r="FL242" s="25"/>
      <c r="FM242" s="73"/>
      <c r="FN242" s="73"/>
      <c r="FO242" s="345"/>
      <c r="FP242" s="73"/>
      <c r="FQ242" s="25"/>
      <c r="FR242" s="73"/>
      <c r="FS242" s="73"/>
      <c r="FT242" s="345"/>
      <c r="FU242" s="73"/>
      <c r="FV242" s="25"/>
      <c r="FW242" s="73"/>
      <c r="FX242" s="73"/>
      <c r="FY242" s="345"/>
      <c r="FZ242" s="73"/>
      <c r="GA242" s="25"/>
      <c r="GB242" s="73"/>
      <c r="GC242" s="73"/>
      <c r="GD242" s="345"/>
      <c r="GE242" s="73"/>
      <c r="GF242" s="25"/>
      <c r="GG242" s="73"/>
      <c r="GH242" s="73"/>
      <c r="GI242" s="345"/>
      <c r="GJ242" s="73"/>
      <c r="GK242" s="25"/>
      <c r="GL242" s="73"/>
      <c r="GM242" s="73"/>
      <c r="GN242" s="345"/>
      <c r="GO242" s="73"/>
      <c r="GP242" s="25"/>
      <c r="GQ242" s="73"/>
      <c r="GR242" s="73"/>
      <c r="GS242" s="345"/>
      <c r="GT242" s="73"/>
      <c r="GU242" s="25"/>
      <c r="GV242" s="73"/>
      <c r="GW242" s="73"/>
      <c r="GX242" s="345"/>
      <c r="GY242" s="73"/>
      <c r="GZ242" s="25"/>
      <c r="HA242" s="73"/>
      <c r="HB242" s="73"/>
      <c r="HC242" s="345"/>
      <c r="HD242" s="73"/>
      <c r="HE242" s="25"/>
      <c r="HF242" s="73"/>
      <c r="HG242" s="73"/>
      <c r="HH242" s="345"/>
      <c r="HI242" s="73"/>
      <c r="HJ242" s="25"/>
      <c r="HK242" s="73"/>
      <c r="HL242" s="73"/>
      <c r="HM242" s="345"/>
      <c r="HN242" s="73"/>
      <c r="HO242" s="25"/>
      <c r="HP242" s="73"/>
      <c r="HQ242" s="73"/>
      <c r="HR242" s="345"/>
      <c r="HS242" s="73"/>
      <c r="HT242" s="25"/>
      <c r="HU242" s="73"/>
      <c r="HV242" s="73"/>
      <c r="HW242" s="345"/>
      <c r="HX242" s="73"/>
      <c r="HY242" s="25"/>
      <c r="HZ242" s="73"/>
      <c r="IA242" s="73"/>
      <c r="IB242" s="345"/>
      <c r="IC242" s="73"/>
      <c r="ID242" s="25"/>
      <c r="IE242" s="73"/>
      <c r="IF242" s="73"/>
      <c r="IG242" s="345"/>
      <c r="IH242" s="73"/>
      <c r="II242" s="25"/>
      <c r="IJ242" s="73"/>
      <c r="IK242" s="73"/>
      <c r="IL242" s="345"/>
      <c r="IM242" s="73"/>
      <c r="IN242" s="25"/>
      <c r="IO242" s="73"/>
      <c r="IP242" s="73"/>
      <c r="IQ242" s="345"/>
      <c r="IR242" s="73"/>
      <c r="IS242" s="25"/>
      <c r="IT242" s="73"/>
      <c r="IU242" s="73"/>
      <c r="IV242" s="345"/>
    </row>
    <row r="243" spans="1:256" x14ac:dyDescent="0.2">
      <c r="A243" s="345">
        <v>34911</v>
      </c>
      <c r="B243" s="73"/>
      <c r="C243" s="25"/>
      <c r="D243" s="73"/>
      <c r="E243" s="73"/>
      <c r="F243" s="345"/>
      <c r="G243" s="73"/>
      <c r="H243" s="25"/>
      <c r="I243" s="73"/>
      <c r="J243" s="73"/>
      <c r="K243" s="345"/>
      <c r="L243" s="73"/>
      <c r="M243" s="25"/>
      <c r="N243" s="73"/>
      <c r="O243" s="73"/>
      <c r="P243" s="345"/>
      <c r="Q243" s="73"/>
      <c r="R243" s="25"/>
      <c r="S243" s="73"/>
      <c r="T243" s="73"/>
      <c r="U243" s="345"/>
      <c r="V243" s="73"/>
      <c r="W243" s="25"/>
      <c r="X243" s="73"/>
      <c r="Y243" s="73"/>
      <c r="Z243" s="345"/>
      <c r="AA243" s="73"/>
      <c r="AB243" s="25"/>
      <c r="AC243" s="73"/>
      <c r="AD243" s="73"/>
      <c r="AE243" s="345"/>
      <c r="AF243" s="73"/>
      <c r="AG243" s="25"/>
      <c r="AH243" s="73"/>
      <c r="AI243" s="73"/>
      <c r="AJ243" s="345"/>
      <c r="AK243" s="73"/>
      <c r="AL243" s="25"/>
      <c r="AM243" s="73"/>
      <c r="AN243" s="73"/>
      <c r="AO243" s="345"/>
      <c r="AP243" s="73"/>
      <c r="AQ243" s="25"/>
      <c r="AR243" s="73"/>
      <c r="AS243" s="73"/>
      <c r="AT243" s="345"/>
      <c r="AU243" s="73"/>
      <c r="AV243" s="25"/>
      <c r="AW243" s="73"/>
      <c r="AX243" s="73"/>
      <c r="AY243" s="345"/>
      <c r="AZ243" s="73"/>
      <c r="BA243" s="25"/>
      <c r="BB243" s="73"/>
      <c r="BC243" s="73"/>
      <c r="BD243" s="345"/>
      <c r="BE243" s="73"/>
      <c r="BF243" s="25"/>
      <c r="BG243" s="73"/>
      <c r="BH243" s="73"/>
      <c r="BI243" s="345"/>
      <c r="BJ243" s="73"/>
      <c r="BK243" s="25"/>
      <c r="BL243" s="73"/>
      <c r="BM243" s="73"/>
      <c r="BN243" s="345"/>
      <c r="BO243" s="73"/>
      <c r="BP243" s="25"/>
      <c r="BQ243" s="73"/>
      <c r="BR243" s="73"/>
      <c r="BS243" s="345"/>
      <c r="BT243" s="73"/>
      <c r="BU243" s="25"/>
      <c r="BV243" s="73"/>
      <c r="BW243" s="73"/>
      <c r="BX243" s="345"/>
      <c r="BY243" s="73"/>
      <c r="BZ243" s="25"/>
      <c r="CA243" s="73"/>
      <c r="CB243" s="73"/>
      <c r="CC243" s="345"/>
      <c r="CD243" s="73"/>
      <c r="CE243" s="25"/>
      <c r="CF243" s="73"/>
      <c r="CG243" s="73"/>
      <c r="CH243" s="345"/>
      <c r="CI243" s="73"/>
      <c r="CJ243" s="25"/>
      <c r="CK243" s="73"/>
      <c r="CL243" s="73"/>
      <c r="CM243" s="345"/>
      <c r="CN243" s="73"/>
      <c r="CO243" s="25"/>
      <c r="CP243" s="73"/>
      <c r="CQ243" s="73"/>
      <c r="CR243" s="345"/>
      <c r="CS243" s="73"/>
      <c r="CT243" s="25"/>
      <c r="CU243" s="73"/>
      <c r="CV243" s="73"/>
      <c r="CW243" s="345"/>
      <c r="CX243" s="73"/>
      <c r="CY243" s="25"/>
      <c r="CZ243" s="73"/>
      <c r="DA243" s="73"/>
      <c r="DB243" s="345"/>
      <c r="DC243" s="73"/>
      <c r="DD243" s="25"/>
      <c r="DE243" s="73"/>
      <c r="DF243" s="73"/>
      <c r="DG243" s="345"/>
      <c r="DH243" s="73"/>
      <c r="DI243" s="25"/>
      <c r="DJ243" s="73"/>
      <c r="DK243" s="73"/>
      <c r="DL243" s="345"/>
      <c r="DM243" s="73"/>
      <c r="DN243" s="25"/>
      <c r="DO243" s="73"/>
      <c r="DP243" s="73"/>
      <c r="DQ243" s="345"/>
      <c r="DR243" s="73"/>
      <c r="DS243" s="25"/>
      <c r="DT243" s="73"/>
      <c r="DU243" s="73"/>
      <c r="DV243" s="345"/>
      <c r="DW243" s="73"/>
      <c r="DX243" s="25"/>
      <c r="DY243" s="73"/>
      <c r="DZ243" s="73"/>
      <c r="EA243" s="345"/>
      <c r="EB243" s="73"/>
      <c r="EC243" s="25"/>
      <c r="ED243" s="73"/>
      <c r="EE243" s="73"/>
      <c r="EF243" s="345"/>
      <c r="EG243" s="73"/>
      <c r="EH243" s="25"/>
      <c r="EI243" s="73"/>
      <c r="EJ243" s="73"/>
      <c r="EK243" s="345"/>
      <c r="EL243" s="73"/>
      <c r="EM243" s="25"/>
      <c r="EN243" s="73"/>
      <c r="EO243" s="73"/>
      <c r="EP243" s="345"/>
      <c r="EQ243" s="73"/>
      <c r="ER243" s="25"/>
      <c r="ES243" s="73"/>
      <c r="ET243" s="73"/>
      <c r="EU243" s="345"/>
      <c r="EV243" s="73"/>
      <c r="EW243" s="25"/>
      <c r="EX243" s="73"/>
      <c r="EY243" s="73"/>
      <c r="EZ243" s="345"/>
      <c r="FA243" s="73"/>
      <c r="FB243" s="25"/>
      <c r="FC243" s="73"/>
      <c r="FD243" s="73"/>
      <c r="FE243" s="345"/>
      <c r="FF243" s="73"/>
      <c r="FG243" s="25"/>
      <c r="FH243" s="73"/>
      <c r="FI243" s="73"/>
      <c r="FJ243" s="345"/>
      <c r="FK243" s="73"/>
      <c r="FL243" s="25"/>
      <c r="FM243" s="73"/>
      <c r="FN243" s="73"/>
      <c r="FO243" s="345"/>
      <c r="FP243" s="73"/>
      <c r="FQ243" s="25"/>
      <c r="FR243" s="73"/>
      <c r="FS243" s="73"/>
      <c r="FT243" s="345"/>
      <c r="FU243" s="73"/>
      <c r="FV243" s="25"/>
      <c r="FW243" s="73"/>
      <c r="FX243" s="73"/>
      <c r="FY243" s="345"/>
      <c r="FZ243" s="73"/>
      <c r="GA243" s="25"/>
      <c r="GB243" s="73"/>
      <c r="GC243" s="73"/>
      <c r="GD243" s="345"/>
      <c r="GE243" s="73"/>
      <c r="GF243" s="25"/>
      <c r="GG243" s="73"/>
      <c r="GH243" s="73"/>
      <c r="GI243" s="345"/>
      <c r="GJ243" s="73"/>
      <c r="GK243" s="25"/>
      <c r="GL243" s="73"/>
      <c r="GM243" s="73"/>
      <c r="GN243" s="345"/>
      <c r="GO243" s="73"/>
      <c r="GP243" s="25"/>
      <c r="GQ243" s="73"/>
      <c r="GR243" s="73"/>
      <c r="GS243" s="345"/>
      <c r="GT243" s="73"/>
      <c r="GU243" s="25"/>
      <c r="GV243" s="73"/>
      <c r="GW243" s="73"/>
      <c r="GX243" s="345"/>
      <c r="GY243" s="73"/>
      <c r="GZ243" s="25"/>
      <c r="HA243" s="73"/>
      <c r="HB243" s="73"/>
      <c r="HC243" s="345"/>
      <c r="HD243" s="73"/>
      <c r="HE243" s="25"/>
      <c r="HF243" s="73"/>
      <c r="HG243" s="73"/>
      <c r="HH243" s="345"/>
      <c r="HI243" s="73"/>
      <c r="HJ243" s="25"/>
      <c r="HK243" s="73"/>
      <c r="HL243" s="73"/>
      <c r="HM243" s="345"/>
      <c r="HN243" s="73"/>
      <c r="HO243" s="25"/>
      <c r="HP243" s="73"/>
      <c r="HQ243" s="73"/>
      <c r="HR243" s="345"/>
      <c r="HS243" s="73"/>
      <c r="HT243" s="25"/>
      <c r="HU243" s="73"/>
      <c r="HV243" s="73"/>
      <c r="HW243" s="345"/>
      <c r="HX243" s="73"/>
      <c r="HY243" s="25"/>
      <c r="HZ243" s="73"/>
      <c r="IA243" s="73"/>
      <c r="IB243" s="345"/>
      <c r="IC243" s="73"/>
      <c r="ID243" s="25"/>
      <c r="IE243" s="73"/>
      <c r="IF243" s="73"/>
      <c r="IG243" s="345"/>
      <c r="IH243" s="73"/>
      <c r="II243" s="25"/>
      <c r="IJ243" s="73"/>
      <c r="IK243" s="73"/>
      <c r="IL243" s="345"/>
      <c r="IM243" s="73"/>
      <c r="IN243" s="25"/>
      <c r="IO243" s="73"/>
      <c r="IP243" s="73"/>
      <c r="IQ243" s="345"/>
      <c r="IR243" s="73"/>
      <c r="IS243" s="25"/>
      <c r="IT243" s="73"/>
      <c r="IU243" s="73"/>
      <c r="IV243" s="345"/>
    </row>
    <row r="244" spans="1:256" x14ac:dyDescent="0.2">
      <c r="A244" s="345">
        <v>34942</v>
      </c>
      <c r="B244" s="73"/>
      <c r="C244" s="25"/>
      <c r="D244" s="73"/>
      <c r="E244" s="73"/>
      <c r="F244" s="345"/>
      <c r="G244" s="73"/>
      <c r="H244" s="25"/>
      <c r="I244" s="73"/>
      <c r="J244" s="73"/>
      <c r="K244" s="345"/>
      <c r="L244" s="73"/>
      <c r="M244" s="25"/>
      <c r="N244" s="73"/>
      <c r="O244" s="73"/>
      <c r="P244" s="345"/>
      <c r="Q244" s="73"/>
      <c r="R244" s="25"/>
      <c r="S244" s="73"/>
      <c r="T244" s="73"/>
      <c r="U244" s="345"/>
      <c r="V244" s="73"/>
      <c r="W244" s="25"/>
      <c r="X244" s="73"/>
      <c r="Y244" s="73"/>
      <c r="Z244" s="345"/>
      <c r="AA244" s="73"/>
      <c r="AB244" s="25"/>
      <c r="AC244" s="73"/>
      <c r="AD244" s="73"/>
      <c r="AE244" s="345"/>
      <c r="AF244" s="73"/>
      <c r="AG244" s="25"/>
      <c r="AH244" s="73"/>
      <c r="AI244" s="73"/>
      <c r="AJ244" s="345"/>
      <c r="AK244" s="73"/>
      <c r="AL244" s="25"/>
      <c r="AM244" s="73"/>
      <c r="AN244" s="73"/>
      <c r="AO244" s="345"/>
      <c r="AP244" s="73"/>
      <c r="AQ244" s="25"/>
      <c r="AR244" s="73"/>
      <c r="AS244" s="73"/>
      <c r="AT244" s="345"/>
      <c r="AU244" s="73"/>
      <c r="AV244" s="25"/>
      <c r="AW244" s="73"/>
      <c r="AX244" s="73"/>
      <c r="AY244" s="345"/>
      <c r="AZ244" s="73"/>
      <c r="BA244" s="25"/>
      <c r="BB244" s="73"/>
      <c r="BC244" s="73"/>
      <c r="BD244" s="345"/>
      <c r="BE244" s="73"/>
      <c r="BF244" s="25"/>
      <c r="BG244" s="73"/>
      <c r="BH244" s="73"/>
      <c r="BI244" s="345"/>
      <c r="BJ244" s="73"/>
      <c r="BK244" s="25"/>
      <c r="BL244" s="73"/>
      <c r="BM244" s="73"/>
      <c r="BN244" s="345"/>
      <c r="BO244" s="73"/>
      <c r="BP244" s="25"/>
      <c r="BQ244" s="73"/>
      <c r="BR244" s="73"/>
      <c r="BS244" s="345"/>
      <c r="BT244" s="73"/>
      <c r="BU244" s="25"/>
      <c r="BV244" s="73"/>
      <c r="BW244" s="73"/>
      <c r="BX244" s="345"/>
      <c r="BY244" s="73"/>
      <c r="BZ244" s="25"/>
      <c r="CA244" s="73"/>
      <c r="CB244" s="73"/>
      <c r="CC244" s="345"/>
      <c r="CD244" s="73"/>
      <c r="CE244" s="25"/>
      <c r="CF244" s="73"/>
      <c r="CG244" s="73"/>
      <c r="CH244" s="345"/>
      <c r="CI244" s="73"/>
      <c r="CJ244" s="25"/>
      <c r="CK244" s="73"/>
      <c r="CL244" s="73"/>
      <c r="CM244" s="345"/>
      <c r="CN244" s="73"/>
      <c r="CO244" s="25"/>
      <c r="CP244" s="73"/>
      <c r="CQ244" s="73"/>
      <c r="CR244" s="345"/>
      <c r="CS244" s="73"/>
      <c r="CT244" s="25"/>
      <c r="CU244" s="73"/>
      <c r="CV244" s="73"/>
      <c r="CW244" s="345"/>
      <c r="CX244" s="73"/>
      <c r="CY244" s="25"/>
      <c r="CZ244" s="73"/>
      <c r="DA244" s="73"/>
      <c r="DB244" s="345"/>
      <c r="DC244" s="73"/>
      <c r="DD244" s="25"/>
      <c r="DE244" s="73"/>
      <c r="DF244" s="73"/>
      <c r="DG244" s="345"/>
      <c r="DH244" s="73"/>
      <c r="DI244" s="25"/>
      <c r="DJ244" s="73"/>
      <c r="DK244" s="73"/>
      <c r="DL244" s="345"/>
      <c r="DM244" s="73"/>
      <c r="DN244" s="25"/>
      <c r="DO244" s="73"/>
      <c r="DP244" s="73"/>
      <c r="DQ244" s="345"/>
      <c r="DR244" s="73"/>
      <c r="DS244" s="25"/>
      <c r="DT244" s="73"/>
      <c r="DU244" s="73"/>
      <c r="DV244" s="345"/>
      <c r="DW244" s="73"/>
      <c r="DX244" s="25"/>
      <c r="DY244" s="73"/>
      <c r="DZ244" s="73"/>
      <c r="EA244" s="345"/>
      <c r="EB244" s="73"/>
      <c r="EC244" s="25"/>
      <c r="ED244" s="73"/>
      <c r="EE244" s="73"/>
      <c r="EF244" s="345"/>
      <c r="EG244" s="73"/>
      <c r="EH244" s="25"/>
      <c r="EI244" s="73"/>
      <c r="EJ244" s="73"/>
      <c r="EK244" s="345"/>
      <c r="EL244" s="73"/>
      <c r="EM244" s="25"/>
      <c r="EN244" s="73"/>
      <c r="EO244" s="73"/>
      <c r="EP244" s="345"/>
      <c r="EQ244" s="73"/>
      <c r="ER244" s="25"/>
      <c r="ES244" s="73"/>
      <c r="ET244" s="73"/>
      <c r="EU244" s="345"/>
      <c r="EV244" s="73"/>
      <c r="EW244" s="25"/>
      <c r="EX244" s="73"/>
      <c r="EY244" s="73"/>
      <c r="EZ244" s="345"/>
      <c r="FA244" s="73"/>
      <c r="FB244" s="25"/>
      <c r="FC244" s="73"/>
      <c r="FD244" s="73"/>
      <c r="FE244" s="345"/>
      <c r="FF244" s="73"/>
      <c r="FG244" s="25"/>
      <c r="FH244" s="73"/>
      <c r="FI244" s="73"/>
      <c r="FJ244" s="345"/>
      <c r="FK244" s="73"/>
      <c r="FL244" s="25"/>
      <c r="FM244" s="73"/>
      <c r="FN244" s="73"/>
      <c r="FO244" s="345"/>
      <c r="FP244" s="73"/>
      <c r="FQ244" s="25"/>
      <c r="FR244" s="73"/>
      <c r="FS244" s="73"/>
      <c r="FT244" s="345"/>
      <c r="FU244" s="73"/>
      <c r="FV244" s="25"/>
      <c r="FW244" s="73"/>
      <c r="FX244" s="73"/>
      <c r="FY244" s="345"/>
      <c r="FZ244" s="73"/>
      <c r="GA244" s="25"/>
      <c r="GB244" s="73"/>
      <c r="GC244" s="73"/>
      <c r="GD244" s="345"/>
      <c r="GE244" s="73"/>
      <c r="GF244" s="25"/>
      <c r="GG244" s="73"/>
      <c r="GH244" s="73"/>
      <c r="GI244" s="345"/>
      <c r="GJ244" s="73"/>
      <c r="GK244" s="25"/>
      <c r="GL244" s="73"/>
      <c r="GM244" s="73"/>
      <c r="GN244" s="345"/>
      <c r="GO244" s="73"/>
      <c r="GP244" s="25"/>
      <c r="GQ244" s="73"/>
      <c r="GR244" s="73"/>
      <c r="GS244" s="345"/>
      <c r="GT244" s="73"/>
      <c r="GU244" s="25"/>
      <c r="GV244" s="73"/>
      <c r="GW244" s="73"/>
      <c r="GX244" s="345"/>
      <c r="GY244" s="73"/>
      <c r="GZ244" s="25"/>
      <c r="HA244" s="73"/>
      <c r="HB244" s="73"/>
      <c r="HC244" s="345"/>
      <c r="HD244" s="73"/>
      <c r="HE244" s="25"/>
      <c r="HF244" s="73"/>
      <c r="HG244" s="73"/>
      <c r="HH244" s="345"/>
      <c r="HI244" s="73"/>
      <c r="HJ244" s="25"/>
      <c r="HK244" s="73"/>
      <c r="HL244" s="73"/>
      <c r="HM244" s="345"/>
      <c r="HN244" s="73"/>
      <c r="HO244" s="25"/>
      <c r="HP244" s="73"/>
      <c r="HQ244" s="73"/>
      <c r="HR244" s="345"/>
      <c r="HS244" s="73"/>
      <c r="HT244" s="25"/>
      <c r="HU244" s="73"/>
      <c r="HV244" s="73"/>
      <c r="HW244" s="345"/>
      <c r="HX244" s="73"/>
      <c r="HY244" s="25"/>
      <c r="HZ244" s="73"/>
      <c r="IA244" s="73"/>
      <c r="IB244" s="345"/>
      <c r="IC244" s="73"/>
      <c r="ID244" s="25"/>
      <c r="IE244" s="73"/>
      <c r="IF244" s="73"/>
      <c r="IG244" s="345"/>
      <c r="IH244" s="73"/>
      <c r="II244" s="25"/>
      <c r="IJ244" s="73"/>
      <c r="IK244" s="73"/>
      <c r="IL244" s="345"/>
      <c r="IM244" s="73"/>
      <c r="IN244" s="25"/>
      <c r="IO244" s="73"/>
      <c r="IP244" s="73"/>
      <c r="IQ244" s="345"/>
      <c r="IR244" s="73"/>
      <c r="IS244" s="25"/>
      <c r="IT244" s="73"/>
      <c r="IU244" s="73"/>
      <c r="IV244" s="345"/>
    </row>
    <row r="245" spans="1:256" x14ac:dyDescent="0.2">
      <c r="A245" s="345">
        <v>34972</v>
      </c>
      <c r="B245" s="73"/>
      <c r="C245" s="25"/>
      <c r="D245" s="73"/>
      <c r="E245" s="73"/>
      <c r="F245" s="345"/>
      <c r="G245" s="73"/>
      <c r="H245" s="25"/>
      <c r="I245" s="73"/>
      <c r="J245" s="73"/>
      <c r="K245" s="345"/>
      <c r="L245" s="73"/>
      <c r="M245" s="25"/>
      <c r="N245" s="73"/>
      <c r="O245" s="73"/>
      <c r="P245" s="345"/>
      <c r="Q245" s="73"/>
      <c r="R245" s="25"/>
      <c r="S245" s="73"/>
      <c r="T245" s="73"/>
      <c r="U245" s="345"/>
      <c r="V245" s="73"/>
      <c r="W245" s="25"/>
      <c r="X245" s="73"/>
      <c r="Y245" s="73"/>
      <c r="Z245" s="345"/>
      <c r="AA245" s="73"/>
      <c r="AB245" s="25"/>
      <c r="AC245" s="73"/>
      <c r="AD245" s="73"/>
      <c r="AE245" s="345"/>
      <c r="AF245" s="73"/>
      <c r="AG245" s="25"/>
      <c r="AH245" s="73"/>
      <c r="AI245" s="73"/>
      <c r="AJ245" s="345"/>
      <c r="AK245" s="73"/>
      <c r="AL245" s="25"/>
      <c r="AM245" s="73"/>
      <c r="AN245" s="73"/>
      <c r="AO245" s="345"/>
      <c r="AP245" s="73"/>
      <c r="AQ245" s="25"/>
      <c r="AR245" s="73"/>
      <c r="AS245" s="73"/>
      <c r="AT245" s="345"/>
      <c r="AU245" s="73"/>
      <c r="AV245" s="25"/>
      <c r="AW245" s="73"/>
      <c r="AX245" s="73"/>
      <c r="AY245" s="345"/>
      <c r="AZ245" s="73"/>
      <c r="BA245" s="25"/>
      <c r="BB245" s="73"/>
      <c r="BC245" s="73"/>
      <c r="BD245" s="345"/>
      <c r="BE245" s="73"/>
      <c r="BF245" s="25"/>
      <c r="BG245" s="73"/>
      <c r="BH245" s="73"/>
      <c r="BI245" s="345"/>
      <c r="BJ245" s="73"/>
      <c r="BK245" s="25"/>
      <c r="BL245" s="73"/>
      <c r="BM245" s="73"/>
      <c r="BN245" s="345"/>
      <c r="BO245" s="73"/>
      <c r="BP245" s="25"/>
      <c r="BQ245" s="73"/>
      <c r="BR245" s="73"/>
      <c r="BS245" s="345"/>
      <c r="BT245" s="73"/>
      <c r="BU245" s="25"/>
      <c r="BV245" s="73"/>
      <c r="BW245" s="73"/>
      <c r="BX245" s="345"/>
      <c r="BY245" s="73"/>
      <c r="BZ245" s="25"/>
      <c r="CA245" s="73"/>
      <c r="CB245" s="73"/>
      <c r="CC245" s="345"/>
      <c r="CD245" s="73"/>
      <c r="CE245" s="25"/>
      <c r="CF245" s="73"/>
      <c r="CG245" s="73"/>
      <c r="CH245" s="345"/>
      <c r="CI245" s="73"/>
      <c r="CJ245" s="25"/>
      <c r="CK245" s="73"/>
      <c r="CL245" s="73"/>
      <c r="CM245" s="345"/>
      <c r="CN245" s="73"/>
      <c r="CO245" s="25"/>
      <c r="CP245" s="73"/>
      <c r="CQ245" s="73"/>
      <c r="CR245" s="345"/>
      <c r="CS245" s="73"/>
      <c r="CT245" s="25"/>
      <c r="CU245" s="73"/>
      <c r="CV245" s="73"/>
      <c r="CW245" s="345"/>
      <c r="CX245" s="73"/>
      <c r="CY245" s="25"/>
      <c r="CZ245" s="73"/>
      <c r="DA245" s="73"/>
      <c r="DB245" s="345"/>
      <c r="DC245" s="73"/>
      <c r="DD245" s="25"/>
      <c r="DE245" s="73"/>
      <c r="DF245" s="73"/>
      <c r="DG245" s="345"/>
      <c r="DH245" s="73"/>
      <c r="DI245" s="25"/>
      <c r="DJ245" s="73"/>
      <c r="DK245" s="73"/>
      <c r="DL245" s="345"/>
      <c r="DM245" s="73"/>
      <c r="DN245" s="25"/>
      <c r="DO245" s="73"/>
      <c r="DP245" s="73"/>
      <c r="DQ245" s="345"/>
      <c r="DR245" s="73"/>
      <c r="DS245" s="25"/>
      <c r="DT245" s="73"/>
      <c r="DU245" s="73"/>
      <c r="DV245" s="345"/>
      <c r="DW245" s="73"/>
      <c r="DX245" s="25"/>
      <c r="DY245" s="73"/>
      <c r="DZ245" s="73"/>
      <c r="EA245" s="345"/>
      <c r="EB245" s="73"/>
      <c r="EC245" s="25"/>
      <c r="ED245" s="73"/>
      <c r="EE245" s="73"/>
      <c r="EF245" s="345"/>
      <c r="EG245" s="73"/>
      <c r="EH245" s="25"/>
      <c r="EI245" s="73"/>
      <c r="EJ245" s="73"/>
      <c r="EK245" s="345"/>
      <c r="EL245" s="73"/>
      <c r="EM245" s="25"/>
      <c r="EN245" s="73"/>
      <c r="EO245" s="73"/>
      <c r="EP245" s="345"/>
      <c r="EQ245" s="73"/>
      <c r="ER245" s="25"/>
      <c r="ES245" s="73"/>
      <c r="ET245" s="73"/>
      <c r="EU245" s="345"/>
      <c r="EV245" s="73"/>
      <c r="EW245" s="25"/>
      <c r="EX245" s="73"/>
      <c r="EY245" s="73"/>
      <c r="EZ245" s="345"/>
      <c r="FA245" s="73"/>
      <c r="FB245" s="25"/>
      <c r="FC245" s="73"/>
      <c r="FD245" s="73"/>
      <c r="FE245" s="345"/>
      <c r="FF245" s="73"/>
      <c r="FG245" s="25"/>
      <c r="FH245" s="73"/>
      <c r="FI245" s="73"/>
      <c r="FJ245" s="345"/>
      <c r="FK245" s="73"/>
      <c r="FL245" s="25"/>
      <c r="FM245" s="73"/>
      <c r="FN245" s="73"/>
      <c r="FO245" s="345"/>
      <c r="FP245" s="73"/>
      <c r="FQ245" s="25"/>
      <c r="FR245" s="73"/>
      <c r="FS245" s="73"/>
      <c r="FT245" s="345"/>
      <c r="FU245" s="73"/>
      <c r="FV245" s="25"/>
      <c r="FW245" s="73"/>
      <c r="FX245" s="73"/>
      <c r="FY245" s="345"/>
      <c r="FZ245" s="73"/>
      <c r="GA245" s="25"/>
      <c r="GB245" s="73"/>
      <c r="GC245" s="73"/>
      <c r="GD245" s="345"/>
      <c r="GE245" s="73"/>
      <c r="GF245" s="25"/>
      <c r="GG245" s="73"/>
      <c r="GH245" s="73"/>
      <c r="GI245" s="345"/>
      <c r="GJ245" s="73"/>
      <c r="GK245" s="25"/>
      <c r="GL245" s="73"/>
      <c r="GM245" s="73"/>
      <c r="GN245" s="345"/>
      <c r="GO245" s="73"/>
      <c r="GP245" s="25"/>
      <c r="GQ245" s="73"/>
      <c r="GR245" s="73"/>
      <c r="GS245" s="345"/>
      <c r="GT245" s="73"/>
      <c r="GU245" s="25"/>
      <c r="GV245" s="73"/>
      <c r="GW245" s="73"/>
      <c r="GX245" s="345"/>
      <c r="GY245" s="73"/>
      <c r="GZ245" s="25"/>
      <c r="HA245" s="73"/>
      <c r="HB245" s="73"/>
      <c r="HC245" s="345"/>
      <c r="HD245" s="73"/>
      <c r="HE245" s="25"/>
      <c r="HF245" s="73"/>
      <c r="HG245" s="73"/>
      <c r="HH245" s="345"/>
      <c r="HI245" s="73"/>
      <c r="HJ245" s="25"/>
      <c r="HK245" s="73"/>
      <c r="HL245" s="73"/>
      <c r="HM245" s="345"/>
      <c r="HN245" s="73"/>
      <c r="HO245" s="25"/>
      <c r="HP245" s="73"/>
      <c r="HQ245" s="73"/>
      <c r="HR245" s="345"/>
      <c r="HS245" s="73"/>
      <c r="HT245" s="25"/>
      <c r="HU245" s="73"/>
      <c r="HV245" s="73"/>
      <c r="HW245" s="345"/>
      <c r="HX245" s="73"/>
      <c r="HY245" s="25"/>
      <c r="HZ245" s="73"/>
      <c r="IA245" s="73"/>
      <c r="IB245" s="345"/>
      <c r="IC245" s="73"/>
      <c r="ID245" s="25"/>
      <c r="IE245" s="73"/>
      <c r="IF245" s="73"/>
      <c r="IG245" s="345"/>
      <c r="IH245" s="73"/>
      <c r="II245" s="25"/>
      <c r="IJ245" s="73"/>
      <c r="IK245" s="73"/>
      <c r="IL245" s="345"/>
      <c r="IM245" s="73"/>
      <c r="IN245" s="25"/>
      <c r="IO245" s="73"/>
      <c r="IP245" s="73"/>
      <c r="IQ245" s="345"/>
      <c r="IR245" s="73"/>
      <c r="IS245" s="25"/>
      <c r="IT245" s="73"/>
      <c r="IU245" s="73"/>
      <c r="IV245" s="345"/>
    </row>
    <row r="246" spans="1:256" x14ac:dyDescent="0.2">
      <c r="A246" s="345">
        <v>35003</v>
      </c>
      <c r="B246" s="73"/>
      <c r="C246" s="25"/>
      <c r="D246" s="73"/>
      <c r="E246" s="73"/>
      <c r="F246" s="345"/>
      <c r="G246" s="73"/>
      <c r="H246" s="25"/>
      <c r="I246" s="73"/>
      <c r="J246" s="73"/>
      <c r="K246" s="345"/>
      <c r="L246" s="73"/>
      <c r="M246" s="25"/>
      <c r="N246" s="73"/>
      <c r="O246" s="73"/>
      <c r="P246" s="345"/>
      <c r="Q246" s="73"/>
      <c r="R246" s="25"/>
      <c r="S246" s="73"/>
      <c r="T246" s="73"/>
      <c r="U246" s="345"/>
      <c r="V246" s="73"/>
      <c r="W246" s="25"/>
      <c r="X246" s="73"/>
      <c r="Y246" s="73"/>
      <c r="Z246" s="345"/>
      <c r="AA246" s="73"/>
      <c r="AB246" s="25"/>
      <c r="AC246" s="73"/>
      <c r="AD246" s="73"/>
      <c r="AE246" s="345"/>
      <c r="AF246" s="73"/>
      <c r="AG246" s="25"/>
      <c r="AH246" s="73"/>
      <c r="AI246" s="73"/>
      <c r="AJ246" s="345"/>
      <c r="AK246" s="73"/>
      <c r="AL246" s="25"/>
      <c r="AM246" s="73"/>
      <c r="AN246" s="73"/>
      <c r="AO246" s="345"/>
      <c r="AP246" s="73"/>
      <c r="AQ246" s="25"/>
      <c r="AR246" s="73"/>
      <c r="AS246" s="73"/>
      <c r="AT246" s="345"/>
      <c r="AU246" s="73"/>
      <c r="AV246" s="25"/>
      <c r="AW246" s="73"/>
      <c r="AX246" s="73"/>
      <c r="AY246" s="345"/>
      <c r="AZ246" s="73"/>
      <c r="BA246" s="25"/>
      <c r="BB246" s="73"/>
      <c r="BC246" s="73"/>
      <c r="BD246" s="345"/>
      <c r="BE246" s="73"/>
      <c r="BF246" s="25"/>
      <c r="BG246" s="73"/>
      <c r="BH246" s="73"/>
      <c r="BI246" s="345"/>
      <c r="BJ246" s="73"/>
      <c r="BK246" s="25"/>
      <c r="BL246" s="73"/>
      <c r="BM246" s="73"/>
      <c r="BN246" s="345"/>
      <c r="BO246" s="73"/>
      <c r="BP246" s="25"/>
      <c r="BQ246" s="73"/>
      <c r="BR246" s="73"/>
      <c r="BS246" s="345"/>
      <c r="BT246" s="73"/>
      <c r="BU246" s="25"/>
      <c r="BV246" s="73"/>
      <c r="BW246" s="73"/>
      <c r="BX246" s="345"/>
      <c r="BY246" s="73"/>
      <c r="BZ246" s="25"/>
      <c r="CA246" s="73"/>
      <c r="CB246" s="73"/>
      <c r="CC246" s="345"/>
      <c r="CD246" s="73"/>
      <c r="CE246" s="25"/>
      <c r="CF246" s="73"/>
      <c r="CG246" s="73"/>
      <c r="CH246" s="345"/>
      <c r="CI246" s="73"/>
      <c r="CJ246" s="25"/>
      <c r="CK246" s="73"/>
      <c r="CL246" s="73"/>
      <c r="CM246" s="345"/>
      <c r="CN246" s="73"/>
      <c r="CO246" s="25"/>
      <c r="CP246" s="73"/>
      <c r="CQ246" s="73"/>
      <c r="CR246" s="345"/>
      <c r="CS246" s="73"/>
      <c r="CT246" s="25"/>
      <c r="CU246" s="73"/>
      <c r="CV246" s="73"/>
      <c r="CW246" s="345"/>
      <c r="CX246" s="73"/>
      <c r="CY246" s="25"/>
      <c r="CZ246" s="73"/>
      <c r="DA246" s="73"/>
      <c r="DB246" s="345"/>
      <c r="DC246" s="73"/>
      <c r="DD246" s="25"/>
      <c r="DE246" s="73"/>
      <c r="DF246" s="73"/>
      <c r="DG246" s="345"/>
      <c r="DH246" s="73"/>
      <c r="DI246" s="25"/>
      <c r="DJ246" s="73"/>
      <c r="DK246" s="73"/>
      <c r="DL246" s="345"/>
      <c r="DM246" s="73"/>
      <c r="DN246" s="25"/>
      <c r="DO246" s="73"/>
      <c r="DP246" s="73"/>
      <c r="DQ246" s="345"/>
      <c r="DR246" s="73"/>
      <c r="DS246" s="25"/>
      <c r="DT246" s="73"/>
      <c r="DU246" s="73"/>
      <c r="DV246" s="345"/>
      <c r="DW246" s="73"/>
      <c r="DX246" s="25"/>
      <c r="DY246" s="73"/>
      <c r="DZ246" s="73"/>
      <c r="EA246" s="345"/>
      <c r="EB246" s="73"/>
      <c r="EC246" s="25"/>
      <c r="ED246" s="73"/>
      <c r="EE246" s="73"/>
      <c r="EF246" s="345"/>
      <c r="EG246" s="73"/>
      <c r="EH246" s="25"/>
      <c r="EI246" s="73"/>
      <c r="EJ246" s="73"/>
      <c r="EK246" s="345"/>
      <c r="EL246" s="73"/>
      <c r="EM246" s="25"/>
      <c r="EN246" s="73"/>
      <c r="EO246" s="73"/>
      <c r="EP246" s="345"/>
      <c r="EQ246" s="73"/>
      <c r="ER246" s="25"/>
      <c r="ES246" s="73"/>
      <c r="ET246" s="73"/>
      <c r="EU246" s="345"/>
      <c r="EV246" s="73"/>
      <c r="EW246" s="25"/>
      <c r="EX246" s="73"/>
      <c r="EY246" s="73"/>
      <c r="EZ246" s="345"/>
      <c r="FA246" s="73"/>
      <c r="FB246" s="25"/>
      <c r="FC246" s="73"/>
      <c r="FD246" s="73"/>
      <c r="FE246" s="345"/>
      <c r="FF246" s="73"/>
      <c r="FG246" s="25"/>
      <c r="FH246" s="73"/>
      <c r="FI246" s="73"/>
      <c r="FJ246" s="345"/>
      <c r="FK246" s="73"/>
      <c r="FL246" s="25"/>
      <c r="FM246" s="73"/>
      <c r="FN246" s="73"/>
      <c r="FO246" s="345"/>
      <c r="FP246" s="73"/>
      <c r="FQ246" s="25"/>
      <c r="FR246" s="73"/>
      <c r="FS246" s="73"/>
      <c r="FT246" s="345"/>
      <c r="FU246" s="73"/>
      <c r="FV246" s="25"/>
      <c r="FW246" s="73"/>
      <c r="FX246" s="73"/>
      <c r="FY246" s="345"/>
      <c r="FZ246" s="73"/>
      <c r="GA246" s="25"/>
      <c r="GB246" s="73"/>
      <c r="GC246" s="73"/>
      <c r="GD246" s="345"/>
      <c r="GE246" s="73"/>
      <c r="GF246" s="25"/>
      <c r="GG246" s="73"/>
      <c r="GH246" s="73"/>
      <c r="GI246" s="345"/>
      <c r="GJ246" s="73"/>
      <c r="GK246" s="25"/>
      <c r="GL246" s="73"/>
      <c r="GM246" s="73"/>
      <c r="GN246" s="345"/>
      <c r="GO246" s="73"/>
      <c r="GP246" s="25"/>
      <c r="GQ246" s="73"/>
      <c r="GR246" s="73"/>
      <c r="GS246" s="345"/>
      <c r="GT246" s="73"/>
      <c r="GU246" s="25"/>
      <c r="GV246" s="73"/>
      <c r="GW246" s="73"/>
      <c r="GX246" s="345"/>
      <c r="GY246" s="73"/>
      <c r="GZ246" s="25"/>
      <c r="HA246" s="73"/>
      <c r="HB246" s="73"/>
      <c r="HC246" s="345"/>
      <c r="HD246" s="73"/>
      <c r="HE246" s="25"/>
      <c r="HF246" s="73"/>
      <c r="HG246" s="73"/>
      <c r="HH246" s="345"/>
      <c r="HI246" s="73"/>
      <c r="HJ246" s="25"/>
      <c r="HK246" s="73"/>
      <c r="HL246" s="73"/>
      <c r="HM246" s="345"/>
      <c r="HN246" s="73"/>
      <c r="HO246" s="25"/>
      <c r="HP246" s="73"/>
      <c r="HQ246" s="73"/>
      <c r="HR246" s="345"/>
      <c r="HS246" s="73"/>
      <c r="HT246" s="25"/>
      <c r="HU246" s="73"/>
      <c r="HV246" s="73"/>
      <c r="HW246" s="345"/>
      <c r="HX246" s="73"/>
      <c r="HY246" s="25"/>
      <c r="HZ246" s="73"/>
      <c r="IA246" s="73"/>
      <c r="IB246" s="345"/>
      <c r="IC246" s="73"/>
      <c r="ID246" s="25"/>
      <c r="IE246" s="73"/>
      <c r="IF246" s="73"/>
      <c r="IG246" s="345"/>
      <c r="IH246" s="73"/>
      <c r="II246" s="25"/>
      <c r="IJ246" s="73"/>
      <c r="IK246" s="73"/>
      <c r="IL246" s="345"/>
      <c r="IM246" s="73"/>
      <c r="IN246" s="25"/>
      <c r="IO246" s="73"/>
      <c r="IP246" s="73"/>
      <c r="IQ246" s="345"/>
      <c r="IR246" s="73"/>
      <c r="IS246" s="25"/>
      <c r="IT246" s="73"/>
      <c r="IU246" s="73"/>
      <c r="IV246" s="345"/>
    </row>
    <row r="247" spans="1:256" x14ac:dyDescent="0.2">
      <c r="A247" s="345">
        <v>35033</v>
      </c>
      <c r="B247" s="73"/>
      <c r="C247" s="25"/>
      <c r="D247" s="73"/>
      <c r="E247" s="73"/>
      <c r="F247" s="345"/>
      <c r="G247" s="73"/>
      <c r="H247" s="25"/>
      <c r="I247" s="73"/>
      <c r="J247" s="73"/>
      <c r="K247" s="345"/>
      <c r="L247" s="73"/>
      <c r="M247" s="25"/>
      <c r="N247" s="73"/>
      <c r="O247" s="73"/>
      <c r="P247" s="345"/>
      <c r="Q247" s="73"/>
      <c r="R247" s="25"/>
      <c r="S247" s="73"/>
      <c r="T247" s="73"/>
      <c r="U247" s="345"/>
      <c r="V247" s="73"/>
      <c r="W247" s="25"/>
      <c r="X247" s="73"/>
      <c r="Y247" s="73"/>
      <c r="Z247" s="345"/>
      <c r="AA247" s="73"/>
      <c r="AB247" s="25"/>
      <c r="AC247" s="73"/>
      <c r="AD247" s="73"/>
      <c r="AE247" s="345"/>
      <c r="AF247" s="73"/>
      <c r="AG247" s="25"/>
      <c r="AH247" s="73"/>
      <c r="AI247" s="73"/>
      <c r="AJ247" s="345"/>
      <c r="AK247" s="73"/>
      <c r="AL247" s="25"/>
      <c r="AM247" s="73"/>
      <c r="AN247" s="73"/>
      <c r="AO247" s="345"/>
      <c r="AP247" s="73"/>
      <c r="AQ247" s="25"/>
      <c r="AR247" s="73"/>
      <c r="AS247" s="73"/>
      <c r="AT247" s="345"/>
      <c r="AU247" s="73"/>
      <c r="AV247" s="25"/>
      <c r="AW247" s="73"/>
      <c r="AX247" s="73"/>
      <c r="AY247" s="345"/>
      <c r="AZ247" s="73"/>
      <c r="BA247" s="25"/>
      <c r="BB247" s="73"/>
      <c r="BC247" s="73"/>
      <c r="BD247" s="345"/>
      <c r="BE247" s="73"/>
      <c r="BF247" s="25"/>
      <c r="BG247" s="73"/>
      <c r="BH247" s="73"/>
      <c r="BI247" s="345"/>
      <c r="BJ247" s="73"/>
      <c r="BK247" s="25"/>
      <c r="BL247" s="73"/>
      <c r="BM247" s="73"/>
      <c r="BN247" s="345"/>
      <c r="BO247" s="73"/>
      <c r="BP247" s="25"/>
      <c r="BQ247" s="73"/>
      <c r="BR247" s="73"/>
      <c r="BS247" s="345"/>
      <c r="BT247" s="73"/>
      <c r="BU247" s="25"/>
      <c r="BV247" s="73"/>
      <c r="BW247" s="73"/>
      <c r="BX247" s="345"/>
      <c r="BY247" s="73"/>
      <c r="BZ247" s="25"/>
      <c r="CA247" s="73"/>
      <c r="CB247" s="73"/>
      <c r="CC247" s="345"/>
      <c r="CD247" s="73"/>
      <c r="CE247" s="25"/>
      <c r="CF247" s="73"/>
      <c r="CG247" s="73"/>
      <c r="CH247" s="345"/>
      <c r="CI247" s="73"/>
      <c r="CJ247" s="25"/>
      <c r="CK247" s="73"/>
      <c r="CL247" s="73"/>
      <c r="CM247" s="345"/>
      <c r="CN247" s="73"/>
      <c r="CO247" s="25"/>
      <c r="CP247" s="73"/>
      <c r="CQ247" s="73"/>
      <c r="CR247" s="345"/>
      <c r="CS247" s="73"/>
      <c r="CT247" s="25"/>
      <c r="CU247" s="73"/>
      <c r="CV247" s="73"/>
      <c r="CW247" s="345"/>
      <c r="CX247" s="73"/>
      <c r="CY247" s="25"/>
      <c r="CZ247" s="73"/>
      <c r="DA247" s="73"/>
      <c r="DB247" s="345"/>
      <c r="DC247" s="73"/>
      <c r="DD247" s="25"/>
      <c r="DE247" s="73"/>
      <c r="DF247" s="73"/>
      <c r="DG247" s="345"/>
      <c r="DH247" s="73"/>
      <c r="DI247" s="25"/>
      <c r="DJ247" s="73"/>
      <c r="DK247" s="73"/>
      <c r="DL247" s="345"/>
      <c r="DM247" s="73"/>
      <c r="DN247" s="25"/>
      <c r="DO247" s="73"/>
      <c r="DP247" s="73"/>
      <c r="DQ247" s="345"/>
      <c r="DR247" s="73"/>
      <c r="DS247" s="25"/>
      <c r="DT247" s="73"/>
      <c r="DU247" s="73"/>
      <c r="DV247" s="345"/>
      <c r="DW247" s="73"/>
      <c r="DX247" s="25"/>
      <c r="DY247" s="73"/>
      <c r="DZ247" s="73"/>
      <c r="EA247" s="345"/>
      <c r="EB247" s="73"/>
      <c r="EC247" s="25"/>
      <c r="ED247" s="73"/>
      <c r="EE247" s="73"/>
      <c r="EF247" s="345"/>
      <c r="EG247" s="73"/>
      <c r="EH247" s="25"/>
      <c r="EI247" s="73"/>
      <c r="EJ247" s="73"/>
      <c r="EK247" s="345"/>
      <c r="EL247" s="73"/>
      <c r="EM247" s="25"/>
      <c r="EN247" s="73"/>
      <c r="EO247" s="73"/>
      <c r="EP247" s="345"/>
      <c r="EQ247" s="73"/>
      <c r="ER247" s="25"/>
      <c r="ES247" s="73"/>
      <c r="ET247" s="73"/>
      <c r="EU247" s="345"/>
      <c r="EV247" s="73"/>
      <c r="EW247" s="25"/>
      <c r="EX247" s="73"/>
      <c r="EY247" s="73"/>
      <c r="EZ247" s="345"/>
      <c r="FA247" s="73"/>
      <c r="FB247" s="25"/>
      <c r="FC247" s="73"/>
      <c r="FD247" s="73"/>
      <c r="FE247" s="345"/>
      <c r="FF247" s="73"/>
      <c r="FG247" s="25"/>
      <c r="FH247" s="73"/>
      <c r="FI247" s="73"/>
      <c r="FJ247" s="345"/>
      <c r="FK247" s="73"/>
      <c r="FL247" s="25"/>
      <c r="FM247" s="73"/>
      <c r="FN247" s="73"/>
      <c r="FO247" s="345"/>
      <c r="FP247" s="73"/>
      <c r="FQ247" s="25"/>
      <c r="FR247" s="73"/>
      <c r="FS247" s="73"/>
      <c r="FT247" s="345"/>
      <c r="FU247" s="73"/>
      <c r="FV247" s="25"/>
      <c r="FW247" s="73"/>
      <c r="FX247" s="73"/>
      <c r="FY247" s="345"/>
      <c r="FZ247" s="73"/>
      <c r="GA247" s="25"/>
      <c r="GB247" s="73"/>
      <c r="GC247" s="73"/>
      <c r="GD247" s="345"/>
      <c r="GE247" s="73"/>
      <c r="GF247" s="25"/>
      <c r="GG247" s="73"/>
      <c r="GH247" s="73"/>
      <c r="GI247" s="345"/>
      <c r="GJ247" s="73"/>
      <c r="GK247" s="25"/>
      <c r="GL247" s="73"/>
      <c r="GM247" s="73"/>
      <c r="GN247" s="345"/>
      <c r="GO247" s="73"/>
      <c r="GP247" s="25"/>
      <c r="GQ247" s="73"/>
      <c r="GR247" s="73"/>
      <c r="GS247" s="345"/>
      <c r="GT247" s="73"/>
      <c r="GU247" s="25"/>
      <c r="GV247" s="73"/>
      <c r="GW247" s="73"/>
      <c r="GX247" s="345"/>
      <c r="GY247" s="73"/>
      <c r="GZ247" s="25"/>
      <c r="HA247" s="73"/>
      <c r="HB247" s="73"/>
      <c r="HC247" s="345"/>
      <c r="HD247" s="73"/>
      <c r="HE247" s="25"/>
      <c r="HF247" s="73"/>
      <c r="HG247" s="73"/>
      <c r="HH247" s="345"/>
      <c r="HI247" s="73"/>
      <c r="HJ247" s="25"/>
      <c r="HK247" s="73"/>
      <c r="HL247" s="73"/>
      <c r="HM247" s="345"/>
      <c r="HN247" s="73"/>
      <c r="HO247" s="25"/>
      <c r="HP247" s="73"/>
      <c r="HQ247" s="73"/>
      <c r="HR247" s="345"/>
      <c r="HS247" s="73"/>
      <c r="HT247" s="25"/>
      <c r="HU247" s="73"/>
      <c r="HV247" s="73"/>
      <c r="HW247" s="345"/>
      <c r="HX247" s="73"/>
      <c r="HY247" s="25"/>
      <c r="HZ247" s="73"/>
      <c r="IA247" s="73"/>
      <c r="IB247" s="345"/>
      <c r="IC247" s="73"/>
      <c r="ID247" s="25"/>
      <c r="IE247" s="73"/>
      <c r="IF247" s="73"/>
      <c r="IG247" s="345"/>
      <c r="IH247" s="73"/>
      <c r="II247" s="25"/>
      <c r="IJ247" s="73"/>
      <c r="IK247" s="73"/>
      <c r="IL247" s="345"/>
      <c r="IM247" s="73"/>
      <c r="IN247" s="25"/>
      <c r="IO247" s="73"/>
      <c r="IP247" s="73"/>
      <c r="IQ247" s="345"/>
      <c r="IR247" s="73"/>
      <c r="IS247" s="25"/>
      <c r="IT247" s="73"/>
      <c r="IU247" s="73"/>
      <c r="IV247" s="345"/>
    </row>
    <row r="248" spans="1:256" x14ac:dyDescent="0.2">
      <c r="A248" s="345">
        <v>35064</v>
      </c>
      <c r="B248" s="73"/>
      <c r="C248" s="25"/>
      <c r="D248" s="73"/>
      <c r="E248" s="73"/>
      <c r="F248" s="345"/>
      <c r="G248" s="73"/>
      <c r="H248" s="25"/>
      <c r="I248" s="73"/>
      <c r="J248" s="73"/>
      <c r="K248" s="345"/>
      <c r="L248" s="73"/>
      <c r="M248" s="25"/>
      <c r="N248" s="73"/>
      <c r="O248" s="73"/>
      <c r="P248" s="345"/>
      <c r="Q248" s="73"/>
      <c r="R248" s="25"/>
      <c r="S248" s="73"/>
      <c r="T248" s="73"/>
      <c r="U248" s="345"/>
      <c r="V248" s="73"/>
      <c r="W248" s="25"/>
      <c r="X248" s="73"/>
      <c r="Y248" s="73"/>
      <c r="Z248" s="345"/>
      <c r="AA248" s="73"/>
      <c r="AB248" s="25"/>
      <c r="AC248" s="73"/>
      <c r="AD248" s="73"/>
      <c r="AE248" s="345"/>
      <c r="AF248" s="73"/>
      <c r="AG248" s="25"/>
      <c r="AH248" s="73"/>
      <c r="AI248" s="73"/>
      <c r="AJ248" s="345"/>
      <c r="AK248" s="73"/>
      <c r="AL248" s="25"/>
      <c r="AM248" s="73"/>
      <c r="AN248" s="73"/>
      <c r="AO248" s="345"/>
      <c r="AP248" s="73"/>
      <c r="AQ248" s="25"/>
      <c r="AR248" s="73"/>
      <c r="AS248" s="73"/>
      <c r="AT248" s="345"/>
      <c r="AU248" s="73"/>
      <c r="AV248" s="25"/>
      <c r="AW248" s="73"/>
      <c r="AX248" s="73"/>
      <c r="AY248" s="345"/>
      <c r="AZ248" s="73"/>
      <c r="BA248" s="25"/>
      <c r="BB248" s="73"/>
      <c r="BC248" s="73"/>
      <c r="BD248" s="345"/>
      <c r="BE248" s="73"/>
      <c r="BF248" s="25"/>
      <c r="BG248" s="73"/>
      <c r="BH248" s="73"/>
      <c r="BI248" s="345"/>
      <c r="BJ248" s="73"/>
      <c r="BK248" s="25"/>
      <c r="BL248" s="73"/>
      <c r="BM248" s="73"/>
      <c r="BN248" s="345"/>
      <c r="BO248" s="73"/>
      <c r="BP248" s="25"/>
      <c r="BQ248" s="73"/>
      <c r="BR248" s="73"/>
      <c r="BS248" s="345"/>
      <c r="BT248" s="73"/>
      <c r="BU248" s="25"/>
      <c r="BV248" s="73"/>
      <c r="BW248" s="73"/>
      <c r="BX248" s="345"/>
      <c r="BY248" s="73"/>
      <c r="BZ248" s="25"/>
      <c r="CA248" s="73"/>
      <c r="CB248" s="73"/>
      <c r="CC248" s="345"/>
      <c r="CD248" s="73"/>
      <c r="CE248" s="25"/>
      <c r="CF248" s="73"/>
      <c r="CG248" s="73"/>
      <c r="CH248" s="345"/>
      <c r="CI248" s="73"/>
      <c r="CJ248" s="25"/>
      <c r="CK248" s="73"/>
      <c r="CL248" s="73"/>
      <c r="CM248" s="345"/>
      <c r="CN248" s="73"/>
      <c r="CO248" s="25"/>
      <c r="CP248" s="73"/>
      <c r="CQ248" s="73"/>
      <c r="CR248" s="345"/>
      <c r="CS248" s="73"/>
      <c r="CT248" s="25"/>
      <c r="CU248" s="73"/>
      <c r="CV248" s="73"/>
      <c r="CW248" s="345"/>
      <c r="CX248" s="73"/>
      <c r="CY248" s="25"/>
      <c r="CZ248" s="73"/>
      <c r="DA248" s="73"/>
      <c r="DB248" s="345"/>
      <c r="DC248" s="73"/>
      <c r="DD248" s="25"/>
      <c r="DE248" s="73"/>
      <c r="DF248" s="73"/>
      <c r="DG248" s="345"/>
      <c r="DH248" s="73"/>
      <c r="DI248" s="25"/>
      <c r="DJ248" s="73"/>
      <c r="DK248" s="73"/>
      <c r="DL248" s="345"/>
      <c r="DM248" s="73"/>
      <c r="DN248" s="25"/>
      <c r="DO248" s="73"/>
      <c r="DP248" s="73"/>
      <c r="DQ248" s="345"/>
      <c r="DR248" s="73"/>
      <c r="DS248" s="25"/>
      <c r="DT248" s="73"/>
      <c r="DU248" s="73"/>
      <c r="DV248" s="345"/>
      <c r="DW248" s="73"/>
      <c r="DX248" s="25"/>
      <c r="DY248" s="73"/>
      <c r="DZ248" s="73"/>
      <c r="EA248" s="345"/>
      <c r="EB248" s="73"/>
      <c r="EC248" s="25"/>
      <c r="ED248" s="73"/>
      <c r="EE248" s="73"/>
      <c r="EF248" s="345"/>
      <c r="EG248" s="73"/>
      <c r="EH248" s="25"/>
      <c r="EI248" s="73"/>
      <c r="EJ248" s="73"/>
      <c r="EK248" s="345"/>
      <c r="EL248" s="73"/>
      <c r="EM248" s="25"/>
      <c r="EN248" s="73"/>
      <c r="EO248" s="73"/>
      <c r="EP248" s="345"/>
      <c r="EQ248" s="73"/>
      <c r="ER248" s="25"/>
      <c r="ES248" s="73"/>
      <c r="ET248" s="73"/>
      <c r="EU248" s="345"/>
      <c r="EV248" s="73"/>
      <c r="EW248" s="25"/>
      <c r="EX248" s="73"/>
      <c r="EY248" s="73"/>
      <c r="EZ248" s="345"/>
      <c r="FA248" s="73"/>
      <c r="FB248" s="25"/>
      <c r="FC248" s="73"/>
      <c r="FD248" s="73"/>
      <c r="FE248" s="345"/>
      <c r="FF248" s="73"/>
      <c r="FG248" s="25"/>
      <c r="FH248" s="73"/>
      <c r="FI248" s="73"/>
      <c r="FJ248" s="345"/>
      <c r="FK248" s="73"/>
      <c r="FL248" s="25"/>
      <c r="FM248" s="73"/>
      <c r="FN248" s="73"/>
      <c r="FO248" s="345"/>
      <c r="FP248" s="73"/>
      <c r="FQ248" s="25"/>
      <c r="FR248" s="73"/>
      <c r="FS248" s="73"/>
      <c r="FT248" s="345"/>
      <c r="FU248" s="73"/>
      <c r="FV248" s="25"/>
      <c r="FW248" s="73"/>
      <c r="FX248" s="73"/>
      <c r="FY248" s="345"/>
      <c r="FZ248" s="73"/>
      <c r="GA248" s="25"/>
      <c r="GB248" s="73"/>
      <c r="GC248" s="73"/>
      <c r="GD248" s="345"/>
      <c r="GE248" s="73"/>
      <c r="GF248" s="25"/>
      <c r="GG248" s="73"/>
      <c r="GH248" s="73"/>
      <c r="GI248" s="345"/>
      <c r="GJ248" s="73"/>
      <c r="GK248" s="25"/>
      <c r="GL248" s="73"/>
      <c r="GM248" s="73"/>
      <c r="GN248" s="345"/>
      <c r="GO248" s="73"/>
      <c r="GP248" s="25"/>
      <c r="GQ248" s="73"/>
      <c r="GR248" s="73"/>
      <c r="GS248" s="345"/>
      <c r="GT248" s="73"/>
      <c r="GU248" s="25"/>
      <c r="GV248" s="73"/>
      <c r="GW248" s="73"/>
      <c r="GX248" s="345"/>
      <c r="GY248" s="73"/>
      <c r="GZ248" s="25"/>
      <c r="HA248" s="73"/>
      <c r="HB248" s="73"/>
      <c r="HC248" s="345"/>
      <c r="HD248" s="73"/>
      <c r="HE248" s="25"/>
      <c r="HF248" s="73"/>
      <c r="HG248" s="73"/>
      <c r="HH248" s="345"/>
      <c r="HI248" s="73"/>
      <c r="HJ248" s="25"/>
      <c r="HK248" s="73"/>
      <c r="HL248" s="73"/>
      <c r="HM248" s="345"/>
      <c r="HN248" s="73"/>
      <c r="HO248" s="25"/>
      <c r="HP248" s="73"/>
      <c r="HQ248" s="73"/>
      <c r="HR248" s="345"/>
      <c r="HS248" s="73"/>
      <c r="HT248" s="25"/>
      <c r="HU248" s="73"/>
      <c r="HV248" s="73"/>
      <c r="HW248" s="345"/>
      <c r="HX248" s="73"/>
      <c r="HY248" s="25"/>
      <c r="HZ248" s="73"/>
      <c r="IA248" s="73"/>
      <c r="IB248" s="345"/>
      <c r="IC248" s="73"/>
      <c r="ID248" s="25"/>
      <c r="IE248" s="73"/>
      <c r="IF248" s="73"/>
      <c r="IG248" s="345"/>
      <c r="IH248" s="73"/>
      <c r="II248" s="25"/>
      <c r="IJ248" s="73"/>
      <c r="IK248" s="73"/>
      <c r="IL248" s="345"/>
      <c r="IM248" s="73"/>
      <c r="IN248" s="25"/>
      <c r="IO248" s="73"/>
      <c r="IP248" s="73"/>
      <c r="IQ248" s="345"/>
      <c r="IR248" s="73"/>
      <c r="IS248" s="25"/>
      <c r="IT248" s="73"/>
      <c r="IU248" s="73"/>
      <c r="IV248" s="345"/>
    </row>
    <row r="249" spans="1:256" x14ac:dyDescent="0.2">
      <c r="A249" s="345">
        <v>35095</v>
      </c>
      <c r="B249" s="73"/>
      <c r="C249" s="25"/>
      <c r="D249" s="73"/>
      <c r="E249" s="73"/>
      <c r="F249" s="345"/>
      <c r="G249" s="73"/>
      <c r="H249" s="25"/>
      <c r="I249" s="73"/>
      <c r="J249" s="73"/>
      <c r="K249" s="345"/>
      <c r="L249" s="73"/>
      <c r="M249" s="25"/>
      <c r="N249" s="73"/>
      <c r="O249" s="73"/>
      <c r="P249" s="345"/>
      <c r="Q249" s="73"/>
      <c r="R249" s="25"/>
      <c r="S249" s="73"/>
      <c r="T249" s="73"/>
      <c r="U249" s="345"/>
      <c r="V249" s="73"/>
      <c r="W249" s="25"/>
      <c r="X249" s="73"/>
      <c r="Y249" s="73"/>
      <c r="Z249" s="345"/>
      <c r="AA249" s="73"/>
      <c r="AB249" s="25"/>
      <c r="AC249" s="73"/>
      <c r="AD249" s="73"/>
      <c r="AE249" s="345"/>
      <c r="AF249" s="73"/>
      <c r="AG249" s="25"/>
      <c r="AH249" s="73"/>
      <c r="AI249" s="73"/>
      <c r="AJ249" s="345"/>
      <c r="AK249" s="73"/>
      <c r="AL249" s="25"/>
      <c r="AM249" s="73"/>
      <c r="AN249" s="73"/>
      <c r="AO249" s="345"/>
      <c r="AP249" s="73"/>
      <c r="AQ249" s="25"/>
      <c r="AR249" s="73"/>
      <c r="AS249" s="73"/>
      <c r="AT249" s="345"/>
      <c r="AU249" s="73"/>
      <c r="AV249" s="25"/>
      <c r="AW249" s="73"/>
      <c r="AX249" s="73"/>
      <c r="AY249" s="345"/>
      <c r="AZ249" s="73"/>
      <c r="BA249" s="25"/>
      <c r="BB249" s="73"/>
      <c r="BC249" s="73"/>
      <c r="BD249" s="345"/>
      <c r="BE249" s="73"/>
      <c r="BF249" s="25"/>
      <c r="BG249" s="73"/>
      <c r="BH249" s="73"/>
      <c r="BI249" s="345"/>
      <c r="BJ249" s="73"/>
      <c r="BK249" s="25"/>
      <c r="BL249" s="73"/>
      <c r="BM249" s="73"/>
      <c r="BN249" s="345"/>
      <c r="BO249" s="73"/>
      <c r="BP249" s="25"/>
      <c r="BQ249" s="73"/>
      <c r="BR249" s="73"/>
      <c r="BS249" s="345"/>
      <c r="BT249" s="73"/>
      <c r="BU249" s="25"/>
      <c r="BV249" s="73"/>
      <c r="BW249" s="73"/>
      <c r="BX249" s="345"/>
      <c r="BY249" s="73"/>
      <c r="BZ249" s="25"/>
      <c r="CA249" s="73"/>
      <c r="CB249" s="73"/>
      <c r="CC249" s="345"/>
      <c r="CD249" s="73"/>
      <c r="CE249" s="25"/>
      <c r="CF249" s="73"/>
      <c r="CG249" s="73"/>
      <c r="CH249" s="345"/>
      <c r="CI249" s="73"/>
      <c r="CJ249" s="25"/>
      <c r="CK249" s="73"/>
      <c r="CL249" s="73"/>
      <c r="CM249" s="345"/>
      <c r="CN249" s="73"/>
      <c r="CO249" s="25"/>
      <c r="CP249" s="73"/>
      <c r="CQ249" s="73"/>
      <c r="CR249" s="345"/>
      <c r="CS249" s="73"/>
      <c r="CT249" s="25"/>
      <c r="CU249" s="73"/>
      <c r="CV249" s="73"/>
      <c r="CW249" s="345"/>
      <c r="CX249" s="73"/>
      <c r="CY249" s="25"/>
      <c r="CZ249" s="73"/>
      <c r="DA249" s="73"/>
      <c r="DB249" s="345"/>
      <c r="DC249" s="73"/>
      <c r="DD249" s="25"/>
      <c r="DE249" s="73"/>
      <c r="DF249" s="73"/>
      <c r="DG249" s="345"/>
      <c r="DH249" s="73"/>
      <c r="DI249" s="25"/>
      <c r="DJ249" s="73"/>
      <c r="DK249" s="73"/>
      <c r="DL249" s="345"/>
      <c r="DM249" s="73"/>
      <c r="DN249" s="25"/>
      <c r="DO249" s="73"/>
      <c r="DP249" s="73"/>
      <c r="DQ249" s="345"/>
      <c r="DR249" s="73"/>
      <c r="DS249" s="25"/>
      <c r="DT249" s="73"/>
      <c r="DU249" s="73"/>
      <c r="DV249" s="345"/>
      <c r="DW249" s="73"/>
      <c r="DX249" s="25"/>
      <c r="DY249" s="73"/>
      <c r="DZ249" s="73"/>
      <c r="EA249" s="345"/>
      <c r="EB249" s="73"/>
      <c r="EC249" s="25"/>
      <c r="ED249" s="73"/>
      <c r="EE249" s="73"/>
      <c r="EF249" s="345"/>
      <c r="EG249" s="73"/>
      <c r="EH249" s="25"/>
      <c r="EI249" s="73"/>
      <c r="EJ249" s="73"/>
      <c r="EK249" s="345"/>
      <c r="EL249" s="73"/>
      <c r="EM249" s="25"/>
      <c r="EN249" s="73"/>
      <c r="EO249" s="73"/>
      <c r="EP249" s="345"/>
      <c r="EQ249" s="73"/>
      <c r="ER249" s="25"/>
      <c r="ES249" s="73"/>
      <c r="ET249" s="73"/>
      <c r="EU249" s="345"/>
      <c r="EV249" s="73"/>
      <c r="EW249" s="25"/>
      <c r="EX249" s="73"/>
      <c r="EY249" s="73"/>
      <c r="EZ249" s="345"/>
      <c r="FA249" s="73"/>
      <c r="FB249" s="25"/>
      <c r="FC249" s="73"/>
      <c r="FD249" s="73"/>
      <c r="FE249" s="345"/>
      <c r="FF249" s="73"/>
      <c r="FG249" s="25"/>
      <c r="FH249" s="73"/>
      <c r="FI249" s="73"/>
      <c r="FJ249" s="345"/>
      <c r="FK249" s="73"/>
      <c r="FL249" s="25"/>
      <c r="FM249" s="73"/>
      <c r="FN249" s="73"/>
      <c r="FO249" s="345"/>
      <c r="FP249" s="73"/>
      <c r="FQ249" s="25"/>
      <c r="FR249" s="73"/>
      <c r="FS249" s="73"/>
      <c r="FT249" s="345"/>
      <c r="FU249" s="73"/>
      <c r="FV249" s="25"/>
      <c r="FW249" s="73"/>
      <c r="FX249" s="73"/>
      <c r="FY249" s="345"/>
      <c r="FZ249" s="73"/>
      <c r="GA249" s="25"/>
      <c r="GB249" s="73"/>
      <c r="GC249" s="73"/>
      <c r="GD249" s="345"/>
      <c r="GE249" s="73"/>
      <c r="GF249" s="25"/>
      <c r="GG249" s="73"/>
      <c r="GH249" s="73"/>
      <c r="GI249" s="345"/>
      <c r="GJ249" s="73"/>
      <c r="GK249" s="25"/>
      <c r="GL249" s="73"/>
      <c r="GM249" s="73"/>
      <c r="GN249" s="345"/>
      <c r="GO249" s="73"/>
      <c r="GP249" s="25"/>
      <c r="GQ249" s="73"/>
      <c r="GR249" s="73"/>
      <c r="GS249" s="345"/>
      <c r="GT249" s="73"/>
      <c r="GU249" s="25"/>
      <c r="GV249" s="73"/>
      <c r="GW249" s="73"/>
      <c r="GX249" s="345"/>
      <c r="GY249" s="73"/>
      <c r="GZ249" s="25"/>
      <c r="HA249" s="73"/>
      <c r="HB249" s="73"/>
      <c r="HC249" s="345"/>
      <c r="HD249" s="73"/>
      <c r="HE249" s="25"/>
      <c r="HF249" s="73"/>
      <c r="HG249" s="73"/>
      <c r="HH249" s="345"/>
      <c r="HI249" s="73"/>
      <c r="HJ249" s="25"/>
      <c r="HK249" s="73"/>
      <c r="HL249" s="73"/>
      <c r="HM249" s="345"/>
      <c r="HN249" s="73"/>
      <c r="HO249" s="25"/>
      <c r="HP249" s="73"/>
      <c r="HQ249" s="73"/>
      <c r="HR249" s="345"/>
      <c r="HS249" s="73"/>
      <c r="HT249" s="25"/>
      <c r="HU249" s="73"/>
      <c r="HV249" s="73"/>
      <c r="HW249" s="345"/>
      <c r="HX249" s="73"/>
      <c r="HY249" s="25"/>
      <c r="HZ249" s="73"/>
      <c r="IA249" s="73"/>
      <c r="IB249" s="345"/>
      <c r="IC249" s="73"/>
      <c r="ID249" s="25"/>
      <c r="IE249" s="73"/>
      <c r="IF249" s="73"/>
      <c r="IG249" s="345"/>
      <c r="IH249" s="73"/>
      <c r="II249" s="25"/>
      <c r="IJ249" s="73"/>
      <c r="IK249" s="73"/>
      <c r="IL249" s="345"/>
      <c r="IM249" s="73"/>
      <c r="IN249" s="25"/>
      <c r="IO249" s="73"/>
      <c r="IP249" s="73"/>
      <c r="IQ249" s="345"/>
      <c r="IR249" s="73"/>
      <c r="IS249" s="25"/>
      <c r="IT249" s="73"/>
      <c r="IU249" s="73"/>
      <c r="IV249" s="345"/>
    </row>
    <row r="250" spans="1:256" x14ac:dyDescent="0.2">
      <c r="A250" s="345">
        <v>35124</v>
      </c>
      <c r="B250" s="73"/>
      <c r="C250" s="25"/>
      <c r="D250" s="73"/>
      <c r="E250" s="73"/>
      <c r="F250" s="345"/>
      <c r="G250" s="73"/>
      <c r="H250" s="25"/>
      <c r="I250" s="73"/>
      <c r="J250" s="73"/>
      <c r="K250" s="345"/>
      <c r="L250" s="73"/>
      <c r="M250" s="25"/>
      <c r="N250" s="73"/>
      <c r="O250" s="73"/>
      <c r="P250" s="345"/>
      <c r="Q250" s="73"/>
      <c r="R250" s="25"/>
      <c r="S250" s="73"/>
      <c r="T250" s="73"/>
      <c r="U250" s="345"/>
      <c r="V250" s="73"/>
      <c r="W250" s="25"/>
      <c r="X250" s="73"/>
      <c r="Y250" s="73"/>
      <c r="Z250" s="345"/>
      <c r="AA250" s="73"/>
      <c r="AB250" s="25"/>
      <c r="AC250" s="73"/>
      <c r="AD250" s="73"/>
      <c r="AE250" s="345"/>
      <c r="AF250" s="73"/>
      <c r="AG250" s="25"/>
      <c r="AH250" s="73"/>
      <c r="AI250" s="73"/>
      <c r="AJ250" s="345"/>
      <c r="AK250" s="73"/>
      <c r="AL250" s="25"/>
      <c r="AM250" s="73"/>
      <c r="AN250" s="73"/>
      <c r="AO250" s="345"/>
      <c r="AP250" s="73"/>
      <c r="AQ250" s="25"/>
      <c r="AR250" s="73"/>
      <c r="AS250" s="73"/>
      <c r="AT250" s="345"/>
      <c r="AU250" s="73"/>
      <c r="AV250" s="25"/>
      <c r="AW250" s="73"/>
      <c r="AX250" s="73"/>
      <c r="AY250" s="345"/>
      <c r="AZ250" s="73"/>
      <c r="BA250" s="25"/>
      <c r="BB250" s="73"/>
      <c r="BC250" s="73"/>
      <c r="BD250" s="345"/>
      <c r="BE250" s="73"/>
      <c r="BF250" s="25"/>
      <c r="BG250" s="73"/>
      <c r="BH250" s="73"/>
      <c r="BI250" s="345"/>
      <c r="BJ250" s="73"/>
      <c r="BK250" s="25"/>
      <c r="BL250" s="73"/>
      <c r="BM250" s="73"/>
      <c r="BN250" s="345"/>
      <c r="BO250" s="73"/>
      <c r="BP250" s="25"/>
      <c r="BQ250" s="73"/>
      <c r="BR250" s="73"/>
      <c r="BS250" s="345"/>
      <c r="BT250" s="73"/>
      <c r="BU250" s="25"/>
      <c r="BV250" s="73"/>
      <c r="BW250" s="73"/>
      <c r="BX250" s="345"/>
      <c r="BY250" s="73"/>
      <c r="BZ250" s="25"/>
      <c r="CA250" s="73"/>
      <c r="CB250" s="73"/>
      <c r="CC250" s="345"/>
      <c r="CD250" s="73"/>
      <c r="CE250" s="25"/>
      <c r="CF250" s="73"/>
      <c r="CG250" s="73"/>
      <c r="CH250" s="345"/>
      <c r="CI250" s="73"/>
      <c r="CJ250" s="25"/>
      <c r="CK250" s="73"/>
      <c r="CL250" s="73"/>
      <c r="CM250" s="345"/>
      <c r="CN250" s="73"/>
      <c r="CO250" s="25"/>
      <c r="CP250" s="73"/>
      <c r="CQ250" s="73"/>
      <c r="CR250" s="345"/>
      <c r="CS250" s="73"/>
      <c r="CT250" s="25"/>
      <c r="CU250" s="73"/>
      <c r="CV250" s="73"/>
      <c r="CW250" s="345"/>
      <c r="CX250" s="73"/>
      <c r="CY250" s="25"/>
      <c r="CZ250" s="73"/>
      <c r="DA250" s="73"/>
      <c r="DB250" s="345"/>
      <c r="DC250" s="73"/>
      <c r="DD250" s="25"/>
      <c r="DE250" s="73"/>
      <c r="DF250" s="73"/>
      <c r="DG250" s="345"/>
      <c r="DH250" s="73"/>
      <c r="DI250" s="25"/>
      <c r="DJ250" s="73"/>
      <c r="DK250" s="73"/>
      <c r="DL250" s="345"/>
      <c r="DM250" s="73"/>
      <c r="DN250" s="25"/>
      <c r="DO250" s="73"/>
      <c r="DP250" s="73"/>
      <c r="DQ250" s="345"/>
      <c r="DR250" s="73"/>
      <c r="DS250" s="25"/>
      <c r="DT250" s="73"/>
      <c r="DU250" s="73"/>
      <c r="DV250" s="345"/>
      <c r="DW250" s="73"/>
      <c r="DX250" s="25"/>
      <c r="DY250" s="73"/>
      <c r="DZ250" s="73"/>
      <c r="EA250" s="345"/>
      <c r="EB250" s="73"/>
      <c r="EC250" s="25"/>
      <c r="ED250" s="73"/>
      <c r="EE250" s="73"/>
      <c r="EF250" s="345"/>
      <c r="EG250" s="73"/>
      <c r="EH250" s="25"/>
      <c r="EI250" s="73"/>
      <c r="EJ250" s="73"/>
      <c r="EK250" s="345"/>
      <c r="EL250" s="73"/>
      <c r="EM250" s="25"/>
      <c r="EN250" s="73"/>
      <c r="EO250" s="73"/>
      <c r="EP250" s="345"/>
      <c r="EQ250" s="73"/>
      <c r="ER250" s="25"/>
      <c r="ES250" s="73"/>
      <c r="ET250" s="73"/>
      <c r="EU250" s="345"/>
      <c r="EV250" s="73"/>
      <c r="EW250" s="25"/>
      <c r="EX250" s="73"/>
      <c r="EY250" s="73"/>
      <c r="EZ250" s="345"/>
      <c r="FA250" s="73"/>
      <c r="FB250" s="25"/>
      <c r="FC250" s="73"/>
      <c r="FD250" s="73"/>
      <c r="FE250" s="345"/>
      <c r="FF250" s="73"/>
      <c r="FG250" s="25"/>
      <c r="FH250" s="73"/>
      <c r="FI250" s="73"/>
      <c r="FJ250" s="345"/>
      <c r="FK250" s="73"/>
      <c r="FL250" s="25"/>
      <c r="FM250" s="73"/>
      <c r="FN250" s="73"/>
      <c r="FO250" s="345"/>
      <c r="FP250" s="73"/>
      <c r="FQ250" s="25"/>
      <c r="FR250" s="73"/>
      <c r="FS250" s="73"/>
      <c r="FT250" s="345"/>
      <c r="FU250" s="73"/>
      <c r="FV250" s="25"/>
      <c r="FW250" s="73"/>
      <c r="FX250" s="73"/>
      <c r="FY250" s="345"/>
      <c r="FZ250" s="73"/>
      <c r="GA250" s="25"/>
      <c r="GB250" s="73"/>
      <c r="GC250" s="73"/>
      <c r="GD250" s="345"/>
      <c r="GE250" s="73"/>
      <c r="GF250" s="25"/>
      <c r="GG250" s="73"/>
      <c r="GH250" s="73"/>
      <c r="GI250" s="345"/>
      <c r="GJ250" s="73"/>
      <c r="GK250" s="25"/>
      <c r="GL250" s="73"/>
      <c r="GM250" s="73"/>
      <c r="GN250" s="345"/>
      <c r="GO250" s="73"/>
      <c r="GP250" s="25"/>
      <c r="GQ250" s="73"/>
      <c r="GR250" s="73"/>
      <c r="GS250" s="345"/>
      <c r="GT250" s="73"/>
      <c r="GU250" s="25"/>
      <c r="GV250" s="73"/>
      <c r="GW250" s="73"/>
      <c r="GX250" s="345"/>
      <c r="GY250" s="73"/>
      <c r="GZ250" s="25"/>
      <c r="HA250" s="73"/>
      <c r="HB250" s="73"/>
      <c r="HC250" s="345"/>
      <c r="HD250" s="73"/>
      <c r="HE250" s="25"/>
      <c r="HF250" s="73"/>
      <c r="HG250" s="73"/>
      <c r="HH250" s="345"/>
      <c r="HI250" s="73"/>
      <c r="HJ250" s="25"/>
      <c r="HK250" s="73"/>
      <c r="HL250" s="73"/>
      <c r="HM250" s="345"/>
      <c r="HN250" s="73"/>
      <c r="HO250" s="25"/>
      <c r="HP250" s="73"/>
      <c r="HQ250" s="73"/>
      <c r="HR250" s="345"/>
      <c r="HS250" s="73"/>
      <c r="HT250" s="25"/>
      <c r="HU250" s="73"/>
      <c r="HV250" s="73"/>
      <c r="HW250" s="345"/>
      <c r="HX250" s="73"/>
      <c r="HY250" s="25"/>
      <c r="HZ250" s="73"/>
      <c r="IA250" s="73"/>
      <c r="IB250" s="345"/>
      <c r="IC250" s="73"/>
      <c r="ID250" s="25"/>
      <c r="IE250" s="73"/>
      <c r="IF250" s="73"/>
      <c r="IG250" s="345"/>
      <c r="IH250" s="73"/>
      <c r="II250" s="25"/>
      <c r="IJ250" s="73"/>
      <c r="IK250" s="73"/>
      <c r="IL250" s="345"/>
      <c r="IM250" s="73"/>
      <c r="IN250" s="25"/>
      <c r="IO250" s="73"/>
      <c r="IP250" s="73"/>
      <c r="IQ250" s="345"/>
      <c r="IR250" s="73"/>
      <c r="IS250" s="25"/>
      <c r="IT250" s="73"/>
      <c r="IU250" s="73"/>
      <c r="IV250" s="345"/>
    </row>
    <row r="251" spans="1:256" x14ac:dyDescent="0.2">
      <c r="A251" s="345">
        <v>35155</v>
      </c>
      <c r="B251" s="73"/>
      <c r="C251" s="25"/>
      <c r="D251" s="73"/>
      <c r="E251" s="73"/>
      <c r="F251" s="345"/>
      <c r="G251" s="73"/>
      <c r="H251" s="25"/>
      <c r="I251" s="73"/>
      <c r="J251" s="73"/>
      <c r="K251" s="345"/>
      <c r="L251" s="73"/>
      <c r="M251" s="25"/>
      <c r="N251" s="73"/>
      <c r="O251" s="73"/>
      <c r="P251" s="345"/>
      <c r="Q251" s="73"/>
      <c r="R251" s="25"/>
      <c r="S251" s="73"/>
      <c r="T251" s="73"/>
      <c r="U251" s="345"/>
      <c r="V251" s="73"/>
      <c r="W251" s="25"/>
      <c r="X251" s="73"/>
      <c r="Y251" s="73"/>
      <c r="Z251" s="345"/>
      <c r="AA251" s="73"/>
      <c r="AB251" s="25"/>
      <c r="AC251" s="73"/>
      <c r="AD251" s="73"/>
      <c r="AE251" s="345"/>
      <c r="AF251" s="73"/>
      <c r="AG251" s="25"/>
      <c r="AH251" s="73"/>
      <c r="AI251" s="73"/>
      <c r="AJ251" s="345"/>
      <c r="AK251" s="73"/>
      <c r="AL251" s="25"/>
      <c r="AM251" s="73"/>
      <c r="AN251" s="73"/>
      <c r="AO251" s="345"/>
      <c r="AP251" s="73"/>
      <c r="AQ251" s="25"/>
      <c r="AR251" s="73"/>
      <c r="AS251" s="73"/>
      <c r="AT251" s="345"/>
      <c r="AU251" s="73"/>
      <c r="AV251" s="25"/>
      <c r="AW251" s="73"/>
      <c r="AX251" s="73"/>
      <c r="AY251" s="345"/>
      <c r="AZ251" s="73"/>
      <c r="BA251" s="25"/>
      <c r="BB251" s="73"/>
      <c r="BC251" s="73"/>
      <c r="BD251" s="345"/>
      <c r="BE251" s="73"/>
      <c r="BF251" s="25"/>
      <c r="BG251" s="73"/>
      <c r="BH251" s="73"/>
      <c r="BI251" s="345"/>
      <c r="BJ251" s="73"/>
      <c r="BK251" s="25"/>
      <c r="BL251" s="73"/>
      <c r="BM251" s="73"/>
      <c r="BN251" s="345"/>
      <c r="BO251" s="73"/>
      <c r="BP251" s="25"/>
      <c r="BQ251" s="73"/>
      <c r="BR251" s="73"/>
      <c r="BS251" s="345"/>
      <c r="BT251" s="73"/>
      <c r="BU251" s="25"/>
      <c r="BV251" s="73"/>
      <c r="BW251" s="73"/>
      <c r="BX251" s="345"/>
      <c r="BY251" s="73"/>
      <c r="BZ251" s="25"/>
      <c r="CA251" s="73"/>
      <c r="CB251" s="73"/>
      <c r="CC251" s="345"/>
      <c r="CD251" s="73"/>
      <c r="CE251" s="25"/>
      <c r="CF251" s="73"/>
      <c r="CG251" s="73"/>
      <c r="CH251" s="345"/>
      <c r="CI251" s="73"/>
      <c r="CJ251" s="25"/>
      <c r="CK251" s="73"/>
      <c r="CL251" s="73"/>
      <c r="CM251" s="345"/>
      <c r="CN251" s="73"/>
      <c r="CO251" s="25"/>
      <c r="CP251" s="73"/>
      <c r="CQ251" s="73"/>
      <c r="CR251" s="345"/>
      <c r="CS251" s="73"/>
      <c r="CT251" s="25"/>
      <c r="CU251" s="73"/>
      <c r="CV251" s="73"/>
      <c r="CW251" s="345"/>
      <c r="CX251" s="73"/>
      <c r="CY251" s="25"/>
      <c r="CZ251" s="73"/>
      <c r="DA251" s="73"/>
      <c r="DB251" s="345"/>
      <c r="DC251" s="73"/>
      <c r="DD251" s="25"/>
      <c r="DE251" s="73"/>
      <c r="DF251" s="73"/>
      <c r="DG251" s="345"/>
      <c r="DH251" s="73"/>
      <c r="DI251" s="25"/>
      <c r="DJ251" s="73"/>
      <c r="DK251" s="73"/>
      <c r="DL251" s="345"/>
      <c r="DM251" s="73"/>
      <c r="DN251" s="25"/>
      <c r="DO251" s="73"/>
      <c r="DP251" s="73"/>
      <c r="DQ251" s="345"/>
      <c r="DR251" s="73"/>
      <c r="DS251" s="25"/>
      <c r="DT251" s="73"/>
      <c r="DU251" s="73"/>
      <c r="DV251" s="345"/>
      <c r="DW251" s="73"/>
      <c r="DX251" s="25"/>
      <c r="DY251" s="73"/>
      <c r="DZ251" s="73"/>
      <c r="EA251" s="345"/>
      <c r="EB251" s="73"/>
      <c r="EC251" s="25"/>
      <c r="ED251" s="73"/>
      <c r="EE251" s="73"/>
      <c r="EF251" s="345"/>
      <c r="EG251" s="73"/>
      <c r="EH251" s="25"/>
      <c r="EI251" s="73"/>
      <c r="EJ251" s="73"/>
      <c r="EK251" s="345"/>
      <c r="EL251" s="73"/>
      <c r="EM251" s="25"/>
      <c r="EN251" s="73"/>
      <c r="EO251" s="73"/>
      <c r="EP251" s="345"/>
      <c r="EQ251" s="73"/>
      <c r="ER251" s="25"/>
      <c r="ES251" s="73"/>
      <c r="ET251" s="73"/>
      <c r="EU251" s="345"/>
      <c r="EV251" s="73"/>
      <c r="EW251" s="25"/>
      <c r="EX251" s="73"/>
      <c r="EY251" s="73"/>
      <c r="EZ251" s="345"/>
      <c r="FA251" s="73"/>
      <c r="FB251" s="25"/>
      <c r="FC251" s="73"/>
      <c r="FD251" s="73"/>
      <c r="FE251" s="345"/>
      <c r="FF251" s="73"/>
      <c r="FG251" s="25"/>
      <c r="FH251" s="73"/>
      <c r="FI251" s="73"/>
      <c r="FJ251" s="345"/>
      <c r="FK251" s="73"/>
      <c r="FL251" s="25"/>
      <c r="FM251" s="73"/>
      <c r="FN251" s="73"/>
      <c r="FO251" s="345"/>
      <c r="FP251" s="73"/>
      <c r="FQ251" s="25"/>
      <c r="FR251" s="73"/>
      <c r="FS251" s="73"/>
      <c r="FT251" s="345"/>
      <c r="FU251" s="73"/>
      <c r="FV251" s="25"/>
      <c r="FW251" s="73"/>
      <c r="FX251" s="73"/>
      <c r="FY251" s="345"/>
      <c r="FZ251" s="73"/>
      <c r="GA251" s="25"/>
      <c r="GB251" s="73"/>
      <c r="GC251" s="73"/>
      <c r="GD251" s="345"/>
      <c r="GE251" s="73"/>
      <c r="GF251" s="25"/>
      <c r="GG251" s="73"/>
      <c r="GH251" s="73"/>
      <c r="GI251" s="345"/>
      <c r="GJ251" s="73"/>
      <c r="GK251" s="25"/>
      <c r="GL251" s="73"/>
      <c r="GM251" s="73"/>
      <c r="GN251" s="345"/>
      <c r="GO251" s="73"/>
      <c r="GP251" s="25"/>
      <c r="GQ251" s="73"/>
      <c r="GR251" s="73"/>
      <c r="GS251" s="345"/>
      <c r="GT251" s="73"/>
      <c r="GU251" s="25"/>
      <c r="GV251" s="73"/>
      <c r="GW251" s="73"/>
      <c r="GX251" s="345"/>
      <c r="GY251" s="73"/>
      <c r="GZ251" s="25"/>
      <c r="HA251" s="73"/>
      <c r="HB251" s="73"/>
      <c r="HC251" s="345"/>
      <c r="HD251" s="73"/>
      <c r="HE251" s="25"/>
      <c r="HF251" s="73"/>
      <c r="HG251" s="73"/>
      <c r="HH251" s="345"/>
      <c r="HI251" s="73"/>
      <c r="HJ251" s="25"/>
      <c r="HK251" s="73"/>
      <c r="HL251" s="73"/>
      <c r="HM251" s="345"/>
      <c r="HN251" s="73"/>
      <c r="HO251" s="25"/>
      <c r="HP251" s="73"/>
      <c r="HQ251" s="73"/>
      <c r="HR251" s="345"/>
      <c r="HS251" s="73"/>
      <c r="HT251" s="25"/>
      <c r="HU251" s="73"/>
      <c r="HV251" s="73"/>
      <c r="HW251" s="345"/>
      <c r="HX251" s="73"/>
      <c r="HY251" s="25"/>
      <c r="HZ251" s="73"/>
      <c r="IA251" s="73"/>
      <c r="IB251" s="345"/>
      <c r="IC251" s="73"/>
      <c r="ID251" s="25"/>
      <c r="IE251" s="73"/>
      <c r="IF251" s="73"/>
      <c r="IG251" s="345"/>
      <c r="IH251" s="73"/>
      <c r="II251" s="25"/>
      <c r="IJ251" s="73"/>
      <c r="IK251" s="73"/>
      <c r="IL251" s="345"/>
      <c r="IM251" s="73"/>
      <c r="IN251" s="25"/>
      <c r="IO251" s="73"/>
      <c r="IP251" s="73"/>
      <c r="IQ251" s="345"/>
      <c r="IR251" s="73"/>
      <c r="IS251" s="25"/>
      <c r="IT251" s="73"/>
      <c r="IU251" s="73"/>
      <c r="IV251" s="345"/>
    </row>
    <row r="252" spans="1:256" x14ac:dyDescent="0.2">
      <c r="A252" s="345">
        <v>35185</v>
      </c>
      <c r="B252" s="73"/>
      <c r="C252" s="25"/>
      <c r="D252" s="73"/>
      <c r="E252" s="73"/>
      <c r="F252" s="345"/>
      <c r="G252" s="73"/>
      <c r="H252" s="25"/>
      <c r="I252" s="73"/>
      <c r="J252" s="73"/>
      <c r="K252" s="345"/>
      <c r="L252" s="73"/>
      <c r="M252" s="25"/>
      <c r="N252" s="73"/>
      <c r="O252" s="73"/>
      <c r="P252" s="345"/>
      <c r="Q252" s="73"/>
      <c r="R252" s="25"/>
      <c r="S252" s="73"/>
      <c r="T252" s="73"/>
      <c r="U252" s="345"/>
      <c r="V252" s="73"/>
      <c r="W252" s="25"/>
      <c r="X252" s="73"/>
      <c r="Y252" s="73"/>
      <c r="Z252" s="345"/>
      <c r="AA252" s="73"/>
      <c r="AB252" s="25"/>
      <c r="AC252" s="73"/>
      <c r="AD252" s="73"/>
      <c r="AE252" s="345"/>
      <c r="AF252" s="73"/>
      <c r="AG252" s="25"/>
      <c r="AH252" s="73"/>
      <c r="AI252" s="73"/>
      <c r="AJ252" s="345"/>
      <c r="AK252" s="73"/>
      <c r="AL252" s="25"/>
      <c r="AM252" s="73"/>
      <c r="AN252" s="73"/>
      <c r="AO252" s="345"/>
      <c r="AP252" s="73"/>
      <c r="AQ252" s="25"/>
      <c r="AR252" s="73"/>
      <c r="AS252" s="73"/>
      <c r="AT252" s="345"/>
      <c r="AU252" s="73"/>
      <c r="AV252" s="25"/>
      <c r="AW252" s="73"/>
      <c r="AX252" s="73"/>
      <c r="AY252" s="345"/>
      <c r="AZ252" s="73"/>
      <c r="BA252" s="25"/>
      <c r="BB252" s="73"/>
      <c r="BC252" s="73"/>
      <c r="BD252" s="345"/>
      <c r="BE252" s="73"/>
      <c r="BF252" s="25"/>
      <c r="BG252" s="73"/>
      <c r="BH252" s="73"/>
      <c r="BI252" s="345"/>
      <c r="BJ252" s="73"/>
      <c r="BK252" s="25"/>
      <c r="BL252" s="73"/>
      <c r="BM252" s="73"/>
      <c r="BN252" s="345"/>
      <c r="BO252" s="73"/>
      <c r="BP252" s="25"/>
      <c r="BQ252" s="73"/>
      <c r="BR252" s="73"/>
      <c r="BS252" s="345"/>
      <c r="BT252" s="73"/>
      <c r="BU252" s="25"/>
      <c r="BV252" s="73"/>
      <c r="BW252" s="73"/>
      <c r="BX252" s="345"/>
      <c r="BY252" s="73"/>
      <c r="BZ252" s="25"/>
      <c r="CA252" s="73"/>
      <c r="CB252" s="73"/>
      <c r="CC252" s="345"/>
      <c r="CD252" s="73"/>
      <c r="CE252" s="25"/>
      <c r="CF252" s="73"/>
      <c r="CG252" s="73"/>
      <c r="CH252" s="345"/>
      <c r="CI252" s="73"/>
      <c r="CJ252" s="25"/>
      <c r="CK252" s="73"/>
      <c r="CL252" s="73"/>
      <c r="CM252" s="345"/>
      <c r="CN252" s="73"/>
      <c r="CO252" s="25"/>
      <c r="CP252" s="73"/>
      <c r="CQ252" s="73"/>
      <c r="CR252" s="345"/>
      <c r="CS252" s="73"/>
      <c r="CT252" s="25"/>
      <c r="CU252" s="73"/>
      <c r="CV252" s="73"/>
      <c r="CW252" s="345"/>
      <c r="CX252" s="73"/>
      <c r="CY252" s="25"/>
      <c r="CZ252" s="73"/>
      <c r="DA252" s="73"/>
      <c r="DB252" s="345"/>
      <c r="DC252" s="73"/>
      <c r="DD252" s="25"/>
      <c r="DE252" s="73"/>
      <c r="DF252" s="73"/>
      <c r="DG252" s="345"/>
      <c r="DH252" s="73"/>
      <c r="DI252" s="25"/>
      <c r="DJ252" s="73"/>
      <c r="DK252" s="73"/>
      <c r="DL252" s="345"/>
      <c r="DM252" s="73"/>
      <c r="DN252" s="25"/>
      <c r="DO252" s="73"/>
      <c r="DP252" s="73"/>
      <c r="DQ252" s="345"/>
      <c r="DR252" s="73"/>
      <c r="DS252" s="25"/>
      <c r="DT252" s="73"/>
      <c r="DU252" s="73"/>
      <c r="DV252" s="345"/>
      <c r="DW252" s="73"/>
      <c r="DX252" s="25"/>
      <c r="DY252" s="73"/>
      <c r="DZ252" s="73"/>
      <c r="EA252" s="345"/>
      <c r="EB252" s="73"/>
      <c r="EC252" s="25"/>
      <c r="ED252" s="73"/>
      <c r="EE252" s="73"/>
      <c r="EF252" s="345"/>
      <c r="EG252" s="73"/>
      <c r="EH252" s="25"/>
      <c r="EI252" s="73"/>
      <c r="EJ252" s="73"/>
      <c r="EK252" s="345"/>
      <c r="EL252" s="73"/>
      <c r="EM252" s="25"/>
      <c r="EN252" s="73"/>
      <c r="EO252" s="73"/>
      <c r="EP252" s="345"/>
      <c r="EQ252" s="73"/>
      <c r="ER252" s="25"/>
      <c r="ES252" s="73"/>
      <c r="ET252" s="73"/>
      <c r="EU252" s="345"/>
      <c r="EV252" s="73"/>
      <c r="EW252" s="25"/>
      <c r="EX252" s="73"/>
      <c r="EY252" s="73"/>
      <c r="EZ252" s="345"/>
      <c r="FA252" s="73"/>
      <c r="FB252" s="25"/>
      <c r="FC252" s="73"/>
      <c r="FD252" s="73"/>
      <c r="FE252" s="345"/>
      <c r="FF252" s="73"/>
      <c r="FG252" s="25"/>
      <c r="FH252" s="73"/>
      <c r="FI252" s="73"/>
      <c r="FJ252" s="345"/>
      <c r="FK252" s="73"/>
      <c r="FL252" s="25"/>
      <c r="FM252" s="73"/>
      <c r="FN252" s="73"/>
      <c r="FO252" s="345"/>
      <c r="FP252" s="73"/>
      <c r="FQ252" s="25"/>
      <c r="FR252" s="73"/>
      <c r="FS252" s="73"/>
      <c r="FT252" s="345"/>
      <c r="FU252" s="73"/>
      <c r="FV252" s="25"/>
      <c r="FW252" s="73"/>
      <c r="FX252" s="73"/>
      <c r="FY252" s="345"/>
      <c r="FZ252" s="73"/>
      <c r="GA252" s="25"/>
      <c r="GB252" s="73"/>
      <c r="GC252" s="73"/>
      <c r="GD252" s="345"/>
      <c r="GE252" s="73"/>
      <c r="GF252" s="25"/>
      <c r="GG252" s="73"/>
      <c r="GH252" s="73"/>
      <c r="GI252" s="345"/>
      <c r="GJ252" s="73"/>
      <c r="GK252" s="25"/>
      <c r="GL252" s="73"/>
      <c r="GM252" s="73"/>
      <c r="GN252" s="345"/>
      <c r="GO252" s="73"/>
      <c r="GP252" s="25"/>
      <c r="GQ252" s="73"/>
      <c r="GR252" s="73"/>
      <c r="GS252" s="345"/>
      <c r="GT252" s="73"/>
      <c r="GU252" s="25"/>
      <c r="GV252" s="73"/>
      <c r="GW252" s="73"/>
      <c r="GX252" s="345"/>
      <c r="GY252" s="73"/>
      <c r="GZ252" s="25"/>
      <c r="HA252" s="73"/>
      <c r="HB252" s="73"/>
      <c r="HC252" s="345"/>
      <c r="HD252" s="73"/>
      <c r="HE252" s="25"/>
      <c r="HF252" s="73"/>
      <c r="HG252" s="73"/>
      <c r="HH252" s="345"/>
      <c r="HI252" s="73"/>
      <c r="HJ252" s="25"/>
      <c r="HK252" s="73"/>
      <c r="HL252" s="73"/>
      <c r="HM252" s="345"/>
      <c r="HN252" s="73"/>
      <c r="HO252" s="25"/>
      <c r="HP252" s="73"/>
      <c r="HQ252" s="73"/>
      <c r="HR252" s="345"/>
      <c r="HS252" s="73"/>
      <c r="HT252" s="25"/>
      <c r="HU252" s="73"/>
      <c r="HV252" s="73"/>
      <c r="HW252" s="345"/>
      <c r="HX252" s="73"/>
      <c r="HY252" s="25"/>
      <c r="HZ252" s="73"/>
      <c r="IA252" s="73"/>
      <c r="IB252" s="345"/>
      <c r="IC252" s="73"/>
      <c r="ID252" s="25"/>
      <c r="IE252" s="73"/>
      <c r="IF252" s="73"/>
      <c r="IG252" s="345"/>
      <c r="IH252" s="73"/>
      <c r="II252" s="25"/>
      <c r="IJ252" s="73"/>
      <c r="IK252" s="73"/>
      <c r="IL252" s="345"/>
      <c r="IM252" s="73"/>
      <c r="IN252" s="25"/>
      <c r="IO252" s="73"/>
      <c r="IP252" s="73"/>
      <c r="IQ252" s="345"/>
      <c r="IR252" s="73"/>
      <c r="IS252" s="25"/>
      <c r="IT252" s="73"/>
      <c r="IU252" s="73"/>
      <c r="IV252" s="345"/>
    </row>
    <row r="253" spans="1:256" x14ac:dyDescent="0.2">
      <c r="A253" s="345">
        <v>35216</v>
      </c>
      <c r="B253" s="73"/>
      <c r="C253" s="25"/>
      <c r="D253" s="73"/>
      <c r="E253" s="73"/>
      <c r="F253" s="345"/>
      <c r="G253" s="73"/>
      <c r="H253" s="25"/>
      <c r="I253" s="73"/>
      <c r="J253" s="73"/>
      <c r="K253" s="345"/>
      <c r="L253" s="73"/>
      <c r="M253" s="25"/>
      <c r="N253" s="73"/>
      <c r="O253" s="73"/>
      <c r="P253" s="345"/>
      <c r="Q253" s="73"/>
      <c r="R253" s="25"/>
      <c r="S253" s="73"/>
      <c r="T253" s="73"/>
      <c r="U253" s="345"/>
      <c r="V253" s="73"/>
      <c r="W253" s="25"/>
      <c r="X253" s="73"/>
      <c r="Y253" s="73"/>
      <c r="Z253" s="345"/>
      <c r="AA253" s="73"/>
      <c r="AB253" s="25"/>
      <c r="AC253" s="73"/>
      <c r="AD253" s="73"/>
      <c r="AE253" s="345"/>
      <c r="AF253" s="73"/>
      <c r="AG253" s="25"/>
      <c r="AH253" s="73"/>
      <c r="AI253" s="73"/>
      <c r="AJ253" s="345"/>
      <c r="AK253" s="73"/>
      <c r="AL253" s="25"/>
      <c r="AM253" s="73"/>
      <c r="AN253" s="73"/>
      <c r="AO253" s="345"/>
      <c r="AP253" s="73"/>
      <c r="AQ253" s="25"/>
      <c r="AR253" s="73"/>
      <c r="AS253" s="73"/>
      <c r="AT253" s="345"/>
      <c r="AU253" s="73"/>
      <c r="AV253" s="25"/>
      <c r="AW253" s="73"/>
      <c r="AX253" s="73"/>
      <c r="AY253" s="345"/>
      <c r="AZ253" s="73"/>
      <c r="BA253" s="25"/>
      <c r="BB253" s="73"/>
      <c r="BC253" s="73"/>
      <c r="BD253" s="345"/>
      <c r="BE253" s="73"/>
      <c r="BF253" s="25"/>
      <c r="BG253" s="73"/>
      <c r="BH253" s="73"/>
      <c r="BI253" s="345"/>
      <c r="BJ253" s="73"/>
      <c r="BK253" s="25"/>
      <c r="BL253" s="73"/>
      <c r="BM253" s="73"/>
      <c r="BN253" s="345"/>
      <c r="BO253" s="73"/>
      <c r="BP253" s="25"/>
      <c r="BQ253" s="73"/>
      <c r="BR253" s="73"/>
      <c r="BS253" s="345"/>
      <c r="BT253" s="73"/>
      <c r="BU253" s="25"/>
      <c r="BV253" s="73"/>
      <c r="BW253" s="73"/>
      <c r="BX253" s="345"/>
      <c r="BY253" s="73"/>
      <c r="BZ253" s="25"/>
      <c r="CA253" s="73"/>
      <c r="CB253" s="73"/>
      <c r="CC253" s="345"/>
      <c r="CD253" s="73"/>
      <c r="CE253" s="25"/>
      <c r="CF253" s="73"/>
      <c r="CG253" s="73"/>
      <c r="CH253" s="345"/>
      <c r="CI253" s="73"/>
      <c r="CJ253" s="25"/>
      <c r="CK253" s="73"/>
      <c r="CL253" s="73"/>
      <c r="CM253" s="345"/>
      <c r="CN253" s="73"/>
      <c r="CO253" s="25"/>
      <c r="CP253" s="73"/>
      <c r="CQ253" s="73"/>
      <c r="CR253" s="345"/>
      <c r="CS253" s="73"/>
      <c r="CT253" s="25"/>
      <c r="CU253" s="73"/>
      <c r="CV253" s="73"/>
      <c r="CW253" s="345"/>
      <c r="CX253" s="73"/>
      <c r="CY253" s="25"/>
      <c r="CZ253" s="73"/>
      <c r="DA253" s="73"/>
      <c r="DB253" s="345"/>
      <c r="DC253" s="73"/>
      <c r="DD253" s="25"/>
      <c r="DE253" s="73"/>
      <c r="DF253" s="73"/>
      <c r="DG253" s="345"/>
      <c r="DH253" s="73"/>
      <c r="DI253" s="25"/>
      <c r="DJ253" s="73"/>
      <c r="DK253" s="73"/>
      <c r="DL253" s="345"/>
      <c r="DM253" s="73"/>
      <c r="DN253" s="25"/>
      <c r="DO253" s="73"/>
      <c r="DP253" s="73"/>
      <c r="DQ253" s="345"/>
      <c r="DR253" s="73"/>
      <c r="DS253" s="25"/>
      <c r="DT253" s="73"/>
      <c r="DU253" s="73"/>
      <c r="DV253" s="345"/>
      <c r="DW253" s="73"/>
      <c r="DX253" s="25"/>
      <c r="DY253" s="73"/>
      <c r="DZ253" s="73"/>
      <c r="EA253" s="345"/>
      <c r="EB253" s="73"/>
      <c r="EC253" s="25"/>
      <c r="ED253" s="73"/>
      <c r="EE253" s="73"/>
      <c r="EF253" s="345"/>
      <c r="EG253" s="73"/>
      <c r="EH253" s="25"/>
      <c r="EI253" s="73"/>
      <c r="EJ253" s="73"/>
      <c r="EK253" s="345"/>
      <c r="EL253" s="73"/>
      <c r="EM253" s="25"/>
      <c r="EN253" s="73"/>
      <c r="EO253" s="73"/>
      <c r="EP253" s="345"/>
      <c r="EQ253" s="73"/>
      <c r="ER253" s="25"/>
      <c r="ES253" s="73"/>
      <c r="ET253" s="73"/>
      <c r="EU253" s="345"/>
      <c r="EV253" s="73"/>
      <c r="EW253" s="25"/>
      <c r="EX253" s="73"/>
      <c r="EY253" s="73"/>
      <c r="EZ253" s="345"/>
      <c r="FA253" s="73"/>
      <c r="FB253" s="25"/>
      <c r="FC253" s="73"/>
      <c r="FD253" s="73"/>
      <c r="FE253" s="345"/>
      <c r="FF253" s="73"/>
      <c r="FG253" s="25"/>
      <c r="FH253" s="73"/>
      <c r="FI253" s="73"/>
      <c r="FJ253" s="345"/>
      <c r="FK253" s="73"/>
      <c r="FL253" s="25"/>
      <c r="FM253" s="73"/>
      <c r="FN253" s="73"/>
      <c r="FO253" s="345"/>
      <c r="FP253" s="73"/>
      <c r="FQ253" s="25"/>
      <c r="FR253" s="73"/>
      <c r="FS253" s="73"/>
      <c r="FT253" s="345"/>
      <c r="FU253" s="73"/>
      <c r="FV253" s="25"/>
      <c r="FW253" s="73"/>
      <c r="FX253" s="73"/>
      <c r="FY253" s="345"/>
      <c r="FZ253" s="73"/>
      <c r="GA253" s="25"/>
      <c r="GB253" s="73"/>
      <c r="GC253" s="73"/>
      <c r="GD253" s="345"/>
      <c r="GE253" s="73"/>
      <c r="GF253" s="25"/>
      <c r="GG253" s="73"/>
      <c r="GH253" s="73"/>
      <c r="GI253" s="345"/>
      <c r="GJ253" s="73"/>
      <c r="GK253" s="25"/>
      <c r="GL253" s="73"/>
      <c r="GM253" s="73"/>
      <c r="GN253" s="345"/>
      <c r="GO253" s="73"/>
      <c r="GP253" s="25"/>
      <c r="GQ253" s="73"/>
      <c r="GR253" s="73"/>
      <c r="GS253" s="345"/>
      <c r="GT253" s="73"/>
      <c r="GU253" s="25"/>
      <c r="GV253" s="73"/>
      <c r="GW253" s="73"/>
      <c r="GX253" s="345"/>
      <c r="GY253" s="73"/>
      <c r="GZ253" s="25"/>
      <c r="HA253" s="73"/>
      <c r="HB253" s="73"/>
      <c r="HC253" s="345"/>
      <c r="HD253" s="73"/>
      <c r="HE253" s="25"/>
      <c r="HF253" s="73"/>
      <c r="HG253" s="73"/>
      <c r="HH253" s="345"/>
      <c r="HI253" s="73"/>
      <c r="HJ253" s="25"/>
      <c r="HK253" s="73"/>
      <c r="HL253" s="73"/>
      <c r="HM253" s="345"/>
      <c r="HN253" s="73"/>
      <c r="HO253" s="25"/>
      <c r="HP253" s="73"/>
      <c r="HQ253" s="73"/>
      <c r="HR253" s="345"/>
      <c r="HS253" s="73"/>
      <c r="HT253" s="25"/>
      <c r="HU253" s="73"/>
      <c r="HV253" s="73"/>
      <c r="HW253" s="345"/>
      <c r="HX253" s="73"/>
      <c r="HY253" s="25"/>
      <c r="HZ253" s="73"/>
      <c r="IA253" s="73"/>
      <c r="IB253" s="345"/>
      <c r="IC253" s="73"/>
      <c r="ID253" s="25"/>
      <c r="IE253" s="73"/>
      <c r="IF253" s="73"/>
      <c r="IG253" s="345"/>
      <c r="IH253" s="73"/>
      <c r="II253" s="25"/>
      <c r="IJ253" s="73"/>
      <c r="IK253" s="73"/>
      <c r="IL253" s="345"/>
      <c r="IM253" s="73"/>
      <c r="IN253" s="25"/>
      <c r="IO253" s="73"/>
      <c r="IP253" s="73"/>
      <c r="IQ253" s="345"/>
      <c r="IR253" s="73"/>
      <c r="IS253" s="25"/>
      <c r="IT253" s="73"/>
      <c r="IU253" s="73"/>
      <c r="IV253" s="345"/>
    </row>
    <row r="254" spans="1:256" x14ac:dyDescent="0.2">
      <c r="A254" s="345">
        <v>35246</v>
      </c>
      <c r="B254" s="73"/>
      <c r="C254" s="25"/>
      <c r="D254" s="73"/>
      <c r="E254" s="73"/>
      <c r="F254" s="345"/>
      <c r="G254" s="73"/>
      <c r="H254" s="25"/>
      <c r="I254" s="73"/>
      <c r="J254" s="73"/>
      <c r="K254" s="345"/>
      <c r="L254" s="73"/>
      <c r="M254" s="25"/>
      <c r="N254" s="73"/>
      <c r="O254" s="73"/>
      <c r="P254" s="345"/>
      <c r="Q254" s="73"/>
      <c r="R254" s="25"/>
      <c r="S254" s="73"/>
      <c r="T254" s="73"/>
      <c r="U254" s="345"/>
      <c r="V254" s="73"/>
      <c r="W254" s="25"/>
      <c r="X254" s="73"/>
      <c r="Y254" s="73"/>
      <c r="Z254" s="345"/>
      <c r="AA254" s="73"/>
      <c r="AB254" s="25"/>
      <c r="AC254" s="73"/>
      <c r="AD254" s="73"/>
      <c r="AE254" s="345"/>
      <c r="AF254" s="73"/>
      <c r="AG254" s="25"/>
      <c r="AH254" s="73"/>
      <c r="AI254" s="73"/>
      <c r="AJ254" s="345"/>
      <c r="AK254" s="73"/>
      <c r="AL254" s="25"/>
      <c r="AM254" s="73"/>
      <c r="AN254" s="73"/>
      <c r="AO254" s="345"/>
      <c r="AP254" s="73"/>
      <c r="AQ254" s="25"/>
      <c r="AR254" s="73"/>
      <c r="AS254" s="73"/>
      <c r="AT254" s="345"/>
      <c r="AU254" s="73"/>
      <c r="AV254" s="25"/>
      <c r="AW254" s="73"/>
      <c r="AX254" s="73"/>
      <c r="AY254" s="345"/>
      <c r="AZ254" s="73"/>
      <c r="BA254" s="25"/>
      <c r="BB254" s="73"/>
      <c r="BC254" s="73"/>
      <c r="BD254" s="345"/>
      <c r="BE254" s="73"/>
      <c r="BF254" s="25"/>
      <c r="BG254" s="73"/>
      <c r="BH254" s="73"/>
      <c r="BI254" s="345"/>
      <c r="BJ254" s="73"/>
      <c r="BK254" s="25"/>
      <c r="BL254" s="73"/>
      <c r="BM254" s="73"/>
      <c r="BN254" s="345"/>
      <c r="BO254" s="73"/>
      <c r="BP254" s="25"/>
      <c r="BQ254" s="73"/>
      <c r="BR254" s="73"/>
      <c r="BS254" s="345"/>
      <c r="BT254" s="73"/>
      <c r="BU254" s="25"/>
      <c r="BV254" s="73"/>
      <c r="BW254" s="73"/>
      <c r="BX254" s="345"/>
      <c r="BY254" s="73"/>
      <c r="BZ254" s="25"/>
      <c r="CA254" s="73"/>
      <c r="CB254" s="73"/>
      <c r="CC254" s="345"/>
      <c r="CD254" s="73"/>
      <c r="CE254" s="25"/>
      <c r="CF254" s="73"/>
      <c r="CG254" s="73"/>
      <c r="CH254" s="345"/>
      <c r="CI254" s="73"/>
      <c r="CJ254" s="25"/>
      <c r="CK254" s="73"/>
      <c r="CL254" s="73"/>
      <c r="CM254" s="345"/>
      <c r="CN254" s="73"/>
      <c r="CO254" s="25"/>
      <c r="CP254" s="73"/>
      <c r="CQ254" s="73"/>
      <c r="CR254" s="345"/>
      <c r="CS254" s="73"/>
      <c r="CT254" s="25"/>
      <c r="CU254" s="73"/>
      <c r="CV254" s="73"/>
      <c r="CW254" s="345"/>
      <c r="CX254" s="73"/>
      <c r="CY254" s="25"/>
      <c r="CZ254" s="73"/>
      <c r="DA254" s="73"/>
      <c r="DB254" s="345"/>
      <c r="DC254" s="73"/>
      <c r="DD254" s="25"/>
      <c r="DE254" s="73"/>
      <c r="DF254" s="73"/>
      <c r="DG254" s="345"/>
      <c r="DH254" s="73"/>
      <c r="DI254" s="25"/>
      <c r="DJ254" s="73"/>
      <c r="DK254" s="73"/>
      <c r="DL254" s="345"/>
      <c r="DM254" s="73"/>
      <c r="DN254" s="25"/>
      <c r="DO254" s="73"/>
      <c r="DP254" s="73"/>
      <c r="DQ254" s="345"/>
      <c r="DR254" s="73"/>
      <c r="DS254" s="25"/>
      <c r="DT254" s="73"/>
      <c r="DU254" s="73"/>
      <c r="DV254" s="345"/>
      <c r="DW254" s="73"/>
      <c r="DX254" s="25"/>
      <c r="DY254" s="73"/>
      <c r="DZ254" s="73"/>
      <c r="EA254" s="345"/>
      <c r="EB254" s="73"/>
      <c r="EC254" s="25"/>
      <c r="ED254" s="73"/>
      <c r="EE254" s="73"/>
      <c r="EF254" s="345"/>
      <c r="EG254" s="73"/>
      <c r="EH254" s="25"/>
      <c r="EI254" s="73"/>
      <c r="EJ254" s="73"/>
      <c r="EK254" s="345"/>
      <c r="EL254" s="73"/>
      <c r="EM254" s="25"/>
      <c r="EN254" s="73"/>
      <c r="EO254" s="73"/>
      <c r="EP254" s="345"/>
      <c r="EQ254" s="73"/>
      <c r="ER254" s="25"/>
      <c r="ES254" s="73"/>
      <c r="ET254" s="73"/>
      <c r="EU254" s="345"/>
      <c r="EV254" s="73"/>
      <c r="EW254" s="25"/>
      <c r="EX254" s="73"/>
      <c r="EY254" s="73"/>
      <c r="EZ254" s="345"/>
      <c r="FA254" s="73"/>
      <c r="FB254" s="25"/>
      <c r="FC254" s="73"/>
      <c r="FD254" s="73"/>
      <c r="FE254" s="345"/>
      <c r="FF254" s="73"/>
      <c r="FG254" s="25"/>
      <c r="FH254" s="73"/>
      <c r="FI254" s="73"/>
      <c r="FJ254" s="345"/>
      <c r="FK254" s="73"/>
      <c r="FL254" s="25"/>
      <c r="FM254" s="73"/>
      <c r="FN254" s="73"/>
      <c r="FO254" s="345"/>
      <c r="FP254" s="73"/>
      <c r="FQ254" s="25"/>
      <c r="FR254" s="73"/>
      <c r="FS254" s="73"/>
      <c r="FT254" s="345"/>
      <c r="FU254" s="73"/>
      <c r="FV254" s="25"/>
      <c r="FW254" s="73"/>
      <c r="FX254" s="73"/>
      <c r="FY254" s="345"/>
      <c r="FZ254" s="73"/>
      <c r="GA254" s="25"/>
      <c r="GB254" s="73"/>
      <c r="GC254" s="73"/>
      <c r="GD254" s="345"/>
      <c r="GE254" s="73"/>
      <c r="GF254" s="25"/>
      <c r="GG254" s="73"/>
      <c r="GH254" s="73"/>
      <c r="GI254" s="345"/>
      <c r="GJ254" s="73"/>
      <c r="GK254" s="25"/>
      <c r="GL254" s="73"/>
      <c r="GM254" s="73"/>
      <c r="GN254" s="345"/>
      <c r="GO254" s="73"/>
      <c r="GP254" s="25"/>
      <c r="GQ254" s="73"/>
      <c r="GR254" s="73"/>
      <c r="GS254" s="345"/>
      <c r="GT254" s="73"/>
      <c r="GU254" s="25"/>
      <c r="GV254" s="73"/>
      <c r="GW254" s="73"/>
      <c r="GX254" s="345"/>
      <c r="GY254" s="73"/>
      <c r="GZ254" s="25"/>
      <c r="HA254" s="73"/>
      <c r="HB254" s="73"/>
      <c r="HC254" s="345"/>
      <c r="HD254" s="73"/>
      <c r="HE254" s="25"/>
      <c r="HF254" s="73"/>
      <c r="HG254" s="73"/>
      <c r="HH254" s="345"/>
      <c r="HI254" s="73"/>
      <c r="HJ254" s="25"/>
      <c r="HK254" s="73"/>
      <c r="HL254" s="73"/>
      <c r="HM254" s="345"/>
      <c r="HN254" s="73"/>
      <c r="HO254" s="25"/>
      <c r="HP254" s="73"/>
      <c r="HQ254" s="73"/>
      <c r="HR254" s="345"/>
      <c r="HS254" s="73"/>
      <c r="HT254" s="25"/>
      <c r="HU254" s="73"/>
      <c r="HV254" s="73"/>
      <c r="HW254" s="345"/>
      <c r="HX254" s="73"/>
      <c r="HY254" s="25"/>
      <c r="HZ254" s="73"/>
      <c r="IA254" s="73"/>
      <c r="IB254" s="345"/>
      <c r="IC254" s="73"/>
      <c r="ID254" s="25"/>
      <c r="IE254" s="73"/>
      <c r="IF254" s="73"/>
      <c r="IG254" s="345"/>
      <c r="IH254" s="73"/>
      <c r="II254" s="25"/>
      <c r="IJ254" s="73"/>
      <c r="IK254" s="73"/>
      <c r="IL254" s="345"/>
      <c r="IM254" s="73"/>
      <c r="IN254" s="25"/>
      <c r="IO254" s="73"/>
      <c r="IP254" s="73"/>
      <c r="IQ254" s="345"/>
      <c r="IR254" s="73"/>
      <c r="IS254" s="25"/>
      <c r="IT254" s="73"/>
      <c r="IU254" s="73"/>
      <c r="IV254" s="345"/>
    </row>
    <row r="255" spans="1:256" x14ac:dyDescent="0.2">
      <c r="A255" s="345">
        <v>35277</v>
      </c>
      <c r="B255" s="73"/>
      <c r="C255" s="25"/>
      <c r="D255" s="73"/>
      <c r="E255" s="73"/>
      <c r="F255" s="345"/>
      <c r="G255" s="73"/>
      <c r="H255" s="25"/>
      <c r="I255" s="73"/>
      <c r="J255" s="73"/>
      <c r="K255" s="345"/>
      <c r="L255" s="73"/>
      <c r="M255" s="25"/>
      <c r="N255" s="73"/>
      <c r="O255" s="73"/>
      <c r="P255" s="345"/>
      <c r="Q255" s="73"/>
      <c r="R255" s="25"/>
      <c r="S255" s="73"/>
      <c r="T255" s="73"/>
      <c r="U255" s="345"/>
      <c r="V255" s="73"/>
      <c r="W255" s="25"/>
      <c r="X255" s="73"/>
      <c r="Y255" s="73"/>
      <c r="Z255" s="345"/>
      <c r="AA255" s="73"/>
      <c r="AB255" s="25"/>
      <c r="AC255" s="73"/>
      <c r="AD255" s="73"/>
      <c r="AE255" s="345"/>
      <c r="AF255" s="73"/>
      <c r="AG255" s="25"/>
      <c r="AH255" s="73"/>
      <c r="AI255" s="73"/>
      <c r="AJ255" s="345"/>
      <c r="AK255" s="73"/>
      <c r="AL255" s="25"/>
      <c r="AM255" s="73"/>
      <c r="AN255" s="73"/>
      <c r="AO255" s="345"/>
      <c r="AP255" s="73"/>
      <c r="AQ255" s="25"/>
      <c r="AR255" s="73"/>
      <c r="AS255" s="73"/>
      <c r="AT255" s="345"/>
      <c r="AU255" s="73"/>
      <c r="AV255" s="25"/>
      <c r="AW255" s="73"/>
      <c r="AX255" s="73"/>
      <c r="AY255" s="345"/>
      <c r="AZ255" s="73"/>
      <c r="BA255" s="25"/>
      <c r="BB255" s="73"/>
      <c r="BC255" s="73"/>
      <c r="BD255" s="345"/>
      <c r="BE255" s="73"/>
      <c r="BF255" s="25"/>
      <c r="BG255" s="73"/>
      <c r="BH255" s="73"/>
      <c r="BI255" s="345"/>
      <c r="BJ255" s="73"/>
      <c r="BK255" s="25"/>
      <c r="BL255" s="73"/>
      <c r="BM255" s="73"/>
      <c r="BN255" s="345"/>
      <c r="BO255" s="73"/>
      <c r="BP255" s="25"/>
      <c r="BQ255" s="73"/>
      <c r="BR255" s="73"/>
      <c r="BS255" s="345"/>
      <c r="BT255" s="73"/>
      <c r="BU255" s="25"/>
      <c r="BV255" s="73"/>
      <c r="BW255" s="73"/>
      <c r="BX255" s="345"/>
      <c r="BY255" s="73"/>
      <c r="BZ255" s="25"/>
      <c r="CA255" s="73"/>
      <c r="CB255" s="73"/>
      <c r="CC255" s="345"/>
      <c r="CD255" s="73"/>
      <c r="CE255" s="25"/>
      <c r="CF255" s="73"/>
      <c r="CG255" s="73"/>
      <c r="CH255" s="345"/>
      <c r="CI255" s="73"/>
      <c r="CJ255" s="25"/>
      <c r="CK255" s="73"/>
      <c r="CL255" s="73"/>
      <c r="CM255" s="345"/>
      <c r="CN255" s="73"/>
      <c r="CO255" s="25"/>
      <c r="CP255" s="73"/>
      <c r="CQ255" s="73"/>
      <c r="CR255" s="345"/>
      <c r="CS255" s="73"/>
      <c r="CT255" s="25"/>
      <c r="CU255" s="73"/>
      <c r="CV255" s="73"/>
      <c r="CW255" s="345"/>
      <c r="CX255" s="73"/>
      <c r="CY255" s="25"/>
      <c r="CZ255" s="73"/>
      <c r="DA255" s="73"/>
      <c r="DB255" s="345"/>
      <c r="DC255" s="73"/>
      <c r="DD255" s="25"/>
      <c r="DE255" s="73"/>
      <c r="DF255" s="73"/>
      <c r="DG255" s="345"/>
      <c r="DH255" s="73"/>
      <c r="DI255" s="25"/>
      <c r="DJ255" s="73"/>
      <c r="DK255" s="73"/>
      <c r="DL255" s="345"/>
      <c r="DM255" s="73"/>
      <c r="DN255" s="25"/>
      <c r="DO255" s="73"/>
      <c r="DP255" s="73"/>
      <c r="DQ255" s="345"/>
      <c r="DR255" s="73"/>
      <c r="DS255" s="25"/>
      <c r="DT255" s="73"/>
      <c r="DU255" s="73"/>
      <c r="DV255" s="345"/>
      <c r="DW255" s="73"/>
      <c r="DX255" s="25"/>
      <c r="DY255" s="73"/>
      <c r="DZ255" s="73"/>
      <c r="EA255" s="345"/>
      <c r="EB255" s="73"/>
      <c r="EC255" s="25"/>
      <c r="ED255" s="73"/>
      <c r="EE255" s="73"/>
      <c r="EF255" s="345"/>
      <c r="EG255" s="73"/>
      <c r="EH255" s="25"/>
      <c r="EI255" s="73"/>
      <c r="EJ255" s="73"/>
      <c r="EK255" s="345"/>
      <c r="EL255" s="73"/>
      <c r="EM255" s="25"/>
      <c r="EN255" s="73"/>
      <c r="EO255" s="73"/>
      <c r="EP255" s="345"/>
      <c r="EQ255" s="73"/>
      <c r="ER255" s="25"/>
      <c r="ES255" s="73"/>
      <c r="ET255" s="73"/>
      <c r="EU255" s="345"/>
      <c r="EV255" s="73"/>
      <c r="EW255" s="25"/>
      <c r="EX255" s="73"/>
      <c r="EY255" s="73"/>
      <c r="EZ255" s="345"/>
      <c r="FA255" s="73"/>
      <c r="FB255" s="25"/>
      <c r="FC255" s="73"/>
      <c r="FD255" s="73"/>
      <c r="FE255" s="345"/>
      <c r="FF255" s="73"/>
      <c r="FG255" s="25"/>
      <c r="FH255" s="73"/>
      <c r="FI255" s="73"/>
      <c r="FJ255" s="345"/>
      <c r="FK255" s="73"/>
      <c r="FL255" s="25"/>
      <c r="FM255" s="73"/>
      <c r="FN255" s="73"/>
      <c r="FO255" s="345"/>
      <c r="FP255" s="73"/>
      <c r="FQ255" s="25"/>
      <c r="FR255" s="73"/>
      <c r="FS255" s="73"/>
      <c r="FT255" s="345"/>
      <c r="FU255" s="73"/>
      <c r="FV255" s="25"/>
      <c r="FW255" s="73"/>
      <c r="FX255" s="73"/>
      <c r="FY255" s="345"/>
      <c r="FZ255" s="73"/>
      <c r="GA255" s="25"/>
      <c r="GB255" s="73"/>
      <c r="GC255" s="73"/>
      <c r="GD255" s="345"/>
      <c r="GE255" s="73"/>
      <c r="GF255" s="25"/>
      <c r="GG255" s="73"/>
      <c r="GH255" s="73"/>
      <c r="GI255" s="345"/>
      <c r="GJ255" s="73"/>
      <c r="GK255" s="25"/>
      <c r="GL255" s="73"/>
      <c r="GM255" s="73"/>
      <c r="GN255" s="345"/>
      <c r="GO255" s="73"/>
      <c r="GP255" s="25"/>
      <c r="GQ255" s="73"/>
      <c r="GR255" s="73"/>
      <c r="GS255" s="345"/>
      <c r="GT255" s="73"/>
      <c r="GU255" s="25"/>
      <c r="GV255" s="73"/>
      <c r="GW255" s="73"/>
      <c r="GX255" s="345"/>
      <c r="GY255" s="73"/>
      <c r="GZ255" s="25"/>
      <c r="HA255" s="73"/>
      <c r="HB255" s="73"/>
      <c r="HC255" s="345"/>
      <c r="HD255" s="73"/>
      <c r="HE255" s="25"/>
      <c r="HF255" s="73"/>
      <c r="HG255" s="73"/>
      <c r="HH255" s="345"/>
      <c r="HI255" s="73"/>
      <c r="HJ255" s="25"/>
      <c r="HK255" s="73"/>
      <c r="HL255" s="73"/>
      <c r="HM255" s="345"/>
      <c r="HN255" s="73"/>
      <c r="HO255" s="25"/>
      <c r="HP255" s="73"/>
      <c r="HQ255" s="73"/>
      <c r="HR255" s="345"/>
      <c r="HS255" s="73"/>
      <c r="HT255" s="25"/>
      <c r="HU255" s="73"/>
      <c r="HV255" s="73"/>
      <c r="HW255" s="345"/>
      <c r="HX255" s="73"/>
      <c r="HY255" s="25"/>
      <c r="HZ255" s="73"/>
      <c r="IA255" s="73"/>
      <c r="IB255" s="345"/>
      <c r="IC255" s="73"/>
      <c r="ID255" s="25"/>
      <c r="IE255" s="73"/>
      <c r="IF255" s="73"/>
      <c r="IG255" s="345"/>
      <c r="IH255" s="73"/>
      <c r="II255" s="25"/>
      <c r="IJ255" s="73"/>
      <c r="IK255" s="73"/>
      <c r="IL255" s="345"/>
      <c r="IM255" s="73"/>
      <c r="IN255" s="25"/>
      <c r="IO255" s="73"/>
      <c r="IP255" s="73"/>
      <c r="IQ255" s="345"/>
      <c r="IR255" s="73"/>
      <c r="IS255" s="25"/>
      <c r="IT255" s="73"/>
      <c r="IU255" s="73"/>
      <c r="IV255" s="345"/>
    </row>
    <row r="256" spans="1:256" x14ac:dyDescent="0.2">
      <c r="A256" s="345">
        <v>35308</v>
      </c>
      <c r="B256" s="73"/>
      <c r="C256" s="25"/>
      <c r="D256" s="73"/>
      <c r="E256" s="73"/>
      <c r="F256" s="345"/>
      <c r="G256" s="73"/>
      <c r="H256" s="25"/>
      <c r="I256" s="73"/>
      <c r="J256" s="73"/>
      <c r="K256" s="345"/>
      <c r="L256" s="73"/>
      <c r="M256" s="25"/>
      <c r="N256" s="73"/>
      <c r="O256" s="73"/>
      <c r="P256" s="345"/>
      <c r="Q256" s="73"/>
      <c r="R256" s="25"/>
      <c r="S256" s="73"/>
      <c r="T256" s="73"/>
      <c r="U256" s="345"/>
      <c r="V256" s="73"/>
      <c r="W256" s="25"/>
      <c r="X256" s="73"/>
      <c r="Y256" s="73"/>
      <c r="Z256" s="345"/>
      <c r="AA256" s="73"/>
      <c r="AB256" s="25"/>
      <c r="AC256" s="73"/>
      <c r="AD256" s="73"/>
      <c r="AE256" s="345"/>
      <c r="AF256" s="73"/>
      <c r="AG256" s="25"/>
      <c r="AH256" s="73"/>
      <c r="AI256" s="73"/>
      <c r="AJ256" s="345"/>
      <c r="AK256" s="73"/>
      <c r="AL256" s="25"/>
      <c r="AM256" s="73"/>
      <c r="AN256" s="73"/>
      <c r="AO256" s="345"/>
      <c r="AP256" s="73"/>
      <c r="AQ256" s="25"/>
      <c r="AR256" s="73"/>
      <c r="AS256" s="73"/>
      <c r="AT256" s="345"/>
      <c r="AU256" s="73"/>
      <c r="AV256" s="25"/>
      <c r="AW256" s="73"/>
      <c r="AX256" s="73"/>
      <c r="AY256" s="345"/>
      <c r="AZ256" s="73"/>
      <c r="BA256" s="25"/>
      <c r="BB256" s="73"/>
      <c r="BC256" s="73"/>
      <c r="BD256" s="345"/>
      <c r="BE256" s="73"/>
      <c r="BF256" s="25"/>
      <c r="BG256" s="73"/>
      <c r="BH256" s="73"/>
      <c r="BI256" s="345"/>
      <c r="BJ256" s="73"/>
      <c r="BK256" s="25"/>
      <c r="BL256" s="73"/>
      <c r="BM256" s="73"/>
      <c r="BN256" s="345"/>
      <c r="BO256" s="73"/>
      <c r="BP256" s="25"/>
      <c r="BQ256" s="73"/>
      <c r="BR256" s="73"/>
      <c r="BS256" s="345"/>
      <c r="BT256" s="73"/>
      <c r="BU256" s="25"/>
      <c r="BV256" s="73"/>
      <c r="BW256" s="73"/>
      <c r="BX256" s="345"/>
      <c r="BY256" s="73"/>
      <c r="BZ256" s="25"/>
      <c r="CA256" s="73"/>
      <c r="CB256" s="73"/>
      <c r="CC256" s="345"/>
      <c r="CD256" s="73"/>
      <c r="CE256" s="25"/>
      <c r="CF256" s="73"/>
      <c r="CG256" s="73"/>
      <c r="CH256" s="345"/>
      <c r="CI256" s="73"/>
      <c r="CJ256" s="25"/>
      <c r="CK256" s="73"/>
      <c r="CL256" s="73"/>
      <c r="CM256" s="345"/>
      <c r="CN256" s="73"/>
      <c r="CO256" s="25"/>
      <c r="CP256" s="73"/>
      <c r="CQ256" s="73"/>
      <c r="CR256" s="345"/>
      <c r="CS256" s="73"/>
      <c r="CT256" s="25"/>
      <c r="CU256" s="73"/>
      <c r="CV256" s="73"/>
      <c r="CW256" s="345"/>
      <c r="CX256" s="73"/>
      <c r="CY256" s="25"/>
      <c r="CZ256" s="73"/>
      <c r="DA256" s="73"/>
      <c r="DB256" s="345"/>
      <c r="DC256" s="73"/>
      <c r="DD256" s="25"/>
      <c r="DE256" s="73"/>
      <c r="DF256" s="73"/>
      <c r="DG256" s="345"/>
      <c r="DH256" s="73"/>
      <c r="DI256" s="25"/>
      <c r="DJ256" s="73"/>
      <c r="DK256" s="73"/>
      <c r="DL256" s="345"/>
      <c r="DM256" s="73"/>
      <c r="DN256" s="25"/>
      <c r="DO256" s="73"/>
      <c r="DP256" s="73"/>
      <c r="DQ256" s="345"/>
      <c r="DR256" s="73"/>
      <c r="DS256" s="25"/>
      <c r="DT256" s="73"/>
      <c r="DU256" s="73"/>
      <c r="DV256" s="345"/>
      <c r="DW256" s="73"/>
      <c r="DX256" s="25"/>
      <c r="DY256" s="73"/>
      <c r="DZ256" s="73"/>
      <c r="EA256" s="345"/>
      <c r="EB256" s="73"/>
      <c r="EC256" s="25"/>
      <c r="ED256" s="73"/>
      <c r="EE256" s="73"/>
      <c r="EF256" s="345"/>
      <c r="EG256" s="73"/>
      <c r="EH256" s="25"/>
      <c r="EI256" s="73"/>
      <c r="EJ256" s="73"/>
      <c r="EK256" s="345"/>
      <c r="EL256" s="73"/>
      <c r="EM256" s="25"/>
      <c r="EN256" s="73"/>
      <c r="EO256" s="73"/>
      <c r="EP256" s="345"/>
      <c r="EQ256" s="73"/>
      <c r="ER256" s="25"/>
      <c r="ES256" s="73"/>
      <c r="ET256" s="73"/>
      <c r="EU256" s="345"/>
      <c r="EV256" s="73"/>
      <c r="EW256" s="25"/>
      <c r="EX256" s="73"/>
      <c r="EY256" s="73"/>
      <c r="EZ256" s="345"/>
      <c r="FA256" s="73"/>
      <c r="FB256" s="25"/>
      <c r="FC256" s="73"/>
      <c r="FD256" s="73"/>
      <c r="FE256" s="345"/>
      <c r="FF256" s="73"/>
      <c r="FG256" s="25"/>
      <c r="FH256" s="73"/>
      <c r="FI256" s="73"/>
      <c r="FJ256" s="345"/>
      <c r="FK256" s="73"/>
      <c r="FL256" s="25"/>
      <c r="FM256" s="73"/>
      <c r="FN256" s="73"/>
      <c r="FO256" s="345"/>
      <c r="FP256" s="73"/>
      <c r="FQ256" s="25"/>
      <c r="FR256" s="73"/>
      <c r="FS256" s="73"/>
      <c r="FT256" s="345"/>
      <c r="FU256" s="73"/>
      <c r="FV256" s="25"/>
      <c r="FW256" s="73"/>
      <c r="FX256" s="73"/>
      <c r="FY256" s="345"/>
      <c r="FZ256" s="73"/>
      <c r="GA256" s="25"/>
      <c r="GB256" s="73"/>
      <c r="GC256" s="73"/>
      <c r="GD256" s="345"/>
      <c r="GE256" s="73"/>
      <c r="GF256" s="25"/>
      <c r="GG256" s="73"/>
      <c r="GH256" s="73"/>
      <c r="GI256" s="345"/>
      <c r="GJ256" s="73"/>
      <c r="GK256" s="25"/>
      <c r="GL256" s="73"/>
      <c r="GM256" s="73"/>
      <c r="GN256" s="345"/>
      <c r="GO256" s="73"/>
      <c r="GP256" s="25"/>
      <c r="GQ256" s="73"/>
      <c r="GR256" s="73"/>
      <c r="GS256" s="345"/>
      <c r="GT256" s="73"/>
      <c r="GU256" s="25"/>
      <c r="GV256" s="73"/>
      <c r="GW256" s="73"/>
      <c r="GX256" s="345"/>
      <c r="GY256" s="73"/>
      <c r="GZ256" s="25"/>
      <c r="HA256" s="73"/>
      <c r="HB256" s="73"/>
      <c r="HC256" s="345"/>
      <c r="HD256" s="73"/>
      <c r="HE256" s="25"/>
      <c r="HF256" s="73"/>
      <c r="HG256" s="73"/>
      <c r="HH256" s="345"/>
      <c r="HI256" s="73"/>
      <c r="HJ256" s="25"/>
      <c r="HK256" s="73"/>
      <c r="HL256" s="73"/>
      <c r="HM256" s="345"/>
      <c r="HN256" s="73"/>
      <c r="HO256" s="25"/>
      <c r="HP256" s="73"/>
      <c r="HQ256" s="73"/>
      <c r="HR256" s="345"/>
      <c r="HS256" s="73"/>
      <c r="HT256" s="25"/>
      <c r="HU256" s="73"/>
      <c r="HV256" s="73"/>
      <c r="HW256" s="345"/>
      <c r="HX256" s="73"/>
      <c r="HY256" s="25"/>
      <c r="HZ256" s="73"/>
      <c r="IA256" s="73"/>
      <c r="IB256" s="345"/>
      <c r="IC256" s="73"/>
      <c r="ID256" s="25"/>
      <c r="IE256" s="73"/>
      <c r="IF256" s="73"/>
      <c r="IG256" s="345"/>
      <c r="IH256" s="73"/>
      <c r="II256" s="25"/>
      <c r="IJ256" s="73"/>
      <c r="IK256" s="73"/>
      <c r="IL256" s="345"/>
      <c r="IM256" s="73"/>
      <c r="IN256" s="25"/>
      <c r="IO256" s="73"/>
      <c r="IP256" s="73"/>
      <c r="IQ256" s="345"/>
      <c r="IR256" s="73"/>
      <c r="IS256" s="25"/>
      <c r="IT256" s="73"/>
      <c r="IU256" s="73"/>
      <c r="IV256" s="345"/>
    </row>
    <row r="257" spans="1:256" x14ac:dyDescent="0.2">
      <c r="A257" s="345">
        <v>35338</v>
      </c>
      <c r="B257" s="73"/>
      <c r="C257" s="25"/>
      <c r="D257" s="73"/>
      <c r="E257" s="73"/>
      <c r="F257" s="345"/>
      <c r="G257" s="73"/>
      <c r="H257" s="25"/>
      <c r="I257" s="73"/>
      <c r="J257" s="73"/>
      <c r="K257" s="345"/>
      <c r="L257" s="73"/>
      <c r="M257" s="25"/>
      <c r="N257" s="73"/>
      <c r="O257" s="73"/>
      <c r="P257" s="345"/>
      <c r="Q257" s="73"/>
      <c r="R257" s="25"/>
      <c r="S257" s="73"/>
      <c r="T257" s="73"/>
      <c r="U257" s="345"/>
      <c r="V257" s="73"/>
      <c r="W257" s="25"/>
      <c r="X257" s="73"/>
      <c r="Y257" s="73"/>
      <c r="Z257" s="345"/>
      <c r="AA257" s="73"/>
      <c r="AB257" s="25"/>
      <c r="AC257" s="73"/>
      <c r="AD257" s="73"/>
      <c r="AE257" s="345"/>
      <c r="AF257" s="73"/>
      <c r="AG257" s="25"/>
      <c r="AH257" s="73"/>
      <c r="AI257" s="73"/>
      <c r="AJ257" s="345"/>
      <c r="AK257" s="73"/>
      <c r="AL257" s="25"/>
      <c r="AM257" s="73"/>
      <c r="AN257" s="73"/>
      <c r="AO257" s="345"/>
      <c r="AP257" s="73"/>
      <c r="AQ257" s="25"/>
      <c r="AR257" s="73"/>
      <c r="AS257" s="73"/>
      <c r="AT257" s="345"/>
      <c r="AU257" s="73"/>
      <c r="AV257" s="25"/>
      <c r="AW257" s="73"/>
      <c r="AX257" s="73"/>
      <c r="AY257" s="345"/>
      <c r="AZ257" s="73"/>
      <c r="BA257" s="25"/>
      <c r="BB257" s="73"/>
      <c r="BC257" s="73"/>
      <c r="BD257" s="345"/>
      <c r="BE257" s="73"/>
      <c r="BF257" s="25"/>
      <c r="BG257" s="73"/>
      <c r="BH257" s="73"/>
      <c r="BI257" s="345"/>
      <c r="BJ257" s="73"/>
      <c r="BK257" s="25"/>
      <c r="BL257" s="73"/>
      <c r="BM257" s="73"/>
      <c r="BN257" s="345"/>
      <c r="BO257" s="73"/>
      <c r="BP257" s="25"/>
      <c r="BQ257" s="73"/>
      <c r="BR257" s="73"/>
      <c r="BS257" s="345"/>
      <c r="BT257" s="73"/>
      <c r="BU257" s="25"/>
      <c r="BV257" s="73"/>
      <c r="BW257" s="73"/>
      <c r="BX257" s="345"/>
      <c r="BY257" s="73"/>
      <c r="BZ257" s="25"/>
      <c r="CA257" s="73"/>
      <c r="CB257" s="73"/>
      <c r="CC257" s="345"/>
      <c r="CD257" s="73"/>
      <c r="CE257" s="25"/>
      <c r="CF257" s="73"/>
      <c r="CG257" s="73"/>
      <c r="CH257" s="345"/>
      <c r="CI257" s="73"/>
      <c r="CJ257" s="25"/>
      <c r="CK257" s="73"/>
      <c r="CL257" s="73"/>
      <c r="CM257" s="345"/>
      <c r="CN257" s="73"/>
      <c r="CO257" s="25"/>
      <c r="CP257" s="73"/>
      <c r="CQ257" s="73"/>
      <c r="CR257" s="345"/>
      <c r="CS257" s="73"/>
      <c r="CT257" s="25"/>
      <c r="CU257" s="73"/>
      <c r="CV257" s="73"/>
      <c r="CW257" s="345"/>
      <c r="CX257" s="73"/>
      <c r="CY257" s="25"/>
      <c r="CZ257" s="73"/>
      <c r="DA257" s="73"/>
      <c r="DB257" s="345"/>
      <c r="DC257" s="73"/>
      <c r="DD257" s="25"/>
      <c r="DE257" s="73"/>
      <c r="DF257" s="73"/>
      <c r="DG257" s="345"/>
      <c r="DH257" s="73"/>
      <c r="DI257" s="25"/>
      <c r="DJ257" s="73"/>
      <c r="DK257" s="73"/>
      <c r="DL257" s="345"/>
      <c r="DM257" s="73"/>
      <c r="DN257" s="25"/>
      <c r="DO257" s="73"/>
      <c r="DP257" s="73"/>
      <c r="DQ257" s="345"/>
      <c r="DR257" s="73"/>
      <c r="DS257" s="25"/>
      <c r="DT257" s="73"/>
      <c r="DU257" s="73"/>
      <c r="DV257" s="345"/>
      <c r="DW257" s="73"/>
      <c r="DX257" s="25"/>
      <c r="DY257" s="73"/>
      <c r="DZ257" s="73"/>
      <c r="EA257" s="345"/>
      <c r="EB257" s="73"/>
      <c r="EC257" s="25"/>
      <c r="ED257" s="73"/>
      <c r="EE257" s="73"/>
      <c r="EF257" s="345"/>
      <c r="EG257" s="73"/>
      <c r="EH257" s="25"/>
      <c r="EI257" s="73"/>
      <c r="EJ257" s="73"/>
      <c r="EK257" s="345"/>
      <c r="EL257" s="73"/>
      <c r="EM257" s="25"/>
      <c r="EN257" s="73"/>
      <c r="EO257" s="73"/>
      <c r="EP257" s="345"/>
      <c r="EQ257" s="73"/>
      <c r="ER257" s="25"/>
      <c r="ES257" s="73"/>
      <c r="ET257" s="73"/>
      <c r="EU257" s="345"/>
      <c r="EV257" s="73"/>
      <c r="EW257" s="25"/>
      <c r="EX257" s="73"/>
      <c r="EY257" s="73"/>
      <c r="EZ257" s="345"/>
      <c r="FA257" s="73"/>
      <c r="FB257" s="25"/>
      <c r="FC257" s="73"/>
      <c r="FD257" s="73"/>
      <c r="FE257" s="345"/>
      <c r="FF257" s="73"/>
      <c r="FG257" s="25"/>
      <c r="FH257" s="73"/>
      <c r="FI257" s="73"/>
      <c r="FJ257" s="345"/>
      <c r="FK257" s="73"/>
      <c r="FL257" s="25"/>
      <c r="FM257" s="73"/>
      <c r="FN257" s="73"/>
      <c r="FO257" s="345"/>
      <c r="FP257" s="73"/>
      <c r="FQ257" s="25"/>
      <c r="FR257" s="73"/>
      <c r="FS257" s="73"/>
      <c r="FT257" s="345"/>
      <c r="FU257" s="73"/>
      <c r="FV257" s="25"/>
      <c r="FW257" s="73"/>
      <c r="FX257" s="73"/>
      <c r="FY257" s="345"/>
      <c r="FZ257" s="73"/>
      <c r="GA257" s="25"/>
      <c r="GB257" s="73"/>
      <c r="GC257" s="73"/>
      <c r="GD257" s="345"/>
      <c r="GE257" s="73"/>
      <c r="GF257" s="25"/>
      <c r="GG257" s="73"/>
      <c r="GH257" s="73"/>
      <c r="GI257" s="345"/>
      <c r="GJ257" s="73"/>
      <c r="GK257" s="25"/>
      <c r="GL257" s="73"/>
      <c r="GM257" s="73"/>
      <c r="GN257" s="345"/>
      <c r="GO257" s="73"/>
      <c r="GP257" s="25"/>
      <c r="GQ257" s="73"/>
      <c r="GR257" s="73"/>
      <c r="GS257" s="345"/>
      <c r="GT257" s="73"/>
      <c r="GU257" s="25"/>
      <c r="GV257" s="73"/>
      <c r="GW257" s="73"/>
      <c r="GX257" s="345"/>
      <c r="GY257" s="73"/>
      <c r="GZ257" s="25"/>
      <c r="HA257" s="73"/>
      <c r="HB257" s="73"/>
      <c r="HC257" s="345"/>
      <c r="HD257" s="73"/>
      <c r="HE257" s="25"/>
      <c r="HF257" s="73"/>
      <c r="HG257" s="73"/>
      <c r="HH257" s="345"/>
      <c r="HI257" s="73"/>
      <c r="HJ257" s="25"/>
      <c r="HK257" s="73"/>
      <c r="HL257" s="73"/>
      <c r="HM257" s="345"/>
      <c r="HN257" s="73"/>
      <c r="HO257" s="25"/>
      <c r="HP257" s="73"/>
      <c r="HQ257" s="73"/>
      <c r="HR257" s="345"/>
      <c r="HS257" s="73"/>
      <c r="HT257" s="25"/>
      <c r="HU257" s="73"/>
      <c r="HV257" s="73"/>
      <c r="HW257" s="345"/>
      <c r="HX257" s="73"/>
      <c r="HY257" s="25"/>
      <c r="HZ257" s="73"/>
      <c r="IA257" s="73"/>
      <c r="IB257" s="345"/>
      <c r="IC257" s="73"/>
      <c r="ID257" s="25"/>
      <c r="IE257" s="73"/>
      <c r="IF257" s="73"/>
      <c r="IG257" s="345"/>
      <c r="IH257" s="73"/>
      <c r="II257" s="25"/>
      <c r="IJ257" s="73"/>
      <c r="IK257" s="73"/>
      <c r="IL257" s="345"/>
      <c r="IM257" s="73"/>
      <c r="IN257" s="25"/>
      <c r="IO257" s="73"/>
      <c r="IP257" s="73"/>
      <c r="IQ257" s="345"/>
      <c r="IR257" s="73"/>
      <c r="IS257" s="25"/>
      <c r="IT257" s="73"/>
      <c r="IU257" s="73"/>
      <c r="IV257" s="345"/>
    </row>
    <row r="258" spans="1:256" x14ac:dyDescent="0.2">
      <c r="A258" s="345">
        <v>35369</v>
      </c>
      <c r="B258" s="73"/>
      <c r="C258" s="25"/>
      <c r="D258" s="73"/>
      <c r="E258" s="73"/>
      <c r="F258" s="345"/>
      <c r="G258" s="73"/>
      <c r="H258" s="25"/>
      <c r="I258" s="73"/>
      <c r="J258" s="73"/>
      <c r="K258" s="345"/>
      <c r="L258" s="73"/>
      <c r="M258" s="25"/>
      <c r="N258" s="73"/>
      <c r="O258" s="73"/>
      <c r="P258" s="345"/>
      <c r="Q258" s="73"/>
      <c r="R258" s="25"/>
      <c r="S258" s="73"/>
      <c r="T258" s="73"/>
      <c r="U258" s="345"/>
      <c r="V258" s="73"/>
      <c r="W258" s="25"/>
      <c r="X258" s="73"/>
      <c r="Y258" s="73"/>
      <c r="Z258" s="345"/>
      <c r="AA258" s="73"/>
      <c r="AB258" s="25"/>
      <c r="AC258" s="73"/>
      <c r="AD258" s="73"/>
      <c r="AE258" s="345"/>
      <c r="AF258" s="73"/>
      <c r="AG258" s="25"/>
      <c r="AH258" s="73"/>
      <c r="AI258" s="73"/>
      <c r="AJ258" s="345"/>
      <c r="AK258" s="73"/>
      <c r="AL258" s="25"/>
      <c r="AM258" s="73"/>
      <c r="AN258" s="73"/>
      <c r="AO258" s="345"/>
      <c r="AP258" s="73"/>
      <c r="AQ258" s="25"/>
      <c r="AR258" s="73"/>
      <c r="AS258" s="73"/>
      <c r="AT258" s="345"/>
      <c r="AU258" s="73"/>
      <c r="AV258" s="25"/>
      <c r="AW258" s="73"/>
      <c r="AX258" s="73"/>
      <c r="AY258" s="345"/>
      <c r="AZ258" s="73"/>
      <c r="BA258" s="25"/>
      <c r="BB258" s="73"/>
      <c r="BC258" s="73"/>
      <c r="BD258" s="345"/>
      <c r="BE258" s="73"/>
      <c r="BF258" s="25"/>
      <c r="BG258" s="73"/>
      <c r="BH258" s="73"/>
      <c r="BI258" s="345"/>
      <c r="BJ258" s="73"/>
      <c r="BK258" s="25"/>
      <c r="BL258" s="73"/>
      <c r="BM258" s="73"/>
      <c r="BN258" s="345"/>
      <c r="BO258" s="73"/>
      <c r="BP258" s="25"/>
      <c r="BQ258" s="73"/>
      <c r="BR258" s="73"/>
      <c r="BS258" s="345"/>
      <c r="BT258" s="73"/>
      <c r="BU258" s="25"/>
      <c r="BV258" s="73"/>
      <c r="BW258" s="73"/>
      <c r="BX258" s="345"/>
      <c r="BY258" s="73"/>
      <c r="BZ258" s="25"/>
      <c r="CA258" s="73"/>
      <c r="CB258" s="73"/>
      <c r="CC258" s="345"/>
      <c r="CD258" s="73"/>
      <c r="CE258" s="25"/>
      <c r="CF258" s="73"/>
      <c r="CG258" s="73"/>
      <c r="CH258" s="345"/>
      <c r="CI258" s="73"/>
      <c r="CJ258" s="25"/>
      <c r="CK258" s="73"/>
      <c r="CL258" s="73"/>
      <c r="CM258" s="345"/>
      <c r="CN258" s="73"/>
      <c r="CO258" s="25"/>
      <c r="CP258" s="73"/>
      <c r="CQ258" s="73"/>
      <c r="CR258" s="345"/>
      <c r="CS258" s="73"/>
      <c r="CT258" s="25"/>
      <c r="CU258" s="73"/>
      <c r="CV258" s="73"/>
      <c r="CW258" s="345"/>
      <c r="CX258" s="73"/>
      <c r="CY258" s="25"/>
      <c r="CZ258" s="73"/>
      <c r="DA258" s="73"/>
      <c r="DB258" s="345"/>
      <c r="DC258" s="73"/>
      <c r="DD258" s="25"/>
      <c r="DE258" s="73"/>
      <c r="DF258" s="73"/>
      <c r="DG258" s="345"/>
      <c r="DH258" s="73"/>
      <c r="DI258" s="25"/>
      <c r="DJ258" s="73"/>
      <c r="DK258" s="73"/>
      <c r="DL258" s="345"/>
      <c r="DM258" s="73"/>
      <c r="DN258" s="25"/>
      <c r="DO258" s="73"/>
      <c r="DP258" s="73"/>
      <c r="DQ258" s="345"/>
      <c r="DR258" s="73"/>
      <c r="DS258" s="25"/>
      <c r="DT258" s="73"/>
      <c r="DU258" s="73"/>
      <c r="DV258" s="345"/>
      <c r="DW258" s="73"/>
      <c r="DX258" s="25"/>
      <c r="DY258" s="73"/>
      <c r="DZ258" s="73"/>
      <c r="EA258" s="345"/>
      <c r="EB258" s="73"/>
      <c r="EC258" s="25"/>
      <c r="ED258" s="73"/>
      <c r="EE258" s="73"/>
      <c r="EF258" s="345"/>
      <c r="EG258" s="73"/>
      <c r="EH258" s="25"/>
      <c r="EI258" s="73"/>
      <c r="EJ258" s="73"/>
      <c r="EK258" s="345"/>
      <c r="EL258" s="73"/>
      <c r="EM258" s="25"/>
      <c r="EN258" s="73"/>
      <c r="EO258" s="73"/>
      <c r="EP258" s="345"/>
      <c r="EQ258" s="73"/>
      <c r="ER258" s="25"/>
      <c r="ES258" s="73"/>
      <c r="ET258" s="73"/>
      <c r="EU258" s="345"/>
      <c r="EV258" s="73"/>
      <c r="EW258" s="25"/>
      <c r="EX258" s="73"/>
      <c r="EY258" s="73"/>
      <c r="EZ258" s="345"/>
      <c r="FA258" s="73"/>
      <c r="FB258" s="25"/>
      <c r="FC258" s="73"/>
      <c r="FD258" s="73"/>
      <c r="FE258" s="345"/>
      <c r="FF258" s="73"/>
      <c r="FG258" s="25"/>
      <c r="FH258" s="73"/>
      <c r="FI258" s="73"/>
      <c r="FJ258" s="345"/>
      <c r="FK258" s="73"/>
      <c r="FL258" s="25"/>
      <c r="FM258" s="73"/>
      <c r="FN258" s="73"/>
      <c r="FO258" s="345"/>
      <c r="FP258" s="73"/>
      <c r="FQ258" s="25"/>
      <c r="FR258" s="73"/>
      <c r="FS258" s="73"/>
      <c r="FT258" s="345"/>
      <c r="FU258" s="73"/>
      <c r="FV258" s="25"/>
      <c r="FW258" s="73"/>
      <c r="FX258" s="73"/>
      <c r="FY258" s="345"/>
      <c r="FZ258" s="73"/>
      <c r="GA258" s="25"/>
      <c r="GB258" s="73"/>
      <c r="GC258" s="73"/>
      <c r="GD258" s="345"/>
      <c r="GE258" s="73"/>
      <c r="GF258" s="25"/>
      <c r="GG258" s="73"/>
      <c r="GH258" s="73"/>
      <c r="GI258" s="345"/>
      <c r="GJ258" s="73"/>
      <c r="GK258" s="25"/>
      <c r="GL258" s="73"/>
      <c r="GM258" s="73"/>
      <c r="GN258" s="345"/>
      <c r="GO258" s="73"/>
      <c r="GP258" s="25"/>
      <c r="GQ258" s="73"/>
      <c r="GR258" s="73"/>
      <c r="GS258" s="345"/>
      <c r="GT258" s="73"/>
      <c r="GU258" s="25"/>
      <c r="GV258" s="73"/>
      <c r="GW258" s="73"/>
      <c r="GX258" s="345"/>
      <c r="GY258" s="73"/>
      <c r="GZ258" s="25"/>
      <c r="HA258" s="73"/>
      <c r="HB258" s="73"/>
      <c r="HC258" s="345"/>
      <c r="HD258" s="73"/>
      <c r="HE258" s="25"/>
      <c r="HF258" s="73"/>
      <c r="HG258" s="73"/>
      <c r="HH258" s="345"/>
      <c r="HI258" s="73"/>
      <c r="HJ258" s="25"/>
      <c r="HK258" s="73"/>
      <c r="HL258" s="73"/>
      <c r="HM258" s="345"/>
      <c r="HN258" s="73"/>
      <c r="HO258" s="25"/>
      <c r="HP258" s="73"/>
      <c r="HQ258" s="73"/>
      <c r="HR258" s="345"/>
      <c r="HS258" s="73"/>
      <c r="HT258" s="25"/>
      <c r="HU258" s="73"/>
      <c r="HV258" s="73"/>
      <c r="HW258" s="345"/>
      <c r="HX258" s="73"/>
      <c r="HY258" s="25"/>
      <c r="HZ258" s="73"/>
      <c r="IA258" s="73"/>
      <c r="IB258" s="345"/>
      <c r="IC258" s="73"/>
      <c r="ID258" s="25"/>
      <c r="IE258" s="73"/>
      <c r="IF258" s="73"/>
      <c r="IG258" s="345"/>
      <c r="IH258" s="73"/>
      <c r="II258" s="25"/>
      <c r="IJ258" s="73"/>
      <c r="IK258" s="73"/>
      <c r="IL258" s="345"/>
      <c r="IM258" s="73"/>
      <c r="IN258" s="25"/>
      <c r="IO258" s="73"/>
      <c r="IP258" s="73"/>
      <c r="IQ258" s="345"/>
      <c r="IR258" s="73"/>
      <c r="IS258" s="25"/>
      <c r="IT258" s="73"/>
      <c r="IU258" s="73"/>
      <c r="IV258" s="345"/>
    </row>
    <row r="259" spans="1:256" x14ac:dyDescent="0.2">
      <c r="A259" s="345">
        <v>35399</v>
      </c>
      <c r="B259" s="73"/>
      <c r="C259" s="25"/>
      <c r="D259" s="73"/>
      <c r="E259" s="73"/>
      <c r="F259" s="345"/>
      <c r="G259" s="73"/>
      <c r="H259" s="25"/>
      <c r="I259" s="73"/>
      <c r="J259" s="73"/>
      <c r="K259" s="345"/>
      <c r="L259" s="73"/>
      <c r="M259" s="25"/>
      <c r="N259" s="73"/>
      <c r="O259" s="73"/>
      <c r="P259" s="345"/>
      <c r="Q259" s="73"/>
      <c r="R259" s="25"/>
      <c r="S259" s="73"/>
      <c r="T259" s="73"/>
      <c r="U259" s="345"/>
      <c r="V259" s="73"/>
      <c r="W259" s="25"/>
      <c r="X259" s="73"/>
      <c r="Y259" s="73"/>
      <c r="Z259" s="345"/>
      <c r="AA259" s="73"/>
      <c r="AB259" s="25"/>
      <c r="AC259" s="73"/>
      <c r="AD259" s="73"/>
      <c r="AE259" s="345"/>
      <c r="AF259" s="73"/>
      <c r="AG259" s="25"/>
      <c r="AH259" s="73"/>
      <c r="AI259" s="73"/>
      <c r="AJ259" s="345"/>
      <c r="AK259" s="73"/>
      <c r="AL259" s="25"/>
      <c r="AM259" s="73"/>
      <c r="AN259" s="73"/>
      <c r="AO259" s="345"/>
      <c r="AP259" s="73"/>
      <c r="AQ259" s="25"/>
      <c r="AR259" s="73"/>
      <c r="AS259" s="73"/>
      <c r="AT259" s="345"/>
      <c r="AU259" s="73"/>
      <c r="AV259" s="25"/>
      <c r="AW259" s="73"/>
      <c r="AX259" s="73"/>
      <c r="AY259" s="345"/>
      <c r="AZ259" s="73"/>
      <c r="BA259" s="25"/>
      <c r="BB259" s="73"/>
      <c r="BC259" s="73"/>
      <c r="BD259" s="345"/>
      <c r="BE259" s="73"/>
      <c r="BF259" s="25"/>
      <c r="BG259" s="73"/>
      <c r="BH259" s="73"/>
      <c r="BI259" s="345"/>
      <c r="BJ259" s="73"/>
      <c r="BK259" s="25"/>
      <c r="BL259" s="73"/>
      <c r="BM259" s="73"/>
      <c r="BN259" s="345"/>
      <c r="BO259" s="73"/>
      <c r="BP259" s="25"/>
      <c r="BQ259" s="73"/>
      <c r="BR259" s="73"/>
      <c r="BS259" s="345"/>
      <c r="BT259" s="73"/>
      <c r="BU259" s="25"/>
      <c r="BV259" s="73"/>
      <c r="BW259" s="73"/>
      <c r="BX259" s="345"/>
      <c r="BY259" s="73"/>
      <c r="BZ259" s="25"/>
      <c r="CA259" s="73"/>
      <c r="CB259" s="73"/>
      <c r="CC259" s="345"/>
      <c r="CD259" s="73"/>
      <c r="CE259" s="25"/>
      <c r="CF259" s="73"/>
      <c r="CG259" s="73"/>
      <c r="CH259" s="345"/>
      <c r="CI259" s="73"/>
      <c r="CJ259" s="25"/>
      <c r="CK259" s="73"/>
      <c r="CL259" s="73"/>
      <c r="CM259" s="345"/>
      <c r="CN259" s="73"/>
      <c r="CO259" s="25"/>
      <c r="CP259" s="73"/>
      <c r="CQ259" s="73"/>
      <c r="CR259" s="345"/>
      <c r="CS259" s="73"/>
      <c r="CT259" s="25"/>
      <c r="CU259" s="73"/>
      <c r="CV259" s="73"/>
      <c r="CW259" s="345"/>
      <c r="CX259" s="73"/>
      <c r="CY259" s="25"/>
      <c r="CZ259" s="73"/>
      <c r="DA259" s="73"/>
      <c r="DB259" s="345"/>
      <c r="DC259" s="73"/>
      <c r="DD259" s="25"/>
      <c r="DE259" s="73"/>
      <c r="DF259" s="73"/>
      <c r="DG259" s="345"/>
      <c r="DH259" s="73"/>
      <c r="DI259" s="25"/>
      <c r="DJ259" s="73"/>
      <c r="DK259" s="73"/>
      <c r="DL259" s="345"/>
      <c r="DM259" s="73"/>
      <c r="DN259" s="25"/>
      <c r="DO259" s="73"/>
      <c r="DP259" s="73"/>
      <c r="DQ259" s="345"/>
      <c r="DR259" s="73"/>
      <c r="DS259" s="25"/>
      <c r="DT259" s="73"/>
      <c r="DU259" s="73"/>
      <c r="DV259" s="345"/>
      <c r="DW259" s="73"/>
      <c r="DX259" s="25"/>
      <c r="DY259" s="73"/>
      <c r="DZ259" s="73"/>
      <c r="EA259" s="345"/>
      <c r="EB259" s="73"/>
      <c r="EC259" s="25"/>
      <c r="ED259" s="73"/>
      <c r="EE259" s="73"/>
      <c r="EF259" s="345"/>
      <c r="EG259" s="73"/>
      <c r="EH259" s="25"/>
      <c r="EI259" s="73"/>
      <c r="EJ259" s="73"/>
      <c r="EK259" s="345"/>
      <c r="EL259" s="73"/>
      <c r="EM259" s="25"/>
      <c r="EN259" s="73"/>
      <c r="EO259" s="73"/>
      <c r="EP259" s="345"/>
      <c r="EQ259" s="73"/>
      <c r="ER259" s="25"/>
      <c r="ES259" s="73"/>
      <c r="ET259" s="73"/>
      <c r="EU259" s="345"/>
      <c r="EV259" s="73"/>
      <c r="EW259" s="25"/>
      <c r="EX259" s="73"/>
      <c r="EY259" s="73"/>
      <c r="EZ259" s="345"/>
      <c r="FA259" s="73"/>
      <c r="FB259" s="25"/>
      <c r="FC259" s="73"/>
      <c r="FD259" s="73"/>
      <c r="FE259" s="345"/>
      <c r="FF259" s="73"/>
      <c r="FG259" s="25"/>
      <c r="FH259" s="73"/>
      <c r="FI259" s="73"/>
      <c r="FJ259" s="345"/>
      <c r="FK259" s="73"/>
      <c r="FL259" s="25"/>
      <c r="FM259" s="73"/>
      <c r="FN259" s="73"/>
      <c r="FO259" s="345"/>
      <c r="FP259" s="73"/>
      <c r="FQ259" s="25"/>
      <c r="FR259" s="73"/>
      <c r="FS259" s="73"/>
      <c r="FT259" s="345"/>
      <c r="FU259" s="73"/>
      <c r="FV259" s="25"/>
      <c r="FW259" s="73"/>
      <c r="FX259" s="73"/>
      <c r="FY259" s="345"/>
      <c r="FZ259" s="73"/>
      <c r="GA259" s="25"/>
      <c r="GB259" s="73"/>
      <c r="GC259" s="73"/>
      <c r="GD259" s="345"/>
      <c r="GE259" s="73"/>
      <c r="GF259" s="25"/>
      <c r="GG259" s="73"/>
      <c r="GH259" s="73"/>
      <c r="GI259" s="345"/>
      <c r="GJ259" s="73"/>
      <c r="GK259" s="25"/>
      <c r="GL259" s="73"/>
      <c r="GM259" s="73"/>
      <c r="GN259" s="345"/>
      <c r="GO259" s="73"/>
      <c r="GP259" s="25"/>
      <c r="GQ259" s="73"/>
      <c r="GR259" s="73"/>
      <c r="GS259" s="345"/>
      <c r="GT259" s="73"/>
      <c r="GU259" s="25"/>
      <c r="GV259" s="73"/>
      <c r="GW259" s="73"/>
      <c r="GX259" s="345"/>
      <c r="GY259" s="73"/>
      <c r="GZ259" s="25"/>
      <c r="HA259" s="73"/>
      <c r="HB259" s="73"/>
      <c r="HC259" s="345"/>
      <c r="HD259" s="73"/>
      <c r="HE259" s="25"/>
      <c r="HF259" s="73"/>
      <c r="HG259" s="73"/>
      <c r="HH259" s="345"/>
      <c r="HI259" s="73"/>
      <c r="HJ259" s="25"/>
      <c r="HK259" s="73"/>
      <c r="HL259" s="73"/>
      <c r="HM259" s="345"/>
      <c r="HN259" s="73"/>
      <c r="HO259" s="25"/>
      <c r="HP259" s="73"/>
      <c r="HQ259" s="73"/>
      <c r="HR259" s="345"/>
      <c r="HS259" s="73"/>
      <c r="HT259" s="25"/>
      <c r="HU259" s="73"/>
      <c r="HV259" s="73"/>
      <c r="HW259" s="345"/>
      <c r="HX259" s="73"/>
      <c r="HY259" s="25"/>
      <c r="HZ259" s="73"/>
      <c r="IA259" s="73"/>
      <c r="IB259" s="345"/>
      <c r="IC259" s="73"/>
      <c r="ID259" s="25"/>
      <c r="IE259" s="73"/>
      <c r="IF259" s="73"/>
      <c r="IG259" s="345"/>
      <c r="IH259" s="73"/>
      <c r="II259" s="25"/>
      <c r="IJ259" s="73"/>
      <c r="IK259" s="73"/>
      <c r="IL259" s="345"/>
      <c r="IM259" s="73"/>
      <c r="IN259" s="25"/>
      <c r="IO259" s="73"/>
      <c r="IP259" s="73"/>
      <c r="IQ259" s="345"/>
      <c r="IR259" s="73"/>
      <c r="IS259" s="25"/>
      <c r="IT259" s="73"/>
      <c r="IU259" s="73"/>
      <c r="IV259" s="345"/>
    </row>
    <row r="260" spans="1:256" x14ac:dyDescent="0.2">
      <c r="A260" s="345">
        <v>35430</v>
      </c>
      <c r="B260" s="73"/>
      <c r="C260" s="25"/>
      <c r="D260" s="73"/>
      <c r="E260" s="73"/>
      <c r="F260" s="345"/>
      <c r="G260" s="73"/>
      <c r="H260" s="25"/>
      <c r="I260" s="73"/>
      <c r="J260" s="73"/>
      <c r="K260" s="345"/>
      <c r="L260" s="73"/>
      <c r="M260" s="25"/>
      <c r="N260" s="73"/>
      <c r="O260" s="73"/>
      <c r="P260" s="345"/>
      <c r="Q260" s="73"/>
      <c r="R260" s="25"/>
      <c r="S260" s="73"/>
      <c r="T260" s="73"/>
      <c r="U260" s="345"/>
      <c r="V260" s="73"/>
      <c r="W260" s="25"/>
      <c r="X260" s="73"/>
      <c r="Y260" s="73"/>
      <c r="Z260" s="345"/>
      <c r="AA260" s="73"/>
      <c r="AB260" s="25"/>
      <c r="AC260" s="73"/>
      <c r="AD260" s="73"/>
      <c r="AE260" s="345"/>
      <c r="AF260" s="73"/>
      <c r="AG260" s="25"/>
      <c r="AH260" s="73"/>
      <c r="AI260" s="73"/>
      <c r="AJ260" s="345"/>
      <c r="AK260" s="73"/>
      <c r="AL260" s="25"/>
      <c r="AM260" s="73"/>
      <c r="AN260" s="73"/>
      <c r="AO260" s="345"/>
      <c r="AP260" s="73"/>
      <c r="AQ260" s="25"/>
      <c r="AR260" s="73"/>
      <c r="AS260" s="73"/>
      <c r="AT260" s="345"/>
      <c r="AU260" s="73"/>
      <c r="AV260" s="25"/>
      <c r="AW260" s="73"/>
      <c r="AX260" s="73"/>
      <c r="AY260" s="345"/>
      <c r="AZ260" s="73"/>
      <c r="BA260" s="25"/>
      <c r="BB260" s="73"/>
      <c r="BC260" s="73"/>
      <c r="BD260" s="345"/>
      <c r="BE260" s="73"/>
      <c r="BF260" s="25"/>
      <c r="BG260" s="73"/>
      <c r="BH260" s="73"/>
      <c r="BI260" s="345"/>
      <c r="BJ260" s="73"/>
      <c r="BK260" s="25"/>
      <c r="BL260" s="73"/>
      <c r="BM260" s="73"/>
      <c r="BN260" s="345"/>
      <c r="BO260" s="73"/>
      <c r="BP260" s="25"/>
      <c r="BQ260" s="73"/>
      <c r="BR260" s="73"/>
      <c r="BS260" s="345"/>
      <c r="BT260" s="73"/>
      <c r="BU260" s="25"/>
      <c r="BV260" s="73"/>
      <c r="BW260" s="73"/>
      <c r="BX260" s="345"/>
      <c r="BY260" s="73"/>
      <c r="BZ260" s="25"/>
      <c r="CA260" s="73"/>
      <c r="CB260" s="73"/>
      <c r="CC260" s="345"/>
      <c r="CD260" s="73"/>
      <c r="CE260" s="25"/>
      <c r="CF260" s="73"/>
      <c r="CG260" s="73"/>
      <c r="CH260" s="345"/>
      <c r="CI260" s="73"/>
      <c r="CJ260" s="25"/>
      <c r="CK260" s="73"/>
      <c r="CL260" s="73"/>
      <c r="CM260" s="345"/>
      <c r="CN260" s="73"/>
      <c r="CO260" s="25"/>
      <c r="CP260" s="73"/>
      <c r="CQ260" s="73"/>
      <c r="CR260" s="345"/>
      <c r="CS260" s="73"/>
      <c r="CT260" s="25"/>
      <c r="CU260" s="73"/>
      <c r="CV260" s="73"/>
      <c r="CW260" s="345"/>
      <c r="CX260" s="73"/>
      <c r="CY260" s="25"/>
      <c r="CZ260" s="73"/>
      <c r="DA260" s="73"/>
      <c r="DB260" s="345"/>
      <c r="DC260" s="73"/>
      <c r="DD260" s="25"/>
      <c r="DE260" s="73"/>
      <c r="DF260" s="73"/>
      <c r="DG260" s="345"/>
      <c r="DH260" s="73"/>
      <c r="DI260" s="25"/>
      <c r="DJ260" s="73"/>
      <c r="DK260" s="73"/>
      <c r="DL260" s="345"/>
      <c r="DM260" s="73"/>
      <c r="DN260" s="25"/>
      <c r="DO260" s="73"/>
      <c r="DP260" s="73"/>
      <c r="DQ260" s="345"/>
      <c r="DR260" s="73"/>
      <c r="DS260" s="25"/>
      <c r="DT260" s="73"/>
      <c r="DU260" s="73"/>
      <c r="DV260" s="345"/>
      <c r="DW260" s="73"/>
      <c r="DX260" s="25"/>
      <c r="DY260" s="73"/>
      <c r="DZ260" s="73"/>
      <c r="EA260" s="345"/>
      <c r="EB260" s="73"/>
      <c r="EC260" s="25"/>
      <c r="ED260" s="73"/>
      <c r="EE260" s="73"/>
      <c r="EF260" s="345"/>
      <c r="EG260" s="73"/>
      <c r="EH260" s="25"/>
      <c r="EI260" s="73"/>
      <c r="EJ260" s="73"/>
      <c r="EK260" s="345"/>
      <c r="EL260" s="73"/>
      <c r="EM260" s="25"/>
      <c r="EN260" s="73"/>
      <c r="EO260" s="73"/>
      <c r="EP260" s="345"/>
      <c r="EQ260" s="73"/>
      <c r="ER260" s="25"/>
      <c r="ES260" s="73"/>
      <c r="ET260" s="73"/>
      <c r="EU260" s="345"/>
      <c r="EV260" s="73"/>
      <c r="EW260" s="25"/>
      <c r="EX260" s="73"/>
      <c r="EY260" s="73"/>
      <c r="EZ260" s="345"/>
      <c r="FA260" s="73"/>
      <c r="FB260" s="25"/>
      <c r="FC260" s="73"/>
      <c r="FD260" s="73"/>
      <c r="FE260" s="345"/>
      <c r="FF260" s="73"/>
      <c r="FG260" s="25"/>
      <c r="FH260" s="73"/>
      <c r="FI260" s="73"/>
      <c r="FJ260" s="345"/>
      <c r="FK260" s="73"/>
      <c r="FL260" s="25"/>
      <c r="FM260" s="73"/>
      <c r="FN260" s="73"/>
      <c r="FO260" s="345"/>
      <c r="FP260" s="73"/>
      <c r="FQ260" s="25"/>
      <c r="FR260" s="73"/>
      <c r="FS260" s="73"/>
      <c r="FT260" s="345"/>
      <c r="FU260" s="73"/>
      <c r="FV260" s="25"/>
      <c r="FW260" s="73"/>
      <c r="FX260" s="73"/>
      <c r="FY260" s="345"/>
      <c r="FZ260" s="73"/>
      <c r="GA260" s="25"/>
      <c r="GB260" s="73"/>
      <c r="GC260" s="73"/>
      <c r="GD260" s="345"/>
      <c r="GE260" s="73"/>
      <c r="GF260" s="25"/>
      <c r="GG260" s="73"/>
      <c r="GH260" s="73"/>
      <c r="GI260" s="345"/>
      <c r="GJ260" s="73"/>
      <c r="GK260" s="25"/>
      <c r="GL260" s="73"/>
      <c r="GM260" s="73"/>
      <c r="GN260" s="345"/>
      <c r="GO260" s="73"/>
      <c r="GP260" s="25"/>
      <c r="GQ260" s="73"/>
      <c r="GR260" s="73"/>
      <c r="GS260" s="345"/>
      <c r="GT260" s="73"/>
      <c r="GU260" s="25"/>
      <c r="GV260" s="73"/>
      <c r="GW260" s="73"/>
      <c r="GX260" s="345"/>
      <c r="GY260" s="73"/>
      <c r="GZ260" s="25"/>
      <c r="HA260" s="73"/>
      <c r="HB260" s="73"/>
      <c r="HC260" s="345"/>
      <c r="HD260" s="73"/>
      <c r="HE260" s="25"/>
      <c r="HF260" s="73"/>
      <c r="HG260" s="73"/>
      <c r="HH260" s="345"/>
      <c r="HI260" s="73"/>
      <c r="HJ260" s="25"/>
      <c r="HK260" s="73"/>
      <c r="HL260" s="73"/>
      <c r="HM260" s="345"/>
      <c r="HN260" s="73"/>
      <c r="HO260" s="25"/>
      <c r="HP260" s="73"/>
      <c r="HQ260" s="73"/>
      <c r="HR260" s="345"/>
      <c r="HS260" s="73"/>
      <c r="HT260" s="25"/>
      <c r="HU260" s="73"/>
      <c r="HV260" s="73"/>
      <c r="HW260" s="345"/>
      <c r="HX260" s="73"/>
      <c r="HY260" s="25"/>
      <c r="HZ260" s="73"/>
      <c r="IA260" s="73"/>
      <c r="IB260" s="345"/>
      <c r="IC260" s="73"/>
      <c r="ID260" s="25"/>
      <c r="IE260" s="73"/>
      <c r="IF260" s="73"/>
      <c r="IG260" s="345"/>
      <c r="IH260" s="73"/>
      <c r="II260" s="25"/>
      <c r="IJ260" s="73"/>
      <c r="IK260" s="73"/>
      <c r="IL260" s="345"/>
      <c r="IM260" s="73"/>
      <c r="IN260" s="25"/>
      <c r="IO260" s="73"/>
      <c r="IP260" s="73"/>
      <c r="IQ260" s="345"/>
      <c r="IR260" s="73"/>
      <c r="IS260" s="25"/>
      <c r="IT260" s="73"/>
      <c r="IU260" s="73"/>
      <c r="IV260" s="345"/>
    </row>
    <row r="261" spans="1:256" x14ac:dyDescent="0.2">
      <c r="A261" s="345">
        <v>35461</v>
      </c>
      <c r="B261" s="73"/>
      <c r="C261" s="25"/>
      <c r="D261" s="73"/>
      <c r="E261" s="73"/>
      <c r="F261" s="345"/>
      <c r="G261" s="73"/>
      <c r="H261" s="25"/>
      <c r="I261" s="73"/>
      <c r="J261" s="73"/>
      <c r="K261" s="345"/>
      <c r="L261" s="73"/>
      <c r="M261" s="25"/>
      <c r="N261" s="73"/>
      <c r="O261" s="73"/>
      <c r="P261" s="345"/>
      <c r="Q261" s="73"/>
      <c r="R261" s="25"/>
      <c r="S261" s="73"/>
      <c r="T261" s="73"/>
      <c r="U261" s="345"/>
      <c r="V261" s="73"/>
      <c r="W261" s="25"/>
      <c r="X261" s="73"/>
      <c r="Y261" s="73"/>
      <c r="Z261" s="345"/>
      <c r="AA261" s="73"/>
      <c r="AB261" s="25"/>
      <c r="AC261" s="73"/>
      <c r="AD261" s="73"/>
      <c r="AE261" s="345"/>
      <c r="AF261" s="73"/>
      <c r="AG261" s="25"/>
      <c r="AH261" s="73"/>
      <c r="AI261" s="73"/>
      <c r="AJ261" s="345"/>
      <c r="AK261" s="73"/>
      <c r="AL261" s="25"/>
      <c r="AM261" s="73"/>
      <c r="AN261" s="73"/>
      <c r="AO261" s="345"/>
      <c r="AP261" s="73"/>
      <c r="AQ261" s="25"/>
      <c r="AR261" s="73"/>
      <c r="AS261" s="73"/>
      <c r="AT261" s="345"/>
      <c r="AU261" s="73"/>
      <c r="AV261" s="25"/>
      <c r="AW261" s="73"/>
      <c r="AX261" s="73"/>
      <c r="AY261" s="345"/>
      <c r="AZ261" s="73"/>
      <c r="BA261" s="25"/>
      <c r="BB261" s="73"/>
      <c r="BC261" s="73"/>
      <c r="BD261" s="345"/>
      <c r="BE261" s="73"/>
      <c r="BF261" s="25"/>
      <c r="BG261" s="73"/>
      <c r="BH261" s="73"/>
      <c r="BI261" s="345"/>
      <c r="BJ261" s="73"/>
      <c r="BK261" s="25"/>
      <c r="BL261" s="73"/>
      <c r="BM261" s="73"/>
      <c r="BN261" s="345"/>
      <c r="BO261" s="73"/>
      <c r="BP261" s="25"/>
      <c r="BQ261" s="73"/>
      <c r="BR261" s="73"/>
      <c r="BS261" s="345"/>
      <c r="BT261" s="73"/>
      <c r="BU261" s="25"/>
      <c r="BV261" s="73"/>
      <c r="BW261" s="73"/>
      <c r="BX261" s="345"/>
      <c r="BY261" s="73"/>
      <c r="BZ261" s="25"/>
      <c r="CA261" s="73"/>
      <c r="CB261" s="73"/>
      <c r="CC261" s="345"/>
      <c r="CD261" s="73"/>
      <c r="CE261" s="25"/>
      <c r="CF261" s="73"/>
      <c r="CG261" s="73"/>
      <c r="CH261" s="345"/>
      <c r="CI261" s="73"/>
      <c r="CJ261" s="25"/>
      <c r="CK261" s="73"/>
      <c r="CL261" s="73"/>
      <c r="CM261" s="345"/>
      <c r="CN261" s="73"/>
      <c r="CO261" s="25"/>
      <c r="CP261" s="73"/>
      <c r="CQ261" s="73"/>
      <c r="CR261" s="345"/>
      <c r="CS261" s="73"/>
      <c r="CT261" s="25"/>
      <c r="CU261" s="73"/>
      <c r="CV261" s="73"/>
      <c r="CW261" s="345"/>
      <c r="CX261" s="73"/>
      <c r="CY261" s="25"/>
      <c r="CZ261" s="73"/>
      <c r="DA261" s="73"/>
      <c r="DB261" s="345"/>
      <c r="DC261" s="73"/>
      <c r="DD261" s="25"/>
      <c r="DE261" s="73"/>
      <c r="DF261" s="73"/>
      <c r="DG261" s="345"/>
      <c r="DH261" s="73"/>
      <c r="DI261" s="25"/>
      <c r="DJ261" s="73"/>
      <c r="DK261" s="73"/>
      <c r="DL261" s="345"/>
      <c r="DM261" s="73"/>
      <c r="DN261" s="25"/>
      <c r="DO261" s="73"/>
      <c r="DP261" s="73"/>
      <c r="DQ261" s="345"/>
      <c r="DR261" s="73"/>
      <c r="DS261" s="25"/>
      <c r="DT261" s="73"/>
      <c r="DU261" s="73"/>
      <c r="DV261" s="345"/>
      <c r="DW261" s="73"/>
      <c r="DX261" s="25"/>
      <c r="DY261" s="73"/>
      <c r="DZ261" s="73"/>
      <c r="EA261" s="345"/>
      <c r="EB261" s="73"/>
      <c r="EC261" s="25"/>
      <c r="ED261" s="73"/>
      <c r="EE261" s="73"/>
      <c r="EF261" s="345"/>
      <c r="EG261" s="73"/>
      <c r="EH261" s="25"/>
      <c r="EI261" s="73"/>
      <c r="EJ261" s="73"/>
      <c r="EK261" s="345"/>
      <c r="EL261" s="73"/>
      <c r="EM261" s="25"/>
      <c r="EN261" s="73"/>
      <c r="EO261" s="73"/>
      <c r="EP261" s="345"/>
      <c r="EQ261" s="73"/>
      <c r="ER261" s="25"/>
      <c r="ES261" s="73"/>
      <c r="ET261" s="73"/>
      <c r="EU261" s="345"/>
      <c r="EV261" s="73"/>
      <c r="EW261" s="25"/>
      <c r="EX261" s="73"/>
      <c r="EY261" s="73"/>
      <c r="EZ261" s="345"/>
      <c r="FA261" s="73"/>
      <c r="FB261" s="25"/>
      <c r="FC261" s="73"/>
      <c r="FD261" s="73"/>
      <c r="FE261" s="345"/>
      <c r="FF261" s="73"/>
      <c r="FG261" s="25"/>
      <c r="FH261" s="73"/>
      <c r="FI261" s="73"/>
      <c r="FJ261" s="345"/>
      <c r="FK261" s="73"/>
      <c r="FL261" s="25"/>
      <c r="FM261" s="73"/>
      <c r="FN261" s="73"/>
      <c r="FO261" s="345"/>
      <c r="FP261" s="73"/>
      <c r="FQ261" s="25"/>
      <c r="FR261" s="73"/>
      <c r="FS261" s="73"/>
      <c r="FT261" s="345"/>
      <c r="FU261" s="73"/>
      <c r="FV261" s="25"/>
      <c r="FW261" s="73"/>
      <c r="FX261" s="73"/>
      <c r="FY261" s="345"/>
      <c r="FZ261" s="73"/>
      <c r="GA261" s="25"/>
      <c r="GB261" s="73"/>
      <c r="GC261" s="73"/>
      <c r="GD261" s="345"/>
      <c r="GE261" s="73"/>
      <c r="GF261" s="25"/>
      <c r="GG261" s="73"/>
      <c r="GH261" s="73"/>
      <c r="GI261" s="345"/>
      <c r="GJ261" s="73"/>
      <c r="GK261" s="25"/>
      <c r="GL261" s="73"/>
      <c r="GM261" s="73"/>
      <c r="GN261" s="345"/>
      <c r="GO261" s="73"/>
      <c r="GP261" s="25"/>
      <c r="GQ261" s="73"/>
      <c r="GR261" s="73"/>
      <c r="GS261" s="345"/>
      <c r="GT261" s="73"/>
      <c r="GU261" s="25"/>
      <c r="GV261" s="73"/>
      <c r="GW261" s="73"/>
      <c r="GX261" s="345"/>
      <c r="GY261" s="73"/>
      <c r="GZ261" s="25"/>
      <c r="HA261" s="73"/>
      <c r="HB261" s="73"/>
      <c r="HC261" s="345"/>
      <c r="HD261" s="73"/>
      <c r="HE261" s="25"/>
      <c r="HF261" s="73"/>
      <c r="HG261" s="73"/>
      <c r="HH261" s="345"/>
      <c r="HI261" s="73"/>
      <c r="HJ261" s="25"/>
      <c r="HK261" s="73"/>
      <c r="HL261" s="73"/>
      <c r="HM261" s="345"/>
      <c r="HN261" s="73"/>
      <c r="HO261" s="25"/>
      <c r="HP261" s="73"/>
      <c r="HQ261" s="73"/>
      <c r="HR261" s="345"/>
      <c r="HS261" s="73"/>
      <c r="HT261" s="25"/>
      <c r="HU261" s="73"/>
      <c r="HV261" s="73"/>
      <c r="HW261" s="345"/>
      <c r="HX261" s="73"/>
      <c r="HY261" s="25"/>
      <c r="HZ261" s="73"/>
      <c r="IA261" s="73"/>
      <c r="IB261" s="345"/>
      <c r="IC261" s="73"/>
      <c r="ID261" s="25"/>
      <c r="IE261" s="73"/>
      <c r="IF261" s="73"/>
      <c r="IG261" s="345"/>
      <c r="IH261" s="73"/>
      <c r="II261" s="25"/>
      <c r="IJ261" s="73"/>
      <c r="IK261" s="73"/>
      <c r="IL261" s="345"/>
      <c r="IM261" s="73"/>
      <c r="IN261" s="25"/>
      <c r="IO261" s="73"/>
      <c r="IP261" s="73"/>
      <c r="IQ261" s="345"/>
      <c r="IR261" s="73"/>
      <c r="IS261" s="25"/>
      <c r="IT261" s="73"/>
      <c r="IU261" s="73"/>
      <c r="IV261" s="345"/>
    </row>
    <row r="262" spans="1:256" x14ac:dyDescent="0.2">
      <c r="A262" s="345">
        <v>35489</v>
      </c>
      <c r="B262" s="73"/>
      <c r="C262" s="25"/>
      <c r="D262" s="73"/>
      <c r="E262" s="73"/>
      <c r="F262" s="345"/>
      <c r="G262" s="73"/>
      <c r="H262" s="25"/>
      <c r="I262" s="73"/>
      <c r="J262" s="73"/>
      <c r="K262" s="345"/>
      <c r="L262" s="73"/>
      <c r="M262" s="25"/>
      <c r="N262" s="73"/>
      <c r="O262" s="73"/>
      <c r="P262" s="345"/>
      <c r="Q262" s="73"/>
      <c r="R262" s="25"/>
      <c r="S262" s="73"/>
      <c r="T262" s="73"/>
      <c r="U262" s="345"/>
      <c r="V262" s="73"/>
      <c r="W262" s="25"/>
      <c r="X262" s="73"/>
      <c r="Y262" s="73"/>
      <c r="Z262" s="345"/>
      <c r="AA262" s="73"/>
      <c r="AB262" s="25"/>
      <c r="AC262" s="73"/>
      <c r="AD262" s="73"/>
      <c r="AE262" s="345"/>
      <c r="AF262" s="73"/>
      <c r="AG262" s="25"/>
      <c r="AH262" s="73"/>
      <c r="AI262" s="73"/>
      <c r="AJ262" s="345"/>
      <c r="AK262" s="73"/>
      <c r="AL262" s="25"/>
      <c r="AM262" s="73"/>
      <c r="AN262" s="73"/>
      <c r="AO262" s="345"/>
      <c r="AP262" s="73"/>
      <c r="AQ262" s="25"/>
      <c r="AR262" s="73"/>
      <c r="AS262" s="73"/>
      <c r="AT262" s="345"/>
      <c r="AU262" s="73"/>
      <c r="AV262" s="25"/>
      <c r="AW262" s="73"/>
      <c r="AX262" s="73"/>
      <c r="AY262" s="345"/>
      <c r="AZ262" s="73"/>
      <c r="BA262" s="25"/>
      <c r="BB262" s="73"/>
      <c r="BC262" s="73"/>
      <c r="BD262" s="345"/>
      <c r="BE262" s="73"/>
      <c r="BF262" s="25"/>
      <c r="BG262" s="73"/>
      <c r="BH262" s="73"/>
      <c r="BI262" s="345"/>
      <c r="BJ262" s="73"/>
      <c r="BK262" s="25"/>
      <c r="BL262" s="73"/>
      <c r="BM262" s="73"/>
      <c r="BN262" s="345"/>
      <c r="BO262" s="73"/>
      <c r="BP262" s="25"/>
      <c r="BQ262" s="73"/>
      <c r="BR262" s="73"/>
      <c r="BS262" s="345"/>
      <c r="BT262" s="73"/>
      <c r="BU262" s="25"/>
      <c r="BV262" s="73"/>
      <c r="BW262" s="73"/>
      <c r="BX262" s="345"/>
      <c r="BY262" s="73"/>
      <c r="BZ262" s="25"/>
      <c r="CA262" s="73"/>
      <c r="CB262" s="73"/>
      <c r="CC262" s="345"/>
      <c r="CD262" s="73"/>
      <c r="CE262" s="25"/>
      <c r="CF262" s="73"/>
      <c r="CG262" s="73"/>
      <c r="CH262" s="345"/>
      <c r="CI262" s="73"/>
      <c r="CJ262" s="25"/>
      <c r="CK262" s="73"/>
      <c r="CL262" s="73"/>
      <c r="CM262" s="345"/>
      <c r="CN262" s="73"/>
      <c r="CO262" s="25"/>
      <c r="CP262" s="73"/>
      <c r="CQ262" s="73"/>
      <c r="CR262" s="345"/>
      <c r="CS262" s="73"/>
      <c r="CT262" s="25"/>
      <c r="CU262" s="73"/>
      <c r="CV262" s="73"/>
      <c r="CW262" s="345"/>
      <c r="CX262" s="73"/>
      <c r="CY262" s="25"/>
      <c r="CZ262" s="73"/>
      <c r="DA262" s="73"/>
      <c r="DB262" s="345"/>
      <c r="DC262" s="73"/>
      <c r="DD262" s="25"/>
      <c r="DE262" s="73"/>
      <c r="DF262" s="73"/>
      <c r="DG262" s="345"/>
      <c r="DH262" s="73"/>
      <c r="DI262" s="25"/>
      <c r="DJ262" s="73"/>
      <c r="DK262" s="73"/>
      <c r="DL262" s="345"/>
      <c r="DM262" s="73"/>
      <c r="DN262" s="25"/>
      <c r="DO262" s="73"/>
      <c r="DP262" s="73"/>
      <c r="DQ262" s="345"/>
      <c r="DR262" s="73"/>
      <c r="DS262" s="25"/>
      <c r="DT262" s="73"/>
      <c r="DU262" s="73"/>
      <c r="DV262" s="345"/>
      <c r="DW262" s="73"/>
      <c r="DX262" s="25"/>
      <c r="DY262" s="73"/>
      <c r="DZ262" s="73"/>
      <c r="EA262" s="345"/>
      <c r="EB262" s="73"/>
      <c r="EC262" s="25"/>
      <c r="ED262" s="73"/>
      <c r="EE262" s="73"/>
      <c r="EF262" s="345"/>
      <c r="EG262" s="73"/>
      <c r="EH262" s="25"/>
      <c r="EI262" s="73"/>
      <c r="EJ262" s="73"/>
      <c r="EK262" s="345"/>
      <c r="EL262" s="73"/>
      <c r="EM262" s="25"/>
      <c r="EN262" s="73"/>
      <c r="EO262" s="73"/>
      <c r="EP262" s="345"/>
      <c r="EQ262" s="73"/>
      <c r="ER262" s="25"/>
      <c r="ES262" s="73"/>
      <c r="ET262" s="73"/>
      <c r="EU262" s="345"/>
      <c r="EV262" s="73"/>
      <c r="EW262" s="25"/>
      <c r="EX262" s="73"/>
      <c r="EY262" s="73"/>
      <c r="EZ262" s="345"/>
      <c r="FA262" s="73"/>
      <c r="FB262" s="25"/>
      <c r="FC262" s="73"/>
      <c r="FD262" s="73"/>
      <c r="FE262" s="345"/>
      <c r="FF262" s="73"/>
      <c r="FG262" s="25"/>
      <c r="FH262" s="73"/>
      <c r="FI262" s="73"/>
      <c r="FJ262" s="345"/>
      <c r="FK262" s="73"/>
      <c r="FL262" s="25"/>
      <c r="FM262" s="73"/>
      <c r="FN262" s="73"/>
      <c r="FO262" s="345"/>
      <c r="FP262" s="73"/>
      <c r="FQ262" s="25"/>
      <c r="FR262" s="73"/>
      <c r="FS262" s="73"/>
      <c r="FT262" s="345"/>
      <c r="FU262" s="73"/>
      <c r="FV262" s="25"/>
      <c r="FW262" s="73"/>
      <c r="FX262" s="73"/>
      <c r="FY262" s="345"/>
      <c r="FZ262" s="73"/>
      <c r="GA262" s="25"/>
      <c r="GB262" s="73"/>
      <c r="GC262" s="73"/>
      <c r="GD262" s="345"/>
      <c r="GE262" s="73"/>
      <c r="GF262" s="25"/>
      <c r="GG262" s="73"/>
      <c r="GH262" s="73"/>
      <c r="GI262" s="345"/>
      <c r="GJ262" s="73"/>
      <c r="GK262" s="25"/>
      <c r="GL262" s="73"/>
      <c r="GM262" s="73"/>
      <c r="GN262" s="345"/>
      <c r="GO262" s="73"/>
      <c r="GP262" s="25"/>
      <c r="GQ262" s="73"/>
      <c r="GR262" s="73"/>
      <c r="GS262" s="345"/>
      <c r="GT262" s="73"/>
      <c r="GU262" s="25"/>
      <c r="GV262" s="73"/>
      <c r="GW262" s="73"/>
      <c r="GX262" s="345"/>
      <c r="GY262" s="73"/>
      <c r="GZ262" s="25"/>
      <c r="HA262" s="73"/>
      <c r="HB262" s="73"/>
      <c r="HC262" s="345"/>
      <c r="HD262" s="73"/>
      <c r="HE262" s="25"/>
      <c r="HF262" s="73"/>
      <c r="HG262" s="73"/>
      <c r="HH262" s="345"/>
      <c r="HI262" s="73"/>
      <c r="HJ262" s="25"/>
      <c r="HK262" s="73"/>
      <c r="HL262" s="73"/>
      <c r="HM262" s="345"/>
      <c r="HN262" s="73"/>
      <c r="HO262" s="25"/>
      <c r="HP262" s="73"/>
      <c r="HQ262" s="73"/>
      <c r="HR262" s="345"/>
      <c r="HS262" s="73"/>
      <c r="HT262" s="25"/>
      <c r="HU262" s="73"/>
      <c r="HV262" s="73"/>
      <c r="HW262" s="345"/>
      <c r="HX262" s="73"/>
      <c r="HY262" s="25"/>
      <c r="HZ262" s="73"/>
      <c r="IA262" s="73"/>
      <c r="IB262" s="345"/>
      <c r="IC262" s="73"/>
      <c r="ID262" s="25"/>
      <c r="IE262" s="73"/>
      <c r="IF262" s="73"/>
      <c r="IG262" s="345"/>
      <c r="IH262" s="73"/>
      <c r="II262" s="25"/>
      <c r="IJ262" s="73"/>
      <c r="IK262" s="73"/>
      <c r="IL262" s="345"/>
      <c r="IM262" s="73"/>
      <c r="IN262" s="25"/>
      <c r="IO262" s="73"/>
      <c r="IP262" s="73"/>
      <c r="IQ262" s="345"/>
      <c r="IR262" s="73"/>
      <c r="IS262" s="25"/>
      <c r="IT262" s="73"/>
      <c r="IU262" s="73"/>
      <c r="IV262" s="345"/>
    </row>
    <row r="263" spans="1:256" x14ac:dyDescent="0.2">
      <c r="A263" s="345">
        <v>35520</v>
      </c>
      <c r="B263" s="73"/>
      <c r="C263" s="25"/>
      <c r="D263" s="73"/>
      <c r="E263" s="73"/>
      <c r="F263" s="345"/>
      <c r="G263" s="73"/>
      <c r="H263" s="25"/>
      <c r="I263" s="73"/>
      <c r="J263" s="73"/>
      <c r="K263" s="345"/>
      <c r="L263" s="73"/>
      <c r="M263" s="25"/>
      <c r="N263" s="73"/>
      <c r="O263" s="73"/>
      <c r="P263" s="345"/>
      <c r="Q263" s="73"/>
      <c r="R263" s="25"/>
      <c r="S263" s="73"/>
      <c r="T263" s="73"/>
      <c r="U263" s="345"/>
      <c r="V263" s="73"/>
      <c r="W263" s="25"/>
      <c r="X263" s="73"/>
      <c r="Y263" s="73"/>
      <c r="Z263" s="345"/>
      <c r="AA263" s="73"/>
      <c r="AB263" s="25"/>
      <c r="AC263" s="73"/>
      <c r="AD263" s="73"/>
      <c r="AE263" s="345"/>
      <c r="AF263" s="73"/>
      <c r="AG263" s="25"/>
      <c r="AH263" s="73"/>
      <c r="AI263" s="73"/>
      <c r="AJ263" s="345"/>
      <c r="AK263" s="73"/>
      <c r="AL263" s="25"/>
      <c r="AM263" s="73"/>
      <c r="AN263" s="73"/>
      <c r="AO263" s="345"/>
      <c r="AP263" s="73"/>
      <c r="AQ263" s="25"/>
      <c r="AR263" s="73"/>
      <c r="AS263" s="73"/>
      <c r="AT263" s="345"/>
      <c r="AU263" s="73"/>
      <c r="AV263" s="25"/>
      <c r="AW263" s="73"/>
      <c r="AX263" s="73"/>
      <c r="AY263" s="345"/>
      <c r="AZ263" s="73"/>
      <c r="BA263" s="25"/>
      <c r="BB263" s="73"/>
      <c r="BC263" s="73"/>
      <c r="BD263" s="345"/>
      <c r="BE263" s="73"/>
      <c r="BF263" s="25"/>
      <c r="BG263" s="73"/>
      <c r="BH263" s="73"/>
      <c r="BI263" s="345"/>
      <c r="BJ263" s="73"/>
      <c r="BK263" s="25"/>
      <c r="BL263" s="73"/>
      <c r="BM263" s="73"/>
      <c r="BN263" s="345"/>
      <c r="BO263" s="73"/>
      <c r="BP263" s="25"/>
      <c r="BQ263" s="73"/>
      <c r="BR263" s="73"/>
      <c r="BS263" s="345"/>
      <c r="BT263" s="73"/>
      <c r="BU263" s="25"/>
      <c r="BV263" s="73"/>
      <c r="BW263" s="73"/>
      <c r="BX263" s="345"/>
      <c r="BY263" s="73"/>
      <c r="BZ263" s="25"/>
      <c r="CA263" s="73"/>
      <c r="CB263" s="73"/>
      <c r="CC263" s="345"/>
      <c r="CD263" s="73"/>
      <c r="CE263" s="25"/>
      <c r="CF263" s="73"/>
      <c r="CG263" s="73"/>
      <c r="CH263" s="345"/>
      <c r="CI263" s="73"/>
      <c r="CJ263" s="25"/>
      <c r="CK263" s="73"/>
      <c r="CL263" s="73"/>
      <c r="CM263" s="345"/>
      <c r="CN263" s="73"/>
      <c r="CO263" s="25"/>
      <c r="CP263" s="73"/>
      <c r="CQ263" s="73"/>
      <c r="CR263" s="345"/>
      <c r="CS263" s="73"/>
      <c r="CT263" s="25"/>
      <c r="CU263" s="73"/>
      <c r="CV263" s="73"/>
      <c r="CW263" s="345"/>
      <c r="CX263" s="73"/>
      <c r="CY263" s="25"/>
      <c r="CZ263" s="73"/>
      <c r="DA263" s="73"/>
      <c r="DB263" s="345"/>
      <c r="DC263" s="73"/>
      <c r="DD263" s="25"/>
      <c r="DE263" s="73"/>
      <c r="DF263" s="73"/>
      <c r="DG263" s="345"/>
      <c r="DH263" s="73"/>
      <c r="DI263" s="25"/>
      <c r="DJ263" s="73"/>
      <c r="DK263" s="73"/>
      <c r="DL263" s="345"/>
      <c r="DM263" s="73"/>
      <c r="DN263" s="25"/>
      <c r="DO263" s="73"/>
      <c r="DP263" s="73"/>
      <c r="DQ263" s="345"/>
      <c r="DR263" s="73"/>
      <c r="DS263" s="25"/>
      <c r="DT263" s="73"/>
      <c r="DU263" s="73"/>
      <c r="DV263" s="345"/>
      <c r="DW263" s="73"/>
      <c r="DX263" s="25"/>
      <c r="DY263" s="73"/>
      <c r="DZ263" s="73"/>
      <c r="EA263" s="345"/>
      <c r="EB263" s="73"/>
      <c r="EC263" s="25"/>
      <c r="ED263" s="73"/>
      <c r="EE263" s="73"/>
      <c r="EF263" s="345"/>
      <c r="EG263" s="73"/>
      <c r="EH263" s="25"/>
      <c r="EI263" s="73"/>
      <c r="EJ263" s="73"/>
      <c r="EK263" s="345"/>
      <c r="EL263" s="73"/>
      <c r="EM263" s="25"/>
      <c r="EN263" s="73"/>
      <c r="EO263" s="73"/>
      <c r="EP263" s="345"/>
      <c r="EQ263" s="73"/>
      <c r="ER263" s="25"/>
      <c r="ES263" s="73"/>
      <c r="ET263" s="73"/>
      <c r="EU263" s="345"/>
      <c r="EV263" s="73"/>
      <c r="EW263" s="25"/>
      <c r="EX263" s="73"/>
      <c r="EY263" s="73"/>
      <c r="EZ263" s="345"/>
      <c r="FA263" s="73"/>
      <c r="FB263" s="25"/>
      <c r="FC263" s="73"/>
      <c r="FD263" s="73"/>
      <c r="FE263" s="345"/>
      <c r="FF263" s="73"/>
      <c r="FG263" s="25"/>
      <c r="FH263" s="73"/>
      <c r="FI263" s="73"/>
      <c r="FJ263" s="345"/>
      <c r="FK263" s="73"/>
      <c r="FL263" s="25"/>
      <c r="FM263" s="73"/>
      <c r="FN263" s="73"/>
      <c r="FO263" s="345"/>
      <c r="FP263" s="73"/>
      <c r="FQ263" s="25"/>
      <c r="FR263" s="73"/>
      <c r="FS263" s="73"/>
      <c r="FT263" s="345"/>
      <c r="FU263" s="73"/>
      <c r="FV263" s="25"/>
      <c r="FW263" s="73"/>
      <c r="FX263" s="73"/>
      <c r="FY263" s="345"/>
      <c r="FZ263" s="73"/>
      <c r="GA263" s="25"/>
      <c r="GB263" s="73"/>
      <c r="GC263" s="73"/>
      <c r="GD263" s="345"/>
      <c r="GE263" s="73"/>
      <c r="GF263" s="25"/>
      <c r="GG263" s="73"/>
      <c r="GH263" s="73"/>
      <c r="GI263" s="345"/>
      <c r="GJ263" s="73"/>
      <c r="GK263" s="25"/>
      <c r="GL263" s="73"/>
      <c r="GM263" s="73"/>
      <c r="GN263" s="345"/>
      <c r="GO263" s="73"/>
      <c r="GP263" s="25"/>
      <c r="GQ263" s="73"/>
      <c r="GR263" s="73"/>
      <c r="GS263" s="345"/>
      <c r="GT263" s="73"/>
      <c r="GU263" s="25"/>
      <c r="GV263" s="73"/>
      <c r="GW263" s="73"/>
      <c r="GX263" s="345"/>
      <c r="GY263" s="73"/>
      <c r="GZ263" s="25"/>
      <c r="HA263" s="73"/>
      <c r="HB263" s="73"/>
      <c r="HC263" s="345"/>
      <c r="HD263" s="73"/>
      <c r="HE263" s="25"/>
      <c r="HF263" s="73"/>
      <c r="HG263" s="73"/>
      <c r="HH263" s="345"/>
      <c r="HI263" s="73"/>
      <c r="HJ263" s="25"/>
      <c r="HK263" s="73"/>
      <c r="HL263" s="73"/>
      <c r="HM263" s="345"/>
      <c r="HN263" s="73"/>
      <c r="HO263" s="25"/>
      <c r="HP263" s="73"/>
      <c r="HQ263" s="73"/>
      <c r="HR263" s="345"/>
      <c r="HS263" s="73"/>
      <c r="HT263" s="25"/>
      <c r="HU263" s="73"/>
      <c r="HV263" s="73"/>
      <c r="HW263" s="345"/>
      <c r="HX263" s="73"/>
      <c r="HY263" s="25"/>
      <c r="HZ263" s="73"/>
      <c r="IA263" s="73"/>
      <c r="IB263" s="345"/>
      <c r="IC263" s="73"/>
      <c r="ID263" s="25"/>
      <c r="IE263" s="73"/>
      <c r="IF263" s="73"/>
      <c r="IG263" s="345"/>
      <c r="IH263" s="73"/>
      <c r="II263" s="25"/>
      <c r="IJ263" s="73"/>
      <c r="IK263" s="73"/>
      <c r="IL263" s="345"/>
      <c r="IM263" s="73"/>
      <c r="IN263" s="25"/>
      <c r="IO263" s="73"/>
      <c r="IP263" s="73"/>
      <c r="IQ263" s="345"/>
      <c r="IR263" s="73"/>
      <c r="IS263" s="25"/>
      <c r="IT263" s="73"/>
      <c r="IU263" s="73"/>
      <c r="IV263" s="345"/>
    </row>
    <row r="264" spans="1:256" x14ac:dyDescent="0.2">
      <c r="A264" s="345">
        <v>35550</v>
      </c>
      <c r="B264" s="73"/>
      <c r="C264" s="25"/>
      <c r="D264" s="73"/>
      <c r="E264" s="73"/>
      <c r="F264" s="345"/>
      <c r="G264" s="73"/>
      <c r="H264" s="25"/>
      <c r="I264" s="73"/>
      <c r="J264" s="73"/>
      <c r="K264" s="345"/>
      <c r="L264" s="73"/>
      <c r="M264" s="25"/>
      <c r="N264" s="73"/>
      <c r="O264" s="73"/>
      <c r="P264" s="345"/>
      <c r="Q264" s="73"/>
      <c r="R264" s="25"/>
      <c r="S264" s="73"/>
      <c r="T264" s="73"/>
      <c r="U264" s="345"/>
      <c r="V264" s="73"/>
      <c r="W264" s="25"/>
      <c r="X264" s="73"/>
      <c r="Y264" s="73"/>
      <c r="Z264" s="345"/>
      <c r="AA264" s="73"/>
      <c r="AB264" s="25"/>
      <c r="AC264" s="73"/>
      <c r="AD264" s="73"/>
      <c r="AE264" s="345"/>
      <c r="AF264" s="73"/>
      <c r="AG264" s="25"/>
      <c r="AH264" s="73"/>
      <c r="AI264" s="73"/>
      <c r="AJ264" s="345"/>
      <c r="AK264" s="73"/>
      <c r="AL264" s="25"/>
      <c r="AM264" s="73"/>
      <c r="AN264" s="73"/>
      <c r="AO264" s="345"/>
      <c r="AP264" s="73"/>
      <c r="AQ264" s="25"/>
      <c r="AR264" s="73"/>
      <c r="AS264" s="73"/>
      <c r="AT264" s="345"/>
      <c r="AU264" s="73"/>
      <c r="AV264" s="25"/>
      <c r="AW264" s="73"/>
      <c r="AX264" s="73"/>
      <c r="AY264" s="345"/>
      <c r="AZ264" s="73"/>
      <c r="BA264" s="25"/>
      <c r="BB264" s="73"/>
      <c r="BC264" s="73"/>
      <c r="BD264" s="345"/>
      <c r="BE264" s="73"/>
      <c r="BF264" s="25"/>
      <c r="BG264" s="73"/>
      <c r="BH264" s="73"/>
      <c r="BI264" s="345"/>
      <c r="BJ264" s="73"/>
      <c r="BK264" s="25"/>
      <c r="BL264" s="73"/>
      <c r="BM264" s="73"/>
      <c r="BN264" s="345"/>
      <c r="BO264" s="73"/>
      <c r="BP264" s="25"/>
      <c r="BQ264" s="73"/>
      <c r="BR264" s="73"/>
      <c r="BS264" s="345"/>
      <c r="BT264" s="73"/>
      <c r="BU264" s="25"/>
      <c r="BV264" s="73"/>
      <c r="BW264" s="73"/>
      <c r="BX264" s="345"/>
      <c r="BY264" s="73"/>
      <c r="BZ264" s="25"/>
      <c r="CA264" s="73"/>
      <c r="CB264" s="73"/>
      <c r="CC264" s="345"/>
      <c r="CD264" s="73"/>
      <c r="CE264" s="25"/>
      <c r="CF264" s="73"/>
      <c r="CG264" s="73"/>
      <c r="CH264" s="345"/>
      <c r="CI264" s="73"/>
      <c r="CJ264" s="25"/>
      <c r="CK264" s="73"/>
      <c r="CL264" s="73"/>
      <c r="CM264" s="345"/>
      <c r="CN264" s="73"/>
      <c r="CO264" s="25"/>
      <c r="CP264" s="73"/>
      <c r="CQ264" s="73"/>
      <c r="CR264" s="345"/>
      <c r="CS264" s="73"/>
      <c r="CT264" s="25"/>
      <c r="CU264" s="73"/>
      <c r="CV264" s="73"/>
      <c r="CW264" s="345"/>
      <c r="CX264" s="73"/>
      <c r="CY264" s="25"/>
      <c r="CZ264" s="73"/>
      <c r="DA264" s="73"/>
      <c r="DB264" s="345"/>
      <c r="DC264" s="73"/>
      <c r="DD264" s="25"/>
      <c r="DE264" s="73"/>
      <c r="DF264" s="73"/>
      <c r="DG264" s="345"/>
      <c r="DH264" s="73"/>
      <c r="DI264" s="25"/>
      <c r="DJ264" s="73"/>
      <c r="DK264" s="73"/>
      <c r="DL264" s="345"/>
      <c r="DM264" s="73"/>
      <c r="DN264" s="25"/>
      <c r="DO264" s="73"/>
      <c r="DP264" s="73"/>
      <c r="DQ264" s="345"/>
      <c r="DR264" s="73"/>
      <c r="DS264" s="25"/>
      <c r="DT264" s="73"/>
      <c r="DU264" s="73"/>
      <c r="DV264" s="345"/>
      <c r="DW264" s="73"/>
      <c r="DX264" s="25"/>
      <c r="DY264" s="73"/>
      <c r="DZ264" s="73"/>
      <c r="EA264" s="345"/>
      <c r="EB264" s="73"/>
      <c r="EC264" s="25"/>
      <c r="ED264" s="73"/>
      <c r="EE264" s="73"/>
      <c r="EF264" s="345"/>
      <c r="EG264" s="73"/>
      <c r="EH264" s="25"/>
      <c r="EI264" s="73"/>
      <c r="EJ264" s="73"/>
      <c r="EK264" s="345"/>
      <c r="EL264" s="73"/>
      <c r="EM264" s="25"/>
      <c r="EN264" s="73"/>
      <c r="EO264" s="73"/>
      <c r="EP264" s="345"/>
      <c r="EQ264" s="73"/>
      <c r="ER264" s="25"/>
      <c r="ES264" s="73"/>
      <c r="ET264" s="73"/>
      <c r="EU264" s="345"/>
      <c r="EV264" s="73"/>
      <c r="EW264" s="25"/>
      <c r="EX264" s="73"/>
      <c r="EY264" s="73"/>
      <c r="EZ264" s="345"/>
      <c r="FA264" s="73"/>
      <c r="FB264" s="25"/>
      <c r="FC264" s="73"/>
      <c r="FD264" s="73"/>
      <c r="FE264" s="345"/>
      <c r="FF264" s="73"/>
      <c r="FG264" s="25"/>
      <c r="FH264" s="73"/>
      <c r="FI264" s="73"/>
      <c r="FJ264" s="345"/>
      <c r="FK264" s="73"/>
      <c r="FL264" s="25"/>
      <c r="FM264" s="73"/>
      <c r="FN264" s="73"/>
      <c r="FO264" s="345"/>
      <c r="FP264" s="73"/>
      <c r="FQ264" s="25"/>
      <c r="FR264" s="73"/>
      <c r="FS264" s="73"/>
      <c r="FT264" s="345"/>
      <c r="FU264" s="73"/>
      <c r="FV264" s="25"/>
      <c r="FW264" s="73"/>
      <c r="FX264" s="73"/>
      <c r="FY264" s="345"/>
      <c r="FZ264" s="73"/>
      <c r="GA264" s="25"/>
      <c r="GB264" s="73"/>
      <c r="GC264" s="73"/>
      <c r="GD264" s="345"/>
      <c r="GE264" s="73"/>
      <c r="GF264" s="25"/>
      <c r="GG264" s="73"/>
      <c r="GH264" s="73"/>
      <c r="GI264" s="345"/>
      <c r="GJ264" s="73"/>
      <c r="GK264" s="25"/>
      <c r="GL264" s="73"/>
      <c r="GM264" s="73"/>
      <c r="GN264" s="345"/>
      <c r="GO264" s="73"/>
      <c r="GP264" s="25"/>
      <c r="GQ264" s="73"/>
      <c r="GR264" s="73"/>
      <c r="GS264" s="345"/>
      <c r="GT264" s="73"/>
      <c r="GU264" s="25"/>
      <c r="GV264" s="73"/>
      <c r="GW264" s="73"/>
      <c r="GX264" s="345"/>
      <c r="GY264" s="73"/>
      <c r="GZ264" s="25"/>
      <c r="HA264" s="73"/>
      <c r="HB264" s="73"/>
      <c r="HC264" s="345"/>
      <c r="HD264" s="73"/>
      <c r="HE264" s="25"/>
      <c r="HF264" s="73"/>
      <c r="HG264" s="73"/>
      <c r="HH264" s="345"/>
      <c r="HI264" s="73"/>
      <c r="HJ264" s="25"/>
      <c r="HK264" s="73"/>
      <c r="HL264" s="73"/>
      <c r="HM264" s="345"/>
      <c r="HN264" s="73"/>
      <c r="HO264" s="25"/>
      <c r="HP264" s="73"/>
      <c r="HQ264" s="73"/>
      <c r="HR264" s="345"/>
      <c r="HS264" s="73"/>
      <c r="HT264" s="25"/>
      <c r="HU264" s="73"/>
      <c r="HV264" s="73"/>
      <c r="HW264" s="345"/>
      <c r="HX264" s="73"/>
      <c r="HY264" s="25"/>
      <c r="HZ264" s="73"/>
      <c r="IA264" s="73"/>
      <c r="IB264" s="345"/>
      <c r="IC264" s="73"/>
      <c r="ID264" s="25"/>
      <c r="IE264" s="73"/>
      <c r="IF264" s="73"/>
      <c r="IG264" s="345"/>
      <c r="IH264" s="73"/>
      <c r="II264" s="25"/>
      <c r="IJ264" s="73"/>
      <c r="IK264" s="73"/>
      <c r="IL264" s="345"/>
      <c r="IM264" s="73"/>
      <c r="IN264" s="25"/>
      <c r="IO264" s="73"/>
      <c r="IP264" s="73"/>
      <c r="IQ264" s="345"/>
      <c r="IR264" s="73"/>
      <c r="IS264" s="25"/>
      <c r="IT264" s="73"/>
      <c r="IU264" s="73"/>
      <c r="IV264" s="345"/>
    </row>
    <row r="265" spans="1:256" x14ac:dyDescent="0.2">
      <c r="A265" s="345">
        <v>35581</v>
      </c>
      <c r="B265" s="73"/>
      <c r="C265" s="25"/>
      <c r="D265" s="73"/>
      <c r="E265" s="73"/>
      <c r="F265" s="345"/>
      <c r="G265" s="73"/>
      <c r="H265" s="25"/>
      <c r="I265" s="73"/>
      <c r="J265" s="73"/>
      <c r="K265" s="345"/>
      <c r="L265" s="73"/>
      <c r="M265" s="25"/>
      <c r="N265" s="73"/>
      <c r="O265" s="73"/>
      <c r="P265" s="345"/>
      <c r="Q265" s="73"/>
      <c r="R265" s="25"/>
      <c r="S265" s="73"/>
      <c r="T265" s="73"/>
      <c r="U265" s="345"/>
      <c r="V265" s="73"/>
      <c r="W265" s="25"/>
      <c r="X265" s="73"/>
      <c r="Y265" s="73"/>
      <c r="Z265" s="345"/>
      <c r="AA265" s="73"/>
      <c r="AB265" s="25"/>
      <c r="AC265" s="73"/>
      <c r="AD265" s="73"/>
      <c r="AE265" s="345"/>
      <c r="AF265" s="73"/>
      <c r="AG265" s="25"/>
      <c r="AH265" s="73"/>
      <c r="AI265" s="73"/>
      <c r="AJ265" s="345"/>
      <c r="AK265" s="73"/>
      <c r="AL265" s="25"/>
      <c r="AM265" s="73"/>
      <c r="AN265" s="73"/>
      <c r="AO265" s="345"/>
      <c r="AP265" s="73"/>
      <c r="AQ265" s="25"/>
      <c r="AR265" s="73"/>
      <c r="AS265" s="73"/>
      <c r="AT265" s="345"/>
      <c r="AU265" s="73"/>
      <c r="AV265" s="25"/>
      <c r="AW265" s="73"/>
      <c r="AX265" s="73"/>
      <c r="AY265" s="345"/>
      <c r="AZ265" s="73"/>
      <c r="BA265" s="25"/>
      <c r="BB265" s="73"/>
      <c r="BC265" s="73"/>
      <c r="BD265" s="345"/>
      <c r="BE265" s="73"/>
      <c r="BF265" s="25"/>
      <c r="BG265" s="73"/>
      <c r="BH265" s="73"/>
      <c r="BI265" s="345"/>
      <c r="BJ265" s="73"/>
      <c r="BK265" s="25"/>
      <c r="BL265" s="73"/>
      <c r="BM265" s="73"/>
      <c r="BN265" s="345"/>
      <c r="BO265" s="73"/>
      <c r="BP265" s="25"/>
      <c r="BQ265" s="73"/>
      <c r="BR265" s="73"/>
      <c r="BS265" s="345"/>
      <c r="BT265" s="73"/>
      <c r="BU265" s="25"/>
      <c r="BV265" s="73"/>
      <c r="BW265" s="73"/>
      <c r="BX265" s="345"/>
      <c r="BY265" s="73"/>
      <c r="BZ265" s="25"/>
      <c r="CA265" s="73"/>
      <c r="CB265" s="73"/>
      <c r="CC265" s="345"/>
      <c r="CD265" s="73"/>
      <c r="CE265" s="25"/>
      <c r="CF265" s="73"/>
      <c r="CG265" s="73"/>
      <c r="CH265" s="345"/>
      <c r="CI265" s="73"/>
      <c r="CJ265" s="25"/>
      <c r="CK265" s="73"/>
      <c r="CL265" s="73"/>
      <c r="CM265" s="345"/>
      <c r="CN265" s="73"/>
      <c r="CO265" s="25"/>
      <c r="CP265" s="73"/>
      <c r="CQ265" s="73"/>
      <c r="CR265" s="345"/>
      <c r="CS265" s="73"/>
      <c r="CT265" s="25"/>
      <c r="CU265" s="73"/>
      <c r="CV265" s="73"/>
      <c r="CW265" s="345"/>
      <c r="CX265" s="73"/>
      <c r="CY265" s="25"/>
      <c r="CZ265" s="73"/>
      <c r="DA265" s="73"/>
      <c r="DB265" s="345"/>
      <c r="DC265" s="73"/>
      <c r="DD265" s="25"/>
      <c r="DE265" s="73"/>
      <c r="DF265" s="73"/>
      <c r="DG265" s="345"/>
      <c r="DH265" s="73"/>
      <c r="DI265" s="25"/>
      <c r="DJ265" s="73"/>
      <c r="DK265" s="73"/>
      <c r="DL265" s="345"/>
      <c r="DM265" s="73"/>
      <c r="DN265" s="25"/>
      <c r="DO265" s="73"/>
      <c r="DP265" s="73"/>
      <c r="DQ265" s="345"/>
      <c r="DR265" s="73"/>
      <c r="DS265" s="25"/>
      <c r="DT265" s="73"/>
      <c r="DU265" s="73"/>
      <c r="DV265" s="345"/>
      <c r="DW265" s="73"/>
      <c r="DX265" s="25"/>
      <c r="DY265" s="73"/>
      <c r="DZ265" s="73"/>
      <c r="EA265" s="345"/>
      <c r="EB265" s="73"/>
      <c r="EC265" s="25"/>
      <c r="ED265" s="73"/>
      <c r="EE265" s="73"/>
      <c r="EF265" s="345"/>
      <c r="EG265" s="73"/>
      <c r="EH265" s="25"/>
      <c r="EI265" s="73"/>
      <c r="EJ265" s="73"/>
      <c r="EK265" s="345"/>
      <c r="EL265" s="73"/>
      <c r="EM265" s="25"/>
      <c r="EN265" s="73"/>
      <c r="EO265" s="73"/>
      <c r="EP265" s="345"/>
      <c r="EQ265" s="73"/>
      <c r="ER265" s="25"/>
      <c r="ES265" s="73"/>
      <c r="ET265" s="73"/>
      <c r="EU265" s="345"/>
      <c r="EV265" s="73"/>
      <c r="EW265" s="25"/>
      <c r="EX265" s="73"/>
      <c r="EY265" s="73"/>
      <c r="EZ265" s="345"/>
      <c r="FA265" s="73"/>
      <c r="FB265" s="25"/>
      <c r="FC265" s="73"/>
      <c r="FD265" s="73"/>
      <c r="FE265" s="345"/>
      <c r="FF265" s="73"/>
      <c r="FG265" s="25"/>
      <c r="FH265" s="73"/>
      <c r="FI265" s="73"/>
      <c r="FJ265" s="345"/>
      <c r="FK265" s="73"/>
      <c r="FL265" s="25"/>
      <c r="FM265" s="73"/>
      <c r="FN265" s="73"/>
      <c r="FO265" s="345"/>
      <c r="FP265" s="73"/>
      <c r="FQ265" s="25"/>
      <c r="FR265" s="73"/>
      <c r="FS265" s="73"/>
      <c r="FT265" s="345"/>
      <c r="FU265" s="73"/>
      <c r="FV265" s="25"/>
      <c r="FW265" s="73"/>
      <c r="FX265" s="73"/>
      <c r="FY265" s="345"/>
      <c r="FZ265" s="73"/>
      <c r="GA265" s="25"/>
      <c r="GB265" s="73"/>
      <c r="GC265" s="73"/>
      <c r="GD265" s="345"/>
      <c r="GE265" s="73"/>
      <c r="GF265" s="25"/>
      <c r="GG265" s="73"/>
      <c r="GH265" s="73"/>
      <c r="GI265" s="345"/>
      <c r="GJ265" s="73"/>
      <c r="GK265" s="25"/>
      <c r="GL265" s="73"/>
      <c r="GM265" s="73"/>
      <c r="GN265" s="345"/>
      <c r="GO265" s="73"/>
      <c r="GP265" s="25"/>
      <c r="GQ265" s="73"/>
      <c r="GR265" s="73"/>
      <c r="GS265" s="345"/>
      <c r="GT265" s="73"/>
      <c r="GU265" s="25"/>
      <c r="GV265" s="73"/>
      <c r="GW265" s="73"/>
      <c r="GX265" s="345"/>
      <c r="GY265" s="73"/>
      <c r="GZ265" s="25"/>
      <c r="HA265" s="73"/>
      <c r="HB265" s="73"/>
      <c r="HC265" s="345"/>
      <c r="HD265" s="73"/>
      <c r="HE265" s="25"/>
      <c r="HF265" s="73"/>
      <c r="HG265" s="73"/>
      <c r="HH265" s="345"/>
      <c r="HI265" s="73"/>
      <c r="HJ265" s="25"/>
      <c r="HK265" s="73"/>
      <c r="HL265" s="73"/>
      <c r="HM265" s="345"/>
      <c r="HN265" s="73"/>
      <c r="HO265" s="25"/>
      <c r="HP265" s="73"/>
      <c r="HQ265" s="73"/>
      <c r="HR265" s="345"/>
      <c r="HS265" s="73"/>
      <c r="HT265" s="25"/>
      <c r="HU265" s="73"/>
      <c r="HV265" s="73"/>
      <c r="HW265" s="345"/>
      <c r="HX265" s="73"/>
      <c r="HY265" s="25"/>
      <c r="HZ265" s="73"/>
      <c r="IA265" s="73"/>
      <c r="IB265" s="345"/>
      <c r="IC265" s="73"/>
      <c r="ID265" s="25"/>
      <c r="IE265" s="73"/>
      <c r="IF265" s="73"/>
      <c r="IG265" s="345"/>
      <c r="IH265" s="73"/>
      <c r="II265" s="25"/>
      <c r="IJ265" s="73"/>
      <c r="IK265" s="73"/>
      <c r="IL265" s="345"/>
      <c r="IM265" s="73"/>
      <c r="IN265" s="25"/>
      <c r="IO265" s="73"/>
      <c r="IP265" s="73"/>
      <c r="IQ265" s="345"/>
      <c r="IR265" s="73"/>
      <c r="IS265" s="25"/>
      <c r="IT265" s="73"/>
      <c r="IU265" s="73"/>
      <c r="IV265" s="345"/>
    </row>
    <row r="266" spans="1:256" x14ac:dyDescent="0.2">
      <c r="A266" s="345">
        <v>35611</v>
      </c>
      <c r="B266" s="73"/>
      <c r="C266" s="25"/>
      <c r="D266" s="73"/>
      <c r="E266" s="73"/>
      <c r="F266" s="345"/>
      <c r="G266" s="73"/>
      <c r="H266" s="25"/>
      <c r="I266" s="73"/>
      <c r="J266" s="73"/>
      <c r="K266" s="345"/>
      <c r="L266" s="73"/>
      <c r="M266" s="25"/>
      <c r="N266" s="73"/>
      <c r="O266" s="73"/>
      <c r="P266" s="345"/>
      <c r="Q266" s="73"/>
      <c r="R266" s="25"/>
      <c r="S266" s="73"/>
      <c r="T266" s="73"/>
      <c r="U266" s="345"/>
      <c r="V266" s="73"/>
      <c r="W266" s="25"/>
      <c r="X266" s="73"/>
      <c r="Y266" s="73"/>
      <c r="Z266" s="345"/>
      <c r="AA266" s="73"/>
      <c r="AB266" s="25"/>
      <c r="AC266" s="73"/>
      <c r="AD266" s="73"/>
      <c r="AE266" s="345"/>
      <c r="AF266" s="73"/>
      <c r="AG266" s="25"/>
      <c r="AH266" s="73"/>
      <c r="AI266" s="73"/>
      <c r="AJ266" s="345"/>
      <c r="AK266" s="73"/>
      <c r="AL266" s="25"/>
      <c r="AM266" s="73"/>
      <c r="AN266" s="73"/>
      <c r="AO266" s="345"/>
      <c r="AP266" s="73"/>
      <c r="AQ266" s="25"/>
      <c r="AR266" s="73"/>
      <c r="AS266" s="73"/>
      <c r="AT266" s="345"/>
      <c r="AU266" s="73"/>
      <c r="AV266" s="25"/>
      <c r="AW266" s="73"/>
      <c r="AX266" s="73"/>
      <c r="AY266" s="345"/>
      <c r="AZ266" s="73"/>
      <c r="BA266" s="25"/>
      <c r="BB266" s="73"/>
      <c r="BC266" s="73"/>
      <c r="BD266" s="345"/>
      <c r="BE266" s="73"/>
      <c r="BF266" s="25"/>
      <c r="BG266" s="73"/>
      <c r="BH266" s="73"/>
      <c r="BI266" s="345"/>
      <c r="BJ266" s="73"/>
      <c r="BK266" s="25"/>
      <c r="BL266" s="73"/>
      <c r="BM266" s="73"/>
      <c r="BN266" s="345"/>
      <c r="BO266" s="73"/>
      <c r="BP266" s="25"/>
      <c r="BQ266" s="73"/>
      <c r="BR266" s="73"/>
      <c r="BS266" s="345"/>
      <c r="BT266" s="73"/>
      <c r="BU266" s="25"/>
      <c r="BV266" s="73"/>
      <c r="BW266" s="73"/>
      <c r="BX266" s="345"/>
      <c r="BY266" s="73"/>
      <c r="BZ266" s="25"/>
      <c r="CA266" s="73"/>
      <c r="CB266" s="73"/>
      <c r="CC266" s="345"/>
      <c r="CD266" s="73"/>
      <c r="CE266" s="25"/>
      <c r="CF266" s="73"/>
      <c r="CG266" s="73"/>
      <c r="CH266" s="345"/>
      <c r="CI266" s="73"/>
      <c r="CJ266" s="25"/>
      <c r="CK266" s="73"/>
      <c r="CL266" s="73"/>
      <c r="CM266" s="345"/>
      <c r="CN266" s="73"/>
      <c r="CO266" s="25"/>
      <c r="CP266" s="73"/>
      <c r="CQ266" s="73"/>
      <c r="CR266" s="345"/>
      <c r="CS266" s="73"/>
      <c r="CT266" s="25"/>
      <c r="CU266" s="73"/>
      <c r="CV266" s="73"/>
      <c r="CW266" s="345"/>
      <c r="CX266" s="73"/>
      <c r="CY266" s="25"/>
      <c r="CZ266" s="73"/>
      <c r="DA266" s="73"/>
      <c r="DB266" s="345"/>
      <c r="DC266" s="73"/>
      <c r="DD266" s="25"/>
      <c r="DE266" s="73"/>
      <c r="DF266" s="73"/>
      <c r="DG266" s="345"/>
      <c r="DH266" s="73"/>
      <c r="DI266" s="25"/>
      <c r="DJ266" s="73"/>
      <c r="DK266" s="73"/>
      <c r="DL266" s="345"/>
      <c r="DM266" s="73"/>
      <c r="DN266" s="25"/>
      <c r="DO266" s="73"/>
      <c r="DP266" s="73"/>
      <c r="DQ266" s="345"/>
      <c r="DR266" s="73"/>
      <c r="DS266" s="25"/>
      <c r="DT266" s="73"/>
      <c r="DU266" s="73"/>
      <c r="DV266" s="345"/>
      <c r="DW266" s="73"/>
      <c r="DX266" s="25"/>
      <c r="DY266" s="73"/>
      <c r="DZ266" s="73"/>
      <c r="EA266" s="345"/>
      <c r="EB266" s="73"/>
      <c r="EC266" s="25"/>
      <c r="ED266" s="73"/>
      <c r="EE266" s="73"/>
      <c r="EF266" s="345"/>
      <c r="EG266" s="73"/>
      <c r="EH266" s="25"/>
      <c r="EI266" s="73"/>
      <c r="EJ266" s="73"/>
      <c r="EK266" s="345"/>
      <c r="EL266" s="73"/>
      <c r="EM266" s="25"/>
      <c r="EN266" s="73"/>
      <c r="EO266" s="73"/>
      <c r="EP266" s="345"/>
      <c r="EQ266" s="73"/>
      <c r="ER266" s="25"/>
      <c r="ES266" s="73"/>
      <c r="ET266" s="73"/>
      <c r="EU266" s="345"/>
      <c r="EV266" s="73"/>
      <c r="EW266" s="25"/>
      <c r="EX266" s="73"/>
      <c r="EY266" s="73"/>
      <c r="EZ266" s="345"/>
      <c r="FA266" s="73"/>
      <c r="FB266" s="25"/>
      <c r="FC266" s="73"/>
      <c r="FD266" s="73"/>
      <c r="FE266" s="345"/>
      <c r="FF266" s="73"/>
      <c r="FG266" s="25"/>
      <c r="FH266" s="73"/>
      <c r="FI266" s="73"/>
      <c r="FJ266" s="345"/>
      <c r="FK266" s="73"/>
      <c r="FL266" s="25"/>
      <c r="FM266" s="73"/>
      <c r="FN266" s="73"/>
      <c r="FO266" s="345"/>
      <c r="FP266" s="73"/>
      <c r="FQ266" s="25"/>
      <c r="FR266" s="73"/>
      <c r="FS266" s="73"/>
      <c r="FT266" s="345"/>
      <c r="FU266" s="73"/>
      <c r="FV266" s="25"/>
      <c r="FW266" s="73"/>
      <c r="FX266" s="73"/>
      <c r="FY266" s="345"/>
      <c r="FZ266" s="73"/>
      <c r="GA266" s="25"/>
      <c r="GB266" s="73"/>
      <c r="GC266" s="73"/>
      <c r="GD266" s="345"/>
      <c r="GE266" s="73"/>
      <c r="GF266" s="25"/>
      <c r="GG266" s="73"/>
      <c r="GH266" s="73"/>
      <c r="GI266" s="345"/>
      <c r="GJ266" s="73"/>
      <c r="GK266" s="25"/>
      <c r="GL266" s="73"/>
      <c r="GM266" s="73"/>
      <c r="GN266" s="345"/>
      <c r="GO266" s="73"/>
      <c r="GP266" s="25"/>
      <c r="GQ266" s="73"/>
      <c r="GR266" s="73"/>
      <c r="GS266" s="345"/>
      <c r="GT266" s="73"/>
      <c r="GU266" s="25"/>
      <c r="GV266" s="73"/>
      <c r="GW266" s="73"/>
      <c r="GX266" s="345"/>
      <c r="GY266" s="73"/>
      <c r="GZ266" s="25"/>
      <c r="HA266" s="73"/>
      <c r="HB266" s="73"/>
      <c r="HC266" s="345"/>
      <c r="HD266" s="73"/>
      <c r="HE266" s="25"/>
      <c r="HF266" s="73"/>
      <c r="HG266" s="73"/>
      <c r="HH266" s="345"/>
      <c r="HI266" s="73"/>
      <c r="HJ266" s="25"/>
      <c r="HK266" s="73"/>
      <c r="HL266" s="73"/>
      <c r="HM266" s="345"/>
      <c r="HN266" s="73"/>
      <c r="HO266" s="25"/>
      <c r="HP266" s="73"/>
      <c r="HQ266" s="73"/>
      <c r="HR266" s="345"/>
      <c r="HS266" s="73"/>
      <c r="HT266" s="25"/>
      <c r="HU266" s="73"/>
      <c r="HV266" s="73"/>
      <c r="HW266" s="345"/>
      <c r="HX266" s="73"/>
      <c r="HY266" s="25"/>
      <c r="HZ266" s="73"/>
      <c r="IA266" s="73"/>
      <c r="IB266" s="345"/>
      <c r="IC266" s="73"/>
      <c r="ID266" s="25"/>
      <c r="IE266" s="73"/>
      <c r="IF266" s="73"/>
      <c r="IG266" s="345"/>
      <c r="IH266" s="73"/>
      <c r="II266" s="25"/>
      <c r="IJ266" s="73"/>
      <c r="IK266" s="73"/>
      <c r="IL266" s="345"/>
      <c r="IM266" s="73"/>
      <c r="IN266" s="25"/>
      <c r="IO266" s="73"/>
      <c r="IP266" s="73"/>
      <c r="IQ266" s="345"/>
      <c r="IR266" s="73"/>
      <c r="IS266" s="25"/>
      <c r="IT266" s="73"/>
      <c r="IU266" s="73"/>
      <c r="IV266" s="345"/>
    </row>
    <row r="267" spans="1:256" x14ac:dyDescent="0.2">
      <c r="A267" s="345">
        <v>35642</v>
      </c>
      <c r="B267" s="73"/>
      <c r="C267" s="25"/>
      <c r="D267" s="73"/>
      <c r="E267" s="73"/>
      <c r="F267" s="345"/>
      <c r="G267" s="73"/>
      <c r="H267" s="25"/>
      <c r="I267" s="73"/>
      <c r="J267" s="73"/>
      <c r="K267" s="345"/>
      <c r="L267" s="73"/>
      <c r="M267" s="25"/>
      <c r="N267" s="73"/>
      <c r="O267" s="73"/>
      <c r="P267" s="345"/>
      <c r="Q267" s="73"/>
      <c r="R267" s="25"/>
      <c r="S267" s="73"/>
      <c r="T267" s="73"/>
      <c r="U267" s="345"/>
      <c r="V267" s="73"/>
      <c r="W267" s="25"/>
      <c r="X267" s="73"/>
      <c r="Y267" s="73"/>
      <c r="Z267" s="345"/>
      <c r="AA267" s="73"/>
      <c r="AB267" s="25"/>
      <c r="AC267" s="73"/>
      <c r="AD267" s="73"/>
      <c r="AE267" s="345"/>
      <c r="AF267" s="73"/>
      <c r="AG267" s="25"/>
      <c r="AH267" s="73"/>
      <c r="AI267" s="73"/>
      <c r="AJ267" s="345"/>
      <c r="AK267" s="73"/>
      <c r="AL267" s="25"/>
      <c r="AM267" s="73"/>
      <c r="AN267" s="73"/>
      <c r="AO267" s="345"/>
      <c r="AP267" s="73"/>
      <c r="AQ267" s="25"/>
      <c r="AR267" s="73"/>
      <c r="AS267" s="73"/>
      <c r="AT267" s="345"/>
      <c r="AU267" s="73"/>
      <c r="AV267" s="25"/>
      <c r="AW267" s="73"/>
      <c r="AX267" s="73"/>
      <c r="AY267" s="345"/>
      <c r="AZ267" s="73"/>
      <c r="BA267" s="25"/>
      <c r="BB267" s="73"/>
      <c r="BC267" s="73"/>
      <c r="BD267" s="345"/>
      <c r="BE267" s="73"/>
      <c r="BF267" s="25"/>
      <c r="BG267" s="73"/>
      <c r="BH267" s="73"/>
      <c r="BI267" s="345"/>
      <c r="BJ267" s="73"/>
      <c r="BK267" s="25"/>
      <c r="BL267" s="73"/>
      <c r="BM267" s="73"/>
      <c r="BN267" s="345"/>
      <c r="BO267" s="73"/>
      <c r="BP267" s="25"/>
      <c r="BQ267" s="73"/>
      <c r="BR267" s="73"/>
      <c r="BS267" s="345"/>
      <c r="BT267" s="73"/>
      <c r="BU267" s="25"/>
      <c r="BV267" s="73"/>
      <c r="BW267" s="73"/>
      <c r="BX267" s="345"/>
      <c r="BY267" s="73"/>
      <c r="BZ267" s="25"/>
      <c r="CA267" s="73"/>
      <c r="CB267" s="73"/>
      <c r="CC267" s="345"/>
      <c r="CD267" s="73"/>
      <c r="CE267" s="25"/>
      <c r="CF267" s="73"/>
      <c r="CG267" s="73"/>
      <c r="CH267" s="345"/>
      <c r="CI267" s="73"/>
      <c r="CJ267" s="25"/>
      <c r="CK267" s="73"/>
      <c r="CL267" s="73"/>
      <c r="CM267" s="345"/>
      <c r="CN267" s="73"/>
      <c r="CO267" s="25"/>
      <c r="CP267" s="73"/>
      <c r="CQ267" s="73"/>
      <c r="CR267" s="345"/>
      <c r="CS267" s="73"/>
      <c r="CT267" s="25"/>
      <c r="CU267" s="73"/>
      <c r="CV267" s="73"/>
      <c r="CW267" s="345"/>
      <c r="CX267" s="73"/>
      <c r="CY267" s="25"/>
      <c r="CZ267" s="73"/>
      <c r="DA267" s="73"/>
      <c r="DB267" s="345"/>
      <c r="DC267" s="73"/>
      <c r="DD267" s="25"/>
      <c r="DE267" s="73"/>
      <c r="DF267" s="73"/>
      <c r="DG267" s="345"/>
      <c r="DH267" s="73"/>
      <c r="DI267" s="25"/>
      <c r="DJ267" s="73"/>
      <c r="DK267" s="73"/>
      <c r="DL267" s="345"/>
      <c r="DM267" s="73"/>
      <c r="DN267" s="25"/>
      <c r="DO267" s="73"/>
      <c r="DP267" s="73"/>
      <c r="DQ267" s="345"/>
      <c r="DR267" s="73"/>
      <c r="DS267" s="25"/>
      <c r="DT267" s="73"/>
      <c r="DU267" s="73"/>
      <c r="DV267" s="345"/>
      <c r="DW267" s="73"/>
      <c r="DX267" s="25"/>
      <c r="DY267" s="73"/>
      <c r="DZ267" s="73"/>
      <c r="EA267" s="345"/>
      <c r="EB267" s="73"/>
      <c r="EC267" s="25"/>
      <c r="ED267" s="73"/>
      <c r="EE267" s="73"/>
      <c r="EF267" s="345"/>
      <c r="EG267" s="73"/>
      <c r="EH267" s="25"/>
      <c r="EI267" s="73"/>
      <c r="EJ267" s="73"/>
      <c r="EK267" s="345"/>
      <c r="EL267" s="73"/>
      <c r="EM267" s="25"/>
      <c r="EN267" s="73"/>
      <c r="EO267" s="73"/>
      <c r="EP267" s="345"/>
      <c r="EQ267" s="73"/>
      <c r="ER267" s="25"/>
      <c r="ES267" s="73"/>
      <c r="ET267" s="73"/>
      <c r="EU267" s="345"/>
      <c r="EV267" s="73"/>
      <c r="EW267" s="25"/>
      <c r="EX267" s="73"/>
      <c r="EY267" s="73"/>
      <c r="EZ267" s="345"/>
      <c r="FA267" s="73"/>
      <c r="FB267" s="25"/>
      <c r="FC267" s="73"/>
      <c r="FD267" s="73"/>
      <c r="FE267" s="345"/>
      <c r="FF267" s="73"/>
      <c r="FG267" s="25"/>
      <c r="FH267" s="73"/>
      <c r="FI267" s="73"/>
      <c r="FJ267" s="345"/>
      <c r="FK267" s="73"/>
      <c r="FL267" s="25"/>
      <c r="FM267" s="73"/>
      <c r="FN267" s="73"/>
      <c r="FO267" s="345"/>
      <c r="FP267" s="73"/>
      <c r="FQ267" s="25"/>
      <c r="FR267" s="73"/>
      <c r="FS267" s="73"/>
      <c r="FT267" s="345"/>
      <c r="FU267" s="73"/>
      <c r="FV267" s="25"/>
      <c r="FW267" s="73"/>
      <c r="FX267" s="73"/>
      <c r="FY267" s="345"/>
      <c r="FZ267" s="73"/>
      <c r="GA267" s="25"/>
      <c r="GB267" s="73"/>
      <c r="GC267" s="73"/>
      <c r="GD267" s="345"/>
      <c r="GE267" s="73"/>
      <c r="GF267" s="25"/>
      <c r="GG267" s="73"/>
      <c r="GH267" s="73"/>
      <c r="GI267" s="345"/>
      <c r="GJ267" s="73"/>
      <c r="GK267" s="25"/>
      <c r="GL267" s="73"/>
      <c r="GM267" s="73"/>
      <c r="GN267" s="345"/>
      <c r="GO267" s="73"/>
      <c r="GP267" s="25"/>
      <c r="GQ267" s="73"/>
      <c r="GR267" s="73"/>
      <c r="GS267" s="345"/>
      <c r="GT267" s="73"/>
      <c r="GU267" s="25"/>
      <c r="GV267" s="73"/>
      <c r="GW267" s="73"/>
      <c r="GX267" s="345"/>
      <c r="GY267" s="73"/>
      <c r="GZ267" s="25"/>
      <c r="HA267" s="73"/>
      <c r="HB267" s="73"/>
      <c r="HC267" s="345"/>
      <c r="HD267" s="73"/>
      <c r="HE267" s="25"/>
      <c r="HF267" s="73"/>
      <c r="HG267" s="73"/>
      <c r="HH267" s="345"/>
      <c r="HI267" s="73"/>
      <c r="HJ267" s="25"/>
      <c r="HK267" s="73"/>
      <c r="HL267" s="73"/>
      <c r="HM267" s="345"/>
      <c r="HN267" s="73"/>
      <c r="HO267" s="25"/>
      <c r="HP267" s="73"/>
      <c r="HQ267" s="73"/>
      <c r="HR267" s="345"/>
      <c r="HS267" s="73"/>
      <c r="HT267" s="25"/>
      <c r="HU267" s="73"/>
      <c r="HV267" s="73"/>
      <c r="HW267" s="345"/>
      <c r="HX267" s="73"/>
      <c r="HY267" s="25"/>
      <c r="HZ267" s="73"/>
      <c r="IA267" s="73"/>
      <c r="IB267" s="345"/>
      <c r="IC267" s="73"/>
      <c r="ID267" s="25"/>
      <c r="IE267" s="73"/>
      <c r="IF267" s="73"/>
      <c r="IG267" s="345"/>
      <c r="IH267" s="73"/>
      <c r="II267" s="25"/>
      <c r="IJ267" s="73"/>
      <c r="IK267" s="73"/>
      <c r="IL267" s="345"/>
      <c r="IM267" s="73"/>
      <c r="IN267" s="25"/>
      <c r="IO267" s="73"/>
      <c r="IP267" s="73"/>
      <c r="IQ267" s="345"/>
      <c r="IR267" s="73"/>
      <c r="IS267" s="25"/>
      <c r="IT267" s="73"/>
      <c r="IU267" s="73"/>
      <c r="IV267" s="345"/>
    </row>
    <row r="268" spans="1:256" x14ac:dyDescent="0.2">
      <c r="A268" s="345">
        <v>35673</v>
      </c>
      <c r="B268" s="73"/>
      <c r="C268" s="25"/>
      <c r="D268" s="73"/>
      <c r="E268" s="73"/>
      <c r="F268" s="345"/>
      <c r="G268" s="73"/>
      <c r="H268" s="25"/>
      <c r="I268" s="73"/>
      <c r="J268" s="73"/>
      <c r="K268" s="345"/>
      <c r="L268" s="73"/>
      <c r="M268" s="25"/>
      <c r="N268" s="73"/>
      <c r="O268" s="73"/>
      <c r="P268" s="345"/>
      <c r="Q268" s="73"/>
      <c r="R268" s="25"/>
      <c r="S268" s="73"/>
      <c r="T268" s="73"/>
      <c r="U268" s="345"/>
      <c r="V268" s="73"/>
      <c r="W268" s="25"/>
      <c r="X268" s="73"/>
      <c r="Y268" s="73"/>
      <c r="Z268" s="345"/>
      <c r="AA268" s="73"/>
      <c r="AB268" s="25"/>
      <c r="AC268" s="73"/>
      <c r="AD268" s="73"/>
      <c r="AE268" s="345"/>
      <c r="AF268" s="73"/>
      <c r="AG268" s="25"/>
      <c r="AH268" s="73"/>
      <c r="AI268" s="73"/>
      <c r="AJ268" s="345"/>
      <c r="AK268" s="73"/>
      <c r="AL268" s="25"/>
      <c r="AM268" s="73"/>
      <c r="AN268" s="73"/>
      <c r="AO268" s="345"/>
      <c r="AP268" s="73"/>
      <c r="AQ268" s="25"/>
      <c r="AR268" s="73"/>
      <c r="AS268" s="73"/>
      <c r="AT268" s="345"/>
      <c r="AU268" s="73"/>
      <c r="AV268" s="25"/>
      <c r="AW268" s="73"/>
      <c r="AX268" s="73"/>
      <c r="AY268" s="345"/>
      <c r="AZ268" s="73"/>
      <c r="BA268" s="25"/>
      <c r="BB268" s="73"/>
      <c r="BC268" s="73"/>
      <c r="BD268" s="345"/>
      <c r="BE268" s="73"/>
      <c r="BF268" s="25"/>
      <c r="BG268" s="73"/>
      <c r="BH268" s="73"/>
      <c r="BI268" s="345"/>
      <c r="BJ268" s="73"/>
      <c r="BK268" s="25"/>
      <c r="BL268" s="73"/>
      <c r="BM268" s="73"/>
      <c r="BN268" s="345"/>
      <c r="BO268" s="73"/>
      <c r="BP268" s="25"/>
      <c r="BQ268" s="73"/>
      <c r="BR268" s="73"/>
      <c r="BS268" s="345"/>
      <c r="BT268" s="73"/>
      <c r="BU268" s="25"/>
      <c r="BV268" s="73"/>
      <c r="BW268" s="73"/>
      <c r="BX268" s="345"/>
      <c r="BY268" s="73"/>
      <c r="BZ268" s="25"/>
      <c r="CA268" s="73"/>
      <c r="CB268" s="73"/>
      <c r="CC268" s="345"/>
      <c r="CD268" s="73"/>
      <c r="CE268" s="25"/>
      <c r="CF268" s="73"/>
      <c r="CG268" s="73"/>
      <c r="CH268" s="345"/>
      <c r="CI268" s="73"/>
      <c r="CJ268" s="25"/>
      <c r="CK268" s="73"/>
      <c r="CL268" s="73"/>
      <c r="CM268" s="345"/>
      <c r="CN268" s="73"/>
      <c r="CO268" s="25"/>
      <c r="CP268" s="73"/>
      <c r="CQ268" s="73"/>
      <c r="CR268" s="345"/>
      <c r="CS268" s="73"/>
      <c r="CT268" s="25"/>
      <c r="CU268" s="73"/>
      <c r="CV268" s="73"/>
      <c r="CW268" s="345"/>
      <c r="CX268" s="73"/>
      <c r="CY268" s="25"/>
      <c r="CZ268" s="73"/>
      <c r="DA268" s="73"/>
      <c r="DB268" s="345"/>
      <c r="DC268" s="73"/>
      <c r="DD268" s="25"/>
      <c r="DE268" s="73"/>
      <c r="DF268" s="73"/>
      <c r="DG268" s="345"/>
      <c r="DH268" s="73"/>
      <c r="DI268" s="25"/>
      <c r="DJ268" s="73"/>
      <c r="DK268" s="73"/>
      <c r="DL268" s="345"/>
      <c r="DM268" s="73"/>
      <c r="DN268" s="25"/>
      <c r="DO268" s="73"/>
      <c r="DP268" s="73"/>
      <c r="DQ268" s="345"/>
      <c r="DR268" s="73"/>
      <c r="DS268" s="25"/>
      <c r="DT268" s="73"/>
      <c r="DU268" s="73"/>
      <c r="DV268" s="345"/>
      <c r="DW268" s="73"/>
      <c r="DX268" s="25"/>
      <c r="DY268" s="73"/>
      <c r="DZ268" s="73"/>
      <c r="EA268" s="345"/>
      <c r="EB268" s="73"/>
      <c r="EC268" s="25"/>
      <c r="ED268" s="73"/>
      <c r="EE268" s="73"/>
      <c r="EF268" s="345"/>
      <c r="EG268" s="73"/>
      <c r="EH268" s="25"/>
      <c r="EI268" s="73"/>
      <c r="EJ268" s="73"/>
      <c r="EK268" s="345"/>
      <c r="EL268" s="73"/>
      <c r="EM268" s="25"/>
      <c r="EN268" s="73"/>
      <c r="EO268" s="73"/>
      <c r="EP268" s="345"/>
      <c r="EQ268" s="73"/>
      <c r="ER268" s="25"/>
      <c r="ES268" s="73"/>
      <c r="ET268" s="73"/>
      <c r="EU268" s="345"/>
      <c r="EV268" s="73"/>
      <c r="EW268" s="25"/>
      <c r="EX268" s="73"/>
      <c r="EY268" s="73"/>
      <c r="EZ268" s="345"/>
      <c r="FA268" s="73"/>
      <c r="FB268" s="25"/>
      <c r="FC268" s="73"/>
      <c r="FD268" s="73"/>
      <c r="FE268" s="345"/>
      <c r="FF268" s="73"/>
      <c r="FG268" s="25"/>
      <c r="FH268" s="73"/>
      <c r="FI268" s="73"/>
      <c r="FJ268" s="345"/>
      <c r="FK268" s="73"/>
      <c r="FL268" s="25"/>
      <c r="FM268" s="73"/>
      <c r="FN268" s="73"/>
      <c r="FO268" s="345"/>
      <c r="FP268" s="73"/>
      <c r="FQ268" s="25"/>
      <c r="FR268" s="73"/>
      <c r="FS268" s="73"/>
      <c r="FT268" s="345"/>
      <c r="FU268" s="73"/>
      <c r="FV268" s="25"/>
      <c r="FW268" s="73"/>
      <c r="FX268" s="73"/>
      <c r="FY268" s="345"/>
      <c r="FZ268" s="73"/>
      <c r="GA268" s="25"/>
      <c r="GB268" s="73"/>
      <c r="GC268" s="73"/>
      <c r="GD268" s="345"/>
      <c r="GE268" s="73"/>
      <c r="GF268" s="25"/>
      <c r="GG268" s="73"/>
      <c r="GH268" s="73"/>
      <c r="GI268" s="345"/>
      <c r="GJ268" s="73"/>
      <c r="GK268" s="25"/>
      <c r="GL268" s="73"/>
      <c r="GM268" s="73"/>
      <c r="GN268" s="345"/>
      <c r="GO268" s="73"/>
      <c r="GP268" s="25"/>
      <c r="GQ268" s="73"/>
      <c r="GR268" s="73"/>
      <c r="GS268" s="345"/>
      <c r="GT268" s="73"/>
      <c r="GU268" s="25"/>
      <c r="GV268" s="73"/>
      <c r="GW268" s="73"/>
      <c r="GX268" s="345"/>
      <c r="GY268" s="73"/>
      <c r="GZ268" s="25"/>
      <c r="HA268" s="73"/>
      <c r="HB268" s="73"/>
      <c r="HC268" s="345"/>
      <c r="HD268" s="73"/>
      <c r="HE268" s="25"/>
      <c r="HF268" s="73"/>
      <c r="HG268" s="73"/>
      <c r="HH268" s="345"/>
      <c r="HI268" s="73"/>
      <c r="HJ268" s="25"/>
      <c r="HK268" s="73"/>
      <c r="HL268" s="73"/>
      <c r="HM268" s="345"/>
      <c r="HN268" s="73"/>
      <c r="HO268" s="25"/>
      <c r="HP268" s="73"/>
      <c r="HQ268" s="73"/>
      <c r="HR268" s="345"/>
      <c r="HS268" s="73"/>
      <c r="HT268" s="25"/>
      <c r="HU268" s="73"/>
      <c r="HV268" s="73"/>
      <c r="HW268" s="345"/>
      <c r="HX268" s="73"/>
      <c r="HY268" s="25"/>
      <c r="HZ268" s="73"/>
      <c r="IA268" s="73"/>
      <c r="IB268" s="345"/>
      <c r="IC268" s="73"/>
      <c r="ID268" s="25"/>
      <c r="IE268" s="73"/>
      <c r="IF268" s="73"/>
      <c r="IG268" s="345"/>
      <c r="IH268" s="73"/>
      <c r="II268" s="25"/>
      <c r="IJ268" s="73"/>
      <c r="IK268" s="73"/>
      <c r="IL268" s="345"/>
      <c r="IM268" s="73"/>
      <c r="IN268" s="25"/>
      <c r="IO268" s="73"/>
      <c r="IP268" s="73"/>
      <c r="IQ268" s="345"/>
      <c r="IR268" s="73"/>
      <c r="IS268" s="25"/>
      <c r="IT268" s="73"/>
      <c r="IU268" s="73"/>
      <c r="IV268" s="345"/>
    </row>
    <row r="269" spans="1:256" x14ac:dyDescent="0.2">
      <c r="A269" s="345">
        <v>35703</v>
      </c>
      <c r="B269" s="73"/>
      <c r="C269" s="25"/>
      <c r="D269" s="73"/>
      <c r="E269" s="73"/>
      <c r="F269" s="345"/>
      <c r="G269" s="73"/>
      <c r="H269" s="25"/>
      <c r="I269" s="73"/>
      <c r="J269" s="73"/>
      <c r="K269" s="345"/>
      <c r="L269" s="73"/>
      <c r="M269" s="25"/>
      <c r="N269" s="73"/>
      <c r="O269" s="73"/>
      <c r="P269" s="345"/>
      <c r="Q269" s="73"/>
      <c r="R269" s="25"/>
      <c r="S269" s="73"/>
      <c r="T269" s="73"/>
      <c r="U269" s="345"/>
      <c r="V269" s="73"/>
      <c r="W269" s="25"/>
      <c r="X269" s="73"/>
      <c r="Y269" s="73"/>
      <c r="Z269" s="345"/>
      <c r="AA269" s="73"/>
      <c r="AB269" s="25"/>
      <c r="AC269" s="73"/>
      <c r="AD269" s="73"/>
      <c r="AE269" s="345"/>
      <c r="AF269" s="73"/>
      <c r="AG269" s="25"/>
      <c r="AH269" s="73"/>
      <c r="AI269" s="73"/>
      <c r="AJ269" s="345"/>
      <c r="AK269" s="73"/>
      <c r="AL269" s="25"/>
      <c r="AM269" s="73"/>
      <c r="AN269" s="73"/>
      <c r="AO269" s="345"/>
      <c r="AP269" s="73"/>
      <c r="AQ269" s="25"/>
      <c r="AR269" s="73"/>
      <c r="AS269" s="73"/>
      <c r="AT269" s="345"/>
      <c r="AU269" s="73"/>
      <c r="AV269" s="25"/>
      <c r="AW269" s="73"/>
      <c r="AX269" s="73"/>
      <c r="AY269" s="345"/>
      <c r="AZ269" s="73"/>
      <c r="BA269" s="25"/>
      <c r="BB269" s="73"/>
      <c r="BC269" s="73"/>
      <c r="BD269" s="345"/>
      <c r="BE269" s="73"/>
      <c r="BF269" s="25"/>
      <c r="BG269" s="73"/>
      <c r="BH269" s="73"/>
      <c r="BI269" s="345"/>
      <c r="BJ269" s="73"/>
      <c r="BK269" s="25"/>
      <c r="BL269" s="73"/>
      <c r="BM269" s="73"/>
      <c r="BN269" s="345"/>
      <c r="BO269" s="73"/>
      <c r="BP269" s="25"/>
      <c r="BQ269" s="73"/>
      <c r="BR269" s="73"/>
      <c r="BS269" s="345"/>
      <c r="BT269" s="73"/>
      <c r="BU269" s="25"/>
      <c r="BV269" s="73"/>
      <c r="BW269" s="73"/>
      <c r="BX269" s="345"/>
      <c r="BY269" s="73"/>
      <c r="BZ269" s="25"/>
      <c r="CA269" s="73"/>
      <c r="CB269" s="73"/>
      <c r="CC269" s="345"/>
      <c r="CD269" s="73"/>
      <c r="CE269" s="25"/>
      <c r="CF269" s="73"/>
      <c r="CG269" s="73"/>
      <c r="CH269" s="345"/>
      <c r="CI269" s="73"/>
      <c r="CJ269" s="25"/>
      <c r="CK269" s="73"/>
      <c r="CL269" s="73"/>
      <c r="CM269" s="345"/>
      <c r="CN269" s="73"/>
      <c r="CO269" s="25"/>
      <c r="CP269" s="73"/>
      <c r="CQ269" s="73"/>
      <c r="CR269" s="345"/>
      <c r="CS269" s="73"/>
      <c r="CT269" s="25"/>
      <c r="CU269" s="73"/>
      <c r="CV269" s="73"/>
      <c r="CW269" s="345"/>
      <c r="CX269" s="73"/>
      <c r="CY269" s="25"/>
      <c r="CZ269" s="73"/>
      <c r="DA269" s="73"/>
      <c r="DB269" s="345"/>
      <c r="DC269" s="73"/>
      <c r="DD269" s="25"/>
      <c r="DE269" s="73"/>
      <c r="DF269" s="73"/>
      <c r="DG269" s="345"/>
      <c r="DH269" s="73"/>
      <c r="DI269" s="25"/>
      <c r="DJ269" s="73"/>
      <c r="DK269" s="73"/>
      <c r="DL269" s="345"/>
      <c r="DM269" s="73"/>
      <c r="DN269" s="25"/>
      <c r="DO269" s="73"/>
      <c r="DP269" s="73"/>
      <c r="DQ269" s="345"/>
      <c r="DR269" s="73"/>
      <c r="DS269" s="25"/>
      <c r="DT269" s="73"/>
      <c r="DU269" s="73"/>
      <c r="DV269" s="345"/>
      <c r="DW269" s="73"/>
      <c r="DX269" s="25"/>
      <c r="DY269" s="73"/>
      <c r="DZ269" s="73"/>
      <c r="EA269" s="345"/>
      <c r="EB269" s="73"/>
      <c r="EC269" s="25"/>
      <c r="ED269" s="73"/>
      <c r="EE269" s="73"/>
      <c r="EF269" s="345"/>
      <c r="EG269" s="73"/>
      <c r="EH269" s="25"/>
      <c r="EI269" s="73"/>
      <c r="EJ269" s="73"/>
      <c r="EK269" s="345"/>
      <c r="EL269" s="73"/>
      <c r="EM269" s="25"/>
      <c r="EN269" s="73"/>
      <c r="EO269" s="73"/>
      <c r="EP269" s="345"/>
      <c r="EQ269" s="73"/>
      <c r="ER269" s="25"/>
      <c r="ES269" s="73"/>
      <c r="ET269" s="73"/>
      <c r="EU269" s="345"/>
      <c r="EV269" s="73"/>
      <c r="EW269" s="25"/>
      <c r="EX269" s="73"/>
      <c r="EY269" s="73"/>
      <c r="EZ269" s="345"/>
      <c r="FA269" s="73"/>
      <c r="FB269" s="25"/>
      <c r="FC269" s="73"/>
      <c r="FD269" s="73"/>
      <c r="FE269" s="345"/>
      <c r="FF269" s="73"/>
      <c r="FG269" s="25"/>
      <c r="FH269" s="73"/>
      <c r="FI269" s="73"/>
      <c r="FJ269" s="345"/>
      <c r="FK269" s="73"/>
      <c r="FL269" s="25"/>
      <c r="FM269" s="73"/>
      <c r="FN269" s="73"/>
      <c r="FO269" s="345"/>
      <c r="FP269" s="73"/>
      <c r="FQ269" s="25"/>
      <c r="FR269" s="73"/>
      <c r="FS269" s="73"/>
      <c r="FT269" s="345"/>
      <c r="FU269" s="73"/>
      <c r="FV269" s="25"/>
      <c r="FW269" s="73"/>
      <c r="FX269" s="73"/>
      <c r="FY269" s="345"/>
      <c r="FZ269" s="73"/>
      <c r="GA269" s="25"/>
      <c r="GB269" s="73"/>
      <c r="GC269" s="73"/>
      <c r="GD269" s="345"/>
      <c r="GE269" s="73"/>
      <c r="GF269" s="25"/>
      <c r="GG269" s="73"/>
      <c r="GH269" s="73"/>
      <c r="GI269" s="345"/>
      <c r="GJ269" s="73"/>
      <c r="GK269" s="25"/>
      <c r="GL269" s="73"/>
      <c r="GM269" s="73"/>
      <c r="GN269" s="345"/>
      <c r="GO269" s="73"/>
      <c r="GP269" s="25"/>
      <c r="GQ269" s="73"/>
      <c r="GR269" s="73"/>
      <c r="GS269" s="345"/>
      <c r="GT269" s="73"/>
      <c r="GU269" s="25"/>
      <c r="GV269" s="73"/>
      <c r="GW269" s="73"/>
      <c r="GX269" s="345"/>
      <c r="GY269" s="73"/>
      <c r="GZ269" s="25"/>
      <c r="HA269" s="73"/>
      <c r="HB269" s="73"/>
      <c r="HC269" s="345"/>
      <c r="HD269" s="73"/>
      <c r="HE269" s="25"/>
      <c r="HF269" s="73"/>
      <c r="HG269" s="73"/>
      <c r="HH269" s="345"/>
      <c r="HI269" s="73"/>
      <c r="HJ269" s="25"/>
      <c r="HK269" s="73"/>
      <c r="HL269" s="73"/>
      <c r="HM269" s="345"/>
      <c r="HN269" s="73"/>
      <c r="HO269" s="25"/>
      <c r="HP269" s="73"/>
      <c r="HQ269" s="73"/>
      <c r="HR269" s="345"/>
      <c r="HS269" s="73"/>
      <c r="HT269" s="25"/>
      <c r="HU269" s="73"/>
      <c r="HV269" s="73"/>
      <c r="HW269" s="345"/>
      <c r="HX269" s="73"/>
      <c r="HY269" s="25"/>
      <c r="HZ269" s="73"/>
      <c r="IA269" s="73"/>
      <c r="IB269" s="345"/>
      <c r="IC269" s="73"/>
      <c r="ID269" s="25"/>
      <c r="IE269" s="73"/>
      <c r="IF269" s="73"/>
      <c r="IG269" s="345"/>
      <c r="IH269" s="73"/>
      <c r="II269" s="25"/>
      <c r="IJ269" s="73"/>
      <c r="IK269" s="73"/>
      <c r="IL269" s="345"/>
      <c r="IM269" s="73"/>
      <c r="IN269" s="25"/>
      <c r="IO269" s="73"/>
      <c r="IP269" s="73"/>
      <c r="IQ269" s="345"/>
      <c r="IR269" s="73"/>
      <c r="IS269" s="25"/>
      <c r="IT269" s="73"/>
      <c r="IU269" s="73"/>
      <c r="IV269" s="345"/>
    </row>
    <row r="270" spans="1:256" x14ac:dyDescent="0.2">
      <c r="A270" s="345">
        <v>35734</v>
      </c>
      <c r="B270" s="73"/>
      <c r="C270" s="25"/>
      <c r="D270" s="73"/>
      <c r="E270" s="73"/>
      <c r="F270" s="345"/>
      <c r="G270" s="73"/>
      <c r="H270" s="25"/>
      <c r="I270" s="73"/>
      <c r="J270" s="73"/>
      <c r="K270" s="345"/>
      <c r="L270" s="73"/>
      <c r="M270" s="25"/>
      <c r="N270" s="73"/>
      <c r="O270" s="73"/>
      <c r="P270" s="345"/>
      <c r="Q270" s="73"/>
      <c r="R270" s="25"/>
      <c r="S270" s="73"/>
      <c r="T270" s="73"/>
      <c r="U270" s="345"/>
      <c r="V270" s="73"/>
      <c r="W270" s="25"/>
      <c r="X270" s="73"/>
      <c r="Y270" s="73"/>
      <c r="Z270" s="345"/>
      <c r="AA270" s="73"/>
      <c r="AB270" s="25"/>
      <c r="AC270" s="73"/>
      <c r="AD270" s="73"/>
      <c r="AE270" s="345"/>
      <c r="AF270" s="73"/>
      <c r="AG270" s="25"/>
      <c r="AH270" s="73"/>
      <c r="AI270" s="73"/>
      <c r="AJ270" s="345"/>
      <c r="AK270" s="73"/>
      <c r="AL270" s="25"/>
      <c r="AM270" s="73"/>
      <c r="AN270" s="73"/>
      <c r="AO270" s="345"/>
      <c r="AP270" s="73"/>
      <c r="AQ270" s="25"/>
      <c r="AR270" s="73"/>
      <c r="AS270" s="73"/>
      <c r="AT270" s="345"/>
      <c r="AU270" s="73"/>
      <c r="AV270" s="25"/>
      <c r="AW270" s="73"/>
      <c r="AX270" s="73"/>
      <c r="AY270" s="345"/>
      <c r="AZ270" s="73"/>
      <c r="BA270" s="25"/>
      <c r="BB270" s="73"/>
      <c r="BC270" s="73"/>
      <c r="BD270" s="345"/>
      <c r="BE270" s="73"/>
      <c r="BF270" s="25"/>
      <c r="BG270" s="73"/>
      <c r="BH270" s="73"/>
      <c r="BI270" s="345"/>
      <c r="BJ270" s="73"/>
      <c r="BK270" s="25"/>
      <c r="BL270" s="73"/>
      <c r="BM270" s="73"/>
      <c r="BN270" s="345"/>
      <c r="BO270" s="73"/>
      <c r="BP270" s="25"/>
      <c r="BQ270" s="73"/>
      <c r="BR270" s="73"/>
      <c r="BS270" s="345"/>
      <c r="BT270" s="73"/>
      <c r="BU270" s="25"/>
      <c r="BV270" s="73"/>
      <c r="BW270" s="73"/>
      <c r="BX270" s="345"/>
      <c r="BY270" s="73"/>
      <c r="BZ270" s="25"/>
      <c r="CA270" s="73"/>
      <c r="CB270" s="73"/>
      <c r="CC270" s="345"/>
      <c r="CD270" s="73"/>
      <c r="CE270" s="25"/>
      <c r="CF270" s="73"/>
      <c r="CG270" s="73"/>
      <c r="CH270" s="345"/>
      <c r="CI270" s="73"/>
      <c r="CJ270" s="25"/>
      <c r="CK270" s="73"/>
      <c r="CL270" s="73"/>
      <c r="CM270" s="345"/>
      <c r="CN270" s="73"/>
      <c r="CO270" s="25"/>
      <c r="CP270" s="73"/>
      <c r="CQ270" s="73"/>
      <c r="CR270" s="345"/>
      <c r="CS270" s="73"/>
      <c r="CT270" s="25"/>
      <c r="CU270" s="73"/>
      <c r="CV270" s="73"/>
      <c r="CW270" s="345"/>
      <c r="CX270" s="73"/>
      <c r="CY270" s="25"/>
      <c r="CZ270" s="73"/>
      <c r="DA270" s="73"/>
      <c r="DB270" s="345"/>
      <c r="DC270" s="73"/>
      <c r="DD270" s="25"/>
      <c r="DE270" s="73"/>
      <c r="DF270" s="73"/>
      <c r="DG270" s="345"/>
      <c r="DH270" s="73"/>
      <c r="DI270" s="25"/>
      <c r="DJ270" s="73"/>
      <c r="DK270" s="73"/>
      <c r="DL270" s="345"/>
      <c r="DM270" s="73"/>
      <c r="DN270" s="25"/>
      <c r="DO270" s="73"/>
      <c r="DP270" s="73"/>
      <c r="DQ270" s="345"/>
      <c r="DR270" s="73"/>
      <c r="DS270" s="25"/>
      <c r="DT270" s="73"/>
      <c r="DU270" s="73"/>
      <c r="DV270" s="345"/>
      <c r="DW270" s="73"/>
      <c r="DX270" s="25"/>
      <c r="DY270" s="73"/>
      <c r="DZ270" s="73"/>
      <c r="EA270" s="345"/>
      <c r="EB270" s="73"/>
      <c r="EC270" s="25"/>
      <c r="ED270" s="73"/>
      <c r="EE270" s="73"/>
      <c r="EF270" s="345"/>
      <c r="EG270" s="73"/>
      <c r="EH270" s="25"/>
      <c r="EI270" s="73"/>
      <c r="EJ270" s="73"/>
      <c r="EK270" s="345"/>
      <c r="EL270" s="73"/>
      <c r="EM270" s="25"/>
      <c r="EN270" s="73"/>
      <c r="EO270" s="73"/>
      <c r="EP270" s="345"/>
      <c r="EQ270" s="73"/>
      <c r="ER270" s="25"/>
      <c r="ES270" s="73"/>
      <c r="ET270" s="73"/>
      <c r="EU270" s="345"/>
      <c r="EV270" s="73"/>
      <c r="EW270" s="25"/>
      <c r="EX270" s="73"/>
      <c r="EY270" s="73"/>
      <c r="EZ270" s="345"/>
      <c r="FA270" s="73"/>
      <c r="FB270" s="25"/>
      <c r="FC270" s="73"/>
      <c r="FD270" s="73"/>
      <c r="FE270" s="345"/>
      <c r="FF270" s="73"/>
      <c r="FG270" s="25"/>
      <c r="FH270" s="73"/>
      <c r="FI270" s="73"/>
      <c r="FJ270" s="345"/>
      <c r="FK270" s="73"/>
      <c r="FL270" s="25"/>
      <c r="FM270" s="73"/>
      <c r="FN270" s="73"/>
      <c r="FO270" s="345"/>
      <c r="FP270" s="73"/>
      <c r="FQ270" s="25"/>
      <c r="FR270" s="73"/>
      <c r="FS270" s="73"/>
      <c r="FT270" s="345"/>
      <c r="FU270" s="73"/>
      <c r="FV270" s="25"/>
      <c r="FW270" s="73"/>
      <c r="FX270" s="73"/>
      <c r="FY270" s="345"/>
      <c r="FZ270" s="73"/>
      <c r="GA270" s="25"/>
      <c r="GB270" s="73"/>
      <c r="GC270" s="73"/>
      <c r="GD270" s="345"/>
      <c r="GE270" s="73"/>
      <c r="GF270" s="25"/>
      <c r="GG270" s="73"/>
      <c r="GH270" s="73"/>
      <c r="GI270" s="345"/>
      <c r="GJ270" s="73"/>
      <c r="GK270" s="25"/>
      <c r="GL270" s="73"/>
      <c r="GM270" s="73"/>
      <c r="GN270" s="345"/>
      <c r="GO270" s="73"/>
      <c r="GP270" s="25"/>
      <c r="GQ270" s="73"/>
      <c r="GR270" s="73"/>
      <c r="GS270" s="345"/>
      <c r="GT270" s="73"/>
      <c r="GU270" s="25"/>
      <c r="GV270" s="73"/>
      <c r="GW270" s="73"/>
      <c r="GX270" s="345"/>
      <c r="GY270" s="73"/>
      <c r="GZ270" s="25"/>
      <c r="HA270" s="73"/>
      <c r="HB270" s="73"/>
      <c r="HC270" s="345"/>
      <c r="HD270" s="73"/>
      <c r="HE270" s="25"/>
      <c r="HF270" s="73"/>
      <c r="HG270" s="73"/>
      <c r="HH270" s="345"/>
      <c r="HI270" s="73"/>
      <c r="HJ270" s="25"/>
      <c r="HK270" s="73"/>
      <c r="HL270" s="73"/>
      <c r="HM270" s="345"/>
      <c r="HN270" s="73"/>
      <c r="HO270" s="25"/>
      <c r="HP270" s="73"/>
      <c r="HQ270" s="73"/>
      <c r="HR270" s="345"/>
      <c r="HS270" s="73"/>
      <c r="HT270" s="25"/>
      <c r="HU270" s="73"/>
      <c r="HV270" s="73"/>
      <c r="HW270" s="345"/>
      <c r="HX270" s="73"/>
      <c r="HY270" s="25"/>
      <c r="HZ270" s="73"/>
      <c r="IA270" s="73"/>
      <c r="IB270" s="345"/>
      <c r="IC270" s="73"/>
      <c r="ID270" s="25"/>
      <c r="IE270" s="73"/>
      <c r="IF270" s="73"/>
      <c r="IG270" s="345"/>
      <c r="IH270" s="73"/>
      <c r="II270" s="25"/>
      <c r="IJ270" s="73"/>
      <c r="IK270" s="73"/>
      <c r="IL270" s="345"/>
      <c r="IM270" s="73"/>
      <c r="IN270" s="25"/>
      <c r="IO270" s="73"/>
      <c r="IP270" s="73"/>
      <c r="IQ270" s="345"/>
      <c r="IR270" s="73"/>
      <c r="IS270" s="25"/>
      <c r="IT270" s="73"/>
      <c r="IU270" s="73"/>
      <c r="IV270" s="345"/>
    </row>
    <row r="271" spans="1:256" x14ac:dyDescent="0.2">
      <c r="A271" s="345">
        <v>35764</v>
      </c>
      <c r="B271" s="73"/>
      <c r="C271" s="25"/>
      <c r="D271" s="73"/>
      <c r="E271" s="73"/>
      <c r="F271" s="345"/>
      <c r="G271" s="73"/>
      <c r="H271" s="25"/>
      <c r="I271" s="73"/>
      <c r="J271" s="73"/>
      <c r="K271" s="345"/>
      <c r="L271" s="73"/>
      <c r="M271" s="25"/>
      <c r="N271" s="73"/>
      <c r="O271" s="73"/>
      <c r="P271" s="345"/>
      <c r="Q271" s="73"/>
      <c r="R271" s="25"/>
      <c r="S271" s="73"/>
      <c r="T271" s="73"/>
      <c r="U271" s="345"/>
      <c r="V271" s="73"/>
      <c r="W271" s="25"/>
      <c r="X271" s="73"/>
      <c r="Y271" s="73"/>
      <c r="Z271" s="345"/>
      <c r="AA271" s="73"/>
      <c r="AB271" s="25"/>
      <c r="AC271" s="73"/>
      <c r="AD271" s="73"/>
      <c r="AE271" s="345"/>
      <c r="AF271" s="73"/>
      <c r="AG271" s="25"/>
      <c r="AH271" s="73"/>
      <c r="AI271" s="73"/>
      <c r="AJ271" s="345"/>
      <c r="AK271" s="73"/>
      <c r="AL271" s="25"/>
      <c r="AM271" s="73"/>
      <c r="AN271" s="73"/>
      <c r="AO271" s="345"/>
      <c r="AP271" s="73"/>
      <c r="AQ271" s="25"/>
      <c r="AR271" s="73"/>
      <c r="AS271" s="73"/>
      <c r="AT271" s="345"/>
      <c r="AU271" s="73"/>
      <c r="AV271" s="25"/>
      <c r="AW271" s="73"/>
      <c r="AX271" s="73"/>
      <c r="AY271" s="345"/>
      <c r="AZ271" s="73"/>
      <c r="BA271" s="25"/>
      <c r="BB271" s="73"/>
      <c r="BC271" s="73"/>
      <c r="BD271" s="345"/>
      <c r="BE271" s="73"/>
      <c r="BF271" s="25"/>
      <c r="BG271" s="73"/>
      <c r="BH271" s="73"/>
      <c r="BI271" s="345"/>
      <c r="BJ271" s="73"/>
      <c r="BK271" s="25"/>
      <c r="BL271" s="73"/>
      <c r="BM271" s="73"/>
      <c r="BN271" s="345"/>
      <c r="BO271" s="73"/>
      <c r="BP271" s="25"/>
      <c r="BQ271" s="73"/>
      <c r="BR271" s="73"/>
      <c r="BS271" s="345"/>
      <c r="BT271" s="73"/>
      <c r="BU271" s="25"/>
      <c r="BV271" s="73"/>
      <c r="BW271" s="73"/>
      <c r="BX271" s="345"/>
      <c r="BY271" s="73"/>
      <c r="BZ271" s="25"/>
      <c r="CA271" s="73"/>
      <c r="CB271" s="73"/>
      <c r="CC271" s="345"/>
      <c r="CD271" s="73"/>
      <c r="CE271" s="25"/>
      <c r="CF271" s="73"/>
      <c r="CG271" s="73"/>
      <c r="CH271" s="345"/>
      <c r="CI271" s="73"/>
      <c r="CJ271" s="25"/>
      <c r="CK271" s="73"/>
      <c r="CL271" s="73"/>
      <c r="CM271" s="345"/>
      <c r="CN271" s="73"/>
      <c r="CO271" s="25"/>
      <c r="CP271" s="73"/>
      <c r="CQ271" s="73"/>
      <c r="CR271" s="345"/>
      <c r="CS271" s="73"/>
      <c r="CT271" s="25"/>
      <c r="CU271" s="73"/>
      <c r="CV271" s="73"/>
      <c r="CW271" s="345"/>
      <c r="CX271" s="73"/>
      <c r="CY271" s="25"/>
      <c r="CZ271" s="73"/>
      <c r="DA271" s="73"/>
      <c r="DB271" s="345"/>
      <c r="DC271" s="73"/>
      <c r="DD271" s="25"/>
      <c r="DE271" s="73"/>
      <c r="DF271" s="73"/>
      <c r="DG271" s="345"/>
      <c r="DH271" s="73"/>
      <c r="DI271" s="25"/>
      <c r="DJ271" s="73"/>
      <c r="DK271" s="73"/>
      <c r="DL271" s="345"/>
      <c r="DM271" s="73"/>
      <c r="DN271" s="25"/>
      <c r="DO271" s="73"/>
      <c r="DP271" s="73"/>
      <c r="DQ271" s="345"/>
      <c r="DR271" s="73"/>
      <c r="DS271" s="25"/>
      <c r="DT271" s="73"/>
      <c r="DU271" s="73"/>
      <c r="DV271" s="345"/>
      <c r="DW271" s="73"/>
      <c r="DX271" s="25"/>
      <c r="DY271" s="73"/>
      <c r="DZ271" s="73"/>
      <c r="EA271" s="345"/>
      <c r="EB271" s="73"/>
      <c r="EC271" s="25"/>
      <c r="ED271" s="73"/>
      <c r="EE271" s="73"/>
      <c r="EF271" s="345"/>
      <c r="EG271" s="73"/>
      <c r="EH271" s="25"/>
      <c r="EI271" s="73"/>
      <c r="EJ271" s="73"/>
      <c r="EK271" s="345"/>
      <c r="EL271" s="73"/>
      <c r="EM271" s="25"/>
      <c r="EN271" s="73"/>
      <c r="EO271" s="73"/>
      <c r="EP271" s="345"/>
      <c r="EQ271" s="73"/>
      <c r="ER271" s="25"/>
      <c r="ES271" s="73"/>
      <c r="ET271" s="73"/>
      <c r="EU271" s="345"/>
      <c r="EV271" s="73"/>
      <c r="EW271" s="25"/>
      <c r="EX271" s="73"/>
      <c r="EY271" s="73"/>
      <c r="EZ271" s="345"/>
      <c r="FA271" s="73"/>
      <c r="FB271" s="25"/>
      <c r="FC271" s="73"/>
      <c r="FD271" s="73"/>
      <c r="FE271" s="345"/>
      <c r="FF271" s="73"/>
      <c r="FG271" s="25"/>
      <c r="FH271" s="73"/>
      <c r="FI271" s="73"/>
      <c r="FJ271" s="345"/>
      <c r="FK271" s="73"/>
      <c r="FL271" s="25"/>
      <c r="FM271" s="73"/>
      <c r="FN271" s="73"/>
      <c r="FO271" s="345"/>
      <c r="FP271" s="73"/>
      <c r="FQ271" s="25"/>
      <c r="FR271" s="73"/>
      <c r="FS271" s="73"/>
      <c r="FT271" s="345"/>
      <c r="FU271" s="73"/>
      <c r="FV271" s="25"/>
      <c r="FW271" s="73"/>
      <c r="FX271" s="73"/>
      <c r="FY271" s="345"/>
      <c r="FZ271" s="73"/>
      <c r="GA271" s="25"/>
      <c r="GB271" s="73"/>
      <c r="GC271" s="73"/>
      <c r="GD271" s="345"/>
      <c r="GE271" s="73"/>
      <c r="GF271" s="25"/>
      <c r="GG271" s="73"/>
      <c r="GH271" s="73"/>
      <c r="GI271" s="345"/>
      <c r="GJ271" s="73"/>
      <c r="GK271" s="25"/>
      <c r="GL271" s="73"/>
      <c r="GM271" s="73"/>
      <c r="GN271" s="345"/>
      <c r="GO271" s="73"/>
      <c r="GP271" s="25"/>
      <c r="GQ271" s="73"/>
      <c r="GR271" s="73"/>
      <c r="GS271" s="345"/>
      <c r="GT271" s="73"/>
      <c r="GU271" s="25"/>
      <c r="GV271" s="73"/>
      <c r="GW271" s="73"/>
      <c r="GX271" s="345"/>
      <c r="GY271" s="73"/>
      <c r="GZ271" s="25"/>
      <c r="HA271" s="73"/>
      <c r="HB271" s="73"/>
      <c r="HC271" s="345"/>
      <c r="HD271" s="73"/>
      <c r="HE271" s="25"/>
      <c r="HF271" s="73"/>
      <c r="HG271" s="73"/>
      <c r="HH271" s="345"/>
      <c r="HI271" s="73"/>
      <c r="HJ271" s="25"/>
      <c r="HK271" s="73"/>
      <c r="HL271" s="73"/>
      <c r="HM271" s="345"/>
      <c r="HN271" s="73"/>
      <c r="HO271" s="25"/>
      <c r="HP271" s="73"/>
      <c r="HQ271" s="73"/>
      <c r="HR271" s="345"/>
      <c r="HS271" s="73"/>
      <c r="HT271" s="25"/>
      <c r="HU271" s="73"/>
      <c r="HV271" s="73"/>
      <c r="HW271" s="345"/>
      <c r="HX271" s="73"/>
      <c r="HY271" s="25"/>
      <c r="HZ271" s="73"/>
      <c r="IA271" s="73"/>
      <c r="IB271" s="345"/>
      <c r="IC271" s="73"/>
      <c r="ID271" s="25"/>
      <c r="IE271" s="73"/>
      <c r="IF271" s="73"/>
      <c r="IG271" s="345"/>
      <c r="IH271" s="73"/>
      <c r="II271" s="25"/>
      <c r="IJ271" s="73"/>
      <c r="IK271" s="73"/>
      <c r="IL271" s="345"/>
      <c r="IM271" s="73"/>
      <c r="IN271" s="25"/>
      <c r="IO271" s="73"/>
      <c r="IP271" s="73"/>
      <c r="IQ271" s="345"/>
      <c r="IR271" s="73"/>
      <c r="IS271" s="25"/>
      <c r="IT271" s="73"/>
      <c r="IU271" s="73"/>
      <c r="IV271" s="345"/>
    </row>
    <row r="272" spans="1:256" x14ac:dyDescent="0.2">
      <c r="A272" s="345">
        <v>35795</v>
      </c>
      <c r="B272" s="73"/>
      <c r="C272" s="25"/>
      <c r="D272" s="73"/>
      <c r="E272" s="73"/>
      <c r="F272" s="345"/>
      <c r="G272" s="73"/>
      <c r="H272" s="25"/>
      <c r="I272" s="73"/>
      <c r="J272" s="73"/>
      <c r="K272" s="345"/>
      <c r="L272" s="73"/>
      <c r="M272" s="25"/>
      <c r="N272" s="73"/>
      <c r="O272" s="73"/>
      <c r="P272" s="345"/>
      <c r="Q272" s="73"/>
      <c r="R272" s="25"/>
      <c r="S272" s="73"/>
      <c r="T272" s="73"/>
      <c r="U272" s="345"/>
      <c r="V272" s="73"/>
      <c r="W272" s="25"/>
      <c r="X272" s="73"/>
      <c r="Y272" s="73"/>
      <c r="Z272" s="345"/>
      <c r="AA272" s="73"/>
      <c r="AB272" s="25"/>
      <c r="AC272" s="73"/>
      <c r="AD272" s="73"/>
      <c r="AE272" s="345"/>
      <c r="AF272" s="73"/>
      <c r="AG272" s="25"/>
      <c r="AH272" s="73"/>
      <c r="AI272" s="73"/>
      <c r="AJ272" s="345"/>
      <c r="AK272" s="73"/>
      <c r="AL272" s="25"/>
      <c r="AM272" s="73"/>
      <c r="AN272" s="73"/>
      <c r="AO272" s="345"/>
      <c r="AP272" s="73"/>
      <c r="AQ272" s="25"/>
      <c r="AR272" s="73"/>
      <c r="AS272" s="73"/>
      <c r="AT272" s="345"/>
      <c r="AU272" s="73"/>
      <c r="AV272" s="25"/>
      <c r="AW272" s="73"/>
      <c r="AX272" s="73"/>
      <c r="AY272" s="345"/>
      <c r="AZ272" s="73"/>
      <c r="BA272" s="25"/>
      <c r="BB272" s="73"/>
      <c r="BC272" s="73"/>
      <c r="BD272" s="345"/>
      <c r="BE272" s="73"/>
      <c r="BF272" s="25"/>
      <c r="BG272" s="73"/>
      <c r="BH272" s="73"/>
      <c r="BI272" s="345"/>
      <c r="BJ272" s="73"/>
      <c r="BK272" s="25"/>
      <c r="BL272" s="73"/>
      <c r="BM272" s="73"/>
      <c r="BN272" s="345"/>
      <c r="BO272" s="73"/>
      <c r="BP272" s="25"/>
      <c r="BQ272" s="73"/>
      <c r="BR272" s="73"/>
      <c r="BS272" s="345"/>
      <c r="BT272" s="73"/>
      <c r="BU272" s="25"/>
      <c r="BV272" s="73"/>
      <c r="BW272" s="73"/>
      <c r="BX272" s="345"/>
      <c r="BY272" s="73"/>
      <c r="BZ272" s="25"/>
      <c r="CA272" s="73"/>
      <c r="CB272" s="73"/>
      <c r="CC272" s="345"/>
      <c r="CD272" s="73"/>
      <c r="CE272" s="25"/>
      <c r="CF272" s="73"/>
      <c r="CG272" s="73"/>
      <c r="CH272" s="345"/>
      <c r="CI272" s="73"/>
      <c r="CJ272" s="25"/>
      <c r="CK272" s="73"/>
      <c r="CL272" s="73"/>
      <c r="CM272" s="345"/>
      <c r="CN272" s="73"/>
      <c r="CO272" s="25"/>
      <c r="CP272" s="73"/>
      <c r="CQ272" s="73"/>
      <c r="CR272" s="345"/>
      <c r="CS272" s="73"/>
      <c r="CT272" s="25"/>
      <c r="CU272" s="73"/>
      <c r="CV272" s="73"/>
      <c r="CW272" s="345"/>
      <c r="CX272" s="73"/>
      <c r="CY272" s="25"/>
      <c r="CZ272" s="73"/>
      <c r="DA272" s="73"/>
      <c r="DB272" s="345"/>
      <c r="DC272" s="73"/>
      <c r="DD272" s="25"/>
      <c r="DE272" s="73"/>
      <c r="DF272" s="73"/>
      <c r="DG272" s="345"/>
      <c r="DH272" s="73"/>
      <c r="DI272" s="25"/>
      <c r="DJ272" s="73"/>
      <c r="DK272" s="73"/>
      <c r="DL272" s="345"/>
      <c r="DM272" s="73"/>
      <c r="DN272" s="25"/>
      <c r="DO272" s="73"/>
      <c r="DP272" s="73"/>
      <c r="DQ272" s="345"/>
      <c r="DR272" s="73"/>
      <c r="DS272" s="25"/>
      <c r="DT272" s="73"/>
      <c r="DU272" s="73"/>
      <c r="DV272" s="345"/>
      <c r="DW272" s="73"/>
      <c r="DX272" s="25"/>
      <c r="DY272" s="73"/>
      <c r="DZ272" s="73"/>
      <c r="EA272" s="345"/>
      <c r="EB272" s="73"/>
      <c r="EC272" s="25"/>
      <c r="ED272" s="73"/>
      <c r="EE272" s="73"/>
      <c r="EF272" s="345"/>
      <c r="EG272" s="73"/>
      <c r="EH272" s="25"/>
      <c r="EI272" s="73"/>
      <c r="EJ272" s="73"/>
      <c r="EK272" s="345"/>
      <c r="EL272" s="73"/>
      <c r="EM272" s="25"/>
      <c r="EN272" s="73"/>
      <c r="EO272" s="73"/>
      <c r="EP272" s="345"/>
      <c r="EQ272" s="73"/>
      <c r="ER272" s="25"/>
      <c r="ES272" s="73"/>
      <c r="ET272" s="73"/>
      <c r="EU272" s="345"/>
      <c r="EV272" s="73"/>
      <c r="EW272" s="25"/>
      <c r="EX272" s="73"/>
      <c r="EY272" s="73"/>
      <c r="EZ272" s="345"/>
      <c r="FA272" s="73"/>
      <c r="FB272" s="25"/>
      <c r="FC272" s="73"/>
      <c r="FD272" s="73"/>
      <c r="FE272" s="345"/>
      <c r="FF272" s="73"/>
      <c r="FG272" s="25"/>
      <c r="FH272" s="73"/>
      <c r="FI272" s="73"/>
      <c r="FJ272" s="345"/>
      <c r="FK272" s="73"/>
      <c r="FL272" s="25"/>
      <c r="FM272" s="73"/>
      <c r="FN272" s="73"/>
      <c r="FO272" s="345"/>
      <c r="FP272" s="73"/>
      <c r="FQ272" s="25"/>
      <c r="FR272" s="73"/>
      <c r="FS272" s="73"/>
      <c r="FT272" s="345"/>
      <c r="FU272" s="73"/>
      <c r="FV272" s="25"/>
      <c r="FW272" s="73"/>
      <c r="FX272" s="73"/>
      <c r="FY272" s="345"/>
      <c r="FZ272" s="73"/>
      <c r="GA272" s="25"/>
      <c r="GB272" s="73"/>
      <c r="GC272" s="73"/>
      <c r="GD272" s="345"/>
      <c r="GE272" s="73"/>
      <c r="GF272" s="25"/>
      <c r="GG272" s="73"/>
      <c r="GH272" s="73"/>
      <c r="GI272" s="345"/>
      <c r="GJ272" s="73"/>
      <c r="GK272" s="25"/>
      <c r="GL272" s="73"/>
      <c r="GM272" s="73"/>
      <c r="GN272" s="345"/>
      <c r="GO272" s="73"/>
      <c r="GP272" s="25"/>
      <c r="GQ272" s="73"/>
      <c r="GR272" s="73"/>
      <c r="GS272" s="345"/>
      <c r="GT272" s="73"/>
      <c r="GU272" s="25"/>
      <c r="GV272" s="73"/>
      <c r="GW272" s="73"/>
      <c r="GX272" s="345"/>
      <c r="GY272" s="73"/>
      <c r="GZ272" s="25"/>
      <c r="HA272" s="73"/>
      <c r="HB272" s="73"/>
      <c r="HC272" s="345"/>
      <c r="HD272" s="73"/>
      <c r="HE272" s="25"/>
      <c r="HF272" s="73"/>
      <c r="HG272" s="73"/>
      <c r="HH272" s="345"/>
      <c r="HI272" s="73"/>
      <c r="HJ272" s="25"/>
      <c r="HK272" s="73"/>
      <c r="HL272" s="73"/>
      <c r="HM272" s="345"/>
      <c r="HN272" s="73"/>
      <c r="HO272" s="25"/>
      <c r="HP272" s="73"/>
      <c r="HQ272" s="73"/>
      <c r="HR272" s="345"/>
      <c r="HS272" s="73"/>
      <c r="HT272" s="25"/>
      <c r="HU272" s="73"/>
      <c r="HV272" s="73"/>
      <c r="HW272" s="345"/>
      <c r="HX272" s="73"/>
      <c r="HY272" s="25"/>
      <c r="HZ272" s="73"/>
      <c r="IA272" s="73"/>
      <c r="IB272" s="345"/>
      <c r="IC272" s="73"/>
      <c r="ID272" s="25"/>
      <c r="IE272" s="73"/>
      <c r="IF272" s="73"/>
      <c r="IG272" s="345"/>
      <c r="IH272" s="73"/>
      <c r="II272" s="25"/>
      <c r="IJ272" s="73"/>
      <c r="IK272" s="73"/>
      <c r="IL272" s="345"/>
      <c r="IM272" s="73"/>
      <c r="IN272" s="25"/>
      <c r="IO272" s="73"/>
      <c r="IP272" s="73"/>
      <c r="IQ272" s="345"/>
      <c r="IR272" s="73"/>
      <c r="IS272" s="25"/>
      <c r="IT272" s="73"/>
      <c r="IU272" s="73"/>
      <c r="IV272" s="345"/>
    </row>
    <row r="273" spans="1:256" x14ac:dyDescent="0.2">
      <c r="A273" s="345">
        <v>35826</v>
      </c>
      <c r="B273" s="73"/>
      <c r="C273" s="25"/>
      <c r="D273" s="73"/>
      <c r="E273" s="73"/>
      <c r="F273" s="345"/>
      <c r="G273" s="73"/>
      <c r="H273" s="25"/>
      <c r="I273" s="73"/>
      <c r="J273" s="73"/>
      <c r="K273" s="345"/>
      <c r="L273" s="73"/>
      <c r="M273" s="25"/>
      <c r="N273" s="73"/>
      <c r="O273" s="73"/>
      <c r="P273" s="345"/>
      <c r="Q273" s="73"/>
      <c r="R273" s="25"/>
      <c r="S273" s="73"/>
      <c r="T273" s="73"/>
      <c r="U273" s="345"/>
      <c r="V273" s="73"/>
      <c r="W273" s="25"/>
      <c r="X273" s="73"/>
      <c r="Y273" s="73"/>
      <c r="Z273" s="345"/>
      <c r="AA273" s="73"/>
      <c r="AB273" s="25"/>
      <c r="AC273" s="73"/>
      <c r="AD273" s="73"/>
      <c r="AE273" s="345"/>
      <c r="AF273" s="73"/>
      <c r="AG273" s="25"/>
      <c r="AH273" s="73"/>
      <c r="AI273" s="73"/>
      <c r="AJ273" s="345"/>
      <c r="AK273" s="73"/>
      <c r="AL273" s="25"/>
      <c r="AM273" s="73"/>
      <c r="AN273" s="73"/>
      <c r="AO273" s="345"/>
      <c r="AP273" s="73"/>
      <c r="AQ273" s="25"/>
      <c r="AR273" s="73"/>
      <c r="AS273" s="73"/>
      <c r="AT273" s="345"/>
      <c r="AU273" s="73"/>
      <c r="AV273" s="25"/>
      <c r="AW273" s="73"/>
      <c r="AX273" s="73"/>
      <c r="AY273" s="345"/>
      <c r="AZ273" s="73"/>
      <c r="BA273" s="25"/>
      <c r="BB273" s="73"/>
      <c r="BC273" s="73"/>
      <c r="BD273" s="345"/>
      <c r="BE273" s="73"/>
      <c r="BF273" s="25"/>
      <c r="BG273" s="73"/>
      <c r="BH273" s="73"/>
      <c r="BI273" s="345"/>
      <c r="BJ273" s="73"/>
      <c r="BK273" s="25"/>
      <c r="BL273" s="73"/>
      <c r="BM273" s="73"/>
      <c r="BN273" s="345"/>
      <c r="BO273" s="73"/>
      <c r="BP273" s="25"/>
      <c r="BQ273" s="73"/>
      <c r="BR273" s="73"/>
      <c r="BS273" s="345"/>
      <c r="BT273" s="73"/>
      <c r="BU273" s="25"/>
      <c r="BV273" s="73"/>
      <c r="BW273" s="73"/>
      <c r="BX273" s="345"/>
      <c r="BY273" s="73"/>
      <c r="BZ273" s="25"/>
      <c r="CA273" s="73"/>
      <c r="CB273" s="73"/>
      <c r="CC273" s="345"/>
      <c r="CD273" s="73"/>
      <c r="CE273" s="25"/>
      <c r="CF273" s="73"/>
      <c r="CG273" s="73"/>
      <c r="CH273" s="345"/>
      <c r="CI273" s="73"/>
      <c r="CJ273" s="25"/>
      <c r="CK273" s="73"/>
      <c r="CL273" s="73"/>
      <c r="CM273" s="345"/>
      <c r="CN273" s="73"/>
      <c r="CO273" s="25"/>
      <c r="CP273" s="73"/>
      <c r="CQ273" s="73"/>
      <c r="CR273" s="345"/>
      <c r="CS273" s="73"/>
      <c r="CT273" s="25"/>
      <c r="CU273" s="73"/>
      <c r="CV273" s="73"/>
      <c r="CW273" s="345"/>
      <c r="CX273" s="73"/>
      <c r="CY273" s="25"/>
      <c r="CZ273" s="73"/>
      <c r="DA273" s="73"/>
      <c r="DB273" s="345"/>
      <c r="DC273" s="73"/>
      <c r="DD273" s="25"/>
      <c r="DE273" s="73"/>
      <c r="DF273" s="73"/>
      <c r="DG273" s="345"/>
      <c r="DH273" s="73"/>
      <c r="DI273" s="25"/>
      <c r="DJ273" s="73"/>
      <c r="DK273" s="73"/>
      <c r="DL273" s="345"/>
      <c r="DM273" s="73"/>
      <c r="DN273" s="25"/>
      <c r="DO273" s="73"/>
      <c r="DP273" s="73"/>
      <c r="DQ273" s="345"/>
      <c r="DR273" s="73"/>
      <c r="DS273" s="25"/>
      <c r="DT273" s="73"/>
      <c r="DU273" s="73"/>
      <c r="DV273" s="345"/>
      <c r="DW273" s="73"/>
      <c r="DX273" s="25"/>
      <c r="DY273" s="73"/>
      <c r="DZ273" s="73"/>
      <c r="EA273" s="345"/>
      <c r="EB273" s="73"/>
      <c r="EC273" s="25"/>
      <c r="ED273" s="73"/>
      <c r="EE273" s="73"/>
      <c r="EF273" s="345"/>
      <c r="EG273" s="73"/>
      <c r="EH273" s="25"/>
      <c r="EI273" s="73"/>
      <c r="EJ273" s="73"/>
      <c r="EK273" s="345"/>
      <c r="EL273" s="73"/>
      <c r="EM273" s="25"/>
      <c r="EN273" s="73"/>
      <c r="EO273" s="73"/>
      <c r="EP273" s="345"/>
      <c r="EQ273" s="73"/>
      <c r="ER273" s="25"/>
      <c r="ES273" s="73"/>
      <c r="ET273" s="73"/>
      <c r="EU273" s="345"/>
      <c r="EV273" s="73"/>
      <c r="EW273" s="25"/>
      <c r="EX273" s="73"/>
      <c r="EY273" s="73"/>
      <c r="EZ273" s="345"/>
      <c r="FA273" s="73"/>
      <c r="FB273" s="25"/>
      <c r="FC273" s="73"/>
      <c r="FD273" s="73"/>
      <c r="FE273" s="345"/>
      <c r="FF273" s="73"/>
      <c r="FG273" s="25"/>
      <c r="FH273" s="73"/>
      <c r="FI273" s="73"/>
      <c r="FJ273" s="345"/>
      <c r="FK273" s="73"/>
      <c r="FL273" s="25"/>
      <c r="FM273" s="73"/>
      <c r="FN273" s="73"/>
      <c r="FO273" s="345"/>
      <c r="FP273" s="73"/>
      <c r="FQ273" s="25"/>
      <c r="FR273" s="73"/>
      <c r="FS273" s="73"/>
      <c r="FT273" s="345"/>
      <c r="FU273" s="73"/>
      <c r="FV273" s="25"/>
      <c r="FW273" s="73"/>
      <c r="FX273" s="73"/>
      <c r="FY273" s="345"/>
      <c r="FZ273" s="73"/>
      <c r="GA273" s="25"/>
      <c r="GB273" s="73"/>
      <c r="GC273" s="73"/>
      <c r="GD273" s="345"/>
      <c r="GE273" s="73"/>
      <c r="GF273" s="25"/>
      <c r="GG273" s="73"/>
      <c r="GH273" s="73"/>
      <c r="GI273" s="345"/>
      <c r="GJ273" s="73"/>
      <c r="GK273" s="25"/>
      <c r="GL273" s="73"/>
      <c r="GM273" s="73"/>
      <c r="GN273" s="345"/>
      <c r="GO273" s="73"/>
      <c r="GP273" s="25"/>
      <c r="GQ273" s="73"/>
      <c r="GR273" s="73"/>
      <c r="GS273" s="345"/>
      <c r="GT273" s="73"/>
      <c r="GU273" s="25"/>
      <c r="GV273" s="73"/>
      <c r="GW273" s="73"/>
      <c r="GX273" s="345"/>
      <c r="GY273" s="73"/>
      <c r="GZ273" s="25"/>
      <c r="HA273" s="73"/>
      <c r="HB273" s="73"/>
      <c r="HC273" s="345"/>
      <c r="HD273" s="73"/>
      <c r="HE273" s="25"/>
      <c r="HF273" s="73"/>
      <c r="HG273" s="73"/>
      <c r="HH273" s="345"/>
      <c r="HI273" s="73"/>
      <c r="HJ273" s="25"/>
      <c r="HK273" s="73"/>
      <c r="HL273" s="73"/>
      <c r="HM273" s="345"/>
      <c r="HN273" s="73"/>
      <c r="HO273" s="25"/>
      <c r="HP273" s="73"/>
      <c r="HQ273" s="73"/>
      <c r="HR273" s="345"/>
      <c r="HS273" s="73"/>
      <c r="HT273" s="25"/>
      <c r="HU273" s="73"/>
      <c r="HV273" s="73"/>
      <c r="HW273" s="345"/>
      <c r="HX273" s="73"/>
      <c r="HY273" s="25"/>
      <c r="HZ273" s="73"/>
      <c r="IA273" s="73"/>
      <c r="IB273" s="345"/>
      <c r="IC273" s="73"/>
      <c r="ID273" s="25"/>
      <c r="IE273" s="73"/>
      <c r="IF273" s="73"/>
      <c r="IG273" s="345"/>
      <c r="IH273" s="73"/>
      <c r="II273" s="25"/>
      <c r="IJ273" s="73"/>
      <c r="IK273" s="73"/>
      <c r="IL273" s="345"/>
      <c r="IM273" s="73"/>
      <c r="IN273" s="25"/>
      <c r="IO273" s="73"/>
      <c r="IP273" s="73"/>
      <c r="IQ273" s="345"/>
      <c r="IR273" s="73"/>
      <c r="IS273" s="25"/>
      <c r="IT273" s="73"/>
      <c r="IU273" s="73"/>
      <c r="IV273" s="345"/>
    </row>
    <row r="274" spans="1:256" x14ac:dyDescent="0.2">
      <c r="A274" s="345">
        <v>35854</v>
      </c>
      <c r="B274" s="73"/>
      <c r="C274" s="32"/>
      <c r="D274" s="73"/>
      <c r="E274" s="73"/>
      <c r="F274" s="345"/>
      <c r="G274" s="73"/>
      <c r="H274" s="32"/>
      <c r="I274" s="73"/>
      <c r="J274" s="73"/>
      <c r="K274" s="345"/>
      <c r="L274" s="73"/>
      <c r="M274" s="32"/>
      <c r="N274" s="73"/>
      <c r="O274" s="73"/>
      <c r="P274" s="345"/>
      <c r="Q274" s="73"/>
      <c r="R274" s="32"/>
      <c r="S274" s="73"/>
      <c r="T274" s="73"/>
      <c r="U274" s="345"/>
      <c r="V274" s="73"/>
      <c r="W274" s="32"/>
      <c r="X274" s="73"/>
      <c r="Y274" s="73"/>
      <c r="Z274" s="345"/>
      <c r="AA274" s="73"/>
      <c r="AB274" s="32"/>
      <c r="AC274" s="73"/>
      <c r="AD274" s="73"/>
      <c r="AE274" s="345"/>
      <c r="AF274" s="73"/>
      <c r="AG274" s="32"/>
      <c r="AH274" s="73"/>
      <c r="AI274" s="73"/>
      <c r="AJ274" s="345"/>
      <c r="AK274" s="73"/>
      <c r="AL274" s="32"/>
      <c r="AM274" s="73"/>
      <c r="AN274" s="73"/>
      <c r="AO274" s="345"/>
      <c r="AP274" s="73"/>
      <c r="AQ274" s="32"/>
      <c r="AR274" s="73"/>
      <c r="AS274" s="73"/>
      <c r="AT274" s="345"/>
      <c r="AU274" s="73"/>
      <c r="AV274" s="32"/>
      <c r="AW274" s="73"/>
      <c r="AX274" s="73"/>
      <c r="AY274" s="345"/>
      <c r="AZ274" s="73"/>
      <c r="BA274" s="32"/>
      <c r="BB274" s="73"/>
      <c r="BC274" s="73"/>
      <c r="BD274" s="345"/>
      <c r="BE274" s="73"/>
      <c r="BF274" s="32"/>
      <c r="BG274" s="73"/>
      <c r="BH274" s="73"/>
      <c r="BI274" s="345"/>
      <c r="BJ274" s="73"/>
      <c r="BK274" s="32"/>
      <c r="BL274" s="73"/>
      <c r="BM274" s="73"/>
      <c r="BN274" s="345"/>
      <c r="BO274" s="73"/>
      <c r="BP274" s="32"/>
      <c r="BQ274" s="73"/>
      <c r="BR274" s="73"/>
      <c r="BS274" s="345"/>
      <c r="BT274" s="73"/>
      <c r="BU274" s="32"/>
      <c r="BV274" s="73"/>
      <c r="BW274" s="73"/>
      <c r="BX274" s="345"/>
      <c r="BY274" s="73"/>
      <c r="BZ274" s="32"/>
      <c r="CA274" s="73"/>
      <c r="CB274" s="73"/>
      <c r="CC274" s="345"/>
      <c r="CD274" s="73"/>
      <c r="CE274" s="32"/>
      <c r="CF274" s="73"/>
      <c r="CG274" s="73"/>
      <c r="CH274" s="345"/>
      <c r="CI274" s="73"/>
      <c r="CJ274" s="32"/>
      <c r="CK274" s="73"/>
      <c r="CL274" s="73"/>
      <c r="CM274" s="345"/>
      <c r="CN274" s="73"/>
      <c r="CO274" s="32"/>
      <c r="CP274" s="73"/>
      <c r="CQ274" s="73"/>
      <c r="CR274" s="345"/>
      <c r="CS274" s="73"/>
      <c r="CT274" s="32"/>
      <c r="CU274" s="73"/>
      <c r="CV274" s="73"/>
      <c r="CW274" s="345"/>
      <c r="CX274" s="73"/>
      <c r="CY274" s="32"/>
      <c r="CZ274" s="73"/>
      <c r="DA274" s="73"/>
      <c r="DB274" s="345"/>
      <c r="DC274" s="73"/>
      <c r="DD274" s="32"/>
      <c r="DE274" s="73"/>
      <c r="DF274" s="73"/>
      <c r="DG274" s="345"/>
      <c r="DH274" s="73"/>
      <c r="DI274" s="32"/>
      <c r="DJ274" s="73"/>
      <c r="DK274" s="73"/>
      <c r="DL274" s="345"/>
      <c r="DM274" s="73"/>
      <c r="DN274" s="32"/>
      <c r="DO274" s="73"/>
      <c r="DP274" s="73"/>
      <c r="DQ274" s="345"/>
      <c r="DR274" s="73"/>
      <c r="DS274" s="32"/>
      <c r="DT274" s="73"/>
      <c r="DU274" s="73"/>
      <c r="DV274" s="345"/>
      <c r="DW274" s="73"/>
      <c r="DX274" s="32"/>
      <c r="DY274" s="73"/>
      <c r="DZ274" s="73"/>
      <c r="EA274" s="345"/>
      <c r="EB274" s="73"/>
      <c r="EC274" s="32"/>
      <c r="ED274" s="73"/>
      <c r="EE274" s="73"/>
      <c r="EF274" s="345"/>
      <c r="EG274" s="73"/>
      <c r="EH274" s="32"/>
      <c r="EI274" s="73"/>
      <c r="EJ274" s="73"/>
      <c r="EK274" s="345"/>
      <c r="EL274" s="73"/>
      <c r="EM274" s="32"/>
      <c r="EN274" s="73"/>
      <c r="EO274" s="73"/>
      <c r="EP274" s="345"/>
      <c r="EQ274" s="73"/>
      <c r="ER274" s="32"/>
      <c r="ES274" s="73"/>
      <c r="ET274" s="73"/>
      <c r="EU274" s="345"/>
      <c r="EV274" s="73"/>
      <c r="EW274" s="32"/>
      <c r="EX274" s="73"/>
      <c r="EY274" s="73"/>
      <c r="EZ274" s="345"/>
      <c r="FA274" s="73"/>
      <c r="FB274" s="32"/>
      <c r="FC274" s="73"/>
      <c r="FD274" s="73"/>
      <c r="FE274" s="345"/>
      <c r="FF274" s="73"/>
      <c r="FG274" s="32"/>
      <c r="FH274" s="73"/>
      <c r="FI274" s="73"/>
      <c r="FJ274" s="345"/>
      <c r="FK274" s="73"/>
      <c r="FL274" s="32"/>
      <c r="FM274" s="73"/>
      <c r="FN274" s="73"/>
      <c r="FO274" s="345"/>
      <c r="FP274" s="73"/>
      <c r="FQ274" s="32"/>
      <c r="FR274" s="73"/>
      <c r="FS274" s="73"/>
      <c r="FT274" s="345"/>
      <c r="FU274" s="73"/>
      <c r="FV274" s="32"/>
      <c r="FW274" s="73"/>
      <c r="FX274" s="73"/>
      <c r="FY274" s="345"/>
      <c r="FZ274" s="73"/>
      <c r="GA274" s="32"/>
      <c r="GB274" s="73"/>
      <c r="GC274" s="73"/>
      <c r="GD274" s="345"/>
      <c r="GE274" s="73"/>
      <c r="GF274" s="32"/>
      <c r="GG274" s="73"/>
      <c r="GH274" s="73"/>
      <c r="GI274" s="345"/>
      <c r="GJ274" s="73"/>
      <c r="GK274" s="32"/>
      <c r="GL274" s="73"/>
      <c r="GM274" s="73"/>
      <c r="GN274" s="345"/>
      <c r="GO274" s="73"/>
      <c r="GP274" s="32"/>
      <c r="GQ274" s="73"/>
      <c r="GR274" s="73"/>
      <c r="GS274" s="345"/>
      <c r="GT274" s="73"/>
      <c r="GU274" s="32"/>
      <c r="GV274" s="73"/>
      <c r="GW274" s="73"/>
      <c r="GX274" s="345"/>
      <c r="GY274" s="73"/>
      <c r="GZ274" s="32"/>
      <c r="HA274" s="73"/>
      <c r="HB274" s="73"/>
      <c r="HC274" s="345"/>
      <c r="HD274" s="73"/>
      <c r="HE274" s="32"/>
      <c r="HF274" s="73"/>
      <c r="HG274" s="73"/>
      <c r="HH274" s="345"/>
      <c r="HI274" s="73"/>
      <c r="HJ274" s="32"/>
      <c r="HK274" s="73"/>
      <c r="HL274" s="73"/>
      <c r="HM274" s="345"/>
      <c r="HN274" s="73"/>
      <c r="HO274" s="32"/>
      <c r="HP274" s="73"/>
      <c r="HQ274" s="73"/>
      <c r="HR274" s="345"/>
      <c r="HS274" s="73"/>
      <c r="HT274" s="32"/>
      <c r="HU274" s="73"/>
      <c r="HV274" s="73"/>
      <c r="HW274" s="345"/>
      <c r="HX274" s="73"/>
      <c r="HY274" s="32"/>
      <c r="HZ274" s="73"/>
      <c r="IA274" s="73"/>
      <c r="IB274" s="345"/>
      <c r="IC274" s="73"/>
      <c r="ID274" s="32"/>
      <c r="IE274" s="73"/>
      <c r="IF274" s="73"/>
      <c r="IG274" s="345"/>
      <c r="IH274" s="73"/>
      <c r="II274" s="32"/>
      <c r="IJ274" s="73"/>
      <c r="IK274" s="73"/>
      <c r="IL274" s="345"/>
      <c r="IM274" s="73"/>
      <c r="IN274" s="32"/>
      <c r="IO274" s="73"/>
      <c r="IP274" s="73"/>
      <c r="IQ274" s="345"/>
      <c r="IR274" s="73"/>
      <c r="IS274" s="32"/>
      <c r="IT274" s="73"/>
      <c r="IU274" s="73"/>
      <c r="IV274" s="345"/>
    </row>
    <row r="275" spans="1:256" x14ac:dyDescent="0.2">
      <c r="A275" s="345">
        <v>35885</v>
      </c>
      <c r="B275" s="73"/>
      <c r="C275" s="32"/>
      <c r="D275" s="73"/>
      <c r="E275" s="73"/>
      <c r="F275" s="345"/>
      <c r="G275" s="73"/>
      <c r="H275" s="32"/>
      <c r="I275" s="73"/>
      <c r="J275" s="73"/>
      <c r="K275" s="345"/>
      <c r="L275" s="73"/>
      <c r="M275" s="32"/>
      <c r="N275" s="73"/>
      <c r="O275" s="73"/>
      <c r="P275" s="345"/>
      <c r="Q275" s="73"/>
      <c r="R275" s="32"/>
      <c r="S275" s="73"/>
      <c r="T275" s="73"/>
      <c r="U275" s="345"/>
      <c r="V275" s="73"/>
      <c r="W275" s="32"/>
      <c r="X275" s="73"/>
      <c r="Y275" s="73"/>
      <c r="Z275" s="345"/>
      <c r="AA275" s="73"/>
      <c r="AB275" s="32"/>
      <c r="AC275" s="73"/>
      <c r="AD275" s="73"/>
      <c r="AE275" s="345"/>
      <c r="AF275" s="73"/>
      <c r="AG275" s="32"/>
      <c r="AH275" s="73"/>
      <c r="AI275" s="73"/>
      <c r="AJ275" s="345"/>
      <c r="AK275" s="73"/>
      <c r="AL275" s="32"/>
      <c r="AM275" s="73"/>
      <c r="AN275" s="73"/>
      <c r="AO275" s="345"/>
      <c r="AP275" s="73"/>
      <c r="AQ275" s="32"/>
      <c r="AR275" s="73"/>
      <c r="AS275" s="73"/>
      <c r="AT275" s="345"/>
      <c r="AU275" s="73"/>
      <c r="AV275" s="32"/>
      <c r="AW275" s="73"/>
      <c r="AX275" s="73"/>
      <c r="AY275" s="345"/>
      <c r="AZ275" s="73"/>
      <c r="BA275" s="32"/>
      <c r="BB275" s="73"/>
      <c r="BC275" s="73"/>
      <c r="BD275" s="345"/>
      <c r="BE275" s="73"/>
      <c r="BF275" s="32"/>
      <c r="BG275" s="73"/>
      <c r="BH275" s="73"/>
      <c r="BI275" s="345"/>
      <c r="BJ275" s="73"/>
      <c r="BK275" s="32"/>
      <c r="BL275" s="73"/>
      <c r="BM275" s="73"/>
      <c r="BN275" s="345"/>
      <c r="BO275" s="73"/>
      <c r="BP275" s="32"/>
      <c r="BQ275" s="73"/>
      <c r="BR275" s="73"/>
      <c r="BS275" s="345"/>
      <c r="BT275" s="73"/>
      <c r="BU275" s="32"/>
      <c r="BV275" s="73"/>
      <c r="BW275" s="73"/>
      <c r="BX275" s="345"/>
      <c r="BY275" s="73"/>
      <c r="BZ275" s="32"/>
      <c r="CA275" s="73"/>
      <c r="CB275" s="73"/>
      <c r="CC275" s="345"/>
      <c r="CD275" s="73"/>
      <c r="CE275" s="32"/>
      <c r="CF275" s="73"/>
      <c r="CG275" s="73"/>
      <c r="CH275" s="345"/>
      <c r="CI275" s="73"/>
      <c r="CJ275" s="32"/>
      <c r="CK275" s="73"/>
      <c r="CL275" s="73"/>
      <c r="CM275" s="345"/>
      <c r="CN275" s="73"/>
      <c r="CO275" s="32"/>
      <c r="CP275" s="73"/>
      <c r="CQ275" s="73"/>
      <c r="CR275" s="345"/>
      <c r="CS275" s="73"/>
      <c r="CT275" s="32"/>
      <c r="CU275" s="73"/>
      <c r="CV275" s="73"/>
      <c r="CW275" s="345"/>
      <c r="CX275" s="73"/>
      <c r="CY275" s="32"/>
      <c r="CZ275" s="73"/>
      <c r="DA275" s="73"/>
      <c r="DB275" s="345"/>
      <c r="DC275" s="73"/>
      <c r="DD275" s="32"/>
      <c r="DE275" s="73"/>
      <c r="DF275" s="73"/>
      <c r="DG275" s="345"/>
      <c r="DH275" s="73"/>
      <c r="DI275" s="32"/>
      <c r="DJ275" s="73"/>
      <c r="DK275" s="73"/>
      <c r="DL275" s="345"/>
      <c r="DM275" s="73"/>
      <c r="DN275" s="32"/>
      <c r="DO275" s="73"/>
      <c r="DP275" s="73"/>
      <c r="DQ275" s="345"/>
      <c r="DR275" s="73"/>
      <c r="DS275" s="32"/>
      <c r="DT275" s="73"/>
      <c r="DU275" s="73"/>
      <c r="DV275" s="345"/>
      <c r="DW275" s="73"/>
      <c r="DX275" s="32"/>
      <c r="DY275" s="73"/>
      <c r="DZ275" s="73"/>
      <c r="EA275" s="345"/>
      <c r="EB275" s="73"/>
      <c r="EC275" s="32"/>
      <c r="ED275" s="73"/>
      <c r="EE275" s="73"/>
      <c r="EF275" s="345"/>
      <c r="EG275" s="73"/>
      <c r="EH275" s="32"/>
      <c r="EI275" s="73"/>
      <c r="EJ275" s="73"/>
      <c r="EK275" s="345"/>
      <c r="EL275" s="73"/>
      <c r="EM275" s="32"/>
      <c r="EN275" s="73"/>
      <c r="EO275" s="73"/>
      <c r="EP275" s="345"/>
      <c r="EQ275" s="73"/>
      <c r="ER275" s="32"/>
      <c r="ES275" s="73"/>
      <c r="ET275" s="73"/>
      <c r="EU275" s="345"/>
      <c r="EV275" s="73"/>
      <c r="EW275" s="32"/>
      <c r="EX275" s="73"/>
      <c r="EY275" s="73"/>
      <c r="EZ275" s="345"/>
      <c r="FA275" s="73"/>
      <c r="FB275" s="32"/>
      <c r="FC275" s="73"/>
      <c r="FD275" s="73"/>
      <c r="FE275" s="345"/>
      <c r="FF275" s="73"/>
      <c r="FG275" s="32"/>
      <c r="FH275" s="73"/>
      <c r="FI275" s="73"/>
      <c r="FJ275" s="345"/>
      <c r="FK275" s="73"/>
      <c r="FL275" s="32"/>
      <c r="FM275" s="73"/>
      <c r="FN275" s="73"/>
      <c r="FO275" s="345"/>
      <c r="FP275" s="73"/>
      <c r="FQ275" s="32"/>
      <c r="FR275" s="73"/>
      <c r="FS275" s="73"/>
      <c r="FT275" s="345"/>
      <c r="FU275" s="73"/>
      <c r="FV275" s="32"/>
      <c r="FW275" s="73"/>
      <c r="FX275" s="73"/>
      <c r="FY275" s="345"/>
      <c r="FZ275" s="73"/>
      <c r="GA275" s="32"/>
      <c r="GB275" s="73"/>
      <c r="GC275" s="73"/>
      <c r="GD275" s="345"/>
      <c r="GE275" s="73"/>
      <c r="GF275" s="32"/>
      <c r="GG275" s="73"/>
      <c r="GH275" s="73"/>
      <c r="GI275" s="345"/>
      <c r="GJ275" s="73"/>
      <c r="GK275" s="32"/>
      <c r="GL275" s="73"/>
      <c r="GM275" s="73"/>
      <c r="GN275" s="345"/>
      <c r="GO275" s="73"/>
      <c r="GP275" s="32"/>
      <c r="GQ275" s="73"/>
      <c r="GR275" s="73"/>
      <c r="GS275" s="345"/>
      <c r="GT275" s="73"/>
      <c r="GU275" s="32"/>
      <c r="GV275" s="73"/>
      <c r="GW275" s="73"/>
      <c r="GX275" s="345"/>
      <c r="GY275" s="73"/>
      <c r="GZ275" s="32"/>
      <c r="HA275" s="73"/>
      <c r="HB275" s="73"/>
      <c r="HC275" s="345"/>
      <c r="HD275" s="73"/>
      <c r="HE275" s="32"/>
      <c r="HF275" s="73"/>
      <c r="HG275" s="73"/>
      <c r="HH275" s="345"/>
      <c r="HI275" s="73"/>
      <c r="HJ275" s="32"/>
      <c r="HK275" s="73"/>
      <c r="HL275" s="73"/>
      <c r="HM275" s="345"/>
      <c r="HN275" s="73"/>
      <c r="HO275" s="32"/>
      <c r="HP275" s="73"/>
      <c r="HQ275" s="73"/>
      <c r="HR275" s="345"/>
      <c r="HS275" s="73"/>
      <c r="HT275" s="32"/>
      <c r="HU275" s="73"/>
      <c r="HV275" s="73"/>
      <c r="HW275" s="345"/>
      <c r="HX275" s="73"/>
      <c r="HY275" s="32"/>
      <c r="HZ275" s="73"/>
      <c r="IA275" s="73"/>
      <c r="IB275" s="345"/>
      <c r="IC275" s="73"/>
      <c r="ID275" s="32"/>
      <c r="IE275" s="73"/>
      <c r="IF275" s="73"/>
      <c r="IG275" s="345"/>
      <c r="IH275" s="73"/>
      <c r="II275" s="32"/>
      <c r="IJ275" s="73"/>
      <c r="IK275" s="73"/>
      <c r="IL275" s="345"/>
      <c r="IM275" s="73"/>
      <c r="IN275" s="32"/>
      <c r="IO275" s="73"/>
      <c r="IP275" s="73"/>
      <c r="IQ275" s="345"/>
      <c r="IR275" s="73"/>
      <c r="IS275" s="32"/>
      <c r="IT275" s="73"/>
      <c r="IU275" s="73"/>
      <c r="IV275" s="345"/>
    </row>
    <row r="276" spans="1:256" x14ac:dyDescent="0.2">
      <c r="A276" s="345">
        <v>35915</v>
      </c>
      <c r="B276" s="73"/>
      <c r="C276" s="32"/>
      <c r="D276" s="73"/>
      <c r="E276" s="73"/>
      <c r="F276" s="345"/>
      <c r="G276" s="73"/>
      <c r="H276" s="32"/>
      <c r="I276" s="73"/>
      <c r="J276" s="73"/>
      <c r="K276" s="345"/>
      <c r="L276" s="73"/>
      <c r="M276" s="32"/>
      <c r="N276" s="73"/>
      <c r="O276" s="73"/>
      <c r="P276" s="345"/>
      <c r="Q276" s="73"/>
      <c r="R276" s="32"/>
      <c r="S276" s="73"/>
      <c r="T276" s="73"/>
      <c r="U276" s="345"/>
      <c r="V276" s="73"/>
      <c r="W276" s="32"/>
      <c r="X276" s="73"/>
      <c r="Y276" s="73"/>
      <c r="Z276" s="345"/>
      <c r="AA276" s="73"/>
      <c r="AB276" s="32"/>
      <c r="AC276" s="73"/>
      <c r="AD276" s="73"/>
      <c r="AE276" s="345"/>
      <c r="AF276" s="73"/>
      <c r="AG276" s="32"/>
      <c r="AH276" s="73"/>
      <c r="AI276" s="73"/>
      <c r="AJ276" s="345"/>
      <c r="AK276" s="73"/>
      <c r="AL276" s="32"/>
      <c r="AM276" s="73"/>
      <c r="AN276" s="73"/>
      <c r="AO276" s="345"/>
      <c r="AP276" s="73"/>
      <c r="AQ276" s="32"/>
      <c r="AR276" s="73"/>
      <c r="AS276" s="73"/>
      <c r="AT276" s="345"/>
      <c r="AU276" s="73"/>
      <c r="AV276" s="32"/>
      <c r="AW276" s="73"/>
      <c r="AX276" s="73"/>
      <c r="AY276" s="345"/>
      <c r="AZ276" s="73"/>
      <c r="BA276" s="32"/>
      <c r="BB276" s="73"/>
      <c r="BC276" s="73"/>
      <c r="BD276" s="345"/>
      <c r="BE276" s="73"/>
      <c r="BF276" s="32"/>
      <c r="BG276" s="73"/>
      <c r="BH276" s="73"/>
      <c r="BI276" s="345"/>
      <c r="BJ276" s="73"/>
      <c r="BK276" s="32"/>
      <c r="BL276" s="73"/>
      <c r="BM276" s="73"/>
      <c r="BN276" s="345"/>
      <c r="BO276" s="73"/>
      <c r="BP276" s="32"/>
      <c r="BQ276" s="73"/>
      <c r="BR276" s="73"/>
      <c r="BS276" s="345"/>
      <c r="BT276" s="73"/>
      <c r="BU276" s="32"/>
      <c r="BV276" s="73"/>
      <c r="BW276" s="73"/>
      <c r="BX276" s="345"/>
      <c r="BY276" s="73"/>
      <c r="BZ276" s="32"/>
      <c r="CA276" s="73"/>
      <c r="CB276" s="73"/>
      <c r="CC276" s="345"/>
      <c r="CD276" s="73"/>
      <c r="CE276" s="32"/>
      <c r="CF276" s="73"/>
      <c r="CG276" s="73"/>
      <c r="CH276" s="345"/>
      <c r="CI276" s="73"/>
      <c r="CJ276" s="32"/>
      <c r="CK276" s="73"/>
      <c r="CL276" s="73"/>
      <c r="CM276" s="345"/>
      <c r="CN276" s="73"/>
      <c r="CO276" s="32"/>
      <c r="CP276" s="73"/>
      <c r="CQ276" s="73"/>
      <c r="CR276" s="345"/>
      <c r="CS276" s="73"/>
      <c r="CT276" s="32"/>
      <c r="CU276" s="73"/>
      <c r="CV276" s="73"/>
      <c r="CW276" s="345"/>
      <c r="CX276" s="73"/>
      <c r="CY276" s="32"/>
      <c r="CZ276" s="73"/>
      <c r="DA276" s="73"/>
      <c r="DB276" s="345"/>
      <c r="DC276" s="73"/>
      <c r="DD276" s="32"/>
      <c r="DE276" s="73"/>
      <c r="DF276" s="73"/>
      <c r="DG276" s="345"/>
      <c r="DH276" s="73"/>
      <c r="DI276" s="32"/>
      <c r="DJ276" s="73"/>
      <c r="DK276" s="73"/>
      <c r="DL276" s="345"/>
      <c r="DM276" s="73"/>
      <c r="DN276" s="32"/>
      <c r="DO276" s="73"/>
      <c r="DP276" s="73"/>
      <c r="DQ276" s="345"/>
      <c r="DR276" s="73"/>
      <c r="DS276" s="32"/>
      <c r="DT276" s="73"/>
      <c r="DU276" s="73"/>
      <c r="DV276" s="345"/>
      <c r="DW276" s="73"/>
      <c r="DX276" s="32"/>
      <c r="DY276" s="73"/>
      <c r="DZ276" s="73"/>
      <c r="EA276" s="345"/>
      <c r="EB276" s="73"/>
      <c r="EC276" s="32"/>
      <c r="ED276" s="73"/>
      <c r="EE276" s="73"/>
      <c r="EF276" s="345"/>
      <c r="EG276" s="73"/>
      <c r="EH276" s="32"/>
      <c r="EI276" s="73"/>
      <c r="EJ276" s="73"/>
      <c r="EK276" s="345"/>
      <c r="EL276" s="73"/>
      <c r="EM276" s="32"/>
      <c r="EN276" s="73"/>
      <c r="EO276" s="73"/>
      <c r="EP276" s="345"/>
      <c r="EQ276" s="73"/>
      <c r="ER276" s="32"/>
      <c r="ES276" s="73"/>
      <c r="ET276" s="73"/>
      <c r="EU276" s="345"/>
      <c r="EV276" s="73"/>
      <c r="EW276" s="32"/>
      <c r="EX276" s="73"/>
      <c r="EY276" s="73"/>
      <c r="EZ276" s="345"/>
      <c r="FA276" s="73"/>
      <c r="FB276" s="32"/>
      <c r="FC276" s="73"/>
      <c r="FD276" s="73"/>
      <c r="FE276" s="345"/>
      <c r="FF276" s="73"/>
      <c r="FG276" s="32"/>
      <c r="FH276" s="73"/>
      <c r="FI276" s="73"/>
      <c r="FJ276" s="345"/>
      <c r="FK276" s="73"/>
      <c r="FL276" s="32"/>
      <c r="FM276" s="73"/>
      <c r="FN276" s="73"/>
      <c r="FO276" s="345"/>
      <c r="FP276" s="73"/>
      <c r="FQ276" s="32"/>
      <c r="FR276" s="73"/>
      <c r="FS276" s="73"/>
      <c r="FT276" s="345"/>
      <c r="FU276" s="73"/>
      <c r="FV276" s="32"/>
      <c r="FW276" s="73"/>
      <c r="FX276" s="73"/>
      <c r="FY276" s="345"/>
      <c r="FZ276" s="73"/>
      <c r="GA276" s="32"/>
      <c r="GB276" s="73"/>
      <c r="GC276" s="73"/>
      <c r="GD276" s="345"/>
      <c r="GE276" s="73"/>
      <c r="GF276" s="32"/>
      <c r="GG276" s="73"/>
      <c r="GH276" s="73"/>
      <c r="GI276" s="345"/>
      <c r="GJ276" s="73"/>
      <c r="GK276" s="32"/>
      <c r="GL276" s="73"/>
      <c r="GM276" s="73"/>
      <c r="GN276" s="345"/>
      <c r="GO276" s="73"/>
      <c r="GP276" s="32"/>
      <c r="GQ276" s="73"/>
      <c r="GR276" s="73"/>
      <c r="GS276" s="345"/>
      <c r="GT276" s="73"/>
      <c r="GU276" s="32"/>
      <c r="GV276" s="73"/>
      <c r="GW276" s="73"/>
      <c r="GX276" s="345"/>
      <c r="GY276" s="73"/>
      <c r="GZ276" s="32"/>
      <c r="HA276" s="73"/>
      <c r="HB276" s="73"/>
      <c r="HC276" s="345"/>
      <c r="HD276" s="73"/>
      <c r="HE276" s="32"/>
      <c r="HF276" s="73"/>
      <c r="HG276" s="73"/>
      <c r="HH276" s="345"/>
      <c r="HI276" s="73"/>
      <c r="HJ276" s="32"/>
      <c r="HK276" s="73"/>
      <c r="HL276" s="73"/>
      <c r="HM276" s="345"/>
      <c r="HN276" s="73"/>
      <c r="HO276" s="32"/>
      <c r="HP276" s="73"/>
      <c r="HQ276" s="73"/>
      <c r="HR276" s="345"/>
      <c r="HS276" s="73"/>
      <c r="HT276" s="32"/>
      <c r="HU276" s="73"/>
      <c r="HV276" s="73"/>
      <c r="HW276" s="345"/>
      <c r="HX276" s="73"/>
      <c r="HY276" s="32"/>
      <c r="HZ276" s="73"/>
      <c r="IA276" s="73"/>
      <c r="IB276" s="345"/>
      <c r="IC276" s="73"/>
      <c r="ID276" s="32"/>
      <c r="IE276" s="73"/>
      <c r="IF276" s="73"/>
      <c r="IG276" s="345"/>
      <c r="IH276" s="73"/>
      <c r="II276" s="32"/>
      <c r="IJ276" s="73"/>
      <c r="IK276" s="73"/>
      <c r="IL276" s="345"/>
      <c r="IM276" s="73"/>
      <c r="IN276" s="32"/>
      <c r="IO276" s="73"/>
      <c r="IP276" s="73"/>
      <c r="IQ276" s="345"/>
      <c r="IR276" s="73"/>
      <c r="IS276" s="32"/>
      <c r="IT276" s="73"/>
      <c r="IU276" s="73"/>
      <c r="IV276" s="345"/>
    </row>
    <row r="277" spans="1:256" x14ac:dyDescent="0.2">
      <c r="A277" s="345">
        <v>35946</v>
      </c>
      <c r="B277" s="73"/>
      <c r="C277" s="32"/>
      <c r="D277" s="73"/>
      <c r="E277" s="73"/>
      <c r="F277" s="345"/>
      <c r="G277" s="73"/>
      <c r="H277" s="32"/>
      <c r="I277" s="73"/>
      <c r="J277" s="73"/>
      <c r="K277" s="345"/>
      <c r="L277" s="73"/>
      <c r="M277" s="32"/>
      <c r="N277" s="73"/>
      <c r="O277" s="73"/>
      <c r="P277" s="345"/>
      <c r="Q277" s="73"/>
      <c r="R277" s="32"/>
      <c r="S277" s="73"/>
      <c r="T277" s="73"/>
      <c r="U277" s="345"/>
      <c r="V277" s="73"/>
      <c r="W277" s="32"/>
      <c r="X277" s="73"/>
      <c r="Y277" s="73"/>
      <c r="Z277" s="345"/>
      <c r="AA277" s="73"/>
      <c r="AB277" s="32"/>
      <c r="AC277" s="73"/>
      <c r="AD277" s="73"/>
      <c r="AE277" s="345"/>
      <c r="AF277" s="73"/>
      <c r="AG277" s="32"/>
      <c r="AH277" s="73"/>
      <c r="AI277" s="73"/>
      <c r="AJ277" s="345"/>
      <c r="AK277" s="73"/>
      <c r="AL277" s="32"/>
      <c r="AM277" s="73"/>
      <c r="AN277" s="73"/>
      <c r="AO277" s="345"/>
      <c r="AP277" s="73"/>
      <c r="AQ277" s="32"/>
      <c r="AR277" s="73"/>
      <c r="AS277" s="73"/>
      <c r="AT277" s="345"/>
      <c r="AU277" s="73"/>
      <c r="AV277" s="32"/>
      <c r="AW277" s="73"/>
      <c r="AX277" s="73"/>
      <c r="AY277" s="345"/>
      <c r="AZ277" s="73"/>
      <c r="BA277" s="32"/>
      <c r="BB277" s="73"/>
      <c r="BC277" s="73"/>
      <c r="BD277" s="345"/>
      <c r="BE277" s="73"/>
      <c r="BF277" s="32"/>
      <c r="BG277" s="73"/>
      <c r="BH277" s="73"/>
      <c r="BI277" s="345"/>
      <c r="BJ277" s="73"/>
      <c r="BK277" s="32"/>
      <c r="BL277" s="73"/>
      <c r="BM277" s="73"/>
      <c r="BN277" s="345"/>
      <c r="BO277" s="73"/>
      <c r="BP277" s="32"/>
      <c r="BQ277" s="73"/>
      <c r="BR277" s="73"/>
      <c r="BS277" s="345"/>
      <c r="BT277" s="73"/>
      <c r="BU277" s="32"/>
      <c r="BV277" s="73"/>
      <c r="BW277" s="73"/>
      <c r="BX277" s="345"/>
      <c r="BY277" s="73"/>
      <c r="BZ277" s="32"/>
      <c r="CA277" s="73"/>
      <c r="CB277" s="73"/>
      <c r="CC277" s="345"/>
      <c r="CD277" s="73"/>
      <c r="CE277" s="32"/>
      <c r="CF277" s="73"/>
      <c r="CG277" s="73"/>
      <c r="CH277" s="345"/>
      <c r="CI277" s="73"/>
      <c r="CJ277" s="32"/>
      <c r="CK277" s="73"/>
      <c r="CL277" s="73"/>
      <c r="CM277" s="345"/>
      <c r="CN277" s="73"/>
      <c r="CO277" s="32"/>
      <c r="CP277" s="73"/>
      <c r="CQ277" s="73"/>
      <c r="CR277" s="345"/>
      <c r="CS277" s="73"/>
      <c r="CT277" s="32"/>
      <c r="CU277" s="73"/>
      <c r="CV277" s="73"/>
      <c r="CW277" s="345"/>
      <c r="CX277" s="73"/>
      <c r="CY277" s="32"/>
      <c r="CZ277" s="73"/>
      <c r="DA277" s="73"/>
      <c r="DB277" s="345"/>
      <c r="DC277" s="73"/>
      <c r="DD277" s="32"/>
      <c r="DE277" s="73"/>
      <c r="DF277" s="73"/>
      <c r="DG277" s="345"/>
      <c r="DH277" s="73"/>
      <c r="DI277" s="32"/>
      <c r="DJ277" s="73"/>
      <c r="DK277" s="73"/>
      <c r="DL277" s="345"/>
      <c r="DM277" s="73"/>
      <c r="DN277" s="32"/>
      <c r="DO277" s="73"/>
      <c r="DP277" s="73"/>
      <c r="DQ277" s="345"/>
      <c r="DR277" s="73"/>
      <c r="DS277" s="32"/>
      <c r="DT277" s="73"/>
      <c r="DU277" s="73"/>
      <c r="DV277" s="345"/>
      <c r="DW277" s="73"/>
      <c r="DX277" s="32"/>
      <c r="DY277" s="73"/>
      <c r="DZ277" s="73"/>
      <c r="EA277" s="345"/>
      <c r="EB277" s="73"/>
      <c r="EC277" s="32"/>
      <c r="ED277" s="73"/>
      <c r="EE277" s="73"/>
      <c r="EF277" s="345"/>
      <c r="EG277" s="73"/>
      <c r="EH277" s="32"/>
      <c r="EI277" s="73"/>
      <c r="EJ277" s="73"/>
      <c r="EK277" s="345"/>
      <c r="EL277" s="73"/>
      <c r="EM277" s="32"/>
      <c r="EN277" s="73"/>
      <c r="EO277" s="73"/>
      <c r="EP277" s="345"/>
      <c r="EQ277" s="73"/>
      <c r="ER277" s="32"/>
      <c r="ES277" s="73"/>
      <c r="ET277" s="73"/>
      <c r="EU277" s="345"/>
      <c r="EV277" s="73"/>
      <c r="EW277" s="32"/>
      <c r="EX277" s="73"/>
      <c r="EY277" s="73"/>
      <c r="EZ277" s="345"/>
      <c r="FA277" s="73"/>
      <c r="FB277" s="32"/>
      <c r="FC277" s="73"/>
      <c r="FD277" s="73"/>
      <c r="FE277" s="345"/>
      <c r="FF277" s="73"/>
      <c r="FG277" s="32"/>
      <c r="FH277" s="73"/>
      <c r="FI277" s="73"/>
      <c r="FJ277" s="345"/>
      <c r="FK277" s="73"/>
      <c r="FL277" s="32"/>
      <c r="FM277" s="73"/>
      <c r="FN277" s="73"/>
      <c r="FO277" s="345"/>
      <c r="FP277" s="73"/>
      <c r="FQ277" s="32"/>
      <c r="FR277" s="73"/>
      <c r="FS277" s="73"/>
      <c r="FT277" s="345"/>
      <c r="FU277" s="73"/>
      <c r="FV277" s="32"/>
      <c r="FW277" s="73"/>
      <c r="FX277" s="73"/>
      <c r="FY277" s="345"/>
      <c r="FZ277" s="73"/>
      <c r="GA277" s="32"/>
      <c r="GB277" s="73"/>
      <c r="GC277" s="73"/>
      <c r="GD277" s="345"/>
      <c r="GE277" s="73"/>
      <c r="GF277" s="32"/>
      <c r="GG277" s="73"/>
      <c r="GH277" s="73"/>
      <c r="GI277" s="345"/>
      <c r="GJ277" s="73"/>
      <c r="GK277" s="32"/>
      <c r="GL277" s="73"/>
      <c r="GM277" s="73"/>
      <c r="GN277" s="345"/>
      <c r="GO277" s="73"/>
      <c r="GP277" s="32"/>
      <c r="GQ277" s="73"/>
      <c r="GR277" s="73"/>
      <c r="GS277" s="345"/>
      <c r="GT277" s="73"/>
      <c r="GU277" s="32"/>
      <c r="GV277" s="73"/>
      <c r="GW277" s="73"/>
      <c r="GX277" s="345"/>
      <c r="GY277" s="73"/>
      <c r="GZ277" s="32"/>
      <c r="HA277" s="73"/>
      <c r="HB277" s="73"/>
      <c r="HC277" s="345"/>
      <c r="HD277" s="73"/>
      <c r="HE277" s="32"/>
      <c r="HF277" s="73"/>
      <c r="HG277" s="73"/>
      <c r="HH277" s="345"/>
      <c r="HI277" s="73"/>
      <c r="HJ277" s="32"/>
      <c r="HK277" s="73"/>
      <c r="HL277" s="73"/>
      <c r="HM277" s="345"/>
      <c r="HN277" s="73"/>
      <c r="HO277" s="32"/>
      <c r="HP277" s="73"/>
      <c r="HQ277" s="73"/>
      <c r="HR277" s="345"/>
      <c r="HS277" s="73"/>
      <c r="HT277" s="32"/>
      <c r="HU277" s="73"/>
      <c r="HV277" s="73"/>
      <c r="HW277" s="345"/>
      <c r="HX277" s="73"/>
      <c r="HY277" s="32"/>
      <c r="HZ277" s="73"/>
      <c r="IA277" s="73"/>
      <c r="IB277" s="345"/>
      <c r="IC277" s="73"/>
      <c r="ID277" s="32"/>
      <c r="IE277" s="73"/>
      <c r="IF277" s="73"/>
      <c r="IG277" s="345"/>
      <c r="IH277" s="73"/>
      <c r="II277" s="32"/>
      <c r="IJ277" s="73"/>
      <c r="IK277" s="73"/>
      <c r="IL277" s="345"/>
      <c r="IM277" s="73"/>
      <c r="IN277" s="32"/>
      <c r="IO277" s="73"/>
      <c r="IP277" s="73"/>
      <c r="IQ277" s="345"/>
      <c r="IR277" s="73"/>
      <c r="IS277" s="32"/>
      <c r="IT277" s="73"/>
      <c r="IU277" s="73"/>
      <c r="IV277" s="345"/>
    </row>
    <row r="278" spans="1:256" x14ac:dyDescent="0.2">
      <c r="A278" s="345">
        <v>35976</v>
      </c>
      <c r="B278" s="73"/>
      <c r="C278" s="32"/>
      <c r="D278" s="73"/>
      <c r="E278" s="73"/>
      <c r="F278" s="345"/>
      <c r="G278" s="73"/>
      <c r="H278" s="32"/>
      <c r="I278" s="73"/>
      <c r="J278" s="73"/>
      <c r="K278" s="345"/>
      <c r="L278" s="73"/>
      <c r="M278" s="32"/>
      <c r="N278" s="73"/>
      <c r="O278" s="73"/>
      <c r="P278" s="345"/>
      <c r="Q278" s="73"/>
      <c r="R278" s="32"/>
      <c r="S278" s="73"/>
      <c r="T278" s="73"/>
      <c r="U278" s="345"/>
      <c r="V278" s="73"/>
      <c r="W278" s="32"/>
      <c r="X278" s="73"/>
      <c r="Y278" s="73"/>
      <c r="Z278" s="345"/>
      <c r="AA278" s="73"/>
      <c r="AB278" s="32"/>
      <c r="AC278" s="73"/>
      <c r="AD278" s="73"/>
      <c r="AE278" s="345"/>
      <c r="AF278" s="73"/>
      <c r="AG278" s="32"/>
      <c r="AH278" s="73"/>
      <c r="AI278" s="73"/>
      <c r="AJ278" s="345"/>
      <c r="AK278" s="73"/>
      <c r="AL278" s="32"/>
      <c r="AM278" s="73"/>
      <c r="AN278" s="73"/>
      <c r="AO278" s="345"/>
      <c r="AP278" s="73"/>
      <c r="AQ278" s="32"/>
      <c r="AR278" s="73"/>
      <c r="AS278" s="73"/>
      <c r="AT278" s="345"/>
      <c r="AU278" s="73"/>
      <c r="AV278" s="32"/>
      <c r="AW278" s="73"/>
      <c r="AX278" s="73"/>
      <c r="AY278" s="345"/>
      <c r="AZ278" s="73"/>
      <c r="BA278" s="32"/>
      <c r="BB278" s="73"/>
      <c r="BC278" s="73"/>
      <c r="BD278" s="345"/>
      <c r="BE278" s="73"/>
      <c r="BF278" s="32"/>
      <c r="BG278" s="73"/>
      <c r="BH278" s="73"/>
      <c r="BI278" s="345"/>
      <c r="BJ278" s="73"/>
      <c r="BK278" s="32"/>
      <c r="BL278" s="73"/>
      <c r="BM278" s="73"/>
      <c r="BN278" s="345"/>
      <c r="BO278" s="73"/>
      <c r="BP278" s="32"/>
      <c r="BQ278" s="73"/>
      <c r="BR278" s="73"/>
      <c r="BS278" s="345"/>
      <c r="BT278" s="73"/>
      <c r="BU278" s="32"/>
      <c r="BV278" s="73"/>
      <c r="BW278" s="73"/>
      <c r="BX278" s="345"/>
      <c r="BY278" s="73"/>
      <c r="BZ278" s="32"/>
      <c r="CA278" s="73"/>
      <c r="CB278" s="73"/>
      <c r="CC278" s="345"/>
      <c r="CD278" s="73"/>
      <c r="CE278" s="32"/>
      <c r="CF278" s="73"/>
      <c r="CG278" s="73"/>
      <c r="CH278" s="345"/>
      <c r="CI278" s="73"/>
      <c r="CJ278" s="32"/>
      <c r="CK278" s="73"/>
      <c r="CL278" s="73"/>
      <c r="CM278" s="345"/>
      <c r="CN278" s="73"/>
      <c r="CO278" s="32"/>
      <c r="CP278" s="73"/>
      <c r="CQ278" s="73"/>
      <c r="CR278" s="345"/>
      <c r="CS278" s="73"/>
      <c r="CT278" s="32"/>
      <c r="CU278" s="73"/>
      <c r="CV278" s="73"/>
      <c r="CW278" s="345"/>
      <c r="CX278" s="73"/>
      <c r="CY278" s="32"/>
      <c r="CZ278" s="73"/>
      <c r="DA278" s="73"/>
      <c r="DB278" s="345"/>
      <c r="DC278" s="73"/>
      <c r="DD278" s="32"/>
      <c r="DE278" s="73"/>
      <c r="DF278" s="73"/>
      <c r="DG278" s="345"/>
      <c r="DH278" s="73"/>
      <c r="DI278" s="32"/>
      <c r="DJ278" s="73"/>
      <c r="DK278" s="73"/>
      <c r="DL278" s="345"/>
      <c r="DM278" s="73"/>
      <c r="DN278" s="32"/>
      <c r="DO278" s="73"/>
      <c r="DP278" s="73"/>
      <c r="DQ278" s="345"/>
      <c r="DR278" s="73"/>
      <c r="DS278" s="32"/>
      <c r="DT278" s="73"/>
      <c r="DU278" s="73"/>
      <c r="DV278" s="345"/>
      <c r="DW278" s="73"/>
      <c r="DX278" s="32"/>
      <c r="DY278" s="73"/>
      <c r="DZ278" s="73"/>
      <c r="EA278" s="345"/>
      <c r="EB278" s="73"/>
      <c r="EC278" s="32"/>
      <c r="ED278" s="73"/>
      <c r="EE278" s="73"/>
      <c r="EF278" s="345"/>
      <c r="EG278" s="73"/>
      <c r="EH278" s="32"/>
      <c r="EI278" s="73"/>
      <c r="EJ278" s="73"/>
      <c r="EK278" s="345"/>
      <c r="EL278" s="73"/>
      <c r="EM278" s="32"/>
      <c r="EN278" s="73"/>
      <c r="EO278" s="73"/>
      <c r="EP278" s="345"/>
      <c r="EQ278" s="73"/>
      <c r="ER278" s="32"/>
      <c r="ES278" s="73"/>
      <c r="ET278" s="73"/>
      <c r="EU278" s="345"/>
      <c r="EV278" s="73"/>
      <c r="EW278" s="32"/>
      <c r="EX278" s="73"/>
      <c r="EY278" s="73"/>
      <c r="EZ278" s="345"/>
      <c r="FA278" s="73"/>
      <c r="FB278" s="32"/>
      <c r="FC278" s="73"/>
      <c r="FD278" s="73"/>
      <c r="FE278" s="345"/>
      <c r="FF278" s="73"/>
      <c r="FG278" s="32"/>
      <c r="FH278" s="73"/>
      <c r="FI278" s="73"/>
      <c r="FJ278" s="345"/>
      <c r="FK278" s="73"/>
      <c r="FL278" s="32"/>
      <c r="FM278" s="73"/>
      <c r="FN278" s="73"/>
      <c r="FO278" s="345"/>
      <c r="FP278" s="73"/>
      <c r="FQ278" s="32"/>
      <c r="FR278" s="73"/>
      <c r="FS278" s="73"/>
      <c r="FT278" s="345"/>
      <c r="FU278" s="73"/>
      <c r="FV278" s="32"/>
      <c r="FW278" s="73"/>
      <c r="FX278" s="73"/>
      <c r="FY278" s="345"/>
      <c r="FZ278" s="73"/>
      <c r="GA278" s="32"/>
      <c r="GB278" s="73"/>
      <c r="GC278" s="73"/>
      <c r="GD278" s="345"/>
      <c r="GE278" s="73"/>
      <c r="GF278" s="32"/>
      <c r="GG278" s="73"/>
      <c r="GH278" s="73"/>
      <c r="GI278" s="345"/>
      <c r="GJ278" s="73"/>
      <c r="GK278" s="32"/>
      <c r="GL278" s="73"/>
      <c r="GM278" s="73"/>
      <c r="GN278" s="345"/>
      <c r="GO278" s="73"/>
      <c r="GP278" s="32"/>
      <c r="GQ278" s="73"/>
      <c r="GR278" s="73"/>
      <c r="GS278" s="345"/>
      <c r="GT278" s="73"/>
      <c r="GU278" s="32"/>
      <c r="GV278" s="73"/>
      <c r="GW278" s="73"/>
      <c r="GX278" s="345"/>
      <c r="GY278" s="73"/>
      <c r="GZ278" s="32"/>
      <c r="HA278" s="73"/>
      <c r="HB278" s="73"/>
      <c r="HC278" s="345"/>
      <c r="HD278" s="73"/>
      <c r="HE278" s="32"/>
      <c r="HF278" s="73"/>
      <c r="HG278" s="73"/>
      <c r="HH278" s="345"/>
      <c r="HI278" s="73"/>
      <c r="HJ278" s="32"/>
      <c r="HK278" s="73"/>
      <c r="HL278" s="73"/>
      <c r="HM278" s="345"/>
      <c r="HN278" s="73"/>
      <c r="HO278" s="32"/>
      <c r="HP278" s="73"/>
      <c r="HQ278" s="73"/>
      <c r="HR278" s="345"/>
      <c r="HS278" s="73"/>
      <c r="HT278" s="32"/>
      <c r="HU278" s="73"/>
      <c r="HV278" s="73"/>
      <c r="HW278" s="345"/>
      <c r="HX278" s="73"/>
      <c r="HY278" s="32"/>
      <c r="HZ278" s="73"/>
      <c r="IA278" s="73"/>
      <c r="IB278" s="345"/>
      <c r="IC278" s="73"/>
      <c r="ID278" s="32"/>
      <c r="IE278" s="73"/>
      <c r="IF278" s="73"/>
      <c r="IG278" s="345"/>
      <c r="IH278" s="73"/>
      <c r="II278" s="32"/>
      <c r="IJ278" s="73"/>
      <c r="IK278" s="73"/>
      <c r="IL278" s="345"/>
      <c r="IM278" s="73"/>
      <c r="IN278" s="32"/>
      <c r="IO278" s="73"/>
      <c r="IP278" s="73"/>
      <c r="IQ278" s="345"/>
      <c r="IR278" s="73"/>
      <c r="IS278" s="32"/>
      <c r="IT278" s="73"/>
      <c r="IU278" s="73"/>
      <c r="IV278" s="345"/>
    </row>
    <row r="279" spans="1:256" x14ac:dyDescent="0.2">
      <c r="A279" s="345">
        <v>36007</v>
      </c>
      <c r="B279" s="73"/>
      <c r="C279" s="32"/>
      <c r="D279" s="73"/>
      <c r="E279" s="73"/>
      <c r="F279" s="345"/>
      <c r="G279" s="73"/>
      <c r="H279" s="32"/>
      <c r="I279" s="73"/>
      <c r="J279" s="73"/>
      <c r="K279" s="345"/>
      <c r="L279" s="73"/>
      <c r="M279" s="32"/>
      <c r="N279" s="73"/>
      <c r="O279" s="73"/>
      <c r="P279" s="345"/>
      <c r="Q279" s="73"/>
      <c r="R279" s="32"/>
      <c r="S279" s="73"/>
      <c r="T279" s="73"/>
      <c r="U279" s="345"/>
      <c r="V279" s="73"/>
      <c r="W279" s="32"/>
      <c r="X279" s="73"/>
      <c r="Y279" s="73"/>
      <c r="Z279" s="345"/>
      <c r="AA279" s="73"/>
      <c r="AB279" s="32"/>
      <c r="AC279" s="73"/>
      <c r="AD279" s="73"/>
      <c r="AE279" s="345"/>
      <c r="AF279" s="73"/>
      <c r="AG279" s="32"/>
      <c r="AH279" s="73"/>
      <c r="AI279" s="73"/>
      <c r="AJ279" s="345"/>
      <c r="AK279" s="73"/>
      <c r="AL279" s="32"/>
      <c r="AM279" s="73"/>
      <c r="AN279" s="73"/>
      <c r="AO279" s="345"/>
      <c r="AP279" s="73"/>
      <c r="AQ279" s="32"/>
      <c r="AR279" s="73"/>
      <c r="AS279" s="73"/>
      <c r="AT279" s="345"/>
      <c r="AU279" s="73"/>
      <c r="AV279" s="32"/>
      <c r="AW279" s="73"/>
      <c r="AX279" s="73"/>
      <c r="AY279" s="345"/>
      <c r="AZ279" s="73"/>
      <c r="BA279" s="32"/>
      <c r="BB279" s="73"/>
      <c r="BC279" s="73"/>
      <c r="BD279" s="345"/>
      <c r="BE279" s="73"/>
      <c r="BF279" s="32"/>
      <c r="BG279" s="73"/>
      <c r="BH279" s="73"/>
      <c r="BI279" s="345"/>
      <c r="BJ279" s="73"/>
      <c r="BK279" s="32"/>
      <c r="BL279" s="73"/>
      <c r="BM279" s="73"/>
      <c r="BN279" s="345"/>
      <c r="BO279" s="73"/>
      <c r="BP279" s="32"/>
      <c r="BQ279" s="73"/>
      <c r="BR279" s="73"/>
      <c r="BS279" s="345"/>
      <c r="BT279" s="73"/>
      <c r="BU279" s="32"/>
      <c r="BV279" s="73"/>
      <c r="BW279" s="73"/>
      <c r="BX279" s="345"/>
      <c r="BY279" s="73"/>
      <c r="BZ279" s="32"/>
      <c r="CA279" s="73"/>
      <c r="CB279" s="73"/>
      <c r="CC279" s="345"/>
      <c r="CD279" s="73"/>
      <c r="CE279" s="32"/>
      <c r="CF279" s="73"/>
      <c r="CG279" s="73"/>
      <c r="CH279" s="345"/>
      <c r="CI279" s="73"/>
      <c r="CJ279" s="32"/>
      <c r="CK279" s="73"/>
      <c r="CL279" s="73"/>
      <c r="CM279" s="345"/>
      <c r="CN279" s="73"/>
      <c r="CO279" s="32"/>
      <c r="CP279" s="73"/>
      <c r="CQ279" s="73"/>
      <c r="CR279" s="345"/>
      <c r="CS279" s="73"/>
      <c r="CT279" s="32"/>
      <c r="CU279" s="73"/>
      <c r="CV279" s="73"/>
      <c r="CW279" s="345"/>
      <c r="CX279" s="73"/>
      <c r="CY279" s="32"/>
      <c r="CZ279" s="73"/>
      <c r="DA279" s="73"/>
      <c r="DB279" s="345"/>
      <c r="DC279" s="73"/>
      <c r="DD279" s="32"/>
      <c r="DE279" s="73"/>
      <c r="DF279" s="73"/>
      <c r="DG279" s="345"/>
      <c r="DH279" s="73"/>
      <c r="DI279" s="32"/>
      <c r="DJ279" s="73"/>
      <c r="DK279" s="73"/>
      <c r="DL279" s="345"/>
      <c r="DM279" s="73"/>
      <c r="DN279" s="32"/>
      <c r="DO279" s="73"/>
      <c r="DP279" s="73"/>
      <c r="DQ279" s="345"/>
      <c r="DR279" s="73"/>
      <c r="DS279" s="32"/>
      <c r="DT279" s="73"/>
      <c r="DU279" s="73"/>
      <c r="DV279" s="345"/>
      <c r="DW279" s="73"/>
      <c r="DX279" s="32"/>
      <c r="DY279" s="73"/>
      <c r="DZ279" s="73"/>
      <c r="EA279" s="345"/>
      <c r="EB279" s="73"/>
      <c r="EC279" s="32"/>
      <c r="ED279" s="73"/>
      <c r="EE279" s="73"/>
      <c r="EF279" s="345"/>
      <c r="EG279" s="73"/>
      <c r="EH279" s="32"/>
      <c r="EI279" s="73"/>
      <c r="EJ279" s="73"/>
      <c r="EK279" s="345"/>
      <c r="EL279" s="73"/>
      <c r="EM279" s="32"/>
      <c r="EN279" s="73"/>
      <c r="EO279" s="73"/>
      <c r="EP279" s="345"/>
      <c r="EQ279" s="73"/>
      <c r="ER279" s="32"/>
      <c r="ES279" s="73"/>
      <c r="ET279" s="73"/>
      <c r="EU279" s="345"/>
      <c r="EV279" s="73"/>
      <c r="EW279" s="32"/>
      <c r="EX279" s="73"/>
      <c r="EY279" s="73"/>
      <c r="EZ279" s="345"/>
      <c r="FA279" s="73"/>
      <c r="FB279" s="32"/>
      <c r="FC279" s="73"/>
      <c r="FD279" s="73"/>
      <c r="FE279" s="345"/>
      <c r="FF279" s="73"/>
      <c r="FG279" s="32"/>
      <c r="FH279" s="73"/>
      <c r="FI279" s="73"/>
      <c r="FJ279" s="345"/>
      <c r="FK279" s="73"/>
      <c r="FL279" s="32"/>
      <c r="FM279" s="73"/>
      <c r="FN279" s="73"/>
      <c r="FO279" s="345"/>
      <c r="FP279" s="73"/>
      <c r="FQ279" s="32"/>
      <c r="FR279" s="73"/>
      <c r="FS279" s="73"/>
      <c r="FT279" s="345"/>
      <c r="FU279" s="73"/>
      <c r="FV279" s="32"/>
      <c r="FW279" s="73"/>
      <c r="FX279" s="73"/>
      <c r="FY279" s="345"/>
      <c r="FZ279" s="73"/>
      <c r="GA279" s="32"/>
      <c r="GB279" s="73"/>
      <c r="GC279" s="73"/>
      <c r="GD279" s="345"/>
      <c r="GE279" s="73"/>
      <c r="GF279" s="32"/>
      <c r="GG279" s="73"/>
      <c r="GH279" s="73"/>
      <c r="GI279" s="345"/>
      <c r="GJ279" s="73"/>
      <c r="GK279" s="32"/>
      <c r="GL279" s="73"/>
      <c r="GM279" s="73"/>
      <c r="GN279" s="345"/>
      <c r="GO279" s="73"/>
      <c r="GP279" s="32"/>
      <c r="GQ279" s="73"/>
      <c r="GR279" s="73"/>
      <c r="GS279" s="345"/>
      <c r="GT279" s="73"/>
      <c r="GU279" s="32"/>
      <c r="GV279" s="73"/>
      <c r="GW279" s="73"/>
      <c r="GX279" s="345"/>
      <c r="GY279" s="73"/>
      <c r="GZ279" s="32"/>
      <c r="HA279" s="73"/>
      <c r="HB279" s="73"/>
      <c r="HC279" s="345"/>
      <c r="HD279" s="73"/>
      <c r="HE279" s="32"/>
      <c r="HF279" s="73"/>
      <c r="HG279" s="73"/>
      <c r="HH279" s="345"/>
      <c r="HI279" s="73"/>
      <c r="HJ279" s="32"/>
      <c r="HK279" s="73"/>
      <c r="HL279" s="73"/>
      <c r="HM279" s="345"/>
      <c r="HN279" s="73"/>
      <c r="HO279" s="32"/>
      <c r="HP279" s="73"/>
      <c r="HQ279" s="73"/>
      <c r="HR279" s="345"/>
      <c r="HS279" s="73"/>
      <c r="HT279" s="32"/>
      <c r="HU279" s="73"/>
      <c r="HV279" s="73"/>
      <c r="HW279" s="345"/>
      <c r="HX279" s="73"/>
      <c r="HY279" s="32"/>
      <c r="HZ279" s="73"/>
      <c r="IA279" s="73"/>
      <c r="IB279" s="345"/>
      <c r="IC279" s="73"/>
      <c r="ID279" s="32"/>
      <c r="IE279" s="73"/>
      <c r="IF279" s="73"/>
      <c r="IG279" s="345"/>
      <c r="IH279" s="73"/>
      <c r="II279" s="32"/>
      <c r="IJ279" s="73"/>
      <c r="IK279" s="73"/>
      <c r="IL279" s="345"/>
      <c r="IM279" s="73"/>
      <c r="IN279" s="32"/>
      <c r="IO279" s="73"/>
      <c r="IP279" s="73"/>
      <c r="IQ279" s="345"/>
      <c r="IR279" s="73"/>
      <c r="IS279" s="32"/>
      <c r="IT279" s="73"/>
      <c r="IU279" s="73"/>
      <c r="IV279" s="345"/>
    </row>
    <row r="280" spans="1:256" x14ac:dyDescent="0.2">
      <c r="A280" s="345">
        <v>36038</v>
      </c>
      <c r="B280" s="73"/>
      <c r="C280" s="32"/>
      <c r="D280" s="73"/>
      <c r="E280" s="73"/>
      <c r="F280" s="345"/>
      <c r="G280" s="73"/>
      <c r="H280" s="32"/>
      <c r="I280" s="73"/>
      <c r="J280" s="73"/>
      <c r="K280" s="345"/>
      <c r="L280" s="73"/>
      <c r="M280" s="32"/>
      <c r="N280" s="73"/>
      <c r="O280" s="73"/>
      <c r="P280" s="345"/>
      <c r="Q280" s="73"/>
      <c r="R280" s="32"/>
      <c r="S280" s="73"/>
      <c r="T280" s="73"/>
      <c r="U280" s="345"/>
      <c r="V280" s="73"/>
      <c r="W280" s="32"/>
      <c r="X280" s="73"/>
      <c r="Y280" s="73"/>
      <c r="Z280" s="345"/>
      <c r="AA280" s="73"/>
      <c r="AB280" s="32"/>
      <c r="AC280" s="73"/>
      <c r="AD280" s="73"/>
      <c r="AE280" s="345"/>
      <c r="AF280" s="73"/>
      <c r="AG280" s="32"/>
      <c r="AH280" s="73"/>
      <c r="AI280" s="73"/>
      <c r="AJ280" s="345"/>
      <c r="AK280" s="73"/>
      <c r="AL280" s="32"/>
      <c r="AM280" s="73"/>
      <c r="AN280" s="73"/>
      <c r="AO280" s="345"/>
      <c r="AP280" s="73"/>
      <c r="AQ280" s="32"/>
      <c r="AR280" s="73"/>
      <c r="AS280" s="73"/>
      <c r="AT280" s="345"/>
      <c r="AU280" s="73"/>
      <c r="AV280" s="32"/>
      <c r="AW280" s="73"/>
      <c r="AX280" s="73"/>
      <c r="AY280" s="345"/>
      <c r="AZ280" s="73"/>
      <c r="BA280" s="32"/>
      <c r="BB280" s="73"/>
      <c r="BC280" s="73"/>
      <c r="BD280" s="345"/>
      <c r="BE280" s="73"/>
      <c r="BF280" s="32"/>
      <c r="BG280" s="73"/>
      <c r="BH280" s="73"/>
      <c r="BI280" s="345"/>
      <c r="BJ280" s="73"/>
      <c r="BK280" s="32"/>
      <c r="BL280" s="73"/>
      <c r="BM280" s="73"/>
      <c r="BN280" s="345"/>
      <c r="BO280" s="73"/>
      <c r="BP280" s="32"/>
      <c r="BQ280" s="73"/>
      <c r="BR280" s="73"/>
      <c r="BS280" s="345"/>
      <c r="BT280" s="73"/>
      <c r="BU280" s="32"/>
      <c r="BV280" s="73"/>
      <c r="BW280" s="73"/>
      <c r="BX280" s="345"/>
      <c r="BY280" s="73"/>
      <c r="BZ280" s="32"/>
      <c r="CA280" s="73"/>
      <c r="CB280" s="73"/>
      <c r="CC280" s="345"/>
      <c r="CD280" s="73"/>
      <c r="CE280" s="32"/>
      <c r="CF280" s="73"/>
      <c r="CG280" s="73"/>
      <c r="CH280" s="345"/>
      <c r="CI280" s="73"/>
      <c r="CJ280" s="32"/>
      <c r="CK280" s="73"/>
      <c r="CL280" s="73"/>
      <c r="CM280" s="345"/>
      <c r="CN280" s="73"/>
      <c r="CO280" s="32"/>
      <c r="CP280" s="73"/>
      <c r="CQ280" s="73"/>
      <c r="CR280" s="345"/>
      <c r="CS280" s="73"/>
      <c r="CT280" s="32"/>
      <c r="CU280" s="73"/>
      <c r="CV280" s="73"/>
      <c r="CW280" s="345"/>
      <c r="CX280" s="73"/>
      <c r="CY280" s="32"/>
      <c r="CZ280" s="73"/>
      <c r="DA280" s="73"/>
      <c r="DB280" s="345"/>
      <c r="DC280" s="73"/>
      <c r="DD280" s="32"/>
      <c r="DE280" s="73"/>
      <c r="DF280" s="73"/>
      <c r="DG280" s="345"/>
      <c r="DH280" s="73"/>
      <c r="DI280" s="32"/>
      <c r="DJ280" s="73"/>
      <c r="DK280" s="73"/>
      <c r="DL280" s="345"/>
      <c r="DM280" s="73"/>
      <c r="DN280" s="32"/>
      <c r="DO280" s="73"/>
      <c r="DP280" s="73"/>
      <c r="DQ280" s="345"/>
      <c r="DR280" s="73"/>
      <c r="DS280" s="32"/>
      <c r="DT280" s="73"/>
      <c r="DU280" s="73"/>
      <c r="DV280" s="345"/>
      <c r="DW280" s="73"/>
      <c r="DX280" s="32"/>
      <c r="DY280" s="73"/>
      <c r="DZ280" s="73"/>
      <c r="EA280" s="345"/>
      <c r="EB280" s="73"/>
      <c r="EC280" s="32"/>
      <c r="ED280" s="73"/>
      <c r="EE280" s="73"/>
      <c r="EF280" s="345"/>
      <c r="EG280" s="73"/>
      <c r="EH280" s="32"/>
      <c r="EI280" s="73"/>
      <c r="EJ280" s="73"/>
      <c r="EK280" s="345"/>
      <c r="EL280" s="73"/>
      <c r="EM280" s="32"/>
      <c r="EN280" s="73"/>
      <c r="EO280" s="73"/>
      <c r="EP280" s="345"/>
      <c r="EQ280" s="73"/>
      <c r="ER280" s="32"/>
      <c r="ES280" s="73"/>
      <c r="ET280" s="73"/>
      <c r="EU280" s="345"/>
      <c r="EV280" s="73"/>
      <c r="EW280" s="32"/>
      <c r="EX280" s="73"/>
      <c r="EY280" s="73"/>
      <c r="EZ280" s="345"/>
      <c r="FA280" s="73"/>
      <c r="FB280" s="32"/>
      <c r="FC280" s="73"/>
      <c r="FD280" s="73"/>
      <c r="FE280" s="345"/>
      <c r="FF280" s="73"/>
      <c r="FG280" s="32"/>
      <c r="FH280" s="73"/>
      <c r="FI280" s="73"/>
      <c r="FJ280" s="345"/>
      <c r="FK280" s="73"/>
      <c r="FL280" s="32"/>
      <c r="FM280" s="73"/>
      <c r="FN280" s="73"/>
      <c r="FO280" s="345"/>
      <c r="FP280" s="73"/>
      <c r="FQ280" s="32"/>
      <c r="FR280" s="73"/>
      <c r="FS280" s="73"/>
      <c r="FT280" s="345"/>
      <c r="FU280" s="73"/>
      <c r="FV280" s="32"/>
      <c r="FW280" s="73"/>
      <c r="FX280" s="73"/>
      <c r="FY280" s="345"/>
      <c r="FZ280" s="73"/>
      <c r="GA280" s="32"/>
      <c r="GB280" s="73"/>
      <c r="GC280" s="73"/>
      <c r="GD280" s="345"/>
      <c r="GE280" s="73"/>
      <c r="GF280" s="32"/>
      <c r="GG280" s="73"/>
      <c r="GH280" s="73"/>
      <c r="GI280" s="345"/>
      <c r="GJ280" s="73"/>
      <c r="GK280" s="32"/>
      <c r="GL280" s="73"/>
      <c r="GM280" s="73"/>
      <c r="GN280" s="345"/>
      <c r="GO280" s="73"/>
      <c r="GP280" s="32"/>
      <c r="GQ280" s="73"/>
      <c r="GR280" s="73"/>
      <c r="GS280" s="345"/>
      <c r="GT280" s="73"/>
      <c r="GU280" s="32"/>
      <c r="GV280" s="73"/>
      <c r="GW280" s="73"/>
      <c r="GX280" s="345"/>
      <c r="GY280" s="73"/>
      <c r="GZ280" s="32"/>
      <c r="HA280" s="73"/>
      <c r="HB280" s="73"/>
      <c r="HC280" s="345"/>
      <c r="HD280" s="73"/>
      <c r="HE280" s="32"/>
      <c r="HF280" s="73"/>
      <c r="HG280" s="73"/>
      <c r="HH280" s="345"/>
      <c r="HI280" s="73"/>
      <c r="HJ280" s="32"/>
      <c r="HK280" s="73"/>
      <c r="HL280" s="73"/>
      <c r="HM280" s="345"/>
      <c r="HN280" s="73"/>
      <c r="HO280" s="32"/>
      <c r="HP280" s="73"/>
      <c r="HQ280" s="73"/>
      <c r="HR280" s="345"/>
      <c r="HS280" s="73"/>
      <c r="HT280" s="32"/>
      <c r="HU280" s="73"/>
      <c r="HV280" s="73"/>
      <c r="HW280" s="345"/>
      <c r="HX280" s="73"/>
      <c r="HY280" s="32"/>
      <c r="HZ280" s="73"/>
      <c r="IA280" s="73"/>
      <c r="IB280" s="345"/>
      <c r="IC280" s="73"/>
      <c r="ID280" s="32"/>
      <c r="IE280" s="73"/>
      <c r="IF280" s="73"/>
      <c r="IG280" s="345"/>
      <c r="IH280" s="73"/>
      <c r="II280" s="32"/>
      <c r="IJ280" s="73"/>
      <c r="IK280" s="73"/>
      <c r="IL280" s="345"/>
      <c r="IM280" s="73"/>
      <c r="IN280" s="32"/>
      <c r="IO280" s="73"/>
      <c r="IP280" s="73"/>
      <c r="IQ280" s="345"/>
      <c r="IR280" s="73"/>
      <c r="IS280" s="32"/>
      <c r="IT280" s="73"/>
      <c r="IU280" s="73"/>
      <c r="IV280" s="345"/>
    </row>
    <row r="281" spans="1:256" x14ac:dyDescent="0.2">
      <c r="A281" s="345">
        <v>36068</v>
      </c>
      <c r="B281" s="73"/>
      <c r="C281" s="32"/>
      <c r="D281" s="73"/>
      <c r="E281" s="73"/>
      <c r="F281" s="345"/>
      <c r="G281" s="73"/>
      <c r="H281" s="32"/>
      <c r="I281" s="73"/>
      <c r="J281" s="73"/>
      <c r="K281" s="345"/>
      <c r="L281" s="73"/>
      <c r="M281" s="32"/>
      <c r="N281" s="73"/>
      <c r="O281" s="73"/>
      <c r="P281" s="345"/>
      <c r="Q281" s="73"/>
      <c r="R281" s="32"/>
      <c r="S281" s="73"/>
      <c r="T281" s="73"/>
      <c r="U281" s="345"/>
      <c r="V281" s="73"/>
      <c r="W281" s="32"/>
      <c r="X281" s="73"/>
      <c r="Y281" s="73"/>
      <c r="Z281" s="345"/>
      <c r="AA281" s="73"/>
      <c r="AB281" s="32"/>
      <c r="AC281" s="73"/>
      <c r="AD281" s="73"/>
      <c r="AE281" s="345"/>
      <c r="AF281" s="73"/>
      <c r="AG281" s="32"/>
      <c r="AH281" s="73"/>
      <c r="AI281" s="73"/>
      <c r="AJ281" s="345"/>
      <c r="AK281" s="73"/>
      <c r="AL281" s="32"/>
      <c r="AM281" s="73"/>
      <c r="AN281" s="73"/>
      <c r="AO281" s="345"/>
      <c r="AP281" s="73"/>
      <c r="AQ281" s="32"/>
      <c r="AR281" s="73"/>
      <c r="AS281" s="73"/>
      <c r="AT281" s="345"/>
      <c r="AU281" s="73"/>
      <c r="AV281" s="32"/>
      <c r="AW281" s="73"/>
      <c r="AX281" s="73"/>
      <c r="AY281" s="345"/>
      <c r="AZ281" s="73"/>
      <c r="BA281" s="32"/>
      <c r="BB281" s="73"/>
      <c r="BC281" s="73"/>
      <c r="BD281" s="345"/>
      <c r="BE281" s="73"/>
      <c r="BF281" s="32"/>
      <c r="BG281" s="73"/>
      <c r="BH281" s="73"/>
      <c r="BI281" s="345"/>
      <c r="BJ281" s="73"/>
      <c r="BK281" s="32"/>
      <c r="BL281" s="73"/>
      <c r="BM281" s="73"/>
      <c r="BN281" s="345"/>
      <c r="BO281" s="73"/>
      <c r="BP281" s="32"/>
      <c r="BQ281" s="73"/>
      <c r="BR281" s="73"/>
      <c r="BS281" s="345"/>
      <c r="BT281" s="73"/>
      <c r="BU281" s="32"/>
      <c r="BV281" s="73"/>
      <c r="BW281" s="73"/>
      <c r="BX281" s="345"/>
      <c r="BY281" s="73"/>
      <c r="BZ281" s="32"/>
      <c r="CA281" s="73"/>
      <c r="CB281" s="73"/>
      <c r="CC281" s="345"/>
      <c r="CD281" s="73"/>
      <c r="CE281" s="32"/>
      <c r="CF281" s="73"/>
      <c r="CG281" s="73"/>
      <c r="CH281" s="345"/>
      <c r="CI281" s="73"/>
      <c r="CJ281" s="32"/>
      <c r="CK281" s="73"/>
      <c r="CL281" s="73"/>
      <c r="CM281" s="345"/>
      <c r="CN281" s="73"/>
      <c r="CO281" s="32"/>
      <c r="CP281" s="73"/>
      <c r="CQ281" s="73"/>
      <c r="CR281" s="345"/>
      <c r="CS281" s="73"/>
      <c r="CT281" s="32"/>
      <c r="CU281" s="73"/>
      <c r="CV281" s="73"/>
      <c r="CW281" s="345"/>
      <c r="CX281" s="73"/>
      <c r="CY281" s="32"/>
      <c r="CZ281" s="73"/>
      <c r="DA281" s="73"/>
      <c r="DB281" s="345"/>
      <c r="DC281" s="73"/>
      <c r="DD281" s="32"/>
      <c r="DE281" s="73"/>
      <c r="DF281" s="73"/>
      <c r="DG281" s="345"/>
      <c r="DH281" s="73"/>
      <c r="DI281" s="32"/>
      <c r="DJ281" s="73"/>
      <c r="DK281" s="73"/>
      <c r="DL281" s="345"/>
      <c r="DM281" s="73"/>
      <c r="DN281" s="32"/>
      <c r="DO281" s="73"/>
      <c r="DP281" s="73"/>
      <c r="DQ281" s="345"/>
      <c r="DR281" s="73"/>
      <c r="DS281" s="32"/>
      <c r="DT281" s="73"/>
      <c r="DU281" s="73"/>
      <c r="DV281" s="345"/>
      <c r="DW281" s="73"/>
      <c r="DX281" s="32"/>
      <c r="DY281" s="73"/>
      <c r="DZ281" s="73"/>
      <c r="EA281" s="345"/>
      <c r="EB281" s="73"/>
      <c r="EC281" s="32"/>
      <c r="ED281" s="73"/>
      <c r="EE281" s="73"/>
      <c r="EF281" s="345"/>
      <c r="EG281" s="73"/>
      <c r="EH281" s="32"/>
      <c r="EI281" s="73"/>
      <c r="EJ281" s="73"/>
      <c r="EK281" s="345"/>
      <c r="EL281" s="73"/>
      <c r="EM281" s="32"/>
      <c r="EN281" s="73"/>
      <c r="EO281" s="73"/>
      <c r="EP281" s="345"/>
      <c r="EQ281" s="73"/>
      <c r="ER281" s="32"/>
      <c r="ES281" s="73"/>
      <c r="ET281" s="73"/>
      <c r="EU281" s="345"/>
      <c r="EV281" s="73"/>
      <c r="EW281" s="32"/>
      <c r="EX281" s="73"/>
      <c r="EY281" s="73"/>
      <c r="EZ281" s="345"/>
      <c r="FA281" s="73"/>
      <c r="FB281" s="32"/>
      <c r="FC281" s="73"/>
      <c r="FD281" s="73"/>
      <c r="FE281" s="345"/>
      <c r="FF281" s="73"/>
      <c r="FG281" s="32"/>
      <c r="FH281" s="73"/>
      <c r="FI281" s="73"/>
      <c r="FJ281" s="345"/>
      <c r="FK281" s="73"/>
      <c r="FL281" s="32"/>
      <c r="FM281" s="73"/>
      <c r="FN281" s="73"/>
      <c r="FO281" s="345"/>
      <c r="FP281" s="73"/>
      <c r="FQ281" s="32"/>
      <c r="FR281" s="73"/>
      <c r="FS281" s="73"/>
      <c r="FT281" s="345"/>
      <c r="FU281" s="73"/>
      <c r="FV281" s="32"/>
      <c r="FW281" s="73"/>
      <c r="FX281" s="73"/>
      <c r="FY281" s="345"/>
      <c r="FZ281" s="73"/>
      <c r="GA281" s="32"/>
      <c r="GB281" s="73"/>
      <c r="GC281" s="73"/>
      <c r="GD281" s="345"/>
      <c r="GE281" s="73"/>
      <c r="GF281" s="32"/>
      <c r="GG281" s="73"/>
      <c r="GH281" s="73"/>
      <c r="GI281" s="345"/>
      <c r="GJ281" s="73"/>
      <c r="GK281" s="32"/>
      <c r="GL281" s="73"/>
      <c r="GM281" s="73"/>
      <c r="GN281" s="345"/>
      <c r="GO281" s="73"/>
      <c r="GP281" s="32"/>
      <c r="GQ281" s="73"/>
      <c r="GR281" s="73"/>
      <c r="GS281" s="345"/>
      <c r="GT281" s="73"/>
      <c r="GU281" s="32"/>
      <c r="GV281" s="73"/>
      <c r="GW281" s="73"/>
      <c r="GX281" s="345"/>
      <c r="GY281" s="73"/>
      <c r="GZ281" s="32"/>
      <c r="HA281" s="73"/>
      <c r="HB281" s="73"/>
      <c r="HC281" s="345"/>
      <c r="HD281" s="73"/>
      <c r="HE281" s="32"/>
      <c r="HF281" s="73"/>
      <c r="HG281" s="73"/>
      <c r="HH281" s="345"/>
      <c r="HI281" s="73"/>
      <c r="HJ281" s="32"/>
      <c r="HK281" s="73"/>
      <c r="HL281" s="73"/>
      <c r="HM281" s="345"/>
      <c r="HN281" s="73"/>
      <c r="HO281" s="32"/>
      <c r="HP281" s="73"/>
      <c r="HQ281" s="73"/>
      <c r="HR281" s="345"/>
      <c r="HS281" s="73"/>
      <c r="HT281" s="32"/>
      <c r="HU281" s="73"/>
      <c r="HV281" s="73"/>
      <c r="HW281" s="345"/>
      <c r="HX281" s="73"/>
      <c r="HY281" s="32"/>
      <c r="HZ281" s="73"/>
      <c r="IA281" s="73"/>
      <c r="IB281" s="345"/>
      <c r="IC281" s="73"/>
      <c r="ID281" s="32"/>
      <c r="IE281" s="73"/>
      <c r="IF281" s="73"/>
      <c r="IG281" s="345"/>
      <c r="IH281" s="73"/>
      <c r="II281" s="32"/>
      <c r="IJ281" s="73"/>
      <c r="IK281" s="73"/>
      <c r="IL281" s="345"/>
      <c r="IM281" s="73"/>
      <c r="IN281" s="32"/>
      <c r="IO281" s="73"/>
      <c r="IP281" s="73"/>
      <c r="IQ281" s="345"/>
      <c r="IR281" s="73"/>
      <c r="IS281" s="32"/>
      <c r="IT281" s="73"/>
      <c r="IU281" s="73"/>
      <c r="IV281" s="345"/>
    </row>
    <row r="282" spans="1:256" x14ac:dyDescent="0.2">
      <c r="A282" s="345">
        <v>36099</v>
      </c>
      <c r="B282" s="73"/>
      <c r="C282" s="32"/>
      <c r="D282" s="73"/>
      <c r="E282" s="73"/>
      <c r="F282" s="345"/>
      <c r="G282" s="73"/>
      <c r="H282" s="32"/>
      <c r="I282" s="73"/>
      <c r="J282" s="73"/>
      <c r="K282" s="345"/>
      <c r="L282" s="73"/>
      <c r="M282" s="32"/>
      <c r="N282" s="73"/>
      <c r="O282" s="73"/>
      <c r="P282" s="345"/>
      <c r="Q282" s="73"/>
      <c r="R282" s="32"/>
      <c r="S282" s="73"/>
      <c r="T282" s="73"/>
      <c r="U282" s="345"/>
      <c r="V282" s="73"/>
      <c r="W282" s="32"/>
      <c r="X282" s="73"/>
      <c r="Y282" s="73"/>
      <c r="Z282" s="345"/>
      <c r="AA282" s="73"/>
      <c r="AB282" s="32"/>
      <c r="AC282" s="73"/>
      <c r="AD282" s="73"/>
      <c r="AE282" s="345"/>
      <c r="AF282" s="73"/>
      <c r="AG282" s="32"/>
      <c r="AH282" s="73"/>
      <c r="AI282" s="73"/>
      <c r="AJ282" s="345"/>
      <c r="AK282" s="73"/>
      <c r="AL282" s="32"/>
      <c r="AM282" s="73"/>
      <c r="AN282" s="73"/>
      <c r="AO282" s="345"/>
      <c r="AP282" s="73"/>
      <c r="AQ282" s="32"/>
      <c r="AR282" s="73"/>
      <c r="AS282" s="73"/>
      <c r="AT282" s="345"/>
      <c r="AU282" s="73"/>
      <c r="AV282" s="32"/>
      <c r="AW282" s="73"/>
      <c r="AX282" s="73"/>
      <c r="AY282" s="345"/>
      <c r="AZ282" s="73"/>
      <c r="BA282" s="32"/>
      <c r="BB282" s="73"/>
      <c r="BC282" s="73"/>
      <c r="BD282" s="345"/>
      <c r="BE282" s="73"/>
      <c r="BF282" s="32"/>
      <c r="BG282" s="73"/>
      <c r="BH282" s="73"/>
      <c r="BI282" s="345"/>
      <c r="BJ282" s="73"/>
      <c r="BK282" s="32"/>
      <c r="BL282" s="73"/>
      <c r="BM282" s="73"/>
      <c r="BN282" s="345"/>
      <c r="BO282" s="73"/>
      <c r="BP282" s="32"/>
      <c r="BQ282" s="73"/>
      <c r="BR282" s="73"/>
      <c r="BS282" s="345"/>
      <c r="BT282" s="73"/>
      <c r="BU282" s="32"/>
      <c r="BV282" s="73"/>
      <c r="BW282" s="73"/>
      <c r="BX282" s="345"/>
      <c r="BY282" s="73"/>
      <c r="BZ282" s="32"/>
      <c r="CA282" s="73"/>
      <c r="CB282" s="73"/>
      <c r="CC282" s="345"/>
      <c r="CD282" s="73"/>
      <c r="CE282" s="32"/>
      <c r="CF282" s="73"/>
      <c r="CG282" s="73"/>
      <c r="CH282" s="345"/>
      <c r="CI282" s="73"/>
      <c r="CJ282" s="32"/>
      <c r="CK282" s="73"/>
      <c r="CL282" s="73"/>
      <c r="CM282" s="345"/>
      <c r="CN282" s="73"/>
      <c r="CO282" s="32"/>
      <c r="CP282" s="73"/>
      <c r="CQ282" s="73"/>
      <c r="CR282" s="345"/>
      <c r="CS282" s="73"/>
      <c r="CT282" s="32"/>
      <c r="CU282" s="73"/>
      <c r="CV282" s="73"/>
      <c r="CW282" s="345"/>
      <c r="CX282" s="73"/>
      <c r="CY282" s="32"/>
      <c r="CZ282" s="73"/>
      <c r="DA282" s="73"/>
      <c r="DB282" s="345"/>
      <c r="DC282" s="73"/>
      <c r="DD282" s="32"/>
      <c r="DE282" s="73"/>
      <c r="DF282" s="73"/>
      <c r="DG282" s="345"/>
      <c r="DH282" s="73"/>
      <c r="DI282" s="32"/>
      <c r="DJ282" s="73"/>
      <c r="DK282" s="73"/>
      <c r="DL282" s="345"/>
      <c r="DM282" s="73"/>
      <c r="DN282" s="32"/>
      <c r="DO282" s="73"/>
      <c r="DP282" s="73"/>
      <c r="DQ282" s="345"/>
      <c r="DR282" s="73"/>
      <c r="DS282" s="32"/>
      <c r="DT282" s="73"/>
      <c r="DU282" s="73"/>
      <c r="DV282" s="345"/>
      <c r="DW282" s="73"/>
      <c r="DX282" s="32"/>
      <c r="DY282" s="73"/>
      <c r="DZ282" s="73"/>
      <c r="EA282" s="345"/>
      <c r="EB282" s="73"/>
      <c r="EC282" s="32"/>
      <c r="ED282" s="73"/>
      <c r="EE282" s="73"/>
      <c r="EF282" s="345"/>
      <c r="EG282" s="73"/>
      <c r="EH282" s="32"/>
      <c r="EI282" s="73"/>
      <c r="EJ282" s="73"/>
      <c r="EK282" s="345"/>
      <c r="EL282" s="73"/>
      <c r="EM282" s="32"/>
      <c r="EN282" s="73"/>
      <c r="EO282" s="73"/>
      <c r="EP282" s="345"/>
      <c r="EQ282" s="73"/>
      <c r="ER282" s="32"/>
      <c r="ES282" s="73"/>
      <c r="ET282" s="73"/>
      <c r="EU282" s="345"/>
      <c r="EV282" s="73"/>
      <c r="EW282" s="32"/>
      <c r="EX282" s="73"/>
      <c r="EY282" s="73"/>
      <c r="EZ282" s="345"/>
      <c r="FA282" s="73"/>
      <c r="FB282" s="32"/>
      <c r="FC282" s="73"/>
      <c r="FD282" s="73"/>
      <c r="FE282" s="345"/>
      <c r="FF282" s="73"/>
      <c r="FG282" s="32"/>
      <c r="FH282" s="73"/>
      <c r="FI282" s="73"/>
      <c r="FJ282" s="345"/>
      <c r="FK282" s="73"/>
      <c r="FL282" s="32"/>
      <c r="FM282" s="73"/>
      <c r="FN282" s="73"/>
      <c r="FO282" s="345"/>
      <c r="FP282" s="73"/>
      <c r="FQ282" s="32"/>
      <c r="FR282" s="73"/>
      <c r="FS282" s="73"/>
      <c r="FT282" s="345"/>
      <c r="FU282" s="73"/>
      <c r="FV282" s="32"/>
      <c r="FW282" s="73"/>
      <c r="FX282" s="73"/>
      <c r="FY282" s="345"/>
      <c r="FZ282" s="73"/>
      <c r="GA282" s="32"/>
      <c r="GB282" s="73"/>
      <c r="GC282" s="73"/>
      <c r="GD282" s="345"/>
      <c r="GE282" s="73"/>
      <c r="GF282" s="32"/>
      <c r="GG282" s="73"/>
      <c r="GH282" s="73"/>
      <c r="GI282" s="345"/>
      <c r="GJ282" s="73"/>
      <c r="GK282" s="32"/>
      <c r="GL282" s="73"/>
      <c r="GM282" s="73"/>
      <c r="GN282" s="345"/>
      <c r="GO282" s="73"/>
      <c r="GP282" s="32"/>
      <c r="GQ282" s="73"/>
      <c r="GR282" s="73"/>
      <c r="GS282" s="345"/>
      <c r="GT282" s="73"/>
      <c r="GU282" s="32"/>
      <c r="GV282" s="73"/>
      <c r="GW282" s="73"/>
      <c r="GX282" s="345"/>
      <c r="GY282" s="73"/>
      <c r="GZ282" s="32"/>
      <c r="HA282" s="73"/>
      <c r="HB282" s="73"/>
      <c r="HC282" s="345"/>
      <c r="HD282" s="73"/>
      <c r="HE282" s="32"/>
      <c r="HF282" s="73"/>
      <c r="HG282" s="73"/>
      <c r="HH282" s="345"/>
      <c r="HI282" s="73"/>
      <c r="HJ282" s="32"/>
      <c r="HK282" s="73"/>
      <c r="HL282" s="73"/>
      <c r="HM282" s="345"/>
      <c r="HN282" s="73"/>
      <c r="HO282" s="32"/>
      <c r="HP282" s="73"/>
      <c r="HQ282" s="73"/>
      <c r="HR282" s="345"/>
      <c r="HS282" s="73"/>
      <c r="HT282" s="32"/>
      <c r="HU282" s="73"/>
      <c r="HV282" s="73"/>
      <c r="HW282" s="345"/>
      <c r="HX282" s="73"/>
      <c r="HY282" s="32"/>
      <c r="HZ282" s="73"/>
      <c r="IA282" s="73"/>
      <c r="IB282" s="345"/>
      <c r="IC282" s="73"/>
      <c r="ID282" s="32"/>
      <c r="IE282" s="73"/>
      <c r="IF282" s="73"/>
      <c r="IG282" s="345"/>
      <c r="IH282" s="73"/>
      <c r="II282" s="32"/>
      <c r="IJ282" s="73"/>
      <c r="IK282" s="73"/>
      <c r="IL282" s="345"/>
      <c r="IM282" s="73"/>
      <c r="IN282" s="32"/>
      <c r="IO282" s="73"/>
      <c r="IP282" s="73"/>
      <c r="IQ282" s="345"/>
      <c r="IR282" s="73"/>
      <c r="IS282" s="32"/>
      <c r="IT282" s="73"/>
      <c r="IU282" s="73"/>
      <c r="IV282" s="345"/>
    </row>
    <row r="283" spans="1:256" x14ac:dyDescent="0.2">
      <c r="A283" s="345">
        <v>36129</v>
      </c>
      <c r="B283" s="73"/>
      <c r="C283" s="32"/>
      <c r="D283" s="73"/>
      <c r="E283" s="73"/>
      <c r="F283" s="345"/>
      <c r="G283" s="73"/>
      <c r="H283" s="32"/>
      <c r="I283" s="73"/>
      <c r="J283" s="73"/>
      <c r="K283" s="345"/>
      <c r="L283" s="73"/>
      <c r="M283" s="32"/>
      <c r="N283" s="73"/>
      <c r="O283" s="73"/>
      <c r="P283" s="345"/>
      <c r="Q283" s="73"/>
      <c r="R283" s="32"/>
      <c r="S283" s="73"/>
      <c r="T283" s="73"/>
      <c r="U283" s="345"/>
      <c r="V283" s="73"/>
      <c r="W283" s="32"/>
      <c r="X283" s="73"/>
      <c r="Y283" s="73"/>
      <c r="Z283" s="345"/>
      <c r="AA283" s="73"/>
      <c r="AB283" s="32"/>
      <c r="AC283" s="73"/>
      <c r="AD283" s="73"/>
      <c r="AE283" s="345"/>
      <c r="AF283" s="73"/>
      <c r="AG283" s="32"/>
      <c r="AH283" s="73"/>
      <c r="AI283" s="73"/>
      <c r="AJ283" s="345"/>
      <c r="AK283" s="73"/>
      <c r="AL283" s="32"/>
      <c r="AM283" s="73"/>
      <c r="AN283" s="73"/>
      <c r="AO283" s="345"/>
      <c r="AP283" s="73"/>
      <c r="AQ283" s="32"/>
      <c r="AR283" s="73"/>
      <c r="AS283" s="73"/>
      <c r="AT283" s="345"/>
      <c r="AU283" s="73"/>
      <c r="AV283" s="32"/>
      <c r="AW283" s="73"/>
      <c r="AX283" s="73"/>
      <c r="AY283" s="345"/>
      <c r="AZ283" s="73"/>
      <c r="BA283" s="32"/>
      <c r="BB283" s="73"/>
      <c r="BC283" s="73"/>
      <c r="BD283" s="345"/>
      <c r="BE283" s="73"/>
      <c r="BF283" s="32"/>
      <c r="BG283" s="73"/>
      <c r="BH283" s="73"/>
      <c r="BI283" s="345"/>
      <c r="BJ283" s="73"/>
      <c r="BK283" s="32"/>
      <c r="BL283" s="73"/>
      <c r="BM283" s="73"/>
      <c r="BN283" s="345"/>
      <c r="BO283" s="73"/>
      <c r="BP283" s="32"/>
      <c r="BQ283" s="73"/>
      <c r="BR283" s="73"/>
      <c r="BS283" s="345"/>
      <c r="BT283" s="73"/>
      <c r="BU283" s="32"/>
      <c r="BV283" s="73"/>
      <c r="BW283" s="73"/>
      <c r="BX283" s="345"/>
      <c r="BY283" s="73"/>
      <c r="BZ283" s="32"/>
      <c r="CA283" s="73"/>
      <c r="CB283" s="73"/>
      <c r="CC283" s="345"/>
      <c r="CD283" s="73"/>
      <c r="CE283" s="32"/>
      <c r="CF283" s="73"/>
      <c r="CG283" s="73"/>
      <c r="CH283" s="345"/>
      <c r="CI283" s="73"/>
      <c r="CJ283" s="32"/>
      <c r="CK283" s="73"/>
      <c r="CL283" s="73"/>
      <c r="CM283" s="345"/>
      <c r="CN283" s="73"/>
      <c r="CO283" s="32"/>
      <c r="CP283" s="73"/>
      <c r="CQ283" s="73"/>
      <c r="CR283" s="345"/>
      <c r="CS283" s="73"/>
      <c r="CT283" s="32"/>
      <c r="CU283" s="73"/>
      <c r="CV283" s="73"/>
      <c r="CW283" s="345"/>
      <c r="CX283" s="73"/>
      <c r="CY283" s="32"/>
      <c r="CZ283" s="73"/>
      <c r="DA283" s="73"/>
      <c r="DB283" s="345"/>
      <c r="DC283" s="73"/>
      <c r="DD283" s="32"/>
      <c r="DE283" s="73"/>
      <c r="DF283" s="73"/>
      <c r="DG283" s="345"/>
      <c r="DH283" s="73"/>
      <c r="DI283" s="32"/>
      <c r="DJ283" s="73"/>
      <c r="DK283" s="73"/>
      <c r="DL283" s="345"/>
      <c r="DM283" s="73"/>
      <c r="DN283" s="32"/>
      <c r="DO283" s="73"/>
      <c r="DP283" s="73"/>
      <c r="DQ283" s="345"/>
      <c r="DR283" s="73"/>
      <c r="DS283" s="32"/>
      <c r="DT283" s="73"/>
      <c r="DU283" s="73"/>
      <c r="DV283" s="345"/>
      <c r="DW283" s="73"/>
      <c r="DX283" s="32"/>
      <c r="DY283" s="73"/>
      <c r="DZ283" s="73"/>
      <c r="EA283" s="345"/>
      <c r="EB283" s="73"/>
      <c r="EC283" s="32"/>
      <c r="ED283" s="73"/>
      <c r="EE283" s="73"/>
      <c r="EF283" s="345"/>
      <c r="EG283" s="73"/>
      <c r="EH283" s="32"/>
      <c r="EI283" s="73"/>
      <c r="EJ283" s="73"/>
      <c r="EK283" s="345"/>
      <c r="EL283" s="73"/>
      <c r="EM283" s="32"/>
      <c r="EN283" s="73"/>
      <c r="EO283" s="73"/>
      <c r="EP283" s="345"/>
      <c r="EQ283" s="73"/>
      <c r="ER283" s="32"/>
      <c r="ES283" s="73"/>
      <c r="ET283" s="73"/>
      <c r="EU283" s="345"/>
      <c r="EV283" s="73"/>
      <c r="EW283" s="32"/>
      <c r="EX283" s="73"/>
      <c r="EY283" s="73"/>
      <c r="EZ283" s="345"/>
      <c r="FA283" s="73"/>
      <c r="FB283" s="32"/>
      <c r="FC283" s="73"/>
      <c r="FD283" s="73"/>
      <c r="FE283" s="345"/>
      <c r="FF283" s="73"/>
      <c r="FG283" s="32"/>
      <c r="FH283" s="73"/>
      <c r="FI283" s="73"/>
      <c r="FJ283" s="345"/>
      <c r="FK283" s="73"/>
      <c r="FL283" s="32"/>
      <c r="FM283" s="73"/>
      <c r="FN283" s="73"/>
      <c r="FO283" s="345"/>
      <c r="FP283" s="73"/>
      <c r="FQ283" s="32"/>
      <c r="FR283" s="73"/>
      <c r="FS283" s="73"/>
      <c r="FT283" s="345"/>
      <c r="FU283" s="73"/>
      <c r="FV283" s="32"/>
      <c r="FW283" s="73"/>
      <c r="FX283" s="73"/>
      <c r="FY283" s="345"/>
      <c r="FZ283" s="73"/>
      <c r="GA283" s="32"/>
      <c r="GB283" s="73"/>
      <c r="GC283" s="73"/>
      <c r="GD283" s="345"/>
      <c r="GE283" s="73"/>
      <c r="GF283" s="32"/>
      <c r="GG283" s="73"/>
      <c r="GH283" s="73"/>
      <c r="GI283" s="345"/>
      <c r="GJ283" s="73"/>
      <c r="GK283" s="32"/>
      <c r="GL283" s="73"/>
      <c r="GM283" s="73"/>
      <c r="GN283" s="345"/>
      <c r="GO283" s="73"/>
      <c r="GP283" s="32"/>
      <c r="GQ283" s="73"/>
      <c r="GR283" s="73"/>
      <c r="GS283" s="345"/>
      <c r="GT283" s="73"/>
      <c r="GU283" s="32"/>
      <c r="GV283" s="73"/>
      <c r="GW283" s="73"/>
      <c r="GX283" s="345"/>
      <c r="GY283" s="73"/>
      <c r="GZ283" s="32"/>
      <c r="HA283" s="73"/>
      <c r="HB283" s="73"/>
      <c r="HC283" s="345"/>
      <c r="HD283" s="73"/>
      <c r="HE283" s="32"/>
      <c r="HF283" s="73"/>
      <c r="HG283" s="73"/>
      <c r="HH283" s="345"/>
      <c r="HI283" s="73"/>
      <c r="HJ283" s="32"/>
      <c r="HK283" s="73"/>
      <c r="HL283" s="73"/>
      <c r="HM283" s="345"/>
      <c r="HN283" s="73"/>
      <c r="HO283" s="32"/>
      <c r="HP283" s="73"/>
      <c r="HQ283" s="73"/>
      <c r="HR283" s="345"/>
      <c r="HS283" s="73"/>
      <c r="HT283" s="32"/>
      <c r="HU283" s="73"/>
      <c r="HV283" s="73"/>
      <c r="HW283" s="345"/>
      <c r="HX283" s="73"/>
      <c r="HY283" s="32"/>
      <c r="HZ283" s="73"/>
      <c r="IA283" s="73"/>
      <c r="IB283" s="345"/>
      <c r="IC283" s="73"/>
      <c r="ID283" s="32"/>
      <c r="IE283" s="73"/>
      <c r="IF283" s="73"/>
      <c r="IG283" s="345"/>
      <c r="IH283" s="73"/>
      <c r="II283" s="32"/>
      <c r="IJ283" s="73"/>
      <c r="IK283" s="73"/>
      <c r="IL283" s="345"/>
      <c r="IM283" s="73"/>
      <c r="IN283" s="32"/>
      <c r="IO283" s="73"/>
      <c r="IP283" s="73"/>
      <c r="IQ283" s="345"/>
      <c r="IR283" s="73"/>
      <c r="IS283" s="32"/>
      <c r="IT283" s="73"/>
      <c r="IU283" s="73"/>
      <c r="IV283" s="345"/>
    </row>
    <row r="284" spans="1:256" x14ac:dyDescent="0.2">
      <c r="A284" s="345">
        <v>36160</v>
      </c>
      <c r="B284" s="73"/>
      <c r="C284" s="32"/>
      <c r="D284" s="73"/>
      <c r="E284" s="73"/>
      <c r="F284" s="345"/>
      <c r="G284" s="73"/>
      <c r="H284" s="32"/>
      <c r="I284" s="73"/>
      <c r="J284" s="73"/>
      <c r="K284" s="345"/>
      <c r="L284" s="73"/>
      <c r="M284" s="32"/>
      <c r="N284" s="73"/>
      <c r="O284" s="73"/>
      <c r="P284" s="345"/>
      <c r="Q284" s="73"/>
      <c r="R284" s="32"/>
      <c r="S284" s="73"/>
      <c r="T284" s="73"/>
      <c r="U284" s="345"/>
      <c r="V284" s="73"/>
      <c r="W284" s="32"/>
      <c r="X284" s="73"/>
      <c r="Y284" s="73"/>
      <c r="Z284" s="345"/>
      <c r="AA284" s="73"/>
      <c r="AB284" s="32"/>
      <c r="AC284" s="73"/>
      <c r="AD284" s="73"/>
      <c r="AE284" s="345"/>
      <c r="AF284" s="73"/>
      <c r="AG284" s="32"/>
      <c r="AH284" s="73"/>
      <c r="AI284" s="73"/>
      <c r="AJ284" s="345"/>
      <c r="AK284" s="73"/>
      <c r="AL284" s="32"/>
      <c r="AM284" s="73"/>
      <c r="AN284" s="73"/>
      <c r="AO284" s="345"/>
      <c r="AP284" s="73"/>
      <c r="AQ284" s="32"/>
      <c r="AR284" s="73"/>
      <c r="AS284" s="73"/>
      <c r="AT284" s="345"/>
      <c r="AU284" s="73"/>
      <c r="AV284" s="32"/>
      <c r="AW284" s="73"/>
      <c r="AX284" s="73"/>
      <c r="AY284" s="345"/>
      <c r="AZ284" s="73"/>
      <c r="BA284" s="32"/>
      <c r="BB284" s="73"/>
      <c r="BC284" s="73"/>
      <c r="BD284" s="345"/>
      <c r="BE284" s="73"/>
      <c r="BF284" s="32"/>
      <c r="BG284" s="73"/>
      <c r="BH284" s="73"/>
      <c r="BI284" s="345"/>
      <c r="BJ284" s="73"/>
      <c r="BK284" s="32"/>
      <c r="BL284" s="73"/>
      <c r="BM284" s="73"/>
      <c r="BN284" s="345"/>
      <c r="BO284" s="73"/>
      <c r="BP284" s="32"/>
      <c r="BQ284" s="73"/>
      <c r="BR284" s="73"/>
      <c r="BS284" s="345"/>
      <c r="BT284" s="73"/>
      <c r="BU284" s="32"/>
      <c r="BV284" s="73"/>
      <c r="BW284" s="73"/>
      <c r="BX284" s="345"/>
      <c r="BY284" s="73"/>
      <c r="BZ284" s="32"/>
      <c r="CA284" s="73"/>
      <c r="CB284" s="73"/>
      <c r="CC284" s="345"/>
      <c r="CD284" s="73"/>
      <c r="CE284" s="32"/>
      <c r="CF284" s="73"/>
      <c r="CG284" s="73"/>
      <c r="CH284" s="345"/>
      <c r="CI284" s="73"/>
      <c r="CJ284" s="32"/>
      <c r="CK284" s="73"/>
      <c r="CL284" s="73"/>
      <c r="CM284" s="345"/>
      <c r="CN284" s="73"/>
      <c r="CO284" s="32"/>
      <c r="CP284" s="73"/>
      <c r="CQ284" s="73"/>
      <c r="CR284" s="345"/>
      <c r="CS284" s="73"/>
      <c r="CT284" s="32"/>
      <c r="CU284" s="73"/>
      <c r="CV284" s="73"/>
      <c r="CW284" s="345"/>
      <c r="CX284" s="73"/>
      <c r="CY284" s="32"/>
      <c r="CZ284" s="73"/>
      <c r="DA284" s="73"/>
      <c r="DB284" s="345"/>
      <c r="DC284" s="73"/>
      <c r="DD284" s="32"/>
      <c r="DE284" s="73"/>
      <c r="DF284" s="73"/>
      <c r="DG284" s="345"/>
      <c r="DH284" s="73"/>
      <c r="DI284" s="32"/>
      <c r="DJ284" s="73"/>
      <c r="DK284" s="73"/>
      <c r="DL284" s="345"/>
      <c r="DM284" s="73"/>
      <c r="DN284" s="32"/>
      <c r="DO284" s="73"/>
      <c r="DP284" s="73"/>
      <c r="DQ284" s="345"/>
      <c r="DR284" s="73"/>
      <c r="DS284" s="32"/>
      <c r="DT284" s="73"/>
      <c r="DU284" s="73"/>
      <c r="DV284" s="345"/>
      <c r="DW284" s="73"/>
      <c r="DX284" s="32"/>
      <c r="DY284" s="73"/>
      <c r="DZ284" s="73"/>
      <c r="EA284" s="345"/>
      <c r="EB284" s="73"/>
      <c r="EC284" s="32"/>
      <c r="ED284" s="73"/>
      <c r="EE284" s="73"/>
      <c r="EF284" s="345"/>
      <c r="EG284" s="73"/>
      <c r="EH284" s="32"/>
      <c r="EI284" s="73"/>
      <c r="EJ284" s="73"/>
      <c r="EK284" s="345"/>
      <c r="EL284" s="73"/>
      <c r="EM284" s="32"/>
      <c r="EN284" s="73"/>
      <c r="EO284" s="73"/>
      <c r="EP284" s="345"/>
      <c r="EQ284" s="73"/>
      <c r="ER284" s="32"/>
      <c r="ES284" s="73"/>
      <c r="ET284" s="73"/>
      <c r="EU284" s="345"/>
      <c r="EV284" s="73"/>
      <c r="EW284" s="32"/>
      <c r="EX284" s="73"/>
      <c r="EY284" s="73"/>
      <c r="EZ284" s="345"/>
      <c r="FA284" s="73"/>
      <c r="FB284" s="32"/>
      <c r="FC284" s="73"/>
      <c r="FD284" s="73"/>
      <c r="FE284" s="345"/>
      <c r="FF284" s="73"/>
      <c r="FG284" s="32"/>
      <c r="FH284" s="73"/>
      <c r="FI284" s="73"/>
      <c r="FJ284" s="345"/>
      <c r="FK284" s="73"/>
      <c r="FL284" s="32"/>
      <c r="FM284" s="73"/>
      <c r="FN284" s="73"/>
      <c r="FO284" s="345"/>
      <c r="FP284" s="73"/>
      <c r="FQ284" s="32"/>
      <c r="FR284" s="73"/>
      <c r="FS284" s="73"/>
      <c r="FT284" s="345"/>
      <c r="FU284" s="73"/>
      <c r="FV284" s="32"/>
      <c r="FW284" s="73"/>
      <c r="FX284" s="73"/>
      <c r="FY284" s="345"/>
      <c r="FZ284" s="73"/>
      <c r="GA284" s="32"/>
      <c r="GB284" s="73"/>
      <c r="GC284" s="73"/>
      <c r="GD284" s="345"/>
      <c r="GE284" s="73"/>
      <c r="GF284" s="32"/>
      <c r="GG284" s="73"/>
      <c r="GH284" s="73"/>
      <c r="GI284" s="345"/>
      <c r="GJ284" s="73"/>
      <c r="GK284" s="32"/>
      <c r="GL284" s="73"/>
      <c r="GM284" s="73"/>
      <c r="GN284" s="345"/>
      <c r="GO284" s="73"/>
      <c r="GP284" s="32"/>
      <c r="GQ284" s="73"/>
      <c r="GR284" s="73"/>
      <c r="GS284" s="345"/>
      <c r="GT284" s="73"/>
      <c r="GU284" s="32"/>
      <c r="GV284" s="73"/>
      <c r="GW284" s="73"/>
      <c r="GX284" s="345"/>
      <c r="GY284" s="73"/>
      <c r="GZ284" s="32"/>
      <c r="HA284" s="73"/>
      <c r="HB284" s="73"/>
      <c r="HC284" s="345"/>
      <c r="HD284" s="73"/>
      <c r="HE284" s="32"/>
      <c r="HF284" s="73"/>
      <c r="HG284" s="73"/>
      <c r="HH284" s="345"/>
      <c r="HI284" s="73"/>
      <c r="HJ284" s="32"/>
      <c r="HK284" s="73"/>
      <c r="HL284" s="73"/>
      <c r="HM284" s="345"/>
      <c r="HN284" s="73"/>
      <c r="HO284" s="32"/>
      <c r="HP284" s="73"/>
      <c r="HQ284" s="73"/>
      <c r="HR284" s="345"/>
      <c r="HS284" s="73"/>
      <c r="HT284" s="32"/>
      <c r="HU284" s="73"/>
      <c r="HV284" s="73"/>
      <c r="HW284" s="345"/>
      <c r="HX284" s="73"/>
      <c r="HY284" s="32"/>
      <c r="HZ284" s="73"/>
      <c r="IA284" s="73"/>
      <c r="IB284" s="345"/>
      <c r="IC284" s="73"/>
      <c r="ID284" s="32"/>
      <c r="IE284" s="73"/>
      <c r="IF284" s="73"/>
      <c r="IG284" s="345"/>
      <c r="IH284" s="73"/>
      <c r="II284" s="32"/>
      <c r="IJ284" s="73"/>
      <c r="IK284" s="73"/>
      <c r="IL284" s="345"/>
      <c r="IM284" s="73"/>
      <c r="IN284" s="32"/>
      <c r="IO284" s="73"/>
      <c r="IP284" s="73"/>
      <c r="IQ284" s="345"/>
      <c r="IR284" s="73"/>
      <c r="IS284" s="32"/>
      <c r="IT284" s="73"/>
      <c r="IU284" s="73"/>
      <c r="IV284" s="345"/>
    </row>
    <row r="285" spans="1:256" x14ac:dyDescent="0.2">
      <c r="A285" s="345">
        <v>36191</v>
      </c>
      <c r="B285" s="73"/>
      <c r="C285" s="32"/>
      <c r="D285" s="73"/>
      <c r="E285" s="73"/>
      <c r="F285" s="345"/>
      <c r="G285" s="73"/>
      <c r="H285" s="32"/>
      <c r="I285" s="73"/>
      <c r="J285" s="73"/>
      <c r="K285" s="345"/>
      <c r="L285" s="73"/>
      <c r="M285" s="32"/>
      <c r="N285" s="73"/>
      <c r="O285" s="73"/>
      <c r="P285" s="345"/>
      <c r="Q285" s="73"/>
      <c r="R285" s="32"/>
      <c r="S285" s="73"/>
      <c r="T285" s="73"/>
      <c r="U285" s="345"/>
      <c r="V285" s="73"/>
      <c r="W285" s="32"/>
      <c r="X285" s="73"/>
      <c r="Y285" s="73"/>
      <c r="Z285" s="345"/>
      <c r="AA285" s="73"/>
      <c r="AB285" s="32"/>
      <c r="AC285" s="73"/>
      <c r="AD285" s="73"/>
      <c r="AE285" s="345"/>
      <c r="AF285" s="73"/>
      <c r="AG285" s="32"/>
      <c r="AH285" s="73"/>
      <c r="AI285" s="73"/>
      <c r="AJ285" s="345"/>
      <c r="AK285" s="73"/>
      <c r="AL285" s="32"/>
      <c r="AM285" s="73"/>
      <c r="AN285" s="73"/>
      <c r="AO285" s="345"/>
      <c r="AP285" s="73"/>
      <c r="AQ285" s="32"/>
      <c r="AR285" s="73"/>
      <c r="AS285" s="73"/>
      <c r="AT285" s="345"/>
      <c r="AU285" s="73"/>
      <c r="AV285" s="32"/>
      <c r="AW285" s="73"/>
      <c r="AX285" s="73"/>
      <c r="AY285" s="345"/>
      <c r="AZ285" s="73"/>
      <c r="BA285" s="32"/>
      <c r="BB285" s="73"/>
      <c r="BC285" s="73"/>
      <c r="BD285" s="345"/>
      <c r="BE285" s="73"/>
      <c r="BF285" s="32"/>
      <c r="BG285" s="73"/>
      <c r="BH285" s="73"/>
      <c r="BI285" s="345"/>
      <c r="BJ285" s="73"/>
      <c r="BK285" s="32"/>
      <c r="BL285" s="73"/>
      <c r="BM285" s="73"/>
      <c r="BN285" s="345"/>
      <c r="BO285" s="73"/>
      <c r="BP285" s="32"/>
      <c r="BQ285" s="73"/>
      <c r="BR285" s="73"/>
      <c r="BS285" s="345"/>
      <c r="BT285" s="73"/>
      <c r="BU285" s="32"/>
      <c r="BV285" s="73"/>
      <c r="BW285" s="73"/>
      <c r="BX285" s="345"/>
      <c r="BY285" s="73"/>
      <c r="BZ285" s="32"/>
      <c r="CA285" s="73"/>
      <c r="CB285" s="73"/>
      <c r="CC285" s="345"/>
      <c r="CD285" s="73"/>
      <c r="CE285" s="32"/>
      <c r="CF285" s="73"/>
      <c r="CG285" s="73"/>
      <c r="CH285" s="345"/>
      <c r="CI285" s="73"/>
      <c r="CJ285" s="32"/>
      <c r="CK285" s="73"/>
      <c r="CL285" s="73"/>
      <c r="CM285" s="345"/>
      <c r="CN285" s="73"/>
      <c r="CO285" s="32"/>
      <c r="CP285" s="73"/>
      <c r="CQ285" s="73"/>
      <c r="CR285" s="345"/>
      <c r="CS285" s="73"/>
      <c r="CT285" s="32"/>
      <c r="CU285" s="73"/>
      <c r="CV285" s="73"/>
      <c r="CW285" s="345"/>
      <c r="CX285" s="73"/>
      <c r="CY285" s="32"/>
      <c r="CZ285" s="73"/>
      <c r="DA285" s="73"/>
      <c r="DB285" s="345"/>
      <c r="DC285" s="73"/>
      <c r="DD285" s="32"/>
      <c r="DE285" s="73"/>
      <c r="DF285" s="73"/>
      <c r="DG285" s="345"/>
      <c r="DH285" s="73"/>
      <c r="DI285" s="32"/>
      <c r="DJ285" s="73"/>
      <c r="DK285" s="73"/>
      <c r="DL285" s="345"/>
      <c r="DM285" s="73"/>
      <c r="DN285" s="32"/>
      <c r="DO285" s="73"/>
      <c r="DP285" s="73"/>
      <c r="DQ285" s="345"/>
      <c r="DR285" s="73"/>
      <c r="DS285" s="32"/>
      <c r="DT285" s="73"/>
      <c r="DU285" s="73"/>
      <c r="DV285" s="345"/>
      <c r="DW285" s="73"/>
      <c r="DX285" s="32"/>
      <c r="DY285" s="73"/>
      <c r="DZ285" s="73"/>
      <c r="EA285" s="345"/>
      <c r="EB285" s="73"/>
      <c r="EC285" s="32"/>
      <c r="ED285" s="73"/>
      <c r="EE285" s="73"/>
      <c r="EF285" s="345"/>
      <c r="EG285" s="73"/>
      <c r="EH285" s="32"/>
      <c r="EI285" s="73"/>
      <c r="EJ285" s="73"/>
      <c r="EK285" s="345"/>
      <c r="EL285" s="73"/>
      <c r="EM285" s="32"/>
      <c r="EN285" s="73"/>
      <c r="EO285" s="73"/>
      <c r="EP285" s="345"/>
      <c r="EQ285" s="73"/>
      <c r="ER285" s="32"/>
      <c r="ES285" s="73"/>
      <c r="ET285" s="73"/>
      <c r="EU285" s="345"/>
      <c r="EV285" s="73"/>
      <c r="EW285" s="32"/>
      <c r="EX285" s="73"/>
      <c r="EY285" s="73"/>
      <c r="EZ285" s="345"/>
      <c r="FA285" s="73"/>
      <c r="FB285" s="32"/>
      <c r="FC285" s="73"/>
      <c r="FD285" s="73"/>
      <c r="FE285" s="345"/>
      <c r="FF285" s="73"/>
      <c r="FG285" s="32"/>
      <c r="FH285" s="73"/>
      <c r="FI285" s="73"/>
      <c r="FJ285" s="345"/>
      <c r="FK285" s="73"/>
      <c r="FL285" s="32"/>
      <c r="FM285" s="73"/>
      <c r="FN285" s="73"/>
      <c r="FO285" s="345"/>
      <c r="FP285" s="73"/>
      <c r="FQ285" s="32"/>
      <c r="FR285" s="73"/>
      <c r="FS285" s="73"/>
      <c r="FT285" s="345"/>
      <c r="FU285" s="73"/>
      <c r="FV285" s="32"/>
      <c r="FW285" s="73"/>
      <c r="FX285" s="73"/>
      <c r="FY285" s="345"/>
      <c r="FZ285" s="73"/>
      <c r="GA285" s="32"/>
      <c r="GB285" s="73"/>
      <c r="GC285" s="73"/>
      <c r="GD285" s="345"/>
      <c r="GE285" s="73"/>
      <c r="GF285" s="32"/>
      <c r="GG285" s="73"/>
      <c r="GH285" s="73"/>
      <c r="GI285" s="345"/>
      <c r="GJ285" s="73"/>
      <c r="GK285" s="32"/>
      <c r="GL285" s="73"/>
      <c r="GM285" s="73"/>
      <c r="GN285" s="345"/>
      <c r="GO285" s="73"/>
      <c r="GP285" s="32"/>
      <c r="GQ285" s="73"/>
      <c r="GR285" s="73"/>
      <c r="GS285" s="345"/>
      <c r="GT285" s="73"/>
      <c r="GU285" s="32"/>
      <c r="GV285" s="73"/>
      <c r="GW285" s="73"/>
      <c r="GX285" s="345"/>
      <c r="GY285" s="73"/>
      <c r="GZ285" s="32"/>
      <c r="HA285" s="73"/>
      <c r="HB285" s="73"/>
      <c r="HC285" s="345"/>
      <c r="HD285" s="73"/>
      <c r="HE285" s="32"/>
      <c r="HF285" s="73"/>
      <c r="HG285" s="73"/>
      <c r="HH285" s="345"/>
      <c r="HI285" s="73"/>
      <c r="HJ285" s="32"/>
      <c r="HK285" s="73"/>
      <c r="HL285" s="73"/>
      <c r="HM285" s="345"/>
      <c r="HN285" s="73"/>
      <c r="HO285" s="32"/>
      <c r="HP285" s="73"/>
      <c r="HQ285" s="73"/>
      <c r="HR285" s="345"/>
      <c r="HS285" s="73"/>
      <c r="HT285" s="32"/>
      <c r="HU285" s="73"/>
      <c r="HV285" s="73"/>
      <c r="HW285" s="345"/>
      <c r="HX285" s="73"/>
      <c r="HY285" s="32"/>
      <c r="HZ285" s="73"/>
      <c r="IA285" s="73"/>
      <c r="IB285" s="345"/>
      <c r="IC285" s="73"/>
      <c r="ID285" s="32"/>
      <c r="IE285" s="73"/>
      <c r="IF285" s="73"/>
      <c r="IG285" s="345"/>
      <c r="IH285" s="73"/>
      <c r="II285" s="32"/>
      <c r="IJ285" s="73"/>
      <c r="IK285" s="73"/>
      <c r="IL285" s="345"/>
      <c r="IM285" s="73"/>
      <c r="IN285" s="32"/>
      <c r="IO285" s="73"/>
      <c r="IP285" s="73"/>
      <c r="IQ285" s="345"/>
      <c r="IR285" s="73"/>
      <c r="IS285" s="32"/>
      <c r="IT285" s="73"/>
      <c r="IU285" s="73"/>
      <c r="IV285" s="345"/>
    </row>
    <row r="286" spans="1:256" x14ac:dyDescent="0.2">
      <c r="A286" s="345">
        <v>36219</v>
      </c>
      <c r="B286" s="73"/>
      <c r="C286" s="32"/>
      <c r="D286" s="73"/>
      <c r="E286" s="73"/>
      <c r="F286" s="345"/>
      <c r="G286" s="73"/>
      <c r="H286" s="32"/>
      <c r="I286" s="73"/>
      <c r="J286" s="73"/>
      <c r="K286" s="345"/>
      <c r="L286" s="73"/>
      <c r="M286" s="32"/>
      <c r="N286" s="73"/>
      <c r="O286" s="73"/>
      <c r="P286" s="345"/>
      <c r="Q286" s="73"/>
      <c r="R286" s="32"/>
      <c r="S286" s="73"/>
      <c r="T286" s="73"/>
      <c r="U286" s="345"/>
      <c r="V286" s="73"/>
      <c r="W286" s="32"/>
      <c r="X286" s="73"/>
      <c r="Y286" s="73"/>
      <c r="Z286" s="345"/>
      <c r="AA286" s="73"/>
      <c r="AB286" s="32"/>
      <c r="AC286" s="73"/>
      <c r="AD286" s="73"/>
      <c r="AE286" s="345"/>
      <c r="AF286" s="73"/>
      <c r="AG286" s="32"/>
      <c r="AH286" s="73"/>
      <c r="AI286" s="73"/>
      <c r="AJ286" s="345"/>
      <c r="AK286" s="73"/>
      <c r="AL286" s="32"/>
      <c r="AM286" s="73"/>
      <c r="AN286" s="73"/>
      <c r="AO286" s="345"/>
      <c r="AP286" s="73"/>
      <c r="AQ286" s="32"/>
      <c r="AR286" s="73"/>
      <c r="AS286" s="73"/>
      <c r="AT286" s="345"/>
      <c r="AU286" s="73"/>
      <c r="AV286" s="32"/>
      <c r="AW286" s="73"/>
      <c r="AX286" s="73"/>
      <c r="AY286" s="345"/>
      <c r="AZ286" s="73"/>
      <c r="BA286" s="32"/>
      <c r="BB286" s="73"/>
      <c r="BC286" s="73"/>
      <c r="BD286" s="345"/>
      <c r="BE286" s="73"/>
      <c r="BF286" s="32"/>
      <c r="BG286" s="73"/>
      <c r="BH286" s="73"/>
      <c r="BI286" s="345"/>
      <c r="BJ286" s="73"/>
      <c r="BK286" s="32"/>
      <c r="BL286" s="73"/>
      <c r="BM286" s="73"/>
      <c r="BN286" s="345"/>
      <c r="BO286" s="73"/>
      <c r="BP286" s="32"/>
      <c r="BQ286" s="73"/>
      <c r="BR286" s="73"/>
      <c r="BS286" s="345"/>
      <c r="BT286" s="73"/>
      <c r="BU286" s="32"/>
      <c r="BV286" s="73"/>
      <c r="BW286" s="73"/>
      <c r="BX286" s="345"/>
      <c r="BY286" s="73"/>
      <c r="BZ286" s="32"/>
      <c r="CA286" s="73"/>
      <c r="CB286" s="73"/>
      <c r="CC286" s="345"/>
      <c r="CD286" s="73"/>
      <c r="CE286" s="32"/>
      <c r="CF286" s="73"/>
      <c r="CG286" s="73"/>
      <c r="CH286" s="345"/>
      <c r="CI286" s="73"/>
      <c r="CJ286" s="32"/>
      <c r="CK286" s="73"/>
      <c r="CL286" s="73"/>
      <c r="CM286" s="345"/>
      <c r="CN286" s="73"/>
      <c r="CO286" s="32"/>
      <c r="CP286" s="73"/>
      <c r="CQ286" s="73"/>
      <c r="CR286" s="345"/>
      <c r="CS286" s="73"/>
      <c r="CT286" s="32"/>
      <c r="CU286" s="73"/>
      <c r="CV286" s="73"/>
      <c r="CW286" s="345"/>
      <c r="CX286" s="73"/>
      <c r="CY286" s="32"/>
      <c r="CZ286" s="73"/>
      <c r="DA286" s="73"/>
      <c r="DB286" s="345"/>
      <c r="DC286" s="73"/>
      <c r="DD286" s="32"/>
      <c r="DE286" s="73"/>
      <c r="DF286" s="73"/>
      <c r="DG286" s="345"/>
      <c r="DH286" s="73"/>
      <c r="DI286" s="32"/>
      <c r="DJ286" s="73"/>
      <c r="DK286" s="73"/>
      <c r="DL286" s="345"/>
      <c r="DM286" s="73"/>
      <c r="DN286" s="32"/>
      <c r="DO286" s="73"/>
      <c r="DP286" s="73"/>
      <c r="DQ286" s="345"/>
      <c r="DR286" s="73"/>
      <c r="DS286" s="32"/>
      <c r="DT286" s="73"/>
      <c r="DU286" s="73"/>
      <c r="DV286" s="345"/>
      <c r="DW286" s="73"/>
      <c r="DX286" s="32"/>
      <c r="DY286" s="73"/>
      <c r="DZ286" s="73"/>
      <c r="EA286" s="345"/>
      <c r="EB286" s="73"/>
      <c r="EC286" s="32"/>
      <c r="ED286" s="73"/>
      <c r="EE286" s="73"/>
      <c r="EF286" s="345"/>
      <c r="EG286" s="73"/>
      <c r="EH286" s="32"/>
      <c r="EI286" s="73"/>
      <c r="EJ286" s="73"/>
      <c r="EK286" s="345"/>
      <c r="EL286" s="73"/>
      <c r="EM286" s="32"/>
      <c r="EN286" s="73"/>
      <c r="EO286" s="73"/>
      <c r="EP286" s="345"/>
      <c r="EQ286" s="73"/>
      <c r="ER286" s="32"/>
      <c r="ES286" s="73"/>
      <c r="ET286" s="73"/>
      <c r="EU286" s="345"/>
      <c r="EV286" s="73"/>
      <c r="EW286" s="32"/>
      <c r="EX286" s="73"/>
      <c r="EY286" s="73"/>
      <c r="EZ286" s="345"/>
      <c r="FA286" s="73"/>
      <c r="FB286" s="32"/>
      <c r="FC286" s="73"/>
      <c r="FD286" s="73"/>
      <c r="FE286" s="345"/>
      <c r="FF286" s="73"/>
      <c r="FG286" s="32"/>
      <c r="FH286" s="73"/>
      <c r="FI286" s="73"/>
      <c r="FJ286" s="345"/>
      <c r="FK286" s="73"/>
      <c r="FL286" s="32"/>
      <c r="FM286" s="73"/>
      <c r="FN286" s="73"/>
      <c r="FO286" s="345"/>
      <c r="FP286" s="73"/>
      <c r="FQ286" s="32"/>
      <c r="FR286" s="73"/>
      <c r="FS286" s="73"/>
      <c r="FT286" s="345"/>
      <c r="FU286" s="73"/>
      <c r="FV286" s="32"/>
      <c r="FW286" s="73"/>
      <c r="FX286" s="73"/>
      <c r="FY286" s="345"/>
      <c r="FZ286" s="73"/>
      <c r="GA286" s="32"/>
      <c r="GB286" s="73"/>
      <c r="GC286" s="73"/>
      <c r="GD286" s="345"/>
      <c r="GE286" s="73"/>
      <c r="GF286" s="32"/>
      <c r="GG286" s="73"/>
      <c r="GH286" s="73"/>
      <c r="GI286" s="345"/>
      <c r="GJ286" s="73"/>
      <c r="GK286" s="32"/>
      <c r="GL286" s="73"/>
      <c r="GM286" s="73"/>
      <c r="GN286" s="345"/>
      <c r="GO286" s="73"/>
      <c r="GP286" s="32"/>
      <c r="GQ286" s="73"/>
      <c r="GR286" s="73"/>
      <c r="GS286" s="345"/>
      <c r="GT286" s="73"/>
      <c r="GU286" s="32"/>
      <c r="GV286" s="73"/>
      <c r="GW286" s="73"/>
      <c r="GX286" s="345"/>
      <c r="GY286" s="73"/>
      <c r="GZ286" s="32"/>
      <c r="HA286" s="73"/>
      <c r="HB286" s="73"/>
      <c r="HC286" s="345"/>
      <c r="HD286" s="73"/>
      <c r="HE286" s="32"/>
      <c r="HF286" s="73"/>
      <c r="HG286" s="73"/>
      <c r="HH286" s="345"/>
      <c r="HI286" s="73"/>
      <c r="HJ286" s="32"/>
      <c r="HK286" s="73"/>
      <c r="HL286" s="73"/>
      <c r="HM286" s="345"/>
      <c r="HN286" s="73"/>
      <c r="HO286" s="32"/>
      <c r="HP286" s="73"/>
      <c r="HQ286" s="73"/>
      <c r="HR286" s="345"/>
      <c r="HS286" s="73"/>
      <c r="HT286" s="32"/>
      <c r="HU286" s="73"/>
      <c r="HV286" s="73"/>
      <c r="HW286" s="345"/>
      <c r="HX286" s="73"/>
      <c r="HY286" s="32"/>
      <c r="HZ286" s="73"/>
      <c r="IA286" s="73"/>
      <c r="IB286" s="345"/>
      <c r="IC286" s="73"/>
      <c r="ID286" s="32"/>
      <c r="IE286" s="73"/>
      <c r="IF286" s="73"/>
      <c r="IG286" s="345"/>
      <c r="IH286" s="73"/>
      <c r="II286" s="32"/>
      <c r="IJ286" s="73"/>
      <c r="IK286" s="73"/>
      <c r="IL286" s="345"/>
      <c r="IM286" s="73"/>
      <c r="IN286" s="32"/>
      <c r="IO286" s="73"/>
      <c r="IP286" s="73"/>
      <c r="IQ286" s="345"/>
      <c r="IR286" s="73"/>
      <c r="IS286" s="32"/>
      <c r="IT286" s="73"/>
      <c r="IU286" s="73"/>
      <c r="IV286" s="345"/>
    </row>
    <row r="287" spans="1:256" x14ac:dyDescent="0.2">
      <c r="A287" s="345">
        <v>36250</v>
      </c>
      <c r="B287" s="73"/>
      <c r="C287" s="32"/>
      <c r="D287" s="73"/>
      <c r="E287" s="73"/>
      <c r="F287" s="345"/>
      <c r="G287" s="73"/>
      <c r="H287" s="32"/>
      <c r="I287" s="73"/>
      <c r="J287" s="73"/>
      <c r="K287" s="345"/>
      <c r="L287" s="73"/>
      <c r="M287" s="32"/>
      <c r="N287" s="73"/>
      <c r="O287" s="73"/>
      <c r="P287" s="345"/>
      <c r="Q287" s="73"/>
      <c r="R287" s="32"/>
      <c r="S287" s="73"/>
      <c r="T287" s="73"/>
      <c r="U287" s="345"/>
      <c r="V287" s="73"/>
      <c r="W287" s="32"/>
      <c r="X287" s="73"/>
      <c r="Y287" s="73"/>
      <c r="Z287" s="345"/>
      <c r="AA287" s="73"/>
      <c r="AB287" s="32"/>
      <c r="AC287" s="73"/>
      <c r="AD287" s="73"/>
      <c r="AE287" s="345"/>
      <c r="AF287" s="73"/>
      <c r="AG287" s="32"/>
      <c r="AH287" s="73"/>
      <c r="AI287" s="73"/>
      <c r="AJ287" s="345"/>
      <c r="AK287" s="73"/>
      <c r="AL287" s="32"/>
      <c r="AM287" s="73"/>
      <c r="AN287" s="73"/>
      <c r="AO287" s="345"/>
      <c r="AP287" s="73"/>
      <c r="AQ287" s="32"/>
      <c r="AR287" s="73"/>
      <c r="AS287" s="73"/>
      <c r="AT287" s="345"/>
      <c r="AU287" s="73"/>
      <c r="AV287" s="32"/>
      <c r="AW287" s="73"/>
      <c r="AX287" s="73"/>
      <c r="AY287" s="345"/>
      <c r="AZ287" s="73"/>
      <c r="BA287" s="32"/>
      <c r="BB287" s="73"/>
      <c r="BC287" s="73"/>
      <c r="BD287" s="345"/>
      <c r="BE287" s="73"/>
      <c r="BF287" s="32"/>
      <c r="BG287" s="73"/>
      <c r="BH287" s="73"/>
      <c r="BI287" s="345"/>
      <c r="BJ287" s="73"/>
      <c r="BK287" s="32"/>
      <c r="BL287" s="73"/>
      <c r="BM287" s="73"/>
      <c r="BN287" s="345"/>
      <c r="BO287" s="73"/>
      <c r="BP287" s="32"/>
      <c r="BQ287" s="73"/>
      <c r="BR287" s="73"/>
      <c r="BS287" s="345"/>
      <c r="BT287" s="73"/>
      <c r="BU287" s="32"/>
      <c r="BV287" s="73"/>
      <c r="BW287" s="73"/>
      <c r="BX287" s="345"/>
      <c r="BY287" s="73"/>
      <c r="BZ287" s="32"/>
      <c r="CA287" s="73"/>
      <c r="CB287" s="73"/>
      <c r="CC287" s="345"/>
      <c r="CD287" s="73"/>
      <c r="CE287" s="32"/>
      <c r="CF287" s="73"/>
      <c r="CG287" s="73"/>
      <c r="CH287" s="345"/>
      <c r="CI287" s="73"/>
      <c r="CJ287" s="32"/>
      <c r="CK287" s="73"/>
      <c r="CL287" s="73"/>
      <c r="CM287" s="345"/>
      <c r="CN287" s="73"/>
      <c r="CO287" s="32"/>
      <c r="CP287" s="73"/>
      <c r="CQ287" s="73"/>
      <c r="CR287" s="345"/>
      <c r="CS287" s="73"/>
      <c r="CT287" s="32"/>
      <c r="CU287" s="73"/>
      <c r="CV287" s="73"/>
      <c r="CW287" s="345"/>
      <c r="CX287" s="73"/>
      <c r="CY287" s="32"/>
      <c r="CZ287" s="73"/>
      <c r="DA287" s="73"/>
      <c r="DB287" s="345"/>
      <c r="DC287" s="73"/>
      <c r="DD287" s="32"/>
      <c r="DE287" s="73"/>
      <c r="DF287" s="73"/>
      <c r="DG287" s="345"/>
      <c r="DH287" s="73"/>
      <c r="DI287" s="32"/>
      <c r="DJ287" s="73"/>
      <c r="DK287" s="73"/>
      <c r="DL287" s="345"/>
      <c r="DM287" s="73"/>
      <c r="DN287" s="32"/>
      <c r="DO287" s="73"/>
      <c r="DP287" s="73"/>
      <c r="DQ287" s="345"/>
      <c r="DR287" s="73"/>
      <c r="DS287" s="32"/>
      <c r="DT287" s="73"/>
      <c r="DU287" s="73"/>
      <c r="DV287" s="345"/>
      <c r="DW287" s="73"/>
      <c r="DX287" s="32"/>
      <c r="DY287" s="73"/>
      <c r="DZ287" s="73"/>
      <c r="EA287" s="345"/>
      <c r="EB287" s="73"/>
      <c r="EC287" s="32"/>
      <c r="ED287" s="73"/>
      <c r="EE287" s="73"/>
      <c r="EF287" s="345"/>
      <c r="EG287" s="73"/>
      <c r="EH287" s="32"/>
      <c r="EI287" s="73"/>
      <c r="EJ287" s="73"/>
      <c r="EK287" s="345"/>
      <c r="EL287" s="73"/>
      <c r="EM287" s="32"/>
      <c r="EN287" s="73"/>
      <c r="EO287" s="73"/>
      <c r="EP287" s="345"/>
      <c r="EQ287" s="73"/>
      <c r="ER287" s="32"/>
      <c r="ES287" s="73"/>
      <c r="ET287" s="73"/>
      <c r="EU287" s="345"/>
      <c r="EV287" s="73"/>
      <c r="EW287" s="32"/>
      <c r="EX287" s="73"/>
      <c r="EY287" s="73"/>
      <c r="EZ287" s="345"/>
      <c r="FA287" s="73"/>
      <c r="FB287" s="32"/>
      <c r="FC287" s="73"/>
      <c r="FD287" s="73"/>
      <c r="FE287" s="345"/>
      <c r="FF287" s="73"/>
      <c r="FG287" s="32"/>
      <c r="FH287" s="73"/>
      <c r="FI287" s="73"/>
      <c r="FJ287" s="345"/>
      <c r="FK287" s="73"/>
      <c r="FL287" s="32"/>
      <c r="FM287" s="73"/>
      <c r="FN287" s="73"/>
      <c r="FO287" s="345"/>
      <c r="FP287" s="73"/>
      <c r="FQ287" s="32"/>
      <c r="FR287" s="73"/>
      <c r="FS287" s="73"/>
      <c r="FT287" s="345"/>
      <c r="FU287" s="73"/>
      <c r="FV287" s="32"/>
      <c r="FW287" s="73"/>
      <c r="FX287" s="73"/>
      <c r="FY287" s="345"/>
      <c r="FZ287" s="73"/>
      <c r="GA287" s="32"/>
      <c r="GB287" s="73"/>
      <c r="GC287" s="73"/>
      <c r="GD287" s="345"/>
      <c r="GE287" s="73"/>
      <c r="GF287" s="32"/>
      <c r="GG287" s="73"/>
      <c r="GH287" s="73"/>
      <c r="GI287" s="345"/>
      <c r="GJ287" s="73"/>
      <c r="GK287" s="32"/>
      <c r="GL287" s="73"/>
      <c r="GM287" s="73"/>
      <c r="GN287" s="345"/>
      <c r="GO287" s="73"/>
      <c r="GP287" s="32"/>
      <c r="GQ287" s="73"/>
      <c r="GR287" s="73"/>
      <c r="GS287" s="345"/>
      <c r="GT287" s="73"/>
      <c r="GU287" s="32"/>
      <c r="GV287" s="73"/>
      <c r="GW287" s="73"/>
      <c r="GX287" s="345"/>
      <c r="GY287" s="73"/>
      <c r="GZ287" s="32"/>
      <c r="HA287" s="73"/>
      <c r="HB287" s="73"/>
      <c r="HC287" s="345"/>
      <c r="HD287" s="73"/>
      <c r="HE287" s="32"/>
      <c r="HF287" s="73"/>
      <c r="HG287" s="73"/>
      <c r="HH287" s="345"/>
      <c r="HI287" s="73"/>
      <c r="HJ287" s="32"/>
      <c r="HK287" s="73"/>
      <c r="HL287" s="73"/>
      <c r="HM287" s="345"/>
      <c r="HN287" s="73"/>
      <c r="HO287" s="32"/>
      <c r="HP287" s="73"/>
      <c r="HQ287" s="73"/>
      <c r="HR287" s="345"/>
      <c r="HS287" s="73"/>
      <c r="HT287" s="32"/>
      <c r="HU287" s="73"/>
      <c r="HV287" s="73"/>
      <c r="HW287" s="345"/>
      <c r="HX287" s="73"/>
      <c r="HY287" s="32"/>
      <c r="HZ287" s="73"/>
      <c r="IA287" s="73"/>
      <c r="IB287" s="345"/>
      <c r="IC287" s="73"/>
      <c r="ID287" s="32"/>
      <c r="IE287" s="73"/>
      <c r="IF287" s="73"/>
      <c r="IG287" s="345"/>
      <c r="IH287" s="73"/>
      <c r="II287" s="32"/>
      <c r="IJ287" s="73"/>
      <c r="IK287" s="73"/>
      <c r="IL287" s="345"/>
      <c r="IM287" s="73"/>
      <c r="IN287" s="32"/>
      <c r="IO287" s="73"/>
      <c r="IP287" s="73"/>
      <c r="IQ287" s="345"/>
      <c r="IR287" s="73"/>
      <c r="IS287" s="32"/>
      <c r="IT287" s="73"/>
      <c r="IU287" s="73"/>
      <c r="IV287" s="345"/>
    </row>
    <row r="288" spans="1:256" x14ac:dyDescent="0.2">
      <c r="A288" s="345">
        <v>36280</v>
      </c>
      <c r="B288" s="73"/>
      <c r="C288" s="32"/>
      <c r="D288" s="73"/>
      <c r="E288" s="73"/>
      <c r="F288" s="345"/>
      <c r="G288" s="73"/>
      <c r="H288" s="32"/>
      <c r="I288" s="73"/>
      <c r="J288" s="73"/>
      <c r="K288" s="345"/>
      <c r="L288" s="73"/>
      <c r="M288" s="32"/>
      <c r="N288" s="73"/>
      <c r="O288" s="73"/>
      <c r="P288" s="345"/>
      <c r="Q288" s="73"/>
      <c r="R288" s="32"/>
      <c r="S288" s="73"/>
      <c r="T288" s="73"/>
      <c r="U288" s="345"/>
      <c r="V288" s="73"/>
      <c r="W288" s="32"/>
      <c r="X288" s="73"/>
      <c r="Y288" s="73"/>
      <c r="Z288" s="345"/>
      <c r="AA288" s="73"/>
      <c r="AB288" s="32"/>
      <c r="AC288" s="73"/>
      <c r="AD288" s="73"/>
      <c r="AE288" s="345"/>
      <c r="AF288" s="73"/>
      <c r="AG288" s="32"/>
      <c r="AH288" s="73"/>
      <c r="AI288" s="73"/>
      <c r="AJ288" s="345"/>
      <c r="AK288" s="73"/>
      <c r="AL288" s="32"/>
      <c r="AM288" s="73"/>
      <c r="AN288" s="73"/>
      <c r="AO288" s="345"/>
      <c r="AP288" s="73"/>
      <c r="AQ288" s="32"/>
      <c r="AR288" s="73"/>
      <c r="AS288" s="73"/>
      <c r="AT288" s="345"/>
      <c r="AU288" s="73"/>
      <c r="AV288" s="32"/>
      <c r="AW288" s="73"/>
      <c r="AX288" s="73"/>
      <c r="AY288" s="345"/>
      <c r="AZ288" s="73"/>
      <c r="BA288" s="32"/>
      <c r="BB288" s="73"/>
      <c r="BC288" s="73"/>
      <c r="BD288" s="345"/>
      <c r="BE288" s="73"/>
      <c r="BF288" s="32"/>
      <c r="BG288" s="73"/>
      <c r="BH288" s="73"/>
      <c r="BI288" s="345"/>
      <c r="BJ288" s="73"/>
      <c r="BK288" s="32"/>
      <c r="BL288" s="73"/>
      <c r="BM288" s="73"/>
      <c r="BN288" s="345"/>
      <c r="BO288" s="73"/>
      <c r="BP288" s="32"/>
      <c r="BQ288" s="73"/>
      <c r="BR288" s="73"/>
      <c r="BS288" s="345"/>
      <c r="BT288" s="73"/>
      <c r="BU288" s="32"/>
      <c r="BV288" s="73"/>
      <c r="BW288" s="73"/>
      <c r="BX288" s="345"/>
      <c r="BY288" s="73"/>
      <c r="BZ288" s="32"/>
      <c r="CA288" s="73"/>
      <c r="CB288" s="73"/>
      <c r="CC288" s="345"/>
      <c r="CD288" s="73"/>
      <c r="CE288" s="32"/>
      <c r="CF288" s="73"/>
      <c r="CG288" s="73"/>
      <c r="CH288" s="345"/>
      <c r="CI288" s="73"/>
      <c r="CJ288" s="32"/>
      <c r="CK288" s="73"/>
      <c r="CL288" s="73"/>
      <c r="CM288" s="345"/>
      <c r="CN288" s="73"/>
      <c r="CO288" s="32"/>
      <c r="CP288" s="73"/>
      <c r="CQ288" s="73"/>
      <c r="CR288" s="345"/>
      <c r="CS288" s="73"/>
      <c r="CT288" s="32"/>
      <c r="CU288" s="73"/>
      <c r="CV288" s="73"/>
      <c r="CW288" s="345"/>
      <c r="CX288" s="73"/>
      <c r="CY288" s="32"/>
      <c r="CZ288" s="73"/>
      <c r="DA288" s="73"/>
      <c r="DB288" s="345"/>
      <c r="DC288" s="73"/>
      <c r="DD288" s="32"/>
      <c r="DE288" s="73"/>
      <c r="DF288" s="73"/>
      <c r="DG288" s="345"/>
      <c r="DH288" s="73"/>
      <c r="DI288" s="32"/>
      <c r="DJ288" s="73"/>
      <c r="DK288" s="73"/>
      <c r="DL288" s="345"/>
      <c r="DM288" s="73"/>
      <c r="DN288" s="32"/>
      <c r="DO288" s="73"/>
      <c r="DP288" s="73"/>
      <c r="DQ288" s="345"/>
      <c r="DR288" s="73"/>
      <c r="DS288" s="32"/>
      <c r="DT288" s="73"/>
      <c r="DU288" s="73"/>
      <c r="DV288" s="345"/>
      <c r="DW288" s="73"/>
      <c r="DX288" s="32"/>
      <c r="DY288" s="73"/>
      <c r="DZ288" s="73"/>
      <c r="EA288" s="345"/>
      <c r="EB288" s="73"/>
      <c r="EC288" s="32"/>
      <c r="ED288" s="73"/>
      <c r="EE288" s="73"/>
      <c r="EF288" s="345"/>
      <c r="EG288" s="73"/>
      <c r="EH288" s="32"/>
      <c r="EI288" s="73"/>
      <c r="EJ288" s="73"/>
      <c r="EK288" s="345"/>
      <c r="EL288" s="73"/>
      <c r="EM288" s="32"/>
      <c r="EN288" s="73"/>
      <c r="EO288" s="73"/>
      <c r="EP288" s="345"/>
      <c r="EQ288" s="73"/>
      <c r="ER288" s="32"/>
      <c r="ES288" s="73"/>
      <c r="ET288" s="73"/>
      <c r="EU288" s="345"/>
      <c r="EV288" s="73"/>
      <c r="EW288" s="32"/>
      <c r="EX288" s="73"/>
      <c r="EY288" s="73"/>
      <c r="EZ288" s="345"/>
      <c r="FA288" s="73"/>
      <c r="FB288" s="32"/>
      <c r="FC288" s="73"/>
      <c r="FD288" s="73"/>
      <c r="FE288" s="345"/>
      <c r="FF288" s="73"/>
      <c r="FG288" s="32"/>
      <c r="FH288" s="73"/>
      <c r="FI288" s="73"/>
      <c r="FJ288" s="345"/>
      <c r="FK288" s="73"/>
      <c r="FL288" s="32"/>
      <c r="FM288" s="73"/>
      <c r="FN288" s="73"/>
      <c r="FO288" s="345"/>
      <c r="FP288" s="73"/>
      <c r="FQ288" s="32"/>
      <c r="FR288" s="73"/>
      <c r="FS288" s="73"/>
      <c r="FT288" s="345"/>
      <c r="FU288" s="73"/>
      <c r="FV288" s="32"/>
      <c r="FW288" s="73"/>
      <c r="FX288" s="73"/>
      <c r="FY288" s="345"/>
      <c r="FZ288" s="73"/>
      <c r="GA288" s="32"/>
      <c r="GB288" s="73"/>
      <c r="GC288" s="73"/>
      <c r="GD288" s="345"/>
      <c r="GE288" s="73"/>
      <c r="GF288" s="32"/>
      <c r="GG288" s="73"/>
      <c r="GH288" s="73"/>
      <c r="GI288" s="345"/>
      <c r="GJ288" s="73"/>
      <c r="GK288" s="32"/>
      <c r="GL288" s="73"/>
      <c r="GM288" s="73"/>
      <c r="GN288" s="345"/>
      <c r="GO288" s="73"/>
      <c r="GP288" s="32"/>
      <c r="GQ288" s="73"/>
      <c r="GR288" s="73"/>
      <c r="GS288" s="345"/>
      <c r="GT288" s="73"/>
      <c r="GU288" s="32"/>
      <c r="GV288" s="73"/>
      <c r="GW288" s="73"/>
      <c r="GX288" s="345"/>
      <c r="GY288" s="73"/>
      <c r="GZ288" s="32"/>
      <c r="HA288" s="73"/>
      <c r="HB288" s="73"/>
      <c r="HC288" s="345"/>
      <c r="HD288" s="73"/>
      <c r="HE288" s="32"/>
      <c r="HF288" s="73"/>
      <c r="HG288" s="73"/>
      <c r="HH288" s="345"/>
      <c r="HI288" s="73"/>
      <c r="HJ288" s="32"/>
      <c r="HK288" s="73"/>
      <c r="HL288" s="73"/>
      <c r="HM288" s="345"/>
      <c r="HN288" s="73"/>
      <c r="HO288" s="32"/>
      <c r="HP288" s="73"/>
      <c r="HQ288" s="73"/>
      <c r="HR288" s="345"/>
      <c r="HS288" s="73"/>
      <c r="HT288" s="32"/>
      <c r="HU288" s="73"/>
      <c r="HV288" s="73"/>
      <c r="HW288" s="345"/>
      <c r="HX288" s="73"/>
      <c r="HY288" s="32"/>
      <c r="HZ288" s="73"/>
      <c r="IA288" s="73"/>
      <c r="IB288" s="345"/>
      <c r="IC288" s="73"/>
      <c r="ID288" s="32"/>
      <c r="IE288" s="73"/>
      <c r="IF288" s="73"/>
      <c r="IG288" s="345"/>
      <c r="IH288" s="73"/>
      <c r="II288" s="32"/>
      <c r="IJ288" s="73"/>
      <c r="IK288" s="73"/>
      <c r="IL288" s="345"/>
      <c r="IM288" s="73"/>
      <c r="IN288" s="32"/>
      <c r="IO288" s="73"/>
      <c r="IP288" s="73"/>
      <c r="IQ288" s="345"/>
      <c r="IR288" s="73"/>
      <c r="IS288" s="32"/>
      <c r="IT288" s="73"/>
      <c r="IU288" s="73"/>
      <c r="IV288" s="345"/>
    </row>
    <row r="289" spans="1:256" x14ac:dyDescent="0.2">
      <c r="A289" s="345">
        <v>36311</v>
      </c>
      <c r="B289" s="73"/>
      <c r="C289" s="32"/>
      <c r="D289" s="73"/>
      <c r="E289" s="73"/>
      <c r="F289" s="345"/>
      <c r="G289" s="73"/>
      <c r="H289" s="32"/>
      <c r="I289" s="73"/>
      <c r="J289" s="73"/>
      <c r="K289" s="345"/>
      <c r="L289" s="73"/>
      <c r="M289" s="32"/>
      <c r="N289" s="73"/>
      <c r="O289" s="73"/>
      <c r="P289" s="345"/>
      <c r="Q289" s="73"/>
      <c r="R289" s="32"/>
      <c r="S289" s="73"/>
      <c r="T289" s="73"/>
      <c r="U289" s="345"/>
      <c r="V289" s="73"/>
      <c r="W289" s="32"/>
      <c r="X289" s="73"/>
      <c r="Y289" s="73"/>
      <c r="Z289" s="345"/>
      <c r="AA289" s="73"/>
      <c r="AB289" s="32"/>
      <c r="AC289" s="73"/>
      <c r="AD289" s="73"/>
      <c r="AE289" s="345"/>
      <c r="AF289" s="73"/>
      <c r="AG289" s="32"/>
      <c r="AH289" s="73"/>
      <c r="AI289" s="73"/>
      <c r="AJ289" s="345"/>
      <c r="AK289" s="73"/>
      <c r="AL289" s="32"/>
      <c r="AM289" s="73"/>
      <c r="AN289" s="73"/>
      <c r="AO289" s="345"/>
      <c r="AP289" s="73"/>
      <c r="AQ289" s="32"/>
      <c r="AR289" s="73"/>
      <c r="AS289" s="73"/>
      <c r="AT289" s="345"/>
      <c r="AU289" s="73"/>
      <c r="AV289" s="32"/>
      <c r="AW289" s="73"/>
      <c r="AX289" s="73"/>
      <c r="AY289" s="345"/>
      <c r="AZ289" s="73"/>
      <c r="BA289" s="32"/>
      <c r="BB289" s="73"/>
      <c r="BC289" s="73"/>
      <c r="BD289" s="345"/>
      <c r="BE289" s="73"/>
      <c r="BF289" s="32"/>
      <c r="BG289" s="73"/>
      <c r="BH289" s="73"/>
      <c r="BI289" s="345"/>
      <c r="BJ289" s="73"/>
      <c r="BK289" s="32"/>
      <c r="BL289" s="73"/>
      <c r="BM289" s="73"/>
      <c r="BN289" s="345"/>
      <c r="BO289" s="73"/>
      <c r="BP289" s="32"/>
      <c r="BQ289" s="73"/>
      <c r="BR289" s="73"/>
      <c r="BS289" s="345"/>
      <c r="BT289" s="73"/>
      <c r="BU289" s="32"/>
      <c r="BV289" s="73"/>
      <c r="BW289" s="73"/>
      <c r="BX289" s="345"/>
      <c r="BY289" s="73"/>
      <c r="BZ289" s="32"/>
      <c r="CA289" s="73"/>
      <c r="CB289" s="73"/>
      <c r="CC289" s="345"/>
      <c r="CD289" s="73"/>
      <c r="CE289" s="32"/>
      <c r="CF289" s="73"/>
      <c r="CG289" s="73"/>
      <c r="CH289" s="345"/>
      <c r="CI289" s="73"/>
      <c r="CJ289" s="32"/>
      <c r="CK289" s="73"/>
      <c r="CL289" s="73"/>
      <c r="CM289" s="345"/>
      <c r="CN289" s="73"/>
      <c r="CO289" s="32"/>
      <c r="CP289" s="73"/>
      <c r="CQ289" s="73"/>
      <c r="CR289" s="345"/>
      <c r="CS289" s="73"/>
      <c r="CT289" s="32"/>
      <c r="CU289" s="73"/>
      <c r="CV289" s="73"/>
      <c r="CW289" s="345"/>
      <c r="CX289" s="73"/>
      <c r="CY289" s="32"/>
      <c r="CZ289" s="73"/>
      <c r="DA289" s="73"/>
      <c r="DB289" s="345"/>
      <c r="DC289" s="73"/>
      <c r="DD289" s="32"/>
      <c r="DE289" s="73"/>
      <c r="DF289" s="73"/>
      <c r="DG289" s="345"/>
      <c r="DH289" s="73"/>
      <c r="DI289" s="32"/>
      <c r="DJ289" s="73"/>
      <c r="DK289" s="73"/>
      <c r="DL289" s="345"/>
      <c r="DM289" s="73"/>
      <c r="DN289" s="32"/>
      <c r="DO289" s="73"/>
      <c r="DP289" s="73"/>
      <c r="DQ289" s="345"/>
      <c r="DR289" s="73"/>
      <c r="DS289" s="32"/>
      <c r="DT289" s="73"/>
      <c r="DU289" s="73"/>
      <c r="DV289" s="345"/>
      <c r="DW289" s="73"/>
      <c r="DX289" s="32"/>
      <c r="DY289" s="73"/>
      <c r="DZ289" s="73"/>
      <c r="EA289" s="345"/>
      <c r="EB289" s="73"/>
      <c r="EC289" s="32"/>
      <c r="ED289" s="73"/>
      <c r="EE289" s="73"/>
      <c r="EF289" s="345"/>
      <c r="EG289" s="73"/>
      <c r="EH289" s="32"/>
      <c r="EI289" s="73"/>
      <c r="EJ289" s="73"/>
      <c r="EK289" s="345"/>
      <c r="EL289" s="73"/>
      <c r="EM289" s="32"/>
      <c r="EN289" s="73"/>
      <c r="EO289" s="73"/>
      <c r="EP289" s="345"/>
      <c r="EQ289" s="73"/>
      <c r="ER289" s="32"/>
      <c r="ES289" s="73"/>
      <c r="ET289" s="73"/>
      <c r="EU289" s="345"/>
      <c r="EV289" s="73"/>
      <c r="EW289" s="32"/>
      <c r="EX289" s="73"/>
      <c r="EY289" s="73"/>
      <c r="EZ289" s="345"/>
      <c r="FA289" s="73"/>
      <c r="FB289" s="32"/>
      <c r="FC289" s="73"/>
      <c r="FD289" s="73"/>
      <c r="FE289" s="345"/>
      <c r="FF289" s="73"/>
      <c r="FG289" s="32"/>
      <c r="FH289" s="73"/>
      <c r="FI289" s="73"/>
      <c r="FJ289" s="345"/>
      <c r="FK289" s="73"/>
      <c r="FL289" s="32"/>
      <c r="FM289" s="73"/>
      <c r="FN289" s="73"/>
      <c r="FO289" s="345"/>
      <c r="FP289" s="73"/>
      <c r="FQ289" s="32"/>
      <c r="FR289" s="73"/>
      <c r="FS289" s="73"/>
      <c r="FT289" s="345"/>
      <c r="FU289" s="73"/>
      <c r="FV289" s="32"/>
      <c r="FW289" s="73"/>
      <c r="FX289" s="73"/>
      <c r="FY289" s="345"/>
      <c r="FZ289" s="73"/>
      <c r="GA289" s="32"/>
      <c r="GB289" s="73"/>
      <c r="GC289" s="73"/>
      <c r="GD289" s="345"/>
      <c r="GE289" s="73"/>
      <c r="GF289" s="32"/>
      <c r="GG289" s="73"/>
      <c r="GH289" s="73"/>
      <c r="GI289" s="345"/>
      <c r="GJ289" s="73"/>
      <c r="GK289" s="32"/>
      <c r="GL289" s="73"/>
      <c r="GM289" s="73"/>
      <c r="GN289" s="345"/>
      <c r="GO289" s="73"/>
      <c r="GP289" s="32"/>
      <c r="GQ289" s="73"/>
      <c r="GR289" s="73"/>
      <c r="GS289" s="345"/>
      <c r="GT289" s="73"/>
      <c r="GU289" s="32"/>
      <c r="GV289" s="73"/>
      <c r="GW289" s="73"/>
      <c r="GX289" s="345"/>
      <c r="GY289" s="73"/>
      <c r="GZ289" s="32"/>
      <c r="HA289" s="73"/>
      <c r="HB289" s="73"/>
      <c r="HC289" s="345"/>
      <c r="HD289" s="73"/>
      <c r="HE289" s="32"/>
      <c r="HF289" s="73"/>
      <c r="HG289" s="73"/>
      <c r="HH289" s="345"/>
      <c r="HI289" s="73"/>
      <c r="HJ289" s="32"/>
      <c r="HK289" s="73"/>
      <c r="HL289" s="73"/>
      <c r="HM289" s="345"/>
      <c r="HN289" s="73"/>
      <c r="HO289" s="32"/>
      <c r="HP289" s="73"/>
      <c r="HQ289" s="73"/>
      <c r="HR289" s="345"/>
      <c r="HS289" s="73"/>
      <c r="HT289" s="32"/>
      <c r="HU289" s="73"/>
      <c r="HV289" s="73"/>
      <c r="HW289" s="345"/>
      <c r="HX289" s="73"/>
      <c r="HY289" s="32"/>
      <c r="HZ289" s="73"/>
      <c r="IA289" s="73"/>
      <c r="IB289" s="345"/>
      <c r="IC289" s="73"/>
      <c r="ID289" s="32"/>
      <c r="IE289" s="73"/>
      <c r="IF289" s="73"/>
      <c r="IG289" s="345"/>
      <c r="IH289" s="73"/>
      <c r="II289" s="32"/>
      <c r="IJ289" s="73"/>
      <c r="IK289" s="73"/>
      <c r="IL289" s="345"/>
      <c r="IM289" s="73"/>
      <c r="IN289" s="32"/>
      <c r="IO289" s="73"/>
      <c r="IP289" s="73"/>
      <c r="IQ289" s="345"/>
      <c r="IR289" s="73"/>
      <c r="IS289" s="32"/>
      <c r="IT289" s="73"/>
      <c r="IU289" s="73"/>
      <c r="IV289" s="345"/>
    </row>
    <row r="290" spans="1:256" x14ac:dyDescent="0.2">
      <c r="A290" s="345">
        <v>36341</v>
      </c>
      <c r="B290" s="73"/>
      <c r="C290" s="32"/>
      <c r="D290" s="73"/>
      <c r="E290" s="73"/>
      <c r="F290" s="345"/>
      <c r="G290" s="73"/>
      <c r="H290" s="32"/>
      <c r="I290" s="73"/>
      <c r="J290" s="73"/>
      <c r="K290" s="345"/>
      <c r="L290" s="73"/>
      <c r="M290" s="32"/>
      <c r="N290" s="73"/>
      <c r="O290" s="73"/>
      <c r="P290" s="345"/>
      <c r="Q290" s="73"/>
      <c r="R290" s="32"/>
      <c r="S290" s="73"/>
      <c r="T290" s="73"/>
      <c r="U290" s="345"/>
      <c r="V290" s="73"/>
      <c r="W290" s="32"/>
      <c r="X290" s="73"/>
      <c r="Y290" s="73"/>
      <c r="Z290" s="345"/>
      <c r="AA290" s="73"/>
      <c r="AB290" s="32"/>
      <c r="AC290" s="73"/>
      <c r="AD290" s="73"/>
      <c r="AE290" s="345"/>
      <c r="AF290" s="73"/>
      <c r="AG290" s="32"/>
      <c r="AH290" s="73"/>
      <c r="AI290" s="73"/>
      <c r="AJ290" s="345"/>
      <c r="AK290" s="73"/>
      <c r="AL290" s="32"/>
      <c r="AM290" s="73"/>
      <c r="AN290" s="73"/>
      <c r="AO290" s="345"/>
      <c r="AP290" s="73"/>
      <c r="AQ290" s="32"/>
      <c r="AR290" s="73"/>
      <c r="AS290" s="73"/>
      <c r="AT290" s="345"/>
      <c r="AU290" s="73"/>
      <c r="AV290" s="32"/>
      <c r="AW290" s="73"/>
      <c r="AX290" s="73"/>
      <c r="AY290" s="345"/>
      <c r="AZ290" s="73"/>
      <c r="BA290" s="32"/>
      <c r="BB290" s="73"/>
      <c r="BC290" s="73"/>
      <c r="BD290" s="345"/>
      <c r="BE290" s="73"/>
      <c r="BF290" s="32"/>
      <c r="BG290" s="73"/>
      <c r="BH290" s="73"/>
      <c r="BI290" s="345"/>
      <c r="BJ290" s="73"/>
      <c r="BK290" s="32"/>
      <c r="BL290" s="73"/>
      <c r="BM290" s="73"/>
      <c r="BN290" s="345"/>
      <c r="BO290" s="73"/>
      <c r="BP290" s="32"/>
      <c r="BQ290" s="73"/>
      <c r="BR290" s="73"/>
      <c r="BS290" s="345"/>
      <c r="BT290" s="73"/>
      <c r="BU290" s="32"/>
      <c r="BV290" s="73"/>
      <c r="BW290" s="73"/>
      <c r="BX290" s="345"/>
      <c r="BY290" s="73"/>
      <c r="BZ290" s="32"/>
      <c r="CA290" s="73"/>
      <c r="CB290" s="73"/>
      <c r="CC290" s="345"/>
      <c r="CD290" s="73"/>
      <c r="CE290" s="32"/>
      <c r="CF290" s="73"/>
      <c r="CG290" s="73"/>
      <c r="CH290" s="345"/>
      <c r="CI290" s="73"/>
      <c r="CJ290" s="32"/>
      <c r="CK290" s="73"/>
      <c r="CL290" s="73"/>
      <c r="CM290" s="345"/>
      <c r="CN290" s="73"/>
      <c r="CO290" s="32"/>
      <c r="CP290" s="73"/>
      <c r="CQ290" s="73"/>
      <c r="CR290" s="345"/>
      <c r="CS290" s="73"/>
      <c r="CT290" s="32"/>
      <c r="CU290" s="73"/>
      <c r="CV290" s="73"/>
      <c r="CW290" s="345"/>
      <c r="CX290" s="73"/>
      <c r="CY290" s="32"/>
      <c r="CZ290" s="73"/>
      <c r="DA290" s="73"/>
      <c r="DB290" s="345"/>
      <c r="DC290" s="73"/>
      <c r="DD290" s="32"/>
      <c r="DE290" s="73"/>
      <c r="DF290" s="73"/>
      <c r="DG290" s="345"/>
      <c r="DH290" s="73"/>
      <c r="DI290" s="32"/>
      <c r="DJ290" s="73"/>
      <c r="DK290" s="73"/>
      <c r="DL290" s="345"/>
      <c r="DM290" s="73"/>
      <c r="DN290" s="32"/>
      <c r="DO290" s="73"/>
      <c r="DP290" s="73"/>
      <c r="DQ290" s="345"/>
      <c r="DR290" s="73"/>
      <c r="DS290" s="32"/>
      <c r="DT290" s="73"/>
      <c r="DU290" s="73"/>
      <c r="DV290" s="345"/>
      <c r="DW290" s="73"/>
      <c r="DX290" s="32"/>
      <c r="DY290" s="73"/>
      <c r="DZ290" s="73"/>
      <c r="EA290" s="345"/>
      <c r="EB290" s="73"/>
      <c r="EC290" s="32"/>
      <c r="ED290" s="73"/>
      <c r="EE290" s="73"/>
      <c r="EF290" s="345"/>
      <c r="EG290" s="73"/>
      <c r="EH290" s="32"/>
      <c r="EI290" s="73"/>
      <c r="EJ290" s="73"/>
      <c r="EK290" s="345"/>
      <c r="EL290" s="73"/>
      <c r="EM290" s="32"/>
      <c r="EN290" s="73"/>
      <c r="EO290" s="73"/>
      <c r="EP290" s="345"/>
      <c r="EQ290" s="73"/>
      <c r="ER290" s="32"/>
      <c r="ES290" s="73"/>
      <c r="ET290" s="73"/>
      <c r="EU290" s="345"/>
      <c r="EV290" s="73"/>
      <c r="EW290" s="32"/>
      <c r="EX290" s="73"/>
      <c r="EY290" s="73"/>
      <c r="EZ290" s="345"/>
      <c r="FA290" s="73"/>
      <c r="FB290" s="32"/>
      <c r="FC290" s="73"/>
      <c r="FD290" s="73"/>
      <c r="FE290" s="345"/>
      <c r="FF290" s="73"/>
      <c r="FG290" s="32"/>
      <c r="FH290" s="73"/>
      <c r="FI290" s="73"/>
      <c r="FJ290" s="345"/>
      <c r="FK290" s="73"/>
      <c r="FL290" s="32"/>
      <c r="FM290" s="73"/>
      <c r="FN290" s="73"/>
      <c r="FO290" s="345"/>
      <c r="FP290" s="73"/>
      <c r="FQ290" s="32"/>
      <c r="FR290" s="73"/>
      <c r="FS290" s="73"/>
      <c r="FT290" s="345"/>
      <c r="FU290" s="73"/>
      <c r="FV290" s="32"/>
      <c r="FW290" s="73"/>
      <c r="FX290" s="73"/>
      <c r="FY290" s="345"/>
      <c r="FZ290" s="73"/>
      <c r="GA290" s="32"/>
      <c r="GB290" s="73"/>
      <c r="GC290" s="73"/>
      <c r="GD290" s="345"/>
      <c r="GE290" s="73"/>
      <c r="GF290" s="32"/>
      <c r="GG290" s="73"/>
      <c r="GH290" s="73"/>
      <c r="GI290" s="345"/>
      <c r="GJ290" s="73"/>
      <c r="GK290" s="32"/>
      <c r="GL290" s="73"/>
      <c r="GM290" s="73"/>
      <c r="GN290" s="345"/>
      <c r="GO290" s="73"/>
      <c r="GP290" s="32"/>
      <c r="GQ290" s="73"/>
      <c r="GR290" s="73"/>
      <c r="GS290" s="345"/>
      <c r="GT290" s="73"/>
      <c r="GU290" s="32"/>
      <c r="GV290" s="73"/>
      <c r="GW290" s="73"/>
      <c r="GX290" s="345"/>
      <c r="GY290" s="73"/>
      <c r="GZ290" s="32"/>
      <c r="HA290" s="73"/>
      <c r="HB290" s="73"/>
      <c r="HC290" s="345"/>
      <c r="HD290" s="73"/>
      <c r="HE290" s="32"/>
      <c r="HF290" s="73"/>
      <c r="HG290" s="73"/>
      <c r="HH290" s="345"/>
      <c r="HI290" s="73"/>
      <c r="HJ290" s="32"/>
      <c r="HK290" s="73"/>
      <c r="HL290" s="73"/>
      <c r="HM290" s="345"/>
      <c r="HN290" s="73"/>
      <c r="HO290" s="32"/>
      <c r="HP290" s="73"/>
      <c r="HQ290" s="73"/>
      <c r="HR290" s="345"/>
      <c r="HS290" s="73"/>
      <c r="HT290" s="32"/>
      <c r="HU290" s="73"/>
      <c r="HV290" s="73"/>
      <c r="HW290" s="345"/>
      <c r="HX290" s="73"/>
      <c r="HY290" s="32"/>
      <c r="HZ290" s="73"/>
      <c r="IA290" s="73"/>
      <c r="IB290" s="345"/>
      <c r="IC290" s="73"/>
      <c r="ID290" s="32"/>
      <c r="IE290" s="73"/>
      <c r="IF290" s="73"/>
      <c r="IG290" s="345"/>
      <c r="IH290" s="73"/>
      <c r="II290" s="32"/>
      <c r="IJ290" s="73"/>
      <c r="IK290" s="73"/>
      <c r="IL290" s="345"/>
      <c r="IM290" s="73"/>
      <c r="IN290" s="32"/>
      <c r="IO290" s="73"/>
      <c r="IP290" s="73"/>
      <c r="IQ290" s="345"/>
      <c r="IR290" s="73"/>
      <c r="IS290" s="32"/>
      <c r="IT290" s="73"/>
      <c r="IU290" s="73"/>
      <c r="IV290" s="345"/>
    </row>
    <row r="291" spans="1:256" x14ac:dyDescent="0.2">
      <c r="A291" s="345">
        <v>36372</v>
      </c>
      <c r="B291" s="73"/>
      <c r="C291" s="32"/>
      <c r="D291" s="73"/>
      <c r="E291" s="73"/>
      <c r="F291" s="345"/>
      <c r="G291" s="73"/>
      <c r="H291" s="32"/>
      <c r="I291" s="73"/>
      <c r="J291" s="73"/>
      <c r="K291" s="345"/>
      <c r="L291" s="73"/>
      <c r="M291" s="32"/>
      <c r="N291" s="73"/>
      <c r="O291" s="73"/>
      <c r="P291" s="345"/>
      <c r="Q291" s="73"/>
      <c r="R291" s="32"/>
      <c r="S291" s="73"/>
      <c r="T291" s="73"/>
      <c r="U291" s="345"/>
      <c r="V291" s="73"/>
      <c r="W291" s="32"/>
      <c r="X291" s="73"/>
      <c r="Y291" s="73"/>
      <c r="Z291" s="345"/>
      <c r="AA291" s="73"/>
      <c r="AB291" s="32"/>
      <c r="AC291" s="73"/>
      <c r="AD291" s="73"/>
      <c r="AE291" s="345"/>
      <c r="AF291" s="73"/>
      <c r="AG291" s="32"/>
      <c r="AH291" s="73"/>
      <c r="AI291" s="73"/>
      <c r="AJ291" s="345"/>
      <c r="AK291" s="73"/>
      <c r="AL291" s="32"/>
      <c r="AM291" s="73"/>
      <c r="AN291" s="73"/>
      <c r="AO291" s="345"/>
      <c r="AP291" s="73"/>
      <c r="AQ291" s="32"/>
      <c r="AR291" s="73"/>
      <c r="AS291" s="73"/>
      <c r="AT291" s="345"/>
      <c r="AU291" s="73"/>
      <c r="AV291" s="32"/>
      <c r="AW291" s="73"/>
      <c r="AX291" s="73"/>
      <c r="AY291" s="345"/>
      <c r="AZ291" s="73"/>
      <c r="BA291" s="32"/>
      <c r="BB291" s="73"/>
      <c r="BC291" s="73"/>
      <c r="BD291" s="345"/>
      <c r="BE291" s="73"/>
      <c r="BF291" s="32"/>
      <c r="BG291" s="73"/>
      <c r="BH291" s="73"/>
      <c r="BI291" s="345"/>
      <c r="BJ291" s="73"/>
      <c r="BK291" s="32"/>
      <c r="BL291" s="73"/>
      <c r="BM291" s="73"/>
      <c r="BN291" s="345"/>
      <c r="BO291" s="73"/>
      <c r="BP291" s="32"/>
      <c r="BQ291" s="73"/>
      <c r="BR291" s="73"/>
      <c r="BS291" s="345"/>
      <c r="BT291" s="73"/>
      <c r="BU291" s="32"/>
      <c r="BV291" s="73"/>
      <c r="BW291" s="73"/>
      <c r="BX291" s="345"/>
      <c r="BY291" s="73"/>
      <c r="BZ291" s="32"/>
      <c r="CA291" s="73"/>
      <c r="CB291" s="73"/>
      <c r="CC291" s="345"/>
      <c r="CD291" s="73"/>
      <c r="CE291" s="32"/>
      <c r="CF291" s="73"/>
      <c r="CG291" s="73"/>
      <c r="CH291" s="345"/>
      <c r="CI291" s="73"/>
      <c r="CJ291" s="32"/>
      <c r="CK291" s="73"/>
      <c r="CL291" s="73"/>
      <c r="CM291" s="345"/>
      <c r="CN291" s="73"/>
      <c r="CO291" s="32"/>
      <c r="CP291" s="73"/>
      <c r="CQ291" s="73"/>
      <c r="CR291" s="345"/>
      <c r="CS291" s="73"/>
      <c r="CT291" s="32"/>
      <c r="CU291" s="73"/>
      <c r="CV291" s="73"/>
      <c r="CW291" s="345"/>
      <c r="CX291" s="73"/>
      <c r="CY291" s="32"/>
      <c r="CZ291" s="73"/>
      <c r="DA291" s="73"/>
      <c r="DB291" s="345"/>
      <c r="DC291" s="73"/>
      <c r="DD291" s="32"/>
      <c r="DE291" s="73"/>
      <c r="DF291" s="73"/>
      <c r="DG291" s="345"/>
      <c r="DH291" s="73"/>
      <c r="DI291" s="32"/>
      <c r="DJ291" s="73"/>
      <c r="DK291" s="73"/>
      <c r="DL291" s="345"/>
      <c r="DM291" s="73"/>
      <c r="DN291" s="32"/>
      <c r="DO291" s="73"/>
      <c r="DP291" s="73"/>
      <c r="DQ291" s="345"/>
      <c r="DR291" s="73"/>
      <c r="DS291" s="32"/>
      <c r="DT291" s="73"/>
      <c r="DU291" s="73"/>
      <c r="DV291" s="345"/>
      <c r="DW291" s="73"/>
      <c r="DX291" s="32"/>
      <c r="DY291" s="73"/>
      <c r="DZ291" s="73"/>
      <c r="EA291" s="345"/>
      <c r="EB291" s="73"/>
      <c r="EC291" s="32"/>
      <c r="ED291" s="73"/>
      <c r="EE291" s="73"/>
      <c r="EF291" s="345"/>
      <c r="EG291" s="73"/>
      <c r="EH291" s="32"/>
      <c r="EI291" s="73"/>
      <c r="EJ291" s="73"/>
      <c r="EK291" s="345"/>
      <c r="EL291" s="73"/>
      <c r="EM291" s="32"/>
      <c r="EN291" s="73"/>
      <c r="EO291" s="73"/>
      <c r="EP291" s="345"/>
      <c r="EQ291" s="73"/>
      <c r="ER291" s="32"/>
      <c r="ES291" s="73"/>
      <c r="ET291" s="73"/>
      <c r="EU291" s="345"/>
      <c r="EV291" s="73"/>
      <c r="EW291" s="32"/>
      <c r="EX291" s="73"/>
      <c r="EY291" s="73"/>
      <c r="EZ291" s="345"/>
      <c r="FA291" s="73"/>
      <c r="FB291" s="32"/>
      <c r="FC291" s="73"/>
      <c r="FD291" s="73"/>
      <c r="FE291" s="345"/>
      <c r="FF291" s="73"/>
      <c r="FG291" s="32"/>
      <c r="FH291" s="73"/>
      <c r="FI291" s="73"/>
      <c r="FJ291" s="345"/>
      <c r="FK291" s="73"/>
      <c r="FL291" s="32"/>
      <c r="FM291" s="73"/>
      <c r="FN291" s="73"/>
      <c r="FO291" s="345"/>
      <c r="FP291" s="73"/>
      <c r="FQ291" s="32"/>
      <c r="FR291" s="73"/>
      <c r="FS291" s="73"/>
      <c r="FT291" s="345"/>
      <c r="FU291" s="73"/>
      <c r="FV291" s="32"/>
      <c r="FW291" s="73"/>
      <c r="FX291" s="73"/>
      <c r="FY291" s="345"/>
      <c r="FZ291" s="73"/>
      <c r="GA291" s="32"/>
      <c r="GB291" s="73"/>
      <c r="GC291" s="73"/>
      <c r="GD291" s="345"/>
      <c r="GE291" s="73"/>
      <c r="GF291" s="32"/>
      <c r="GG291" s="73"/>
      <c r="GH291" s="73"/>
      <c r="GI291" s="345"/>
      <c r="GJ291" s="73"/>
      <c r="GK291" s="32"/>
      <c r="GL291" s="73"/>
      <c r="GM291" s="73"/>
      <c r="GN291" s="345"/>
      <c r="GO291" s="73"/>
      <c r="GP291" s="32"/>
      <c r="GQ291" s="73"/>
      <c r="GR291" s="73"/>
      <c r="GS291" s="345"/>
      <c r="GT291" s="73"/>
      <c r="GU291" s="32"/>
      <c r="GV291" s="73"/>
      <c r="GW291" s="73"/>
      <c r="GX291" s="345"/>
      <c r="GY291" s="73"/>
      <c r="GZ291" s="32"/>
      <c r="HA291" s="73"/>
      <c r="HB291" s="73"/>
      <c r="HC291" s="345"/>
      <c r="HD291" s="73"/>
      <c r="HE291" s="32"/>
      <c r="HF291" s="73"/>
      <c r="HG291" s="73"/>
      <c r="HH291" s="345"/>
      <c r="HI291" s="73"/>
      <c r="HJ291" s="32"/>
      <c r="HK291" s="73"/>
      <c r="HL291" s="73"/>
      <c r="HM291" s="345"/>
      <c r="HN291" s="73"/>
      <c r="HO291" s="32"/>
      <c r="HP291" s="73"/>
      <c r="HQ291" s="73"/>
      <c r="HR291" s="345"/>
      <c r="HS291" s="73"/>
      <c r="HT291" s="32"/>
      <c r="HU291" s="73"/>
      <c r="HV291" s="73"/>
      <c r="HW291" s="345"/>
      <c r="HX291" s="73"/>
      <c r="HY291" s="32"/>
      <c r="HZ291" s="73"/>
      <c r="IA291" s="73"/>
      <c r="IB291" s="345"/>
      <c r="IC291" s="73"/>
      <c r="ID291" s="32"/>
      <c r="IE291" s="73"/>
      <c r="IF291" s="73"/>
      <c r="IG291" s="345"/>
      <c r="IH291" s="73"/>
      <c r="II291" s="32"/>
      <c r="IJ291" s="73"/>
      <c r="IK291" s="73"/>
      <c r="IL291" s="345"/>
      <c r="IM291" s="73"/>
      <c r="IN291" s="32"/>
      <c r="IO291" s="73"/>
      <c r="IP291" s="73"/>
      <c r="IQ291" s="345"/>
      <c r="IR291" s="73"/>
      <c r="IS291" s="32"/>
      <c r="IT291" s="73"/>
      <c r="IU291" s="73"/>
      <c r="IV291" s="345"/>
    </row>
    <row r="292" spans="1:256" x14ac:dyDescent="0.2">
      <c r="A292" s="345">
        <v>36403</v>
      </c>
      <c r="B292" s="73"/>
      <c r="C292" s="32"/>
      <c r="D292" s="73"/>
      <c r="E292" s="73"/>
      <c r="F292" s="345"/>
      <c r="G292" s="73"/>
      <c r="H292" s="32"/>
      <c r="I292" s="73"/>
      <c r="J292" s="73"/>
      <c r="K292" s="345"/>
      <c r="L292" s="73"/>
      <c r="M292" s="32"/>
      <c r="N292" s="73"/>
      <c r="O292" s="73"/>
      <c r="P292" s="345"/>
      <c r="Q292" s="73"/>
      <c r="R292" s="32"/>
      <c r="S292" s="73"/>
      <c r="T292" s="73"/>
      <c r="U292" s="345"/>
      <c r="V292" s="73"/>
      <c r="W292" s="32"/>
      <c r="X292" s="73"/>
      <c r="Y292" s="73"/>
      <c r="Z292" s="345"/>
      <c r="AA292" s="73"/>
      <c r="AB292" s="32"/>
      <c r="AC292" s="73"/>
      <c r="AD292" s="73"/>
      <c r="AE292" s="345"/>
      <c r="AF292" s="73"/>
      <c r="AG292" s="32"/>
      <c r="AH292" s="73"/>
      <c r="AI292" s="73"/>
      <c r="AJ292" s="345"/>
      <c r="AK292" s="73"/>
      <c r="AL292" s="32"/>
      <c r="AM292" s="73"/>
      <c r="AN292" s="73"/>
      <c r="AO292" s="345"/>
      <c r="AP292" s="73"/>
      <c r="AQ292" s="32"/>
      <c r="AR292" s="73"/>
      <c r="AS292" s="73"/>
      <c r="AT292" s="345"/>
      <c r="AU292" s="73"/>
      <c r="AV292" s="32"/>
      <c r="AW292" s="73"/>
      <c r="AX292" s="73"/>
      <c r="AY292" s="345"/>
      <c r="AZ292" s="73"/>
      <c r="BA292" s="32"/>
      <c r="BB292" s="73"/>
      <c r="BC292" s="73"/>
      <c r="BD292" s="345"/>
      <c r="BE292" s="73"/>
      <c r="BF292" s="32"/>
      <c r="BG292" s="73"/>
      <c r="BH292" s="73"/>
      <c r="BI292" s="345"/>
      <c r="BJ292" s="73"/>
      <c r="BK292" s="32"/>
      <c r="BL292" s="73"/>
      <c r="BM292" s="73"/>
      <c r="BN292" s="345"/>
      <c r="BO292" s="73"/>
      <c r="BP292" s="32"/>
      <c r="BQ292" s="73"/>
      <c r="BR292" s="73"/>
      <c r="BS292" s="345"/>
      <c r="BT292" s="73"/>
      <c r="BU292" s="32"/>
      <c r="BV292" s="73"/>
      <c r="BW292" s="73"/>
      <c r="BX292" s="345"/>
      <c r="BY292" s="73"/>
      <c r="BZ292" s="32"/>
      <c r="CA292" s="73"/>
      <c r="CB292" s="73"/>
      <c r="CC292" s="345"/>
      <c r="CD292" s="73"/>
      <c r="CE292" s="32"/>
      <c r="CF292" s="73"/>
      <c r="CG292" s="73"/>
      <c r="CH292" s="345"/>
      <c r="CI292" s="73"/>
      <c r="CJ292" s="32"/>
      <c r="CK292" s="73"/>
      <c r="CL292" s="73"/>
      <c r="CM292" s="345"/>
      <c r="CN292" s="73"/>
      <c r="CO292" s="32"/>
      <c r="CP292" s="73"/>
      <c r="CQ292" s="73"/>
      <c r="CR292" s="345"/>
      <c r="CS292" s="73"/>
      <c r="CT292" s="32"/>
      <c r="CU292" s="73"/>
      <c r="CV292" s="73"/>
      <c r="CW292" s="345"/>
      <c r="CX292" s="73"/>
      <c r="CY292" s="32"/>
      <c r="CZ292" s="73"/>
      <c r="DA292" s="73"/>
      <c r="DB292" s="345"/>
      <c r="DC292" s="73"/>
      <c r="DD292" s="32"/>
      <c r="DE292" s="73"/>
      <c r="DF292" s="73"/>
      <c r="DG292" s="345"/>
      <c r="DH292" s="73"/>
      <c r="DI292" s="32"/>
      <c r="DJ292" s="73"/>
      <c r="DK292" s="73"/>
      <c r="DL292" s="345"/>
      <c r="DM292" s="73"/>
      <c r="DN292" s="32"/>
      <c r="DO292" s="73"/>
      <c r="DP292" s="73"/>
      <c r="DQ292" s="345"/>
      <c r="DR292" s="73"/>
      <c r="DS292" s="32"/>
      <c r="DT292" s="73"/>
      <c r="DU292" s="73"/>
      <c r="DV292" s="345"/>
      <c r="DW292" s="73"/>
      <c r="DX292" s="32"/>
      <c r="DY292" s="73"/>
      <c r="DZ292" s="73"/>
      <c r="EA292" s="345"/>
      <c r="EB292" s="73"/>
      <c r="EC292" s="32"/>
      <c r="ED292" s="73"/>
      <c r="EE292" s="73"/>
      <c r="EF292" s="345"/>
      <c r="EG292" s="73"/>
      <c r="EH292" s="32"/>
      <c r="EI292" s="73"/>
      <c r="EJ292" s="73"/>
      <c r="EK292" s="345"/>
      <c r="EL292" s="73"/>
      <c r="EM292" s="32"/>
      <c r="EN292" s="73"/>
      <c r="EO292" s="73"/>
      <c r="EP292" s="345"/>
      <c r="EQ292" s="73"/>
      <c r="ER292" s="32"/>
      <c r="ES292" s="73"/>
      <c r="ET292" s="73"/>
      <c r="EU292" s="345"/>
      <c r="EV292" s="73"/>
      <c r="EW292" s="32"/>
      <c r="EX292" s="73"/>
      <c r="EY292" s="73"/>
      <c r="EZ292" s="345"/>
      <c r="FA292" s="73"/>
      <c r="FB292" s="32"/>
      <c r="FC292" s="73"/>
      <c r="FD292" s="73"/>
      <c r="FE292" s="345"/>
      <c r="FF292" s="73"/>
      <c r="FG292" s="32"/>
      <c r="FH292" s="73"/>
      <c r="FI292" s="73"/>
      <c r="FJ292" s="345"/>
      <c r="FK292" s="73"/>
      <c r="FL292" s="32"/>
      <c r="FM292" s="73"/>
      <c r="FN292" s="73"/>
      <c r="FO292" s="345"/>
      <c r="FP292" s="73"/>
      <c r="FQ292" s="32"/>
      <c r="FR292" s="73"/>
      <c r="FS292" s="73"/>
      <c r="FT292" s="345"/>
      <c r="FU292" s="73"/>
      <c r="FV292" s="32"/>
      <c r="FW292" s="73"/>
      <c r="FX292" s="73"/>
      <c r="FY292" s="345"/>
      <c r="FZ292" s="73"/>
      <c r="GA292" s="32"/>
      <c r="GB292" s="73"/>
      <c r="GC292" s="73"/>
      <c r="GD292" s="345"/>
      <c r="GE292" s="73"/>
      <c r="GF292" s="32"/>
      <c r="GG292" s="73"/>
      <c r="GH292" s="73"/>
      <c r="GI292" s="345"/>
      <c r="GJ292" s="73"/>
      <c r="GK292" s="32"/>
      <c r="GL292" s="73"/>
      <c r="GM292" s="73"/>
      <c r="GN292" s="345"/>
      <c r="GO292" s="73"/>
      <c r="GP292" s="32"/>
      <c r="GQ292" s="73"/>
      <c r="GR292" s="73"/>
      <c r="GS292" s="345"/>
      <c r="GT292" s="73"/>
      <c r="GU292" s="32"/>
      <c r="GV292" s="73"/>
      <c r="GW292" s="73"/>
      <c r="GX292" s="345"/>
      <c r="GY292" s="73"/>
      <c r="GZ292" s="32"/>
      <c r="HA292" s="73"/>
      <c r="HB292" s="73"/>
      <c r="HC292" s="345"/>
      <c r="HD292" s="73"/>
      <c r="HE292" s="32"/>
      <c r="HF292" s="73"/>
      <c r="HG292" s="73"/>
      <c r="HH292" s="345"/>
      <c r="HI292" s="73"/>
      <c r="HJ292" s="32"/>
      <c r="HK292" s="73"/>
      <c r="HL292" s="73"/>
      <c r="HM292" s="345"/>
      <c r="HN292" s="73"/>
      <c r="HO292" s="32"/>
      <c r="HP292" s="73"/>
      <c r="HQ292" s="73"/>
      <c r="HR292" s="345"/>
      <c r="HS292" s="73"/>
      <c r="HT292" s="32"/>
      <c r="HU292" s="73"/>
      <c r="HV292" s="73"/>
      <c r="HW292" s="345"/>
      <c r="HX292" s="73"/>
      <c r="HY292" s="32"/>
      <c r="HZ292" s="73"/>
      <c r="IA292" s="73"/>
      <c r="IB292" s="345"/>
      <c r="IC292" s="73"/>
      <c r="ID292" s="32"/>
      <c r="IE292" s="73"/>
      <c r="IF292" s="73"/>
      <c r="IG292" s="345"/>
      <c r="IH292" s="73"/>
      <c r="II292" s="32"/>
      <c r="IJ292" s="73"/>
      <c r="IK292" s="73"/>
      <c r="IL292" s="345"/>
      <c r="IM292" s="73"/>
      <c r="IN292" s="32"/>
      <c r="IO292" s="73"/>
      <c r="IP292" s="73"/>
      <c r="IQ292" s="345"/>
      <c r="IR292" s="73"/>
      <c r="IS292" s="32"/>
      <c r="IT292" s="73"/>
      <c r="IU292" s="73"/>
      <c r="IV292" s="345"/>
    </row>
    <row r="293" spans="1:256" x14ac:dyDescent="0.2">
      <c r="A293" s="345">
        <v>36433</v>
      </c>
      <c r="B293" s="73"/>
      <c r="C293" s="32"/>
      <c r="D293" s="73"/>
      <c r="E293" s="73"/>
      <c r="F293" s="345"/>
      <c r="G293" s="73"/>
      <c r="H293" s="32"/>
      <c r="I293" s="73"/>
      <c r="J293" s="73"/>
      <c r="K293" s="345"/>
      <c r="L293" s="73"/>
      <c r="M293" s="32"/>
      <c r="N293" s="73"/>
      <c r="O293" s="73"/>
      <c r="P293" s="345"/>
      <c r="Q293" s="73"/>
      <c r="R293" s="32"/>
      <c r="S293" s="73"/>
      <c r="T293" s="73"/>
      <c r="U293" s="345"/>
      <c r="V293" s="73"/>
      <c r="W293" s="32"/>
      <c r="X293" s="73"/>
      <c r="Y293" s="73"/>
      <c r="Z293" s="345"/>
      <c r="AA293" s="73"/>
      <c r="AB293" s="32"/>
      <c r="AC293" s="73"/>
      <c r="AD293" s="73"/>
      <c r="AE293" s="345"/>
      <c r="AF293" s="73"/>
      <c r="AG293" s="32"/>
      <c r="AH293" s="73"/>
      <c r="AI293" s="73"/>
      <c r="AJ293" s="345"/>
      <c r="AK293" s="73"/>
      <c r="AL293" s="32"/>
      <c r="AM293" s="73"/>
      <c r="AN293" s="73"/>
      <c r="AO293" s="345"/>
      <c r="AP293" s="73"/>
      <c r="AQ293" s="32"/>
      <c r="AR293" s="73"/>
      <c r="AS293" s="73"/>
      <c r="AT293" s="345"/>
      <c r="AU293" s="73"/>
      <c r="AV293" s="32"/>
      <c r="AW293" s="73"/>
      <c r="AX293" s="73"/>
      <c r="AY293" s="345"/>
      <c r="AZ293" s="73"/>
      <c r="BA293" s="32"/>
      <c r="BB293" s="73"/>
      <c r="BC293" s="73"/>
      <c r="BD293" s="345"/>
      <c r="BE293" s="73"/>
      <c r="BF293" s="32"/>
      <c r="BG293" s="73"/>
      <c r="BH293" s="73"/>
      <c r="BI293" s="345"/>
      <c r="BJ293" s="73"/>
      <c r="BK293" s="32"/>
      <c r="BL293" s="73"/>
      <c r="BM293" s="73"/>
      <c r="BN293" s="345"/>
      <c r="BO293" s="73"/>
      <c r="BP293" s="32"/>
      <c r="BQ293" s="73"/>
      <c r="BR293" s="73"/>
      <c r="BS293" s="345"/>
      <c r="BT293" s="73"/>
      <c r="BU293" s="32"/>
      <c r="BV293" s="73"/>
      <c r="BW293" s="73"/>
      <c r="BX293" s="345"/>
      <c r="BY293" s="73"/>
      <c r="BZ293" s="32"/>
      <c r="CA293" s="73"/>
      <c r="CB293" s="73"/>
      <c r="CC293" s="345"/>
      <c r="CD293" s="73"/>
      <c r="CE293" s="32"/>
      <c r="CF293" s="73"/>
      <c r="CG293" s="73"/>
      <c r="CH293" s="345"/>
      <c r="CI293" s="73"/>
      <c r="CJ293" s="32"/>
      <c r="CK293" s="73"/>
      <c r="CL293" s="73"/>
      <c r="CM293" s="345"/>
      <c r="CN293" s="73"/>
      <c r="CO293" s="32"/>
      <c r="CP293" s="73"/>
      <c r="CQ293" s="73"/>
      <c r="CR293" s="345"/>
      <c r="CS293" s="73"/>
      <c r="CT293" s="32"/>
      <c r="CU293" s="73"/>
      <c r="CV293" s="73"/>
      <c r="CW293" s="345"/>
      <c r="CX293" s="73"/>
      <c r="CY293" s="32"/>
      <c r="CZ293" s="73"/>
      <c r="DA293" s="73"/>
      <c r="DB293" s="345"/>
      <c r="DC293" s="73"/>
      <c r="DD293" s="32"/>
      <c r="DE293" s="73"/>
      <c r="DF293" s="73"/>
      <c r="DG293" s="345"/>
      <c r="DH293" s="73"/>
      <c r="DI293" s="32"/>
      <c r="DJ293" s="73"/>
      <c r="DK293" s="73"/>
      <c r="DL293" s="345"/>
      <c r="DM293" s="73"/>
      <c r="DN293" s="32"/>
      <c r="DO293" s="73"/>
      <c r="DP293" s="73"/>
      <c r="DQ293" s="345"/>
      <c r="DR293" s="73"/>
      <c r="DS293" s="32"/>
      <c r="DT293" s="73"/>
      <c r="DU293" s="73"/>
      <c r="DV293" s="345"/>
      <c r="DW293" s="73"/>
      <c r="DX293" s="32"/>
      <c r="DY293" s="73"/>
      <c r="DZ293" s="73"/>
      <c r="EA293" s="345"/>
      <c r="EB293" s="73"/>
      <c r="EC293" s="32"/>
      <c r="ED293" s="73"/>
      <c r="EE293" s="73"/>
      <c r="EF293" s="345"/>
      <c r="EG293" s="73"/>
      <c r="EH293" s="32"/>
      <c r="EI293" s="73"/>
      <c r="EJ293" s="73"/>
      <c r="EK293" s="345"/>
      <c r="EL293" s="73"/>
      <c r="EM293" s="32"/>
      <c r="EN293" s="73"/>
      <c r="EO293" s="73"/>
      <c r="EP293" s="345"/>
      <c r="EQ293" s="73"/>
      <c r="ER293" s="32"/>
      <c r="ES293" s="73"/>
      <c r="ET293" s="73"/>
      <c r="EU293" s="345"/>
      <c r="EV293" s="73"/>
      <c r="EW293" s="32"/>
      <c r="EX293" s="73"/>
      <c r="EY293" s="73"/>
      <c r="EZ293" s="345"/>
      <c r="FA293" s="73"/>
      <c r="FB293" s="32"/>
      <c r="FC293" s="73"/>
      <c r="FD293" s="73"/>
      <c r="FE293" s="345"/>
      <c r="FF293" s="73"/>
      <c r="FG293" s="32"/>
      <c r="FH293" s="73"/>
      <c r="FI293" s="73"/>
      <c r="FJ293" s="345"/>
      <c r="FK293" s="73"/>
      <c r="FL293" s="32"/>
      <c r="FM293" s="73"/>
      <c r="FN293" s="73"/>
      <c r="FO293" s="345"/>
      <c r="FP293" s="73"/>
      <c r="FQ293" s="32"/>
      <c r="FR293" s="73"/>
      <c r="FS293" s="73"/>
      <c r="FT293" s="345"/>
      <c r="FU293" s="73"/>
      <c r="FV293" s="32"/>
      <c r="FW293" s="73"/>
      <c r="FX293" s="73"/>
      <c r="FY293" s="345"/>
      <c r="FZ293" s="73"/>
      <c r="GA293" s="32"/>
      <c r="GB293" s="73"/>
      <c r="GC293" s="73"/>
      <c r="GD293" s="345"/>
      <c r="GE293" s="73"/>
      <c r="GF293" s="32"/>
      <c r="GG293" s="73"/>
      <c r="GH293" s="73"/>
      <c r="GI293" s="345"/>
      <c r="GJ293" s="73"/>
      <c r="GK293" s="32"/>
      <c r="GL293" s="73"/>
      <c r="GM293" s="73"/>
      <c r="GN293" s="345"/>
      <c r="GO293" s="73"/>
      <c r="GP293" s="32"/>
      <c r="GQ293" s="73"/>
      <c r="GR293" s="73"/>
      <c r="GS293" s="345"/>
      <c r="GT293" s="73"/>
      <c r="GU293" s="32"/>
      <c r="GV293" s="73"/>
      <c r="GW293" s="73"/>
      <c r="GX293" s="345"/>
      <c r="GY293" s="73"/>
      <c r="GZ293" s="32"/>
      <c r="HA293" s="73"/>
      <c r="HB293" s="73"/>
      <c r="HC293" s="345"/>
      <c r="HD293" s="73"/>
      <c r="HE293" s="32"/>
      <c r="HF293" s="73"/>
      <c r="HG293" s="73"/>
      <c r="HH293" s="345"/>
      <c r="HI293" s="73"/>
      <c r="HJ293" s="32"/>
      <c r="HK293" s="73"/>
      <c r="HL293" s="73"/>
      <c r="HM293" s="345"/>
      <c r="HN293" s="73"/>
      <c r="HO293" s="32"/>
      <c r="HP293" s="73"/>
      <c r="HQ293" s="73"/>
      <c r="HR293" s="345"/>
      <c r="HS293" s="73"/>
      <c r="HT293" s="32"/>
      <c r="HU293" s="73"/>
      <c r="HV293" s="73"/>
      <c r="HW293" s="345"/>
      <c r="HX293" s="73"/>
      <c r="HY293" s="32"/>
      <c r="HZ293" s="73"/>
      <c r="IA293" s="73"/>
      <c r="IB293" s="345"/>
      <c r="IC293" s="73"/>
      <c r="ID293" s="32"/>
      <c r="IE293" s="73"/>
      <c r="IF293" s="73"/>
      <c r="IG293" s="345"/>
      <c r="IH293" s="73"/>
      <c r="II293" s="32"/>
      <c r="IJ293" s="73"/>
      <c r="IK293" s="73"/>
      <c r="IL293" s="345"/>
      <c r="IM293" s="73"/>
      <c r="IN293" s="32"/>
      <c r="IO293" s="73"/>
      <c r="IP293" s="73"/>
      <c r="IQ293" s="345"/>
      <c r="IR293" s="73"/>
      <c r="IS293" s="32"/>
      <c r="IT293" s="73"/>
      <c r="IU293" s="73"/>
      <c r="IV293" s="345"/>
    </row>
    <row r="294" spans="1:256" x14ac:dyDescent="0.2">
      <c r="A294" s="345">
        <v>36464</v>
      </c>
      <c r="B294" s="73"/>
      <c r="C294" s="32"/>
      <c r="D294" s="73"/>
      <c r="E294" s="73"/>
      <c r="F294" s="345"/>
      <c r="G294" s="73"/>
      <c r="H294" s="32"/>
      <c r="I294" s="73"/>
      <c r="J294" s="73"/>
      <c r="K294" s="345"/>
      <c r="L294" s="73"/>
      <c r="M294" s="32"/>
      <c r="N294" s="73"/>
      <c r="O294" s="73"/>
      <c r="P294" s="345"/>
      <c r="Q294" s="73"/>
      <c r="R294" s="32"/>
      <c r="S294" s="73"/>
      <c r="T294" s="73"/>
      <c r="U294" s="345"/>
      <c r="V294" s="73"/>
      <c r="W294" s="32"/>
      <c r="X294" s="73"/>
      <c r="Y294" s="73"/>
      <c r="Z294" s="345"/>
      <c r="AA294" s="73"/>
      <c r="AB294" s="32"/>
      <c r="AC294" s="73"/>
      <c r="AD294" s="73"/>
      <c r="AE294" s="345"/>
      <c r="AF294" s="73"/>
      <c r="AG294" s="32"/>
      <c r="AH294" s="73"/>
      <c r="AI294" s="73"/>
      <c r="AJ294" s="345"/>
      <c r="AK294" s="73"/>
      <c r="AL294" s="32"/>
      <c r="AM294" s="73"/>
      <c r="AN294" s="73"/>
      <c r="AO294" s="345"/>
      <c r="AP294" s="73"/>
      <c r="AQ294" s="32"/>
      <c r="AR294" s="73"/>
      <c r="AS294" s="73"/>
      <c r="AT294" s="345"/>
      <c r="AU294" s="73"/>
      <c r="AV294" s="32"/>
      <c r="AW294" s="73"/>
      <c r="AX294" s="73"/>
      <c r="AY294" s="345"/>
      <c r="AZ294" s="73"/>
      <c r="BA294" s="32"/>
      <c r="BB294" s="73"/>
      <c r="BC294" s="73"/>
      <c r="BD294" s="345"/>
      <c r="BE294" s="73"/>
      <c r="BF294" s="32"/>
      <c r="BG294" s="73"/>
      <c r="BH294" s="73"/>
      <c r="BI294" s="345"/>
      <c r="BJ294" s="73"/>
      <c r="BK294" s="32"/>
      <c r="BL294" s="73"/>
      <c r="BM294" s="73"/>
      <c r="BN294" s="345"/>
      <c r="BO294" s="73"/>
      <c r="BP294" s="32"/>
      <c r="BQ294" s="73"/>
      <c r="BR294" s="73"/>
      <c r="BS294" s="345"/>
      <c r="BT294" s="73"/>
      <c r="BU294" s="32"/>
      <c r="BV294" s="73"/>
      <c r="BW294" s="73"/>
      <c r="BX294" s="345"/>
      <c r="BY294" s="73"/>
      <c r="BZ294" s="32"/>
      <c r="CA294" s="73"/>
      <c r="CB294" s="73"/>
      <c r="CC294" s="345"/>
      <c r="CD294" s="73"/>
      <c r="CE294" s="32"/>
      <c r="CF294" s="73"/>
      <c r="CG294" s="73"/>
      <c r="CH294" s="345"/>
      <c r="CI294" s="73"/>
      <c r="CJ294" s="32"/>
      <c r="CK294" s="73"/>
      <c r="CL294" s="73"/>
      <c r="CM294" s="345"/>
      <c r="CN294" s="73"/>
      <c r="CO294" s="32"/>
      <c r="CP294" s="73"/>
      <c r="CQ294" s="73"/>
      <c r="CR294" s="345"/>
      <c r="CS294" s="73"/>
      <c r="CT294" s="32"/>
      <c r="CU294" s="73"/>
      <c r="CV294" s="73"/>
      <c r="CW294" s="345"/>
      <c r="CX294" s="73"/>
      <c r="CY294" s="32"/>
      <c r="CZ294" s="73"/>
      <c r="DA294" s="73"/>
      <c r="DB294" s="345"/>
      <c r="DC294" s="73"/>
      <c r="DD294" s="32"/>
      <c r="DE294" s="73"/>
      <c r="DF294" s="73"/>
      <c r="DG294" s="345"/>
      <c r="DH294" s="73"/>
      <c r="DI294" s="32"/>
      <c r="DJ294" s="73"/>
      <c r="DK294" s="73"/>
      <c r="DL294" s="345"/>
      <c r="DM294" s="73"/>
      <c r="DN294" s="32"/>
      <c r="DO294" s="73"/>
      <c r="DP294" s="73"/>
      <c r="DQ294" s="345"/>
      <c r="DR294" s="73"/>
      <c r="DS294" s="32"/>
      <c r="DT294" s="73"/>
      <c r="DU294" s="73"/>
      <c r="DV294" s="345"/>
      <c r="DW294" s="73"/>
      <c r="DX294" s="32"/>
      <c r="DY294" s="73"/>
      <c r="DZ294" s="73"/>
      <c r="EA294" s="345"/>
      <c r="EB294" s="73"/>
      <c r="EC294" s="32"/>
      <c r="ED294" s="73"/>
      <c r="EE294" s="73"/>
      <c r="EF294" s="345"/>
      <c r="EG294" s="73"/>
      <c r="EH294" s="32"/>
      <c r="EI294" s="73"/>
      <c r="EJ294" s="73"/>
      <c r="EK294" s="345"/>
      <c r="EL294" s="73"/>
      <c r="EM294" s="32"/>
      <c r="EN294" s="73"/>
      <c r="EO294" s="73"/>
      <c r="EP294" s="345"/>
      <c r="EQ294" s="73"/>
      <c r="ER294" s="32"/>
      <c r="ES294" s="73"/>
      <c r="ET294" s="73"/>
      <c r="EU294" s="345"/>
      <c r="EV294" s="73"/>
      <c r="EW294" s="32"/>
      <c r="EX294" s="73"/>
      <c r="EY294" s="73"/>
      <c r="EZ294" s="345"/>
      <c r="FA294" s="73"/>
      <c r="FB294" s="32"/>
      <c r="FC294" s="73"/>
      <c r="FD294" s="73"/>
      <c r="FE294" s="345"/>
      <c r="FF294" s="73"/>
      <c r="FG294" s="32"/>
      <c r="FH294" s="73"/>
      <c r="FI294" s="73"/>
      <c r="FJ294" s="345"/>
      <c r="FK294" s="73"/>
      <c r="FL294" s="32"/>
      <c r="FM294" s="73"/>
      <c r="FN294" s="73"/>
      <c r="FO294" s="345"/>
      <c r="FP294" s="73"/>
      <c r="FQ294" s="32"/>
      <c r="FR294" s="73"/>
      <c r="FS294" s="73"/>
      <c r="FT294" s="345"/>
      <c r="FU294" s="73"/>
      <c r="FV294" s="32"/>
      <c r="FW294" s="73"/>
      <c r="FX294" s="73"/>
      <c r="FY294" s="345"/>
      <c r="FZ294" s="73"/>
      <c r="GA294" s="32"/>
      <c r="GB294" s="73"/>
      <c r="GC294" s="73"/>
      <c r="GD294" s="345"/>
      <c r="GE294" s="73"/>
      <c r="GF294" s="32"/>
      <c r="GG294" s="73"/>
      <c r="GH294" s="73"/>
      <c r="GI294" s="345"/>
      <c r="GJ294" s="73"/>
      <c r="GK294" s="32"/>
      <c r="GL294" s="73"/>
      <c r="GM294" s="73"/>
      <c r="GN294" s="345"/>
      <c r="GO294" s="73"/>
      <c r="GP294" s="32"/>
      <c r="GQ294" s="73"/>
      <c r="GR294" s="73"/>
      <c r="GS294" s="345"/>
      <c r="GT294" s="73"/>
      <c r="GU294" s="32"/>
      <c r="GV294" s="73"/>
      <c r="GW294" s="73"/>
      <c r="GX294" s="345"/>
      <c r="GY294" s="73"/>
      <c r="GZ294" s="32"/>
      <c r="HA294" s="73"/>
      <c r="HB294" s="73"/>
      <c r="HC294" s="345"/>
      <c r="HD294" s="73"/>
      <c r="HE294" s="32"/>
      <c r="HF294" s="73"/>
      <c r="HG294" s="73"/>
      <c r="HH294" s="345"/>
      <c r="HI294" s="73"/>
      <c r="HJ294" s="32"/>
      <c r="HK294" s="73"/>
      <c r="HL294" s="73"/>
      <c r="HM294" s="345"/>
      <c r="HN294" s="73"/>
      <c r="HO294" s="32"/>
      <c r="HP294" s="73"/>
      <c r="HQ294" s="73"/>
      <c r="HR294" s="345"/>
      <c r="HS294" s="73"/>
      <c r="HT294" s="32"/>
      <c r="HU294" s="73"/>
      <c r="HV294" s="73"/>
      <c r="HW294" s="345"/>
      <c r="HX294" s="73"/>
      <c r="HY294" s="32"/>
      <c r="HZ294" s="73"/>
      <c r="IA294" s="73"/>
      <c r="IB294" s="345"/>
      <c r="IC294" s="73"/>
      <c r="ID294" s="32"/>
      <c r="IE294" s="73"/>
      <c r="IF294" s="73"/>
      <c r="IG294" s="345"/>
      <c r="IH294" s="73"/>
      <c r="II294" s="32"/>
      <c r="IJ294" s="73"/>
      <c r="IK294" s="73"/>
      <c r="IL294" s="345"/>
      <c r="IM294" s="73"/>
      <c r="IN294" s="32"/>
      <c r="IO294" s="73"/>
      <c r="IP294" s="73"/>
      <c r="IQ294" s="345"/>
      <c r="IR294" s="73"/>
      <c r="IS294" s="32"/>
      <c r="IT294" s="73"/>
      <c r="IU294" s="73"/>
      <c r="IV294" s="345"/>
    </row>
    <row r="295" spans="1:256" x14ac:dyDescent="0.2">
      <c r="A295" s="345">
        <v>36494</v>
      </c>
      <c r="B295" s="73"/>
      <c r="C295" s="32"/>
      <c r="D295" s="73"/>
      <c r="E295" s="73"/>
      <c r="F295" s="345"/>
      <c r="G295" s="73"/>
      <c r="H295" s="32"/>
      <c r="I295" s="73"/>
      <c r="J295" s="73"/>
      <c r="K295" s="345"/>
      <c r="L295" s="73"/>
      <c r="M295" s="32"/>
      <c r="N295" s="73"/>
      <c r="O295" s="73"/>
      <c r="P295" s="345"/>
      <c r="Q295" s="73"/>
      <c r="R295" s="32"/>
      <c r="S295" s="73"/>
      <c r="T295" s="73"/>
      <c r="U295" s="345"/>
      <c r="V295" s="73"/>
      <c r="W295" s="32"/>
      <c r="X295" s="73"/>
      <c r="Y295" s="73"/>
      <c r="Z295" s="345"/>
      <c r="AA295" s="73"/>
      <c r="AB295" s="32"/>
      <c r="AC295" s="73"/>
      <c r="AD295" s="73"/>
      <c r="AE295" s="345"/>
      <c r="AF295" s="73"/>
      <c r="AG295" s="32"/>
      <c r="AH295" s="73"/>
      <c r="AI295" s="73"/>
      <c r="AJ295" s="345"/>
      <c r="AK295" s="73"/>
      <c r="AL295" s="32"/>
      <c r="AM295" s="73"/>
      <c r="AN295" s="73"/>
      <c r="AO295" s="345"/>
      <c r="AP295" s="73"/>
      <c r="AQ295" s="32"/>
      <c r="AR295" s="73"/>
      <c r="AS295" s="73"/>
      <c r="AT295" s="345"/>
      <c r="AU295" s="73"/>
      <c r="AV295" s="32"/>
      <c r="AW295" s="73"/>
      <c r="AX295" s="73"/>
      <c r="AY295" s="345"/>
      <c r="AZ295" s="73"/>
      <c r="BA295" s="32"/>
      <c r="BB295" s="73"/>
      <c r="BC295" s="73"/>
      <c r="BD295" s="345"/>
      <c r="BE295" s="73"/>
      <c r="BF295" s="32"/>
      <c r="BG295" s="73"/>
      <c r="BH295" s="73"/>
      <c r="BI295" s="345"/>
      <c r="BJ295" s="73"/>
      <c r="BK295" s="32"/>
      <c r="BL295" s="73"/>
      <c r="BM295" s="73"/>
      <c r="BN295" s="345"/>
      <c r="BO295" s="73"/>
      <c r="BP295" s="32"/>
      <c r="BQ295" s="73"/>
      <c r="BR295" s="73"/>
      <c r="BS295" s="345"/>
      <c r="BT295" s="73"/>
      <c r="BU295" s="32"/>
      <c r="BV295" s="73"/>
      <c r="BW295" s="73"/>
      <c r="BX295" s="345"/>
      <c r="BY295" s="73"/>
      <c r="BZ295" s="32"/>
      <c r="CA295" s="73"/>
      <c r="CB295" s="73"/>
      <c r="CC295" s="345"/>
      <c r="CD295" s="73"/>
      <c r="CE295" s="32"/>
      <c r="CF295" s="73"/>
      <c r="CG295" s="73"/>
      <c r="CH295" s="345"/>
      <c r="CI295" s="73"/>
      <c r="CJ295" s="32"/>
      <c r="CK295" s="73"/>
      <c r="CL295" s="73"/>
      <c r="CM295" s="345"/>
      <c r="CN295" s="73"/>
      <c r="CO295" s="32"/>
      <c r="CP295" s="73"/>
      <c r="CQ295" s="73"/>
      <c r="CR295" s="345"/>
      <c r="CS295" s="73"/>
      <c r="CT295" s="32"/>
      <c r="CU295" s="73"/>
      <c r="CV295" s="73"/>
      <c r="CW295" s="345"/>
      <c r="CX295" s="73"/>
      <c r="CY295" s="32"/>
      <c r="CZ295" s="73"/>
      <c r="DA295" s="73"/>
      <c r="DB295" s="345"/>
      <c r="DC295" s="73"/>
      <c r="DD295" s="32"/>
      <c r="DE295" s="73"/>
      <c r="DF295" s="73"/>
      <c r="DG295" s="345"/>
      <c r="DH295" s="73"/>
      <c r="DI295" s="32"/>
      <c r="DJ295" s="73"/>
      <c r="DK295" s="73"/>
      <c r="DL295" s="345"/>
      <c r="DM295" s="73"/>
      <c r="DN295" s="32"/>
      <c r="DO295" s="73"/>
      <c r="DP295" s="73"/>
      <c r="DQ295" s="345"/>
      <c r="DR295" s="73"/>
      <c r="DS295" s="32"/>
      <c r="DT295" s="73"/>
      <c r="DU295" s="73"/>
      <c r="DV295" s="345"/>
      <c r="DW295" s="73"/>
      <c r="DX295" s="32"/>
      <c r="DY295" s="73"/>
      <c r="DZ295" s="73"/>
      <c r="EA295" s="345"/>
      <c r="EB295" s="73"/>
      <c r="EC295" s="32"/>
      <c r="ED295" s="73"/>
      <c r="EE295" s="73"/>
      <c r="EF295" s="345"/>
      <c r="EG295" s="73"/>
      <c r="EH295" s="32"/>
      <c r="EI295" s="73"/>
      <c r="EJ295" s="73"/>
      <c r="EK295" s="345"/>
      <c r="EL295" s="73"/>
      <c r="EM295" s="32"/>
      <c r="EN295" s="73"/>
      <c r="EO295" s="73"/>
      <c r="EP295" s="345"/>
      <c r="EQ295" s="73"/>
      <c r="ER295" s="32"/>
      <c r="ES295" s="73"/>
      <c r="ET295" s="73"/>
      <c r="EU295" s="345"/>
      <c r="EV295" s="73"/>
      <c r="EW295" s="32"/>
      <c r="EX295" s="73"/>
      <c r="EY295" s="73"/>
      <c r="EZ295" s="345"/>
      <c r="FA295" s="73"/>
      <c r="FB295" s="32"/>
      <c r="FC295" s="73"/>
      <c r="FD295" s="73"/>
      <c r="FE295" s="345"/>
      <c r="FF295" s="73"/>
      <c r="FG295" s="32"/>
      <c r="FH295" s="73"/>
      <c r="FI295" s="73"/>
      <c r="FJ295" s="345"/>
      <c r="FK295" s="73"/>
      <c r="FL295" s="32"/>
      <c r="FM295" s="73"/>
      <c r="FN295" s="73"/>
      <c r="FO295" s="345"/>
      <c r="FP295" s="73"/>
      <c r="FQ295" s="32"/>
      <c r="FR295" s="73"/>
      <c r="FS295" s="73"/>
      <c r="FT295" s="345"/>
      <c r="FU295" s="73"/>
      <c r="FV295" s="32"/>
      <c r="FW295" s="73"/>
      <c r="FX295" s="73"/>
      <c r="FY295" s="345"/>
      <c r="FZ295" s="73"/>
      <c r="GA295" s="32"/>
      <c r="GB295" s="73"/>
      <c r="GC295" s="73"/>
      <c r="GD295" s="345"/>
      <c r="GE295" s="73"/>
      <c r="GF295" s="32"/>
      <c r="GG295" s="73"/>
      <c r="GH295" s="73"/>
      <c r="GI295" s="345"/>
      <c r="GJ295" s="73"/>
      <c r="GK295" s="32"/>
      <c r="GL295" s="73"/>
      <c r="GM295" s="73"/>
      <c r="GN295" s="345"/>
      <c r="GO295" s="73"/>
      <c r="GP295" s="32"/>
      <c r="GQ295" s="73"/>
      <c r="GR295" s="73"/>
      <c r="GS295" s="345"/>
      <c r="GT295" s="73"/>
      <c r="GU295" s="32"/>
      <c r="GV295" s="73"/>
      <c r="GW295" s="73"/>
      <c r="GX295" s="345"/>
      <c r="GY295" s="73"/>
      <c r="GZ295" s="32"/>
      <c r="HA295" s="73"/>
      <c r="HB295" s="73"/>
      <c r="HC295" s="345"/>
      <c r="HD295" s="73"/>
      <c r="HE295" s="32"/>
      <c r="HF295" s="73"/>
      <c r="HG295" s="73"/>
      <c r="HH295" s="345"/>
      <c r="HI295" s="73"/>
      <c r="HJ295" s="32"/>
      <c r="HK295" s="73"/>
      <c r="HL295" s="73"/>
      <c r="HM295" s="345"/>
      <c r="HN295" s="73"/>
      <c r="HO295" s="32"/>
      <c r="HP295" s="73"/>
      <c r="HQ295" s="73"/>
      <c r="HR295" s="345"/>
      <c r="HS295" s="73"/>
      <c r="HT295" s="32"/>
      <c r="HU295" s="73"/>
      <c r="HV295" s="73"/>
      <c r="HW295" s="345"/>
      <c r="HX295" s="73"/>
      <c r="HY295" s="32"/>
      <c r="HZ295" s="73"/>
      <c r="IA295" s="73"/>
      <c r="IB295" s="345"/>
      <c r="IC295" s="73"/>
      <c r="ID295" s="32"/>
      <c r="IE295" s="73"/>
      <c r="IF295" s="73"/>
      <c r="IG295" s="345"/>
      <c r="IH295" s="73"/>
      <c r="II295" s="32"/>
      <c r="IJ295" s="73"/>
      <c r="IK295" s="73"/>
      <c r="IL295" s="345"/>
      <c r="IM295" s="73"/>
      <c r="IN295" s="32"/>
      <c r="IO295" s="73"/>
      <c r="IP295" s="73"/>
      <c r="IQ295" s="345"/>
      <c r="IR295" s="73"/>
      <c r="IS295" s="32"/>
      <c r="IT295" s="73"/>
      <c r="IU295" s="73"/>
      <c r="IV295" s="345"/>
    </row>
    <row r="296" spans="1:256" x14ac:dyDescent="0.2">
      <c r="A296" s="345">
        <v>36525</v>
      </c>
      <c r="B296" s="73"/>
      <c r="C296" s="32"/>
      <c r="D296" s="73"/>
      <c r="E296" s="73"/>
      <c r="F296" s="345"/>
      <c r="G296" s="73"/>
      <c r="H296" s="32"/>
      <c r="I296" s="73"/>
      <c r="J296" s="73"/>
      <c r="K296" s="345"/>
      <c r="L296" s="73"/>
      <c r="M296" s="32"/>
      <c r="N296" s="73"/>
      <c r="O296" s="73"/>
      <c r="P296" s="345"/>
      <c r="Q296" s="73"/>
      <c r="R296" s="32"/>
      <c r="S296" s="73"/>
      <c r="T296" s="73"/>
      <c r="U296" s="345"/>
      <c r="V296" s="73"/>
      <c r="W296" s="32"/>
      <c r="X296" s="73"/>
      <c r="Y296" s="73"/>
      <c r="Z296" s="345"/>
      <c r="AA296" s="73"/>
      <c r="AB296" s="32"/>
      <c r="AC296" s="73"/>
      <c r="AD296" s="73"/>
      <c r="AE296" s="345"/>
      <c r="AF296" s="73"/>
      <c r="AG296" s="32"/>
      <c r="AH296" s="73"/>
      <c r="AI296" s="73"/>
      <c r="AJ296" s="345"/>
      <c r="AK296" s="73"/>
      <c r="AL296" s="32"/>
      <c r="AM296" s="73"/>
      <c r="AN296" s="73"/>
      <c r="AO296" s="345"/>
      <c r="AP296" s="73"/>
      <c r="AQ296" s="32"/>
      <c r="AR296" s="73"/>
      <c r="AS296" s="73"/>
      <c r="AT296" s="345"/>
      <c r="AU296" s="73"/>
      <c r="AV296" s="32"/>
      <c r="AW296" s="73"/>
      <c r="AX296" s="73"/>
      <c r="AY296" s="345"/>
      <c r="AZ296" s="73"/>
      <c r="BA296" s="32"/>
      <c r="BB296" s="73"/>
      <c r="BC296" s="73"/>
      <c r="BD296" s="345"/>
      <c r="BE296" s="73"/>
      <c r="BF296" s="32"/>
      <c r="BG296" s="73"/>
      <c r="BH296" s="73"/>
      <c r="BI296" s="345"/>
      <c r="BJ296" s="73"/>
      <c r="BK296" s="32"/>
      <c r="BL296" s="73"/>
      <c r="BM296" s="73"/>
      <c r="BN296" s="345"/>
      <c r="BO296" s="73"/>
      <c r="BP296" s="32"/>
      <c r="BQ296" s="73"/>
      <c r="BR296" s="73"/>
      <c r="BS296" s="345"/>
      <c r="BT296" s="73"/>
      <c r="BU296" s="32"/>
      <c r="BV296" s="73"/>
      <c r="BW296" s="73"/>
      <c r="BX296" s="345"/>
      <c r="BY296" s="73"/>
      <c r="BZ296" s="32"/>
      <c r="CA296" s="73"/>
      <c r="CB296" s="73"/>
      <c r="CC296" s="345"/>
      <c r="CD296" s="73"/>
      <c r="CE296" s="32"/>
      <c r="CF296" s="73"/>
      <c r="CG296" s="73"/>
      <c r="CH296" s="345"/>
      <c r="CI296" s="73"/>
      <c r="CJ296" s="32"/>
      <c r="CK296" s="73"/>
      <c r="CL296" s="73"/>
      <c r="CM296" s="345"/>
      <c r="CN296" s="73"/>
      <c r="CO296" s="32"/>
      <c r="CP296" s="73"/>
      <c r="CQ296" s="73"/>
      <c r="CR296" s="345"/>
      <c r="CS296" s="73"/>
      <c r="CT296" s="32"/>
      <c r="CU296" s="73"/>
      <c r="CV296" s="73"/>
      <c r="CW296" s="345"/>
      <c r="CX296" s="73"/>
      <c r="CY296" s="32"/>
      <c r="CZ296" s="73"/>
      <c r="DA296" s="73"/>
      <c r="DB296" s="345"/>
      <c r="DC296" s="73"/>
      <c r="DD296" s="32"/>
      <c r="DE296" s="73"/>
      <c r="DF296" s="73"/>
      <c r="DG296" s="345"/>
      <c r="DH296" s="73"/>
      <c r="DI296" s="32"/>
      <c r="DJ296" s="73"/>
      <c r="DK296" s="73"/>
      <c r="DL296" s="345"/>
      <c r="DM296" s="73"/>
      <c r="DN296" s="32"/>
      <c r="DO296" s="73"/>
      <c r="DP296" s="73"/>
      <c r="DQ296" s="345"/>
      <c r="DR296" s="73"/>
      <c r="DS296" s="32"/>
      <c r="DT296" s="73"/>
      <c r="DU296" s="73"/>
      <c r="DV296" s="345"/>
      <c r="DW296" s="73"/>
      <c r="DX296" s="32"/>
      <c r="DY296" s="73"/>
      <c r="DZ296" s="73"/>
      <c r="EA296" s="345"/>
      <c r="EB296" s="73"/>
      <c r="EC296" s="32"/>
      <c r="ED296" s="73"/>
      <c r="EE296" s="73"/>
      <c r="EF296" s="345"/>
      <c r="EG296" s="73"/>
      <c r="EH296" s="32"/>
      <c r="EI296" s="73"/>
      <c r="EJ296" s="73"/>
      <c r="EK296" s="345"/>
      <c r="EL296" s="73"/>
      <c r="EM296" s="32"/>
      <c r="EN296" s="73"/>
      <c r="EO296" s="73"/>
      <c r="EP296" s="345"/>
      <c r="EQ296" s="73"/>
      <c r="ER296" s="32"/>
      <c r="ES296" s="73"/>
      <c r="ET296" s="73"/>
      <c r="EU296" s="345"/>
      <c r="EV296" s="73"/>
      <c r="EW296" s="32"/>
      <c r="EX296" s="73"/>
      <c r="EY296" s="73"/>
      <c r="EZ296" s="345"/>
      <c r="FA296" s="73"/>
      <c r="FB296" s="32"/>
      <c r="FC296" s="73"/>
      <c r="FD296" s="73"/>
      <c r="FE296" s="345"/>
      <c r="FF296" s="73"/>
      <c r="FG296" s="32"/>
      <c r="FH296" s="73"/>
      <c r="FI296" s="73"/>
      <c r="FJ296" s="345"/>
      <c r="FK296" s="73"/>
      <c r="FL296" s="32"/>
      <c r="FM296" s="73"/>
      <c r="FN296" s="73"/>
      <c r="FO296" s="345"/>
      <c r="FP296" s="73"/>
      <c r="FQ296" s="32"/>
      <c r="FR296" s="73"/>
      <c r="FS296" s="73"/>
      <c r="FT296" s="345"/>
      <c r="FU296" s="73"/>
      <c r="FV296" s="32"/>
      <c r="FW296" s="73"/>
      <c r="FX296" s="73"/>
      <c r="FY296" s="345"/>
      <c r="FZ296" s="73"/>
      <c r="GA296" s="32"/>
      <c r="GB296" s="73"/>
      <c r="GC296" s="73"/>
      <c r="GD296" s="345"/>
      <c r="GE296" s="73"/>
      <c r="GF296" s="32"/>
      <c r="GG296" s="73"/>
      <c r="GH296" s="73"/>
      <c r="GI296" s="345"/>
      <c r="GJ296" s="73"/>
      <c r="GK296" s="32"/>
      <c r="GL296" s="73"/>
      <c r="GM296" s="73"/>
      <c r="GN296" s="345"/>
      <c r="GO296" s="73"/>
      <c r="GP296" s="32"/>
      <c r="GQ296" s="73"/>
      <c r="GR296" s="73"/>
      <c r="GS296" s="345"/>
      <c r="GT296" s="73"/>
      <c r="GU296" s="32"/>
      <c r="GV296" s="73"/>
      <c r="GW296" s="73"/>
      <c r="GX296" s="345"/>
      <c r="GY296" s="73"/>
      <c r="GZ296" s="32"/>
      <c r="HA296" s="73"/>
      <c r="HB296" s="73"/>
      <c r="HC296" s="345"/>
      <c r="HD296" s="73"/>
      <c r="HE296" s="32"/>
      <c r="HF296" s="73"/>
      <c r="HG296" s="73"/>
      <c r="HH296" s="345"/>
      <c r="HI296" s="73"/>
      <c r="HJ296" s="32"/>
      <c r="HK296" s="73"/>
      <c r="HL296" s="73"/>
      <c r="HM296" s="345"/>
      <c r="HN296" s="73"/>
      <c r="HO296" s="32"/>
      <c r="HP296" s="73"/>
      <c r="HQ296" s="73"/>
      <c r="HR296" s="345"/>
      <c r="HS296" s="73"/>
      <c r="HT296" s="32"/>
      <c r="HU296" s="73"/>
      <c r="HV296" s="73"/>
      <c r="HW296" s="345"/>
      <c r="HX296" s="73"/>
      <c r="HY296" s="32"/>
      <c r="HZ296" s="73"/>
      <c r="IA296" s="73"/>
      <c r="IB296" s="345"/>
      <c r="IC296" s="73"/>
      <c r="ID296" s="32"/>
      <c r="IE296" s="73"/>
      <c r="IF296" s="73"/>
      <c r="IG296" s="345"/>
      <c r="IH296" s="73"/>
      <c r="II296" s="32"/>
      <c r="IJ296" s="73"/>
      <c r="IK296" s="73"/>
      <c r="IL296" s="345"/>
      <c r="IM296" s="73"/>
      <c r="IN296" s="32"/>
      <c r="IO296" s="73"/>
      <c r="IP296" s="73"/>
      <c r="IQ296" s="345"/>
      <c r="IR296" s="73"/>
      <c r="IS296" s="32"/>
      <c r="IT296" s="73"/>
      <c r="IU296" s="73"/>
      <c r="IV296" s="345"/>
    </row>
    <row r="297" spans="1:256" x14ac:dyDescent="0.2">
      <c r="A297" s="345">
        <v>36556</v>
      </c>
      <c r="B297" s="73"/>
      <c r="C297" s="32"/>
      <c r="D297" s="73"/>
      <c r="E297" s="73"/>
      <c r="F297" s="345"/>
      <c r="G297" s="73"/>
      <c r="H297" s="32"/>
      <c r="I297" s="73"/>
      <c r="J297" s="73"/>
      <c r="K297" s="345"/>
      <c r="L297" s="73"/>
      <c r="M297" s="32"/>
      <c r="N297" s="73"/>
      <c r="O297" s="73"/>
      <c r="P297" s="345"/>
      <c r="Q297" s="73"/>
      <c r="R297" s="32"/>
      <c r="S297" s="73"/>
      <c r="T297" s="73"/>
      <c r="U297" s="345"/>
      <c r="V297" s="73"/>
      <c r="W297" s="32"/>
      <c r="X297" s="73"/>
      <c r="Y297" s="73"/>
      <c r="Z297" s="345"/>
      <c r="AA297" s="73"/>
      <c r="AB297" s="32"/>
      <c r="AC297" s="73"/>
      <c r="AD297" s="73"/>
      <c r="AE297" s="345"/>
      <c r="AF297" s="73"/>
      <c r="AG297" s="32"/>
      <c r="AH297" s="73"/>
      <c r="AI297" s="73"/>
      <c r="AJ297" s="345"/>
      <c r="AK297" s="73"/>
      <c r="AL297" s="32"/>
      <c r="AM297" s="73"/>
      <c r="AN297" s="73"/>
      <c r="AO297" s="345"/>
      <c r="AP297" s="73"/>
      <c r="AQ297" s="32"/>
      <c r="AR297" s="73"/>
      <c r="AS297" s="73"/>
      <c r="AT297" s="345"/>
      <c r="AU297" s="73"/>
      <c r="AV297" s="32"/>
      <c r="AW297" s="73"/>
      <c r="AX297" s="73"/>
      <c r="AY297" s="345"/>
      <c r="AZ297" s="73"/>
      <c r="BA297" s="32"/>
      <c r="BB297" s="73"/>
      <c r="BC297" s="73"/>
      <c r="BD297" s="345"/>
      <c r="BE297" s="73"/>
      <c r="BF297" s="32"/>
      <c r="BG297" s="73"/>
      <c r="BH297" s="73"/>
      <c r="BI297" s="345"/>
      <c r="BJ297" s="73"/>
      <c r="BK297" s="32"/>
      <c r="BL297" s="73"/>
      <c r="BM297" s="73"/>
      <c r="BN297" s="345"/>
      <c r="BO297" s="73"/>
      <c r="BP297" s="32"/>
      <c r="BQ297" s="73"/>
      <c r="BR297" s="73"/>
      <c r="BS297" s="345"/>
      <c r="BT297" s="73"/>
      <c r="BU297" s="32"/>
      <c r="BV297" s="73"/>
      <c r="BW297" s="73"/>
      <c r="BX297" s="345"/>
      <c r="BY297" s="73"/>
      <c r="BZ297" s="32"/>
      <c r="CA297" s="73"/>
      <c r="CB297" s="73"/>
      <c r="CC297" s="345"/>
      <c r="CD297" s="73"/>
      <c r="CE297" s="32"/>
      <c r="CF297" s="73"/>
      <c r="CG297" s="73"/>
      <c r="CH297" s="345"/>
      <c r="CI297" s="73"/>
      <c r="CJ297" s="32"/>
      <c r="CK297" s="73"/>
      <c r="CL297" s="73"/>
      <c r="CM297" s="345"/>
      <c r="CN297" s="73"/>
      <c r="CO297" s="32"/>
      <c r="CP297" s="73"/>
      <c r="CQ297" s="73"/>
      <c r="CR297" s="345"/>
      <c r="CS297" s="73"/>
      <c r="CT297" s="32"/>
      <c r="CU297" s="73"/>
      <c r="CV297" s="73"/>
      <c r="CW297" s="345"/>
      <c r="CX297" s="73"/>
      <c r="CY297" s="32"/>
      <c r="CZ297" s="73"/>
      <c r="DA297" s="73"/>
      <c r="DB297" s="345"/>
      <c r="DC297" s="73"/>
      <c r="DD297" s="32"/>
      <c r="DE297" s="73"/>
      <c r="DF297" s="73"/>
      <c r="DG297" s="345"/>
      <c r="DH297" s="73"/>
      <c r="DI297" s="32"/>
      <c r="DJ297" s="73"/>
      <c r="DK297" s="73"/>
      <c r="DL297" s="345"/>
      <c r="DM297" s="73"/>
      <c r="DN297" s="32"/>
      <c r="DO297" s="73"/>
      <c r="DP297" s="73"/>
      <c r="DQ297" s="345"/>
      <c r="DR297" s="73"/>
      <c r="DS297" s="32"/>
      <c r="DT297" s="73"/>
      <c r="DU297" s="73"/>
      <c r="DV297" s="345"/>
      <c r="DW297" s="73"/>
      <c r="DX297" s="32"/>
      <c r="DY297" s="73"/>
      <c r="DZ297" s="73"/>
      <c r="EA297" s="345"/>
      <c r="EB297" s="73"/>
      <c r="EC297" s="32"/>
      <c r="ED297" s="73"/>
      <c r="EE297" s="73"/>
      <c r="EF297" s="345"/>
      <c r="EG297" s="73"/>
      <c r="EH297" s="32"/>
      <c r="EI297" s="73"/>
      <c r="EJ297" s="73"/>
      <c r="EK297" s="345"/>
      <c r="EL297" s="73"/>
      <c r="EM297" s="32"/>
      <c r="EN297" s="73"/>
      <c r="EO297" s="73"/>
      <c r="EP297" s="345"/>
      <c r="EQ297" s="73"/>
      <c r="ER297" s="32"/>
      <c r="ES297" s="73"/>
      <c r="ET297" s="73"/>
      <c r="EU297" s="345"/>
      <c r="EV297" s="73"/>
      <c r="EW297" s="32"/>
      <c r="EX297" s="73"/>
      <c r="EY297" s="73"/>
      <c r="EZ297" s="345"/>
      <c r="FA297" s="73"/>
      <c r="FB297" s="32"/>
      <c r="FC297" s="73"/>
      <c r="FD297" s="73"/>
      <c r="FE297" s="345"/>
      <c r="FF297" s="73"/>
      <c r="FG297" s="32"/>
      <c r="FH297" s="73"/>
      <c r="FI297" s="73"/>
      <c r="FJ297" s="345"/>
      <c r="FK297" s="73"/>
      <c r="FL297" s="32"/>
      <c r="FM297" s="73"/>
      <c r="FN297" s="73"/>
      <c r="FO297" s="345"/>
      <c r="FP297" s="73"/>
      <c r="FQ297" s="32"/>
      <c r="FR297" s="73"/>
      <c r="FS297" s="73"/>
      <c r="FT297" s="345"/>
      <c r="FU297" s="73"/>
      <c r="FV297" s="32"/>
      <c r="FW297" s="73"/>
      <c r="FX297" s="73"/>
      <c r="FY297" s="345"/>
      <c r="FZ297" s="73"/>
      <c r="GA297" s="32"/>
      <c r="GB297" s="73"/>
      <c r="GC297" s="73"/>
      <c r="GD297" s="345"/>
      <c r="GE297" s="73"/>
      <c r="GF297" s="32"/>
      <c r="GG297" s="73"/>
      <c r="GH297" s="73"/>
      <c r="GI297" s="345"/>
      <c r="GJ297" s="73"/>
      <c r="GK297" s="32"/>
      <c r="GL297" s="73"/>
      <c r="GM297" s="73"/>
      <c r="GN297" s="345"/>
      <c r="GO297" s="73"/>
      <c r="GP297" s="32"/>
      <c r="GQ297" s="73"/>
      <c r="GR297" s="73"/>
      <c r="GS297" s="345"/>
      <c r="GT297" s="73"/>
      <c r="GU297" s="32"/>
      <c r="GV297" s="73"/>
      <c r="GW297" s="73"/>
      <c r="GX297" s="345"/>
      <c r="GY297" s="73"/>
      <c r="GZ297" s="32"/>
      <c r="HA297" s="73"/>
      <c r="HB297" s="73"/>
      <c r="HC297" s="345"/>
      <c r="HD297" s="73"/>
      <c r="HE297" s="32"/>
      <c r="HF297" s="73"/>
      <c r="HG297" s="73"/>
      <c r="HH297" s="345"/>
      <c r="HI297" s="73"/>
      <c r="HJ297" s="32"/>
      <c r="HK297" s="73"/>
      <c r="HL297" s="73"/>
      <c r="HM297" s="345"/>
      <c r="HN297" s="73"/>
      <c r="HO297" s="32"/>
      <c r="HP297" s="73"/>
      <c r="HQ297" s="73"/>
      <c r="HR297" s="345"/>
      <c r="HS297" s="73"/>
      <c r="HT297" s="32"/>
      <c r="HU297" s="73"/>
      <c r="HV297" s="73"/>
      <c r="HW297" s="345"/>
      <c r="HX297" s="73"/>
      <c r="HY297" s="32"/>
      <c r="HZ297" s="73"/>
      <c r="IA297" s="73"/>
      <c r="IB297" s="345"/>
      <c r="IC297" s="73"/>
      <c r="ID297" s="32"/>
      <c r="IE297" s="73"/>
      <c r="IF297" s="73"/>
      <c r="IG297" s="345"/>
      <c r="IH297" s="73"/>
      <c r="II297" s="32"/>
      <c r="IJ297" s="73"/>
      <c r="IK297" s="73"/>
      <c r="IL297" s="345"/>
      <c r="IM297" s="73"/>
      <c r="IN297" s="32"/>
      <c r="IO297" s="73"/>
      <c r="IP297" s="73"/>
      <c r="IQ297" s="345"/>
      <c r="IR297" s="73"/>
      <c r="IS297" s="32"/>
      <c r="IT297" s="73"/>
      <c r="IU297" s="73"/>
      <c r="IV297" s="345"/>
    </row>
    <row r="298" spans="1:256" x14ac:dyDescent="0.2">
      <c r="A298" s="345">
        <v>36585</v>
      </c>
      <c r="B298" s="73"/>
      <c r="C298" s="32"/>
      <c r="D298" s="73"/>
      <c r="E298" s="73"/>
      <c r="F298" s="345"/>
      <c r="G298" s="73"/>
      <c r="H298" s="32"/>
      <c r="I298" s="73"/>
      <c r="J298" s="73"/>
      <c r="K298" s="345"/>
      <c r="L298" s="73"/>
      <c r="M298" s="32"/>
      <c r="N298" s="73"/>
      <c r="O298" s="73"/>
      <c r="P298" s="345"/>
      <c r="Q298" s="73"/>
      <c r="R298" s="32"/>
      <c r="S298" s="73"/>
      <c r="T298" s="73"/>
      <c r="U298" s="345"/>
      <c r="V298" s="73"/>
      <c r="W298" s="32"/>
      <c r="X298" s="73"/>
      <c r="Y298" s="73"/>
      <c r="Z298" s="345"/>
      <c r="AA298" s="73"/>
      <c r="AB298" s="32"/>
      <c r="AC298" s="73"/>
      <c r="AD298" s="73"/>
      <c r="AE298" s="345"/>
      <c r="AF298" s="73"/>
      <c r="AG298" s="32"/>
      <c r="AH298" s="73"/>
      <c r="AI298" s="73"/>
      <c r="AJ298" s="345"/>
      <c r="AK298" s="73"/>
      <c r="AL298" s="32"/>
      <c r="AM298" s="73"/>
      <c r="AN298" s="73"/>
      <c r="AO298" s="345"/>
      <c r="AP298" s="73"/>
      <c r="AQ298" s="32"/>
      <c r="AR298" s="73"/>
      <c r="AS298" s="73"/>
      <c r="AT298" s="345"/>
      <c r="AU298" s="73"/>
      <c r="AV298" s="32"/>
      <c r="AW298" s="73"/>
      <c r="AX298" s="73"/>
      <c r="AY298" s="345"/>
      <c r="AZ298" s="73"/>
      <c r="BA298" s="32"/>
      <c r="BB298" s="73"/>
      <c r="BC298" s="73"/>
      <c r="BD298" s="345"/>
      <c r="BE298" s="73"/>
      <c r="BF298" s="32"/>
      <c r="BG298" s="73"/>
      <c r="BH298" s="73"/>
      <c r="BI298" s="345"/>
      <c r="BJ298" s="73"/>
      <c r="BK298" s="32"/>
      <c r="BL298" s="73"/>
      <c r="BM298" s="73"/>
      <c r="BN298" s="345"/>
      <c r="BO298" s="73"/>
      <c r="BP298" s="32"/>
      <c r="BQ298" s="73"/>
      <c r="BR298" s="73"/>
      <c r="BS298" s="345"/>
      <c r="BT298" s="73"/>
      <c r="BU298" s="32"/>
      <c r="BV298" s="73"/>
      <c r="BW298" s="73"/>
      <c r="BX298" s="345"/>
      <c r="BY298" s="73"/>
      <c r="BZ298" s="32"/>
      <c r="CA298" s="73"/>
      <c r="CB298" s="73"/>
      <c r="CC298" s="345"/>
      <c r="CD298" s="73"/>
      <c r="CE298" s="32"/>
      <c r="CF298" s="73"/>
      <c r="CG298" s="73"/>
      <c r="CH298" s="345"/>
      <c r="CI298" s="73"/>
      <c r="CJ298" s="32"/>
      <c r="CK298" s="73"/>
      <c r="CL298" s="73"/>
      <c r="CM298" s="345"/>
      <c r="CN298" s="73"/>
      <c r="CO298" s="32"/>
      <c r="CP298" s="73"/>
      <c r="CQ298" s="73"/>
      <c r="CR298" s="345"/>
      <c r="CS298" s="73"/>
      <c r="CT298" s="32"/>
      <c r="CU298" s="73"/>
      <c r="CV298" s="73"/>
      <c r="CW298" s="345"/>
      <c r="CX298" s="73"/>
      <c r="CY298" s="32"/>
      <c r="CZ298" s="73"/>
      <c r="DA298" s="73"/>
      <c r="DB298" s="345"/>
      <c r="DC298" s="73"/>
      <c r="DD298" s="32"/>
      <c r="DE298" s="73"/>
      <c r="DF298" s="73"/>
      <c r="DG298" s="345"/>
      <c r="DH298" s="73"/>
      <c r="DI298" s="32"/>
      <c r="DJ298" s="73"/>
      <c r="DK298" s="73"/>
      <c r="DL298" s="345"/>
      <c r="DM298" s="73"/>
      <c r="DN298" s="32"/>
      <c r="DO298" s="73"/>
      <c r="DP298" s="73"/>
      <c r="DQ298" s="345"/>
      <c r="DR298" s="73"/>
      <c r="DS298" s="32"/>
      <c r="DT298" s="73"/>
      <c r="DU298" s="73"/>
      <c r="DV298" s="345"/>
      <c r="DW298" s="73"/>
      <c r="DX298" s="32"/>
      <c r="DY298" s="73"/>
      <c r="DZ298" s="73"/>
      <c r="EA298" s="345"/>
      <c r="EB298" s="73"/>
      <c r="EC298" s="32"/>
      <c r="ED298" s="73"/>
      <c r="EE298" s="73"/>
      <c r="EF298" s="345"/>
      <c r="EG298" s="73"/>
      <c r="EH298" s="32"/>
      <c r="EI298" s="73"/>
      <c r="EJ298" s="73"/>
      <c r="EK298" s="345"/>
      <c r="EL298" s="73"/>
      <c r="EM298" s="32"/>
      <c r="EN298" s="73"/>
      <c r="EO298" s="73"/>
      <c r="EP298" s="345"/>
      <c r="EQ298" s="73"/>
      <c r="ER298" s="32"/>
      <c r="ES298" s="73"/>
      <c r="ET298" s="73"/>
      <c r="EU298" s="345"/>
      <c r="EV298" s="73"/>
      <c r="EW298" s="32"/>
      <c r="EX298" s="73"/>
      <c r="EY298" s="73"/>
      <c r="EZ298" s="345"/>
      <c r="FA298" s="73"/>
      <c r="FB298" s="32"/>
      <c r="FC298" s="73"/>
      <c r="FD298" s="73"/>
      <c r="FE298" s="345"/>
      <c r="FF298" s="73"/>
      <c r="FG298" s="32"/>
      <c r="FH298" s="73"/>
      <c r="FI298" s="73"/>
      <c r="FJ298" s="345"/>
      <c r="FK298" s="73"/>
      <c r="FL298" s="32"/>
      <c r="FM298" s="73"/>
      <c r="FN298" s="73"/>
      <c r="FO298" s="345"/>
      <c r="FP298" s="73"/>
      <c r="FQ298" s="32"/>
      <c r="FR298" s="73"/>
      <c r="FS298" s="73"/>
      <c r="FT298" s="345"/>
      <c r="FU298" s="73"/>
      <c r="FV298" s="32"/>
      <c r="FW298" s="73"/>
      <c r="FX298" s="73"/>
      <c r="FY298" s="345"/>
      <c r="FZ298" s="73"/>
      <c r="GA298" s="32"/>
      <c r="GB298" s="73"/>
      <c r="GC298" s="73"/>
      <c r="GD298" s="345"/>
      <c r="GE298" s="73"/>
      <c r="GF298" s="32"/>
      <c r="GG298" s="73"/>
      <c r="GH298" s="73"/>
      <c r="GI298" s="345"/>
      <c r="GJ298" s="73"/>
      <c r="GK298" s="32"/>
      <c r="GL298" s="73"/>
      <c r="GM298" s="73"/>
      <c r="GN298" s="345"/>
      <c r="GO298" s="73"/>
      <c r="GP298" s="32"/>
      <c r="GQ298" s="73"/>
      <c r="GR298" s="73"/>
      <c r="GS298" s="345"/>
      <c r="GT298" s="73"/>
      <c r="GU298" s="32"/>
      <c r="GV298" s="73"/>
      <c r="GW298" s="73"/>
      <c r="GX298" s="345"/>
      <c r="GY298" s="73"/>
      <c r="GZ298" s="32"/>
      <c r="HA298" s="73"/>
      <c r="HB298" s="73"/>
      <c r="HC298" s="345"/>
      <c r="HD298" s="73"/>
      <c r="HE298" s="32"/>
      <c r="HF298" s="73"/>
      <c r="HG298" s="73"/>
      <c r="HH298" s="345"/>
      <c r="HI298" s="73"/>
      <c r="HJ298" s="32"/>
      <c r="HK298" s="73"/>
      <c r="HL298" s="73"/>
      <c r="HM298" s="345"/>
      <c r="HN298" s="73"/>
      <c r="HO298" s="32"/>
      <c r="HP298" s="73"/>
      <c r="HQ298" s="73"/>
      <c r="HR298" s="345"/>
      <c r="HS298" s="73"/>
      <c r="HT298" s="32"/>
      <c r="HU298" s="73"/>
      <c r="HV298" s="73"/>
      <c r="HW298" s="345"/>
      <c r="HX298" s="73"/>
      <c r="HY298" s="32"/>
      <c r="HZ298" s="73"/>
      <c r="IA298" s="73"/>
      <c r="IB298" s="345"/>
      <c r="IC298" s="73"/>
      <c r="ID298" s="32"/>
      <c r="IE298" s="73"/>
      <c r="IF298" s="73"/>
      <c r="IG298" s="345"/>
      <c r="IH298" s="73"/>
      <c r="II298" s="32"/>
      <c r="IJ298" s="73"/>
      <c r="IK298" s="73"/>
      <c r="IL298" s="345"/>
      <c r="IM298" s="73"/>
      <c r="IN298" s="32"/>
      <c r="IO298" s="73"/>
      <c r="IP298" s="73"/>
      <c r="IQ298" s="345"/>
      <c r="IR298" s="73"/>
      <c r="IS298" s="32"/>
      <c r="IT298" s="73"/>
      <c r="IU298" s="73"/>
      <c r="IV298" s="345"/>
    </row>
    <row r="299" spans="1:256" x14ac:dyDescent="0.2">
      <c r="A299" s="345">
        <v>36616</v>
      </c>
      <c r="B299" s="73"/>
      <c r="C299" s="32"/>
      <c r="D299" s="73"/>
      <c r="E299" s="73"/>
      <c r="F299" s="345"/>
      <c r="G299" s="73"/>
      <c r="H299" s="32"/>
      <c r="I299" s="73"/>
      <c r="J299" s="73"/>
      <c r="K299" s="345"/>
      <c r="L299" s="73"/>
      <c r="M299" s="32"/>
      <c r="N299" s="73"/>
      <c r="O299" s="73"/>
      <c r="P299" s="345"/>
      <c r="Q299" s="73"/>
      <c r="R299" s="32"/>
      <c r="S299" s="73"/>
      <c r="T299" s="73"/>
      <c r="U299" s="345"/>
      <c r="V299" s="73"/>
      <c r="W299" s="32"/>
      <c r="X299" s="73"/>
      <c r="Y299" s="73"/>
      <c r="Z299" s="345"/>
      <c r="AA299" s="73"/>
      <c r="AB299" s="32"/>
      <c r="AC299" s="73"/>
      <c r="AD299" s="73"/>
      <c r="AE299" s="345"/>
      <c r="AF299" s="73"/>
      <c r="AG299" s="32"/>
      <c r="AH299" s="73"/>
      <c r="AI299" s="73"/>
      <c r="AJ299" s="345"/>
      <c r="AK299" s="73"/>
      <c r="AL299" s="32"/>
      <c r="AM299" s="73"/>
      <c r="AN299" s="73"/>
      <c r="AO299" s="345"/>
      <c r="AP299" s="73"/>
      <c r="AQ299" s="32"/>
      <c r="AR299" s="73"/>
      <c r="AS299" s="73"/>
      <c r="AT299" s="345"/>
      <c r="AU299" s="73"/>
      <c r="AV299" s="32"/>
      <c r="AW299" s="73"/>
      <c r="AX299" s="73"/>
      <c r="AY299" s="345"/>
      <c r="AZ299" s="73"/>
      <c r="BA299" s="32"/>
      <c r="BB299" s="73"/>
      <c r="BC299" s="73"/>
      <c r="BD299" s="345"/>
      <c r="BE299" s="73"/>
      <c r="BF299" s="32"/>
      <c r="BG299" s="73"/>
      <c r="BH299" s="73"/>
      <c r="BI299" s="345"/>
      <c r="BJ299" s="73"/>
      <c r="BK299" s="32"/>
      <c r="BL299" s="73"/>
      <c r="BM299" s="73"/>
      <c r="BN299" s="345"/>
      <c r="BO299" s="73"/>
      <c r="BP299" s="32"/>
      <c r="BQ299" s="73"/>
      <c r="BR299" s="73"/>
      <c r="BS299" s="345"/>
      <c r="BT299" s="73"/>
      <c r="BU299" s="32"/>
      <c r="BV299" s="73"/>
      <c r="BW299" s="73"/>
      <c r="BX299" s="345"/>
      <c r="BY299" s="73"/>
      <c r="BZ299" s="32"/>
      <c r="CA299" s="73"/>
      <c r="CB299" s="73"/>
      <c r="CC299" s="345"/>
      <c r="CD299" s="73"/>
      <c r="CE299" s="32"/>
      <c r="CF299" s="73"/>
      <c r="CG299" s="73"/>
      <c r="CH299" s="345"/>
      <c r="CI299" s="73"/>
      <c r="CJ299" s="32"/>
      <c r="CK299" s="73"/>
      <c r="CL299" s="73"/>
      <c r="CM299" s="345"/>
      <c r="CN299" s="73"/>
      <c r="CO299" s="32"/>
      <c r="CP299" s="73"/>
      <c r="CQ299" s="73"/>
      <c r="CR299" s="345"/>
      <c r="CS299" s="73"/>
      <c r="CT299" s="32"/>
      <c r="CU299" s="73"/>
      <c r="CV299" s="73"/>
      <c r="CW299" s="345"/>
      <c r="CX299" s="73"/>
      <c r="CY299" s="32"/>
      <c r="CZ299" s="73"/>
      <c r="DA299" s="73"/>
      <c r="DB299" s="345"/>
      <c r="DC299" s="73"/>
      <c r="DD299" s="32"/>
      <c r="DE299" s="73"/>
      <c r="DF299" s="73"/>
      <c r="DG299" s="345"/>
      <c r="DH299" s="73"/>
      <c r="DI299" s="32"/>
      <c r="DJ299" s="73"/>
      <c r="DK299" s="73"/>
      <c r="DL299" s="345"/>
      <c r="DM299" s="73"/>
      <c r="DN299" s="32"/>
      <c r="DO299" s="73"/>
      <c r="DP299" s="73"/>
      <c r="DQ299" s="345"/>
      <c r="DR299" s="73"/>
      <c r="DS299" s="32"/>
      <c r="DT299" s="73"/>
      <c r="DU299" s="73"/>
      <c r="DV299" s="345"/>
      <c r="DW299" s="73"/>
      <c r="DX299" s="32"/>
      <c r="DY299" s="73"/>
      <c r="DZ299" s="73"/>
      <c r="EA299" s="345"/>
      <c r="EB299" s="73"/>
      <c r="EC299" s="32"/>
      <c r="ED299" s="73"/>
      <c r="EE299" s="73"/>
      <c r="EF299" s="345"/>
      <c r="EG299" s="73"/>
      <c r="EH299" s="32"/>
      <c r="EI299" s="73"/>
      <c r="EJ299" s="73"/>
      <c r="EK299" s="345"/>
      <c r="EL299" s="73"/>
      <c r="EM299" s="32"/>
      <c r="EN299" s="73"/>
      <c r="EO299" s="73"/>
      <c r="EP299" s="345"/>
      <c r="EQ299" s="73"/>
      <c r="ER299" s="32"/>
      <c r="ES299" s="73"/>
      <c r="ET299" s="73"/>
      <c r="EU299" s="345"/>
      <c r="EV299" s="73"/>
      <c r="EW299" s="32"/>
      <c r="EX299" s="73"/>
      <c r="EY299" s="73"/>
      <c r="EZ299" s="345"/>
      <c r="FA299" s="73"/>
      <c r="FB299" s="32"/>
      <c r="FC299" s="73"/>
      <c r="FD299" s="73"/>
      <c r="FE299" s="345"/>
      <c r="FF299" s="73"/>
      <c r="FG299" s="32"/>
      <c r="FH299" s="73"/>
      <c r="FI299" s="73"/>
      <c r="FJ299" s="345"/>
      <c r="FK299" s="73"/>
      <c r="FL299" s="32"/>
      <c r="FM299" s="73"/>
      <c r="FN299" s="73"/>
      <c r="FO299" s="345"/>
      <c r="FP299" s="73"/>
      <c r="FQ299" s="32"/>
      <c r="FR299" s="73"/>
      <c r="FS299" s="73"/>
      <c r="FT299" s="345"/>
      <c r="FU299" s="73"/>
      <c r="FV299" s="32"/>
      <c r="FW299" s="73"/>
      <c r="FX299" s="73"/>
      <c r="FY299" s="345"/>
      <c r="FZ299" s="73"/>
      <c r="GA299" s="32"/>
      <c r="GB299" s="73"/>
      <c r="GC299" s="73"/>
      <c r="GD299" s="345"/>
      <c r="GE299" s="73"/>
      <c r="GF299" s="32"/>
      <c r="GG299" s="73"/>
      <c r="GH299" s="73"/>
      <c r="GI299" s="345"/>
      <c r="GJ299" s="73"/>
      <c r="GK299" s="32"/>
      <c r="GL299" s="73"/>
      <c r="GM299" s="73"/>
      <c r="GN299" s="345"/>
      <c r="GO299" s="73"/>
      <c r="GP299" s="32"/>
      <c r="GQ299" s="73"/>
      <c r="GR299" s="73"/>
      <c r="GS299" s="345"/>
      <c r="GT299" s="73"/>
      <c r="GU299" s="32"/>
      <c r="GV299" s="73"/>
      <c r="GW299" s="73"/>
      <c r="GX299" s="345"/>
      <c r="GY299" s="73"/>
      <c r="GZ299" s="32"/>
      <c r="HA299" s="73"/>
      <c r="HB299" s="73"/>
      <c r="HC299" s="345"/>
      <c r="HD299" s="73"/>
      <c r="HE299" s="32"/>
      <c r="HF299" s="73"/>
      <c r="HG299" s="73"/>
      <c r="HH299" s="345"/>
      <c r="HI299" s="73"/>
      <c r="HJ299" s="32"/>
      <c r="HK299" s="73"/>
      <c r="HL299" s="73"/>
      <c r="HM299" s="345"/>
      <c r="HN299" s="73"/>
      <c r="HO299" s="32"/>
      <c r="HP299" s="73"/>
      <c r="HQ299" s="73"/>
      <c r="HR299" s="345"/>
      <c r="HS299" s="73"/>
      <c r="HT299" s="32"/>
      <c r="HU299" s="73"/>
      <c r="HV299" s="73"/>
      <c r="HW299" s="345"/>
      <c r="HX299" s="73"/>
      <c r="HY299" s="32"/>
      <c r="HZ299" s="73"/>
      <c r="IA299" s="73"/>
      <c r="IB299" s="345"/>
      <c r="IC299" s="73"/>
      <c r="ID299" s="32"/>
      <c r="IE299" s="73"/>
      <c r="IF299" s="73"/>
      <c r="IG299" s="345"/>
      <c r="IH299" s="73"/>
      <c r="II299" s="32"/>
      <c r="IJ299" s="73"/>
      <c r="IK299" s="73"/>
      <c r="IL299" s="345"/>
      <c r="IM299" s="73"/>
      <c r="IN299" s="32"/>
      <c r="IO299" s="73"/>
      <c r="IP299" s="73"/>
      <c r="IQ299" s="345"/>
      <c r="IR299" s="73"/>
      <c r="IS299" s="32"/>
      <c r="IT299" s="73"/>
      <c r="IU299" s="73"/>
      <c r="IV299" s="345"/>
    </row>
    <row r="300" spans="1:256" x14ac:dyDescent="0.2">
      <c r="A300" s="345">
        <v>36646</v>
      </c>
      <c r="B300" s="73"/>
      <c r="C300" s="32"/>
      <c r="D300" s="73"/>
      <c r="E300" s="73"/>
      <c r="F300" s="345"/>
      <c r="G300" s="73"/>
      <c r="H300" s="32"/>
      <c r="I300" s="73"/>
      <c r="J300" s="73"/>
      <c r="K300" s="345"/>
      <c r="L300" s="73"/>
      <c r="M300" s="32"/>
      <c r="N300" s="73"/>
      <c r="O300" s="73"/>
      <c r="P300" s="345"/>
      <c r="Q300" s="73"/>
      <c r="R300" s="32"/>
      <c r="S300" s="73"/>
      <c r="T300" s="73"/>
      <c r="U300" s="345"/>
      <c r="V300" s="73"/>
      <c r="W300" s="32"/>
      <c r="X300" s="73"/>
      <c r="Y300" s="73"/>
      <c r="Z300" s="345"/>
      <c r="AA300" s="73"/>
      <c r="AB300" s="32"/>
      <c r="AC300" s="73"/>
      <c r="AD300" s="73"/>
      <c r="AE300" s="345"/>
      <c r="AF300" s="73"/>
      <c r="AG300" s="32"/>
      <c r="AH300" s="73"/>
      <c r="AI300" s="73"/>
      <c r="AJ300" s="345"/>
      <c r="AK300" s="73"/>
      <c r="AL300" s="32"/>
      <c r="AM300" s="73"/>
      <c r="AN300" s="73"/>
      <c r="AO300" s="345"/>
      <c r="AP300" s="73"/>
      <c r="AQ300" s="32"/>
      <c r="AR300" s="73"/>
      <c r="AS300" s="73"/>
      <c r="AT300" s="345"/>
      <c r="AU300" s="73"/>
      <c r="AV300" s="32"/>
      <c r="AW300" s="73"/>
      <c r="AX300" s="73"/>
      <c r="AY300" s="345"/>
      <c r="AZ300" s="73"/>
      <c r="BA300" s="32"/>
      <c r="BB300" s="73"/>
      <c r="BC300" s="73"/>
      <c r="BD300" s="345"/>
      <c r="BE300" s="73"/>
      <c r="BF300" s="32"/>
      <c r="BG300" s="73"/>
      <c r="BH300" s="73"/>
      <c r="BI300" s="345"/>
      <c r="BJ300" s="73"/>
      <c r="BK300" s="32"/>
      <c r="BL300" s="73"/>
      <c r="BM300" s="73"/>
      <c r="BN300" s="345"/>
      <c r="BO300" s="73"/>
      <c r="BP300" s="32"/>
      <c r="BQ300" s="73"/>
      <c r="BR300" s="73"/>
      <c r="BS300" s="345"/>
      <c r="BT300" s="73"/>
      <c r="BU300" s="32"/>
      <c r="BV300" s="73"/>
      <c r="BW300" s="73"/>
      <c r="BX300" s="345"/>
      <c r="BY300" s="73"/>
      <c r="BZ300" s="32"/>
      <c r="CA300" s="73"/>
      <c r="CB300" s="73"/>
      <c r="CC300" s="345"/>
      <c r="CD300" s="73"/>
      <c r="CE300" s="32"/>
      <c r="CF300" s="73"/>
      <c r="CG300" s="73"/>
      <c r="CH300" s="345"/>
      <c r="CI300" s="73"/>
      <c r="CJ300" s="32"/>
      <c r="CK300" s="73"/>
      <c r="CL300" s="73"/>
      <c r="CM300" s="345"/>
      <c r="CN300" s="73"/>
      <c r="CO300" s="32"/>
      <c r="CP300" s="73"/>
      <c r="CQ300" s="73"/>
      <c r="CR300" s="345"/>
      <c r="CS300" s="73"/>
      <c r="CT300" s="32"/>
      <c r="CU300" s="73"/>
      <c r="CV300" s="73"/>
      <c r="CW300" s="345"/>
      <c r="CX300" s="73"/>
      <c r="CY300" s="32"/>
      <c r="CZ300" s="73"/>
      <c r="DA300" s="73"/>
      <c r="DB300" s="345"/>
      <c r="DC300" s="73"/>
      <c r="DD300" s="32"/>
      <c r="DE300" s="73"/>
      <c r="DF300" s="73"/>
      <c r="DG300" s="345"/>
      <c r="DH300" s="73"/>
      <c r="DI300" s="32"/>
      <c r="DJ300" s="73"/>
      <c r="DK300" s="73"/>
      <c r="DL300" s="345"/>
      <c r="DM300" s="73"/>
      <c r="DN300" s="32"/>
      <c r="DO300" s="73"/>
      <c r="DP300" s="73"/>
      <c r="DQ300" s="345"/>
      <c r="DR300" s="73"/>
      <c r="DS300" s="32"/>
      <c r="DT300" s="73"/>
      <c r="DU300" s="73"/>
      <c r="DV300" s="345"/>
      <c r="DW300" s="73"/>
      <c r="DX300" s="32"/>
      <c r="DY300" s="73"/>
      <c r="DZ300" s="73"/>
      <c r="EA300" s="345"/>
      <c r="EB300" s="73"/>
      <c r="EC300" s="32"/>
      <c r="ED300" s="73"/>
      <c r="EE300" s="73"/>
      <c r="EF300" s="345"/>
      <c r="EG300" s="73"/>
      <c r="EH300" s="32"/>
      <c r="EI300" s="73"/>
      <c r="EJ300" s="73"/>
      <c r="EK300" s="345"/>
      <c r="EL300" s="73"/>
      <c r="EM300" s="32"/>
      <c r="EN300" s="73"/>
      <c r="EO300" s="73"/>
      <c r="EP300" s="345"/>
      <c r="EQ300" s="73"/>
      <c r="ER300" s="32"/>
      <c r="ES300" s="73"/>
      <c r="ET300" s="73"/>
      <c r="EU300" s="345"/>
      <c r="EV300" s="73"/>
      <c r="EW300" s="32"/>
      <c r="EX300" s="73"/>
      <c r="EY300" s="73"/>
      <c r="EZ300" s="345"/>
      <c r="FA300" s="73"/>
      <c r="FB300" s="32"/>
      <c r="FC300" s="73"/>
      <c r="FD300" s="73"/>
      <c r="FE300" s="345"/>
      <c r="FF300" s="73"/>
      <c r="FG300" s="32"/>
      <c r="FH300" s="73"/>
      <c r="FI300" s="73"/>
      <c r="FJ300" s="345"/>
      <c r="FK300" s="73"/>
      <c r="FL300" s="32"/>
      <c r="FM300" s="73"/>
      <c r="FN300" s="73"/>
      <c r="FO300" s="345"/>
      <c r="FP300" s="73"/>
      <c r="FQ300" s="32"/>
      <c r="FR300" s="73"/>
      <c r="FS300" s="73"/>
      <c r="FT300" s="345"/>
      <c r="FU300" s="73"/>
      <c r="FV300" s="32"/>
      <c r="FW300" s="73"/>
      <c r="FX300" s="73"/>
      <c r="FY300" s="345"/>
      <c r="FZ300" s="73"/>
      <c r="GA300" s="32"/>
      <c r="GB300" s="73"/>
      <c r="GC300" s="73"/>
      <c r="GD300" s="345"/>
      <c r="GE300" s="73"/>
      <c r="GF300" s="32"/>
      <c r="GG300" s="73"/>
      <c r="GH300" s="73"/>
      <c r="GI300" s="345"/>
      <c r="GJ300" s="73"/>
      <c r="GK300" s="32"/>
      <c r="GL300" s="73"/>
      <c r="GM300" s="73"/>
      <c r="GN300" s="345"/>
      <c r="GO300" s="73"/>
      <c r="GP300" s="32"/>
      <c r="GQ300" s="73"/>
      <c r="GR300" s="73"/>
      <c r="GS300" s="345"/>
      <c r="GT300" s="73"/>
      <c r="GU300" s="32"/>
      <c r="GV300" s="73"/>
      <c r="GW300" s="73"/>
      <c r="GX300" s="345"/>
      <c r="GY300" s="73"/>
      <c r="GZ300" s="32"/>
      <c r="HA300" s="73"/>
      <c r="HB300" s="73"/>
      <c r="HC300" s="345"/>
      <c r="HD300" s="73"/>
      <c r="HE300" s="32"/>
      <c r="HF300" s="73"/>
      <c r="HG300" s="73"/>
      <c r="HH300" s="345"/>
      <c r="HI300" s="73"/>
      <c r="HJ300" s="32"/>
      <c r="HK300" s="73"/>
      <c r="HL300" s="73"/>
      <c r="HM300" s="345"/>
      <c r="HN300" s="73"/>
      <c r="HO300" s="32"/>
      <c r="HP300" s="73"/>
      <c r="HQ300" s="73"/>
      <c r="HR300" s="345"/>
      <c r="HS300" s="73"/>
      <c r="HT300" s="32"/>
      <c r="HU300" s="73"/>
      <c r="HV300" s="73"/>
      <c r="HW300" s="345"/>
      <c r="HX300" s="73"/>
      <c r="HY300" s="32"/>
      <c r="HZ300" s="73"/>
      <c r="IA300" s="73"/>
      <c r="IB300" s="345"/>
      <c r="IC300" s="73"/>
      <c r="ID300" s="32"/>
      <c r="IE300" s="73"/>
      <c r="IF300" s="73"/>
      <c r="IG300" s="345"/>
      <c r="IH300" s="73"/>
      <c r="II300" s="32"/>
      <c r="IJ300" s="73"/>
      <c r="IK300" s="73"/>
      <c r="IL300" s="345"/>
      <c r="IM300" s="73"/>
      <c r="IN300" s="32"/>
      <c r="IO300" s="73"/>
      <c r="IP300" s="73"/>
      <c r="IQ300" s="345"/>
      <c r="IR300" s="73"/>
      <c r="IS300" s="32"/>
      <c r="IT300" s="73"/>
      <c r="IU300" s="73"/>
      <c r="IV300" s="345"/>
    </row>
    <row r="301" spans="1:256" x14ac:dyDescent="0.2">
      <c r="A301" s="345">
        <v>36677</v>
      </c>
      <c r="B301" s="73"/>
      <c r="C301" s="32"/>
      <c r="D301" s="73"/>
      <c r="E301" s="73"/>
      <c r="F301" s="345"/>
      <c r="G301" s="73"/>
      <c r="H301" s="32"/>
      <c r="I301" s="73"/>
      <c r="J301" s="73"/>
      <c r="K301" s="345"/>
      <c r="L301" s="73"/>
      <c r="M301" s="32"/>
      <c r="N301" s="73"/>
      <c r="O301" s="73"/>
      <c r="P301" s="345"/>
      <c r="Q301" s="73"/>
      <c r="R301" s="32"/>
      <c r="S301" s="73"/>
      <c r="T301" s="73"/>
      <c r="U301" s="345"/>
      <c r="V301" s="73"/>
      <c r="W301" s="32"/>
      <c r="X301" s="73"/>
      <c r="Y301" s="73"/>
      <c r="Z301" s="345"/>
      <c r="AA301" s="73"/>
      <c r="AB301" s="32"/>
      <c r="AC301" s="73"/>
      <c r="AD301" s="73"/>
      <c r="AE301" s="345"/>
      <c r="AF301" s="73"/>
      <c r="AG301" s="32"/>
      <c r="AH301" s="73"/>
      <c r="AI301" s="73"/>
      <c r="AJ301" s="345"/>
      <c r="AK301" s="73"/>
      <c r="AL301" s="32"/>
      <c r="AM301" s="73"/>
      <c r="AN301" s="73"/>
      <c r="AO301" s="345"/>
      <c r="AP301" s="73"/>
      <c r="AQ301" s="32"/>
      <c r="AR301" s="73"/>
      <c r="AS301" s="73"/>
      <c r="AT301" s="345"/>
      <c r="AU301" s="73"/>
      <c r="AV301" s="32"/>
      <c r="AW301" s="73"/>
      <c r="AX301" s="73"/>
      <c r="AY301" s="345"/>
      <c r="AZ301" s="73"/>
      <c r="BA301" s="32"/>
      <c r="BB301" s="73"/>
      <c r="BC301" s="73"/>
      <c r="BD301" s="345"/>
      <c r="BE301" s="73"/>
      <c r="BF301" s="32"/>
      <c r="BG301" s="73"/>
      <c r="BH301" s="73"/>
      <c r="BI301" s="345"/>
      <c r="BJ301" s="73"/>
      <c r="BK301" s="32"/>
      <c r="BL301" s="73"/>
      <c r="BM301" s="73"/>
      <c r="BN301" s="345"/>
      <c r="BO301" s="73"/>
      <c r="BP301" s="32"/>
      <c r="BQ301" s="73"/>
      <c r="BR301" s="73"/>
      <c r="BS301" s="345"/>
      <c r="BT301" s="73"/>
      <c r="BU301" s="32"/>
      <c r="BV301" s="73"/>
      <c r="BW301" s="73"/>
      <c r="BX301" s="345"/>
      <c r="BY301" s="73"/>
      <c r="BZ301" s="32"/>
      <c r="CA301" s="73"/>
      <c r="CB301" s="73"/>
      <c r="CC301" s="345"/>
      <c r="CD301" s="73"/>
      <c r="CE301" s="32"/>
      <c r="CF301" s="73"/>
      <c r="CG301" s="73"/>
      <c r="CH301" s="345"/>
      <c r="CI301" s="73"/>
      <c r="CJ301" s="32"/>
      <c r="CK301" s="73"/>
      <c r="CL301" s="73"/>
      <c r="CM301" s="345"/>
      <c r="CN301" s="73"/>
      <c r="CO301" s="32"/>
      <c r="CP301" s="73"/>
      <c r="CQ301" s="73"/>
      <c r="CR301" s="345"/>
      <c r="CS301" s="73"/>
      <c r="CT301" s="32"/>
      <c r="CU301" s="73"/>
      <c r="CV301" s="73"/>
      <c r="CW301" s="345"/>
      <c r="CX301" s="73"/>
      <c r="CY301" s="32"/>
      <c r="CZ301" s="73"/>
      <c r="DA301" s="73"/>
      <c r="DB301" s="345"/>
      <c r="DC301" s="73"/>
      <c r="DD301" s="32"/>
      <c r="DE301" s="73"/>
      <c r="DF301" s="73"/>
      <c r="DG301" s="345"/>
      <c r="DH301" s="73"/>
      <c r="DI301" s="32"/>
      <c r="DJ301" s="73"/>
      <c r="DK301" s="73"/>
      <c r="DL301" s="345"/>
      <c r="DM301" s="73"/>
      <c r="DN301" s="32"/>
      <c r="DO301" s="73"/>
      <c r="DP301" s="73"/>
      <c r="DQ301" s="345"/>
      <c r="DR301" s="73"/>
      <c r="DS301" s="32"/>
      <c r="DT301" s="73"/>
      <c r="DU301" s="73"/>
      <c r="DV301" s="345"/>
      <c r="DW301" s="73"/>
      <c r="DX301" s="32"/>
      <c r="DY301" s="73"/>
      <c r="DZ301" s="73"/>
      <c r="EA301" s="345"/>
      <c r="EB301" s="73"/>
      <c r="EC301" s="32"/>
      <c r="ED301" s="73"/>
      <c r="EE301" s="73"/>
      <c r="EF301" s="345"/>
      <c r="EG301" s="73"/>
      <c r="EH301" s="32"/>
      <c r="EI301" s="73"/>
      <c r="EJ301" s="73"/>
      <c r="EK301" s="345"/>
      <c r="EL301" s="73"/>
      <c r="EM301" s="32"/>
      <c r="EN301" s="73"/>
      <c r="EO301" s="73"/>
      <c r="EP301" s="345"/>
      <c r="EQ301" s="73"/>
      <c r="ER301" s="32"/>
      <c r="ES301" s="73"/>
      <c r="ET301" s="73"/>
      <c r="EU301" s="345"/>
      <c r="EV301" s="73"/>
      <c r="EW301" s="32"/>
      <c r="EX301" s="73"/>
      <c r="EY301" s="73"/>
      <c r="EZ301" s="345"/>
      <c r="FA301" s="73"/>
      <c r="FB301" s="32"/>
      <c r="FC301" s="73"/>
      <c r="FD301" s="73"/>
      <c r="FE301" s="345"/>
      <c r="FF301" s="73"/>
      <c r="FG301" s="32"/>
      <c r="FH301" s="73"/>
      <c r="FI301" s="73"/>
      <c r="FJ301" s="345"/>
      <c r="FK301" s="73"/>
      <c r="FL301" s="32"/>
      <c r="FM301" s="73"/>
      <c r="FN301" s="73"/>
      <c r="FO301" s="345"/>
      <c r="FP301" s="73"/>
      <c r="FQ301" s="32"/>
      <c r="FR301" s="73"/>
      <c r="FS301" s="73"/>
      <c r="FT301" s="345"/>
      <c r="FU301" s="73"/>
      <c r="FV301" s="32"/>
      <c r="FW301" s="73"/>
      <c r="FX301" s="73"/>
      <c r="FY301" s="345"/>
      <c r="FZ301" s="73"/>
      <c r="GA301" s="32"/>
      <c r="GB301" s="73"/>
      <c r="GC301" s="73"/>
      <c r="GD301" s="345"/>
      <c r="GE301" s="73"/>
      <c r="GF301" s="32"/>
      <c r="GG301" s="73"/>
      <c r="GH301" s="73"/>
      <c r="GI301" s="345"/>
      <c r="GJ301" s="73"/>
      <c r="GK301" s="32"/>
      <c r="GL301" s="73"/>
      <c r="GM301" s="73"/>
      <c r="GN301" s="345"/>
      <c r="GO301" s="73"/>
      <c r="GP301" s="32"/>
      <c r="GQ301" s="73"/>
      <c r="GR301" s="73"/>
      <c r="GS301" s="345"/>
      <c r="GT301" s="73"/>
      <c r="GU301" s="32"/>
      <c r="GV301" s="73"/>
      <c r="GW301" s="73"/>
      <c r="GX301" s="345"/>
      <c r="GY301" s="73"/>
      <c r="GZ301" s="32"/>
      <c r="HA301" s="73"/>
      <c r="HB301" s="73"/>
      <c r="HC301" s="345"/>
      <c r="HD301" s="73"/>
      <c r="HE301" s="32"/>
      <c r="HF301" s="73"/>
      <c r="HG301" s="73"/>
      <c r="HH301" s="345"/>
      <c r="HI301" s="73"/>
      <c r="HJ301" s="32"/>
      <c r="HK301" s="73"/>
      <c r="HL301" s="73"/>
      <c r="HM301" s="345"/>
      <c r="HN301" s="73"/>
      <c r="HO301" s="32"/>
      <c r="HP301" s="73"/>
      <c r="HQ301" s="73"/>
      <c r="HR301" s="345"/>
      <c r="HS301" s="73"/>
      <c r="HT301" s="32"/>
      <c r="HU301" s="73"/>
      <c r="HV301" s="73"/>
      <c r="HW301" s="345"/>
      <c r="HX301" s="73"/>
      <c r="HY301" s="32"/>
      <c r="HZ301" s="73"/>
      <c r="IA301" s="73"/>
      <c r="IB301" s="345"/>
      <c r="IC301" s="73"/>
      <c r="ID301" s="32"/>
      <c r="IE301" s="73"/>
      <c r="IF301" s="73"/>
      <c r="IG301" s="345"/>
      <c r="IH301" s="73"/>
      <c r="II301" s="32"/>
      <c r="IJ301" s="73"/>
      <c r="IK301" s="73"/>
      <c r="IL301" s="345"/>
      <c r="IM301" s="73"/>
      <c r="IN301" s="32"/>
      <c r="IO301" s="73"/>
      <c r="IP301" s="73"/>
      <c r="IQ301" s="345"/>
      <c r="IR301" s="73"/>
      <c r="IS301" s="32"/>
      <c r="IT301" s="73"/>
      <c r="IU301" s="73"/>
      <c r="IV301" s="345"/>
    </row>
    <row r="302" spans="1:256" x14ac:dyDescent="0.2">
      <c r="A302" s="345">
        <v>36707</v>
      </c>
      <c r="B302" s="73"/>
      <c r="C302" s="32"/>
      <c r="D302" s="73"/>
      <c r="E302" s="73"/>
      <c r="F302" s="345"/>
      <c r="G302" s="73"/>
      <c r="H302" s="32"/>
      <c r="I302" s="73"/>
      <c r="J302" s="73"/>
      <c r="K302" s="345"/>
      <c r="L302" s="73"/>
      <c r="M302" s="32"/>
      <c r="N302" s="73"/>
      <c r="O302" s="73"/>
      <c r="P302" s="345"/>
      <c r="Q302" s="73"/>
      <c r="R302" s="32"/>
      <c r="S302" s="73"/>
      <c r="T302" s="73"/>
      <c r="U302" s="345"/>
      <c r="V302" s="73"/>
      <c r="W302" s="32"/>
      <c r="X302" s="73"/>
      <c r="Y302" s="73"/>
      <c r="Z302" s="345"/>
      <c r="AA302" s="73"/>
      <c r="AB302" s="32"/>
      <c r="AC302" s="73"/>
      <c r="AD302" s="73"/>
      <c r="AE302" s="345"/>
      <c r="AF302" s="73"/>
      <c r="AG302" s="32"/>
      <c r="AH302" s="73"/>
      <c r="AI302" s="73"/>
      <c r="AJ302" s="345"/>
      <c r="AK302" s="73"/>
      <c r="AL302" s="32"/>
      <c r="AM302" s="73"/>
      <c r="AN302" s="73"/>
      <c r="AO302" s="345"/>
      <c r="AP302" s="73"/>
      <c r="AQ302" s="32"/>
      <c r="AR302" s="73"/>
      <c r="AS302" s="73"/>
      <c r="AT302" s="345"/>
      <c r="AU302" s="73"/>
      <c r="AV302" s="32"/>
      <c r="AW302" s="73"/>
      <c r="AX302" s="73"/>
      <c r="AY302" s="345"/>
      <c r="AZ302" s="73"/>
      <c r="BA302" s="32"/>
      <c r="BB302" s="73"/>
      <c r="BC302" s="73"/>
      <c r="BD302" s="345"/>
      <c r="BE302" s="73"/>
      <c r="BF302" s="32"/>
      <c r="BG302" s="73"/>
      <c r="BH302" s="73"/>
      <c r="BI302" s="345"/>
      <c r="BJ302" s="73"/>
      <c r="BK302" s="32"/>
      <c r="BL302" s="73"/>
      <c r="BM302" s="73"/>
      <c r="BN302" s="345"/>
      <c r="BO302" s="73"/>
      <c r="BP302" s="32"/>
      <c r="BQ302" s="73"/>
      <c r="BR302" s="73"/>
      <c r="BS302" s="345"/>
      <c r="BT302" s="73"/>
      <c r="BU302" s="32"/>
      <c r="BV302" s="73"/>
      <c r="BW302" s="73"/>
      <c r="BX302" s="345"/>
      <c r="BY302" s="73"/>
      <c r="BZ302" s="32"/>
      <c r="CA302" s="73"/>
      <c r="CB302" s="73"/>
      <c r="CC302" s="345"/>
      <c r="CD302" s="73"/>
      <c r="CE302" s="32"/>
      <c r="CF302" s="73"/>
      <c r="CG302" s="73"/>
      <c r="CH302" s="345"/>
      <c r="CI302" s="73"/>
      <c r="CJ302" s="32"/>
      <c r="CK302" s="73"/>
      <c r="CL302" s="73"/>
      <c r="CM302" s="345"/>
      <c r="CN302" s="73"/>
      <c r="CO302" s="32"/>
      <c r="CP302" s="73"/>
      <c r="CQ302" s="73"/>
      <c r="CR302" s="345"/>
      <c r="CS302" s="73"/>
      <c r="CT302" s="32"/>
      <c r="CU302" s="73"/>
      <c r="CV302" s="73"/>
      <c r="CW302" s="345"/>
      <c r="CX302" s="73"/>
      <c r="CY302" s="32"/>
      <c r="CZ302" s="73"/>
      <c r="DA302" s="73"/>
      <c r="DB302" s="345"/>
      <c r="DC302" s="73"/>
      <c r="DD302" s="32"/>
      <c r="DE302" s="73"/>
      <c r="DF302" s="73"/>
      <c r="DG302" s="345"/>
      <c r="DH302" s="73"/>
      <c r="DI302" s="32"/>
      <c r="DJ302" s="73"/>
      <c r="DK302" s="73"/>
      <c r="DL302" s="345"/>
      <c r="DM302" s="73"/>
      <c r="DN302" s="32"/>
      <c r="DO302" s="73"/>
      <c r="DP302" s="73"/>
      <c r="DQ302" s="345"/>
      <c r="DR302" s="73"/>
      <c r="DS302" s="32"/>
      <c r="DT302" s="73"/>
      <c r="DU302" s="73"/>
      <c r="DV302" s="345"/>
      <c r="DW302" s="73"/>
      <c r="DX302" s="32"/>
      <c r="DY302" s="73"/>
      <c r="DZ302" s="73"/>
      <c r="EA302" s="345"/>
      <c r="EB302" s="73"/>
      <c r="EC302" s="32"/>
      <c r="ED302" s="73"/>
      <c r="EE302" s="73"/>
      <c r="EF302" s="345"/>
      <c r="EG302" s="73"/>
      <c r="EH302" s="32"/>
      <c r="EI302" s="73"/>
      <c r="EJ302" s="73"/>
      <c r="EK302" s="345"/>
      <c r="EL302" s="73"/>
      <c r="EM302" s="32"/>
      <c r="EN302" s="73"/>
      <c r="EO302" s="73"/>
      <c r="EP302" s="345"/>
      <c r="EQ302" s="73"/>
      <c r="ER302" s="32"/>
      <c r="ES302" s="73"/>
      <c r="ET302" s="73"/>
      <c r="EU302" s="345"/>
      <c r="EV302" s="73"/>
      <c r="EW302" s="32"/>
      <c r="EX302" s="73"/>
      <c r="EY302" s="73"/>
      <c r="EZ302" s="345"/>
      <c r="FA302" s="73"/>
      <c r="FB302" s="32"/>
      <c r="FC302" s="73"/>
      <c r="FD302" s="73"/>
      <c r="FE302" s="345"/>
      <c r="FF302" s="73"/>
      <c r="FG302" s="32"/>
      <c r="FH302" s="73"/>
      <c r="FI302" s="73"/>
      <c r="FJ302" s="345"/>
      <c r="FK302" s="73"/>
      <c r="FL302" s="32"/>
      <c r="FM302" s="73"/>
      <c r="FN302" s="73"/>
      <c r="FO302" s="345"/>
      <c r="FP302" s="73"/>
      <c r="FQ302" s="32"/>
      <c r="FR302" s="73"/>
      <c r="FS302" s="73"/>
      <c r="FT302" s="345"/>
      <c r="FU302" s="73"/>
      <c r="FV302" s="32"/>
      <c r="FW302" s="73"/>
      <c r="FX302" s="73"/>
      <c r="FY302" s="345"/>
      <c r="FZ302" s="73"/>
      <c r="GA302" s="32"/>
      <c r="GB302" s="73"/>
      <c r="GC302" s="73"/>
      <c r="GD302" s="345"/>
      <c r="GE302" s="73"/>
      <c r="GF302" s="32"/>
      <c r="GG302" s="73"/>
      <c r="GH302" s="73"/>
      <c r="GI302" s="345"/>
      <c r="GJ302" s="73"/>
      <c r="GK302" s="32"/>
      <c r="GL302" s="73"/>
      <c r="GM302" s="73"/>
      <c r="GN302" s="345"/>
      <c r="GO302" s="73"/>
      <c r="GP302" s="32"/>
      <c r="GQ302" s="73"/>
      <c r="GR302" s="73"/>
      <c r="GS302" s="345"/>
      <c r="GT302" s="73"/>
      <c r="GU302" s="32"/>
      <c r="GV302" s="73"/>
      <c r="GW302" s="73"/>
      <c r="GX302" s="345"/>
      <c r="GY302" s="73"/>
      <c r="GZ302" s="32"/>
      <c r="HA302" s="73"/>
      <c r="HB302" s="73"/>
      <c r="HC302" s="345"/>
      <c r="HD302" s="73"/>
      <c r="HE302" s="32"/>
      <c r="HF302" s="73"/>
      <c r="HG302" s="73"/>
      <c r="HH302" s="345"/>
      <c r="HI302" s="73"/>
      <c r="HJ302" s="32"/>
      <c r="HK302" s="73"/>
      <c r="HL302" s="73"/>
      <c r="HM302" s="345"/>
      <c r="HN302" s="73"/>
      <c r="HO302" s="32"/>
      <c r="HP302" s="73"/>
      <c r="HQ302" s="73"/>
      <c r="HR302" s="345"/>
      <c r="HS302" s="73"/>
      <c r="HT302" s="32"/>
      <c r="HU302" s="73"/>
      <c r="HV302" s="73"/>
      <c r="HW302" s="345"/>
      <c r="HX302" s="73"/>
      <c r="HY302" s="32"/>
      <c r="HZ302" s="73"/>
      <c r="IA302" s="73"/>
      <c r="IB302" s="345"/>
      <c r="IC302" s="73"/>
      <c r="ID302" s="32"/>
      <c r="IE302" s="73"/>
      <c r="IF302" s="73"/>
      <c r="IG302" s="345"/>
      <c r="IH302" s="73"/>
      <c r="II302" s="32"/>
      <c r="IJ302" s="73"/>
      <c r="IK302" s="73"/>
      <c r="IL302" s="345"/>
      <c r="IM302" s="73"/>
      <c r="IN302" s="32"/>
      <c r="IO302" s="73"/>
      <c r="IP302" s="73"/>
      <c r="IQ302" s="345"/>
      <c r="IR302" s="73"/>
      <c r="IS302" s="32"/>
      <c r="IT302" s="73"/>
      <c r="IU302" s="73"/>
      <c r="IV302" s="345"/>
    </row>
    <row r="303" spans="1:256" x14ac:dyDescent="0.2">
      <c r="A303" s="345">
        <v>36738</v>
      </c>
      <c r="B303" s="73"/>
      <c r="C303" s="32"/>
      <c r="D303" s="73"/>
      <c r="E303" s="73"/>
      <c r="F303" s="345"/>
      <c r="G303" s="73"/>
      <c r="H303" s="32"/>
      <c r="I303" s="73"/>
      <c r="J303" s="73"/>
      <c r="K303" s="345"/>
      <c r="L303" s="73"/>
      <c r="M303" s="32"/>
      <c r="N303" s="73"/>
      <c r="O303" s="73"/>
      <c r="P303" s="345"/>
      <c r="Q303" s="73"/>
      <c r="R303" s="32"/>
      <c r="S303" s="73"/>
      <c r="T303" s="73"/>
      <c r="U303" s="345"/>
      <c r="V303" s="73"/>
      <c r="W303" s="32"/>
      <c r="X303" s="73"/>
      <c r="Y303" s="73"/>
      <c r="Z303" s="345"/>
      <c r="AA303" s="73"/>
      <c r="AB303" s="32"/>
      <c r="AC303" s="73"/>
      <c r="AD303" s="73"/>
      <c r="AE303" s="345"/>
      <c r="AF303" s="73"/>
      <c r="AG303" s="32"/>
      <c r="AH303" s="73"/>
      <c r="AI303" s="73"/>
      <c r="AJ303" s="345"/>
      <c r="AK303" s="73"/>
      <c r="AL303" s="32"/>
      <c r="AM303" s="73"/>
      <c r="AN303" s="73"/>
      <c r="AO303" s="345"/>
      <c r="AP303" s="73"/>
      <c r="AQ303" s="32"/>
      <c r="AR303" s="73"/>
      <c r="AS303" s="73"/>
      <c r="AT303" s="345"/>
      <c r="AU303" s="73"/>
      <c r="AV303" s="32"/>
      <c r="AW303" s="73"/>
      <c r="AX303" s="73"/>
      <c r="AY303" s="345"/>
      <c r="AZ303" s="73"/>
      <c r="BA303" s="32"/>
      <c r="BB303" s="73"/>
      <c r="BC303" s="73"/>
      <c r="BD303" s="345"/>
      <c r="BE303" s="73"/>
      <c r="BF303" s="32"/>
      <c r="BG303" s="73"/>
      <c r="BH303" s="73"/>
      <c r="BI303" s="345"/>
      <c r="BJ303" s="73"/>
      <c r="BK303" s="32"/>
      <c r="BL303" s="73"/>
      <c r="BM303" s="73"/>
      <c r="BN303" s="345"/>
      <c r="BO303" s="73"/>
      <c r="BP303" s="32"/>
      <c r="BQ303" s="73"/>
      <c r="BR303" s="73"/>
      <c r="BS303" s="345"/>
      <c r="BT303" s="73"/>
      <c r="BU303" s="32"/>
      <c r="BV303" s="73"/>
      <c r="BW303" s="73"/>
      <c r="BX303" s="345"/>
      <c r="BY303" s="73"/>
      <c r="BZ303" s="32"/>
      <c r="CA303" s="73"/>
      <c r="CB303" s="73"/>
      <c r="CC303" s="345"/>
      <c r="CD303" s="73"/>
      <c r="CE303" s="32"/>
      <c r="CF303" s="73"/>
      <c r="CG303" s="73"/>
      <c r="CH303" s="345"/>
      <c r="CI303" s="73"/>
      <c r="CJ303" s="32"/>
      <c r="CK303" s="73"/>
      <c r="CL303" s="73"/>
      <c r="CM303" s="345"/>
      <c r="CN303" s="73"/>
      <c r="CO303" s="32"/>
      <c r="CP303" s="73"/>
      <c r="CQ303" s="73"/>
      <c r="CR303" s="345"/>
      <c r="CS303" s="73"/>
      <c r="CT303" s="32"/>
      <c r="CU303" s="73"/>
      <c r="CV303" s="73"/>
      <c r="CW303" s="345"/>
      <c r="CX303" s="73"/>
      <c r="CY303" s="32"/>
      <c r="CZ303" s="73"/>
      <c r="DA303" s="73"/>
      <c r="DB303" s="345"/>
      <c r="DC303" s="73"/>
      <c r="DD303" s="32"/>
      <c r="DE303" s="73"/>
      <c r="DF303" s="73"/>
      <c r="DG303" s="345"/>
      <c r="DH303" s="73"/>
      <c r="DI303" s="32"/>
      <c r="DJ303" s="73"/>
      <c r="DK303" s="73"/>
      <c r="DL303" s="345"/>
      <c r="DM303" s="73"/>
      <c r="DN303" s="32"/>
      <c r="DO303" s="73"/>
      <c r="DP303" s="73"/>
      <c r="DQ303" s="345"/>
      <c r="DR303" s="73"/>
      <c r="DS303" s="32"/>
      <c r="DT303" s="73"/>
      <c r="DU303" s="73"/>
      <c r="DV303" s="345"/>
      <c r="DW303" s="73"/>
      <c r="DX303" s="32"/>
      <c r="DY303" s="73"/>
      <c r="DZ303" s="73"/>
      <c r="EA303" s="345"/>
      <c r="EB303" s="73"/>
      <c r="EC303" s="32"/>
      <c r="ED303" s="73"/>
      <c r="EE303" s="73"/>
      <c r="EF303" s="345"/>
      <c r="EG303" s="73"/>
      <c r="EH303" s="32"/>
      <c r="EI303" s="73"/>
      <c r="EJ303" s="73"/>
      <c r="EK303" s="345"/>
      <c r="EL303" s="73"/>
      <c r="EM303" s="32"/>
      <c r="EN303" s="73"/>
      <c r="EO303" s="73"/>
      <c r="EP303" s="345"/>
      <c r="EQ303" s="73"/>
      <c r="ER303" s="32"/>
      <c r="ES303" s="73"/>
      <c r="ET303" s="73"/>
      <c r="EU303" s="345"/>
      <c r="EV303" s="73"/>
      <c r="EW303" s="32"/>
      <c r="EX303" s="73"/>
      <c r="EY303" s="73"/>
      <c r="EZ303" s="345"/>
      <c r="FA303" s="73"/>
      <c r="FB303" s="32"/>
      <c r="FC303" s="73"/>
      <c r="FD303" s="73"/>
      <c r="FE303" s="345"/>
      <c r="FF303" s="73"/>
      <c r="FG303" s="32"/>
      <c r="FH303" s="73"/>
      <c r="FI303" s="73"/>
      <c r="FJ303" s="345"/>
      <c r="FK303" s="73"/>
      <c r="FL303" s="32"/>
      <c r="FM303" s="73"/>
      <c r="FN303" s="73"/>
      <c r="FO303" s="345"/>
      <c r="FP303" s="73"/>
      <c r="FQ303" s="32"/>
      <c r="FR303" s="73"/>
      <c r="FS303" s="73"/>
      <c r="FT303" s="345"/>
      <c r="FU303" s="73"/>
      <c r="FV303" s="32"/>
      <c r="FW303" s="73"/>
      <c r="FX303" s="73"/>
      <c r="FY303" s="345"/>
      <c r="FZ303" s="73"/>
      <c r="GA303" s="32"/>
      <c r="GB303" s="73"/>
      <c r="GC303" s="73"/>
      <c r="GD303" s="345"/>
      <c r="GE303" s="73"/>
      <c r="GF303" s="32"/>
      <c r="GG303" s="73"/>
      <c r="GH303" s="73"/>
      <c r="GI303" s="345"/>
      <c r="GJ303" s="73"/>
      <c r="GK303" s="32"/>
      <c r="GL303" s="73"/>
      <c r="GM303" s="73"/>
      <c r="GN303" s="345"/>
      <c r="GO303" s="73"/>
      <c r="GP303" s="32"/>
      <c r="GQ303" s="73"/>
      <c r="GR303" s="73"/>
      <c r="GS303" s="345"/>
      <c r="GT303" s="73"/>
      <c r="GU303" s="32"/>
      <c r="GV303" s="73"/>
      <c r="GW303" s="73"/>
      <c r="GX303" s="345"/>
      <c r="GY303" s="73"/>
      <c r="GZ303" s="32"/>
      <c r="HA303" s="73"/>
      <c r="HB303" s="73"/>
      <c r="HC303" s="345"/>
      <c r="HD303" s="73"/>
      <c r="HE303" s="32"/>
      <c r="HF303" s="73"/>
      <c r="HG303" s="73"/>
      <c r="HH303" s="345"/>
      <c r="HI303" s="73"/>
      <c r="HJ303" s="32"/>
      <c r="HK303" s="73"/>
      <c r="HL303" s="73"/>
      <c r="HM303" s="345"/>
      <c r="HN303" s="73"/>
      <c r="HO303" s="32"/>
      <c r="HP303" s="73"/>
      <c r="HQ303" s="73"/>
      <c r="HR303" s="345"/>
      <c r="HS303" s="73"/>
      <c r="HT303" s="32"/>
      <c r="HU303" s="73"/>
      <c r="HV303" s="73"/>
      <c r="HW303" s="345"/>
      <c r="HX303" s="73"/>
      <c r="HY303" s="32"/>
      <c r="HZ303" s="73"/>
      <c r="IA303" s="73"/>
      <c r="IB303" s="345"/>
      <c r="IC303" s="73"/>
      <c r="ID303" s="32"/>
      <c r="IE303" s="73"/>
      <c r="IF303" s="73"/>
      <c r="IG303" s="345"/>
      <c r="IH303" s="73"/>
      <c r="II303" s="32"/>
      <c r="IJ303" s="73"/>
      <c r="IK303" s="73"/>
      <c r="IL303" s="345"/>
      <c r="IM303" s="73"/>
      <c r="IN303" s="32"/>
      <c r="IO303" s="73"/>
      <c r="IP303" s="73"/>
      <c r="IQ303" s="345"/>
      <c r="IR303" s="73"/>
      <c r="IS303" s="32"/>
      <c r="IT303" s="73"/>
      <c r="IU303" s="73"/>
      <c r="IV303" s="345"/>
    </row>
    <row r="304" spans="1:256" x14ac:dyDescent="0.2">
      <c r="A304" s="345">
        <v>36769</v>
      </c>
      <c r="B304" s="73"/>
      <c r="C304" s="32"/>
      <c r="D304" s="73"/>
      <c r="E304" s="73"/>
      <c r="F304" s="345"/>
      <c r="G304" s="73"/>
      <c r="H304" s="32"/>
      <c r="I304" s="73"/>
      <c r="J304" s="73"/>
      <c r="K304" s="345"/>
      <c r="L304" s="73"/>
      <c r="M304" s="32"/>
      <c r="N304" s="73"/>
      <c r="O304" s="73"/>
      <c r="P304" s="345"/>
      <c r="Q304" s="73"/>
      <c r="R304" s="32"/>
      <c r="S304" s="73"/>
      <c r="T304" s="73"/>
      <c r="U304" s="345"/>
      <c r="V304" s="73"/>
      <c r="W304" s="32"/>
      <c r="X304" s="73"/>
      <c r="Y304" s="73"/>
      <c r="Z304" s="345"/>
      <c r="AA304" s="73"/>
      <c r="AB304" s="32"/>
      <c r="AC304" s="73"/>
      <c r="AD304" s="73"/>
      <c r="AE304" s="345"/>
      <c r="AF304" s="73"/>
      <c r="AG304" s="32"/>
      <c r="AH304" s="73"/>
      <c r="AI304" s="73"/>
      <c r="AJ304" s="345"/>
      <c r="AK304" s="73"/>
      <c r="AL304" s="32"/>
      <c r="AM304" s="73"/>
      <c r="AN304" s="73"/>
      <c r="AO304" s="345"/>
      <c r="AP304" s="73"/>
      <c r="AQ304" s="32"/>
      <c r="AR304" s="73"/>
      <c r="AS304" s="73"/>
      <c r="AT304" s="345"/>
      <c r="AU304" s="73"/>
      <c r="AV304" s="32"/>
      <c r="AW304" s="73"/>
      <c r="AX304" s="73"/>
      <c r="AY304" s="345"/>
      <c r="AZ304" s="73"/>
      <c r="BA304" s="32"/>
      <c r="BB304" s="73"/>
      <c r="BC304" s="73"/>
      <c r="BD304" s="345"/>
      <c r="BE304" s="73"/>
      <c r="BF304" s="32"/>
      <c r="BG304" s="73"/>
      <c r="BH304" s="73"/>
      <c r="BI304" s="345"/>
      <c r="BJ304" s="73"/>
      <c r="BK304" s="32"/>
      <c r="BL304" s="73"/>
      <c r="BM304" s="73"/>
      <c r="BN304" s="345"/>
      <c r="BO304" s="73"/>
      <c r="BP304" s="32"/>
      <c r="BQ304" s="73"/>
      <c r="BR304" s="73"/>
      <c r="BS304" s="345"/>
      <c r="BT304" s="73"/>
      <c r="BU304" s="32"/>
      <c r="BV304" s="73"/>
      <c r="BW304" s="73"/>
      <c r="BX304" s="345"/>
      <c r="BY304" s="73"/>
      <c r="BZ304" s="32"/>
      <c r="CA304" s="73"/>
      <c r="CB304" s="73"/>
      <c r="CC304" s="345"/>
      <c r="CD304" s="73"/>
      <c r="CE304" s="32"/>
      <c r="CF304" s="73"/>
      <c r="CG304" s="73"/>
      <c r="CH304" s="345"/>
      <c r="CI304" s="73"/>
      <c r="CJ304" s="32"/>
      <c r="CK304" s="73"/>
      <c r="CL304" s="73"/>
      <c r="CM304" s="345"/>
      <c r="CN304" s="73"/>
      <c r="CO304" s="32"/>
      <c r="CP304" s="73"/>
      <c r="CQ304" s="73"/>
      <c r="CR304" s="345"/>
      <c r="CS304" s="73"/>
      <c r="CT304" s="32"/>
      <c r="CU304" s="73"/>
      <c r="CV304" s="73"/>
      <c r="CW304" s="345"/>
      <c r="CX304" s="73"/>
      <c r="CY304" s="32"/>
      <c r="CZ304" s="73"/>
      <c r="DA304" s="73"/>
      <c r="DB304" s="345"/>
      <c r="DC304" s="73"/>
      <c r="DD304" s="32"/>
      <c r="DE304" s="73"/>
      <c r="DF304" s="73"/>
      <c r="DG304" s="345"/>
      <c r="DH304" s="73"/>
      <c r="DI304" s="32"/>
      <c r="DJ304" s="73"/>
      <c r="DK304" s="73"/>
      <c r="DL304" s="345"/>
      <c r="DM304" s="73"/>
      <c r="DN304" s="32"/>
      <c r="DO304" s="73"/>
      <c r="DP304" s="73"/>
      <c r="DQ304" s="345"/>
      <c r="DR304" s="73"/>
      <c r="DS304" s="32"/>
      <c r="DT304" s="73"/>
      <c r="DU304" s="73"/>
      <c r="DV304" s="345"/>
      <c r="DW304" s="73"/>
      <c r="DX304" s="32"/>
      <c r="DY304" s="73"/>
      <c r="DZ304" s="73"/>
      <c r="EA304" s="345"/>
      <c r="EB304" s="73"/>
      <c r="EC304" s="32"/>
      <c r="ED304" s="73"/>
      <c r="EE304" s="73"/>
      <c r="EF304" s="345"/>
      <c r="EG304" s="73"/>
      <c r="EH304" s="32"/>
      <c r="EI304" s="73"/>
      <c r="EJ304" s="73"/>
      <c r="EK304" s="345"/>
      <c r="EL304" s="73"/>
      <c r="EM304" s="32"/>
      <c r="EN304" s="73"/>
      <c r="EO304" s="73"/>
      <c r="EP304" s="345"/>
      <c r="EQ304" s="73"/>
      <c r="ER304" s="32"/>
      <c r="ES304" s="73"/>
      <c r="ET304" s="73"/>
      <c r="EU304" s="345"/>
      <c r="EV304" s="73"/>
      <c r="EW304" s="32"/>
      <c r="EX304" s="73"/>
      <c r="EY304" s="73"/>
      <c r="EZ304" s="345"/>
      <c r="FA304" s="73"/>
      <c r="FB304" s="32"/>
      <c r="FC304" s="73"/>
      <c r="FD304" s="73"/>
      <c r="FE304" s="345"/>
      <c r="FF304" s="73"/>
      <c r="FG304" s="32"/>
      <c r="FH304" s="73"/>
      <c r="FI304" s="73"/>
      <c r="FJ304" s="345"/>
      <c r="FK304" s="73"/>
      <c r="FL304" s="32"/>
      <c r="FM304" s="73"/>
      <c r="FN304" s="73"/>
      <c r="FO304" s="345"/>
      <c r="FP304" s="73"/>
      <c r="FQ304" s="32"/>
      <c r="FR304" s="73"/>
      <c r="FS304" s="73"/>
      <c r="FT304" s="345"/>
      <c r="FU304" s="73"/>
      <c r="FV304" s="32"/>
      <c r="FW304" s="73"/>
      <c r="FX304" s="73"/>
      <c r="FY304" s="345"/>
      <c r="FZ304" s="73"/>
      <c r="GA304" s="32"/>
      <c r="GB304" s="73"/>
      <c r="GC304" s="73"/>
      <c r="GD304" s="345"/>
      <c r="GE304" s="73"/>
      <c r="GF304" s="32"/>
      <c r="GG304" s="73"/>
      <c r="GH304" s="73"/>
      <c r="GI304" s="345"/>
      <c r="GJ304" s="73"/>
      <c r="GK304" s="32"/>
      <c r="GL304" s="73"/>
      <c r="GM304" s="73"/>
      <c r="GN304" s="345"/>
      <c r="GO304" s="73"/>
      <c r="GP304" s="32"/>
      <c r="GQ304" s="73"/>
      <c r="GR304" s="73"/>
      <c r="GS304" s="345"/>
      <c r="GT304" s="73"/>
      <c r="GU304" s="32"/>
      <c r="GV304" s="73"/>
      <c r="GW304" s="73"/>
      <c r="GX304" s="345"/>
      <c r="GY304" s="73"/>
      <c r="GZ304" s="32"/>
      <c r="HA304" s="73"/>
      <c r="HB304" s="73"/>
      <c r="HC304" s="345"/>
      <c r="HD304" s="73"/>
      <c r="HE304" s="32"/>
      <c r="HF304" s="73"/>
      <c r="HG304" s="73"/>
      <c r="HH304" s="345"/>
      <c r="HI304" s="73"/>
      <c r="HJ304" s="32"/>
      <c r="HK304" s="73"/>
      <c r="HL304" s="73"/>
      <c r="HM304" s="345"/>
      <c r="HN304" s="73"/>
      <c r="HO304" s="32"/>
      <c r="HP304" s="73"/>
      <c r="HQ304" s="73"/>
      <c r="HR304" s="345"/>
      <c r="HS304" s="73"/>
      <c r="HT304" s="32"/>
      <c r="HU304" s="73"/>
      <c r="HV304" s="73"/>
      <c r="HW304" s="345"/>
      <c r="HX304" s="73"/>
      <c r="HY304" s="32"/>
      <c r="HZ304" s="73"/>
      <c r="IA304" s="73"/>
      <c r="IB304" s="345"/>
      <c r="IC304" s="73"/>
      <c r="ID304" s="32"/>
      <c r="IE304" s="73"/>
      <c r="IF304" s="73"/>
      <c r="IG304" s="345"/>
      <c r="IH304" s="73"/>
      <c r="II304" s="32"/>
      <c r="IJ304" s="73"/>
      <c r="IK304" s="73"/>
      <c r="IL304" s="345"/>
      <c r="IM304" s="73"/>
      <c r="IN304" s="32"/>
      <c r="IO304" s="73"/>
      <c r="IP304" s="73"/>
      <c r="IQ304" s="345"/>
      <c r="IR304" s="73"/>
      <c r="IS304" s="32"/>
      <c r="IT304" s="73"/>
      <c r="IU304" s="73"/>
      <c r="IV304" s="345"/>
    </row>
    <row r="305" spans="1:256" x14ac:dyDescent="0.2">
      <c r="A305" s="345">
        <v>36799</v>
      </c>
      <c r="B305" s="73"/>
      <c r="C305" s="32"/>
      <c r="D305" s="73"/>
      <c r="E305" s="73"/>
      <c r="F305" s="345"/>
      <c r="G305" s="73"/>
      <c r="H305" s="32"/>
      <c r="I305" s="73"/>
      <c r="J305" s="73"/>
      <c r="K305" s="345"/>
      <c r="L305" s="73"/>
      <c r="M305" s="32"/>
      <c r="N305" s="73"/>
      <c r="O305" s="73"/>
      <c r="P305" s="345"/>
      <c r="Q305" s="73"/>
      <c r="R305" s="32"/>
      <c r="S305" s="73"/>
      <c r="T305" s="73"/>
      <c r="U305" s="345"/>
      <c r="V305" s="73"/>
      <c r="W305" s="32"/>
      <c r="X305" s="73"/>
      <c r="Y305" s="73"/>
      <c r="Z305" s="345"/>
      <c r="AA305" s="73"/>
      <c r="AB305" s="32"/>
      <c r="AC305" s="73"/>
      <c r="AD305" s="73"/>
      <c r="AE305" s="345"/>
      <c r="AF305" s="73"/>
      <c r="AG305" s="32"/>
      <c r="AH305" s="73"/>
      <c r="AI305" s="73"/>
      <c r="AJ305" s="345"/>
      <c r="AK305" s="73"/>
      <c r="AL305" s="32"/>
      <c r="AM305" s="73"/>
      <c r="AN305" s="73"/>
      <c r="AO305" s="345"/>
      <c r="AP305" s="73"/>
      <c r="AQ305" s="32"/>
      <c r="AR305" s="73"/>
      <c r="AS305" s="73"/>
      <c r="AT305" s="345"/>
      <c r="AU305" s="73"/>
      <c r="AV305" s="32"/>
      <c r="AW305" s="73"/>
      <c r="AX305" s="73"/>
      <c r="AY305" s="345"/>
      <c r="AZ305" s="73"/>
      <c r="BA305" s="32"/>
      <c r="BB305" s="73"/>
      <c r="BC305" s="73"/>
      <c r="BD305" s="345"/>
      <c r="BE305" s="73"/>
      <c r="BF305" s="32"/>
      <c r="BG305" s="73"/>
      <c r="BH305" s="73"/>
      <c r="BI305" s="345"/>
      <c r="BJ305" s="73"/>
      <c r="BK305" s="32"/>
      <c r="BL305" s="73"/>
      <c r="BM305" s="73"/>
      <c r="BN305" s="345"/>
      <c r="BO305" s="73"/>
      <c r="BP305" s="32"/>
      <c r="BQ305" s="73"/>
      <c r="BR305" s="73"/>
      <c r="BS305" s="345"/>
      <c r="BT305" s="73"/>
      <c r="BU305" s="32"/>
      <c r="BV305" s="73"/>
      <c r="BW305" s="73"/>
      <c r="BX305" s="345"/>
      <c r="BY305" s="73"/>
      <c r="BZ305" s="32"/>
      <c r="CA305" s="73"/>
      <c r="CB305" s="73"/>
      <c r="CC305" s="345"/>
      <c r="CD305" s="73"/>
      <c r="CE305" s="32"/>
      <c r="CF305" s="73"/>
      <c r="CG305" s="73"/>
      <c r="CH305" s="345"/>
      <c r="CI305" s="73"/>
      <c r="CJ305" s="32"/>
      <c r="CK305" s="73"/>
      <c r="CL305" s="73"/>
      <c r="CM305" s="345"/>
      <c r="CN305" s="73"/>
      <c r="CO305" s="32"/>
      <c r="CP305" s="73"/>
      <c r="CQ305" s="73"/>
      <c r="CR305" s="345"/>
      <c r="CS305" s="73"/>
      <c r="CT305" s="32"/>
      <c r="CU305" s="73"/>
      <c r="CV305" s="73"/>
      <c r="CW305" s="345"/>
      <c r="CX305" s="73"/>
      <c r="CY305" s="32"/>
      <c r="CZ305" s="73"/>
      <c r="DA305" s="73"/>
      <c r="DB305" s="345"/>
      <c r="DC305" s="73"/>
      <c r="DD305" s="32"/>
      <c r="DE305" s="73"/>
      <c r="DF305" s="73"/>
      <c r="DG305" s="345"/>
      <c r="DH305" s="73"/>
      <c r="DI305" s="32"/>
      <c r="DJ305" s="73"/>
      <c r="DK305" s="73"/>
      <c r="DL305" s="345"/>
      <c r="DM305" s="73"/>
      <c r="DN305" s="32"/>
      <c r="DO305" s="73"/>
      <c r="DP305" s="73"/>
      <c r="DQ305" s="345"/>
      <c r="DR305" s="73"/>
      <c r="DS305" s="32"/>
      <c r="DT305" s="73"/>
      <c r="DU305" s="73"/>
      <c r="DV305" s="345"/>
      <c r="DW305" s="73"/>
      <c r="DX305" s="32"/>
      <c r="DY305" s="73"/>
      <c r="DZ305" s="73"/>
      <c r="EA305" s="345"/>
      <c r="EB305" s="73"/>
      <c r="EC305" s="32"/>
      <c r="ED305" s="73"/>
      <c r="EE305" s="73"/>
      <c r="EF305" s="345"/>
      <c r="EG305" s="73"/>
      <c r="EH305" s="32"/>
      <c r="EI305" s="73"/>
      <c r="EJ305" s="73"/>
      <c r="EK305" s="345"/>
      <c r="EL305" s="73"/>
      <c r="EM305" s="32"/>
      <c r="EN305" s="73"/>
      <c r="EO305" s="73"/>
      <c r="EP305" s="345"/>
      <c r="EQ305" s="73"/>
      <c r="ER305" s="32"/>
      <c r="ES305" s="73"/>
      <c r="ET305" s="73"/>
      <c r="EU305" s="345"/>
      <c r="EV305" s="73"/>
      <c r="EW305" s="32"/>
      <c r="EX305" s="73"/>
      <c r="EY305" s="73"/>
      <c r="EZ305" s="345"/>
      <c r="FA305" s="73"/>
      <c r="FB305" s="32"/>
      <c r="FC305" s="73"/>
      <c r="FD305" s="73"/>
      <c r="FE305" s="345"/>
      <c r="FF305" s="73"/>
      <c r="FG305" s="32"/>
      <c r="FH305" s="73"/>
      <c r="FI305" s="73"/>
      <c r="FJ305" s="345"/>
      <c r="FK305" s="73"/>
      <c r="FL305" s="32"/>
      <c r="FM305" s="73"/>
      <c r="FN305" s="73"/>
      <c r="FO305" s="345"/>
      <c r="FP305" s="73"/>
      <c r="FQ305" s="32"/>
      <c r="FR305" s="73"/>
      <c r="FS305" s="73"/>
      <c r="FT305" s="345"/>
      <c r="FU305" s="73"/>
      <c r="FV305" s="32"/>
      <c r="FW305" s="73"/>
      <c r="FX305" s="73"/>
      <c r="FY305" s="345"/>
      <c r="FZ305" s="73"/>
      <c r="GA305" s="32"/>
      <c r="GB305" s="73"/>
      <c r="GC305" s="73"/>
      <c r="GD305" s="345"/>
      <c r="GE305" s="73"/>
      <c r="GF305" s="32"/>
      <c r="GG305" s="73"/>
      <c r="GH305" s="73"/>
      <c r="GI305" s="345"/>
      <c r="GJ305" s="73"/>
      <c r="GK305" s="32"/>
      <c r="GL305" s="73"/>
      <c r="GM305" s="73"/>
      <c r="GN305" s="345"/>
      <c r="GO305" s="73"/>
      <c r="GP305" s="32"/>
      <c r="GQ305" s="73"/>
      <c r="GR305" s="73"/>
      <c r="GS305" s="345"/>
      <c r="GT305" s="73"/>
      <c r="GU305" s="32"/>
      <c r="GV305" s="73"/>
      <c r="GW305" s="73"/>
      <c r="GX305" s="345"/>
      <c r="GY305" s="73"/>
      <c r="GZ305" s="32"/>
      <c r="HA305" s="73"/>
      <c r="HB305" s="73"/>
      <c r="HC305" s="345"/>
      <c r="HD305" s="73"/>
      <c r="HE305" s="32"/>
      <c r="HF305" s="73"/>
      <c r="HG305" s="73"/>
      <c r="HH305" s="345"/>
      <c r="HI305" s="73"/>
      <c r="HJ305" s="32"/>
      <c r="HK305" s="73"/>
      <c r="HL305" s="73"/>
      <c r="HM305" s="345"/>
      <c r="HN305" s="73"/>
      <c r="HO305" s="32"/>
      <c r="HP305" s="73"/>
      <c r="HQ305" s="73"/>
      <c r="HR305" s="345"/>
      <c r="HS305" s="73"/>
      <c r="HT305" s="32"/>
      <c r="HU305" s="73"/>
      <c r="HV305" s="73"/>
      <c r="HW305" s="345"/>
      <c r="HX305" s="73"/>
      <c r="HY305" s="32"/>
      <c r="HZ305" s="73"/>
      <c r="IA305" s="73"/>
      <c r="IB305" s="345"/>
      <c r="IC305" s="73"/>
      <c r="ID305" s="32"/>
      <c r="IE305" s="73"/>
      <c r="IF305" s="73"/>
      <c r="IG305" s="345"/>
      <c r="IH305" s="73"/>
      <c r="II305" s="32"/>
      <c r="IJ305" s="73"/>
      <c r="IK305" s="73"/>
      <c r="IL305" s="345"/>
      <c r="IM305" s="73"/>
      <c r="IN305" s="32"/>
      <c r="IO305" s="73"/>
      <c r="IP305" s="73"/>
      <c r="IQ305" s="345"/>
      <c r="IR305" s="73"/>
      <c r="IS305" s="32"/>
      <c r="IT305" s="73"/>
      <c r="IU305" s="73"/>
      <c r="IV305" s="345"/>
    </row>
    <row r="306" spans="1:256" x14ac:dyDescent="0.2">
      <c r="A306" s="345">
        <v>36830</v>
      </c>
      <c r="B306" s="73"/>
      <c r="C306" s="32"/>
      <c r="D306" s="73"/>
      <c r="E306" s="73"/>
      <c r="F306" s="345"/>
      <c r="G306" s="73"/>
      <c r="H306" s="32"/>
      <c r="I306" s="73"/>
      <c r="J306" s="73"/>
      <c r="K306" s="345"/>
      <c r="L306" s="73"/>
      <c r="M306" s="32"/>
      <c r="N306" s="73"/>
      <c r="O306" s="73"/>
      <c r="P306" s="345"/>
      <c r="Q306" s="73"/>
      <c r="R306" s="32"/>
      <c r="S306" s="73"/>
      <c r="T306" s="73"/>
      <c r="U306" s="345"/>
      <c r="V306" s="73"/>
      <c r="W306" s="32"/>
      <c r="X306" s="73"/>
      <c r="Y306" s="73"/>
      <c r="Z306" s="345"/>
      <c r="AA306" s="73"/>
      <c r="AB306" s="32"/>
      <c r="AC306" s="73"/>
      <c r="AD306" s="73"/>
      <c r="AE306" s="345"/>
      <c r="AF306" s="73"/>
      <c r="AG306" s="32"/>
      <c r="AH306" s="73"/>
      <c r="AI306" s="73"/>
      <c r="AJ306" s="345"/>
      <c r="AK306" s="73"/>
      <c r="AL306" s="32"/>
      <c r="AM306" s="73"/>
      <c r="AN306" s="73"/>
      <c r="AO306" s="345"/>
      <c r="AP306" s="73"/>
      <c r="AQ306" s="32"/>
      <c r="AR306" s="73"/>
      <c r="AS306" s="73"/>
      <c r="AT306" s="345"/>
      <c r="AU306" s="73"/>
      <c r="AV306" s="32"/>
      <c r="AW306" s="73"/>
      <c r="AX306" s="73"/>
      <c r="AY306" s="345"/>
      <c r="AZ306" s="73"/>
      <c r="BA306" s="32"/>
      <c r="BB306" s="73"/>
      <c r="BC306" s="73"/>
      <c r="BD306" s="345"/>
      <c r="BE306" s="73"/>
      <c r="BF306" s="32"/>
      <c r="BG306" s="73"/>
      <c r="BH306" s="73"/>
      <c r="BI306" s="345"/>
      <c r="BJ306" s="73"/>
      <c r="BK306" s="32"/>
      <c r="BL306" s="73"/>
      <c r="BM306" s="73"/>
      <c r="BN306" s="345"/>
      <c r="BO306" s="73"/>
      <c r="BP306" s="32"/>
      <c r="BQ306" s="73"/>
      <c r="BR306" s="73"/>
      <c r="BS306" s="345"/>
      <c r="BT306" s="73"/>
      <c r="BU306" s="32"/>
      <c r="BV306" s="73"/>
      <c r="BW306" s="73"/>
      <c r="BX306" s="345"/>
      <c r="BY306" s="73"/>
      <c r="BZ306" s="32"/>
      <c r="CA306" s="73"/>
      <c r="CB306" s="73"/>
      <c r="CC306" s="345"/>
      <c r="CD306" s="73"/>
      <c r="CE306" s="32"/>
      <c r="CF306" s="73"/>
      <c r="CG306" s="73"/>
      <c r="CH306" s="345"/>
      <c r="CI306" s="73"/>
      <c r="CJ306" s="32"/>
      <c r="CK306" s="73"/>
      <c r="CL306" s="73"/>
      <c r="CM306" s="345"/>
      <c r="CN306" s="73"/>
      <c r="CO306" s="32"/>
      <c r="CP306" s="73"/>
      <c r="CQ306" s="73"/>
      <c r="CR306" s="345"/>
      <c r="CS306" s="73"/>
      <c r="CT306" s="32"/>
      <c r="CU306" s="73"/>
      <c r="CV306" s="73"/>
      <c r="CW306" s="345"/>
      <c r="CX306" s="73"/>
      <c r="CY306" s="32"/>
      <c r="CZ306" s="73"/>
      <c r="DA306" s="73"/>
      <c r="DB306" s="345"/>
      <c r="DC306" s="73"/>
      <c r="DD306" s="32"/>
      <c r="DE306" s="73"/>
      <c r="DF306" s="73"/>
      <c r="DG306" s="345"/>
      <c r="DH306" s="73"/>
      <c r="DI306" s="32"/>
      <c r="DJ306" s="73"/>
      <c r="DK306" s="73"/>
      <c r="DL306" s="345"/>
      <c r="DM306" s="73"/>
      <c r="DN306" s="32"/>
      <c r="DO306" s="73"/>
      <c r="DP306" s="73"/>
      <c r="DQ306" s="345"/>
      <c r="DR306" s="73"/>
      <c r="DS306" s="32"/>
      <c r="DT306" s="73"/>
      <c r="DU306" s="73"/>
      <c r="DV306" s="345"/>
      <c r="DW306" s="73"/>
      <c r="DX306" s="32"/>
      <c r="DY306" s="73"/>
      <c r="DZ306" s="73"/>
      <c r="EA306" s="345"/>
      <c r="EB306" s="73"/>
      <c r="EC306" s="32"/>
      <c r="ED306" s="73"/>
      <c r="EE306" s="73"/>
      <c r="EF306" s="345"/>
      <c r="EG306" s="73"/>
      <c r="EH306" s="32"/>
      <c r="EI306" s="73"/>
      <c r="EJ306" s="73"/>
      <c r="EK306" s="345"/>
      <c r="EL306" s="73"/>
      <c r="EM306" s="32"/>
      <c r="EN306" s="73"/>
      <c r="EO306" s="73"/>
      <c r="EP306" s="345"/>
      <c r="EQ306" s="73"/>
      <c r="ER306" s="32"/>
      <c r="ES306" s="73"/>
      <c r="ET306" s="73"/>
      <c r="EU306" s="345"/>
      <c r="EV306" s="73"/>
      <c r="EW306" s="32"/>
      <c r="EX306" s="73"/>
      <c r="EY306" s="73"/>
      <c r="EZ306" s="345"/>
      <c r="FA306" s="73"/>
      <c r="FB306" s="32"/>
      <c r="FC306" s="73"/>
      <c r="FD306" s="73"/>
      <c r="FE306" s="345"/>
      <c r="FF306" s="73"/>
      <c r="FG306" s="32"/>
      <c r="FH306" s="73"/>
      <c r="FI306" s="73"/>
      <c r="FJ306" s="345"/>
      <c r="FK306" s="73"/>
      <c r="FL306" s="32"/>
      <c r="FM306" s="73"/>
      <c r="FN306" s="73"/>
      <c r="FO306" s="345"/>
      <c r="FP306" s="73"/>
      <c r="FQ306" s="32"/>
      <c r="FR306" s="73"/>
      <c r="FS306" s="73"/>
      <c r="FT306" s="345"/>
      <c r="FU306" s="73"/>
      <c r="FV306" s="32"/>
      <c r="FW306" s="73"/>
      <c r="FX306" s="73"/>
      <c r="FY306" s="345"/>
      <c r="FZ306" s="73"/>
      <c r="GA306" s="32"/>
      <c r="GB306" s="73"/>
      <c r="GC306" s="73"/>
      <c r="GD306" s="345"/>
      <c r="GE306" s="73"/>
      <c r="GF306" s="32"/>
      <c r="GG306" s="73"/>
      <c r="GH306" s="73"/>
      <c r="GI306" s="345"/>
      <c r="GJ306" s="73"/>
      <c r="GK306" s="32"/>
      <c r="GL306" s="73"/>
      <c r="GM306" s="73"/>
      <c r="GN306" s="345"/>
      <c r="GO306" s="73"/>
      <c r="GP306" s="32"/>
      <c r="GQ306" s="73"/>
      <c r="GR306" s="73"/>
      <c r="GS306" s="345"/>
      <c r="GT306" s="73"/>
      <c r="GU306" s="32"/>
      <c r="GV306" s="73"/>
      <c r="GW306" s="73"/>
      <c r="GX306" s="345"/>
      <c r="GY306" s="73"/>
      <c r="GZ306" s="32"/>
      <c r="HA306" s="73"/>
      <c r="HB306" s="73"/>
      <c r="HC306" s="345"/>
      <c r="HD306" s="73"/>
      <c r="HE306" s="32"/>
      <c r="HF306" s="73"/>
      <c r="HG306" s="73"/>
      <c r="HH306" s="345"/>
      <c r="HI306" s="73"/>
      <c r="HJ306" s="32"/>
      <c r="HK306" s="73"/>
      <c r="HL306" s="73"/>
      <c r="HM306" s="345"/>
      <c r="HN306" s="73"/>
      <c r="HO306" s="32"/>
      <c r="HP306" s="73"/>
      <c r="HQ306" s="73"/>
      <c r="HR306" s="345"/>
      <c r="HS306" s="73"/>
      <c r="HT306" s="32"/>
      <c r="HU306" s="73"/>
      <c r="HV306" s="73"/>
      <c r="HW306" s="345"/>
      <c r="HX306" s="73"/>
      <c r="HY306" s="32"/>
      <c r="HZ306" s="73"/>
      <c r="IA306" s="73"/>
      <c r="IB306" s="345"/>
      <c r="IC306" s="73"/>
      <c r="ID306" s="32"/>
      <c r="IE306" s="73"/>
      <c r="IF306" s="73"/>
      <c r="IG306" s="345"/>
      <c r="IH306" s="73"/>
      <c r="II306" s="32"/>
      <c r="IJ306" s="73"/>
      <c r="IK306" s="73"/>
      <c r="IL306" s="345"/>
      <c r="IM306" s="73"/>
      <c r="IN306" s="32"/>
      <c r="IO306" s="73"/>
      <c r="IP306" s="73"/>
      <c r="IQ306" s="345"/>
      <c r="IR306" s="73"/>
      <c r="IS306" s="32"/>
      <c r="IT306" s="73"/>
      <c r="IU306" s="73"/>
      <c r="IV306" s="345"/>
    </row>
    <row r="307" spans="1:256" x14ac:dyDescent="0.2">
      <c r="A307" s="345">
        <v>36860</v>
      </c>
      <c r="B307" s="73"/>
      <c r="C307" s="32"/>
      <c r="D307" s="73"/>
      <c r="E307" s="73"/>
      <c r="F307" s="345"/>
      <c r="G307" s="73"/>
      <c r="H307" s="32"/>
      <c r="I307" s="73"/>
      <c r="J307" s="73"/>
      <c r="K307" s="345"/>
      <c r="L307" s="73"/>
      <c r="M307" s="32"/>
      <c r="N307" s="73"/>
      <c r="O307" s="73"/>
      <c r="P307" s="345"/>
      <c r="Q307" s="73"/>
      <c r="R307" s="32"/>
      <c r="S307" s="73"/>
      <c r="T307" s="73"/>
      <c r="U307" s="345"/>
      <c r="V307" s="73"/>
      <c r="W307" s="32"/>
      <c r="X307" s="73"/>
      <c r="Y307" s="73"/>
      <c r="Z307" s="345"/>
      <c r="AA307" s="73"/>
      <c r="AB307" s="32"/>
      <c r="AC307" s="73"/>
      <c r="AD307" s="73"/>
      <c r="AE307" s="345"/>
      <c r="AF307" s="73"/>
      <c r="AG307" s="32"/>
      <c r="AH307" s="73"/>
      <c r="AI307" s="73"/>
      <c r="AJ307" s="345"/>
      <c r="AK307" s="73"/>
      <c r="AL307" s="32"/>
      <c r="AM307" s="73"/>
      <c r="AN307" s="73"/>
      <c r="AO307" s="345"/>
      <c r="AP307" s="73"/>
      <c r="AQ307" s="32"/>
      <c r="AR307" s="73"/>
      <c r="AS307" s="73"/>
      <c r="AT307" s="345"/>
      <c r="AU307" s="73"/>
      <c r="AV307" s="32"/>
      <c r="AW307" s="73"/>
      <c r="AX307" s="73"/>
      <c r="AY307" s="345"/>
      <c r="AZ307" s="73"/>
      <c r="BA307" s="32"/>
      <c r="BB307" s="73"/>
      <c r="BC307" s="73"/>
      <c r="BD307" s="345"/>
      <c r="BE307" s="73"/>
      <c r="BF307" s="32"/>
      <c r="BG307" s="73"/>
      <c r="BH307" s="73"/>
      <c r="BI307" s="345"/>
      <c r="BJ307" s="73"/>
      <c r="BK307" s="32"/>
      <c r="BL307" s="73"/>
      <c r="BM307" s="73"/>
      <c r="BN307" s="345"/>
      <c r="BO307" s="73"/>
      <c r="BP307" s="32"/>
      <c r="BQ307" s="73"/>
      <c r="BR307" s="73"/>
      <c r="BS307" s="345"/>
      <c r="BT307" s="73"/>
      <c r="BU307" s="32"/>
      <c r="BV307" s="73"/>
      <c r="BW307" s="73"/>
      <c r="BX307" s="345"/>
      <c r="BY307" s="73"/>
      <c r="BZ307" s="32"/>
      <c r="CA307" s="73"/>
      <c r="CB307" s="73"/>
      <c r="CC307" s="345"/>
      <c r="CD307" s="73"/>
      <c r="CE307" s="32"/>
      <c r="CF307" s="73"/>
      <c r="CG307" s="73"/>
      <c r="CH307" s="345"/>
      <c r="CI307" s="73"/>
      <c r="CJ307" s="32"/>
      <c r="CK307" s="73"/>
      <c r="CL307" s="73"/>
      <c r="CM307" s="345"/>
      <c r="CN307" s="73"/>
      <c r="CO307" s="32"/>
      <c r="CP307" s="73"/>
      <c r="CQ307" s="73"/>
      <c r="CR307" s="345"/>
      <c r="CS307" s="73"/>
      <c r="CT307" s="32"/>
      <c r="CU307" s="73"/>
      <c r="CV307" s="73"/>
      <c r="CW307" s="345"/>
      <c r="CX307" s="73"/>
      <c r="CY307" s="32"/>
      <c r="CZ307" s="73"/>
      <c r="DA307" s="73"/>
      <c r="DB307" s="345"/>
      <c r="DC307" s="73"/>
      <c r="DD307" s="32"/>
      <c r="DE307" s="73"/>
      <c r="DF307" s="73"/>
      <c r="DG307" s="345"/>
      <c r="DH307" s="73"/>
      <c r="DI307" s="32"/>
      <c r="DJ307" s="73"/>
      <c r="DK307" s="73"/>
      <c r="DL307" s="345"/>
      <c r="DM307" s="73"/>
      <c r="DN307" s="32"/>
      <c r="DO307" s="73"/>
      <c r="DP307" s="73"/>
      <c r="DQ307" s="345"/>
      <c r="DR307" s="73"/>
      <c r="DS307" s="32"/>
      <c r="DT307" s="73"/>
      <c r="DU307" s="73"/>
      <c r="DV307" s="345"/>
      <c r="DW307" s="73"/>
      <c r="DX307" s="32"/>
      <c r="DY307" s="73"/>
      <c r="DZ307" s="73"/>
      <c r="EA307" s="345"/>
      <c r="EB307" s="73"/>
      <c r="EC307" s="32"/>
      <c r="ED307" s="73"/>
      <c r="EE307" s="73"/>
      <c r="EF307" s="345"/>
      <c r="EG307" s="73"/>
      <c r="EH307" s="32"/>
      <c r="EI307" s="73"/>
      <c r="EJ307" s="73"/>
      <c r="EK307" s="345"/>
      <c r="EL307" s="73"/>
      <c r="EM307" s="32"/>
      <c r="EN307" s="73"/>
      <c r="EO307" s="73"/>
      <c r="EP307" s="345"/>
      <c r="EQ307" s="73"/>
      <c r="ER307" s="32"/>
      <c r="ES307" s="73"/>
      <c r="ET307" s="73"/>
      <c r="EU307" s="345"/>
      <c r="EV307" s="73"/>
      <c r="EW307" s="32"/>
      <c r="EX307" s="73"/>
      <c r="EY307" s="73"/>
      <c r="EZ307" s="345"/>
      <c r="FA307" s="73"/>
      <c r="FB307" s="32"/>
      <c r="FC307" s="73"/>
      <c r="FD307" s="73"/>
      <c r="FE307" s="345"/>
      <c r="FF307" s="73"/>
      <c r="FG307" s="32"/>
      <c r="FH307" s="73"/>
      <c r="FI307" s="73"/>
      <c r="FJ307" s="345"/>
      <c r="FK307" s="73"/>
      <c r="FL307" s="32"/>
      <c r="FM307" s="73"/>
      <c r="FN307" s="73"/>
      <c r="FO307" s="345"/>
      <c r="FP307" s="73"/>
      <c r="FQ307" s="32"/>
      <c r="FR307" s="73"/>
      <c r="FS307" s="73"/>
      <c r="FT307" s="345"/>
      <c r="FU307" s="73"/>
      <c r="FV307" s="32"/>
      <c r="FW307" s="73"/>
      <c r="FX307" s="73"/>
      <c r="FY307" s="345"/>
      <c r="FZ307" s="73"/>
      <c r="GA307" s="32"/>
      <c r="GB307" s="73"/>
      <c r="GC307" s="73"/>
      <c r="GD307" s="345"/>
      <c r="GE307" s="73"/>
      <c r="GF307" s="32"/>
      <c r="GG307" s="73"/>
      <c r="GH307" s="73"/>
      <c r="GI307" s="345"/>
      <c r="GJ307" s="73"/>
      <c r="GK307" s="32"/>
      <c r="GL307" s="73"/>
      <c r="GM307" s="73"/>
      <c r="GN307" s="345"/>
      <c r="GO307" s="73"/>
      <c r="GP307" s="32"/>
      <c r="GQ307" s="73"/>
      <c r="GR307" s="73"/>
      <c r="GS307" s="345"/>
      <c r="GT307" s="73"/>
      <c r="GU307" s="32"/>
      <c r="GV307" s="73"/>
      <c r="GW307" s="73"/>
      <c r="GX307" s="345"/>
      <c r="GY307" s="73"/>
      <c r="GZ307" s="32"/>
      <c r="HA307" s="73"/>
      <c r="HB307" s="73"/>
      <c r="HC307" s="345"/>
      <c r="HD307" s="73"/>
      <c r="HE307" s="32"/>
      <c r="HF307" s="73"/>
      <c r="HG307" s="73"/>
      <c r="HH307" s="345"/>
      <c r="HI307" s="73"/>
      <c r="HJ307" s="32"/>
      <c r="HK307" s="73"/>
      <c r="HL307" s="73"/>
      <c r="HM307" s="345"/>
      <c r="HN307" s="73"/>
      <c r="HO307" s="32"/>
      <c r="HP307" s="73"/>
      <c r="HQ307" s="73"/>
      <c r="HR307" s="345"/>
      <c r="HS307" s="73"/>
      <c r="HT307" s="32"/>
      <c r="HU307" s="73"/>
      <c r="HV307" s="73"/>
      <c r="HW307" s="345"/>
      <c r="HX307" s="73"/>
      <c r="HY307" s="32"/>
      <c r="HZ307" s="73"/>
      <c r="IA307" s="73"/>
      <c r="IB307" s="345"/>
      <c r="IC307" s="73"/>
      <c r="ID307" s="32"/>
      <c r="IE307" s="73"/>
      <c r="IF307" s="73"/>
      <c r="IG307" s="345"/>
      <c r="IH307" s="73"/>
      <c r="II307" s="32"/>
      <c r="IJ307" s="73"/>
      <c r="IK307" s="73"/>
      <c r="IL307" s="345"/>
      <c r="IM307" s="73"/>
      <c r="IN307" s="32"/>
      <c r="IO307" s="73"/>
      <c r="IP307" s="73"/>
      <c r="IQ307" s="345"/>
      <c r="IR307" s="73"/>
      <c r="IS307" s="32"/>
      <c r="IT307" s="73"/>
      <c r="IU307" s="73"/>
      <c r="IV307" s="345"/>
    </row>
    <row r="308" spans="1:256" x14ac:dyDescent="0.2">
      <c r="A308" s="345">
        <v>36891</v>
      </c>
      <c r="B308" s="73"/>
      <c r="C308" s="32"/>
      <c r="D308" s="73"/>
      <c r="E308" s="73"/>
      <c r="F308" s="345"/>
      <c r="G308" s="73"/>
      <c r="H308" s="32"/>
      <c r="I308" s="73"/>
      <c r="J308" s="73"/>
      <c r="K308" s="345"/>
      <c r="L308" s="73"/>
      <c r="M308" s="32"/>
      <c r="N308" s="73"/>
      <c r="O308" s="73"/>
      <c r="P308" s="345"/>
      <c r="Q308" s="73"/>
      <c r="R308" s="32"/>
      <c r="S308" s="73"/>
      <c r="T308" s="73"/>
      <c r="U308" s="345"/>
      <c r="V308" s="73"/>
      <c r="W308" s="32"/>
      <c r="X308" s="73"/>
      <c r="Y308" s="73"/>
      <c r="Z308" s="345"/>
      <c r="AA308" s="73"/>
      <c r="AB308" s="32"/>
      <c r="AC308" s="73"/>
      <c r="AD308" s="73"/>
      <c r="AE308" s="345"/>
      <c r="AF308" s="73"/>
      <c r="AG308" s="32"/>
      <c r="AH308" s="73"/>
      <c r="AI308" s="73"/>
      <c r="AJ308" s="345"/>
      <c r="AK308" s="73"/>
      <c r="AL308" s="32"/>
      <c r="AM308" s="73"/>
      <c r="AN308" s="73"/>
      <c r="AO308" s="345"/>
      <c r="AP308" s="73"/>
      <c r="AQ308" s="32"/>
      <c r="AR308" s="73"/>
      <c r="AS308" s="73"/>
      <c r="AT308" s="345"/>
      <c r="AU308" s="73"/>
      <c r="AV308" s="32"/>
      <c r="AW308" s="73"/>
      <c r="AX308" s="73"/>
      <c r="AY308" s="345"/>
      <c r="AZ308" s="73"/>
      <c r="BA308" s="32"/>
      <c r="BB308" s="73"/>
      <c r="BC308" s="73"/>
      <c r="BD308" s="345"/>
      <c r="BE308" s="73"/>
      <c r="BF308" s="32"/>
      <c r="BG308" s="73"/>
      <c r="BH308" s="73"/>
      <c r="BI308" s="345"/>
      <c r="BJ308" s="73"/>
      <c r="BK308" s="32"/>
      <c r="BL308" s="73"/>
      <c r="BM308" s="73"/>
      <c r="BN308" s="345"/>
      <c r="BO308" s="73"/>
      <c r="BP308" s="32"/>
      <c r="BQ308" s="73"/>
      <c r="BR308" s="73"/>
      <c r="BS308" s="345"/>
      <c r="BT308" s="73"/>
      <c r="BU308" s="32"/>
      <c r="BV308" s="73"/>
      <c r="BW308" s="73"/>
      <c r="BX308" s="345"/>
      <c r="BY308" s="73"/>
      <c r="BZ308" s="32"/>
      <c r="CA308" s="73"/>
      <c r="CB308" s="73"/>
      <c r="CC308" s="345"/>
      <c r="CD308" s="73"/>
      <c r="CE308" s="32"/>
      <c r="CF308" s="73"/>
      <c r="CG308" s="73"/>
      <c r="CH308" s="345"/>
      <c r="CI308" s="73"/>
      <c r="CJ308" s="32"/>
      <c r="CK308" s="73"/>
      <c r="CL308" s="73"/>
      <c r="CM308" s="345"/>
      <c r="CN308" s="73"/>
      <c r="CO308" s="32"/>
      <c r="CP308" s="73"/>
      <c r="CQ308" s="73"/>
      <c r="CR308" s="345"/>
      <c r="CS308" s="73"/>
      <c r="CT308" s="32"/>
      <c r="CU308" s="73"/>
      <c r="CV308" s="73"/>
      <c r="CW308" s="345"/>
      <c r="CX308" s="73"/>
      <c r="CY308" s="32"/>
      <c r="CZ308" s="73"/>
      <c r="DA308" s="73"/>
      <c r="DB308" s="345"/>
      <c r="DC308" s="73"/>
      <c r="DD308" s="32"/>
      <c r="DE308" s="73"/>
      <c r="DF308" s="73"/>
      <c r="DG308" s="345"/>
      <c r="DH308" s="73"/>
      <c r="DI308" s="32"/>
      <c r="DJ308" s="73"/>
      <c r="DK308" s="73"/>
      <c r="DL308" s="345"/>
      <c r="DM308" s="73"/>
      <c r="DN308" s="32"/>
      <c r="DO308" s="73"/>
      <c r="DP308" s="73"/>
      <c r="DQ308" s="345"/>
      <c r="DR308" s="73"/>
      <c r="DS308" s="32"/>
      <c r="DT308" s="73"/>
      <c r="DU308" s="73"/>
      <c r="DV308" s="345"/>
      <c r="DW308" s="73"/>
      <c r="DX308" s="32"/>
      <c r="DY308" s="73"/>
      <c r="DZ308" s="73"/>
      <c r="EA308" s="345"/>
      <c r="EB308" s="73"/>
      <c r="EC308" s="32"/>
      <c r="ED308" s="73"/>
      <c r="EE308" s="73"/>
      <c r="EF308" s="345"/>
      <c r="EG308" s="73"/>
      <c r="EH308" s="32"/>
      <c r="EI308" s="73"/>
      <c r="EJ308" s="73"/>
      <c r="EK308" s="345"/>
      <c r="EL308" s="73"/>
      <c r="EM308" s="32"/>
      <c r="EN308" s="73"/>
      <c r="EO308" s="73"/>
      <c r="EP308" s="345"/>
      <c r="EQ308" s="73"/>
      <c r="ER308" s="32"/>
      <c r="ES308" s="73"/>
      <c r="ET308" s="73"/>
      <c r="EU308" s="345"/>
      <c r="EV308" s="73"/>
      <c r="EW308" s="32"/>
      <c r="EX308" s="73"/>
      <c r="EY308" s="73"/>
      <c r="EZ308" s="345"/>
      <c r="FA308" s="73"/>
      <c r="FB308" s="32"/>
      <c r="FC308" s="73"/>
      <c r="FD308" s="73"/>
      <c r="FE308" s="345"/>
      <c r="FF308" s="73"/>
      <c r="FG308" s="32"/>
      <c r="FH308" s="73"/>
      <c r="FI308" s="73"/>
      <c r="FJ308" s="345"/>
      <c r="FK308" s="73"/>
      <c r="FL308" s="32"/>
      <c r="FM308" s="73"/>
      <c r="FN308" s="73"/>
      <c r="FO308" s="345"/>
      <c r="FP308" s="73"/>
      <c r="FQ308" s="32"/>
      <c r="FR308" s="73"/>
      <c r="FS308" s="73"/>
      <c r="FT308" s="345"/>
      <c r="FU308" s="73"/>
      <c r="FV308" s="32"/>
      <c r="FW308" s="73"/>
      <c r="FX308" s="73"/>
      <c r="FY308" s="345"/>
      <c r="FZ308" s="73"/>
      <c r="GA308" s="32"/>
      <c r="GB308" s="73"/>
      <c r="GC308" s="73"/>
      <c r="GD308" s="345"/>
      <c r="GE308" s="73"/>
      <c r="GF308" s="32"/>
      <c r="GG308" s="73"/>
      <c r="GH308" s="73"/>
      <c r="GI308" s="345"/>
      <c r="GJ308" s="73"/>
      <c r="GK308" s="32"/>
      <c r="GL308" s="73"/>
      <c r="GM308" s="73"/>
      <c r="GN308" s="345"/>
      <c r="GO308" s="73"/>
      <c r="GP308" s="32"/>
      <c r="GQ308" s="73"/>
      <c r="GR308" s="73"/>
      <c r="GS308" s="345"/>
      <c r="GT308" s="73"/>
      <c r="GU308" s="32"/>
      <c r="GV308" s="73"/>
      <c r="GW308" s="73"/>
      <c r="GX308" s="345"/>
      <c r="GY308" s="73"/>
      <c r="GZ308" s="32"/>
      <c r="HA308" s="73"/>
      <c r="HB308" s="73"/>
      <c r="HC308" s="345"/>
      <c r="HD308" s="73"/>
      <c r="HE308" s="32"/>
      <c r="HF308" s="73"/>
      <c r="HG308" s="73"/>
      <c r="HH308" s="345"/>
      <c r="HI308" s="73"/>
      <c r="HJ308" s="32"/>
      <c r="HK308" s="73"/>
      <c r="HL308" s="73"/>
      <c r="HM308" s="345"/>
      <c r="HN308" s="73"/>
      <c r="HO308" s="32"/>
      <c r="HP308" s="73"/>
      <c r="HQ308" s="73"/>
      <c r="HR308" s="345"/>
      <c r="HS308" s="73"/>
      <c r="HT308" s="32"/>
      <c r="HU308" s="73"/>
      <c r="HV308" s="73"/>
      <c r="HW308" s="345"/>
      <c r="HX308" s="73"/>
      <c r="HY308" s="32"/>
      <c r="HZ308" s="73"/>
      <c r="IA308" s="73"/>
      <c r="IB308" s="345"/>
      <c r="IC308" s="73"/>
      <c r="ID308" s="32"/>
      <c r="IE308" s="73"/>
      <c r="IF308" s="73"/>
      <c r="IG308" s="345"/>
      <c r="IH308" s="73"/>
      <c r="II308" s="32"/>
      <c r="IJ308" s="73"/>
      <c r="IK308" s="73"/>
      <c r="IL308" s="345"/>
      <c r="IM308" s="73"/>
      <c r="IN308" s="32"/>
      <c r="IO308" s="73"/>
      <c r="IP308" s="73"/>
      <c r="IQ308" s="345"/>
      <c r="IR308" s="73"/>
      <c r="IS308" s="32"/>
      <c r="IT308" s="73"/>
      <c r="IU308" s="73"/>
      <c r="IV308" s="345"/>
    </row>
    <row r="309" spans="1:256" x14ac:dyDescent="0.2">
      <c r="A309" s="345">
        <v>36922</v>
      </c>
      <c r="B309" s="253"/>
      <c r="C309" s="33"/>
      <c r="D309" s="253"/>
      <c r="E309" s="73"/>
      <c r="F309" s="345"/>
      <c r="G309" s="253"/>
      <c r="H309" s="33"/>
      <c r="I309" s="253"/>
      <c r="J309" s="73"/>
      <c r="K309" s="345"/>
      <c r="L309" s="253"/>
      <c r="M309" s="33"/>
      <c r="N309" s="253"/>
      <c r="O309" s="73"/>
      <c r="P309" s="345"/>
      <c r="Q309" s="253"/>
      <c r="R309" s="33"/>
      <c r="S309" s="253"/>
      <c r="T309" s="73"/>
      <c r="U309" s="345"/>
      <c r="V309" s="253"/>
      <c r="W309" s="33"/>
      <c r="X309" s="253"/>
      <c r="Y309" s="73"/>
      <c r="Z309" s="345"/>
      <c r="AA309" s="253"/>
      <c r="AB309" s="33"/>
      <c r="AC309" s="253"/>
      <c r="AD309" s="73"/>
      <c r="AE309" s="345"/>
      <c r="AF309" s="253"/>
      <c r="AG309" s="33"/>
      <c r="AH309" s="253"/>
      <c r="AI309" s="73"/>
      <c r="AJ309" s="345"/>
      <c r="AK309" s="253"/>
      <c r="AL309" s="33"/>
      <c r="AM309" s="253"/>
      <c r="AN309" s="73"/>
      <c r="AO309" s="345"/>
      <c r="AP309" s="253"/>
      <c r="AQ309" s="33"/>
      <c r="AR309" s="253"/>
      <c r="AS309" s="73"/>
      <c r="AT309" s="345"/>
      <c r="AU309" s="253"/>
      <c r="AV309" s="33"/>
      <c r="AW309" s="253"/>
      <c r="AX309" s="73"/>
      <c r="AY309" s="345"/>
      <c r="AZ309" s="253"/>
      <c r="BA309" s="33"/>
      <c r="BB309" s="253"/>
      <c r="BC309" s="73"/>
      <c r="BD309" s="345"/>
      <c r="BE309" s="253"/>
      <c r="BF309" s="33"/>
      <c r="BG309" s="253"/>
      <c r="BH309" s="73"/>
      <c r="BI309" s="345"/>
      <c r="BJ309" s="253"/>
      <c r="BK309" s="33"/>
      <c r="BL309" s="253"/>
      <c r="BM309" s="73"/>
      <c r="BN309" s="345"/>
      <c r="BO309" s="253"/>
      <c r="BP309" s="33"/>
      <c r="BQ309" s="253"/>
      <c r="BR309" s="73"/>
      <c r="BS309" s="345"/>
      <c r="BT309" s="253"/>
      <c r="BU309" s="33"/>
      <c r="BV309" s="253"/>
      <c r="BW309" s="73"/>
      <c r="BX309" s="345"/>
      <c r="BY309" s="253"/>
      <c r="BZ309" s="33"/>
      <c r="CA309" s="253"/>
      <c r="CB309" s="73"/>
      <c r="CC309" s="345"/>
      <c r="CD309" s="253"/>
      <c r="CE309" s="33"/>
      <c r="CF309" s="253"/>
      <c r="CG309" s="73"/>
      <c r="CH309" s="345"/>
      <c r="CI309" s="253"/>
      <c r="CJ309" s="33"/>
      <c r="CK309" s="253"/>
      <c r="CL309" s="73"/>
      <c r="CM309" s="345"/>
      <c r="CN309" s="253"/>
      <c r="CO309" s="33"/>
      <c r="CP309" s="253"/>
      <c r="CQ309" s="73"/>
      <c r="CR309" s="345"/>
      <c r="CS309" s="253"/>
      <c r="CT309" s="33"/>
      <c r="CU309" s="253"/>
      <c r="CV309" s="73"/>
      <c r="CW309" s="345"/>
      <c r="CX309" s="253"/>
      <c r="CY309" s="33"/>
      <c r="CZ309" s="253"/>
      <c r="DA309" s="73"/>
      <c r="DB309" s="345"/>
      <c r="DC309" s="253"/>
      <c r="DD309" s="33"/>
      <c r="DE309" s="253"/>
      <c r="DF309" s="73"/>
      <c r="DG309" s="345"/>
      <c r="DH309" s="253"/>
      <c r="DI309" s="33"/>
      <c r="DJ309" s="253"/>
      <c r="DK309" s="73"/>
      <c r="DL309" s="345"/>
      <c r="DM309" s="253"/>
      <c r="DN309" s="33"/>
      <c r="DO309" s="253"/>
      <c r="DP309" s="73"/>
      <c r="DQ309" s="345"/>
      <c r="DR309" s="253"/>
      <c r="DS309" s="33"/>
      <c r="DT309" s="253"/>
      <c r="DU309" s="73"/>
      <c r="DV309" s="345"/>
      <c r="DW309" s="253"/>
      <c r="DX309" s="33"/>
      <c r="DY309" s="253"/>
      <c r="DZ309" s="73"/>
      <c r="EA309" s="345"/>
      <c r="EB309" s="253"/>
      <c r="EC309" s="33"/>
      <c r="ED309" s="253"/>
      <c r="EE309" s="73"/>
      <c r="EF309" s="345"/>
      <c r="EG309" s="253"/>
      <c r="EH309" s="33"/>
      <c r="EI309" s="253"/>
      <c r="EJ309" s="73"/>
      <c r="EK309" s="345"/>
      <c r="EL309" s="253"/>
      <c r="EM309" s="33"/>
      <c r="EN309" s="253"/>
      <c r="EO309" s="73"/>
      <c r="EP309" s="345"/>
      <c r="EQ309" s="253"/>
      <c r="ER309" s="33"/>
      <c r="ES309" s="253"/>
      <c r="ET309" s="73"/>
      <c r="EU309" s="345"/>
      <c r="EV309" s="253"/>
      <c r="EW309" s="33"/>
      <c r="EX309" s="253"/>
      <c r="EY309" s="73"/>
      <c r="EZ309" s="345"/>
      <c r="FA309" s="253"/>
      <c r="FB309" s="33"/>
      <c r="FC309" s="253"/>
      <c r="FD309" s="73"/>
      <c r="FE309" s="345"/>
      <c r="FF309" s="253"/>
      <c r="FG309" s="33"/>
      <c r="FH309" s="253"/>
      <c r="FI309" s="73"/>
      <c r="FJ309" s="345"/>
      <c r="FK309" s="253"/>
      <c r="FL309" s="33"/>
      <c r="FM309" s="253"/>
      <c r="FN309" s="73"/>
      <c r="FO309" s="345"/>
      <c r="FP309" s="253"/>
      <c r="FQ309" s="33"/>
      <c r="FR309" s="253"/>
      <c r="FS309" s="73"/>
      <c r="FT309" s="345"/>
      <c r="FU309" s="253"/>
      <c r="FV309" s="33"/>
      <c r="FW309" s="253"/>
      <c r="FX309" s="73"/>
      <c r="FY309" s="345"/>
      <c r="FZ309" s="253"/>
      <c r="GA309" s="33"/>
      <c r="GB309" s="253"/>
      <c r="GC309" s="73"/>
      <c r="GD309" s="345"/>
      <c r="GE309" s="253"/>
      <c r="GF309" s="33"/>
      <c r="GG309" s="253"/>
      <c r="GH309" s="73"/>
      <c r="GI309" s="345"/>
      <c r="GJ309" s="253"/>
      <c r="GK309" s="33"/>
      <c r="GL309" s="253"/>
      <c r="GM309" s="73"/>
      <c r="GN309" s="345"/>
      <c r="GO309" s="253"/>
      <c r="GP309" s="33"/>
      <c r="GQ309" s="253"/>
      <c r="GR309" s="73"/>
      <c r="GS309" s="345"/>
      <c r="GT309" s="253"/>
      <c r="GU309" s="33"/>
      <c r="GV309" s="253"/>
      <c r="GW309" s="73"/>
      <c r="GX309" s="345"/>
      <c r="GY309" s="253"/>
      <c r="GZ309" s="33"/>
      <c r="HA309" s="253"/>
      <c r="HB309" s="73"/>
      <c r="HC309" s="345"/>
      <c r="HD309" s="253"/>
      <c r="HE309" s="33"/>
      <c r="HF309" s="253"/>
      <c r="HG309" s="73"/>
      <c r="HH309" s="345"/>
      <c r="HI309" s="253"/>
      <c r="HJ309" s="33"/>
      <c r="HK309" s="253"/>
      <c r="HL309" s="73"/>
      <c r="HM309" s="345"/>
      <c r="HN309" s="253"/>
      <c r="HO309" s="33"/>
      <c r="HP309" s="253"/>
      <c r="HQ309" s="73"/>
      <c r="HR309" s="345"/>
      <c r="HS309" s="253"/>
      <c r="HT309" s="33"/>
      <c r="HU309" s="253"/>
      <c r="HV309" s="73"/>
      <c r="HW309" s="345"/>
      <c r="HX309" s="253"/>
      <c r="HY309" s="33"/>
      <c r="HZ309" s="253"/>
      <c r="IA309" s="73"/>
      <c r="IB309" s="345"/>
      <c r="IC309" s="253"/>
      <c r="ID309" s="33"/>
      <c r="IE309" s="253"/>
      <c r="IF309" s="73"/>
      <c r="IG309" s="345"/>
      <c r="IH309" s="253"/>
      <c r="II309" s="33"/>
      <c r="IJ309" s="253"/>
      <c r="IK309" s="73"/>
      <c r="IL309" s="345"/>
      <c r="IM309" s="253"/>
      <c r="IN309" s="33"/>
      <c r="IO309" s="253"/>
      <c r="IP309" s="73"/>
      <c r="IQ309" s="345"/>
      <c r="IR309" s="253"/>
      <c r="IS309" s="33"/>
      <c r="IT309" s="253"/>
      <c r="IU309" s="73"/>
      <c r="IV309" s="345"/>
    </row>
    <row r="310" spans="1:256" x14ac:dyDescent="0.2">
      <c r="A310" s="345">
        <v>36950</v>
      </c>
      <c r="B310" s="73"/>
      <c r="C310" s="32"/>
      <c r="D310" s="73"/>
      <c r="E310" s="73"/>
      <c r="F310" s="345"/>
      <c r="G310" s="73"/>
      <c r="H310" s="32"/>
      <c r="I310" s="73"/>
      <c r="J310" s="73"/>
      <c r="K310" s="345"/>
      <c r="L310" s="73"/>
      <c r="M310" s="32"/>
      <c r="N310" s="73"/>
      <c r="O310" s="73"/>
      <c r="P310" s="345"/>
      <c r="Q310" s="73"/>
      <c r="R310" s="32"/>
      <c r="S310" s="73"/>
      <c r="T310" s="73"/>
      <c r="U310" s="345"/>
      <c r="V310" s="73"/>
      <c r="W310" s="32"/>
      <c r="X310" s="73"/>
      <c r="Y310" s="73"/>
      <c r="Z310" s="345"/>
      <c r="AA310" s="73"/>
      <c r="AB310" s="32"/>
      <c r="AC310" s="73"/>
      <c r="AD310" s="73"/>
      <c r="AE310" s="345"/>
      <c r="AF310" s="73"/>
      <c r="AG310" s="32"/>
      <c r="AH310" s="73"/>
      <c r="AI310" s="73"/>
      <c r="AJ310" s="345"/>
      <c r="AK310" s="73"/>
      <c r="AL310" s="32"/>
      <c r="AM310" s="73"/>
      <c r="AN310" s="73"/>
      <c r="AO310" s="345"/>
      <c r="AP310" s="73"/>
      <c r="AQ310" s="32"/>
      <c r="AR310" s="73"/>
      <c r="AS310" s="73"/>
      <c r="AT310" s="345"/>
      <c r="AU310" s="73"/>
      <c r="AV310" s="32"/>
      <c r="AW310" s="73"/>
      <c r="AX310" s="73"/>
      <c r="AY310" s="345"/>
      <c r="AZ310" s="73"/>
      <c r="BA310" s="32"/>
      <c r="BB310" s="73"/>
      <c r="BC310" s="73"/>
      <c r="BD310" s="345"/>
      <c r="BE310" s="73"/>
      <c r="BF310" s="32"/>
      <c r="BG310" s="73"/>
      <c r="BH310" s="73"/>
      <c r="BI310" s="345"/>
      <c r="BJ310" s="73"/>
      <c r="BK310" s="32"/>
      <c r="BL310" s="73"/>
      <c r="BM310" s="73"/>
      <c r="BN310" s="345"/>
      <c r="BO310" s="73"/>
      <c r="BP310" s="32"/>
      <c r="BQ310" s="73"/>
      <c r="BR310" s="73"/>
      <c r="BS310" s="345"/>
      <c r="BT310" s="73"/>
      <c r="BU310" s="32"/>
      <c r="BV310" s="73"/>
      <c r="BW310" s="73"/>
      <c r="BX310" s="345"/>
      <c r="BY310" s="73"/>
      <c r="BZ310" s="32"/>
      <c r="CA310" s="73"/>
      <c r="CB310" s="73"/>
      <c r="CC310" s="345"/>
      <c r="CD310" s="73"/>
      <c r="CE310" s="32"/>
      <c r="CF310" s="73"/>
      <c r="CG310" s="73"/>
      <c r="CH310" s="345"/>
      <c r="CI310" s="73"/>
      <c r="CJ310" s="32"/>
      <c r="CK310" s="73"/>
      <c r="CL310" s="73"/>
      <c r="CM310" s="345"/>
      <c r="CN310" s="73"/>
      <c r="CO310" s="32"/>
      <c r="CP310" s="73"/>
      <c r="CQ310" s="73"/>
      <c r="CR310" s="345"/>
      <c r="CS310" s="73"/>
      <c r="CT310" s="32"/>
      <c r="CU310" s="73"/>
      <c r="CV310" s="73"/>
      <c r="CW310" s="345"/>
      <c r="CX310" s="73"/>
      <c r="CY310" s="32"/>
      <c r="CZ310" s="73"/>
      <c r="DA310" s="73"/>
      <c r="DB310" s="345"/>
      <c r="DC310" s="73"/>
      <c r="DD310" s="32"/>
      <c r="DE310" s="73"/>
      <c r="DF310" s="73"/>
      <c r="DG310" s="345"/>
      <c r="DH310" s="73"/>
      <c r="DI310" s="32"/>
      <c r="DJ310" s="73"/>
      <c r="DK310" s="73"/>
      <c r="DL310" s="345"/>
      <c r="DM310" s="73"/>
      <c r="DN310" s="32"/>
      <c r="DO310" s="73"/>
      <c r="DP310" s="73"/>
      <c r="DQ310" s="345"/>
      <c r="DR310" s="73"/>
      <c r="DS310" s="32"/>
      <c r="DT310" s="73"/>
      <c r="DU310" s="73"/>
      <c r="DV310" s="345"/>
      <c r="DW310" s="73"/>
      <c r="DX310" s="32"/>
      <c r="DY310" s="73"/>
      <c r="DZ310" s="73"/>
      <c r="EA310" s="345"/>
      <c r="EB310" s="73"/>
      <c r="EC310" s="32"/>
      <c r="ED310" s="73"/>
      <c r="EE310" s="73"/>
      <c r="EF310" s="345"/>
      <c r="EG310" s="73"/>
      <c r="EH310" s="32"/>
      <c r="EI310" s="73"/>
      <c r="EJ310" s="73"/>
      <c r="EK310" s="345"/>
      <c r="EL310" s="73"/>
      <c r="EM310" s="32"/>
      <c r="EN310" s="73"/>
      <c r="EO310" s="73"/>
      <c r="EP310" s="345"/>
      <c r="EQ310" s="73"/>
      <c r="ER310" s="32"/>
      <c r="ES310" s="73"/>
      <c r="ET310" s="73"/>
      <c r="EU310" s="345"/>
      <c r="EV310" s="73"/>
      <c r="EW310" s="32"/>
      <c r="EX310" s="73"/>
      <c r="EY310" s="73"/>
      <c r="EZ310" s="345"/>
      <c r="FA310" s="73"/>
      <c r="FB310" s="32"/>
      <c r="FC310" s="73"/>
      <c r="FD310" s="73"/>
      <c r="FE310" s="345"/>
      <c r="FF310" s="73"/>
      <c r="FG310" s="32"/>
      <c r="FH310" s="73"/>
      <c r="FI310" s="73"/>
      <c r="FJ310" s="345"/>
      <c r="FK310" s="73"/>
      <c r="FL310" s="32"/>
      <c r="FM310" s="73"/>
      <c r="FN310" s="73"/>
      <c r="FO310" s="345"/>
      <c r="FP310" s="73"/>
      <c r="FQ310" s="32"/>
      <c r="FR310" s="73"/>
      <c r="FS310" s="73"/>
      <c r="FT310" s="345"/>
      <c r="FU310" s="73"/>
      <c r="FV310" s="32"/>
      <c r="FW310" s="73"/>
      <c r="FX310" s="73"/>
      <c r="FY310" s="345"/>
      <c r="FZ310" s="73"/>
      <c r="GA310" s="32"/>
      <c r="GB310" s="73"/>
      <c r="GC310" s="73"/>
      <c r="GD310" s="345"/>
      <c r="GE310" s="73"/>
      <c r="GF310" s="32"/>
      <c r="GG310" s="73"/>
      <c r="GH310" s="73"/>
      <c r="GI310" s="345"/>
      <c r="GJ310" s="73"/>
      <c r="GK310" s="32"/>
      <c r="GL310" s="73"/>
      <c r="GM310" s="73"/>
      <c r="GN310" s="345"/>
      <c r="GO310" s="73"/>
      <c r="GP310" s="32"/>
      <c r="GQ310" s="73"/>
      <c r="GR310" s="73"/>
      <c r="GS310" s="345"/>
      <c r="GT310" s="73"/>
      <c r="GU310" s="32"/>
      <c r="GV310" s="73"/>
      <c r="GW310" s="73"/>
      <c r="GX310" s="345"/>
      <c r="GY310" s="73"/>
      <c r="GZ310" s="32"/>
      <c r="HA310" s="73"/>
      <c r="HB310" s="73"/>
      <c r="HC310" s="345"/>
      <c r="HD310" s="73"/>
      <c r="HE310" s="32"/>
      <c r="HF310" s="73"/>
      <c r="HG310" s="73"/>
      <c r="HH310" s="345"/>
      <c r="HI310" s="73"/>
      <c r="HJ310" s="32"/>
      <c r="HK310" s="73"/>
      <c r="HL310" s="73"/>
      <c r="HM310" s="345"/>
      <c r="HN310" s="73"/>
      <c r="HO310" s="32"/>
      <c r="HP310" s="73"/>
      <c r="HQ310" s="73"/>
      <c r="HR310" s="345"/>
      <c r="HS310" s="73"/>
      <c r="HT310" s="32"/>
      <c r="HU310" s="73"/>
      <c r="HV310" s="73"/>
      <c r="HW310" s="345"/>
      <c r="HX310" s="73"/>
      <c r="HY310" s="32"/>
      <c r="HZ310" s="73"/>
      <c r="IA310" s="73"/>
      <c r="IB310" s="345"/>
      <c r="IC310" s="73"/>
      <c r="ID310" s="32"/>
      <c r="IE310" s="73"/>
      <c r="IF310" s="73"/>
      <c r="IG310" s="345"/>
      <c r="IH310" s="73"/>
      <c r="II310" s="32"/>
      <c r="IJ310" s="73"/>
      <c r="IK310" s="73"/>
      <c r="IL310" s="345"/>
      <c r="IM310" s="73"/>
      <c r="IN310" s="32"/>
      <c r="IO310" s="73"/>
      <c r="IP310" s="73"/>
      <c r="IQ310" s="345"/>
      <c r="IR310" s="73"/>
      <c r="IS310" s="32"/>
      <c r="IT310" s="73"/>
      <c r="IU310" s="73"/>
      <c r="IV310" s="345"/>
    </row>
    <row r="311" spans="1:256" x14ac:dyDescent="0.2">
      <c r="A311" s="345">
        <v>36981</v>
      </c>
      <c r="B311" s="73"/>
      <c r="C311" s="32"/>
      <c r="D311" s="73"/>
      <c r="E311" s="73"/>
      <c r="F311" s="345"/>
      <c r="G311" s="73"/>
      <c r="H311" s="32"/>
      <c r="I311" s="73"/>
      <c r="J311" s="73"/>
      <c r="K311" s="345"/>
      <c r="L311" s="73"/>
      <c r="M311" s="32"/>
      <c r="N311" s="73"/>
      <c r="O311" s="73"/>
      <c r="P311" s="345"/>
      <c r="Q311" s="73"/>
      <c r="R311" s="32"/>
      <c r="S311" s="73"/>
      <c r="T311" s="73"/>
      <c r="U311" s="345"/>
      <c r="V311" s="73"/>
      <c r="W311" s="32"/>
      <c r="X311" s="73"/>
      <c r="Y311" s="73"/>
      <c r="Z311" s="345"/>
      <c r="AA311" s="73"/>
      <c r="AB311" s="32"/>
      <c r="AC311" s="73"/>
      <c r="AD311" s="73"/>
      <c r="AE311" s="345"/>
      <c r="AF311" s="73"/>
      <c r="AG311" s="32"/>
      <c r="AH311" s="73"/>
      <c r="AI311" s="73"/>
      <c r="AJ311" s="345"/>
      <c r="AK311" s="73"/>
      <c r="AL311" s="32"/>
      <c r="AM311" s="73"/>
      <c r="AN311" s="73"/>
      <c r="AO311" s="345"/>
      <c r="AP311" s="73"/>
      <c r="AQ311" s="32"/>
      <c r="AR311" s="73"/>
      <c r="AS311" s="73"/>
      <c r="AT311" s="345"/>
      <c r="AU311" s="73"/>
      <c r="AV311" s="32"/>
      <c r="AW311" s="73"/>
      <c r="AX311" s="73"/>
      <c r="AY311" s="345"/>
      <c r="AZ311" s="73"/>
      <c r="BA311" s="32"/>
      <c r="BB311" s="73"/>
      <c r="BC311" s="73"/>
      <c r="BD311" s="345"/>
      <c r="BE311" s="73"/>
      <c r="BF311" s="32"/>
      <c r="BG311" s="73"/>
      <c r="BH311" s="73"/>
      <c r="BI311" s="345"/>
      <c r="BJ311" s="73"/>
      <c r="BK311" s="32"/>
      <c r="BL311" s="73"/>
      <c r="BM311" s="73"/>
      <c r="BN311" s="345"/>
      <c r="BO311" s="73"/>
      <c r="BP311" s="32"/>
      <c r="BQ311" s="73"/>
      <c r="BR311" s="73"/>
      <c r="BS311" s="345"/>
      <c r="BT311" s="73"/>
      <c r="BU311" s="32"/>
      <c r="BV311" s="73"/>
      <c r="BW311" s="73"/>
      <c r="BX311" s="345"/>
      <c r="BY311" s="73"/>
      <c r="BZ311" s="32"/>
      <c r="CA311" s="73"/>
      <c r="CB311" s="73"/>
      <c r="CC311" s="345"/>
      <c r="CD311" s="73"/>
      <c r="CE311" s="32"/>
      <c r="CF311" s="73"/>
      <c r="CG311" s="73"/>
      <c r="CH311" s="345"/>
      <c r="CI311" s="73"/>
      <c r="CJ311" s="32"/>
      <c r="CK311" s="73"/>
      <c r="CL311" s="73"/>
      <c r="CM311" s="345"/>
      <c r="CN311" s="73"/>
      <c r="CO311" s="32"/>
      <c r="CP311" s="73"/>
      <c r="CQ311" s="73"/>
      <c r="CR311" s="345"/>
      <c r="CS311" s="73"/>
      <c r="CT311" s="32"/>
      <c r="CU311" s="73"/>
      <c r="CV311" s="73"/>
      <c r="CW311" s="345"/>
      <c r="CX311" s="73"/>
      <c r="CY311" s="32"/>
      <c r="CZ311" s="73"/>
      <c r="DA311" s="73"/>
      <c r="DB311" s="345"/>
      <c r="DC311" s="73"/>
      <c r="DD311" s="32"/>
      <c r="DE311" s="73"/>
      <c r="DF311" s="73"/>
      <c r="DG311" s="345"/>
      <c r="DH311" s="73"/>
      <c r="DI311" s="32"/>
      <c r="DJ311" s="73"/>
      <c r="DK311" s="73"/>
      <c r="DL311" s="345"/>
      <c r="DM311" s="73"/>
      <c r="DN311" s="32"/>
      <c r="DO311" s="73"/>
      <c r="DP311" s="73"/>
      <c r="DQ311" s="345"/>
      <c r="DR311" s="73"/>
      <c r="DS311" s="32"/>
      <c r="DT311" s="73"/>
      <c r="DU311" s="73"/>
      <c r="DV311" s="345"/>
      <c r="DW311" s="73"/>
      <c r="DX311" s="32"/>
      <c r="DY311" s="73"/>
      <c r="DZ311" s="73"/>
      <c r="EA311" s="345"/>
      <c r="EB311" s="73"/>
      <c r="EC311" s="32"/>
      <c r="ED311" s="73"/>
      <c r="EE311" s="73"/>
      <c r="EF311" s="345"/>
      <c r="EG311" s="73"/>
      <c r="EH311" s="32"/>
      <c r="EI311" s="73"/>
      <c r="EJ311" s="73"/>
      <c r="EK311" s="345"/>
      <c r="EL311" s="73"/>
      <c r="EM311" s="32"/>
      <c r="EN311" s="73"/>
      <c r="EO311" s="73"/>
      <c r="EP311" s="345"/>
      <c r="EQ311" s="73"/>
      <c r="ER311" s="32"/>
      <c r="ES311" s="73"/>
      <c r="ET311" s="73"/>
      <c r="EU311" s="345"/>
      <c r="EV311" s="73"/>
      <c r="EW311" s="32"/>
      <c r="EX311" s="73"/>
      <c r="EY311" s="73"/>
      <c r="EZ311" s="345"/>
      <c r="FA311" s="73"/>
      <c r="FB311" s="32"/>
      <c r="FC311" s="73"/>
      <c r="FD311" s="73"/>
      <c r="FE311" s="345"/>
      <c r="FF311" s="73"/>
      <c r="FG311" s="32"/>
      <c r="FH311" s="73"/>
      <c r="FI311" s="73"/>
      <c r="FJ311" s="345"/>
      <c r="FK311" s="73"/>
      <c r="FL311" s="32"/>
      <c r="FM311" s="73"/>
      <c r="FN311" s="73"/>
      <c r="FO311" s="345"/>
      <c r="FP311" s="73"/>
      <c r="FQ311" s="32"/>
      <c r="FR311" s="73"/>
      <c r="FS311" s="73"/>
      <c r="FT311" s="345"/>
      <c r="FU311" s="73"/>
      <c r="FV311" s="32"/>
      <c r="FW311" s="73"/>
      <c r="FX311" s="73"/>
      <c r="FY311" s="345"/>
      <c r="FZ311" s="73"/>
      <c r="GA311" s="32"/>
      <c r="GB311" s="73"/>
      <c r="GC311" s="73"/>
      <c r="GD311" s="345"/>
      <c r="GE311" s="73"/>
      <c r="GF311" s="32"/>
      <c r="GG311" s="73"/>
      <c r="GH311" s="73"/>
      <c r="GI311" s="345"/>
      <c r="GJ311" s="73"/>
      <c r="GK311" s="32"/>
      <c r="GL311" s="73"/>
      <c r="GM311" s="73"/>
      <c r="GN311" s="345"/>
      <c r="GO311" s="73"/>
      <c r="GP311" s="32"/>
      <c r="GQ311" s="73"/>
      <c r="GR311" s="73"/>
      <c r="GS311" s="345"/>
      <c r="GT311" s="73"/>
      <c r="GU311" s="32"/>
      <c r="GV311" s="73"/>
      <c r="GW311" s="73"/>
      <c r="GX311" s="345"/>
      <c r="GY311" s="73"/>
      <c r="GZ311" s="32"/>
      <c r="HA311" s="73"/>
      <c r="HB311" s="73"/>
      <c r="HC311" s="345"/>
      <c r="HD311" s="73"/>
      <c r="HE311" s="32"/>
      <c r="HF311" s="73"/>
      <c r="HG311" s="73"/>
      <c r="HH311" s="345"/>
      <c r="HI311" s="73"/>
      <c r="HJ311" s="32"/>
      <c r="HK311" s="73"/>
      <c r="HL311" s="73"/>
      <c r="HM311" s="345"/>
      <c r="HN311" s="73"/>
      <c r="HO311" s="32"/>
      <c r="HP311" s="73"/>
      <c r="HQ311" s="73"/>
      <c r="HR311" s="345"/>
      <c r="HS311" s="73"/>
      <c r="HT311" s="32"/>
      <c r="HU311" s="73"/>
      <c r="HV311" s="73"/>
      <c r="HW311" s="345"/>
      <c r="HX311" s="73"/>
      <c r="HY311" s="32"/>
      <c r="HZ311" s="73"/>
      <c r="IA311" s="73"/>
      <c r="IB311" s="345"/>
      <c r="IC311" s="73"/>
      <c r="ID311" s="32"/>
      <c r="IE311" s="73"/>
      <c r="IF311" s="73"/>
      <c r="IG311" s="345"/>
      <c r="IH311" s="73"/>
      <c r="II311" s="32"/>
      <c r="IJ311" s="73"/>
      <c r="IK311" s="73"/>
      <c r="IL311" s="345"/>
      <c r="IM311" s="73"/>
      <c r="IN311" s="32"/>
      <c r="IO311" s="73"/>
      <c r="IP311" s="73"/>
      <c r="IQ311" s="345"/>
      <c r="IR311" s="73"/>
      <c r="IS311" s="32"/>
      <c r="IT311" s="73"/>
      <c r="IU311" s="73"/>
      <c r="IV311" s="345"/>
    </row>
    <row r="312" spans="1:256" x14ac:dyDescent="0.2">
      <c r="A312" s="345">
        <v>37011</v>
      </c>
      <c r="B312" s="73"/>
      <c r="C312" s="32"/>
      <c r="D312" s="73"/>
      <c r="E312" s="73"/>
      <c r="F312" s="345"/>
      <c r="G312" s="73"/>
      <c r="H312" s="32"/>
      <c r="I312" s="73"/>
      <c r="J312" s="73"/>
      <c r="K312" s="345"/>
      <c r="L312" s="73"/>
      <c r="M312" s="32"/>
      <c r="N312" s="73"/>
      <c r="O312" s="73"/>
      <c r="P312" s="345"/>
      <c r="Q312" s="73"/>
      <c r="R312" s="32"/>
      <c r="S312" s="73"/>
      <c r="T312" s="73"/>
      <c r="U312" s="345"/>
      <c r="V312" s="73"/>
      <c r="W312" s="32"/>
      <c r="X312" s="73"/>
      <c r="Y312" s="73"/>
      <c r="Z312" s="345"/>
      <c r="AA312" s="73"/>
      <c r="AB312" s="32"/>
      <c r="AC312" s="73"/>
      <c r="AD312" s="73"/>
      <c r="AE312" s="345"/>
      <c r="AF312" s="73"/>
      <c r="AG312" s="32"/>
      <c r="AH312" s="73"/>
      <c r="AI312" s="73"/>
      <c r="AJ312" s="345"/>
      <c r="AK312" s="73"/>
      <c r="AL312" s="32"/>
      <c r="AM312" s="73"/>
      <c r="AN312" s="73"/>
      <c r="AO312" s="345"/>
      <c r="AP312" s="73"/>
      <c r="AQ312" s="32"/>
      <c r="AR312" s="73"/>
      <c r="AS312" s="73"/>
      <c r="AT312" s="345"/>
      <c r="AU312" s="73"/>
      <c r="AV312" s="32"/>
      <c r="AW312" s="73"/>
      <c r="AX312" s="73"/>
      <c r="AY312" s="345"/>
      <c r="AZ312" s="73"/>
      <c r="BA312" s="32"/>
      <c r="BB312" s="73"/>
      <c r="BC312" s="73"/>
      <c r="BD312" s="345"/>
      <c r="BE312" s="73"/>
      <c r="BF312" s="32"/>
      <c r="BG312" s="73"/>
      <c r="BH312" s="73"/>
      <c r="BI312" s="345"/>
      <c r="BJ312" s="73"/>
      <c r="BK312" s="32"/>
      <c r="BL312" s="73"/>
      <c r="BM312" s="73"/>
      <c r="BN312" s="345"/>
      <c r="BO312" s="73"/>
      <c r="BP312" s="32"/>
      <c r="BQ312" s="73"/>
      <c r="BR312" s="73"/>
      <c r="BS312" s="345"/>
      <c r="BT312" s="73"/>
      <c r="BU312" s="32"/>
      <c r="BV312" s="73"/>
      <c r="BW312" s="73"/>
      <c r="BX312" s="345"/>
      <c r="BY312" s="73"/>
      <c r="BZ312" s="32"/>
      <c r="CA312" s="73"/>
      <c r="CB312" s="73"/>
      <c r="CC312" s="345"/>
      <c r="CD312" s="73"/>
      <c r="CE312" s="32"/>
      <c r="CF312" s="73"/>
      <c r="CG312" s="73"/>
      <c r="CH312" s="345"/>
      <c r="CI312" s="73"/>
      <c r="CJ312" s="32"/>
      <c r="CK312" s="73"/>
      <c r="CL312" s="73"/>
      <c r="CM312" s="345"/>
      <c r="CN312" s="73"/>
      <c r="CO312" s="32"/>
      <c r="CP312" s="73"/>
      <c r="CQ312" s="73"/>
      <c r="CR312" s="345"/>
      <c r="CS312" s="73"/>
      <c r="CT312" s="32"/>
      <c r="CU312" s="73"/>
      <c r="CV312" s="73"/>
      <c r="CW312" s="345"/>
      <c r="CX312" s="73"/>
      <c r="CY312" s="32"/>
      <c r="CZ312" s="73"/>
      <c r="DA312" s="73"/>
      <c r="DB312" s="345"/>
      <c r="DC312" s="73"/>
      <c r="DD312" s="32"/>
      <c r="DE312" s="73"/>
      <c r="DF312" s="73"/>
      <c r="DG312" s="345"/>
      <c r="DH312" s="73"/>
      <c r="DI312" s="32"/>
      <c r="DJ312" s="73"/>
      <c r="DK312" s="73"/>
      <c r="DL312" s="345"/>
      <c r="DM312" s="73"/>
      <c r="DN312" s="32"/>
      <c r="DO312" s="73"/>
      <c r="DP312" s="73"/>
      <c r="DQ312" s="345"/>
      <c r="DR312" s="73"/>
      <c r="DS312" s="32"/>
      <c r="DT312" s="73"/>
      <c r="DU312" s="73"/>
      <c r="DV312" s="345"/>
      <c r="DW312" s="73"/>
      <c r="DX312" s="32"/>
      <c r="DY312" s="73"/>
      <c r="DZ312" s="73"/>
      <c r="EA312" s="345"/>
      <c r="EB312" s="73"/>
      <c r="EC312" s="32"/>
      <c r="ED312" s="73"/>
      <c r="EE312" s="73"/>
      <c r="EF312" s="345"/>
      <c r="EG312" s="73"/>
      <c r="EH312" s="32"/>
      <c r="EI312" s="73"/>
      <c r="EJ312" s="73"/>
      <c r="EK312" s="345"/>
      <c r="EL312" s="73"/>
      <c r="EM312" s="32"/>
      <c r="EN312" s="73"/>
      <c r="EO312" s="73"/>
      <c r="EP312" s="345"/>
      <c r="EQ312" s="73"/>
      <c r="ER312" s="32"/>
      <c r="ES312" s="73"/>
      <c r="ET312" s="73"/>
      <c r="EU312" s="345"/>
      <c r="EV312" s="73"/>
      <c r="EW312" s="32"/>
      <c r="EX312" s="73"/>
      <c r="EY312" s="73"/>
      <c r="EZ312" s="345"/>
      <c r="FA312" s="73"/>
      <c r="FB312" s="32"/>
      <c r="FC312" s="73"/>
      <c r="FD312" s="73"/>
      <c r="FE312" s="345"/>
      <c r="FF312" s="73"/>
      <c r="FG312" s="32"/>
      <c r="FH312" s="73"/>
      <c r="FI312" s="73"/>
      <c r="FJ312" s="345"/>
      <c r="FK312" s="73"/>
      <c r="FL312" s="32"/>
      <c r="FM312" s="73"/>
      <c r="FN312" s="73"/>
      <c r="FO312" s="345"/>
      <c r="FP312" s="73"/>
      <c r="FQ312" s="32"/>
      <c r="FR312" s="73"/>
      <c r="FS312" s="73"/>
      <c r="FT312" s="345"/>
      <c r="FU312" s="73"/>
      <c r="FV312" s="32"/>
      <c r="FW312" s="73"/>
      <c r="FX312" s="73"/>
      <c r="FY312" s="345"/>
      <c r="FZ312" s="73"/>
      <c r="GA312" s="32"/>
      <c r="GB312" s="73"/>
      <c r="GC312" s="73"/>
      <c r="GD312" s="345"/>
      <c r="GE312" s="73"/>
      <c r="GF312" s="32"/>
      <c r="GG312" s="73"/>
      <c r="GH312" s="73"/>
      <c r="GI312" s="345"/>
      <c r="GJ312" s="73"/>
      <c r="GK312" s="32"/>
      <c r="GL312" s="73"/>
      <c r="GM312" s="73"/>
      <c r="GN312" s="345"/>
      <c r="GO312" s="73"/>
      <c r="GP312" s="32"/>
      <c r="GQ312" s="73"/>
      <c r="GR312" s="73"/>
      <c r="GS312" s="345"/>
      <c r="GT312" s="73"/>
      <c r="GU312" s="32"/>
      <c r="GV312" s="73"/>
      <c r="GW312" s="73"/>
      <c r="GX312" s="345"/>
      <c r="GY312" s="73"/>
      <c r="GZ312" s="32"/>
      <c r="HA312" s="73"/>
      <c r="HB312" s="73"/>
      <c r="HC312" s="345"/>
      <c r="HD312" s="73"/>
      <c r="HE312" s="32"/>
      <c r="HF312" s="73"/>
      <c r="HG312" s="73"/>
      <c r="HH312" s="345"/>
      <c r="HI312" s="73"/>
      <c r="HJ312" s="32"/>
      <c r="HK312" s="73"/>
      <c r="HL312" s="73"/>
      <c r="HM312" s="345"/>
      <c r="HN312" s="73"/>
      <c r="HO312" s="32"/>
      <c r="HP312" s="73"/>
      <c r="HQ312" s="73"/>
      <c r="HR312" s="345"/>
      <c r="HS312" s="73"/>
      <c r="HT312" s="32"/>
      <c r="HU312" s="73"/>
      <c r="HV312" s="73"/>
      <c r="HW312" s="345"/>
      <c r="HX312" s="73"/>
      <c r="HY312" s="32"/>
      <c r="HZ312" s="73"/>
      <c r="IA312" s="73"/>
      <c r="IB312" s="345"/>
      <c r="IC312" s="73"/>
      <c r="ID312" s="32"/>
      <c r="IE312" s="73"/>
      <c r="IF312" s="73"/>
      <c r="IG312" s="345"/>
      <c r="IH312" s="73"/>
      <c r="II312" s="32"/>
      <c r="IJ312" s="73"/>
      <c r="IK312" s="73"/>
      <c r="IL312" s="345"/>
      <c r="IM312" s="73"/>
      <c r="IN312" s="32"/>
      <c r="IO312" s="73"/>
      <c r="IP312" s="73"/>
      <c r="IQ312" s="345"/>
      <c r="IR312" s="73"/>
      <c r="IS312" s="32"/>
      <c r="IT312" s="73"/>
      <c r="IU312" s="73"/>
      <c r="IV312" s="345"/>
    </row>
    <row r="313" spans="1:256" x14ac:dyDescent="0.2">
      <c r="A313" s="345">
        <v>37042</v>
      </c>
      <c r="B313" s="73"/>
      <c r="C313" s="32"/>
      <c r="D313" s="73"/>
      <c r="E313" s="73"/>
      <c r="F313" s="345"/>
      <c r="G313" s="73"/>
      <c r="H313" s="32"/>
      <c r="I313" s="73"/>
      <c r="J313" s="73"/>
      <c r="K313" s="345"/>
      <c r="L313" s="73"/>
      <c r="M313" s="32"/>
      <c r="N313" s="73"/>
      <c r="O313" s="73"/>
      <c r="P313" s="345"/>
      <c r="Q313" s="73"/>
      <c r="R313" s="32"/>
      <c r="S313" s="73"/>
      <c r="T313" s="73"/>
      <c r="U313" s="345"/>
      <c r="V313" s="73"/>
      <c r="W313" s="32"/>
      <c r="X313" s="73"/>
      <c r="Y313" s="73"/>
      <c r="Z313" s="345"/>
      <c r="AA313" s="73"/>
      <c r="AB313" s="32"/>
      <c r="AC313" s="73"/>
      <c r="AD313" s="73"/>
      <c r="AE313" s="345"/>
      <c r="AF313" s="73"/>
      <c r="AG313" s="32"/>
      <c r="AH313" s="73"/>
      <c r="AI313" s="73"/>
      <c r="AJ313" s="345"/>
      <c r="AK313" s="73"/>
      <c r="AL313" s="32"/>
      <c r="AM313" s="73"/>
      <c r="AN313" s="73"/>
      <c r="AO313" s="345"/>
      <c r="AP313" s="73"/>
      <c r="AQ313" s="32"/>
      <c r="AR313" s="73"/>
      <c r="AS313" s="73"/>
      <c r="AT313" s="345"/>
      <c r="AU313" s="73"/>
      <c r="AV313" s="32"/>
      <c r="AW313" s="73"/>
      <c r="AX313" s="73"/>
      <c r="AY313" s="345"/>
      <c r="AZ313" s="73"/>
      <c r="BA313" s="32"/>
      <c r="BB313" s="73"/>
      <c r="BC313" s="73"/>
      <c r="BD313" s="345"/>
      <c r="BE313" s="73"/>
      <c r="BF313" s="32"/>
      <c r="BG313" s="73"/>
      <c r="BH313" s="73"/>
      <c r="BI313" s="345"/>
      <c r="BJ313" s="73"/>
      <c r="BK313" s="32"/>
      <c r="BL313" s="73"/>
      <c r="BM313" s="73"/>
      <c r="BN313" s="345"/>
      <c r="BO313" s="73"/>
      <c r="BP313" s="32"/>
      <c r="BQ313" s="73"/>
      <c r="BR313" s="73"/>
      <c r="BS313" s="345"/>
      <c r="BT313" s="73"/>
      <c r="BU313" s="32"/>
      <c r="BV313" s="73"/>
      <c r="BW313" s="73"/>
      <c r="BX313" s="345"/>
      <c r="BY313" s="73"/>
      <c r="BZ313" s="32"/>
      <c r="CA313" s="73"/>
      <c r="CB313" s="73"/>
      <c r="CC313" s="345"/>
      <c r="CD313" s="73"/>
      <c r="CE313" s="32"/>
      <c r="CF313" s="73"/>
      <c r="CG313" s="73"/>
      <c r="CH313" s="345"/>
      <c r="CI313" s="73"/>
      <c r="CJ313" s="32"/>
      <c r="CK313" s="73"/>
      <c r="CL313" s="73"/>
      <c r="CM313" s="345"/>
      <c r="CN313" s="73"/>
      <c r="CO313" s="32"/>
      <c r="CP313" s="73"/>
      <c r="CQ313" s="73"/>
      <c r="CR313" s="345"/>
      <c r="CS313" s="73"/>
      <c r="CT313" s="32"/>
      <c r="CU313" s="73"/>
      <c r="CV313" s="73"/>
      <c r="CW313" s="345"/>
      <c r="CX313" s="73"/>
      <c r="CY313" s="32"/>
      <c r="CZ313" s="73"/>
      <c r="DA313" s="73"/>
      <c r="DB313" s="345"/>
      <c r="DC313" s="73"/>
      <c r="DD313" s="32"/>
      <c r="DE313" s="73"/>
      <c r="DF313" s="73"/>
      <c r="DG313" s="345"/>
      <c r="DH313" s="73"/>
      <c r="DI313" s="32"/>
      <c r="DJ313" s="73"/>
      <c r="DK313" s="73"/>
      <c r="DL313" s="345"/>
      <c r="DM313" s="73"/>
      <c r="DN313" s="32"/>
      <c r="DO313" s="73"/>
      <c r="DP313" s="73"/>
      <c r="DQ313" s="345"/>
      <c r="DR313" s="73"/>
      <c r="DS313" s="32"/>
      <c r="DT313" s="73"/>
      <c r="DU313" s="73"/>
      <c r="DV313" s="345"/>
      <c r="DW313" s="73"/>
      <c r="DX313" s="32"/>
      <c r="DY313" s="73"/>
      <c r="DZ313" s="73"/>
      <c r="EA313" s="345"/>
      <c r="EB313" s="73"/>
      <c r="EC313" s="32"/>
      <c r="ED313" s="73"/>
      <c r="EE313" s="73"/>
      <c r="EF313" s="345"/>
      <c r="EG313" s="73"/>
      <c r="EH313" s="32"/>
      <c r="EI313" s="73"/>
      <c r="EJ313" s="73"/>
      <c r="EK313" s="345"/>
      <c r="EL313" s="73"/>
      <c r="EM313" s="32"/>
      <c r="EN313" s="73"/>
      <c r="EO313" s="73"/>
      <c r="EP313" s="345"/>
      <c r="EQ313" s="73"/>
      <c r="ER313" s="32"/>
      <c r="ES313" s="73"/>
      <c r="ET313" s="73"/>
      <c r="EU313" s="345"/>
      <c r="EV313" s="73"/>
      <c r="EW313" s="32"/>
      <c r="EX313" s="73"/>
      <c r="EY313" s="73"/>
      <c r="EZ313" s="345"/>
      <c r="FA313" s="73"/>
      <c r="FB313" s="32"/>
      <c r="FC313" s="73"/>
      <c r="FD313" s="73"/>
      <c r="FE313" s="345"/>
      <c r="FF313" s="73"/>
      <c r="FG313" s="32"/>
      <c r="FH313" s="73"/>
      <c r="FI313" s="73"/>
      <c r="FJ313" s="345"/>
      <c r="FK313" s="73"/>
      <c r="FL313" s="32"/>
      <c r="FM313" s="73"/>
      <c r="FN313" s="73"/>
      <c r="FO313" s="345"/>
      <c r="FP313" s="73"/>
      <c r="FQ313" s="32"/>
      <c r="FR313" s="73"/>
      <c r="FS313" s="73"/>
      <c r="FT313" s="345"/>
      <c r="FU313" s="73"/>
      <c r="FV313" s="32"/>
      <c r="FW313" s="73"/>
      <c r="FX313" s="73"/>
      <c r="FY313" s="345"/>
      <c r="FZ313" s="73"/>
      <c r="GA313" s="32"/>
      <c r="GB313" s="73"/>
      <c r="GC313" s="73"/>
      <c r="GD313" s="345"/>
      <c r="GE313" s="73"/>
      <c r="GF313" s="32"/>
      <c r="GG313" s="73"/>
      <c r="GH313" s="73"/>
      <c r="GI313" s="345"/>
      <c r="GJ313" s="73"/>
      <c r="GK313" s="32"/>
      <c r="GL313" s="73"/>
      <c r="GM313" s="73"/>
      <c r="GN313" s="345"/>
      <c r="GO313" s="73"/>
      <c r="GP313" s="32"/>
      <c r="GQ313" s="73"/>
      <c r="GR313" s="73"/>
      <c r="GS313" s="345"/>
      <c r="GT313" s="73"/>
      <c r="GU313" s="32"/>
      <c r="GV313" s="73"/>
      <c r="GW313" s="73"/>
      <c r="GX313" s="345"/>
      <c r="GY313" s="73"/>
      <c r="GZ313" s="32"/>
      <c r="HA313" s="73"/>
      <c r="HB313" s="73"/>
      <c r="HC313" s="345"/>
      <c r="HD313" s="73"/>
      <c r="HE313" s="32"/>
      <c r="HF313" s="73"/>
      <c r="HG313" s="73"/>
      <c r="HH313" s="345"/>
      <c r="HI313" s="73"/>
      <c r="HJ313" s="32"/>
      <c r="HK313" s="73"/>
      <c r="HL313" s="73"/>
      <c r="HM313" s="345"/>
      <c r="HN313" s="73"/>
      <c r="HO313" s="32"/>
      <c r="HP313" s="73"/>
      <c r="HQ313" s="73"/>
      <c r="HR313" s="345"/>
      <c r="HS313" s="73"/>
      <c r="HT313" s="32"/>
      <c r="HU313" s="73"/>
      <c r="HV313" s="73"/>
      <c r="HW313" s="345"/>
      <c r="HX313" s="73"/>
      <c r="HY313" s="32"/>
      <c r="HZ313" s="73"/>
      <c r="IA313" s="73"/>
      <c r="IB313" s="345"/>
      <c r="IC313" s="73"/>
      <c r="ID313" s="32"/>
      <c r="IE313" s="73"/>
      <c r="IF313" s="73"/>
      <c r="IG313" s="345"/>
      <c r="IH313" s="73"/>
      <c r="II313" s="32"/>
      <c r="IJ313" s="73"/>
      <c r="IK313" s="73"/>
      <c r="IL313" s="345"/>
      <c r="IM313" s="73"/>
      <c r="IN313" s="32"/>
      <c r="IO313" s="73"/>
      <c r="IP313" s="73"/>
      <c r="IQ313" s="345"/>
      <c r="IR313" s="73"/>
      <c r="IS313" s="32"/>
      <c r="IT313" s="73"/>
      <c r="IU313" s="73"/>
      <c r="IV313" s="345"/>
    </row>
    <row r="314" spans="1:256" x14ac:dyDescent="0.2">
      <c r="A314" s="345">
        <v>37072</v>
      </c>
      <c r="B314" s="73"/>
      <c r="C314" s="32"/>
      <c r="D314" s="73"/>
      <c r="E314" s="73"/>
      <c r="F314" s="345"/>
      <c r="G314" s="73"/>
      <c r="H314" s="32"/>
      <c r="I314" s="73"/>
      <c r="J314" s="73"/>
      <c r="K314" s="345"/>
      <c r="L314" s="73"/>
      <c r="M314" s="32"/>
      <c r="N314" s="73"/>
      <c r="O314" s="73"/>
      <c r="P314" s="345"/>
      <c r="Q314" s="73"/>
      <c r="R314" s="32"/>
      <c r="S314" s="73"/>
      <c r="T314" s="73"/>
      <c r="U314" s="345"/>
      <c r="V314" s="73"/>
      <c r="W314" s="32"/>
      <c r="X314" s="73"/>
      <c r="Y314" s="73"/>
      <c r="Z314" s="345"/>
      <c r="AA314" s="73"/>
      <c r="AB314" s="32"/>
      <c r="AC314" s="73"/>
      <c r="AD314" s="73"/>
      <c r="AE314" s="345"/>
      <c r="AF314" s="73"/>
      <c r="AG314" s="32"/>
      <c r="AH314" s="73"/>
      <c r="AI314" s="73"/>
      <c r="AJ314" s="345"/>
      <c r="AK314" s="73"/>
      <c r="AL314" s="32"/>
      <c r="AM314" s="73"/>
      <c r="AN314" s="73"/>
      <c r="AO314" s="345"/>
      <c r="AP314" s="73"/>
      <c r="AQ314" s="32"/>
      <c r="AR314" s="73"/>
      <c r="AS314" s="73"/>
      <c r="AT314" s="345"/>
      <c r="AU314" s="73"/>
      <c r="AV314" s="32"/>
      <c r="AW314" s="73"/>
      <c r="AX314" s="73"/>
      <c r="AY314" s="345"/>
      <c r="AZ314" s="73"/>
      <c r="BA314" s="32"/>
      <c r="BB314" s="73"/>
      <c r="BC314" s="73"/>
      <c r="BD314" s="345"/>
      <c r="BE314" s="73"/>
      <c r="BF314" s="32"/>
      <c r="BG314" s="73"/>
      <c r="BH314" s="73"/>
      <c r="BI314" s="345"/>
      <c r="BJ314" s="73"/>
      <c r="BK314" s="32"/>
      <c r="BL314" s="73"/>
      <c r="BM314" s="73"/>
      <c r="BN314" s="345"/>
      <c r="BO314" s="73"/>
      <c r="BP314" s="32"/>
      <c r="BQ314" s="73"/>
      <c r="BR314" s="73"/>
      <c r="BS314" s="345"/>
      <c r="BT314" s="73"/>
      <c r="BU314" s="32"/>
      <c r="BV314" s="73"/>
      <c r="BW314" s="73"/>
      <c r="BX314" s="345"/>
      <c r="BY314" s="73"/>
      <c r="BZ314" s="32"/>
      <c r="CA314" s="73"/>
      <c r="CB314" s="73"/>
      <c r="CC314" s="345"/>
      <c r="CD314" s="73"/>
      <c r="CE314" s="32"/>
      <c r="CF314" s="73"/>
      <c r="CG314" s="73"/>
      <c r="CH314" s="345"/>
      <c r="CI314" s="73"/>
      <c r="CJ314" s="32"/>
      <c r="CK314" s="73"/>
      <c r="CL314" s="73"/>
      <c r="CM314" s="345"/>
      <c r="CN314" s="73"/>
      <c r="CO314" s="32"/>
      <c r="CP314" s="73"/>
      <c r="CQ314" s="73"/>
      <c r="CR314" s="345"/>
      <c r="CS314" s="73"/>
      <c r="CT314" s="32"/>
      <c r="CU314" s="73"/>
      <c r="CV314" s="73"/>
      <c r="CW314" s="345"/>
      <c r="CX314" s="73"/>
      <c r="CY314" s="32"/>
      <c r="CZ314" s="73"/>
      <c r="DA314" s="73"/>
      <c r="DB314" s="345"/>
      <c r="DC314" s="73"/>
      <c r="DD314" s="32"/>
      <c r="DE314" s="73"/>
      <c r="DF314" s="73"/>
      <c r="DG314" s="345"/>
      <c r="DH314" s="73"/>
      <c r="DI314" s="32"/>
      <c r="DJ314" s="73"/>
      <c r="DK314" s="73"/>
      <c r="DL314" s="345"/>
      <c r="DM314" s="73"/>
      <c r="DN314" s="32"/>
      <c r="DO314" s="73"/>
      <c r="DP314" s="73"/>
      <c r="DQ314" s="345"/>
      <c r="DR314" s="73"/>
      <c r="DS314" s="32"/>
      <c r="DT314" s="73"/>
      <c r="DU314" s="73"/>
      <c r="DV314" s="345"/>
      <c r="DW314" s="73"/>
      <c r="DX314" s="32"/>
      <c r="DY314" s="73"/>
      <c r="DZ314" s="73"/>
      <c r="EA314" s="345"/>
      <c r="EB314" s="73"/>
      <c r="EC314" s="32"/>
      <c r="ED314" s="73"/>
      <c r="EE314" s="73"/>
      <c r="EF314" s="345"/>
      <c r="EG314" s="73"/>
      <c r="EH314" s="32"/>
      <c r="EI314" s="73"/>
      <c r="EJ314" s="73"/>
      <c r="EK314" s="345"/>
      <c r="EL314" s="73"/>
      <c r="EM314" s="32"/>
      <c r="EN314" s="73"/>
      <c r="EO314" s="73"/>
      <c r="EP314" s="345"/>
      <c r="EQ314" s="73"/>
      <c r="ER314" s="32"/>
      <c r="ES314" s="73"/>
      <c r="ET314" s="73"/>
      <c r="EU314" s="345"/>
      <c r="EV314" s="73"/>
      <c r="EW314" s="32"/>
      <c r="EX314" s="73"/>
      <c r="EY314" s="73"/>
      <c r="EZ314" s="345"/>
      <c r="FA314" s="73"/>
      <c r="FB314" s="32"/>
      <c r="FC314" s="73"/>
      <c r="FD314" s="73"/>
      <c r="FE314" s="345"/>
      <c r="FF314" s="73"/>
      <c r="FG314" s="32"/>
      <c r="FH314" s="73"/>
      <c r="FI314" s="73"/>
      <c r="FJ314" s="345"/>
      <c r="FK314" s="73"/>
      <c r="FL314" s="32"/>
      <c r="FM314" s="73"/>
      <c r="FN314" s="73"/>
      <c r="FO314" s="345"/>
      <c r="FP314" s="73"/>
      <c r="FQ314" s="32"/>
      <c r="FR314" s="73"/>
      <c r="FS314" s="73"/>
      <c r="FT314" s="345"/>
      <c r="FU314" s="73"/>
      <c r="FV314" s="32"/>
      <c r="FW314" s="73"/>
      <c r="FX314" s="73"/>
      <c r="FY314" s="345"/>
      <c r="FZ314" s="73"/>
      <c r="GA314" s="32"/>
      <c r="GB314" s="73"/>
      <c r="GC314" s="73"/>
      <c r="GD314" s="345"/>
      <c r="GE314" s="73"/>
      <c r="GF314" s="32"/>
      <c r="GG314" s="73"/>
      <c r="GH314" s="73"/>
      <c r="GI314" s="345"/>
      <c r="GJ314" s="73"/>
      <c r="GK314" s="32"/>
      <c r="GL314" s="73"/>
      <c r="GM314" s="73"/>
      <c r="GN314" s="345"/>
      <c r="GO314" s="73"/>
      <c r="GP314" s="32"/>
      <c r="GQ314" s="73"/>
      <c r="GR314" s="73"/>
      <c r="GS314" s="345"/>
      <c r="GT314" s="73"/>
      <c r="GU314" s="32"/>
      <c r="GV314" s="73"/>
      <c r="GW314" s="73"/>
      <c r="GX314" s="345"/>
      <c r="GY314" s="73"/>
      <c r="GZ314" s="32"/>
      <c r="HA314" s="73"/>
      <c r="HB314" s="73"/>
      <c r="HC314" s="345"/>
      <c r="HD314" s="73"/>
      <c r="HE314" s="32"/>
      <c r="HF314" s="73"/>
      <c r="HG314" s="73"/>
      <c r="HH314" s="345"/>
      <c r="HI314" s="73"/>
      <c r="HJ314" s="32"/>
      <c r="HK314" s="73"/>
      <c r="HL314" s="73"/>
      <c r="HM314" s="345"/>
      <c r="HN314" s="73"/>
      <c r="HO314" s="32"/>
      <c r="HP314" s="73"/>
      <c r="HQ314" s="73"/>
      <c r="HR314" s="345"/>
      <c r="HS314" s="73"/>
      <c r="HT314" s="32"/>
      <c r="HU314" s="73"/>
      <c r="HV314" s="73"/>
      <c r="HW314" s="345"/>
      <c r="HX314" s="73"/>
      <c r="HY314" s="32"/>
      <c r="HZ314" s="73"/>
      <c r="IA314" s="73"/>
      <c r="IB314" s="345"/>
      <c r="IC314" s="73"/>
      <c r="ID314" s="32"/>
      <c r="IE314" s="73"/>
      <c r="IF314" s="73"/>
      <c r="IG314" s="345"/>
      <c r="IH314" s="73"/>
      <c r="II314" s="32"/>
      <c r="IJ314" s="73"/>
      <c r="IK314" s="73"/>
      <c r="IL314" s="345"/>
      <c r="IM314" s="73"/>
      <c r="IN314" s="32"/>
      <c r="IO314" s="73"/>
      <c r="IP314" s="73"/>
      <c r="IQ314" s="345"/>
      <c r="IR314" s="73"/>
      <c r="IS314" s="32"/>
      <c r="IT314" s="73"/>
      <c r="IU314" s="73"/>
      <c r="IV314" s="345"/>
    </row>
    <row r="315" spans="1:256" x14ac:dyDescent="0.2">
      <c r="A315" s="345">
        <v>37103</v>
      </c>
      <c r="B315" s="73"/>
      <c r="C315" s="32"/>
      <c r="D315" s="73"/>
      <c r="E315" s="73"/>
      <c r="F315" s="345"/>
      <c r="G315" s="73"/>
      <c r="H315" s="32"/>
      <c r="I315" s="73"/>
      <c r="J315" s="73"/>
      <c r="K315" s="345"/>
      <c r="L315" s="73"/>
      <c r="M315" s="32"/>
      <c r="N315" s="73"/>
      <c r="O315" s="73"/>
      <c r="P315" s="345"/>
      <c r="Q315" s="73"/>
      <c r="R315" s="32"/>
      <c r="S315" s="73"/>
      <c r="T315" s="73"/>
      <c r="U315" s="345"/>
      <c r="V315" s="73"/>
      <c r="W315" s="32"/>
      <c r="X315" s="73"/>
      <c r="Y315" s="73"/>
      <c r="Z315" s="345"/>
      <c r="AA315" s="73"/>
      <c r="AB315" s="32"/>
      <c r="AC315" s="73"/>
      <c r="AD315" s="73"/>
      <c r="AE315" s="345"/>
      <c r="AF315" s="73"/>
      <c r="AG315" s="32"/>
      <c r="AH315" s="73"/>
      <c r="AI315" s="73"/>
      <c r="AJ315" s="345"/>
      <c r="AK315" s="73"/>
      <c r="AL315" s="32"/>
      <c r="AM315" s="73"/>
      <c r="AN315" s="73"/>
      <c r="AO315" s="345"/>
      <c r="AP315" s="73"/>
      <c r="AQ315" s="32"/>
      <c r="AR315" s="73"/>
      <c r="AS315" s="73"/>
      <c r="AT315" s="345"/>
      <c r="AU315" s="73"/>
      <c r="AV315" s="32"/>
      <c r="AW315" s="73"/>
      <c r="AX315" s="73"/>
      <c r="AY315" s="345"/>
      <c r="AZ315" s="73"/>
      <c r="BA315" s="32"/>
      <c r="BB315" s="73"/>
      <c r="BC315" s="73"/>
      <c r="BD315" s="345"/>
      <c r="BE315" s="73"/>
      <c r="BF315" s="32"/>
      <c r="BG315" s="73"/>
      <c r="BH315" s="73"/>
      <c r="BI315" s="345"/>
      <c r="BJ315" s="73"/>
      <c r="BK315" s="32"/>
      <c r="BL315" s="73"/>
      <c r="BM315" s="73"/>
      <c r="BN315" s="345"/>
      <c r="BO315" s="73"/>
      <c r="BP315" s="32"/>
      <c r="BQ315" s="73"/>
      <c r="BR315" s="73"/>
      <c r="BS315" s="345"/>
      <c r="BT315" s="73"/>
      <c r="BU315" s="32"/>
      <c r="BV315" s="73"/>
      <c r="BW315" s="73"/>
      <c r="BX315" s="345"/>
      <c r="BY315" s="73"/>
      <c r="BZ315" s="32"/>
      <c r="CA315" s="73"/>
      <c r="CB315" s="73"/>
      <c r="CC315" s="345"/>
      <c r="CD315" s="73"/>
      <c r="CE315" s="32"/>
      <c r="CF315" s="73"/>
      <c r="CG315" s="73"/>
      <c r="CH315" s="345"/>
      <c r="CI315" s="73"/>
      <c r="CJ315" s="32"/>
      <c r="CK315" s="73"/>
      <c r="CL315" s="73"/>
      <c r="CM315" s="345"/>
      <c r="CN315" s="73"/>
      <c r="CO315" s="32"/>
      <c r="CP315" s="73"/>
      <c r="CQ315" s="73"/>
      <c r="CR315" s="345"/>
      <c r="CS315" s="73"/>
      <c r="CT315" s="32"/>
      <c r="CU315" s="73"/>
      <c r="CV315" s="73"/>
      <c r="CW315" s="345"/>
      <c r="CX315" s="73"/>
      <c r="CY315" s="32"/>
      <c r="CZ315" s="73"/>
      <c r="DA315" s="73"/>
      <c r="DB315" s="345"/>
      <c r="DC315" s="73"/>
      <c r="DD315" s="32"/>
      <c r="DE315" s="73"/>
      <c r="DF315" s="73"/>
      <c r="DG315" s="345"/>
      <c r="DH315" s="73"/>
      <c r="DI315" s="32"/>
      <c r="DJ315" s="73"/>
      <c r="DK315" s="73"/>
      <c r="DL315" s="345"/>
      <c r="DM315" s="73"/>
      <c r="DN315" s="32"/>
      <c r="DO315" s="73"/>
      <c r="DP315" s="73"/>
      <c r="DQ315" s="345"/>
      <c r="DR315" s="73"/>
      <c r="DS315" s="32"/>
      <c r="DT315" s="73"/>
      <c r="DU315" s="73"/>
      <c r="DV315" s="345"/>
      <c r="DW315" s="73"/>
      <c r="DX315" s="32"/>
      <c r="DY315" s="73"/>
      <c r="DZ315" s="73"/>
      <c r="EA315" s="345"/>
      <c r="EB315" s="73"/>
      <c r="EC315" s="32"/>
      <c r="ED315" s="73"/>
      <c r="EE315" s="73"/>
      <c r="EF315" s="345"/>
      <c r="EG315" s="73"/>
      <c r="EH315" s="32"/>
      <c r="EI315" s="73"/>
      <c r="EJ315" s="73"/>
      <c r="EK315" s="345"/>
      <c r="EL315" s="73"/>
      <c r="EM315" s="32"/>
      <c r="EN315" s="73"/>
      <c r="EO315" s="73"/>
      <c r="EP315" s="345"/>
      <c r="EQ315" s="73"/>
      <c r="ER315" s="32"/>
      <c r="ES315" s="73"/>
      <c r="ET315" s="73"/>
      <c r="EU315" s="345"/>
      <c r="EV315" s="73"/>
      <c r="EW315" s="32"/>
      <c r="EX315" s="73"/>
      <c r="EY315" s="73"/>
      <c r="EZ315" s="345"/>
      <c r="FA315" s="73"/>
      <c r="FB315" s="32"/>
      <c r="FC315" s="73"/>
      <c r="FD315" s="73"/>
      <c r="FE315" s="345"/>
      <c r="FF315" s="73"/>
      <c r="FG315" s="32"/>
      <c r="FH315" s="73"/>
      <c r="FI315" s="73"/>
      <c r="FJ315" s="345"/>
      <c r="FK315" s="73"/>
      <c r="FL315" s="32"/>
      <c r="FM315" s="73"/>
      <c r="FN315" s="73"/>
      <c r="FO315" s="345"/>
      <c r="FP315" s="73"/>
      <c r="FQ315" s="32"/>
      <c r="FR315" s="73"/>
      <c r="FS315" s="73"/>
      <c r="FT315" s="345"/>
      <c r="FU315" s="73"/>
      <c r="FV315" s="32"/>
      <c r="FW315" s="73"/>
      <c r="FX315" s="73"/>
      <c r="FY315" s="345"/>
      <c r="FZ315" s="73"/>
      <c r="GA315" s="32"/>
      <c r="GB315" s="73"/>
      <c r="GC315" s="73"/>
      <c r="GD315" s="345"/>
      <c r="GE315" s="73"/>
      <c r="GF315" s="32"/>
      <c r="GG315" s="73"/>
      <c r="GH315" s="73"/>
      <c r="GI315" s="345"/>
      <c r="GJ315" s="73"/>
      <c r="GK315" s="32"/>
      <c r="GL315" s="73"/>
      <c r="GM315" s="73"/>
      <c r="GN315" s="345"/>
      <c r="GO315" s="73"/>
      <c r="GP315" s="32"/>
      <c r="GQ315" s="73"/>
      <c r="GR315" s="73"/>
      <c r="GS315" s="345"/>
      <c r="GT315" s="73"/>
      <c r="GU315" s="32"/>
      <c r="GV315" s="73"/>
      <c r="GW315" s="73"/>
      <c r="GX315" s="345"/>
      <c r="GY315" s="73"/>
      <c r="GZ315" s="32"/>
      <c r="HA315" s="73"/>
      <c r="HB315" s="73"/>
      <c r="HC315" s="345"/>
      <c r="HD315" s="73"/>
      <c r="HE315" s="32"/>
      <c r="HF315" s="73"/>
      <c r="HG315" s="73"/>
      <c r="HH315" s="345"/>
      <c r="HI315" s="73"/>
      <c r="HJ315" s="32"/>
      <c r="HK315" s="73"/>
      <c r="HL315" s="73"/>
      <c r="HM315" s="345"/>
      <c r="HN315" s="73"/>
      <c r="HO315" s="32"/>
      <c r="HP315" s="73"/>
      <c r="HQ315" s="73"/>
      <c r="HR315" s="345"/>
      <c r="HS315" s="73"/>
      <c r="HT315" s="32"/>
      <c r="HU315" s="73"/>
      <c r="HV315" s="73"/>
      <c r="HW315" s="345"/>
      <c r="HX315" s="73"/>
      <c r="HY315" s="32"/>
      <c r="HZ315" s="73"/>
      <c r="IA315" s="73"/>
      <c r="IB315" s="345"/>
      <c r="IC315" s="73"/>
      <c r="ID315" s="32"/>
      <c r="IE315" s="73"/>
      <c r="IF315" s="73"/>
      <c r="IG315" s="345"/>
      <c r="IH315" s="73"/>
      <c r="II315" s="32"/>
      <c r="IJ315" s="73"/>
      <c r="IK315" s="73"/>
      <c r="IL315" s="345"/>
      <c r="IM315" s="73"/>
      <c r="IN315" s="32"/>
      <c r="IO315" s="73"/>
      <c r="IP315" s="73"/>
      <c r="IQ315" s="345"/>
      <c r="IR315" s="73"/>
      <c r="IS315" s="32"/>
      <c r="IT315" s="73"/>
      <c r="IU315" s="73"/>
      <c r="IV315" s="345"/>
    </row>
    <row r="316" spans="1:256" x14ac:dyDescent="0.2">
      <c r="A316" s="345">
        <v>37134</v>
      </c>
      <c r="B316" s="73"/>
      <c r="C316" s="32"/>
      <c r="D316" s="73"/>
      <c r="E316" s="73"/>
      <c r="F316" s="345"/>
      <c r="G316" s="73"/>
      <c r="H316" s="32"/>
      <c r="I316" s="73"/>
      <c r="J316" s="73"/>
      <c r="K316" s="345"/>
      <c r="L316" s="73"/>
      <c r="M316" s="32"/>
      <c r="N316" s="73"/>
      <c r="O316" s="73"/>
      <c r="P316" s="345"/>
      <c r="Q316" s="73"/>
      <c r="R316" s="32"/>
      <c r="S316" s="73"/>
      <c r="T316" s="73"/>
      <c r="U316" s="345"/>
      <c r="V316" s="73"/>
      <c r="W316" s="32"/>
      <c r="X316" s="73"/>
      <c r="Y316" s="73"/>
      <c r="Z316" s="345"/>
      <c r="AA316" s="73"/>
      <c r="AB316" s="32"/>
      <c r="AC316" s="73"/>
      <c r="AD316" s="73"/>
      <c r="AE316" s="345"/>
      <c r="AF316" s="73"/>
      <c r="AG316" s="32"/>
      <c r="AH316" s="73"/>
      <c r="AI316" s="73"/>
      <c r="AJ316" s="345"/>
      <c r="AK316" s="73"/>
      <c r="AL316" s="32"/>
      <c r="AM316" s="73"/>
      <c r="AN316" s="73"/>
      <c r="AO316" s="345"/>
      <c r="AP316" s="73"/>
      <c r="AQ316" s="32"/>
      <c r="AR316" s="73"/>
      <c r="AS316" s="73"/>
      <c r="AT316" s="345"/>
      <c r="AU316" s="73"/>
      <c r="AV316" s="32"/>
      <c r="AW316" s="73"/>
      <c r="AX316" s="73"/>
      <c r="AY316" s="345"/>
      <c r="AZ316" s="73"/>
      <c r="BA316" s="32"/>
      <c r="BB316" s="73"/>
      <c r="BC316" s="73"/>
      <c r="BD316" s="345"/>
      <c r="BE316" s="73"/>
      <c r="BF316" s="32"/>
      <c r="BG316" s="73"/>
      <c r="BH316" s="73"/>
      <c r="BI316" s="345"/>
      <c r="BJ316" s="73"/>
      <c r="BK316" s="32"/>
      <c r="BL316" s="73"/>
      <c r="BM316" s="73"/>
      <c r="BN316" s="345"/>
      <c r="BO316" s="73"/>
      <c r="BP316" s="32"/>
      <c r="BQ316" s="73"/>
      <c r="BR316" s="73"/>
      <c r="BS316" s="345"/>
      <c r="BT316" s="73"/>
      <c r="BU316" s="32"/>
      <c r="BV316" s="73"/>
      <c r="BW316" s="73"/>
      <c r="BX316" s="345"/>
      <c r="BY316" s="73"/>
      <c r="BZ316" s="32"/>
      <c r="CA316" s="73"/>
      <c r="CB316" s="73"/>
      <c r="CC316" s="345"/>
      <c r="CD316" s="73"/>
      <c r="CE316" s="32"/>
      <c r="CF316" s="73"/>
      <c r="CG316" s="73"/>
      <c r="CH316" s="345"/>
      <c r="CI316" s="73"/>
      <c r="CJ316" s="32"/>
      <c r="CK316" s="73"/>
      <c r="CL316" s="73"/>
      <c r="CM316" s="345"/>
      <c r="CN316" s="73"/>
      <c r="CO316" s="32"/>
      <c r="CP316" s="73"/>
      <c r="CQ316" s="73"/>
      <c r="CR316" s="345"/>
      <c r="CS316" s="73"/>
      <c r="CT316" s="32"/>
      <c r="CU316" s="73"/>
      <c r="CV316" s="73"/>
      <c r="CW316" s="345"/>
      <c r="CX316" s="73"/>
      <c r="CY316" s="32"/>
      <c r="CZ316" s="73"/>
      <c r="DA316" s="73"/>
      <c r="DB316" s="345"/>
      <c r="DC316" s="73"/>
      <c r="DD316" s="32"/>
      <c r="DE316" s="73"/>
      <c r="DF316" s="73"/>
      <c r="DG316" s="345"/>
      <c r="DH316" s="73"/>
      <c r="DI316" s="32"/>
      <c r="DJ316" s="73"/>
      <c r="DK316" s="73"/>
      <c r="DL316" s="345"/>
      <c r="DM316" s="73"/>
      <c r="DN316" s="32"/>
      <c r="DO316" s="73"/>
      <c r="DP316" s="73"/>
      <c r="DQ316" s="345"/>
      <c r="DR316" s="73"/>
      <c r="DS316" s="32"/>
      <c r="DT316" s="73"/>
      <c r="DU316" s="73"/>
      <c r="DV316" s="345"/>
      <c r="DW316" s="73"/>
      <c r="DX316" s="32"/>
      <c r="DY316" s="73"/>
      <c r="DZ316" s="73"/>
      <c r="EA316" s="345"/>
      <c r="EB316" s="73"/>
      <c r="EC316" s="32"/>
      <c r="ED316" s="73"/>
      <c r="EE316" s="73"/>
      <c r="EF316" s="345"/>
      <c r="EG316" s="73"/>
      <c r="EH316" s="32"/>
      <c r="EI316" s="73"/>
      <c r="EJ316" s="73"/>
      <c r="EK316" s="345"/>
      <c r="EL316" s="73"/>
      <c r="EM316" s="32"/>
      <c r="EN316" s="73"/>
      <c r="EO316" s="73"/>
      <c r="EP316" s="345"/>
      <c r="EQ316" s="73"/>
      <c r="ER316" s="32"/>
      <c r="ES316" s="73"/>
      <c r="ET316" s="73"/>
      <c r="EU316" s="345"/>
      <c r="EV316" s="73"/>
      <c r="EW316" s="32"/>
      <c r="EX316" s="73"/>
      <c r="EY316" s="73"/>
      <c r="EZ316" s="345"/>
      <c r="FA316" s="73"/>
      <c r="FB316" s="32"/>
      <c r="FC316" s="73"/>
      <c r="FD316" s="73"/>
      <c r="FE316" s="345"/>
      <c r="FF316" s="73"/>
      <c r="FG316" s="32"/>
      <c r="FH316" s="73"/>
      <c r="FI316" s="73"/>
      <c r="FJ316" s="345"/>
      <c r="FK316" s="73"/>
      <c r="FL316" s="32"/>
      <c r="FM316" s="73"/>
      <c r="FN316" s="73"/>
      <c r="FO316" s="345"/>
      <c r="FP316" s="73"/>
      <c r="FQ316" s="32"/>
      <c r="FR316" s="73"/>
      <c r="FS316" s="73"/>
      <c r="FT316" s="345"/>
      <c r="FU316" s="73"/>
      <c r="FV316" s="32"/>
      <c r="FW316" s="73"/>
      <c r="FX316" s="73"/>
      <c r="FY316" s="345"/>
      <c r="FZ316" s="73"/>
      <c r="GA316" s="32"/>
      <c r="GB316" s="73"/>
      <c r="GC316" s="73"/>
      <c r="GD316" s="345"/>
      <c r="GE316" s="73"/>
      <c r="GF316" s="32"/>
      <c r="GG316" s="73"/>
      <c r="GH316" s="73"/>
      <c r="GI316" s="345"/>
      <c r="GJ316" s="73"/>
      <c r="GK316" s="32"/>
      <c r="GL316" s="73"/>
      <c r="GM316" s="73"/>
      <c r="GN316" s="345"/>
      <c r="GO316" s="73"/>
      <c r="GP316" s="32"/>
      <c r="GQ316" s="73"/>
      <c r="GR316" s="73"/>
      <c r="GS316" s="345"/>
      <c r="GT316" s="73"/>
      <c r="GU316" s="32"/>
      <c r="GV316" s="73"/>
      <c r="GW316" s="73"/>
      <c r="GX316" s="345"/>
      <c r="GY316" s="73"/>
      <c r="GZ316" s="32"/>
      <c r="HA316" s="73"/>
      <c r="HB316" s="73"/>
      <c r="HC316" s="345"/>
      <c r="HD316" s="73"/>
      <c r="HE316" s="32"/>
      <c r="HF316" s="73"/>
      <c r="HG316" s="73"/>
      <c r="HH316" s="345"/>
      <c r="HI316" s="73"/>
      <c r="HJ316" s="32"/>
      <c r="HK316" s="73"/>
      <c r="HL316" s="73"/>
      <c r="HM316" s="345"/>
      <c r="HN316" s="73"/>
      <c r="HO316" s="32"/>
      <c r="HP316" s="73"/>
      <c r="HQ316" s="73"/>
      <c r="HR316" s="345"/>
      <c r="HS316" s="73"/>
      <c r="HT316" s="32"/>
      <c r="HU316" s="73"/>
      <c r="HV316" s="73"/>
      <c r="HW316" s="345"/>
      <c r="HX316" s="73"/>
      <c r="HY316" s="32"/>
      <c r="HZ316" s="73"/>
      <c r="IA316" s="73"/>
      <c r="IB316" s="345"/>
      <c r="IC316" s="73"/>
      <c r="ID316" s="32"/>
      <c r="IE316" s="73"/>
      <c r="IF316" s="73"/>
      <c r="IG316" s="345"/>
      <c r="IH316" s="73"/>
      <c r="II316" s="32"/>
      <c r="IJ316" s="73"/>
      <c r="IK316" s="73"/>
      <c r="IL316" s="345"/>
      <c r="IM316" s="73"/>
      <c r="IN316" s="32"/>
      <c r="IO316" s="73"/>
      <c r="IP316" s="73"/>
      <c r="IQ316" s="345"/>
      <c r="IR316" s="73"/>
      <c r="IS316" s="32"/>
      <c r="IT316" s="73"/>
      <c r="IU316" s="73"/>
      <c r="IV316" s="345"/>
    </row>
    <row r="317" spans="1:256" x14ac:dyDescent="0.2">
      <c r="A317" s="345">
        <v>37164</v>
      </c>
      <c r="B317" s="73"/>
      <c r="C317" s="32"/>
      <c r="D317" s="73"/>
      <c r="E317" s="73"/>
      <c r="F317" s="345"/>
      <c r="G317" s="73"/>
      <c r="H317" s="32"/>
      <c r="I317" s="73"/>
      <c r="J317" s="73"/>
      <c r="K317" s="345"/>
      <c r="L317" s="73"/>
      <c r="M317" s="32"/>
      <c r="N317" s="73"/>
      <c r="O317" s="73"/>
      <c r="P317" s="345"/>
      <c r="Q317" s="73"/>
      <c r="R317" s="32"/>
      <c r="S317" s="73"/>
      <c r="T317" s="73"/>
      <c r="U317" s="345"/>
      <c r="V317" s="73"/>
      <c r="W317" s="32"/>
      <c r="X317" s="73"/>
      <c r="Y317" s="73"/>
      <c r="Z317" s="345"/>
      <c r="AA317" s="73"/>
      <c r="AB317" s="32"/>
      <c r="AC317" s="73"/>
      <c r="AD317" s="73"/>
      <c r="AE317" s="345"/>
      <c r="AF317" s="73"/>
      <c r="AG317" s="32"/>
      <c r="AH317" s="73"/>
      <c r="AI317" s="73"/>
      <c r="AJ317" s="345"/>
      <c r="AK317" s="73"/>
      <c r="AL317" s="32"/>
      <c r="AM317" s="73"/>
      <c r="AN317" s="73"/>
      <c r="AO317" s="345"/>
      <c r="AP317" s="73"/>
      <c r="AQ317" s="32"/>
      <c r="AR317" s="73"/>
      <c r="AS317" s="73"/>
      <c r="AT317" s="345"/>
      <c r="AU317" s="73"/>
      <c r="AV317" s="32"/>
      <c r="AW317" s="73"/>
      <c r="AX317" s="73"/>
      <c r="AY317" s="345"/>
      <c r="AZ317" s="73"/>
      <c r="BA317" s="32"/>
      <c r="BB317" s="73"/>
      <c r="BC317" s="73"/>
      <c r="BD317" s="345"/>
      <c r="BE317" s="73"/>
      <c r="BF317" s="32"/>
      <c r="BG317" s="73"/>
      <c r="BH317" s="73"/>
      <c r="BI317" s="345"/>
      <c r="BJ317" s="73"/>
      <c r="BK317" s="32"/>
      <c r="BL317" s="73"/>
      <c r="BM317" s="73"/>
      <c r="BN317" s="345"/>
      <c r="BO317" s="73"/>
      <c r="BP317" s="32"/>
      <c r="BQ317" s="73"/>
      <c r="BR317" s="73"/>
      <c r="BS317" s="345"/>
      <c r="BT317" s="73"/>
      <c r="BU317" s="32"/>
      <c r="BV317" s="73"/>
      <c r="BW317" s="73"/>
      <c r="BX317" s="345"/>
      <c r="BY317" s="73"/>
      <c r="BZ317" s="32"/>
      <c r="CA317" s="73"/>
      <c r="CB317" s="73"/>
      <c r="CC317" s="345"/>
      <c r="CD317" s="73"/>
      <c r="CE317" s="32"/>
      <c r="CF317" s="73"/>
      <c r="CG317" s="73"/>
      <c r="CH317" s="345"/>
      <c r="CI317" s="73"/>
      <c r="CJ317" s="32"/>
      <c r="CK317" s="73"/>
      <c r="CL317" s="73"/>
      <c r="CM317" s="345"/>
      <c r="CN317" s="73"/>
      <c r="CO317" s="32"/>
      <c r="CP317" s="73"/>
      <c r="CQ317" s="73"/>
      <c r="CR317" s="345"/>
      <c r="CS317" s="73"/>
      <c r="CT317" s="32"/>
      <c r="CU317" s="73"/>
      <c r="CV317" s="73"/>
      <c r="CW317" s="345"/>
      <c r="CX317" s="73"/>
      <c r="CY317" s="32"/>
      <c r="CZ317" s="73"/>
      <c r="DA317" s="73"/>
      <c r="DB317" s="345"/>
      <c r="DC317" s="73"/>
      <c r="DD317" s="32"/>
      <c r="DE317" s="73"/>
      <c r="DF317" s="73"/>
      <c r="DG317" s="345"/>
      <c r="DH317" s="73"/>
      <c r="DI317" s="32"/>
      <c r="DJ317" s="73"/>
      <c r="DK317" s="73"/>
      <c r="DL317" s="345"/>
      <c r="DM317" s="73"/>
      <c r="DN317" s="32"/>
      <c r="DO317" s="73"/>
      <c r="DP317" s="73"/>
      <c r="DQ317" s="345"/>
      <c r="DR317" s="73"/>
      <c r="DS317" s="32"/>
      <c r="DT317" s="73"/>
      <c r="DU317" s="73"/>
      <c r="DV317" s="345"/>
      <c r="DW317" s="73"/>
      <c r="DX317" s="32"/>
      <c r="DY317" s="73"/>
      <c r="DZ317" s="73"/>
      <c r="EA317" s="345"/>
      <c r="EB317" s="73"/>
      <c r="EC317" s="32"/>
      <c r="ED317" s="73"/>
      <c r="EE317" s="73"/>
      <c r="EF317" s="345"/>
      <c r="EG317" s="73"/>
      <c r="EH317" s="32"/>
      <c r="EI317" s="73"/>
      <c r="EJ317" s="73"/>
      <c r="EK317" s="345"/>
      <c r="EL317" s="73"/>
      <c r="EM317" s="32"/>
      <c r="EN317" s="73"/>
      <c r="EO317" s="73"/>
      <c r="EP317" s="345"/>
      <c r="EQ317" s="73"/>
      <c r="ER317" s="32"/>
      <c r="ES317" s="73"/>
      <c r="ET317" s="73"/>
      <c r="EU317" s="345"/>
      <c r="EV317" s="73"/>
      <c r="EW317" s="32"/>
      <c r="EX317" s="73"/>
      <c r="EY317" s="73"/>
      <c r="EZ317" s="345"/>
      <c r="FA317" s="73"/>
      <c r="FB317" s="32"/>
      <c r="FC317" s="73"/>
      <c r="FD317" s="73"/>
      <c r="FE317" s="345"/>
      <c r="FF317" s="73"/>
      <c r="FG317" s="32"/>
      <c r="FH317" s="73"/>
      <c r="FI317" s="73"/>
      <c r="FJ317" s="345"/>
      <c r="FK317" s="73"/>
      <c r="FL317" s="32"/>
      <c r="FM317" s="73"/>
      <c r="FN317" s="73"/>
      <c r="FO317" s="345"/>
      <c r="FP317" s="73"/>
      <c r="FQ317" s="32"/>
      <c r="FR317" s="73"/>
      <c r="FS317" s="73"/>
      <c r="FT317" s="345"/>
      <c r="FU317" s="73"/>
      <c r="FV317" s="32"/>
      <c r="FW317" s="73"/>
      <c r="FX317" s="73"/>
      <c r="FY317" s="345"/>
      <c r="FZ317" s="73"/>
      <c r="GA317" s="32"/>
      <c r="GB317" s="73"/>
      <c r="GC317" s="73"/>
      <c r="GD317" s="345"/>
      <c r="GE317" s="73"/>
      <c r="GF317" s="32"/>
      <c r="GG317" s="73"/>
      <c r="GH317" s="73"/>
      <c r="GI317" s="345"/>
      <c r="GJ317" s="73"/>
      <c r="GK317" s="32"/>
      <c r="GL317" s="73"/>
      <c r="GM317" s="73"/>
      <c r="GN317" s="345"/>
      <c r="GO317" s="73"/>
      <c r="GP317" s="32"/>
      <c r="GQ317" s="73"/>
      <c r="GR317" s="73"/>
      <c r="GS317" s="345"/>
      <c r="GT317" s="73"/>
      <c r="GU317" s="32"/>
      <c r="GV317" s="73"/>
      <c r="GW317" s="73"/>
      <c r="GX317" s="345"/>
      <c r="GY317" s="73"/>
      <c r="GZ317" s="32"/>
      <c r="HA317" s="73"/>
      <c r="HB317" s="73"/>
      <c r="HC317" s="345"/>
      <c r="HD317" s="73"/>
      <c r="HE317" s="32"/>
      <c r="HF317" s="73"/>
      <c r="HG317" s="73"/>
      <c r="HH317" s="345"/>
      <c r="HI317" s="73"/>
      <c r="HJ317" s="32"/>
      <c r="HK317" s="73"/>
      <c r="HL317" s="73"/>
      <c r="HM317" s="345"/>
      <c r="HN317" s="73"/>
      <c r="HO317" s="32"/>
      <c r="HP317" s="73"/>
      <c r="HQ317" s="73"/>
      <c r="HR317" s="345"/>
      <c r="HS317" s="73"/>
      <c r="HT317" s="32"/>
      <c r="HU317" s="73"/>
      <c r="HV317" s="73"/>
      <c r="HW317" s="345"/>
      <c r="HX317" s="73"/>
      <c r="HY317" s="32"/>
      <c r="HZ317" s="73"/>
      <c r="IA317" s="73"/>
      <c r="IB317" s="345"/>
      <c r="IC317" s="73"/>
      <c r="ID317" s="32"/>
      <c r="IE317" s="73"/>
      <c r="IF317" s="73"/>
      <c r="IG317" s="345"/>
      <c r="IH317" s="73"/>
      <c r="II317" s="32"/>
      <c r="IJ317" s="73"/>
      <c r="IK317" s="73"/>
      <c r="IL317" s="345"/>
      <c r="IM317" s="73"/>
      <c r="IN317" s="32"/>
      <c r="IO317" s="73"/>
      <c r="IP317" s="73"/>
      <c r="IQ317" s="345"/>
      <c r="IR317" s="73"/>
      <c r="IS317" s="32"/>
      <c r="IT317" s="73"/>
      <c r="IU317" s="73"/>
      <c r="IV317" s="345"/>
    </row>
    <row r="318" spans="1:256" x14ac:dyDescent="0.2">
      <c r="A318" s="345">
        <v>37195</v>
      </c>
      <c r="B318" s="73"/>
      <c r="C318" s="32"/>
      <c r="D318" s="73"/>
      <c r="E318" s="73"/>
      <c r="F318" s="345"/>
      <c r="G318" s="73"/>
      <c r="H318" s="32"/>
      <c r="I318" s="73"/>
      <c r="J318" s="73"/>
      <c r="K318" s="345"/>
      <c r="L318" s="73"/>
      <c r="M318" s="32"/>
      <c r="N318" s="73"/>
      <c r="O318" s="73"/>
      <c r="P318" s="345"/>
      <c r="Q318" s="73"/>
      <c r="R318" s="32"/>
      <c r="S318" s="73"/>
      <c r="T318" s="73"/>
      <c r="U318" s="345"/>
      <c r="V318" s="73"/>
      <c r="W318" s="32"/>
      <c r="X318" s="73"/>
      <c r="Y318" s="73"/>
      <c r="Z318" s="345"/>
      <c r="AA318" s="73"/>
      <c r="AB318" s="32"/>
      <c r="AC318" s="73"/>
      <c r="AD318" s="73"/>
      <c r="AE318" s="345"/>
      <c r="AF318" s="73"/>
      <c r="AG318" s="32"/>
      <c r="AH318" s="73"/>
      <c r="AI318" s="73"/>
      <c r="AJ318" s="345"/>
      <c r="AK318" s="73"/>
      <c r="AL318" s="32"/>
      <c r="AM318" s="73"/>
      <c r="AN318" s="73"/>
      <c r="AO318" s="345"/>
      <c r="AP318" s="73"/>
      <c r="AQ318" s="32"/>
      <c r="AR318" s="73"/>
      <c r="AS318" s="73"/>
      <c r="AT318" s="345"/>
      <c r="AU318" s="73"/>
      <c r="AV318" s="32"/>
      <c r="AW318" s="73"/>
      <c r="AX318" s="73"/>
      <c r="AY318" s="345"/>
      <c r="AZ318" s="73"/>
      <c r="BA318" s="32"/>
      <c r="BB318" s="73"/>
      <c r="BC318" s="73"/>
      <c r="BD318" s="345"/>
      <c r="BE318" s="73"/>
      <c r="BF318" s="32"/>
      <c r="BG318" s="73"/>
      <c r="BH318" s="73"/>
      <c r="BI318" s="345"/>
      <c r="BJ318" s="73"/>
      <c r="BK318" s="32"/>
      <c r="BL318" s="73"/>
      <c r="BM318" s="73"/>
      <c r="BN318" s="345"/>
      <c r="BO318" s="73"/>
      <c r="BP318" s="32"/>
      <c r="BQ318" s="73"/>
      <c r="BR318" s="73"/>
      <c r="BS318" s="345"/>
      <c r="BT318" s="73"/>
      <c r="BU318" s="32"/>
      <c r="BV318" s="73"/>
      <c r="BW318" s="73"/>
      <c r="BX318" s="345"/>
      <c r="BY318" s="73"/>
      <c r="BZ318" s="32"/>
      <c r="CA318" s="73"/>
      <c r="CB318" s="73"/>
      <c r="CC318" s="345"/>
      <c r="CD318" s="73"/>
      <c r="CE318" s="32"/>
      <c r="CF318" s="73"/>
      <c r="CG318" s="73"/>
      <c r="CH318" s="345"/>
      <c r="CI318" s="73"/>
      <c r="CJ318" s="32"/>
      <c r="CK318" s="73"/>
      <c r="CL318" s="73"/>
      <c r="CM318" s="345"/>
      <c r="CN318" s="73"/>
      <c r="CO318" s="32"/>
      <c r="CP318" s="73"/>
      <c r="CQ318" s="73"/>
      <c r="CR318" s="345"/>
      <c r="CS318" s="73"/>
      <c r="CT318" s="32"/>
      <c r="CU318" s="73"/>
      <c r="CV318" s="73"/>
      <c r="CW318" s="345"/>
      <c r="CX318" s="73"/>
      <c r="CY318" s="32"/>
      <c r="CZ318" s="73"/>
      <c r="DA318" s="73"/>
      <c r="DB318" s="345"/>
      <c r="DC318" s="73"/>
      <c r="DD318" s="32"/>
      <c r="DE318" s="73"/>
      <c r="DF318" s="73"/>
      <c r="DG318" s="345"/>
      <c r="DH318" s="73"/>
      <c r="DI318" s="32"/>
      <c r="DJ318" s="73"/>
      <c r="DK318" s="73"/>
      <c r="DL318" s="345"/>
      <c r="DM318" s="73"/>
      <c r="DN318" s="32"/>
      <c r="DO318" s="73"/>
      <c r="DP318" s="73"/>
      <c r="DQ318" s="345"/>
      <c r="DR318" s="73"/>
      <c r="DS318" s="32"/>
      <c r="DT318" s="73"/>
      <c r="DU318" s="73"/>
      <c r="DV318" s="345"/>
      <c r="DW318" s="73"/>
      <c r="DX318" s="32"/>
      <c r="DY318" s="73"/>
      <c r="DZ318" s="73"/>
      <c r="EA318" s="345"/>
      <c r="EB318" s="73"/>
      <c r="EC318" s="32"/>
      <c r="ED318" s="73"/>
      <c r="EE318" s="73"/>
      <c r="EF318" s="345"/>
      <c r="EG318" s="73"/>
      <c r="EH318" s="32"/>
      <c r="EI318" s="73"/>
      <c r="EJ318" s="73"/>
      <c r="EK318" s="345"/>
      <c r="EL318" s="73"/>
      <c r="EM318" s="32"/>
      <c r="EN318" s="73"/>
      <c r="EO318" s="73"/>
      <c r="EP318" s="345"/>
      <c r="EQ318" s="73"/>
      <c r="ER318" s="32"/>
      <c r="ES318" s="73"/>
      <c r="ET318" s="73"/>
      <c r="EU318" s="345"/>
      <c r="EV318" s="73"/>
      <c r="EW318" s="32"/>
      <c r="EX318" s="73"/>
      <c r="EY318" s="73"/>
      <c r="EZ318" s="345"/>
      <c r="FA318" s="73"/>
      <c r="FB318" s="32"/>
      <c r="FC318" s="73"/>
      <c r="FD318" s="73"/>
      <c r="FE318" s="345"/>
      <c r="FF318" s="73"/>
      <c r="FG318" s="32"/>
      <c r="FH318" s="73"/>
      <c r="FI318" s="73"/>
      <c r="FJ318" s="345"/>
      <c r="FK318" s="73"/>
      <c r="FL318" s="32"/>
      <c r="FM318" s="73"/>
      <c r="FN318" s="73"/>
      <c r="FO318" s="345"/>
      <c r="FP318" s="73"/>
      <c r="FQ318" s="32"/>
      <c r="FR318" s="73"/>
      <c r="FS318" s="73"/>
      <c r="FT318" s="345"/>
      <c r="FU318" s="73"/>
      <c r="FV318" s="32"/>
      <c r="FW318" s="73"/>
      <c r="FX318" s="73"/>
      <c r="FY318" s="345"/>
      <c r="FZ318" s="73"/>
      <c r="GA318" s="32"/>
      <c r="GB318" s="73"/>
      <c r="GC318" s="73"/>
      <c r="GD318" s="345"/>
      <c r="GE318" s="73"/>
      <c r="GF318" s="32"/>
      <c r="GG318" s="73"/>
      <c r="GH318" s="73"/>
      <c r="GI318" s="345"/>
      <c r="GJ318" s="73"/>
      <c r="GK318" s="32"/>
      <c r="GL318" s="73"/>
      <c r="GM318" s="73"/>
      <c r="GN318" s="345"/>
      <c r="GO318" s="73"/>
      <c r="GP318" s="32"/>
      <c r="GQ318" s="73"/>
      <c r="GR318" s="73"/>
      <c r="GS318" s="345"/>
      <c r="GT318" s="73"/>
      <c r="GU318" s="32"/>
      <c r="GV318" s="73"/>
      <c r="GW318" s="73"/>
      <c r="GX318" s="345"/>
      <c r="GY318" s="73"/>
      <c r="GZ318" s="32"/>
      <c r="HA318" s="73"/>
      <c r="HB318" s="73"/>
      <c r="HC318" s="345"/>
      <c r="HD318" s="73"/>
      <c r="HE318" s="32"/>
      <c r="HF318" s="73"/>
      <c r="HG318" s="73"/>
      <c r="HH318" s="345"/>
      <c r="HI318" s="73"/>
      <c r="HJ318" s="32"/>
      <c r="HK318" s="73"/>
      <c r="HL318" s="73"/>
      <c r="HM318" s="345"/>
      <c r="HN318" s="73"/>
      <c r="HO318" s="32"/>
      <c r="HP318" s="73"/>
      <c r="HQ318" s="73"/>
      <c r="HR318" s="345"/>
      <c r="HS318" s="73"/>
      <c r="HT318" s="32"/>
      <c r="HU318" s="73"/>
      <c r="HV318" s="73"/>
      <c r="HW318" s="345"/>
      <c r="HX318" s="73"/>
      <c r="HY318" s="32"/>
      <c r="HZ318" s="73"/>
      <c r="IA318" s="73"/>
      <c r="IB318" s="345"/>
      <c r="IC318" s="73"/>
      <c r="ID318" s="32"/>
      <c r="IE318" s="73"/>
      <c r="IF318" s="73"/>
      <c r="IG318" s="345"/>
      <c r="IH318" s="73"/>
      <c r="II318" s="32"/>
      <c r="IJ318" s="73"/>
      <c r="IK318" s="73"/>
      <c r="IL318" s="345"/>
      <c r="IM318" s="73"/>
      <c r="IN318" s="32"/>
      <c r="IO318" s="73"/>
      <c r="IP318" s="73"/>
      <c r="IQ318" s="345"/>
      <c r="IR318" s="73"/>
      <c r="IS318" s="32"/>
      <c r="IT318" s="73"/>
      <c r="IU318" s="73"/>
      <c r="IV318" s="345"/>
    </row>
    <row r="319" spans="1:256" x14ac:dyDescent="0.2">
      <c r="A319" s="345">
        <v>37225</v>
      </c>
      <c r="B319" s="73"/>
      <c r="C319" s="32"/>
      <c r="D319" s="73"/>
      <c r="E319" s="73"/>
      <c r="F319" s="345"/>
      <c r="G319" s="73"/>
      <c r="H319" s="32"/>
      <c r="I319" s="73"/>
      <c r="J319" s="73"/>
      <c r="K319" s="345"/>
      <c r="L319" s="73"/>
      <c r="M319" s="32"/>
      <c r="N319" s="73"/>
      <c r="O319" s="73"/>
      <c r="P319" s="345"/>
      <c r="Q319" s="73"/>
      <c r="R319" s="32"/>
      <c r="S319" s="73"/>
      <c r="T319" s="73"/>
      <c r="U319" s="345"/>
      <c r="V319" s="73"/>
      <c r="W319" s="32"/>
      <c r="X319" s="73"/>
      <c r="Y319" s="73"/>
      <c r="Z319" s="345"/>
      <c r="AA319" s="73"/>
      <c r="AB319" s="32"/>
      <c r="AC319" s="73"/>
      <c r="AD319" s="73"/>
      <c r="AE319" s="345"/>
      <c r="AF319" s="73"/>
      <c r="AG319" s="32"/>
      <c r="AH319" s="73"/>
      <c r="AI319" s="73"/>
      <c r="AJ319" s="345"/>
      <c r="AK319" s="73"/>
      <c r="AL319" s="32"/>
      <c r="AM319" s="73"/>
      <c r="AN319" s="73"/>
      <c r="AO319" s="345"/>
      <c r="AP319" s="73"/>
      <c r="AQ319" s="32"/>
      <c r="AR319" s="73"/>
      <c r="AS319" s="73"/>
      <c r="AT319" s="345"/>
      <c r="AU319" s="73"/>
      <c r="AV319" s="32"/>
      <c r="AW319" s="73"/>
      <c r="AX319" s="73"/>
      <c r="AY319" s="345"/>
      <c r="AZ319" s="73"/>
      <c r="BA319" s="32"/>
      <c r="BB319" s="73"/>
      <c r="BC319" s="73"/>
      <c r="BD319" s="345"/>
      <c r="BE319" s="73"/>
      <c r="BF319" s="32"/>
      <c r="BG319" s="73"/>
      <c r="BH319" s="73"/>
      <c r="BI319" s="345"/>
      <c r="BJ319" s="73"/>
      <c r="BK319" s="32"/>
      <c r="BL319" s="73"/>
      <c r="BM319" s="73"/>
      <c r="BN319" s="345"/>
      <c r="BO319" s="73"/>
      <c r="BP319" s="32"/>
      <c r="BQ319" s="73"/>
      <c r="BR319" s="73"/>
      <c r="BS319" s="345"/>
      <c r="BT319" s="73"/>
      <c r="BU319" s="32"/>
      <c r="BV319" s="73"/>
      <c r="BW319" s="73"/>
      <c r="BX319" s="345"/>
      <c r="BY319" s="73"/>
      <c r="BZ319" s="32"/>
      <c r="CA319" s="73"/>
      <c r="CB319" s="73"/>
      <c r="CC319" s="345"/>
      <c r="CD319" s="73"/>
      <c r="CE319" s="32"/>
      <c r="CF319" s="73"/>
      <c r="CG319" s="73"/>
      <c r="CH319" s="345"/>
      <c r="CI319" s="73"/>
      <c r="CJ319" s="32"/>
      <c r="CK319" s="73"/>
      <c r="CL319" s="73"/>
      <c r="CM319" s="345"/>
      <c r="CN319" s="73"/>
      <c r="CO319" s="32"/>
      <c r="CP319" s="73"/>
      <c r="CQ319" s="73"/>
      <c r="CR319" s="345"/>
      <c r="CS319" s="73"/>
      <c r="CT319" s="32"/>
      <c r="CU319" s="73"/>
      <c r="CV319" s="73"/>
      <c r="CW319" s="345"/>
      <c r="CX319" s="73"/>
      <c r="CY319" s="32"/>
      <c r="CZ319" s="73"/>
      <c r="DA319" s="73"/>
      <c r="DB319" s="345"/>
      <c r="DC319" s="73"/>
      <c r="DD319" s="32"/>
      <c r="DE319" s="73"/>
      <c r="DF319" s="73"/>
      <c r="DG319" s="345"/>
      <c r="DH319" s="73"/>
      <c r="DI319" s="32"/>
      <c r="DJ319" s="73"/>
      <c r="DK319" s="73"/>
      <c r="DL319" s="345"/>
      <c r="DM319" s="73"/>
      <c r="DN319" s="32"/>
      <c r="DO319" s="73"/>
      <c r="DP319" s="73"/>
      <c r="DQ319" s="345"/>
      <c r="DR319" s="73"/>
      <c r="DS319" s="32"/>
      <c r="DT319" s="73"/>
      <c r="DU319" s="73"/>
      <c r="DV319" s="345"/>
      <c r="DW319" s="73"/>
      <c r="DX319" s="32"/>
      <c r="DY319" s="73"/>
      <c r="DZ319" s="73"/>
      <c r="EA319" s="345"/>
      <c r="EB319" s="73"/>
      <c r="EC319" s="32"/>
      <c r="ED319" s="73"/>
      <c r="EE319" s="73"/>
      <c r="EF319" s="345"/>
      <c r="EG319" s="73"/>
      <c r="EH319" s="32"/>
      <c r="EI319" s="73"/>
      <c r="EJ319" s="73"/>
      <c r="EK319" s="345"/>
      <c r="EL319" s="73"/>
      <c r="EM319" s="32"/>
      <c r="EN319" s="73"/>
      <c r="EO319" s="73"/>
      <c r="EP319" s="345"/>
      <c r="EQ319" s="73"/>
      <c r="ER319" s="32"/>
      <c r="ES319" s="73"/>
      <c r="ET319" s="73"/>
      <c r="EU319" s="345"/>
      <c r="EV319" s="73"/>
      <c r="EW319" s="32"/>
      <c r="EX319" s="73"/>
      <c r="EY319" s="73"/>
      <c r="EZ319" s="345"/>
      <c r="FA319" s="73"/>
      <c r="FB319" s="32"/>
      <c r="FC319" s="73"/>
      <c r="FD319" s="73"/>
      <c r="FE319" s="345"/>
      <c r="FF319" s="73"/>
      <c r="FG319" s="32"/>
      <c r="FH319" s="73"/>
      <c r="FI319" s="73"/>
      <c r="FJ319" s="345"/>
      <c r="FK319" s="73"/>
      <c r="FL319" s="32"/>
      <c r="FM319" s="73"/>
      <c r="FN319" s="73"/>
      <c r="FO319" s="345"/>
      <c r="FP319" s="73"/>
      <c r="FQ319" s="32"/>
      <c r="FR319" s="73"/>
      <c r="FS319" s="73"/>
      <c r="FT319" s="345"/>
      <c r="FU319" s="73"/>
      <c r="FV319" s="32"/>
      <c r="FW319" s="73"/>
      <c r="FX319" s="73"/>
      <c r="FY319" s="345"/>
      <c r="FZ319" s="73"/>
      <c r="GA319" s="32"/>
      <c r="GB319" s="73"/>
      <c r="GC319" s="73"/>
      <c r="GD319" s="345"/>
      <c r="GE319" s="73"/>
      <c r="GF319" s="32"/>
      <c r="GG319" s="73"/>
      <c r="GH319" s="73"/>
      <c r="GI319" s="345"/>
      <c r="GJ319" s="73"/>
      <c r="GK319" s="32"/>
      <c r="GL319" s="73"/>
      <c r="GM319" s="73"/>
      <c r="GN319" s="345"/>
      <c r="GO319" s="73"/>
      <c r="GP319" s="32"/>
      <c r="GQ319" s="73"/>
      <c r="GR319" s="73"/>
      <c r="GS319" s="345"/>
      <c r="GT319" s="73"/>
      <c r="GU319" s="32"/>
      <c r="GV319" s="73"/>
      <c r="GW319" s="73"/>
      <c r="GX319" s="345"/>
      <c r="GY319" s="73"/>
      <c r="GZ319" s="32"/>
      <c r="HA319" s="73"/>
      <c r="HB319" s="73"/>
      <c r="HC319" s="345"/>
      <c r="HD319" s="73"/>
      <c r="HE319" s="32"/>
      <c r="HF319" s="73"/>
      <c r="HG319" s="73"/>
      <c r="HH319" s="345"/>
      <c r="HI319" s="73"/>
      <c r="HJ319" s="32"/>
      <c r="HK319" s="73"/>
      <c r="HL319" s="73"/>
      <c r="HM319" s="345"/>
      <c r="HN319" s="73"/>
      <c r="HO319" s="32"/>
      <c r="HP319" s="73"/>
      <c r="HQ319" s="73"/>
      <c r="HR319" s="345"/>
      <c r="HS319" s="73"/>
      <c r="HT319" s="32"/>
      <c r="HU319" s="73"/>
      <c r="HV319" s="73"/>
      <c r="HW319" s="345"/>
      <c r="HX319" s="73"/>
      <c r="HY319" s="32"/>
      <c r="HZ319" s="73"/>
      <c r="IA319" s="73"/>
      <c r="IB319" s="345"/>
      <c r="IC319" s="73"/>
      <c r="ID319" s="32"/>
      <c r="IE319" s="73"/>
      <c r="IF319" s="73"/>
      <c r="IG319" s="345"/>
      <c r="IH319" s="73"/>
      <c r="II319" s="32"/>
      <c r="IJ319" s="73"/>
      <c r="IK319" s="73"/>
      <c r="IL319" s="345"/>
      <c r="IM319" s="73"/>
      <c r="IN319" s="32"/>
      <c r="IO319" s="73"/>
      <c r="IP319" s="73"/>
      <c r="IQ319" s="345"/>
      <c r="IR319" s="73"/>
      <c r="IS319" s="32"/>
      <c r="IT319" s="73"/>
      <c r="IU319" s="73"/>
      <c r="IV319" s="345"/>
    </row>
    <row r="320" spans="1:256" x14ac:dyDescent="0.2">
      <c r="A320" s="345">
        <v>37256</v>
      </c>
      <c r="B320" s="73"/>
      <c r="C320" s="32"/>
      <c r="D320" s="73"/>
      <c r="E320" s="73"/>
      <c r="F320" s="345"/>
      <c r="G320" s="73"/>
      <c r="H320" s="32"/>
      <c r="I320" s="73"/>
      <c r="J320" s="73"/>
      <c r="K320" s="345"/>
      <c r="L320" s="73"/>
      <c r="M320" s="32"/>
      <c r="N320" s="73"/>
      <c r="O320" s="73"/>
      <c r="P320" s="345"/>
      <c r="Q320" s="73"/>
      <c r="R320" s="32"/>
      <c r="S320" s="73"/>
      <c r="T320" s="73"/>
      <c r="U320" s="345"/>
      <c r="V320" s="73"/>
      <c r="W320" s="32"/>
      <c r="X320" s="73"/>
      <c r="Y320" s="73"/>
      <c r="Z320" s="345"/>
      <c r="AA320" s="73"/>
      <c r="AB320" s="32"/>
      <c r="AC320" s="73"/>
      <c r="AD320" s="73"/>
      <c r="AE320" s="345"/>
      <c r="AF320" s="73"/>
      <c r="AG320" s="32"/>
      <c r="AH320" s="73"/>
      <c r="AI320" s="73"/>
      <c r="AJ320" s="345"/>
      <c r="AK320" s="73"/>
      <c r="AL320" s="32"/>
      <c r="AM320" s="73"/>
      <c r="AN320" s="73"/>
      <c r="AO320" s="345"/>
      <c r="AP320" s="73"/>
      <c r="AQ320" s="32"/>
      <c r="AR320" s="73"/>
      <c r="AS320" s="73"/>
      <c r="AT320" s="345"/>
      <c r="AU320" s="73"/>
      <c r="AV320" s="32"/>
      <c r="AW320" s="73"/>
      <c r="AX320" s="73"/>
      <c r="AY320" s="345"/>
      <c r="AZ320" s="73"/>
      <c r="BA320" s="32"/>
      <c r="BB320" s="73"/>
      <c r="BC320" s="73"/>
      <c r="BD320" s="345"/>
      <c r="BE320" s="73"/>
      <c r="BF320" s="32"/>
      <c r="BG320" s="73"/>
      <c r="BH320" s="73"/>
      <c r="BI320" s="345"/>
      <c r="BJ320" s="73"/>
      <c r="BK320" s="32"/>
      <c r="BL320" s="73"/>
      <c r="BM320" s="73"/>
      <c r="BN320" s="345"/>
      <c r="BO320" s="73"/>
      <c r="BP320" s="32"/>
      <c r="BQ320" s="73"/>
      <c r="BR320" s="73"/>
      <c r="BS320" s="345"/>
      <c r="BT320" s="73"/>
      <c r="BU320" s="32"/>
      <c r="BV320" s="73"/>
      <c r="BW320" s="73"/>
      <c r="BX320" s="345"/>
      <c r="BY320" s="73"/>
      <c r="BZ320" s="32"/>
      <c r="CA320" s="73"/>
      <c r="CB320" s="73"/>
      <c r="CC320" s="345"/>
      <c r="CD320" s="73"/>
      <c r="CE320" s="32"/>
      <c r="CF320" s="73"/>
      <c r="CG320" s="73"/>
      <c r="CH320" s="345"/>
      <c r="CI320" s="73"/>
      <c r="CJ320" s="32"/>
      <c r="CK320" s="73"/>
      <c r="CL320" s="73"/>
      <c r="CM320" s="345"/>
      <c r="CN320" s="73"/>
      <c r="CO320" s="32"/>
      <c r="CP320" s="73"/>
      <c r="CQ320" s="73"/>
      <c r="CR320" s="345"/>
      <c r="CS320" s="73"/>
      <c r="CT320" s="32"/>
      <c r="CU320" s="73"/>
      <c r="CV320" s="73"/>
      <c r="CW320" s="345"/>
      <c r="CX320" s="73"/>
      <c r="CY320" s="32"/>
      <c r="CZ320" s="73"/>
      <c r="DA320" s="73"/>
      <c r="DB320" s="345"/>
      <c r="DC320" s="73"/>
      <c r="DD320" s="32"/>
      <c r="DE320" s="73"/>
      <c r="DF320" s="73"/>
      <c r="DG320" s="345"/>
      <c r="DH320" s="73"/>
      <c r="DI320" s="32"/>
      <c r="DJ320" s="73"/>
      <c r="DK320" s="73"/>
      <c r="DL320" s="345"/>
      <c r="DM320" s="73"/>
      <c r="DN320" s="32"/>
      <c r="DO320" s="73"/>
      <c r="DP320" s="73"/>
      <c r="DQ320" s="345"/>
      <c r="DR320" s="73"/>
      <c r="DS320" s="32"/>
      <c r="DT320" s="73"/>
      <c r="DU320" s="73"/>
      <c r="DV320" s="345"/>
      <c r="DW320" s="73"/>
      <c r="DX320" s="32"/>
      <c r="DY320" s="73"/>
      <c r="DZ320" s="73"/>
      <c r="EA320" s="345"/>
      <c r="EB320" s="73"/>
      <c r="EC320" s="32"/>
      <c r="ED320" s="73"/>
      <c r="EE320" s="73"/>
      <c r="EF320" s="345"/>
      <c r="EG320" s="73"/>
      <c r="EH320" s="32"/>
      <c r="EI320" s="73"/>
      <c r="EJ320" s="73"/>
      <c r="EK320" s="345"/>
      <c r="EL320" s="73"/>
      <c r="EM320" s="32"/>
      <c r="EN320" s="73"/>
      <c r="EO320" s="73"/>
      <c r="EP320" s="345"/>
      <c r="EQ320" s="73"/>
      <c r="ER320" s="32"/>
      <c r="ES320" s="73"/>
      <c r="ET320" s="73"/>
      <c r="EU320" s="345"/>
      <c r="EV320" s="73"/>
      <c r="EW320" s="32"/>
      <c r="EX320" s="73"/>
      <c r="EY320" s="73"/>
      <c r="EZ320" s="345"/>
      <c r="FA320" s="73"/>
      <c r="FB320" s="32"/>
      <c r="FC320" s="73"/>
      <c r="FD320" s="73"/>
      <c r="FE320" s="345"/>
      <c r="FF320" s="73"/>
      <c r="FG320" s="32"/>
      <c r="FH320" s="73"/>
      <c r="FI320" s="73"/>
      <c r="FJ320" s="345"/>
      <c r="FK320" s="73"/>
      <c r="FL320" s="32"/>
      <c r="FM320" s="73"/>
      <c r="FN320" s="73"/>
      <c r="FO320" s="345"/>
      <c r="FP320" s="73"/>
      <c r="FQ320" s="32"/>
      <c r="FR320" s="73"/>
      <c r="FS320" s="73"/>
      <c r="FT320" s="345"/>
      <c r="FU320" s="73"/>
      <c r="FV320" s="32"/>
      <c r="FW320" s="73"/>
      <c r="FX320" s="73"/>
      <c r="FY320" s="345"/>
      <c r="FZ320" s="73"/>
      <c r="GA320" s="32"/>
      <c r="GB320" s="73"/>
      <c r="GC320" s="73"/>
      <c r="GD320" s="345"/>
      <c r="GE320" s="73"/>
      <c r="GF320" s="32"/>
      <c r="GG320" s="73"/>
      <c r="GH320" s="73"/>
      <c r="GI320" s="345"/>
      <c r="GJ320" s="73"/>
      <c r="GK320" s="32"/>
      <c r="GL320" s="73"/>
      <c r="GM320" s="73"/>
      <c r="GN320" s="345"/>
      <c r="GO320" s="73"/>
      <c r="GP320" s="32"/>
      <c r="GQ320" s="73"/>
      <c r="GR320" s="73"/>
      <c r="GS320" s="345"/>
      <c r="GT320" s="73"/>
      <c r="GU320" s="32"/>
      <c r="GV320" s="73"/>
      <c r="GW320" s="73"/>
      <c r="GX320" s="345"/>
      <c r="GY320" s="73"/>
      <c r="GZ320" s="32"/>
      <c r="HA320" s="73"/>
      <c r="HB320" s="73"/>
      <c r="HC320" s="345"/>
      <c r="HD320" s="73"/>
      <c r="HE320" s="32"/>
      <c r="HF320" s="73"/>
      <c r="HG320" s="73"/>
      <c r="HH320" s="345"/>
      <c r="HI320" s="73"/>
      <c r="HJ320" s="32"/>
      <c r="HK320" s="73"/>
      <c r="HL320" s="73"/>
      <c r="HM320" s="345"/>
      <c r="HN320" s="73"/>
      <c r="HO320" s="32"/>
      <c r="HP320" s="73"/>
      <c r="HQ320" s="73"/>
      <c r="HR320" s="345"/>
      <c r="HS320" s="73"/>
      <c r="HT320" s="32"/>
      <c r="HU320" s="73"/>
      <c r="HV320" s="73"/>
      <c r="HW320" s="345"/>
      <c r="HX320" s="73"/>
      <c r="HY320" s="32"/>
      <c r="HZ320" s="73"/>
      <c r="IA320" s="73"/>
      <c r="IB320" s="345"/>
      <c r="IC320" s="73"/>
      <c r="ID320" s="32"/>
      <c r="IE320" s="73"/>
      <c r="IF320" s="73"/>
      <c r="IG320" s="345"/>
      <c r="IH320" s="73"/>
      <c r="II320" s="32"/>
      <c r="IJ320" s="73"/>
      <c r="IK320" s="73"/>
      <c r="IL320" s="345"/>
      <c r="IM320" s="73"/>
      <c r="IN320" s="32"/>
      <c r="IO320" s="73"/>
      <c r="IP320" s="73"/>
      <c r="IQ320" s="345"/>
      <c r="IR320" s="73"/>
      <c r="IS320" s="32"/>
      <c r="IT320" s="73"/>
      <c r="IU320" s="73"/>
      <c r="IV320" s="345"/>
    </row>
    <row r="321" spans="1:256" x14ac:dyDescent="0.2">
      <c r="A321" s="345">
        <v>37287</v>
      </c>
      <c r="B321" s="73"/>
      <c r="C321" s="32"/>
      <c r="D321" s="73"/>
      <c r="E321" s="73"/>
      <c r="F321" s="345"/>
      <c r="G321" s="73"/>
      <c r="H321" s="32"/>
      <c r="I321" s="73"/>
      <c r="J321" s="73"/>
      <c r="K321" s="345"/>
      <c r="L321" s="73"/>
      <c r="M321" s="32"/>
      <c r="N321" s="73"/>
      <c r="O321" s="73"/>
      <c r="P321" s="345"/>
      <c r="Q321" s="73"/>
      <c r="R321" s="32"/>
      <c r="S321" s="73"/>
      <c r="T321" s="73"/>
      <c r="U321" s="345"/>
      <c r="V321" s="73"/>
      <c r="W321" s="32"/>
      <c r="X321" s="73"/>
      <c r="Y321" s="73"/>
      <c r="Z321" s="345"/>
      <c r="AA321" s="73"/>
      <c r="AB321" s="32"/>
      <c r="AC321" s="73"/>
      <c r="AD321" s="73"/>
      <c r="AE321" s="345"/>
      <c r="AF321" s="73"/>
      <c r="AG321" s="32"/>
      <c r="AH321" s="73"/>
      <c r="AI321" s="73"/>
      <c r="AJ321" s="345"/>
      <c r="AK321" s="73"/>
      <c r="AL321" s="32"/>
      <c r="AM321" s="73"/>
      <c r="AN321" s="73"/>
      <c r="AO321" s="345"/>
      <c r="AP321" s="73"/>
      <c r="AQ321" s="32"/>
      <c r="AR321" s="73"/>
      <c r="AS321" s="73"/>
      <c r="AT321" s="345"/>
      <c r="AU321" s="73"/>
      <c r="AV321" s="32"/>
      <c r="AW321" s="73"/>
      <c r="AX321" s="73"/>
      <c r="AY321" s="345"/>
      <c r="AZ321" s="73"/>
      <c r="BA321" s="32"/>
      <c r="BB321" s="73"/>
      <c r="BC321" s="73"/>
      <c r="BD321" s="345"/>
      <c r="BE321" s="73"/>
      <c r="BF321" s="32"/>
      <c r="BG321" s="73"/>
      <c r="BH321" s="73"/>
      <c r="BI321" s="345"/>
      <c r="BJ321" s="73"/>
      <c r="BK321" s="32"/>
      <c r="BL321" s="73"/>
      <c r="BM321" s="73"/>
      <c r="BN321" s="345"/>
      <c r="BO321" s="73"/>
      <c r="BP321" s="32"/>
      <c r="BQ321" s="73"/>
      <c r="BR321" s="73"/>
      <c r="BS321" s="345"/>
      <c r="BT321" s="73"/>
      <c r="BU321" s="32"/>
      <c r="BV321" s="73"/>
      <c r="BW321" s="73"/>
      <c r="BX321" s="345"/>
      <c r="BY321" s="73"/>
      <c r="BZ321" s="32"/>
      <c r="CA321" s="73"/>
      <c r="CB321" s="73"/>
      <c r="CC321" s="345"/>
      <c r="CD321" s="73"/>
      <c r="CE321" s="32"/>
      <c r="CF321" s="73"/>
      <c r="CG321" s="73"/>
      <c r="CH321" s="345"/>
      <c r="CI321" s="73"/>
      <c r="CJ321" s="32"/>
      <c r="CK321" s="73"/>
      <c r="CL321" s="73"/>
      <c r="CM321" s="345"/>
      <c r="CN321" s="73"/>
      <c r="CO321" s="32"/>
      <c r="CP321" s="73"/>
      <c r="CQ321" s="73"/>
      <c r="CR321" s="345"/>
      <c r="CS321" s="73"/>
      <c r="CT321" s="32"/>
      <c r="CU321" s="73"/>
      <c r="CV321" s="73"/>
      <c r="CW321" s="345"/>
      <c r="CX321" s="73"/>
      <c r="CY321" s="32"/>
      <c r="CZ321" s="73"/>
      <c r="DA321" s="73"/>
      <c r="DB321" s="345"/>
      <c r="DC321" s="73"/>
      <c r="DD321" s="32"/>
      <c r="DE321" s="73"/>
      <c r="DF321" s="73"/>
      <c r="DG321" s="345"/>
      <c r="DH321" s="73"/>
      <c r="DI321" s="32"/>
      <c r="DJ321" s="73"/>
      <c r="DK321" s="73"/>
      <c r="DL321" s="345"/>
      <c r="DM321" s="73"/>
      <c r="DN321" s="32"/>
      <c r="DO321" s="73"/>
      <c r="DP321" s="73"/>
      <c r="DQ321" s="345"/>
      <c r="DR321" s="73"/>
      <c r="DS321" s="32"/>
      <c r="DT321" s="73"/>
      <c r="DU321" s="73"/>
      <c r="DV321" s="345"/>
      <c r="DW321" s="73"/>
      <c r="DX321" s="32"/>
      <c r="DY321" s="73"/>
      <c r="DZ321" s="73"/>
      <c r="EA321" s="345"/>
      <c r="EB321" s="73"/>
      <c r="EC321" s="32"/>
      <c r="ED321" s="73"/>
      <c r="EE321" s="73"/>
      <c r="EF321" s="345"/>
      <c r="EG321" s="73"/>
      <c r="EH321" s="32"/>
      <c r="EI321" s="73"/>
      <c r="EJ321" s="73"/>
      <c r="EK321" s="345"/>
      <c r="EL321" s="73"/>
      <c r="EM321" s="32"/>
      <c r="EN321" s="73"/>
      <c r="EO321" s="73"/>
      <c r="EP321" s="345"/>
      <c r="EQ321" s="73"/>
      <c r="ER321" s="32"/>
      <c r="ES321" s="73"/>
      <c r="ET321" s="73"/>
      <c r="EU321" s="345"/>
      <c r="EV321" s="73"/>
      <c r="EW321" s="32"/>
      <c r="EX321" s="73"/>
      <c r="EY321" s="73"/>
      <c r="EZ321" s="345"/>
      <c r="FA321" s="73"/>
      <c r="FB321" s="32"/>
      <c r="FC321" s="73"/>
      <c r="FD321" s="73"/>
      <c r="FE321" s="345"/>
      <c r="FF321" s="73"/>
      <c r="FG321" s="32"/>
      <c r="FH321" s="73"/>
      <c r="FI321" s="73"/>
      <c r="FJ321" s="345"/>
      <c r="FK321" s="73"/>
      <c r="FL321" s="32"/>
      <c r="FM321" s="73"/>
      <c r="FN321" s="73"/>
      <c r="FO321" s="345"/>
      <c r="FP321" s="73"/>
      <c r="FQ321" s="32"/>
      <c r="FR321" s="73"/>
      <c r="FS321" s="73"/>
      <c r="FT321" s="345"/>
      <c r="FU321" s="73"/>
      <c r="FV321" s="32"/>
      <c r="FW321" s="73"/>
      <c r="FX321" s="73"/>
      <c r="FY321" s="345"/>
      <c r="FZ321" s="73"/>
      <c r="GA321" s="32"/>
      <c r="GB321" s="73"/>
      <c r="GC321" s="73"/>
      <c r="GD321" s="345"/>
      <c r="GE321" s="73"/>
      <c r="GF321" s="32"/>
      <c r="GG321" s="73"/>
      <c r="GH321" s="73"/>
      <c r="GI321" s="345"/>
      <c r="GJ321" s="73"/>
      <c r="GK321" s="32"/>
      <c r="GL321" s="73"/>
      <c r="GM321" s="73"/>
      <c r="GN321" s="345"/>
      <c r="GO321" s="73"/>
      <c r="GP321" s="32"/>
      <c r="GQ321" s="73"/>
      <c r="GR321" s="73"/>
      <c r="GS321" s="345"/>
      <c r="GT321" s="73"/>
      <c r="GU321" s="32"/>
      <c r="GV321" s="73"/>
      <c r="GW321" s="73"/>
      <c r="GX321" s="345"/>
      <c r="GY321" s="73"/>
      <c r="GZ321" s="32"/>
      <c r="HA321" s="73"/>
      <c r="HB321" s="73"/>
      <c r="HC321" s="345"/>
      <c r="HD321" s="73"/>
      <c r="HE321" s="32"/>
      <c r="HF321" s="73"/>
      <c r="HG321" s="73"/>
      <c r="HH321" s="345"/>
      <c r="HI321" s="73"/>
      <c r="HJ321" s="32"/>
      <c r="HK321" s="73"/>
      <c r="HL321" s="73"/>
      <c r="HM321" s="345"/>
      <c r="HN321" s="73"/>
      <c r="HO321" s="32"/>
      <c r="HP321" s="73"/>
      <c r="HQ321" s="73"/>
      <c r="HR321" s="345"/>
      <c r="HS321" s="73"/>
      <c r="HT321" s="32"/>
      <c r="HU321" s="73"/>
      <c r="HV321" s="73"/>
      <c r="HW321" s="345"/>
      <c r="HX321" s="73"/>
      <c r="HY321" s="32"/>
      <c r="HZ321" s="73"/>
      <c r="IA321" s="73"/>
      <c r="IB321" s="345"/>
      <c r="IC321" s="73"/>
      <c r="ID321" s="32"/>
      <c r="IE321" s="73"/>
      <c r="IF321" s="73"/>
      <c r="IG321" s="345"/>
      <c r="IH321" s="73"/>
      <c r="II321" s="32"/>
      <c r="IJ321" s="73"/>
      <c r="IK321" s="73"/>
      <c r="IL321" s="345"/>
      <c r="IM321" s="73"/>
      <c r="IN321" s="32"/>
      <c r="IO321" s="73"/>
      <c r="IP321" s="73"/>
      <c r="IQ321" s="345"/>
      <c r="IR321" s="73"/>
      <c r="IS321" s="32"/>
      <c r="IT321" s="73"/>
      <c r="IU321" s="73"/>
      <c r="IV321" s="345"/>
    </row>
    <row r="322" spans="1:256" x14ac:dyDescent="0.2">
      <c r="A322" s="345">
        <v>37315</v>
      </c>
      <c r="B322" s="73"/>
      <c r="C322" s="32"/>
      <c r="D322" s="73"/>
      <c r="E322" s="73"/>
      <c r="F322" s="345"/>
      <c r="G322" s="73"/>
      <c r="H322" s="32"/>
      <c r="I322" s="73"/>
      <c r="J322" s="73"/>
      <c r="K322" s="345"/>
      <c r="L322" s="73"/>
      <c r="M322" s="32"/>
      <c r="N322" s="73"/>
      <c r="O322" s="73"/>
      <c r="P322" s="345"/>
      <c r="Q322" s="73"/>
      <c r="R322" s="32"/>
      <c r="S322" s="73"/>
      <c r="T322" s="73"/>
      <c r="U322" s="345"/>
      <c r="V322" s="73"/>
      <c r="W322" s="32"/>
      <c r="X322" s="73"/>
      <c r="Y322" s="73"/>
      <c r="Z322" s="345"/>
      <c r="AA322" s="73"/>
      <c r="AB322" s="32"/>
      <c r="AC322" s="73"/>
      <c r="AD322" s="73"/>
      <c r="AE322" s="345"/>
      <c r="AF322" s="73"/>
      <c r="AG322" s="32"/>
      <c r="AH322" s="73"/>
      <c r="AI322" s="73"/>
      <c r="AJ322" s="345"/>
      <c r="AK322" s="73"/>
      <c r="AL322" s="32"/>
      <c r="AM322" s="73"/>
      <c r="AN322" s="73"/>
      <c r="AO322" s="345"/>
      <c r="AP322" s="73"/>
      <c r="AQ322" s="32"/>
      <c r="AR322" s="73"/>
      <c r="AS322" s="73"/>
      <c r="AT322" s="345"/>
      <c r="AU322" s="73"/>
      <c r="AV322" s="32"/>
      <c r="AW322" s="73"/>
      <c r="AX322" s="73"/>
      <c r="AY322" s="345"/>
      <c r="AZ322" s="73"/>
      <c r="BA322" s="32"/>
      <c r="BB322" s="73"/>
      <c r="BC322" s="73"/>
      <c r="BD322" s="345"/>
      <c r="BE322" s="73"/>
      <c r="BF322" s="32"/>
      <c r="BG322" s="73"/>
      <c r="BH322" s="73"/>
      <c r="BI322" s="345"/>
      <c r="BJ322" s="73"/>
      <c r="BK322" s="32"/>
      <c r="BL322" s="73"/>
      <c r="BM322" s="73"/>
      <c r="BN322" s="345"/>
      <c r="BO322" s="73"/>
      <c r="BP322" s="32"/>
      <c r="BQ322" s="73"/>
      <c r="BR322" s="73"/>
      <c r="BS322" s="345"/>
      <c r="BT322" s="73"/>
      <c r="BU322" s="32"/>
      <c r="BV322" s="73"/>
      <c r="BW322" s="73"/>
      <c r="BX322" s="345"/>
      <c r="BY322" s="73"/>
      <c r="BZ322" s="32"/>
      <c r="CA322" s="73"/>
      <c r="CB322" s="73"/>
      <c r="CC322" s="345"/>
      <c r="CD322" s="73"/>
      <c r="CE322" s="32"/>
      <c r="CF322" s="73"/>
      <c r="CG322" s="73"/>
      <c r="CH322" s="345"/>
      <c r="CI322" s="73"/>
      <c r="CJ322" s="32"/>
      <c r="CK322" s="73"/>
      <c r="CL322" s="73"/>
      <c r="CM322" s="345"/>
      <c r="CN322" s="73"/>
      <c r="CO322" s="32"/>
      <c r="CP322" s="73"/>
      <c r="CQ322" s="73"/>
      <c r="CR322" s="345"/>
      <c r="CS322" s="73"/>
      <c r="CT322" s="32"/>
      <c r="CU322" s="73"/>
      <c r="CV322" s="73"/>
      <c r="CW322" s="345"/>
      <c r="CX322" s="73"/>
      <c r="CY322" s="32"/>
      <c r="CZ322" s="73"/>
      <c r="DA322" s="73"/>
      <c r="DB322" s="345"/>
      <c r="DC322" s="73"/>
      <c r="DD322" s="32"/>
      <c r="DE322" s="73"/>
      <c r="DF322" s="73"/>
      <c r="DG322" s="345"/>
      <c r="DH322" s="73"/>
      <c r="DI322" s="32"/>
      <c r="DJ322" s="73"/>
      <c r="DK322" s="73"/>
      <c r="DL322" s="345"/>
      <c r="DM322" s="73"/>
      <c r="DN322" s="32"/>
      <c r="DO322" s="73"/>
      <c r="DP322" s="73"/>
      <c r="DQ322" s="345"/>
      <c r="DR322" s="73"/>
      <c r="DS322" s="32"/>
      <c r="DT322" s="73"/>
      <c r="DU322" s="73"/>
      <c r="DV322" s="345"/>
      <c r="DW322" s="73"/>
      <c r="DX322" s="32"/>
      <c r="DY322" s="73"/>
      <c r="DZ322" s="73"/>
      <c r="EA322" s="345"/>
      <c r="EB322" s="73"/>
      <c r="EC322" s="32"/>
      <c r="ED322" s="73"/>
      <c r="EE322" s="73"/>
      <c r="EF322" s="345"/>
      <c r="EG322" s="73"/>
      <c r="EH322" s="32"/>
      <c r="EI322" s="73"/>
      <c r="EJ322" s="73"/>
      <c r="EK322" s="345"/>
      <c r="EL322" s="73"/>
      <c r="EM322" s="32"/>
      <c r="EN322" s="73"/>
      <c r="EO322" s="73"/>
      <c r="EP322" s="345"/>
      <c r="EQ322" s="73"/>
      <c r="ER322" s="32"/>
      <c r="ES322" s="73"/>
      <c r="ET322" s="73"/>
      <c r="EU322" s="345"/>
      <c r="EV322" s="73"/>
      <c r="EW322" s="32"/>
      <c r="EX322" s="73"/>
      <c r="EY322" s="73"/>
      <c r="EZ322" s="345"/>
      <c r="FA322" s="73"/>
      <c r="FB322" s="32"/>
      <c r="FC322" s="73"/>
      <c r="FD322" s="73"/>
      <c r="FE322" s="345"/>
      <c r="FF322" s="73"/>
      <c r="FG322" s="32"/>
      <c r="FH322" s="73"/>
      <c r="FI322" s="73"/>
      <c r="FJ322" s="345"/>
      <c r="FK322" s="73"/>
      <c r="FL322" s="32"/>
      <c r="FM322" s="73"/>
      <c r="FN322" s="73"/>
      <c r="FO322" s="345"/>
      <c r="FP322" s="73"/>
      <c r="FQ322" s="32"/>
      <c r="FR322" s="73"/>
      <c r="FS322" s="73"/>
      <c r="FT322" s="345"/>
      <c r="FU322" s="73"/>
      <c r="FV322" s="32"/>
      <c r="FW322" s="73"/>
      <c r="FX322" s="73"/>
      <c r="FY322" s="345"/>
      <c r="FZ322" s="73"/>
      <c r="GA322" s="32"/>
      <c r="GB322" s="73"/>
      <c r="GC322" s="73"/>
      <c r="GD322" s="345"/>
      <c r="GE322" s="73"/>
      <c r="GF322" s="32"/>
      <c r="GG322" s="73"/>
      <c r="GH322" s="73"/>
      <c r="GI322" s="345"/>
      <c r="GJ322" s="73"/>
      <c r="GK322" s="32"/>
      <c r="GL322" s="73"/>
      <c r="GM322" s="73"/>
      <c r="GN322" s="345"/>
      <c r="GO322" s="73"/>
      <c r="GP322" s="32"/>
      <c r="GQ322" s="73"/>
      <c r="GR322" s="73"/>
      <c r="GS322" s="345"/>
      <c r="GT322" s="73"/>
      <c r="GU322" s="32"/>
      <c r="GV322" s="73"/>
      <c r="GW322" s="73"/>
      <c r="GX322" s="345"/>
      <c r="GY322" s="73"/>
      <c r="GZ322" s="32"/>
      <c r="HA322" s="73"/>
      <c r="HB322" s="73"/>
      <c r="HC322" s="345"/>
      <c r="HD322" s="73"/>
      <c r="HE322" s="32"/>
      <c r="HF322" s="73"/>
      <c r="HG322" s="73"/>
      <c r="HH322" s="345"/>
      <c r="HI322" s="73"/>
      <c r="HJ322" s="32"/>
      <c r="HK322" s="73"/>
      <c r="HL322" s="73"/>
      <c r="HM322" s="345"/>
      <c r="HN322" s="73"/>
      <c r="HO322" s="32"/>
      <c r="HP322" s="73"/>
      <c r="HQ322" s="73"/>
      <c r="HR322" s="345"/>
      <c r="HS322" s="73"/>
      <c r="HT322" s="32"/>
      <c r="HU322" s="73"/>
      <c r="HV322" s="73"/>
      <c r="HW322" s="345"/>
      <c r="HX322" s="73"/>
      <c r="HY322" s="32"/>
      <c r="HZ322" s="73"/>
      <c r="IA322" s="73"/>
      <c r="IB322" s="345"/>
      <c r="IC322" s="73"/>
      <c r="ID322" s="32"/>
      <c r="IE322" s="73"/>
      <c r="IF322" s="73"/>
      <c r="IG322" s="345"/>
      <c r="IH322" s="73"/>
      <c r="II322" s="32"/>
      <c r="IJ322" s="73"/>
      <c r="IK322" s="73"/>
      <c r="IL322" s="345"/>
      <c r="IM322" s="73"/>
      <c r="IN322" s="32"/>
      <c r="IO322" s="73"/>
      <c r="IP322" s="73"/>
      <c r="IQ322" s="345"/>
      <c r="IR322" s="73"/>
      <c r="IS322" s="32"/>
      <c r="IT322" s="73"/>
      <c r="IU322" s="73"/>
      <c r="IV322" s="345"/>
    </row>
    <row r="323" spans="1:256" x14ac:dyDescent="0.2">
      <c r="A323" s="345">
        <v>37346</v>
      </c>
      <c r="B323" s="73"/>
      <c r="C323" s="32"/>
      <c r="D323" s="73"/>
      <c r="E323" s="73"/>
      <c r="F323" s="345"/>
      <c r="G323" s="73"/>
      <c r="H323" s="32"/>
      <c r="I323" s="73"/>
      <c r="J323" s="73"/>
      <c r="K323" s="345"/>
      <c r="L323" s="73"/>
      <c r="M323" s="32"/>
      <c r="N323" s="73"/>
      <c r="O323" s="73"/>
      <c r="P323" s="345"/>
      <c r="Q323" s="73"/>
      <c r="R323" s="32"/>
      <c r="S323" s="73"/>
      <c r="T323" s="73"/>
      <c r="U323" s="345"/>
      <c r="V323" s="73"/>
      <c r="W323" s="32"/>
      <c r="X323" s="73"/>
      <c r="Y323" s="73"/>
      <c r="Z323" s="345"/>
      <c r="AA323" s="73"/>
      <c r="AB323" s="32"/>
      <c r="AC323" s="73"/>
      <c r="AD323" s="73"/>
      <c r="AE323" s="345"/>
      <c r="AF323" s="73"/>
      <c r="AG323" s="32"/>
      <c r="AH323" s="73"/>
      <c r="AI323" s="73"/>
      <c r="AJ323" s="345"/>
      <c r="AK323" s="73"/>
      <c r="AL323" s="32"/>
      <c r="AM323" s="73"/>
      <c r="AN323" s="73"/>
      <c r="AO323" s="345"/>
      <c r="AP323" s="73"/>
      <c r="AQ323" s="32"/>
      <c r="AR323" s="73"/>
      <c r="AS323" s="73"/>
      <c r="AT323" s="345"/>
      <c r="AU323" s="73"/>
      <c r="AV323" s="32"/>
      <c r="AW323" s="73"/>
      <c r="AX323" s="73"/>
      <c r="AY323" s="345"/>
      <c r="AZ323" s="73"/>
      <c r="BA323" s="32"/>
      <c r="BB323" s="73"/>
      <c r="BC323" s="73"/>
      <c r="BD323" s="345"/>
      <c r="BE323" s="73"/>
      <c r="BF323" s="32"/>
      <c r="BG323" s="73"/>
      <c r="BH323" s="73"/>
      <c r="BI323" s="345"/>
      <c r="BJ323" s="73"/>
      <c r="BK323" s="32"/>
      <c r="BL323" s="73"/>
      <c r="BM323" s="73"/>
      <c r="BN323" s="345"/>
      <c r="BO323" s="73"/>
      <c r="BP323" s="32"/>
      <c r="BQ323" s="73"/>
      <c r="BR323" s="73"/>
      <c r="BS323" s="345"/>
      <c r="BT323" s="73"/>
      <c r="BU323" s="32"/>
      <c r="BV323" s="73"/>
      <c r="BW323" s="73"/>
      <c r="BX323" s="345"/>
      <c r="BY323" s="73"/>
      <c r="BZ323" s="32"/>
      <c r="CA323" s="73"/>
      <c r="CB323" s="73"/>
      <c r="CC323" s="345"/>
      <c r="CD323" s="73"/>
      <c r="CE323" s="32"/>
      <c r="CF323" s="73"/>
      <c r="CG323" s="73"/>
      <c r="CH323" s="345"/>
      <c r="CI323" s="73"/>
      <c r="CJ323" s="32"/>
      <c r="CK323" s="73"/>
      <c r="CL323" s="73"/>
      <c r="CM323" s="345"/>
      <c r="CN323" s="73"/>
      <c r="CO323" s="32"/>
      <c r="CP323" s="73"/>
      <c r="CQ323" s="73"/>
      <c r="CR323" s="345"/>
      <c r="CS323" s="73"/>
      <c r="CT323" s="32"/>
      <c r="CU323" s="73"/>
      <c r="CV323" s="73"/>
      <c r="CW323" s="345"/>
      <c r="CX323" s="73"/>
      <c r="CY323" s="32"/>
      <c r="CZ323" s="73"/>
      <c r="DA323" s="73"/>
      <c r="DB323" s="345"/>
      <c r="DC323" s="73"/>
      <c r="DD323" s="32"/>
      <c r="DE323" s="73"/>
      <c r="DF323" s="73"/>
      <c r="DG323" s="345"/>
      <c r="DH323" s="73"/>
      <c r="DI323" s="32"/>
      <c r="DJ323" s="73"/>
      <c r="DK323" s="73"/>
      <c r="DL323" s="345"/>
      <c r="DM323" s="73"/>
      <c r="DN323" s="32"/>
      <c r="DO323" s="73"/>
      <c r="DP323" s="73"/>
      <c r="DQ323" s="345"/>
      <c r="DR323" s="73"/>
      <c r="DS323" s="32"/>
      <c r="DT323" s="73"/>
      <c r="DU323" s="73"/>
      <c r="DV323" s="345"/>
      <c r="DW323" s="73"/>
      <c r="DX323" s="32"/>
      <c r="DY323" s="73"/>
      <c r="DZ323" s="73"/>
      <c r="EA323" s="345"/>
      <c r="EB323" s="73"/>
      <c r="EC323" s="32"/>
      <c r="ED323" s="73"/>
      <c r="EE323" s="73"/>
      <c r="EF323" s="345"/>
      <c r="EG323" s="73"/>
      <c r="EH323" s="32"/>
      <c r="EI323" s="73"/>
      <c r="EJ323" s="73"/>
      <c r="EK323" s="345"/>
      <c r="EL323" s="73"/>
      <c r="EM323" s="32"/>
      <c r="EN323" s="73"/>
      <c r="EO323" s="73"/>
      <c r="EP323" s="345"/>
      <c r="EQ323" s="73"/>
      <c r="ER323" s="32"/>
      <c r="ES323" s="73"/>
      <c r="ET323" s="73"/>
      <c r="EU323" s="345"/>
      <c r="EV323" s="73"/>
      <c r="EW323" s="32"/>
      <c r="EX323" s="73"/>
      <c r="EY323" s="73"/>
      <c r="EZ323" s="345"/>
      <c r="FA323" s="73"/>
      <c r="FB323" s="32"/>
      <c r="FC323" s="73"/>
      <c r="FD323" s="73"/>
      <c r="FE323" s="345"/>
      <c r="FF323" s="73"/>
      <c r="FG323" s="32"/>
      <c r="FH323" s="73"/>
      <c r="FI323" s="73"/>
      <c r="FJ323" s="345"/>
      <c r="FK323" s="73"/>
      <c r="FL323" s="32"/>
      <c r="FM323" s="73"/>
      <c r="FN323" s="73"/>
      <c r="FO323" s="345"/>
      <c r="FP323" s="73"/>
      <c r="FQ323" s="32"/>
      <c r="FR323" s="73"/>
      <c r="FS323" s="73"/>
      <c r="FT323" s="345"/>
      <c r="FU323" s="73"/>
      <c r="FV323" s="32"/>
      <c r="FW323" s="73"/>
      <c r="FX323" s="73"/>
      <c r="FY323" s="345"/>
      <c r="FZ323" s="73"/>
      <c r="GA323" s="32"/>
      <c r="GB323" s="73"/>
      <c r="GC323" s="73"/>
      <c r="GD323" s="345"/>
      <c r="GE323" s="73"/>
      <c r="GF323" s="32"/>
      <c r="GG323" s="73"/>
      <c r="GH323" s="73"/>
      <c r="GI323" s="345"/>
      <c r="GJ323" s="73"/>
      <c r="GK323" s="32"/>
      <c r="GL323" s="73"/>
      <c r="GM323" s="73"/>
      <c r="GN323" s="345"/>
      <c r="GO323" s="73"/>
      <c r="GP323" s="32"/>
      <c r="GQ323" s="73"/>
      <c r="GR323" s="73"/>
      <c r="GS323" s="345"/>
      <c r="GT323" s="73"/>
      <c r="GU323" s="32"/>
      <c r="GV323" s="73"/>
      <c r="GW323" s="73"/>
      <c r="GX323" s="345"/>
      <c r="GY323" s="73"/>
      <c r="GZ323" s="32"/>
      <c r="HA323" s="73"/>
      <c r="HB323" s="73"/>
      <c r="HC323" s="345"/>
      <c r="HD323" s="73"/>
      <c r="HE323" s="32"/>
      <c r="HF323" s="73"/>
      <c r="HG323" s="73"/>
      <c r="HH323" s="345"/>
      <c r="HI323" s="73"/>
      <c r="HJ323" s="32"/>
      <c r="HK323" s="73"/>
      <c r="HL323" s="73"/>
      <c r="HM323" s="345"/>
      <c r="HN323" s="73"/>
      <c r="HO323" s="32"/>
      <c r="HP323" s="73"/>
      <c r="HQ323" s="73"/>
      <c r="HR323" s="345"/>
      <c r="HS323" s="73"/>
      <c r="HT323" s="32"/>
      <c r="HU323" s="73"/>
      <c r="HV323" s="73"/>
      <c r="HW323" s="345"/>
      <c r="HX323" s="73"/>
      <c r="HY323" s="32"/>
      <c r="HZ323" s="73"/>
      <c r="IA323" s="73"/>
      <c r="IB323" s="345"/>
      <c r="IC323" s="73"/>
      <c r="ID323" s="32"/>
      <c r="IE323" s="73"/>
      <c r="IF323" s="73"/>
      <c r="IG323" s="345"/>
      <c r="IH323" s="73"/>
      <c r="II323" s="32"/>
      <c r="IJ323" s="73"/>
      <c r="IK323" s="73"/>
      <c r="IL323" s="345"/>
      <c r="IM323" s="73"/>
      <c r="IN323" s="32"/>
      <c r="IO323" s="73"/>
      <c r="IP323" s="73"/>
      <c r="IQ323" s="345"/>
      <c r="IR323" s="73"/>
      <c r="IS323" s="32"/>
      <c r="IT323" s="73"/>
      <c r="IU323" s="73"/>
      <c r="IV323" s="345"/>
    </row>
    <row r="324" spans="1:256" x14ac:dyDescent="0.2">
      <c r="A324" s="345">
        <v>37376</v>
      </c>
      <c r="B324" s="73"/>
      <c r="C324" s="32"/>
      <c r="D324" s="73"/>
      <c r="E324" s="73"/>
      <c r="F324" s="345"/>
      <c r="G324" s="73"/>
      <c r="H324" s="32"/>
      <c r="I324" s="73"/>
      <c r="J324" s="73"/>
      <c r="K324" s="345"/>
      <c r="L324" s="73"/>
      <c r="M324" s="32"/>
      <c r="N324" s="73"/>
      <c r="O324" s="73"/>
      <c r="P324" s="345"/>
      <c r="Q324" s="73"/>
      <c r="R324" s="32"/>
      <c r="S324" s="73"/>
      <c r="T324" s="73"/>
      <c r="U324" s="345"/>
      <c r="V324" s="73"/>
      <c r="W324" s="32"/>
      <c r="X324" s="73"/>
      <c r="Y324" s="73"/>
      <c r="Z324" s="345"/>
      <c r="AA324" s="73"/>
      <c r="AB324" s="32"/>
      <c r="AC324" s="73"/>
      <c r="AD324" s="73"/>
      <c r="AE324" s="345"/>
      <c r="AF324" s="73"/>
      <c r="AG324" s="32"/>
      <c r="AH324" s="73"/>
      <c r="AI324" s="73"/>
      <c r="AJ324" s="345"/>
      <c r="AK324" s="73"/>
      <c r="AL324" s="32"/>
      <c r="AM324" s="73"/>
      <c r="AN324" s="73"/>
      <c r="AO324" s="345"/>
      <c r="AP324" s="73"/>
      <c r="AQ324" s="32"/>
      <c r="AR324" s="73"/>
      <c r="AS324" s="73"/>
      <c r="AT324" s="345"/>
      <c r="AU324" s="73"/>
      <c r="AV324" s="32"/>
      <c r="AW324" s="73"/>
      <c r="AX324" s="73"/>
      <c r="AY324" s="345"/>
      <c r="AZ324" s="73"/>
      <c r="BA324" s="32"/>
      <c r="BB324" s="73"/>
      <c r="BC324" s="73"/>
      <c r="BD324" s="345"/>
      <c r="BE324" s="73"/>
      <c r="BF324" s="32"/>
      <c r="BG324" s="73"/>
      <c r="BH324" s="73"/>
      <c r="BI324" s="345"/>
      <c r="BJ324" s="73"/>
      <c r="BK324" s="32"/>
      <c r="BL324" s="73"/>
      <c r="BM324" s="73"/>
      <c r="BN324" s="345"/>
      <c r="BO324" s="73"/>
      <c r="BP324" s="32"/>
      <c r="BQ324" s="73"/>
      <c r="BR324" s="73"/>
      <c r="BS324" s="345"/>
      <c r="BT324" s="73"/>
      <c r="BU324" s="32"/>
      <c r="BV324" s="73"/>
      <c r="BW324" s="73"/>
      <c r="BX324" s="345"/>
      <c r="BY324" s="73"/>
      <c r="BZ324" s="32"/>
      <c r="CA324" s="73"/>
      <c r="CB324" s="73"/>
      <c r="CC324" s="345"/>
      <c r="CD324" s="73"/>
      <c r="CE324" s="32"/>
      <c r="CF324" s="73"/>
      <c r="CG324" s="73"/>
      <c r="CH324" s="345"/>
      <c r="CI324" s="73"/>
      <c r="CJ324" s="32"/>
      <c r="CK324" s="73"/>
      <c r="CL324" s="73"/>
      <c r="CM324" s="345"/>
      <c r="CN324" s="73"/>
      <c r="CO324" s="32"/>
      <c r="CP324" s="73"/>
      <c r="CQ324" s="73"/>
      <c r="CR324" s="345"/>
      <c r="CS324" s="73"/>
      <c r="CT324" s="32"/>
      <c r="CU324" s="73"/>
      <c r="CV324" s="73"/>
      <c r="CW324" s="345"/>
      <c r="CX324" s="73"/>
      <c r="CY324" s="32"/>
      <c r="CZ324" s="73"/>
      <c r="DA324" s="73"/>
      <c r="DB324" s="345"/>
      <c r="DC324" s="73"/>
      <c r="DD324" s="32"/>
      <c r="DE324" s="73"/>
      <c r="DF324" s="73"/>
      <c r="DG324" s="345"/>
      <c r="DH324" s="73"/>
      <c r="DI324" s="32"/>
      <c r="DJ324" s="73"/>
      <c r="DK324" s="73"/>
      <c r="DL324" s="345"/>
      <c r="DM324" s="73"/>
      <c r="DN324" s="32"/>
      <c r="DO324" s="73"/>
      <c r="DP324" s="73"/>
      <c r="DQ324" s="345"/>
      <c r="DR324" s="73"/>
      <c r="DS324" s="32"/>
      <c r="DT324" s="73"/>
      <c r="DU324" s="73"/>
      <c r="DV324" s="345"/>
      <c r="DW324" s="73"/>
      <c r="DX324" s="32"/>
      <c r="DY324" s="73"/>
      <c r="DZ324" s="73"/>
      <c r="EA324" s="345"/>
      <c r="EB324" s="73"/>
      <c r="EC324" s="32"/>
      <c r="ED324" s="73"/>
      <c r="EE324" s="73"/>
      <c r="EF324" s="345"/>
      <c r="EG324" s="73"/>
      <c r="EH324" s="32"/>
      <c r="EI324" s="73"/>
      <c r="EJ324" s="73"/>
      <c r="EK324" s="345"/>
      <c r="EL324" s="73"/>
      <c r="EM324" s="32"/>
      <c r="EN324" s="73"/>
      <c r="EO324" s="73"/>
      <c r="EP324" s="345"/>
      <c r="EQ324" s="73"/>
      <c r="ER324" s="32"/>
      <c r="ES324" s="73"/>
      <c r="ET324" s="73"/>
      <c r="EU324" s="345"/>
      <c r="EV324" s="73"/>
      <c r="EW324" s="32"/>
      <c r="EX324" s="73"/>
      <c r="EY324" s="73"/>
      <c r="EZ324" s="345"/>
      <c r="FA324" s="73"/>
      <c r="FB324" s="32"/>
      <c r="FC324" s="73"/>
      <c r="FD324" s="73"/>
      <c r="FE324" s="345"/>
      <c r="FF324" s="73"/>
      <c r="FG324" s="32"/>
      <c r="FH324" s="73"/>
      <c r="FI324" s="73"/>
      <c r="FJ324" s="345"/>
      <c r="FK324" s="73"/>
      <c r="FL324" s="32"/>
      <c r="FM324" s="73"/>
      <c r="FN324" s="73"/>
      <c r="FO324" s="345"/>
      <c r="FP324" s="73"/>
      <c r="FQ324" s="32"/>
      <c r="FR324" s="73"/>
      <c r="FS324" s="73"/>
      <c r="FT324" s="345"/>
      <c r="FU324" s="73"/>
      <c r="FV324" s="32"/>
      <c r="FW324" s="73"/>
      <c r="FX324" s="73"/>
      <c r="FY324" s="345"/>
      <c r="FZ324" s="73"/>
      <c r="GA324" s="32"/>
      <c r="GB324" s="73"/>
      <c r="GC324" s="73"/>
      <c r="GD324" s="345"/>
      <c r="GE324" s="73"/>
      <c r="GF324" s="32"/>
      <c r="GG324" s="73"/>
      <c r="GH324" s="73"/>
      <c r="GI324" s="345"/>
      <c r="GJ324" s="73"/>
      <c r="GK324" s="32"/>
      <c r="GL324" s="73"/>
      <c r="GM324" s="73"/>
      <c r="GN324" s="345"/>
      <c r="GO324" s="73"/>
      <c r="GP324" s="32"/>
      <c r="GQ324" s="73"/>
      <c r="GR324" s="73"/>
      <c r="GS324" s="345"/>
      <c r="GT324" s="73"/>
      <c r="GU324" s="32"/>
      <c r="GV324" s="73"/>
      <c r="GW324" s="73"/>
      <c r="GX324" s="345"/>
      <c r="GY324" s="73"/>
      <c r="GZ324" s="32"/>
      <c r="HA324" s="73"/>
      <c r="HB324" s="73"/>
      <c r="HC324" s="345"/>
      <c r="HD324" s="73"/>
      <c r="HE324" s="32"/>
      <c r="HF324" s="73"/>
      <c r="HG324" s="73"/>
      <c r="HH324" s="345"/>
      <c r="HI324" s="73"/>
      <c r="HJ324" s="32"/>
      <c r="HK324" s="73"/>
      <c r="HL324" s="73"/>
      <c r="HM324" s="345"/>
      <c r="HN324" s="73"/>
      <c r="HO324" s="32"/>
      <c r="HP324" s="73"/>
      <c r="HQ324" s="73"/>
      <c r="HR324" s="345"/>
      <c r="HS324" s="73"/>
      <c r="HT324" s="32"/>
      <c r="HU324" s="73"/>
      <c r="HV324" s="73"/>
      <c r="HW324" s="345"/>
      <c r="HX324" s="73"/>
      <c r="HY324" s="32"/>
      <c r="HZ324" s="73"/>
      <c r="IA324" s="73"/>
      <c r="IB324" s="345"/>
      <c r="IC324" s="73"/>
      <c r="ID324" s="32"/>
      <c r="IE324" s="73"/>
      <c r="IF324" s="73"/>
      <c r="IG324" s="345"/>
      <c r="IH324" s="73"/>
      <c r="II324" s="32"/>
      <c r="IJ324" s="73"/>
      <c r="IK324" s="73"/>
      <c r="IL324" s="345"/>
      <c r="IM324" s="73"/>
      <c r="IN324" s="32"/>
      <c r="IO324" s="73"/>
      <c r="IP324" s="73"/>
      <c r="IQ324" s="345"/>
      <c r="IR324" s="73"/>
      <c r="IS324" s="32"/>
      <c r="IT324" s="73"/>
      <c r="IU324" s="73"/>
      <c r="IV324" s="345"/>
    </row>
    <row r="325" spans="1:256" x14ac:dyDescent="0.2">
      <c r="A325" s="345">
        <v>37407</v>
      </c>
      <c r="B325" s="73"/>
      <c r="C325" s="32"/>
      <c r="D325" s="73"/>
      <c r="E325" s="73"/>
      <c r="F325" s="345"/>
      <c r="G325" s="73"/>
      <c r="H325" s="32"/>
      <c r="I325" s="73"/>
      <c r="J325" s="73"/>
      <c r="K325" s="345"/>
      <c r="L325" s="73"/>
      <c r="M325" s="32"/>
      <c r="N325" s="73"/>
      <c r="O325" s="73"/>
      <c r="P325" s="345"/>
      <c r="Q325" s="73"/>
      <c r="R325" s="32"/>
      <c r="S325" s="73"/>
      <c r="T325" s="73"/>
      <c r="U325" s="345"/>
      <c r="V325" s="73"/>
      <c r="W325" s="32"/>
      <c r="X325" s="73"/>
      <c r="Y325" s="73"/>
      <c r="Z325" s="345"/>
      <c r="AA325" s="73"/>
      <c r="AB325" s="32"/>
      <c r="AC325" s="73"/>
      <c r="AD325" s="73"/>
      <c r="AE325" s="345"/>
      <c r="AF325" s="73"/>
      <c r="AG325" s="32"/>
      <c r="AH325" s="73"/>
      <c r="AI325" s="73"/>
      <c r="AJ325" s="345"/>
      <c r="AK325" s="73"/>
      <c r="AL325" s="32"/>
      <c r="AM325" s="73"/>
      <c r="AN325" s="73"/>
      <c r="AO325" s="345"/>
      <c r="AP325" s="73"/>
      <c r="AQ325" s="32"/>
      <c r="AR325" s="73"/>
      <c r="AS325" s="73"/>
      <c r="AT325" s="345"/>
      <c r="AU325" s="73"/>
      <c r="AV325" s="32"/>
      <c r="AW325" s="73"/>
      <c r="AX325" s="73"/>
      <c r="AY325" s="345"/>
      <c r="AZ325" s="73"/>
      <c r="BA325" s="32"/>
      <c r="BB325" s="73"/>
      <c r="BC325" s="73"/>
      <c r="BD325" s="345"/>
      <c r="BE325" s="73"/>
      <c r="BF325" s="32"/>
      <c r="BG325" s="73"/>
      <c r="BH325" s="73"/>
      <c r="BI325" s="345"/>
      <c r="BJ325" s="73"/>
      <c r="BK325" s="32"/>
      <c r="BL325" s="73"/>
      <c r="BM325" s="73"/>
      <c r="BN325" s="345"/>
      <c r="BO325" s="73"/>
      <c r="BP325" s="32"/>
      <c r="BQ325" s="73"/>
      <c r="BR325" s="73"/>
      <c r="BS325" s="345"/>
      <c r="BT325" s="73"/>
      <c r="BU325" s="32"/>
      <c r="BV325" s="73"/>
      <c r="BW325" s="73"/>
      <c r="BX325" s="345"/>
      <c r="BY325" s="73"/>
      <c r="BZ325" s="32"/>
      <c r="CA325" s="73"/>
      <c r="CB325" s="73"/>
      <c r="CC325" s="345"/>
      <c r="CD325" s="73"/>
      <c r="CE325" s="32"/>
      <c r="CF325" s="73"/>
      <c r="CG325" s="73"/>
      <c r="CH325" s="345"/>
      <c r="CI325" s="73"/>
      <c r="CJ325" s="32"/>
      <c r="CK325" s="73"/>
      <c r="CL325" s="73"/>
      <c r="CM325" s="345"/>
      <c r="CN325" s="73"/>
      <c r="CO325" s="32"/>
      <c r="CP325" s="73"/>
      <c r="CQ325" s="73"/>
      <c r="CR325" s="345"/>
      <c r="CS325" s="73"/>
      <c r="CT325" s="32"/>
      <c r="CU325" s="73"/>
      <c r="CV325" s="73"/>
      <c r="CW325" s="345"/>
      <c r="CX325" s="73"/>
      <c r="CY325" s="32"/>
      <c r="CZ325" s="73"/>
      <c r="DA325" s="73"/>
      <c r="DB325" s="345"/>
      <c r="DC325" s="73"/>
      <c r="DD325" s="32"/>
      <c r="DE325" s="73"/>
      <c r="DF325" s="73"/>
      <c r="DG325" s="345"/>
      <c r="DH325" s="73"/>
      <c r="DI325" s="32"/>
      <c r="DJ325" s="73"/>
      <c r="DK325" s="73"/>
      <c r="DL325" s="345"/>
      <c r="DM325" s="73"/>
      <c r="DN325" s="32"/>
      <c r="DO325" s="73"/>
      <c r="DP325" s="73"/>
      <c r="DQ325" s="345"/>
      <c r="DR325" s="73"/>
      <c r="DS325" s="32"/>
      <c r="DT325" s="73"/>
      <c r="DU325" s="73"/>
      <c r="DV325" s="345"/>
      <c r="DW325" s="73"/>
      <c r="DX325" s="32"/>
      <c r="DY325" s="73"/>
      <c r="DZ325" s="73"/>
      <c r="EA325" s="345"/>
      <c r="EB325" s="73"/>
      <c r="EC325" s="32"/>
      <c r="ED325" s="73"/>
      <c r="EE325" s="73"/>
      <c r="EF325" s="345"/>
      <c r="EG325" s="73"/>
      <c r="EH325" s="32"/>
      <c r="EI325" s="73"/>
      <c r="EJ325" s="73"/>
      <c r="EK325" s="345"/>
      <c r="EL325" s="73"/>
      <c r="EM325" s="32"/>
      <c r="EN325" s="73"/>
      <c r="EO325" s="73"/>
      <c r="EP325" s="345"/>
      <c r="EQ325" s="73"/>
      <c r="ER325" s="32"/>
      <c r="ES325" s="73"/>
      <c r="ET325" s="73"/>
      <c r="EU325" s="345"/>
      <c r="EV325" s="73"/>
      <c r="EW325" s="32"/>
      <c r="EX325" s="73"/>
      <c r="EY325" s="73"/>
      <c r="EZ325" s="345"/>
      <c r="FA325" s="73"/>
      <c r="FB325" s="32"/>
      <c r="FC325" s="73"/>
      <c r="FD325" s="73"/>
      <c r="FE325" s="345"/>
      <c r="FF325" s="73"/>
      <c r="FG325" s="32"/>
      <c r="FH325" s="73"/>
      <c r="FI325" s="73"/>
      <c r="FJ325" s="345"/>
      <c r="FK325" s="73"/>
      <c r="FL325" s="32"/>
      <c r="FM325" s="73"/>
      <c r="FN325" s="73"/>
      <c r="FO325" s="345"/>
      <c r="FP325" s="73"/>
      <c r="FQ325" s="32"/>
      <c r="FR325" s="73"/>
      <c r="FS325" s="73"/>
      <c r="FT325" s="345"/>
      <c r="FU325" s="73"/>
      <c r="FV325" s="32"/>
      <c r="FW325" s="73"/>
      <c r="FX325" s="73"/>
      <c r="FY325" s="345"/>
      <c r="FZ325" s="73"/>
      <c r="GA325" s="32"/>
      <c r="GB325" s="73"/>
      <c r="GC325" s="73"/>
      <c r="GD325" s="345"/>
      <c r="GE325" s="73"/>
      <c r="GF325" s="32"/>
      <c r="GG325" s="73"/>
      <c r="GH325" s="73"/>
      <c r="GI325" s="345"/>
      <c r="GJ325" s="73"/>
      <c r="GK325" s="32"/>
      <c r="GL325" s="73"/>
      <c r="GM325" s="73"/>
      <c r="GN325" s="345"/>
      <c r="GO325" s="73"/>
      <c r="GP325" s="32"/>
      <c r="GQ325" s="73"/>
      <c r="GR325" s="73"/>
      <c r="GS325" s="345"/>
      <c r="GT325" s="73"/>
      <c r="GU325" s="32"/>
      <c r="GV325" s="73"/>
      <c r="GW325" s="73"/>
      <c r="GX325" s="345"/>
      <c r="GY325" s="73"/>
      <c r="GZ325" s="32"/>
      <c r="HA325" s="73"/>
      <c r="HB325" s="73"/>
      <c r="HC325" s="345"/>
      <c r="HD325" s="73"/>
      <c r="HE325" s="32"/>
      <c r="HF325" s="73"/>
      <c r="HG325" s="73"/>
      <c r="HH325" s="345"/>
      <c r="HI325" s="73"/>
      <c r="HJ325" s="32"/>
      <c r="HK325" s="73"/>
      <c r="HL325" s="73"/>
      <c r="HM325" s="345"/>
      <c r="HN325" s="73"/>
      <c r="HO325" s="32"/>
      <c r="HP325" s="73"/>
      <c r="HQ325" s="73"/>
      <c r="HR325" s="345"/>
      <c r="HS325" s="73"/>
      <c r="HT325" s="32"/>
      <c r="HU325" s="73"/>
      <c r="HV325" s="73"/>
      <c r="HW325" s="345"/>
      <c r="HX325" s="73"/>
      <c r="HY325" s="32"/>
      <c r="HZ325" s="73"/>
      <c r="IA325" s="73"/>
      <c r="IB325" s="345"/>
      <c r="IC325" s="73"/>
      <c r="ID325" s="32"/>
      <c r="IE325" s="73"/>
      <c r="IF325" s="73"/>
      <c r="IG325" s="345"/>
      <c r="IH325" s="73"/>
      <c r="II325" s="32"/>
      <c r="IJ325" s="73"/>
      <c r="IK325" s="73"/>
      <c r="IL325" s="345"/>
      <c r="IM325" s="73"/>
      <c r="IN325" s="32"/>
      <c r="IO325" s="73"/>
      <c r="IP325" s="73"/>
      <c r="IQ325" s="345"/>
      <c r="IR325" s="73"/>
      <c r="IS325" s="32"/>
      <c r="IT325" s="73"/>
      <c r="IU325" s="73"/>
      <c r="IV325" s="345"/>
    </row>
    <row r="326" spans="1:256" x14ac:dyDescent="0.2">
      <c r="A326" s="345">
        <v>37437</v>
      </c>
      <c r="B326" s="73"/>
      <c r="C326" s="32"/>
      <c r="D326" s="73"/>
      <c r="E326" s="73"/>
      <c r="F326" s="345"/>
      <c r="G326" s="73"/>
      <c r="H326" s="32"/>
      <c r="I326" s="73"/>
      <c r="J326" s="73"/>
      <c r="K326" s="345"/>
      <c r="L326" s="73"/>
      <c r="M326" s="32"/>
      <c r="N326" s="73"/>
      <c r="O326" s="73"/>
      <c r="P326" s="345"/>
      <c r="Q326" s="73"/>
      <c r="R326" s="32"/>
      <c r="S326" s="73"/>
      <c r="T326" s="73"/>
      <c r="U326" s="345"/>
      <c r="V326" s="73"/>
      <c r="W326" s="32"/>
      <c r="X326" s="73"/>
      <c r="Y326" s="73"/>
      <c r="Z326" s="345"/>
      <c r="AA326" s="73"/>
      <c r="AB326" s="32"/>
      <c r="AC326" s="73"/>
      <c r="AD326" s="73"/>
      <c r="AE326" s="345"/>
      <c r="AF326" s="73"/>
      <c r="AG326" s="32"/>
      <c r="AH326" s="73"/>
      <c r="AI326" s="73"/>
      <c r="AJ326" s="345"/>
      <c r="AK326" s="73"/>
      <c r="AL326" s="32"/>
      <c r="AM326" s="73"/>
      <c r="AN326" s="73"/>
      <c r="AO326" s="345"/>
      <c r="AP326" s="73"/>
      <c r="AQ326" s="32"/>
      <c r="AR326" s="73"/>
      <c r="AS326" s="73"/>
      <c r="AT326" s="345"/>
      <c r="AU326" s="73"/>
      <c r="AV326" s="32"/>
      <c r="AW326" s="73"/>
      <c r="AX326" s="73"/>
      <c r="AY326" s="345"/>
      <c r="AZ326" s="73"/>
      <c r="BA326" s="32"/>
      <c r="BB326" s="73"/>
      <c r="BC326" s="73"/>
      <c r="BD326" s="345"/>
      <c r="BE326" s="73"/>
      <c r="BF326" s="32"/>
      <c r="BG326" s="73"/>
      <c r="BH326" s="73"/>
      <c r="BI326" s="345"/>
      <c r="BJ326" s="73"/>
      <c r="BK326" s="32"/>
      <c r="BL326" s="73"/>
      <c r="BM326" s="73"/>
      <c r="BN326" s="345"/>
      <c r="BO326" s="73"/>
      <c r="BP326" s="32"/>
      <c r="BQ326" s="73"/>
      <c r="BR326" s="73"/>
      <c r="BS326" s="345"/>
      <c r="BT326" s="73"/>
      <c r="BU326" s="32"/>
      <c r="BV326" s="73"/>
      <c r="BW326" s="73"/>
      <c r="BX326" s="345"/>
      <c r="BY326" s="73"/>
      <c r="BZ326" s="32"/>
      <c r="CA326" s="73"/>
      <c r="CB326" s="73"/>
      <c r="CC326" s="345"/>
      <c r="CD326" s="73"/>
      <c r="CE326" s="32"/>
      <c r="CF326" s="73"/>
      <c r="CG326" s="73"/>
      <c r="CH326" s="345"/>
      <c r="CI326" s="73"/>
      <c r="CJ326" s="32"/>
      <c r="CK326" s="73"/>
      <c r="CL326" s="73"/>
      <c r="CM326" s="345"/>
      <c r="CN326" s="73"/>
      <c r="CO326" s="32"/>
      <c r="CP326" s="73"/>
      <c r="CQ326" s="73"/>
      <c r="CR326" s="345"/>
      <c r="CS326" s="73"/>
      <c r="CT326" s="32"/>
      <c r="CU326" s="73"/>
      <c r="CV326" s="73"/>
      <c r="CW326" s="345"/>
      <c r="CX326" s="73"/>
      <c r="CY326" s="32"/>
      <c r="CZ326" s="73"/>
      <c r="DA326" s="73"/>
      <c r="DB326" s="345"/>
      <c r="DC326" s="73"/>
      <c r="DD326" s="32"/>
      <c r="DE326" s="73"/>
      <c r="DF326" s="73"/>
      <c r="DG326" s="345"/>
      <c r="DH326" s="73"/>
      <c r="DI326" s="32"/>
      <c r="DJ326" s="73"/>
      <c r="DK326" s="73"/>
      <c r="DL326" s="345"/>
      <c r="DM326" s="73"/>
      <c r="DN326" s="32"/>
      <c r="DO326" s="73"/>
      <c r="DP326" s="73"/>
      <c r="DQ326" s="345"/>
      <c r="DR326" s="73"/>
      <c r="DS326" s="32"/>
      <c r="DT326" s="73"/>
      <c r="DU326" s="73"/>
      <c r="DV326" s="345"/>
      <c r="DW326" s="73"/>
      <c r="DX326" s="32"/>
      <c r="DY326" s="73"/>
      <c r="DZ326" s="73"/>
      <c r="EA326" s="345"/>
      <c r="EB326" s="73"/>
      <c r="EC326" s="32"/>
      <c r="ED326" s="73"/>
      <c r="EE326" s="73"/>
      <c r="EF326" s="345"/>
      <c r="EG326" s="73"/>
      <c r="EH326" s="32"/>
      <c r="EI326" s="73"/>
      <c r="EJ326" s="73"/>
      <c r="EK326" s="345"/>
      <c r="EL326" s="73"/>
      <c r="EM326" s="32"/>
      <c r="EN326" s="73"/>
      <c r="EO326" s="73"/>
      <c r="EP326" s="345"/>
      <c r="EQ326" s="73"/>
      <c r="ER326" s="32"/>
      <c r="ES326" s="73"/>
      <c r="ET326" s="73"/>
      <c r="EU326" s="345"/>
      <c r="EV326" s="73"/>
      <c r="EW326" s="32"/>
      <c r="EX326" s="73"/>
      <c r="EY326" s="73"/>
      <c r="EZ326" s="345"/>
      <c r="FA326" s="73"/>
      <c r="FB326" s="32"/>
      <c r="FC326" s="73"/>
      <c r="FD326" s="73"/>
      <c r="FE326" s="345"/>
      <c r="FF326" s="73"/>
      <c r="FG326" s="32"/>
      <c r="FH326" s="73"/>
      <c r="FI326" s="73"/>
      <c r="FJ326" s="345"/>
      <c r="FK326" s="73"/>
      <c r="FL326" s="32"/>
      <c r="FM326" s="73"/>
      <c r="FN326" s="73"/>
      <c r="FO326" s="345"/>
      <c r="FP326" s="73"/>
      <c r="FQ326" s="32"/>
      <c r="FR326" s="73"/>
      <c r="FS326" s="73"/>
      <c r="FT326" s="345"/>
      <c r="FU326" s="73"/>
      <c r="FV326" s="32"/>
      <c r="FW326" s="73"/>
      <c r="FX326" s="73"/>
      <c r="FY326" s="345"/>
      <c r="FZ326" s="73"/>
      <c r="GA326" s="32"/>
      <c r="GB326" s="73"/>
      <c r="GC326" s="73"/>
      <c r="GD326" s="345"/>
      <c r="GE326" s="73"/>
      <c r="GF326" s="32"/>
      <c r="GG326" s="73"/>
      <c r="GH326" s="73"/>
      <c r="GI326" s="345"/>
      <c r="GJ326" s="73"/>
      <c r="GK326" s="32"/>
      <c r="GL326" s="73"/>
      <c r="GM326" s="73"/>
      <c r="GN326" s="345"/>
      <c r="GO326" s="73"/>
      <c r="GP326" s="32"/>
      <c r="GQ326" s="73"/>
      <c r="GR326" s="73"/>
      <c r="GS326" s="345"/>
      <c r="GT326" s="73"/>
      <c r="GU326" s="32"/>
      <c r="GV326" s="73"/>
      <c r="GW326" s="73"/>
      <c r="GX326" s="345"/>
      <c r="GY326" s="73"/>
      <c r="GZ326" s="32"/>
      <c r="HA326" s="73"/>
      <c r="HB326" s="73"/>
      <c r="HC326" s="345"/>
      <c r="HD326" s="73"/>
      <c r="HE326" s="32"/>
      <c r="HF326" s="73"/>
      <c r="HG326" s="73"/>
      <c r="HH326" s="345"/>
      <c r="HI326" s="73"/>
      <c r="HJ326" s="32"/>
      <c r="HK326" s="73"/>
      <c r="HL326" s="73"/>
      <c r="HM326" s="345"/>
      <c r="HN326" s="73"/>
      <c r="HO326" s="32"/>
      <c r="HP326" s="73"/>
      <c r="HQ326" s="73"/>
      <c r="HR326" s="345"/>
      <c r="HS326" s="73"/>
      <c r="HT326" s="32"/>
      <c r="HU326" s="73"/>
      <c r="HV326" s="73"/>
      <c r="HW326" s="345"/>
      <c r="HX326" s="73"/>
      <c r="HY326" s="32"/>
      <c r="HZ326" s="73"/>
      <c r="IA326" s="73"/>
      <c r="IB326" s="345"/>
      <c r="IC326" s="73"/>
      <c r="ID326" s="32"/>
      <c r="IE326" s="73"/>
      <c r="IF326" s="73"/>
      <c r="IG326" s="345"/>
      <c r="IH326" s="73"/>
      <c r="II326" s="32"/>
      <c r="IJ326" s="73"/>
      <c r="IK326" s="73"/>
      <c r="IL326" s="345"/>
      <c r="IM326" s="73"/>
      <c r="IN326" s="32"/>
      <c r="IO326" s="73"/>
      <c r="IP326" s="73"/>
      <c r="IQ326" s="345"/>
      <c r="IR326" s="73"/>
      <c r="IS326" s="32"/>
      <c r="IT326" s="73"/>
      <c r="IU326" s="73"/>
      <c r="IV326" s="345"/>
    </row>
    <row r="327" spans="1:256" x14ac:dyDescent="0.2">
      <c r="A327" s="345">
        <v>37468</v>
      </c>
      <c r="B327" s="73"/>
      <c r="C327" s="32"/>
      <c r="D327" s="73"/>
      <c r="E327" s="73"/>
      <c r="F327" s="345"/>
      <c r="G327" s="73"/>
      <c r="H327" s="32"/>
      <c r="I327" s="73"/>
      <c r="J327" s="73"/>
      <c r="K327" s="345"/>
      <c r="L327" s="73"/>
      <c r="M327" s="32"/>
      <c r="N327" s="73"/>
      <c r="O327" s="73"/>
      <c r="P327" s="345"/>
      <c r="Q327" s="73"/>
      <c r="R327" s="32"/>
      <c r="S327" s="73"/>
      <c r="T327" s="73"/>
      <c r="U327" s="345"/>
      <c r="V327" s="73"/>
      <c r="W327" s="32"/>
      <c r="X327" s="73"/>
      <c r="Y327" s="73"/>
      <c r="Z327" s="345"/>
      <c r="AA327" s="73"/>
      <c r="AB327" s="32"/>
      <c r="AC327" s="73"/>
      <c r="AD327" s="73"/>
      <c r="AE327" s="345"/>
      <c r="AF327" s="73"/>
      <c r="AG327" s="32"/>
      <c r="AH327" s="73"/>
      <c r="AI327" s="73"/>
      <c r="AJ327" s="345"/>
      <c r="AK327" s="73"/>
      <c r="AL327" s="32"/>
      <c r="AM327" s="73"/>
      <c r="AN327" s="73"/>
      <c r="AO327" s="345"/>
      <c r="AP327" s="73"/>
      <c r="AQ327" s="32"/>
      <c r="AR327" s="73"/>
      <c r="AS327" s="73"/>
      <c r="AT327" s="345"/>
      <c r="AU327" s="73"/>
      <c r="AV327" s="32"/>
      <c r="AW327" s="73"/>
      <c r="AX327" s="73"/>
      <c r="AY327" s="345"/>
      <c r="AZ327" s="73"/>
      <c r="BA327" s="32"/>
      <c r="BB327" s="73"/>
      <c r="BC327" s="73"/>
      <c r="BD327" s="345"/>
      <c r="BE327" s="73"/>
      <c r="BF327" s="32"/>
      <c r="BG327" s="73"/>
      <c r="BH327" s="73"/>
      <c r="BI327" s="345"/>
      <c r="BJ327" s="73"/>
      <c r="BK327" s="32"/>
      <c r="BL327" s="73"/>
      <c r="BM327" s="73"/>
      <c r="BN327" s="345"/>
      <c r="BO327" s="73"/>
      <c r="BP327" s="32"/>
      <c r="BQ327" s="73"/>
      <c r="BR327" s="73"/>
      <c r="BS327" s="345"/>
      <c r="BT327" s="73"/>
      <c r="BU327" s="32"/>
      <c r="BV327" s="73"/>
      <c r="BW327" s="73"/>
      <c r="BX327" s="345"/>
      <c r="BY327" s="73"/>
      <c r="BZ327" s="32"/>
      <c r="CA327" s="73"/>
      <c r="CB327" s="73"/>
      <c r="CC327" s="345"/>
      <c r="CD327" s="73"/>
      <c r="CE327" s="32"/>
      <c r="CF327" s="73"/>
      <c r="CG327" s="73"/>
      <c r="CH327" s="345"/>
      <c r="CI327" s="73"/>
      <c r="CJ327" s="32"/>
      <c r="CK327" s="73"/>
      <c r="CL327" s="73"/>
      <c r="CM327" s="345"/>
      <c r="CN327" s="73"/>
      <c r="CO327" s="32"/>
      <c r="CP327" s="73"/>
      <c r="CQ327" s="73"/>
      <c r="CR327" s="345"/>
      <c r="CS327" s="73"/>
      <c r="CT327" s="32"/>
      <c r="CU327" s="73"/>
      <c r="CV327" s="73"/>
      <c r="CW327" s="345"/>
      <c r="CX327" s="73"/>
      <c r="CY327" s="32"/>
      <c r="CZ327" s="73"/>
      <c r="DA327" s="73"/>
      <c r="DB327" s="345"/>
      <c r="DC327" s="73"/>
      <c r="DD327" s="32"/>
      <c r="DE327" s="73"/>
      <c r="DF327" s="73"/>
      <c r="DG327" s="345"/>
      <c r="DH327" s="73"/>
      <c r="DI327" s="32"/>
      <c r="DJ327" s="73"/>
      <c r="DK327" s="73"/>
      <c r="DL327" s="345"/>
      <c r="DM327" s="73"/>
      <c r="DN327" s="32"/>
      <c r="DO327" s="73"/>
      <c r="DP327" s="73"/>
      <c r="DQ327" s="345"/>
      <c r="DR327" s="73"/>
      <c r="DS327" s="32"/>
      <c r="DT327" s="73"/>
      <c r="DU327" s="73"/>
      <c r="DV327" s="345"/>
      <c r="DW327" s="73"/>
      <c r="DX327" s="32"/>
      <c r="DY327" s="73"/>
      <c r="DZ327" s="73"/>
      <c r="EA327" s="345"/>
      <c r="EB327" s="73"/>
      <c r="EC327" s="32"/>
      <c r="ED327" s="73"/>
      <c r="EE327" s="73"/>
      <c r="EF327" s="345"/>
      <c r="EG327" s="73"/>
      <c r="EH327" s="32"/>
      <c r="EI327" s="73"/>
      <c r="EJ327" s="73"/>
      <c r="EK327" s="345"/>
      <c r="EL327" s="73"/>
      <c r="EM327" s="32"/>
      <c r="EN327" s="73"/>
      <c r="EO327" s="73"/>
      <c r="EP327" s="345"/>
      <c r="EQ327" s="73"/>
      <c r="ER327" s="32"/>
      <c r="ES327" s="73"/>
      <c r="ET327" s="73"/>
      <c r="EU327" s="345"/>
      <c r="EV327" s="73"/>
      <c r="EW327" s="32"/>
      <c r="EX327" s="73"/>
      <c r="EY327" s="73"/>
      <c r="EZ327" s="345"/>
      <c r="FA327" s="73"/>
      <c r="FB327" s="32"/>
      <c r="FC327" s="73"/>
      <c r="FD327" s="73"/>
      <c r="FE327" s="345"/>
      <c r="FF327" s="73"/>
      <c r="FG327" s="32"/>
      <c r="FH327" s="73"/>
      <c r="FI327" s="73"/>
      <c r="FJ327" s="345"/>
      <c r="FK327" s="73"/>
      <c r="FL327" s="32"/>
      <c r="FM327" s="73"/>
      <c r="FN327" s="73"/>
      <c r="FO327" s="345"/>
      <c r="FP327" s="73"/>
      <c r="FQ327" s="32"/>
      <c r="FR327" s="73"/>
      <c r="FS327" s="73"/>
      <c r="FT327" s="345"/>
      <c r="FU327" s="73"/>
      <c r="FV327" s="32"/>
      <c r="FW327" s="73"/>
      <c r="FX327" s="73"/>
      <c r="FY327" s="345"/>
      <c r="FZ327" s="73"/>
      <c r="GA327" s="32"/>
      <c r="GB327" s="73"/>
      <c r="GC327" s="73"/>
      <c r="GD327" s="345"/>
      <c r="GE327" s="73"/>
      <c r="GF327" s="32"/>
      <c r="GG327" s="73"/>
      <c r="GH327" s="73"/>
      <c r="GI327" s="345"/>
      <c r="GJ327" s="73"/>
      <c r="GK327" s="32"/>
      <c r="GL327" s="73"/>
      <c r="GM327" s="73"/>
      <c r="GN327" s="345"/>
      <c r="GO327" s="73"/>
      <c r="GP327" s="32"/>
      <c r="GQ327" s="73"/>
      <c r="GR327" s="73"/>
      <c r="GS327" s="345"/>
      <c r="GT327" s="73"/>
      <c r="GU327" s="32"/>
      <c r="GV327" s="73"/>
      <c r="GW327" s="73"/>
      <c r="GX327" s="345"/>
      <c r="GY327" s="73"/>
      <c r="GZ327" s="32"/>
      <c r="HA327" s="73"/>
      <c r="HB327" s="73"/>
      <c r="HC327" s="345"/>
      <c r="HD327" s="73"/>
      <c r="HE327" s="32"/>
      <c r="HF327" s="73"/>
      <c r="HG327" s="73"/>
      <c r="HH327" s="345"/>
      <c r="HI327" s="73"/>
      <c r="HJ327" s="32"/>
      <c r="HK327" s="73"/>
      <c r="HL327" s="73"/>
      <c r="HM327" s="345"/>
      <c r="HN327" s="73"/>
      <c r="HO327" s="32"/>
      <c r="HP327" s="73"/>
      <c r="HQ327" s="73"/>
      <c r="HR327" s="345"/>
      <c r="HS327" s="73"/>
      <c r="HT327" s="32"/>
      <c r="HU327" s="73"/>
      <c r="HV327" s="73"/>
      <c r="HW327" s="345"/>
      <c r="HX327" s="73"/>
      <c r="HY327" s="32"/>
      <c r="HZ327" s="73"/>
      <c r="IA327" s="73"/>
      <c r="IB327" s="345"/>
      <c r="IC327" s="73"/>
      <c r="ID327" s="32"/>
      <c r="IE327" s="73"/>
      <c r="IF327" s="73"/>
      <c r="IG327" s="345"/>
      <c r="IH327" s="73"/>
      <c r="II327" s="32"/>
      <c r="IJ327" s="73"/>
      <c r="IK327" s="73"/>
      <c r="IL327" s="345"/>
      <c r="IM327" s="73"/>
      <c r="IN327" s="32"/>
      <c r="IO327" s="73"/>
      <c r="IP327" s="73"/>
      <c r="IQ327" s="345"/>
      <c r="IR327" s="73"/>
      <c r="IS327" s="32"/>
      <c r="IT327" s="73"/>
      <c r="IU327" s="73"/>
      <c r="IV327" s="345"/>
    </row>
    <row r="328" spans="1:256" x14ac:dyDescent="0.2">
      <c r="A328" s="345">
        <v>37499</v>
      </c>
      <c r="B328" s="73"/>
      <c r="C328" s="32"/>
      <c r="D328" s="73"/>
      <c r="E328" s="73"/>
      <c r="F328" s="345"/>
      <c r="G328" s="73"/>
      <c r="H328" s="32"/>
      <c r="I328" s="73"/>
      <c r="J328" s="73"/>
      <c r="K328" s="345"/>
      <c r="L328" s="73"/>
      <c r="M328" s="32"/>
      <c r="N328" s="73"/>
      <c r="O328" s="73"/>
      <c r="P328" s="345"/>
      <c r="Q328" s="73"/>
      <c r="R328" s="32"/>
      <c r="S328" s="73"/>
      <c r="T328" s="73"/>
      <c r="U328" s="345"/>
      <c r="V328" s="73"/>
      <c r="W328" s="32"/>
      <c r="X328" s="73"/>
      <c r="Y328" s="73"/>
      <c r="Z328" s="345"/>
      <c r="AA328" s="73"/>
      <c r="AB328" s="32"/>
      <c r="AC328" s="73"/>
      <c r="AD328" s="73"/>
      <c r="AE328" s="345"/>
      <c r="AF328" s="73"/>
      <c r="AG328" s="32"/>
      <c r="AH328" s="73"/>
      <c r="AI328" s="73"/>
      <c r="AJ328" s="345"/>
      <c r="AK328" s="73"/>
      <c r="AL328" s="32"/>
      <c r="AM328" s="73"/>
      <c r="AN328" s="73"/>
      <c r="AO328" s="345"/>
      <c r="AP328" s="73"/>
      <c r="AQ328" s="32"/>
      <c r="AR328" s="73"/>
      <c r="AS328" s="73"/>
      <c r="AT328" s="345"/>
      <c r="AU328" s="73"/>
      <c r="AV328" s="32"/>
      <c r="AW328" s="73"/>
      <c r="AX328" s="73"/>
      <c r="AY328" s="345"/>
      <c r="AZ328" s="73"/>
      <c r="BA328" s="32"/>
      <c r="BB328" s="73"/>
      <c r="BC328" s="73"/>
      <c r="BD328" s="345"/>
      <c r="BE328" s="73"/>
      <c r="BF328" s="32"/>
      <c r="BG328" s="73"/>
      <c r="BH328" s="73"/>
      <c r="BI328" s="345"/>
      <c r="BJ328" s="73"/>
      <c r="BK328" s="32"/>
      <c r="BL328" s="73"/>
      <c r="BM328" s="73"/>
      <c r="BN328" s="345"/>
      <c r="BO328" s="73"/>
      <c r="BP328" s="32"/>
      <c r="BQ328" s="73"/>
      <c r="BR328" s="73"/>
      <c r="BS328" s="345"/>
      <c r="BT328" s="73"/>
      <c r="BU328" s="32"/>
      <c r="BV328" s="73"/>
      <c r="BW328" s="73"/>
      <c r="BX328" s="345"/>
      <c r="BY328" s="73"/>
      <c r="BZ328" s="32"/>
      <c r="CA328" s="73"/>
      <c r="CB328" s="73"/>
      <c r="CC328" s="345"/>
      <c r="CD328" s="73"/>
      <c r="CE328" s="32"/>
      <c r="CF328" s="73"/>
      <c r="CG328" s="73"/>
      <c r="CH328" s="345"/>
      <c r="CI328" s="73"/>
      <c r="CJ328" s="32"/>
      <c r="CK328" s="73"/>
      <c r="CL328" s="73"/>
      <c r="CM328" s="345"/>
      <c r="CN328" s="73"/>
      <c r="CO328" s="32"/>
      <c r="CP328" s="73"/>
      <c r="CQ328" s="73"/>
      <c r="CR328" s="345"/>
      <c r="CS328" s="73"/>
      <c r="CT328" s="32"/>
      <c r="CU328" s="73"/>
      <c r="CV328" s="73"/>
      <c r="CW328" s="345"/>
      <c r="CX328" s="73"/>
      <c r="CY328" s="32"/>
      <c r="CZ328" s="73"/>
      <c r="DA328" s="73"/>
      <c r="DB328" s="345"/>
      <c r="DC328" s="73"/>
      <c r="DD328" s="32"/>
      <c r="DE328" s="73"/>
      <c r="DF328" s="73"/>
      <c r="DG328" s="345"/>
      <c r="DH328" s="73"/>
      <c r="DI328" s="32"/>
      <c r="DJ328" s="73"/>
      <c r="DK328" s="73"/>
      <c r="DL328" s="345"/>
      <c r="DM328" s="73"/>
      <c r="DN328" s="32"/>
      <c r="DO328" s="73"/>
      <c r="DP328" s="73"/>
      <c r="DQ328" s="345"/>
      <c r="DR328" s="73"/>
      <c r="DS328" s="32"/>
      <c r="DT328" s="73"/>
      <c r="DU328" s="73"/>
      <c r="DV328" s="345"/>
      <c r="DW328" s="73"/>
      <c r="DX328" s="32"/>
      <c r="DY328" s="73"/>
      <c r="DZ328" s="73"/>
      <c r="EA328" s="345"/>
      <c r="EB328" s="73"/>
      <c r="EC328" s="32"/>
      <c r="ED328" s="73"/>
      <c r="EE328" s="73"/>
      <c r="EF328" s="345"/>
      <c r="EG328" s="73"/>
      <c r="EH328" s="32"/>
      <c r="EI328" s="73"/>
      <c r="EJ328" s="73"/>
      <c r="EK328" s="345"/>
      <c r="EL328" s="73"/>
      <c r="EM328" s="32"/>
      <c r="EN328" s="73"/>
      <c r="EO328" s="73"/>
      <c r="EP328" s="345"/>
      <c r="EQ328" s="73"/>
      <c r="ER328" s="32"/>
      <c r="ES328" s="73"/>
      <c r="ET328" s="73"/>
      <c r="EU328" s="345"/>
      <c r="EV328" s="73"/>
      <c r="EW328" s="32"/>
      <c r="EX328" s="73"/>
      <c r="EY328" s="73"/>
      <c r="EZ328" s="345"/>
      <c r="FA328" s="73"/>
      <c r="FB328" s="32"/>
      <c r="FC328" s="73"/>
      <c r="FD328" s="73"/>
      <c r="FE328" s="345"/>
      <c r="FF328" s="73"/>
      <c r="FG328" s="32"/>
      <c r="FH328" s="73"/>
      <c r="FI328" s="73"/>
      <c r="FJ328" s="345"/>
      <c r="FK328" s="73"/>
      <c r="FL328" s="32"/>
      <c r="FM328" s="73"/>
      <c r="FN328" s="73"/>
      <c r="FO328" s="345"/>
      <c r="FP328" s="73"/>
      <c r="FQ328" s="32"/>
      <c r="FR328" s="73"/>
      <c r="FS328" s="73"/>
      <c r="FT328" s="345"/>
      <c r="FU328" s="73"/>
      <c r="FV328" s="32"/>
      <c r="FW328" s="73"/>
      <c r="FX328" s="73"/>
      <c r="FY328" s="345"/>
      <c r="FZ328" s="73"/>
      <c r="GA328" s="32"/>
      <c r="GB328" s="73"/>
      <c r="GC328" s="73"/>
      <c r="GD328" s="345"/>
      <c r="GE328" s="73"/>
      <c r="GF328" s="32"/>
      <c r="GG328" s="73"/>
      <c r="GH328" s="73"/>
      <c r="GI328" s="345"/>
      <c r="GJ328" s="73"/>
      <c r="GK328" s="32"/>
      <c r="GL328" s="73"/>
      <c r="GM328" s="73"/>
      <c r="GN328" s="345"/>
      <c r="GO328" s="73"/>
      <c r="GP328" s="32"/>
      <c r="GQ328" s="73"/>
      <c r="GR328" s="73"/>
      <c r="GS328" s="345"/>
      <c r="GT328" s="73"/>
      <c r="GU328" s="32"/>
      <c r="GV328" s="73"/>
      <c r="GW328" s="73"/>
      <c r="GX328" s="345"/>
      <c r="GY328" s="73"/>
      <c r="GZ328" s="32"/>
      <c r="HA328" s="73"/>
      <c r="HB328" s="73"/>
      <c r="HC328" s="345"/>
      <c r="HD328" s="73"/>
      <c r="HE328" s="32"/>
      <c r="HF328" s="73"/>
      <c r="HG328" s="73"/>
      <c r="HH328" s="345"/>
      <c r="HI328" s="73"/>
      <c r="HJ328" s="32"/>
      <c r="HK328" s="73"/>
      <c r="HL328" s="73"/>
      <c r="HM328" s="345"/>
      <c r="HN328" s="73"/>
      <c r="HO328" s="32"/>
      <c r="HP328" s="73"/>
      <c r="HQ328" s="73"/>
      <c r="HR328" s="345"/>
      <c r="HS328" s="73"/>
      <c r="HT328" s="32"/>
      <c r="HU328" s="73"/>
      <c r="HV328" s="73"/>
      <c r="HW328" s="345"/>
      <c r="HX328" s="73"/>
      <c r="HY328" s="32"/>
      <c r="HZ328" s="73"/>
      <c r="IA328" s="73"/>
      <c r="IB328" s="345"/>
      <c r="IC328" s="73"/>
      <c r="ID328" s="32"/>
      <c r="IE328" s="73"/>
      <c r="IF328" s="73"/>
      <c r="IG328" s="345"/>
      <c r="IH328" s="73"/>
      <c r="II328" s="32"/>
      <c r="IJ328" s="73"/>
      <c r="IK328" s="73"/>
      <c r="IL328" s="345"/>
      <c r="IM328" s="73"/>
      <c r="IN328" s="32"/>
      <c r="IO328" s="73"/>
      <c r="IP328" s="73"/>
      <c r="IQ328" s="345"/>
      <c r="IR328" s="73"/>
      <c r="IS328" s="32"/>
      <c r="IT328" s="73"/>
      <c r="IU328" s="73"/>
      <c r="IV328" s="345"/>
    </row>
    <row r="329" spans="1:256" x14ac:dyDescent="0.2">
      <c r="A329" s="345">
        <v>37529</v>
      </c>
      <c r="B329" s="73"/>
      <c r="C329" s="32"/>
      <c r="D329" s="73"/>
      <c r="E329" s="73"/>
      <c r="F329" s="345"/>
      <c r="G329" s="73"/>
      <c r="H329" s="32"/>
      <c r="I329" s="73"/>
      <c r="J329" s="73"/>
      <c r="K329" s="345"/>
      <c r="L329" s="73"/>
      <c r="M329" s="32"/>
      <c r="N329" s="73"/>
      <c r="O329" s="73"/>
      <c r="P329" s="345"/>
      <c r="Q329" s="73"/>
      <c r="R329" s="32"/>
      <c r="S329" s="73"/>
      <c r="T329" s="73"/>
      <c r="U329" s="345"/>
      <c r="V329" s="73"/>
      <c r="W329" s="32"/>
      <c r="X329" s="73"/>
      <c r="Y329" s="73"/>
      <c r="Z329" s="345"/>
      <c r="AA329" s="73"/>
      <c r="AB329" s="32"/>
      <c r="AC329" s="73"/>
      <c r="AD329" s="73"/>
      <c r="AE329" s="345"/>
      <c r="AF329" s="73"/>
      <c r="AG329" s="32"/>
      <c r="AH329" s="73"/>
      <c r="AI329" s="73"/>
      <c r="AJ329" s="345"/>
      <c r="AK329" s="73"/>
      <c r="AL329" s="32"/>
      <c r="AM329" s="73"/>
      <c r="AN329" s="73"/>
      <c r="AO329" s="345"/>
      <c r="AP329" s="73"/>
      <c r="AQ329" s="32"/>
      <c r="AR329" s="73"/>
      <c r="AS329" s="73"/>
      <c r="AT329" s="345"/>
      <c r="AU329" s="73"/>
      <c r="AV329" s="32"/>
      <c r="AW329" s="73"/>
      <c r="AX329" s="73"/>
      <c r="AY329" s="345"/>
      <c r="AZ329" s="73"/>
      <c r="BA329" s="32"/>
      <c r="BB329" s="73"/>
      <c r="BC329" s="73"/>
      <c r="BD329" s="345"/>
      <c r="BE329" s="73"/>
      <c r="BF329" s="32"/>
      <c r="BG329" s="73"/>
      <c r="BH329" s="73"/>
      <c r="BI329" s="345"/>
      <c r="BJ329" s="73"/>
      <c r="BK329" s="32"/>
      <c r="BL329" s="73"/>
      <c r="BM329" s="73"/>
      <c r="BN329" s="345"/>
      <c r="BO329" s="73"/>
      <c r="BP329" s="32"/>
      <c r="BQ329" s="73"/>
      <c r="BR329" s="73"/>
      <c r="BS329" s="345"/>
      <c r="BT329" s="73"/>
      <c r="BU329" s="32"/>
      <c r="BV329" s="73"/>
      <c r="BW329" s="73"/>
      <c r="BX329" s="345"/>
      <c r="BY329" s="73"/>
      <c r="BZ329" s="32"/>
      <c r="CA329" s="73"/>
      <c r="CB329" s="73"/>
      <c r="CC329" s="345"/>
      <c r="CD329" s="73"/>
      <c r="CE329" s="32"/>
      <c r="CF329" s="73"/>
      <c r="CG329" s="73"/>
      <c r="CH329" s="345"/>
      <c r="CI329" s="73"/>
      <c r="CJ329" s="32"/>
      <c r="CK329" s="73"/>
      <c r="CL329" s="73"/>
      <c r="CM329" s="345"/>
      <c r="CN329" s="73"/>
      <c r="CO329" s="32"/>
      <c r="CP329" s="73"/>
      <c r="CQ329" s="73"/>
      <c r="CR329" s="345"/>
      <c r="CS329" s="73"/>
      <c r="CT329" s="32"/>
      <c r="CU329" s="73"/>
      <c r="CV329" s="73"/>
      <c r="CW329" s="345"/>
      <c r="CX329" s="73"/>
      <c r="CY329" s="32"/>
      <c r="CZ329" s="73"/>
      <c r="DA329" s="73"/>
      <c r="DB329" s="345"/>
      <c r="DC329" s="73"/>
      <c r="DD329" s="32"/>
      <c r="DE329" s="73"/>
      <c r="DF329" s="73"/>
      <c r="DG329" s="345"/>
      <c r="DH329" s="73"/>
      <c r="DI329" s="32"/>
      <c r="DJ329" s="73"/>
      <c r="DK329" s="73"/>
      <c r="DL329" s="345"/>
      <c r="DM329" s="73"/>
      <c r="DN329" s="32"/>
      <c r="DO329" s="73"/>
      <c r="DP329" s="73"/>
      <c r="DQ329" s="345"/>
      <c r="DR329" s="73"/>
      <c r="DS329" s="32"/>
      <c r="DT329" s="73"/>
      <c r="DU329" s="73"/>
      <c r="DV329" s="345"/>
      <c r="DW329" s="73"/>
      <c r="DX329" s="32"/>
      <c r="DY329" s="73"/>
      <c r="DZ329" s="73"/>
      <c r="EA329" s="345"/>
      <c r="EB329" s="73"/>
      <c r="EC329" s="32"/>
      <c r="ED329" s="73"/>
      <c r="EE329" s="73"/>
      <c r="EF329" s="345"/>
      <c r="EG329" s="73"/>
      <c r="EH329" s="32"/>
      <c r="EI329" s="73"/>
      <c r="EJ329" s="73"/>
      <c r="EK329" s="345"/>
      <c r="EL329" s="73"/>
      <c r="EM329" s="32"/>
      <c r="EN329" s="73"/>
      <c r="EO329" s="73"/>
      <c r="EP329" s="345"/>
      <c r="EQ329" s="73"/>
      <c r="ER329" s="32"/>
      <c r="ES329" s="73"/>
      <c r="ET329" s="73"/>
      <c r="EU329" s="345"/>
      <c r="EV329" s="73"/>
      <c r="EW329" s="32"/>
      <c r="EX329" s="73"/>
      <c r="EY329" s="73"/>
      <c r="EZ329" s="345"/>
      <c r="FA329" s="73"/>
      <c r="FB329" s="32"/>
      <c r="FC329" s="73"/>
      <c r="FD329" s="73"/>
      <c r="FE329" s="345"/>
      <c r="FF329" s="73"/>
      <c r="FG329" s="32"/>
      <c r="FH329" s="73"/>
      <c r="FI329" s="73"/>
      <c r="FJ329" s="345"/>
      <c r="FK329" s="73"/>
      <c r="FL329" s="32"/>
      <c r="FM329" s="73"/>
      <c r="FN329" s="73"/>
      <c r="FO329" s="345"/>
      <c r="FP329" s="73"/>
      <c r="FQ329" s="32"/>
      <c r="FR329" s="73"/>
      <c r="FS329" s="73"/>
      <c r="FT329" s="345"/>
      <c r="FU329" s="73"/>
      <c r="FV329" s="32"/>
      <c r="FW329" s="73"/>
      <c r="FX329" s="73"/>
      <c r="FY329" s="345"/>
      <c r="FZ329" s="73"/>
      <c r="GA329" s="32"/>
      <c r="GB329" s="73"/>
      <c r="GC329" s="73"/>
      <c r="GD329" s="345"/>
      <c r="GE329" s="73"/>
      <c r="GF329" s="32"/>
      <c r="GG329" s="73"/>
      <c r="GH329" s="73"/>
      <c r="GI329" s="345"/>
      <c r="GJ329" s="73"/>
      <c r="GK329" s="32"/>
      <c r="GL329" s="73"/>
      <c r="GM329" s="73"/>
      <c r="GN329" s="345"/>
      <c r="GO329" s="73"/>
      <c r="GP329" s="32"/>
      <c r="GQ329" s="73"/>
      <c r="GR329" s="73"/>
      <c r="GS329" s="345"/>
      <c r="GT329" s="73"/>
      <c r="GU329" s="32"/>
      <c r="GV329" s="73"/>
      <c r="GW329" s="73"/>
      <c r="GX329" s="345"/>
      <c r="GY329" s="73"/>
      <c r="GZ329" s="32"/>
      <c r="HA329" s="73"/>
      <c r="HB329" s="73"/>
      <c r="HC329" s="345"/>
      <c r="HD329" s="73"/>
      <c r="HE329" s="32"/>
      <c r="HF329" s="73"/>
      <c r="HG329" s="73"/>
      <c r="HH329" s="345"/>
      <c r="HI329" s="73"/>
      <c r="HJ329" s="32"/>
      <c r="HK329" s="73"/>
      <c r="HL329" s="73"/>
      <c r="HM329" s="345"/>
      <c r="HN329" s="73"/>
      <c r="HO329" s="32"/>
      <c r="HP329" s="73"/>
      <c r="HQ329" s="73"/>
      <c r="HR329" s="345"/>
      <c r="HS329" s="73"/>
      <c r="HT329" s="32"/>
      <c r="HU329" s="73"/>
      <c r="HV329" s="73"/>
      <c r="HW329" s="345"/>
      <c r="HX329" s="73"/>
      <c r="HY329" s="32"/>
      <c r="HZ329" s="73"/>
      <c r="IA329" s="73"/>
      <c r="IB329" s="345"/>
      <c r="IC329" s="73"/>
      <c r="ID329" s="32"/>
      <c r="IE329" s="73"/>
      <c r="IF329" s="73"/>
      <c r="IG329" s="345"/>
      <c r="IH329" s="73"/>
      <c r="II329" s="32"/>
      <c r="IJ329" s="73"/>
      <c r="IK329" s="73"/>
      <c r="IL329" s="345"/>
      <c r="IM329" s="73"/>
      <c r="IN329" s="32"/>
      <c r="IO329" s="73"/>
      <c r="IP329" s="73"/>
      <c r="IQ329" s="345"/>
      <c r="IR329" s="73"/>
      <c r="IS329" s="32"/>
      <c r="IT329" s="73"/>
      <c r="IU329" s="73"/>
      <c r="IV329" s="345"/>
    </row>
    <row r="330" spans="1:256" x14ac:dyDescent="0.2">
      <c r="A330" s="345">
        <v>37560</v>
      </c>
      <c r="B330" s="73"/>
      <c r="C330" s="32"/>
      <c r="D330" s="73"/>
      <c r="E330" s="73"/>
      <c r="F330" s="345"/>
      <c r="G330" s="73"/>
      <c r="H330" s="32"/>
      <c r="I330" s="73"/>
      <c r="J330" s="73"/>
      <c r="K330" s="345"/>
      <c r="L330" s="73"/>
      <c r="M330" s="32"/>
      <c r="N330" s="73"/>
      <c r="O330" s="73"/>
      <c r="P330" s="345"/>
      <c r="Q330" s="73"/>
      <c r="R330" s="32"/>
      <c r="S330" s="73"/>
      <c r="T330" s="73"/>
      <c r="U330" s="345"/>
      <c r="V330" s="73"/>
      <c r="W330" s="32"/>
      <c r="X330" s="73"/>
      <c r="Y330" s="73"/>
      <c r="Z330" s="345"/>
      <c r="AA330" s="73"/>
      <c r="AB330" s="32"/>
      <c r="AC330" s="73"/>
      <c r="AD330" s="73"/>
      <c r="AE330" s="345"/>
      <c r="AF330" s="73"/>
      <c r="AG330" s="32"/>
      <c r="AH330" s="73"/>
      <c r="AI330" s="73"/>
      <c r="AJ330" s="345"/>
      <c r="AK330" s="73"/>
      <c r="AL330" s="32"/>
      <c r="AM330" s="73"/>
      <c r="AN330" s="73"/>
      <c r="AO330" s="345"/>
      <c r="AP330" s="73"/>
      <c r="AQ330" s="32"/>
      <c r="AR330" s="73"/>
      <c r="AS330" s="73"/>
      <c r="AT330" s="345"/>
      <c r="AU330" s="73"/>
      <c r="AV330" s="32"/>
      <c r="AW330" s="73"/>
      <c r="AX330" s="73"/>
      <c r="AY330" s="345"/>
      <c r="AZ330" s="73"/>
      <c r="BA330" s="32"/>
      <c r="BB330" s="73"/>
      <c r="BC330" s="73"/>
      <c r="BD330" s="345"/>
      <c r="BE330" s="73"/>
      <c r="BF330" s="32"/>
      <c r="BG330" s="73"/>
      <c r="BH330" s="73"/>
      <c r="BI330" s="345"/>
      <c r="BJ330" s="73"/>
      <c r="BK330" s="32"/>
      <c r="BL330" s="73"/>
      <c r="BM330" s="73"/>
      <c r="BN330" s="345"/>
      <c r="BO330" s="73"/>
      <c r="BP330" s="32"/>
      <c r="BQ330" s="73"/>
      <c r="BR330" s="73"/>
      <c r="BS330" s="345"/>
      <c r="BT330" s="73"/>
      <c r="BU330" s="32"/>
      <c r="BV330" s="73"/>
      <c r="BW330" s="73"/>
      <c r="BX330" s="345"/>
      <c r="BY330" s="73"/>
      <c r="BZ330" s="32"/>
      <c r="CA330" s="73"/>
      <c r="CB330" s="73"/>
      <c r="CC330" s="345"/>
      <c r="CD330" s="73"/>
      <c r="CE330" s="32"/>
      <c r="CF330" s="73"/>
      <c r="CG330" s="73"/>
      <c r="CH330" s="345"/>
      <c r="CI330" s="73"/>
      <c r="CJ330" s="32"/>
      <c r="CK330" s="73"/>
      <c r="CL330" s="73"/>
      <c r="CM330" s="345"/>
      <c r="CN330" s="73"/>
      <c r="CO330" s="32"/>
      <c r="CP330" s="73"/>
      <c r="CQ330" s="73"/>
      <c r="CR330" s="345"/>
      <c r="CS330" s="73"/>
      <c r="CT330" s="32"/>
      <c r="CU330" s="73"/>
      <c r="CV330" s="73"/>
      <c r="CW330" s="345"/>
      <c r="CX330" s="73"/>
      <c r="CY330" s="32"/>
      <c r="CZ330" s="73"/>
      <c r="DA330" s="73"/>
      <c r="DB330" s="345"/>
      <c r="DC330" s="73"/>
      <c r="DD330" s="32"/>
      <c r="DE330" s="73"/>
      <c r="DF330" s="73"/>
      <c r="DG330" s="345"/>
      <c r="DH330" s="73"/>
      <c r="DI330" s="32"/>
      <c r="DJ330" s="73"/>
      <c r="DK330" s="73"/>
      <c r="DL330" s="345"/>
      <c r="DM330" s="73"/>
      <c r="DN330" s="32"/>
      <c r="DO330" s="73"/>
      <c r="DP330" s="73"/>
      <c r="DQ330" s="345"/>
      <c r="DR330" s="73"/>
      <c r="DS330" s="32"/>
      <c r="DT330" s="73"/>
      <c r="DU330" s="73"/>
      <c r="DV330" s="345"/>
      <c r="DW330" s="73"/>
      <c r="DX330" s="32"/>
      <c r="DY330" s="73"/>
      <c r="DZ330" s="73"/>
      <c r="EA330" s="345"/>
      <c r="EB330" s="73"/>
      <c r="EC330" s="32"/>
      <c r="ED330" s="73"/>
      <c r="EE330" s="73"/>
      <c r="EF330" s="345"/>
      <c r="EG330" s="73"/>
      <c r="EH330" s="32"/>
      <c r="EI330" s="73"/>
      <c r="EJ330" s="73"/>
      <c r="EK330" s="345"/>
      <c r="EL330" s="73"/>
      <c r="EM330" s="32"/>
      <c r="EN330" s="73"/>
      <c r="EO330" s="73"/>
      <c r="EP330" s="345"/>
      <c r="EQ330" s="73"/>
      <c r="ER330" s="32"/>
      <c r="ES330" s="73"/>
      <c r="ET330" s="73"/>
      <c r="EU330" s="345"/>
      <c r="EV330" s="73"/>
      <c r="EW330" s="32"/>
      <c r="EX330" s="73"/>
      <c r="EY330" s="73"/>
      <c r="EZ330" s="345"/>
      <c r="FA330" s="73"/>
      <c r="FB330" s="32"/>
      <c r="FC330" s="73"/>
      <c r="FD330" s="73"/>
      <c r="FE330" s="345"/>
      <c r="FF330" s="73"/>
      <c r="FG330" s="32"/>
      <c r="FH330" s="73"/>
      <c r="FI330" s="73"/>
      <c r="FJ330" s="345"/>
      <c r="FK330" s="73"/>
      <c r="FL330" s="32"/>
      <c r="FM330" s="73"/>
      <c r="FN330" s="73"/>
      <c r="FO330" s="345"/>
      <c r="FP330" s="73"/>
      <c r="FQ330" s="32"/>
      <c r="FR330" s="73"/>
      <c r="FS330" s="73"/>
      <c r="FT330" s="345"/>
      <c r="FU330" s="73"/>
      <c r="FV330" s="32"/>
      <c r="FW330" s="73"/>
      <c r="FX330" s="73"/>
      <c r="FY330" s="345"/>
      <c r="FZ330" s="73"/>
      <c r="GA330" s="32"/>
      <c r="GB330" s="73"/>
      <c r="GC330" s="73"/>
      <c r="GD330" s="345"/>
      <c r="GE330" s="73"/>
      <c r="GF330" s="32"/>
      <c r="GG330" s="73"/>
      <c r="GH330" s="73"/>
      <c r="GI330" s="345"/>
      <c r="GJ330" s="73"/>
      <c r="GK330" s="32"/>
      <c r="GL330" s="73"/>
      <c r="GM330" s="73"/>
      <c r="GN330" s="345"/>
      <c r="GO330" s="73"/>
      <c r="GP330" s="32"/>
      <c r="GQ330" s="73"/>
      <c r="GR330" s="73"/>
      <c r="GS330" s="345"/>
      <c r="GT330" s="73"/>
      <c r="GU330" s="32"/>
      <c r="GV330" s="73"/>
      <c r="GW330" s="73"/>
      <c r="GX330" s="345"/>
      <c r="GY330" s="73"/>
      <c r="GZ330" s="32"/>
      <c r="HA330" s="73"/>
      <c r="HB330" s="73"/>
      <c r="HC330" s="345"/>
      <c r="HD330" s="73"/>
      <c r="HE330" s="32"/>
      <c r="HF330" s="73"/>
      <c r="HG330" s="73"/>
      <c r="HH330" s="345"/>
      <c r="HI330" s="73"/>
      <c r="HJ330" s="32"/>
      <c r="HK330" s="73"/>
      <c r="HL330" s="73"/>
      <c r="HM330" s="345"/>
      <c r="HN330" s="73"/>
      <c r="HO330" s="32"/>
      <c r="HP330" s="73"/>
      <c r="HQ330" s="73"/>
      <c r="HR330" s="345"/>
      <c r="HS330" s="73"/>
      <c r="HT330" s="32"/>
      <c r="HU330" s="73"/>
      <c r="HV330" s="73"/>
      <c r="HW330" s="345"/>
      <c r="HX330" s="73"/>
      <c r="HY330" s="32"/>
      <c r="HZ330" s="73"/>
      <c r="IA330" s="73"/>
      <c r="IB330" s="345"/>
      <c r="IC330" s="73"/>
      <c r="ID330" s="32"/>
      <c r="IE330" s="73"/>
      <c r="IF330" s="73"/>
      <c r="IG330" s="345"/>
      <c r="IH330" s="73"/>
      <c r="II330" s="32"/>
      <c r="IJ330" s="73"/>
      <c r="IK330" s="73"/>
      <c r="IL330" s="345"/>
      <c r="IM330" s="73"/>
      <c r="IN330" s="32"/>
      <c r="IO330" s="73"/>
      <c r="IP330" s="73"/>
      <c r="IQ330" s="345"/>
      <c r="IR330" s="73"/>
      <c r="IS330" s="32"/>
      <c r="IT330" s="73"/>
      <c r="IU330" s="73"/>
      <c r="IV330" s="345"/>
    </row>
    <row r="331" spans="1:256" x14ac:dyDescent="0.2">
      <c r="A331" s="345">
        <v>37590</v>
      </c>
      <c r="B331" s="73"/>
      <c r="C331" s="32"/>
      <c r="D331" s="73"/>
      <c r="E331" s="73"/>
      <c r="F331" s="345"/>
      <c r="G331" s="73"/>
      <c r="H331" s="32"/>
      <c r="I331" s="73"/>
      <c r="J331" s="73"/>
      <c r="K331" s="345"/>
      <c r="L331" s="73"/>
      <c r="M331" s="32"/>
      <c r="N331" s="73"/>
      <c r="O331" s="73"/>
      <c r="P331" s="345"/>
      <c r="Q331" s="73"/>
      <c r="R331" s="32"/>
      <c r="S331" s="73"/>
      <c r="T331" s="73"/>
      <c r="U331" s="345"/>
      <c r="V331" s="73"/>
      <c r="W331" s="32"/>
      <c r="X331" s="73"/>
      <c r="Y331" s="73"/>
      <c r="Z331" s="345"/>
      <c r="AA331" s="73"/>
      <c r="AB331" s="32"/>
      <c r="AC331" s="73"/>
      <c r="AD331" s="73"/>
      <c r="AE331" s="345"/>
      <c r="AF331" s="73"/>
      <c r="AG331" s="32"/>
      <c r="AH331" s="73"/>
      <c r="AI331" s="73"/>
      <c r="AJ331" s="345"/>
      <c r="AK331" s="73"/>
      <c r="AL331" s="32"/>
      <c r="AM331" s="73"/>
      <c r="AN331" s="73"/>
      <c r="AO331" s="345"/>
      <c r="AP331" s="73"/>
      <c r="AQ331" s="32"/>
      <c r="AR331" s="73"/>
      <c r="AS331" s="73"/>
      <c r="AT331" s="345"/>
      <c r="AU331" s="73"/>
      <c r="AV331" s="32"/>
      <c r="AW331" s="73"/>
      <c r="AX331" s="73"/>
      <c r="AY331" s="345"/>
      <c r="AZ331" s="73"/>
      <c r="BA331" s="32"/>
      <c r="BB331" s="73"/>
      <c r="BC331" s="73"/>
      <c r="BD331" s="345"/>
      <c r="BE331" s="73"/>
      <c r="BF331" s="32"/>
      <c r="BG331" s="73"/>
      <c r="BH331" s="73"/>
      <c r="BI331" s="345"/>
      <c r="BJ331" s="73"/>
      <c r="BK331" s="32"/>
      <c r="BL331" s="73"/>
      <c r="BM331" s="73"/>
      <c r="BN331" s="345"/>
      <c r="BO331" s="73"/>
      <c r="BP331" s="32"/>
      <c r="BQ331" s="73"/>
      <c r="BR331" s="73"/>
      <c r="BS331" s="345"/>
      <c r="BT331" s="73"/>
      <c r="BU331" s="32"/>
      <c r="BV331" s="73"/>
      <c r="BW331" s="73"/>
      <c r="BX331" s="345"/>
      <c r="BY331" s="73"/>
      <c r="BZ331" s="32"/>
      <c r="CA331" s="73"/>
      <c r="CB331" s="73"/>
      <c r="CC331" s="345"/>
      <c r="CD331" s="73"/>
      <c r="CE331" s="32"/>
      <c r="CF331" s="73"/>
      <c r="CG331" s="73"/>
      <c r="CH331" s="345"/>
      <c r="CI331" s="73"/>
      <c r="CJ331" s="32"/>
      <c r="CK331" s="73"/>
      <c r="CL331" s="73"/>
      <c r="CM331" s="345"/>
      <c r="CN331" s="73"/>
      <c r="CO331" s="32"/>
      <c r="CP331" s="73"/>
      <c r="CQ331" s="73"/>
      <c r="CR331" s="345"/>
      <c r="CS331" s="73"/>
      <c r="CT331" s="32"/>
      <c r="CU331" s="73"/>
      <c r="CV331" s="73"/>
      <c r="CW331" s="345"/>
      <c r="CX331" s="73"/>
      <c r="CY331" s="32"/>
      <c r="CZ331" s="73"/>
      <c r="DA331" s="73"/>
      <c r="DB331" s="345"/>
      <c r="DC331" s="73"/>
      <c r="DD331" s="32"/>
      <c r="DE331" s="73"/>
      <c r="DF331" s="73"/>
      <c r="DG331" s="345"/>
      <c r="DH331" s="73"/>
      <c r="DI331" s="32"/>
      <c r="DJ331" s="73"/>
      <c r="DK331" s="73"/>
      <c r="DL331" s="345"/>
      <c r="DM331" s="73"/>
      <c r="DN331" s="32"/>
      <c r="DO331" s="73"/>
      <c r="DP331" s="73"/>
      <c r="DQ331" s="345"/>
      <c r="DR331" s="73"/>
      <c r="DS331" s="32"/>
      <c r="DT331" s="73"/>
      <c r="DU331" s="73"/>
      <c r="DV331" s="345"/>
      <c r="DW331" s="73"/>
      <c r="DX331" s="32"/>
      <c r="DY331" s="73"/>
      <c r="DZ331" s="73"/>
      <c r="EA331" s="345"/>
      <c r="EB331" s="73"/>
      <c r="EC331" s="32"/>
      <c r="ED331" s="73"/>
      <c r="EE331" s="73"/>
      <c r="EF331" s="345"/>
      <c r="EG331" s="73"/>
      <c r="EH331" s="32"/>
      <c r="EI331" s="73"/>
      <c r="EJ331" s="73"/>
      <c r="EK331" s="345"/>
      <c r="EL331" s="73"/>
      <c r="EM331" s="32"/>
      <c r="EN331" s="73"/>
      <c r="EO331" s="73"/>
      <c r="EP331" s="345"/>
      <c r="EQ331" s="73"/>
      <c r="ER331" s="32"/>
      <c r="ES331" s="73"/>
      <c r="ET331" s="73"/>
      <c r="EU331" s="345"/>
      <c r="EV331" s="73"/>
      <c r="EW331" s="32"/>
      <c r="EX331" s="73"/>
      <c r="EY331" s="73"/>
      <c r="EZ331" s="345"/>
      <c r="FA331" s="73"/>
      <c r="FB331" s="32"/>
      <c r="FC331" s="73"/>
      <c r="FD331" s="73"/>
      <c r="FE331" s="345"/>
      <c r="FF331" s="73"/>
      <c r="FG331" s="32"/>
      <c r="FH331" s="73"/>
      <c r="FI331" s="73"/>
      <c r="FJ331" s="345"/>
      <c r="FK331" s="73"/>
      <c r="FL331" s="32"/>
      <c r="FM331" s="73"/>
      <c r="FN331" s="73"/>
      <c r="FO331" s="345"/>
      <c r="FP331" s="73"/>
      <c r="FQ331" s="32"/>
      <c r="FR331" s="73"/>
      <c r="FS331" s="73"/>
      <c r="FT331" s="345"/>
      <c r="FU331" s="73"/>
      <c r="FV331" s="32"/>
      <c r="FW331" s="73"/>
      <c r="FX331" s="73"/>
      <c r="FY331" s="345"/>
      <c r="FZ331" s="73"/>
      <c r="GA331" s="32"/>
      <c r="GB331" s="73"/>
      <c r="GC331" s="73"/>
      <c r="GD331" s="345"/>
      <c r="GE331" s="73"/>
      <c r="GF331" s="32"/>
      <c r="GG331" s="73"/>
      <c r="GH331" s="73"/>
      <c r="GI331" s="345"/>
      <c r="GJ331" s="73"/>
      <c r="GK331" s="32"/>
      <c r="GL331" s="73"/>
      <c r="GM331" s="73"/>
      <c r="GN331" s="345"/>
      <c r="GO331" s="73"/>
      <c r="GP331" s="32"/>
      <c r="GQ331" s="73"/>
      <c r="GR331" s="73"/>
      <c r="GS331" s="345"/>
      <c r="GT331" s="73"/>
      <c r="GU331" s="32"/>
      <c r="GV331" s="73"/>
      <c r="GW331" s="73"/>
      <c r="GX331" s="345"/>
      <c r="GY331" s="73"/>
      <c r="GZ331" s="32"/>
      <c r="HA331" s="73"/>
      <c r="HB331" s="73"/>
      <c r="HC331" s="345"/>
      <c r="HD331" s="73"/>
      <c r="HE331" s="32"/>
      <c r="HF331" s="73"/>
      <c r="HG331" s="73"/>
      <c r="HH331" s="345"/>
      <c r="HI331" s="73"/>
      <c r="HJ331" s="32"/>
      <c r="HK331" s="73"/>
      <c r="HL331" s="73"/>
      <c r="HM331" s="345"/>
      <c r="HN331" s="73"/>
      <c r="HO331" s="32"/>
      <c r="HP331" s="73"/>
      <c r="HQ331" s="73"/>
      <c r="HR331" s="345"/>
      <c r="HS331" s="73"/>
      <c r="HT331" s="32"/>
      <c r="HU331" s="73"/>
      <c r="HV331" s="73"/>
      <c r="HW331" s="345"/>
      <c r="HX331" s="73"/>
      <c r="HY331" s="32"/>
      <c r="HZ331" s="73"/>
      <c r="IA331" s="73"/>
      <c r="IB331" s="345"/>
      <c r="IC331" s="73"/>
      <c r="ID331" s="32"/>
      <c r="IE331" s="73"/>
      <c r="IF331" s="73"/>
      <c r="IG331" s="345"/>
      <c r="IH331" s="73"/>
      <c r="II331" s="32"/>
      <c r="IJ331" s="73"/>
      <c r="IK331" s="73"/>
      <c r="IL331" s="345"/>
      <c r="IM331" s="73"/>
      <c r="IN331" s="32"/>
      <c r="IO331" s="73"/>
      <c r="IP331" s="73"/>
      <c r="IQ331" s="345"/>
      <c r="IR331" s="73"/>
      <c r="IS331" s="32"/>
      <c r="IT331" s="73"/>
      <c r="IU331" s="73"/>
      <c r="IV331" s="345"/>
    </row>
    <row r="332" spans="1:256" x14ac:dyDescent="0.2">
      <c r="A332" s="345">
        <v>37621</v>
      </c>
      <c r="B332" s="254"/>
      <c r="C332" s="33"/>
      <c r="D332" s="255"/>
      <c r="E332" s="255"/>
      <c r="F332" s="345"/>
      <c r="G332" s="254"/>
      <c r="H332" s="33"/>
      <c r="I332" s="255"/>
      <c r="J332" s="255"/>
      <c r="K332" s="345"/>
      <c r="L332" s="254"/>
      <c r="M332" s="33"/>
      <c r="N332" s="255"/>
      <c r="O332" s="255"/>
      <c r="P332" s="345"/>
      <c r="Q332" s="254"/>
      <c r="R332" s="33"/>
      <c r="S332" s="255"/>
      <c r="T332" s="255"/>
      <c r="U332" s="345"/>
      <c r="V332" s="254"/>
      <c r="W332" s="33"/>
      <c r="X332" s="255"/>
      <c r="Y332" s="255"/>
      <c r="Z332" s="345"/>
      <c r="AA332" s="254"/>
      <c r="AB332" s="33"/>
      <c r="AC332" s="255"/>
      <c r="AD332" s="255"/>
      <c r="AE332" s="345"/>
      <c r="AF332" s="254"/>
      <c r="AG332" s="33"/>
      <c r="AH332" s="255"/>
      <c r="AI332" s="255"/>
      <c r="AJ332" s="345"/>
      <c r="AK332" s="254"/>
      <c r="AL332" s="33"/>
      <c r="AM332" s="255"/>
      <c r="AN332" s="255"/>
      <c r="AO332" s="345"/>
      <c r="AP332" s="254"/>
      <c r="AQ332" s="33"/>
      <c r="AR332" s="255"/>
      <c r="AS332" s="255"/>
      <c r="AT332" s="345"/>
      <c r="AU332" s="254"/>
      <c r="AV332" s="33"/>
      <c r="AW332" s="255"/>
      <c r="AX332" s="255"/>
      <c r="AY332" s="345"/>
      <c r="AZ332" s="254"/>
      <c r="BA332" s="33"/>
      <c r="BB332" s="255"/>
      <c r="BC332" s="255"/>
      <c r="BD332" s="345"/>
      <c r="BE332" s="254"/>
      <c r="BF332" s="33"/>
      <c r="BG332" s="255"/>
      <c r="BH332" s="255"/>
      <c r="BI332" s="345"/>
      <c r="BJ332" s="254"/>
      <c r="BK332" s="33"/>
      <c r="BL332" s="255"/>
      <c r="BM332" s="255"/>
      <c r="BN332" s="345"/>
      <c r="BO332" s="254"/>
      <c r="BP332" s="33"/>
      <c r="BQ332" s="255"/>
      <c r="BR332" s="255"/>
      <c r="BS332" s="345"/>
      <c r="BT332" s="254"/>
      <c r="BU332" s="33"/>
      <c r="BV332" s="255"/>
      <c r="BW332" s="255"/>
      <c r="BX332" s="345"/>
      <c r="BY332" s="254"/>
      <c r="BZ332" s="33"/>
      <c r="CA332" s="255"/>
      <c r="CB332" s="255"/>
      <c r="CC332" s="345"/>
      <c r="CD332" s="254"/>
      <c r="CE332" s="33"/>
      <c r="CF332" s="255"/>
      <c r="CG332" s="255"/>
      <c r="CH332" s="345"/>
      <c r="CI332" s="254"/>
      <c r="CJ332" s="33"/>
      <c r="CK332" s="255"/>
      <c r="CL332" s="255"/>
      <c r="CM332" s="345"/>
      <c r="CN332" s="254"/>
      <c r="CO332" s="33"/>
      <c r="CP332" s="255"/>
      <c r="CQ332" s="255"/>
      <c r="CR332" s="345"/>
      <c r="CS332" s="254"/>
      <c r="CT332" s="33"/>
      <c r="CU332" s="255"/>
      <c r="CV332" s="255"/>
      <c r="CW332" s="345"/>
      <c r="CX332" s="254"/>
      <c r="CY332" s="33"/>
      <c r="CZ332" s="255"/>
      <c r="DA332" s="255"/>
      <c r="DB332" s="345"/>
      <c r="DC332" s="254"/>
      <c r="DD332" s="33"/>
      <c r="DE332" s="255"/>
      <c r="DF332" s="255"/>
      <c r="DG332" s="345"/>
      <c r="DH332" s="254"/>
      <c r="DI332" s="33"/>
      <c r="DJ332" s="255"/>
      <c r="DK332" s="255"/>
      <c r="DL332" s="345"/>
      <c r="DM332" s="254"/>
      <c r="DN332" s="33"/>
      <c r="DO332" s="255"/>
      <c r="DP332" s="255"/>
      <c r="DQ332" s="345"/>
      <c r="DR332" s="254"/>
      <c r="DS332" s="33"/>
      <c r="DT332" s="255"/>
      <c r="DU332" s="255"/>
      <c r="DV332" s="345"/>
      <c r="DW332" s="254"/>
      <c r="DX332" s="33"/>
      <c r="DY332" s="255"/>
      <c r="DZ332" s="255"/>
      <c r="EA332" s="345"/>
      <c r="EB332" s="254"/>
      <c r="EC332" s="33"/>
      <c r="ED332" s="255"/>
      <c r="EE332" s="255"/>
      <c r="EF332" s="345"/>
      <c r="EG332" s="254"/>
      <c r="EH332" s="33"/>
      <c r="EI332" s="255"/>
      <c r="EJ332" s="255"/>
      <c r="EK332" s="345"/>
      <c r="EL332" s="254"/>
      <c r="EM332" s="33"/>
      <c r="EN332" s="255"/>
      <c r="EO332" s="255"/>
      <c r="EP332" s="345"/>
      <c r="EQ332" s="254"/>
      <c r="ER332" s="33"/>
      <c r="ES332" s="255"/>
      <c r="ET332" s="255"/>
      <c r="EU332" s="345"/>
      <c r="EV332" s="254"/>
      <c r="EW332" s="33"/>
      <c r="EX332" s="255"/>
      <c r="EY332" s="255"/>
      <c r="EZ332" s="345"/>
      <c r="FA332" s="254"/>
      <c r="FB332" s="33"/>
      <c r="FC332" s="255"/>
      <c r="FD332" s="255"/>
      <c r="FE332" s="345"/>
      <c r="FF332" s="254"/>
      <c r="FG332" s="33"/>
      <c r="FH332" s="255"/>
      <c r="FI332" s="255"/>
      <c r="FJ332" s="345"/>
      <c r="FK332" s="254"/>
      <c r="FL332" s="33"/>
      <c r="FM332" s="255"/>
      <c r="FN332" s="255"/>
      <c r="FO332" s="345"/>
      <c r="FP332" s="254"/>
      <c r="FQ332" s="33"/>
      <c r="FR332" s="255"/>
      <c r="FS332" s="255"/>
      <c r="FT332" s="345"/>
      <c r="FU332" s="254"/>
      <c r="FV332" s="33"/>
      <c r="FW332" s="255"/>
      <c r="FX332" s="255"/>
      <c r="FY332" s="345"/>
      <c r="FZ332" s="254"/>
      <c r="GA332" s="33"/>
      <c r="GB332" s="255"/>
      <c r="GC332" s="255"/>
      <c r="GD332" s="345"/>
      <c r="GE332" s="254"/>
      <c r="GF332" s="33"/>
      <c r="GG332" s="255"/>
      <c r="GH332" s="255"/>
      <c r="GI332" s="345"/>
      <c r="GJ332" s="254"/>
      <c r="GK332" s="33"/>
      <c r="GL332" s="255"/>
      <c r="GM332" s="255"/>
      <c r="GN332" s="345"/>
      <c r="GO332" s="254"/>
      <c r="GP332" s="33"/>
      <c r="GQ332" s="255"/>
      <c r="GR332" s="255"/>
      <c r="GS332" s="345"/>
      <c r="GT332" s="254"/>
      <c r="GU332" s="33"/>
      <c r="GV332" s="255"/>
      <c r="GW332" s="255"/>
      <c r="GX332" s="345"/>
      <c r="GY332" s="254"/>
      <c r="GZ332" s="33"/>
      <c r="HA332" s="255"/>
      <c r="HB332" s="255"/>
      <c r="HC332" s="345"/>
      <c r="HD332" s="254"/>
      <c r="HE332" s="33"/>
      <c r="HF332" s="255"/>
      <c r="HG332" s="255"/>
      <c r="HH332" s="345"/>
      <c r="HI332" s="254"/>
      <c r="HJ332" s="33"/>
      <c r="HK332" s="255"/>
      <c r="HL332" s="255"/>
      <c r="HM332" s="345"/>
      <c r="HN332" s="254"/>
      <c r="HO332" s="33"/>
      <c r="HP332" s="255"/>
      <c r="HQ332" s="255"/>
      <c r="HR332" s="345"/>
      <c r="HS332" s="254"/>
      <c r="HT332" s="33"/>
      <c r="HU332" s="255"/>
      <c r="HV332" s="255"/>
      <c r="HW332" s="345"/>
      <c r="HX332" s="254"/>
      <c r="HY332" s="33"/>
      <c r="HZ332" s="255"/>
      <c r="IA332" s="255"/>
      <c r="IB332" s="345"/>
      <c r="IC332" s="254"/>
      <c r="ID332" s="33"/>
      <c r="IE332" s="255"/>
      <c r="IF332" s="255"/>
      <c r="IG332" s="345"/>
      <c r="IH332" s="254"/>
      <c r="II332" s="33"/>
      <c r="IJ332" s="255"/>
      <c r="IK332" s="255"/>
      <c r="IL332" s="345"/>
      <c r="IM332" s="254"/>
      <c r="IN332" s="33"/>
      <c r="IO332" s="255"/>
      <c r="IP332" s="255"/>
      <c r="IQ332" s="345"/>
      <c r="IR332" s="254"/>
      <c r="IS332" s="33"/>
      <c r="IT332" s="255"/>
      <c r="IU332" s="255"/>
      <c r="IV332" s="345"/>
    </row>
    <row r="333" spans="1:256" x14ac:dyDescent="0.2">
      <c r="A333" s="345">
        <v>37652</v>
      </c>
      <c r="B333" s="253"/>
      <c r="C333" s="33"/>
      <c r="D333" s="255"/>
      <c r="E333" s="253"/>
      <c r="F333" s="345"/>
      <c r="G333" s="253"/>
      <c r="H333" s="33"/>
      <c r="I333" s="255"/>
      <c r="J333" s="253"/>
      <c r="K333" s="345"/>
      <c r="L333" s="253"/>
      <c r="M333" s="33"/>
      <c r="N333" s="255"/>
      <c r="O333" s="253"/>
      <c r="P333" s="345"/>
      <c r="Q333" s="253"/>
      <c r="R333" s="33"/>
      <c r="S333" s="255"/>
      <c r="T333" s="253"/>
      <c r="U333" s="345"/>
      <c r="V333" s="253"/>
      <c r="W333" s="33"/>
      <c r="X333" s="255"/>
      <c r="Y333" s="253"/>
      <c r="Z333" s="345"/>
      <c r="AA333" s="253"/>
      <c r="AB333" s="33"/>
      <c r="AC333" s="255"/>
      <c r="AD333" s="253"/>
      <c r="AE333" s="345"/>
      <c r="AF333" s="253"/>
      <c r="AG333" s="33"/>
      <c r="AH333" s="255"/>
      <c r="AI333" s="253"/>
      <c r="AJ333" s="345"/>
      <c r="AK333" s="253"/>
      <c r="AL333" s="33"/>
      <c r="AM333" s="255"/>
      <c r="AN333" s="253"/>
      <c r="AO333" s="345"/>
      <c r="AP333" s="253"/>
      <c r="AQ333" s="33"/>
      <c r="AR333" s="255"/>
      <c r="AS333" s="253"/>
      <c r="AT333" s="345"/>
      <c r="AU333" s="253"/>
      <c r="AV333" s="33"/>
      <c r="AW333" s="255"/>
      <c r="AX333" s="253"/>
      <c r="AY333" s="345"/>
      <c r="AZ333" s="253"/>
      <c r="BA333" s="33"/>
      <c r="BB333" s="255"/>
      <c r="BC333" s="253"/>
      <c r="BD333" s="345"/>
      <c r="BE333" s="253"/>
      <c r="BF333" s="33"/>
      <c r="BG333" s="255"/>
      <c r="BH333" s="253"/>
      <c r="BI333" s="345"/>
      <c r="BJ333" s="253"/>
      <c r="BK333" s="33"/>
      <c r="BL333" s="255"/>
      <c r="BM333" s="253"/>
      <c r="BN333" s="345"/>
      <c r="BO333" s="253"/>
      <c r="BP333" s="33"/>
      <c r="BQ333" s="255"/>
      <c r="BR333" s="253"/>
      <c r="BS333" s="345"/>
      <c r="BT333" s="253"/>
      <c r="BU333" s="33"/>
      <c r="BV333" s="255"/>
      <c r="BW333" s="253"/>
      <c r="BX333" s="345"/>
      <c r="BY333" s="253"/>
      <c r="BZ333" s="33"/>
      <c r="CA333" s="255"/>
      <c r="CB333" s="253"/>
      <c r="CC333" s="345"/>
      <c r="CD333" s="253"/>
      <c r="CE333" s="33"/>
      <c r="CF333" s="255"/>
      <c r="CG333" s="253"/>
      <c r="CH333" s="345"/>
      <c r="CI333" s="253"/>
      <c r="CJ333" s="33"/>
      <c r="CK333" s="255"/>
      <c r="CL333" s="253"/>
      <c r="CM333" s="345"/>
      <c r="CN333" s="253"/>
      <c r="CO333" s="33"/>
      <c r="CP333" s="255"/>
      <c r="CQ333" s="253"/>
      <c r="CR333" s="345"/>
      <c r="CS333" s="253"/>
      <c r="CT333" s="33"/>
      <c r="CU333" s="255"/>
      <c r="CV333" s="253"/>
      <c r="CW333" s="345"/>
      <c r="CX333" s="253"/>
      <c r="CY333" s="33"/>
      <c r="CZ333" s="255"/>
      <c r="DA333" s="253"/>
      <c r="DB333" s="345"/>
      <c r="DC333" s="253"/>
      <c r="DD333" s="33"/>
      <c r="DE333" s="255"/>
      <c r="DF333" s="253"/>
      <c r="DG333" s="345"/>
      <c r="DH333" s="253"/>
      <c r="DI333" s="33"/>
      <c r="DJ333" s="255"/>
      <c r="DK333" s="253"/>
      <c r="DL333" s="345"/>
      <c r="DM333" s="253"/>
      <c r="DN333" s="33"/>
      <c r="DO333" s="255"/>
      <c r="DP333" s="253"/>
      <c r="DQ333" s="345"/>
      <c r="DR333" s="253"/>
      <c r="DS333" s="33"/>
      <c r="DT333" s="255"/>
      <c r="DU333" s="253"/>
      <c r="DV333" s="345"/>
      <c r="DW333" s="253"/>
      <c r="DX333" s="33"/>
      <c r="DY333" s="255"/>
      <c r="DZ333" s="253"/>
      <c r="EA333" s="345"/>
      <c r="EB333" s="253"/>
      <c r="EC333" s="33"/>
      <c r="ED333" s="255"/>
      <c r="EE333" s="253"/>
      <c r="EF333" s="345"/>
      <c r="EG333" s="253"/>
      <c r="EH333" s="33"/>
      <c r="EI333" s="255"/>
      <c r="EJ333" s="253"/>
      <c r="EK333" s="345"/>
      <c r="EL333" s="253"/>
      <c r="EM333" s="33"/>
      <c r="EN333" s="255"/>
      <c r="EO333" s="253"/>
      <c r="EP333" s="345"/>
      <c r="EQ333" s="253"/>
      <c r="ER333" s="33"/>
      <c r="ES333" s="255"/>
      <c r="ET333" s="253"/>
      <c r="EU333" s="345"/>
      <c r="EV333" s="253"/>
      <c r="EW333" s="33"/>
      <c r="EX333" s="255"/>
      <c r="EY333" s="253"/>
      <c r="EZ333" s="345"/>
      <c r="FA333" s="253"/>
      <c r="FB333" s="33"/>
      <c r="FC333" s="255"/>
      <c r="FD333" s="253"/>
      <c r="FE333" s="345"/>
      <c r="FF333" s="253"/>
      <c r="FG333" s="33"/>
      <c r="FH333" s="255"/>
      <c r="FI333" s="253"/>
      <c r="FJ333" s="345"/>
      <c r="FK333" s="253"/>
      <c r="FL333" s="33"/>
      <c r="FM333" s="255"/>
      <c r="FN333" s="253"/>
      <c r="FO333" s="345"/>
      <c r="FP333" s="253"/>
      <c r="FQ333" s="33"/>
      <c r="FR333" s="255"/>
      <c r="FS333" s="253"/>
      <c r="FT333" s="345"/>
      <c r="FU333" s="253"/>
      <c r="FV333" s="33"/>
      <c r="FW333" s="255"/>
      <c r="FX333" s="253"/>
      <c r="FY333" s="345"/>
      <c r="FZ333" s="253"/>
      <c r="GA333" s="33"/>
      <c r="GB333" s="255"/>
      <c r="GC333" s="253"/>
      <c r="GD333" s="345"/>
      <c r="GE333" s="253"/>
      <c r="GF333" s="33"/>
      <c r="GG333" s="255"/>
      <c r="GH333" s="253"/>
      <c r="GI333" s="345"/>
      <c r="GJ333" s="253"/>
      <c r="GK333" s="33"/>
      <c r="GL333" s="255"/>
      <c r="GM333" s="253"/>
      <c r="GN333" s="345"/>
      <c r="GO333" s="253"/>
      <c r="GP333" s="33"/>
      <c r="GQ333" s="255"/>
      <c r="GR333" s="253"/>
      <c r="GS333" s="345"/>
      <c r="GT333" s="253"/>
      <c r="GU333" s="33"/>
      <c r="GV333" s="255"/>
      <c r="GW333" s="253"/>
      <c r="GX333" s="345"/>
      <c r="GY333" s="253"/>
      <c r="GZ333" s="33"/>
      <c r="HA333" s="255"/>
      <c r="HB333" s="253"/>
      <c r="HC333" s="345"/>
      <c r="HD333" s="253"/>
      <c r="HE333" s="33"/>
      <c r="HF333" s="255"/>
      <c r="HG333" s="253"/>
      <c r="HH333" s="345"/>
      <c r="HI333" s="253"/>
      <c r="HJ333" s="33"/>
      <c r="HK333" s="255"/>
      <c r="HL333" s="253"/>
      <c r="HM333" s="345"/>
      <c r="HN333" s="253"/>
      <c r="HO333" s="33"/>
      <c r="HP333" s="255"/>
      <c r="HQ333" s="253"/>
      <c r="HR333" s="345"/>
      <c r="HS333" s="253"/>
      <c r="HT333" s="33"/>
      <c r="HU333" s="255"/>
      <c r="HV333" s="253"/>
      <c r="HW333" s="345"/>
      <c r="HX333" s="253"/>
      <c r="HY333" s="33"/>
      <c r="HZ333" s="255"/>
      <c r="IA333" s="253"/>
      <c r="IB333" s="345"/>
      <c r="IC333" s="253"/>
      <c r="ID333" s="33"/>
      <c r="IE333" s="255"/>
      <c r="IF333" s="253"/>
      <c r="IG333" s="345"/>
      <c r="IH333" s="253"/>
      <c r="II333" s="33"/>
      <c r="IJ333" s="255"/>
      <c r="IK333" s="253"/>
      <c r="IL333" s="345"/>
      <c r="IM333" s="253"/>
      <c r="IN333" s="33"/>
      <c r="IO333" s="255"/>
      <c r="IP333" s="253"/>
      <c r="IQ333" s="345"/>
      <c r="IR333" s="253"/>
      <c r="IS333" s="33"/>
      <c r="IT333" s="255"/>
      <c r="IU333" s="253"/>
      <c r="IV333" s="345"/>
    </row>
    <row r="334" spans="1:256" x14ac:dyDescent="0.2">
      <c r="A334" s="345">
        <v>37680</v>
      </c>
      <c r="B334" s="253"/>
      <c r="C334" s="33"/>
      <c r="D334" s="255"/>
      <c r="E334" s="253"/>
      <c r="F334" s="345"/>
      <c r="G334" s="253"/>
      <c r="H334" s="33"/>
      <c r="I334" s="255"/>
      <c r="J334" s="253"/>
      <c r="K334" s="345"/>
      <c r="L334" s="253"/>
      <c r="M334" s="33"/>
      <c r="N334" s="255"/>
      <c r="O334" s="253"/>
      <c r="P334" s="345"/>
      <c r="Q334" s="253"/>
      <c r="R334" s="33"/>
      <c r="S334" s="255"/>
      <c r="T334" s="253"/>
      <c r="U334" s="345"/>
      <c r="V334" s="253"/>
      <c r="W334" s="33"/>
      <c r="X334" s="255"/>
      <c r="Y334" s="253"/>
      <c r="Z334" s="345"/>
      <c r="AA334" s="253"/>
      <c r="AB334" s="33"/>
      <c r="AC334" s="255"/>
      <c r="AD334" s="253"/>
      <c r="AE334" s="345"/>
      <c r="AF334" s="253"/>
      <c r="AG334" s="33"/>
      <c r="AH334" s="255"/>
      <c r="AI334" s="253"/>
      <c r="AJ334" s="345"/>
      <c r="AK334" s="253"/>
      <c r="AL334" s="33"/>
      <c r="AM334" s="255"/>
      <c r="AN334" s="253"/>
      <c r="AO334" s="345"/>
      <c r="AP334" s="253"/>
      <c r="AQ334" s="33"/>
      <c r="AR334" s="255"/>
      <c r="AS334" s="253"/>
      <c r="AT334" s="345"/>
      <c r="AU334" s="253"/>
      <c r="AV334" s="33"/>
      <c r="AW334" s="255"/>
      <c r="AX334" s="253"/>
      <c r="AY334" s="345"/>
      <c r="AZ334" s="253"/>
      <c r="BA334" s="33"/>
      <c r="BB334" s="255"/>
      <c r="BC334" s="253"/>
      <c r="BD334" s="345"/>
      <c r="BE334" s="253"/>
      <c r="BF334" s="33"/>
      <c r="BG334" s="255"/>
      <c r="BH334" s="253"/>
      <c r="BI334" s="345"/>
      <c r="BJ334" s="253"/>
      <c r="BK334" s="33"/>
      <c r="BL334" s="255"/>
      <c r="BM334" s="253"/>
      <c r="BN334" s="345"/>
      <c r="BO334" s="253"/>
      <c r="BP334" s="33"/>
      <c r="BQ334" s="255"/>
      <c r="BR334" s="253"/>
      <c r="BS334" s="345"/>
      <c r="BT334" s="253"/>
      <c r="BU334" s="33"/>
      <c r="BV334" s="255"/>
      <c r="BW334" s="253"/>
      <c r="BX334" s="345"/>
      <c r="BY334" s="253"/>
      <c r="BZ334" s="33"/>
      <c r="CA334" s="255"/>
      <c r="CB334" s="253"/>
      <c r="CC334" s="345"/>
      <c r="CD334" s="253"/>
      <c r="CE334" s="33"/>
      <c r="CF334" s="255"/>
      <c r="CG334" s="253"/>
      <c r="CH334" s="345"/>
      <c r="CI334" s="253"/>
      <c r="CJ334" s="33"/>
      <c r="CK334" s="255"/>
      <c r="CL334" s="253"/>
      <c r="CM334" s="345"/>
      <c r="CN334" s="253"/>
      <c r="CO334" s="33"/>
      <c r="CP334" s="255"/>
      <c r="CQ334" s="253"/>
      <c r="CR334" s="345"/>
      <c r="CS334" s="253"/>
      <c r="CT334" s="33"/>
      <c r="CU334" s="255"/>
      <c r="CV334" s="253"/>
      <c r="CW334" s="345"/>
      <c r="CX334" s="253"/>
      <c r="CY334" s="33"/>
      <c r="CZ334" s="255"/>
      <c r="DA334" s="253"/>
      <c r="DB334" s="345"/>
      <c r="DC334" s="253"/>
      <c r="DD334" s="33"/>
      <c r="DE334" s="255"/>
      <c r="DF334" s="253"/>
      <c r="DG334" s="345"/>
      <c r="DH334" s="253"/>
      <c r="DI334" s="33"/>
      <c r="DJ334" s="255"/>
      <c r="DK334" s="253"/>
      <c r="DL334" s="345"/>
      <c r="DM334" s="253"/>
      <c r="DN334" s="33"/>
      <c r="DO334" s="255"/>
      <c r="DP334" s="253"/>
      <c r="DQ334" s="345"/>
      <c r="DR334" s="253"/>
      <c r="DS334" s="33"/>
      <c r="DT334" s="255"/>
      <c r="DU334" s="253"/>
      <c r="DV334" s="345"/>
      <c r="DW334" s="253"/>
      <c r="DX334" s="33"/>
      <c r="DY334" s="255"/>
      <c r="DZ334" s="253"/>
      <c r="EA334" s="345"/>
      <c r="EB334" s="253"/>
      <c r="EC334" s="33"/>
      <c r="ED334" s="255"/>
      <c r="EE334" s="253"/>
      <c r="EF334" s="345"/>
      <c r="EG334" s="253"/>
      <c r="EH334" s="33"/>
      <c r="EI334" s="255"/>
      <c r="EJ334" s="253"/>
      <c r="EK334" s="345"/>
      <c r="EL334" s="253"/>
      <c r="EM334" s="33"/>
      <c r="EN334" s="255"/>
      <c r="EO334" s="253"/>
      <c r="EP334" s="345"/>
      <c r="EQ334" s="253"/>
      <c r="ER334" s="33"/>
      <c r="ES334" s="255"/>
      <c r="ET334" s="253"/>
      <c r="EU334" s="345"/>
      <c r="EV334" s="253"/>
      <c r="EW334" s="33"/>
      <c r="EX334" s="255"/>
      <c r="EY334" s="253"/>
      <c r="EZ334" s="345"/>
      <c r="FA334" s="253"/>
      <c r="FB334" s="33"/>
      <c r="FC334" s="255"/>
      <c r="FD334" s="253"/>
      <c r="FE334" s="345"/>
      <c r="FF334" s="253"/>
      <c r="FG334" s="33"/>
      <c r="FH334" s="255"/>
      <c r="FI334" s="253"/>
      <c r="FJ334" s="345"/>
      <c r="FK334" s="253"/>
      <c r="FL334" s="33"/>
      <c r="FM334" s="255"/>
      <c r="FN334" s="253"/>
      <c r="FO334" s="345"/>
      <c r="FP334" s="253"/>
      <c r="FQ334" s="33"/>
      <c r="FR334" s="255"/>
      <c r="FS334" s="253"/>
      <c r="FT334" s="345"/>
      <c r="FU334" s="253"/>
      <c r="FV334" s="33"/>
      <c r="FW334" s="255"/>
      <c r="FX334" s="253"/>
      <c r="FY334" s="345"/>
      <c r="FZ334" s="253"/>
      <c r="GA334" s="33"/>
      <c r="GB334" s="255"/>
      <c r="GC334" s="253"/>
      <c r="GD334" s="345"/>
      <c r="GE334" s="253"/>
      <c r="GF334" s="33"/>
      <c r="GG334" s="255"/>
      <c r="GH334" s="253"/>
      <c r="GI334" s="345"/>
      <c r="GJ334" s="253"/>
      <c r="GK334" s="33"/>
      <c r="GL334" s="255"/>
      <c r="GM334" s="253"/>
      <c r="GN334" s="345"/>
      <c r="GO334" s="253"/>
      <c r="GP334" s="33"/>
      <c r="GQ334" s="255"/>
      <c r="GR334" s="253"/>
      <c r="GS334" s="345"/>
      <c r="GT334" s="253"/>
      <c r="GU334" s="33"/>
      <c r="GV334" s="255"/>
      <c r="GW334" s="253"/>
      <c r="GX334" s="345"/>
      <c r="GY334" s="253"/>
      <c r="GZ334" s="33"/>
      <c r="HA334" s="255"/>
      <c r="HB334" s="253"/>
      <c r="HC334" s="345"/>
      <c r="HD334" s="253"/>
      <c r="HE334" s="33"/>
      <c r="HF334" s="255"/>
      <c r="HG334" s="253"/>
      <c r="HH334" s="345"/>
      <c r="HI334" s="253"/>
      <c r="HJ334" s="33"/>
      <c r="HK334" s="255"/>
      <c r="HL334" s="253"/>
      <c r="HM334" s="345"/>
      <c r="HN334" s="253"/>
      <c r="HO334" s="33"/>
      <c r="HP334" s="255"/>
      <c r="HQ334" s="253"/>
      <c r="HR334" s="345"/>
      <c r="HS334" s="253"/>
      <c r="HT334" s="33"/>
      <c r="HU334" s="255"/>
      <c r="HV334" s="253"/>
      <c r="HW334" s="345"/>
      <c r="HX334" s="253"/>
      <c r="HY334" s="33"/>
      <c r="HZ334" s="255"/>
      <c r="IA334" s="253"/>
      <c r="IB334" s="345"/>
      <c r="IC334" s="253"/>
      <c r="ID334" s="33"/>
      <c r="IE334" s="255"/>
      <c r="IF334" s="253"/>
      <c r="IG334" s="345"/>
      <c r="IH334" s="253"/>
      <c r="II334" s="33"/>
      <c r="IJ334" s="255"/>
      <c r="IK334" s="253"/>
      <c r="IL334" s="345"/>
      <c r="IM334" s="253"/>
      <c r="IN334" s="33"/>
      <c r="IO334" s="255"/>
      <c r="IP334" s="253"/>
      <c r="IQ334" s="345"/>
      <c r="IR334" s="253"/>
      <c r="IS334" s="33"/>
      <c r="IT334" s="255"/>
      <c r="IU334" s="253"/>
      <c r="IV334" s="345"/>
    </row>
    <row r="335" spans="1:256" x14ac:dyDescent="0.2">
      <c r="A335" s="345">
        <v>37711</v>
      </c>
      <c r="B335" s="253"/>
      <c r="C335" s="33"/>
      <c r="D335" s="255"/>
      <c r="E335" s="253"/>
      <c r="F335" s="345"/>
      <c r="G335" s="253"/>
      <c r="H335" s="33"/>
      <c r="I335" s="255"/>
      <c r="J335" s="253"/>
      <c r="K335" s="345"/>
      <c r="L335" s="253"/>
      <c r="M335" s="33"/>
      <c r="N335" s="255"/>
      <c r="O335" s="253"/>
      <c r="P335" s="345"/>
      <c r="Q335" s="253"/>
      <c r="R335" s="33"/>
      <c r="S335" s="255"/>
      <c r="T335" s="253"/>
      <c r="U335" s="345"/>
      <c r="V335" s="253"/>
      <c r="W335" s="33"/>
      <c r="X335" s="255"/>
      <c r="Y335" s="253"/>
      <c r="Z335" s="345"/>
      <c r="AA335" s="253"/>
      <c r="AB335" s="33"/>
      <c r="AC335" s="255"/>
      <c r="AD335" s="253"/>
      <c r="AE335" s="345"/>
      <c r="AF335" s="253"/>
      <c r="AG335" s="33"/>
      <c r="AH335" s="255"/>
      <c r="AI335" s="253"/>
      <c r="AJ335" s="345"/>
      <c r="AK335" s="253"/>
      <c r="AL335" s="33"/>
      <c r="AM335" s="255"/>
      <c r="AN335" s="253"/>
      <c r="AO335" s="345"/>
      <c r="AP335" s="253"/>
      <c r="AQ335" s="33"/>
      <c r="AR335" s="255"/>
      <c r="AS335" s="253"/>
      <c r="AT335" s="345"/>
      <c r="AU335" s="253"/>
      <c r="AV335" s="33"/>
      <c r="AW335" s="255"/>
      <c r="AX335" s="253"/>
      <c r="AY335" s="345"/>
      <c r="AZ335" s="253"/>
      <c r="BA335" s="33"/>
      <c r="BB335" s="255"/>
      <c r="BC335" s="253"/>
      <c r="BD335" s="345"/>
      <c r="BE335" s="253"/>
      <c r="BF335" s="33"/>
      <c r="BG335" s="255"/>
      <c r="BH335" s="253"/>
      <c r="BI335" s="345"/>
      <c r="BJ335" s="253"/>
      <c r="BK335" s="33"/>
      <c r="BL335" s="255"/>
      <c r="BM335" s="253"/>
      <c r="BN335" s="345"/>
      <c r="BO335" s="253"/>
      <c r="BP335" s="33"/>
      <c r="BQ335" s="255"/>
      <c r="BR335" s="253"/>
      <c r="BS335" s="345"/>
      <c r="BT335" s="253"/>
      <c r="BU335" s="33"/>
      <c r="BV335" s="255"/>
      <c r="BW335" s="253"/>
      <c r="BX335" s="345"/>
      <c r="BY335" s="253"/>
      <c r="BZ335" s="33"/>
      <c r="CA335" s="255"/>
      <c r="CB335" s="253"/>
      <c r="CC335" s="345"/>
      <c r="CD335" s="253"/>
      <c r="CE335" s="33"/>
      <c r="CF335" s="255"/>
      <c r="CG335" s="253"/>
      <c r="CH335" s="345"/>
      <c r="CI335" s="253"/>
      <c r="CJ335" s="33"/>
      <c r="CK335" s="255"/>
      <c r="CL335" s="253"/>
      <c r="CM335" s="345"/>
      <c r="CN335" s="253"/>
      <c r="CO335" s="33"/>
      <c r="CP335" s="255"/>
      <c r="CQ335" s="253"/>
      <c r="CR335" s="345"/>
      <c r="CS335" s="253"/>
      <c r="CT335" s="33"/>
      <c r="CU335" s="255"/>
      <c r="CV335" s="253"/>
      <c r="CW335" s="345"/>
      <c r="CX335" s="253"/>
      <c r="CY335" s="33"/>
      <c r="CZ335" s="255"/>
      <c r="DA335" s="253"/>
      <c r="DB335" s="345"/>
      <c r="DC335" s="253"/>
      <c r="DD335" s="33"/>
      <c r="DE335" s="255"/>
      <c r="DF335" s="253"/>
      <c r="DG335" s="345"/>
      <c r="DH335" s="253"/>
      <c r="DI335" s="33"/>
      <c r="DJ335" s="255"/>
      <c r="DK335" s="253"/>
      <c r="DL335" s="345"/>
      <c r="DM335" s="253"/>
      <c r="DN335" s="33"/>
      <c r="DO335" s="255"/>
      <c r="DP335" s="253"/>
      <c r="DQ335" s="345"/>
      <c r="DR335" s="253"/>
      <c r="DS335" s="33"/>
      <c r="DT335" s="255"/>
      <c r="DU335" s="253"/>
      <c r="DV335" s="345"/>
      <c r="DW335" s="253"/>
      <c r="DX335" s="33"/>
      <c r="DY335" s="255"/>
      <c r="DZ335" s="253"/>
      <c r="EA335" s="345"/>
      <c r="EB335" s="253"/>
      <c r="EC335" s="33"/>
      <c r="ED335" s="255"/>
      <c r="EE335" s="253"/>
      <c r="EF335" s="345"/>
      <c r="EG335" s="253"/>
      <c r="EH335" s="33"/>
      <c r="EI335" s="255"/>
      <c r="EJ335" s="253"/>
      <c r="EK335" s="345"/>
      <c r="EL335" s="253"/>
      <c r="EM335" s="33"/>
      <c r="EN335" s="255"/>
      <c r="EO335" s="253"/>
      <c r="EP335" s="345"/>
      <c r="EQ335" s="253"/>
      <c r="ER335" s="33"/>
      <c r="ES335" s="255"/>
      <c r="ET335" s="253"/>
      <c r="EU335" s="345"/>
      <c r="EV335" s="253"/>
      <c r="EW335" s="33"/>
      <c r="EX335" s="255"/>
      <c r="EY335" s="253"/>
      <c r="EZ335" s="345"/>
      <c r="FA335" s="253"/>
      <c r="FB335" s="33"/>
      <c r="FC335" s="255"/>
      <c r="FD335" s="253"/>
      <c r="FE335" s="345"/>
      <c r="FF335" s="253"/>
      <c r="FG335" s="33"/>
      <c r="FH335" s="255"/>
      <c r="FI335" s="253"/>
      <c r="FJ335" s="345"/>
      <c r="FK335" s="253"/>
      <c r="FL335" s="33"/>
      <c r="FM335" s="255"/>
      <c r="FN335" s="253"/>
      <c r="FO335" s="345"/>
      <c r="FP335" s="253"/>
      <c r="FQ335" s="33"/>
      <c r="FR335" s="255"/>
      <c r="FS335" s="253"/>
      <c r="FT335" s="345"/>
      <c r="FU335" s="253"/>
      <c r="FV335" s="33"/>
      <c r="FW335" s="255"/>
      <c r="FX335" s="253"/>
      <c r="FY335" s="345"/>
      <c r="FZ335" s="253"/>
      <c r="GA335" s="33"/>
      <c r="GB335" s="255"/>
      <c r="GC335" s="253"/>
      <c r="GD335" s="345"/>
      <c r="GE335" s="253"/>
      <c r="GF335" s="33"/>
      <c r="GG335" s="255"/>
      <c r="GH335" s="253"/>
      <c r="GI335" s="345"/>
      <c r="GJ335" s="253"/>
      <c r="GK335" s="33"/>
      <c r="GL335" s="255"/>
      <c r="GM335" s="253"/>
      <c r="GN335" s="345"/>
      <c r="GO335" s="253"/>
      <c r="GP335" s="33"/>
      <c r="GQ335" s="255"/>
      <c r="GR335" s="253"/>
      <c r="GS335" s="345"/>
      <c r="GT335" s="253"/>
      <c r="GU335" s="33"/>
      <c r="GV335" s="255"/>
      <c r="GW335" s="253"/>
      <c r="GX335" s="345"/>
      <c r="GY335" s="253"/>
      <c r="GZ335" s="33"/>
      <c r="HA335" s="255"/>
      <c r="HB335" s="253"/>
      <c r="HC335" s="345"/>
      <c r="HD335" s="253"/>
      <c r="HE335" s="33"/>
      <c r="HF335" s="255"/>
      <c r="HG335" s="253"/>
      <c r="HH335" s="345"/>
      <c r="HI335" s="253"/>
      <c r="HJ335" s="33"/>
      <c r="HK335" s="255"/>
      <c r="HL335" s="253"/>
      <c r="HM335" s="345"/>
      <c r="HN335" s="253"/>
      <c r="HO335" s="33"/>
      <c r="HP335" s="255"/>
      <c r="HQ335" s="253"/>
      <c r="HR335" s="345"/>
      <c r="HS335" s="253"/>
      <c r="HT335" s="33"/>
      <c r="HU335" s="255"/>
      <c r="HV335" s="253"/>
      <c r="HW335" s="345"/>
      <c r="HX335" s="253"/>
      <c r="HY335" s="33"/>
      <c r="HZ335" s="255"/>
      <c r="IA335" s="253"/>
      <c r="IB335" s="345"/>
      <c r="IC335" s="253"/>
      <c r="ID335" s="33"/>
      <c r="IE335" s="255"/>
      <c r="IF335" s="253"/>
      <c r="IG335" s="345"/>
      <c r="IH335" s="253"/>
      <c r="II335" s="33"/>
      <c r="IJ335" s="255"/>
      <c r="IK335" s="253"/>
      <c r="IL335" s="345"/>
      <c r="IM335" s="253"/>
      <c r="IN335" s="33"/>
      <c r="IO335" s="255"/>
      <c r="IP335" s="253"/>
      <c r="IQ335" s="345"/>
      <c r="IR335" s="253"/>
      <c r="IS335" s="33"/>
      <c r="IT335" s="255"/>
      <c r="IU335" s="253"/>
      <c r="IV335" s="345"/>
    </row>
    <row r="336" spans="1:256" x14ac:dyDescent="0.2">
      <c r="A336" s="345">
        <v>37741</v>
      </c>
      <c r="B336" s="253"/>
      <c r="C336" s="33"/>
      <c r="D336" s="255"/>
      <c r="E336" s="253"/>
      <c r="F336" s="345"/>
      <c r="G336" s="253"/>
      <c r="H336" s="33"/>
      <c r="I336" s="255"/>
      <c r="J336" s="253"/>
      <c r="K336" s="345"/>
      <c r="L336" s="253"/>
      <c r="M336" s="33"/>
      <c r="N336" s="255"/>
      <c r="O336" s="253"/>
      <c r="P336" s="345"/>
      <c r="Q336" s="253"/>
      <c r="R336" s="33"/>
      <c r="S336" s="255"/>
      <c r="T336" s="253"/>
      <c r="U336" s="345"/>
      <c r="V336" s="253"/>
      <c r="W336" s="33"/>
      <c r="X336" s="255"/>
      <c r="Y336" s="253"/>
      <c r="Z336" s="345"/>
      <c r="AA336" s="253"/>
      <c r="AB336" s="33"/>
      <c r="AC336" s="255"/>
      <c r="AD336" s="253"/>
      <c r="AE336" s="345"/>
      <c r="AF336" s="253"/>
      <c r="AG336" s="33"/>
      <c r="AH336" s="255"/>
      <c r="AI336" s="253"/>
      <c r="AJ336" s="345"/>
      <c r="AK336" s="253"/>
      <c r="AL336" s="33"/>
      <c r="AM336" s="255"/>
      <c r="AN336" s="253"/>
      <c r="AO336" s="345"/>
      <c r="AP336" s="253"/>
      <c r="AQ336" s="33"/>
      <c r="AR336" s="255"/>
      <c r="AS336" s="253"/>
      <c r="AT336" s="345"/>
      <c r="AU336" s="253"/>
      <c r="AV336" s="33"/>
      <c r="AW336" s="255"/>
      <c r="AX336" s="253"/>
      <c r="AY336" s="345"/>
      <c r="AZ336" s="253"/>
      <c r="BA336" s="33"/>
      <c r="BB336" s="255"/>
      <c r="BC336" s="253"/>
      <c r="BD336" s="345"/>
      <c r="BE336" s="253"/>
      <c r="BF336" s="33"/>
      <c r="BG336" s="255"/>
      <c r="BH336" s="253"/>
      <c r="BI336" s="345"/>
      <c r="BJ336" s="253"/>
      <c r="BK336" s="33"/>
      <c r="BL336" s="255"/>
      <c r="BM336" s="253"/>
      <c r="BN336" s="345"/>
      <c r="BO336" s="253"/>
      <c r="BP336" s="33"/>
      <c r="BQ336" s="255"/>
      <c r="BR336" s="253"/>
      <c r="BS336" s="345"/>
      <c r="BT336" s="253"/>
      <c r="BU336" s="33"/>
      <c r="BV336" s="255"/>
      <c r="BW336" s="253"/>
      <c r="BX336" s="345"/>
      <c r="BY336" s="253"/>
      <c r="BZ336" s="33"/>
      <c r="CA336" s="255"/>
      <c r="CB336" s="253"/>
      <c r="CC336" s="345"/>
      <c r="CD336" s="253"/>
      <c r="CE336" s="33"/>
      <c r="CF336" s="255"/>
      <c r="CG336" s="253"/>
      <c r="CH336" s="345"/>
      <c r="CI336" s="253"/>
      <c r="CJ336" s="33"/>
      <c r="CK336" s="255"/>
      <c r="CL336" s="253"/>
      <c r="CM336" s="345"/>
      <c r="CN336" s="253"/>
      <c r="CO336" s="33"/>
      <c r="CP336" s="255"/>
      <c r="CQ336" s="253"/>
      <c r="CR336" s="345"/>
      <c r="CS336" s="253"/>
      <c r="CT336" s="33"/>
      <c r="CU336" s="255"/>
      <c r="CV336" s="253"/>
      <c r="CW336" s="345"/>
      <c r="CX336" s="253"/>
      <c r="CY336" s="33"/>
      <c r="CZ336" s="255"/>
      <c r="DA336" s="253"/>
      <c r="DB336" s="345"/>
      <c r="DC336" s="253"/>
      <c r="DD336" s="33"/>
      <c r="DE336" s="255"/>
      <c r="DF336" s="253"/>
      <c r="DG336" s="345"/>
      <c r="DH336" s="253"/>
      <c r="DI336" s="33"/>
      <c r="DJ336" s="255"/>
      <c r="DK336" s="253"/>
      <c r="DL336" s="345"/>
      <c r="DM336" s="253"/>
      <c r="DN336" s="33"/>
      <c r="DO336" s="255"/>
      <c r="DP336" s="253"/>
      <c r="DQ336" s="345"/>
      <c r="DR336" s="253"/>
      <c r="DS336" s="33"/>
      <c r="DT336" s="255"/>
      <c r="DU336" s="253"/>
      <c r="DV336" s="345"/>
      <c r="DW336" s="253"/>
      <c r="DX336" s="33"/>
      <c r="DY336" s="255"/>
      <c r="DZ336" s="253"/>
      <c r="EA336" s="345"/>
      <c r="EB336" s="253"/>
      <c r="EC336" s="33"/>
      <c r="ED336" s="255"/>
      <c r="EE336" s="253"/>
      <c r="EF336" s="345"/>
      <c r="EG336" s="253"/>
      <c r="EH336" s="33"/>
      <c r="EI336" s="255"/>
      <c r="EJ336" s="253"/>
      <c r="EK336" s="345"/>
      <c r="EL336" s="253"/>
      <c r="EM336" s="33"/>
      <c r="EN336" s="255"/>
      <c r="EO336" s="253"/>
      <c r="EP336" s="345"/>
      <c r="EQ336" s="253"/>
      <c r="ER336" s="33"/>
      <c r="ES336" s="255"/>
      <c r="ET336" s="253"/>
      <c r="EU336" s="345"/>
      <c r="EV336" s="253"/>
      <c r="EW336" s="33"/>
      <c r="EX336" s="255"/>
      <c r="EY336" s="253"/>
      <c r="EZ336" s="345"/>
      <c r="FA336" s="253"/>
      <c r="FB336" s="33"/>
      <c r="FC336" s="255"/>
      <c r="FD336" s="253"/>
      <c r="FE336" s="345"/>
      <c r="FF336" s="253"/>
      <c r="FG336" s="33"/>
      <c r="FH336" s="255"/>
      <c r="FI336" s="253"/>
      <c r="FJ336" s="345"/>
      <c r="FK336" s="253"/>
      <c r="FL336" s="33"/>
      <c r="FM336" s="255"/>
      <c r="FN336" s="253"/>
      <c r="FO336" s="345"/>
      <c r="FP336" s="253"/>
      <c r="FQ336" s="33"/>
      <c r="FR336" s="255"/>
      <c r="FS336" s="253"/>
      <c r="FT336" s="345"/>
      <c r="FU336" s="253"/>
      <c r="FV336" s="33"/>
      <c r="FW336" s="255"/>
      <c r="FX336" s="253"/>
      <c r="FY336" s="345"/>
      <c r="FZ336" s="253"/>
      <c r="GA336" s="33"/>
      <c r="GB336" s="255"/>
      <c r="GC336" s="253"/>
      <c r="GD336" s="345"/>
      <c r="GE336" s="253"/>
      <c r="GF336" s="33"/>
      <c r="GG336" s="255"/>
      <c r="GH336" s="253"/>
      <c r="GI336" s="345"/>
      <c r="GJ336" s="253"/>
      <c r="GK336" s="33"/>
      <c r="GL336" s="255"/>
      <c r="GM336" s="253"/>
      <c r="GN336" s="345"/>
      <c r="GO336" s="253"/>
      <c r="GP336" s="33"/>
      <c r="GQ336" s="255"/>
      <c r="GR336" s="253"/>
      <c r="GS336" s="345"/>
      <c r="GT336" s="253"/>
      <c r="GU336" s="33"/>
      <c r="GV336" s="255"/>
      <c r="GW336" s="253"/>
      <c r="GX336" s="345"/>
      <c r="GY336" s="253"/>
      <c r="GZ336" s="33"/>
      <c r="HA336" s="255"/>
      <c r="HB336" s="253"/>
      <c r="HC336" s="345"/>
      <c r="HD336" s="253"/>
      <c r="HE336" s="33"/>
      <c r="HF336" s="255"/>
      <c r="HG336" s="253"/>
      <c r="HH336" s="345"/>
      <c r="HI336" s="253"/>
      <c r="HJ336" s="33"/>
      <c r="HK336" s="255"/>
      <c r="HL336" s="253"/>
      <c r="HM336" s="345"/>
      <c r="HN336" s="253"/>
      <c r="HO336" s="33"/>
      <c r="HP336" s="255"/>
      <c r="HQ336" s="253"/>
      <c r="HR336" s="345"/>
      <c r="HS336" s="253"/>
      <c r="HT336" s="33"/>
      <c r="HU336" s="255"/>
      <c r="HV336" s="253"/>
      <c r="HW336" s="345"/>
      <c r="HX336" s="253"/>
      <c r="HY336" s="33"/>
      <c r="HZ336" s="255"/>
      <c r="IA336" s="253"/>
      <c r="IB336" s="345"/>
      <c r="IC336" s="253"/>
      <c r="ID336" s="33"/>
      <c r="IE336" s="255"/>
      <c r="IF336" s="253"/>
      <c r="IG336" s="345"/>
      <c r="IH336" s="253"/>
      <c r="II336" s="33"/>
      <c r="IJ336" s="255"/>
      <c r="IK336" s="253"/>
      <c r="IL336" s="345"/>
      <c r="IM336" s="253"/>
      <c r="IN336" s="33"/>
      <c r="IO336" s="255"/>
      <c r="IP336" s="253"/>
      <c r="IQ336" s="345"/>
      <c r="IR336" s="253"/>
      <c r="IS336" s="33"/>
      <c r="IT336" s="255"/>
      <c r="IU336" s="253"/>
      <c r="IV336" s="345"/>
    </row>
    <row r="337" spans="1:256" x14ac:dyDescent="0.2">
      <c r="A337" s="345">
        <v>37772</v>
      </c>
      <c r="B337" s="253"/>
      <c r="C337" s="33"/>
      <c r="D337" s="255"/>
      <c r="E337" s="253"/>
      <c r="F337" s="345"/>
      <c r="G337" s="253"/>
      <c r="H337" s="33"/>
      <c r="I337" s="255"/>
      <c r="J337" s="253"/>
      <c r="K337" s="345"/>
      <c r="L337" s="253"/>
      <c r="M337" s="33"/>
      <c r="N337" s="255"/>
      <c r="O337" s="253"/>
      <c r="P337" s="345"/>
      <c r="Q337" s="253"/>
      <c r="R337" s="33"/>
      <c r="S337" s="255"/>
      <c r="T337" s="253"/>
      <c r="U337" s="345"/>
      <c r="V337" s="253"/>
      <c r="W337" s="33"/>
      <c r="X337" s="255"/>
      <c r="Y337" s="253"/>
      <c r="Z337" s="345"/>
      <c r="AA337" s="253"/>
      <c r="AB337" s="33"/>
      <c r="AC337" s="255"/>
      <c r="AD337" s="253"/>
      <c r="AE337" s="345"/>
      <c r="AF337" s="253"/>
      <c r="AG337" s="33"/>
      <c r="AH337" s="255"/>
      <c r="AI337" s="253"/>
      <c r="AJ337" s="345"/>
      <c r="AK337" s="253"/>
      <c r="AL337" s="33"/>
      <c r="AM337" s="255"/>
      <c r="AN337" s="253"/>
      <c r="AO337" s="345"/>
      <c r="AP337" s="253"/>
      <c r="AQ337" s="33"/>
      <c r="AR337" s="255"/>
      <c r="AS337" s="253"/>
      <c r="AT337" s="345"/>
      <c r="AU337" s="253"/>
      <c r="AV337" s="33"/>
      <c r="AW337" s="255"/>
      <c r="AX337" s="253"/>
      <c r="AY337" s="345"/>
      <c r="AZ337" s="253"/>
      <c r="BA337" s="33"/>
      <c r="BB337" s="255"/>
      <c r="BC337" s="253"/>
      <c r="BD337" s="345"/>
      <c r="BE337" s="253"/>
      <c r="BF337" s="33"/>
      <c r="BG337" s="255"/>
      <c r="BH337" s="253"/>
      <c r="BI337" s="345"/>
      <c r="BJ337" s="253"/>
      <c r="BK337" s="33"/>
      <c r="BL337" s="255"/>
      <c r="BM337" s="253"/>
      <c r="BN337" s="345"/>
      <c r="BO337" s="253"/>
      <c r="BP337" s="33"/>
      <c r="BQ337" s="255"/>
      <c r="BR337" s="253"/>
      <c r="BS337" s="345"/>
      <c r="BT337" s="253"/>
      <c r="BU337" s="33"/>
      <c r="BV337" s="255"/>
      <c r="BW337" s="253"/>
      <c r="BX337" s="345"/>
      <c r="BY337" s="253"/>
      <c r="BZ337" s="33"/>
      <c r="CA337" s="255"/>
      <c r="CB337" s="253"/>
      <c r="CC337" s="345"/>
      <c r="CD337" s="253"/>
      <c r="CE337" s="33"/>
      <c r="CF337" s="255"/>
      <c r="CG337" s="253"/>
      <c r="CH337" s="345"/>
      <c r="CI337" s="253"/>
      <c r="CJ337" s="33"/>
      <c r="CK337" s="255"/>
      <c r="CL337" s="253"/>
      <c r="CM337" s="345"/>
      <c r="CN337" s="253"/>
      <c r="CO337" s="33"/>
      <c r="CP337" s="255"/>
      <c r="CQ337" s="253"/>
      <c r="CR337" s="345"/>
      <c r="CS337" s="253"/>
      <c r="CT337" s="33"/>
      <c r="CU337" s="255"/>
      <c r="CV337" s="253"/>
      <c r="CW337" s="345"/>
      <c r="CX337" s="253"/>
      <c r="CY337" s="33"/>
      <c r="CZ337" s="255"/>
      <c r="DA337" s="253"/>
      <c r="DB337" s="345"/>
      <c r="DC337" s="253"/>
      <c r="DD337" s="33"/>
      <c r="DE337" s="255"/>
      <c r="DF337" s="253"/>
      <c r="DG337" s="345"/>
      <c r="DH337" s="253"/>
      <c r="DI337" s="33"/>
      <c r="DJ337" s="255"/>
      <c r="DK337" s="253"/>
      <c r="DL337" s="345"/>
      <c r="DM337" s="253"/>
      <c r="DN337" s="33"/>
      <c r="DO337" s="255"/>
      <c r="DP337" s="253"/>
      <c r="DQ337" s="345"/>
      <c r="DR337" s="253"/>
      <c r="DS337" s="33"/>
      <c r="DT337" s="255"/>
      <c r="DU337" s="253"/>
      <c r="DV337" s="345"/>
      <c r="DW337" s="253"/>
      <c r="DX337" s="33"/>
      <c r="DY337" s="255"/>
      <c r="DZ337" s="253"/>
      <c r="EA337" s="345"/>
      <c r="EB337" s="253"/>
      <c r="EC337" s="33"/>
      <c r="ED337" s="255"/>
      <c r="EE337" s="253"/>
      <c r="EF337" s="345"/>
      <c r="EG337" s="253"/>
      <c r="EH337" s="33"/>
      <c r="EI337" s="255"/>
      <c r="EJ337" s="253"/>
      <c r="EK337" s="345"/>
      <c r="EL337" s="253"/>
      <c r="EM337" s="33"/>
      <c r="EN337" s="255"/>
      <c r="EO337" s="253"/>
      <c r="EP337" s="345"/>
      <c r="EQ337" s="253"/>
      <c r="ER337" s="33"/>
      <c r="ES337" s="255"/>
      <c r="ET337" s="253"/>
      <c r="EU337" s="345"/>
      <c r="EV337" s="253"/>
      <c r="EW337" s="33"/>
      <c r="EX337" s="255"/>
      <c r="EY337" s="253"/>
      <c r="EZ337" s="345"/>
      <c r="FA337" s="253"/>
      <c r="FB337" s="33"/>
      <c r="FC337" s="255"/>
      <c r="FD337" s="253"/>
      <c r="FE337" s="345"/>
      <c r="FF337" s="253"/>
      <c r="FG337" s="33"/>
      <c r="FH337" s="255"/>
      <c r="FI337" s="253"/>
      <c r="FJ337" s="345"/>
      <c r="FK337" s="253"/>
      <c r="FL337" s="33"/>
      <c r="FM337" s="255"/>
      <c r="FN337" s="253"/>
      <c r="FO337" s="345"/>
      <c r="FP337" s="253"/>
      <c r="FQ337" s="33"/>
      <c r="FR337" s="255"/>
      <c r="FS337" s="253"/>
      <c r="FT337" s="345"/>
      <c r="FU337" s="253"/>
      <c r="FV337" s="33"/>
      <c r="FW337" s="255"/>
      <c r="FX337" s="253"/>
      <c r="FY337" s="345"/>
      <c r="FZ337" s="253"/>
      <c r="GA337" s="33"/>
      <c r="GB337" s="255"/>
      <c r="GC337" s="253"/>
      <c r="GD337" s="345"/>
      <c r="GE337" s="253"/>
      <c r="GF337" s="33"/>
      <c r="GG337" s="255"/>
      <c r="GH337" s="253"/>
      <c r="GI337" s="345"/>
      <c r="GJ337" s="253"/>
      <c r="GK337" s="33"/>
      <c r="GL337" s="255"/>
      <c r="GM337" s="253"/>
      <c r="GN337" s="345"/>
      <c r="GO337" s="253"/>
      <c r="GP337" s="33"/>
      <c r="GQ337" s="255"/>
      <c r="GR337" s="253"/>
      <c r="GS337" s="345"/>
      <c r="GT337" s="253"/>
      <c r="GU337" s="33"/>
      <c r="GV337" s="255"/>
      <c r="GW337" s="253"/>
      <c r="GX337" s="345"/>
      <c r="GY337" s="253"/>
      <c r="GZ337" s="33"/>
      <c r="HA337" s="255"/>
      <c r="HB337" s="253"/>
      <c r="HC337" s="345"/>
      <c r="HD337" s="253"/>
      <c r="HE337" s="33"/>
      <c r="HF337" s="255"/>
      <c r="HG337" s="253"/>
      <c r="HH337" s="345"/>
      <c r="HI337" s="253"/>
      <c r="HJ337" s="33"/>
      <c r="HK337" s="255"/>
      <c r="HL337" s="253"/>
      <c r="HM337" s="345"/>
      <c r="HN337" s="253"/>
      <c r="HO337" s="33"/>
      <c r="HP337" s="255"/>
      <c r="HQ337" s="253"/>
      <c r="HR337" s="345"/>
      <c r="HS337" s="253"/>
      <c r="HT337" s="33"/>
      <c r="HU337" s="255"/>
      <c r="HV337" s="253"/>
      <c r="HW337" s="345"/>
      <c r="HX337" s="253"/>
      <c r="HY337" s="33"/>
      <c r="HZ337" s="255"/>
      <c r="IA337" s="253"/>
      <c r="IB337" s="345"/>
      <c r="IC337" s="253"/>
      <c r="ID337" s="33"/>
      <c r="IE337" s="255"/>
      <c r="IF337" s="253"/>
      <c r="IG337" s="345"/>
      <c r="IH337" s="253"/>
      <c r="II337" s="33"/>
      <c r="IJ337" s="255"/>
      <c r="IK337" s="253"/>
      <c r="IL337" s="345"/>
      <c r="IM337" s="253"/>
      <c r="IN337" s="33"/>
      <c r="IO337" s="255"/>
      <c r="IP337" s="253"/>
      <c r="IQ337" s="345"/>
      <c r="IR337" s="253"/>
      <c r="IS337" s="33"/>
      <c r="IT337" s="255"/>
      <c r="IU337" s="253"/>
      <c r="IV337" s="345"/>
    </row>
    <row r="338" spans="1:256" x14ac:dyDescent="0.2">
      <c r="A338" s="345">
        <v>37802</v>
      </c>
      <c r="B338" s="253"/>
      <c r="C338" s="33"/>
      <c r="D338" s="255"/>
      <c r="E338" s="253"/>
      <c r="F338" s="345"/>
      <c r="G338" s="253"/>
      <c r="H338" s="33"/>
      <c r="I338" s="255"/>
      <c r="J338" s="253"/>
      <c r="K338" s="345"/>
      <c r="L338" s="253"/>
      <c r="M338" s="33"/>
      <c r="N338" s="255"/>
      <c r="O338" s="253"/>
      <c r="P338" s="345"/>
      <c r="Q338" s="253"/>
      <c r="R338" s="33"/>
      <c r="S338" s="255"/>
      <c r="T338" s="253"/>
      <c r="U338" s="345"/>
      <c r="V338" s="253"/>
      <c r="W338" s="33"/>
      <c r="X338" s="255"/>
      <c r="Y338" s="253"/>
      <c r="Z338" s="345"/>
      <c r="AA338" s="253"/>
      <c r="AB338" s="33"/>
      <c r="AC338" s="255"/>
      <c r="AD338" s="253"/>
      <c r="AE338" s="345"/>
      <c r="AF338" s="253"/>
      <c r="AG338" s="33"/>
      <c r="AH338" s="255"/>
      <c r="AI338" s="253"/>
      <c r="AJ338" s="345"/>
      <c r="AK338" s="253"/>
      <c r="AL338" s="33"/>
      <c r="AM338" s="255"/>
      <c r="AN338" s="253"/>
      <c r="AO338" s="345"/>
      <c r="AP338" s="253"/>
      <c r="AQ338" s="33"/>
      <c r="AR338" s="255"/>
      <c r="AS338" s="253"/>
      <c r="AT338" s="345"/>
      <c r="AU338" s="253"/>
      <c r="AV338" s="33"/>
      <c r="AW338" s="255"/>
      <c r="AX338" s="253"/>
      <c r="AY338" s="345"/>
      <c r="AZ338" s="253"/>
      <c r="BA338" s="33"/>
      <c r="BB338" s="255"/>
      <c r="BC338" s="253"/>
      <c r="BD338" s="345"/>
      <c r="BE338" s="253"/>
      <c r="BF338" s="33"/>
      <c r="BG338" s="255"/>
      <c r="BH338" s="253"/>
      <c r="BI338" s="345"/>
      <c r="BJ338" s="253"/>
      <c r="BK338" s="33"/>
      <c r="BL338" s="255"/>
      <c r="BM338" s="253"/>
      <c r="BN338" s="345"/>
      <c r="BO338" s="253"/>
      <c r="BP338" s="33"/>
      <c r="BQ338" s="255"/>
      <c r="BR338" s="253"/>
      <c r="BS338" s="345"/>
      <c r="BT338" s="253"/>
      <c r="BU338" s="33"/>
      <c r="BV338" s="255"/>
      <c r="BW338" s="253"/>
      <c r="BX338" s="345"/>
      <c r="BY338" s="253"/>
      <c r="BZ338" s="33"/>
      <c r="CA338" s="255"/>
      <c r="CB338" s="253"/>
      <c r="CC338" s="345"/>
      <c r="CD338" s="253"/>
      <c r="CE338" s="33"/>
      <c r="CF338" s="255"/>
      <c r="CG338" s="253"/>
      <c r="CH338" s="345"/>
      <c r="CI338" s="253"/>
      <c r="CJ338" s="33"/>
      <c r="CK338" s="255"/>
      <c r="CL338" s="253"/>
      <c r="CM338" s="345"/>
      <c r="CN338" s="253"/>
      <c r="CO338" s="33"/>
      <c r="CP338" s="255"/>
      <c r="CQ338" s="253"/>
      <c r="CR338" s="345"/>
      <c r="CS338" s="253"/>
      <c r="CT338" s="33"/>
      <c r="CU338" s="255"/>
      <c r="CV338" s="253"/>
      <c r="CW338" s="345"/>
      <c r="CX338" s="253"/>
      <c r="CY338" s="33"/>
      <c r="CZ338" s="255"/>
      <c r="DA338" s="253"/>
      <c r="DB338" s="345"/>
      <c r="DC338" s="253"/>
      <c r="DD338" s="33"/>
      <c r="DE338" s="255"/>
      <c r="DF338" s="253"/>
      <c r="DG338" s="345"/>
      <c r="DH338" s="253"/>
      <c r="DI338" s="33"/>
      <c r="DJ338" s="255"/>
      <c r="DK338" s="253"/>
      <c r="DL338" s="345"/>
      <c r="DM338" s="253"/>
      <c r="DN338" s="33"/>
      <c r="DO338" s="255"/>
      <c r="DP338" s="253"/>
      <c r="DQ338" s="345"/>
      <c r="DR338" s="253"/>
      <c r="DS338" s="33"/>
      <c r="DT338" s="255"/>
      <c r="DU338" s="253"/>
      <c r="DV338" s="345"/>
      <c r="DW338" s="253"/>
      <c r="DX338" s="33"/>
      <c r="DY338" s="255"/>
      <c r="DZ338" s="253"/>
      <c r="EA338" s="345"/>
      <c r="EB338" s="253"/>
      <c r="EC338" s="33"/>
      <c r="ED338" s="255"/>
      <c r="EE338" s="253"/>
      <c r="EF338" s="345"/>
      <c r="EG338" s="253"/>
      <c r="EH338" s="33"/>
      <c r="EI338" s="255"/>
      <c r="EJ338" s="253"/>
      <c r="EK338" s="345"/>
      <c r="EL338" s="253"/>
      <c r="EM338" s="33"/>
      <c r="EN338" s="255"/>
      <c r="EO338" s="253"/>
      <c r="EP338" s="345"/>
      <c r="EQ338" s="253"/>
      <c r="ER338" s="33"/>
      <c r="ES338" s="255"/>
      <c r="ET338" s="253"/>
      <c r="EU338" s="345"/>
      <c r="EV338" s="253"/>
      <c r="EW338" s="33"/>
      <c r="EX338" s="255"/>
      <c r="EY338" s="253"/>
      <c r="EZ338" s="345"/>
      <c r="FA338" s="253"/>
      <c r="FB338" s="33"/>
      <c r="FC338" s="255"/>
      <c r="FD338" s="253"/>
      <c r="FE338" s="345"/>
      <c r="FF338" s="253"/>
      <c r="FG338" s="33"/>
      <c r="FH338" s="255"/>
      <c r="FI338" s="253"/>
      <c r="FJ338" s="345"/>
      <c r="FK338" s="253"/>
      <c r="FL338" s="33"/>
      <c r="FM338" s="255"/>
      <c r="FN338" s="253"/>
      <c r="FO338" s="345"/>
      <c r="FP338" s="253"/>
      <c r="FQ338" s="33"/>
      <c r="FR338" s="255"/>
      <c r="FS338" s="253"/>
      <c r="FT338" s="345"/>
      <c r="FU338" s="253"/>
      <c r="FV338" s="33"/>
      <c r="FW338" s="255"/>
      <c r="FX338" s="253"/>
      <c r="FY338" s="345"/>
      <c r="FZ338" s="253"/>
      <c r="GA338" s="33"/>
      <c r="GB338" s="255"/>
      <c r="GC338" s="253"/>
      <c r="GD338" s="345"/>
      <c r="GE338" s="253"/>
      <c r="GF338" s="33"/>
      <c r="GG338" s="255"/>
      <c r="GH338" s="253"/>
      <c r="GI338" s="345"/>
      <c r="GJ338" s="253"/>
      <c r="GK338" s="33"/>
      <c r="GL338" s="255"/>
      <c r="GM338" s="253"/>
      <c r="GN338" s="345"/>
      <c r="GO338" s="253"/>
      <c r="GP338" s="33"/>
      <c r="GQ338" s="255"/>
      <c r="GR338" s="253"/>
      <c r="GS338" s="345"/>
      <c r="GT338" s="253"/>
      <c r="GU338" s="33"/>
      <c r="GV338" s="255"/>
      <c r="GW338" s="253"/>
      <c r="GX338" s="345"/>
      <c r="GY338" s="253"/>
      <c r="GZ338" s="33"/>
      <c r="HA338" s="255"/>
      <c r="HB338" s="253"/>
      <c r="HC338" s="345"/>
      <c r="HD338" s="253"/>
      <c r="HE338" s="33"/>
      <c r="HF338" s="255"/>
      <c r="HG338" s="253"/>
      <c r="HH338" s="345"/>
      <c r="HI338" s="253"/>
      <c r="HJ338" s="33"/>
      <c r="HK338" s="255"/>
      <c r="HL338" s="253"/>
      <c r="HM338" s="345"/>
      <c r="HN338" s="253"/>
      <c r="HO338" s="33"/>
      <c r="HP338" s="255"/>
      <c r="HQ338" s="253"/>
      <c r="HR338" s="345"/>
      <c r="HS338" s="253"/>
      <c r="HT338" s="33"/>
      <c r="HU338" s="255"/>
      <c r="HV338" s="253"/>
      <c r="HW338" s="345"/>
      <c r="HX338" s="253"/>
      <c r="HY338" s="33"/>
      <c r="HZ338" s="255"/>
      <c r="IA338" s="253"/>
      <c r="IB338" s="345"/>
      <c r="IC338" s="253"/>
      <c r="ID338" s="33"/>
      <c r="IE338" s="255"/>
      <c r="IF338" s="253"/>
      <c r="IG338" s="345"/>
      <c r="IH338" s="253"/>
      <c r="II338" s="33"/>
      <c r="IJ338" s="255"/>
      <c r="IK338" s="253"/>
      <c r="IL338" s="345"/>
      <c r="IM338" s="253"/>
      <c r="IN338" s="33"/>
      <c r="IO338" s="255"/>
      <c r="IP338" s="253"/>
      <c r="IQ338" s="345"/>
      <c r="IR338" s="253"/>
      <c r="IS338" s="33"/>
      <c r="IT338" s="255"/>
      <c r="IU338" s="253"/>
      <c r="IV338" s="345"/>
    </row>
    <row r="339" spans="1:256" x14ac:dyDescent="0.2">
      <c r="A339" s="345">
        <v>37833</v>
      </c>
      <c r="B339" s="253"/>
      <c r="C339" s="33"/>
      <c r="D339" s="255"/>
      <c r="E339" s="253"/>
      <c r="F339" s="345"/>
      <c r="G339" s="253"/>
      <c r="H339" s="33"/>
      <c r="I339" s="255"/>
      <c r="J339" s="253"/>
      <c r="K339" s="345"/>
      <c r="L339" s="253"/>
      <c r="M339" s="33"/>
      <c r="N339" s="255"/>
      <c r="O339" s="253"/>
      <c r="P339" s="345"/>
      <c r="Q339" s="253"/>
      <c r="R339" s="33"/>
      <c r="S339" s="255"/>
      <c r="T339" s="253"/>
      <c r="U339" s="345"/>
      <c r="V339" s="253"/>
      <c r="W339" s="33"/>
      <c r="X339" s="255"/>
      <c r="Y339" s="253"/>
      <c r="Z339" s="345"/>
      <c r="AA339" s="253"/>
      <c r="AB339" s="33"/>
      <c r="AC339" s="255"/>
      <c r="AD339" s="253"/>
      <c r="AE339" s="345"/>
      <c r="AF339" s="253"/>
      <c r="AG339" s="33"/>
      <c r="AH339" s="255"/>
      <c r="AI339" s="253"/>
      <c r="AJ339" s="345"/>
      <c r="AK339" s="253"/>
      <c r="AL339" s="33"/>
      <c r="AM339" s="255"/>
      <c r="AN339" s="253"/>
      <c r="AO339" s="345"/>
      <c r="AP339" s="253"/>
      <c r="AQ339" s="33"/>
      <c r="AR339" s="255"/>
      <c r="AS339" s="253"/>
      <c r="AT339" s="345"/>
      <c r="AU339" s="253"/>
      <c r="AV339" s="33"/>
      <c r="AW339" s="255"/>
      <c r="AX339" s="253"/>
      <c r="AY339" s="345"/>
      <c r="AZ339" s="253"/>
      <c r="BA339" s="33"/>
      <c r="BB339" s="255"/>
      <c r="BC339" s="253"/>
      <c r="BD339" s="345"/>
      <c r="BE339" s="253"/>
      <c r="BF339" s="33"/>
      <c r="BG339" s="255"/>
      <c r="BH339" s="253"/>
      <c r="BI339" s="345"/>
      <c r="BJ339" s="253"/>
      <c r="BK339" s="33"/>
      <c r="BL339" s="255"/>
      <c r="BM339" s="253"/>
      <c r="BN339" s="345"/>
      <c r="BO339" s="253"/>
      <c r="BP339" s="33"/>
      <c r="BQ339" s="255"/>
      <c r="BR339" s="253"/>
      <c r="BS339" s="345"/>
      <c r="BT339" s="253"/>
      <c r="BU339" s="33"/>
      <c r="BV339" s="255"/>
      <c r="BW339" s="253"/>
      <c r="BX339" s="345"/>
      <c r="BY339" s="253"/>
      <c r="BZ339" s="33"/>
      <c r="CA339" s="255"/>
      <c r="CB339" s="253"/>
      <c r="CC339" s="345"/>
      <c r="CD339" s="253"/>
      <c r="CE339" s="33"/>
      <c r="CF339" s="255"/>
      <c r="CG339" s="253"/>
      <c r="CH339" s="345"/>
      <c r="CI339" s="253"/>
      <c r="CJ339" s="33"/>
      <c r="CK339" s="255"/>
      <c r="CL339" s="253"/>
      <c r="CM339" s="345"/>
      <c r="CN339" s="253"/>
      <c r="CO339" s="33"/>
      <c r="CP339" s="255"/>
      <c r="CQ339" s="253"/>
      <c r="CR339" s="345"/>
      <c r="CS339" s="253"/>
      <c r="CT339" s="33"/>
      <c r="CU339" s="255"/>
      <c r="CV339" s="253"/>
      <c r="CW339" s="345"/>
      <c r="CX339" s="253"/>
      <c r="CY339" s="33"/>
      <c r="CZ339" s="255"/>
      <c r="DA339" s="253"/>
      <c r="DB339" s="345"/>
      <c r="DC339" s="253"/>
      <c r="DD339" s="33"/>
      <c r="DE339" s="255"/>
      <c r="DF339" s="253"/>
      <c r="DG339" s="345"/>
      <c r="DH339" s="253"/>
      <c r="DI339" s="33"/>
      <c r="DJ339" s="255"/>
      <c r="DK339" s="253"/>
      <c r="DL339" s="345"/>
      <c r="DM339" s="253"/>
      <c r="DN339" s="33"/>
      <c r="DO339" s="255"/>
      <c r="DP339" s="253"/>
      <c r="DQ339" s="345"/>
      <c r="DR339" s="253"/>
      <c r="DS339" s="33"/>
      <c r="DT339" s="255"/>
      <c r="DU339" s="253"/>
      <c r="DV339" s="345"/>
      <c r="DW339" s="253"/>
      <c r="DX339" s="33"/>
      <c r="DY339" s="255"/>
      <c r="DZ339" s="253"/>
      <c r="EA339" s="345"/>
      <c r="EB339" s="253"/>
      <c r="EC339" s="33"/>
      <c r="ED339" s="255"/>
      <c r="EE339" s="253"/>
      <c r="EF339" s="345"/>
      <c r="EG339" s="253"/>
      <c r="EH339" s="33"/>
      <c r="EI339" s="255"/>
      <c r="EJ339" s="253"/>
      <c r="EK339" s="345"/>
      <c r="EL339" s="253"/>
      <c r="EM339" s="33"/>
      <c r="EN339" s="255"/>
      <c r="EO339" s="253"/>
      <c r="EP339" s="345"/>
      <c r="EQ339" s="253"/>
      <c r="ER339" s="33"/>
      <c r="ES339" s="255"/>
      <c r="ET339" s="253"/>
      <c r="EU339" s="345"/>
      <c r="EV339" s="253"/>
      <c r="EW339" s="33"/>
      <c r="EX339" s="255"/>
      <c r="EY339" s="253"/>
      <c r="EZ339" s="345"/>
      <c r="FA339" s="253"/>
      <c r="FB339" s="33"/>
      <c r="FC339" s="255"/>
      <c r="FD339" s="253"/>
      <c r="FE339" s="345"/>
      <c r="FF339" s="253"/>
      <c r="FG339" s="33"/>
      <c r="FH339" s="255"/>
      <c r="FI339" s="253"/>
      <c r="FJ339" s="345"/>
      <c r="FK339" s="253"/>
      <c r="FL339" s="33"/>
      <c r="FM339" s="255"/>
      <c r="FN339" s="253"/>
      <c r="FO339" s="345"/>
      <c r="FP339" s="253"/>
      <c r="FQ339" s="33"/>
      <c r="FR339" s="255"/>
      <c r="FS339" s="253"/>
      <c r="FT339" s="345"/>
      <c r="FU339" s="253"/>
      <c r="FV339" s="33"/>
      <c r="FW339" s="255"/>
      <c r="FX339" s="253"/>
      <c r="FY339" s="345"/>
      <c r="FZ339" s="253"/>
      <c r="GA339" s="33"/>
      <c r="GB339" s="255"/>
      <c r="GC339" s="253"/>
      <c r="GD339" s="345"/>
      <c r="GE339" s="253"/>
      <c r="GF339" s="33"/>
      <c r="GG339" s="255"/>
      <c r="GH339" s="253"/>
      <c r="GI339" s="345"/>
      <c r="GJ339" s="253"/>
      <c r="GK339" s="33"/>
      <c r="GL339" s="255"/>
      <c r="GM339" s="253"/>
      <c r="GN339" s="345"/>
      <c r="GO339" s="253"/>
      <c r="GP339" s="33"/>
      <c r="GQ339" s="255"/>
      <c r="GR339" s="253"/>
      <c r="GS339" s="345"/>
      <c r="GT339" s="253"/>
      <c r="GU339" s="33"/>
      <c r="GV339" s="255"/>
      <c r="GW339" s="253"/>
      <c r="GX339" s="345"/>
      <c r="GY339" s="253"/>
      <c r="GZ339" s="33"/>
      <c r="HA339" s="255"/>
      <c r="HB339" s="253"/>
      <c r="HC339" s="345"/>
      <c r="HD339" s="253"/>
      <c r="HE339" s="33"/>
      <c r="HF339" s="255"/>
      <c r="HG339" s="253"/>
      <c r="HH339" s="345"/>
      <c r="HI339" s="253"/>
      <c r="HJ339" s="33"/>
      <c r="HK339" s="255"/>
      <c r="HL339" s="253"/>
      <c r="HM339" s="345"/>
      <c r="HN339" s="253"/>
      <c r="HO339" s="33"/>
      <c r="HP339" s="255"/>
      <c r="HQ339" s="253"/>
      <c r="HR339" s="345"/>
      <c r="HS339" s="253"/>
      <c r="HT339" s="33"/>
      <c r="HU339" s="255"/>
      <c r="HV339" s="253"/>
      <c r="HW339" s="345"/>
      <c r="HX339" s="253"/>
      <c r="HY339" s="33"/>
      <c r="HZ339" s="255"/>
      <c r="IA339" s="253"/>
      <c r="IB339" s="345"/>
      <c r="IC339" s="253"/>
      <c r="ID339" s="33"/>
      <c r="IE339" s="255"/>
      <c r="IF339" s="253"/>
      <c r="IG339" s="345"/>
      <c r="IH339" s="253"/>
      <c r="II339" s="33"/>
      <c r="IJ339" s="255"/>
      <c r="IK339" s="253"/>
      <c r="IL339" s="345"/>
      <c r="IM339" s="253"/>
      <c r="IN339" s="33"/>
      <c r="IO339" s="255"/>
      <c r="IP339" s="253"/>
      <c r="IQ339" s="345"/>
      <c r="IR339" s="253"/>
      <c r="IS339" s="33"/>
      <c r="IT339" s="255"/>
      <c r="IU339" s="253"/>
      <c r="IV339" s="345"/>
    </row>
    <row r="340" spans="1:256" x14ac:dyDescent="0.2">
      <c r="A340" s="345">
        <v>37864</v>
      </c>
      <c r="B340" s="253"/>
      <c r="C340" s="33"/>
      <c r="D340" s="255"/>
      <c r="E340" s="253"/>
      <c r="F340" s="345"/>
      <c r="G340" s="253"/>
      <c r="H340" s="33"/>
      <c r="I340" s="255"/>
      <c r="J340" s="253"/>
      <c r="K340" s="345"/>
      <c r="L340" s="253"/>
      <c r="M340" s="33"/>
      <c r="N340" s="255"/>
      <c r="O340" s="253"/>
      <c r="P340" s="345"/>
      <c r="Q340" s="253"/>
      <c r="R340" s="33"/>
      <c r="S340" s="255"/>
      <c r="T340" s="253"/>
      <c r="U340" s="345"/>
      <c r="V340" s="253"/>
      <c r="W340" s="33"/>
      <c r="X340" s="255"/>
      <c r="Y340" s="253"/>
      <c r="Z340" s="345"/>
      <c r="AA340" s="253"/>
      <c r="AB340" s="33"/>
      <c r="AC340" s="255"/>
      <c r="AD340" s="253"/>
      <c r="AE340" s="345"/>
      <c r="AF340" s="253"/>
      <c r="AG340" s="33"/>
      <c r="AH340" s="255"/>
      <c r="AI340" s="253"/>
      <c r="AJ340" s="345"/>
      <c r="AK340" s="253"/>
      <c r="AL340" s="33"/>
      <c r="AM340" s="255"/>
      <c r="AN340" s="253"/>
      <c r="AO340" s="345"/>
      <c r="AP340" s="253"/>
      <c r="AQ340" s="33"/>
      <c r="AR340" s="255"/>
      <c r="AS340" s="253"/>
      <c r="AT340" s="345"/>
      <c r="AU340" s="253"/>
      <c r="AV340" s="33"/>
      <c r="AW340" s="255"/>
      <c r="AX340" s="253"/>
      <c r="AY340" s="345"/>
      <c r="AZ340" s="253"/>
      <c r="BA340" s="33"/>
      <c r="BB340" s="255"/>
      <c r="BC340" s="253"/>
      <c r="BD340" s="345"/>
      <c r="BE340" s="253"/>
      <c r="BF340" s="33"/>
      <c r="BG340" s="255"/>
      <c r="BH340" s="253"/>
      <c r="BI340" s="345"/>
      <c r="BJ340" s="253"/>
      <c r="BK340" s="33"/>
      <c r="BL340" s="255"/>
      <c r="BM340" s="253"/>
      <c r="BN340" s="345"/>
      <c r="BO340" s="253"/>
      <c r="BP340" s="33"/>
      <c r="BQ340" s="255"/>
      <c r="BR340" s="253"/>
      <c r="BS340" s="345"/>
      <c r="BT340" s="253"/>
      <c r="BU340" s="33"/>
      <c r="BV340" s="255"/>
      <c r="BW340" s="253"/>
      <c r="BX340" s="345"/>
      <c r="BY340" s="253"/>
      <c r="BZ340" s="33"/>
      <c r="CA340" s="255"/>
      <c r="CB340" s="253"/>
      <c r="CC340" s="345"/>
      <c r="CD340" s="253"/>
      <c r="CE340" s="33"/>
      <c r="CF340" s="255"/>
      <c r="CG340" s="253"/>
      <c r="CH340" s="345"/>
      <c r="CI340" s="253"/>
      <c r="CJ340" s="33"/>
      <c r="CK340" s="255"/>
      <c r="CL340" s="253"/>
      <c r="CM340" s="345"/>
      <c r="CN340" s="253"/>
      <c r="CO340" s="33"/>
      <c r="CP340" s="255"/>
      <c r="CQ340" s="253"/>
      <c r="CR340" s="345"/>
      <c r="CS340" s="253"/>
      <c r="CT340" s="33"/>
      <c r="CU340" s="255"/>
      <c r="CV340" s="253"/>
      <c r="CW340" s="345"/>
      <c r="CX340" s="253"/>
      <c r="CY340" s="33"/>
      <c r="CZ340" s="255"/>
      <c r="DA340" s="253"/>
      <c r="DB340" s="345"/>
      <c r="DC340" s="253"/>
      <c r="DD340" s="33"/>
      <c r="DE340" s="255"/>
      <c r="DF340" s="253"/>
      <c r="DG340" s="345"/>
      <c r="DH340" s="253"/>
      <c r="DI340" s="33"/>
      <c r="DJ340" s="255"/>
      <c r="DK340" s="253"/>
      <c r="DL340" s="345"/>
      <c r="DM340" s="253"/>
      <c r="DN340" s="33"/>
      <c r="DO340" s="255"/>
      <c r="DP340" s="253"/>
      <c r="DQ340" s="345"/>
      <c r="DR340" s="253"/>
      <c r="DS340" s="33"/>
      <c r="DT340" s="255"/>
      <c r="DU340" s="253"/>
      <c r="DV340" s="345"/>
      <c r="DW340" s="253"/>
      <c r="DX340" s="33"/>
      <c r="DY340" s="255"/>
      <c r="DZ340" s="253"/>
      <c r="EA340" s="345"/>
      <c r="EB340" s="253"/>
      <c r="EC340" s="33"/>
      <c r="ED340" s="255"/>
      <c r="EE340" s="253"/>
      <c r="EF340" s="345"/>
      <c r="EG340" s="253"/>
      <c r="EH340" s="33"/>
      <c r="EI340" s="255"/>
      <c r="EJ340" s="253"/>
      <c r="EK340" s="345"/>
      <c r="EL340" s="253"/>
      <c r="EM340" s="33"/>
      <c r="EN340" s="255"/>
      <c r="EO340" s="253"/>
      <c r="EP340" s="345"/>
      <c r="EQ340" s="253"/>
      <c r="ER340" s="33"/>
      <c r="ES340" s="255"/>
      <c r="ET340" s="253"/>
      <c r="EU340" s="345"/>
      <c r="EV340" s="253"/>
      <c r="EW340" s="33"/>
      <c r="EX340" s="255"/>
      <c r="EY340" s="253"/>
      <c r="EZ340" s="345"/>
      <c r="FA340" s="253"/>
      <c r="FB340" s="33"/>
      <c r="FC340" s="255"/>
      <c r="FD340" s="253"/>
      <c r="FE340" s="345"/>
      <c r="FF340" s="253"/>
      <c r="FG340" s="33"/>
      <c r="FH340" s="255"/>
      <c r="FI340" s="253"/>
      <c r="FJ340" s="345"/>
      <c r="FK340" s="253"/>
      <c r="FL340" s="33"/>
      <c r="FM340" s="255"/>
      <c r="FN340" s="253"/>
      <c r="FO340" s="345"/>
      <c r="FP340" s="253"/>
      <c r="FQ340" s="33"/>
      <c r="FR340" s="255"/>
      <c r="FS340" s="253"/>
      <c r="FT340" s="345"/>
      <c r="FU340" s="253"/>
      <c r="FV340" s="33"/>
      <c r="FW340" s="255"/>
      <c r="FX340" s="253"/>
      <c r="FY340" s="345"/>
      <c r="FZ340" s="253"/>
      <c r="GA340" s="33"/>
      <c r="GB340" s="255"/>
      <c r="GC340" s="253"/>
      <c r="GD340" s="345"/>
      <c r="GE340" s="253"/>
      <c r="GF340" s="33"/>
      <c r="GG340" s="255"/>
      <c r="GH340" s="253"/>
      <c r="GI340" s="345"/>
      <c r="GJ340" s="253"/>
      <c r="GK340" s="33"/>
      <c r="GL340" s="255"/>
      <c r="GM340" s="253"/>
      <c r="GN340" s="345"/>
      <c r="GO340" s="253"/>
      <c r="GP340" s="33"/>
      <c r="GQ340" s="255"/>
      <c r="GR340" s="253"/>
      <c r="GS340" s="345"/>
      <c r="GT340" s="253"/>
      <c r="GU340" s="33"/>
      <c r="GV340" s="255"/>
      <c r="GW340" s="253"/>
      <c r="GX340" s="345"/>
      <c r="GY340" s="253"/>
      <c r="GZ340" s="33"/>
      <c r="HA340" s="255"/>
      <c r="HB340" s="253"/>
      <c r="HC340" s="345"/>
      <c r="HD340" s="253"/>
      <c r="HE340" s="33"/>
      <c r="HF340" s="255"/>
      <c r="HG340" s="253"/>
      <c r="HH340" s="345"/>
      <c r="HI340" s="253"/>
      <c r="HJ340" s="33"/>
      <c r="HK340" s="255"/>
      <c r="HL340" s="253"/>
      <c r="HM340" s="345"/>
      <c r="HN340" s="253"/>
      <c r="HO340" s="33"/>
      <c r="HP340" s="255"/>
      <c r="HQ340" s="253"/>
      <c r="HR340" s="345"/>
      <c r="HS340" s="253"/>
      <c r="HT340" s="33"/>
      <c r="HU340" s="255"/>
      <c r="HV340" s="253"/>
      <c r="HW340" s="345"/>
      <c r="HX340" s="253"/>
      <c r="HY340" s="33"/>
      <c r="HZ340" s="255"/>
      <c r="IA340" s="253"/>
      <c r="IB340" s="345"/>
      <c r="IC340" s="253"/>
      <c r="ID340" s="33"/>
      <c r="IE340" s="255"/>
      <c r="IF340" s="253"/>
      <c r="IG340" s="345"/>
      <c r="IH340" s="253"/>
      <c r="II340" s="33"/>
      <c r="IJ340" s="255"/>
      <c r="IK340" s="253"/>
      <c r="IL340" s="345"/>
      <c r="IM340" s="253"/>
      <c r="IN340" s="33"/>
      <c r="IO340" s="255"/>
      <c r="IP340" s="253"/>
      <c r="IQ340" s="345"/>
      <c r="IR340" s="253"/>
      <c r="IS340" s="33"/>
      <c r="IT340" s="255"/>
      <c r="IU340" s="253"/>
      <c r="IV340" s="345"/>
    </row>
    <row r="341" spans="1:256" x14ac:dyDescent="0.2">
      <c r="A341" s="345">
        <v>37894</v>
      </c>
      <c r="B341" s="253"/>
      <c r="C341" s="34"/>
      <c r="D341" s="255"/>
      <c r="E341" s="253"/>
      <c r="F341" s="345"/>
      <c r="G341" s="253"/>
      <c r="H341" s="34"/>
      <c r="I341" s="255"/>
      <c r="J341" s="253"/>
      <c r="K341" s="345"/>
      <c r="L341" s="253"/>
      <c r="M341" s="34"/>
      <c r="N341" s="255"/>
      <c r="O341" s="253"/>
      <c r="P341" s="345"/>
      <c r="Q341" s="253"/>
      <c r="R341" s="34"/>
      <c r="S341" s="255"/>
      <c r="T341" s="253"/>
      <c r="U341" s="345"/>
      <c r="V341" s="253"/>
      <c r="W341" s="34"/>
      <c r="X341" s="255"/>
      <c r="Y341" s="253"/>
      <c r="Z341" s="345"/>
      <c r="AA341" s="253"/>
      <c r="AB341" s="34"/>
      <c r="AC341" s="255"/>
      <c r="AD341" s="253"/>
      <c r="AE341" s="345"/>
      <c r="AF341" s="253"/>
      <c r="AG341" s="34"/>
      <c r="AH341" s="255"/>
      <c r="AI341" s="253"/>
      <c r="AJ341" s="345"/>
      <c r="AK341" s="253"/>
      <c r="AL341" s="34"/>
      <c r="AM341" s="255"/>
      <c r="AN341" s="253"/>
      <c r="AO341" s="345"/>
      <c r="AP341" s="253"/>
      <c r="AQ341" s="34"/>
      <c r="AR341" s="255"/>
      <c r="AS341" s="253"/>
      <c r="AT341" s="345"/>
      <c r="AU341" s="253"/>
      <c r="AV341" s="34"/>
      <c r="AW341" s="255"/>
      <c r="AX341" s="253"/>
      <c r="AY341" s="345"/>
      <c r="AZ341" s="253"/>
      <c r="BA341" s="34"/>
      <c r="BB341" s="255"/>
      <c r="BC341" s="253"/>
      <c r="BD341" s="345"/>
      <c r="BE341" s="253"/>
      <c r="BF341" s="34"/>
      <c r="BG341" s="255"/>
      <c r="BH341" s="253"/>
      <c r="BI341" s="345"/>
      <c r="BJ341" s="253"/>
      <c r="BK341" s="34"/>
      <c r="BL341" s="255"/>
      <c r="BM341" s="253"/>
      <c r="BN341" s="345"/>
      <c r="BO341" s="253"/>
      <c r="BP341" s="34"/>
      <c r="BQ341" s="255"/>
      <c r="BR341" s="253"/>
      <c r="BS341" s="345"/>
      <c r="BT341" s="253"/>
      <c r="BU341" s="34"/>
      <c r="BV341" s="255"/>
      <c r="BW341" s="253"/>
      <c r="BX341" s="345"/>
      <c r="BY341" s="253"/>
      <c r="BZ341" s="34"/>
      <c r="CA341" s="255"/>
      <c r="CB341" s="253"/>
      <c r="CC341" s="345"/>
      <c r="CD341" s="253"/>
      <c r="CE341" s="34"/>
      <c r="CF341" s="255"/>
      <c r="CG341" s="253"/>
      <c r="CH341" s="345"/>
      <c r="CI341" s="253"/>
      <c r="CJ341" s="34"/>
      <c r="CK341" s="255"/>
      <c r="CL341" s="253"/>
      <c r="CM341" s="345"/>
      <c r="CN341" s="253"/>
      <c r="CO341" s="34"/>
      <c r="CP341" s="255"/>
      <c r="CQ341" s="253"/>
      <c r="CR341" s="345"/>
      <c r="CS341" s="253"/>
      <c r="CT341" s="34"/>
      <c r="CU341" s="255"/>
      <c r="CV341" s="253"/>
      <c r="CW341" s="345"/>
      <c r="CX341" s="253"/>
      <c r="CY341" s="34"/>
      <c r="CZ341" s="255"/>
      <c r="DA341" s="253"/>
      <c r="DB341" s="345"/>
      <c r="DC341" s="253"/>
      <c r="DD341" s="34"/>
      <c r="DE341" s="255"/>
      <c r="DF341" s="253"/>
      <c r="DG341" s="345"/>
      <c r="DH341" s="253"/>
      <c r="DI341" s="34"/>
      <c r="DJ341" s="255"/>
      <c r="DK341" s="253"/>
      <c r="DL341" s="345"/>
      <c r="DM341" s="253"/>
      <c r="DN341" s="34"/>
      <c r="DO341" s="255"/>
      <c r="DP341" s="253"/>
      <c r="DQ341" s="345"/>
      <c r="DR341" s="253"/>
      <c r="DS341" s="34"/>
      <c r="DT341" s="255"/>
      <c r="DU341" s="253"/>
      <c r="DV341" s="345"/>
      <c r="DW341" s="253"/>
      <c r="DX341" s="34"/>
      <c r="DY341" s="255"/>
      <c r="DZ341" s="253"/>
      <c r="EA341" s="345"/>
      <c r="EB341" s="253"/>
      <c r="EC341" s="34"/>
      <c r="ED341" s="255"/>
      <c r="EE341" s="253"/>
      <c r="EF341" s="345"/>
      <c r="EG341" s="253"/>
      <c r="EH341" s="34"/>
      <c r="EI341" s="255"/>
      <c r="EJ341" s="253"/>
      <c r="EK341" s="345"/>
      <c r="EL341" s="253"/>
      <c r="EM341" s="34"/>
      <c r="EN341" s="255"/>
      <c r="EO341" s="253"/>
      <c r="EP341" s="345"/>
      <c r="EQ341" s="253"/>
      <c r="ER341" s="34"/>
      <c r="ES341" s="255"/>
      <c r="ET341" s="253"/>
      <c r="EU341" s="345"/>
      <c r="EV341" s="253"/>
      <c r="EW341" s="34"/>
      <c r="EX341" s="255"/>
      <c r="EY341" s="253"/>
      <c r="EZ341" s="345"/>
      <c r="FA341" s="253"/>
      <c r="FB341" s="34"/>
      <c r="FC341" s="255"/>
      <c r="FD341" s="253"/>
      <c r="FE341" s="345"/>
      <c r="FF341" s="253"/>
      <c r="FG341" s="34"/>
      <c r="FH341" s="255"/>
      <c r="FI341" s="253"/>
      <c r="FJ341" s="345"/>
      <c r="FK341" s="253"/>
      <c r="FL341" s="34"/>
      <c r="FM341" s="255"/>
      <c r="FN341" s="253"/>
      <c r="FO341" s="345"/>
      <c r="FP341" s="253"/>
      <c r="FQ341" s="34"/>
      <c r="FR341" s="255"/>
      <c r="FS341" s="253"/>
      <c r="FT341" s="345"/>
      <c r="FU341" s="253"/>
      <c r="FV341" s="34"/>
      <c r="FW341" s="255"/>
      <c r="FX341" s="253"/>
      <c r="FY341" s="345"/>
      <c r="FZ341" s="253"/>
      <c r="GA341" s="34"/>
      <c r="GB341" s="255"/>
      <c r="GC341" s="253"/>
      <c r="GD341" s="345"/>
      <c r="GE341" s="253"/>
      <c r="GF341" s="34"/>
      <c r="GG341" s="255"/>
      <c r="GH341" s="253"/>
      <c r="GI341" s="345"/>
      <c r="GJ341" s="253"/>
      <c r="GK341" s="34"/>
      <c r="GL341" s="255"/>
      <c r="GM341" s="253"/>
      <c r="GN341" s="345"/>
      <c r="GO341" s="253"/>
      <c r="GP341" s="34"/>
      <c r="GQ341" s="255"/>
      <c r="GR341" s="253"/>
      <c r="GS341" s="345"/>
      <c r="GT341" s="253"/>
      <c r="GU341" s="34"/>
      <c r="GV341" s="255"/>
      <c r="GW341" s="253"/>
      <c r="GX341" s="345"/>
      <c r="GY341" s="253"/>
      <c r="GZ341" s="34"/>
      <c r="HA341" s="255"/>
      <c r="HB341" s="253"/>
      <c r="HC341" s="345"/>
      <c r="HD341" s="253"/>
      <c r="HE341" s="34"/>
      <c r="HF341" s="255"/>
      <c r="HG341" s="253"/>
      <c r="HH341" s="345"/>
      <c r="HI341" s="253"/>
      <c r="HJ341" s="34"/>
      <c r="HK341" s="255"/>
      <c r="HL341" s="253"/>
      <c r="HM341" s="345"/>
      <c r="HN341" s="253"/>
      <c r="HO341" s="34"/>
      <c r="HP341" s="255"/>
      <c r="HQ341" s="253"/>
      <c r="HR341" s="345"/>
      <c r="HS341" s="253"/>
      <c r="HT341" s="34"/>
      <c r="HU341" s="255"/>
      <c r="HV341" s="253"/>
      <c r="HW341" s="345"/>
      <c r="HX341" s="253"/>
      <c r="HY341" s="34"/>
      <c r="HZ341" s="255"/>
      <c r="IA341" s="253"/>
      <c r="IB341" s="345"/>
      <c r="IC341" s="253"/>
      <c r="ID341" s="34"/>
      <c r="IE341" s="255"/>
      <c r="IF341" s="253"/>
      <c r="IG341" s="345"/>
      <c r="IH341" s="253"/>
      <c r="II341" s="34"/>
      <c r="IJ341" s="255"/>
      <c r="IK341" s="253"/>
      <c r="IL341" s="345"/>
      <c r="IM341" s="253"/>
      <c r="IN341" s="34"/>
      <c r="IO341" s="255"/>
      <c r="IP341" s="253"/>
      <c r="IQ341" s="345"/>
      <c r="IR341" s="253"/>
      <c r="IS341" s="34"/>
      <c r="IT341" s="255"/>
      <c r="IU341" s="253"/>
      <c r="IV341" s="345"/>
    </row>
    <row r="342" spans="1:256" x14ac:dyDescent="0.2">
      <c r="A342" s="345">
        <v>37925</v>
      </c>
      <c r="B342" s="253"/>
      <c r="C342" s="34"/>
      <c r="D342" s="255"/>
      <c r="E342" s="253"/>
      <c r="F342" s="345"/>
      <c r="G342" s="253"/>
      <c r="H342" s="34"/>
      <c r="I342" s="255"/>
      <c r="J342" s="253"/>
      <c r="K342" s="345"/>
      <c r="L342" s="253"/>
      <c r="M342" s="34"/>
      <c r="N342" s="255"/>
      <c r="O342" s="253"/>
      <c r="P342" s="345"/>
      <c r="Q342" s="253"/>
      <c r="R342" s="34"/>
      <c r="S342" s="255"/>
      <c r="T342" s="253"/>
      <c r="U342" s="345"/>
      <c r="V342" s="253"/>
      <c r="W342" s="34"/>
      <c r="X342" s="255"/>
      <c r="Y342" s="253"/>
      <c r="Z342" s="345"/>
      <c r="AA342" s="253"/>
      <c r="AB342" s="34"/>
      <c r="AC342" s="255"/>
      <c r="AD342" s="253"/>
      <c r="AE342" s="345"/>
      <c r="AF342" s="253"/>
      <c r="AG342" s="34"/>
      <c r="AH342" s="255"/>
      <c r="AI342" s="253"/>
      <c r="AJ342" s="345"/>
      <c r="AK342" s="253"/>
      <c r="AL342" s="34"/>
      <c r="AM342" s="255"/>
      <c r="AN342" s="253"/>
      <c r="AO342" s="345"/>
      <c r="AP342" s="253"/>
      <c r="AQ342" s="34"/>
      <c r="AR342" s="255"/>
      <c r="AS342" s="253"/>
      <c r="AT342" s="345"/>
      <c r="AU342" s="253"/>
      <c r="AV342" s="34"/>
      <c r="AW342" s="255"/>
      <c r="AX342" s="253"/>
      <c r="AY342" s="345"/>
      <c r="AZ342" s="253"/>
      <c r="BA342" s="34"/>
      <c r="BB342" s="255"/>
      <c r="BC342" s="253"/>
      <c r="BD342" s="345"/>
      <c r="BE342" s="253"/>
      <c r="BF342" s="34"/>
      <c r="BG342" s="255"/>
      <c r="BH342" s="253"/>
      <c r="BI342" s="345"/>
      <c r="BJ342" s="253"/>
      <c r="BK342" s="34"/>
      <c r="BL342" s="255"/>
      <c r="BM342" s="253"/>
      <c r="BN342" s="345"/>
      <c r="BO342" s="253"/>
      <c r="BP342" s="34"/>
      <c r="BQ342" s="255"/>
      <c r="BR342" s="253"/>
      <c r="BS342" s="345"/>
      <c r="BT342" s="253"/>
      <c r="BU342" s="34"/>
      <c r="BV342" s="255"/>
      <c r="BW342" s="253"/>
      <c r="BX342" s="345"/>
      <c r="BY342" s="253"/>
      <c r="BZ342" s="34"/>
      <c r="CA342" s="255"/>
      <c r="CB342" s="253"/>
      <c r="CC342" s="345"/>
      <c r="CD342" s="253"/>
      <c r="CE342" s="34"/>
      <c r="CF342" s="255"/>
      <c r="CG342" s="253"/>
      <c r="CH342" s="345"/>
      <c r="CI342" s="253"/>
      <c r="CJ342" s="34"/>
      <c r="CK342" s="255"/>
      <c r="CL342" s="253"/>
      <c r="CM342" s="345"/>
      <c r="CN342" s="253"/>
      <c r="CO342" s="34"/>
      <c r="CP342" s="255"/>
      <c r="CQ342" s="253"/>
      <c r="CR342" s="345"/>
      <c r="CS342" s="253"/>
      <c r="CT342" s="34"/>
      <c r="CU342" s="255"/>
      <c r="CV342" s="253"/>
      <c r="CW342" s="345"/>
      <c r="CX342" s="253"/>
      <c r="CY342" s="34"/>
      <c r="CZ342" s="255"/>
      <c r="DA342" s="253"/>
      <c r="DB342" s="345"/>
      <c r="DC342" s="253"/>
      <c r="DD342" s="34"/>
      <c r="DE342" s="255"/>
      <c r="DF342" s="253"/>
      <c r="DG342" s="345"/>
      <c r="DH342" s="253"/>
      <c r="DI342" s="34"/>
      <c r="DJ342" s="255"/>
      <c r="DK342" s="253"/>
      <c r="DL342" s="345"/>
      <c r="DM342" s="253"/>
      <c r="DN342" s="34"/>
      <c r="DO342" s="255"/>
      <c r="DP342" s="253"/>
      <c r="DQ342" s="345"/>
      <c r="DR342" s="253"/>
      <c r="DS342" s="34"/>
      <c r="DT342" s="255"/>
      <c r="DU342" s="253"/>
      <c r="DV342" s="345"/>
      <c r="DW342" s="253"/>
      <c r="DX342" s="34"/>
      <c r="DY342" s="255"/>
      <c r="DZ342" s="253"/>
      <c r="EA342" s="345"/>
      <c r="EB342" s="253"/>
      <c r="EC342" s="34"/>
      <c r="ED342" s="255"/>
      <c r="EE342" s="253"/>
      <c r="EF342" s="345"/>
      <c r="EG342" s="253"/>
      <c r="EH342" s="34"/>
      <c r="EI342" s="255"/>
      <c r="EJ342" s="253"/>
      <c r="EK342" s="345"/>
      <c r="EL342" s="253"/>
      <c r="EM342" s="34"/>
      <c r="EN342" s="255"/>
      <c r="EO342" s="253"/>
      <c r="EP342" s="345"/>
      <c r="EQ342" s="253"/>
      <c r="ER342" s="34"/>
      <c r="ES342" s="255"/>
      <c r="ET342" s="253"/>
      <c r="EU342" s="345"/>
      <c r="EV342" s="253"/>
      <c r="EW342" s="34"/>
      <c r="EX342" s="255"/>
      <c r="EY342" s="253"/>
      <c r="EZ342" s="345"/>
      <c r="FA342" s="253"/>
      <c r="FB342" s="34"/>
      <c r="FC342" s="255"/>
      <c r="FD342" s="253"/>
      <c r="FE342" s="345"/>
      <c r="FF342" s="253"/>
      <c r="FG342" s="34"/>
      <c r="FH342" s="255"/>
      <c r="FI342" s="253"/>
      <c r="FJ342" s="345"/>
      <c r="FK342" s="253"/>
      <c r="FL342" s="34"/>
      <c r="FM342" s="255"/>
      <c r="FN342" s="253"/>
      <c r="FO342" s="345"/>
      <c r="FP342" s="253"/>
      <c r="FQ342" s="34"/>
      <c r="FR342" s="255"/>
      <c r="FS342" s="253"/>
      <c r="FT342" s="345"/>
      <c r="FU342" s="253"/>
      <c r="FV342" s="34"/>
      <c r="FW342" s="255"/>
      <c r="FX342" s="253"/>
      <c r="FY342" s="345"/>
      <c r="FZ342" s="253"/>
      <c r="GA342" s="34"/>
      <c r="GB342" s="255"/>
      <c r="GC342" s="253"/>
      <c r="GD342" s="345"/>
      <c r="GE342" s="253"/>
      <c r="GF342" s="34"/>
      <c r="GG342" s="255"/>
      <c r="GH342" s="253"/>
      <c r="GI342" s="345"/>
      <c r="GJ342" s="253"/>
      <c r="GK342" s="34"/>
      <c r="GL342" s="255"/>
      <c r="GM342" s="253"/>
      <c r="GN342" s="345"/>
      <c r="GO342" s="253"/>
      <c r="GP342" s="34"/>
      <c r="GQ342" s="255"/>
      <c r="GR342" s="253"/>
      <c r="GS342" s="345"/>
      <c r="GT342" s="253"/>
      <c r="GU342" s="34"/>
      <c r="GV342" s="255"/>
      <c r="GW342" s="253"/>
      <c r="GX342" s="345"/>
      <c r="GY342" s="253"/>
      <c r="GZ342" s="34"/>
      <c r="HA342" s="255"/>
      <c r="HB342" s="253"/>
      <c r="HC342" s="345"/>
      <c r="HD342" s="253"/>
      <c r="HE342" s="34"/>
      <c r="HF342" s="255"/>
      <c r="HG342" s="253"/>
      <c r="HH342" s="345"/>
      <c r="HI342" s="253"/>
      <c r="HJ342" s="34"/>
      <c r="HK342" s="255"/>
      <c r="HL342" s="253"/>
      <c r="HM342" s="345"/>
      <c r="HN342" s="253"/>
      <c r="HO342" s="34"/>
      <c r="HP342" s="255"/>
      <c r="HQ342" s="253"/>
      <c r="HR342" s="345"/>
      <c r="HS342" s="253"/>
      <c r="HT342" s="34"/>
      <c r="HU342" s="255"/>
      <c r="HV342" s="253"/>
      <c r="HW342" s="345"/>
      <c r="HX342" s="253"/>
      <c r="HY342" s="34"/>
      <c r="HZ342" s="255"/>
      <c r="IA342" s="253"/>
      <c r="IB342" s="345"/>
      <c r="IC342" s="253"/>
      <c r="ID342" s="34"/>
      <c r="IE342" s="255"/>
      <c r="IF342" s="253"/>
      <c r="IG342" s="345"/>
      <c r="IH342" s="253"/>
      <c r="II342" s="34"/>
      <c r="IJ342" s="255"/>
      <c r="IK342" s="253"/>
      <c r="IL342" s="345"/>
      <c r="IM342" s="253"/>
      <c r="IN342" s="34"/>
      <c r="IO342" s="255"/>
      <c r="IP342" s="253"/>
      <c r="IQ342" s="345"/>
      <c r="IR342" s="253"/>
      <c r="IS342" s="34"/>
      <c r="IT342" s="255"/>
      <c r="IU342" s="253"/>
      <c r="IV342" s="345"/>
    </row>
    <row r="343" spans="1:256" x14ac:dyDescent="0.2">
      <c r="A343" s="345">
        <v>37955</v>
      </c>
      <c r="B343" s="253"/>
      <c r="C343" s="34"/>
      <c r="D343" s="255"/>
      <c r="E343" s="253"/>
      <c r="F343" s="345"/>
      <c r="G343" s="253"/>
      <c r="H343" s="34"/>
      <c r="I343" s="255"/>
      <c r="J343" s="253"/>
      <c r="K343" s="345"/>
      <c r="L343" s="253"/>
      <c r="M343" s="34"/>
      <c r="N343" s="255"/>
      <c r="O343" s="253"/>
      <c r="P343" s="345"/>
      <c r="Q343" s="253"/>
      <c r="R343" s="34"/>
      <c r="S343" s="255"/>
      <c r="T343" s="253"/>
      <c r="U343" s="345"/>
      <c r="V343" s="253"/>
      <c r="W343" s="34"/>
      <c r="X343" s="255"/>
      <c r="Y343" s="253"/>
      <c r="Z343" s="345"/>
      <c r="AA343" s="253"/>
      <c r="AB343" s="34"/>
      <c r="AC343" s="255"/>
      <c r="AD343" s="253"/>
      <c r="AE343" s="345"/>
      <c r="AF343" s="253"/>
      <c r="AG343" s="34"/>
      <c r="AH343" s="255"/>
      <c r="AI343" s="253"/>
      <c r="AJ343" s="345"/>
      <c r="AK343" s="253"/>
      <c r="AL343" s="34"/>
      <c r="AM343" s="255"/>
      <c r="AN343" s="253"/>
      <c r="AO343" s="345"/>
      <c r="AP343" s="253"/>
      <c r="AQ343" s="34"/>
      <c r="AR343" s="255"/>
      <c r="AS343" s="253"/>
      <c r="AT343" s="345"/>
      <c r="AU343" s="253"/>
      <c r="AV343" s="34"/>
      <c r="AW343" s="255"/>
      <c r="AX343" s="253"/>
      <c r="AY343" s="345"/>
      <c r="AZ343" s="253"/>
      <c r="BA343" s="34"/>
      <c r="BB343" s="255"/>
      <c r="BC343" s="253"/>
      <c r="BD343" s="345"/>
      <c r="BE343" s="253"/>
      <c r="BF343" s="34"/>
      <c r="BG343" s="255"/>
      <c r="BH343" s="253"/>
      <c r="BI343" s="345"/>
      <c r="BJ343" s="253"/>
      <c r="BK343" s="34"/>
      <c r="BL343" s="255"/>
      <c r="BM343" s="253"/>
      <c r="BN343" s="345"/>
      <c r="BO343" s="253"/>
      <c r="BP343" s="34"/>
      <c r="BQ343" s="255"/>
      <c r="BR343" s="253"/>
      <c r="BS343" s="345"/>
      <c r="BT343" s="253"/>
      <c r="BU343" s="34"/>
      <c r="BV343" s="255"/>
      <c r="BW343" s="253"/>
      <c r="BX343" s="345"/>
      <c r="BY343" s="253"/>
      <c r="BZ343" s="34"/>
      <c r="CA343" s="255"/>
      <c r="CB343" s="253"/>
      <c r="CC343" s="345"/>
      <c r="CD343" s="253"/>
      <c r="CE343" s="34"/>
      <c r="CF343" s="255"/>
      <c r="CG343" s="253"/>
      <c r="CH343" s="345"/>
      <c r="CI343" s="253"/>
      <c r="CJ343" s="34"/>
      <c r="CK343" s="255"/>
      <c r="CL343" s="253"/>
      <c r="CM343" s="345"/>
      <c r="CN343" s="253"/>
      <c r="CO343" s="34"/>
      <c r="CP343" s="255"/>
      <c r="CQ343" s="253"/>
      <c r="CR343" s="345"/>
      <c r="CS343" s="253"/>
      <c r="CT343" s="34"/>
      <c r="CU343" s="255"/>
      <c r="CV343" s="253"/>
      <c r="CW343" s="345"/>
      <c r="CX343" s="253"/>
      <c r="CY343" s="34"/>
      <c r="CZ343" s="255"/>
      <c r="DA343" s="253"/>
      <c r="DB343" s="345"/>
      <c r="DC343" s="253"/>
      <c r="DD343" s="34"/>
      <c r="DE343" s="255"/>
      <c r="DF343" s="253"/>
      <c r="DG343" s="345"/>
      <c r="DH343" s="253"/>
      <c r="DI343" s="34"/>
      <c r="DJ343" s="255"/>
      <c r="DK343" s="253"/>
      <c r="DL343" s="345"/>
      <c r="DM343" s="253"/>
      <c r="DN343" s="34"/>
      <c r="DO343" s="255"/>
      <c r="DP343" s="253"/>
      <c r="DQ343" s="345"/>
      <c r="DR343" s="253"/>
      <c r="DS343" s="34"/>
      <c r="DT343" s="255"/>
      <c r="DU343" s="253"/>
      <c r="DV343" s="345"/>
      <c r="DW343" s="253"/>
      <c r="DX343" s="34"/>
      <c r="DY343" s="255"/>
      <c r="DZ343" s="253"/>
      <c r="EA343" s="345"/>
      <c r="EB343" s="253"/>
      <c r="EC343" s="34"/>
      <c r="ED343" s="255"/>
      <c r="EE343" s="253"/>
      <c r="EF343" s="345"/>
      <c r="EG343" s="253"/>
      <c r="EH343" s="34"/>
      <c r="EI343" s="255"/>
      <c r="EJ343" s="253"/>
      <c r="EK343" s="345"/>
      <c r="EL343" s="253"/>
      <c r="EM343" s="34"/>
      <c r="EN343" s="255"/>
      <c r="EO343" s="253"/>
      <c r="EP343" s="345"/>
      <c r="EQ343" s="253"/>
      <c r="ER343" s="34"/>
      <c r="ES343" s="255"/>
      <c r="ET343" s="253"/>
      <c r="EU343" s="345"/>
      <c r="EV343" s="253"/>
      <c r="EW343" s="34"/>
      <c r="EX343" s="255"/>
      <c r="EY343" s="253"/>
      <c r="EZ343" s="345"/>
      <c r="FA343" s="253"/>
      <c r="FB343" s="34"/>
      <c r="FC343" s="255"/>
      <c r="FD343" s="253"/>
      <c r="FE343" s="345"/>
      <c r="FF343" s="253"/>
      <c r="FG343" s="34"/>
      <c r="FH343" s="255"/>
      <c r="FI343" s="253"/>
      <c r="FJ343" s="345"/>
      <c r="FK343" s="253"/>
      <c r="FL343" s="34"/>
      <c r="FM343" s="255"/>
      <c r="FN343" s="253"/>
      <c r="FO343" s="345"/>
      <c r="FP343" s="253"/>
      <c r="FQ343" s="34"/>
      <c r="FR343" s="255"/>
      <c r="FS343" s="253"/>
      <c r="FT343" s="345"/>
      <c r="FU343" s="253"/>
      <c r="FV343" s="34"/>
      <c r="FW343" s="255"/>
      <c r="FX343" s="253"/>
      <c r="FY343" s="345"/>
      <c r="FZ343" s="253"/>
      <c r="GA343" s="34"/>
      <c r="GB343" s="255"/>
      <c r="GC343" s="253"/>
      <c r="GD343" s="345"/>
      <c r="GE343" s="253"/>
      <c r="GF343" s="34"/>
      <c r="GG343" s="255"/>
      <c r="GH343" s="253"/>
      <c r="GI343" s="345"/>
      <c r="GJ343" s="253"/>
      <c r="GK343" s="34"/>
      <c r="GL343" s="255"/>
      <c r="GM343" s="253"/>
      <c r="GN343" s="345"/>
      <c r="GO343" s="253"/>
      <c r="GP343" s="34"/>
      <c r="GQ343" s="255"/>
      <c r="GR343" s="253"/>
      <c r="GS343" s="345"/>
      <c r="GT343" s="253"/>
      <c r="GU343" s="34"/>
      <c r="GV343" s="255"/>
      <c r="GW343" s="253"/>
      <c r="GX343" s="345"/>
      <c r="GY343" s="253"/>
      <c r="GZ343" s="34"/>
      <c r="HA343" s="255"/>
      <c r="HB343" s="253"/>
      <c r="HC343" s="345"/>
      <c r="HD343" s="253"/>
      <c r="HE343" s="34"/>
      <c r="HF343" s="255"/>
      <c r="HG343" s="253"/>
      <c r="HH343" s="345"/>
      <c r="HI343" s="253"/>
      <c r="HJ343" s="34"/>
      <c r="HK343" s="255"/>
      <c r="HL343" s="253"/>
      <c r="HM343" s="345"/>
      <c r="HN343" s="253"/>
      <c r="HO343" s="34"/>
      <c r="HP343" s="255"/>
      <c r="HQ343" s="253"/>
      <c r="HR343" s="345"/>
      <c r="HS343" s="253"/>
      <c r="HT343" s="34"/>
      <c r="HU343" s="255"/>
      <c r="HV343" s="253"/>
      <c r="HW343" s="345"/>
      <c r="HX343" s="253"/>
      <c r="HY343" s="34"/>
      <c r="HZ343" s="255"/>
      <c r="IA343" s="253"/>
      <c r="IB343" s="345"/>
      <c r="IC343" s="253"/>
      <c r="ID343" s="34"/>
      <c r="IE343" s="255"/>
      <c r="IF343" s="253"/>
      <c r="IG343" s="345"/>
      <c r="IH343" s="253"/>
      <c r="II343" s="34"/>
      <c r="IJ343" s="255"/>
      <c r="IK343" s="253"/>
      <c r="IL343" s="345"/>
      <c r="IM343" s="253"/>
      <c r="IN343" s="34"/>
      <c r="IO343" s="255"/>
      <c r="IP343" s="253"/>
      <c r="IQ343" s="345"/>
      <c r="IR343" s="253"/>
      <c r="IS343" s="34"/>
      <c r="IT343" s="255"/>
      <c r="IU343" s="253"/>
      <c r="IV343" s="345"/>
    </row>
    <row r="344" spans="1:256" x14ac:dyDescent="0.2">
      <c r="A344" s="345">
        <v>37986</v>
      </c>
      <c r="B344" s="253"/>
      <c r="C344" s="34"/>
      <c r="D344" s="255"/>
      <c r="E344" s="253"/>
      <c r="F344" s="345"/>
      <c r="G344" s="253"/>
      <c r="H344" s="34"/>
      <c r="I344" s="255"/>
      <c r="J344" s="253"/>
      <c r="K344" s="345"/>
      <c r="L344" s="253"/>
      <c r="M344" s="34"/>
      <c r="N344" s="255"/>
      <c r="O344" s="253"/>
      <c r="P344" s="345"/>
      <c r="Q344" s="253"/>
      <c r="R344" s="34"/>
      <c r="S344" s="255"/>
      <c r="T344" s="253"/>
      <c r="U344" s="345"/>
      <c r="V344" s="253"/>
      <c r="W344" s="34"/>
      <c r="X344" s="255"/>
      <c r="Y344" s="253"/>
      <c r="Z344" s="345"/>
      <c r="AA344" s="253"/>
      <c r="AB344" s="34"/>
      <c r="AC344" s="255"/>
      <c r="AD344" s="253"/>
      <c r="AE344" s="345"/>
      <c r="AF344" s="253"/>
      <c r="AG344" s="34"/>
      <c r="AH344" s="255"/>
      <c r="AI344" s="253"/>
      <c r="AJ344" s="345"/>
      <c r="AK344" s="253"/>
      <c r="AL344" s="34"/>
      <c r="AM344" s="255"/>
      <c r="AN344" s="253"/>
      <c r="AO344" s="345"/>
      <c r="AP344" s="253"/>
      <c r="AQ344" s="34"/>
      <c r="AR344" s="255"/>
      <c r="AS344" s="253"/>
      <c r="AT344" s="345"/>
      <c r="AU344" s="253"/>
      <c r="AV344" s="34"/>
      <c r="AW344" s="255"/>
      <c r="AX344" s="253"/>
      <c r="AY344" s="345"/>
      <c r="AZ344" s="253"/>
      <c r="BA344" s="34"/>
      <c r="BB344" s="255"/>
      <c r="BC344" s="253"/>
      <c r="BD344" s="345"/>
      <c r="BE344" s="253"/>
      <c r="BF344" s="34"/>
      <c r="BG344" s="255"/>
      <c r="BH344" s="253"/>
      <c r="BI344" s="345"/>
      <c r="BJ344" s="253"/>
      <c r="BK344" s="34"/>
      <c r="BL344" s="255"/>
      <c r="BM344" s="253"/>
      <c r="BN344" s="345"/>
      <c r="BO344" s="253"/>
      <c r="BP344" s="34"/>
      <c r="BQ344" s="255"/>
      <c r="BR344" s="253"/>
      <c r="BS344" s="345"/>
      <c r="BT344" s="253"/>
      <c r="BU344" s="34"/>
      <c r="BV344" s="255"/>
      <c r="BW344" s="253"/>
      <c r="BX344" s="345"/>
      <c r="BY344" s="253"/>
      <c r="BZ344" s="34"/>
      <c r="CA344" s="255"/>
      <c r="CB344" s="253"/>
      <c r="CC344" s="345"/>
      <c r="CD344" s="253"/>
      <c r="CE344" s="34"/>
      <c r="CF344" s="255"/>
      <c r="CG344" s="253"/>
      <c r="CH344" s="345"/>
      <c r="CI344" s="253"/>
      <c r="CJ344" s="34"/>
      <c r="CK344" s="255"/>
      <c r="CL344" s="253"/>
      <c r="CM344" s="345"/>
      <c r="CN344" s="253"/>
      <c r="CO344" s="34"/>
      <c r="CP344" s="255"/>
      <c r="CQ344" s="253"/>
      <c r="CR344" s="345"/>
      <c r="CS344" s="253"/>
      <c r="CT344" s="34"/>
      <c r="CU344" s="255"/>
      <c r="CV344" s="253"/>
      <c r="CW344" s="345"/>
      <c r="CX344" s="253"/>
      <c r="CY344" s="34"/>
      <c r="CZ344" s="255"/>
      <c r="DA344" s="253"/>
      <c r="DB344" s="345"/>
      <c r="DC344" s="253"/>
      <c r="DD344" s="34"/>
      <c r="DE344" s="255"/>
      <c r="DF344" s="253"/>
      <c r="DG344" s="345"/>
      <c r="DH344" s="253"/>
      <c r="DI344" s="34"/>
      <c r="DJ344" s="255"/>
      <c r="DK344" s="253"/>
      <c r="DL344" s="345"/>
      <c r="DM344" s="253"/>
      <c r="DN344" s="34"/>
      <c r="DO344" s="255"/>
      <c r="DP344" s="253"/>
      <c r="DQ344" s="345"/>
      <c r="DR344" s="253"/>
      <c r="DS344" s="34"/>
      <c r="DT344" s="255"/>
      <c r="DU344" s="253"/>
      <c r="DV344" s="345"/>
      <c r="DW344" s="253"/>
      <c r="DX344" s="34"/>
      <c r="DY344" s="255"/>
      <c r="DZ344" s="253"/>
      <c r="EA344" s="345"/>
      <c r="EB344" s="253"/>
      <c r="EC344" s="34"/>
      <c r="ED344" s="255"/>
      <c r="EE344" s="253"/>
      <c r="EF344" s="345"/>
      <c r="EG344" s="253"/>
      <c r="EH344" s="34"/>
      <c r="EI344" s="255"/>
      <c r="EJ344" s="253"/>
      <c r="EK344" s="345"/>
      <c r="EL344" s="253"/>
      <c r="EM344" s="34"/>
      <c r="EN344" s="255"/>
      <c r="EO344" s="253"/>
      <c r="EP344" s="345"/>
      <c r="EQ344" s="253"/>
      <c r="ER344" s="34"/>
      <c r="ES344" s="255"/>
      <c r="ET344" s="253"/>
      <c r="EU344" s="345"/>
      <c r="EV344" s="253"/>
      <c r="EW344" s="34"/>
      <c r="EX344" s="255"/>
      <c r="EY344" s="253"/>
      <c r="EZ344" s="345"/>
      <c r="FA344" s="253"/>
      <c r="FB344" s="34"/>
      <c r="FC344" s="255"/>
      <c r="FD344" s="253"/>
      <c r="FE344" s="345"/>
      <c r="FF344" s="253"/>
      <c r="FG344" s="34"/>
      <c r="FH344" s="255"/>
      <c r="FI344" s="253"/>
      <c r="FJ344" s="345"/>
      <c r="FK344" s="253"/>
      <c r="FL344" s="34"/>
      <c r="FM344" s="255"/>
      <c r="FN344" s="253"/>
      <c r="FO344" s="345"/>
      <c r="FP344" s="253"/>
      <c r="FQ344" s="34"/>
      <c r="FR344" s="255"/>
      <c r="FS344" s="253"/>
      <c r="FT344" s="345"/>
      <c r="FU344" s="253"/>
      <c r="FV344" s="34"/>
      <c r="FW344" s="255"/>
      <c r="FX344" s="253"/>
      <c r="FY344" s="345"/>
      <c r="FZ344" s="253"/>
      <c r="GA344" s="34"/>
      <c r="GB344" s="255"/>
      <c r="GC344" s="253"/>
      <c r="GD344" s="345"/>
      <c r="GE344" s="253"/>
      <c r="GF344" s="34"/>
      <c r="GG344" s="255"/>
      <c r="GH344" s="253"/>
      <c r="GI344" s="345"/>
      <c r="GJ344" s="253"/>
      <c r="GK344" s="34"/>
      <c r="GL344" s="255"/>
      <c r="GM344" s="253"/>
      <c r="GN344" s="345"/>
      <c r="GO344" s="253"/>
      <c r="GP344" s="34"/>
      <c r="GQ344" s="255"/>
      <c r="GR344" s="253"/>
      <c r="GS344" s="345"/>
      <c r="GT344" s="253"/>
      <c r="GU344" s="34"/>
      <c r="GV344" s="255"/>
      <c r="GW344" s="253"/>
      <c r="GX344" s="345"/>
      <c r="GY344" s="253"/>
      <c r="GZ344" s="34"/>
      <c r="HA344" s="255"/>
      <c r="HB344" s="253"/>
      <c r="HC344" s="345"/>
      <c r="HD344" s="253"/>
      <c r="HE344" s="34"/>
      <c r="HF344" s="255"/>
      <c r="HG344" s="253"/>
      <c r="HH344" s="345"/>
      <c r="HI344" s="253"/>
      <c r="HJ344" s="34"/>
      <c r="HK344" s="255"/>
      <c r="HL344" s="253"/>
      <c r="HM344" s="345"/>
      <c r="HN344" s="253"/>
      <c r="HO344" s="34"/>
      <c r="HP344" s="255"/>
      <c r="HQ344" s="253"/>
      <c r="HR344" s="345"/>
      <c r="HS344" s="253"/>
      <c r="HT344" s="34"/>
      <c r="HU344" s="255"/>
      <c r="HV344" s="253"/>
      <c r="HW344" s="345"/>
      <c r="HX344" s="253"/>
      <c r="HY344" s="34"/>
      <c r="HZ344" s="255"/>
      <c r="IA344" s="253"/>
      <c r="IB344" s="345"/>
      <c r="IC344" s="253"/>
      <c r="ID344" s="34"/>
      <c r="IE344" s="255"/>
      <c r="IF344" s="253"/>
      <c r="IG344" s="345"/>
      <c r="IH344" s="253"/>
      <c r="II344" s="34"/>
      <c r="IJ344" s="255"/>
      <c r="IK344" s="253"/>
      <c r="IL344" s="345"/>
      <c r="IM344" s="253"/>
      <c r="IN344" s="34"/>
      <c r="IO344" s="255"/>
      <c r="IP344" s="253"/>
      <c r="IQ344" s="345"/>
      <c r="IR344" s="253"/>
      <c r="IS344" s="34"/>
      <c r="IT344" s="255"/>
      <c r="IU344" s="253"/>
      <c r="IV344" s="345"/>
    </row>
    <row r="345" spans="1:256" x14ac:dyDescent="0.2">
      <c r="A345" s="345">
        <v>38017</v>
      </c>
      <c r="B345" s="253"/>
      <c r="C345" s="34"/>
      <c r="D345" s="255"/>
      <c r="E345" s="253"/>
      <c r="F345" s="345"/>
      <c r="G345" s="253"/>
      <c r="H345" s="34"/>
      <c r="I345" s="255"/>
      <c r="J345" s="253"/>
      <c r="K345" s="345"/>
      <c r="L345" s="253"/>
      <c r="M345" s="34"/>
      <c r="N345" s="255"/>
      <c r="O345" s="253"/>
      <c r="P345" s="345"/>
      <c r="Q345" s="253"/>
      <c r="R345" s="34"/>
      <c r="S345" s="255"/>
      <c r="T345" s="253"/>
      <c r="U345" s="345"/>
      <c r="V345" s="253"/>
      <c r="W345" s="34"/>
      <c r="X345" s="255"/>
      <c r="Y345" s="253"/>
      <c r="Z345" s="345"/>
      <c r="AA345" s="253"/>
      <c r="AB345" s="34"/>
      <c r="AC345" s="255"/>
      <c r="AD345" s="253"/>
      <c r="AE345" s="345"/>
      <c r="AF345" s="253"/>
      <c r="AG345" s="34"/>
      <c r="AH345" s="255"/>
      <c r="AI345" s="253"/>
      <c r="AJ345" s="345"/>
      <c r="AK345" s="253"/>
      <c r="AL345" s="34"/>
      <c r="AM345" s="255"/>
      <c r="AN345" s="253"/>
      <c r="AO345" s="345"/>
      <c r="AP345" s="253"/>
      <c r="AQ345" s="34"/>
      <c r="AR345" s="255"/>
      <c r="AS345" s="253"/>
      <c r="AT345" s="345"/>
      <c r="AU345" s="253"/>
      <c r="AV345" s="34"/>
      <c r="AW345" s="255"/>
      <c r="AX345" s="253"/>
      <c r="AY345" s="345"/>
      <c r="AZ345" s="253"/>
      <c r="BA345" s="34"/>
      <c r="BB345" s="255"/>
      <c r="BC345" s="253"/>
      <c r="BD345" s="345"/>
      <c r="BE345" s="253"/>
      <c r="BF345" s="34"/>
      <c r="BG345" s="255"/>
      <c r="BH345" s="253"/>
      <c r="BI345" s="345"/>
      <c r="BJ345" s="253"/>
      <c r="BK345" s="34"/>
      <c r="BL345" s="255"/>
      <c r="BM345" s="253"/>
      <c r="BN345" s="345"/>
      <c r="BO345" s="253"/>
      <c r="BP345" s="34"/>
      <c r="BQ345" s="255"/>
      <c r="BR345" s="253"/>
      <c r="BS345" s="345"/>
      <c r="BT345" s="253"/>
      <c r="BU345" s="34"/>
      <c r="BV345" s="255"/>
      <c r="BW345" s="253"/>
      <c r="BX345" s="345"/>
      <c r="BY345" s="253"/>
      <c r="BZ345" s="34"/>
      <c r="CA345" s="255"/>
      <c r="CB345" s="253"/>
      <c r="CC345" s="345"/>
      <c r="CD345" s="253"/>
      <c r="CE345" s="34"/>
      <c r="CF345" s="255"/>
      <c r="CG345" s="253"/>
      <c r="CH345" s="345"/>
      <c r="CI345" s="253"/>
      <c r="CJ345" s="34"/>
      <c r="CK345" s="255"/>
      <c r="CL345" s="253"/>
      <c r="CM345" s="345"/>
      <c r="CN345" s="253"/>
      <c r="CO345" s="34"/>
      <c r="CP345" s="255"/>
      <c r="CQ345" s="253"/>
      <c r="CR345" s="345"/>
      <c r="CS345" s="253"/>
      <c r="CT345" s="34"/>
      <c r="CU345" s="255"/>
      <c r="CV345" s="253"/>
      <c r="CW345" s="345"/>
      <c r="CX345" s="253"/>
      <c r="CY345" s="34"/>
      <c r="CZ345" s="255"/>
      <c r="DA345" s="253"/>
      <c r="DB345" s="345"/>
      <c r="DC345" s="253"/>
      <c r="DD345" s="34"/>
      <c r="DE345" s="255"/>
      <c r="DF345" s="253"/>
      <c r="DG345" s="345"/>
      <c r="DH345" s="253"/>
      <c r="DI345" s="34"/>
      <c r="DJ345" s="255"/>
      <c r="DK345" s="253"/>
      <c r="DL345" s="345"/>
      <c r="DM345" s="253"/>
      <c r="DN345" s="34"/>
      <c r="DO345" s="255"/>
      <c r="DP345" s="253"/>
      <c r="DQ345" s="345"/>
      <c r="DR345" s="253"/>
      <c r="DS345" s="34"/>
      <c r="DT345" s="255"/>
      <c r="DU345" s="253"/>
      <c r="DV345" s="345"/>
      <c r="DW345" s="253"/>
      <c r="DX345" s="34"/>
      <c r="DY345" s="255"/>
      <c r="DZ345" s="253"/>
      <c r="EA345" s="345"/>
      <c r="EB345" s="253"/>
      <c r="EC345" s="34"/>
      <c r="ED345" s="255"/>
      <c r="EE345" s="253"/>
      <c r="EF345" s="345"/>
      <c r="EG345" s="253"/>
      <c r="EH345" s="34"/>
      <c r="EI345" s="255"/>
      <c r="EJ345" s="253"/>
      <c r="EK345" s="345"/>
      <c r="EL345" s="253"/>
      <c r="EM345" s="34"/>
      <c r="EN345" s="255"/>
      <c r="EO345" s="253"/>
      <c r="EP345" s="345"/>
      <c r="EQ345" s="253"/>
      <c r="ER345" s="34"/>
      <c r="ES345" s="255"/>
      <c r="ET345" s="253"/>
      <c r="EU345" s="345"/>
      <c r="EV345" s="253"/>
      <c r="EW345" s="34"/>
      <c r="EX345" s="255"/>
      <c r="EY345" s="253"/>
      <c r="EZ345" s="345"/>
      <c r="FA345" s="253"/>
      <c r="FB345" s="34"/>
      <c r="FC345" s="255"/>
      <c r="FD345" s="253"/>
      <c r="FE345" s="345"/>
      <c r="FF345" s="253"/>
      <c r="FG345" s="34"/>
      <c r="FH345" s="255"/>
      <c r="FI345" s="253"/>
      <c r="FJ345" s="345"/>
      <c r="FK345" s="253"/>
      <c r="FL345" s="34"/>
      <c r="FM345" s="255"/>
      <c r="FN345" s="253"/>
      <c r="FO345" s="345"/>
      <c r="FP345" s="253"/>
      <c r="FQ345" s="34"/>
      <c r="FR345" s="255"/>
      <c r="FS345" s="253"/>
      <c r="FT345" s="345"/>
      <c r="FU345" s="253"/>
      <c r="FV345" s="34"/>
      <c r="FW345" s="255"/>
      <c r="FX345" s="253"/>
      <c r="FY345" s="345"/>
      <c r="FZ345" s="253"/>
      <c r="GA345" s="34"/>
      <c r="GB345" s="255"/>
      <c r="GC345" s="253"/>
      <c r="GD345" s="345"/>
      <c r="GE345" s="253"/>
      <c r="GF345" s="34"/>
      <c r="GG345" s="255"/>
      <c r="GH345" s="253"/>
      <c r="GI345" s="345"/>
      <c r="GJ345" s="253"/>
      <c r="GK345" s="34"/>
      <c r="GL345" s="255"/>
      <c r="GM345" s="253"/>
      <c r="GN345" s="345"/>
      <c r="GO345" s="253"/>
      <c r="GP345" s="34"/>
      <c r="GQ345" s="255"/>
      <c r="GR345" s="253"/>
      <c r="GS345" s="345"/>
      <c r="GT345" s="253"/>
      <c r="GU345" s="34"/>
      <c r="GV345" s="255"/>
      <c r="GW345" s="253"/>
      <c r="GX345" s="345"/>
      <c r="GY345" s="253"/>
      <c r="GZ345" s="34"/>
      <c r="HA345" s="255"/>
      <c r="HB345" s="253"/>
      <c r="HC345" s="345"/>
      <c r="HD345" s="253"/>
      <c r="HE345" s="34"/>
      <c r="HF345" s="255"/>
      <c r="HG345" s="253"/>
      <c r="HH345" s="345"/>
      <c r="HI345" s="253"/>
      <c r="HJ345" s="34"/>
      <c r="HK345" s="255"/>
      <c r="HL345" s="253"/>
      <c r="HM345" s="345"/>
      <c r="HN345" s="253"/>
      <c r="HO345" s="34"/>
      <c r="HP345" s="255"/>
      <c r="HQ345" s="253"/>
      <c r="HR345" s="345"/>
      <c r="HS345" s="253"/>
      <c r="HT345" s="34"/>
      <c r="HU345" s="255"/>
      <c r="HV345" s="253"/>
      <c r="HW345" s="345"/>
      <c r="HX345" s="253"/>
      <c r="HY345" s="34"/>
      <c r="HZ345" s="255"/>
      <c r="IA345" s="253"/>
      <c r="IB345" s="345"/>
      <c r="IC345" s="253"/>
      <c r="ID345" s="34"/>
      <c r="IE345" s="255"/>
      <c r="IF345" s="253"/>
      <c r="IG345" s="345"/>
      <c r="IH345" s="253"/>
      <c r="II345" s="34"/>
      <c r="IJ345" s="255"/>
      <c r="IK345" s="253"/>
      <c r="IL345" s="345"/>
      <c r="IM345" s="253"/>
      <c r="IN345" s="34"/>
      <c r="IO345" s="255"/>
      <c r="IP345" s="253"/>
      <c r="IQ345" s="345"/>
      <c r="IR345" s="253"/>
      <c r="IS345" s="34"/>
      <c r="IT345" s="255"/>
      <c r="IU345" s="253"/>
      <c r="IV345" s="345"/>
    </row>
    <row r="346" spans="1:256" x14ac:dyDescent="0.2">
      <c r="A346" s="345">
        <v>38046</v>
      </c>
      <c r="B346" s="253"/>
      <c r="C346" s="34"/>
      <c r="D346" s="255"/>
      <c r="E346" s="253"/>
      <c r="F346" s="345"/>
      <c r="G346" s="253"/>
      <c r="H346" s="34"/>
      <c r="I346" s="255"/>
      <c r="J346" s="253"/>
      <c r="K346" s="345"/>
      <c r="L346" s="253"/>
      <c r="M346" s="34"/>
      <c r="N346" s="255"/>
      <c r="O346" s="253"/>
      <c r="P346" s="345"/>
      <c r="Q346" s="253"/>
      <c r="R346" s="34"/>
      <c r="S346" s="255"/>
      <c r="T346" s="253"/>
      <c r="U346" s="345"/>
      <c r="V346" s="253"/>
      <c r="W346" s="34"/>
      <c r="X346" s="255"/>
      <c r="Y346" s="253"/>
      <c r="Z346" s="345"/>
      <c r="AA346" s="253"/>
      <c r="AB346" s="34"/>
      <c r="AC346" s="255"/>
      <c r="AD346" s="253"/>
      <c r="AE346" s="345"/>
      <c r="AF346" s="253"/>
      <c r="AG346" s="34"/>
      <c r="AH346" s="255"/>
      <c r="AI346" s="253"/>
      <c r="AJ346" s="345"/>
      <c r="AK346" s="253"/>
      <c r="AL346" s="34"/>
      <c r="AM346" s="255"/>
      <c r="AN346" s="253"/>
      <c r="AO346" s="345"/>
      <c r="AP346" s="253"/>
      <c r="AQ346" s="34"/>
      <c r="AR346" s="255"/>
      <c r="AS346" s="253"/>
      <c r="AT346" s="345"/>
      <c r="AU346" s="253"/>
      <c r="AV346" s="34"/>
      <c r="AW346" s="255"/>
      <c r="AX346" s="253"/>
      <c r="AY346" s="345"/>
      <c r="AZ346" s="253"/>
      <c r="BA346" s="34"/>
      <c r="BB346" s="255"/>
      <c r="BC346" s="253"/>
      <c r="BD346" s="345"/>
      <c r="BE346" s="253"/>
      <c r="BF346" s="34"/>
      <c r="BG346" s="255"/>
      <c r="BH346" s="253"/>
      <c r="BI346" s="345"/>
      <c r="BJ346" s="253"/>
      <c r="BK346" s="34"/>
      <c r="BL346" s="255"/>
      <c r="BM346" s="253"/>
      <c r="BN346" s="345"/>
      <c r="BO346" s="253"/>
      <c r="BP346" s="34"/>
      <c r="BQ346" s="255"/>
      <c r="BR346" s="253"/>
      <c r="BS346" s="345"/>
      <c r="BT346" s="253"/>
      <c r="BU346" s="34"/>
      <c r="BV346" s="255"/>
      <c r="BW346" s="253"/>
      <c r="BX346" s="345"/>
      <c r="BY346" s="253"/>
      <c r="BZ346" s="34"/>
      <c r="CA346" s="255"/>
      <c r="CB346" s="253"/>
      <c r="CC346" s="345"/>
      <c r="CD346" s="253"/>
      <c r="CE346" s="34"/>
      <c r="CF346" s="255"/>
      <c r="CG346" s="253"/>
      <c r="CH346" s="345"/>
      <c r="CI346" s="253"/>
      <c r="CJ346" s="34"/>
      <c r="CK346" s="255"/>
      <c r="CL346" s="253"/>
      <c r="CM346" s="345"/>
      <c r="CN346" s="253"/>
      <c r="CO346" s="34"/>
      <c r="CP346" s="255"/>
      <c r="CQ346" s="253"/>
      <c r="CR346" s="345"/>
      <c r="CS346" s="253"/>
      <c r="CT346" s="34"/>
      <c r="CU346" s="255"/>
      <c r="CV346" s="253"/>
      <c r="CW346" s="345"/>
      <c r="CX346" s="253"/>
      <c r="CY346" s="34"/>
      <c r="CZ346" s="255"/>
      <c r="DA346" s="253"/>
      <c r="DB346" s="345"/>
      <c r="DC346" s="253"/>
      <c r="DD346" s="34"/>
      <c r="DE346" s="255"/>
      <c r="DF346" s="253"/>
      <c r="DG346" s="345"/>
      <c r="DH346" s="253"/>
      <c r="DI346" s="34"/>
      <c r="DJ346" s="255"/>
      <c r="DK346" s="253"/>
      <c r="DL346" s="345"/>
      <c r="DM346" s="253"/>
      <c r="DN346" s="34"/>
      <c r="DO346" s="255"/>
      <c r="DP346" s="253"/>
      <c r="DQ346" s="345"/>
      <c r="DR346" s="253"/>
      <c r="DS346" s="34"/>
      <c r="DT346" s="255"/>
      <c r="DU346" s="253"/>
      <c r="DV346" s="345"/>
      <c r="DW346" s="253"/>
      <c r="DX346" s="34"/>
      <c r="DY346" s="255"/>
      <c r="DZ346" s="253"/>
      <c r="EA346" s="345"/>
      <c r="EB346" s="253"/>
      <c r="EC346" s="34"/>
      <c r="ED346" s="255"/>
      <c r="EE346" s="253"/>
      <c r="EF346" s="345"/>
      <c r="EG346" s="253"/>
      <c r="EH346" s="34"/>
      <c r="EI346" s="255"/>
      <c r="EJ346" s="253"/>
      <c r="EK346" s="345"/>
      <c r="EL346" s="253"/>
      <c r="EM346" s="34"/>
      <c r="EN346" s="255"/>
      <c r="EO346" s="253"/>
      <c r="EP346" s="345"/>
      <c r="EQ346" s="253"/>
      <c r="ER346" s="34"/>
      <c r="ES346" s="255"/>
      <c r="ET346" s="253"/>
      <c r="EU346" s="345"/>
      <c r="EV346" s="253"/>
      <c r="EW346" s="34"/>
      <c r="EX346" s="255"/>
      <c r="EY346" s="253"/>
      <c r="EZ346" s="345"/>
      <c r="FA346" s="253"/>
      <c r="FB346" s="34"/>
      <c r="FC346" s="255"/>
      <c r="FD346" s="253"/>
      <c r="FE346" s="345"/>
      <c r="FF346" s="253"/>
      <c r="FG346" s="34"/>
      <c r="FH346" s="255"/>
      <c r="FI346" s="253"/>
      <c r="FJ346" s="345"/>
      <c r="FK346" s="253"/>
      <c r="FL346" s="34"/>
      <c r="FM346" s="255"/>
      <c r="FN346" s="253"/>
      <c r="FO346" s="345"/>
      <c r="FP346" s="253"/>
      <c r="FQ346" s="34"/>
      <c r="FR346" s="255"/>
      <c r="FS346" s="253"/>
      <c r="FT346" s="345"/>
      <c r="FU346" s="253"/>
      <c r="FV346" s="34"/>
      <c r="FW346" s="255"/>
      <c r="FX346" s="253"/>
      <c r="FY346" s="345"/>
      <c r="FZ346" s="253"/>
      <c r="GA346" s="34"/>
      <c r="GB346" s="255"/>
      <c r="GC346" s="253"/>
      <c r="GD346" s="345"/>
      <c r="GE346" s="253"/>
      <c r="GF346" s="34"/>
      <c r="GG346" s="255"/>
      <c r="GH346" s="253"/>
      <c r="GI346" s="345"/>
      <c r="GJ346" s="253"/>
      <c r="GK346" s="34"/>
      <c r="GL346" s="255"/>
      <c r="GM346" s="253"/>
      <c r="GN346" s="345"/>
      <c r="GO346" s="253"/>
      <c r="GP346" s="34"/>
      <c r="GQ346" s="255"/>
      <c r="GR346" s="253"/>
      <c r="GS346" s="345"/>
      <c r="GT346" s="253"/>
      <c r="GU346" s="34"/>
      <c r="GV346" s="255"/>
      <c r="GW346" s="253"/>
      <c r="GX346" s="345"/>
      <c r="GY346" s="253"/>
      <c r="GZ346" s="34"/>
      <c r="HA346" s="255"/>
      <c r="HB346" s="253"/>
      <c r="HC346" s="345"/>
      <c r="HD346" s="253"/>
      <c r="HE346" s="34"/>
      <c r="HF346" s="255"/>
      <c r="HG346" s="253"/>
      <c r="HH346" s="345"/>
      <c r="HI346" s="253"/>
      <c r="HJ346" s="34"/>
      <c r="HK346" s="255"/>
      <c r="HL346" s="253"/>
      <c r="HM346" s="345"/>
      <c r="HN346" s="253"/>
      <c r="HO346" s="34"/>
      <c r="HP346" s="255"/>
      <c r="HQ346" s="253"/>
      <c r="HR346" s="345"/>
      <c r="HS346" s="253"/>
      <c r="HT346" s="34"/>
      <c r="HU346" s="255"/>
      <c r="HV346" s="253"/>
      <c r="HW346" s="345"/>
      <c r="HX346" s="253"/>
      <c r="HY346" s="34"/>
      <c r="HZ346" s="255"/>
      <c r="IA346" s="253"/>
      <c r="IB346" s="345"/>
      <c r="IC346" s="253"/>
      <c r="ID346" s="34"/>
      <c r="IE346" s="255"/>
      <c r="IF346" s="253"/>
      <c r="IG346" s="345"/>
      <c r="IH346" s="253"/>
      <c r="II346" s="34"/>
      <c r="IJ346" s="255"/>
      <c r="IK346" s="253"/>
      <c r="IL346" s="345"/>
      <c r="IM346" s="253"/>
      <c r="IN346" s="34"/>
      <c r="IO346" s="255"/>
      <c r="IP346" s="253"/>
      <c r="IQ346" s="345"/>
      <c r="IR346" s="253"/>
      <c r="IS346" s="34"/>
      <c r="IT346" s="255"/>
      <c r="IU346" s="253"/>
      <c r="IV346" s="345"/>
    </row>
    <row r="347" spans="1:256" x14ac:dyDescent="0.2">
      <c r="A347" s="345">
        <v>38077</v>
      </c>
      <c r="B347" s="253"/>
      <c r="C347" s="34"/>
      <c r="D347" s="255"/>
      <c r="E347" s="253"/>
      <c r="F347" s="345"/>
      <c r="G347" s="253"/>
      <c r="H347" s="34"/>
      <c r="I347" s="255"/>
      <c r="J347" s="253"/>
      <c r="K347" s="345"/>
      <c r="L347" s="253"/>
      <c r="M347" s="34"/>
      <c r="N347" s="255"/>
      <c r="O347" s="253"/>
      <c r="P347" s="345"/>
      <c r="Q347" s="253"/>
      <c r="R347" s="34"/>
      <c r="S347" s="255"/>
      <c r="T347" s="253"/>
      <c r="U347" s="345"/>
      <c r="V347" s="253"/>
      <c r="W347" s="34"/>
      <c r="X347" s="255"/>
      <c r="Y347" s="253"/>
      <c r="Z347" s="345"/>
      <c r="AA347" s="253"/>
      <c r="AB347" s="34"/>
      <c r="AC347" s="255"/>
      <c r="AD347" s="253"/>
      <c r="AE347" s="345"/>
      <c r="AF347" s="253"/>
      <c r="AG347" s="34"/>
      <c r="AH347" s="255"/>
      <c r="AI347" s="253"/>
      <c r="AJ347" s="345"/>
      <c r="AK347" s="253"/>
      <c r="AL347" s="34"/>
      <c r="AM347" s="255"/>
      <c r="AN347" s="253"/>
      <c r="AO347" s="345"/>
      <c r="AP347" s="253"/>
      <c r="AQ347" s="34"/>
      <c r="AR347" s="255"/>
      <c r="AS347" s="253"/>
      <c r="AT347" s="345"/>
      <c r="AU347" s="253"/>
      <c r="AV347" s="34"/>
      <c r="AW347" s="255"/>
      <c r="AX347" s="253"/>
      <c r="AY347" s="345"/>
      <c r="AZ347" s="253"/>
      <c r="BA347" s="34"/>
      <c r="BB347" s="255"/>
      <c r="BC347" s="253"/>
      <c r="BD347" s="345"/>
      <c r="BE347" s="253"/>
      <c r="BF347" s="34"/>
      <c r="BG347" s="255"/>
      <c r="BH347" s="253"/>
      <c r="BI347" s="345"/>
      <c r="BJ347" s="253"/>
      <c r="BK347" s="34"/>
      <c r="BL347" s="255"/>
      <c r="BM347" s="253"/>
      <c r="BN347" s="345"/>
      <c r="BO347" s="253"/>
      <c r="BP347" s="34"/>
      <c r="BQ347" s="255"/>
      <c r="BR347" s="253"/>
      <c r="BS347" s="345"/>
      <c r="BT347" s="253"/>
      <c r="BU347" s="34"/>
      <c r="BV347" s="255"/>
      <c r="BW347" s="253"/>
      <c r="BX347" s="345"/>
      <c r="BY347" s="253"/>
      <c r="BZ347" s="34"/>
      <c r="CA347" s="255"/>
      <c r="CB347" s="253"/>
      <c r="CC347" s="345"/>
      <c r="CD347" s="253"/>
      <c r="CE347" s="34"/>
      <c r="CF347" s="255"/>
      <c r="CG347" s="253"/>
      <c r="CH347" s="345"/>
      <c r="CI347" s="253"/>
      <c r="CJ347" s="34"/>
      <c r="CK347" s="255"/>
      <c r="CL347" s="253"/>
      <c r="CM347" s="345"/>
      <c r="CN347" s="253"/>
      <c r="CO347" s="34"/>
      <c r="CP347" s="255"/>
      <c r="CQ347" s="253"/>
      <c r="CR347" s="345"/>
      <c r="CS347" s="253"/>
      <c r="CT347" s="34"/>
      <c r="CU347" s="255"/>
      <c r="CV347" s="253"/>
      <c r="CW347" s="345"/>
      <c r="CX347" s="253"/>
      <c r="CY347" s="34"/>
      <c r="CZ347" s="255"/>
      <c r="DA347" s="253"/>
      <c r="DB347" s="345"/>
      <c r="DC347" s="253"/>
      <c r="DD347" s="34"/>
      <c r="DE347" s="255"/>
      <c r="DF347" s="253"/>
      <c r="DG347" s="345"/>
      <c r="DH347" s="253"/>
      <c r="DI347" s="34"/>
      <c r="DJ347" s="255"/>
      <c r="DK347" s="253"/>
      <c r="DL347" s="345"/>
      <c r="DM347" s="253"/>
      <c r="DN347" s="34"/>
      <c r="DO347" s="255"/>
      <c r="DP347" s="253"/>
      <c r="DQ347" s="345"/>
      <c r="DR347" s="253"/>
      <c r="DS347" s="34"/>
      <c r="DT347" s="255"/>
      <c r="DU347" s="253"/>
      <c r="DV347" s="345"/>
      <c r="DW347" s="253"/>
      <c r="DX347" s="34"/>
      <c r="DY347" s="255"/>
      <c r="DZ347" s="253"/>
      <c r="EA347" s="345"/>
      <c r="EB347" s="253"/>
      <c r="EC347" s="34"/>
      <c r="ED347" s="255"/>
      <c r="EE347" s="253"/>
      <c r="EF347" s="345"/>
      <c r="EG347" s="253"/>
      <c r="EH347" s="34"/>
      <c r="EI347" s="255"/>
      <c r="EJ347" s="253"/>
      <c r="EK347" s="345"/>
      <c r="EL347" s="253"/>
      <c r="EM347" s="34"/>
      <c r="EN347" s="255"/>
      <c r="EO347" s="253"/>
      <c r="EP347" s="345"/>
      <c r="EQ347" s="253"/>
      <c r="ER347" s="34"/>
      <c r="ES347" s="255"/>
      <c r="ET347" s="253"/>
      <c r="EU347" s="345"/>
      <c r="EV347" s="253"/>
      <c r="EW347" s="34"/>
      <c r="EX347" s="255"/>
      <c r="EY347" s="253"/>
      <c r="EZ347" s="345"/>
      <c r="FA347" s="253"/>
      <c r="FB347" s="34"/>
      <c r="FC347" s="255"/>
      <c r="FD347" s="253"/>
      <c r="FE347" s="345"/>
      <c r="FF347" s="253"/>
      <c r="FG347" s="34"/>
      <c r="FH347" s="255"/>
      <c r="FI347" s="253"/>
      <c r="FJ347" s="345"/>
      <c r="FK347" s="253"/>
      <c r="FL347" s="34"/>
      <c r="FM347" s="255"/>
      <c r="FN347" s="253"/>
      <c r="FO347" s="345"/>
      <c r="FP347" s="253"/>
      <c r="FQ347" s="34"/>
      <c r="FR347" s="255"/>
      <c r="FS347" s="253"/>
      <c r="FT347" s="345"/>
      <c r="FU347" s="253"/>
      <c r="FV347" s="34"/>
      <c r="FW347" s="255"/>
      <c r="FX347" s="253"/>
      <c r="FY347" s="345"/>
      <c r="FZ347" s="253"/>
      <c r="GA347" s="34"/>
      <c r="GB347" s="255"/>
      <c r="GC347" s="253"/>
      <c r="GD347" s="345"/>
      <c r="GE347" s="253"/>
      <c r="GF347" s="34"/>
      <c r="GG347" s="255"/>
      <c r="GH347" s="253"/>
      <c r="GI347" s="345"/>
      <c r="GJ347" s="253"/>
      <c r="GK347" s="34"/>
      <c r="GL347" s="255"/>
      <c r="GM347" s="253"/>
      <c r="GN347" s="345"/>
      <c r="GO347" s="253"/>
      <c r="GP347" s="34"/>
      <c r="GQ347" s="255"/>
      <c r="GR347" s="253"/>
      <c r="GS347" s="345"/>
      <c r="GT347" s="253"/>
      <c r="GU347" s="34"/>
      <c r="GV347" s="255"/>
      <c r="GW347" s="253"/>
      <c r="GX347" s="345"/>
      <c r="GY347" s="253"/>
      <c r="GZ347" s="34"/>
      <c r="HA347" s="255"/>
      <c r="HB347" s="253"/>
      <c r="HC347" s="345"/>
      <c r="HD347" s="253"/>
      <c r="HE347" s="34"/>
      <c r="HF347" s="255"/>
      <c r="HG347" s="253"/>
      <c r="HH347" s="345"/>
      <c r="HI347" s="253"/>
      <c r="HJ347" s="34"/>
      <c r="HK347" s="255"/>
      <c r="HL347" s="253"/>
      <c r="HM347" s="345"/>
      <c r="HN347" s="253"/>
      <c r="HO347" s="34"/>
      <c r="HP347" s="255"/>
      <c r="HQ347" s="253"/>
      <c r="HR347" s="345"/>
      <c r="HS347" s="253"/>
      <c r="HT347" s="34"/>
      <c r="HU347" s="255"/>
      <c r="HV347" s="253"/>
      <c r="HW347" s="345"/>
      <c r="HX347" s="253"/>
      <c r="HY347" s="34"/>
      <c r="HZ347" s="255"/>
      <c r="IA347" s="253"/>
      <c r="IB347" s="345"/>
      <c r="IC347" s="253"/>
      <c r="ID347" s="34"/>
      <c r="IE347" s="255"/>
      <c r="IF347" s="253"/>
      <c r="IG347" s="345"/>
      <c r="IH347" s="253"/>
      <c r="II347" s="34"/>
      <c r="IJ347" s="255"/>
      <c r="IK347" s="253"/>
      <c r="IL347" s="345"/>
      <c r="IM347" s="253"/>
      <c r="IN347" s="34"/>
      <c r="IO347" s="255"/>
      <c r="IP347" s="253"/>
      <c r="IQ347" s="345"/>
      <c r="IR347" s="253"/>
      <c r="IS347" s="34"/>
      <c r="IT347" s="255"/>
      <c r="IU347" s="253"/>
      <c r="IV347" s="345"/>
    </row>
    <row r="348" spans="1:256" x14ac:dyDescent="0.2">
      <c r="A348" s="345">
        <v>38107</v>
      </c>
      <c r="B348" s="253"/>
      <c r="C348" s="34"/>
      <c r="D348" s="253"/>
      <c r="E348" s="253"/>
      <c r="F348" s="345"/>
      <c r="G348" s="253"/>
      <c r="H348" s="34"/>
      <c r="I348" s="253"/>
      <c r="J348" s="253"/>
      <c r="K348" s="345"/>
      <c r="L348" s="253"/>
      <c r="M348" s="34"/>
      <c r="N348" s="253"/>
      <c r="O348" s="253"/>
      <c r="P348" s="345"/>
      <c r="Q348" s="253"/>
      <c r="R348" s="34"/>
      <c r="S348" s="253"/>
      <c r="T348" s="253"/>
      <c r="U348" s="345"/>
      <c r="V348" s="253"/>
      <c r="W348" s="34"/>
      <c r="X348" s="253"/>
      <c r="Y348" s="253"/>
      <c r="Z348" s="345"/>
      <c r="AA348" s="253"/>
      <c r="AB348" s="34"/>
      <c r="AC348" s="253"/>
      <c r="AD348" s="253"/>
      <c r="AE348" s="345"/>
      <c r="AF348" s="253"/>
      <c r="AG348" s="34"/>
      <c r="AH348" s="253"/>
      <c r="AI348" s="253"/>
      <c r="AJ348" s="345"/>
      <c r="AK348" s="253"/>
      <c r="AL348" s="34"/>
      <c r="AM348" s="253"/>
      <c r="AN348" s="253"/>
      <c r="AO348" s="345"/>
      <c r="AP348" s="253"/>
      <c r="AQ348" s="34"/>
      <c r="AR348" s="253"/>
      <c r="AS348" s="253"/>
      <c r="AT348" s="345"/>
      <c r="AU348" s="253"/>
      <c r="AV348" s="34"/>
      <c r="AW348" s="253"/>
      <c r="AX348" s="253"/>
      <c r="AY348" s="345"/>
      <c r="AZ348" s="253"/>
      <c r="BA348" s="34"/>
      <c r="BB348" s="253"/>
      <c r="BC348" s="253"/>
      <c r="BD348" s="345"/>
      <c r="BE348" s="253"/>
      <c r="BF348" s="34"/>
      <c r="BG348" s="253"/>
      <c r="BH348" s="253"/>
      <c r="BI348" s="345"/>
      <c r="BJ348" s="253"/>
      <c r="BK348" s="34"/>
      <c r="BL348" s="253"/>
      <c r="BM348" s="253"/>
      <c r="BN348" s="345"/>
      <c r="BO348" s="253"/>
      <c r="BP348" s="34"/>
      <c r="BQ348" s="253"/>
      <c r="BR348" s="253"/>
      <c r="BS348" s="345"/>
      <c r="BT348" s="253"/>
      <c r="BU348" s="34"/>
      <c r="BV348" s="253"/>
      <c r="BW348" s="253"/>
      <c r="BX348" s="345"/>
      <c r="BY348" s="253"/>
      <c r="BZ348" s="34"/>
      <c r="CA348" s="253"/>
      <c r="CB348" s="253"/>
      <c r="CC348" s="345"/>
      <c r="CD348" s="253"/>
      <c r="CE348" s="34"/>
      <c r="CF348" s="253"/>
      <c r="CG348" s="253"/>
      <c r="CH348" s="345"/>
      <c r="CI348" s="253"/>
      <c r="CJ348" s="34"/>
      <c r="CK348" s="253"/>
      <c r="CL348" s="253"/>
      <c r="CM348" s="345"/>
      <c r="CN348" s="253"/>
      <c r="CO348" s="34"/>
      <c r="CP348" s="253"/>
      <c r="CQ348" s="253"/>
      <c r="CR348" s="345"/>
      <c r="CS348" s="253"/>
      <c r="CT348" s="34"/>
      <c r="CU348" s="253"/>
      <c r="CV348" s="253"/>
      <c r="CW348" s="345"/>
      <c r="CX348" s="253"/>
      <c r="CY348" s="34"/>
      <c r="CZ348" s="253"/>
      <c r="DA348" s="253"/>
      <c r="DB348" s="345"/>
      <c r="DC348" s="253"/>
      <c r="DD348" s="34"/>
      <c r="DE348" s="253"/>
      <c r="DF348" s="253"/>
      <c r="DG348" s="345"/>
      <c r="DH348" s="253"/>
      <c r="DI348" s="34"/>
      <c r="DJ348" s="253"/>
      <c r="DK348" s="253"/>
      <c r="DL348" s="345"/>
      <c r="DM348" s="253"/>
      <c r="DN348" s="34"/>
      <c r="DO348" s="253"/>
      <c r="DP348" s="253"/>
      <c r="DQ348" s="345"/>
      <c r="DR348" s="253"/>
      <c r="DS348" s="34"/>
      <c r="DT348" s="253"/>
      <c r="DU348" s="253"/>
      <c r="DV348" s="345"/>
      <c r="DW348" s="253"/>
      <c r="DX348" s="34"/>
      <c r="DY348" s="253"/>
      <c r="DZ348" s="253"/>
      <c r="EA348" s="345"/>
      <c r="EB348" s="253"/>
      <c r="EC348" s="34"/>
      <c r="ED348" s="253"/>
      <c r="EE348" s="253"/>
      <c r="EF348" s="345"/>
      <c r="EG348" s="253"/>
      <c r="EH348" s="34"/>
      <c r="EI348" s="253"/>
      <c r="EJ348" s="253"/>
      <c r="EK348" s="345"/>
      <c r="EL348" s="253"/>
      <c r="EM348" s="34"/>
      <c r="EN348" s="253"/>
      <c r="EO348" s="253"/>
      <c r="EP348" s="345"/>
      <c r="EQ348" s="253"/>
      <c r="ER348" s="34"/>
      <c r="ES348" s="253"/>
      <c r="ET348" s="253"/>
      <c r="EU348" s="345"/>
      <c r="EV348" s="253"/>
      <c r="EW348" s="34"/>
      <c r="EX348" s="253"/>
      <c r="EY348" s="253"/>
      <c r="EZ348" s="345"/>
      <c r="FA348" s="253"/>
      <c r="FB348" s="34"/>
      <c r="FC348" s="253"/>
      <c r="FD348" s="253"/>
      <c r="FE348" s="345"/>
      <c r="FF348" s="253"/>
      <c r="FG348" s="34"/>
      <c r="FH348" s="253"/>
      <c r="FI348" s="253"/>
      <c r="FJ348" s="345"/>
      <c r="FK348" s="253"/>
      <c r="FL348" s="34"/>
      <c r="FM348" s="253"/>
      <c r="FN348" s="253"/>
      <c r="FO348" s="345"/>
      <c r="FP348" s="253"/>
      <c r="FQ348" s="34"/>
      <c r="FR348" s="253"/>
      <c r="FS348" s="253"/>
      <c r="FT348" s="345"/>
      <c r="FU348" s="253"/>
      <c r="FV348" s="34"/>
      <c r="FW348" s="253"/>
      <c r="FX348" s="253"/>
      <c r="FY348" s="345"/>
      <c r="FZ348" s="253"/>
      <c r="GA348" s="34"/>
      <c r="GB348" s="253"/>
      <c r="GC348" s="253"/>
      <c r="GD348" s="345"/>
      <c r="GE348" s="253"/>
      <c r="GF348" s="34"/>
      <c r="GG348" s="253"/>
      <c r="GH348" s="253"/>
      <c r="GI348" s="345"/>
      <c r="GJ348" s="253"/>
      <c r="GK348" s="34"/>
      <c r="GL348" s="253"/>
      <c r="GM348" s="253"/>
      <c r="GN348" s="345"/>
      <c r="GO348" s="253"/>
      <c r="GP348" s="34"/>
      <c r="GQ348" s="253"/>
      <c r="GR348" s="253"/>
      <c r="GS348" s="345"/>
      <c r="GT348" s="253"/>
      <c r="GU348" s="34"/>
      <c r="GV348" s="253"/>
      <c r="GW348" s="253"/>
      <c r="GX348" s="345"/>
      <c r="GY348" s="253"/>
      <c r="GZ348" s="34"/>
      <c r="HA348" s="253"/>
      <c r="HB348" s="253"/>
      <c r="HC348" s="345"/>
      <c r="HD348" s="253"/>
      <c r="HE348" s="34"/>
      <c r="HF348" s="253"/>
      <c r="HG348" s="253"/>
      <c r="HH348" s="345"/>
      <c r="HI348" s="253"/>
      <c r="HJ348" s="34"/>
      <c r="HK348" s="253"/>
      <c r="HL348" s="253"/>
      <c r="HM348" s="345"/>
      <c r="HN348" s="253"/>
      <c r="HO348" s="34"/>
      <c r="HP348" s="253"/>
      <c r="HQ348" s="253"/>
      <c r="HR348" s="345"/>
      <c r="HS348" s="253"/>
      <c r="HT348" s="34"/>
      <c r="HU348" s="253"/>
      <c r="HV348" s="253"/>
      <c r="HW348" s="345"/>
      <c r="HX348" s="253"/>
      <c r="HY348" s="34"/>
      <c r="HZ348" s="253"/>
      <c r="IA348" s="253"/>
      <c r="IB348" s="345"/>
      <c r="IC348" s="253"/>
      <c r="ID348" s="34"/>
      <c r="IE348" s="253"/>
      <c r="IF348" s="253"/>
      <c r="IG348" s="345"/>
      <c r="IH348" s="253"/>
      <c r="II348" s="34"/>
      <c r="IJ348" s="253"/>
      <c r="IK348" s="253"/>
      <c r="IL348" s="345"/>
      <c r="IM348" s="253"/>
      <c r="IN348" s="34"/>
      <c r="IO348" s="253"/>
      <c r="IP348" s="253"/>
      <c r="IQ348" s="345"/>
      <c r="IR348" s="253"/>
      <c r="IS348" s="34"/>
      <c r="IT348" s="253"/>
      <c r="IU348" s="253"/>
      <c r="IV348" s="345"/>
    </row>
    <row r="349" spans="1:256" x14ac:dyDescent="0.2">
      <c r="A349" s="345">
        <v>38138</v>
      </c>
      <c r="B349" s="253"/>
      <c r="C349" s="34"/>
      <c r="D349" s="253"/>
      <c r="E349" s="253"/>
      <c r="F349" s="345"/>
      <c r="G349" s="253"/>
      <c r="H349" s="34"/>
      <c r="I349" s="253"/>
      <c r="J349" s="253"/>
      <c r="K349" s="345"/>
      <c r="L349" s="253"/>
      <c r="M349" s="34"/>
      <c r="N349" s="253"/>
      <c r="O349" s="253"/>
      <c r="P349" s="345"/>
      <c r="Q349" s="253"/>
      <c r="R349" s="34"/>
      <c r="S349" s="253"/>
      <c r="T349" s="253"/>
      <c r="U349" s="345"/>
      <c r="V349" s="253"/>
      <c r="W349" s="34"/>
      <c r="X349" s="253"/>
      <c r="Y349" s="253"/>
      <c r="Z349" s="345"/>
      <c r="AA349" s="253"/>
      <c r="AB349" s="34"/>
      <c r="AC349" s="253"/>
      <c r="AD349" s="253"/>
      <c r="AE349" s="345"/>
      <c r="AF349" s="253"/>
      <c r="AG349" s="34"/>
      <c r="AH349" s="253"/>
      <c r="AI349" s="253"/>
      <c r="AJ349" s="345"/>
      <c r="AK349" s="253"/>
      <c r="AL349" s="34"/>
      <c r="AM349" s="253"/>
      <c r="AN349" s="253"/>
      <c r="AO349" s="345"/>
      <c r="AP349" s="253"/>
      <c r="AQ349" s="34"/>
      <c r="AR349" s="253"/>
      <c r="AS349" s="253"/>
      <c r="AT349" s="345"/>
      <c r="AU349" s="253"/>
      <c r="AV349" s="34"/>
      <c r="AW349" s="253"/>
      <c r="AX349" s="253"/>
      <c r="AY349" s="345"/>
      <c r="AZ349" s="253"/>
      <c r="BA349" s="34"/>
      <c r="BB349" s="253"/>
      <c r="BC349" s="253"/>
      <c r="BD349" s="345"/>
      <c r="BE349" s="253"/>
      <c r="BF349" s="34"/>
      <c r="BG349" s="253"/>
      <c r="BH349" s="253"/>
      <c r="BI349" s="345"/>
      <c r="BJ349" s="253"/>
      <c r="BK349" s="34"/>
      <c r="BL349" s="253"/>
      <c r="BM349" s="253"/>
      <c r="BN349" s="345"/>
      <c r="BO349" s="253"/>
      <c r="BP349" s="34"/>
      <c r="BQ349" s="253"/>
      <c r="BR349" s="253"/>
      <c r="BS349" s="345"/>
      <c r="BT349" s="253"/>
      <c r="BU349" s="34"/>
      <c r="BV349" s="253"/>
      <c r="BW349" s="253"/>
      <c r="BX349" s="345"/>
      <c r="BY349" s="253"/>
      <c r="BZ349" s="34"/>
      <c r="CA349" s="253"/>
      <c r="CB349" s="253"/>
      <c r="CC349" s="345"/>
      <c r="CD349" s="253"/>
      <c r="CE349" s="34"/>
      <c r="CF349" s="253"/>
      <c r="CG349" s="253"/>
      <c r="CH349" s="345"/>
      <c r="CI349" s="253"/>
      <c r="CJ349" s="34"/>
      <c r="CK349" s="253"/>
      <c r="CL349" s="253"/>
      <c r="CM349" s="345"/>
      <c r="CN349" s="253"/>
      <c r="CO349" s="34"/>
      <c r="CP349" s="253"/>
      <c r="CQ349" s="253"/>
      <c r="CR349" s="345"/>
      <c r="CS349" s="253"/>
      <c r="CT349" s="34"/>
      <c r="CU349" s="253"/>
      <c r="CV349" s="253"/>
      <c r="CW349" s="345"/>
      <c r="CX349" s="253"/>
      <c r="CY349" s="34"/>
      <c r="CZ349" s="253"/>
      <c r="DA349" s="253"/>
      <c r="DB349" s="345"/>
      <c r="DC349" s="253"/>
      <c r="DD349" s="34"/>
      <c r="DE349" s="253"/>
      <c r="DF349" s="253"/>
      <c r="DG349" s="345"/>
      <c r="DH349" s="253"/>
      <c r="DI349" s="34"/>
      <c r="DJ349" s="253"/>
      <c r="DK349" s="253"/>
      <c r="DL349" s="345"/>
      <c r="DM349" s="253"/>
      <c r="DN349" s="34"/>
      <c r="DO349" s="253"/>
      <c r="DP349" s="253"/>
      <c r="DQ349" s="345"/>
      <c r="DR349" s="253"/>
      <c r="DS349" s="34"/>
      <c r="DT349" s="253"/>
      <c r="DU349" s="253"/>
      <c r="DV349" s="345"/>
      <c r="DW349" s="253"/>
      <c r="DX349" s="34"/>
      <c r="DY349" s="253"/>
      <c r="DZ349" s="253"/>
      <c r="EA349" s="345"/>
      <c r="EB349" s="253"/>
      <c r="EC349" s="34"/>
      <c r="ED349" s="253"/>
      <c r="EE349" s="253"/>
      <c r="EF349" s="345"/>
      <c r="EG349" s="253"/>
      <c r="EH349" s="34"/>
      <c r="EI349" s="253"/>
      <c r="EJ349" s="253"/>
      <c r="EK349" s="345"/>
      <c r="EL349" s="253"/>
      <c r="EM349" s="34"/>
      <c r="EN349" s="253"/>
      <c r="EO349" s="253"/>
      <c r="EP349" s="345"/>
      <c r="EQ349" s="253"/>
      <c r="ER349" s="34"/>
      <c r="ES349" s="253"/>
      <c r="ET349" s="253"/>
      <c r="EU349" s="345"/>
      <c r="EV349" s="253"/>
      <c r="EW349" s="34"/>
      <c r="EX349" s="253"/>
      <c r="EY349" s="253"/>
      <c r="EZ349" s="345"/>
      <c r="FA349" s="253"/>
      <c r="FB349" s="34"/>
      <c r="FC349" s="253"/>
      <c r="FD349" s="253"/>
      <c r="FE349" s="345"/>
      <c r="FF349" s="253"/>
      <c r="FG349" s="34"/>
      <c r="FH349" s="253"/>
      <c r="FI349" s="253"/>
      <c r="FJ349" s="345"/>
      <c r="FK349" s="253"/>
      <c r="FL349" s="34"/>
      <c r="FM349" s="253"/>
      <c r="FN349" s="253"/>
      <c r="FO349" s="345"/>
      <c r="FP349" s="253"/>
      <c r="FQ349" s="34"/>
      <c r="FR349" s="253"/>
      <c r="FS349" s="253"/>
      <c r="FT349" s="345"/>
      <c r="FU349" s="253"/>
      <c r="FV349" s="34"/>
      <c r="FW349" s="253"/>
      <c r="FX349" s="253"/>
      <c r="FY349" s="345"/>
      <c r="FZ349" s="253"/>
      <c r="GA349" s="34"/>
      <c r="GB349" s="253"/>
      <c r="GC349" s="253"/>
      <c r="GD349" s="345"/>
      <c r="GE349" s="253"/>
      <c r="GF349" s="34"/>
      <c r="GG349" s="253"/>
      <c r="GH349" s="253"/>
      <c r="GI349" s="345"/>
      <c r="GJ349" s="253"/>
      <c r="GK349" s="34"/>
      <c r="GL349" s="253"/>
      <c r="GM349" s="253"/>
      <c r="GN349" s="345"/>
      <c r="GO349" s="253"/>
      <c r="GP349" s="34"/>
      <c r="GQ349" s="253"/>
      <c r="GR349" s="253"/>
      <c r="GS349" s="345"/>
      <c r="GT349" s="253"/>
      <c r="GU349" s="34"/>
      <c r="GV349" s="253"/>
      <c r="GW349" s="253"/>
      <c r="GX349" s="345"/>
      <c r="GY349" s="253"/>
      <c r="GZ349" s="34"/>
      <c r="HA349" s="253"/>
      <c r="HB349" s="253"/>
      <c r="HC349" s="345"/>
      <c r="HD349" s="253"/>
      <c r="HE349" s="34"/>
      <c r="HF349" s="253"/>
      <c r="HG349" s="253"/>
      <c r="HH349" s="345"/>
      <c r="HI349" s="253"/>
      <c r="HJ349" s="34"/>
      <c r="HK349" s="253"/>
      <c r="HL349" s="253"/>
      <c r="HM349" s="345"/>
      <c r="HN349" s="253"/>
      <c r="HO349" s="34"/>
      <c r="HP349" s="253"/>
      <c r="HQ349" s="253"/>
      <c r="HR349" s="345"/>
      <c r="HS349" s="253"/>
      <c r="HT349" s="34"/>
      <c r="HU349" s="253"/>
      <c r="HV349" s="253"/>
      <c r="HW349" s="345"/>
      <c r="HX349" s="253"/>
      <c r="HY349" s="34"/>
      <c r="HZ349" s="253"/>
      <c r="IA349" s="253"/>
      <c r="IB349" s="345"/>
      <c r="IC349" s="253"/>
      <c r="ID349" s="34"/>
      <c r="IE349" s="253"/>
      <c r="IF349" s="253"/>
      <c r="IG349" s="345"/>
      <c r="IH349" s="253"/>
      <c r="II349" s="34"/>
      <c r="IJ349" s="253"/>
      <c r="IK349" s="253"/>
      <c r="IL349" s="345"/>
      <c r="IM349" s="253"/>
      <c r="IN349" s="34"/>
      <c r="IO349" s="253"/>
      <c r="IP349" s="253"/>
      <c r="IQ349" s="345"/>
      <c r="IR349" s="253"/>
      <c r="IS349" s="34"/>
      <c r="IT349" s="253"/>
      <c r="IU349" s="253"/>
      <c r="IV349" s="345"/>
    </row>
    <row r="350" spans="1:256" x14ac:dyDescent="0.2">
      <c r="A350" s="345">
        <v>38168</v>
      </c>
      <c r="B350" s="253"/>
      <c r="C350" s="34"/>
      <c r="D350" s="253"/>
      <c r="E350" s="253"/>
      <c r="F350" s="345"/>
      <c r="G350" s="253"/>
      <c r="H350" s="34"/>
      <c r="I350" s="253"/>
      <c r="J350" s="253"/>
      <c r="K350" s="345"/>
      <c r="L350" s="253"/>
      <c r="M350" s="34"/>
      <c r="N350" s="253"/>
      <c r="O350" s="253"/>
      <c r="P350" s="345"/>
      <c r="Q350" s="253"/>
      <c r="R350" s="34"/>
      <c r="S350" s="253"/>
      <c r="T350" s="253"/>
      <c r="U350" s="345"/>
      <c r="V350" s="253"/>
      <c r="W350" s="34"/>
      <c r="X350" s="253"/>
      <c r="Y350" s="253"/>
      <c r="Z350" s="345"/>
      <c r="AA350" s="253"/>
      <c r="AB350" s="34"/>
      <c r="AC350" s="253"/>
      <c r="AD350" s="253"/>
      <c r="AE350" s="345"/>
      <c r="AF350" s="253"/>
      <c r="AG350" s="34"/>
      <c r="AH350" s="253"/>
      <c r="AI350" s="253"/>
      <c r="AJ350" s="345"/>
      <c r="AK350" s="253"/>
      <c r="AL350" s="34"/>
      <c r="AM350" s="253"/>
      <c r="AN350" s="253"/>
      <c r="AO350" s="345"/>
      <c r="AP350" s="253"/>
      <c r="AQ350" s="34"/>
      <c r="AR350" s="253"/>
      <c r="AS350" s="253"/>
      <c r="AT350" s="345"/>
      <c r="AU350" s="253"/>
      <c r="AV350" s="34"/>
      <c r="AW350" s="253"/>
      <c r="AX350" s="253"/>
      <c r="AY350" s="345"/>
      <c r="AZ350" s="253"/>
      <c r="BA350" s="34"/>
      <c r="BB350" s="253"/>
      <c r="BC350" s="253"/>
      <c r="BD350" s="345"/>
      <c r="BE350" s="253"/>
      <c r="BF350" s="34"/>
      <c r="BG350" s="253"/>
      <c r="BH350" s="253"/>
      <c r="BI350" s="345"/>
      <c r="BJ350" s="253"/>
      <c r="BK350" s="34"/>
      <c r="BL350" s="253"/>
      <c r="BM350" s="253"/>
      <c r="BN350" s="345"/>
      <c r="BO350" s="253"/>
      <c r="BP350" s="34"/>
      <c r="BQ350" s="253"/>
      <c r="BR350" s="253"/>
      <c r="BS350" s="345"/>
      <c r="BT350" s="253"/>
      <c r="BU350" s="34"/>
      <c r="BV350" s="253"/>
      <c r="BW350" s="253"/>
      <c r="BX350" s="345"/>
      <c r="BY350" s="253"/>
      <c r="BZ350" s="34"/>
      <c r="CA350" s="253"/>
      <c r="CB350" s="253"/>
      <c r="CC350" s="345"/>
      <c r="CD350" s="253"/>
      <c r="CE350" s="34"/>
      <c r="CF350" s="253"/>
      <c r="CG350" s="253"/>
      <c r="CH350" s="345"/>
      <c r="CI350" s="253"/>
      <c r="CJ350" s="34"/>
      <c r="CK350" s="253"/>
      <c r="CL350" s="253"/>
      <c r="CM350" s="345"/>
      <c r="CN350" s="253"/>
      <c r="CO350" s="34"/>
      <c r="CP350" s="253"/>
      <c r="CQ350" s="253"/>
      <c r="CR350" s="345"/>
      <c r="CS350" s="253"/>
      <c r="CT350" s="34"/>
      <c r="CU350" s="253"/>
      <c r="CV350" s="253"/>
      <c r="CW350" s="345"/>
      <c r="CX350" s="253"/>
      <c r="CY350" s="34"/>
      <c r="CZ350" s="253"/>
      <c r="DA350" s="253"/>
      <c r="DB350" s="345"/>
      <c r="DC350" s="253"/>
      <c r="DD350" s="34"/>
      <c r="DE350" s="253"/>
      <c r="DF350" s="253"/>
      <c r="DG350" s="345"/>
      <c r="DH350" s="253"/>
      <c r="DI350" s="34"/>
      <c r="DJ350" s="253"/>
      <c r="DK350" s="253"/>
      <c r="DL350" s="345"/>
      <c r="DM350" s="253"/>
      <c r="DN350" s="34"/>
      <c r="DO350" s="253"/>
      <c r="DP350" s="253"/>
      <c r="DQ350" s="345"/>
      <c r="DR350" s="253"/>
      <c r="DS350" s="34"/>
      <c r="DT350" s="253"/>
      <c r="DU350" s="253"/>
      <c r="DV350" s="345"/>
      <c r="DW350" s="253"/>
      <c r="DX350" s="34"/>
      <c r="DY350" s="253"/>
      <c r="DZ350" s="253"/>
      <c r="EA350" s="345"/>
      <c r="EB350" s="253"/>
      <c r="EC350" s="34"/>
      <c r="ED350" s="253"/>
      <c r="EE350" s="253"/>
      <c r="EF350" s="345"/>
      <c r="EG350" s="253"/>
      <c r="EH350" s="34"/>
      <c r="EI350" s="253"/>
      <c r="EJ350" s="253"/>
      <c r="EK350" s="345"/>
      <c r="EL350" s="253"/>
      <c r="EM350" s="34"/>
      <c r="EN350" s="253"/>
      <c r="EO350" s="253"/>
      <c r="EP350" s="345"/>
      <c r="EQ350" s="253"/>
      <c r="ER350" s="34"/>
      <c r="ES350" s="253"/>
      <c r="ET350" s="253"/>
      <c r="EU350" s="345"/>
      <c r="EV350" s="253"/>
      <c r="EW350" s="34"/>
      <c r="EX350" s="253"/>
      <c r="EY350" s="253"/>
      <c r="EZ350" s="345"/>
      <c r="FA350" s="253"/>
      <c r="FB350" s="34"/>
      <c r="FC350" s="253"/>
      <c r="FD350" s="253"/>
      <c r="FE350" s="345"/>
      <c r="FF350" s="253"/>
      <c r="FG350" s="34"/>
      <c r="FH350" s="253"/>
      <c r="FI350" s="253"/>
      <c r="FJ350" s="345"/>
      <c r="FK350" s="253"/>
      <c r="FL350" s="34"/>
      <c r="FM350" s="253"/>
      <c r="FN350" s="253"/>
      <c r="FO350" s="345"/>
      <c r="FP350" s="253"/>
      <c r="FQ350" s="34"/>
      <c r="FR350" s="253"/>
      <c r="FS350" s="253"/>
      <c r="FT350" s="345"/>
      <c r="FU350" s="253"/>
      <c r="FV350" s="34"/>
      <c r="FW350" s="253"/>
      <c r="FX350" s="253"/>
      <c r="FY350" s="345"/>
      <c r="FZ350" s="253"/>
      <c r="GA350" s="34"/>
      <c r="GB350" s="253"/>
      <c r="GC350" s="253"/>
      <c r="GD350" s="345"/>
      <c r="GE350" s="253"/>
      <c r="GF350" s="34"/>
      <c r="GG350" s="253"/>
      <c r="GH350" s="253"/>
      <c r="GI350" s="345"/>
      <c r="GJ350" s="253"/>
      <c r="GK350" s="34"/>
      <c r="GL350" s="253"/>
      <c r="GM350" s="253"/>
      <c r="GN350" s="345"/>
      <c r="GO350" s="253"/>
      <c r="GP350" s="34"/>
      <c r="GQ350" s="253"/>
      <c r="GR350" s="253"/>
      <c r="GS350" s="345"/>
      <c r="GT350" s="253"/>
      <c r="GU350" s="34"/>
      <c r="GV350" s="253"/>
      <c r="GW350" s="253"/>
      <c r="GX350" s="345"/>
      <c r="GY350" s="253"/>
      <c r="GZ350" s="34"/>
      <c r="HA350" s="253"/>
      <c r="HB350" s="253"/>
      <c r="HC350" s="345"/>
      <c r="HD350" s="253"/>
      <c r="HE350" s="34"/>
      <c r="HF350" s="253"/>
      <c r="HG350" s="253"/>
      <c r="HH350" s="345"/>
      <c r="HI350" s="253"/>
      <c r="HJ350" s="34"/>
      <c r="HK350" s="253"/>
      <c r="HL350" s="253"/>
      <c r="HM350" s="345"/>
      <c r="HN350" s="253"/>
      <c r="HO350" s="34"/>
      <c r="HP350" s="253"/>
      <c r="HQ350" s="253"/>
      <c r="HR350" s="345"/>
      <c r="HS350" s="253"/>
      <c r="HT350" s="34"/>
      <c r="HU350" s="253"/>
      <c r="HV350" s="253"/>
      <c r="HW350" s="345"/>
      <c r="HX350" s="253"/>
      <c r="HY350" s="34"/>
      <c r="HZ350" s="253"/>
      <c r="IA350" s="253"/>
      <c r="IB350" s="345"/>
      <c r="IC350" s="253"/>
      <c r="ID350" s="34"/>
      <c r="IE350" s="253"/>
      <c r="IF350" s="253"/>
      <c r="IG350" s="345"/>
      <c r="IH350" s="253"/>
      <c r="II350" s="34"/>
      <c r="IJ350" s="253"/>
      <c r="IK350" s="253"/>
      <c r="IL350" s="345"/>
      <c r="IM350" s="253"/>
      <c r="IN350" s="34"/>
      <c r="IO350" s="253"/>
      <c r="IP350" s="253"/>
      <c r="IQ350" s="345"/>
      <c r="IR350" s="253"/>
      <c r="IS350" s="34"/>
      <c r="IT350" s="253"/>
      <c r="IU350" s="253"/>
      <c r="IV350" s="345"/>
    </row>
    <row r="351" spans="1:256" x14ac:dyDescent="0.2">
      <c r="A351" s="345">
        <v>38199</v>
      </c>
      <c r="B351" s="253"/>
      <c r="C351" s="34"/>
      <c r="D351" s="253"/>
      <c r="E351" s="253"/>
      <c r="F351" s="345"/>
      <c r="G351" s="253"/>
      <c r="H351" s="34"/>
      <c r="I351" s="253"/>
      <c r="J351" s="253"/>
      <c r="K351" s="345"/>
      <c r="L351" s="253"/>
      <c r="M351" s="34"/>
      <c r="N351" s="253"/>
      <c r="O351" s="253"/>
      <c r="P351" s="345"/>
      <c r="Q351" s="253"/>
      <c r="R351" s="34"/>
      <c r="S351" s="253"/>
      <c r="T351" s="253"/>
      <c r="U351" s="345"/>
      <c r="V351" s="253"/>
      <c r="W351" s="34"/>
      <c r="X351" s="253"/>
      <c r="Y351" s="253"/>
      <c r="Z351" s="345"/>
      <c r="AA351" s="253"/>
      <c r="AB351" s="34"/>
      <c r="AC351" s="253"/>
      <c r="AD351" s="253"/>
      <c r="AE351" s="345"/>
      <c r="AF351" s="253"/>
      <c r="AG351" s="34"/>
      <c r="AH351" s="253"/>
      <c r="AI351" s="253"/>
      <c r="AJ351" s="345"/>
      <c r="AK351" s="253"/>
      <c r="AL351" s="34"/>
      <c r="AM351" s="253"/>
      <c r="AN351" s="253"/>
      <c r="AO351" s="345"/>
      <c r="AP351" s="253"/>
      <c r="AQ351" s="34"/>
      <c r="AR351" s="253"/>
      <c r="AS351" s="253"/>
      <c r="AT351" s="345"/>
      <c r="AU351" s="253"/>
      <c r="AV351" s="34"/>
      <c r="AW351" s="253"/>
      <c r="AX351" s="253"/>
      <c r="AY351" s="345"/>
      <c r="AZ351" s="253"/>
      <c r="BA351" s="34"/>
      <c r="BB351" s="253"/>
      <c r="BC351" s="253"/>
      <c r="BD351" s="345"/>
      <c r="BE351" s="253"/>
      <c r="BF351" s="34"/>
      <c r="BG351" s="253"/>
      <c r="BH351" s="253"/>
      <c r="BI351" s="345"/>
      <c r="BJ351" s="253"/>
      <c r="BK351" s="34"/>
      <c r="BL351" s="253"/>
      <c r="BM351" s="253"/>
      <c r="BN351" s="345"/>
      <c r="BO351" s="253"/>
      <c r="BP351" s="34"/>
      <c r="BQ351" s="253"/>
      <c r="BR351" s="253"/>
      <c r="BS351" s="345"/>
      <c r="BT351" s="253"/>
      <c r="BU351" s="34"/>
      <c r="BV351" s="253"/>
      <c r="BW351" s="253"/>
      <c r="BX351" s="345"/>
      <c r="BY351" s="253"/>
      <c r="BZ351" s="34"/>
      <c r="CA351" s="253"/>
      <c r="CB351" s="253"/>
      <c r="CC351" s="345"/>
      <c r="CD351" s="253"/>
      <c r="CE351" s="34"/>
      <c r="CF351" s="253"/>
      <c r="CG351" s="253"/>
      <c r="CH351" s="345"/>
      <c r="CI351" s="253"/>
      <c r="CJ351" s="34"/>
      <c r="CK351" s="253"/>
      <c r="CL351" s="253"/>
      <c r="CM351" s="345"/>
      <c r="CN351" s="253"/>
      <c r="CO351" s="34"/>
      <c r="CP351" s="253"/>
      <c r="CQ351" s="253"/>
      <c r="CR351" s="345"/>
      <c r="CS351" s="253"/>
      <c r="CT351" s="34"/>
      <c r="CU351" s="253"/>
      <c r="CV351" s="253"/>
      <c r="CW351" s="345"/>
      <c r="CX351" s="253"/>
      <c r="CY351" s="34"/>
      <c r="CZ351" s="253"/>
      <c r="DA351" s="253"/>
      <c r="DB351" s="345"/>
      <c r="DC351" s="253"/>
      <c r="DD351" s="34"/>
      <c r="DE351" s="253"/>
      <c r="DF351" s="253"/>
      <c r="DG351" s="345"/>
      <c r="DH351" s="253"/>
      <c r="DI351" s="34"/>
      <c r="DJ351" s="253"/>
      <c r="DK351" s="253"/>
      <c r="DL351" s="345"/>
      <c r="DM351" s="253"/>
      <c r="DN351" s="34"/>
      <c r="DO351" s="253"/>
      <c r="DP351" s="253"/>
      <c r="DQ351" s="345"/>
      <c r="DR351" s="253"/>
      <c r="DS351" s="34"/>
      <c r="DT351" s="253"/>
      <c r="DU351" s="253"/>
      <c r="DV351" s="345"/>
      <c r="DW351" s="253"/>
      <c r="DX351" s="34"/>
      <c r="DY351" s="253"/>
      <c r="DZ351" s="253"/>
      <c r="EA351" s="345"/>
      <c r="EB351" s="253"/>
      <c r="EC351" s="34"/>
      <c r="ED351" s="253"/>
      <c r="EE351" s="253"/>
      <c r="EF351" s="345"/>
      <c r="EG351" s="253"/>
      <c r="EH351" s="34"/>
      <c r="EI351" s="253"/>
      <c r="EJ351" s="253"/>
      <c r="EK351" s="345"/>
      <c r="EL351" s="253"/>
      <c r="EM351" s="34"/>
      <c r="EN351" s="253"/>
      <c r="EO351" s="253"/>
      <c r="EP351" s="345"/>
      <c r="EQ351" s="253"/>
      <c r="ER351" s="34"/>
      <c r="ES351" s="253"/>
      <c r="ET351" s="253"/>
      <c r="EU351" s="345"/>
      <c r="EV351" s="253"/>
      <c r="EW351" s="34"/>
      <c r="EX351" s="253"/>
      <c r="EY351" s="253"/>
      <c r="EZ351" s="345"/>
      <c r="FA351" s="253"/>
      <c r="FB351" s="34"/>
      <c r="FC351" s="253"/>
      <c r="FD351" s="253"/>
      <c r="FE351" s="345"/>
      <c r="FF351" s="253"/>
      <c r="FG351" s="34"/>
      <c r="FH351" s="253"/>
      <c r="FI351" s="253"/>
      <c r="FJ351" s="345"/>
      <c r="FK351" s="253"/>
      <c r="FL351" s="34"/>
      <c r="FM351" s="253"/>
      <c r="FN351" s="253"/>
      <c r="FO351" s="345"/>
      <c r="FP351" s="253"/>
      <c r="FQ351" s="34"/>
      <c r="FR351" s="253"/>
      <c r="FS351" s="253"/>
      <c r="FT351" s="345"/>
      <c r="FU351" s="253"/>
      <c r="FV351" s="34"/>
      <c r="FW351" s="253"/>
      <c r="FX351" s="253"/>
      <c r="FY351" s="345"/>
      <c r="FZ351" s="253"/>
      <c r="GA351" s="34"/>
      <c r="GB351" s="253"/>
      <c r="GC351" s="253"/>
      <c r="GD351" s="345"/>
      <c r="GE351" s="253"/>
      <c r="GF351" s="34"/>
      <c r="GG351" s="253"/>
      <c r="GH351" s="253"/>
      <c r="GI351" s="345"/>
      <c r="GJ351" s="253"/>
      <c r="GK351" s="34"/>
      <c r="GL351" s="253"/>
      <c r="GM351" s="253"/>
      <c r="GN351" s="345"/>
      <c r="GO351" s="253"/>
      <c r="GP351" s="34"/>
      <c r="GQ351" s="253"/>
      <c r="GR351" s="253"/>
      <c r="GS351" s="345"/>
      <c r="GT351" s="253"/>
      <c r="GU351" s="34"/>
      <c r="GV351" s="253"/>
      <c r="GW351" s="253"/>
      <c r="GX351" s="345"/>
      <c r="GY351" s="253"/>
      <c r="GZ351" s="34"/>
      <c r="HA351" s="253"/>
      <c r="HB351" s="253"/>
      <c r="HC351" s="345"/>
      <c r="HD351" s="253"/>
      <c r="HE351" s="34"/>
      <c r="HF351" s="253"/>
      <c r="HG351" s="253"/>
      <c r="HH351" s="345"/>
      <c r="HI351" s="253"/>
      <c r="HJ351" s="34"/>
      <c r="HK351" s="253"/>
      <c r="HL351" s="253"/>
      <c r="HM351" s="345"/>
      <c r="HN351" s="253"/>
      <c r="HO351" s="34"/>
      <c r="HP351" s="253"/>
      <c r="HQ351" s="253"/>
      <c r="HR351" s="345"/>
      <c r="HS351" s="253"/>
      <c r="HT351" s="34"/>
      <c r="HU351" s="253"/>
      <c r="HV351" s="253"/>
      <c r="HW351" s="345"/>
      <c r="HX351" s="253"/>
      <c r="HY351" s="34"/>
      <c r="HZ351" s="253"/>
      <c r="IA351" s="253"/>
      <c r="IB351" s="345"/>
      <c r="IC351" s="253"/>
      <c r="ID351" s="34"/>
      <c r="IE351" s="253"/>
      <c r="IF351" s="253"/>
      <c r="IG351" s="345"/>
      <c r="IH351" s="253"/>
      <c r="II351" s="34"/>
      <c r="IJ351" s="253"/>
      <c r="IK351" s="253"/>
      <c r="IL351" s="345"/>
      <c r="IM351" s="253"/>
      <c r="IN351" s="34"/>
      <c r="IO351" s="253"/>
      <c r="IP351" s="253"/>
      <c r="IQ351" s="345"/>
      <c r="IR351" s="253"/>
      <c r="IS351" s="34"/>
      <c r="IT351" s="253"/>
      <c r="IU351" s="253"/>
      <c r="IV351" s="345"/>
    </row>
    <row r="352" spans="1:256" x14ac:dyDescent="0.2">
      <c r="A352" s="345">
        <v>38230</v>
      </c>
      <c r="B352" s="253"/>
      <c r="C352" s="34"/>
      <c r="D352" s="253"/>
      <c r="E352" s="253"/>
      <c r="F352" s="345"/>
      <c r="G352" s="253"/>
      <c r="H352" s="34"/>
      <c r="I352" s="253"/>
      <c r="J352" s="253"/>
      <c r="K352" s="345"/>
      <c r="L352" s="253"/>
      <c r="M352" s="34"/>
      <c r="N352" s="253"/>
      <c r="O352" s="253"/>
      <c r="P352" s="345"/>
      <c r="Q352" s="253"/>
      <c r="R352" s="34"/>
      <c r="S352" s="253"/>
      <c r="T352" s="253"/>
      <c r="U352" s="345"/>
      <c r="V352" s="253"/>
      <c r="W352" s="34"/>
      <c r="X352" s="253"/>
      <c r="Y352" s="253"/>
      <c r="Z352" s="345"/>
      <c r="AA352" s="253"/>
      <c r="AB352" s="34"/>
      <c r="AC352" s="253"/>
      <c r="AD352" s="253"/>
      <c r="AE352" s="345"/>
      <c r="AF352" s="253"/>
      <c r="AG352" s="34"/>
      <c r="AH352" s="253"/>
      <c r="AI352" s="253"/>
      <c r="AJ352" s="345"/>
      <c r="AK352" s="253"/>
      <c r="AL352" s="34"/>
      <c r="AM352" s="253"/>
      <c r="AN352" s="253"/>
      <c r="AO352" s="345"/>
      <c r="AP352" s="253"/>
      <c r="AQ352" s="34"/>
      <c r="AR352" s="253"/>
      <c r="AS352" s="253"/>
      <c r="AT352" s="345"/>
      <c r="AU352" s="253"/>
      <c r="AV352" s="34"/>
      <c r="AW352" s="253"/>
      <c r="AX352" s="253"/>
      <c r="AY352" s="345"/>
      <c r="AZ352" s="253"/>
      <c r="BA352" s="34"/>
      <c r="BB352" s="253"/>
      <c r="BC352" s="253"/>
      <c r="BD352" s="345"/>
      <c r="BE352" s="253"/>
      <c r="BF352" s="34"/>
      <c r="BG352" s="253"/>
      <c r="BH352" s="253"/>
      <c r="BI352" s="345"/>
      <c r="BJ352" s="253"/>
      <c r="BK352" s="34"/>
      <c r="BL352" s="253"/>
      <c r="BM352" s="253"/>
      <c r="BN352" s="345"/>
      <c r="BO352" s="253"/>
      <c r="BP352" s="34"/>
      <c r="BQ352" s="253"/>
      <c r="BR352" s="253"/>
      <c r="BS352" s="345"/>
      <c r="BT352" s="253"/>
      <c r="BU352" s="34"/>
      <c r="BV352" s="253"/>
      <c r="BW352" s="253"/>
      <c r="BX352" s="345"/>
      <c r="BY352" s="253"/>
      <c r="BZ352" s="34"/>
      <c r="CA352" s="253"/>
      <c r="CB352" s="253"/>
      <c r="CC352" s="345"/>
      <c r="CD352" s="253"/>
      <c r="CE352" s="34"/>
      <c r="CF352" s="253"/>
      <c r="CG352" s="253"/>
      <c r="CH352" s="345"/>
      <c r="CI352" s="253"/>
      <c r="CJ352" s="34"/>
      <c r="CK352" s="253"/>
      <c r="CL352" s="253"/>
      <c r="CM352" s="345"/>
      <c r="CN352" s="253"/>
      <c r="CO352" s="34"/>
      <c r="CP352" s="253"/>
      <c r="CQ352" s="253"/>
      <c r="CR352" s="345"/>
      <c r="CS352" s="253"/>
      <c r="CT352" s="34"/>
      <c r="CU352" s="253"/>
      <c r="CV352" s="253"/>
      <c r="CW352" s="345"/>
      <c r="CX352" s="253"/>
      <c r="CY352" s="34"/>
      <c r="CZ352" s="253"/>
      <c r="DA352" s="253"/>
      <c r="DB352" s="345"/>
      <c r="DC352" s="253"/>
      <c r="DD352" s="34"/>
      <c r="DE352" s="253"/>
      <c r="DF352" s="253"/>
      <c r="DG352" s="345"/>
      <c r="DH352" s="253"/>
      <c r="DI352" s="34"/>
      <c r="DJ352" s="253"/>
      <c r="DK352" s="253"/>
      <c r="DL352" s="345"/>
      <c r="DM352" s="253"/>
      <c r="DN352" s="34"/>
      <c r="DO352" s="253"/>
      <c r="DP352" s="253"/>
      <c r="DQ352" s="345"/>
      <c r="DR352" s="253"/>
      <c r="DS352" s="34"/>
      <c r="DT352" s="253"/>
      <c r="DU352" s="253"/>
      <c r="DV352" s="345"/>
      <c r="DW352" s="253"/>
      <c r="DX352" s="34"/>
      <c r="DY352" s="253"/>
      <c r="DZ352" s="253"/>
      <c r="EA352" s="345"/>
      <c r="EB352" s="253"/>
      <c r="EC352" s="34"/>
      <c r="ED352" s="253"/>
      <c r="EE352" s="253"/>
      <c r="EF352" s="345"/>
      <c r="EG352" s="253"/>
      <c r="EH352" s="34"/>
      <c r="EI352" s="253"/>
      <c r="EJ352" s="253"/>
      <c r="EK352" s="345"/>
      <c r="EL352" s="253"/>
      <c r="EM352" s="34"/>
      <c r="EN352" s="253"/>
      <c r="EO352" s="253"/>
      <c r="EP352" s="345"/>
      <c r="EQ352" s="253"/>
      <c r="ER352" s="34"/>
      <c r="ES352" s="253"/>
      <c r="ET352" s="253"/>
      <c r="EU352" s="345"/>
      <c r="EV352" s="253"/>
      <c r="EW352" s="34"/>
      <c r="EX352" s="253"/>
      <c r="EY352" s="253"/>
      <c r="EZ352" s="345"/>
      <c r="FA352" s="253"/>
      <c r="FB352" s="34"/>
      <c r="FC352" s="253"/>
      <c r="FD352" s="253"/>
      <c r="FE352" s="345"/>
      <c r="FF352" s="253"/>
      <c r="FG352" s="34"/>
      <c r="FH352" s="253"/>
      <c r="FI352" s="253"/>
      <c r="FJ352" s="345"/>
      <c r="FK352" s="253"/>
      <c r="FL352" s="34"/>
      <c r="FM352" s="253"/>
      <c r="FN352" s="253"/>
      <c r="FO352" s="345"/>
      <c r="FP352" s="253"/>
      <c r="FQ352" s="34"/>
      <c r="FR352" s="253"/>
      <c r="FS352" s="253"/>
      <c r="FT352" s="345"/>
      <c r="FU352" s="253"/>
      <c r="FV352" s="34"/>
      <c r="FW352" s="253"/>
      <c r="FX352" s="253"/>
      <c r="FY352" s="345"/>
      <c r="FZ352" s="253"/>
      <c r="GA352" s="34"/>
      <c r="GB352" s="253"/>
      <c r="GC352" s="253"/>
      <c r="GD352" s="345"/>
      <c r="GE352" s="253"/>
      <c r="GF352" s="34"/>
      <c r="GG352" s="253"/>
      <c r="GH352" s="253"/>
      <c r="GI352" s="345"/>
      <c r="GJ352" s="253"/>
      <c r="GK352" s="34"/>
      <c r="GL352" s="253"/>
      <c r="GM352" s="253"/>
      <c r="GN352" s="345"/>
      <c r="GO352" s="253"/>
      <c r="GP352" s="34"/>
      <c r="GQ352" s="253"/>
      <c r="GR352" s="253"/>
      <c r="GS352" s="345"/>
      <c r="GT352" s="253"/>
      <c r="GU352" s="34"/>
      <c r="GV352" s="253"/>
      <c r="GW352" s="253"/>
      <c r="GX352" s="345"/>
      <c r="GY352" s="253"/>
      <c r="GZ352" s="34"/>
      <c r="HA352" s="253"/>
      <c r="HB352" s="253"/>
      <c r="HC352" s="345"/>
      <c r="HD352" s="253"/>
      <c r="HE352" s="34"/>
      <c r="HF352" s="253"/>
      <c r="HG352" s="253"/>
      <c r="HH352" s="345"/>
      <c r="HI352" s="253"/>
      <c r="HJ352" s="34"/>
      <c r="HK352" s="253"/>
      <c r="HL352" s="253"/>
      <c r="HM352" s="345"/>
      <c r="HN352" s="253"/>
      <c r="HO352" s="34"/>
      <c r="HP352" s="253"/>
      <c r="HQ352" s="253"/>
      <c r="HR352" s="345"/>
      <c r="HS352" s="253"/>
      <c r="HT352" s="34"/>
      <c r="HU352" s="253"/>
      <c r="HV352" s="253"/>
      <c r="HW352" s="345"/>
      <c r="HX352" s="253"/>
      <c r="HY352" s="34"/>
      <c r="HZ352" s="253"/>
      <c r="IA352" s="253"/>
      <c r="IB352" s="345"/>
      <c r="IC352" s="253"/>
      <c r="ID352" s="34"/>
      <c r="IE352" s="253"/>
      <c r="IF352" s="253"/>
      <c r="IG352" s="345"/>
      <c r="IH352" s="253"/>
      <c r="II352" s="34"/>
      <c r="IJ352" s="253"/>
      <c r="IK352" s="253"/>
      <c r="IL352" s="345"/>
      <c r="IM352" s="253"/>
      <c r="IN352" s="34"/>
      <c r="IO352" s="253"/>
      <c r="IP352" s="253"/>
      <c r="IQ352" s="345"/>
      <c r="IR352" s="253"/>
      <c r="IS352" s="34"/>
      <c r="IT352" s="253"/>
      <c r="IU352" s="253"/>
      <c r="IV352" s="345"/>
    </row>
    <row r="353" spans="1:256" x14ac:dyDescent="0.2">
      <c r="A353" s="345">
        <v>38260</v>
      </c>
      <c r="B353" s="253"/>
      <c r="C353" s="34"/>
      <c r="D353" s="253"/>
      <c r="E353" s="253"/>
      <c r="F353" s="345"/>
      <c r="G353" s="253"/>
      <c r="H353" s="34"/>
      <c r="I353" s="253"/>
      <c r="J353" s="253"/>
      <c r="K353" s="345"/>
      <c r="L353" s="253"/>
      <c r="M353" s="34"/>
      <c r="N353" s="253"/>
      <c r="O353" s="253"/>
      <c r="P353" s="345"/>
      <c r="Q353" s="253"/>
      <c r="R353" s="34"/>
      <c r="S353" s="253"/>
      <c r="T353" s="253"/>
      <c r="U353" s="345"/>
      <c r="V353" s="253"/>
      <c r="W353" s="34"/>
      <c r="X353" s="253"/>
      <c r="Y353" s="253"/>
      <c r="Z353" s="345"/>
      <c r="AA353" s="253"/>
      <c r="AB353" s="34"/>
      <c r="AC353" s="253"/>
      <c r="AD353" s="253"/>
      <c r="AE353" s="345"/>
      <c r="AF353" s="253"/>
      <c r="AG353" s="34"/>
      <c r="AH353" s="253"/>
      <c r="AI353" s="253"/>
      <c r="AJ353" s="345"/>
      <c r="AK353" s="253"/>
      <c r="AL353" s="34"/>
      <c r="AM353" s="253"/>
      <c r="AN353" s="253"/>
      <c r="AO353" s="345"/>
      <c r="AP353" s="253"/>
      <c r="AQ353" s="34"/>
      <c r="AR353" s="253"/>
      <c r="AS353" s="253"/>
      <c r="AT353" s="345"/>
      <c r="AU353" s="253"/>
      <c r="AV353" s="34"/>
      <c r="AW353" s="253"/>
      <c r="AX353" s="253"/>
      <c r="AY353" s="345"/>
      <c r="AZ353" s="253"/>
      <c r="BA353" s="34"/>
      <c r="BB353" s="253"/>
      <c r="BC353" s="253"/>
      <c r="BD353" s="345"/>
      <c r="BE353" s="253"/>
      <c r="BF353" s="34"/>
      <c r="BG353" s="253"/>
      <c r="BH353" s="253"/>
      <c r="BI353" s="345"/>
      <c r="BJ353" s="253"/>
      <c r="BK353" s="34"/>
      <c r="BL353" s="253"/>
      <c r="BM353" s="253"/>
      <c r="BN353" s="345"/>
      <c r="BO353" s="253"/>
      <c r="BP353" s="34"/>
      <c r="BQ353" s="253"/>
      <c r="BR353" s="253"/>
      <c r="BS353" s="345"/>
      <c r="BT353" s="253"/>
      <c r="BU353" s="34"/>
      <c r="BV353" s="253"/>
      <c r="BW353" s="253"/>
      <c r="BX353" s="345"/>
      <c r="BY353" s="253"/>
      <c r="BZ353" s="34"/>
      <c r="CA353" s="253"/>
      <c r="CB353" s="253"/>
      <c r="CC353" s="345"/>
      <c r="CD353" s="253"/>
      <c r="CE353" s="34"/>
      <c r="CF353" s="253"/>
      <c r="CG353" s="253"/>
      <c r="CH353" s="345"/>
      <c r="CI353" s="253"/>
      <c r="CJ353" s="34"/>
      <c r="CK353" s="253"/>
      <c r="CL353" s="253"/>
      <c r="CM353" s="345"/>
      <c r="CN353" s="253"/>
      <c r="CO353" s="34"/>
      <c r="CP353" s="253"/>
      <c r="CQ353" s="253"/>
      <c r="CR353" s="345"/>
      <c r="CS353" s="253"/>
      <c r="CT353" s="34"/>
      <c r="CU353" s="253"/>
      <c r="CV353" s="253"/>
      <c r="CW353" s="345"/>
      <c r="CX353" s="253"/>
      <c r="CY353" s="34"/>
      <c r="CZ353" s="253"/>
      <c r="DA353" s="253"/>
      <c r="DB353" s="345"/>
      <c r="DC353" s="253"/>
      <c r="DD353" s="34"/>
      <c r="DE353" s="253"/>
      <c r="DF353" s="253"/>
      <c r="DG353" s="345"/>
      <c r="DH353" s="253"/>
      <c r="DI353" s="34"/>
      <c r="DJ353" s="253"/>
      <c r="DK353" s="253"/>
      <c r="DL353" s="345"/>
      <c r="DM353" s="253"/>
      <c r="DN353" s="34"/>
      <c r="DO353" s="253"/>
      <c r="DP353" s="253"/>
      <c r="DQ353" s="345"/>
      <c r="DR353" s="253"/>
      <c r="DS353" s="34"/>
      <c r="DT353" s="253"/>
      <c r="DU353" s="253"/>
      <c r="DV353" s="345"/>
      <c r="DW353" s="253"/>
      <c r="DX353" s="34"/>
      <c r="DY353" s="253"/>
      <c r="DZ353" s="253"/>
      <c r="EA353" s="345"/>
      <c r="EB353" s="253"/>
      <c r="EC353" s="34"/>
      <c r="ED353" s="253"/>
      <c r="EE353" s="253"/>
      <c r="EF353" s="345"/>
      <c r="EG353" s="253"/>
      <c r="EH353" s="34"/>
      <c r="EI353" s="253"/>
      <c r="EJ353" s="253"/>
      <c r="EK353" s="345"/>
      <c r="EL353" s="253"/>
      <c r="EM353" s="34"/>
      <c r="EN353" s="253"/>
      <c r="EO353" s="253"/>
      <c r="EP353" s="345"/>
      <c r="EQ353" s="253"/>
      <c r="ER353" s="34"/>
      <c r="ES353" s="253"/>
      <c r="ET353" s="253"/>
      <c r="EU353" s="345"/>
      <c r="EV353" s="253"/>
      <c r="EW353" s="34"/>
      <c r="EX353" s="253"/>
      <c r="EY353" s="253"/>
      <c r="EZ353" s="345"/>
      <c r="FA353" s="253"/>
      <c r="FB353" s="34"/>
      <c r="FC353" s="253"/>
      <c r="FD353" s="253"/>
      <c r="FE353" s="345"/>
      <c r="FF353" s="253"/>
      <c r="FG353" s="34"/>
      <c r="FH353" s="253"/>
      <c r="FI353" s="253"/>
      <c r="FJ353" s="345"/>
      <c r="FK353" s="253"/>
      <c r="FL353" s="34"/>
      <c r="FM353" s="253"/>
      <c r="FN353" s="253"/>
      <c r="FO353" s="345"/>
      <c r="FP353" s="253"/>
      <c r="FQ353" s="34"/>
      <c r="FR353" s="253"/>
      <c r="FS353" s="253"/>
      <c r="FT353" s="345"/>
      <c r="FU353" s="253"/>
      <c r="FV353" s="34"/>
      <c r="FW353" s="253"/>
      <c r="FX353" s="253"/>
      <c r="FY353" s="345"/>
      <c r="FZ353" s="253"/>
      <c r="GA353" s="34"/>
      <c r="GB353" s="253"/>
      <c r="GC353" s="253"/>
      <c r="GD353" s="345"/>
      <c r="GE353" s="253"/>
      <c r="GF353" s="34"/>
      <c r="GG353" s="253"/>
      <c r="GH353" s="253"/>
      <c r="GI353" s="345"/>
      <c r="GJ353" s="253"/>
      <c r="GK353" s="34"/>
      <c r="GL353" s="253"/>
      <c r="GM353" s="253"/>
      <c r="GN353" s="345"/>
      <c r="GO353" s="253"/>
      <c r="GP353" s="34"/>
      <c r="GQ353" s="253"/>
      <c r="GR353" s="253"/>
      <c r="GS353" s="345"/>
      <c r="GT353" s="253"/>
      <c r="GU353" s="34"/>
      <c r="GV353" s="253"/>
      <c r="GW353" s="253"/>
      <c r="GX353" s="345"/>
      <c r="GY353" s="253"/>
      <c r="GZ353" s="34"/>
      <c r="HA353" s="253"/>
      <c r="HB353" s="253"/>
      <c r="HC353" s="345"/>
      <c r="HD353" s="253"/>
      <c r="HE353" s="34"/>
      <c r="HF353" s="253"/>
      <c r="HG353" s="253"/>
      <c r="HH353" s="345"/>
      <c r="HI353" s="253"/>
      <c r="HJ353" s="34"/>
      <c r="HK353" s="253"/>
      <c r="HL353" s="253"/>
      <c r="HM353" s="345"/>
      <c r="HN353" s="253"/>
      <c r="HO353" s="34"/>
      <c r="HP353" s="253"/>
      <c r="HQ353" s="253"/>
      <c r="HR353" s="345"/>
      <c r="HS353" s="253"/>
      <c r="HT353" s="34"/>
      <c r="HU353" s="253"/>
      <c r="HV353" s="253"/>
      <c r="HW353" s="345"/>
      <c r="HX353" s="253"/>
      <c r="HY353" s="34"/>
      <c r="HZ353" s="253"/>
      <c r="IA353" s="253"/>
      <c r="IB353" s="345"/>
      <c r="IC353" s="253"/>
      <c r="ID353" s="34"/>
      <c r="IE353" s="253"/>
      <c r="IF353" s="253"/>
      <c r="IG353" s="345"/>
      <c r="IH353" s="253"/>
      <c r="II353" s="34"/>
      <c r="IJ353" s="253"/>
      <c r="IK353" s="253"/>
      <c r="IL353" s="345"/>
      <c r="IM353" s="253"/>
      <c r="IN353" s="34"/>
      <c r="IO353" s="253"/>
      <c r="IP353" s="253"/>
      <c r="IQ353" s="345"/>
      <c r="IR353" s="253"/>
      <c r="IS353" s="34"/>
      <c r="IT353" s="253"/>
      <c r="IU353" s="253"/>
      <c r="IV353" s="345"/>
    </row>
    <row r="354" spans="1:256" x14ac:dyDescent="0.2">
      <c r="A354" s="345">
        <v>38291</v>
      </c>
      <c r="B354" s="253"/>
      <c r="C354" s="34"/>
      <c r="D354" s="253"/>
      <c r="E354" s="253"/>
      <c r="F354" s="345"/>
      <c r="G354" s="253"/>
      <c r="H354" s="34"/>
      <c r="I354" s="253"/>
      <c r="J354" s="253"/>
      <c r="K354" s="345"/>
      <c r="L354" s="253"/>
      <c r="M354" s="34"/>
      <c r="N354" s="253"/>
      <c r="O354" s="253"/>
      <c r="P354" s="345"/>
      <c r="Q354" s="253"/>
      <c r="R354" s="34"/>
      <c r="S354" s="253"/>
      <c r="T354" s="253"/>
      <c r="U354" s="345"/>
      <c r="V354" s="253"/>
      <c r="W354" s="34"/>
      <c r="X354" s="253"/>
      <c r="Y354" s="253"/>
      <c r="Z354" s="345"/>
      <c r="AA354" s="253"/>
      <c r="AB354" s="34"/>
      <c r="AC354" s="253"/>
      <c r="AD354" s="253"/>
      <c r="AE354" s="345"/>
      <c r="AF354" s="253"/>
      <c r="AG354" s="34"/>
      <c r="AH354" s="253"/>
      <c r="AI354" s="253"/>
      <c r="AJ354" s="345"/>
      <c r="AK354" s="253"/>
      <c r="AL354" s="34"/>
      <c r="AM354" s="253"/>
      <c r="AN354" s="253"/>
      <c r="AO354" s="345"/>
      <c r="AP354" s="253"/>
      <c r="AQ354" s="34"/>
      <c r="AR354" s="253"/>
      <c r="AS354" s="253"/>
      <c r="AT354" s="345"/>
      <c r="AU354" s="253"/>
      <c r="AV354" s="34"/>
      <c r="AW354" s="253"/>
      <c r="AX354" s="253"/>
      <c r="AY354" s="345"/>
      <c r="AZ354" s="253"/>
      <c r="BA354" s="34"/>
      <c r="BB354" s="253"/>
      <c r="BC354" s="253"/>
      <c r="BD354" s="345"/>
      <c r="BE354" s="253"/>
      <c r="BF354" s="34"/>
      <c r="BG354" s="253"/>
      <c r="BH354" s="253"/>
      <c r="BI354" s="345"/>
      <c r="BJ354" s="253"/>
      <c r="BK354" s="34"/>
      <c r="BL354" s="253"/>
      <c r="BM354" s="253"/>
      <c r="BN354" s="345"/>
      <c r="BO354" s="253"/>
      <c r="BP354" s="34"/>
      <c r="BQ354" s="253"/>
      <c r="BR354" s="253"/>
      <c r="BS354" s="345"/>
      <c r="BT354" s="253"/>
      <c r="BU354" s="34"/>
      <c r="BV354" s="253"/>
      <c r="BW354" s="253"/>
      <c r="BX354" s="345"/>
      <c r="BY354" s="253"/>
      <c r="BZ354" s="34"/>
      <c r="CA354" s="253"/>
      <c r="CB354" s="253"/>
      <c r="CC354" s="345"/>
      <c r="CD354" s="253"/>
      <c r="CE354" s="34"/>
      <c r="CF354" s="253"/>
      <c r="CG354" s="253"/>
      <c r="CH354" s="345"/>
      <c r="CI354" s="253"/>
      <c r="CJ354" s="34"/>
      <c r="CK354" s="253"/>
      <c r="CL354" s="253"/>
      <c r="CM354" s="345"/>
      <c r="CN354" s="253"/>
      <c r="CO354" s="34"/>
      <c r="CP354" s="253"/>
      <c r="CQ354" s="253"/>
      <c r="CR354" s="345"/>
      <c r="CS354" s="253"/>
      <c r="CT354" s="34"/>
      <c r="CU354" s="253"/>
      <c r="CV354" s="253"/>
      <c r="CW354" s="345"/>
      <c r="CX354" s="253"/>
      <c r="CY354" s="34"/>
      <c r="CZ354" s="253"/>
      <c r="DA354" s="253"/>
      <c r="DB354" s="345"/>
      <c r="DC354" s="253"/>
      <c r="DD354" s="34"/>
      <c r="DE354" s="253"/>
      <c r="DF354" s="253"/>
      <c r="DG354" s="345"/>
      <c r="DH354" s="253"/>
      <c r="DI354" s="34"/>
      <c r="DJ354" s="253"/>
      <c r="DK354" s="253"/>
      <c r="DL354" s="345"/>
      <c r="DM354" s="253"/>
      <c r="DN354" s="34"/>
      <c r="DO354" s="253"/>
      <c r="DP354" s="253"/>
      <c r="DQ354" s="345"/>
      <c r="DR354" s="253"/>
      <c r="DS354" s="34"/>
      <c r="DT354" s="253"/>
      <c r="DU354" s="253"/>
      <c r="DV354" s="345"/>
      <c r="DW354" s="253"/>
      <c r="DX354" s="34"/>
      <c r="DY354" s="253"/>
      <c r="DZ354" s="253"/>
      <c r="EA354" s="345"/>
      <c r="EB354" s="253"/>
      <c r="EC354" s="34"/>
      <c r="ED354" s="253"/>
      <c r="EE354" s="253"/>
      <c r="EF354" s="345"/>
      <c r="EG354" s="253"/>
      <c r="EH354" s="34"/>
      <c r="EI354" s="253"/>
      <c r="EJ354" s="253"/>
      <c r="EK354" s="345"/>
      <c r="EL354" s="253"/>
      <c r="EM354" s="34"/>
      <c r="EN354" s="253"/>
      <c r="EO354" s="253"/>
      <c r="EP354" s="345"/>
      <c r="EQ354" s="253"/>
      <c r="ER354" s="34"/>
      <c r="ES354" s="253"/>
      <c r="ET354" s="253"/>
      <c r="EU354" s="345"/>
      <c r="EV354" s="253"/>
      <c r="EW354" s="34"/>
      <c r="EX354" s="253"/>
      <c r="EY354" s="253"/>
      <c r="EZ354" s="345"/>
      <c r="FA354" s="253"/>
      <c r="FB354" s="34"/>
      <c r="FC354" s="253"/>
      <c r="FD354" s="253"/>
      <c r="FE354" s="345"/>
      <c r="FF354" s="253"/>
      <c r="FG354" s="34"/>
      <c r="FH354" s="253"/>
      <c r="FI354" s="253"/>
      <c r="FJ354" s="345"/>
      <c r="FK354" s="253"/>
      <c r="FL354" s="34"/>
      <c r="FM354" s="253"/>
      <c r="FN354" s="253"/>
      <c r="FO354" s="345"/>
      <c r="FP354" s="253"/>
      <c r="FQ354" s="34"/>
      <c r="FR354" s="253"/>
      <c r="FS354" s="253"/>
      <c r="FT354" s="345"/>
      <c r="FU354" s="253"/>
      <c r="FV354" s="34"/>
      <c r="FW354" s="253"/>
      <c r="FX354" s="253"/>
      <c r="FY354" s="345"/>
      <c r="FZ354" s="253"/>
      <c r="GA354" s="34"/>
      <c r="GB354" s="253"/>
      <c r="GC354" s="253"/>
      <c r="GD354" s="345"/>
      <c r="GE354" s="253"/>
      <c r="GF354" s="34"/>
      <c r="GG354" s="253"/>
      <c r="GH354" s="253"/>
      <c r="GI354" s="345"/>
      <c r="GJ354" s="253"/>
      <c r="GK354" s="34"/>
      <c r="GL354" s="253"/>
      <c r="GM354" s="253"/>
      <c r="GN354" s="345"/>
      <c r="GO354" s="253"/>
      <c r="GP354" s="34"/>
      <c r="GQ354" s="253"/>
      <c r="GR354" s="253"/>
      <c r="GS354" s="345"/>
      <c r="GT354" s="253"/>
      <c r="GU354" s="34"/>
      <c r="GV354" s="253"/>
      <c r="GW354" s="253"/>
      <c r="GX354" s="345"/>
      <c r="GY354" s="253"/>
      <c r="GZ354" s="34"/>
      <c r="HA354" s="253"/>
      <c r="HB354" s="253"/>
      <c r="HC354" s="345"/>
      <c r="HD354" s="253"/>
      <c r="HE354" s="34"/>
      <c r="HF354" s="253"/>
      <c r="HG354" s="253"/>
      <c r="HH354" s="345"/>
      <c r="HI354" s="253"/>
      <c r="HJ354" s="34"/>
      <c r="HK354" s="253"/>
      <c r="HL354" s="253"/>
      <c r="HM354" s="345"/>
      <c r="HN354" s="253"/>
      <c r="HO354" s="34"/>
      <c r="HP354" s="253"/>
      <c r="HQ354" s="253"/>
      <c r="HR354" s="345"/>
      <c r="HS354" s="253"/>
      <c r="HT354" s="34"/>
      <c r="HU354" s="253"/>
      <c r="HV354" s="253"/>
      <c r="HW354" s="345"/>
      <c r="HX354" s="253"/>
      <c r="HY354" s="34"/>
      <c r="HZ354" s="253"/>
      <c r="IA354" s="253"/>
      <c r="IB354" s="345"/>
      <c r="IC354" s="253"/>
      <c r="ID354" s="34"/>
      <c r="IE354" s="253"/>
      <c r="IF354" s="253"/>
      <c r="IG354" s="345"/>
      <c r="IH354" s="253"/>
      <c r="II354" s="34"/>
      <c r="IJ354" s="253"/>
      <c r="IK354" s="253"/>
      <c r="IL354" s="345"/>
      <c r="IM354" s="253"/>
      <c r="IN354" s="34"/>
      <c r="IO354" s="253"/>
      <c r="IP354" s="253"/>
      <c r="IQ354" s="345"/>
      <c r="IR354" s="253"/>
      <c r="IS354" s="34"/>
      <c r="IT354" s="253"/>
      <c r="IU354" s="253"/>
      <c r="IV354" s="345"/>
    </row>
    <row r="355" spans="1:256" x14ac:dyDescent="0.2">
      <c r="A355" s="345">
        <v>38321</v>
      </c>
      <c r="B355" s="253"/>
      <c r="C355" s="34"/>
      <c r="D355" s="253"/>
      <c r="E355" s="253"/>
      <c r="F355" s="345"/>
      <c r="G355" s="253"/>
      <c r="H355" s="34"/>
      <c r="I355" s="253"/>
      <c r="J355" s="253"/>
      <c r="K355" s="345"/>
      <c r="L355" s="253"/>
      <c r="M355" s="34"/>
      <c r="N355" s="253"/>
      <c r="O355" s="253"/>
      <c r="P355" s="345"/>
      <c r="Q355" s="253"/>
      <c r="R355" s="34"/>
      <c r="S355" s="253"/>
      <c r="T355" s="253"/>
      <c r="U355" s="345"/>
      <c r="V355" s="253"/>
      <c r="W355" s="34"/>
      <c r="X355" s="253"/>
      <c r="Y355" s="253"/>
      <c r="Z355" s="345"/>
      <c r="AA355" s="253"/>
      <c r="AB355" s="34"/>
      <c r="AC355" s="253"/>
      <c r="AD355" s="253"/>
      <c r="AE355" s="345"/>
      <c r="AF355" s="253"/>
      <c r="AG355" s="34"/>
      <c r="AH355" s="253"/>
      <c r="AI355" s="253"/>
      <c r="AJ355" s="345"/>
      <c r="AK355" s="253"/>
      <c r="AL355" s="34"/>
      <c r="AM355" s="253"/>
      <c r="AN355" s="253"/>
      <c r="AO355" s="345"/>
      <c r="AP355" s="253"/>
      <c r="AQ355" s="34"/>
      <c r="AR355" s="253"/>
      <c r="AS355" s="253"/>
      <c r="AT355" s="345"/>
      <c r="AU355" s="253"/>
      <c r="AV355" s="34"/>
      <c r="AW355" s="253"/>
      <c r="AX355" s="253"/>
      <c r="AY355" s="345"/>
      <c r="AZ355" s="253"/>
      <c r="BA355" s="34"/>
      <c r="BB355" s="253"/>
      <c r="BC355" s="253"/>
      <c r="BD355" s="345"/>
      <c r="BE355" s="253"/>
      <c r="BF355" s="34"/>
      <c r="BG355" s="253"/>
      <c r="BH355" s="253"/>
      <c r="BI355" s="345"/>
      <c r="BJ355" s="253"/>
      <c r="BK355" s="34"/>
      <c r="BL355" s="253"/>
      <c r="BM355" s="253"/>
      <c r="BN355" s="345"/>
      <c r="BO355" s="253"/>
      <c r="BP355" s="34"/>
      <c r="BQ355" s="253"/>
      <c r="BR355" s="253"/>
      <c r="BS355" s="345"/>
      <c r="BT355" s="253"/>
      <c r="BU355" s="34"/>
      <c r="BV355" s="253"/>
      <c r="BW355" s="253"/>
      <c r="BX355" s="345"/>
      <c r="BY355" s="253"/>
      <c r="BZ355" s="34"/>
      <c r="CA355" s="253"/>
      <c r="CB355" s="253"/>
      <c r="CC355" s="345"/>
      <c r="CD355" s="253"/>
      <c r="CE355" s="34"/>
      <c r="CF355" s="253"/>
      <c r="CG355" s="253"/>
      <c r="CH355" s="345"/>
      <c r="CI355" s="253"/>
      <c r="CJ355" s="34"/>
      <c r="CK355" s="253"/>
      <c r="CL355" s="253"/>
      <c r="CM355" s="345"/>
      <c r="CN355" s="253"/>
      <c r="CO355" s="34"/>
      <c r="CP355" s="253"/>
      <c r="CQ355" s="253"/>
      <c r="CR355" s="345"/>
      <c r="CS355" s="253"/>
      <c r="CT355" s="34"/>
      <c r="CU355" s="253"/>
      <c r="CV355" s="253"/>
      <c r="CW355" s="345"/>
      <c r="CX355" s="253"/>
      <c r="CY355" s="34"/>
      <c r="CZ355" s="253"/>
      <c r="DA355" s="253"/>
      <c r="DB355" s="345"/>
      <c r="DC355" s="253"/>
      <c r="DD355" s="34"/>
      <c r="DE355" s="253"/>
      <c r="DF355" s="253"/>
      <c r="DG355" s="345"/>
      <c r="DH355" s="253"/>
      <c r="DI355" s="34"/>
      <c r="DJ355" s="253"/>
      <c r="DK355" s="253"/>
      <c r="DL355" s="345"/>
      <c r="DM355" s="253"/>
      <c r="DN355" s="34"/>
      <c r="DO355" s="253"/>
      <c r="DP355" s="253"/>
      <c r="DQ355" s="345"/>
      <c r="DR355" s="253"/>
      <c r="DS355" s="34"/>
      <c r="DT355" s="253"/>
      <c r="DU355" s="253"/>
      <c r="DV355" s="345"/>
      <c r="DW355" s="253"/>
      <c r="DX355" s="34"/>
      <c r="DY355" s="253"/>
      <c r="DZ355" s="253"/>
      <c r="EA355" s="345"/>
      <c r="EB355" s="253"/>
      <c r="EC355" s="34"/>
      <c r="ED355" s="253"/>
      <c r="EE355" s="253"/>
      <c r="EF355" s="345"/>
      <c r="EG355" s="253"/>
      <c r="EH355" s="34"/>
      <c r="EI355" s="253"/>
      <c r="EJ355" s="253"/>
      <c r="EK355" s="345"/>
      <c r="EL355" s="253"/>
      <c r="EM355" s="34"/>
      <c r="EN355" s="253"/>
      <c r="EO355" s="253"/>
      <c r="EP355" s="345"/>
      <c r="EQ355" s="253"/>
      <c r="ER355" s="34"/>
      <c r="ES355" s="253"/>
      <c r="ET355" s="253"/>
      <c r="EU355" s="345"/>
      <c r="EV355" s="253"/>
      <c r="EW355" s="34"/>
      <c r="EX355" s="253"/>
      <c r="EY355" s="253"/>
      <c r="EZ355" s="345"/>
      <c r="FA355" s="253"/>
      <c r="FB355" s="34"/>
      <c r="FC355" s="253"/>
      <c r="FD355" s="253"/>
      <c r="FE355" s="345"/>
      <c r="FF355" s="253"/>
      <c r="FG355" s="34"/>
      <c r="FH355" s="253"/>
      <c r="FI355" s="253"/>
      <c r="FJ355" s="345"/>
      <c r="FK355" s="253"/>
      <c r="FL355" s="34"/>
      <c r="FM355" s="253"/>
      <c r="FN355" s="253"/>
      <c r="FO355" s="345"/>
      <c r="FP355" s="253"/>
      <c r="FQ355" s="34"/>
      <c r="FR355" s="253"/>
      <c r="FS355" s="253"/>
      <c r="FT355" s="345"/>
      <c r="FU355" s="253"/>
      <c r="FV355" s="34"/>
      <c r="FW355" s="253"/>
      <c r="FX355" s="253"/>
      <c r="FY355" s="345"/>
      <c r="FZ355" s="253"/>
      <c r="GA355" s="34"/>
      <c r="GB355" s="253"/>
      <c r="GC355" s="253"/>
      <c r="GD355" s="345"/>
      <c r="GE355" s="253"/>
      <c r="GF355" s="34"/>
      <c r="GG355" s="253"/>
      <c r="GH355" s="253"/>
      <c r="GI355" s="345"/>
      <c r="GJ355" s="253"/>
      <c r="GK355" s="34"/>
      <c r="GL355" s="253"/>
      <c r="GM355" s="253"/>
      <c r="GN355" s="345"/>
      <c r="GO355" s="253"/>
      <c r="GP355" s="34"/>
      <c r="GQ355" s="253"/>
      <c r="GR355" s="253"/>
      <c r="GS355" s="345"/>
      <c r="GT355" s="253"/>
      <c r="GU355" s="34"/>
      <c r="GV355" s="253"/>
      <c r="GW355" s="253"/>
      <c r="GX355" s="345"/>
      <c r="GY355" s="253"/>
      <c r="GZ355" s="34"/>
      <c r="HA355" s="253"/>
      <c r="HB355" s="253"/>
      <c r="HC355" s="345"/>
      <c r="HD355" s="253"/>
      <c r="HE355" s="34"/>
      <c r="HF355" s="253"/>
      <c r="HG355" s="253"/>
      <c r="HH355" s="345"/>
      <c r="HI355" s="253"/>
      <c r="HJ355" s="34"/>
      <c r="HK355" s="253"/>
      <c r="HL355" s="253"/>
      <c r="HM355" s="345"/>
      <c r="HN355" s="253"/>
      <c r="HO355" s="34"/>
      <c r="HP355" s="253"/>
      <c r="HQ355" s="253"/>
      <c r="HR355" s="345"/>
      <c r="HS355" s="253"/>
      <c r="HT355" s="34"/>
      <c r="HU355" s="253"/>
      <c r="HV355" s="253"/>
      <c r="HW355" s="345"/>
      <c r="HX355" s="253"/>
      <c r="HY355" s="34"/>
      <c r="HZ355" s="253"/>
      <c r="IA355" s="253"/>
      <c r="IB355" s="345"/>
      <c r="IC355" s="253"/>
      <c r="ID355" s="34"/>
      <c r="IE355" s="253"/>
      <c r="IF355" s="253"/>
      <c r="IG355" s="345"/>
      <c r="IH355" s="253"/>
      <c r="II355" s="34"/>
      <c r="IJ355" s="253"/>
      <c r="IK355" s="253"/>
      <c r="IL355" s="345"/>
      <c r="IM355" s="253"/>
      <c r="IN355" s="34"/>
      <c r="IO355" s="253"/>
      <c r="IP355" s="253"/>
      <c r="IQ355" s="345"/>
      <c r="IR355" s="253"/>
      <c r="IS355" s="34"/>
      <c r="IT355" s="253"/>
      <c r="IU355" s="253"/>
      <c r="IV355" s="345"/>
    </row>
    <row r="356" spans="1:256" x14ac:dyDescent="0.2">
      <c r="A356" s="345">
        <v>38352</v>
      </c>
      <c r="B356" s="253"/>
      <c r="C356" s="256"/>
      <c r="D356" s="253"/>
      <c r="E356" s="253"/>
      <c r="F356" s="345"/>
      <c r="G356" s="253"/>
      <c r="H356" s="256"/>
      <c r="I356" s="253"/>
      <c r="J356" s="253"/>
      <c r="K356" s="345"/>
      <c r="L356" s="253"/>
      <c r="M356" s="256"/>
      <c r="N356" s="253"/>
      <c r="O356" s="253"/>
      <c r="P356" s="345"/>
      <c r="Q356" s="253"/>
      <c r="R356" s="256"/>
      <c r="S356" s="253"/>
      <c r="T356" s="253"/>
      <c r="U356" s="345"/>
      <c r="V356" s="253"/>
      <c r="W356" s="256"/>
      <c r="X356" s="253"/>
      <c r="Y356" s="253"/>
      <c r="Z356" s="345"/>
      <c r="AA356" s="253"/>
      <c r="AB356" s="256"/>
      <c r="AC356" s="253"/>
      <c r="AD356" s="253"/>
      <c r="AE356" s="345"/>
      <c r="AF356" s="253"/>
      <c r="AG356" s="256"/>
      <c r="AH356" s="253"/>
      <c r="AI356" s="253"/>
      <c r="AJ356" s="345"/>
      <c r="AK356" s="253"/>
      <c r="AL356" s="256"/>
      <c r="AM356" s="253"/>
      <c r="AN356" s="253"/>
      <c r="AO356" s="345"/>
      <c r="AP356" s="253"/>
      <c r="AQ356" s="256"/>
      <c r="AR356" s="253"/>
      <c r="AS356" s="253"/>
      <c r="AT356" s="345"/>
      <c r="AU356" s="253"/>
      <c r="AV356" s="256"/>
      <c r="AW356" s="253"/>
      <c r="AX356" s="253"/>
      <c r="AY356" s="345"/>
      <c r="AZ356" s="253"/>
      <c r="BA356" s="256"/>
      <c r="BB356" s="253"/>
      <c r="BC356" s="253"/>
      <c r="BD356" s="345"/>
      <c r="BE356" s="253"/>
      <c r="BF356" s="256"/>
      <c r="BG356" s="253"/>
      <c r="BH356" s="253"/>
      <c r="BI356" s="345"/>
      <c r="BJ356" s="253"/>
      <c r="BK356" s="256"/>
      <c r="BL356" s="253"/>
      <c r="BM356" s="253"/>
      <c r="BN356" s="345"/>
      <c r="BO356" s="253"/>
      <c r="BP356" s="256"/>
      <c r="BQ356" s="253"/>
      <c r="BR356" s="253"/>
      <c r="BS356" s="345"/>
      <c r="BT356" s="253"/>
      <c r="BU356" s="256"/>
      <c r="BV356" s="253"/>
      <c r="BW356" s="253"/>
      <c r="BX356" s="345"/>
      <c r="BY356" s="253"/>
      <c r="BZ356" s="256"/>
      <c r="CA356" s="253"/>
      <c r="CB356" s="253"/>
      <c r="CC356" s="345"/>
      <c r="CD356" s="253"/>
      <c r="CE356" s="256"/>
      <c r="CF356" s="253"/>
      <c r="CG356" s="253"/>
      <c r="CH356" s="345"/>
      <c r="CI356" s="253"/>
      <c r="CJ356" s="256"/>
      <c r="CK356" s="253"/>
      <c r="CL356" s="253"/>
      <c r="CM356" s="345"/>
      <c r="CN356" s="253"/>
      <c r="CO356" s="256"/>
      <c r="CP356" s="253"/>
      <c r="CQ356" s="253"/>
      <c r="CR356" s="345"/>
      <c r="CS356" s="253"/>
      <c r="CT356" s="256"/>
      <c r="CU356" s="253"/>
      <c r="CV356" s="253"/>
      <c r="CW356" s="345"/>
      <c r="CX356" s="253"/>
      <c r="CY356" s="256"/>
      <c r="CZ356" s="253"/>
      <c r="DA356" s="253"/>
      <c r="DB356" s="345"/>
      <c r="DC356" s="253"/>
      <c r="DD356" s="256"/>
      <c r="DE356" s="253"/>
      <c r="DF356" s="253"/>
      <c r="DG356" s="345"/>
      <c r="DH356" s="253"/>
      <c r="DI356" s="256"/>
      <c r="DJ356" s="253"/>
      <c r="DK356" s="253"/>
      <c r="DL356" s="345"/>
      <c r="DM356" s="253"/>
      <c r="DN356" s="256"/>
      <c r="DO356" s="253"/>
      <c r="DP356" s="253"/>
      <c r="DQ356" s="345"/>
      <c r="DR356" s="253"/>
      <c r="DS356" s="256"/>
      <c r="DT356" s="253"/>
      <c r="DU356" s="253"/>
      <c r="DV356" s="345"/>
      <c r="DW356" s="253"/>
      <c r="DX356" s="256"/>
      <c r="DY356" s="253"/>
      <c r="DZ356" s="253"/>
      <c r="EA356" s="345"/>
      <c r="EB356" s="253"/>
      <c r="EC356" s="256"/>
      <c r="ED356" s="253"/>
      <c r="EE356" s="253"/>
      <c r="EF356" s="345"/>
      <c r="EG356" s="253"/>
      <c r="EH356" s="256"/>
      <c r="EI356" s="253"/>
      <c r="EJ356" s="253"/>
      <c r="EK356" s="345"/>
      <c r="EL356" s="253"/>
      <c r="EM356" s="256"/>
      <c r="EN356" s="253"/>
      <c r="EO356" s="253"/>
      <c r="EP356" s="345"/>
      <c r="EQ356" s="253"/>
      <c r="ER356" s="256"/>
      <c r="ES356" s="253"/>
      <c r="ET356" s="253"/>
      <c r="EU356" s="345"/>
      <c r="EV356" s="253"/>
      <c r="EW356" s="256"/>
      <c r="EX356" s="253"/>
      <c r="EY356" s="253"/>
      <c r="EZ356" s="345"/>
      <c r="FA356" s="253"/>
      <c r="FB356" s="256"/>
      <c r="FC356" s="253"/>
      <c r="FD356" s="253"/>
      <c r="FE356" s="345"/>
      <c r="FF356" s="253"/>
      <c r="FG356" s="256"/>
      <c r="FH356" s="253"/>
      <c r="FI356" s="253"/>
      <c r="FJ356" s="345"/>
      <c r="FK356" s="253"/>
      <c r="FL356" s="256"/>
      <c r="FM356" s="253"/>
      <c r="FN356" s="253"/>
      <c r="FO356" s="345"/>
      <c r="FP356" s="253"/>
      <c r="FQ356" s="256"/>
      <c r="FR356" s="253"/>
      <c r="FS356" s="253"/>
      <c r="FT356" s="345"/>
      <c r="FU356" s="253"/>
      <c r="FV356" s="256"/>
      <c r="FW356" s="253"/>
      <c r="FX356" s="253"/>
      <c r="FY356" s="345"/>
      <c r="FZ356" s="253"/>
      <c r="GA356" s="256"/>
      <c r="GB356" s="253"/>
      <c r="GC356" s="253"/>
      <c r="GD356" s="345"/>
      <c r="GE356" s="253"/>
      <c r="GF356" s="256"/>
      <c r="GG356" s="253"/>
      <c r="GH356" s="253"/>
      <c r="GI356" s="345"/>
      <c r="GJ356" s="253"/>
      <c r="GK356" s="256"/>
      <c r="GL356" s="253"/>
      <c r="GM356" s="253"/>
      <c r="GN356" s="345"/>
      <c r="GO356" s="253"/>
      <c r="GP356" s="256"/>
      <c r="GQ356" s="253"/>
      <c r="GR356" s="253"/>
      <c r="GS356" s="345"/>
      <c r="GT356" s="253"/>
      <c r="GU356" s="256"/>
      <c r="GV356" s="253"/>
      <c r="GW356" s="253"/>
      <c r="GX356" s="345"/>
      <c r="GY356" s="253"/>
      <c r="GZ356" s="256"/>
      <c r="HA356" s="253"/>
      <c r="HB356" s="253"/>
      <c r="HC356" s="345"/>
      <c r="HD356" s="253"/>
      <c r="HE356" s="256"/>
      <c r="HF356" s="253"/>
      <c r="HG356" s="253"/>
      <c r="HH356" s="345"/>
      <c r="HI356" s="253"/>
      <c r="HJ356" s="256"/>
      <c r="HK356" s="253"/>
      <c r="HL356" s="253"/>
      <c r="HM356" s="345"/>
      <c r="HN356" s="253"/>
      <c r="HO356" s="256"/>
      <c r="HP356" s="253"/>
      <c r="HQ356" s="253"/>
      <c r="HR356" s="345"/>
      <c r="HS356" s="253"/>
      <c r="HT356" s="256"/>
      <c r="HU356" s="253"/>
      <c r="HV356" s="253"/>
      <c r="HW356" s="345"/>
      <c r="HX356" s="253"/>
      <c r="HY356" s="256"/>
      <c r="HZ356" s="253"/>
      <c r="IA356" s="253"/>
      <c r="IB356" s="345"/>
      <c r="IC356" s="253"/>
      <c r="ID356" s="256"/>
      <c r="IE356" s="253"/>
      <c r="IF356" s="253"/>
      <c r="IG356" s="345"/>
      <c r="IH356" s="253"/>
      <c r="II356" s="256"/>
      <c r="IJ356" s="253"/>
      <c r="IK356" s="253"/>
      <c r="IL356" s="345"/>
      <c r="IM356" s="253"/>
      <c r="IN356" s="256"/>
      <c r="IO356" s="253"/>
      <c r="IP356" s="253"/>
      <c r="IQ356" s="345"/>
      <c r="IR356" s="253"/>
      <c r="IS356" s="256"/>
      <c r="IT356" s="253"/>
      <c r="IU356" s="253"/>
      <c r="IV356" s="345"/>
    </row>
    <row r="357" spans="1:256" x14ac:dyDescent="0.2">
      <c r="A357" s="345">
        <v>38383</v>
      </c>
      <c r="B357" s="253"/>
      <c r="C357" s="34"/>
      <c r="D357" s="253"/>
      <c r="E357" s="253"/>
      <c r="F357" s="345"/>
      <c r="G357" s="253"/>
      <c r="H357" s="34"/>
      <c r="I357" s="253"/>
      <c r="J357" s="253"/>
      <c r="K357" s="345"/>
      <c r="L357" s="253"/>
      <c r="M357" s="34"/>
      <c r="N357" s="253"/>
      <c r="O357" s="253"/>
      <c r="P357" s="345"/>
      <c r="Q357" s="253"/>
      <c r="R357" s="34"/>
      <c r="S357" s="253"/>
      <c r="T357" s="253"/>
      <c r="U357" s="345"/>
      <c r="V357" s="253"/>
      <c r="W357" s="34"/>
      <c r="X357" s="253"/>
      <c r="Y357" s="253"/>
      <c r="Z357" s="345"/>
      <c r="AA357" s="253"/>
      <c r="AB357" s="34"/>
      <c r="AC357" s="253"/>
      <c r="AD357" s="253"/>
      <c r="AE357" s="345"/>
      <c r="AF357" s="253"/>
      <c r="AG357" s="34"/>
      <c r="AH357" s="253"/>
      <c r="AI357" s="253"/>
      <c r="AJ357" s="345"/>
      <c r="AK357" s="253"/>
      <c r="AL357" s="34"/>
      <c r="AM357" s="253"/>
      <c r="AN357" s="253"/>
      <c r="AO357" s="345"/>
      <c r="AP357" s="253"/>
      <c r="AQ357" s="34"/>
      <c r="AR357" s="253"/>
      <c r="AS357" s="253"/>
      <c r="AT357" s="345"/>
      <c r="AU357" s="253"/>
      <c r="AV357" s="34"/>
      <c r="AW357" s="253"/>
      <c r="AX357" s="253"/>
      <c r="AY357" s="345"/>
      <c r="AZ357" s="253"/>
      <c r="BA357" s="34"/>
      <c r="BB357" s="253"/>
      <c r="BC357" s="253"/>
      <c r="BD357" s="345"/>
      <c r="BE357" s="253"/>
      <c r="BF357" s="34"/>
      <c r="BG357" s="253"/>
      <c r="BH357" s="253"/>
      <c r="BI357" s="345"/>
      <c r="BJ357" s="253"/>
      <c r="BK357" s="34"/>
      <c r="BL357" s="253"/>
      <c r="BM357" s="253"/>
      <c r="BN357" s="345"/>
      <c r="BO357" s="253"/>
      <c r="BP357" s="34"/>
      <c r="BQ357" s="253"/>
      <c r="BR357" s="253"/>
      <c r="BS357" s="345"/>
      <c r="BT357" s="253"/>
      <c r="BU357" s="34"/>
      <c r="BV357" s="253"/>
      <c r="BW357" s="253"/>
      <c r="BX357" s="345"/>
      <c r="BY357" s="253"/>
      <c r="BZ357" s="34"/>
      <c r="CA357" s="253"/>
      <c r="CB357" s="253"/>
      <c r="CC357" s="345"/>
      <c r="CD357" s="253"/>
      <c r="CE357" s="34"/>
      <c r="CF357" s="253"/>
      <c r="CG357" s="253"/>
      <c r="CH357" s="345"/>
      <c r="CI357" s="253"/>
      <c r="CJ357" s="34"/>
      <c r="CK357" s="253"/>
      <c r="CL357" s="253"/>
      <c r="CM357" s="345"/>
      <c r="CN357" s="253"/>
      <c r="CO357" s="34"/>
      <c r="CP357" s="253"/>
      <c r="CQ357" s="253"/>
      <c r="CR357" s="345"/>
      <c r="CS357" s="253"/>
      <c r="CT357" s="34"/>
      <c r="CU357" s="253"/>
      <c r="CV357" s="253"/>
      <c r="CW357" s="345"/>
      <c r="CX357" s="253"/>
      <c r="CY357" s="34"/>
      <c r="CZ357" s="253"/>
      <c r="DA357" s="253"/>
      <c r="DB357" s="345"/>
      <c r="DC357" s="253"/>
      <c r="DD357" s="34"/>
      <c r="DE357" s="253"/>
      <c r="DF357" s="253"/>
      <c r="DG357" s="345"/>
      <c r="DH357" s="253"/>
      <c r="DI357" s="34"/>
      <c r="DJ357" s="253"/>
      <c r="DK357" s="253"/>
      <c r="DL357" s="345"/>
      <c r="DM357" s="253"/>
      <c r="DN357" s="34"/>
      <c r="DO357" s="253"/>
      <c r="DP357" s="253"/>
      <c r="DQ357" s="345"/>
      <c r="DR357" s="253"/>
      <c r="DS357" s="34"/>
      <c r="DT357" s="253"/>
      <c r="DU357" s="253"/>
      <c r="DV357" s="345"/>
      <c r="DW357" s="253"/>
      <c r="DX357" s="34"/>
      <c r="DY357" s="253"/>
      <c r="DZ357" s="253"/>
      <c r="EA357" s="345"/>
      <c r="EB357" s="253"/>
      <c r="EC357" s="34"/>
      <c r="ED357" s="253"/>
      <c r="EE357" s="253"/>
      <c r="EF357" s="345"/>
      <c r="EG357" s="253"/>
      <c r="EH357" s="34"/>
      <c r="EI357" s="253"/>
      <c r="EJ357" s="253"/>
      <c r="EK357" s="345"/>
      <c r="EL357" s="253"/>
      <c r="EM357" s="34"/>
      <c r="EN357" s="253"/>
      <c r="EO357" s="253"/>
      <c r="EP357" s="345"/>
      <c r="EQ357" s="253"/>
      <c r="ER357" s="34"/>
      <c r="ES357" s="253"/>
      <c r="ET357" s="253"/>
      <c r="EU357" s="345"/>
      <c r="EV357" s="253"/>
      <c r="EW357" s="34"/>
      <c r="EX357" s="253"/>
      <c r="EY357" s="253"/>
      <c r="EZ357" s="345"/>
      <c r="FA357" s="253"/>
      <c r="FB357" s="34"/>
      <c r="FC357" s="253"/>
      <c r="FD357" s="253"/>
      <c r="FE357" s="345"/>
      <c r="FF357" s="253"/>
      <c r="FG357" s="34"/>
      <c r="FH357" s="253"/>
      <c r="FI357" s="253"/>
      <c r="FJ357" s="345"/>
      <c r="FK357" s="253"/>
      <c r="FL357" s="34"/>
      <c r="FM357" s="253"/>
      <c r="FN357" s="253"/>
      <c r="FO357" s="345"/>
      <c r="FP357" s="253"/>
      <c r="FQ357" s="34"/>
      <c r="FR357" s="253"/>
      <c r="FS357" s="253"/>
      <c r="FT357" s="345"/>
      <c r="FU357" s="253"/>
      <c r="FV357" s="34"/>
      <c r="FW357" s="253"/>
      <c r="FX357" s="253"/>
      <c r="FY357" s="345"/>
      <c r="FZ357" s="253"/>
      <c r="GA357" s="34"/>
      <c r="GB357" s="253"/>
      <c r="GC357" s="253"/>
      <c r="GD357" s="345"/>
      <c r="GE357" s="253"/>
      <c r="GF357" s="34"/>
      <c r="GG357" s="253"/>
      <c r="GH357" s="253"/>
      <c r="GI357" s="345"/>
      <c r="GJ357" s="253"/>
      <c r="GK357" s="34"/>
      <c r="GL357" s="253"/>
      <c r="GM357" s="253"/>
      <c r="GN357" s="345"/>
      <c r="GO357" s="253"/>
      <c r="GP357" s="34"/>
      <c r="GQ357" s="253"/>
      <c r="GR357" s="253"/>
      <c r="GS357" s="345"/>
      <c r="GT357" s="253"/>
      <c r="GU357" s="34"/>
      <c r="GV357" s="253"/>
      <c r="GW357" s="253"/>
      <c r="GX357" s="345"/>
      <c r="GY357" s="253"/>
      <c r="GZ357" s="34"/>
      <c r="HA357" s="253"/>
      <c r="HB357" s="253"/>
      <c r="HC357" s="345"/>
      <c r="HD357" s="253"/>
      <c r="HE357" s="34"/>
      <c r="HF357" s="253"/>
      <c r="HG357" s="253"/>
      <c r="HH357" s="345"/>
      <c r="HI357" s="253"/>
      <c r="HJ357" s="34"/>
      <c r="HK357" s="253"/>
      <c r="HL357" s="253"/>
      <c r="HM357" s="345"/>
      <c r="HN357" s="253"/>
      <c r="HO357" s="34"/>
      <c r="HP357" s="253"/>
      <c r="HQ357" s="253"/>
      <c r="HR357" s="345"/>
      <c r="HS357" s="253"/>
      <c r="HT357" s="34"/>
      <c r="HU357" s="253"/>
      <c r="HV357" s="253"/>
      <c r="HW357" s="345"/>
      <c r="HX357" s="253"/>
      <c r="HY357" s="34"/>
      <c r="HZ357" s="253"/>
      <c r="IA357" s="253"/>
      <c r="IB357" s="345"/>
      <c r="IC357" s="253"/>
      <c r="ID357" s="34"/>
      <c r="IE357" s="253"/>
      <c r="IF357" s="253"/>
      <c r="IG357" s="345"/>
      <c r="IH357" s="253"/>
      <c r="II357" s="34"/>
      <c r="IJ357" s="253"/>
      <c r="IK357" s="253"/>
      <c r="IL357" s="345"/>
      <c r="IM357" s="253"/>
      <c r="IN357" s="34"/>
      <c r="IO357" s="253"/>
      <c r="IP357" s="253"/>
      <c r="IQ357" s="345"/>
      <c r="IR357" s="253"/>
      <c r="IS357" s="34"/>
      <c r="IT357" s="253"/>
      <c r="IU357" s="253"/>
      <c r="IV357" s="345"/>
    </row>
    <row r="358" spans="1:256" x14ac:dyDescent="0.2">
      <c r="A358" s="345">
        <v>38411</v>
      </c>
      <c r="B358" s="253"/>
      <c r="C358" s="34"/>
      <c r="D358" s="253"/>
      <c r="E358" s="253"/>
      <c r="F358" s="345"/>
      <c r="G358" s="253"/>
      <c r="H358" s="34"/>
      <c r="I358" s="253"/>
      <c r="J358" s="253"/>
      <c r="K358" s="345"/>
      <c r="L358" s="253"/>
      <c r="M358" s="34"/>
      <c r="N358" s="253"/>
      <c r="O358" s="253"/>
      <c r="P358" s="345"/>
      <c r="Q358" s="253"/>
      <c r="R358" s="34"/>
      <c r="S358" s="253"/>
      <c r="T358" s="253"/>
      <c r="U358" s="345"/>
      <c r="V358" s="253"/>
      <c r="W358" s="34"/>
      <c r="X358" s="253"/>
      <c r="Y358" s="253"/>
      <c r="Z358" s="345"/>
      <c r="AA358" s="253"/>
      <c r="AB358" s="34"/>
      <c r="AC358" s="253"/>
      <c r="AD358" s="253"/>
      <c r="AE358" s="345"/>
      <c r="AF358" s="253"/>
      <c r="AG358" s="34"/>
      <c r="AH358" s="253"/>
      <c r="AI358" s="253"/>
      <c r="AJ358" s="345"/>
      <c r="AK358" s="253"/>
      <c r="AL358" s="34"/>
      <c r="AM358" s="253"/>
      <c r="AN358" s="253"/>
      <c r="AO358" s="345"/>
      <c r="AP358" s="253"/>
      <c r="AQ358" s="34"/>
      <c r="AR358" s="253"/>
      <c r="AS358" s="253"/>
      <c r="AT358" s="345"/>
      <c r="AU358" s="253"/>
      <c r="AV358" s="34"/>
      <c r="AW358" s="253"/>
      <c r="AX358" s="253"/>
      <c r="AY358" s="345"/>
      <c r="AZ358" s="253"/>
      <c r="BA358" s="34"/>
      <c r="BB358" s="253"/>
      <c r="BC358" s="253"/>
      <c r="BD358" s="345"/>
      <c r="BE358" s="253"/>
      <c r="BF358" s="34"/>
      <c r="BG358" s="253"/>
      <c r="BH358" s="253"/>
      <c r="BI358" s="345"/>
      <c r="BJ358" s="253"/>
      <c r="BK358" s="34"/>
      <c r="BL358" s="253"/>
      <c r="BM358" s="253"/>
      <c r="BN358" s="345"/>
      <c r="BO358" s="253"/>
      <c r="BP358" s="34"/>
      <c r="BQ358" s="253"/>
      <c r="BR358" s="253"/>
      <c r="BS358" s="345"/>
      <c r="BT358" s="253"/>
      <c r="BU358" s="34"/>
      <c r="BV358" s="253"/>
      <c r="BW358" s="253"/>
      <c r="BX358" s="345"/>
      <c r="BY358" s="253"/>
      <c r="BZ358" s="34"/>
      <c r="CA358" s="253"/>
      <c r="CB358" s="253"/>
      <c r="CC358" s="345"/>
      <c r="CD358" s="253"/>
      <c r="CE358" s="34"/>
      <c r="CF358" s="253"/>
      <c r="CG358" s="253"/>
      <c r="CH358" s="345"/>
      <c r="CI358" s="253"/>
      <c r="CJ358" s="34"/>
      <c r="CK358" s="253"/>
      <c r="CL358" s="253"/>
      <c r="CM358" s="345"/>
      <c r="CN358" s="253"/>
      <c r="CO358" s="34"/>
      <c r="CP358" s="253"/>
      <c r="CQ358" s="253"/>
      <c r="CR358" s="345"/>
      <c r="CS358" s="253"/>
      <c r="CT358" s="34"/>
      <c r="CU358" s="253"/>
      <c r="CV358" s="253"/>
      <c r="CW358" s="345"/>
      <c r="CX358" s="253"/>
      <c r="CY358" s="34"/>
      <c r="CZ358" s="253"/>
      <c r="DA358" s="253"/>
      <c r="DB358" s="345"/>
      <c r="DC358" s="253"/>
      <c r="DD358" s="34"/>
      <c r="DE358" s="253"/>
      <c r="DF358" s="253"/>
      <c r="DG358" s="345"/>
      <c r="DH358" s="253"/>
      <c r="DI358" s="34"/>
      <c r="DJ358" s="253"/>
      <c r="DK358" s="253"/>
      <c r="DL358" s="345"/>
      <c r="DM358" s="253"/>
      <c r="DN358" s="34"/>
      <c r="DO358" s="253"/>
      <c r="DP358" s="253"/>
      <c r="DQ358" s="345"/>
      <c r="DR358" s="253"/>
      <c r="DS358" s="34"/>
      <c r="DT358" s="253"/>
      <c r="DU358" s="253"/>
      <c r="DV358" s="345"/>
      <c r="DW358" s="253"/>
      <c r="DX358" s="34"/>
      <c r="DY358" s="253"/>
      <c r="DZ358" s="253"/>
      <c r="EA358" s="345"/>
      <c r="EB358" s="253"/>
      <c r="EC358" s="34"/>
      <c r="ED358" s="253"/>
      <c r="EE358" s="253"/>
      <c r="EF358" s="345"/>
      <c r="EG358" s="253"/>
      <c r="EH358" s="34"/>
      <c r="EI358" s="253"/>
      <c r="EJ358" s="253"/>
      <c r="EK358" s="345"/>
      <c r="EL358" s="253"/>
      <c r="EM358" s="34"/>
      <c r="EN358" s="253"/>
      <c r="EO358" s="253"/>
      <c r="EP358" s="345"/>
      <c r="EQ358" s="253"/>
      <c r="ER358" s="34"/>
      <c r="ES358" s="253"/>
      <c r="ET358" s="253"/>
      <c r="EU358" s="345"/>
      <c r="EV358" s="253"/>
      <c r="EW358" s="34"/>
      <c r="EX358" s="253"/>
      <c r="EY358" s="253"/>
      <c r="EZ358" s="345"/>
      <c r="FA358" s="253"/>
      <c r="FB358" s="34"/>
      <c r="FC358" s="253"/>
      <c r="FD358" s="253"/>
      <c r="FE358" s="345"/>
      <c r="FF358" s="253"/>
      <c r="FG358" s="34"/>
      <c r="FH358" s="253"/>
      <c r="FI358" s="253"/>
      <c r="FJ358" s="345"/>
      <c r="FK358" s="253"/>
      <c r="FL358" s="34"/>
      <c r="FM358" s="253"/>
      <c r="FN358" s="253"/>
      <c r="FO358" s="345"/>
      <c r="FP358" s="253"/>
      <c r="FQ358" s="34"/>
      <c r="FR358" s="253"/>
      <c r="FS358" s="253"/>
      <c r="FT358" s="345"/>
      <c r="FU358" s="253"/>
      <c r="FV358" s="34"/>
      <c r="FW358" s="253"/>
      <c r="FX358" s="253"/>
      <c r="FY358" s="345"/>
      <c r="FZ358" s="253"/>
      <c r="GA358" s="34"/>
      <c r="GB358" s="253"/>
      <c r="GC358" s="253"/>
      <c r="GD358" s="345"/>
      <c r="GE358" s="253"/>
      <c r="GF358" s="34"/>
      <c r="GG358" s="253"/>
      <c r="GH358" s="253"/>
      <c r="GI358" s="345"/>
      <c r="GJ358" s="253"/>
      <c r="GK358" s="34"/>
      <c r="GL358" s="253"/>
      <c r="GM358" s="253"/>
      <c r="GN358" s="345"/>
      <c r="GO358" s="253"/>
      <c r="GP358" s="34"/>
      <c r="GQ358" s="253"/>
      <c r="GR358" s="253"/>
      <c r="GS358" s="345"/>
      <c r="GT358" s="253"/>
      <c r="GU358" s="34"/>
      <c r="GV358" s="253"/>
      <c r="GW358" s="253"/>
      <c r="GX358" s="345"/>
      <c r="GY358" s="253"/>
      <c r="GZ358" s="34"/>
      <c r="HA358" s="253"/>
      <c r="HB358" s="253"/>
      <c r="HC358" s="345"/>
      <c r="HD358" s="253"/>
      <c r="HE358" s="34"/>
      <c r="HF358" s="253"/>
      <c r="HG358" s="253"/>
      <c r="HH358" s="345"/>
      <c r="HI358" s="253"/>
      <c r="HJ358" s="34"/>
      <c r="HK358" s="253"/>
      <c r="HL358" s="253"/>
      <c r="HM358" s="345"/>
      <c r="HN358" s="253"/>
      <c r="HO358" s="34"/>
      <c r="HP358" s="253"/>
      <c r="HQ358" s="253"/>
      <c r="HR358" s="345"/>
      <c r="HS358" s="253"/>
      <c r="HT358" s="34"/>
      <c r="HU358" s="253"/>
      <c r="HV358" s="253"/>
      <c r="HW358" s="345"/>
      <c r="HX358" s="253"/>
      <c r="HY358" s="34"/>
      <c r="HZ358" s="253"/>
      <c r="IA358" s="253"/>
      <c r="IB358" s="345"/>
      <c r="IC358" s="253"/>
      <c r="ID358" s="34"/>
      <c r="IE358" s="253"/>
      <c r="IF358" s="253"/>
      <c r="IG358" s="345"/>
      <c r="IH358" s="253"/>
      <c r="II358" s="34"/>
      <c r="IJ358" s="253"/>
      <c r="IK358" s="253"/>
      <c r="IL358" s="345"/>
      <c r="IM358" s="253"/>
      <c r="IN358" s="34"/>
      <c r="IO358" s="253"/>
      <c r="IP358" s="253"/>
      <c r="IQ358" s="345"/>
      <c r="IR358" s="253"/>
      <c r="IS358" s="34"/>
      <c r="IT358" s="253"/>
      <c r="IU358" s="253"/>
      <c r="IV358" s="345"/>
    </row>
    <row r="359" spans="1:256" x14ac:dyDescent="0.2">
      <c r="A359" s="345">
        <v>38442</v>
      </c>
      <c r="B359" s="253"/>
      <c r="C359" s="256"/>
      <c r="D359" s="253"/>
      <c r="E359" s="253"/>
      <c r="F359" s="345"/>
      <c r="G359" s="253"/>
      <c r="H359" s="256"/>
      <c r="I359" s="253"/>
      <c r="J359" s="253"/>
      <c r="K359" s="345"/>
      <c r="L359" s="253"/>
      <c r="M359" s="256"/>
      <c r="N359" s="253"/>
      <c r="O359" s="253"/>
      <c r="P359" s="345"/>
      <c r="Q359" s="253"/>
      <c r="R359" s="256"/>
      <c r="S359" s="253"/>
      <c r="T359" s="253"/>
      <c r="U359" s="345"/>
      <c r="V359" s="253"/>
      <c r="W359" s="256"/>
      <c r="X359" s="253"/>
      <c r="Y359" s="253"/>
      <c r="Z359" s="345"/>
      <c r="AA359" s="253"/>
      <c r="AB359" s="256"/>
      <c r="AC359" s="253"/>
      <c r="AD359" s="253"/>
      <c r="AE359" s="345"/>
      <c r="AF359" s="253"/>
      <c r="AG359" s="256"/>
      <c r="AH359" s="253"/>
      <c r="AI359" s="253"/>
      <c r="AJ359" s="345"/>
      <c r="AK359" s="253"/>
      <c r="AL359" s="256"/>
      <c r="AM359" s="253"/>
      <c r="AN359" s="253"/>
      <c r="AO359" s="345"/>
      <c r="AP359" s="253"/>
      <c r="AQ359" s="256"/>
      <c r="AR359" s="253"/>
      <c r="AS359" s="253"/>
      <c r="AT359" s="345"/>
      <c r="AU359" s="253"/>
      <c r="AV359" s="256"/>
      <c r="AW359" s="253"/>
      <c r="AX359" s="253"/>
      <c r="AY359" s="345"/>
      <c r="AZ359" s="253"/>
      <c r="BA359" s="256"/>
      <c r="BB359" s="253"/>
      <c r="BC359" s="253"/>
      <c r="BD359" s="345"/>
      <c r="BE359" s="253"/>
      <c r="BF359" s="256"/>
      <c r="BG359" s="253"/>
      <c r="BH359" s="253"/>
      <c r="BI359" s="345"/>
      <c r="BJ359" s="253"/>
      <c r="BK359" s="256"/>
      <c r="BL359" s="253"/>
      <c r="BM359" s="253"/>
      <c r="BN359" s="345"/>
      <c r="BO359" s="253"/>
      <c r="BP359" s="256"/>
      <c r="BQ359" s="253"/>
      <c r="BR359" s="253"/>
      <c r="BS359" s="345"/>
      <c r="BT359" s="253"/>
      <c r="BU359" s="256"/>
      <c r="BV359" s="253"/>
      <c r="BW359" s="253"/>
      <c r="BX359" s="345"/>
      <c r="BY359" s="253"/>
      <c r="BZ359" s="256"/>
      <c r="CA359" s="253"/>
      <c r="CB359" s="253"/>
      <c r="CC359" s="345"/>
      <c r="CD359" s="253"/>
      <c r="CE359" s="256"/>
      <c r="CF359" s="253"/>
      <c r="CG359" s="253"/>
      <c r="CH359" s="345"/>
      <c r="CI359" s="253"/>
      <c r="CJ359" s="256"/>
      <c r="CK359" s="253"/>
      <c r="CL359" s="253"/>
      <c r="CM359" s="345"/>
      <c r="CN359" s="253"/>
      <c r="CO359" s="256"/>
      <c r="CP359" s="253"/>
      <c r="CQ359" s="253"/>
      <c r="CR359" s="345"/>
      <c r="CS359" s="253"/>
      <c r="CT359" s="256"/>
      <c r="CU359" s="253"/>
      <c r="CV359" s="253"/>
      <c r="CW359" s="345"/>
      <c r="CX359" s="253"/>
      <c r="CY359" s="256"/>
      <c r="CZ359" s="253"/>
      <c r="DA359" s="253"/>
      <c r="DB359" s="345"/>
      <c r="DC359" s="253"/>
      <c r="DD359" s="256"/>
      <c r="DE359" s="253"/>
      <c r="DF359" s="253"/>
      <c r="DG359" s="345"/>
      <c r="DH359" s="253"/>
      <c r="DI359" s="256"/>
      <c r="DJ359" s="253"/>
      <c r="DK359" s="253"/>
      <c r="DL359" s="345"/>
      <c r="DM359" s="253"/>
      <c r="DN359" s="256"/>
      <c r="DO359" s="253"/>
      <c r="DP359" s="253"/>
      <c r="DQ359" s="345"/>
      <c r="DR359" s="253"/>
      <c r="DS359" s="256"/>
      <c r="DT359" s="253"/>
      <c r="DU359" s="253"/>
      <c r="DV359" s="345"/>
      <c r="DW359" s="253"/>
      <c r="DX359" s="256"/>
      <c r="DY359" s="253"/>
      <c r="DZ359" s="253"/>
      <c r="EA359" s="345"/>
      <c r="EB359" s="253"/>
      <c r="EC359" s="256"/>
      <c r="ED359" s="253"/>
      <c r="EE359" s="253"/>
      <c r="EF359" s="345"/>
      <c r="EG359" s="253"/>
      <c r="EH359" s="256"/>
      <c r="EI359" s="253"/>
      <c r="EJ359" s="253"/>
      <c r="EK359" s="345"/>
      <c r="EL359" s="253"/>
      <c r="EM359" s="256"/>
      <c r="EN359" s="253"/>
      <c r="EO359" s="253"/>
      <c r="EP359" s="345"/>
      <c r="EQ359" s="253"/>
      <c r="ER359" s="256"/>
      <c r="ES359" s="253"/>
      <c r="ET359" s="253"/>
      <c r="EU359" s="345"/>
      <c r="EV359" s="253"/>
      <c r="EW359" s="256"/>
      <c r="EX359" s="253"/>
      <c r="EY359" s="253"/>
      <c r="EZ359" s="345"/>
      <c r="FA359" s="253"/>
      <c r="FB359" s="256"/>
      <c r="FC359" s="253"/>
      <c r="FD359" s="253"/>
      <c r="FE359" s="345"/>
      <c r="FF359" s="253"/>
      <c r="FG359" s="256"/>
      <c r="FH359" s="253"/>
      <c r="FI359" s="253"/>
      <c r="FJ359" s="345"/>
      <c r="FK359" s="253"/>
      <c r="FL359" s="256"/>
      <c r="FM359" s="253"/>
      <c r="FN359" s="253"/>
      <c r="FO359" s="345"/>
      <c r="FP359" s="253"/>
      <c r="FQ359" s="256"/>
      <c r="FR359" s="253"/>
      <c r="FS359" s="253"/>
      <c r="FT359" s="345"/>
      <c r="FU359" s="253"/>
      <c r="FV359" s="256"/>
      <c r="FW359" s="253"/>
      <c r="FX359" s="253"/>
      <c r="FY359" s="345"/>
      <c r="FZ359" s="253"/>
      <c r="GA359" s="256"/>
      <c r="GB359" s="253"/>
      <c r="GC359" s="253"/>
      <c r="GD359" s="345"/>
      <c r="GE359" s="253"/>
      <c r="GF359" s="256"/>
      <c r="GG359" s="253"/>
      <c r="GH359" s="253"/>
      <c r="GI359" s="345"/>
      <c r="GJ359" s="253"/>
      <c r="GK359" s="256"/>
      <c r="GL359" s="253"/>
      <c r="GM359" s="253"/>
      <c r="GN359" s="345"/>
      <c r="GO359" s="253"/>
      <c r="GP359" s="256"/>
      <c r="GQ359" s="253"/>
      <c r="GR359" s="253"/>
      <c r="GS359" s="345"/>
      <c r="GT359" s="253"/>
      <c r="GU359" s="256"/>
      <c r="GV359" s="253"/>
      <c r="GW359" s="253"/>
      <c r="GX359" s="345"/>
      <c r="GY359" s="253"/>
      <c r="GZ359" s="256"/>
      <c r="HA359" s="253"/>
      <c r="HB359" s="253"/>
      <c r="HC359" s="345"/>
      <c r="HD359" s="253"/>
      <c r="HE359" s="256"/>
      <c r="HF359" s="253"/>
      <c r="HG359" s="253"/>
      <c r="HH359" s="345"/>
      <c r="HI359" s="253"/>
      <c r="HJ359" s="256"/>
      <c r="HK359" s="253"/>
      <c r="HL359" s="253"/>
      <c r="HM359" s="345"/>
      <c r="HN359" s="253"/>
      <c r="HO359" s="256"/>
      <c r="HP359" s="253"/>
      <c r="HQ359" s="253"/>
      <c r="HR359" s="345"/>
      <c r="HS359" s="253"/>
      <c r="HT359" s="256"/>
      <c r="HU359" s="253"/>
      <c r="HV359" s="253"/>
      <c r="HW359" s="345"/>
      <c r="HX359" s="253"/>
      <c r="HY359" s="256"/>
      <c r="HZ359" s="253"/>
      <c r="IA359" s="253"/>
      <c r="IB359" s="345"/>
      <c r="IC359" s="253"/>
      <c r="ID359" s="256"/>
      <c r="IE359" s="253"/>
      <c r="IF359" s="253"/>
      <c r="IG359" s="345"/>
      <c r="IH359" s="253"/>
      <c r="II359" s="256"/>
      <c r="IJ359" s="253"/>
      <c r="IK359" s="253"/>
      <c r="IL359" s="345"/>
      <c r="IM359" s="253"/>
      <c r="IN359" s="256"/>
      <c r="IO359" s="253"/>
      <c r="IP359" s="253"/>
      <c r="IQ359" s="345"/>
      <c r="IR359" s="253"/>
      <c r="IS359" s="256"/>
      <c r="IT359" s="253"/>
      <c r="IU359" s="253"/>
      <c r="IV359" s="345"/>
    </row>
    <row r="360" spans="1:256" x14ac:dyDescent="0.2">
      <c r="A360" s="345">
        <v>38472</v>
      </c>
      <c r="B360" s="253"/>
      <c r="C360" s="256"/>
      <c r="D360" s="253"/>
      <c r="E360" s="253"/>
      <c r="F360" s="345"/>
      <c r="G360" s="253"/>
      <c r="H360" s="256"/>
      <c r="I360" s="253"/>
      <c r="J360" s="253"/>
      <c r="K360" s="345"/>
      <c r="L360" s="253"/>
      <c r="M360" s="256"/>
      <c r="N360" s="253"/>
      <c r="O360" s="253"/>
      <c r="P360" s="345"/>
      <c r="Q360" s="253"/>
      <c r="R360" s="256"/>
      <c r="S360" s="253"/>
      <c r="T360" s="253"/>
      <c r="U360" s="345"/>
      <c r="V360" s="253"/>
      <c r="W360" s="256"/>
      <c r="X360" s="253"/>
      <c r="Y360" s="253"/>
      <c r="Z360" s="345"/>
      <c r="AA360" s="253"/>
      <c r="AB360" s="256"/>
      <c r="AC360" s="253"/>
      <c r="AD360" s="253"/>
      <c r="AE360" s="345"/>
      <c r="AF360" s="253"/>
      <c r="AG360" s="256"/>
      <c r="AH360" s="253"/>
      <c r="AI360" s="253"/>
      <c r="AJ360" s="345"/>
      <c r="AK360" s="253"/>
      <c r="AL360" s="256"/>
      <c r="AM360" s="253"/>
      <c r="AN360" s="253"/>
      <c r="AO360" s="345"/>
      <c r="AP360" s="253"/>
      <c r="AQ360" s="256"/>
      <c r="AR360" s="253"/>
      <c r="AS360" s="253"/>
      <c r="AT360" s="345"/>
      <c r="AU360" s="253"/>
      <c r="AV360" s="256"/>
      <c r="AW360" s="253"/>
      <c r="AX360" s="253"/>
      <c r="AY360" s="345"/>
      <c r="AZ360" s="253"/>
      <c r="BA360" s="256"/>
      <c r="BB360" s="253"/>
      <c r="BC360" s="253"/>
      <c r="BD360" s="345"/>
      <c r="BE360" s="253"/>
      <c r="BF360" s="256"/>
      <c r="BG360" s="253"/>
      <c r="BH360" s="253"/>
      <c r="BI360" s="345"/>
      <c r="BJ360" s="253"/>
      <c r="BK360" s="256"/>
      <c r="BL360" s="253"/>
      <c r="BM360" s="253"/>
      <c r="BN360" s="345"/>
      <c r="BO360" s="253"/>
      <c r="BP360" s="256"/>
      <c r="BQ360" s="253"/>
      <c r="BR360" s="253"/>
      <c r="BS360" s="345"/>
      <c r="BT360" s="253"/>
      <c r="BU360" s="256"/>
      <c r="BV360" s="253"/>
      <c r="BW360" s="253"/>
      <c r="BX360" s="345"/>
      <c r="BY360" s="253"/>
      <c r="BZ360" s="256"/>
      <c r="CA360" s="253"/>
      <c r="CB360" s="253"/>
      <c r="CC360" s="345"/>
      <c r="CD360" s="253"/>
      <c r="CE360" s="256"/>
      <c r="CF360" s="253"/>
      <c r="CG360" s="253"/>
      <c r="CH360" s="345"/>
      <c r="CI360" s="253"/>
      <c r="CJ360" s="256"/>
      <c r="CK360" s="253"/>
      <c r="CL360" s="253"/>
      <c r="CM360" s="345"/>
      <c r="CN360" s="253"/>
      <c r="CO360" s="256"/>
      <c r="CP360" s="253"/>
      <c r="CQ360" s="253"/>
      <c r="CR360" s="345"/>
      <c r="CS360" s="253"/>
      <c r="CT360" s="256"/>
      <c r="CU360" s="253"/>
      <c r="CV360" s="253"/>
      <c r="CW360" s="345"/>
      <c r="CX360" s="253"/>
      <c r="CY360" s="256"/>
      <c r="CZ360" s="253"/>
      <c r="DA360" s="253"/>
      <c r="DB360" s="345"/>
      <c r="DC360" s="253"/>
      <c r="DD360" s="256"/>
      <c r="DE360" s="253"/>
      <c r="DF360" s="253"/>
      <c r="DG360" s="345"/>
      <c r="DH360" s="253"/>
      <c r="DI360" s="256"/>
      <c r="DJ360" s="253"/>
      <c r="DK360" s="253"/>
      <c r="DL360" s="345"/>
      <c r="DM360" s="253"/>
      <c r="DN360" s="256"/>
      <c r="DO360" s="253"/>
      <c r="DP360" s="253"/>
      <c r="DQ360" s="345"/>
      <c r="DR360" s="253"/>
      <c r="DS360" s="256"/>
      <c r="DT360" s="253"/>
      <c r="DU360" s="253"/>
      <c r="DV360" s="345"/>
      <c r="DW360" s="253"/>
      <c r="DX360" s="256"/>
      <c r="DY360" s="253"/>
      <c r="DZ360" s="253"/>
      <c r="EA360" s="345"/>
      <c r="EB360" s="253"/>
      <c r="EC360" s="256"/>
      <c r="ED360" s="253"/>
      <c r="EE360" s="253"/>
      <c r="EF360" s="345"/>
      <c r="EG360" s="253"/>
      <c r="EH360" s="256"/>
      <c r="EI360" s="253"/>
      <c r="EJ360" s="253"/>
      <c r="EK360" s="345"/>
      <c r="EL360" s="253"/>
      <c r="EM360" s="256"/>
      <c r="EN360" s="253"/>
      <c r="EO360" s="253"/>
      <c r="EP360" s="345"/>
      <c r="EQ360" s="253"/>
      <c r="ER360" s="256"/>
      <c r="ES360" s="253"/>
      <c r="ET360" s="253"/>
      <c r="EU360" s="345"/>
      <c r="EV360" s="253"/>
      <c r="EW360" s="256"/>
      <c r="EX360" s="253"/>
      <c r="EY360" s="253"/>
      <c r="EZ360" s="345"/>
      <c r="FA360" s="253"/>
      <c r="FB360" s="256"/>
      <c r="FC360" s="253"/>
      <c r="FD360" s="253"/>
      <c r="FE360" s="345"/>
      <c r="FF360" s="253"/>
      <c r="FG360" s="256"/>
      <c r="FH360" s="253"/>
      <c r="FI360" s="253"/>
      <c r="FJ360" s="345"/>
      <c r="FK360" s="253"/>
      <c r="FL360" s="256"/>
      <c r="FM360" s="253"/>
      <c r="FN360" s="253"/>
      <c r="FO360" s="345"/>
      <c r="FP360" s="253"/>
      <c r="FQ360" s="256"/>
      <c r="FR360" s="253"/>
      <c r="FS360" s="253"/>
      <c r="FT360" s="345"/>
      <c r="FU360" s="253"/>
      <c r="FV360" s="256"/>
      <c r="FW360" s="253"/>
      <c r="FX360" s="253"/>
      <c r="FY360" s="345"/>
      <c r="FZ360" s="253"/>
      <c r="GA360" s="256"/>
      <c r="GB360" s="253"/>
      <c r="GC360" s="253"/>
      <c r="GD360" s="345"/>
      <c r="GE360" s="253"/>
      <c r="GF360" s="256"/>
      <c r="GG360" s="253"/>
      <c r="GH360" s="253"/>
      <c r="GI360" s="345"/>
      <c r="GJ360" s="253"/>
      <c r="GK360" s="256"/>
      <c r="GL360" s="253"/>
      <c r="GM360" s="253"/>
      <c r="GN360" s="345"/>
      <c r="GO360" s="253"/>
      <c r="GP360" s="256"/>
      <c r="GQ360" s="253"/>
      <c r="GR360" s="253"/>
      <c r="GS360" s="345"/>
      <c r="GT360" s="253"/>
      <c r="GU360" s="256"/>
      <c r="GV360" s="253"/>
      <c r="GW360" s="253"/>
      <c r="GX360" s="345"/>
      <c r="GY360" s="253"/>
      <c r="GZ360" s="256"/>
      <c r="HA360" s="253"/>
      <c r="HB360" s="253"/>
      <c r="HC360" s="345"/>
      <c r="HD360" s="253"/>
      <c r="HE360" s="256"/>
      <c r="HF360" s="253"/>
      <c r="HG360" s="253"/>
      <c r="HH360" s="345"/>
      <c r="HI360" s="253"/>
      <c r="HJ360" s="256"/>
      <c r="HK360" s="253"/>
      <c r="HL360" s="253"/>
      <c r="HM360" s="345"/>
      <c r="HN360" s="253"/>
      <c r="HO360" s="256"/>
      <c r="HP360" s="253"/>
      <c r="HQ360" s="253"/>
      <c r="HR360" s="345"/>
      <c r="HS360" s="253"/>
      <c r="HT360" s="256"/>
      <c r="HU360" s="253"/>
      <c r="HV360" s="253"/>
      <c r="HW360" s="345"/>
      <c r="HX360" s="253"/>
      <c r="HY360" s="256"/>
      <c r="HZ360" s="253"/>
      <c r="IA360" s="253"/>
      <c r="IB360" s="345"/>
      <c r="IC360" s="253"/>
      <c r="ID360" s="256"/>
      <c r="IE360" s="253"/>
      <c r="IF360" s="253"/>
      <c r="IG360" s="345"/>
      <c r="IH360" s="253"/>
      <c r="II360" s="256"/>
      <c r="IJ360" s="253"/>
      <c r="IK360" s="253"/>
      <c r="IL360" s="345"/>
      <c r="IM360" s="253"/>
      <c r="IN360" s="256"/>
      <c r="IO360" s="253"/>
      <c r="IP360" s="253"/>
      <c r="IQ360" s="345"/>
      <c r="IR360" s="253"/>
      <c r="IS360" s="256"/>
      <c r="IT360" s="253"/>
      <c r="IU360" s="253"/>
      <c r="IV360" s="345"/>
    </row>
    <row r="361" spans="1:256" x14ac:dyDescent="0.2">
      <c r="A361" s="345">
        <v>38503</v>
      </c>
      <c r="B361" s="253"/>
      <c r="C361" s="256"/>
      <c r="D361" s="253"/>
      <c r="E361" s="253"/>
      <c r="F361" s="345"/>
      <c r="G361" s="253"/>
      <c r="H361" s="256"/>
      <c r="I361" s="253"/>
      <c r="J361" s="253"/>
      <c r="K361" s="345"/>
      <c r="L361" s="253"/>
      <c r="M361" s="256"/>
      <c r="N361" s="253"/>
      <c r="O361" s="253"/>
      <c r="P361" s="345"/>
      <c r="Q361" s="253"/>
      <c r="R361" s="256"/>
      <c r="S361" s="253"/>
      <c r="T361" s="253"/>
      <c r="U361" s="345"/>
      <c r="V361" s="253"/>
      <c r="W361" s="256"/>
      <c r="X361" s="253"/>
      <c r="Y361" s="253"/>
      <c r="Z361" s="345"/>
      <c r="AA361" s="253"/>
      <c r="AB361" s="256"/>
      <c r="AC361" s="253"/>
      <c r="AD361" s="253"/>
      <c r="AE361" s="345"/>
      <c r="AF361" s="253"/>
      <c r="AG361" s="256"/>
      <c r="AH361" s="253"/>
      <c r="AI361" s="253"/>
      <c r="AJ361" s="345"/>
      <c r="AK361" s="253"/>
      <c r="AL361" s="256"/>
      <c r="AM361" s="253"/>
      <c r="AN361" s="253"/>
      <c r="AO361" s="345"/>
      <c r="AP361" s="253"/>
      <c r="AQ361" s="256"/>
      <c r="AR361" s="253"/>
      <c r="AS361" s="253"/>
      <c r="AT361" s="345"/>
      <c r="AU361" s="253"/>
      <c r="AV361" s="256"/>
      <c r="AW361" s="253"/>
      <c r="AX361" s="253"/>
      <c r="AY361" s="345"/>
      <c r="AZ361" s="253"/>
      <c r="BA361" s="256"/>
      <c r="BB361" s="253"/>
      <c r="BC361" s="253"/>
      <c r="BD361" s="345"/>
      <c r="BE361" s="253"/>
      <c r="BF361" s="256"/>
      <c r="BG361" s="253"/>
      <c r="BH361" s="253"/>
      <c r="BI361" s="345"/>
      <c r="BJ361" s="253"/>
      <c r="BK361" s="256"/>
      <c r="BL361" s="253"/>
      <c r="BM361" s="253"/>
      <c r="BN361" s="345"/>
      <c r="BO361" s="253"/>
      <c r="BP361" s="256"/>
      <c r="BQ361" s="253"/>
      <c r="BR361" s="253"/>
      <c r="BS361" s="345"/>
      <c r="BT361" s="253"/>
      <c r="BU361" s="256"/>
      <c r="BV361" s="253"/>
      <c r="BW361" s="253"/>
      <c r="BX361" s="345"/>
      <c r="BY361" s="253"/>
      <c r="BZ361" s="256"/>
      <c r="CA361" s="253"/>
      <c r="CB361" s="253"/>
      <c r="CC361" s="345"/>
      <c r="CD361" s="253"/>
      <c r="CE361" s="256"/>
      <c r="CF361" s="253"/>
      <c r="CG361" s="253"/>
      <c r="CH361" s="345"/>
      <c r="CI361" s="253"/>
      <c r="CJ361" s="256"/>
      <c r="CK361" s="253"/>
      <c r="CL361" s="253"/>
      <c r="CM361" s="345"/>
      <c r="CN361" s="253"/>
      <c r="CO361" s="256"/>
      <c r="CP361" s="253"/>
      <c r="CQ361" s="253"/>
      <c r="CR361" s="345"/>
      <c r="CS361" s="253"/>
      <c r="CT361" s="256"/>
      <c r="CU361" s="253"/>
      <c r="CV361" s="253"/>
      <c r="CW361" s="345"/>
      <c r="CX361" s="253"/>
      <c r="CY361" s="256"/>
      <c r="CZ361" s="253"/>
      <c r="DA361" s="253"/>
      <c r="DB361" s="345"/>
      <c r="DC361" s="253"/>
      <c r="DD361" s="256"/>
      <c r="DE361" s="253"/>
      <c r="DF361" s="253"/>
      <c r="DG361" s="345"/>
      <c r="DH361" s="253"/>
      <c r="DI361" s="256"/>
      <c r="DJ361" s="253"/>
      <c r="DK361" s="253"/>
      <c r="DL361" s="345"/>
      <c r="DM361" s="253"/>
      <c r="DN361" s="256"/>
      <c r="DO361" s="253"/>
      <c r="DP361" s="253"/>
      <c r="DQ361" s="345"/>
      <c r="DR361" s="253"/>
      <c r="DS361" s="256"/>
      <c r="DT361" s="253"/>
      <c r="DU361" s="253"/>
      <c r="DV361" s="345"/>
      <c r="DW361" s="253"/>
      <c r="DX361" s="256"/>
      <c r="DY361" s="253"/>
      <c r="DZ361" s="253"/>
      <c r="EA361" s="345"/>
      <c r="EB361" s="253"/>
      <c r="EC361" s="256"/>
      <c r="ED361" s="253"/>
      <c r="EE361" s="253"/>
      <c r="EF361" s="345"/>
      <c r="EG361" s="253"/>
      <c r="EH361" s="256"/>
      <c r="EI361" s="253"/>
      <c r="EJ361" s="253"/>
      <c r="EK361" s="345"/>
      <c r="EL361" s="253"/>
      <c r="EM361" s="256"/>
      <c r="EN361" s="253"/>
      <c r="EO361" s="253"/>
      <c r="EP361" s="345"/>
      <c r="EQ361" s="253"/>
      <c r="ER361" s="256"/>
      <c r="ES361" s="253"/>
      <c r="ET361" s="253"/>
      <c r="EU361" s="345"/>
      <c r="EV361" s="253"/>
      <c r="EW361" s="256"/>
      <c r="EX361" s="253"/>
      <c r="EY361" s="253"/>
      <c r="EZ361" s="345"/>
      <c r="FA361" s="253"/>
      <c r="FB361" s="256"/>
      <c r="FC361" s="253"/>
      <c r="FD361" s="253"/>
      <c r="FE361" s="345"/>
      <c r="FF361" s="253"/>
      <c r="FG361" s="256"/>
      <c r="FH361" s="253"/>
      <c r="FI361" s="253"/>
      <c r="FJ361" s="345"/>
      <c r="FK361" s="253"/>
      <c r="FL361" s="256"/>
      <c r="FM361" s="253"/>
      <c r="FN361" s="253"/>
      <c r="FO361" s="345"/>
      <c r="FP361" s="253"/>
      <c r="FQ361" s="256"/>
      <c r="FR361" s="253"/>
      <c r="FS361" s="253"/>
      <c r="FT361" s="345"/>
      <c r="FU361" s="253"/>
      <c r="FV361" s="256"/>
      <c r="FW361" s="253"/>
      <c r="FX361" s="253"/>
      <c r="FY361" s="345"/>
      <c r="FZ361" s="253"/>
      <c r="GA361" s="256"/>
      <c r="GB361" s="253"/>
      <c r="GC361" s="253"/>
      <c r="GD361" s="345"/>
      <c r="GE361" s="253"/>
      <c r="GF361" s="256"/>
      <c r="GG361" s="253"/>
      <c r="GH361" s="253"/>
      <c r="GI361" s="345"/>
      <c r="GJ361" s="253"/>
      <c r="GK361" s="256"/>
      <c r="GL361" s="253"/>
      <c r="GM361" s="253"/>
      <c r="GN361" s="345"/>
      <c r="GO361" s="253"/>
      <c r="GP361" s="256"/>
      <c r="GQ361" s="253"/>
      <c r="GR361" s="253"/>
      <c r="GS361" s="345"/>
      <c r="GT361" s="253"/>
      <c r="GU361" s="256"/>
      <c r="GV361" s="253"/>
      <c r="GW361" s="253"/>
      <c r="GX361" s="345"/>
      <c r="GY361" s="253"/>
      <c r="GZ361" s="256"/>
      <c r="HA361" s="253"/>
      <c r="HB361" s="253"/>
      <c r="HC361" s="345"/>
      <c r="HD361" s="253"/>
      <c r="HE361" s="256"/>
      <c r="HF361" s="253"/>
      <c r="HG361" s="253"/>
      <c r="HH361" s="345"/>
      <c r="HI361" s="253"/>
      <c r="HJ361" s="256"/>
      <c r="HK361" s="253"/>
      <c r="HL361" s="253"/>
      <c r="HM361" s="345"/>
      <c r="HN361" s="253"/>
      <c r="HO361" s="256"/>
      <c r="HP361" s="253"/>
      <c r="HQ361" s="253"/>
      <c r="HR361" s="345"/>
      <c r="HS361" s="253"/>
      <c r="HT361" s="256"/>
      <c r="HU361" s="253"/>
      <c r="HV361" s="253"/>
      <c r="HW361" s="345"/>
      <c r="HX361" s="253"/>
      <c r="HY361" s="256"/>
      <c r="HZ361" s="253"/>
      <c r="IA361" s="253"/>
      <c r="IB361" s="345"/>
      <c r="IC361" s="253"/>
      <c r="ID361" s="256"/>
      <c r="IE361" s="253"/>
      <c r="IF361" s="253"/>
      <c r="IG361" s="345"/>
      <c r="IH361" s="253"/>
      <c r="II361" s="256"/>
      <c r="IJ361" s="253"/>
      <c r="IK361" s="253"/>
      <c r="IL361" s="345"/>
      <c r="IM361" s="253"/>
      <c r="IN361" s="256"/>
      <c r="IO361" s="253"/>
      <c r="IP361" s="253"/>
      <c r="IQ361" s="345"/>
      <c r="IR361" s="253"/>
      <c r="IS361" s="256"/>
      <c r="IT361" s="253"/>
      <c r="IU361" s="253"/>
      <c r="IV361" s="345"/>
    </row>
    <row r="362" spans="1:256" x14ac:dyDescent="0.2">
      <c r="A362" s="345">
        <v>38533</v>
      </c>
      <c r="B362" s="253"/>
      <c r="C362" s="256"/>
      <c r="D362" s="253"/>
      <c r="E362" s="253"/>
      <c r="F362" s="345"/>
      <c r="G362" s="253"/>
      <c r="H362" s="256"/>
      <c r="I362" s="253"/>
      <c r="J362" s="253"/>
      <c r="K362" s="345"/>
      <c r="L362" s="253"/>
      <c r="M362" s="256"/>
      <c r="N362" s="253"/>
      <c r="O362" s="253"/>
      <c r="P362" s="345"/>
      <c r="Q362" s="253"/>
      <c r="R362" s="256"/>
      <c r="S362" s="253"/>
      <c r="T362" s="253"/>
      <c r="U362" s="345"/>
      <c r="V362" s="253"/>
      <c r="W362" s="256"/>
      <c r="X362" s="253"/>
      <c r="Y362" s="253"/>
      <c r="Z362" s="345"/>
      <c r="AA362" s="253"/>
      <c r="AB362" s="256"/>
      <c r="AC362" s="253"/>
      <c r="AD362" s="253"/>
      <c r="AE362" s="345"/>
      <c r="AF362" s="253"/>
      <c r="AG362" s="256"/>
      <c r="AH362" s="253"/>
      <c r="AI362" s="253"/>
      <c r="AJ362" s="345"/>
      <c r="AK362" s="253"/>
      <c r="AL362" s="256"/>
      <c r="AM362" s="253"/>
      <c r="AN362" s="253"/>
      <c r="AO362" s="345"/>
      <c r="AP362" s="253"/>
      <c r="AQ362" s="256"/>
      <c r="AR362" s="253"/>
      <c r="AS362" s="253"/>
      <c r="AT362" s="345"/>
      <c r="AU362" s="253"/>
      <c r="AV362" s="256"/>
      <c r="AW362" s="253"/>
      <c r="AX362" s="253"/>
      <c r="AY362" s="345"/>
      <c r="AZ362" s="253"/>
      <c r="BA362" s="256"/>
      <c r="BB362" s="253"/>
      <c r="BC362" s="253"/>
      <c r="BD362" s="345"/>
      <c r="BE362" s="253"/>
      <c r="BF362" s="256"/>
      <c r="BG362" s="253"/>
      <c r="BH362" s="253"/>
      <c r="BI362" s="345"/>
      <c r="BJ362" s="253"/>
      <c r="BK362" s="256"/>
      <c r="BL362" s="253"/>
      <c r="BM362" s="253"/>
      <c r="BN362" s="345"/>
      <c r="BO362" s="253"/>
      <c r="BP362" s="256"/>
      <c r="BQ362" s="253"/>
      <c r="BR362" s="253"/>
      <c r="BS362" s="345"/>
      <c r="BT362" s="253"/>
      <c r="BU362" s="256"/>
      <c r="BV362" s="253"/>
      <c r="BW362" s="253"/>
      <c r="BX362" s="345"/>
      <c r="BY362" s="253"/>
      <c r="BZ362" s="256"/>
      <c r="CA362" s="253"/>
      <c r="CB362" s="253"/>
      <c r="CC362" s="345"/>
      <c r="CD362" s="253"/>
      <c r="CE362" s="256"/>
      <c r="CF362" s="253"/>
      <c r="CG362" s="253"/>
      <c r="CH362" s="345"/>
      <c r="CI362" s="253"/>
      <c r="CJ362" s="256"/>
      <c r="CK362" s="253"/>
      <c r="CL362" s="253"/>
      <c r="CM362" s="345"/>
      <c r="CN362" s="253"/>
      <c r="CO362" s="256"/>
      <c r="CP362" s="253"/>
      <c r="CQ362" s="253"/>
      <c r="CR362" s="345"/>
      <c r="CS362" s="253"/>
      <c r="CT362" s="256"/>
      <c r="CU362" s="253"/>
      <c r="CV362" s="253"/>
      <c r="CW362" s="345"/>
      <c r="CX362" s="253"/>
      <c r="CY362" s="256"/>
      <c r="CZ362" s="253"/>
      <c r="DA362" s="253"/>
      <c r="DB362" s="345"/>
      <c r="DC362" s="253"/>
      <c r="DD362" s="256"/>
      <c r="DE362" s="253"/>
      <c r="DF362" s="253"/>
      <c r="DG362" s="345"/>
      <c r="DH362" s="253"/>
      <c r="DI362" s="256"/>
      <c r="DJ362" s="253"/>
      <c r="DK362" s="253"/>
      <c r="DL362" s="345"/>
      <c r="DM362" s="253"/>
      <c r="DN362" s="256"/>
      <c r="DO362" s="253"/>
      <c r="DP362" s="253"/>
      <c r="DQ362" s="345"/>
      <c r="DR362" s="253"/>
      <c r="DS362" s="256"/>
      <c r="DT362" s="253"/>
      <c r="DU362" s="253"/>
      <c r="DV362" s="345"/>
      <c r="DW362" s="253"/>
      <c r="DX362" s="256"/>
      <c r="DY362" s="253"/>
      <c r="DZ362" s="253"/>
      <c r="EA362" s="345"/>
      <c r="EB362" s="253"/>
      <c r="EC362" s="256"/>
      <c r="ED362" s="253"/>
      <c r="EE362" s="253"/>
      <c r="EF362" s="345"/>
      <c r="EG362" s="253"/>
      <c r="EH362" s="256"/>
      <c r="EI362" s="253"/>
      <c r="EJ362" s="253"/>
      <c r="EK362" s="345"/>
      <c r="EL362" s="253"/>
      <c r="EM362" s="256"/>
      <c r="EN362" s="253"/>
      <c r="EO362" s="253"/>
      <c r="EP362" s="345"/>
      <c r="EQ362" s="253"/>
      <c r="ER362" s="256"/>
      <c r="ES362" s="253"/>
      <c r="ET362" s="253"/>
      <c r="EU362" s="345"/>
      <c r="EV362" s="253"/>
      <c r="EW362" s="256"/>
      <c r="EX362" s="253"/>
      <c r="EY362" s="253"/>
      <c r="EZ362" s="345"/>
      <c r="FA362" s="253"/>
      <c r="FB362" s="256"/>
      <c r="FC362" s="253"/>
      <c r="FD362" s="253"/>
      <c r="FE362" s="345"/>
      <c r="FF362" s="253"/>
      <c r="FG362" s="256"/>
      <c r="FH362" s="253"/>
      <c r="FI362" s="253"/>
      <c r="FJ362" s="345"/>
      <c r="FK362" s="253"/>
      <c r="FL362" s="256"/>
      <c r="FM362" s="253"/>
      <c r="FN362" s="253"/>
      <c r="FO362" s="345"/>
      <c r="FP362" s="253"/>
      <c r="FQ362" s="256"/>
      <c r="FR362" s="253"/>
      <c r="FS362" s="253"/>
      <c r="FT362" s="345"/>
      <c r="FU362" s="253"/>
      <c r="FV362" s="256"/>
      <c r="FW362" s="253"/>
      <c r="FX362" s="253"/>
      <c r="FY362" s="345"/>
      <c r="FZ362" s="253"/>
      <c r="GA362" s="256"/>
      <c r="GB362" s="253"/>
      <c r="GC362" s="253"/>
      <c r="GD362" s="345"/>
      <c r="GE362" s="253"/>
      <c r="GF362" s="256"/>
      <c r="GG362" s="253"/>
      <c r="GH362" s="253"/>
      <c r="GI362" s="345"/>
      <c r="GJ362" s="253"/>
      <c r="GK362" s="256"/>
      <c r="GL362" s="253"/>
      <c r="GM362" s="253"/>
      <c r="GN362" s="345"/>
      <c r="GO362" s="253"/>
      <c r="GP362" s="256"/>
      <c r="GQ362" s="253"/>
      <c r="GR362" s="253"/>
      <c r="GS362" s="345"/>
      <c r="GT362" s="253"/>
      <c r="GU362" s="256"/>
      <c r="GV362" s="253"/>
      <c r="GW362" s="253"/>
      <c r="GX362" s="345"/>
      <c r="GY362" s="253"/>
      <c r="GZ362" s="256"/>
      <c r="HA362" s="253"/>
      <c r="HB362" s="253"/>
      <c r="HC362" s="345"/>
      <c r="HD362" s="253"/>
      <c r="HE362" s="256"/>
      <c r="HF362" s="253"/>
      <c r="HG362" s="253"/>
      <c r="HH362" s="345"/>
      <c r="HI362" s="253"/>
      <c r="HJ362" s="256"/>
      <c r="HK362" s="253"/>
      <c r="HL362" s="253"/>
      <c r="HM362" s="345"/>
      <c r="HN362" s="253"/>
      <c r="HO362" s="256"/>
      <c r="HP362" s="253"/>
      <c r="HQ362" s="253"/>
      <c r="HR362" s="345"/>
      <c r="HS362" s="253"/>
      <c r="HT362" s="256"/>
      <c r="HU362" s="253"/>
      <c r="HV362" s="253"/>
      <c r="HW362" s="345"/>
      <c r="HX362" s="253"/>
      <c r="HY362" s="256"/>
      <c r="HZ362" s="253"/>
      <c r="IA362" s="253"/>
      <c r="IB362" s="345"/>
      <c r="IC362" s="253"/>
      <c r="ID362" s="256"/>
      <c r="IE362" s="253"/>
      <c r="IF362" s="253"/>
      <c r="IG362" s="345"/>
      <c r="IH362" s="253"/>
      <c r="II362" s="256"/>
      <c r="IJ362" s="253"/>
      <c r="IK362" s="253"/>
      <c r="IL362" s="345"/>
      <c r="IM362" s="253"/>
      <c r="IN362" s="256"/>
      <c r="IO362" s="253"/>
      <c r="IP362" s="253"/>
      <c r="IQ362" s="345"/>
      <c r="IR362" s="253"/>
      <c r="IS362" s="256"/>
      <c r="IT362" s="253"/>
      <c r="IU362" s="253"/>
      <c r="IV362" s="345"/>
    </row>
    <row r="363" spans="1:256" x14ac:dyDescent="0.2">
      <c r="A363" s="345">
        <v>38564</v>
      </c>
      <c r="B363" s="253"/>
      <c r="C363" s="256"/>
      <c r="D363" s="253"/>
      <c r="E363" s="253"/>
      <c r="F363" s="345"/>
      <c r="G363" s="253"/>
      <c r="H363" s="256"/>
      <c r="I363" s="253"/>
      <c r="J363" s="253"/>
      <c r="K363" s="345"/>
      <c r="L363" s="253"/>
      <c r="M363" s="256"/>
      <c r="N363" s="253"/>
      <c r="O363" s="253"/>
      <c r="P363" s="345"/>
      <c r="Q363" s="253"/>
      <c r="R363" s="256"/>
      <c r="S363" s="253"/>
      <c r="T363" s="253"/>
      <c r="U363" s="345"/>
      <c r="V363" s="253"/>
      <c r="W363" s="256"/>
      <c r="X363" s="253"/>
      <c r="Y363" s="253"/>
      <c r="Z363" s="345"/>
      <c r="AA363" s="253"/>
      <c r="AB363" s="256"/>
      <c r="AC363" s="253"/>
      <c r="AD363" s="253"/>
      <c r="AE363" s="345"/>
      <c r="AF363" s="253"/>
      <c r="AG363" s="256"/>
      <c r="AH363" s="253"/>
      <c r="AI363" s="253"/>
      <c r="AJ363" s="345"/>
      <c r="AK363" s="253"/>
      <c r="AL363" s="256"/>
      <c r="AM363" s="253"/>
      <c r="AN363" s="253"/>
      <c r="AO363" s="345"/>
      <c r="AP363" s="253"/>
      <c r="AQ363" s="256"/>
      <c r="AR363" s="253"/>
      <c r="AS363" s="253"/>
      <c r="AT363" s="345"/>
      <c r="AU363" s="253"/>
      <c r="AV363" s="256"/>
      <c r="AW363" s="253"/>
      <c r="AX363" s="253"/>
      <c r="AY363" s="345"/>
      <c r="AZ363" s="253"/>
      <c r="BA363" s="256"/>
      <c r="BB363" s="253"/>
      <c r="BC363" s="253"/>
      <c r="BD363" s="345"/>
      <c r="BE363" s="253"/>
      <c r="BF363" s="256"/>
      <c r="BG363" s="253"/>
      <c r="BH363" s="253"/>
      <c r="BI363" s="345"/>
      <c r="BJ363" s="253"/>
      <c r="BK363" s="256"/>
      <c r="BL363" s="253"/>
      <c r="BM363" s="253"/>
      <c r="BN363" s="345"/>
      <c r="BO363" s="253"/>
      <c r="BP363" s="256"/>
      <c r="BQ363" s="253"/>
      <c r="BR363" s="253"/>
      <c r="BS363" s="345"/>
      <c r="BT363" s="253"/>
      <c r="BU363" s="256"/>
      <c r="BV363" s="253"/>
      <c r="BW363" s="253"/>
      <c r="BX363" s="345"/>
      <c r="BY363" s="253"/>
      <c r="BZ363" s="256"/>
      <c r="CA363" s="253"/>
      <c r="CB363" s="253"/>
      <c r="CC363" s="345"/>
      <c r="CD363" s="253"/>
      <c r="CE363" s="256"/>
      <c r="CF363" s="253"/>
      <c r="CG363" s="253"/>
      <c r="CH363" s="345"/>
      <c r="CI363" s="253"/>
      <c r="CJ363" s="256"/>
      <c r="CK363" s="253"/>
      <c r="CL363" s="253"/>
      <c r="CM363" s="345"/>
      <c r="CN363" s="253"/>
      <c r="CO363" s="256"/>
      <c r="CP363" s="253"/>
      <c r="CQ363" s="253"/>
      <c r="CR363" s="345"/>
      <c r="CS363" s="253"/>
      <c r="CT363" s="256"/>
      <c r="CU363" s="253"/>
      <c r="CV363" s="253"/>
      <c r="CW363" s="345"/>
      <c r="CX363" s="253"/>
      <c r="CY363" s="256"/>
      <c r="CZ363" s="253"/>
      <c r="DA363" s="253"/>
      <c r="DB363" s="345"/>
      <c r="DC363" s="253"/>
      <c r="DD363" s="256"/>
      <c r="DE363" s="253"/>
      <c r="DF363" s="253"/>
      <c r="DG363" s="345"/>
      <c r="DH363" s="253"/>
      <c r="DI363" s="256"/>
      <c r="DJ363" s="253"/>
      <c r="DK363" s="253"/>
      <c r="DL363" s="345"/>
      <c r="DM363" s="253"/>
      <c r="DN363" s="256"/>
      <c r="DO363" s="253"/>
      <c r="DP363" s="253"/>
      <c r="DQ363" s="345"/>
      <c r="DR363" s="253"/>
      <c r="DS363" s="256"/>
      <c r="DT363" s="253"/>
      <c r="DU363" s="253"/>
      <c r="DV363" s="345"/>
      <c r="DW363" s="253"/>
      <c r="DX363" s="256"/>
      <c r="DY363" s="253"/>
      <c r="DZ363" s="253"/>
      <c r="EA363" s="345"/>
      <c r="EB363" s="253"/>
      <c r="EC363" s="256"/>
      <c r="ED363" s="253"/>
      <c r="EE363" s="253"/>
      <c r="EF363" s="345"/>
      <c r="EG363" s="253"/>
      <c r="EH363" s="256"/>
      <c r="EI363" s="253"/>
      <c r="EJ363" s="253"/>
      <c r="EK363" s="345"/>
      <c r="EL363" s="253"/>
      <c r="EM363" s="256"/>
      <c r="EN363" s="253"/>
      <c r="EO363" s="253"/>
      <c r="EP363" s="345"/>
      <c r="EQ363" s="253"/>
      <c r="ER363" s="256"/>
      <c r="ES363" s="253"/>
      <c r="ET363" s="253"/>
      <c r="EU363" s="345"/>
      <c r="EV363" s="253"/>
      <c r="EW363" s="256"/>
      <c r="EX363" s="253"/>
      <c r="EY363" s="253"/>
      <c r="EZ363" s="345"/>
      <c r="FA363" s="253"/>
      <c r="FB363" s="256"/>
      <c r="FC363" s="253"/>
      <c r="FD363" s="253"/>
      <c r="FE363" s="345"/>
      <c r="FF363" s="253"/>
      <c r="FG363" s="256"/>
      <c r="FH363" s="253"/>
      <c r="FI363" s="253"/>
      <c r="FJ363" s="345"/>
      <c r="FK363" s="253"/>
      <c r="FL363" s="256"/>
      <c r="FM363" s="253"/>
      <c r="FN363" s="253"/>
      <c r="FO363" s="345"/>
      <c r="FP363" s="253"/>
      <c r="FQ363" s="256"/>
      <c r="FR363" s="253"/>
      <c r="FS363" s="253"/>
      <c r="FT363" s="345"/>
      <c r="FU363" s="253"/>
      <c r="FV363" s="256"/>
      <c r="FW363" s="253"/>
      <c r="FX363" s="253"/>
      <c r="FY363" s="345"/>
      <c r="FZ363" s="253"/>
      <c r="GA363" s="256"/>
      <c r="GB363" s="253"/>
      <c r="GC363" s="253"/>
      <c r="GD363" s="345"/>
      <c r="GE363" s="253"/>
      <c r="GF363" s="256"/>
      <c r="GG363" s="253"/>
      <c r="GH363" s="253"/>
      <c r="GI363" s="345"/>
      <c r="GJ363" s="253"/>
      <c r="GK363" s="256"/>
      <c r="GL363" s="253"/>
      <c r="GM363" s="253"/>
      <c r="GN363" s="345"/>
      <c r="GO363" s="253"/>
      <c r="GP363" s="256"/>
      <c r="GQ363" s="253"/>
      <c r="GR363" s="253"/>
      <c r="GS363" s="345"/>
      <c r="GT363" s="253"/>
      <c r="GU363" s="256"/>
      <c r="GV363" s="253"/>
      <c r="GW363" s="253"/>
      <c r="GX363" s="345"/>
      <c r="GY363" s="253"/>
      <c r="GZ363" s="256"/>
      <c r="HA363" s="253"/>
      <c r="HB363" s="253"/>
      <c r="HC363" s="345"/>
      <c r="HD363" s="253"/>
      <c r="HE363" s="256"/>
      <c r="HF363" s="253"/>
      <c r="HG363" s="253"/>
      <c r="HH363" s="345"/>
      <c r="HI363" s="253"/>
      <c r="HJ363" s="256"/>
      <c r="HK363" s="253"/>
      <c r="HL363" s="253"/>
      <c r="HM363" s="345"/>
      <c r="HN363" s="253"/>
      <c r="HO363" s="256"/>
      <c r="HP363" s="253"/>
      <c r="HQ363" s="253"/>
      <c r="HR363" s="345"/>
      <c r="HS363" s="253"/>
      <c r="HT363" s="256"/>
      <c r="HU363" s="253"/>
      <c r="HV363" s="253"/>
      <c r="HW363" s="345"/>
      <c r="HX363" s="253"/>
      <c r="HY363" s="256"/>
      <c r="HZ363" s="253"/>
      <c r="IA363" s="253"/>
      <c r="IB363" s="345"/>
      <c r="IC363" s="253"/>
      <c r="ID363" s="256"/>
      <c r="IE363" s="253"/>
      <c r="IF363" s="253"/>
      <c r="IG363" s="345"/>
      <c r="IH363" s="253"/>
      <c r="II363" s="256"/>
      <c r="IJ363" s="253"/>
      <c r="IK363" s="253"/>
      <c r="IL363" s="345"/>
      <c r="IM363" s="253"/>
      <c r="IN363" s="256"/>
      <c r="IO363" s="253"/>
      <c r="IP363" s="253"/>
      <c r="IQ363" s="345"/>
      <c r="IR363" s="253"/>
      <c r="IS363" s="256"/>
      <c r="IT363" s="253"/>
      <c r="IU363" s="253"/>
      <c r="IV363" s="345"/>
    </row>
    <row r="364" spans="1:256" x14ac:dyDescent="0.2">
      <c r="A364" s="345">
        <v>38595</v>
      </c>
      <c r="B364" s="253"/>
      <c r="C364" s="256"/>
      <c r="D364" s="253"/>
      <c r="E364" s="253"/>
      <c r="F364" s="345"/>
      <c r="G364" s="253"/>
      <c r="H364" s="256"/>
      <c r="I364" s="253"/>
      <c r="J364" s="253"/>
      <c r="K364" s="345"/>
      <c r="L364" s="253"/>
      <c r="M364" s="256"/>
      <c r="N364" s="253"/>
      <c r="O364" s="253"/>
      <c r="P364" s="345"/>
      <c r="Q364" s="253"/>
      <c r="R364" s="256"/>
      <c r="S364" s="253"/>
      <c r="T364" s="253"/>
      <c r="U364" s="345"/>
      <c r="V364" s="253"/>
      <c r="W364" s="256"/>
      <c r="X364" s="253"/>
      <c r="Y364" s="253"/>
      <c r="Z364" s="345"/>
      <c r="AA364" s="253"/>
      <c r="AB364" s="256"/>
      <c r="AC364" s="253"/>
      <c r="AD364" s="253"/>
      <c r="AE364" s="345"/>
      <c r="AF364" s="253"/>
      <c r="AG364" s="256"/>
      <c r="AH364" s="253"/>
      <c r="AI364" s="253"/>
      <c r="AJ364" s="345"/>
      <c r="AK364" s="253"/>
      <c r="AL364" s="256"/>
      <c r="AM364" s="253"/>
      <c r="AN364" s="253"/>
      <c r="AO364" s="345"/>
      <c r="AP364" s="253"/>
      <c r="AQ364" s="256"/>
      <c r="AR364" s="253"/>
      <c r="AS364" s="253"/>
      <c r="AT364" s="345"/>
      <c r="AU364" s="253"/>
      <c r="AV364" s="256"/>
      <c r="AW364" s="253"/>
      <c r="AX364" s="253"/>
      <c r="AY364" s="345"/>
      <c r="AZ364" s="253"/>
      <c r="BA364" s="256"/>
      <c r="BB364" s="253"/>
      <c r="BC364" s="253"/>
      <c r="BD364" s="345"/>
      <c r="BE364" s="253"/>
      <c r="BF364" s="256"/>
      <c r="BG364" s="253"/>
      <c r="BH364" s="253"/>
      <c r="BI364" s="345"/>
      <c r="BJ364" s="253"/>
      <c r="BK364" s="256"/>
      <c r="BL364" s="253"/>
      <c r="BM364" s="253"/>
      <c r="BN364" s="345"/>
      <c r="BO364" s="253"/>
      <c r="BP364" s="256"/>
      <c r="BQ364" s="253"/>
      <c r="BR364" s="253"/>
      <c r="BS364" s="345"/>
      <c r="BT364" s="253"/>
      <c r="BU364" s="256"/>
      <c r="BV364" s="253"/>
      <c r="BW364" s="253"/>
      <c r="BX364" s="345"/>
      <c r="BY364" s="253"/>
      <c r="BZ364" s="256"/>
      <c r="CA364" s="253"/>
      <c r="CB364" s="253"/>
      <c r="CC364" s="345"/>
      <c r="CD364" s="253"/>
      <c r="CE364" s="256"/>
      <c r="CF364" s="253"/>
      <c r="CG364" s="253"/>
      <c r="CH364" s="345"/>
      <c r="CI364" s="253"/>
      <c r="CJ364" s="256"/>
      <c r="CK364" s="253"/>
      <c r="CL364" s="253"/>
      <c r="CM364" s="345"/>
      <c r="CN364" s="253"/>
      <c r="CO364" s="256"/>
      <c r="CP364" s="253"/>
      <c r="CQ364" s="253"/>
      <c r="CR364" s="345"/>
      <c r="CS364" s="253"/>
      <c r="CT364" s="256"/>
      <c r="CU364" s="253"/>
      <c r="CV364" s="253"/>
      <c r="CW364" s="345"/>
      <c r="CX364" s="253"/>
      <c r="CY364" s="256"/>
      <c r="CZ364" s="253"/>
      <c r="DA364" s="253"/>
      <c r="DB364" s="345"/>
      <c r="DC364" s="253"/>
      <c r="DD364" s="256"/>
      <c r="DE364" s="253"/>
      <c r="DF364" s="253"/>
      <c r="DG364" s="345"/>
      <c r="DH364" s="253"/>
      <c r="DI364" s="256"/>
      <c r="DJ364" s="253"/>
      <c r="DK364" s="253"/>
      <c r="DL364" s="345"/>
      <c r="DM364" s="253"/>
      <c r="DN364" s="256"/>
      <c r="DO364" s="253"/>
      <c r="DP364" s="253"/>
      <c r="DQ364" s="345"/>
      <c r="DR364" s="253"/>
      <c r="DS364" s="256"/>
      <c r="DT364" s="253"/>
      <c r="DU364" s="253"/>
      <c r="DV364" s="345"/>
      <c r="DW364" s="253"/>
      <c r="DX364" s="256"/>
      <c r="DY364" s="253"/>
      <c r="DZ364" s="253"/>
      <c r="EA364" s="345"/>
      <c r="EB364" s="253"/>
      <c r="EC364" s="256"/>
      <c r="ED364" s="253"/>
      <c r="EE364" s="253"/>
      <c r="EF364" s="345"/>
      <c r="EG364" s="253"/>
      <c r="EH364" s="256"/>
      <c r="EI364" s="253"/>
      <c r="EJ364" s="253"/>
      <c r="EK364" s="345"/>
      <c r="EL364" s="253"/>
      <c r="EM364" s="256"/>
      <c r="EN364" s="253"/>
      <c r="EO364" s="253"/>
      <c r="EP364" s="345"/>
      <c r="EQ364" s="253"/>
      <c r="ER364" s="256"/>
      <c r="ES364" s="253"/>
      <c r="ET364" s="253"/>
      <c r="EU364" s="345"/>
      <c r="EV364" s="253"/>
      <c r="EW364" s="256"/>
      <c r="EX364" s="253"/>
      <c r="EY364" s="253"/>
      <c r="EZ364" s="345"/>
      <c r="FA364" s="253"/>
      <c r="FB364" s="256"/>
      <c r="FC364" s="253"/>
      <c r="FD364" s="253"/>
      <c r="FE364" s="345"/>
      <c r="FF364" s="253"/>
      <c r="FG364" s="256"/>
      <c r="FH364" s="253"/>
      <c r="FI364" s="253"/>
      <c r="FJ364" s="345"/>
      <c r="FK364" s="253"/>
      <c r="FL364" s="256"/>
      <c r="FM364" s="253"/>
      <c r="FN364" s="253"/>
      <c r="FO364" s="345"/>
      <c r="FP364" s="253"/>
      <c r="FQ364" s="256"/>
      <c r="FR364" s="253"/>
      <c r="FS364" s="253"/>
      <c r="FT364" s="345"/>
      <c r="FU364" s="253"/>
      <c r="FV364" s="256"/>
      <c r="FW364" s="253"/>
      <c r="FX364" s="253"/>
      <c r="FY364" s="345"/>
      <c r="FZ364" s="253"/>
      <c r="GA364" s="256"/>
      <c r="GB364" s="253"/>
      <c r="GC364" s="253"/>
      <c r="GD364" s="345"/>
      <c r="GE364" s="253"/>
      <c r="GF364" s="256"/>
      <c r="GG364" s="253"/>
      <c r="GH364" s="253"/>
      <c r="GI364" s="345"/>
      <c r="GJ364" s="253"/>
      <c r="GK364" s="256"/>
      <c r="GL364" s="253"/>
      <c r="GM364" s="253"/>
      <c r="GN364" s="345"/>
      <c r="GO364" s="253"/>
      <c r="GP364" s="256"/>
      <c r="GQ364" s="253"/>
      <c r="GR364" s="253"/>
      <c r="GS364" s="345"/>
      <c r="GT364" s="253"/>
      <c r="GU364" s="256"/>
      <c r="GV364" s="253"/>
      <c r="GW364" s="253"/>
      <c r="GX364" s="345"/>
      <c r="GY364" s="253"/>
      <c r="GZ364" s="256"/>
      <c r="HA364" s="253"/>
      <c r="HB364" s="253"/>
      <c r="HC364" s="345"/>
      <c r="HD364" s="253"/>
      <c r="HE364" s="256"/>
      <c r="HF364" s="253"/>
      <c r="HG364" s="253"/>
      <c r="HH364" s="345"/>
      <c r="HI364" s="253"/>
      <c r="HJ364" s="256"/>
      <c r="HK364" s="253"/>
      <c r="HL364" s="253"/>
      <c r="HM364" s="345"/>
      <c r="HN364" s="253"/>
      <c r="HO364" s="256"/>
      <c r="HP364" s="253"/>
      <c r="HQ364" s="253"/>
      <c r="HR364" s="345"/>
      <c r="HS364" s="253"/>
      <c r="HT364" s="256"/>
      <c r="HU364" s="253"/>
      <c r="HV364" s="253"/>
      <c r="HW364" s="345"/>
      <c r="HX364" s="253"/>
      <c r="HY364" s="256"/>
      <c r="HZ364" s="253"/>
      <c r="IA364" s="253"/>
      <c r="IB364" s="345"/>
      <c r="IC364" s="253"/>
      <c r="ID364" s="256"/>
      <c r="IE364" s="253"/>
      <c r="IF364" s="253"/>
      <c r="IG364" s="345"/>
      <c r="IH364" s="253"/>
      <c r="II364" s="256"/>
      <c r="IJ364" s="253"/>
      <c r="IK364" s="253"/>
      <c r="IL364" s="345"/>
      <c r="IM364" s="253"/>
      <c r="IN364" s="256"/>
      <c r="IO364" s="253"/>
      <c r="IP364" s="253"/>
      <c r="IQ364" s="345"/>
      <c r="IR364" s="253"/>
      <c r="IS364" s="256"/>
      <c r="IT364" s="253"/>
      <c r="IU364" s="253"/>
      <c r="IV364" s="345"/>
    </row>
    <row r="365" spans="1:256" x14ac:dyDescent="0.2">
      <c r="A365" s="345">
        <v>38625</v>
      </c>
      <c r="B365" s="253"/>
      <c r="C365" s="256"/>
      <c r="D365" s="253"/>
      <c r="E365" s="253"/>
      <c r="F365" s="345"/>
      <c r="G365" s="253"/>
      <c r="H365" s="256"/>
      <c r="I365" s="253"/>
      <c r="J365" s="253"/>
      <c r="K365" s="345"/>
      <c r="L365" s="253"/>
      <c r="M365" s="256"/>
      <c r="N365" s="253"/>
      <c r="O365" s="253"/>
      <c r="P365" s="345"/>
      <c r="Q365" s="253"/>
      <c r="R365" s="256"/>
      <c r="S365" s="253"/>
      <c r="T365" s="253"/>
      <c r="U365" s="345"/>
      <c r="V365" s="253"/>
      <c r="W365" s="256"/>
      <c r="X365" s="253"/>
      <c r="Y365" s="253"/>
      <c r="Z365" s="345"/>
      <c r="AA365" s="253"/>
      <c r="AB365" s="256"/>
      <c r="AC365" s="253"/>
      <c r="AD365" s="253"/>
      <c r="AE365" s="345"/>
      <c r="AF365" s="253"/>
      <c r="AG365" s="256"/>
      <c r="AH365" s="253"/>
      <c r="AI365" s="253"/>
      <c r="AJ365" s="345"/>
      <c r="AK365" s="253"/>
      <c r="AL365" s="256"/>
      <c r="AM365" s="253"/>
      <c r="AN365" s="253"/>
      <c r="AO365" s="345"/>
      <c r="AP365" s="253"/>
      <c r="AQ365" s="256"/>
      <c r="AR365" s="253"/>
      <c r="AS365" s="253"/>
      <c r="AT365" s="345"/>
      <c r="AU365" s="253"/>
      <c r="AV365" s="256"/>
      <c r="AW365" s="253"/>
      <c r="AX365" s="253"/>
      <c r="AY365" s="345"/>
      <c r="AZ365" s="253"/>
      <c r="BA365" s="256"/>
      <c r="BB365" s="253"/>
      <c r="BC365" s="253"/>
      <c r="BD365" s="345"/>
      <c r="BE365" s="253"/>
      <c r="BF365" s="256"/>
      <c r="BG365" s="253"/>
      <c r="BH365" s="253"/>
      <c r="BI365" s="345"/>
      <c r="BJ365" s="253"/>
      <c r="BK365" s="256"/>
      <c r="BL365" s="253"/>
      <c r="BM365" s="253"/>
      <c r="BN365" s="345"/>
      <c r="BO365" s="253"/>
      <c r="BP365" s="256"/>
      <c r="BQ365" s="253"/>
      <c r="BR365" s="253"/>
      <c r="BS365" s="345"/>
      <c r="BT365" s="253"/>
      <c r="BU365" s="256"/>
      <c r="BV365" s="253"/>
      <c r="BW365" s="253"/>
      <c r="BX365" s="345"/>
      <c r="BY365" s="253"/>
      <c r="BZ365" s="256"/>
      <c r="CA365" s="253"/>
      <c r="CB365" s="253"/>
      <c r="CC365" s="345"/>
      <c r="CD365" s="253"/>
      <c r="CE365" s="256"/>
      <c r="CF365" s="253"/>
      <c r="CG365" s="253"/>
      <c r="CH365" s="345"/>
      <c r="CI365" s="253"/>
      <c r="CJ365" s="256"/>
      <c r="CK365" s="253"/>
      <c r="CL365" s="253"/>
      <c r="CM365" s="345"/>
      <c r="CN365" s="253"/>
      <c r="CO365" s="256"/>
      <c r="CP365" s="253"/>
      <c r="CQ365" s="253"/>
      <c r="CR365" s="345"/>
      <c r="CS365" s="253"/>
      <c r="CT365" s="256"/>
      <c r="CU365" s="253"/>
      <c r="CV365" s="253"/>
      <c r="CW365" s="345"/>
      <c r="CX365" s="253"/>
      <c r="CY365" s="256"/>
      <c r="CZ365" s="253"/>
      <c r="DA365" s="253"/>
      <c r="DB365" s="345"/>
      <c r="DC365" s="253"/>
      <c r="DD365" s="256"/>
      <c r="DE365" s="253"/>
      <c r="DF365" s="253"/>
      <c r="DG365" s="345"/>
      <c r="DH365" s="253"/>
      <c r="DI365" s="256"/>
      <c r="DJ365" s="253"/>
      <c r="DK365" s="253"/>
      <c r="DL365" s="345"/>
      <c r="DM365" s="253"/>
      <c r="DN365" s="256"/>
      <c r="DO365" s="253"/>
      <c r="DP365" s="253"/>
      <c r="DQ365" s="345"/>
      <c r="DR365" s="253"/>
      <c r="DS365" s="256"/>
      <c r="DT365" s="253"/>
      <c r="DU365" s="253"/>
      <c r="DV365" s="345"/>
      <c r="DW365" s="253"/>
      <c r="DX365" s="256"/>
      <c r="DY365" s="253"/>
      <c r="DZ365" s="253"/>
      <c r="EA365" s="345"/>
      <c r="EB365" s="253"/>
      <c r="EC365" s="256"/>
      <c r="ED365" s="253"/>
      <c r="EE365" s="253"/>
      <c r="EF365" s="345"/>
      <c r="EG365" s="253"/>
      <c r="EH365" s="256"/>
      <c r="EI365" s="253"/>
      <c r="EJ365" s="253"/>
      <c r="EK365" s="345"/>
      <c r="EL365" s="253"/>
      <c r="EM365" s="256"/>
      <c r="EN365" s="253"/>
      <c r="EO365" s="253"/>
      <c r="EP365" s="345"/>
      <c r="EQ365" s="253"/>
      <c r="ER365" s="256"/>
      <c r="ES365" s="253"/>
      <c r="ET365" s="253"/>
      <c r="EU365" s="345"/>
      <c r="EV365" s="253"/>
      <c r="EW365" s="256"/>
      <c r="EX365" s="253"/>
      <c r="EY365" s="253"/>
      <c r="EZ365" s="345"/>
      <c r="FA365" s="253"/>
      <c r="FB365" s="256"/>
      <c r="FC365" s="253"/>
      <c r="FD365" s="253"/>
      <c r="FE365" s="345"/>
      <c r="FF365" s="253"/>
      <c r="FG365" s="256"/>
      <c r="FH365" s="253"/>
      <c r="FI365" s="253"/>
      <c r="FJ365" s="345"/>
      <c r="FK365" s="253"/>
      <c r="FL365" s="256"/>
      <c r="FM365" s="253"/>
      <c r="FN365" s="253"/>
      <c r="FO365" s="345"/>
      <c r="FP365" s="253"/>
      <c r="FQ365" s="256"/>
      <c r="FR365" s="253"/>
      <c r="FS365" s="253"/>
      <c r="FT365" s="345"/>
      <c r="FU365" s="253"/>
      <c r="FV365" s="256"/>
      <c r="FW365" s="253"/>
      <c r="FX365" s="253"/>
      <c r="FY365" s="345"/>
      <c r="FZ365" s="253"/>
      <c r="GA365" s="256"/>
      <c r="GB365" s="253"/>
      <c r="GC365" s="253"/>
      <c r="GD365" s="345"/>
      <c r="GE365" s="253"/>
      <c r="GF365" s="256"/>
      <c r="GG365" s="253"/>
      <c r="GH365" s="253"/>
      <c r="GI365" s="345"/>
      <c r="GJ365" s="253"/>
      <c r="GK365" s="256"/>
      <c r="GL365" s="253"/>
      <c r="GM365" s="253"/>
      <c r="GN365" s="345"/>
      <c r="GO365" s="253"/>
      <c r="GP365" s="256"/>
      <c r="GQ365" s="253"/>
      <c r="GR365" s="253"/>
      <c r="GS365" s="345"/>
      <c r="GT365" s="253"/>
      <c r="GU365" s="256"/>
      <c r="GV365" s="253"/>
      <c r="GW365" s="253"/>
      <c r="GX365" s="345"/>
      <c r="GY365" s="253"/>
      <c r="GZ365" s="256"/>
      <c r="HA365" s="253"/>
      <c r="HB365" s="253"/>
      <c r="HC365" s="345"/>
      <c r="HD365" s="253"/>
      <c r="HE365" s="256"/>
      <c r="HF365" s="253"/>
      <c r="HG365" s="253"/>
      <c r="HH365" s="345"/>
      <c r="HI365" s="253"/>
      <c r="HJ365" s="256"/>
      <c r="HK365" s="253"/>
      <c r="HL365" s="253"/>
      <c r="HM365" s="345"/>
      <c r="HN365" s="253"/>
      <c r="HO365" s="256"/>
      <c r="HP365" s="253"/>
      <c r="HQ365" s="253"/>
      <c r="HR365" s="345"/>
      <c r="HS365" s="253"/>
      <c r="HT365" s="256"/>
      <c r="HU365" s="253"/>
      <c r="HV365" s="253"/>
      <c r="HW365" s="345"/>
      <c r="HX365" s="253"/>
      <c r="HY365" s="256"/>
      <c r="HZ365" s="253"/>
      <c r="IA365" s="253"/>
      <c r="IB365" s="345"/>
      <c r="IC365" s="253"/>
      <c r="ID365" s="256"/>
      <c r="IE365" s="253"/>
      <c r="IF365" s="253"/>
      <c r="IG365" s="345"/>
      <c r="IH365" s="253"/>
      <c r="II365" s="256"/>
      <c r="IJ365" s="253"/>
      <c r="IK365" s="253"/>
      <c r="IL365" s="345"/>
      <c r="IM365" s="253"/>
      <c r="IN365" s="256"/>
      <c r="IO365" s="253"/>
      <c r="IP365" s="253"/>
      <c r="IQ365" s="345"/>
      <c r="IR365" s="253"/>
      <c r="IS365" s="256"/>
      <c r="IT365" s="253"/>
      <c r="IU365" s="253"/>
      <c r="IV365" s="345"/>
    </row>
    <row r="366" spans="1:256" x14ac:dyDescent="0.2">
      <c r="A366" s="345">
        <v>38656</v>
      </c>
      <c r="B366" s="253"/>
      <c r="C366" s="256"/>
      <c r="D366" s="253"/>
      <c r="E366" s="253"/>
      <c r="F366" s="345"/>
      <c r="G366" s="253"/>
      <c r="H366" s="256"/>
      <c r="I366" s="253"/>
      <c r="J366" s="253"/>
      <c r="K366" s="345"/>
      <c r="L366" s="253"/>
      <c r="M366" s="256"/>
      <c r="N366" s="253"/>
      <c r="O366" s="253"/>
      <c r="P366" s="345"/>
      <c r="Q366" s="253"/>
      <c r="R366" s="256"/>
      <c r="S366" s="253"/>
      <c r="T366" s="253"/>
      <c r="U366" s="345"/>
      <c r="V366" s="253"/>
      <c r="W366" s="256"/>
      <c r="X366" s="253"/>
      <c r="Y366" s="253"/>
      <c r="Z366" s="345"/>
      <c r="AA366" s="253"/>
      <c r="AB366" s="256"/>
      <c r="AC366" s="253"/>
      <c r="AD366" s="253"/>
      <c r="AE366" s="345"/>
      <c r="AF366" s="253"/>
      <c r="AG366" s="256"/>
      <c r="AH366" s="253"/>
      <c r="AI366" s="253"/>
      <c r="AJ366" s="345"/>
      <c r="AK366" s="253"/>
      <c r="AL366" s="256"/>
      <c r="AM366" s="253"/>
      <c r="AN366" s="253"/>
      <c r="AO366" s="345"/>
      <c r="AP366" s="253"/>
      <c r="AQ366" s="256"/>
      <c r="AR366" s="253"/>
      <c r="AS366" s="253"/>
      <c r="AT366" s="345"/>
      <c r="AU366" s="253"/>
      <c r="AV366" s="256"/>
      <c r="AW366" s="253"/>
      <c r="AX366" s="253"/>
      <c r="AY366" s="345"/>
      <c r="AZ366" s="253"/>
      <c r="BA366" s="256"/>
      <c r="BB366" s="253"/>
      <c r="BC366" s="253"/>
      <c r="BD366" s="345"/>
      <c r="BE366" s="253"/>
      <c r="BF366" s="256"/>
      <c r="BG366" s="253"/>
      <c r="BH366" s="253"/>
      <c r="BI366" s="345"/>
      <c r="BJ366" s="253"/>
      <c r="BK366" s="256"/>
      <c r="BL366" s="253"/>
      <c r="BM366" s="253"/>
      <c r="BN366" s="345"/>
      <c r="BO366" s="253"/>
      <c r="BP366" s="256"/>
      <c r="BQ366" s="253"/>
      <c r="BR366" s="253"/>
      <c r="BS366" s="345"/>
      <c r="BT366" s="253"/>
      <c r="BU366" s="256"/>
      <c r="BV366" s="253"/>
      <c r="BW366" s="253"/>
      <c r="BX366" s="345"/>
      <c r="BY366" s="253"/>
      <c r="BZ366" s="256"/>
      <c r="CA366" s="253"/>
      <c r="CB366" s="253"/>
      <c r="CC366" s="345"/>
      <c r="CD366" s="253"/>
      <c r="CE366" s="256"/>
      <c r="CF366" s="253"/>
      <c r="CG366" s="253"/>
      <c r="CH366" s="345"/>
      <c r="CI366" s="253"/>
      <c r="CJ366" s="256"/>
      <c r="CK366" s="253"/>
      <c r="CL366" s="253"/>
      <c r="CM366" s="345"/>
      <c r="CN366" s="253"/>
      <c r="CO366" s="256"/>
      <c r="CP366" s="253"/>
      <c r="CQ366" s="253"/>
      <c r="CR366" s="345"/>
      <c r="CS366" s="253"/>
      <c r="CT366" s="256"/>
      <c r="CU366" s="253"/>
      <c r="CV366" s="253"/>
      <c r="CW366" s="345"/>
      <c r="CX366" s="253"/>
      <c r="CY366" s="256"/>
      <c r="CZ366" s="253"/>
      <c r="DA366" s="253"/>
      <c r="DB366" s="345"/>
      <c r="DC366" s="253"/>
      <c r="DD366" s="256"/>
      <c r="DE366" s="253"/>
      <c r="DF366" s="253"/>
      <c r="DG366" s="345"/>
      <c r="DH366" s="253"/>
      <c r="DI366" s="256"/>
      <c r="DJ366" s="253"/>
      <c r="DK366" s="253"/>
      <c r="DL366" s="345"/>
      <c r="DM366" s="253"/>
      <c r="DN366" s="256"/>
      <c r="DO366" s="253"/>
      <c r="DP366" s="253"/>
      <c r="DQ366" s="345"/>
      <c r="DR366" s="253"/>
      <c r="DS366" s="256"/>
      <c r="DT366" s="253"/>
      <c r="DU366" s="253"/>
      <c r="DV366" s="345"/>
      <c r="DW366" s="253"/>
      <c r="DX366" s="256"/>
      <c r="DY366" s="253"/>
      <c r="DZ366" s="253"/>
      <c r="EA366" s="345"/>
      <c r="EB366" s="253"/>
      <c r="EC366" s="256"/>
      <c r="ED366" s="253"/>
      <c r="EE366" s="253"/>
      <c r="EF366" s="345"/>
      <c r="EG366" s="253"/>
      <c r="EH366" s="256"/>
      <c r="EI366" s="253"/>
      <c r="EJ366" s="253"/>
      <c r="EK366" s="345"/>
      <c r="EL366" s="253"/>
      <c r="EM366" s="256"/>
      <c r="EN366" s="253"/>
      <c r="EO366" s="253"/>
      <c r="EP366" s="345"/>
      <c r="EQ366" s="253"/>
      <c r="ER366" s="256"/>
      <c r="ES366" s="253"/>
      <c r="ET366" s="253"/>
      <c r="EU366" s="345"/>
      <c r="EV366" s="253"/>
      <c r="EW366" s="256"/>
      <c r="EX366" s="253"/>
      <c r="EY366" s="253"/>
      <c r="EZ366" s="345"/>
      <c r="FA366" s="253"/>
      <c r="FB366" s="256"/>
      <c r="FC366" s="253"/>
      <c r="FD366" s="253"/>
      <c r="FE366" s="345"/>
      <c r="FF366" s="253"/>
      <c r="FG366" s="256"/>
      <c r="FH366" s="253"/>
      <c r="FI366" s="253"/>
      <c r="FJ366" s="345"/>
      <c r="FK366" s="253"/>
      <c r="FL366" s="256"/>
      <c r="FM366" s="253"/>
      <c r="FN366" s="253"/>
      <c r="FO366" s="345"/>
      <c r="FP366" s="253"/>
      <c r="FQ366" s="256"/>
      <c r="FR366" s="253"/>
      <c r="FS366" s="253"/>
      <c r="FT366" s="345"/>
      <c r="FU366" s="253"/>
      <c r="FV366" s="256"/>
      <c r="FW366" s="253"/>
      <c r="FX366" s="253"/>
      <c r="FY366" s="345"/>
      <c r="FZ366" s="253"/>
      <c r="GA366" s="256"/>
      <c r="GB366" s="253"/>
      <c r="GC366" s="253"/>
      <c r="GD366" s="345"/>
      <c r="GE366" s="253"/>
      <c r="GF366" s="256"/>
      <c r="GG366" s="253"/>
      <c r="GH366" s="253"/>
      <c r="GI366" s="345"/>
      <c r="GJ366" s="253"/>
      <c r="GK366" s="256"/>
      <c r="GL366" s="253"/>
      <c r="GM366" s="253"/>
      <c r="GN366" s="345"/>
      <c r="GO366" s="253"/>
      <c r="GP366" s="256"/>
      <c r="GQ366" s="253"/>
      <c r="GR366" s="253"/>
      <c r="GS366" s="345"/>
      <c r="GT366" s="253"/>
      <c r="GU366" s="256"/>
      <c r="GV366" s="253"/>
      <c r="GW366" s="253"/>
      <c r="GX366" s="345"/>
      <c r="GY366" s="253"/>
      <c r="GZ366" s="256"/>
      <c r="HA366" s="253"/>
      <c r="HB366" s="253"/>
      <c r="HC366" s="345"/>
      <c r="HD366" s="253"/>
      <c r="HE366" s="256"/>
      <c r="HF366" s="253"/>
      <c r="HG366" s="253"/>
      <c r="HH366" s="345"/>
      <c r="HI366" s="253"/>
      <c r="HJ366" s="256"/>
      <c r="HK366" s="253"/>
      <c r="HL366" s="253"/>
      <c r="HM366" s="345"/>
      <c r="HN366" s="253"/>
      <c r="HO366" s="256"/>
      <c r="HP366" s="253"/>
      <c r="HQ366" s="253"/>
      <c r="HR366" s="345"/>
      <c r="HS366" s="253"/>
      <c r="HT366" s="256"/>
      <c r="HU366" s="253"/>
      <c r="HV366" s="253"/>
      <c r="HW366" s="345"/>
      <c r="HX366" s="253"/>
      <c r="HY366" s="256"/>
      <c r="HZ366" s="253"/>
      <c r="IA366" s="253"/>
      <c r="IB366" s="345"/>
      <c r="IC366" s="253"/>
      <c r="ID366" s="256"/>
      <c r="IE366" s="253"/>
      <c r="IF366" s="253"/>
      <c r="IG366" s="345"/>
      <c r="IH366" s="253"/>
      <c r="II366" s="256"/>
      <c r="IJ366" s="253"/>
      <c r="IK366" s="253"/>
      <c r="IL366" s="345"/>
      <c r="IM366" s="253"/>
      <c r="IN366" s="256"/>
      <c r="IO366" s="253"/>
      <c r="IP366" s="253"/>
      <c r="IQ366" s="345"/>
      <c r="IR366" s="253"/>
      <c r="IS366" s="256"/>
      <c r="IT366" s="253"/>
      <c r="IU366" s="253"/>
      <c r="IV366" s="345"/>
    </row>
    <row r="367" spans="1:256" x14ac:dyDescent="0.2">
      <c r="A367" s="345">
        <v>38686</v>
      </c>
      <c r="B367" s="253"/>
      <c r="C367" s="256"/>
      <c r="D367" s="253"/>
      <c r="E367" s="253"/>
      <c r="F367" s="345"/>
      <c r="G367" s="253"/>
      <c r="H367" s="256"/>
      <c r="I367" s="253"/>
      <c r="J367" s="253"/>
      <c r="K367" s="345"/>
      <c r="L367" s="253"/>
      <c r="M367" s="256"/>
      <c r="N367" s="253"/>
      <c r="O367" s="253"/>
      <c r="P367" s="345"/>
      <c r="Q367" s="253"/>
      <c r="R367" s="256"/>
      <c r="S367" s="253"/>
      <c r="T367" s="253"/>
      <c r="U367" s="345"/>
      <c r="V367" s="253"/>
      <c r="W367" s="256"/>
      <c r="X367" s="253"/>
      <c r="Y367" s="253"/>
      <c r="Z367" s="345"/>
      <c r="AA367" s="253"/>
      <c r="AB367" s="256"/>
      <c r="AC367" s="253"/>
      <c r="AD367" s="253"/>
      <c r="AE367" s="345"/>
      <c r="AF367" s="253"/>
      <c r="AG367" s="256"/>
      <c r="AH367" s="253"/>
      <c r="AI367" s="253"/>
      <c r="AJ367" s="345"/>
      <c r="AK367" s="253"/>
      <c r="AL367" s="256"/>
      <c r="AM367" s="253"/>
      <c r="AN367" s="253"/>
      <c r="AO367" s="345"/>
      <c r="AP367" s="253"/>
      <c r="AQ367" s="256"/>
      <c r="AR367" s="253"/>
      <c r="AS367" s="253"/>
      <c r="AT367" s="345"/>
      <c r="AU367" s="253"/>
      <c r="AV367" s="256"/>
      <c r="AW367" s="253"/>
      <c r="AX367" s="253"/>
      <c r="AY367" s="345"/>
      <c r="AZ367" s="253"/>
      <c r="BA367" s="256"/>
      <c r="BB367" s="253"/>
      <c r="BC367" s="253"/>
      <c r="BD367" s="345"/>
      <c r="BE367" s="253"/>
      <c r="BF367" s="256"/>
      <c r="BG367" s="253"/>
      <c r="BH367" s="253"/>
      <c r="BI367" s="345"/>
      <c r="BJ367" s="253"/>
      <c r="BK367" s="256"/>
      <c r="BL367" s="253"/>
      <c r="BM367" s="253"/>
      <c r="BN367" s="345"/>
      <c r="BO367" s="253"/>
      <c r="BP367" s="256"/>
      <c r="BQ367" s="253"/>
      <c r="BR367" s="253"/>
      <c r="BS367" s="345"/>
      <c r="BT367" s="253"/>
      <c r="BU367" s="256"/>
      <c r="BV367" s="253"/>
      <c r="BW367" s="253"/>
      <c r="BX367" s="345"/>
      <c r="BY367" s="253"/>
      <c r="BZ367" s="256"/>
      <c r="CA367" s="253"/>
      <c r="CB367" s="253"/>
      <c r="CC367" s="345"/>
      <c r="CD367" s="253"/>
      <c r="CE367" s="256"/>
      <c r="CF367" s="253"/>
      <c r="CG367" s="253"/>
      <c r="CH367" s="345"/>
      <c r="CI367" s="253"/>
      <c r="CJ367" s="256"/>
      <c r="CK367" s="253"/>
      <c r="CL367" s="253"/>
      <c r="CM367" s="345"/>
      <c r="CN367" s="253"/>
      <c r="CO367" s="256"/>
      <c r="CP367" s="253"/>
      <c r="CQ367" s="253"/>
      <c r="CR367" s="345"/>
      <c r="CS367" s="253"/>
      <c r="CT367" s="256"/>
      <c r="CU367" s="253"/>
      <c r="CV367" s="253"/>
      <c r="CW367" s="345"/>
      <c r="CX367" s="253"/>
      <c r="CY367" s="256"/>
      <c r="CZ367" s="253"/>
      <c r="DA367" s="253"/>
      <c r="DB367" s="345"/>
      <c r="DC367" s="253"/>
      <c r="DD367" s="256"/>
      <c r="DE367" s="253"/>
      <c r="DF367" s="253"/>
      <c r="DG367" s="345"/>
      <c r="DH367" s="253"/>
      <c r="DI367" s="256"/>
      <c r="DJ367" s="253"/>
      <c r="DK367" s="253"/>
      <c r="DL367" s="345"/>
      <c r="DM367" s="253"/>
      <c r="DN367" s="256"/>
      <c r="DO367" s="253"/>
      <c r="DP367" s="253"/>
      <c r="DQ367" s="345"/>
      <c r="DR367" s="253"/>
      <c r="DS367" s="256"/>
      <c r="DT367" s="253"/>
      <c r="DU367" s="253"/>
      <c r="DV367" s="345"/>
      <c r="DW367" s="253"/>
      <c r="DX367" s="256"/>
      <c r="DY367" s="253"/>
      <c r="DZ367" s="253"/>
      <c r="EA367" s="345"/>
      <c r="EB367" s="253"/>
      <c r="EC367" s="256"/>
      <c r="ED367" s="253"/>
      <c r="EE367" s="253"/>
      <c r="EF367" s="345"/>
      <c r="EG367" s="253"/>
      <c r="EH367" s="256"/>
      <c r="EI367" s="253"/>
      <c r="EJ367" s="253"/>
      <c r="EK367" s="345"/>
      <c r="EL367" s="253"/>
      <c r="EM367" s="256"/>
      <c r="EN367" s="253"/>
      <c r="EO367" s="253"/>
      <c r="EP367" s="345"/>
      <c r="EQ367" s="253"/>
      <c r="ER367" s="256"/>
      <c r="ES367" s="253"/>
      <c r="ET367" s="253"/>
      <c r="EU367" s="345"/>
      <c r="EV367" s="253"/>
      <c r="EW367" s="256"/>
      <c r="EX367" s="253"/>
      <c r="EY367" s="253"/>
      <c r="EZ367" s="345"/>
      <c r="FA367" s="253"/>
      <c r="FB367" s="256"/>
      <c r="FC367" s="253"/>
      <c r="FD367" s="253"/>
      <c r="FE367" s="345"/>
      <c r="FF367" s="253"/>
      <c r="FG367" s="256"/>
      <c r="FH367" s="253"/>
      <c r="FI367" s="253"/>
      <c r="FJ367" s="345"/>
      <c r="FK367" s="253"/>
      <c r="FL367" s="256"/>
      <c r="FM367" s="253"/>
      <c r="FN367" s="253"/>
      <c r="FO367" s="345"/>
      <c r="FP367" s="253"/>
      <c r="FQ367" s="256"/>
      <c r="FR367" s="253"/>
      <c r="FS367" s="253"/>
      <c r="FT367" s="345"/>
      <c r="FU367" s="253"/>
      <c r="FV367" s="256"/>
      <c r="FW367" s="253"/>
      <c r="FX367" s="253"/>
      <c r="FY367" s="345"/>
      <c r="FZ367" s="253"/>
      <c r="GA367" s="256"/>
      <c r="GB367" s="253"/>
      <c r="GC367" s="253"/>
      <c r="GD367" s="345"/>
      <c r="GE367" s="253"/>
      <c r="GF367" s="256"/>
      <c r="GG367" s="253"/>
      <c r="GH367" s="253"/>
      <c r="GI367" s="345"/>
      <c r="GJ367" s="253"/>
      <c r="GK367" s="256"/>
      <c r="GL367" s="253"/>
      <c r="GM367" s="253"/>
      <c r="GN367" s="345"/>
      <c r="GO367" s="253"/>
      <c r="GP367" s="256"/>
      <c r="GQ367" s="253"/>
      <c r="GR367" s="253"/>
      <c r="GS367" s="345"/>
      <c r="GT367" s="253"/>
      <c r="GU367" s="256"/>
      <c r="GV367" s="253"/>
      <c r="GW367" s="253"/>
      <c r="GX367" s="345"/>
      <c r="GY367" s="253"/>
      <c r="GZ367" s="256"/>
      <c r="HA367" s="253"/>
      <c r="HB367" s="253"/>
      <c r="HC367" s="345"/>
      <c r="HD367" s="253"/>
      <c r="HE367" s="256"/>
      <c r="HF367" s="253"/>
      <c r="HG367" s="253"/>
      <c r="HH367" s="345"/>
      <c r="HI367" s="253"/>
      <c r="HJ367" s="256"/>
      <c r="HK367" s="253"/>
      <c r="HL367" s="253"/>
      <c r="HM367" s="345"/>
      <c r="HN367" s="253"/>
      <c r="HO367" s="256"/>
      <c r="HP367" s="253"/>
      <c r="HQ367" s="253"/>
      <c r="HR367" s="345"/>
      <c r="HS367" s="253"/>
      <c r="HT367" s="256"/>
      <c r="HU367" s="253"/>
      <c r="HV367" s="253"/>
      <c r="HW367" s="345"/>
      <c r="HX367" s="253"/>
      <c r="HY367" s="256"/>
      <c r="HZ367" s="253"/>
      <c r="IA367" s="253"/>
      <c r="IB367" s="345"/>
      <c r="IC367" s="253"/>
      <c r="ID367" s="256"/>
      <c r="IE367" s="253"/>
      <c r="IF367" s="253"/>
      <c r="IG367" s="345"/>
      <c r="IH367" s="253"/>
      <c r="II367" s="256"/>
      <c r="IJ367" s="253"/>
      <c r="IK367" s="253"/>
      <c r="IL367" s="345"/>
      <c r="IM367" s="253"/>
      <c r="IN367" s="256"/>
      <c r="IO367" s="253"/>
      <c r="IP367" s="253"/>
      <c r="IQ367" s="345"/>
      <c r="IR367" s="253"/>
      <c r="IS367" s="256"/>
      <c r="IT367" s="253"/>
      <c r="IU367" s="253"/>
      <c r="IV367" s="345"/>
    </row>
    <row r="368" spans="1:256" x14ac:dyDescent="0.2">
      <c r="A368" s="345">
        <v>38717</v>
      </c>
      <c r="B368" s="253"/>
      <c r="C368" s="256"/>
      <c r="D368" s="253"/>
      <c r="E368" s="253"/>
      <c r="F368" s="345"/>
      <c r="G368" s="253"/>
      <c r="H368" s="256"/>
      <c r="I368" s="253"/>
      <c r="J368" s="253"/>
      <c r="K368" s="345"/>
      <c r="L368" s="253"/>
      <c r="M368" s="256"/>
      <c r="N368" s="253"/>
      <c r="O368" s="253"/>
      <c r="P368" s="345"/>
      <c r="Q368" s="253"/>
      <c r="R368" s="256"/>
      <c r="S368" s="253"/>
      <c r="T368" s="253"/>
      <c r="U368" s="345"/>
      <c r="V368" s="253"/>
      <c r="W368" s="256"/>
      <c r="X368" s="253"/>
      <c r="Y368" s="253"/>
      <c r="Z368" s="345"/>
      <c r="AA368" s="253"/>
      <c r="AB368" s="256"/>
      <c r="AC368" s="253"/>
      <c r="AD368" s="253"/>
      <c r="AE368" s="345"/>
      <c r="AF368" s="253"/>
      <c r="AG368" s="256"/>
      <c r="AH368" s="253"/>
      <c r="AI368" s="253"/>
      <c r="AJ368" s="345"/>
      <c r="AK368" s="253"/>
      <c r="AL368" s="256"/>
      <c r="AM368" s="253"/>
      <c r="AN368" s="253"/>
      <c r="AO368" s="345"/>
      <c r="AP368" s="253"/>
      <c r="AQ368" s="256"/>
      <c r="AR368" s="253"/>
      <c r="AS368" s="253"/>
      <c r="AT368" s="345"/>
      <c r="AU368" s="253"/>
      <c r="AV368" s="256"/>
      <c r="AW368" s="253"/>
      <c r="AX368" s="253"/>
      <c r="AY368" s="345"/>
      <c r="AZ368" s="253"/>
      <c r="BA368" s="256"/>
      <c r="BB368" s="253"/>
      <c r="BC368" s="253"/>
      <c r="BD368" s="345"/>
      <c r="BE368" s="253"/>
      <c r="BF368" s="256"/>
      <c r="BG368" s="253"/>
      <c r="BH368" s="253"/>
      <c r="BI368" s="345"/>
      <c r="BJ368" s="253"/>
      <c r="BK368" s="256"/>
      <c r="BL368" s="253"/>
      <c r="BM368" s="253"/>
      <c r="BN368" s="345"/>
      <c r="BO368" s="253"/>
      <c r="BP368" s="256"/>
      <c r="BQ368" s="253"/>
      <c r="BR368" s="253"/>
      <c r="BS368" s="345"/>
      <c r="BT368" s="253"/>
      <c r="BU368" s="256"/>
      <c r="BV368" s="253"/>
      <c r="BW368" s="253"/>
      <c r="BX368" s="345"/>
      <c r="BY368" s="253"/>
      <c r="BZ368" s="256"/>
      <c r="CA368" s="253"/>
      <c r="CB368" s="253"/>
      <c r="CC368" s="345"/>
      <c r="CD368" s="253"/>
      <c r="CE368" s="256"/>
      <c r="CF368" s="253"/>
      <c r="CG368" s="253"/>
      <c r="CH368" s="345"/>
      <c r="CI368" s="253"/>
      <c r="CJ368" s="256"/>
      <c r="CK368" s="253"/>
      <c r="CL368" s="253"/>
      <c r="CM368" s="345"/>
      <c r="CN368" s="253"/>
      <c r="CO368" s="256"/>
      <c r="CP368" s="253"/>
      <c r="CQ368" s="253"/>
      <c r="CR368" s="345"/>
      <c r="CS368" s="253"/>
      <c r="CT368" s="256"/>
      <c r="CU368" s="253"/>
      <c r="CV368" s="253"/>
      <c r="CW368" s="345"/>
      <c r="CX368" s="253"/>
      <c r="CY368" s="256"/>
      <c r="CZ368" s="253"/>
      <c r="DA368" s="253"/>
      <c r="DB368" s="345"/>
      <c r="DC368" s="253"/>
      <c r="DD368" s="256"/>
      <c r="DE368" s="253"/>
      <c r="DF368" s="253"/>
      <c r="DG368" s="345"/>
      <c r="DH368" s="253"/>
      <c r="DI368" s="256"/>
      <c r="DJ368" s="253"/>
      <c r="DK368" s="253"/>
      <c r="DL368" s="345"/>
      <c r="DM368" s="253"/>
      <c r="DN368" s="256"/>
      <c r="DO368" s="253"/>
      <c r="DP368" s="253"/>
      <c r="DQ368" s="345"/>
      <c r="DR368" s="253"/>
      <c r="DS368" s="256"/>
      <c r="DT368" s="253"/>
      <c r="DU368" s="253"/>
      <c r="DV368" s="345"/>
      <c r="DW368" s="253"/>
      <c r="DX368" s="256"/>
      <c r="DY368" s="253"/>
      <c r="DZ368" s="253"/>
      <c r="EA368" s="345"/>
      <c r="EB368" s="253"/>
      <c r="EC368" s="256"/>
      <c r="ED368" s="253"/>
      <c r="EE368" s="253"/>
      <c r="EF368" s="345"/>
      <c r="EG368" s="253"/>
      <c r="EH368" s="256"/>
      <c r="EI368" s="253"/>
      <c r="EJ368" s="253"/>
      <c r="EK368" s="345"/>
      <c r="EL368" s="253"/>
      <c r="EM368" s="256"/>
      <c r="EN368" s="253"/>
      <c r="EO368" s="253"/>
      <c r="EP368" s="345"/>
      <c r="EQ368" s="253"/>
      <c r="ER368" s="256"/>
      <c r="ES368" s="253"/>
      <c r="ET368" s="253"/>
      <c r="EU368" s="345"/>
      <c r="EV368" s="253"/>
      <c r="EW368" s="256"/>
      <c r="EX368" s="253"/>
      <c r="EY368" s="253"/>
      <c r="EZ368" s="345"/>
      <c r="FA368" s="253"/>
      <c r="FB368" s="256"/>
      <c r="FC368" s="253"/>
      <c r="FD368" s="253"/>
      <c r="FE368" s="345"/>
      <c r="FF368" s="253"/>
      <c r="FG368" s="256"/>
      <c r="FH368" s="253"/>
      <c r="FI368" s="253"/>
      <c r="FJ368" s="345"/>
      <c r="FK368" s="253"/>
      <c r="FL368" s="256"/>
      <c r="FM368" s="253"/>
      <c r="FN368" s="253"/>
      <c r="FO368" s="345"/>
      <c r="FP368" s="253"/>
      <c r="FQ368" s="256"/>
      <c r="FR368" s="253"/>
      <c r="FS368" s="253"/>
      <c r="FT368" s="345"/>
      <c r="FU368" s="253"/>
      <c r="FV368" s="256"/>
      <c r="FW368" s="253"/>
      <c r="FX368" s="253"/>
      <c r="FY368" s="345"/>
      <c r="FZ368" s="253"/>
      <c r="GA368" s="256"/>
      <c r="GB368" s="253"/>
      <c r="GC368" s="253"/>
      <c r="GD368" s="345"/>
      <c r="GE368" s="253"/>
      <c r="GF368" s="256"/>
      <c r="GG368" s="253"/>
      <c r="GH368" s="253"/>
      <c r="GI368" s="345"/>
      <c r="GJ368" s="253"/>
      <c r="GK368" s="256"/>
      <c r="GL368" s="253"/>
      <c r="GM368" s="253"/>
      <c r="GN368" s="345"/>
      <c r="GO368" s="253"/>
      <c r="GP368" s="256"/>
      <c r="GQ368" s="253"/>
      <c r="GR368" s="253"/>
      <c r="GS368" s="345"/>
      <c r="GT368" s="253"/>
      <c r="GU368" s="256"/>
      <c r="GV368" s="253"/>
      <c r="GW368" s="253"/>
      <c r="GX368" s="345"/>
      <c r="GY368" s="253"/>
      <c r="GZ368" s="256"/>
      <c r="HA368" s="253"/>
      <c r="HB368" s="253"/>
      <c r="HC368" s="345"/>
      <c r="HD368" s="253"/>
      <c r="HE368" s="256"/>
      <c r="HF368" s="253"/>
      <c r="HG368" s="253"/>
      <c r="HH368" s="345"/>
      <c r="HI368" s="253"/>
      <c r="HJ368" s="256"/>
      <c r="HK368" s="253"/>
      <c r="HL368" s="253"/>
      <c r="HM368" s="345"/>
      <c r="HN368" s="253"/>
      <c r="HO368" s="256"/>
      <c r="HP368" s="253"/>
      <c r="HQ368" s="253"/>
      <c r="HR368" s="345"/>
      <c r="HS368" s="253"/>
      <c r="HT368" s="256"/>
      <c r="HU368" s="253"/>
      <c r="HV368" s="253"/>
      <c r="HW368" s="345"/>
      <c r="HX368" s="253"/>
      <c r="HY368" s="256"/>
      <c r="HZ368" s="253"/>
      <c r="IA368" s="253"/>
      <c r="IB368" s="345"/>
      <c r="IC368" s="253"/>
      <c r="ID368" s="256"/>
      <c r="IE368" s="253"/>
      <c r="IF368" s="253"/>
      <c r="IG368" s="345"/>
      <c r="IH368" s="253"/>
      <c r="II368" s="256"/>
      <c r="IJ368" s="253"/>
      <c r="IK368" s="253"/>
      <c r="IL368" s="345"/>
      <c r="IM368" s="253"/>
      <c r="IN368" s="256"/>
      <c r="IO368" s="253"/>
      <c r="IP368" s="253"/>
      <c r="IQ368" s="345"/>
      <c r="IR368" s="253"/>
      <c r="IS368" s="256"/>
      <c r="IT368" s="253"/>
      <c r="IU368" s="253"/>
      <c r="IV368" s="345"/>
    </row>
    <row r="369" spans="1:256" x14ac:dyDescent="0.2">
      <c r="A369" s="345">
        <v>38748</v>
      </c>
      <c r="B369" s="253"/>
      <c r="C369" s="256"/>
      <c r="D369" s="253"/>
      <c r="E369" s="253"/>
      <c r="F369" s="345"/>
      <c r="G369" s="253"/>
      <c r="H369" s="256"/>
      <c r="I369" s="253"/>
      <c r="J369" s="253"/>
      <c r="K369" s="345"/>
      <c r="L369" s="253"/>
      <c r="M369" s="256"/>
      <c r="N369" s="253"/>
      <c r="O369" s="253"/>
      <c r="P369" s="345"/>
      <c r="Q369" s="253"/>
      <c r="R369" s="256"/>
      <c r="S369" s="253"/>
      <c r="T369" s="253"/>
      <c r="U369" s="345"/>
      <c r="V369" s="253"/>
      <c r="W369" s="256"/>
      <c r="X369" s="253"/>
      <c r="Y369" s="253"/>
      <c r="Z369" s="345"/>
      <c r="AA369" s="253"/>
      <c r="AB369" s="256"/>
      <c r="AC369" s="253"/>
      <c r="AD369" s="253"/>
      <c r="AE369" s="345"/>
      <c r="AF369" s="253"/>
      <c r="AG369" s="256"/>
      <c r="AH369" s="253"/>
      <c r="AI369" s="253"/>
      <c r="AJ369" s="345"/>
      <c r="AK369" s="253"/>
      <c r="AL369" s="256"/>
      <c r="AM369" s="253"/>
      <c r="AN369" s="253"/>
      <c r="AO369" s="345"/>
      <c r="AP369" s="253"/>
      <c r="AQ369" s="256"/>
      <c r="AR369" s="253"/>
      <c r="AS369" s="253"/>
      <c r="AT369" s="345"/>
      <c r="AU369" s="253"/>
      <c r="AV369" s="256"/>
      <c r="AW369" s="253"/>
      <c r="AX369" s="253"/>
      <c r="AY369" s="345"/>
      <c r="AZ369" s="253"/>
      <c r="BA369" s="256"/>
      <c r="BB369" s="253"/>
      <c r="BC369" s="253"/>
      <c r="BD369" s="345"/>
      <c r="BE369" s="253"/>
      <c r="BF369" s="256"/>
      <c r="BG369" s="253"/>
      <c r="BH369" s="253"/>
      <c r="BI369" s="345"/>
      <c r="BJ369" s="253"/>
      <c r="BK369" s="256"/>
      <c r="BL369" s="253"/>
      <c r="BM369" s="253"/>
      <c r="BN369" s="345"/>
      <c r="BO369" s="253"/>
      <c r="BP369" s="256"/>
      <c r="BQ369" s="253"/>
      <c r="BR369" s="253"/>
      <c r="BS369" s="345"/>
      <c r="BT369" s="253"/>
      <c r="BU369" s="256"/>
      <c r="BV369" s="253"/>
      <c r="BW369" s="253"/>
      <c r="BX369" s="345"/>
      <c r="BY369" s="253"/>
      <c r="BZ369" s="256"/>
      <c r="CA369" s="253"/>
      <c r="CB369" s="253"/>
      <c r="CC369" s="345"/>
      <c r="CD369" s="253"/>
      <c r="CE369" s="256"/>
      <c r="CF369" s="253"/>
      <c r="CG369" s="253"/>
      <c r="CH369" s="345"/>
      <c r="CI369" s="253"/>
      <c r="CJ369" s="256"/>
      <c r="CK369" s="253"/>
      <c r="CL369" s="253"/>
      <c r="CM369" s="345"/>
      <c r="CN369" s="253"/>
      <c r="CO369" s="256"/>
      <c r="CP369" s="253"/>
      <c r="CQ369" s="253"/>
      <c r="CR369" s="345"/>
      <c r="CS369" s="253"/>
      <c r="CT369" s="256"/>
      <c r="CU369" s="253"/>
      <c r="CV369" s="253"/>
      <c r="CW369" s="345"/>
      <c r="CX369" s="253"/>
      <c r="CY369" s="256"/>
      <c r="CZ369" s="253"/>
      <c r="DA369" s="253"/>
      <c r="DB369" s="345"/>
      <c r="DC369" s="253"/>
      <c r="DD369" s="256"/>
      <c r="DE369" s="253"/>
      <c r="DF369" s="253"/>
      <c r="DG369" s="345"/>
      <c r="DH369" s="253"/>
      <c r="DI369" s="256"/>
      <c r="DJ369" s="253"/>
      <c r="DK369" s="253"/>
      <c r="DL369" s="345"/>
      <c r="DM369" s="253"/>
      <c r="DN369" s="256"/>
      <c r="DO369" s="253"/>
      <c r="DP369" s="253"/>
      <c r="DQ369" s="345"/>
      <c r="DR369" s="253"/>
      <c r="DS369" s="256"/>
      <c r="DT369" s="253"/>
      <c r="DU369" s="253"/>
      <c r="DV369" s="345"/>
      <c r="DW369" s="253"/>
      <c r="DX369" s="256"/>
      <c r="DY369" s="253"/>
      <c r="DZ369" s="253"/>
      <c r="EA369" s="345"/>
      <c r="EB369" s="253"/>
      <c r="EC369" s="256"/>
      <c r="ED369" s="253"/>
      <c r="EE369" s="253"/>
      <c r="EF369" s="345"/>
      <c r="EG369" s="253"/>
      <c r="EH369" s="256"/>
      <c r="EI369" s="253"/>
      <c r="EJ369" s="253"/>
      <c r="EK369" s="345"/>
      <c r="EL369" s="253"/>
      <c r="EM369" s="256"/>
      <c r="EN369" s="253"/>
      <c r="EO369" s="253"/>
      <c r="EP369" s="345"/>
      <c r="EQ369" s="253"/>
      <c r="ER369" s="256"/>
      <c r="ES369" s="253"/>
      <c r="ET369" s="253"/>
      <c r="EU369" s="345"/>
      <c r="EV369" s="253"/>
      <c r="EW369" s="256"/>
      <c r="EX369" s="253"/>
      <c r="EY369" s="253"/>
      <c r="EZ369" s="345"/>
      <c r="FA369" s="253"/>
      <c r="FB369" s="256"/>
      <c r="FC369" s="253"/>
      <c r="FD369" s="253"/>
      <c r="FE369" s="345"/>
      <c r="FF369" s="253"/>
      <c r="FG369" s="256"/>
      <c r="FH369" s="253"/>
      <c r="FI369" s="253"/>
      <c r="FJ369" s="345"/>
      <c r="FK369" s="253"/>
      <c r="FL369" s="256"/>
      <c r="FM369" s="253"/>
      <c r="FN369" s="253"/>
      <c r="FO369" s="345"/>
      <c r="FP369" s="253"/>
      <c r="FQ369" s="256"/>
      <c r="FR369" s="253"/>
      <c r="FS369" s="253"/>
      <c r="FT369" s="345"/>
      <c r="FU369" s="253"/>
      <c r="FV369" s="256"/>
      <c r="FW369" s="253"/>
      <c r="FX369" s="253"/>
      <c r="FY369" s="345"/>
      <c r="FZ369" s="253"/>
      <c r="GA369" s="256"/>
      <c r="GB369" s="253"/>
      <c r="GC369" s="253"/>
      <c r="GD369" s="345"/>
      <c r="GE369" s="253"/>
      <c r="GF369" s="256"/>
      <c r="GG369" s="253"/>
      <c r="GH369" s="253"/>
      <c r="GI369" s="345"/>
      <c r="GJ369" s="253"/>
      <c r="GK369" s="256"/>
      <c r="GL369" s="253"/>
      <c r="GM369" s="253"/>
      <c r="GN369" s="345"/>
      <c r="GO369" s="253"/>
      <c r="GP369" s="256"/>
      <c r="GQ369" s="253"/>
      <c r="GR369" s="253"/>
      <c r="GS369" s="345"/>
      <c r="GT369" s="253"/>
      <c r="GU369" s="256"/>
      <c r="GV369" s="253"/>
      <c r="GW369" s="253"/>
      <c r="GX369" s="345"/>
      <c r="GY369" s="253"/>
      <c r="GZ369" s="256"/>
      <c r="HA369" s="253"/>
      <c r="HB369" s="253"/>
      <c r="HC369" s="345"/>
      <c r="HD369" s="253"/>
      <c r="HE369" s="256"/>
      <c r="HF369" s="253"/>
      <c r="HG369" s="253"/>
      <c r="HH369" s="345"/>
      <c r="HI369" s="253"/>
      <c r="HJ369" s="256"/>
      <c r="HK369" s="253"/>
      <c r="HL369" s="253"/>
      <c r="HM369" s="345"/>
      <c r="HN369" s="253"/>
      <c r="HO369" s="256"/>
      <c r="HP369" s="253"/>
      <c r="HQ369" s="253"/>
      <c r="HR369" s="345"/>
      <c r="HS369" s="253"/>
      <c r="HT369" s="256"/>
      <c r="HU369" s="253"/>
      <c r="HV369" s="253"/>
      <c r="HW369" s="345"/>
      <c r="HX369" s="253"/>
      <c r="HY369" s="256"/>
      <c r="HZ369" s="253"/>
      <c r="IA369" s="253"/>
      <c r="IB369" s="345"/>
      <c r="IC369" s="253"/>
      <c r="ID369" s="256"/>
      <c r="IE369" s="253"/>
      <c r="IF369" s="253"/>
      <c r="IG369" s="345"/>
      <c r="IH369" s="253"/>
      <c r="II369" s="256"/>
      <c r="IJ369" s="253"/>
      <c r="IK369" s="253"/>
      <c r="IL369" s="345"/>
      <c r="IM369" s="253"/>
      <c r="IN369" s="256"/>
      <c r="IO369" s="253"/>
      <c r="IP369" s="253"/>
      <c r="IQ369" s="345"/>
      <c r="IR369" s="253"/>
      <c r="IS369" s="256"/>
      <c r="IT369" s="253"/>
      <c r="IU369" s="253"/>
      <c r="IV369" s="345"/>
    </row>
    <row r="370" spans="1:256" x14ac:dyDescent="0.2">
      <c r="A370" s="345">
        <v>38776</v>
      </c>
      <c r="B370" s="253"/>
      <c r="C370" s="256"/>
      <c r="D370" s="253"/>
      <c r="E370" s="253"/>
      <c r="F370" s="345"/>
      <c r="G370" s="253"/>
      <c r="H370" s="256"/>
      <c r="I370" s="253"/>
      <c r="J370" s="253"/>
      <c r="K370" s="345"/>
      <c r="L370" s="253"/>
      <c r="M370" s="256"/>
      <c r="N370" s="253"/>
      <c r="O370" s="253"/>
      <c r="P370" s="345"/>
      <c r="Q370" s="253"/>
      <c r="R370" s="256"/>
      <c r="S370" s="253"/>
      <c r="T370" s="253"/>
      <c r="U370" s="345"/>
      <c r="V370" s="253"/>
      <c r="W370" s="256"/>
      <c r="X370" s="253"/>
      <c r="Y370" s="253"/>
      <c r="Z370" s="345"/>
      <c r="AA370" s="253"/>
      <c r="AB370" s="256"/>
      <c r="AC370" s="253"/>
      <c r="AD370" s="253"/>
      <c r="AE370" s="345"/>
      <c r="AF370" s="253"/>
      <c r="AG370" s="256"/>
      <c r="AH370" s="253"/>
      <c r="AI370" s="253"/>
      <c r="AJ370" s="345"/>
      <c r="AK370" s="253"/>
      <c r="AL370" s="256"/>
      <c r="AM370" s="253"/>
      <c r="AN370" s="253"/>
      <c r="AO370" s="345"/>
      <c r="AP370" s="253"/>
      <c r="AQ370" s="256"/>
      <c r="AR370" s="253"/>
      <c r="AS370" s="253"/>
      <c r="AT370" s="345"/>
      <c r="AU370" s="253"/>
      <c r="AV370" s="256"/>
      <c r="AW370" s="253"/>
      <c r="AX370" s="253"/>
      <c r="AY370" s="345"/>
      <c r="AZ370" s="253"/>
      <c r="BA370" s="256"/>
      <c r="BB370" s="253"/>
      <c r="BC370" s="253"/>
      <c r="BD370" s="345"/>
      <c r="BE370" s="253"/>
      <c r="BF370" s="256"/>
      <c r="BG370" s="253"/>
      <c r="BH370" s="253"/>
      <c r="BI370" s="345"/>
      <c r="BJ370" s="253"/>
      <c r="BK370" s="256"/>
      <c r="BL370" s="253"/>
      <c r="BM370" s="253"/>
      <c r="BN370" s="345"/>
      <c r="BO370" s="253"/>
      <c r="BP370" s="256"/>
      <c r="BQ370" s="253"/>
      <c r="BR370" s="253"/>
      <c r="BS370" s="345"/>
      <c r="BT370" s="253"/>
      <c r="BU370" s="256"/>
      <c r="BV370" s="253"/>
      <c r="BW370" s="253"/>
      <c r="BX370" s="345"/>
      <c r="BY370" s="253"/>
      <c r="BZ370" s="256"/>
      <c r="CA370" s="253"/>
      <c r="CB370" s="253"/>
      <c r="CC370" s="345"/>
      <c r="CD370" s="253"/>
      <c r="CE370" s="256"/>
      <c r="CF370" s="253"/>
      <c r="CG370" s="253"/>
      <c r="CH370" s="345"/>
      <c r="CI370" s="253"/>
      <c r="CJ370" s="256"/>
      <c r="CK370" s="253"/>
      <c r="CL370" s="253"/>
      <c r="CM370" s="345"/>
      <c r="CN370" s="253"/>
      <c r="CO370" s="256"/>
      <c r="CP370" s="253"/>
      <c r="CQ370" s="253"/>
      <c r="CR370" s="345"/>
      <c r="CS370" s="253"/>
      <c r="CT370" s="256"/>
      <c r="CU370" s="253"/>
      <c r="CV370" s="253"/>
      <c r="CW370" s="345"/>
      <c r="CX370" s="253"/>
      <c r="CY370" s="256"/>
      <c r="CZ370" s="253"/>
      <c r="DA370" s="253"/>
      <c r="DB370" s="345"/>
      <c r="DC370" s="253"/>
      <c r="DD370" s="256"/>
      <c r="DE370" s="253"/>
      <c r="DF370" s="253"/>
      <c r="DG370" s="345"/>
      <c r="DH370" s="253"/>
      <c r="DI370" s="256"/>
      <c r="DJ370" s="253"/>
      <c r="DK370" s="253"/>
      <c r="DL370" s="345"/>
      <c r="DM370" s="253"/>
      <c r="DN370" s="256"/>
      <c r="DO370" s="253"/>
      <c r="DP370" s="253"/>
      <c r="DQ370" s="345"/>
      <c r="DR370" s="253"/>
      <c r="DS370" s="256"/>
      <c r="DT370" s="253"/>
      <c r="DU370" s="253"/>
      <c r="DV370" s="345"/>
      <c r="DW370" s="253"/>
      <c r="DX370" s="256"/>
      <c r="DY370" s="253"/>
      <c r="DZ370" s="253"/>
      <c r="EA370" s="345"/>
      <c r="EB370" s="253"/>
      <c r="EC370" s="256"/>
      <c r="ED370" s="253"/>
      <c r="EE370" s="253"/>
      <c r="EF370" s="345"/>
      <c r="EG370" s="253"/>
      <c r="EH370" s="256"/>
      <c r="EI370" s="253"/>
      <c r="EJ370" s="253"/>
      <c r="EK370" s="345"/>
      <c r="EL370" s="253"/>
      <c r="EM370" s="256"/>
      <c r="EN370" s="253"/>
      <c r="EO370" s="253"/>
      <c r="EP370" s="345"/>
      <c r="EQ370" s="253"/>
      <c r="ER370" s="256"/>
      <c r="ES370" s="253"/>
      <c r="ET370" s="253"/>
      <c r="EU370" s="345"/>
      <c r="EV370" s="253"/>
      <c r="EW370" s="256"/>
      <c r="EX370" s="253"/>
      <c r="EY370" s="253"/>
      <c r="EZ370" s="345"/>
      <c r="FA370" s="253"/>
      <c r="FB370" s="256"/>
      <c r="FC370" s="253"/>
      <c r="FD370" s="253"/>
      <c r="FE370" s="345"/>
      <c r="FF370" s="253"/>
      <c r="FG370" s="256"/>
      <c r="FH370" s="253"/>
      <c r="FI370" s="253"/>
      <c r="FJ370" s="345"/>
      <c r="FK370" s="253"/>
      <c r="FL370" s="256"/>
      <c r="FM370" s="253"/>
      <c r="FN370" s="253"/>
      <c r="FO370" s="345"/>
      <c r="FP370" s="253"/>
      <c r="FQ370" s="256"/>
      <c r="FR370" s="253"/>
      <c r="FS370" s="253"/>
      <c r="FT370" s="345"/>
      <c r="FU370" s="253"/>
      <c r="FV370" s="256"/>
      <c r="FW370" s="253"/>
      <c r="FX370" s="253"/>
      <c r="FY370" s="345"/>
      <c r="FZ370" s="253"/>
      <c r="GA370" s="256"/>
      <c r="GB370" s="253"/>
      <c r="GC370" s="253"/>
      <c r="GD370" s="345"/>
      <c r="GE370" s="253"/>
      <c r="GF370" s="256"/>
      <c r="GG370" s="253"/>
      <c r="GH370" s="253"/>
      <c r="GI370" s="345"/>
      <c r="GJ370" s="253"/>
      <c r="GK370" s="256"/>
      <c r="GL370" s="253"/>
      <c r="GM370" s="253"/>
      <c r="GN370" s="345"/>
      <c r="GO370" s="253"/>
      <c r="GP370" s="256"/>
      <c r="GQ370" s="253"/>
      <c r="GR370" s="253"/>
      <c r="GS370" s="345"/>
      <c r="GT370" s="253"/>
      <c r="GU370" s="256"/>
      <c r="GV370" s="253"/>
      <c r="GW370" s="253"/>
      <c r="GX370" s="345"/>
      <c r="GY370" s="253"/>
      <c r="GZ370" s="256"/>
      <c r="HA370" s="253"/>
      <c r="HB370" s="253"/>
      <c r="HC370" s="345"/>
      <c r="HD370" s="253"/>
      <c r="HE370" s="256"/>
      <c r="HF370" s="253"/>
      <c r="HG370" s="253"/>
      <c r="HH370" s="345"/>
      <c r="HI370" s="253"/>
      <c r="HJ370" s="256"/>
      <c r="HK370" s="253"/>
      <c r="HL370" s="253"/>
      <c r="HM370" s="345"/>
      <c r="HN370" s="253"/>
      <c r="HO370" s="256"/>
      <c r="HP370" s="253"/>
      <c r="HQ370" s="253"/>
      <c r="HR370" s="345"/>
      <c r="HS370" s="253"/>
      <c r="HT370" s="256"/>
      <c r="HU370" s="253"/>
      <c r="HV370" s="253"/>
      <c r="HW370" s="345"/>
      <c r="HX370" s="253"/>
      <c r="HY370" s="256"/>
      <c r="HZ370" s="253"/>
      <c r="IA370" s="253"/>
      <c r="IB370" s="345"/>
      <c r="IC370" s="253"/>
      <c r="ID370" s="256"/>
      <c r="IE370" s="253"/>
      <c r="IF370" s="253"/>
      <c r="IG370" s="345"/>
      <c r="IH370" s="253"/>
      <c r="II370" s="256"/>
      <c r="IJ370" s="253"/>
      <c r="IK370" s="253"/>
      <c r="IL370" s="345"/>
      <c r="IM370" s="253"/>
      <c r="IN370" s="256"/>
      <c r="IO370" s="253"/>
      <c r="IP370" s="253"/>
      <c r="IQ370" s="345"/>
      <c r="IR370" s="253"/>
      <c r="IS370" s="256"/>
      <c r="IT370" s="253"/>
      <c r="IU370" s="253"/>
      <c r="IV370" s="345"/>
    </row>
    <row r="371" spans="1:256" x14ac:dyDescent="0.2">
      <c r="A371" s="345">
        <v>38807</v>
      </c>
      <c r="B371" s="76"/>
      <c r="C371" s="334"/>
      <c r="D371" s="253"/>
      <c r="E371" s="253"/>
      <c r="F371" s="345"/>
      <c r="G371" s="128"/>
      <c r="H371" s="366"/>
      <c r="I371" s="253"/>
      <c r="J371" s="253"/>
      <c r="K371" s="345"/>
      <c r="L371" s="128"/>
      <c r="M371" s="366"/>
      <c r="N371" s="253"/>
      <c r="O371" s="253"/>
      <c r="P371" s="345"/>
      <c r="Q371" s="128"/>
      <c r="R371" s="366"/>
      <c r="S371" s="253"/>
      <c r="T371" s="253"/>
      <c r="U371" s="345"/>
      <c r="V371" s="128"/>
      <c r="W371" s="366"/>
      <c r="X371" s="253"/>
      <c r="Y371" s="253"/>
      <c r="Z371" s="345"/>
      <c r="AA371" s="128"/>
      <c r="AB371" s="366"/>
      <c r="AC371" s="253"/>
      <c r="AD371" s="253"/>
      <c r="AE371" s="345"/>
      <c r="AF371" s="128"/>
      <c r="AG371" s="366"/>
      <c r="AH371" s="253"/>
      <c r="AI371" s="253"/>
      <c r="AJ371" s="345"/>
      <c r="AK371" s="128"/>
      <c r="AL371" s="366"/>
      <c r="AM371" s="253"/>
      <c r="AN371" s="253"/>
      <c r="AO371" s="345"/>
      <c r="AP371" s="128"/>
      <c r="AQ371" s="366"/>
      <c r="AR371" s="253"/>
      <c r="AS371" s="253"/>
      <c r="AT371" s="345"/>
      <c r="AU371" s="128"/>
      <c r="AV371" s="366"/>
      <c r="AW371" s="253"/>
      <c r="AX371" s="253"/>
      <c r="AY371" s="345"/>
      <c r="AZ371" s="128"/>
      <c r="BA371" s="366"/>
      <c r="BB371" s="253"/>
      <c r="BC371" s="253"/>
      <c r="BD371" s="345"/>
      <c r="BE371" s="128"/>
      <c r="BF371" s="366"/>
      <c r="BG371" s="253"/>
      <c r="BH371" s="253"/>
      <c r="BI371" s="345"/>
      <c r="BJ371" s="128"/>
      <c r="BK371" s="366"/>
      <c r="BL371" s="253"/>
      <c r="BM371" s="253"/>
      <c r="BN371" s="345"/>
      <c r="BO371" s="128"/>
      <c r="BP371" s="366"/>
      <c r="BQ371" s="253"/>
      <c r="BR371" s="253"/>
      <c r="BS371" s="345"/>
      <c r="BT371" s="128"/>
      <c r="BU371" s="366"/>
      <c r="BV371" s="253"/>
      <c r="BW371" s="253"/>
      <c r="BX371" s="345"/>
      <c r="BY371" s="128"/>
      <c r="BZ371" s="366"/>
      <c r="CA371" s="253"/>
      <c r="CB371" s="253"/>
      <c r="CC371" s="345"/>
      <c r="CD371" s="128"/>
      <c r="CE371" s="366"/>
      <c r="CF371" s="253"/>
      <c r="CG371" s="253"/>
      <c r="CH371" s="345"/>
      <c r="CI371" s="128"/>
      <c r="CJ371" s="366"/>
      <c r="CK371" s="253"/>
      <c r="CL371" s="253"/>
      <c r="CM371" s="345"/>
      <c r="CN371" s="128"/>
      <c r="CO371" s="366"/>
      <c r="CP371" s="253"/>
      <c r="CQ371" s="253"/>
      <c r="CR371" s="345"/>
      <c r="CS371" s="128"/>
      <c r="CT371" s="366"/>
      <c r="CU371" s="253"/>
      <c r="CV371" s="253"/>
      <c r="CW371" s="345"/>
      <c r="CX371" s="128"/>
      <c r="CY371" s="366"/>
      <c r="CZ371" s="253"/>
      <c r="DA371" s="253"/>
      <c r="DB371" s="345"/>
      <c r="DC371" s="128"/>
      <c r="DD371" s="366"/>
      <c r="DE371" s="253"/>
      <c r="DF371" s="253"/>
      <c r="DG371" s="345"/>
      <c r="DH371" s="128"/>
      <c r="DI371" s="366"/>
      <c r="DJ371" s="253"/>
      <c r="DK371" s="253"/>
      <c r="DL371" s="345"/>
      <c r="DM371" s="128"/>
      <c r="DN371" s="366"/>
      <c r="DO371" s="253"/>
      <c r="DP371" s="253"/>
      <c r="DQ371" s="345"/>
      <c r="DR371" s="128"/>
      <c r="DS371" s="366"/>
      <c r="DT371" s="253"/>
      <c r="DU371" s="253"/>
      <c r="DV371" s="345"/>
      <c r="DW371" s="128"/>
      <c r="DX371" s="366"/>
      <c r="DY371" s="253"/>
      <c r="DZ371" s="253"/>
      <c r="EA371" s="345"/>
      <c r="EB371" s="128"/>
      <c r="EC371" s="366"/>
      <c r="ED371" s="253"/>
      <c r="EE371" s="253"/>
      <c r="EF371" s="345"/>
      <c r="EG371" s="128"/>
      <c r="EH371" s="366"/>
      <c r="EI371" s="253"/>
      <c r="EJ371" s="253"/>
      <c r="EK371" s="345"/>
      <c r="EL371" s="128"/>
      <c r="EM371" s="366"/>
      <c r="EN371" s="253"/>
      <c r="EO371" s="253"/>
      <c r="EP371" s="345"/>
      <c r="EQ371" s="128"/>
      <c r="ER371" s="366"/>
      <c r="ES371" s="253"/>
      <c r="ET371" s="253"/>
      <c r="EU371" s="345"/>
      <c r="EV371" s="128"/>
      <c r="EW371" s="366"/>
      <c r="EX371" s="253"/>
      <c r="EY371" s="253"/>
      <c r="EZ371" s="345"/>
      <c r="FA371" s="128"/>
      <c r="FB371" s="366"/>
      <c r="FC371" s="253"/>
      <c r="FD371" s="253"/>
      <c r="FE371" s="345"/>
      <c r="FF371" s="128"/>
      <c r="FG371" s="366"/>
      <c r="FH371" s="253"/>
      <c r="FI371" s="253"/>
      <c r="FJ371" s="345"/>
      <c r="FK371" s="128"/>
      <c r="FL371" s="366"/>
      <c r="FM371" s="253"/>
      <c r="FN371" s="253"/>
      <c r="FO371" s="345"/>
      <c r="FP371" s="128"/>
      <c r="FQ371" s="366"/>
      <c r="FR371" s="253"/>
      <c r="FS371" s="253"/>
      <c r="FT371" s="345"/>
      <c r="FU371" s="128"/>
      <c r="FV371" s="366"/>
      <c r="FW371" s="253"/>
      <c r="FX371" s="253"/>
      <c r="FY371" s="345"/>
      <c r="FZ371" s="128"/>
      <c r="GA371" s="366"/>
      <c r="GB371" s="253"/>
      <c r="GC371" s="253"/>
      <c r="GD371" s="345"/>
      <c r="GE371" s="128"/>
      <c r="GF371" s="366"/>
      <c r="GG371" s="253"/>
      <c r="GH371" s="253"/>
      <c r="GI371" s="345"/>
      <c r="GJ371" s="128"/>
      <c r="GK371" s="366"/>
      <c r="GL371" s="253"/>
      <c r="GM371" s="253"/>
      <c r="GN371" s="345"/>
      <c r="GO371" s="128"/>
      <c r="GP371" s="366"/>
      <c r="GQ371" s="253"/>
      <c r="GR371" s="253"/>
      <c r="GS371" s="345"/>
      <c r="GT371" s="128"/>
      <c r="GU371" s="366"/>
      <c r="GV371" s="253"/>
      <c r="GW371" s="253"/>
      <c r="GX371" s="345"/>
      <c r="GY371" s="128"/>
      <c r="GZ371" s="366"/>
      <c r="HA371" s="253"/>
      <c r="HB371" s="253"/>
      <c r="HC371" s="345"/>
      <c r="HD371" s="128"/>
      <c r="HE371" s="366"/>
      <c r="HF371" s="253"/>
      <c r="HG371" s="253"/>
      <c r="HH371" s="345"/>
      <c r="HI371" s="128"/>
      <c r="HJ371" s="366"/>
      <c r="HK371" s="253"/>
      <c r="HL371" s="253"/>
      <c r="HM371" s="345"/>
      <c r="HN371" s="128"/>
      <c r="HO371" s="366"/>
      <c r="HP371" s="253"/>
      <c r="HQ371" s="253"/>
      <c r="HR371" s="345"/>
      <c r="HS371" s="128"/>
      <c r="HT371" s="366"/>
      <c r="HU371" s="253"/>
      <c r="HV371" s="253"/>
      <c r="HW371" s="345"/>
      <c r="HX371" s="128"/>
      <c r="HY371" s="366"/>
      <c r="HZ371" s="253"/>
      <c r="IA371" s="253"/>
      <c r="IB371" s="345"/>
      <c r="IC371" s="128"/>
      <c r="ID371" s="366"/>
      <c r="IE371" s="253"/>
      <c r="IF371" s="253"/>
      <c r="IG371" s="345"/>
      <c r="IH371" s="128"/>
      <c r="II371" s="366"/>
      <c r="IJ371" s="253"/>
      <c r="IK371" s="253"/>
      <c r="IL371" s="345"/>
      <c r="IM371" s="128"/>
      <c r="IN371" s="366"/>
      <c r="IO371" s="253"/>
      <c r="IP371" s="253"/>
      <c r="IQ371" s="345"/>
      <c r="IR371" s="128"/>
      <c r="IS371" s="366"/>
      <c r="IT371" s="253"/>
      <c r="IU371" s="253"/>
      <c r="IV371" s="345"/>
    </row>
    <row r="372" spans="1:256" x14ac:dyDescent="0.2">
      <c r="A372" s="345">
        <v>38837</v>
      </c>
      <c r="B372" s="76"/>
      <c r="C372" s="334"/>
      <c r="D372" s="253"/>
      <c r="E372" s="253"/>
      <c r="F372" s="345"/>
      <c r="G372" s="128"/>
      <c r="H372" s="366"/>
      <c r="I372" s="253"/>
      <c r="J372" s="253"/>
      <c r="K372" s="345"/>
      <c r="L372" s="128"/>
      <c r="M372" s="366"/>
      <c r="N372" s="253"/>
      <c r="O372" s="253"/>
      <c r="P372" s="345"/>
      <c r="Q372" s="128"/>
      <c r="R372" s="366"/>
      <c r="S372" s="253"/>
      <c r="T372" s="253"/>
      <c r="U372" s="345"/>
      <c r="V372" s="128"/>
      <c r="W372" s="366"/>
      <c r="X372" s="253"/>
      <c r="Y372" s="253"/>
      <c r="Z372" s="345"/>
      <c r="AA372" s="128"/>
      <c r="AB372" s="366"/>
      <c r="AC372" s="253"/>
      <c r="AD372" s="253"/>
      <c r="AE372" s="345"/>
      <c r="AF372" s="128"/>
      <c r="AG372" s="366"/>
      <c r="AH372" s="253"/>
      <c r="AI372" s="253"/>
      <c r="AJ372" s="345"/>
      <c r="AK372" s="128"/>
      <c r="AL372" s="366"/>
      <c r="AM372" s="253"/>
      <c r="AN372" s="253"/>
      <c r="AO372" s="345"/>
      <c r="AP372" s="128"/>
      <c r="AQ372" s="366"/>
      <c r="AR372" s="253"/>
      <c r="AS372" s="253"/>
      <c r="AT372" s="345"/>
      <c r="AU372" s="128"/>
      <c r="AV372" s="366"/>
      <c r="AW372" s="253"/>
      <c r="AX372" s="253"/>
      <c r="AY372" s="345"/>
      <c r="AZ372" s="128"/>
      <c r="BA372" s="366"/>
      <c r="BB372" s="253"/>
      <c r="BC372" s="253"/>
      <c r="BD372" s="345"/>
      <c r="BE372" s="128"/>
      <c r="BF372" s="366"/>
      <c r="BG372" s="253"/>
      <c r="BH372" s="253"/>
      <c r="BI372" s="345"/>
      <c r="BJ372" s="128"/>
      <c r="BK372" s="366"/>
      <c r="BL372" s="253"/>
      <c r="BM372" s="253"/>
      <c r="BN372" s="345"/>
      <c r="BO372" s="128"/>
      <c r="BP372" s="366"/>
      <c r="BQ372" s="253"/>
      <c r="BR372" s="253"/>
      <c r="BS372" s="345"/>
      <c r="BT372" s="128"/>
      <c r="BU372" s="366"/>
      <c r="BV372" s="253"/>
      <c r="BW372" s="253"/>
      <c r="BX372" s="345"/>
      <c r="BY372" s="128"/>
      <c r="BZ372" s="366"/>
      <c r="CA372" s="253"/>
      <c r="CB372" s="253"/>
      <c r="CC372" s="345"/>
      <c r="CD372" s="128"/>
      <c r="CE372" s="366"/>
      <c r="CF372" s="253"/>
      <c r="CG372" s="253"/>
      <c r="CH372" s="345"/>
      <c r="CI372" s="128"/>
      <c r="CJ372" s="366"/>
      <c r="CK372" s="253"/>
      <c r="CL372" s="253"/>
      <c r="CM372" s="345"/>
      <c r="CN372" s="128"/>
      <c r="CO372" s="366"/>
      <c r="CP372" s="253"/>
      <c r="CQ372" s="253"/>
      <c r="CR372" s="345"/>
      <c r="CS372" s="128"/>
      <c r="CT372" s="366"/>
      <c r="CU372" s="253"/>
      <c r="CV372" s="253"/>
      <c r="CW372" s="345"/>
      <c r="CX372" s="128"/>
      <c r="CY372" s="366"/>
      <c r="CZ372" s="253"/>
      <c r="DA372" s="253"/>
      <c r="DB372" s="345"/>
      <c r="DC372" s="128"/>
      <c r="DD372" s="366"/>
      <c r="DE372" s="253"/>
      <c r="DF372" s="253"/>
      <c r="DG372" s="345"/>
      <c r="DH372" s="128"/>
      <c r="DI372" s="366"/>
      <c r="DJ372" s="253"/>
      <c r="DK372" s="253"/>
      <c r="DL372" s="345"/>
      <c r="DM372" s="128"/>
      <c r="DN372" s="366"/>
      <c r="DO372" s="253"/>
      <c r="DP372" s="253"/>
      <c r="DQ372" s="345"/>
      <c r="DR372" s="128"/>
      <c r="DS372" s="366"/>
      <c r="DT372" s="253"/>
      <c r="DU372" s="253"/>
      <c r="DV372" s="345"/>
      <c r="DW372" s="128"/>
      <c r="DX372" s="366"/>
      <c r="DY372" s="253"/>
      <c r="DZ372" s="253"/>
      <c r="EA372" s="345"/>
      <c r="EB372" s="128"/>
      <c r="EC372" s="366"/>
      <c r="ED372" s="253"/>
      <c r="EE372" s="253"/>
      <c r="EF372" s="345"/>
      <c r="EG372" s="128"/>
      <c r="EH372" s="366"/>
      <c r="EI372" s="253"/>
      <c r="EJ372" s="253"/>
      <c r="EK372" s="345"/>
      <c r="EL372" s="128"/>
      <c r="EM372" s="366"/>
      <c r="EN372" s="253"/>
      <c r="EO372" s="253"/>
      <c r="EP372" s="345"/>
      <c r="EQ372" s="128"/>
      <c r="ER372" s="366"/>
      <c r="ES372" s="253"/>
      <c r="ET372" s="253"/>
      <c r="EU372" s="345"/>
      <c r="EV372" s="128"/>
      <c r="EW372" s="366"/>
      <c r="EX372" s="253"/>
      <c r="EY372" s="253"/>
      <c r="EZ372" s="345"/>
      <c r="FA372" s="128"/>
      <c r="FB372" s="366"/>
      <c r="FC372" s="253"/>
      <c r="FD372" s="253"/>
      <c r="FE372" s="345"/>
      <c r="FF372" s="128"/>
      <c r="FG372" s="366"/>
      <c r="FH372" s="253"/>
      <c r="FI372" s="253"/>
      <c r="FJ372" s="345"/>
      <c r="FK372" s="128"/>
      <c r="FL372" s="366"/>
      <c r="FM372" s="253"/>
      <c r="FN372" s="253"/>
      <c r="FO372" s="345"/>
      <c r="FP372" s="128"/>
      <c r="FQ372" s="366"/>
      <c r="FR372" s="253"/>
      <c r="FS372" s="253"/>
      <c r="FT372" s="345"/>
      <c r="FU372" s="128"/>
      <c r="FV372" s="366"/>
      <c r="FW372" s="253"/>
      <c r="FX372" s="253"/>
      <c r="FY372" s="345"/>
      <c r="FZ372" s="128"/>
      <c r="GA372" s="366"/>
      <c r="GB372" s="253"/>
      <c r="GC372" s="253"/>
      <c r="GD372" s="345"/>
      <c r="GE372" s="128"/>
      <c r="GF372" s="366"/>
      <c r="GG372" s="253"/>
      <c r="GH372" s="253"/>
      <c r="GI372" s="345"/>
      <c r="GJ372" s="128"/>
      <c r="GK372" s="366"/>
      <c r="GL372" s="253"/>
      <c r="GM372" s="253"/>
      <c r="GN372" s="345"/>
      <c r="GO372" s="128"/>
      <c r="GP372" s="366"/>
      <c r="GQ372" s="253"/>
      <c r="GR372" s="253"/>
      <c r="GS372" s="345"/>
      <c r="GT372" s="128"/>
      <c r="GU372" s="366"/>
      <c r="GV372" s="253"/>
      <c r="GW372" s="253"/>
      <c r="GX372" s="345"/>
      <c r="GY372" s="128"/>
      <c r="GZ372" s="366"/>
      <c r="HA372" s="253"/>
      <c r="HB372" s="253"/>
      <c r="HC372" s="345"/>
      <c r="HD372" s="128"/>
      <c r="HE372" s="366"/>
      <c r="HF372" s="253"/>
      <c r="HG372" s="253"/>
      <c r="HH372" s="345"/>
      <c r="HI372" s="128"/>
      <c r="HJ372" s="366"/>
      <c r="HK372" s="253"/>
      <c r="HL372" s="253"/>
      <c r="HM372" s="345"/>
      <c r="HN372" s="128"/>
      <c r="HO372" s="366"/>
      <c r="HP372" s="253"/>
      <c r="HQ372" s="253"/>
      <c r="HR372" s="345"/>
      <c r="HS372" s="128"/>
      <c r="HT372" s="366"/>
      <c r="HU372" s="253"/>
      <c r="HV372" s="253"/>
      <c r="HW372" s="345"/>
      <c r="HX372" s="128"/>
      <c r="HY372" s="366"/>
      <c r="HZ372" s="253"/>
      <c r="IA372" s="253"/>
      <c r="IB372" s="345"/>
      <c r="IC372" s="128"/>
      <c r="ID372" s="366"/>
      <c r="IE372" s="253"/>
      <c r="IF372" s="253"/>
      <c r="IG372" s="345"/>
      <c r="IH372" s="128"/>
      <c r="II372" s="366"/>
      <c r="IJ372" s="253"/>
      <c r="IK372" s="253"/>
      <c r="IL372" s="345"/>
      <c r="IM372" s="128"/>
      <c r="IN372" s="366"/>
      <c r="IO372" s="253"/>
      <c r="IP372" s="253"/>
      <c r="IQ372" s="345"/>
      <c r="IR372" s="128"/>
      <c r="IS372" s="366"/>
      <c r="IT372" s="253"/>
      <c r="IU372" s="253"/>
      <c r="IV372" s="345"/>
    </row>
    <row r="373" spans="1:256" x14ac:dyDescent="0.2">
      <c r="A373" s="345">
        <v>38868</v>
      </c>
      <c r="B373" s="76"/>
      <c r="C373" s="334"/>
      <c r="D373" s="253"/>
      <c r="E373" s="253"/>
      <c r="F373" s="345"/>
      <c r="G373" s="128"/>
      <c r="H373" s="366"/>
      <c r="I373" s="253"/>
      <c r="J373" s="253"/>
      <c r="K373" s="345"/>
      <c r="L373" s="128"/>
      <c r="M373" s="366"/>
      <c r="N373" s="253"/>
      <c r="O373" s="253"/>
      <c r="P373" s="345"/>
      <c r="Q373" s="128"/>
      <c r="R373" s="366"/>
      <c r="S373" s="253"/>
      <c r="T373" s="253"/>
      <c r="U373" s="345"/>
      <c r="V373" s="128"/>
      <c r="W373" s="366"/>
      <c r="X373" s="253"/>
      <c r="Y373" s="253"/>
      <c r="Z373" s="345"/>
      <c r="AA373" s="128"/>
      <c r="AB373" s="366"/>
      <c r="AC373" s="253"/>
      <c r="AD373" s="253"/>
      <c r="AE373" s="345"/>
      <c r="AF373" s="128"/>
      <c r="AG373" s="366"/>
      <c r="AH373" s="253"/>
      <c r="AI373" s="253"/>
      <c r="AJ373" s="345"/>
      <c r="AK373" s="128"/>
      <c r="AL373" s="366"/>
      <c r="AM373" s="253"/>
      <c r="AN373" s="253"/>
      <c r="AO373" s="345"/>
      <c r="AP373" s="128"/>
      <c r="AQ373" s="366"/>
      <c r="AR373" s="253"/>
      <c r="AS373" s="253"/>
      <c r="AT373" s="345"/>
      <c r="AU373" s="128"/>
      <c r="AV373" s="366"/>
      <c r="AW373" s="253"/>
      <c r="AX373" s="253"/>
      <c r="AY373" s="345"/>
      <c r="AZ373" s="128"/>
      <c r="BA373" s="366"/>
      <c r="BB373" s="253"/>
      <c r="BC373" s="253"/>
      <c r="BD373" s="345"/>
      <c r="BE373" s="128"/>
      <c r="BF373" s="366"/>
      <c r="BG373" s="253"/>
      <c r="BH373" s="253"/>
      <c r="BI373" s="345"/>
      <c r="BJ373" s="128"/>
      <c r="BK373" s="366"/>
      <c r="BL373" s="253"/>
      <c r="BM373" s="253"/>
      <c r="BN373" s="345"/>
      <c r="BO373" s="128"/>
      <c r="BP373" s="366"/>
      <c r="BQ373" s="253"/>
      <c r="BR373" s="253"/>
      <c r="BS373" s="345"/>
      <c r="BT373" s="128"/>
      <c r="BU373" s="366"/>
      <c r="BV373" s="253"/>
      <c r="BW373" s="253"/>
      <c r="BX373" s="345"/>
      <c r="BY373" s="128"/>
      <c r="BZ373" s="366"/>
      <c r="CA373" s="253"/>
      <c r="CB373" s="253"/>
      <c r="CC373" s="345"/>
      <c r="CD373" s="128"/>
      <c r="CE373" s="366"/>
      <c r="CF373" s="253"/>
      <c r="CG373" s="253"/>
      <c r="CH373" s="345"/>
      <c r="CI373" s="128"/>
      <c r="CJ373" s="366"/>
      <c r="CK373" s="253"/>
      <c r="CL373" s="253"/>
      <c r="CM373" s="345"/>
      <c r="CN373" s="128"/>
      <c r="CO373" s="366"/>
      <c r="CP373" s="253"/>
      <c r="CQ373" s="253"/>
      <c r="CR373" s="345"/>
      <c r="CS373" s="128"/>
      <c r="CT373" s="366"/>
      <c r="CU373" s="253"/>
      <c r="CV373" s="253"/>
      <c r="CW373" s="345"/>
      <c r="CX373" s="128"/>
      <c r="CY373" s="366"/>
      <c r="CZ373" s="253"/>
      <c r="DA373" s="253"/>
      <c r="DB373" s="345"/>
      <c r="DC373" s="128"/>
      <c r="DD373" s="366"/>
      <c r="DE373" s="253"/>
      <c r="DF373" s="253"/>
      <c r="DG373" s="345"/>
      <c r="DH373" s="128"/>
      <c r="DI373" s="366"/>
      <c r="DJ373" s="253"/>
      <c r="DK373" s="253"/>
      <c r="DL373" s="345"/>
      <c r="DM373" s="128"/>
      <c r="DN373" s="366"/>
      <c r="DO373" s="253"/>
      <c r="DP373" s="253"/>
      <c r="DQ373" s="345"/>
      <c r="DR373" s="128"/>
      <c r="DS373" s="366"/>
      <c r="DT373" s="253"/>
      <c r="DU373" s="253"/>
      <c r="DV373" s="345"/>
      <c r="DW373" s="128"/>
      <c r="DX373" s="366"/>
      <c r="DY373" s="253"/>
      <c r="DZ373" s="253"/>
      <c r="EA373" s="345"/>
      <c r="EB373" s="128"/>
      <c r="EC373" s="366"/>
      <c r="ED373" s="253"/>
      <c r="EE373" s="253"/>
      <c r="EF373" s="345"/>
      <c r="EG373" s="128"/>
      <c r="EH373" s="366"/>
      <c r="EI373" s="253"/>
      <c r="EJ373" s="253"/>
      <c r="EK373" s="345"/>
      <c r="EL373" s="128"/>
      <c r="EM373" s="366"/>
      <c r="EN373" s="253"/>
      <c r="EO373" s="253"/>
      <c r="EP373" s="345"/>
      <c r="EQ373" s="128"/>
      <c r="ER373" s="366"/>
      <c r="ES373" s="253"/>
      <c r="ET373" s="253"/>
      <c r="EU373" s="345"/>
      <c r="EV373" s="128"/>
      <c r="EW373" s="366"/>
      <c r="EX373" s="253"/>
      <c r="EY373" s="253"/>
      <c r="EZ373" s="345"/>
      <c r="FA373" s="128"/>
      <c r="FB373" s="366"/>
      <c r="FC373" s="253"/>
      <c r="FD373" s="253"/>
      <c r="FE373" s="345"/>
      <c r="FF373" s="128"/>
      <c r="FG373" s="366"/>
      <c r="FH373" s="253"/>
      <c r="FI373" s="253"/>
      <c r="FJ373" s="345"/>
      <c r="FK373" s="128"/>
      <c r="FL373" s="366"/>
      <c r="FM373" s="253"/>
      <c r="FN373" s="253"/>
      <c r="FO373" s="345"/>
      <c r="FP373" s="128"/>
      <c r="FQ373" s="366"/>
      <c r="FR373" s="253"/>
      <c r="FS373" s="253"/>
      <c r="FT373" s="345"/>
      <c r="FU373" s="128"/>
      <c r="FV373" s="366"/>
      <c r="FW373" s="253"/>
      <c r="FX373" s="253"/>
      <c r="FY373" s="345"/>
      <c r="FZ373" s="128"/>
      <c r="GA373" s="366"/>
      <c r="GB373" s="253"/>
      <c r="GC373" s="253"/>
      <c r="GD373" s="345"/>
      <c r="GE373" s="128"/>
      <c r="GF373" s="366"/>
      <c r="GG373" s="253"/>
      <c r="GH373" s="253"/>
      <c r="GI373" s="345"/>
      <c r="GJ373" s="128"/>
      <c r="GK373" s="366"/>
      <c r="GL373" s="253"/>
      <c r="GM373" s="253"/>
      <c r="GN373" s="345"/>
      <c r="GO373" s="128"/>
      <c r="GP373" s="366"/>
      <c r="GQ373" s="253"/>
      <c r="GR373" s="253"/>
      <c r="GS373" s="345"/>
      <c r="GT373" s="128"/>
      <c r="GU373" s="366"/>
      <c r="GV373" s="253"/>
      <c r="GW373" s="253"/>
      <c r="GX373" s="345"/>
      <c r="GY373" s="128"/>
      <c r="GZ373" s="366"/>
      <c r="HA373" s="253"/>
      <c r="HB373" s="253"/>
      <c r="HC373" s="345"/>
      <c r="HD373" s="128"/>
      <c r="HE373" s="366"/>
      <c r="HF373" s="253"/>
      <c r="HG373" s="253"/>
      <c r="HH373" s="345"/>
      <c r="HI373" s="128"/>
      <c r="HJ373" s="366"/>
      <c r="HK373" s="253"/>
      <c r="HL373" s="253"/>
      <c r="HM373" s="345"/>
      <c r="HN373" s="128"/>
      <c r="HO373" s="366"/>
      <c r="HP373" s="253"/>
      <c r="HQ373" s="253"/>
      <c r="HR373" s="345"/>
      <c r="HS373" s="128"/>
      <c r="HT373" s="366"/>
      <c r="HU373" s="253"/>
      <c r="HV373" s="253"/>
      <c r="HW373" s="345"/>
      <c r="HX373" s="128"/>
      <c r="HY373" s="366"/>
      <c r="HZ373" s="253"/>
      <c r="IA373" s="253"/>
      <c r="IB373" s="345"/>
      <c r="IC373" s="128"/>
      <c r="ID373" s="366"/>
      <c r="IE373" s="253"/>
      <c r="IF373" s="253"/>
      <c r="IG373" s="345"/>
      <c r="IH373" s="128"/>
      <c r="II373" s="366"/>
      <c r="IJ373" s="253"/>
      <c r="IK373" s="253"/>
      <c r="IL373" s="345"/>
      <c r="IM373" s="128"/>
      <c r="IN373" s="366"/>
      <c r="IO373" s="253"/>
      <c r="IP373" s="253"/>
      <c r="IQ373" s="345"/>
      <c r="IR373" s="128"/>
      <c r="IS373" s="366"/>
      <c r="IT373" s="253"/>
      <c r="IU373" s="253"/>
      <c r="IV373" s="345"/>
    </row>
    <row r="374" spans="1:256" x14ac:dyDescent="0.2">
      <c r="A374" s="345">
        <v>38898</v>
      </c>
      <c r="B374" s="76"/>
      <c r="C374" s="232"/>
      <c r="D374" s="253"/>
      <c r="E374" s="253"/>
      <c r="F374" s="345"/>
      <c r="G374" s="128"/>
      <c r="H374" s="128"/>
      <c r="I374" s="253"/>
      <c r="J374" s="253"/>
      <c r="K374" s="345"/>
      <c r="L374" s="128"/>
      <c r="M374" s="128"/>
      <c r="N374" s="253"/>
      <c r="O374" s="253"/>
      <c r="P374" s="345"/>
      <c r="Q374" s="128"/>
      <c r="R374" s="128"/>
      <c r="S374" s="253"/>
      <c r="T374" s="253"/>
      <c r="U374" s="345"/>
      <c r="V374" s="128"/>
      <c r="W374" s="128"/>
      <c r="X374" s="253"/>
      <c r="Y374" s="253"/>
      <c r="Z374" s="345"/>
      <c r="AA374" s="128"/>
      <c r="AB374" s="128"/>
      <c r="AC374" s="253"/>
      <c r="AD374" s="253"/>
      <c r="AE374" s="345"/>
      <c r="AF374" s="128"/>
      <c r="AG374" s="128"/>
      <c r="AH374" s="253"/>
      <c r="AI374" s="253"/>
      <c r="AJ374" s="345"/>
      <c r="AK374" s="128"/>
      <c r="AL374" s="128"/>
      <c r="AM374" s="253"/>
      <c r="AN374" s="253"/>
      <c r="AO374" s="345"/>
      <c r="AP374" s="128"/>
      <c r="AQ374" s="128"/>
      <c r="AR374" s="253"/>
      <c r="AS374" s="253"/>
      <c r="AT374" s="345"/>
      <c r="AU374" s="128"/>
      <c r="AV374" s="128"/>
      <c r="AW374" s="253"/>
      <c r="AX374" s="253"/>
      <c r="AY374" s="345"/>
      <c r="AZ374" s="128"/>
      <c r="BA374" s="128"/>
      <c r="BB374" s="253"/>
      <c r="BC374" s="253"/>
      <c r="BD374" s="345"/>
      <c r="BE374" s="128"/>
      <c r="BF374" s="128"/>
      <c r="BG374" s="253"/>
      <c r="BH374" s="253"/>
      <c r="BI374" s="345"/>
      <c r="BJ374" s="128"/>
      <c r="BK374" s="128"/>
      <c r="BL374" s="253"/>
      <c r="BM374" s="253"/>
      <c r="BN374" s="345"/>
      <c r="BO374" s="128"/>
      <c r="BP374" s="128"/>
      <c r="BQ374" s="253"/>
      <c r="BR374" s="253"/>
      <c r="BS374" s="345"/>
      <c r="BT374" s="128"/>
      <c r="BU374" s="128"/>
      <c r="BV374" s="253"/>
      <c r="BW374" s="253"/>
      <c r="BX374" s="345"/>
      <c r="BY374" s="128"/>
      <c r="BZ374" s="128"/>
      <c r="CA374" s="253"/>
      <c r="CB374" s="253"/>
      <c r="CC374" s="345"/>
      <c r="CD374" s="128"/>
      <c r="CE374" s="128"/>
      <c r="CF374" s="253"/>
      <c r="CG374" s="253"/>
      <c r="CH374" s="345"/>
      <c r="CI374" s="128"/>
      <c r="CJ374" s="128"/>
      <c r="CK374" s="253"/>
      <c r="CL374" s="253"/>
      <c r="CM374" s="345"/>
      <c r="CN374" s="128"/>
      <c r="CO374" s="128"/>
      <c r="CP374" s="253"/>
      <c r="CQ374" s="253"/>
      <c r="CR374" s="345"/>
      <c r="CS374" s="128"/>
      <c r="CT374" s="128"/>
      <c r="CU374" s="253"/>
      <c r="CV374" s="253"/>
      <c r="CW374" s="345"/>
      <c r="CX374" s="128"/>
      <c r="CY374" s="128"/>
      <c r="CZ374" s="253"/>
      <c r="DA374" s="253"/>
      <c r="DB374" s="345"/>
      <c r="DC374" s="128"/>
      <c r="DD374" s="128"/>
      <c r="DE374" s="253"/>
      <c r="DF374" s="253"/>
      <c r="DG374" s="345"/>
      <c r="DH374" s="128"/>
      <c r="DI374" s="128"/>
      <c r="DJ374" s="253"/>
      <c r="DK374" s="253"/>
      <c r="DL374" s="345"/>
      <c r="DM374" s="128"/>
      <c r="DN374" s="128"/>
      <c r="DO374" s="253"/>
      <c r="DP374" s="253"/>
      <c r="DQ374" s="345"/>
      <c r="DR374" s="128"/>
      <c r="DS374" s="128"/>
      <c r="DT374" s="253"/>
      <c r="DU374" s="253"/>
      <c r="DV374" s="345"/>
      <c r="DW374" s="128"/>
      <c r="DX374" s="128"/>
      <c r="DY374" s="253"/>
      <c r="DZ374" s="253"/>
      <c r="EA374" s="345"/>
      <c r="EB374" s="128"/>
      <c r="EC374" s="128"/>
      <c r="ED374" s="253"/>
      <c r="EE374" s="253"/>
      <c r="EF374" s="345"/>
      <c r="EG374" s="128"/>
      <c r="EH374" s="128"/>
      <c r="EI374" s="253"/>
      <c r="EJ374" s="253"/>
      <c r="EK374" s="345"/>
      <c r="EL374" s="128"/>
      <c r="EM374" s="128"/>
      <c r="EN374" s="253"/>
      <c r="EO374" s="253"/>
      <c r="EP374" s="345"/>
      <c r="EQ374" s="128"/>
      <c r="ER374" s="128"/>
      <c r="ES374" s="253"/>
      <c r="ET374" s="253"/>
      <c r="EU374" s="345"/>
      <c r="EV374" s="128"/>
      <c r="EW374" s="128"/>
      <c r="EX374" s="253"/>
      <c r="EY374" s="253"/>
      <c r="EZ374" s="345"/>
      <c r="FA374" s="128"/>
      <c r="FB374" s="128"/>
      <c r="FC374" s="253"/>
      <c r="FD374" s="253"/>
      <c r="FE374" s="345"/>
      <c r="FF374" s="128"/>
      <c r="FG374" s="128"/>
      <c r="FH374" s="253"/>
      <c r="FI374" s="253"/>
      <c r="FJ374" s="345"/>
      <c r="FK374" s="128"/>
      <c r="FL374" s="128"/>
      <c r="FM374" s="253"/>
      <c r="FN374" s="253"/>
      <c r="FO374" s="345"/>
      <c r="FP374" s="128"/>
      <c r="FQ374" s="128"/>
      <c r="FR374" s="253"/>
      <c r="FS374" s="253"/>
      <c r="FT374" s="345"/>
      <c r="FU374" s="128"/>
      <c r="FV374" s="128"/>
      <c r="FW374" s="253"/>
      <c r="FX374" s="253"/>
      <c r="FY374" s="345"/>
      <c r="FZ374" s="128"/>
      <c r="GA374" s="128"/>
      <c r="GB374" s="253"/>
      <c r="GC374" s="253"/>
      <c r="GD374" s="345"/>
      <c r="GE374" s="128"/>
      <c r="GF374" s="128"/>
      <c r="GG374" s="253"/>
      <c r="GH374" s="253"/>
      <c r="GI374" s="345"/>
      <c r="GJ374" s="128"/>
      <c r="GK374" s="128"/>
      <c r="GL374" s="253"/>
      <c r="GM374" s="253"/>
      <c r="GN374" s="345"/>
      <c r="GO374" s="128"/>
      <c r="GP374" s="128"/>
      <c r="GQ374" s="253"/>
      <c r="GR374" s="253"/>
      <c r="GS374" s="345"/>
      <c r="GT374" s="128"/>
      <c r="GU374" s="128"/>
      <c r="GV374" s="253"/>
      <c r="GW374" s="253"/>
      <c r="GX374" s="345"/>
      <c r="GY374" s="128"/>
      <c r="GZ374" s="128"/>
      <c r="HA374" s="253"/>
      <c r="HB374" s="253"/>
      <c r="HC374" s="345"/>
      <c r="HD374" s="128"/>
      <c r="HE374" s="128"/>
      <c r="HF374" s="253"/>
      <c r="HG374" s="253"/>
      <c r="HH374" s="345"/>
      <c r="HI374" s="128"/>
      <c r="HJ374" s="128"/>
      <c r="HK374" s="253"/>
      <c r="HL374" s="253"/>
      <c r="HM374" s="345"/>
      <c r="HN374" s="128"/>
      <c r="HO374" s="128"/>
      <c r="HP374" s="253"/>
      <c r="HQ374" s="253"/>
      <c r="HR374" s="345"/>
      <c r="HS374" s="128"/>
      <c r="HT374" s="128"/>
      <c r="HU374" s="253"/>
      <c r="HV374" s="253"/>
      <c r="HW374" s="345"/>
      <c r="HX374" s="128"/>
      <c r="HY374" s="128"/>
      <c r="HZ374" s="253"/>
      <c r="IA374" s="253"/>
      <c r="IB374" s="345"/>
      <c r="IC374" s="128"/>
      <c r="ID374" s="128"/>
      <c r="IE374" s="253"/>
      <c r="IF374" s="253"/>
      <c r="IG374" s="345"/>
      <c r="IH374" s="128"/>
      <c r="II374" s="128"/>
      <c r="IJ374" s="253"/>
      <c r="IK374" s="253"/>
      <c r="IL374" s="345"/>
      <c r="IM374" s="128"/>
      <c r="IN374" s="128"/>
      <c r="IO374" s="253"/>
      <c r="IP374" s="253"/>
      <c r="IQ374" s="345"/>
      <c r="IR374" s="128"/>
      <c r="IS374" s="128"/>
      <c r="IT374" s="253"/>
      <c r="IU374" s="253"/>
      <c r="IV374" s="345"/>
    </row>
    <row r="375" spans="1:256" x14ac:dyDescent="0.2">
      <c r="A375" s="345">
        <v>38929</v>
      </c>
      <c r="B375" s="253"/>
      <c r="C375" s="34"/>
      <c r="D375" s="253"/>
      <c r="E375" s="253"/>
      <c r="F375" s="345"/>
      <c r="G375" s="253"/>
      <c r="H375" s="34"/>
      <c r="I375" s="253"/>
      <c r="J375" s="253"/>
      <c r="K375" s="345"/>
      <c r="L375" s="253"/>
      <c r="M375" s="34"/>
      <c r="N375" s="253"/>
      <c r="O375" s="253"/>
      <c r="P375" s="345"/>
      <c r="Q375" s="253"/>
      <c r="R375" s="34"/>
      <c r="S375" s="253"/>
      <c r="T375" s="253"/>
      <c r="U375" s="345"/>
      <c r="V375" s="253"/>
      <c r="W375" s="34"/>
      <c r="X375" s="253"/>
      <c r="Y375" s="253"/>
      <c r="Z375" s="345"/>
      <c r="AA375" s="253"/>
      <c r="AB375" s="34"/>
      <c r="AC375" s="253"/>
      <c r="AD375" s="253"/>
      <c r="AE375" s="345"/>
      <c r="AF375" s="253"/>
      <c r="AG375" s="34"/>
      <c r="AH375" s="253"/>
      <c r="AI375" s="253"/>
      <c r="AJ375" s="345"/>
      <c r="AK375" s="253"/>
      <c r="AL375" s="34"/>
      <c r="AM375" s="253"/>
      <c r="AN375" s="253"/>
      <c r="AO375" s="345"/>
      <c r="AP375" s="253"/>
      <c r="AQ375" s="34"/>
      <c r="AR375" s="253"/>
      <c r="AS375" s="253"/>
      <c r="AT375" s="345"/>
      <c r="AU375" s="253"/>
      <c r="AV375" s="34"/>
      <c r="AW375" s="253"/>
      <c r="AX375" s="253"/>
      <c r="AY375" s="345"/>
      <c r="AZ375" s="253"/>
      <c r="BA375" s="34"/>
      <c r="BB375" s="253"/>
      <c r="BC375" s="253"/>
      <c r="BD375" s="345"/>
      <c r="BE375" s="253"/>
      <c r="BF375" s="34"/>
      <c r="BG375" s="253"/>
      <c r="BH375" s="253"/>
      <c r="BI375" s="345"/>
      <c r="BJ375" s="253"/>
      <c r="BK375" s="34"/>
      <c r="BL375" s="253"/>
      <c r="BM375" s="253"/>
      <c r="BN375" s="345"/>
      <c r="BO375" s="253"/>
      <c r="BP375" s="34"/>
      <c r="BQ375" s="253"/>
      <c r="BR375" s="253"/>
      <c r="BS375" s="345"/>
      <c r="BT375" s="253"/>
      <c r="BU375" s="34"/>
      <c r="BV375" s="253"/>
      <c r="BW375" s="253"/>
      <c r="BX375" s="345"/>
      <c r="BY375" s="253"/>
      <c r="BZ375" s="34"/>
      <c r="CA375" s="253"/>
      <c r="CB375" s="253"/>
      <c r="CC375" s="345"/>
      <c r="CD375" s="253"/>
      <c r="CE375" s="34"/>
      <c r="CF375" s="253"/>
      <c r="CG375" s="253"/>
      <c r="CH375" s="345"/>
      <c r="CI375" s="253"/>
      <c r="CJ375" s="34"/>
      <c r="CK375" s="253"/>
      <c r="CL375" s="253"/>
      <c r="CM375" s="345"/>
      <c r="CN375" s="253"/>
      <c r="CO375" s="34"/>
      <c r="CP375" s="253"/>
      <c r="CQ375" s="253"/>
      <c r="CR375" s="345"/>
      <c r="CS375" s="253"/>
      <c r="CT375" s="34"/>
      <c r="CU375" s="253"/>
      <c r="CV375" s="253"/>
      <c r="CW375" s="345"/>
      <c r="CX375" s="253"/>
      <c r="CY375" s="34"/>
      <c r="CZ375" s="253"/>
      <c r="DA375" s="253"/>
      <c r="DB375" s="345"/>
      <c r="DC375" s="253"/>
      <c r="DD375" s="34"/>
      <c r="DE375" s="253"/>
      <c r="DF375" s="253"/>
      <c r="DG375" s="345"/>
      <c r="DH375" s="253"/>
      <c r="DI375" s="34"/>
      <c r="DJ375" s="253"/>
      <c r="DK375" s="253"/>
      <c r="DL375" s="345"/>
      <c r="DM375" s="253"/>
      <c r="DN375" s="34"/>
      <c r="DO375" s="253"/>
      <c r="DP375" s="253"/>
      <c r="DQ375" s="345"/>
      <c r="DR375" s="253"/>
      <c r="DS375" s="34"/>
      <c r="DT375" s="253"/>
      <c r="DU375" s="253"/>
      <c r="DV375" s="345"/>
      <c r="DW375" s="253"/>
      <c r="DX375" s="34"/>
      <c r="DY375" s="253"/>
      <c r="DZ375" s="253"/>
      <c r="EA375" s="345"/>
      <c r="EB375" s="253"/>
      <c r="EC375" s="34"/>
      <c r="ED375" s="253"/>
      <c r="EE375" s="253"/>
      <c r="EF375" s="345"/>
      <c r="EG375" s="253"/>
      <c r="EH375" s="34"/>
      <c r="EI375" s="253"/>
      <c r="EJ375" s="253"/>
      <c r="EK375" s="345"/>
      <c r="EL375" s="253"/>
      <c r="EM375" s="34"/>
      <c r="EN375" s="253"/>
      <c r="EO375" s="253"/>
      <c r="EP375" s="345"/>
      <c r="EQ375" s="253"/>
      <c r="ER375" s="34"/>
      <c r="ES375" s="253"/>
      <c r="ET375" s="253"/>
      <c r="EU375" s="345"/>
      <c r="EV375" s="253"/>
      <c r="EW375" s="34"/>
      <c r="EX375" s="253"/>
      <c r="EY375" s="253"/>
      <c r="EZ375" s="345"/>
      <c r="FA375" s="253"/>
      <c r="FB375" s="34"/>
      <c r="FC375" s="253"/>
      <c r="FD375" s="253"/>
      <c r="FE375" s="345"/>
      <c r="FF375" s="253"/>
      <c r="FG375" s="34"/>
      <c r="FH375" s="253"/>
      <c r="FI375" s="253"/>
      <c r="FJ375" s="345"/>
      <c r="FK375" s="253"/>
      <c r="FL375" s="34"/>
      <c r="FM375" s="253"/>
      <c r="FN375" s="253"/>
      <c r="FO375" s="345"/>
      <c r="FP375" s="253"/>
      <c r="FQ375" s="34"/>
      <c r="FR375" s="253"/>
      <c r="FS375" s="253"/>
      <c r="FT375" s="345"/>
      <c r="FU375" s="253"/>
      <c r="FV375" s="34"/>
      <c r="FW375" s="253"/>
      <c r="FX375" s="253"/>
      <c r="FY375" s="345"/>
      <c r="FZ375" s="253"/>
      <c r="GA375" s="34"/>
      <c r="GB375" s="253"/>
      <c r="GC375" s="253"/>
      <c r="GD375" s="345"/>
      <c r="GE375" s="253"/>
      <c r="GF375" s="34"/>
      <c r="GG375" s="253"/>
      <c r="GH375" s="253"/>
      <c r="GI375" s="345"/>
      <c r="GJ375" s="253"/>
      <c r="GK375" s="34"/>
      <c r="GL375" s="253"/>
      <c r="GM375" s="253"/>
      <c r="GN375" s="345"/>
      <c r="GO375" s="253"/>
      <c r="GP375" s="34"/>
      <c r="GQ375" s="253"/>
      <c r="GR375" s="253"/>
      <c r="GS375" s="345"/>
      <c r="GT375" s="253"/>
      <c r="GU375" s="34"/>
      <c r="GV375" s="253"/>
      <c r="GW375" s="253"/>
      <c r="GX375" s="345"/>
      <c r="GY375" s="253"/>
      <c r="GZ375" s="34"/>
      <c r="HA375" s="253"/>
      <c r="HB375" s="253"/>
      <c r="HC375" s="345"/>
      <c r="HD375" s="253"/>
      <c r="HE375" s="34"/>
      <c r="HF375" s="253"/>
      <c r="HG375" s="253"/>
      <c r="HH375" s="345"/>
      <c r="HI375" s="253"/>
      <c r="HJ375" s="34"/>
      <c r="HK375" s="253"/>
      <c r="HL375" s="253"/>
      <c r="HM375" s="345"/>
      <c r="HN375" s="253"/>
      <c r="HO375" s="34"/>
      <c r="HP375" s="253"/>
      <c r="HQ375" s="253"/>
      <c r="HR375" s="345"/>
      <c r="HS375" s="253"/>
      <c r="HT375" s="34"/>
      <c r="HU375" s="253"/>
      <c r="HV375" s="253"/>
      <c r="HW375" s="345"/>
      <c r="HX375" s="253"/>
      <c r="HY375" s="34"/>
      <c r="HZ375" s="253"/>
      <c r="IA375" s="253"/>
      <c r="IB375" s="345"/>
      <c r="IC375" s="253"/>
      <c r="ID375" s="34"/>
      <c r="IE375" s="253"/>
      <c r="IF375" s="253"/>
      <c r="IG375" s="345"/>
      <c r="IH375" s="253"/>
      <c r="II375" s="34"/>
      <c r="IJ375" s="253"/>
      <c r="IK375" s="253"/>
      <c r="IL375" s="345"/>
      <c r="IM375" s="253"/>
      <c r="IN375" s="34"/>
      <c r="IO375" s="253"/>
      <c r="IP375" s="253"/>
      <c r="IQ375" s="345"/>
      <c r="IR375" s="253"/>
      <c r="IS375" s="34"/>
      <c r="IT375" s="253"/>
      <c r="IU375" s="253"/>
      <c r="IV375" s="345"/>
    </row>
    <row r="376" spans="1:256" x14ac:dyDescent="0.2">
      <c r="A376" s="345">
        <v>38960</v>
      </c>
      <c r="B376" s="253"/>
      <c r="C376" s="34"/>
      <c r="D376" s="253"/>
      <c r="E376" s="253"/>
      <c r="F376" s="345"/>
      <c r="G376" s="253"/>
      <c r="H376" s="34"/>
      <c r="I376" s="253"/>
      <c r="J376" s="253"/>
      <c r="K376" s="345"/>
      <c r="L376" s="253"/>
      <c r="M376" s="34"/>
      <c r="N376" s="253"/>
      <c r="O376" s="253"/>
      <c r="P376" s="345"/>
      <c r="Q376" s="253"/>
      <c r="R376" s="34"/>
      <c r="S376" s="253"/>
      <c r="T376" s="253"/>
      <c r="U376" s="345"/>
      <c r="V376" s="253"/>
      <c r="W376" s="34"/>
      <c r="X376" s="253"/>
      <c r="Y376" s="253"/>
      <c r="Z376" s="345"/>
      <c r="AA376" s="253"/>
      <c r="AB376" s="34"/>
      <c r="AC376" s="253"/>
      <c r="AD376" s="253"/>
      <c r="AE376" s="345"/>
      <c r="AF376" s="253"/>
      <c r="AG376" s="34"/>
      <c r="AH376" s="253"/>
      <c r="AI376" s="253"/>
      <c r="AJ376" s="345"/>
      <c r="AK376" s="253"/>
      <c r="AL376" s="34"/>
      <c r="AM376" s="253"/>
      <c r="AN376" s="253"/>
      <c r="AO376" s="345"/>
      <c r="AP376" s="253"/>
      <c r="AQ376" s="34"/>
      <c r="AR376" s="253"/>
      <c r="AS376" s="253"/>
      <c r="AT376" s="345"/>
      <c r="AU376" s="253"/>
      <c r="AV376" s="34"/>
      <c r="AW376" s="253"/>
      <c r="AX376" s="253"/>
      <c r="AY376" s="345"/>
      <c r="AZ376" s="253"/>
      <c r="BA376" s="34"/>
      <c r="BB376" s="253"/>
      <c r="BC376" s="253"/>
      <c r="BD376" s="345"/>
      <c r="BE376" s="253"/>
      <c r="BF376" s="34"/>
      <c r="BG376" s="253"/>
      <c r="BH376" s="253"/>
      <c r="BI376" s="345"/>
      <c r="BJ376" s="253"/>
      <c r="BK376" s="34"/>
      <c r="BL376" s="253"/>
      <c r="BM376" s="253"/>
      <c r="BN376" s="345"/>
      <c r="BO376" s="253"/>
      <c r="BP376" s="34"/>
      <c r="BQ376" s="253"/>
      <c r="BR376" s="253"/>
      <c r="BS376" s="345"/>
      <c r="BT376" s="253"/>
      <c r="BU376" s="34"/>
      <c r="BV376" s="253"/>
      <c r="BW376" s="253"/>
      <c r="BX376" s="345"/>
      <c r="BY376" s="253"/>
      <c r="BZ376" s="34"/>
      <c r="CA376" s="253"/>
      <c r="CB376" s="253"/>
      <c r="CC376" s="345"/>
      <c r="CD376" s="253"/>
      <c r="CE376" s="34"/>
      <c r="CF376" s="253"/>
      <c r="CG376" s="253"/>
      <c r="CH376" s="345"/>
      <c r="CI376" s="253"/>
      <c r="CJ376" s="34"/>
      <c r="CK376" s="253"/>
      <c r="CL376" s="253"/>
      <c r="CM376" s="345"/>
      <c r="CN376" s="253"/>
      <c r="CO376" s="34"/>
      <c r="CP376" s="253"/>
      <c r="CQ376" s="253"/>
      <c r="CR376" s="345"/>
      <c r="CS376" s="253"/>
      <c r="CT376" s="34"/>
      <c r="CU376" s="253"/>
      <c r="CV376" s="253"/>
      <c r="CW376" s="345"/>
      <c r="CX376" s="253"/>
      <c r="CY376" s="34"/>
      <c r="CZ376" s="253"/>
      <c r="DA376" s="253"/>
      <c r="DB376" s="345"/>
      <c r="DC376" s="253"/>
      <c r="DD376" s="34"/>
      <c r="DE376" s="253"/>
      <c r="DF376" s="253"/>
      <c r="DG376" s="345"/>
      <c r="DH376" s="253"/>
      <c r="DI376" s="34"/>
      <c r="DJ376" s="253"/>
      <c r="DK376" s="253"/>
      <c r="DL376" s="345"/>
      <c r="DM376" s="253"/>
      <c r="DN376" s="34"/>
      <c r="DO376" s="253"/>
      <c r="DP376" s="253"/>
      <c r="DQ376" s="345"/>
      <c r="DR376" s="253"/>
      <c r="DS376" s="34"/>
      <c r="DT376" s="253"/>
      <c r="DU376" s="253"/>
      <c r="DV376" s="345"/>
      <c r="DW376" s="253"/>
      <c r="DX376" s="34"/>
      <c r="DY376" s="253"/>
      <c r="DZ376" s="253"/>
      <c r="EA376" s="345"/>
      <c r="EB376" s="253"/>
      <c r="EC376" s="34"/>
      <c r="ED376" s="253"/>
      <c r="EE376" s="253"/>
      <c r="EF376" s="345"/>
      <c r="EG376" s="253"/>
      <c r="EH376" s="34"/>
      <c r="EI376" s="253"/>
      <c r="EJ376" s="253"/>
      <c r="EK376" s="345"/>
      <c r="EL376" s="253"/>
      <c r="EM376" s="34"/>
      <c r="EN376" s="253"/>
      <c r="EO376" s="253"/>
      <c r="EP376" s="345"/>
      <c r="EQ376" s="253"/>
      <c r="ER376" s="34"/>
      <c r="ES376" s="253"/>
      <c r="ET376" s="253"/>
      <c r="EU376" s="345"/>
      <c r="EV376" s="253"/>
      <c r="EW376" s="34"/>
      <c r="EX376" s="253"/>
      <c r="EY376" s="253"/>
      <c r="EZ376" s="345"/>
      <c r="FA376" s="253"/>
      <c r="FB376" s="34"/>
      <c r="FC376" s="253"/>
      <c r="FD376" s="253"/>
      <c r="FE376" s="345"/>
      <c r="FF376" s="253"/>
      <c r="FG376" s="34"/>
      <c r="FH376" s="253"/>
      <c r="FI376" s="253"/>
      <c r="FJ376" s="345"/>
      <c r="FK376" s="253"/>
      <c r="FL376" s="34"/>
      <c r="FM376" s="253"/>
      <c r="FN376" s="253"/>
      <c r="FO376" s="345"/>
      <c r="FP376" s="253"/>
      <c r="FQ376" s="34"/>
      <c r="FR376" s="253"/>
      <c r="FS376" s="253"/>
      <c r="FT376" s="345"/>
      <c r="FU376" s="253"/>
      <c r="FV376" s="34"/>
      <c r="FW376" s="253"/>
      <c r="FX376" s="253"/>
      <c r="FY376" s="345"/>
      <c r="FZ376" s="253"/>
      <c r="GA376" s="34"/>
      <c r="GB376" s="253"/>
      <c r="GC376" s="253"/>
      <c r="GD376" s="345"/>
      <c r="GE376" s="253"/>
      <c r="GF376" s="34"/>
      <c r="GG376" s="253"/>
      <c r="GH376" s="253"/>
      <c r="GI376" s="345"/>
      <c r="GJ376" s="253"/>
      <c r="GK376" s="34"/>
      <c r="GL376" s="253"/>
      <c r="GM376" s="253"/>
      <c r="GN376" s="345"/>
      <c r="GO376" s="253"/>
      <c r="GP376" s="34"/>
      <c r="GQ376" s="253"/>
      <c r="GR376" s="253"/>
      <c r="GS376" s="345"/>
      <c r="GT376" s="253"/>
      <c r="GU376" s="34"/>
      <c r="GV376" s="253"/>
      <c r="GW376" s="253"/>
      <c r="GX376" s="345"/>
      <c r="GY376" s="253"/>
      <c r="GZ376" s="34"/>
      <c r="HA376" s="253"/>
      <c r="HB376" s="253"/>
      <c r="HC376" s="345"/>
      <c r="HD376" s="253"/>
      <c r="HE376" s="34"/>
      <c r="HF376" s="253"/>
      <c r="HG376" s="253"/>
      <c r="HH376" s="345"/>
      <c r="HI376" s="253"/>
      <c r="HJ376" s="34"/>
      <c r="HK376" s="253"/>
      <c r="HL376" s="253"/>
      <c r="HM376" s="345"/>
      <c r="HN376" s="253"/>
      <c r="HO376" s="34"/>
      <c r="HP376" s="253"/>
      <c r="HQ376" s="253"/>
      <c r="HR376" s="345"/>
      <c r="HS376" s="253"/>
      <c r="HT376" s="34"/>
      <c r="HU376" s="253"/>
      <c r="HV376" s="253"/>
      <c r="HW376" s="345"/>
      <c r="HX376" s="253"/>
      <c r="HY376" s="34"/>
      <c r="HZ376" s="253"/>
      <c r="IA376" s="253"/>
      <c r="IB376" s="345"/>
      <c r="IC376" s="253"/>
      <c r="ID376" s="34"/>
      <c r="IE376" s="253"/>
      <c r="IF376" s="253"/>
      <c r="IG376" s="345"/>
      <c r="IH376" s="253"/>
      <c r="II376" s="34"/>
      <c r="IJ376" s="253"/>
      <c r="IK376" s="253"/>
      <c r="IL376" s="345"/>
      <c r="IM376" s="253"/>
      <c r="IN376" s="34"/>
      <c r="IO376" s="253"/>
      <c r="IP376" s="253"/>
      <c r="IQ376" s="345"/>
      <c r="IR376" s="253"/>
      <c r="IS376" s="34"/>
      <c r="IT376" s="253"/>
      <c r="IU376" s="253"/>
      <c r="IV376" s="345"/>
    </row>
    <row r="377" spans="1:256" x14ac:dyDescent="0.2">
      <c r="A377" s="345">
        <v>38990</v>
      </c>
      <c r="B377" s="253"/>
      <c r="C377" s="34"/>
      <c r="D377" s="253"/>
      <c r="E377" s="253"/>
      <c r="F377" s="345"/>
      <c r="G377" s="253"/>
      <c r="H377" s="34"/>
      <c r="I377" s="253"/>
      <c r="J377" s="253"/>
      <c r="K377" s="345"/>
      <c r="L377" s="253"/>
      <c r="M377" s="34"/>
      <c r="N377" s="253"/>
      <c r="O377" s="253"/>
      <c r="P377" s="345"/>
      <c r="Q377" s="253"/>
      <c r="R377" s="34"/>
      <c r="S377" s="253"/>
      <c r="T377" s="253"/>
      <c r="U377" s="345"/>
      <c r="V377" s="253"/>
      <c r="W377" s="34"/>
      <c r="X377" s="253"/>
      <c r="Y377" s="253"/>
      <c r="Z377" s="345"/>
      <c r="AA377" s="253"/>
      <c r="AB377" s="34"/>
      <c r="AC377" s="253"/>
      <c r="AD377" s="253"/>
      <c r="AE377" s="345"/>
      <c r="AF377" s="253"/>
      <c r="AG377" s="34"/>
      <c r="AH377" s="253"/>
      <c r="AI377" s="253"/>
      <c r="AJ377" s="345"/>
      <c r="AK377" s="253"/>
      <c r="AL377" s="34"/>
      <c r="AM377" s="253"/>
      <c r="AN377" s="253"/>
      <c r="AO377" s="345"/>
      <c r="AP377" s="253"/>
      <c r="AQ377" s="34"/>
      <c r="AR377" s="253"/>
      <c r="AS377" s="253"/>
      <c r="AT377" s="345"/>
      <c r="AU377" s="253"/>
      <c r="AV377" s="34"/>
      <c r="AW377" s="253"/>
      <c r="AX377" s="253"/>
      <c r="AY377" s="345"/>
      <c r="AZ377" s="253"/>
      <c r="BA377" s="34"/>
      <c r="BB377" s="253"/>
      <c r="BC377" s="253"/>
      <c r="BD377" s="345"/>
      <c r="BE377" s="253"/>
      <c r="BF377" s="34"/>
      <c r="BG377" s="253"/>
      <c r="BH377" s="253"/>
      <c r="BI377" s="345"/>
      <c r="BJ377" s="253"/>
      <c r="BK377" s="34"/>
      <c r="BL377" s="253"/>
      <c r="BM377" s="253"/>
      <c r="BN377" s="345"/>
      <c r="BO377" s="253"/>
      <c r="BP377" s="34"/>
      <c r="BQ377" s="253"/>
      <c r="BR377" s="253"/>
      <c r="BS377" s="345"/>
      <c r="BT377" s="253"/>
      <c r="BU377" s="34"/>
      <c r="BV377" s="253"/>
      <c r="BW377" s="253"/>
      <c r="BX377" s="345"/>
      <c r="BY377" s="253"/>
      <c r="BZ377" s="34"/>
      <c r="CA377" s="253"/>
      <c r="CB377" s="253"/>
      <c r="CC377" s="345"/>
      <c r="CD377" s="253"/>
      <c r="CE377" s="34"/>
      <c r="CF377" s="253"/>
      <c r="CG377" s="253"/>
      <c r="CH377" s="345"/>
      <c r="CI377" s="253"/>
      <c r="CJ377" s="34"/>
      <c r="CK377" s="253"/>
      <c r="CL377" s="253"/>
      <c r="CM377" s="345"/>
      <c r="CN377" s="253"/>
      <c r="CO377" s="34"/>
      <c r="CP377" s="253"/>
      <c r="CQ377" s="253"/>
      <c r="CR377" s="345"/>
      <c r="CS377" s="253"/>
      <c r="CT377" s="34"/>
      <c r="CU377" s="253"/>
      <c r="CV377" s="253"/>
      <c r="CW377" s="345"/>
      <c r="CX377" s="253"/>
      <c r="CY377" s="34"/>
      <c r="CZ377" s="253"/>
      <c r="DA377" s="253"/>
      <c r="DB377" s="345"/>
      <c r="DC377" s="253"/>
      <c r="DD377" s="34"/>
      <c r="DE377" s="253"/>
      <c r="DF377" s="253"/>
      <c r="DG377" s="345"/>
      <c r="DH377" s="253"/>
      <c r="DI377" s="34"/>
      <c r="DJ377" s="253"/>
      <c r="DK377" s="253"/>
      <c r="DL377" s="345"/>
      <c r="DM377" s="253"/>
      <c r="DN377" s="34"/>
      <c r="DO377" s="253"/>
      <c r="DP377" s="253"/>
      <c r="DQ377" s="345"/>
      <c r="DR377" s="253"/>
      <c r="DS377" s="34"/>
      <c r="DT377" s="253"/>
      <c r="DU377" s="253"/>
      <c r="DV377" s="345"/>
      <c r="DW377" s="253"/>
      <c r="DX377" s="34"/>
      <c r="DY377" s="253"/>
      <c r="DZ377" s="253"/>
      <c r="EA377" s="345"/>
      <c r="EB377" s="253"/>
      <c r="EC377" s="34"/>
      <c r="ED377" s="253"/>
      <c r="EE377" s="253"/>
      <c r="EF377" s="345"/>
      <c r="EG377" s="253"/>
      <c r="EH377" s="34"/>
      <c r="EI377" s="253"/>
      <c r="EJ377" s="253"/>
      <c r="EK377" s="345"/>
      <c r="EL377" s="253"/>
      <c r="EM377" s="34"/>
      <c r="EN377" s="253"/>
      <c r="EO377" s="253"/>
      <c r="EP377" s="345"/>
      <c r="EQ377" s="253"/>
      <c r="ER377" s="34"/>
      <c r="ES377" s="253"/>
      <c r="ET377" s="253"/>
      <c r="EU377" s="345"/>
      <c r="EV377" s="253"/>
      <c r="EW377" s="34"/>
      <c r="EX377" s="253"/>
      <c r="EY377" s="253"/>
      <c r="EZ377" s="345"/>
      <c r="FA377" s="253"/>
      <c r="FB377" s="34"/>
      <c r="FC377" s="253"/>
      <c r="FD377" s="253"/>
      <c r="FE377" s="345"/>
      <c r="FF377" s="253"/>
      <c r="FG377" s="34"/>
      <c r="FH377" s="253"/>
      <c r="FI377" s="253"/>
      <c r="FJ377" s="345"/>
      <c r="FK377" s="253"/>
      <c r="FL377" s="34"/>
      <c r="FM377" s="253"/>
      <c r="FN377" s="253"/>
      <c r="FO377" s="345"/>
      <c r="FP377" s="253"/>
      <c r="FQ377" s="34"/>
      <c r="FR377" s="253"/>
      <c r="FS377" s="253"/>
      <c r="FT377" s="345"/>
      <c r="FU377" s="253"/>
      <c r="FV377" s="34"/>
      <c r="FW377" s="253"/>
      <c r="FX377" s="253"/>
      <c r="FY377" s="345"/>
      <c r="FZ377" s="253"/>
      <c r="GA377" s="34"/>
      <c r="GB377" s="253"/>
      <c r="GC377" s="253"/>
      <c r="GD377" s="345"/>
      <c r="GE377" s="253"/>
      <c r="GF377" s="34"/>
      <c r="GG377" s="253"/>
      <c r="GH377" s="253"/>
      <c r="GI377" s="345"/>
      <c r="GJ377" s="253"/>
      <c r="GK377" s="34"/>
      <c r="GL377" s="253"/>
      <c r="GM377" s="253"/>
      <c r="GN377" s="345"/>
      <c r="GO377" s="253"/>
      <c r="GP377" s="34"/>
      <c r="GQ377" s="253"/>
      <c r="GR377" s="253"/>
      <c r="GS377" s="345"/>
      <c r="GT377" s="253"/>
      <c r="GU377" s="34"/>
      <c r="GV377" s="253"/>
      <c r="GW377" s="253"/>
      <c r="GX377" s="345"/>
      <c r="GY377" s="253"/>
      <c r="GZ377" s="34"/>
      <c r="HA377" s="253"/>
      <c r="HB377" s="253"/>
      <c r="HC377" s="345"/>
      <c r="HD377" s="253"/>
      <c r="HE377" s="34"/>
      <c r="HF377" s="253"/>
      <c r="HG377" s="253"/>
      <c r="HH377" s="345"/>
      <c r="HI377" s="253"/>
      <c r="HJ377" s="34"/>
      <c r="HK377" s="253"/>
      <c r="HL377" s="253"/>
      <c r="HM377" s="345"/>
      <c r="HN377" s="253"/>
      <c r="HO377" s="34"/>
      <c r="HP377" s="253"/>
      <c r="HQ377" s="253"/>
      <c r="HR377" s="345"/>
      <c r="HS377" s="253"/>
      <c r="HT377" s="34"/>
      <c r="HU377" s="253"/>
      <c r="HV377" s="253"/>
      <c r="HW377" s="345"/>
      <c r="HX377" s="253"/>
      <c r="HY377" s="34"/>
      <c r="HZ377" s="253"/>
      <c r="IA377" s="253"/>
      <c r="IB377" s="345"/>
      <c r="IC377" s="253"/>
      <c r="ID377" s="34"/>
      <c r="IE377" s="253"/>
      <c r="IF377" s="253"/>
      <c r="IG377" s="345"/>
      <c r="IH377" s="253"/>
      <c r="II377" s="34"/>
      <c r="IJ377" s="253"/>
      <c r="IK377" s="253"/>
      <c r="IL377" s="345"/>
      <c r="IM377" s="253"/>
      <c r="IN377" s="34"/>
      <c r="IO377" s="253"/>
      <c r="IP377" s="253"/>
      <c r="IQ377" s="345"/>
      <c r="IR377" s="253"/>
      <c r="IS377" s="34"/>
      <c r="IT377" s="253"/>
      <c r="IU377" s="253"/>
      <c r="IV377" s="345"/>
    </row>
    <row r="378" spans="1:256" x14ac:dyDescent="0.2">
      <c r="A378" s="345">
        <v>39021</v>
      </c>
      <c r="B378" s="253">
        <v>0</v>
      </c>
      <c r="C378" s="34">
        <v>201780420.59999999</v>
      </c>
      <c r="D378" s="253"/>
      <c r="E378" s="253"/>
      <c r="F378" s="1004"/>
      <c r="G378" s="253"/>
      <c r="H378" s="34"/>
      <c r="I378" s="253"/>
      <c r="J378" s="253"/>
      <c r="K378" s="345"/>
      <c r="L378" s="253"/>
      <c r="M378" s="34"/>
      <c r="N378" s="253"/>
      <c r="O378" s="253"/>
      <c r="P378" s="345"/>
      <c r="Q378" s="253"/>
      <c r="R378" s="34"/>
      <c r="S378" s="253"/>
      <c r="T378" s="253"/>
      <c r="U378" s="345"/>
      <c r="V378" s="253"/>
      <c r="W378" s="34"/>
      <c r="X378" s="253"/>
      <c r="Y378" s="253"/>
      <c r="Z378" s="345"/>
      <c r="AA378" s="253"/>
      <c r="AB378" s="34"/>
      <c r="AC378" s="253"/>
      <c r="AD378" s="253"/>
      <c r="AE378" s="345"/>
      <c r="AF378" s="253"/>
      <c r="AG378" s="34"/>
      <c r="AH378" s="253"/>
      <c r="AI378" s="253"/>
      <c r="AJ378" s="345"/>
      <c r="AK378" s="253"/>
      <c r="AL378" s="34"/>
      <c r="AM378" s="253"/>
      <c r="AN378" s="253"/>
      <c r="AO378" s="345"/>
      <c r="AP378" s="253"/>
      <c r="AQ378" s="34"/>
      <c r="AR378" s="253"/>
      <c r="AS378" s="253"/>
      <c r="AT378" s="345"/>
      <c r="AU378" s="253"/>
      <c r="AV378" s="34"/>
      <c r="AW378" s="253"/>
      <c r="AX378" s="253"/>
      <c r="AY378" s="345"/>
      <c r="AZ378" s="253"/>
      <c r="BA378" s="34"/>
      <c r="BB378" s="253"/>
      <c r="BC378" s="253"/>
      <c r="BD378" s="345"/>
      <c r="BE378" s="253"/>
      <c r="BF378" s="34"/>
      <c r="BG378" s="253"/>
      <c r="BH378" s="253"/>
      <c r="BI378" s="345"/>
      <c r="BJ378" s="253"/>
      <c r="BK378" s="34"/>
      <c r="BL378" s="253"/>
      <c r="BM378" s="253"/>
      <c r="BN378" s="345"/>
      <c r="BO378" s="253"/>
      <c r="BP378" s="34"/>
      <c r="BQ378" s="253"/>
      <c r="BR378" s="253"/>
      <c r="BS378" s="345"/>
      <c r="BT378" s="253"/>
      <c r="BU378" s="34"/>
      <c r="BV378" s="253"/>
      <c r="BW378" s="253"/>
      <c r="BX378" s="345"/>
      <c r="BY378" s="253"/>
      <c r="BZ378" s="34"/>
      <c r="CA378" s="253"/>
      <c r="CB378" s="253"/>
      <c r="CC378" s="345"/>
      <c r="CD378" s="253"/>
      <c r="CE378" s="34"/>
      <c r="CF378" s="253"/>
      <c r="CG378" s="253"/>
      <c r="CH378" s="345"/>
      <c r="CI378" s="253"/>
      <c r="CJ378" s="34"/>
      <c r="CK378" s="253"/>
      <c r="CL378" s="253"/>
      <c r="CM378" s="345"/>
      <c r="CN378" s="253"/>
      <c r="CO378" s="34"/>
      <c r="CP378" s="253"/>
      <c r="CQ378" s="253"/>
      <c r="CR378" s="345"/>
      <c r="CS378" s="253"/>
      <c r="CT378" s="34"/>
      <c r="CU378" s="253"/>
      <c r="CV378" s="253"/>
      <c r="CW378" s="345"/>
      <c r="CX378" s="253"/>
      <c r="CY378" s="34"/>
      <c r="CZ378" s="253"/>
      <c r="DA378" s="253"/>
      <c r="DB378" s="345"/>
      <c r="DC378" s="253"/>
      <c r="DD378" s="34"/>
      <c r="DE378" s="253"/>
      <c r="DF378" s="253"/>
      <c r="DG378" s="345"/>
      <c r="DH378" s="253"/>
      <c r="DI378" s="34"/>
      <c r="DJ378" s="253"/>
      <c r="DK378" s="253"/>
      <c r="DL378" s="345"/>
      <c r="DM378" s="253"/>
      <c r="DN378" s="34"/>
      <c r="DO378" s="253"/>
      <c r="DP378" s="253"/>
      <c r="DQ378" s="345"/>
      <c r="DR378" s="253"/>
      <c r="DS378" s="34"/>
      <c r="DT378" s="253"/>
      <c r="DU378" s="253"/>
      <c r="DV378" s="345"/>
      <c r="DW378" s="253"/>
      <c r="DX378" s="34"/>
      <c r="DY378" s="253"/>
      <c r="DZ378" s="253"/>
      <c r="EA378" s="345"/>
      <c r="EB378" s="253"/>
      <c r="EC378" s="34"/>
      <c r="ED378" s="253"/>
      <c r="EE378" s="253"/>
      <c r="EF378" s="345"/>
      <c r="EG378" s="253"/>
      <c r="EH378" s="34"/>
      <c r="EI378" s="253"/>
      <c r="EJ378" s="253"/>
      <c r="EK378" s="345"/>
      <c r="EL378" s="253"/>
      <c r="EM378" s="34"/>
      <c r="EN378" s="253"/>
      <c r="EO378" s="253"/>
      <c r="EP378" s="345"/>
      <c r="EQ378" s="253"/>
      <c r="ER378" s="34"/>
      <c r="ES378" s="253"/>
      <c r="ET378" s="253"/>
      <c r="EU378" s="345"/>
      <c r="EV378" s="253"/>
      <c r="EW378" s="34"/>
      <c r="EX378" s="253"/>
      <c r="EY378" s="253"/>
      <c r="EZ378" s="345"/>
      <c r="FA378" s="253"/>
      <c r="FB378" s="34"/>
      <c r="FC378" s="253"/>
      <c r="FD378" s="253"/>
      <c r="FE378" s="345"/>
      <c r="FF378" s="253"/>
      <c r="FG378" s="34"/>
      <c r="FH378" s="253"/>
      <c r="FI378" s="253"/>
      <c r="FJ378" s="345"/>
      <c r="FK378" s="253"/>
      <c r="FL378" s="34"/>
      <c r="FM378" s="253"/>
      <c r="FN378" s="253"/>
      <c r="FO378" s="345"/>
      <c r="FP378" s="253"/>
      <c r="FQ378" s="34"/>
      <c r="FR378" s="253"/>
      <c r="FS378" s="253"/>
      <c r="FT378" s="345"/>
      <c r="FU378" s="253"/>
      <c r="FV378" s="34"/>
      <c r="FW378" s="253"/>
      <c r="FX378" s="253"/>
      <c r="FY378" s="345"/>
      <c r="FZ378" s="253"/>
      <c r="GA378" s="34"/>
      <c r="GB378" s="253"/>
      <c r="GC378" s="253"/>
      <c r="GD378" s="345"/>
      <c r="GE378" s="253"/>
      <c r="GF378" s="34"/>
      <c r="GG378" s="253"/>
      <c r="GH378" s="253"/>
      <c r="GI378" s="345"/>
      <c r="GJ378" s="253"/>
      <c r="GK378" s="34"/>
      <c r="GL378" s="253"/>
      <c r="GM378" s="253"/>
      <c r="GN378" s="345"/>
      <c r="GO378" s="253"/>
      <c r="GP378" s="34"/>
      <c r="GQ378" s="253"/>
      <c r="GR378" s="253"/>
      <c r="GS378" s="345"/>
      <c r="GT378" s="253"/>
      <c r="GU378" s="34"/>
      <c r="GV378" s="253"/>
      <c r="GW378" s="253"/>
      <c r="GX378" s="345"/>
      <c r="GY378" s="253"/>
      <c r="GZ378" s="34"/>
      <c r="HA378" s="253"/>
      <c r="HB378" s="253"/>
      <c r="HC378" s="345"/>
      <c r="HD378" s="253"/>
      <c r="HE378" s="34"/>
      <c r="HF378" s="253"/>
      <c r="HG378" s="253"/>
      <c r="HH378" s="345"/>
      <c r="HI378" s="253"/>
      <c r="HJ378" s="34"/>
      <c r="HK378" s="253"/>
      <c r="HL378" s="253"/>
      <c r="HM378" s="345"/>
      <c r="HN378" s="253"/>
      <c r="HO378" s="34"/>
      <c r="HP378" s="253"/>
      <c r="HQ378" s="253"/>
      <c r="HR378" s="345"/>
      <c r="HS378" s="253"/>
      <c r="HT378" s="34"/>
      <c r="HU378" s="253"/>
      <c r="HV378" s="253"/>
      <c r="HW378" s="345"/>
      <c r="HX378" s="253"/>
      <c r="HY378" s="34"/>
      <c r="HZ378" s="253"/>
      <c r="IA378" s="253"/>
      <c r="IB378" s="345"/>
      <c r="IC378" s="253"/>
      <c r="ID378" s="34"/>
      <c r="IE378" s="253"/>
      <c r="IF378" s="253"/>
      <c r="IG378" s="345"/>
      <c r="IH378" s="253"/>
      <c r="II378" s="34"/>
      <c r="IJ378" s="253"/>
      <c r="IK378" s="253"/>
      <c r="IL378" s="345"/>
      <c r="IM378" s="253"/>
      <c r="IN378" s="34"/>
      <c r="IO378" s="253"/>
      <c r="IP378" s="253"/>
      <c r="IQ378" s="345"/>
      <c r="IR378" s="253"/>
      <c r="IS378" s="34"/>
      <c r="IT378" s="253"/>
      <c r="IU378" s="253"/>
      <c r="IV378" s="345"/>
    </row>
    <row r="379" spans="1:256" x14ac:dyDescent="0.2">
      <c r="A379" s="345">
        <v>39051</v>
      </c>
      <c r="B379" s="1311">
        <v>1.46</v>
      </c>
      <c r="C379" s="34">
        <v>204719491.22</v>
      </c>
      <c r="D379" s="253"/>
      <c r="E379" s="253">
        <f>B379-Index_Returns!B379</f>
        <v>-0.44161000000000006</v>
      </c>
      <c r="F379" s="733"/>
      <c r="G379" s="728"/>
      <c r="H379" s="34"/>
      <c r="I379" s="253"/>
      <c r="J379" s="253"/>
      <c r="K379" s="345"/>
      <c r="L379" s="253"/>
      <c r="M379" s="34"/>
      <c r="N379" s="253"/>
      <c r="O379" s="253"/>
      <c r="P379" s="345"/>
      <c r="Q379" s="253"/>
      <c r="R379" s="34"/>
      <c r="S379" s="253"/>
      <c r="T379" s="253"/>
      <c r="U379" s="345"/>
      <c r="V379" s="253"/>
      <c r="W379" s="34"/>
      <c r="X379" s="253"/>
      <c r="Y379" s="253"/>
      <c r="Z379" s="345"/>
      <c r="AA379" s="253"/>
      <c r="AB379" s="34"/>
      <c r="AC379" s="253"/>
      <c r="AD379" s="253"/>
      <c r="AE379" s="345"/>
      <c r="AF379" s="253"/>
      <c r="AG379" s="34"/>
      <c r="AH379" s="253"/>
      <c r="AI379" s="253"/>
      <c r="AJ379" s="345"/>
      <c r="AK379" s="253"/>
      <c r="AL379" s="34"/>
      <c r="AM379" s="253"/>
      <c r="AN379" s="253"/>
      <c r="AO379" s="345"/>
      <c r="AP379" s="253"/>
      <c r="AQ379" s="34"/>
      <c r="AR379" s="253"/>
      <c r="AS379" s="253"/>
      <c r="AT379" s="345"/>
      <c r="AU379" s="253"/>
      <c r="AV379" s="34"/>
      <c r="AW379" s="253"/>
      <c r="AX379" s="253"/>
      <c r="AY379" s="345"/>
      <c r="AZ379" s="253"/>
      <c r="BA379" s="34"/>
      <c r="BB379" s="253"/>
      <c r="BC379" s="253"/>
      <c r="BD379" s="345"/>
      <c r="BE379" s="253"/>
      <c r="BF379" s="34"/>
      <c r="BG379" s="253"/>
      <c r="BH379" s="253"/>
      <c r="BI379" s="345"/>
      <c r="BJ379" s="253"/>
      <c r="BK379" s="34"/>
      <c r="BL379" s="253"/>
      <c r="BM379" s="253"/>
      <c r="BN379" s="345"/>
      <c r="BO379" s="253"/>
      <c r="BP379" s="34"/>
      <c r="BQ379" s="253"/>
      <c r="BR379" s="253"/>
      <c r="BS379" s="345"/>
      <c r="BT379" s="253"/>
      <c r="BU379" s="34"/>
      <c r="BV379" s="253"/>
      <c r="BW379" s="253"/>
      <c r="BX379" s="345"/>
      <c r="BY379" s="253"/>
      <c r="BZ379" s="34"/>
      <c r="CA379" s="253"/>
      <c r="CB379" s="253"/>
      <c r="CC379" s="345"/>
      <c r="CD379" s="253"/>
      <c r="CE379" s="34"/>
      <c r="CF379" s="253"/>
      <c r="CG379" s="253"/>
      <c r="CH379" s="345"/>
      <c r="CI379" s="253"/>
      <c r="CJ379" s="34"/>
      <c r="CK379" s="253"/>
      <c r="CL379" s="253"/>
      <c r="CM379" s="345"/>
      <c r="CN379" s="253"/>
      <c r="CO379" s="34"/>
      <c r="CP379" s="253"/>
      <c r="CQ379" s="253"/>
      <c r="CR379" s="345"/>
      <c r="CS379" s="253"/>
      <c r="CT379" s="34"/>
      <c r="CU379" s="253"/>
      <c r="CV379" s="253"/>
      <c r="CW379" s="345"/>
      <c r="CX379" s="253"/>
      <c r="CY379" s="34"/>
      <c r="CZ379" s="253"/>
      <c r="DA379" s="253"/>
      <c r="DB379" s="345"/>
      <c r="DC379" s="253"/>
      <c r="DD379" s="34"/>
      <c r="DE379" s="253"/>
      <c r="DF379" s="253"/>
      <c r="DG379" s="345"/>
      <c r="DH379" s="253"/>
      <c r="DI379" s="34"/>
      <c r="DJ379" s="253"/>
      <c r="DK379" s="253"/>
      <c r="DL379" s="345"/>
      <c r="DM379" s="253"/>
      <c r="DN379" s="34"/>
      <c r="DO379" s="253"/>
      <c r="DP379" s="253"/>
      <c r="DQ379" s="345"/>
      <c r="DR379" s="253"/>
      <c r="DS379" s="34"/>
      <c r="DT379" s="253"/>
      <c r="DU379" s="253"/>
      <c r="DV379" s="345"/>
      <c r="DW379" s="253"/>
      <c r="DX379" s="34"/>
      <c r="DY379" s="253"/>
      <c r="DZ379" s="253"/>
      <c r="EA379" s="345"/>
      <c r="EB379" s="253"/>
      <c r="EC379" s="34"/>
      <c r="ED379" s="253"/>
      <c r="EE379" s="253"/>
      <c r="EF379" s="345"/>
      <c r="EG379" s="253"/>
      <c r="EH379" s="34"/>
      <c r="EI379" s="253"/>
      <c r="EJ379" s="253"/>
      <c r="EK379" s="345"/>
      <c r="EL379" s="253"/>
      <c r="EM379" s="34"/>
      <c r="EN379" s="253"/>
      <c r="EO379" s="253"/>
      <c r="EP379" s="345"/>
      <c r="EQ379" s="253"/>
      <c r="ER379" s="34"/>
      <c r="ES379" s="253"/>
      <c r="ET379" s="253"/>
      <c r="EU379" s="345"/>
      <c r="EV379" s="253"/>
      <c r="EW379" s="34"/>
      <c r="EX379" s="253"/>
      <c r="EY379" s="253"/>
      <c r="EZ379" s="345"/>
      <c r="FA379" s="253"/>
      <c r="FB379" s="34"/>
      <c r="FC379" s="253"/>
      <c r="FD379" s="253"/>
      <c r="FE379" s="345"/>
      <c r="FF379" s="253"/>
      <c r="FG379" s="34"/>
      <c r="FH379" s="253"/>
      <c r="FI379" s="253"/>
      <c r="FJ379" s="345"/>
      <c r="FK379" s="253"/>
      <c r="FL379" s="34"/>
      <c r="FM379" s="253"/>
      <c r="FN379" s="253"/>
      <c r="FO379" s="345"/>
      <c r="FP379" s="253"/>
      <c r="FQ379" s="34"/>
      <c r="FR379" s="253"/>
      <c r="FS379" s="253"/>
      <c r="FT379" s="345"/>
      <c r="FU379" s="253"/>
      <c r="FV379" s="34"/>
      <c r="FW379" s="253"/>
      <c r="FX379" s="253"/>
      <c r="FY379" s="345"/>
      <c r="FZ379" s="253"/>
      <c r="GA379" s="34"/>
      <c r="GB379" s="253"/>
      <c r="GC379" s="253"/>
      <c r="GD379" s="345"/>
      <c r="GE379" s="253"/>
      <c r="GF379" s="34"/>
      <c r="GG379" s="253"/>
      <c r="GH379" s="253"/>
      <c r="GI379" s="345"/>
      <c r="GJ379" s="253"/>
      <c r="GK379" s="34"/>
      <c r="GL379" s="253"/>
      <c r="GM379" s="253"/>
      <c r="GN379" s="345"/>
      <c r="GO379" s="253"/>
      <c r="GP379" s="34"/>
      <c r="GQ379" s="253"/>
      <c r="GR379" s="253"/>
      <c r="GS379" s="345"/>
      <c r="GT379" s="253"/>
      <c r="GU379" s="34"/>
      <c r="GV379" s="253"/>
      <c r="GW379" s="253"/>
      <c r="GX379" s="345"/>
      <c r="GY379" s="253"/>
      <c r="GZ379" s="34"/>
      <c r="HA379" s="253"/>
      <c r="HB379" s="253"/>
      <c r="HC379" s="345"/>
      <c r="HD379" s="253"/>
      <c r="HE379" s="34"/>
      <c r="HF379" s="253"/>
      <c r="HG379" s="253"/>
      <c r="HH379" s="345"/>
      <c r="HI379" s="253"/>
      <c r="HJ379" s="34"/>
      <c r="HK379" s="253"/>
      <c r="HL379" s="253"/>
      <c r="HM379" s="345"/>
      <c r="HN379" s="253"/>
      <c r="HO379" s="34"/>
      <c r="HP379" s="253"/>
      <c r="HQ379" s="253"/>
      <c r="HR379" s="345"/>
      <c r="HS379" s="253"/>
      <c r="HT379" s="34"/>
      <c r="HU379" s="253"/>
      <c r="HV379" s="253"/>
      <c r="HW379" s="345"/>
      <c r="HX379" s="253"/>
      <c r="HY379" s="34"/>
      <c r="HZ379" s="253"/>
      <c r="IA379" s="253"/>
      <c r="IB379" s="345"/>
      <c r="IC379" s="253"/>
      <c r="ID379" s="34"/>
      <c r="IE379" s="253"/>
      <c r="IF379" s="253"/>
      <c r="IG379" s="345"/>
      <c r="IH379" s="253"/>
      <c r="II379" s="34"/>
      <c r="IJ379" s="253"/>
      <c r="IK379" s="253"/>
      <c r="IL379" s="345"/>
      <c r="IM379" s="253"/>
      <c r="IN379" s="34"/>
      <c r="IO379" s="253"/>
      <c r="IP379" s="253"/>
      <c r="IQ379" s="345"/>
      <c r="IR379" s="253"/>
      <c r="IS379" s="34"/>
      <c r="IT379" s="253"/>
      <c r="IU379" s="253"/>
      <c r="IV379" s="345"/>
    </row>
    <row r="380" spans="1:256" x14ac:dyDescent="0.2">
      <c r="A380" s="345">
        <v>39082</v>
      </c>
      <c r="B380" s="1311">
        <v>1.36</v>
      </c>
      <c r="C380" s="34">
        <v>207506820.65000001</v>
      </c>
      <c r="D380" s="253"/>
      <c r="E380" s="253">
        <f>B380-Index_Returns!B380</f>
        <v>-4.2769999999999975E-2</v>
      </c>
      <c r="F380" s="733"/>
      <c r="G380" s="728"/>
      <c r="H380" s="34"/>
      <c r="I380" s="253"/>
      <c r="J380" s="253"/>
      <c r="K380" s="345"/>
      <c r="L380" s="253"/>
      <c r="M380" s="34"/>
      <c r="N380" s="253"/>
      <c r="O380" s="253"/>
      <c r="P380" s="345"/>
      <c r="Q380" s="253"/>
      <c r="R380" s="34"/>
      <c r="S380" s="253"/>
      <c r="T380" s="253"/>
      <c r="U380" s="345"/>
      <c r="V380" s="253"/>
      <c r="W380" s="34"/>
      <c r="X380" s="253"/>
      <c r="Y380" s="253"/>
      <c r="Z380" s="345"/>
      <c r="AA380" s="253"/>
      <c r="AB380" s="34"/>
      <c r="AC380" s="253"/>
      <c r="AD380" s="253"/>
      <c r="AE380" s="345"/>
      <c r="AF380" s="253"/>
      <c r="AG380" s="34"/>
      <c r="AH380" s="253"/>
      <c r="AI380" s="253"/>
      <c r="AJ380" s="345"/>
      <c r="AK380" s="253"/>
      <c r="AL380" s="34"/>
      <c r="AM380" s="253"/>
      <c r="AN380" s="253"/>
      <c r="AO380" s="345"/>
      <c r="AP380" s="253"/>
      <c r="AQ380" s="34"/>
      <c r="AR380" s="253"/>
      <c r="AS380" s="253"/>
      <c r="AT380" s="345"/>
      <c r="AU380" s="253"/>
      <c r="AV380" s="34"/>
      <c r="AW380" s="253"/>
      <c r="AX380" s="253"/>
      <c r="AY380" s="345"/>
      <c r="AZ380" s="253"/>
      <c r="BA380" s="34"/>
      <c r="BB380" s="253"/>
      <c r="BC380" s="253"/>
      <c r="BD380" s="345"/>
      <c r="BE380" s="253"/>
      <c r="BF380" s="34"/>
      <c r="BG380" s="253"/>
      <c r="BH380" s="253"/>
      <c r="BI380" s="345"/>
      <c r="BJ380" s="253"/>
      <c r="BK380" s="34"/>
      <c r="BL380" s="253"/>
      <c r="BM380" s="253"/>
      <c r="BN380" s="345"/>
      <c r="BO380" s="253"/>
      <c r="BP380" s="34"/>
      <c r="BQ380" s="253"/>
      <c r="BR380" s="253"/>
      <c r="BS380" s="345"/>
      <c r="BT380" s="253"/>
      <c r="BU380" s="34"/>
      <c r="BV380" s="253"/>
      <c r="BW380" s="253"/>
      <c r="BX380" s="345"/>
      <c r="BY380" s="253"/>
      <c r="BZ380" s="34"/>
      <c r="CA380" s="253"/>
      <c r="CB380" s="253"/>
      <c r="CC380" s="345"/>
      <c r="CD380" s="253"/>
      <c r="CE380" s="34"/>
      <c r="CF380" s="253"/>
      <c r="CG380" s="253"/>
      <c r="CH380" s="345"/>
      <c r="CI380" s="253"/>
      <c r="CJ380" s="34"/>
      <c r="CK380" s="253"/>
      <c r="CL380" s="253"/>
      <c r="CM380" s="345"/>
      <c r="CN380" s="253"/>
      <c r="CO380" s="34"/>
      <c r="CP380" s="253"/>
      <c r="CQ380" s="253"/>
      <c r="CR380" s="345"/>
      <c r="CS380" s="253"/>
      <c r="CT380" s="34"/>
      <c r="CU380" s="253"/>
      <c r="CV380" s="253"/>
      <c r="CW380" s="345"/>
      <c r="CX380" s="253"/>
      <c r="CY380" s="34"/>
      <c r="CZ380" s="253"/>
      <c r="DA380" s="253"/>
      <c r="DB380" s="345"/>
      <c r="DC380" s="253"/>
      <c r="DD380" s="34"/>
      <c r="DE380" s="253"/>
      <c r="DF380" s="253"/>
      <c r="DG380" s="345"/>
      <c r="DH380" s="253"/>
      <c r="DI380" s="34"/>
      <c r="DJ380" s="253"/>
      <c r="DK380" s="253"/>
      <c r="DL380" s="345"/>
      <c r="DM380" s="253"/>
      <c r="DN380" s="34"/>
      <c r="DO380" s="253"/>
      <c r="DP380" s="253"/>
      <c r="DQ380" s="345"/>
      <c r="DR380" s="253"/>
      <c r="DS380" s="34"/>
      <c r="DT380" s="253"/>
      <c r="DU380" s="253"/>
      <c r="DV380" s="345"/>
      <c r="DW380" s="253"/>
      <c r="DX380" s="34"/>
      <c r="DY380" s="253"/>
      <c r="DZ380" s="253"/>
      <c r="EA380" s="345"/>
      <c r="EB380" s="253"/>
      <c r="EC380" s="34"/>
      <c r="ED380" s="253"/>
      <c r="EE380" s="253"/>
      <c r="EF380" s="345"/>
      <c r="EG380" s="253"/>
      <c r="EH380" s="34"/>
      <c r="EI380" s="253"/>
      <c r="EJ380" s="253"/>
      <c r="EK380" s="345"/>
      <c r="EL380" s="253"/>
      <c r="EM380" s="34"/>
      <c r="EN380" s="253"/>
      <c r="EO380" s="253"/>
      <c r="EP380" s="345"/>
      <c r="EQ380" s="253"/>
      <c r="ER380" s="34"/>
      <c r="ES380" s="253"/>
      <c r="ET380" s="253"/>
      <c r="EU380" s="345"/>
      <c r="EV380" s="253"/>
      <c r="EW380" s="34"/>
      <c r="EX380" s="253"/>
      <c r="EY380" s="253"/>
      <c r="EZ380" s="345"/>
      <c r="FA380" s="253"/>
      <c r="FB380" s="34"/>
      <c r="FC380" s="253"/>
      <c r="FD380" s="253"/>
      <c r="FE380" s="345"/>
      <c r="FF380" s="253"/>
      <c r="FG380" s="34"/>
      <c r="FH380" s="253"/>
      <c r="FI380" s="253"/>
      <c r="FJ380" s="345"/>
      <c r="FK380" s="253"/>
      <c r="FL380" s="34"/>
      <c r="FM380" s="253"/>
      <c r="FN380" s="253"/>
      <c r="FO380" s="345"/>
      <c r="FP380" s="253"/>
      <c r="FQ380" s="34"/>
      <c r="FR380" s="253"/>
      <c r="FS380" s="253"/>
      <c r="FT380" s="345"/>
      <c r="FU380" s="253"/>
      <c r="FV380" s="34"/>
      <c r="FW380" s="253"/>
      <c r="FX380" s="253"/>
      <c r="FY380" s="345"/>
      <c r="FZ380" s="253"/>
      <c r="GA380" s="34"/>
      <c r="GB380" s="253"/>
      <c r="GC380" s="253"/>
      <c r="GD380" s="345"/>
      <c r="GE380" s="253"/>
      <c r="GF380" s="34"/>
      <c r="GG380" s="253"/>
      <c r="GH380" s="253"/>
      <c r="GI380" s="345"/>
      <c r="GJ380" s="253"/>
      <c r="GK380" s="34"/>
      <c r="GL380" s="253"/>
      <c r="GM380" s="253"/>
      <c r="GN380" s="345"/>
      <c r="GO380" s="253"/>
      <c r="GP380" s="34"/>
      <c r="GQ380" s="253"/>
      <c r="GR380" s="253"/>
      <c r="GS380" s="345"/>
      <c r="GT380" s="253"/>
      <c r="GU380" s="34"/>
      <c r="GV380" s="253"/>
      <c r="GW380" s="253"/>
      <c r="GX380" s="345"/>
      <c r="GY380" s="253"/>
      <c r="GZ380" s="34"/>
      <c r="HA380" s="253"/>
      <c r="HB380" s="253"/>
      <c r="HC380" s="345"/>
      <c r="HD380" s="253"/>
      <c r="HE380" s="34"/>
      <c r="HF380" s="253"/>
      <c r="HG380" s="253"/>
      <c r="HH380" s="345"/>
      <c r="HI380" s="253"/>
      <c r="HJ380" s="34"/>
      <c r="HK380" s="253"/>
      <c r="HL380" s="253"/>
      <c r="HM380" s="345"/>
      <c r="HN380" s="253"/>
      <c r="HO380" s="34"/>
      <c r="HP380" s="253"/>
      <c r="HQ380" s="253"/>
      <c r="HR380" s="345"/>
      <c r="HS380" s="253"/>
      <c r="HT380" s="34"/>
      <c r="HU380" s="253"/>
      <c r="HV380" s="253"/>
      <c r="HW380" s="345"/>
      <c r="HX380" s="253"/>
      <c r="HY380" s="34"/>
      <c r="HZ380" s="253"/>
      <c r="IA380" s="253"/>
      <c r="IB380" s="345"/>
      <c r="IC380" s="253"/>
      <c r="ID380" s="34"/>
      <c r="IE380" s="253"/>
      <c r="IF380" s="253"/>
      <c r="IG380" s="345"/>
      <c r="IH380" s="253"/>
      <c r="II380" s="34"/>
      <c r="IJ380" s="253"/>
      <c r="IK380" s="253"/>
      <c r="IL380" s="345"/>
      <c r="IM380" s="253"/>
      <c r="IN380" s="34"/>
      <c r="IO380" s="253"/>
      <c r="IP380" s="253"/>
      <c r="IQ380" s="345"/>
      <c r="IR380" s="253"/>
      <c r="IS380" s="34"/>
      <c r="IT380" s="253"/>
      <c r="IU380" s="253"/>
      <c r="IV380" s="345"/>
    </row>
    <row r="381" spans="1:256" x14ac:dyDescent="0.2">
      <c r="A381" s="345">
        <v>39113</v>
      </c>
      <c r="B381" s="1311">
        <v>1.6</v>
      </c>
      <c r="C381" s="346">
        <v>210827534.88</v>
      </c>
      <c r="E381" s="253">
        <f>B381-Index_Returns!B381</f>
        <v>8.8000000000000078E-2</v>
      </c>
      <c r="F381" s="733"/>
      <c r="G381" s="728"/>
      <c r="H381" s="346"/>
      <c r="J381" s="253"/>
      <c r="K381" s="345"/>
      <c r="L381" s="253"/>
      <c r="M381" s="346"/>
      <c r="O381" s="253"/>
      <c r="P381" s="345"/>
      <c r="Q381" s="253"/>
      <c r="R381" s="346"/>
      <c r="T381" s="253"/>
      <c r="U381" s="345"/>
      <c r="V381" s="253"/>
      <c r="W381" s="346"/>
      <c r="Y381" s="253"/>
      <c r="Z381" s="345"/>
      <c r="AA381" s="253"/>
      <c r="AB381" s="346"/>
      <c r="AD381" s="253"/>
      <c r="AE381" s="345"/>
      <c r="AF381" s="253"/>
      <c r="AG381" s="346"/>
      <c r="AI381" s="253"/>
      <c r="AJ381" s="345"/>
      <c r="AK381" s="253"/>
      <c r="AL381" s="346"/>
      <c r="AN381" s="253"/>
      <c r="AO381" s="345"/>
      <c r="AP381" s="253"/>
      <c r="AQ381" s="346"/>
      <c r="AS381" s="253"/>
      <c r="AT381" s="345"/>
      <c r="AU381" s="253"/>
      <c r="AV381" s="346"/>
      <c r="AX381" s="253"/>
      <c r="AY381" s="345"/>
      <c r="AZ381" s="253"/>
      <c r="BA381" s="346"/>
      <c r="BC381" s="253"/>
      <c r="BD381" s="345"/>
      <c r="BE381" s="253"/>
      <c r="BF381" s="346"/>
      <c r="BH381" s="253"/>
      <c r="BI381" s="345"/>
      <c r="BJ381" s="253"/>
      <c r="BK381" s="346"/>
      <c r="BM381" s="253"/>
      <c r="BN381" s="345"/>
      <c r="BO381" s="253"/>
      <c r="BP381" s="346"/>
      <c r="BR381" s="253"/>
      <c r="BS381" s="345"/>
      <c r="BT381" s="253"/>
      <c r="BU381" s="346"/>
      <c r="BW381" s="253"/>
      <c r="BX381" s="345"/>
      <c r="BY381" s="253"/>
      <c r="BZ381" s="346"/>
      <c r="CB381" s="253"/>
      <c r="CC381" s="345"/>
      <c r="CD381" s="253"/>
      <c r="CE381" s="346"/>
      <c r="CG381" s="253"/>
      <c r="CH381" s="345"/>
      <c r="CI381" s="253"/>
      <c r="CJ381" s="346"/>
      <c r="CL381" s="253"/>
      <c r="CM381" s="345"/>
      <c r="CN381" s="253"/>
      <c r="CO381" s="346"/>
      <c r="CQ381" s="253"/>
      <c r="CR381" s="345"/>
      <c r="CS381" s="253"/>
      <c r="CT381" s="346"/>
      <c r="CV381" s="253"/>
      <c r="CW381" s="345"/>
      <c r="CX381" s="253"/>
      <c r="CY381" s="346"/>
      <c r="DA381" s="253"/>
      <c r="DB381" s="345"/>
      <c r="DC381" s="253"/>
      <c r="DD381" s="346"/>
      <c r="DF381" s="253"/>
      <c r="DG381" s="345"/>
      <c r="DH381" s="253"/>
      <c r="DI381" s="346"/>
      <c r="DK381" s="253"/>
      <c r="DL381" s="345"/>
      <c r="DM381" s="253"/>
      <c r="DN381" s="346"/>
      <c r="DP381" s="253"/>
      <c r="DQ381" s="345"/>
      <c r="DR381" s="253"/>
      <c r="DS381" s="346"/>
      <c r="DU381" s="253"/>
      <c r="DV381" s="345"/>
      <c r="DW381" s="253"/>
      <c r="DX381" s="346"/>
      <c r="DZ381" s="253"/>
      <c r="EA381" s="345"/>
      <c r="EB381" s="253"/>
      <c r="EC381" s="346"/>
      <c r="EE381" s="253"/>
      <c r="EF381" s="345"/>
      <c r="EG381" s="253"/>
      <c r="EH381" s="346"/>
      <c r="EJ381" s="253"/>
      <c r="EK381" s="345"/>
      <c r="EL381" s="253"/>
      <c r="EM381" s="346"/>
      <c r="EO381" s="253"/>
      <c r="EP381" s="345"/>
      <c r="EQ381" s="253"/>
      <c r="ER381" s="346"/>
      <c r="ET381" s="253"/>
      <c r="EU381" s="345"/>
      <c r="EV381" s="253"/>
      <c r="EW381" s="346"/>
      <c r="EY381" s="253"/>
      <c r="EZ381" s="345"/>
      <c r="FA381" s="253"/>
      <c r="FB381" s="346"/>
      <c r="FD381" s="253"/>
      <c r="FE381" s="345"/>
      <c r="FF381" s="253"/>
      <c r="FG381" s="346"/>
      <c r="FI381" s="253"/>
      <c r="FJ381" s="345"/>
      <c r="FK381" s="253"/>
      <c r="FL381" s="346"/>
      <c r="FN381" s="253"/>
      <c r="FO381" s="345"/>
      <c r="FP381" s="253"/>
      <c r="FQ381" s="346"/>
      <c r="FS381" s="253"/>
      <c r="FT381" s="345"/>
      <c r="FU381" s="253"/>
      <c r="FV381" s="346"/>
      <c r="FX381" s="253"/>
      <c r="FY381" s="345"/>
      <c r="FZ381" s="253"/>
      <c r="GA381" s="346"/>
      <c r="GC381" s="253"/>
      <c r="GD381" s="345"/>
      <c r="GE381" s="253"/>
      <c r="GF381" s="346"/>
      <c r="GH381" s="253"/>
      <c r="GI381" s="345"/>
      <c r="GJ381" s="253"/>
      <c r="GK381" s="346"/>
      <c r="GM381" s="253"/>
      <c r="GN381" s="345"/>
      <c r="GO381" s="253"/>
      <c r="GP381" s="346"/>
      <c r="GR381" s="253"/>
      <c r="GS381" s="345"/>
      <c r="GT381" s="253"/>
      <c r="GU381" s="346"/>
      <c r="GW381" s="253"/>
      <c r="GX381" s="345"/>
      <c r="GY381" s="253"/>
      <c r="GZ381" s="346"/>
      <c r="HB381" s="253"/>
      <c r="HC381" s="345"/>
      <c r="HD381" s="253"/>
      <c r="HE381" s="346"/>
      <c r="HG381" s="253"/>
      <c r="HH381" s="345"/>
      <c r="HI381" s="253"/>
      <c r="HJ381" s="346"/>
      <c r="HL381" s="253"/>
      <c r="HM381" s="345"/>
      <c r="HN381" s="253"/>
      <c r="HO381" s="346"/>
      <c r="HQ381" s="253"/>
      <c r="HR381" s="345"/>
      <c r="HS381" s="253"/>
      <c r="HT381" s="346"/>
      <c r="HV381" s="253"/>
      <c r="HW381" s="345"/>
      <c r="HX381" s="253"/>
      <c r="HY381" s="346"/>
      <c r="IA381" s="253"/>
      <c r="IB381" s="345"/>
      <c r="IC381" s="253"/>
      <c r="ID381" s="346"/>
      <c r="IF381" s="253"/>
      <c r="IG381" s="345"/>
      <c r="IH381" s="253"/>
      <c r="II381" s="346"/>
      <c r="IK381" s="253"/>
      <c r="IL381" s="345"/>
      <c r="IM381" s="253"/>
      <c r="IN381" s="346"/>
      <c r="IP381" s="253"/>
      <c r="IQ381" s="345"/>
      <c r="IR381" s="253"/>
      <c r="IS381" s="346"/>
      <c r="IU381" s="253"/>
      <c r="IV381" s="345"/>
    </row>
    <row r="382" spans="1:256" x14ac:dyDescent="0.2">
      <c r="A382" s="345">
        <v>39141</v>
      </c>
      <c r="B382" s="1311">
        <v>-1.88</v>
      </c>
      <c r="C382" s="346">
        <v>206861270.69</v>
      </c>
      <c r="E382" s="253">
        <f>B382-Index_Returns!B382</f>
        <v>7.588000000000017E-2</v>
      </c>
      <c r="F382" s="733"/>
      <c r="G382" s="728"/>
      <c r="H382" s="346"/>
      <c r="J382" s="253"/>
      <c r="K382" s="345"/>
      <c r="L382" s="253"/>
      <c r="M382" s="346"/>
      <c r="O382" s="253"/>
      <c r="P382" s="345"/>
      <c r="Q382" s="253"/>
      <c r="R382" s="346"/>
      <c r="T382" s="253"/>
      <c r="U382" s="345"/>
      <c r="V382" s="253"/>
      <c r="W382" s="346"/>
      <c r="Y382" s="253"/>
      <c r="Z382" s="345"/>
      <c r="AA382" s="253"/>
      <c r="AB382" s="346"/>
      <c r="AD382" s="253"/>
      <c r="AE382" s="345"/>
      <c r="AF382" s="253"/>
      <c r="AG382" s="346"/>
      <c r="AI382" s="253"/>
      <c r="AJ382" s="345"/>
      <c r="AK382" s="253"/>
      <c r="AL382" s="346"/>
      <c r="AN382" s="253"/>
      <c r="AO382" s="345"/>
      <c r="AP382" s="253"/>
      <c r="AQ382" s="346"/>
      <c r="AS382" s="253"/>
      <c r="AT382" s="345"/>
      <c r="AU382" s="253"/>
      <c r="AV382" s="346"/>
      <c r="AX382" s="253"/>
      <c r="AY382" s="345"/>
      <c r="AZ382" s="253"/>
      <c r="BA382" s="346"/>
      <c r="BC382" s="253"/>
      <c r="BD382" s="345"/>
      <c r="BE382" s="253"/>
      <c r="BF382" s="346"/>
      <c r="BH382" s="253"/>
      <c r="BI382" s="345"/>
      <c r="BJ382" s="253"/>
      <c r="BK382" s="346"/>
      <c r="BM382" s="253"/>
      <c r="BN382" s="345"/>
      <c r="BO382" s="253"/>
      <c r="BP382" s="346"/>
      <c r="BR382" s="253"/>
      <c r="BS382" s="345"/>
      <c r="BT382" s="253"/>
      <c r="BU382" s="346"/>
      <c r="BW382" s="253"/>
      <c r="BX382" s="345"/>
      <c r="BY382" s="253"/>
      <c r="BZ382" s="346"/>
      <c r="CB382" s="253"/>
      <c r="CC382" s="345"/>
      <c r="CD382" s="253"/>
      <c r="CE382" s="346"/>
      <c r="CG382" s="253"/>
      <c r="CH382" s="345"/>
      <c r="CI382" s="253"/>
      <c r="CJ382" s="346"/>
      <c r="CL382" s="253"/>
      <c r="CM382" s="345"/>
      <c r="CN382" s="253"/>
      <c r="CO382" s="346"/>
      <c r="CQ382" s="253"/>
      <c r="CR382" s="345"/>
      <c r="CS382" s="253"/>
      <c r="CT382" s="346"/>
      <c r="CV382" s="253"/>
      <c r="CW382" s="345"/>
      <c r="CX382" s="253"/>
      <c r="CY382" s="346"/>
      <c r="DA382" s="253"/>
      <c r="DB382" s="345"/>
      <c r="DC382" s="253"/>
      <c r="DD382" s="346"/>
      <c r="DF382" s="253"/>
      <c r="DG382" s="345"/>
      <c r="DH382" s="253"/>
      <c r="DI382" s="346"/>
      <c r="DK382" s="253"/>
      <c r="DL382" s="345"/>
      <c r="DM382" s="253"/>
      <c r="DN382" s="346"/>
      <c r="DP382" s="253"/>
      <c r="DQ382" s="345"/>
      <c r="DR382" s="253"/>
      <c r="DS382" s="346"/>
      <c r="DU382" s="253"/>
      <c r="DV382" s="345"/>
      <c r="DW382" s="253"/>
      <c r="DX382" s="346"/>
      <c r="DZ382" s="253"/>
      <c r="EA382" s="345"/>
      <c r="EB382" s="253"/>
      <c r="EC382" s="346"/>
      <c r="EE382" s="253"/>
      <c r="EF382" s="345"/>
      <c r="EG382" s="253"/>
      <c r="EH382" s="346"/>
      <c r="EJ382" s="253"/>
      <c r="EK382" s="345"/>
      <c r="EL382" s="253"/>
      <c r="EM382" s="346"/>
      <c r="EO382" s="253"/>
      <c r="EP382" s="345"/>
      <c r="EQ382" s="253"/>
      <c r="ER382" s="346"/>
      <c r="ET382" s="253"/>
      <c r="EU382" s="345"/>
      <c r="EV382" s="253"/>
      <c r="EW382" s="346"/>
      <c r="EY382" s="253"/>
      <c r="EZ382" s="345"/>
      <c r="FA382" s="253"/>
      <c r="FB382" s="346"/>
      <c r="FD382" s="253"/>
      <c r="FE382" s="345"/>
      <c r="FF382" s="253"/>
      <c r="FG382" s="346"/>
      <c r="FI382" s="253"/>
      <c r="FJ382" s="345"/>
      <c r="FK382" s="253"/>
      <c r="FL382" s="346"/>
      <c r="FN382" s="253"/>
      <c r="FO382" s="345"/>
      <c r="FP382" s="253"/>
      <c r="FQ382" s="346"/>
      <c r="FS382" s="253"/>
      <c r="FT382" s="345"/>
      <c r="FU382" s="253"/>
      <c r="FV382" s="346"/>
      <c r="FX382" s="253"/>
      <c r="FY382" s="345"/>
      <c r="FZ382" s="253"/>
      <c r="GA382" s="346"/>
      <c r="GC382" s="253"/>
      <c r="GD382" s="345"/>
      <c r="GE382" s="253"/>
      <c r="GF382" s="346"/>
      <c r="GH382" s="253"/>
      <c r="GI382" s="345"/>
      <c r="GJ382" s="253"/>
      <c r="GK382" s="346"/>
      <c r="GM382" s="253"/>
      <c r="GN382" s="345"/>
      <c r="GO382" s="253"/>
      <c r="GP382" s="346"/>
      <c r="GR382" s="253"/>
      <c r="GS382" s="345"/>
      <c r="GT382" s="253"/>
      <c r="GU382" s="346"/>
      <c r="GW382" s="253"/>
      <c r="GX382" s="345"/>
      <c r="GY382" s="253"/>
      <c r="GZ382" s="346"/>
      <c r="HB382" s="253"/>
      <c r="HC382" s="345"/>
      <c r="HD382" s="253"/>
      <c r="HE382" s="346"/>
      <c r="HG382" s="253"/>
      <c r="HH382" s="345"/>
      <c r="HI382" s="253"/>
      <c r="HJ382" s="346"/>
      <c r="HL382" s="253"/>
      <c r="HM382" s="345"/>
      <c r="HN382" s="253"/>
      <c r="HO382" s="346"/>
      <c r="HQ382" s="253"/>
      <c r="HR382" s="345"/>
      <c r="HS382" s="253"/>
      <c r="HT382" s="346"/>
      <c r="HV382" s="253"/>
      <c r="HW382" s="345"/>
      <c r="HX382" s="253"/>
      <c r="HY382" s="346"/>
      <c r="IA382" s="253"/>
      <c r="IB382" s="345"/>
      <c r="IC382" s="253"/>
      <c r="ID382" s="346"/>
      <c r="IF382" s="253"/>
      <c r="IG382" s="345"/>
      <c r="IH382" s="253"/>
      <c r="II382" s="346"/>
      <c r="IK382" s="253"/>
      <c r="IL382" s="345"/>
      <c r="IM382" s="253"/>
      <c r="IN382" s="346"/>
      <c r="IP382" s="253"/>
      <c r="IQ382" s="345"/>
      <c r="IR382" s="253"/>
      <c r="IS382" s="346"/>
      <c r="IU382" s="253"/>
      <c r="IV382" s="345"/>
    </row>
    <row r="383" spans="1:256" x14ac:dyDescent="0.2">
      <c r="A383" s="345">
        <v>39172</v>
      </c>
      <c r="B383" s="1311">
        <v>0.39</v>
      </c>
      <c r="C383" s="346">
        <v>207896928.44</v>
      </c>
      <c r="E383" s="253">
        <f>B383-Index_Returns!B383</f>
        <v>-0.72850000000000004</v>
      </c>
      <c r="F383" s="733"/>
      <c r="G383" s="728"/>
      <c r="H383" s="346"/>
      <c r="J383" s="253"/>
      <c r="K383" s="345"/>
      <c r="L383" s="253"/>
      <c r="M383" s="346"/>
      <c r="O383" s="253"/>
      <c r="P383" s="345"/>
      <c r="Q383" s="253"/>
      <c r="R383" s="346"/>
      <c r="T383" s="253"/>
      <c r="U383" s="345"/>
      <c r="V383" s="253"/>
      <c r="W383" s="346"/>
      <c r="Y383" s="253"/>
      <c r="Z383" s="345"/>
      <c r="AA383" s="253"/>
      <c r="AB383" s="346"/>
      <c r="AD383" s="253"/>
      <c r="AE383" s="345"/>
      <c r="AF383" s="253"/>
      <c r="AG383" s="346"/>
      <c r="AI383" s="253"/>
      <c r="AJ383" s="345"/>
      <c r="AK383" s="253"/>
      <c r="AL383" s="346"/>
      <c r="AN383" s="253"/>
      <c r="AO383" s="345"/>
      <c r="AP383" s="253"/>
      <c r="AQ383" s="346"/>
      <c r="AS383" s="253"/>
      <c r="AT383" s="345"/>
      <c r="AU383" s="253"/>
      <c r="AV383" s="346"/>
      <c r="AX383" s="253"/>
      <c r="AY383" s="345"/>
      <c r="AZ383" s="253"/>
      <c r="BA383" s="346"/>
      <c r="BC383" s="253"/>
      <c r="BD383" s="345"/>
      <c r="BE383" s="253"/>
      <c r="BF383" s="346"/>
      <c r="BH383" s="253"/>
      <c r="BI383" s="345"/>
      <c r="BJ383" s="253"/>
      <c r="BK383" s="346"/>
      <c r="BM383" s="253"/>
      <c r="BN383" s="345"/>
      <c r="BO383" s="253"/>
      <c r="BP383" s="346"/>
      <c r="BR383" s="253"/>
      <c r="BS383" s="345"/>
      <c r="BT383" s="253"/>
      <c r="BU383" s="346"/>
      <c r="BW383" s="253"/>
      <c r="BX383" s="345"/>
      <c r="BY383" s="253"/>
      <c r="BZ383" s="346"/>
      <c r="CB383" s="253"/>
      <c r="CC383" s="345"/>
      <c r="CD383" s="253"/>
      <c r="CE383" s="346"/>
      <c r="CG383" s="253"/>
      <c r="CH383" s="345"/>
      <c r="CI383" s="253"/>
      <c r="CJ383" s="346"/>
      <c r="CL383" s="253"/>
      <c r="CM383" s="345"/>
      <c r="CN383" s="253"/>
      <c r="CO383" s="346"/>
      <c r="CQ383" s="253"/>
      <c r="CR383" s="345"/>
      <c r="CS383" s="253"/>
      <c r="CT383" s="346"/>
      <c r="CV383" s="253"/>
      <c r="CW383" s="345"/>
      <c r="CX383" s="253"/>
      <c r="CY383" s="346"/>
      <c r="DA383" s="253"/>
      <c r="DB383" s="345"/>
      <c r="DC383" s="253"/>
      <c r="DD383" s="346"/>
      <c r="DF383" s="253"/>
      <c r="DG383" s="345"/>
      <c r="DH383" s="253"/>
      <c r="DI383" s="346"/>
      <c r="DK383" s="253"/>
      <c r="DL383" s="345"/>
      <c r="DM383" s="253"/>
      <c r="DN383" s="346"/>
      <c r="DP383" s="253"/>
      <c r="DQ383" s="345"/>
      <c r="DR383" s="253"/>
      <c r="DS383" s="346"/>
      <c r="DU383" s="253"/>
      <c r="DV383" s="345"/>
      <c r="DW383" s="253"/>
      <c r="DX383" s="346"/>
      <c r="DZ383" s="253"/>
      <c r="EA383" s="345"/>
      <c r="EB383" s="253"/>
      <c r="EC383" s="346"/>
      <c r="EE383" s="253"/>
      <c r="EF383" s="345"/>
      <c r="EG383" s="253"/>
      <c r="EH383" s="346"/>
      <c r="EJ383" s="253"/>
      <c r="EK383" s="345"/>
      <c r="EL383" s="253"/>
      <c r="EM383" s="346"/>
      <c r="EO383" s="253"/>
      <c r="EP383" s="345"/>
      <c r="EQ383" s="253"/>
      <c r="ER383" s="346"/>
      <c r="ET383" s="253"/>
      <c r="EU383" s="345"/>
      <c r="EV383" s="253"/>
      <c r="EW383" s="346"/>
      <c r="EY383" s="253"/>
      <c r="EZ383" s="345"/>
      <c r="FA383" s="253"/>
      <c r="FB383" s="346"/>
      <c r="FD383" s="253"/>
      <c r="FE383" s="345"/>
      <c r="FF383" s="253"/>
      <c r="FG383" s="346"/>
      <c r="FI383" s="253"/>
      <c r="FJ383" s="345"/>
      <c r="FK383" s="253"/>
      <c r="FL383" s="346"/>
      <c r="FN383" s="253"/>
      <c r="FO383" s="345"/>
      <c r="FP383" s="253"/>
      <c r="FQ383" s="346"/>
      <c r="FS383" s="253"/>
      <c r="FT383" s="345"/>
      <c r="FU383" s="253"/>
      <c r="FV383" s="346"/>
      <c r="FX383" s="253"/>
      <c r="FY383" s="345"/>
      <c r="FZ383" s="253"/>
      <c r="GA383" s="346"/>
      <c r="GC383" s="253"/>
      <c r="GD383" s="345"/>
      <c r="GE383" s="253"/>
      <c r="GF383" s="346"/>
      <c r="GH383" s="253"/>
      <c r="GI383" s="345"/>
      <c r="GJ383" s="253"/>
      <c r="GK383" s="346"/>
      <c r="GM383" s="253"/>
      <c r="GN383" s="345"/>
      <c r="GO383" s="253"/>
      <c r="GP383" s="346"/>
      <c r="GR383" s="253"/>
      <c r="GS383" s="345"/>
      <c r="GT383" s="253"/>
      <c r="GU383" s="346"/>
      <c r="GW383" s="253"/>
      <c r="GX383" s="345"/>
      <c r="GY383" s="253"/>
      <c r="GZ383" s="346"/>
      <c r="HB383" s="253"/>
      <c r="HC383" s="345"/>
      <c r="HD383" s="253"/>
      <c r="HE383" s="346"/>
      <c r="HG383" s="253"/>
      <c r="HH383" s="345"/>
      <c r="HI383" s="253"/>
      <c r="HJ383" s="346"/>
      <c r="HL383" s="253"/>
      <c r="HM383" s="345"/>
      <c r="HN383" s="253"/>
      <c r="HO383" s="346"/>
      <c r="HQ383" s="253"/>
      <c r="HR383" s="345"/>
      <c r="HS383" s="253"/>
      <c r="HT383" s="346"/>
      <c r="HV383" s="253"/>
      <c r="HW383" s="345"/>
      <c r="HX383" s="253"/>
      <c r="HY383" s="346"/>
      <c r="IA383" s="253"/>
      <c r="IB383" s="345"/>
      <c r="IC383" s="253"/>
      <c r="ID383" s="346"/>
      <c r="IF383" s="253"/>
      <c r="IG383" s="345"/>
      <c r="IH383" s="253"/>
      <c r="II383" s="346"/>
      <c r="IK383" s="253"/>
      <c r="IL383" s="345"/>
      <c r="IM383" s="253"/>
      <c r="IN383" s="346"/>
      <c r="IP383" s="253"/>
      <c r="IQ383" s="345"/>
      <c r="IR383" s="253"/>
      <c r="IS383" s="346"/>
      <c r="IU383" s="253"/>
      <c r="IV383" s="345"/>
    </row>
    <row r="384" spans="1:256" x14ac:dyDescent="0.2">
      <c r="A384" s="345">
        <v>39202</v>
      </c>
      <c r="B384" s="1311">
        <v>3.95</v>
      </c>
      <c r="C384" s="346">
        <v>216100704.41</v>
      </c>
      <c r="E384" s="253">
        <f>B384-Index_Returns!B384</f>
        <v>-0.47952999999999957</v>
      </c>
      <c r="F384" s="733"/>
      <c r="G384" s="728"/>
      <c r="H384" s="346"/>
      <c r="J384" s="253"/>
      <c r="K384" s="345"/>
      <c r="L384" s="253"/>
      <c r="M384" s="346"/>
      <c r="O384" s="253"/>
      <c r="P384" s="345"/>
      <c r="Q384" s="253"/>
      <c r="R384" s="346"/>
      <c r="T384" s="253"/>
      <c r="U384" s="345"/>
      <c r="V384" s="253"/>
      <c r="W384" s="346"/>
      <c r="Y384" s="253"/>
      <c r="Z384" s="345"/>
      <c r="AA384" s="253"/>
      <c r="AB384" s="346"/>
      <c r="AD384" s="253"/>
      <c r="AE384" s="345"/>
      <c r="AF384" s="253"/>
      <c r="AG384" s="346"/>
      <c r="AI384" s="253"/>
      <c r="AJ384" s="345"/>
      <c r="AK384" s="253"/>
      <c r="AL384" s="346"/>
      <c r="AN384" s="253"/>
      <c r="AO384" s="345"/>
      <c r="AP384" s="253"/>
      <c r="AQ384" s="346"/>
      <c r="AS384" s="253"/>
      <c r="AT384" s="345"/>
      <c r="AU384" s="253"/>
      <c r="AV384" s="346"/>
      <c r="AX384" s="253"/>
      <c r="AY384" s="345"/>
      <c r="AZ384" s="253"/>
      <c r="BA384" s="346"/>
      <c r="BC384" s="253"/>
      <c r="BD384" s="345"/>
      <c r="BE384" s="253"/>
      <c r="BF384" s="346"/>
      <c r="BH384" s="253"/>
      <c r="BI384" s="345"/>
      <c r="BJ384" s="253"/>
      <c r="BK384" s="346"/>
      <c r="BM384" s="253"/>
      <c r="BN384" s="345"/>
      <c r="BO384" s="253"/>
      <c r="BP384" s="346"/>
      <c r="BR384" s="253"/>
      <c r="BS384" s="345"/>
      <c r="BT384" s="253"/>
      <c r="BU384" s="346"/>
      <c r="BW384" s="253"/>
      <c r="BX384" s="345"/>
      <c r="BY384" s="253"/>
      <c r="BZ384" s="346"/>
      <c r="CB384" s="253"/>
      <c r="CC384" s="345"/>
      <c r="CD384" s="253"/>
      <c r="CE384" s="346"/>
      <c r="CG384" s="253"/>
      <c r="CH384" s="345"/>
      <c r="CI384" s="253"/>
      <c r="CJ384" s="346"/>
      <c r="CL384" s="253"/>
      <c r="CM384" s="345"/>
      <c r="CN384" s="253"/>
      <c r="CO384" s="346"/>
      <c r="CQ384" s="253"/>
      <c r="CR384" s="345"/>
      <c r="CS384" s="253"/>
      <c r="CT384" s="346"/>
      <c r="CV384" s="253"/>
      <c r="CW384" s="345"/>
      <c r="CX384" s="253"/>
      <c r="CY384" s="346"/>
      <c r="DA384" s="253"/>
      <c r="DB384" s="345"/>
      <c r="DC384" s="253"/>
      <c r="DD384" s="346"/>
      <c r="DF384" s="253"/>
      <c r="DG384" s="345"/>
      <c r="DH384" s="253"/>
      <c r="DI384" s="346"/>
      <c r="DK384" s="253"/>
      <c r="DL384" s="345"/>
      <c r="DM384" s="253"/>
      <c r="DN384" s="346"/>
      <c r="DP384" s="253"/>
      <c r="DQ384" s="345"/>
      <c r="DR384" s="253"/>
      <c r="DS384" s="346"/>
      <c r="DU384" s="253"/>
      <c r="DV384" s="345"/>
      <c r="DW384" s="253"/>
      <c r="DX384" s="346"/>
      <c r="DZ384" s="253"/>
      <c r="EA384" s="345"/>
      <c r="EB384" s="253"/>
      <c r="EC384" s="346"/>
      <c r="EE384" s="253"/>
      <c r="EF384" s="345"/>
      <c r="EG384" s="253"/>
      <c r="EH384" s="346"/>
      <c r="EJ384" s="253"/>
      <c r="EK384" s="345"/>
      <c r="EL384" s="253"/>
      <c r="EM384" s="346"/>
      <c r="EO384" s="253"/>
      <c r="EP384" s="345"/>
      <c r="EQ384" s="253"/>
      <c r="ER384" s="346"/>
      <c r="ET384" s="253"/>
      <c r="EU384" s="345"/>
      <c r="EV384" s="253"/>
      <c r="EW384" s="346"/>
      <c r="EY384" s="253"/>
      <c r="EZ384" s="345"/>
      <c r="FA384" s="253"/>
      <c r="FB384" s="346"/>
      <c r="FD384" s="253"/>
      <c r="FE384" s="345"/>
      <c r="FF384" s="253"/>
      <c r="FG384" s="346"/>
      <c r="FI384" s="253"/>
      <c r="FJ384" s="345"/>
      <c r="FK384" s="253"/>
      <c r="FL384" s="346"/>
      <c r="FN384" s="253"/>
      <c r="FO384" s="345"/>
      <c r="FP384" s="253"/>
      <c r="FQ384" s="346"/>
      <c r="FS384" s="253"/>
      <c r="FT384" s="345"/>
      <c r="FU384" s="253"/>
      <c r="FV384" s="346"/>
      <c r="FX384" s="253"/>
      <c r="FY384" s="345"/>
      <c r="FZ384" s="253"/>
      <c r="GA384" s="346"/>
      <c r="GC384" s="253"/>
      <c r="GD384" s="345"/>
      <c r="GE384" s="253"/>
      <c r="GF384" s="346"/>
      <c r="GH384" s="253"/>
      <c r="GI384" s="345"/>
      <c r="GJ384" s="253"/>
      <c r="GK384" s="346"/>
      <c r="GM384" s="253"/>
      <c r="GN384" s="345"/>
      <c r="GO384" s="253"/>
      <c r="GP384" s="346"/>
      <c r="GR384" s="253"/>
      <c r="GS384" s="345"/>
      <c r="GT384" s="253"/>
      <c r="GU384" s="346"/>
      <c r="GW384" s="253"/>
      <c r="GX384" s="345"/>
      <c r="GY384" s="253"/>
      <c r="GZ384" s="346"/>
      <c r="HB384" s="253"/>
      <c r="HC384" s="345"/>
      <c r="HD384" s="253"/>
      <c r="HE384" s="346"/>
      <c r="HG384" s="253"/>
      <c r="HH384" s="345"/>
      <c r="HI384" s="253"/>
      <c r="HJ384" s="346"/>
      <c r="HL384" s="253"/>
      <c r="HM384" s="345"/>
      <c r="HN384" s="253"/>
      <c r="HO384" s="346"/>
      <c r="HQ384" s="253"/>
      <c r="HR384" s="345"/>
      <c r="HS384" s="253"/>
      <c r="HT384" s="346"/>
      <c r="HV384" s="253"/>
      <c r="HW384" s="345"/>
      <c r="HX384" s="253"/>
      <c r="HY384" s="346"/>
      <c r="IA384" s="253"/>
      <c r="IB384" s="345"/>
      <c r="IC384" s="253"/>
      <c r="ID384" s="346"/>
      <c r="IF384" s="253"/>
      <c r="IG384" s="345"/>
      <c r="IH384" s="253"/>
      <c r="II384" s="346"/>
      <c r="IK384" s="253"/>
      <c r="IL384" s="345"/>
      <c r="IM384" s="253"/>
      <c r="IN384" s="346"/>
      <c r="IP384" s="253"/>
      <c r="IQ384" s="345"/>
      <c r="IR384" s="253"/>
      <c r="IS384" s="346"/>
      <c r="IU384" s="253"/>
      <c r="IV384" s="345"/>
    </row>
    <row r="385" spans="1:256" x14ac:dyDescent="0.2">
      <c r="A385" s="345">
        <v>39233</v>
      </c>
      <c r="B385" s="1311">
        <v>3.85</v>
      </c>
      <c r="C385" s="346">
        <v>224419071.97999999</v>
      </c>
      <c r="E385" s="253">
        <f>B385-Index_Returns!B385</f>
        <v>0.36048999999999998</v>
      </c>
      <c r="F385" s="733"/>
      <c r="G385" s="728"/>
      <c r="H385" s="346"/>
      <c r="J385" s="253"/>
      <c r="K385" s="345"/>
      <c r="L385" s="253"/>
      <c r="M385" s="346"/>
      <c r="O385" s="253"/>
      <c r="P385" s="345"/>
      <c r="Q385" s="253"/>
      <c r="R385" s="346"/>
      <c r="T385" s="253"/>
      <c r="U385" s="345"/>
      <c r="V385" s="253"/>
      <c r="W385" s="346"/>
      <c r="Y385" s="253"/>
      <c r="Z385" s="345"/>
      <c r="AA385" s="253"/>
      <c r="AB385" s="346"/>
      <c r="AD385" s="253"/>
      <c r="AE385" s="345"/>
      <c r="AF385" s="253"/>
      <c r="AG385" s="346"/>
      <c r="AI385" s="253"/>
      <c r="AJ385" s="345"/>
      <c r="AK385" s="253"/>
      <c r="AL385" s="346"/>
      <c r="AN385" s="253"/>
      <c r="AO385" s="345"/>
      <c r="AP385" s="253"/>
      <c r="AQ385" s="346"/>
      <c r="AS385" s="253"/>
      <c r="AT385" s="345"/>
      <c r="AU385" s="253"/>
      <c r="AV385" s="346"/>
      <c r="AX385" s="253"/>
      <c r="AY385" s="345"/>
      <c r="AZ385" s="253"/>
      <c r="BA385" s="346"/>
      <c r="BC385" s="253"/>
      <c r="BD385" s="345"/>
      <c r="BE385" s="253"/>
      <c r="BF385" s="346"/>
      <c r="BH385" s="253"/>
      <c r="BI385" s="345"/>
      <c r="BJ385" s="253"/>
      <c r="BK385" s="346"/>
      <c r="BM385" s="253"/>
      <c r="BN385" s="345"/>
      <c r="BO385" s="253"/>
      <c r="BP385" s="346"/>
      <c r="BR385" s="253"/>
      <c r="BS385" s="345"/>
      <c r="BT385" s="253"/>
      <c r="BU385" s="346"/>
      <c r="BW385" s="253"/>
      <c r="BX385" s="345"/>
      <c r="BY385" s="253"/>
      <c r="BZ385" s="346"/>
      <c r="CB385" s="253"/>
      <c r="CC385" s="345"/>
      <c r="CD385" s="253"/>
      <c r="CE385" s="346"/>
      <c r="CG385" s="253"/>
      <c r="CH385" s="345"/>
      <c r="CI385" s="253"/>
      <c r="CJ385" s="346"/>
      <c r="CL385" s="253"/>
      <c r="CM385" s="345"/>
      <c r="CN385" s="253"/>
      <c r="CO385" s="346"/>
      <c r="CQ385" s="253"/>
      <c r="CR385" s="345"/>
      <c r="CS385" s="253"/>
      <c r="CT385" s="346"/>
      <c r="CV385" s="253"/>
      <c r="CW385" s="345"/>
      <c r="CX385" s="253"/>
      <c r="CY385" s="346"/>
      <c r="DA385" s="253"/>
      <c r="DB385" s="345"/>
      <c r="DC385" s="253"/>
      <c r="DD385" s="346"/>
      <c r="DF385" s="253"/>
      <c r="DG385" s="345"/>
      <c r="DH385" s="253"/>
      <c r="DI385" s="346"/>
      <c r="DK385" s="253"/>
      <c r="DL385" s="345"/>
      <c r="DM385" s="253"/>
      <c r="DN385" s="346"/>
      <c r="DP385" s="253"/>
      <c r="DQ385" s="345"/>
      <c r="DR385" s="253"/>
      <c r="DS385" s="346"/>
      <c r="DU385" s="253"/>
      <c r="DV385" s="345"/>
      <c r="DW385" s="253"/>
      <c r="DX385" s="346"/>
      <c r="DZ385" s="253"/>
      <c r="EA385" s="345"/>
      <c r="EB385" s="253"/>
      <c r="EC385" s="346"/>
      <c r="EE385" s="253"/>
      <c r="EF385" s="345"/>
      <c r="EG385" s="253"/>
      <c r="EH385" s="346"/>
      <c r="EJ385" s="253"/>
      <c r="EK385" s="345"/>
      <c r="EL385" s="253"/>
      <c r="EM385" s="346"/>
      <c r="EO385" s="253"/>
      <c r="EP385" s="345"/>
      <c r="EQ385" s="253"/>
      <c r="ER385" s="346"/>
      <c r="ET385" s="253"/>
      <c r="EU385" s="345"/>
      <c r="EV385" s="253"/>
      <c r="EW385" s="346"/>
      <c r="EY385" s="253"/>
      <c r="EZ385" s="345"/>
      <c r="FA385" s="253"/>
      <c r="FB385" s="346"/>
      <c r="FD385" s="253"/>
      <c r="FE385" s="345"/>
      <c r="FF385" s="253"/>
      <c r="FG385" s="346"/>
      <c r="FI385" s="253"/>
      <c r="FJ385" s="345"/>
      <c r="FK385" s="253"/>
      <c r="FL385" s="346"/>
      <c r="FN385" s="253"/>
      <c r="FO385" s="345"/>
      <c r="FP385" s="253"/>
      <c r="FQ385" s="346"/>
      <c r="FS385" s="253"/>
      <c r="FT385" s="345"/>
      <c r="FU385" s="253"/>
      <c r="FV385" s="346"/>
      <c r="FX385" s="253"/>
      <c r="FY385" s="345"/>
      <c r="FZ385" s="253"/>
      <c r="GA385" s="346"/>
      <c r="GC385" s="253"/>
      <c r="GD385" s="345"/>
      <c r="GE385" s="253"/>
      <c r="GF385" s="346"/>
      <c r="GH385" s="253"/>
      <c r="GI385" s="345"/>
      <c r="GJ385" s="253"/>
      <c r="GK385" s="346"/>
      <c r="GM385" s="253"/>
      <c r="GN385" s="345"/>
      <c r="GO385" s="253"/>
      <c r="GP385" s="346"/>
      <c r="GR385" s="253"/>
      <c r="GS385" s="345"/>
      <c r="GT385" s="253"/>
      <c r="GU385" s="346"/>
      <c r="GW385" s="253"/>
      <c r="GX385" s="345"/>
      <c r="GY385" s="253"/>
      <c r="GZ385" s="346"/>
      <c r="HB385" s="253"/>
      <c r="HC385" s="345"/>
      <c r="HD385" s="253"/>
      <c r="HE385" s="346"/>
      <c r="HG385" s="253"/>
      <c r="HH385" s="345"/>
      <c r="HI385" s="253"/>
      <c r="HJ385" s="346"/>
      <c r="HL385" s="253"/>
      <c r="HM385" s="345"/>
      <c r="HN385" s="253"/>
      <c r="HO385" s="346"/>
      <c r="HQ385" s="253"/>
      <c r="HR385" s="345"/>
      <c r="HS385" s="253"/>
      <c r="HT385" s="346"/>
      <c r="HV385" s="253"/>
      <c r="HW385" s="345"/>
      <c r="HX385" s="253"/>
      <c r="HY385" s="346"/>
      <c r="IA385" s="253"/>
      <c r="IB385" s="345"/>
      <c r="IC385" s="253"/>
      <c r="ID385" s="346"/>
      <c r="IF385" s="253"/>
      <c r="IG385" s="345"/>
      <c r="IH385" s="253"/>
      <c r="II385" s="346"/>
      <c r="IK385" s="253"/>
      <c r="IL385" s="345"/>
      <c r="IM385" s="253"/>
      <c r="IN385" s="346"/>
      <c r="IP385" s="253"/>
      <c r="IQ385" s="345"/>
      <c r="IR385" s="253"/>
      <c r="IS385" s="346"/>
      <c r="IU385" s="253"/>
      <c r="IV385" s="345"/>
    </row>
    <row r="386" spans="1:256" x14ac:dyDescent="0.2">
      <c r="A386" s="345">
        <v>39263</v>
      </c>
      <c r="B386" s="1311">
        <v>-1.63</v>
      </c>
      <c r="C386" s="346">
        <v>221071110.40000001</v>
      </c>
      <c r="E386" s="253">
        <f>B386-Index_Returns!B386</f>
        <v>3.1320000000000014E-2</v>
      </c>
      <c r="F386" s="733"/>
      <c r="G386" s="728"/>
      <c r="H386" s="346"/>
      <c r="J386" s="253"/>
      <c r="K386" s="345"/>
      <c r="L386" s="253"/>
      <c r="M386" s="346"/>
      <c r="O386" s="253"/>
      <c r="P386" s="345"/>
      <c r="Q386" s="253"/>
      <c r="R386" s="346"/>
      <c r="T386" s="253"/>
      <c r="U386" s="345"/>
      <c r="V386" s="253"/>
      <c r="W386" s="346"/>
      <c r="Y386" s="253"/>
      <c r="Z386" s="345"/>
      <c r="AA386" s="253"/>
      <c r="AB386" s="346"/>
      <c r="AD386" s="253"/>
      <c r="AE386" s="345"/>
      <c r="AF386" s="253"/>
      <c r="AG386" s="346"/>
      <c r="AI386" s="253"/>
      <c r="AJ386" s="345"/>
      <c r="AK386" s="253"/>
      <c r="AL386" s="346"/>
      <c r="AN386" s="253"/>
      <c r="AO386" s="345"/>
      <c r="AP386" s="253"/>
      <c r="AQ386" s="346"/>
      <c r="AS386" s="253"/>
      <c r="AT386" s="345"/>
      <c r="AU386" s="253"/>
      <c r="AV386" s="346"/>
      <c r="AX386" s="253"/>
      <c r="AY386" s="345"/>
      <c r="AZ386" s="253"/>
      <c r="BA386" s="346"/>
      <c r="BC386" s="253"/>
      <c r="BD386" s="345"/>
      <c r="BE386" s="253"/>
      <c r="BF386" s="346"/>
      <c r="BH386" s="253"/>
      <c r="BI386" s="345"/>
      <c r="BJ386" s="253"/>
      <c r="BK386" s="346"/>
      <c r="BM386" s="253"/>
      <c r="BN386" s="345"/>
      <c r="BO386" s="253"/>
      <c r="BP386" s="346"/>
      <c r="BR386" s="253"/>
      <c r="BS386" s="345"/>
      <c r="BT386" s="253"/>
      <c r="BU386" s="346"/>
      <c r="BW386" s="253"/>
      <c r="BX386" s="345"/>
      <c r="BY386" s="253"/>
      <c r="BZ386" s="346"/>
      <c r="CB386" s="253"/>
      <c r="CC386" s="345"/>
      <c r="CD386" s="253"/>
      <c r="CE386" s="346"/>
      <c r="CG386" s="253"/>
      <c r="CH386" s="345"/>
      <c r="CI386" s="253"/>
      <c r="CJ386" s="346"/>
      <c r="CL386" s="253"/>
      <c r="CM386" s="345"/>
      <c r="CN386" s="253"/>
      <c r="CO386" s="346"/>
      <c r="CQ386" s="253"/>
      <c r="CR386" s="345"/>
      <c r="CS386" s="253"/>
      <c r="CT386" s="346"/>
      <c r="CV386" s="253"/>
      <c r="CW386" s="345"/>
      <c r="CX386" s="253"/>
      <c r="CY386" s="346"/>
      <c r="DA386" s="253"/>
      <c r="DB386" s="345"/>
      <c r="DC386" s="253"/>
      <c r="DD386" s="346"/>
      <c r="DF386" s="253"/>
      <c r="DG386" s="345"/>
      <c r="DH386" s="253"/>
      <c r="DI386" s="346"/>
      <c r="DK386" s="253"/>
      <c r="DL386" s="345"/>
      <c r="DM386" s="253"/>
      <c r="DN386" s="346"/>
      <c r="DP386" s="253"/>
      <c r="DQ386" s="345"/>
      <c r="DR386" s="253"/>
      <c r="DS386" s="346"/>
      <c r="DU386" s="253"/>
      <c r="DV386" s="345"/>
      <c r="DW386" s="253"/>
      <c r="DX386" s="346"/>
      <c r="DZ386" s="253"/>
      <c r="EA386" s="345"/>
      <c r="EB386" s="253"/>
      <c r="EC386" s="346"/>
      <c r="EE386" s="253"/>
      <c r="EF386" s="345"/>
      <c r="EG386" s="253"/>
      <c r="EH386" s="346"/>
      <c r="EJ386" s="253"/>
      <c r="EK386" s="345"/>
      <c r="EL386" s="253"/>
      <c r="EM386" s="346"/>
      <c r="EO386" s="253"/>
      <c r="EP386" s="345"/>
      <c r="EQ386" s="253"/>
      <c r="ER386" s="346"/>
      <c r="ET386" s="253"/>
      <c r="EU386" s="345"/>
      <c r="EV386" s="253"/>
      <c r="EW386" s="346"/>
      <c r="EY386" s="253"/>
      <c r="EZ386" s="345"/>
      <c r="FA386" s="253"/>
      <c r="FB386" s="346"/>
      <c r="FD386" s="253"/>
      <c r="FE386" s="345"/>
      <c r="FF386" s="253"/>
      <c r="FG386" s="346"/>
      <c r="FI386" s="253"/>
      <c r="FJ386" s="345"/>
      <c r="FK386" s="253"/>
      <c r="FL386" s="346"/>
      <c r="FN386" s="253"/>
      <c r="FO386" s="345"/>
      <c r="FP386" s="253"/>
      <c r="FQ386" s="346"/>
      <c r="FS386" s="253"/>
      <c r="FT386" s="345"/>
      <c r="FU386" s="253"/>
      <c r="FV386" s="346"/>
      <c r="FX386" s="253"/>
      <c r="FY386" s="345"/>
      <c r="FZ386" s="253"/>
      <c r="GA386" s="346"/>
      <c r="GC386" s="253"/>
      <c r="GD386" s="345"/>
      <c r="GE386" s="253"/>
      <c r="GF386" s="346"/>
      <c r="GH386" s="253"/>
      <c r="GI386" s="345"/>
      <c r="GJ386" s="253"/>
      <c r="GK386" s="346"/>
      <c r="GM386" s="253"/>
      <c r="GN386" s="345"/>
      <c r="GO386" s="253"/>
      <c r="GP386" s="346"/>
      <c r="GR386" s="253"/>
      <c r="GS386" s="345"/>
      <c r="GT386" s="253"/>
      <c r="GU386" s="346"/>
      <c r="GW386" s="253"/>
      <c r="GX386" s="345"/>
      <c r="GY386" s="253"/>
      <c r="GZ386" s="346"/>
      <c r="HB386" s="253"/>
      <c r="HC386" s="345"/>
      <c r="HD386" s="253"/>
      <c r="HE386" s="346"/>
      <c r="HG386" s="253"/>
      <c r="HH386" s="345"/>
      <c r="HI386" s="253"/>
      <c r="HJ386" s="346"/>
      <c r="HL386" s="253"/>
      <c r="HM386" s="345"/>
      <c r="HN386" s="253"/>
      <c r="HO386" s="346"/>
      <c r="HQ386" s="253"/>
      <c r="HR386" s="345"/>
      <c r="HS386" s="253"/>
      <c r="HT386" s="346"/>
      <c r="HV386" s="253"/>
      <c r="HW386" s="345"/>
      <c r="HX386" s="253"/>
      <c r="HY386" s="346"/>
      <c r="IA386" s="253"/>
      <c r="IB386" s="345"/>
      <c r="IC386" s="253"/>
      <c r="ID386" s="346"/>
      <c r="IF386" s="253"/>
      <c r="IG386" s="345"/>
      <c r="IH386" s="253"/>
      <c r="II386" s="346"/>
      <c r="IK386" s="253"/>
      <c r="IL386" s="345"/>
      <c r="IM386" s="253"/>
      <c r="IN386" s="346"/>
      <c r="IP386" s="253"/>
      <c r="IQ386" s="345"/>
      <c r="IR386" s="253"/>
      <c r="IS386" s="346"/>
      <c r="IU386" s="253"/>
      <c r="IV386" s="345"/>
    </row>
    <row r="387" spans="1:256" x14ac:dyDescent="0.2">
      <c r="A387" s="345">
        <v>39294</v>
      </c>
      <c r="B387" s="1311">
        <v>-3.67</v>
      </c>
      <c r="C387" s="346">
        <v>212950316.49000001</v>
      </c>
      <c r="E387" s="253">
        <f>B387-Index_Returns!B387</f>
        <v>-0.56950999999999974</v>
      </c>
      <c r="F387" s="733"/>
      <c r="G387" s="728"/>
      <c r="H387" s="346"/>
      <c r="J387" s="253"/>
      <c r="K387" s="345"/>
      <c r="L387" s="253"/>
      <c r="M387" s="346"/>
      <c r="O387" s="253"/>
      <c r="P387" s="345"/>
      <c r="Q387" s="253"/>
      <c r="R387" s="346"/>
      <c r="T387" s="253"/>
      <c r="U387" s="345"/>
      <c r="V387" s="253"/>
      <c r="W387" s="346"/>
      <c r="Y387" s="253"/>
      <c r="Z387" s="345"/>
      <c r="AA387" s="253"/>
      <c r="AB387" s="346"/>
      <c r="AD387" s="253"/>
      <c r="AE387" s="345"/>
      <c r="AF387" s="253"/>
      <c r="AG387" s="346"/>
      <c r="AI387" s="253"/>
      <c r="AJ387" s="345"/>
      <c r="AK387" s="253"/>
      <c r="AL387" s="346"/>
      <c r="AN387" s="253"/>
      <c r="AO387" s="345"/>
      <c r="AP387" s="253"/>
      <c r="AQ387" s="346"/>
      <c r="AS387" s="253"/>
      <c r="AT387" s="345"/>
      <c r="AU387" s="253"/>
      <c r="AV387" s="346"/>
      <c r="AX387" s="253"/>
      <c r="AY387" s="345"/>
      <c r="AZ387" s="253"/>
      <c r="BA387" s="346"/>
      <c r="BC387" s="253"/>
      <c r="BD387" s="345"/>
      <c r="BE387" s="253"/>
      <c r="BF387" s="346"/>
      <c r="BH387" s="253"/>
      <c r="BI387" s="345"/>
      <c r="BJ387" s="253"/>
      <c r="BK387" s="346"/>
      <c r="BM387" s="253"/>
      <c r="BN387" s="345"/>
      <c r="BO387" s="253"/>
      <c r="BP387" s="346"/>
      <c r="BR387" s="253"/>
      <c r="BS387" s="345"/>
      <c r="BT387" s="253"/>
      <c r="BU387" s="346"/>
      <c r="BW387" s="253"/>
      <c r="BX387" s="345"/>
      <c r="BY387" s="253"/>
      <c r="BZ387" s="346"/>
      <c r="CB387" s="253"/>
      <c r="CC387" s="345"/>
      <c r="CD387" s="253"/>
      <c r="CE387" s="346"/>
      <c r="CG387" s="253"/>
      <c r="CH387" s="345"/>
      <c r="CI387" s="253"/>
      <c r="CJ387" s="346"/>
      <c r="CL387" s="253"/>
      <c r="CM387" s="345"/>
      <c r="CN387" s="253"/>
      <c r="CO387" s="346"/>
      <c r="CQ387" s="253"/>
      <c r="CR387" s="345"/>
      <c r="CS387" s="253"/>
      <c r="CT387" s="346"/>
      <c r="CV387" s="253"/>
      <c r="CW387" s="345"/>
      <c r="CX387" s="253"/>
      <c r="CY387" s="346"/>
      <c r="DA387" s="253"/>
      <c r="DB387" s="345"/>
      <c r="DC387" s="253"/>
      <c r="DD387" s="346"/>
      <c r="DF387" s="253"/>
      <c r="DG387" s="345"/>
      <c r="DH387" s="253"/>
      <c r="DI387" s="346"/>
      <c r="DK387" s="253"/>
      <c r="DL387" s="345"/>
      <c r="DM387" s="253"/>
      <c r="DN387" s="346"/>
      <c r="DP387" s="253"/>
      <c r="DQ387" s="345"/>
      <c r="DR387" s="253"/>
      <c r="DS387" s="346"/>
      <c r="DU387" s="253"/>
      <c r="DV387" s="345"/>
      <c r="DW387" s="253"/>
      <c r="DX387" s="346"/>
      <c r="DZ387" s="253"/>
      <c r="EA387" s="345"/>
      <c r="EB387" s="253"/>
      <c r="EC387" s="346"/>
      <c r="EE387" s="253"/>
      <c r="EF387" s="345"/>
      <c r="EG387" s="253"/>
      <c r="EH387" s="346"/>
      <c r="EJ387" s="253"/>
      <c r="EK387" s="345"/>
      <c r="EL387" s="253"/>
      <c r="EM387" s="346"/>
      <c r="EO387" s="253"/>
      <c r="EP387" s="345"/>
      <c r="EQ387" s="253"/>
      <c r="ER387" s="346"/>
      <c r="ET387" s="253"/>
      <c r="EU387" s="345"/>
      <c r="EV387" s="253"/>
      <c r="EW387" s="346"/>
      <c r="EY387" s="253"/>
      <c r="EZ387" s="345"/>
      <c r="FA387" s="253"/>
      <c r="FB387" s="346"/>
      <c r="FD387" s="253"/>
      <c r="FE387" s="345"/>
      <c r="FF387" s="253"/>
      <c r="FG387" s="346"/>
      <c r="FI387" s="253"/>
      <c r="FJ387" s="345"/>
      <c r="FK387" s="253"/>
      <c r="FL387" s="346"/>
      <c r="FN387" s="253"/>
      <c r="FO387" s="345"/>
      <c r="FP387" s="253"/>
      <c r="FQ387" s="346"/>
      <c r="FS387" s="253"/>
      <c r="FT387" s="345"/>
      <c r="FU387" s="253"/>
      <c r="FV387" s="346"/>
      <c r="FX387" s="253"/>
      <c r="FY387" s="345"/>
      <c r="FZ387" s="253"/>
      <c r="GA387" s="346"/>
      <c r="GC387" s="253"/>
      <c r="GD387" s="345"/>
      <c r="GE387" s="253"/>
      <c r="GF387" s="346"/>
      <c r="GH387" s="253"/>
      <c r="GI387" s="345"/>
      <c r="GJ387" s="253"/>
      <c r="GK387" s="346"/>
      <c r="GM387" s="253"/>
      <c r="GN387" s="345"/>
      <c r="GO387" s="253"/>
      <c r="GP387" s="346"/>
      <c r="GR387" s="253"/>
      <c r="GS387" s="345"/>
      <c r="GT387" s="253"/>
      <c r="GU387" s="346"/>
      <c r="GW387" s="253"/>
      <c r="GX387" s="345"/>
      <c r="GY387" s="253"/>
      <c r="GZ387" s="346"/>
      <c r="HB387" s="253"/>
      <c r="HC387" s="345"/>
      <c r="HD387" s="253"/>
      <c r="HE387" s="346"/>
      <c r="HG387" s="253"/>
      <c r="HH387" s="345"/>
      <c r="HI387" s="253"/>
      <c r="HJ387" s="346"/>
      <c r="HL387" s="253"/>
      <c r="HM387" s="345"/>
      <c r="HN387" s="253"/>
      <c r="HO387" s="346"/>
      <c r="HQ387" s="253"/>
      <c r="HR387" s="345"/>
      <c r="HS387" s="253"/>
      <c r="HT387" s="346"/>
      <c r="HV387" s="253"/>
      <c r="HW387" s="345"/>
      <c r="HX387" s="253"/>
      <c r="HY387" s="346"/>
      <c r="IA387" s="253"/>
      <c r="IB387" s="345"/>
      <c r="IC387" s="253"/>
      <c r="ID387" s="346"/>
      <c r="IF387" s="253"/>
      <c r="IG387" s="345"/>
      <c r="IH387" s="253"/>
      <c r="II387" s="346"/>
      <c r="IK387" s="253"/>
      <c r="IL387" s="345"/>
      <c r="IM387" s="253"/>
      <c r="IN387" s="346"/>
      <c r="IP387" s="253"/>
      <c r="IQ387" s="345"/>
      <c r="IR387" s="253"/>
      <c r="IS387" s="346"/>
      <c r="IU387" s="253"/>
      <c r="IV387" s="345"/>
    </row>
    <row r="388" spans="1:256" x14ac:dyDescent="0.2">
      <c r="A388" s="345">
        <v>39325</v>
      </c>
      <c r="B388" s="1311">
        <v>0.85</v>
      </c>
      <c r="C388" s="346">
        <v>214770328.22999999</v>
      </c>
      <c r="E388" s="253">
        <f>B388-Index_Returns!B388</f>
        <v>-0.64902000000000004</v>
      </c>
      <c r="F388" s="733"/>
      <c r="G388" s="728"/>
      <c r="H388" s="346"/>
      <c r="J388" s="253"/>
      <c r="K388" s="345"/>
      <c r="L388" s="253"/>
      <c r="M388" s="346"/>
      <c r="O388" s="253"/>
      <c r="P388" s="345"/>
      <c r="Q388" s="253"/>
      <c r="R388" s="346"/>
      <c r="T388" s="253"/>
      <c r="U388" s="345"/>
      <c r="V388" s="253"/>
      <c r="W388" s="346"/>
      <c r="Y388" s="253"/>
      <c r="Z388" s="345"/>
      <c r="AA388" s="253"/>
      <c r="AB388" s="346"/>
      <c r="AD388" s="253"/>
      <c r="AE388" s="345"/>
      <c r="AF388" s="253"/>
      <c r="AG388" s="346"/>
      <c r="AI388" s="253"/>
      <c r="AJ388" s="345"/>
      <c r="AK388" s="253"/>
      <c r="AL388" s="346"/>
      <c r="AN388" s="253"/>
      <c r="AO388" s="345"/>
      <c r="AP388" s="253"/>
      <c r="AQ388" s="346"/>
      <c r="AS388" s="253"/>
      <c r="AT388" s="345"/>
      <c r="AU388" s="253"/>
      <c r="AV388" s="346"/>
      <c r="AX388" s="253"/>
      <c r="AY388" s="345"/>
      <c r="AZ388" s="253"/>
      <c r="BA388" s="346"/>
      <c r="BC388" s="253"/>
      <c r="BD388" s="345"/>
      <c r="BE388" s="253"/>
      <c r="BF388" s="346"/>
      <c r="BH388" s="253"/>
      <c r="BI388" s="345"/>
      <c r="BJ388" s="253"/>
      <c r="BK388" s="346"/>
      <c r="BM388" s="253"/>
      <c r="BN388" s="345"/>
      <c r="BO388" s="253"/>
      <c r="BP388" s="346"/>
      <c r="BR388" s="253"/>
      <c r="BS388" s="345"/>
      <c r="BT388" s="253"/>
      <c r="BU388" s="346"/>
      <c r="BW388" s="253"/>
      <c r="BX388" s="345"/>
      <c r="BY388" s="253"/>
      <c r="BZ388" s="346"/>
      <c r="CB388" s="253"/>
      <c r="CC388" s="345"/>
      <c r="CD388" s="253"/>
      <c r="CE388" s="346"/>
      <c r="CG388" s="253"/>
      <c r="CH388" s="345"/>
      <c r="CI388" s="253"/>
      <c r="CJ388" s="346"/>
      <c r="CL388" s="253"/>
      <c r="CM388" s="345"/>
      <c r="CN388" s="253"/>
      <c r="CO388" s="346"/>
      <c r="CQ388" s="253"/>
      <c r="CR388" s="345"/>
      <c r="CS388" s="253"/>
      <c r="CT388" s="346"/>
      <c r="CV388" s="253"/>
      <c r="CW388" s="345"/>
      <c r="CX388" s="253"/>
      <c r="CY388" s="346"/>
      <c r="DA388" s="253"/>
      <c r="DB388" s="345"/>
      <c r="DC388" s="253"/>
      <c r="DD388" s="346"/>
      <c r="DF388" s="253"/>
      <c r="DG388" s="345"/>
      <c r="DH388" s="253"/>
      <c r="DI388" s="346"/>
      <c r="DK388" s="253"/>
      <c r="DL388" s="345"/>
      <c r="DM388" s="253"/>
      <c r="DN388" s="346"/>
      <c r="DP388" s="253"/>
      <c r="DQ388" s="345"/>
      <c r="DR388" s="253"/>
      <c r="DS388" s="346"/>
      <c r="DU388" s="253"/>
      <c r="DV388" s="345"/>
      <c r="DW388" s="253"/>
      <c r="DX388" s="346"/>
      <c r="DZ388" s="253"/>
      <c r="EA388" s="345"/>
      <c r="EB388" s="253"/>
      <c r="EC388" s="346"/>
      <c r="EE388" s="253"/>
      <c r="EF388" s="345"/>
      <c r="EG388" s="253"/>
      <c r="EH388" s="346"/>
      <c r="EJ388" s="253"/>
      <c r="EK388" s="345"/>
      <c r="EL388" s="253"/>
      <c r="EM388" s="346"/>
      <c r="EO388" s="253"/>
      <c r="EP388" s="345"/>
      <c r="EQ388" s="253"/>
      <c r="ER388" s="346"/>
      <c r="ET388" s="253"/>
      <c r="EU388" s="345"/>
      <c r="EV388" s="253"/>
      <c r="EW388" s="346"/>
      <c r="EY388" s="253"/>
      <c r="EZ388" s="345"/>
      <c r="FA388" s="253"/>
      <c r="FB388" s="346"/>
      <c r="FD388" s="253"/>
      <c r="FE388" s="345"/>
      <c r="FF388" s="253"/>
      <c r="FG388" s="346"/>
      <c r="FI388" s="253"/>
      <c r="FJ388" s="345"/>
      <c r="FK388" s="253"/>
      <c r="FL388" s="346"/>
      <c r="FN388" s="253"/>
      <c r="FO388" s="345"/>
      <c r="FP388" s="253"/>
      <c r="FQ388" s="346"/>
      <c r="FS388" s="253"/>
      <c r="FT388" s="345"/>
      <c r="FU388" s="253"/>
      <c r="FV388" s="346"/>
      <c r="FX388" s="253"/>
      <c r="FY388" s="345"/>
      <c r="FZ388" s="253"/>
      <c r="GA388" s="346"/>
      <c r="GC388" s="253"/>
      <c r="GD388" s="345"/>
      <c r="GE388" s="253"/>
      <c r="GF388" s="346"/>
      <c r="GH388" s="253"/>
      <c r="GI388" s="345"/>
      <c r="GJ388" s="253"/>
      <c r="GK388" s="346"/>
      <c r="GM388" s="253"/>
      <c r="GN388" s="345"/>
      <c r="GO388" s="253"/>
      <c r="GP388" s="346"/>
      <c r="GR388" s="253"/>
      <c r="GS388" s="345"/>
      <c r="GT388" s="253"/>
      <c r="GU388" s="346"/>
      <c r="GW388" s="253"/>
      <c r="GX388" s="345"/>
      <c r="GY388" s="253"/>
      <c r="GZ388" s="346"/>
      <c r="HB388" s="253"/>
      <c r="HC388" s="345"/>
      <c r="HD388" s="253"/>
      <c r="HE388" s="346"/>
      <c r="HG388" s="253"/>
      <c r="HH388" s="345"/>
      <c r="HI388" s="253"/>
      <c r="HJ388" s="346"/>
      <c r="HL388" s="253"/>
      <c r="HM388" s="345"/>
      <c r="HN388" s="253"/>
      <c r="HO388" s="346"/>
      <c r="HQ388" s="253"/>
      <c r="HR388" s="345"/>
      <c r="HS388" s="253"/>
      <c r="HT388" s="346"/>
      <c r="HV388" s="253"/>
      <c r="HW388" s="345"/>
      <c r="HX388" s="253"/>
      <c r="HY388" s="346"/>
      <c r="IA388" s="253"/>
      <c r="IB388" s="345"/>
      <c r="IC388" s="253"/>
      <c r="ID388" s="346"/>
      <c r="IF388" s="253"/>
      <c r="IG388" s="345"/>
      <c r="IH388" s="253"/>
      <c r="II388" s="346"/>
      <c r="IK388" s="253"/>
      <c r="IL388" s="345"/>
      <c r="IM388" s="253"/>
      <c r="IN388" s="346"/>
      <c r="IP388" s="253"/>
      <c r="IQ388" s="345"/>
      <c r="IR388" s="253"/>
      <c r="IS388" s="346"/>
      <c r="IU388" s="253"/>
      <c r="IV388" s="345"/>
    </row>
    <row r="389" spans="1:256" x14ac:dyDescent="0.2">
      <c r="A389" s="345">
        <v>39355</v>
      </c>
      <c r="B389" s="1311">
        <v>2.5499999999999998</v>
      </c>
      <c r="C389" s="346">
        <v>220566622.31</v>
      </c>
      <c r="E389" s="253">
        <f>B389-Index_Returns!B389</f>
        <v>-1.1898600000000004</v>
      </c>
      <c r="F389" s="733"/>
      <c r="G389" s="728"/>
      <c r="H389" s="346"/>
      <c r="J389" s="253"/>
      <c r="K389" s="345"/>
      <c r="L389" s="253"/>
      <c r="M389" s="346"/>
      <c r="O389" s="253"/>
      <c r="P389" s="345"/>
      <c r="Q389" s="253"/>
      <c r="R389" s="346"/>
      <c r="T389" s="253"/>
      <c r="U389" s="345"/>
      <c r="V389" s="253"/>
      <c r="W389" s="346"/>
      <c r="Y389" s="253"/>
      <c r="Z389" s="345"/>
      <c r="AA389" s="253"/>
      <c r="AB389" s="346"/>
      <c r="AD389" s="253"/>
      <c r="AE389" s="345"/>
      <c r="AF389" s="253"/>
      <c r="AG389" s="346"/>
      <c r="AI389" s="253"/>
      <c r="AJ389" s="345"/>
      <c r="AK389" s="253"/>
      <c r="AL389" s="346"/>
      <c r="AN389" s="253"/>
      <c r="AO389" s="345"/>
      <c r="AP389" s="253"/>
      <c r="AQ389" s="346"/>
      <c r="AS389" s="253"/>
      <c r="AT389" s="345"/>
      <c r="AU389" s="253"/>
      <c r="AV389" s="346"/>
      <c r="AX389" s="253"/>
      <c r="AY389" s="345"/>
      <c r="AZ389" s="253"/>
      <c r="BA389" s="346"/>
      <c r="BC389" s="253"/>
      <c r="BD389" s="345"/>
      <c r="BE389" s="253"/>
      <c r="BF389" s="346"/>
      <c r="BH389" s="253"/>
      <c r="BI389" s="345"/>
      <c r="BJ389" s="253"/>
      <c r="BK389" s="346"/>
      <c r="BM389" s="253"/>
      <c r="BN389" s="345"/>
      <c r="BO389" s="253"/>
      <c r="BP389" s="346"/>
      <c r="BR389" s="253"/>
      <c r="BS389" s="345"/>
      <c r="BT389" s="253"/>
      <c r="BU389" s="346"/>
      <c r="BW389" s="253"/>
      <c r="BX389" s="345"/>
      <c r="BY389" s="253"/>
      <c r="BZ389" s="346"/>
      <c r="CB389" s="253"/>
      <c r="CC389" s="345"/>
      <c r="CD389" s="253"/>
      <c r="CE389" s="346"/>
      <c r="CG389" s="253"/>
      <c r="CH389" s="345"/>
      <c r="CI389" s="253"/>
      <c r="CJ389" s="346"/>
      <c r="CL389" s="253"/>
      <c r="CM389" s="345"/>
      <c r="CN389" s="253"/>
      <c r="CO389" s="346"/>
      <c r="CQ389" s="253"/>
      <c r="CR389" s="345"/>
      <c r="CS389" s="253"/>
      <c r="CT389" s="346"/>
      <c r="CV389" s="253"/>
      <c r="CW389" s="345"/>
      <c r="CX389" s="253"/>
      <c r="CY389" s="346"/>
      <c r="DA389" s="253"/>
      <c r="DB389" s="345"/>
      <c r="DC389" s="253"/>
      <c r="DD389" s="346"/>
      <c r="DF389" s="253"/>
      <c r="DG389" s="345"/>
      <c r="DH389" s="253"/>
      <c r="DI389" s="346"/>
      <c r="DK389" s="253"/>
      <c r="DL389" s="345"/>
      <c r="DM389" s="253"/>
      <c r="DN389" s="346"/>
      <c r="DP389" s="253"/>
      <c r="DQ389" s="345"/>
      <c r="DR389" s="253"/>
      <c r="DS389" s="346"/>
      <c r="DU389" s="253"/>
      <c r="DV389" s="345"/>
      <c r="DW389" s="253"/>
      <c r="DX389" s="346"/>
      <c r="DZ389" s="253"/>
      <c r="EA389" s="345"/>
      <c r="EB389" s="253"/>
      <c r="EC389" s="346"/>
      <c r="EE389" s="253"/>
      <c r="EF389" s="345"/>
      <c r="EG389" s="253"/>
      <c r="EH389" s="346"/>
      <c r="EJ389" s="253"/>
      <c r="EK389" s="345"/>
      <c r="EL389" s="253"/>
      <c r="EM389" s="346"/>
      <c r="EO389" s="253"/>
      <c r="EP389" s="345"/>
      <c r="EQ389" s="253"/>
      <c r="ER389" s="346"/>
      <c r="ET389" s="253"/>
      <c r="EU389" s="345"/>
      <c r="EV389" s="253"/>
      <c r="EW389" s="346"/>
      <c r="EY389" s="253"/>
      <c r="EZ389" s="345"/>
      <c r="FA389" s="253"/>
      <c r="FB389" s="346"/>
      <c r="FD389" s="253"/>
      <c r="FE389" s="345"/>
      <c r="FF389" s="253"/>
      <c r="FG389" s="346"/>
      <c r="FI389" s="253"/>
      <c r="FJ389" s="345"/>
      <c r="FK389" s="253"/>
      <c r="FL389" s="346"/>
      <c r="FN389" s="253"/>
      <c r="FO389" s="345"/>
      <c r="FP389" s="253"/>
      <c r="FQ389" s="346"/>
      <c r="FS389" s="253"/>
      <c r="FT389" s="345"/>
      <c r="FU389" s="253"/>
      <c r="FV389" s="346"/>
      <c r="FX389" s="253"/>
      <c r="FY389" s="345"/>
      <c r="FZ389" s="253"/>
      <c r="GA389" s="346"/>
      <c r="GC389" s="253"/>
      <c r="GD389" s="345"/>
      <c r="GE389" s="253"/>
      <c r="GF389" s="346"/>
      <c r="GH389" s="253"/>
      <c r="GI389" s="345"/>
      <c r="GJ389" s="253"/>
      <c r="GK389" s="346"/>
      <c r="GM389" s="253"/>
      <c r="GN389" s="345"/>
      <c r="GO389" s="253"/>
      <c r="GP389" s="346"/>
      <c r="GR389" s="253"/>
      <c r="GS389" s="345"/>
      <c r="GT389" s="253"/>
      <c r="GU389" s="346"/>
      <c r="GW389" s="253"/>
      <c r="GX389" s="345"/>
      <c r="GY389" s="253"/>
      <c r="GZ389" s="346"/>
      <c r="HB389" s="253"/>
      <c r="HC389" s="345"/>
      <c r="HD389" s="253"/>
      <c r="HE389" s="346"/>
      <c r="HG389" s="253"/>
      <c r="HH389" s="345"/>
      <c r="HI389" s="253"/>
      <c r="HJ389" s="346"/>
      <c r="HL389" s="253"/>
      <c r="HM389" s="345"/>
      <c r="HN389" s="253"/>
      <c r="HO389" s="346"/>
      <c r="HQ389" s="253"/>
      <c r="HR389" s="345"/>
      <c r="HS389" s="253"/>
      <c r="HT389" s="346"/>
      <c r="HV389" s="253"/>
      <c r="HW389" s="345"/>
      <c r="HX389" s="253"/>
      <c r="HY389" s="346"/>
      <c r="IA389" s="253"/>
      <c r="IB389" s="345"/>
      <c r="IC389" s="253"/>
      <c r="ID389" s="346"/>
      <c r="IF389" s="253"/>
      <c r="IG389" s="345"/>
      <c r="IH389" s="253"/>
      <c r="II389" s="346"/>
      <c r="IK389" s="253"/>
      <c r="IL389" s="345"/>
      <c r="IM389" s="253"/>
      <c r="IN389" s="346"/>
      <c r="IP389" s="253"/>
      <c r="IQ389" s="345"/>
      <c r="IR389" s="253"/>
      <c r="IS389" s="346"/>
      <c r="IU389" s="253"/>
      <c r="IV389" s="345"/>
    </row>
    <row r="390" spans="1:256" x14ac:dyDescent="0.2">
      <c r="A390" s="345">
        <v>39386</v>
      </c>
      <c r="B390" s="1311">
        <v>3.89</v>
      </c>
      <c r="C390" s="346">
        <v>229136363.52000001</v>
      </c>
      <c r="E390" s="253">
        <f>B390-Index_Returns!B390</f>
        <v>2.2993300000000003</v>
      </c>
      <c r="F390" s="733"/>
      <c r="G390" s="728"/>
      <c r="H390" s="346"/>
      <c r="J390" s="253"/>
      <c r="K390" s="345"/>
      <c r="L390" s="253"/>
      <c r="M390" s="346"/>
      <c r="O390" s="253"/>
      <c r="P390" s="345"/>
      <c r="Q390" s="253"/>
      <c r="R390" s="346"/>
      <c r="T390" s="253"/>
      <c r="U390" s="345"/>
      <c r="V390" s="253"/>
      <c r="W390" s="346"/>
      <c r="Y390" s="253"/>
      <c r="Z390" s="345"/>
      <c r="AA390" s="253"/>
      <c r="AB390" s="346"/>
      <c r="AD390" s="253"/>
      <c r="AE390" s="345"/>
      <c r="AF390" s="253"/>
      <c r="AG390" s="346"/>
      <c r="AI390" s="253"/>
      <c r="AJ390" s="345"/>
      <c r="AK390" s="253"/>
      <c r="AL390" s="346"/>
      <c r="AN390" s="253"/>
      <c r="AO390" s="345"/>
      <c r="AP390" s="253"/>
      <c r="AQ390" s="346"/>
      <c r="AS390" s="253"/>
      <c r="AT390" s="345"/>
      <c r="AU390" s="253"/>
      <c r="AV390" s="346"/>
      <c r="AX390" s="253"/>
      <c r="AY390" s="345"/>
      <c r="AZ390" s="253"/>
      <c r="BA390" s="346"/>
      <c r="BC390" s="253"/>
      <c r="BD390" s="345"/>
      <c r="BE390" s="253"/>
      <c r="BF390" s="346"/>
      <c r="BH390" s="253"/>
      <c r="BI390" s="345"/>
      <c r="BJ390" s="253"/>
      <c r="BK390" s="346"/>
      <c r="BM390" s="253"/>
      <c r="BN390" s="345"/>
      <c r="BO390" s="253"/>
      <c r="BP390" s="346"/>
      <c r="BR390" s="253"/>
      <c r="BS390" s="345"/>
      <c r="BT390" s="253"/>
      <c r="BU390" s="346"/>
      <c r="BW390" s="253"/>
      <c r="BX390" s="345"/>
      <c r="BY390" s="253"/>
      <c r="BZ390" s="346"/>
      <c r="CB390" s="253"/>
      <c r="CC390" s="345"/>
      <c r="CD390" s="253"/>
      <c r="CE390" s="346"/>
      <c r="CG390" s="253"/>
      <c r="CH390" s="345"/>
      <c r="CI390" s="253"/>
      <c r="CJ390" s="346"/>
      <c r="CL390" s="253"/>
      <c r="CM390" s="345"/>
      <c r="CN390" s="253"/>
      <c r="CO390" s="346"/>
      <c r="CQ390" s="253"/>
      <c r="CR390" s="345"/>
      <c r="CS390" s="253"/>
      <c r="CT390" s="346"/>
      <c r="CV390" s="253"/>
      <c r="CW390" s="345"/>
      <c r="CX390" s="253"/>
      <c r="CY390" s="346"/>
      <c r="DA390" s="253"/>
      <c r="DB390" s="345"/>
      <c r="DC390" s="253"/>
      <c r="DD390" s="346"/>
      <c r="DF390" s="253"/>
      <c r="DG390" s="345"/>
      <c r="DH390" s="253"/>
      <c r="DI390" s="346"/>
      <c r="DK390" s="253"/>
      <c r="DL390" s="345"/>
      <c r="DM390" s="253"/>
      <c r="DN390" s="346"/>
      <c r="DP390" s="253"/>
      <c r="DQ390" s="345"/>
      <c r="DR390" s="253"/>
      <c r="DS390" s="346"/>
      <c r="DU390" s="253"/>
      <c r="DV390" s="345"/>
      <c r="DW390" s="253"/>
      <c r="DX390" s="346"/>
      <c r="DZ390" s="253"/>
      <c r="EA390" s="345"/>
      <c r="EB390" s="253"/>
      <c r="EC390" s="346"/>
      <c r="EE390" s="253"/>
      <c r="EF390" s="345"/>
      <c r="EG390" s="253"/>
      <c r="EH390" s="346"/>
      <c r="EJ390" s="253"/>
      <c r="EK390" s="345"/>
      <c r="EL390" s="253"/>
      <c r="EM390" s="346"/>
      <c r="EO390" s="253"/>
      <c r="EP390" s="345"/>
      <c r="EQ390" s="253"/>
      <c r="ER390" s="346"/>
      <c r="ET390" s="253"/>
      <c r="EU390" s="345"/>
      <c r="EV390" s="253"/>
      <c r="EW390" s="346"/>
      <c r="EY390" s="253"/>
      <c r="EZ390" s="345"/>
      <c r="FA390" s="253"/>
      <c r="FB390" s="346"/>
      <c r="FD390" s="253"/>
      <c r="FE390" s="345"/>
      <c r="FF390" s="253"/>
      <c r="FG390" s="346"/>
      <c r="FI390" s="253"/>
      <c r="FJ390" s="345"/>
      <c r="FK390" s="253"/>
      <c r="FL390" s="346"/>
      <c r="FN390" s="253"/>
      <c r="FO390" s="345"/>
      <c r="FP390" s="253"/>
      <c r="FQ390" s="346"/>
      <c r="FS390" s="253"/>
      <c r="FT390" s="345"/>
      <c r="FU390" s="253"/>
      <c r="FV390" s="346"/>
      <c r="FX390" s="253"/>
      <c r="FY390" s="345"/>
      <c r="FZ390" s="253"/>
      <c r="GA390" s="346"/>
      <c r="GC390" s="253"/>
      <c r="GD390" s="345"/>
      <c r="GE390" s="253"/>
      <c r="GF390" s="346"/>
      <c r="GH390" s="253"/>
      <c r="GI390" s="345"/>
      <c r="GJ390" s="253"/>
      <c r="GK390" s="346"/>
      <c r="GM390" s="253"/>
      <c r="GN390" s="345"/>
      <c r="GO390" s="253"/>
      <c r="GP390" s="346"/>
      <c r="GR390" s="253"/>
      <c r="GS390" s="345"/>
      <c r="GT390" s="253"/>
      <c r="GU390" s="346"/>
      <c r="GW390" s="253"/>
      <c r="GX390" s="345"/>
      <c r="GY390" s="253"/>
      <c r="GZ390" s="346"/>
      <c r="HB390" s="253"/>
      <c r="HC390" s="345"/>
      <c r="HD390" s="253"/>
      <c r="HE390" s="346"/>
      <c r="HG390" s="253"/>
      <c r="HH390" s="345"/>
      <c r="HI390" s="253"/>
      <c r="HJ390" s="346"/>
      <c r="HL390" s="253"/>
      <c r="HM390" s="345"/>
      <c r="HN390" s="253"/>
      <c r="HO390" s="346"/>
      <c r="HQ390" s="253"/>
      <c r="HR390" s="345"/>
      <c r="HS390" s="253"/>
      <c r="HT390" s="346"/>
      <c r="HV390" s="253"/>
      <c r="HW390" s="345"/>
      <c r="HX390" s="253"/>
      <c r="HY390" s="346"/>
      <c r="IA390" s="253"/>
      <c r="IB390" s="345"/>
      <c r="IC390" s="253"/>
      <c r="ID390" s="346"/>
      <c r="IF390" s="253"/>
      <c r="IG390" s="345"/>
      <c r="IH390" s="253"/>
      <c r="II390" s="346"/>
      <c r="IK390" s="253"/>
      <c r="IL390" s="345"/>
      <c r="IM390" s="253"/>
      <c r="IN390" s="346"/>
      <c r="IP390" s="253"/>
      <c r="IQ390" s="345"/>
      <c r="IR390" s="253"/>
      <c r="IS390" s="346"/>
      <c r="IU390" s="253"/>
      <c r="IV390" s="345"/>
    </row>
    <row r="391" spans="1:256" x14ac:dyDescent="0.2">
      <c r="A391" s="345">
        <v>39416</v>
      </c>
      <c r="B391" s="1311">
        <v>-3.69</v>
      </c>
      <c r="C391" s="346">
        <v>220676710.33000001</v>
      </c>
      <c r="E391" s="253">
        <f>B391-Index_Returns!B391</f>
        <v>0.49065000000000003</v>
      </c>
      <c r="F391" s="733"/>
      <c r="G391" s="728"/>
      <c r="H391" s="346"/>
      <c r="J391" s="253"/>
      <c r="K391" s="345"/>
      <c r="L391" s="253"/>
      <c r="M391" s="346"/>
      <c r="O391" s="253"/>
      <c r="P391" s="345"/>
      <c r="Q391" s="253"/>
      <c r="R391" s="346"/>
      <c r="T391" s="253"/>
      <c r="U391" s="345"/>
      <c r="V391" s="253"/>
      <c r="W391" s="346"/>
      <c r="Y391" s="253"/>
      <c r="Z391" s="345"/>
      <c r="AA391" s="253"/>
      <c r="AB391" s="346"/>
      <c r="AD391" s="253"/>
      <c r="AE391" s="345"/>
      <c r="AF391" s="253"/>
      <c r="AG391" s="346"/>
      <c r="AI391" s="253"/>
      <c r="AJ391" s="345"/>
      <c r="AK391" s="253"/>
      <c r="AL391" s="346"/>
      <c r="AN391" s="253"/>
      <c r="AO391" s="345"/>
      <c r="AP391" s="253"/>
      <c r="AQ391" s="346"/>
      <c r="AS391" s="253"/>
      <c r="AT391" s="345"/>
      <c r="AU391" s="253"/>
      <c r="AV391" s="346"/>
      <c r="AX391" s="253"/>
      <c r="AY391" s="345"/>
      <c r="AZ391" s="253"/>
      <c r="BA391" s="346"/>
      <c r="BC391" s="253"/>
      <c r="BD391" s="345"/>
      <c r="BE391" s="253"/>
      <c r="BF391" s="346"/>
      <c r="BH391" s="253"/>
      <c r="BI391" s="345"/>
      <c r="BJ391" s="253"/>
      <c r="BK391" s="346"/>
      <c r="BM391" s="253"/>
      <c r="BN391" s="345"/>
      <c r="BO391" s="253"/>
      <c r="BP391" s="346"/>
      <c r="BR391" s="253"/>
      <c r="BS391" s="345"/>
      <c r="BT391" s="253"/>
      <c r="BU391" s="346"/>
      <c r="BW391" s="253"/>
      <c r="BX391" s="345"/>
      <c r="BY391" s="253"/>
      <c r="BZ391" s="346"/>
      <c r="CB391" s="253"/>
      <c r="CC391" s="345"/>
      <c r="CD391" s="253"/>
      <c r="CE391" s="346"/>
      <c r="CG391" s="253"/>
      <c r="CH391" s="345"/>
      <c r="CI391" s="253"/>
      <c r="CJ391" s="346"/>
      <c r="CL391" s="253"/>
      <c r="CM391" s="345"/>
      <c r="CN391" s="253"/>
      <c r="CO391" s="346"/>
      <c r="CQ391" s="253"/>
      <c r="CR391" s="345"/>
      <c r="CS391" s="253"/>
      <c r="CT391" s="346"/>
      <c r="CV391" s="253"/>
      <c r="CW391" s="345"/>
      <c r="CX391" s="253"/>
      <c r="CY391" s="346"/>
      <c r="DA391" s="253"/>
      <c r="DB391" s="345"/>
      <c r="DC391" s="253"/>
      <c r="DD391" s="346"/>
      <c r="DF391" s="253"/>
      <c r="DG391" s="345"/>
      <c r="DH391" s="253"/>
      <c r="DI391" s="346"/>
      <c r="DK391" s="253"/>
      <c r="DL391" s="345"/>
      <c r="DM391" s="253"/>
      <c r="DN391" s="346"/>
      <c r="DP391" s="253"/>
      <c r="DQ391" s="345"/>
      <c r="DR391" s="253"/>
      <c r="DS391" s="346"/>
      <c r="DU391" s="253"/>
      <c r="DV391" s="345"/>
      <c r="DW391" s="253"/>
      <c r="DX391" s="346"/>
      <c r="DZ391" s="253"/>
      <c r="EA391" s="345"/>
      <c r="EB391" s="253"/>
      <c r="EC391" s="346"/>
      <c r="EE391" s="253"/>
      <c r="EF391" s="345"/>
      <c r="EG391" s="253"/>
      <c r="EH391" s="346"/>
      <c r="EJ391" s="253"/>
      <c r="EK391" s="345"/>
      <c r="EL391" s="253"/>
      <c r="EM391" s="346"/>
      <c r="EO391" s="253"/>
      <c r="EP391" s="345"/>
      <c r="EQ391" s="253"/>
      <c r="ER391" s="346"/>
      <c r="ET391" s="253"/>
      <c r="EU391" s="345"/>
      <c r="EV391" s="253"/>
      <c r="EW391" s="346"/>
      <c r="EY391" s="253"/>
      <c r="EZ391" s="345"/>
      <c r="FA391" s="253"/>
      <c r="FB391" s="346"/>
      <c r="FD391" s="253"/>
      <c r="FE391" s="345"/>
      <c r="FF391" s="253"/>
      <c r="FG391" s="346"/>
      <c r="FI391" s="253"/>
      <c r="FJ391" s="345"/>
      <c r="FK391" s="253"/>
      <c r="FL391" s="346"/>
      <c r="FN391" s="253"/>
      <c r="FO391" s="345"/>
      <c r="FP391" s="253"/>
      <c r="FQ391" s="346"/>
      <c r="FS391" s="253"/>
      <c r="FT391" s="345"/>
      <c r="FU391" s="253"/>
      <c r="FV391" s="346"/>
      <c r="FX391" s="253"/>
      <c r="FY391" s="345"/>
      <c r="FZ391" s="253"/>
      <c r="GA391" s="346"/>
      <c r="GC391" s="253"/>
      <c r="GD391" s="345"/>
      <c r="GE391" s="253"/>
      <c r="GF391" s="346"/>
      <c r="GH391" s="253"/>
      <c r="GI391" s="345"/>
      <c r="GJ391" s="253"/>
      <c r="GK391" s="346"/>
      <c r="GM391" s="253"/>
      <c r="GN391" s="345"/>
      <c r="GO391" s="253"/>
      <c r="GP391" s="346"/>
      <c r="GR391" s="253"/>
      <c r="GS391" s="345"/>
      <c r="GT391" s="253"/>
      <c r="GU391" s="346"/>
      <c r="GW391" s="253"/>
      <c r="GX391" s="345"/>
      <c r="GY391" s="253"/>
      <c r="GZ391" s="346"/>
      <c r="HB391" s="253"/>
      <c r="HC391" s="345"/>
      <c r="HD391" s="253"/>
      <c r="HE391" s="346"/>
      <c r="HG391" s="253"/>
      <c r="HH391" s="345"/>
      <c r="HI391" s="253"/>
      <c r="HJ391" s="346"/>
      <c r="HL391" s="253"/>
      <c r="HM391" s="345"/>
      <c r="HN391" s="253"/>
      <c r="HO391" s="346"/>
      <c r="HQ391" s="253"/>
      <c r="HR391" s="345"/>
      <c r="HS391" s="253"/>
      <c r="HT391" s="346"/>
      <c r="HV391" s="253"/>
      <c r="HW391" s="345"/>
      <c r="HX391" s="253"/>
      <c r="HY391" s="346"/>
      <c r="IA391" s="253"/>
      <c r="IB391" s="345"/>
      <c r="IC391" s="253"/>
      <c r="ID391" s="346"/>
      <c r="IF391" s="253"/>
      <c r="IG391" s="345"/>
      <c r="IH391" s="253"/>
      <c r="II391" s="346"/>
      <c r="IK391" s="253"/>
      <c r="IL391" s="345"/>
      <c r="IM391" s="253"/>
      <c r="IN391" s="346"/>
      <c r="IP391" s="253"/>
      <c r="IQ391" s="345"/>
      <c r="IR391" s="253"/>
      <c r="IS391" s="346"/>
      <c r="IU391" s="253"/>
      <c r="IV391" s="345"/>
    </row>
    <row r="392" spans="1:256" x14ac:dyDescent="0.2">
      <c r="A392" s="345">
        <v>39447</v>
      </c>
      <c r="B392" s="1311">
        <v>-0.6</v>
      </c>
      <c r="C392" s="346">
        <v>219675836.15000001</v>
      </c>
      <c r="E392" s="253">
        <f>B392-Index_Returns!B392</f>
        <v>9.3779999999999974E-2</v>
      </c>
      <c r="F392" s="733"/>
      <c r="G392" s="728"/>
      <c r="H392" s="346"/>
      <c r="J392" s="253"/>
      <c r="K392" s="345"/>
      <c r="L392" s="253"/>
      <c r="M392" s="346"/>
      <c r="O392" s="253"/>
      <c r="P392" s="345"/>
      <c r="Q392" s="253"/>
      <c r="R392" s="346"/>
      <c r="T392" s="253"/>
      <c r="U392" s="345"/>
      <c r="V392" s="253"/>
      <c r="W392" s="346"/>
      <c r="Y392" s="253"/>
      <c r="Z392" s="345"/>
      <c r="AA392" s="253"/>
      <c r="AB392" s="346"/>
      <c r="AD392" s="253"/>
      <c r="AE392" s="345"/>
      <c r="AF392" s="253"/>
      <c r="AG392" s="346"/>
      <c r="AI392" s="253"/>
      <c r="AJ392" s="345"/>
      <c r="AK392" s="253"/>
      <c r="AL392" s="346"/>
      <c r="AN392" s="253"/>
      <c r="AO392" s="345"/>
      <c r="AP392" s="253"/>
      <c r="AQ392" s="346"/>
      <c r="AS392" s="253"/>
      <c r="AT392" s="345"/>
      <c r="AU392" s="253"/>
      <c r="AV392" s="346"/>
      <c r="AX392" s="253"/>
      <c r="AY392" s="345"/>
      <c r="AZ392" s="253"/>
      <c r="BA392" s="346"/>
      <c r="BC392" s="253"/>
      <c r="BD392" s="345"/>
      <c r="BE392" s="253"/>
      <c r="BF392" s="346"/>
      <c r="BH392" s="253"/>
      <c r="BI392" s="345"/>
      <c r="BJ392" s="253"/>
      <c r="BK392" s="346"/>
      <c r="BM392" s="253"/>
      <c r="BN392" s="345"/>
      <c r="BO392" s="253"/>
      <c r="BP392" s="346"/>
      <c r="BR392" s="253"/>
      <c r="BS392" s="345"/>
      <c r="BT392" s="253"/>
      <c r="BU392" s="346"/>
      <c r="BW392" s="253"/>
      <c r="BX392" s="345"/>
      <c r="BY392" s="253"/>
      <c r="BZ392" s="346"/>
      <c r="CB392" s="253"/>
      <c r="CC392" s="345"/>
      <c r="CD392" s="253"/>
      <c r="CE392" s="346"/>
      <c r="CG392" s="253"/>
      <c r="CH392" s="345"/>
      <c r="CI392" s="253"/>
      <c r="CJ392" s="346"/>
      <c r="CL392" s="253"/>
      <c r="CM392" s="345"/>
      <c r="CN392" s="253"/>
      <c r="CO392" s="346"/>
      <c r="CQ392" s="253"/>
      <c r="CR392" s="345"/>
      <c r="CS392" s="253"/>
      <c r="CT392" s="346"/>
      <c r="CV392" s="253"/>
      <c r="CW392" s="345"/>
      <c r="CX392" s="253"/>
      <c r="CY392" s="346"/>
      <c r="DA392" s="253"/>
      <c r="DB392" s="345"/>
      <c r="DC392" s="253"/>
      <c r="DD392" s="346"/>
      <c r="DF392" s="253"/>
      <c r="DG392" s="345"/>
      <c r="DH392" s="253"/>
      <c r="DI392" s="346"/>
      <c r="DK392" s="253"/>
      <c r="DL392" s="345"/>
      <c r="DM392" s="253"/>
      <c r="DN392" s="346"/>
      <c r="DP392" s="253"/>
      <c r="DQ392" s="345"/>
      <c r="DR392" s="253"/>
      <c r="DS392" s="346"/>
      <c r="DU392" s="253"/>
      <c r="DV392" s="345"/>
      <c r="DW392" s="253"/>
      <c r="DX392" s="346"/>
      <c r="DZ392" s="253"/>
      <c r="EA392" s="345"/>
      <c r="EB392" s="253"/>
      <c r="EC392" s="346"/>
      <c r="EE392" s="253"/>
      <c r="EF392" s="345"/>
      <c r="EG392" s="253"/>
      <c r="EH392" s="346"/>
      <c r="EJ392" s="253"/>
      <c r="EK392" s="345"/>
      <c r="EL392" s="253"/>
      <c r="EM392" s="346"/>
      <c r="EO392" s="253"/>
      <c r="EP392" s="345"/>
      <c r="EQ392" s="253"/>
      <c r="ER392" s="346"/>
      <c r="ET392" s="253"/>
      <c r="EU392" s="345"/>
      <c r="EV392" s="253"/>
      <c r="EW392" s="346"/>
      <c r="EY392" s="253"/>
      <c r="EZ392" s="345"/>
      <c r="FA392" s="253"/>
      <c r="FB392" s="346"/>
      <c r="FD392" s="253"/>
      <c r="FE392" s="345"/>
      <c r="FF392" s="253"/>
      <c r="FG392" s="346"/>
      <c r="FI392" s="253"/>
      <c r="FJ392" s="345"/>
      <c r="FK392" s="253"/>
      <c r="FL392" s="346"/>
      <c r="FN392" s="253"/>
      <c r="FO392" s="345"/>
      <c r="FP392" s="253"/>
      <c r="FQ392" s="346"/>
      <c r="FS392" s="253"/>
      <c r="FT392" s="345"/>
      <c r="FU392" s="253"/>
      <c r="FV392" s="346"/>
      <c r="FX392" s="253"/>
      <c r="FY392" s="345"/>
      <c r="FZ392" s="253"/>
      <c r="GA392" s="346"/>
      <c r="GC392" s="253"/>
      <c r="GD392" s="345"/>
      <c r="GE392" s="253"/>
      <c r="GF392" s="346"/>
      <c r="GH392" s="253"/>
      <c r="GI392" s="345"/>
      <c r="GJ392" s="253"/>
      <c r="GK392" s="346"/>
      <c r="GM392" s="253"/>
      <c r="GN392" s="345"/>
      <c r="GO392" s="253"/>
      <c r="GP392" s="346"/>
      <c r="GR392" s="253"/>
      <c r="GS392" s="345"/>
      <c r="GT392" s="253"/>
      <c r="GU392" s="346"/>
      <c r="GW392" s="253"/>
      <c r="GX392" s="345"/>
      <c r="GY392" s="253"/>
      <c r="GZ392" s="346"/>
      <c r="HB392" s="253"/>
      <c r="HC392" s="345"/>
      <c r="HD392" s="253"/>
      <c r="HE392" s="346"/>
      <c r="HG392" s="253"/>
      <c r="HH392" s="345"/>
      <c r="HI392" s="253"/>
      <c r="HJ392" s="346"/>
      <c r="HL392" s="253"/>
      <c r="HM392" s="345"/>
      <c r="HN392" s="253"/>
      <c r="HO392" s="346"/>
      <c r="HQ392" s="253"/>
      <c r="HR392" s="345"/>
      <c r="HS392" s="253"/>
      <c r="HT392" s="346"/>
      <c r="HV392" s="253"/>
      <c r="HW392" s="345"/>
      <c r="HX392" s="253"/>
      <c r="HY392" s="346"/>
      <c r="IA392" s="253"/>
      <c r="IB392" s="345"/>
      <c r="IC392" s="253"/>
      <c r="ID392" s="346"/>
      <c r="IF392" s="253"/>
      <c r="IG392" s="345"/>
      <c r="IH392" s="253"/>
      <c r="II392" s="346"/>
      <c r="IK392" s="253"/>
      <c r="IL392" s="345"/>
      <c r="IM392" s="253"/>
      <c r="IN392" s="346"/>
      <c r="IP392" s="253"/>
      <c r="IQ392" s="345"/>
      <c r="IR392" s="253"/>
      <c r="IS392" s="346"/>
      <c r="IU392" s="253"/>
      <c r="IV392" s="345"/>
    </row>
    <row r="393" spans="1:256" x14ac:dyDescent="0.2">
      <c r="A393" s="345">
        <v>39478</v>
      </c>
      <c r="B393" s="1311">
        <v>-8.33</v>
      </c>
      <c r="C393" s="346">
        <v>201367720.59</v>
      </c>
      <c r="E393" s="253">
        <f>B393-Index_Returns!B393</f>
        <v>-2.3318599999999998</v>
      </c>
      <c r="F393" s="733"/>
      <c r="G393" s="728"/>
      <c r="H393" s="346"/>
      <c r="J393" s="253"/>
      <c r="K393" s="345"/>
      <c r="L393" s="253"/>
      <c r="M393" s="346"/>
      <c r="O393" s="253"/>
      <c r="P393" s="345"/>
      <c r="Q393" s="253"/>
      <c r="R393" s="346"/>
      <c r="T393" s="253"/>
      <c r="U393" s="345"/>
      <c r="V393" s="253"/>
      <c r="W393" s="346"/>
      <c r="Y393" s="253"/>
      <c r="Z393" s="345"/>
      <c r="AA393" s="253"/>
      <c r="AB393" s="346"/>
      <c r="AD393" s="253"/>
      <c r="AE393" s="345"/>
      <c r="AF393" s="253"/>
      <c r="AG393" s="346"/>
      <c r="AI393" s="253"/>
      <c r="AJ393" s="345"/>
      <c r="AK393" s="253"/>
      <c r="AL393" s="346"/>
      <c r="AN393" s="253"/>
      <c r="AO393" s="345"/>
      <c r="AP393" s="253"/>
      <c r="AQ393" s="346"/>
      <c r="AS393" s="253"/>
      <c r="AT393" s="345"/>
      <c r="AU393" s="253"/>
      <c r="AV393" s="346"/>
      <c r="AX393" s="253"/>
      <c r="AY393" s="345"/>
      <c r="AZ393" s="253"/>
      <c r="BA393" s="346"/>
      <c r="BC393" s="253"/>
      <c r="BD393" s="345"/>
      <c r="BE393" s="253"/>
      <c r="BF393" s="346"/>
      <c r="BH393" s="253"/>
      <c r="BI393" s="345"/>
      <c r="BJ393" s="253"/>
      <c r="BK393" s="346"/>
      <c r="BM393" s="253"/>
      <c r="BN393" s="345"/>
      <c r="BO393" s="253"/>
      <c r="BP393" s="346"/>
      <c r="BR393" s="253"/>
      <c r="BS393" s="345"/>
      <c r="BT393" s="253"/>
      <c r="BU393" s="346"/>
      <c r="BW393" s="253"/>
      <c r="BX393" s="345"/>
      <c r="BY393" s="253"/>
      <c r="BZ393" s="346"/>
      <c r="CB393" s="253"/>
      <c r="CC393" s="345"/>
      <c r="CD393" s="253"/>
      <c r="CE393" s="346"/>
      <c r="CG393" s="253"/>
      <c r="CH393" s="345"/>
      <c r="CI393" s="253"/>
      <c r="CJ393" s="346"/>
      <c r="CL393" s="253"/>
      <c r="CM393" s="345"/>
      <c r="CN393" s="253"/>
      <c r="CO393" s="346"/>
      <c r="CQ393" s="253"/>
      <c r="CR393" s="345"/>
      <c r="CS393" s="253"/>
      <c r="CT393" s="346"/>
      <c r="CV393" s="253"/>
      <c r="CW393" s="345"/>
      <c r="CX393" s="253"/>
      <c r="CY393" s="346"/>
      <c r="DA393" s="253"/>
      <c r="DB393" s="345"/>
      <c r="DC393" s="253"/>
      <c r="DD393" s="346"/>
      <c r="DF393" s="253"/>
      <c r="DG393" s="345"/>
      <c r="DH393" s="253"/>
      <c r="DI393" s="346"/>
      <c r="DK393" s="253"/>
      <c r="DL393" s="345"/>
      <c r="DM393" s="253"/>
      <c r="DN393" s="346"/>
      <c r="DP393" s="253"/>
      <c r="DQ393" s="345"/>
      <c r="DR393" s="253"/>
      <c r="DS393" s="346"/>
      <c r="DU393" s="253"/>
      <c r="DV393" s="345"/>
      <c r="DW393" s="253"/>
      <c r="DX393" s="346"/>
      <c r="DZ393" s="253"/>
      <c r="EA393" s="345"/>
      <c r="EB393" s="253"/>
      <c r="EC393" s="346"/>
      <c r="EE393" s="253"/>
      <c r="EF393" s="345"/>
      <c r="EG393" s="253"/>
      <c r="EH393" s="346"/>
      <c r="EJ393" s="253"/>
      <c r="EK393" s="345"/>
      <c r="EL393" s="253"/>
      <c r="EM393" s="346"/>
      <c r="EO393" s="253"/>
      <c r="EP393" s="345"/>
      <c r="EQ393" s="253"/>
      <c r="ER393" s="346"/>
      <c r="ET393" s="253"/>
      <c r="EU393" s="345"/>
      <c r="EV393" s="253"/>
      <c r="EW393" s="346"/>
      <c r="EY393" s="253"/>
      <c r="EZ393" s="345"/>
      <c r="FA393" s="253"/>
      <c r="FB393" s="346"/>
      <c r="FD393" s="253"/>
      <c r="FE393" s="345"/>
      <c r="FF393" s="253"/>
      <c r="FG393" s="346"/>
      <c r="FI393" s="253"/>
      <c r="FJ393" s="345"/>
      <c r="FK393" s="253"/>
      <c r="FL393" s="346"/>
      <c r="FN393" s="253"/>
      <c r="FO393" s="345"/>
      <c r="FP393" s="253"/>
      <c r="FQ393" s="346"/>
      <c r="FS393" s="253"/>
      <c r="FT393" s="345"/>
      <c r="FU393" s="253"/>
      <c r="FV393" s="346"/>
      <c r="FX393" s="253"/>
      <c r="FY393" s="345"/>
      <c r="FZ393" s="253"/>
      <c r="GA393" s="346"/>
      <c r="GC393" s="253"/>
      <c r="GD393" s="345"/>
      <c r="GE393" s="253"/>
      <c r="GF393" s="346"/>
      <c r="GH393" s="253"/>
      <c r="GI393" s="345"/>
      <c r="GJ393" s="253"/>
      <c r="GK393" s="346"/>
      <c r="GM393" s="253"/>
      <c r="GN393" s="345"/>
      <c r="GO393" s="253"/>
      <c r="GP393" s="346"/>
      <c r="GR393" s="253"/>
      <c r="GS393" s="345"/>
      <c r="GT393" s="253"/>
      <c r="GU393" s="346"/>
      <c r="GW393" s="253"/>
      <c r="GX393" s="345"/>
      <c r="GY393" s="253"/>
      <c r="GZ393" s="346"/>
      <c r="HB393" s="253"/>
      <c r="HC393" s="345"/>
      <c r="HD393" s="253"/>
      <c r="HE393" s="346"/>
      <c r="HG393" s="253"/>
      <c r="HH393" s="345"/>
      <c r="HI393" s="253"/>
      <c r="HJ393" s="346"/>
      <c r="HL393" s="253"/>
      <c r="HM393" s="345"/>
      <c r="HN393" s="253"/>
      <c r="HO393" s="346"/>
      <c r="HQ393" s="253"/>
      <c r="HR393" s="345"/>
      <c r="HS393" s="253"/>
      <c r="HT393" s="346"/>
      <c r="HV393" s="253"/>
      <c r="HW393" s="345"/>
      <c r="HX393" s="253"/>
      <c r="HY393" s="346"/>
      <c r="IA393" s="253"/>
      <c r="IB393" s="345"/>
      <c r="IC393" s="253"/>
      <c r="ID393" s="346"/>
      <c r="IF393" s="253"/>
      <c r="IG393" s="345"/>
      <c r="IH393" s="253"/>
      <c r="II393" s="346"/>
      <c r="IK393" s="253"/>
      <c r="IL393" s="345"/>
      <c r="IM393" s="253"/>
      <c r="IN393" s="346"/>
      <c r="IP393" s="253"/>
      <c r="IQ393" s="345"/>
      <c r="IR393" s="253"/>
      <c r="IS393" s="346"/>
      <c r="IU393" s="253"/>
      <c r="IV393" s="345"/>
    </row>
    <row r="394" spans="1:256" x14ac:dyDescent="0.2">
      <c r="A394" s="345">
        <v>39507</v>
      </c>
      <c r="B394" s="1311">
        <v>-5.0199999999999996</v>
      </c>
      <c r="C394" s="346">
        <v>191258269.30000001</v>
      </c>
      <c r="E394" s="253">
        <f>B394-Index_Returns!B394</f>
        <v>-1.7714199999999996</v>
      </c>
      <c r="F394" s="733"/>
      <c r="G394" s="728"/>
      <c r="H394" s="346"/>
      <c r="J394" s="253"/>
      <c r="K394" s="345"/>
      <c r="L394" s="253"/>
      <c r="M394" s="346"/>
      <c r="O394" s="253"/>
      <c r="P394" s="345"/>
      <c r="Q394" s="253"/>
      <c r="R394" s="346"/>
      <c r="T394" s="253"/>
      <c r="U394" s="345"/>
      <c r="V394" s="253"/>
      <c r="W394" s="346"/>
      <c r="Y394" s="253"/>
      <c r="Z394" s="345"/>
      <c r="AA394" s="253"/>
      <c r="AB394" s="346"/>
      <c r="AD394" s="253"/>
      <c r="AE394" s="345"/>
      <c r="AF394" s="253"/>
      <c r="AG394" s="346"/>
      <c r="AI394" s="253"/>
      <c r="AJ394" s="345"/>
      <c r="AK394" s="253"/>
      <c r="AL394" s="346"/>
      <c r="AN394" s="253"/>
      <c r="AO394" s="345"/>
      <c r="AP394" s="253"/>
      <c r="AQ394" s="346"/>
      <c r="AS394" s="253"/>
      <c r="AT394" s="345"/>
      <c r="AU394" s="253"/>
      <c r="AV394" s="346"/>
      <c r="AX394" s="253"/>
      <c r="AY394" s="345"/>
      <c r="AZ394" s="253"/>
      <c r="BA394" s="346"/>
      <c r="BC394" s="253"/>
      <c r="BD394" s="345"/>
      <c r="BE394" s="253"/>
      <c r="BF394" s="346"/>
      <c r="BH394" s="253"/>
      <c r="BI394" s="345"/>
      <c r="BJ394" s="253"/>
      <c r="BK394" s="346"/>
      <c r="BM394" s="253"/>
      <c r="BN394" s="345"/>
      <c r="BO394" s="253"/>
      <c r="BP394" s="346"/>
      <c r="BR394" s="253"/>
      <c r="BS394" s="345"/>
      <c r="BT394" s="253"/>
      <c r="BU394" s="346"/>
      <c r="BW394" s="253"/>
      <c r="BX394" s="345"/>
      <c r="BY394" s="253"/>
      <c r="BZ394" s="346"/>
      <c r="CB394" s="253"/>
      <c r="CC394" s="345"/>
      <c r="CD394" s="253"/>
      <c r="CE394" s="346"/>
      <c r="CG394" s="253"/>
      <c r="CH394" s="345"/>
      <c r="CI394" s="253"/>
      <c r="CJ394" s="346"/>
      <c r="CL394" s="253"/>
      <c r="CM394" s="345"/>
      <c r="CN394" s="253"/>
      <c r="CO394" s="346"/>
      <c r="CQ394" s="253"/>
      <c r="CR394" s="345"/>
      <c r="CS394" s="253"/>
      <c r="CT394" s="346"/>
      <c r="CV394" s="253"/>
      <c r="CW394" s="345"/>
      <c r="CX394" s="253"/>
      <c r="CY394" s="346"/>
      <c r="DA394" s="253"/>
      <c r="DB394" s="345"/>
      <c r="DC394" s="253"/>
      <c r="DD394" s="346"/>
      <c r="DF394" s="253"/>
      <c r="DG394" s="345"/>
      <c r="DH394" s="253"/>
      <c r="DI394" s="346"/>
      <c r="DK394" s="253"/>
      <c r="DL394" s="345"/>
      <c r="DM394" s="253"/>
      <c r="DN394" s="346"/>
      <c r="DP394" s="253"/>
      <c r="DQ394" s="345"/>
      <c r="DR394" s="253"/>
      <c r="DS394" s="346"/>
      <c r="DU394" s="253"/>
      <c r="DV394" s="345"/>
      <c r="DW394" s="253"/>
      <c r="DX394" s="346"/>
      <c r="DZ394" s="253"/>
      <c r="EA394" s="345"/>
      <c r="EB394" s="253"/>
      <c r="EC394" s="346"/>
      <c r="EE394" s="253"/>
      <c r="EF394" s="345"/>
      <c r="EG394" s="253"/>
      <c r="EH394" s="346"/>
      <c r="EJ394" s="253"/>
      <c r="EK394" s="345"/>
      <c r="EL394" s="253"/>
      <c r="EM394" s="346"/>
      <c r="EO394" s="253"/>
      <c r="EP394" s="345"/>
      <c r="EQ394" s="253"/>
      <c r="ER394" s="346"/>
      <c r="ET394" s="253"/>
      <c r="EU394" s="345"/>
      <c r="EV394" s="253"/>
      <c r="EW394" s="346"/>
      <c r="EY394" s="253"/>
      <c r="EZ394" s="345"/>
      <c r="FA394" s="253"/>
      <c r="FB394" s="346"/>
      <c r="FD394" s="253"/>
      <c r="FE394" s="345"/>
      <c r="FF394" s="253"/>
      <c r="FG394" s="346"/>
      <c r="FI394" s="253"/>
      <c r="FJ394" s="345"/>
      <c r="FK394" s="253"/>
      <c r="FL394" s="346"/>
      <c r="FN394" s="253"/>
      <c r="FO394" s="345"/>
      <c r="FP394" s="253"/>
      <c r="FQ394" s="346"/>
      <c r="FS394" s="253"/>
      <c r="FT394" s="345"/>
      <c r="FU394" s="253"/>
      <c r="FV394" s="346"/>
      <c r="FX394" s="253"/>
      <c r="FY394" s="345"/>
      <c r="FZ394" s="253"/>
      <c r="GA394" s="346"/>
      <c r="GC394" s="253"/>
      <c r="GD394" s="345"/>
      <c r="GE394" s="253"/>
      <c r="GF394" s="346"/>
      <c r="GH394" s="253"/>
      <c r="GI394" s="345"/>
      <c r="GJ394" s="253"/>
      <c r="GK394" s="346"/>
      <c r="GM394" s="253"/>
      <c r="GN394" s="345"/>
      <c r="GO394" s="253"/>
      <c r="GP394" s="346"/>
      <c r="GR394" s="253"/>
      <c r="GS394" s="345"/>
      <c r="GT394" s="253"/>
      <c r="GU394" s="346"/>
      <c r="GW394" s="253"/>
      <c r="GX394" s="345"/>
      <c r="GY394" s="253"/>
      <c r="GZ394" s="346"/>
      <c r="HB394" s="253"/>
      <c r="HC394" s="345"/>
      <c r="HD394" s="253"/>
      <c r="HE394" s="346"/>
      <c r="HG394" s="253"/>
      <c r="HH394" s="345"/>
      <c r="HI394" s="253"/>
      <c r="HJ394" s="346"/>
      <c r="HL394" s="253"/>
      <c r="HM394" s="345"/>
      <c r="HN394" s="253"/>
      <c r="HO394" s="346"/>
      <c r="HQ394" s="253"/>
      <c r="HR394" s="345"/>
      <c r="HS394" s="253"/>
      <c r="HT394" s="346"/>
      <c r="HV394" s="253"/>
      <c r="HW394" s="345"/>
      <c r="HX394" s="253"/>
      <c r="HY394" s="346"/>
      <c r="IA394" s="253"/>
      <c r="IB394" s="345"/>
      <c r="IC394" s="253"/>
      <c r="ID394" s="346"/>
      <c r="IF394" s="253"/>
      <c r="IG394" s="345"/>
      <c r="IH394" s="253"/>
      <c r="II394" s="346"/>
      <c r="IK394" s="253"/>
      <c r="IL394" s="345"/>
      <c r="IM394" s="253"/>
      <c r="IN394" s="346"/>
      <c r="IP394" s="253"/>
      <c r="IQ394" s="345"/>
      <c r="IR394" s="253"/>
      <c r="IS394" s="346"/>
      <c r="IU394" s="253"/>
      <c r="IV394" s="345"/>
    </row>
    <row r="395" spans="1:256" x14ac:dyDescent="0.2">
      <c r="A395" s="345">
        <v>39538</v>
      </c>
      <c r="B395" s="1311">
        <v>-1.64</v>
      </c>
      <c r="C395" s="346">
        <v>188355947.28999999</v>
      </c>
      <c r="E395" s="253">
        <f>B395-Index_Returns!B395</f>
        <v>-1.2081999999999999</v>
      </c>
      <c r="F395" s="733"/>
      <c r="G395" s="728"/>
      <c r="H395" s="346"/>
      <c r="J395" s="253"/>
      <c r="K395" s="345"/>
      <c r="L395" s="253"/>
      <c r="M395" s="346"/>
      <c r="O395" s="253"/>
      <c r="P395" s="345"/>
      <c r="Q395" s="253"/>
      <c r="R395" s="346"/>
      <c r="T395" s="253"/>
      <c r="U395" s="345"/>
      <c r="V395" s="253"/>
      <c r="W395" s="346"/>
      <c r="Y395" s="253"/>
      <c r="Z395" s="345"/>
      <c r="AA395" s="253"/>
      <c r="AB395" s="346"/>
      <c r="AD395" s="253"/>
      <c r="AE395" s="345"/>
      <c r="AF395" s="253"/>
      <c r="AG395" s="346"/>
      <c r="AI395" s="253"/>
      <c r="AJ395" s="345"/>
      <c r="AK395" s="253"/>
      <c r="AL395" s="346"/>
      <c r="AN395" s="253"/>
      <c r="AO395" s="345"/>
      <c r="AP395" s="253"/>
      <c r="AQ395" s="346"/>
      <c r="AS395" s="253"/>
      <c r="AT395" s="345"/>
      <c r="AU395" s="253"/>
      <c r="AV395" s="346"/>
      <c r="AX395" s="253"/>
      <c r="AY395" s="345"/>
      <c r="AZ395" s="253"/>
      <c r="BA395" s="346"/>
      <c r="BC395" s="253"/>
      <c r="BD395" s="345"/>
      <c r="BE395" s="253"/>
      <c r="BF395" s="346"/>
      <c r="BH395" s="253"/>
      <c r="BI395" s="345"/>
      <c r="BJ395" s="253"/>
      <c r="BK395" s="346"/>
      <c r="BM395" s="253"/>
      <c r="BN395" s="345"/>
      <c r="BO395" s="253"/>
      <c r="BP395" s="346"/>
      <c r="BR395" s="253"/>
      <c r="BS395" s="345"/>
      <c r="BT395" s="253"/>
      <c r="BU395" s="346"/>
      <c r="BW395" s="253"/>
      <c r="BX395" s="345"/>
      <c r="BY395" s="253"/>
      <c r="BZ395" s="346"/>
      <c r="CB395" s="253"/>
      <c r="CC395" s="345"/>
      <c r="CD395" s="253"/>
      <c r="CE395" s="346"/>
      <c r="CG395" s="253"/>
      <c r="CH395" s="345"/>
      <c r="CI395" s="253"/>
      <c r="CJ395" s="346"/>
      <c r="CL395" s="253"/>
      <c r="CM395" s="345"/>
      <c r="CN395" s="253"/>
      <c r="CO395" s="346"/>
      <c r="CQ395" s="253"/>
      <c r="CR395" s="345"/>
      <c r="CS395" s="253"/>
      <c r="CT395" s="346"/>
      <c r="CV395" s="253"/>
      <c r="CW395" s="345"/>
      <c r="CX395" s="253"/>
      <c r="CY395" s="346"/>
      <c r="DA395" s="253"/>
      <c r="DB395" s="345"/>
      <c r="DC395" s="253"/>
      <c r="DD395" s="346"/>
      <c r="DF395" s="253"/>
      <c r="DG395" s="345"/>
      <c r="DH395" s="253"/>
      <c r="DI395" s="346"/>
      <c r="DK395" s="253"/>
      <c r="DL395" s="345"/>
      <c r="DM395" s="253"/>
      <c r="DN395" s="346"/>
      <c r="DP395" s="253"/>
      <c r="DQ395" s="345"/>
      <c r="DR395" s="253"/>
      <c r="DS395" s="346"/>
      <c r="DU395" s="253"/>
      <c r="DV395" s="345"/>
      <c r="DW395" s="253"/>
      <c r="DX395" s="346"/>
      <c r="DZ395" s="253"/>
      <c r="EA395" s="345"/>
      <c r="EB395" s="253"/>
      <c r="EC395" s="346"/>
      <c r="EE395" s="253"/>
      <c r="EF395" s="345"/>
      <c r="EG395" s="253"/>
      <c r="EH395" s="346"/>
      <c r="EJ395" s="253"/>
      <c r="EK395" s="345"/>
      <c r="EL395" s="253"/>
      <c r="EM395" s="346"/>
      <c r="EO395" s="253"/>
      <c r="EP395" s="345"/>
      <c r="EQ395" s="253"/>
      <c r="ER395" s="346"/>
      <c r="ET395" s="253"/>
      <c r="EU395" s="345"/>
      <c r="EV395" s="253"/>
      <c r="EW395" s="346"/>
      <c r="EY395" s="253"/>
      <c r="EZ395" s="345"/>
      <c r="FA395" s="253"/>
      <c r="FB395" s="346"/>
      <c r="FD395" s="253"/>
      <c r="FE395" s="345"/>
      <c r="FF395" s="253"/>
      <c r="FG395" s="346"/>
      <c r="FI395" s="253"/>
      <c r="FJ395" s="345"/>
      <c r="FK395" s="253"/>
      <c r="FL395" s="346"/>
      <c r="FN395" s="253"/>
      <c r="FO395" s="345"/>
      <c r="FP395" s="253"/>
      <c r="FQ395" s="346"/>
      <c r="FS395" s="253"/>
      <c r="FT395" s="345"/>
      <c r="FU395" s="253"/>
      <c r="FV395" s="346"/>
      <c r="FX395" s="253"/>
      <c r="FY395" s="345"/>
      <c r="FZ395" s="253"/>
      <c r="GA395" s="346"/>
      <c r="GC395" s="253"/>
      <c r="GD395" s="345"/>
      <c r="GE395" s="253"/>
      <c r="GF395" s="346"/>
      <c r="GH395" s="253"/>
      <c r="GI395" s="345"/>
      <c r="GJ395" s="253"/>
      <c r="GK395" s="346"/>
      <c r="GM395" s="253"/>
      <c r="GN395" s="345"/>
      <c r="GO395" s="253"/>
      <c r="GP395" s="346"/>
      <c r="GR395" s="253"/>
      <c r="GS395" s="345"/>
      <c r="GT395" s="253"/>
      <c r="GU395" s="346"/>
      <c r="GW395" s="253"/>
      <c r="GX395" s="345"/>
      <c r="GY395" s="253"/>
      <c r="GZ395" s="346"/>
      <c r="HB395" s="253"/>
      <c r="HC395" s="345"/>
      <c r="HD395" s="253"/>
      <c r="HE395" s="346"/>
      <c r="HG395" s="253"/>
      <c r="HH395" s="345"/>
      <c r="HI395" s="253"/>
      <c r="HJ395" s="346"/>
      <c r="HL395" s="253"/>
      <c r="HM395" s="345"/>
      <c r="HN395" s="253"/>
      <c r="HO395" s="346"/>
      <c r="HQ395" s="253"/>
      <c r="HR395" s="345"/>
      <c r="HS395" s="253"/>
      <c r="HT395" s="346"/>
      <c r="HV395" s="253"/>
      <c r="HW395" s="345"/>
      <c r="HX395" s="253"/>
      <c r="HY395" s="346"/>
      <c r="IA395" s="253"/>
      <c r="IB395" s="345"/>
      <c r="IC395" s="253"/>
      <c r="ID395" s="346"/>
      <c r="IF395" s="253"/>
      <c r="IG395" s="345"/>
      <c r="IH395" s="253"/>
      <c r="II395" s="346"/>
      <c r="IK395" s="253"/>
      <c r="IL395" s="345"/>
      <c r="IM395" s="253"/>
      <c r="IN395" s="346"/>
      <c r="IP395" s="253"/>
      <c r="IQ395" s="345"/>
      <c r="IR395" s="253"/>
      <c r="IS395" s="346"/>
      <c r="IU395" s="253"/>
      <c r="IV395" s="345"/>
    </row>
    <row r="396" spans="1:256" x14ac:dyDescent="0.2">
      <c r="A396" s="345">
        <v>39568</v>
      </c>
      <c r="B396" s="1311">
        <v>5.26</v>
      </c>
      <c r="C396" s="346">
        <v>198272542.16999999</v>
      </c>
      <c r="E396" s="253">
        <f>B396-Index_Returns!B396</f>
        <v>0.38966000000000012</v>
      </c>
      <c r="F396" s="733"/>
      <c r="G396" s="728"/>
      <c r="H396" s="346"/>
      <c r="J396" s="253"/>
      <c r="K396" s="345"/>
      <c r="L396" s="253"/>
      <c r="M396" s="346"/>
      <c r="O396" s="253"/>
      <c r="P396" s="345"/>
      <c r="Q396" s="253"/>
      <c r="R396" s="346"/>
      <c r="T396" s="253"/>
      <c r="U396" s="345"/>
      <c r="V396" s="253"/>
      <c r="W396" s="346"/>
      <c r="Y396" s="253"/>
      <c r="Z396" s="345"/>
      <c r="AA396" s="253"/>
      <c r="AB396" s="346"/>
      <c r="AD396" s="253"/>
      <c r="AE396" s="345"/>
      <c r="AF396" s="253"/>
      <c r="AG396" s="346"/>
      <c r="AI396" s="253"/>
      <c r="AJ396" s="345"/>
      <c r="AK396" s="253"/>
      <c r="AL396" s="346"/>
      <c r="AN396" s="253"/>
      <c r="AO396" s="345"/>
      <c r="AP396" s="253"/>
      <c r="AQ396" s="346"/>
      <c r="AS396" s="253"/>
      <c r="AT396" s="345"/>
      <c r="AU396" s="253"/>
      <c r="AV396" s="346"/>
      <c r="AX396" s="253"/>
      <c r="AY396" s="345"/>
      <c r="AZ396" s="253"/>
      <c r="BA396" s="346"/>
      <c r="BC396" s="253"/>
      <c r="BD396" s="345"/>
      <c r="BE396" s="253"/>
      <c r="BF396" s="346"/>
      <c r="BH396" s="253"/>
      <c r="BI396" s="345"/>
      <c r="BJ396" s="253"/>
      <c r="BK396" s="346"/>
      <c r="BM396" s="253"/>
      <c r="BN396" s="345"/>
      <c r="BO396" s="253"/>
      <c r="BP396" s="346"/>
      <c r="BR396" s="253"/>
      <c r="BS396" s="345"/>
      <c r="BT396" s="253"/>
      <c r="BU396" s="346"/>
      <c r="BW396" s="253"/>
      <c r="BX396" s="345"/>
      <c r="BY396" s="253"/>
      <c r="BZ396" s="346"/>
      <c r="CB396" s="253"/>
      <c r="CC396" s="345"/>
      <c r="CD396" s="253"/>
      <c r="CE396" s="346"/>
      <c r="CG396" s="253"/>
      <c r="CH396" s="345"/>
      <c r="CI396" s="253"/>
      <c r="CJ396" s="346"/>
      <c r="CL396" s="253"/>
      <c r="CM396" s="345"/>
      <c r="CN396" s="253"/>
      <c r="CO396" s="346"/>
      <c r="CQ396" s="253"/>
      <c r="CR396" s="345"/>
      <c r="CS396" s="253"/>
      <c r="CT396" s="346"/>
      <c r="CV396" s="253"/>
      <c r="CW396" s="345"/>
      <c r="CX396" s="253"/>
      <c r="CY396" s="346"/>
      <c r="DA396" s="253"/>
      <c r="DB396" s="345"/>
      <c r="DC396" s="253"/>
      <c r="DD396" s="346"/>
      <c r="DF396" s="253"/>
      <c r="DG396" s="345"/>
      <c r="DH396" s="253"/>
      <c r="DI396" s="346"/>
      <c r="DK396" s="253"/>
      <c r="DL396" s="345"/>
      <c r="DM396" s="253"/>
      <c r="DN396" s="346"/>
      <c r="DP396" s="253"/>
      <c r="DQ396" s="345"/>
      <c r="DR396" s="253"/>
      <c r="DS396" s="346"/>
      <c r="DU396" s="253"/>
      <c r="DV396" s="345"/>
      <c r="DW396" s="253"/>
      <c r="DX396" s="346"/>
      <c r="DZ396" s="253"/>
      <c r="EA396" s="345"/>
      <c r="EB396" s="253"/>
      <c r="EC396" s="346"/>
      <c r="EE396" s="253"/>
      <c r="EF396" s="345"/>
      <c r="EG396" s="253"/>
      <c r="EH396" s="346"/>
      <c r="EJ396" s="253"/>
      <c r="EK396" s="345"/>
      <c r="EL396" s="253"/>
      <c r="EM396" s="346"/>
      <c r="EO396" s="253"/>
      <c r="EP396" s="345"/>
      <c r="EQ396" s="253"/>
      <c r="ER396" s="346"/>
      <c r="ET396" s="253"/>
      <c r="EU396" s="345"/>
      <c r="EV396" s="253"/>
      <c r="EW396" s="346"/>
      <c r="EY396" s="253"/>
      <c r="EZ396" s="345"/>
      <c r="FA396" s="253"/>
      <c r="FB396" s="346"/>
      <c r="FD396" s="253"/>
      <c r="FE396" s="345"/>
      <c r="FF396" s="253"/>
      <c r="FG396" s="346"/>
      <c r="FI396" s="253"/>
      <c r="FJ396" s="345"/>
      <c r="FK396" s="253"/>
      <c r="FL396" s="346"/>
      <c r="FN396" s="253"/>
      <c r="FO396" s="345"/>
      <c r="FP396" s="253"/>
      <c r="FQ396" s="346"/>
      <c r="FS396" s="253"/>
      <c r="FT396" s="345"/>
      <c r="FU396" s="253"/>
      <c r="FV396" s="346"/>
      <c r="FX396" s="253"/>
      <c r="FY396" s="345"/>
      <c r="FZ396" s="253"/>
      <c r="GA396" s="346"/>
      <c r="GC396" s="253"/>
      <c r="GD396" s="345"/>
      <c r="GE396" s="253"/>
      <c r="GF396" s="346"/>
      <c r="GH396" s="253"/>
      <c r="GI396" s="345"/>
      <c r="GJ396" s="253"/>
      <c r="GK396" s="346"/>
      <c r="GM396" s="253"/>
      <c r="GN396" s="345"/>
      <c r="GO396" s="253"/>
      <c r="GP396" s="346"/>
      <c r="GR396" s="253"/>
      <c r="GS396" s="345"/>
      <c r="GT396" s="253"/>
      <c r="GU396" s="346"/>
      <c r="GW396" s="253"/>
      <c r="GX396" s="345"/>
      <c r="GY396" s="253"/>
      <c r="GZ396" s="346"/>
      <c r="HB396" s="253"/>
      <c r="HC396" s="345"/>
      <c r="HD396" s="253"/>
      <c r="HE396" s="346"/>
      <c r="HG396" s="253"/>
      <c r="HH396" s="345"/>
      <c r="HI396" s="253"/>
      <c r="HJ396" s="346"/>
      <c r="HL396" s="253"/>
      <c r="HM396" s="345"/>
      <c r="HN396" s="253"/>
      <c r="HO396" s="346"/>
      <c r="HQ396" s="253"/>
      <c r="HR396" s="345"/>
      <c r="HS396" s="253"/>
      <c r="HT396" s="346"/>
      <c r="HV396" s="253"/>
      <c r="HW396" s="345"/>
      <c r="HX396" s="253"/>
      <c r="HY396" s="346"/>
      <c r="IA396" s="253"/>
      <c r="IB396" s="345"/>
      <c r="IC396" s="253"/>
      <c r="ID396" s="346"/>
      <c r="IF396" s="253"/>
      <c r="IG396" s="345"/>
      <c r="IH396" s="253"/>
      <c r="II396" s="346"/>
      <c r="IK396" s="253"/>
      <c r="IL396" s="345"/>
      <c r="IM396" s="253"/>
      <c r="IN396" s="346"/>
      <c r="IP396" s="253"/>
      <c r="IQ396" s="345"/>
      <c r="IR396" s="253"/>
      <c r="IS396" s="346"/>
      <c r="IU396" s="253"/>
      <c r="IV396" s="345"/>
    </row>
    <row r="397" spans="1:256" x14ac:dyDescent="0.2">
      <c r="A397" s="345">
        <v>39599</v>
      </c>
      <c r="B397" s="1311">
        <v>2.86</v>
      </c>
      <c r="C397" s="346">
        <v>203952907.71000001</v>
      </c>
      <c r="E397" s="253">
        <f>B397-Index_Returns!B397</f>
        <v>1.5647399999999998</v>
      </c>
      <c r="F397" s="733"/>
      <c r="G397" s="728"/>
      <c r="H397" s="346"/>
      <c r="J397" s="253"/>
      <c r="K397" s="345"/>
      <c r="L397" s="253"/>
      <c r="M397" s="346"/>
      <c r="O397" s="253"/>
      <c r="P397" s="345"/>
      <c r="Q397" s="253"/>
      <c r="R397" s="346"/>
      <c r="T397" s="253"/>
      <c r="U397" s="345"/>
      <c r="V397" s="253"/>
      <c r="W397" s="346"/>
      <c r="Y397" s="253"/>
      <c r="Z397" s="345"/>
      <c r="AA397" s="253"/>
      <c r="AB397" s="346"/>
      <c r="AD397" s="253"/>
      <c r="AE397" s="345"/>
      <c r="AF397" s="253"/>
      <c r="AG397" s="346"/>
      <c r="AI397" s="253"/>
      <c r="AJ397" s="345"/>
      <c r="AK397" s="253"/>
      <c r="AL397" s="346"/>
      <c r="AN397" s="253"/>
      <c r="AO397" s="345"/>
      <c r="AP397" s="253"/>
      <c r="AQ397" s="346"/>
      <c r="AS397" s="253"/>
      <c r="AT397" s="345"/>
      <c r="AU397" s="253"/>
      <c r="AV397" s="346"/>
      <c r="AX397" s="253"/>
      <c r="AY397" s="345"/>
      <c r="AZ397" s="253"/>
      <c r="BA397" s="346"/>
      <c r="BC397" s="253"/>
      <c r="BD397" s="345"/>
      <c r="BE397" s="253"/>
      <c r="BF397" s="346"/>
      <c r="BH397" s="253"/>
      <c r="BI397" s="345"/>
      <c r="BJ397" s="253"/>
      <c r="BK397" s="346"/>
      <c r="BM397" s="253"/>
      <c r="BN397" s="345"/>
      <c r="BO397" s="253"/>
      <c r="BP397" s="346"/>
      <c r="BR397" s="253"/>
      <c r="BS397" s="345"/>
      <c r="BT397" s="253"/>
      <c r="BU397" s="346"/>
      <c r="BW397" s="253"/>
      <c r="BX397" s="345"/>
      <c r="BY397" s="253"/>
      <c r="BZ397" s="346"/>
      <c r="CB397" s="253"/>
      <c r="CC397" s="345"/>
      <c r="CD397" s="253"/>
      <c r="CE397" s="346"/>
      <c r="CG397" s="253"/>
      <c r="CH397" s="345"/>
      <c r="CI397" s="253"/>
      <c r="CJ397" s="346"/>
      <c r="CL397" s="253"/>
      <c r="CM397" s="345"/>
      <c r="CN397" s="253"/>
      <c r="CO397" s="346"/>
      <c r="CQ397" s="253"/>
      <c r="CR397" s="345"/>
      <c r="CS397" s="253"/>
      <c r="CT397" s="346"/>
      <c r="CV397" s="253"/>
      <c r="CW397" s="345"/>
      <c r="CX397" s="253"/>
      <c r="CY397" s="346"/>
      <c r="DA397" s="253"/>
      <c r="DB397" s="345"/>
      <c r="DC397" s="253"/>
      <c r="DD397" s="346"/>
      <c r="DF397" s="253"/>
      <c r="DG397" s="345"/>
      <c r="DH397" s="253"/>
      <c r="DI397" s="346"/>
      <c r="DK397" s="253"/>
      <c r="DL397" s="345"/>
      <c r="DM397" s="253"/>
      <c r="DN397" s="346"/>
      <c r="DP397" s="253"/>
      <c r="DQ397" s="345"/>
      <c r="DR397" s="253"/>
      <c r="DS397" s="346"/>
      <c r="DU397" s="253"/>
      <c r="DV397" s="345"/>
      <c r="DW397" s="253"/>
      <c r="DX397" s="346"/>
      <c r="DZ397" s="253"/>
      <c r="EA397" s="345"/>
      <c r="EB397" s="253"/>
      <c r="EC397" s="346"/>
      <c r="EE397" s="253"/>
      <c r="EF397" s="345"/>
      <c r="EG397" s="253"/>
      <c r="EH397" s="346"/>
      <c r="EJ397" s="253"/>
      <c r="EK397" s="345"/>
      <c r="EL397" s="253"/>
      <c r="EM397" s="346"/>
      <c r="EO397" s="253"/>
      <c r="EP397" s="345"/>
      <c r="EQ397" s="253"/>
      <c r="ER397" s="346"/>
      <c r="ET397" s="253"/>
      <c r="EU397" s="345"/>
      <c r="EV397" s="253"/>
      <c r="EW397" s="346"/>
      <c r="EY397" s="253"/>
      <c r="EZ397" s="345"/>
      <c r="FA397" s="253"/>
      <c r="FB397" s="346"/>
      <c r="FD397" s="253"/>
      <c r="FE397" s="345"/>
      <c r="FF397" s="253"/>
      <c r="FG397" s="346"/>
      <c r="FI397" s="253"/>
      <c r="FJ397" s="345"/>
      <c r="FK397" s="253"/>
      <c r="FL397" s="346"/>
      <c r="FN397" s="253"/>
      <c r="FO397" s="345"/>
      <c r="FP397" s="253"/>
      <c r="FQ397" s="346"/>
      <c r="FS397" s="253"/>
      <c r="FT397" s="345"/>
      <c r="FU397" s="253"/>
      <c r="FV397" s="346"/>
      <c r="FX397" s="253"/>
      <c r="FY397" s="345"/>
      <c r="FZ397" s="253"/>
      <c r="GA397" s="346"/>
      <c r="GC397" s="253"/>
      <c r="GD397" s="345"/>
      <c r="GE397" s="253"/>
      <c r="GF397" s="346"/>
      <c r="GH397" s="253"/>
      <c r="GI397" s="345"/>
      <c r="GJ397" s="253"/>
      <c r="GK397" s="346"/>
      <c r="GM397" s="253"/>
      <c r="GN397" s="345"/>
      <c r="GO397" s="253"/>
      <c r="GP397" s="346"/>
      <c r="GR397" s="253"/>
      <c r="GS397" s="345"/>
      <c r="GT397" s="253"/>
      <c r="GU397" s="346"/>
      <c r="GW397" s="253"/>
      <c r="GX397" s="345"/>
      <c r="GY397" s="253"/>
      <c r="GZ397" s="346"/>
      <c r="HB397" s="253"/>
      <c r="HC397" s="345"/>
      <c r="HD397" s="253"/>
      <c r="HE397" s="346"/>
      <c r="HG397" s="253"/>
      <c r="HH397" s="345"/>
      <c r="HI397" s="253"/>
      <c r="HJ397" s="346"/>
      <c r="HL397" s="253"/>
      <c r="HM397" s="345"/>
      <c r="HN397" s="253"/>
      <c r="HO397" s="346"/>
      <c r="HQ397" s="253"/>
      <c r="HR397" s="345"/>
      <c r="HS397" s="253"/>
      <c r="HT397" s="346"/>
      <c r="HV397" s="253"/>
      <c r="HW397" s="345"/>
      <c r="HX397" s="253"/>
      <c r="HY397" s="346"/>
      <c r="IA397" s="253"/>
      <c r="IB397" s="345"/>
      <c r="IC397" s="253"/>
      <c r="ID397" s="346"/>
      <c r="IF397" s="253"/>
      <c r="IG397" s="345"/>
      <c r="IH397" s="253"/>
      <c r="II397" s="346"/>
      <c r="IK397" s="253"/>
      <c r="IL397" s="345"/>
      <c r="IM397" s="253"/>
      <c r="IN397" s="346"/>
      <c r="IP397" s="253"/>
      <c r="IQ397" s="345"/>
      <c r="IR397" s="253"/>
      <c r="IS397" s="346"/>
      <c r="IU397" s="253"/>
      <c r="IV397" s="345"/>
    </row>
    <row r="398" spans="1:256" x14ac:dyDescent="0.2">
      <c r="A398" s="345">
        <v>39629</v>
      </c>
      <c r="B398" s="1311">
        <v>-8.82</v>
      </c>
      <c r="C398" s="346">
        <v>186176450.72</v>
      </c>
      <c r="E398" s="253">
        <f>B398-Index_Returns!B398</f>
        <v>-0.38962000000000074</v>
      </c>
      <c r="F398" s="733"/>
      <c r="G398" s="728"/>
      <c r="H398" s="346"/>
      <c r="J398" s="253"/>
      <c r="K398" s="345"/>
      <c r="L398" s="253"/>
      <c r="M398" s="346"/>
      <c r="O398" s="253"/>
      <c r="P398" s="345"/>
      <c r="Q398" s="253"/>
      <c r="R398" s="346"/>
      <c r="T398" s="253"/>
      <c r="U398" s="345"/>
      <c r="V398" s="253"/>
      <c r="W398" s="346"/>
      <c r="Y398" s="253"/>
      <c r="Z398" s="345"/>
      <c r="AA398" s="253"/>
      <c r="AB398" s="346"/>
      <c r="AD398" s="253"/>
      <c r="AE398" s="345"/>
      <c r="AF398" s="253"/>
      <c r="AG398" s="346"/>
      <c r="AI398" s="253"/>
      <c r="AJ398" s="345"/>
      <c r="AK398" s="253"/>
      <c r="AL398" s="346"/>
      <c r="AN398" s="253"/>
      <c r="AO398" s="345"/>
      <c r="AP398" s="253"/>
      <c r="AQ398" s="346"/>
      <c r="AS398" s="253"/>
      <c r="AT398" s="345"/>
      <c r="AU398" s="253"/>
      <c r="AV398" s="346"/>
      <c r="AX398" s="253"/>
      <c r="AY398" s="345"/>
      <c r="AZ398" s="253"/>
      <c r="BA398" s="346"/>
      <c r="BC398" s="253"/>
      <c r="BD398" s="345"/>
      <c r="BE398" s="253"/>
      <c r="BF398" s="346"/>
      <c r="BH398" s="253"/>
      <c r="BI398" s="345"/>
      <c r="BJ398" s="253"/>
      <c r="BK398" s="346"/>
      <c r="BM398" s="253"/>
      <c r="BN398" s="345"/>
      <c r="BO398" s="253"/>
      <c r="BP398" s="346"/>
      <c r="BR398" s="253"/>
      <c r="BS398" s="345"/>
      <c r="BT398" s="253"/>
      <c r="BU398" s="346"/>
      <c r="BW398" s="253"/>
      <c r="BX398" s="345"/>
      <c r="BY398" s="253"/>
      <c r="BZ398" s="346"/>
      <c r="CB398" s="253"/>
      <c r="CC398" s="345"/>
      <c r="CD398" s="253"/>
      <c r="CE398" s="346"/>
      <c r="CG398" s="253"/>
      <c r="CH398" s="345"/>
      <c r="CI398" s="253"/>
      <c r="CJ398" s="346"/>
      <c r="CL398" s="253"/>
      <c r="CM398" s="345"/>
      <c r="CN398" s="253"/>
      <c r="CO398" s="346"/>
      <c r="CQ398" s="253"/>
      <c r="CR398" s="345"/>
      <c r="CS398" s="253"/>
      <c r="CT398" s="346"/>
      <c r="CV398" s="253"/>
      <c r="CW398" s="345"/>
      <c r="CX398" s="253"/>
      <c r="CY398" s="346"/>
      <c r="DA398" s="253"/>
      <c r="DB398" s="345"/>
      <c r="DC398" s="253"/>
      <c r="DD398" s="346"/>
      <c r="DF398" s="253"/>
      <c r="DG398" s="345"/>
      <c r="DH398" s="253"/>
      <c r="DI398" s="346"/>
      <c r="DK398" s="253"/>
      <c r="DL398" s="345"/>
      <c r="DM398" s="253"/>
      <c r="DN398" s="346"/>
      <c r="DP398" s="253"/>
      <c r="DQ398" s="345"/>
      <c r="DR398" s="253"/>
      <c r="DS398" s="346"/>
      <c r="DU398" s="253"/>
      <c r="DV398" s="345"/>
      <c r="DW398" s="253"/>
      <c r="DX398" s="346"/>
      <c r="DZ398" s="253"/>
      <c r="EA398" s="345"/>
      <c r="EB398" s="253"/>
      <c r="EC398" s="346"/>
      <c r="EE398" s="253"/>
      <c r="EF398" s="345"/>
      <c r="EG398" s="253"/>
      <c r="EH398" s="346"/>
      <c r="EJ398" s="253"/>
      <c r="EK398" s="345"/>
      <c r="EL398" s="253"/>
      <c r="EM398" s="346"/>
      <c r="EO398" s="253"/>
      <c r="EP398" s="345"/>
      <c r="EQ398" s="253"/>
      <c r="ER398" s="346"/>
      <c r="ET398" s="253"/>
      <c r="EU398" s="345"/>
      <c r="EV398" s="253"/>
      <c r="EW398" s="346"/>
      <c r="EY398" s="253"/>
      <c r="EZ398" s="345"/>
      <c r="FA398" s="253"/>
      <c r="FB398" s="346"/>
      <c r="FD398" s="253"/>
      <c r="FE398" s="345"/>
      <c r="FF398" s="253"/>
      <c r="FG398" s="346"/>
      <c r="FI398" s="253"/>
      <c r="FJ398" s="345"/>
      <c r="FK398" s="253"/>
      <c r="FL398" s="346"/>
      <c r="FN398" s="253"/>
      <c r="FO398" s="345"/>
      <c r="FP398" s="253"/>
      <c r="FQ398" s="346"/>
      <c r="FS398" s="253"/>
      <c r="FT398" s="345"/>
      <c r="FU398" s="253"/>
      <c r="FV398" s="346"/>
      <c r="FX398" s="253"/>
      <c r="FY398" s="345"/>
      <c r="FZ398" s="253"/>
      <c r="GA398" s="346"/>
      <c r="GC398" s="253"/>
      <c r="GD398" s="345"/>
      <c r="GE398" s="253"/>
      <c r="GF398" s="346"/>
      <c r="GH398" s="253"/>
      <c r="GI398" s="345"/>
      <c r="GJ398" s="253"/>
      <c r="GK398" s="346"/>
      <c r="GM398" s="253"/>
      <c r="GN398" s="345"/>
      <c r="GO398" s="253"/>
      <c r="GP398" s="346"/>
      <c r="GR398" s="253"/>
      <c r="GS398" s="345"/>
      <c r="GT398" s="253"/>
      <c r="GU398" s="346"/>
      <c r="GW398" s="253"/>
      <c r="GX398" s="345"/>
      <c r="GY398" s="253"/>
      <c r="GZ398" s="346"/>
      <c r="HB398" s="253"/>
      <c r="HC398" s="345"/>
      <c r="HD398" s="253"/>
      <c r="HE398" s="346"/>
      <c r="HG398" s="253"/>
      <c r="HH398" s="345"/>
      <c r="HI398" s="253"/>
      <c r="HJ398" s="346"/>
      <c r="HL398" s="253"/>
      <c r="HM398" s="345"/>
      <c r="HN398" s="253"/>
      <c r="HO398" s="346"/>
      <c r="HQ398" s="253"/>
      <c r="HR398" s="345"/>
      <c r="HS398" s="253"/>
      <c r="HT398" s="346"/>
      <c r="HV398" s="253"/>
      <c r="HW398" s="345"/>
      <c r="HX398" s="253"/>
      <c r="HY398" s="346"/>
      <c r="IA398" s="253"/>
      <c r="IB398" s="345"/>
      <c r="IC398" s="253"/>
      <c r="ID398" s="346"/>
      <c r="IF398" s="253"/>
      <c r="IG398" s="345"/>
      <c r="IH398" s="253"/>
      <c r="II398" s="346"/>
      <c r="IK398" s="253"/>
      <c r="IL398" s="345"/>
      <c r="IM398" s="253"/>
      <c r="IN398" s="346"/>
      <c r="IP398" s="253"/>
      <c r="IQ398" s="345"/>
      <c r="IR398" s="253"/>
      <c r="IS398" s="346"/>
      <c r="IU398" s="253"/>
      <c r="IV398" s="345"/>
    </row>
    <row r="399" spans="1:256" x14ac:dyDescent="0.2">
      <c r="A399" s="345">
        <v>39660</v>
      </c>
      <c r="B399" s="1311">
        <v>-0.82</v>
      </c>
      <c r="C399" s="33">
        <v>184655363.5</v>
      </c>
      <c r="E399" s="253">
        <f>B399-Index_Returns!B399</f>
        <v>2.0620000000000083E-2</v>
      </c>
      <c r="F399" s="733"/>
      <c r="G399" s="728"/>
      <c r="H399" s="346"/>
      <c r="J399" s="253"/>
      <c r="K399" s="345"/>
      <c r="L399" s="253"/>
      <c r="M399" s="346"/>
      <c r="O399" s="253"/>
      <c r="P399" s="345"/>
      <c r="Q399" s="253"/>
      <c r="R399" s="346"/>
      <c r="T399" s="253"/>
      <c r="U399" s="345"/>
      <c r="V399" s="253"/>
      <c r="W399" s="346"/>
      <c r="Y399" s="253"/>
      <c r="Z399" s="345"/>
      <c r="AA399" s="253"/>
      <c r="AB399" s="346"/>
      <c r="AD399" s="253"/>
      <c r="AE399" s="345"/>
      <c r="AF399" s="253"/>
      <c r="AG399" s="346"/>
      <c r="AI399" s="253"/>
      <c r="AJ399" s="345"/>
      <c r="AK399" s="253"/>
      <c r="AL399" s="346"/>
      <c r="AN399" s="253"/>
      <c r="AO399" s="345"/>
      <c r="AP399" s="253"/>
      <c r="AQ399" s="346"/>
      <c r="AS399" s="253"/>
      <c r="AT399" s="345"/>
      <c r="AU399" s="253"/>
      <c r="AV399" s="346"/>
      <c r="AX399" s="253"/>
      <c r="AY399" s="345"/>
      <c r="AZ399" s="253"/>
      <c r="BA399" s="346"/>
      <c r="BC399" s="253"/>
      <c r="BD399" s="345"/>
      <c r="BE399" s="253"/>
      <c r="BF399" s="346"/>
      <c r="BH399" s="253"/>
      <c r="BI399" s="345"/>
      <c r="BJ399" s="253"/>
      <c r="BK399" s="346"/>
      <c r="BM399" s="253"/>
      <c r="BN399" s="345"/>
      <c r="BO399" s="253"/>
      <c r="BP399" s="346"/>
      <c r="BR399" s="253"/>
      <c r="BS399" s="345"/>
      <c r="BT399" s="253"/>
      <c r="BU399" s="346"/>
      <c r="BW399" s="253"/>
      <c r="BX399" s="345"/>
      <c r="BY399" s="253"/>
      <c r="BZ399" s="346"/>
      <c r="CB399" s="253"/>
      <c r="CC399" s="345"/>
      <c r="CD399" s="253"/>
      <c r="CE399" s="346"/>
      <c r="CG399" s="253"/>
      <c r="CH399" s="345"/>
      <c r="CI399" s="253"/>
      <c r="CJ399" s="346"/>
      <c r="CL399" s="253"/>
      <c r="CM399" s="345"/>
      <c r="CN399" s="253"/>
      <c r="CO399" s="346"/>
      <c r="CQ399" s="253"/>
      <c r="CR399" s="345"/>
      <c r="CS399" s="253"/>
      <c r="CT399" s="346"/>
      <c r="CV399" s="253"/>
      <c r="CW399" s="345"/>
      <c r="CX399" s="253"/>
      <c r="CY399" s="346"/>
      <c r="DA399" s="253"/>
      <c r="DB399" s="345"/>
      <c r="DC399" s="253"/>
      <c r="DD399" s="346"/>
      <c r="DF399" s="253"/>
      <c r="DG399" s="345"/>
      <c r="DH399" s="253"/>
      <c r="DI399" s="346"/>
      <c r="DK399" s="253"/>
      <c r="DL399" s="345"/>
      <c r="DM399" s="253"/>
      <c r="DN399" s="346"/>
      <c r="DP399" s="253"/>
      <c r="DQ399" s="345"/>
      <c r="DR399" s="253"/>
      <c r="DS399" s="346"/>
      <c r="DU399" s="253"/>
      <c r="DV399" s="345"/>
      <c r="DW399" s="253"/>
      <c r="DX399" s="346"/>
      <c r="DZ399" s="253"/>
      <c r="EA399" s="345"/>
      <c r="EB399" s="253"/>
      <c r="EC399" s="346"/>
      <c r="EE399" s="253"/>
      <c r="EF399" s="345"/>
      <c r="EG399" s="253"/>
      <c r="EH399" s="346"/>
      <c r="EJ399" s="253"/>
      <c r="EK399" s="345"/>
      <c r="EL399" s="253"/>
      <c r="EM399" s="346"/>
      <c r="EO399" s="253"/>
      <c r="EP399" s="345"/>
      <c r="EQ399" s="253"/>
      <c r="ER399" s="346"/>
      <c r="ET399" s="253"/>
      <c r="EU399" s="345"/>
      <c r="EV399" s="253"/>
      <c r="EW399" s="346"/>
      <c r="EY399" s="253"/>
      <c r="EZ399" s="345"/>
      <c r="FA399" s="253"/>
      <c r="FB399" s="346"/>
      <c r="FD399" s="253"/>
      <c r="FE399" s="345"/>
      <c r="FF399" s="253"/>
      <c r="FG399" s="346"/>
      <c r="FI399" s="253"/>
      <c r="FJ399" s="345"/>
      <c r="FK399" s="253"/>
      <c r="FL399" s="346"/>
      <c r="FN399" s="253"/>
      <c r="FO399" s="345"/>
      <c r="FP399" s="253"/>
      <c r="FQ399" s="346"/>
      <c r="FS399" s="253"/>
      <c r="FT399" s="345"/>
      <c r="FU399" s="253"/>
      <c r="FV399" s="346"/>
      <c r="FX399" s="253"/>
      <c r="FY399" s="345"/>
      <c r="FZ399" s="253"/>
      <c r="GA399" s="346"/>
      <c r="GC399" s="253"/>
      <c r="GD399" s="345"/>
      <c r="GE399" s="253"/>
      <c r="GF399" s="346"/>
      <c r="GH399" s="253"/>
      <c r="GI399" s="345"/>
      <c r="GJ399" s="253"/>
      <c r="GK399" s="346"/>
      <c r="GM399" s="253"/>
      <c r="GN399" s="345"/>
      <c r="GO399" s="253"/>
      <c r="GP399" s="346"/>
      <c r="GR399" s="253"/>
      <c r="GS399" s="345"/>
      <c r="GT399" s="253"/>
      <c r="GU399" s="346"/>
      <c r="GW399" s="253"/>
      <c r="GX399" s="345"/>
      <c r="GY399" s="253"/>
      <c r="GZ399" s="346"/>
      <c r="HB399" s="253"/>
      <c r="HC399" s="345"/>
      <c r="HD399" s="253"/>
      <c r="HE399" s="346"/>
      <c r="HG399" s="253"/>
      <c r="HH399" s="345"/>
      <c r="HI399" s="253"/>
      <c r="HJ399" s="346"/>
      <c r="HL399" s="253"/>
      <c r="HM399" s="345"/>
      <c r="HN399" s="253"/>
      <c r="HO399" s="346"/>
      <c r="HQ399" s="253"/>
      <c r="HR399" s="345"/>
      <c r="HS399" s="253"/>
      <c r="HT399" s="346"/>
      <c r="HV399" s="253"/>
      <c r="HW399" s="345"/>
      <c r="HX399" s="253"/>
      <c r="HY399" s="346"/>
      <c r="IA399" s="253"/>
      <c r="IB399" s="345"/>
      <c r="IC399" s="253"/>
      <c r="ID399" s="346"/>
      <c r="IF399" s="253"/>
      <c r="IG399" s="345"/>
      <c r="IH399" s="253"/>
      <c r="II399" s="346"/>
      <c r="IK399" s="253"/>
      <c r="IL399" s="345"/>
      <c r="IM399" s="253"/>
      <c r="IN399" s="346"/>
      <c r="IP399" s="253"/>
      <c r="IQ399" s="345"/>
      <c r="IR399" s="253"/>
      <c r="IS399" s="346"/>
      <c r="IU399" s="253"/>
      <c r="IV399" s="345"/>
    </row>
    <row r="400" spans="1:256" x14ac:dyDescent="0.2">
      <c r="A400" s="345">
        <v>39691</v>
      </c>
      <c r="B400" s="1311">
        <v>1.55</v>
      </c>
      <c r="C400" s="33">
        <v>187513068.93000001</v>
      </c>
      <c r="E400" s="253">
        <f>B400-Index_Returns!B400</f>
        <v>0.10350999999999999</v>
      </c>
      <c r="F400" s="733"/>
      <c r="G400" s="728"/>
      <c r="H400" s="346"/>
      <c r="J400" s="253"/>
      <c r="K400" s="345"/>
      <c r="L400" s="253"/>
      <c r="M400" s="346"/>
      <c r="O400" s="253"/>
      <c r="P400" s="345"/>
      <c r="Q400" s="253"/>
      <c r="R400" s="346"/>
      <c r="T400" s="253"/>
      <c r="U400" s="345"/>
      <c r="V400" s="253"/>
      <c r="W400" s="346"/>
      <c r="Y400" s="253"/>
      <c r="Z400" s="345"/>
      <c r="AA400" s="253"/>
      <c r="AB400" s="346"/>
      <c r="AD400" s="253"/>
      <c r="AE400" s="345"/>
      <c r="AF400" s="253"/>
      <c r="AG400" s="346"/>
      <c r="AI400" s="253"/>
      <c r="AJ400" s="345"/>
      <c r="AK400" s="253"/>
      <c r="AL400" s="346"/>
      <c r="AN400" s="253"/>
      <c r="AO400" s="345"/>
      <c r="AP400" s="253"/>
      <c r="AQ400" s="346"/>
      <c r="AS400" s="253"/>
      <c r="AT400" s="345"/>
      <c r="AU400" s="253"/>
      <c r="AV400" s="346"/>
      <c r="AX400" s="253"/>
      <c r="AY400" s="345"/>
      <c r="AZ400" s="253"/>
      <c r="BA400" s="346"/>
      <c r="BC400" s="253"/>
      <c r="BD400" s="345"/>
      <c r="BE400" s="253"/>
      <c r="BF400" s="346"/>
      <c r="BH400" s="253"/>
      <c r="BI400" s="345"/>
      <c r="BJ400" s="253"/>
      <c r="BK400" s="346"/>
      <c r="BM400" s="253"/>
      <c r="BN400" s="345"/>
      <c r="BO400" s="253"/>
      <c r="BP400" s="346"/>
      <c r="BR400" s="253"/>
      <c r="BS400" s="345"/>
      <c r="BT400" s="253"/>
      <c r="BU400" s="346"/>
      <c r="BW400" s="253"/>
      <c r="BX400" s="345"/>
      <c r="BY400" s="253"/>
      <c r="BZ400" s="346"/>
      <c r="CB400" s="253"/>
      <c r="CC400" s="345"/>
      <c r="CD400" s="253"/>
      <c r="CE400" s="346"/>
      <c r="CG400" s="253"/>
      <c r="CH400" s="345"/>
      <c r="CI400" s="253"/>
      <c r="CJ400" s="346"/>
      <c r="CL400" s="253"/>
      <c r="CM400" s="345"/>
      <c r="CN400" s="253"/>
      <c r="CO400" s="346"/>
      <c r="CQ400" s="253"/>
      <c r="CR400" s="345"/>
      <c r="CS400" s="253"/>
      <c r="CT400" s="346"/>
      <c r="CV400" s="253"/>
      <c r="CW400" s="345"/>
      <c r="CX400" s="253"/>
      <c r="CY400" s="346"/>
      <c r="DA400" s="253"/>
      <c r="DB400" s="345"/>
      <c r="DC400" s="253"/>
      <c r="DD400" s="346"/>
      <c r="DF400" s="253"/>
      <c r="DG400" s="345"/>
      <c r="DH400" s="253"/>
      <c r="DI400" s="346"/>
      <c r="DK400" s="253"/>
      <c r="DL400" s="345"/>
      <c r="DM400" s="253"/>
      <c r="DN400" s="346"/>
      <c r="DP400" s="253"/>
      <c r="DQ400" s="345"/>
      <c r="DR400" s="253"/>
      <c r="DS400" s="346"/>
      <c r="DU400" s="253"/>
      <c r="DV400" s="345"/>
      <c r="DW400" s="253"/>
      <c r="DX400" s="346"/>
      <c r="DZ400" s="253"/>
      <c r="EA400" s="345"/>
      <c r="EB400" s="253"/>
      <c r="EC400" s="346"/>
      <c r="EE400" s="253"/>
      <c r="EF400" s="345"/>
      <c r="EG400" s="253"/>
      <c r="EH400" s="346"/>
      <c r="EJ400" s="253"/>
      <c r="EK400" s="345"/>
      <c r="EL400" s="253"/>
      <c r="EM400" s="346"/>
      <c r="EO400" s="253"/>
      <c r="EP400" s="345"/>
      <c r="EQ400" s="253"/>
      <c r="ER400" s="346"/>
      <c r="ET400" s="253"/>
      <c r="EU400" s="345"/>
      <c r="EV400" s="253"/>
      <c r="EW400" s="346"/>
      <c r="EY400" s="253"/>
      <c r="EZ400" s="345"/>
      <c r="FA400" s="253"/>
      <c r="FB400" s="346"/>
      <c r="FD400" s="253"/>
      <c r="FE400" s="345"/>
      <c r="FF400" s="253"/>
      <c r="FG400" s="346"/>
      <c r="FI400" s="253"/>
      <c r="FJ400" s="345"/>
      <c r="FK400" s="253"/>
      <c r="FL400" s="346"/>
      <c r="FN400" s="253"/>
      <c r="FO400" s="345"/>
      <c r="FP400" s="253"/>
      <c r="FQ400" s="346"/>
      <c r="FS400" s="253"/>
      <c r="FT400" s="345"/>
      <c r="FU400" s="253"/>
      <c r="FV400" s="346"/>
      <c r="FX400" s="253"/>
      <c r="FY400" s="345"/>
      <c r="FZ400" s="253"/>
      <c r="GA400" s="346"/>
      <c r="GC400" s="253"/>
      <c r="GD400" s="345"/>
      <c r="GE400" s="253"/>
      <c r="GF400" s="346"/>
      <c r="GH400" s="253"/>
      <c r="GI400" s="345"/>
      <c r="GJ400" s="253"/>
      <c r="GK400" s="346"/>
      <c r="GM400" s="253"/>
      <c r="GN400" s="345"/>
      <c r="GO400" s="253"/>
      <c r="GP400" s="346"/>
      <c r="GR400" s="253"/>
      <c r="GS400" s="345"/>
      <c r="GT400" s="253"/>
      <c r="GU400" s="346"/>
      <c r="GW400" s="253"/>
      <c r="GX400" s="345"/>
      <c r="GY400" s="253"/>
      <c r="GZ400" s="346"/>
      <c r="HB400" s="253"/>
      <c r="HC400" s="345"/>
      <c r="HD400" s="253"/>
      <c r="HE400" s="346"/>
      <c r="HG400" s="253"/>
      <c r="HH400" s="345"/>
      <c r="HI400" s="253"/>
      <c r="HJ400" s="346"/>
      <c r="HL400" s="253"/>
      <c r="HM400" s="345"/>
      <c r="HN400" s="253"/>
      <c r="HO400" s="346"/>
      <c r="HQ400" s="253"/>
      <c r="HR400" s="345"/>
      <c r="HS400" s="253"/>
      <c r="HT400" s="346"/>
      <c r="HV400" s="253"/>
      <c r="HW400" s="345"/>
      <c r="HX400" s="253"/>
      <c r="HY400" s="346"/>
      <c r="IA400" s="253"/>
      <c r="IB400" s="345"/>
      <c r="IC400" s="253"/>
      <c r="ID400" s="346"/>
      <c r="IF400" s="253"/>
      <c r="IG400" s="345"/>
      <c r="IH400" s="253"/>
      <c r="II400" s="346"/>
      <c r="IK400" s="253"/>
      <c r="IL400" s="345"/>
      <c r="IM400" s="253"/>
      <c r="IN400" s="346"/>
      <c r="IP400" s="253"/>
      <c r="IQ400" s="345"/>
      <c r="IR400" s="253"/>
      <c r="IS400" s="346"/>
      <c r="IU400" s="253"/>
      <c r="IV400" s="345"/>
    </row>
    <row r="401" spans="1:256" x14ac:dyDescent="0.2">
      <c r="A401" s="345">
        <v>39721</v>
      </c>
      <c r="B401" s="1311">
        <v>-10.9</v>
      </c>
      <c r="C401" s="33">
        <v>167279153.78</v>
      </c>
      <c r="E401" s="253">
        <f>B401-Index_Returns!B401</f>
        <v>-1.9892500000000002</v>
      </c>
      <c r="F401" s="733"/>
      <c r="G401" s="728"/>
      <c r="H401" s="346"/>
      <c r="J401" s="253"/>
      <c r="K401" s="345"/>
      <c r="L401" s="253"/>
      <c r="M401" s="346"/>
      <c r="O401" s="253"/>
      <c r="P401" s="345"/>
      <c r="Q401" s="253"/>
      <c r="R401" s="346"/>
      <c r="T401" s="253"/>
      <c r="U401" s="345"/>
      <c r="V401" s="253"/>
      <c r="W401" s="346"/>
      <c r="Y401" s="253"/>
      <c r="Z401" s="345"/>
      <c r="AA401" s="253"/>
      <c r="AB401" s="346"/>
      <c r="AD401" s="253"/>
      <c r="AE401" s="345"/>
      <c r="AF401" s="253"/>
      <c r="AG401" s="346"/>
      <c r="AI401" s="253"/>
      <c r="AJ401" s="345"/>
      <c r="AK401" s="253"/>
      <c r="AL401" s="346"/>
      <c r="AN401" s="253"/>
      <c r="AO401" s="345"/>
      <c r="AP401" s="253"/>
      <c r="AQ401" s="346"/>
      <c r="AS401" s="253"/>
      <c r="AT401" s="345"/>
      <c r="AU401" s="253"/>
      <c r="AV401" s="346"/>
      <c r="AX401" s="253"/>
      <c r="AY401" s="345"/>
      <c r="AZ401" s="253"/>
      <c r="BA401" s="346"/>
      <c r="BC401" s="253"/>
      <c r="BD401" s="345"/>
      <c r="BE401" s="253"/>
      <c r="BF401" s="346"/>
      <c r="BH401" s="253"/>
      <c r="BI401" s="345"/>
      <c r="BJ401" s="253"/>
      <c r="BK401" s="346"/>
      <c r="BM401" s="253"/>
      <c r="BN401" s="345"/>
      <c r="BO401" s="253"/>
      <c r="BP401" s="346"/>
      <c r="BR401" s="253"/>
      <c r="BS401" s="345"/>
      <c r="BT401" s="253"/>
      <c r="BU401" s="346"/>
      <c r="BW401" s="253"/>
      <c r="BX401" s="345"/>
      <c r="BY401" s="253"/>
      <c r="BZ401" s="346"/>
      <c r="CB401" s="253"/>
      <c r="CC401" s="345"/>
      <c r="CD401" s="253"/>
      <c r="CE401" s="346"/>
      <c r="CG401" s="253"/>
      <c r="CH401" s="345"/>
      <c r="CI401" s="253"/>
      <c r="CJ401" s="346"/>
      <c r="CL401" s="253"/>
      <c r="CM401" s="345"/>
      <c r="CN401" s="253"/>
      <c r="CO401" s="346"/>
      <c r="CQ401" s="253"/>
      <c r="CR401" s="345"/>
      <c r="CS401" s="253"/>
      <c r="CT401" s="346"/>
      <c r="CV401" s="253"/>
      <c r="CW401" s="345"/>
      <c r="CX401" s="253"/>
      <c r="CY401" s="346"/>
      <c r="DA401" s="253"/>
      <c r="DB401" s="345"/>
      <c r="DC401" s="253"/>
      <c r="DD401" s="346"/>
      <c r="DF401" s="253"/>
      <c r="DG401" s="345"/>
      <c r="DH401" s="253"/>
      <c r="DI401" s="346"/>
      <c r="DK401" s="253"/>
      <c r="DL401" s="345"/>
      <c r="DM401" s="253"/>
      <c r="DN401" s="346"/>
      <c r="DP401" s="253"/>
      <c r="DQ401" s="345"/>
      <c r="DR401" s="253"/>
      <c r="DS401" s="346"/>
      <c r="DU401" s="253"/>
      <c r="DV401" s="345"/>
      <c r="DW401" s="253"/>
      <c r="DX401" s="346"/>
      <c r="DZ401" s="253"/>
      <c r="EA401" s="345"/>
      <c r="EB401" s="253"/>
      <c r="EC401" s="346"/>
      <c r="EE401" s="253"/>
      <c r="EF401" s="345"/>
      <c r="EG401" s="253"/>
      <c r="EH401" s="346"/>
      <c r="EJ401" s="253"/>
      <c r="EK401" s="345"/>
      <c r="EL401" s="253"/>
      <c r="EM401" s="346"/>
      <c r="EO401" s="253"/>
      <c r="EP401" s="345"/>
      <c r="EQ401" s="253"/>
      <c r="ER401" s="346"/>
      <c r="ET401" s="253"/>
      <c r="EU401" s="345"/>
      <c r="EV401" s="253"/>
      <c r="EW401" s="346"/>
      <c r="EY401" s="253"/>
      <c r="EZ401" s="345"/>
      <c r="FA401" s="253"/>
      <c r="FB401" s="346"/>
      <c r="FD401" s="253"/>
      <c r="FE401" s="345"/>
      <c r="FF401" s="253"/>
      <c r="FG401" s="346"/>
      <c r="FI401" s="253"/>
      <c r="FJ401" s="345"/>
      <c r="FK401" s="253"/>
      <c r="FL401" s="346"/>
      <c r="FN401" s="253"/>
      <c r="FO401" s="345"/>
      <c r="FP401" s="253"/>
      <c r="FQ401" s="346"/>
      <c r="FS401" s="253"/>
      <c r="FT401" s="345"/>
      <c r="FU401" s="253"/>
      <c r="FV401" s="346"/>
      <c r="FX401" s="253"/>
      <c r="FY401" s="345"/>
      <c r="FZ401" s="253"/>
      <c r="GA401" s="346"/>
      <c r="GC401" s="253"/>
      <c r="GD401" s="345"/>
      <c r="GE401" s="253"/>
      <c r="GF401" s="346"/>
      <c r="GH401" s="253"/>
      <c r="GI401" s="345"/>
      <c r="GJ401" s="253"/>
      <c r="GK401" s="346"/>
      <c r="GM401" s="253"/>
      <c r="GN401" s="345"/>
      <c r="GO401" s="253"/>
      <c r="GP401" s="346"/>
      <c r="GR401" s="253"/>
      <c r="GS401" s="345"/>
      <c r="GT401" s="253"/>
      <c r="GU401" s="346"/>
      <c r="GW401" s="253"/>
      <c r="GX401" s="345"/>
      <c r="GY401" s="253"/>
      <c r="GZ401" s="346"/>
      <c r="HB401" s="253"/>
      <c r="HC401" s="345"/>
      <c r="HD401" s="253"/>
      <c r="HE401" s="346"/>
      <c r="HG401" s="253"/>
      <c r="HH401" s="345"/>
      <c r="HI401" s="253"/>
      <c r="HJ401" s="346"/>
      <c r="HL401" s="253"/>
      <c r="HM401" s="345"/>
      <c r="HN401" s="253"/>
      <c r="HO401" s="346"/>
      <c r="HQ401" s="253"/>
      <c r="HR401" s="345"/>
      <c r="HS401" s="253"/>
      <c r="HT401" s="346"/>
      <c r="HV401" s="253"/>
      <c r="HW401" s="345"/>
      <c r="HX401" s="253"/>
      <c r="HY401" s="346"/>
      <c r="IA401" s="253"/>
      <c r="IB401" s="345"/>
      <c r="IC401" s="253"/>
      <c r="ID401" s="346"/>
      <c r="IF401" s="253"/>
      <c r="IG401" s="345"/>
      <c r="IH401" s="253"/>
      <c r="II401" s="346"/>
      <c r="IK401" s="253"/>
      <c r="IL401" s="345"/>
      <c r="IM401" s="253"/>
      <c r="IN401" s="346"/>
      <c r="IP401" s="253"/>
      <c r="IQ401" s="345"/>
      <c r="IR401" s="253"/>
      <c r="IS401" s="346"/>
      <c r="IU401" s="253"/>
      <c r="IV401" s="345"/>
    </row>
    <row r="402" spans="1:256" x14ac:dyDescent="0.2">
      <c r="A402" s="345">
        <v>39752</v>
      </c>
      <c r="B402" s="1311">
        <v>-20.93</v>
      </c>
      <c r="C402" s="346">
        <v>132263843</v>
      </c>
      <c r="E402" s="253">
        <f>B402-Index_Returns!B402</f>
        <v>-4.1352399999999996</v>
      </c>
      <c r="F402" s="733"/>
      <c r="G402" s="728"/>
      <c r="H402" s="346"/>
      <c r="J402" s="253"/>
      <c r="K402" s="345"/>
      <c r="L402" s="253"/>
      <c r="M402" s="346"/>
      <c r="O402" s="253"/>
      <c r="P402" s="345"/>
      <c r="Q402" s="253"/>
      <c r="R402" s="346"/>
      <c r="T402" s="253"/>
      <c r="U402" s="345"/>
      <c r="V402" s="253"/>
      <c r="W402" s="346"/>
      <c r="Y402" s="253"/>
      <c r="Z402" s="345"/>
      <c r="AA402" s="253"/>
      <c r="AB402" s="346"/>
      <c r="AD402" s="253"/>
      <c r="AE402" s="345"/>
      <c r="AF402" s="253"/>
      <c r="AG402" s="346"/>
      <c r="AI402" s="253"/>
      <c r="AJ402" s="345"/>
      <c r="AK402" s="253"/>
      <c r="AL402" s="346"/>
      <c r="AN402" s="253"/>
      <c r="AO402" s="345"/>
      <c r="AP402" s="253"/>
      <c r="AQ402" s="346"/>
      <c r="AS402" s="253"/>
      <c r="AT402" s="345"/>
      <c r="AU402" s="253"/>
      <c r="AV402" s="346"/>
      <c r="AX402" s="253"/>
      <c r="AY402" s="345"/>
      <c r="AZ402" s="253"/>
      <c r="BA402" s="346"/>
      <c r="BC402" s="253"/>
      <c r="BD402" s="345"/>
      <c r="BE402" s="253"/>
      <c r="BF402" s="346"/>
      <c r="BH402" s="253"/>
      <c r="BI402" s="345"/>
      <c r="BJ402" s="253"/>
      <c r="BK402" s="346"/>
      <c r="BM402" s="253"/>
      <c r="BN402" s="345"/>
      <c r="BO402" s="253"/>
      <c r="BP402" s="346"/>
      <c r="BR402" s="253"/>
      <c r="BS402" s="345"/>
      <c r="BT402" s="253"/>
      <c r="BU402" s="346"/>
      <c r="BW402" s="253"/>
      <c r="BX402" s="345"/>
      <c r="BY402" s="253"/>
      <c r="BZ402" s="346"/>
      <c r="CB402" s="253"/>
      <c r="CC402" s="345"/>
      <c r="CD402" s="253"/>
      <c r="CE402" s="346"/>
      <c r="CG402" s="253"/>
      <c r="CH402" s="345"/>
      <c r="CI402" s="253"/>
      <c r="CJ402" s="346"/>
      <c r="CL402" s="253"/>
      <c r="CM402" s="345"/>
      <c r="CN402" s="253"/>
      <c r="CO402" s="346"/>
      <c r="CQ402" s="253"/>
      <c r="CR402" s="345"/>
      <c r="CS402" s="253"/>
      <c r="CT402" s="346"/>
      <c r="CV402" s="253"/>
      <c r="CW402" s="345"/>
      <c r="CX402" s="253"/>
      <c r="CY402" s="346"/>
      <c r="DA402" s="253"/>
      <c r="DB402" s="345"/>
      <c r="DC402" s="253"/>
      <c r="DD402" s="346"/>
      <c r="DF402" s="253"/>
      <c r="DG402" s="345"/>
      <c r="DH402" s="253"/>
      <c r="DI402" s="346"/>
      <c r="DK402" s="253"/>
      <c r="DL402" s="345"/>
      <c r="DM402" s="253"/>
      <c r="DN402" s="346"/>
      <c r="DP402" s="253"/>
      <c r="DQ402" s="345"/>
      <c r="DR402" s="253"/>
      <c r="DS402" s="346"/>
      <c r="DU402" s="253"/>
      <c r="DV402" s="345"/>
      <c r="DW402" s="253"/>
      <c r="DX402" s="346"/>
      <c r="DZ402" s="253"/>
      <c r="EA402" s="345"/>
      <c r="EB402" s="253"/>
      <c r="EC402" s="346"/>
      <c r="EE402" s="253"/>
      <c r="EF402" s="345"/>
      <c r="EG402" s="253"/>
      <c r="EH402" s="346"/>
      <c r="EJ402" s="253"/>
      <c r="EK402" s="345"/>
      <c r="EL402" s="253"/>
      <c r="EM402" s="346"/>
      <c r="EO402" s="253"/>
      <c r="EP402" s="345"/>
      <c r="EQ402" s="253"/>
      <c r="ER402" s="346"/>
      <c r="ET402" s="253"/>
      <c r="EU402" s="345"/>
      <c r="EV402" s="253"/>
      <c r="EW402" s="346"/>
      <c r="EY402" s="253"/>
      <c r="EZ402" s="345"/>
      <c r="FA402" s="253"/>
      <c r="FB402" s="346"/>
      <c r="FD402" s="253"/>
      <c r="FE402" s="345"/>
      <c r="FF402" s="253"/>
      <c r="FG402" s="346"/>
      <c r="FI402" s="253"/>
      <c r="FJ402" s="345"/>
      <c r="FK402" s="253"/>
      <c r="FL402" s="346"/>
      <c r="FN402" s="253"/>
      <c r="FO402" s="345"/>
      <c r="FP402" s="253"/>
      <c r="FQ402" s="346"/>
      <c r="FS402" s="253"/>
      <c r="FT402" s="345"/>
      <c r="FU402" s="253"/>
      <c r="FV402" s="346"/>
      <c r="FX402" s="253"/>
      <c r="FY402" s="345"/>
      <c r="FZ402" s="253"/>
      <c r="GA402" s="346"/>
      <c r="GC402" s="253"/>
      <c r="GD402" s="345"/>
      <c r="GE402" s="253"/>
      <c r="GF402" s="346"/>
      <c r="GH402" s="253"/>
      <c r="GI402" s="345"/>
      <c r="GJ402" s="253"/>
      <c r="GK402" s="346"/>
      <c r="GM402" s="253"/>
      <c r="GN402" s="345"/>
      <c r="GO402" s="253"/>
      <c r="GP402" s="346"/>
      <c r="GR402" s="253"/>
      <c r="GS402" s="345"/>
      <c r="GT402" s="253"/>
      <c r="GU402" s="346"/>
      <c r="GW402" s="253"/>
      <c r="GX402" s="345"/>
      <c r="GY402" s="253"/>
      <c r="GZ402" s="346"/>
      <c r="HB402" s="253"/>
      <c r="HC402" s="345"/>
      <c r="HD402" s="253"/>
      <c r="HE402" s="346"/>
      <c r="HG402" s="253"/>
      <c r="HH402" s="345"/>
      <c r="HI402" s="253"/>
      <c r="HJ402" s="346"/>
      <c r="HL402" s="253"/>
      <c r="HM402" s="345"/>
      <c r="HN402" s="253"/>
      <c r="HO402" s="346"/>
      <c r="HQ402" s="253"/>
      <c r="HR402" s="345"/>
      <c r="HS402" s="253"/>
      <c r="HT402" s="346"/>
      <c r="HV402" s="253"/>
      <c r="HW402" s="345"/>
      <c r="HX402" s="253"/>
      <c r="HY402" s="346"/>
      <c r="IA402" s="253"/>
      <c r="IB402" s="345"/>
      <c r="IC402" s="253"/>
      <c r="ID402" s="346"/>
      <c r="IF402" s="253"/>
      <c r="IG402" s="345"/>
      <c r="IH402" s="253"/>
      <c r="II402" s="346"/>
      <c r="IK402" s="253"/>
      <c r="IL402" s="345"/>
      <c r="IM402" s="253"/>
      <c r="IN402" s="346"/>
      <c r="IP402" s="253"/>
      <c r="IQ402" s="345"/>
      <c r="IR402" s="253"/>
      <c r="IS402" s="346"/>
      <c r="IU402" s="253"/>
      <c r="IV402" s="345"/>
    </row>
    <row r="403" spans="1:256" x14ac:dyDescent="0.2">
      <c r="A403" s="345">
        <v>39782</v>
      </c>
      <c r="B403" s="1311">
        <v>-9.23</v>
      </c>
      <c r="C403" s="346">
        <v>120057671</v>
      </c>
      <c r="E403" s="253">
        <f>B403-Index_Returns!B403</f>
        <v>-2.0545100000000005</v>
      </c>
      <c r="F403" s="733"/>
      <c r="G403" s="728"/>
      <c r="H403" s="346"/>
      <c r="J403" s="253"/>
      <c r="K403" s="345"/>
      <c r="L403" s="253"/>
      <c r="M403" s="346"/>
      <c r="O403" s="253"/>
      <c r="P403" s="345"/>
      <c r="Q403" s="253"/>
      <c r="R403" s="346"/>
      <c r="T403" s="253"/>
      <c r="U403" s="345"/>
      <c r="V403" s="253"/>
      <c r="W403" s="346"/>
      <c r="Y403" s="253"/>
      <c r="Z403" s="345"/>
      <c r="AA403" s="253"/>
      <c r="AB403" s="346"/>
      <c r="AD403" s="253"/>
      <c r="AE403" s="345"/>
      <c r="AF403" s="253"/>
      <c r="AG403" s="346"/>
      <c r="AI403" s="253"/>
      <c r="AJ403" s="345"/>
      <c r="AK403" s="253"/>
      <c r="AL403" s="346"/>
      <c r="AN403" s="253"/>
      <c r="AO403" s="345"/>
      <c r="AP403" s="253"/>
      <c r="AQ403" s="346"/>
      <c r="AS403" s="253"/>
      <c r="AT403" s="345"/>
      <c r="AU403" s="253"/>
      <c r="AV403" s="346"/>
      <c r="AX403" s="253"/>
      <c r="AY403" s="345"/>
      <c r="AZ403" s="253"/>
      <c r="BA403" s="346"/>
      <c r="BC403" s="253"/>
      <c r="BD403" s="345"/>
      <c r="BE403" s="253"/>
      <c r="BF403" s="346"/>
      <c r="BH403" s="253"/>
      <c r="BI403" s="345"/>
      <c r="BJ403" s="253"/>
      <c r="BK403" s="346"/>
      <c r="BM403" s="253"/>
      <c r="BN403" s="345"/>
      <c r="BO403" s="253"/>
      <c r="BP403" s="346"/>
      <c r="BR403" s="253"/>
      <c r="BS403" s="345"/>
      <c r="BT403" s="253"/>
      <c r="BU403" s="346"/>
      <c r="BW403" s="253"/>
      <c r="BX403" s="345"/>
      <c r="BY403" s="253"/>
      <c r="BZ403" s="346"/>
      <c r="CB403" s="253"/>
      <c r="CC403" s="345"/>
      <c r="CD403" s="253"/>
      <c r="CE403" s="346"/>
      <c r="CG403" s="253"/>
      <c r="CH403" s="345"/>
      <c r="CI403" s="253"/>
      <c r="CJ403" s="346"/>
      <c r="CL403" s="253"/>
      <c r="CM403" s="345"/>
      <c r="CN403" s="253"/>
      <c r="CO403" s="346"/>
      <c r="CQ403" s="253"/>
      <c r="CR403" s="345"/>
      <c r="CS403" s="253"/>
      <c r="CT403" s="346"/>
      <c r="CV403" s="253"/>
      <c r="CW403" s="345"/>
      <c r="CX403" s="253"/>
      <c r="CY403" s="346"/>
      <c r="DA403" s="253"/>
      <c r="DB403" s="345"/>
      <c r="DC403" s="253"/>
      <c r="DD403" s="346"/>
      <c r="DF403" s="253"/>
      <c r="DG403" s="345"/>
      <c r="DH403" s="253"/>
      <c r="DI403" s="346"/>
      <c r="DK403" s="253"/>
      <c r="DL403" s="345"/>
      <c r="DM403" s="253"/>
      <c r="DN403" s="346"/>
      <c r="DP403" s="253"/>
      <c r="DQ403" s="345"/>
      <c r="DR403" s="253"/>
      <c r="DS403" s="346"/>
      <c r="DU403" s="253"/>
      <c r="DV403" s="345"/>
      <c r="DW403" s="253"/>
      <c r="DX403" s="346"/>
      <c r="DZ403" s="253"/>
      <c r="EA403" s="345"/>
      <c r="EB403" s="253"/>
      <c r="EC403" s="346"/>
      <c r="EE403" s="253"/>
      <c r="EF403" s="345"/>
      <c r="EG403" s="253"/>
      <c r="EH403" s="346"/>
      <c r="EJ403" s="253"/>
      <c r="EK403" s="345"/>
      <c r="EL403" s="253"/>
      <c r="EM403" s="346"/>
      <c r="EO403" s="253"/>
      <c r="EP403" s="345"/>
      <c r="EQ403" s="253"/>
      <c r="ER403" s="346"/>
      <c r="ET403" s="253"/>
      <c r="EU403" s="345"/>
      <c r="EV403" s="253"/>
      <c r="EW403" s="346"/>
      <c r="EY403" s="253"/>
      <c r="EZ403" s="345"/>
      <c r="FA403" s="253"/>
      <c r="FB403" s="346"/>
      <c r="FD403" s="253"/>
      <c r="FE403" s="345"/>
      <c r="FF403" s="253"/>
      <c r="FG403" s="346"/>
      <c r="FI403" s="253"/>
      <c r="FJ403" s="345"/>
      <c r="FK403" s="253"/>
      <c r="FL403" s="346"/>
      <c r="FN403" s="253"/>
      <c r="FO403" s="345"/>
      <c r="FP403" s="253"/>
      <c r="FQ403" s="346"/>
      <c r="FS403" s="253"/>
      <c r="FT403" s="345"/>
      <c r="FU403" s="253"/>
      <c r="FV403" s="346"/>
      <c r="FX403" s="253"/>
      <c r="FY403" s="345"/>
      <c r="FZ403" s="253"/>
      <c r="GA403" s="346"/>
      <c r="GC403" s="253"/>
      <c r="GD403" s="345"/>
      <c r="GE403" s="253"/>
      <c r="GF403" s="346"/>
      <c r="GH403" s="253"/>
      <c r="GI403" s="345"/>
      <c r="GJ403" s="253"/>
      <c r="GK403" s="346"/>
      <c r="GM403" s="253"/>
      <c r="GN403" s="345"/>
      <c r="GO403" s="253"/>
      <c r="GP403" s="346"/>
      <c r="GR403" s="253"/>
      <c r="GS403" s="345"/>
      <c r="GT403" s="253"/>
      <c r="GU403" s="346"/>
      <c r="GW403" s="253"/>
      <c r="GX403" s="345"/>
      <c r="GY403" s="253"/>
      <c r="GZ403" s="346"/>
      <c r="HB403" s="253"/>
      <c r="HC403" s="345"/>
      <c r="HD403" s="253"/>
      <c r="HE403" s="346"/>
      <c r="HG403" s="253"/>
      <c r="HH403" s="345"/>
      <c r="HI403" s="253"/>
      <c r="HJ403" s="346"/>
      <c r="HL403" s="253"/>
      <c r="HM403" s="345"/>
      <c r="HN403" s="253"/>
      <c r="HO403" s="346"/>
      <c r="HQ403" s="253"/>
      <c r="HR403" s="345"/>
      <c r="HS403" s="253"/>
      <c r="HT403" s="346"/>
      <c r="HV403" s="253"/>
      <c r="HW403" s="345"/>
      <c r="HX403" s="253"/>
      <c r="HY403" s="346"/>
      <c r="IA403" s="253"/>
      <c r="IB403" s="345"/>
      <c r="IC403" s="253"/>
      <c r="ID403" s="346"/>
      <c r="IF403" s="253"/>
      <c r="IG403" s="345"/>
      <c r="IH403" s="253"/>
      <c r="II403" s="346"/>
      <c r="IK403" s="253"/>
      <c r="IL403" s="345"/>
      <c r="IM403" s="253"/>
      <c r="IN403" s="346"/>
      <c r="IP403" s="253"/>
      <c r="IQ403" s="345"/>
      <c r="IR403" s="253"/>
      <c r="IS403" s="346"/>
      <c r="IU403" s="253"/>
      <c r="IV403" s="345"/>
    </row>
    <row r="404" spans="1:256" x14ac:dyDescent="0.2">
      <c r="A404" s="345">
        <v>39813</v>
      </c>
      <c r="B404" s="1311">
        <v>6.96</v>
      </c>
      <c r="C404" s="346">
        <v>128598824</v>
      </c>
      <c r="E404" s="253">
        <f>B404-Index_Returns!B404</f>
        <v>5.8959900000000003</v>
      </c>
      <c r="F404" s="733"/>
      <c r="G404" s="728"/>
      <c r="H404" s="346"/>
      <c r="J404" s="253"/>
      <c r="K404" s="345"/>
      <c r="L404" s="253"/>
      <c r="M404" s="346"/>
      <c r="O404" s="253"/>
      <c r="P404" s="345"/>
      <c r="Q404" s="253"/>
      <c r="R404" s="346"/>
      <c r="T404" s="253"/>
      <c r="U404" s="345"/>
      <c r="V404" s="253"/>
      <c r="W404" s="346"/>
      <c r="Y404" s="253"/>
      <c r="Z404" s="345"/>
      <c r="AA404" s="253"/>
      <c r="AB404" s="346"/>
      <c r="AD404" s="253"/>
      <c r="AE404" s="345"/>
      <c r="AF404" s="253"/>
      <c r="AG404" s="346"/>
      <c r="AI404" s="253"/>
      <c r="AJ404" s="345"/>
      <c r="AK404" s="253"/>
      <c r="AL404" s="346"/>
      <c r="AN404" s="253"/>
      <c r="AO404" s="345"/>
      <c r="AP404" s="253"/>
      <c r="AQ404" s="346"/>
      <c r="AS404" s="253"/>
      <c r="AT404" s="345"/>
      <c r="AU404" s="253"/>
      <c r="AV404" s="346"/>
      <c r="AX404" s="253"/>
      <c r="AY404" s="345"/>
      <c r="AZ404" s="253"/>
      <c r="BA404" s="346"/>
      <c r="BC404" s="253"/>
      <c r="BD404" s="345"/>
      <c r="BE404" s="253"/>
      <c r="BF404" s="346"/>
      <c r="BH404" s="253"/>
      <c r="BI404" s="345"/>
      <c r="BJ404" s="253"/>
      <c r="BK404" s="346"/>
      <c r="BM404" s="253"/>
      <c r="BN404" s="345"/>
      <c r="BO404" s="253"/>
      <c r="BP404" s="346"/>
      <c r="BR404" s="253"/>
      <c r="BS404" s="345"/>
      <c r="BT404" s="253"/>
      <c r="BU404" s="346"/>
      <c r="BW404" s="253"/>
      <c r="BX404" s="345"/>
      <c r="BY404" s="253"/>
      <c r="BZ404" s="346"/>
      <c r="CB404" s="253"/>
      <c r="CC404" s="345"/>
      <c r="CD404" s="253"/>
      <c r="CE404" s="346"/>
      <c r="CG404" s="253"/>
      <c r="CH404" s="345"/>
      <c r="CI404" s="253"/>
      <c r="CJ404" s="346"/>
      <c r="CL404" s="253"/>
      <c r="CM404" s="345"/>
      <c r="CN404" s="253"/>
      <c r="CO404" s="346"/>
      <c r="CQ404" s="253"/>
      <c r="CR404" s="345"/>
      <c r="CS404" s="253"/>
      <c r="CT404" s="346"/>
      <c r="CV404" s="253"/>
      <c r="CW404" s="345"/>
      <c r="CX404" s="253"/>
      <c r="CY404" s="346"/>
      <c r="DA404" s="253"/>
      <c r="DB404" s="345"/>
      <c r="DC404" s="253"/>
      <c r="DD404" s="346"/>
      <c r="DF404" s="253"/>
      <c r="DG404" s="345"/>
      <c r="DH404" s="253"/>
      <c r="DI404" s="346"/>
      <c r="DK404" s="253"/>
      <c r="DL404" s="345"/>
      <c r="DM404" s="253"/>
      <c r="DN404" s="346"/>
      <c r="DP404" s="253"/>
      <c r="DQ404" s="345"/>
      <c r="DR404" s="253"/>
      <c r="DS404" s="346"/>
      <c r="DU404" s="253"/>
      <c r="DV404" s="345"/>
      <c r="DW404" s="253"/>
      <c r="DX404" s="346"/>
      <c r="DZ404" s="253"/>
      <c r="EA404" s="345"/>
      <c r="EB404" s="253"/>
      <c r="EC404" s="346"/>
      <c r="EE404" s="253"/>
      <c r="EF404" s="345"/>
      <c r="EG404" s="253"/>
      <c r="EH404" s="346"/>
      <c r="EJ404" s="253"/>
      <c r="EK404" s="345"/>
      <c r="EL404" s="253"/>
      <c r="EM404" s="346"/>
      <c r="EO404" s="253"/>
      <c r="EP404" s="345"/>
      <c r="EQ404" s="253"/>
      <c r="ER404" s="346"/>
      <c r="ET404" s="253"/>
      <c r="EU404" s="345"/>
      <c r="EV404" s="253"/>
      <c r="EW404" s="346"/>
      <c r="EY404" s="253"/>
      <c r="EZ404" s="345"/>
      <c r="FA404" s="253"/>
      <c r="FB404" s="346"/>
      <c r="FD404" s="253"/>
      <c r="FE404" s="345"/>
      <c r="FF404" s="253"/>
      <c r="FG404" s="346"/>
      <c r="FI404" s="253"/>
      <c r="FJ404" s="345"/>
      <c r="FK404" s="253"/>
      <c r="FL404" s="346"/>
      <c r="FN404" s="253"/>
      <c r="FO404" s="345"/>
      <c r="FP404" s="253"/>
      <c r="FQ404" s="346"/>
      <c r="FS404" s="253"/>
      <c r="FT404" s="345"/>
      <c r="FU404" s="253"/>
      <c r="FV404" s="346"/>
      <c r="FX404" s="253"/>
      <c r="FY404" s="345"/>
      <c r="FZ404" s="253"/>
      <c r="GA404" s="346"/>
      <c r="GC404" s="253"/>
      <c r="GD404" s="345"/>
      <c r="GE404" s="253"/>
      <c r="GF404" s="346"/>
      <c r="GH404" s="253"/>
      <c r="GI404" s="345"/>
      <c r="GJ404" s="253"/>
      <c r="GK404" s="346"/>
      <c r="GM404" s="253"/>
      <c r="GN404" s="345"/>
      <c r="GO404" s="253"/>
      <c r="GP404" s="346"/>
      <c r="GR404" s="253"/>
      <c r="GS404" s="345"/>
      <c r="GT404" s="253"/>
      <c r="GU404" s="346"/>
      <c r="GW404" s="253"/>
      <c r="GX404" s="345"/>
      <c r="GY404" s="253"/>
      <c r="GZ404" s="346"/>
      <c r="HB404" s="253"/>
      <c r="HC404" s="345"/>
      <c r="HD404" s="253"/>
      <c r="HE404" s="346"/>
      <c r="HG404" s="253"/>
      <c r="HH404" s="345"/>
      <c r="HI404" s="253"/>
      <c r="HJ404" s="346"/>
      <c r="HL404" s="253"/>
      <c r="HM404" s="345"/>
      <c r="HN404" s="253"/>
      <c r="HO404" s="346"/>
      <c r="HQ404" s="253"/>
      <c r="HR404" s="345"/>
      <c r="HS404" s="253"/>
      <c r="HT404" s="346"/>
      <c r="HV404" s="253"/>
      <c r="HW404" s="345"/>
      <c r="HX404" s="253"/>
      <c r="HY404" s="346"/>
      <c r="IA404" s="253"/>
      <c r="IB404" s="345"/>
      <c r="IC404" s="253"/>
      <c r="ID404" s="346"/>
      <c r="IF404" s="253"/>
      <c r="IG404" s="345"/>
      <c r="IH404" s="253"/>
      <c r="II404" s="346"/>
      <c r="IK404" s="253"/>
      <c r="IL404" s="345"/>
      <c r="IM404" s="253"/>
      <c r="IN404" s="346"/>
      <c r="IP404" s="253"/>
      <c r="IQ404" s="345"/>
      <c r="IR404" s="253"/>
      <c r="IS404" s="346"/>
      <c r="IU404" s="253"/>
      <c r="IV404" s="345"/>
    </row>
    <row r="405" spans="1:256" x14ac:dyDescent="0.2">
      <c r="A405" s="345">
        <v>39844</v>
      </c>
      <c r="B405" s="1311">
        <v>-8.0399999999999991</v>
      </c>
      <c r="C405" s="346">
        <v>118260084.92</v>
      </c>
      <c r="D405" s="258">
        <v>-8.0395000000000003</v>
      </c>
      <c r="E405" s="253">
        <f>B405-Index_Returns!B405</f>
        <v>0.38861000000000168</v>
      </c>
      <c r="F405" s="733"/>
      <c r="G405" s="728"/>
      <c r="H405" s="346"/>
      <c r="J405" s="253"/>
      <c r="K405" s="345"/>
      <c r="L405" s="253"/>
      <c r="M405" s="346"/>
      <c r="O405" s="253"/>
      <c r="P405" s="345"/>
      <c r="Q405" s="253"/>
      <c r="R405" s="346"/>
      <c r="T405" s="253"/>
      <c r="U405" s="345"/>
      <c r="V405" s="253"/>
      <c r="W405" s="346"/>
      <c r="Y405" s="253"/>
      <c r="Z405" s="345"/>
      <c r="AA405" s="253"/>
      <c r="AB405" s="346"/>
      <c r="AD405" s="253"/>
      <c r="AE405" s="345"/>
      <c r="AF405" s="253"/>
      <c r="AG405" s="346"/>
      <c r="AI405" s="253"/>
      <c r="AJ405" s="345"/>
      <c r="AK405" s="253"/>
      <c r="AL405" s="346"/>
      <c r="AN405" s="253"/>
      <c r="AO405" s="345"/>
      <c r="AP405" s="253"/>
      <c r="AQ405" s="346"/>
      <c r="AS405" s="253"/>
      <c r="AT405" s="345"/>
      <c r="AU405" s="253"/>
      <c r="AV405" s="346"/>
      <c r="AX405" s="253"/>
      <c r="AY405" s="345"/>
      <c r="AZ405" s="253"/>
      <c r="BA405" s="346"/>
      <c r="BC405" s="253"/>
      <c r="BD405" s="345"/>
      <c r="BE405" s="253"/>
      <c r="BF405" s="346"/>
      <c r="BH405" s="253"/>
      <c r="BI405" s="345"/>
      <c r="BJ405" s="253"/>
      <c r="BK405" s="346"/>
      <c r="BM405" s="253"/>
      <c r="BN405" s="345"/>
      <c r="BO405" s="253"/>
      <c r="BP405" s="346"/>
      <c r="BR405" s="253"/>
      <c r="BS405" s="345"/>
      <c r="BT405" s="253"/>
      <c r="BU405" s="346"/>
      <c r="BW405" s="253"/>
      <c r="BX405" s="345"/>
      <c r="BY405" s="253"/>
      <c r="BZ405" s="346"/>
      <c r="CB405" s="253"/>
      <c r="CC405" s="345"/>
      <c r="CD405" s="253"/>
      <c r="CE405" s="346"/>
      <c r="CG405" s="253"/>
      <c r="CH405" s="345"/>
      <c r="CI405" s="253"/>
      <c r="CJ405" s="346"/>
      <c r="CL405" s="253"/>
      <c r="CM405" s="345"/>
      <c r="CN405" s="253"/>
      <c r="CO405" s="346"/>
      <c r="CQ405" s="253"/>
      <c r="CR405" s="345"/>
      <c r="CS405" s="253"/>
      <c r="CT405" s="346"/>
      <c r="CV405" s="253"/>
      <c r="CW405" s="345"/>
      <c r="CX405" s="253"/>
      <c r="CY405" s="346"/>
      <c r="DA405" s="253"/>
      <c r="DB405" s="345"/>
      <c r="DC405" s="253"/>
      <c r="DD405" s="346"/>
      <c r="DF405" s="253"/>
      <c r="DG405" s="345"/>
      <c r="DH405" s="253"/>
      <c r="DI405" s="346"/>
      <c r="DK405" s="253"/>
      <c r="DL405" s="345"/>
      <c r="DM405" s="253"/>
      <c r="DN405" s="346"/>
      <c r="DP405" s="253"/>
      <c r="DQ405" s="345"/>
      <c r="DR405" s="253"/>
      <c r="DS405" s="346"/>
      <c r="DU405" s="253"/>
      <c r="DV405" s="345"/>
      <c r="DW405" s="253"/>
      <c r="DX405" s="346"/>
      <c r="DZ405" s="253"/>
      <c r="EA405" s="345"/>
      <c r="EB405" s="253"/>
      <c r="EC405" s="346"/>
      <c r="EE405" s="253"/>
      <c r="EF405" s="345"/>
      <c r="EG405" s="253"/>
      <c r="EH405" s="346"/>
      <c r="EJ405" s="253"/>
      <c r="EK405" s="345"/>
      <c r="EL405" s="253"/>
      <c r="EM405" s="346"/>
      <c r="EO405" s="253"/>
      <c r="EP405" s="345"/>
      <c r="EQ405" s="253"/>
      <c r="ER405" s="346"/>
      <c r="ET405" s="253"/>
      <c r="EU405" s="345"/>
      <c r="EV405" s="253"/>
      <c r="EW405" s="346"/>
      <c r="EY405" s="253"/>
      <c r="EZ405" s="345"/>
      <c r="FA405" s="253"/>
      <c r="FB405" s="346"/>
      <c r="FD405" s="253"/>
      <c r="FE405" s="345"/>
      <c r="FF405" s="253"/>
      <c r="FG405" s="346"/>
      <c r="FI405" s="253"/>
      <c r="FJ405" s="345"/>
      <c r="FK405" s="253"/>
      <c r="FL405" s="346"/>
      <c r="FN405" s="253"/>
      <c r="FO405" s="345"/>
      <c r="FP405" s="253"/>
      <c r="FQ405" s="346"/>
      <c r="FS405" s="253"/>
      <c r="FT405" s="345"/>
      <c r="FU405" s="253"/>
      <c r="FV405" s="346"/>
      <c r="FX405" s="253"/>
      <c r="FY405" s="345"/>
      <c r="FZ405" s="253"/>
      <c r="GA405" s="346"/>
      <c r="GC405" s="253"/>
      <c r="GD405" s="345"/>
      <c r="GE405" s="253"/>
      <c r="GF405" s="346"/>
      <c r="GH405" s="253"/>
      <c r="GI405" s="345"/>
      <c r="GJ405" s="253"/>
      <c r="GK405" s="346"/>
      <c r="GM405" s="253"/>
      <c r="GN405" s="345"/>
      <c r="GO405" s="253"/>
      <c r="GP405" s="346"/>
      <c r="GR405" s="253"/>
      <c r="GS405" s="345"/>
      <c r="GT405" s="253"/>
      <c r="GU405" s="346"/>
      <c r="GW405" s="253"/>
      <c r="GX405" s="345"/>
      <c r="GY405" s="253"/>
      <c r="GZ405" s="346"/>
      <c r="HB405" s="253"/>
      <c r="HC405" s="345"/>
      <c r="HD405" s="253"/>
      <c r="HE405" s="346"/>
      <c r="HG405" s="253"/>
      <c r="HH405" s="345"/>
      <c r="HI405" s="253"/>
      <c r="HJ405" s="346"/>
      <c r="HL405" s="253"/>
      <c r="HM405" s="345"/>
      <c r="HN405" s="253"/>
      <c r="HO405" s="346"/>
      <c r="HQ405" s="253"/>
      <c r="HR405" s="345"/>
      <c r="HS405" s="253"/>
      <c r="HT405" s="346"/>
      <c r="HV405" s="253"/>
      <c r="HW405" s="345"/>
      <c r="HX405" s="253"/>
      <c r="HY405" s="346"/>
      <c r="IA405" s="253"/>
      <c r="IB405" s="345"/>
      <c r="IC405" s="253"/>
      <c r="ID405" s="346"/>
      <c r="IF405" s="253"/>
      <c r="IG405" s="345"/>
      <c r="IH405" s="253"/>
      <c r="II405" s="346"/>
      <c r="IK405" s="253"/>
      <c r="IL405" s="345"/>
      <c r="IM405" s="253"/>
      <c r="IN405" s="346"/>
      <c r="IP405" s="253"/>
      <c r="IQ405" s="345"/>
      <c r="IR405" s="253"/>
      <c r="IS405" s="346"/>
      <c r="IU405" s="253"/>
      <c r="IV405" s="345"/>
    </row>
    <row r="406" spans="1:256" x14ac:dyDescent="0.2">
      <c r="A406" s="345">
        <v>39872</v>
      </c>
      <c r="B406" s="1311">
        <v>-14.87</v>
      </c>
      <c r="C406" s="346">
        <v>100678219.53</v>
      </c>
      <c r="D406" s="258">
        <v>-14.867100000000001</v>
      </c>
      <c r="E406" s="253">
        <f>B406-Index_Returns!B406</f>
        <v>-4.2222200000000001</v>
      </c>
      <c r="F406" s="733"/>
      <c r="G406" s="728"/>
      <c r="H406" s="346"/>
      <c r="J406" s="253"/>
      <c r="K406" s="345"/>
      <c r="L406" s="253"/>
      <c r="M406" s="346"/>
      <c r="O406" s="253"/>
      <c r="P406" s="345"/>
      <c r="Q406" s="253"/>
      <c r="R406" s="346"/>
      <c r="T406" s="253"/>
      <c r="U406" s="345"/>
      <c r="V406" s="253"/>
      <c r="W406" s="346"/>
      <c r="Y406" s="253"/>
      <c r="Z406" s="345"/>
      <c r="AA406" s="253"/>
      <c r="AB406" s="346"/>
      <c r="AD406" s="253"/>
      <c r="AE406" s="345"/>
      <c r="AF406" s="253"/>
      <c r="AG406" s="346"/>
      <c r="AI406" s="253"/>
      <c r="AJ406" s="345"/>
      <c r="AK406" s="253"/>
      <c r="AL406" s="346"/>
      <c r="AN406" s="253"/>
      <c r="AO406" s="345"/>
      <c r="AP406" s="253"/>
      <c r="AQ406" s="346"/>
      <c r="AS406" s="253"/>
      <c r="AT406" s="345"/>
      <c r="AU406" s="253"/>
      <c r="AV406" s="346"/>
      <c r="AX406" s="253"/>
      <c r="AY406" s="345"/>
      <c r="AZ406" s="253"/>
      <c r="BA406" s="346"/>
      <c r="BC406" s="253"/>
      <c r="BD406" s="345"/>
      <c r="BE406" s="253"/>
      <c r="BF406" s="346"/>
      <c r="BH406" s="253"/>
      <c r="BI406" s="345"/>
      <c r="BJ406" s="253"/>
      <c r="BK406" s="346"/>
      <c r="BM406" s="253"/>
      <c r="BN406" s="345"/>
      <c r="BO406" s="253"/>
      <c r="BP406" s="346"/>
      <c r="BR406" s="253"/>
      <c r="BS406" s="345"/>
      <c r="BT406" s="253"/>
      <c r="BU406" s="346"/>
      <c r="BW406" s="253"/>
      <c r="BX406" s="345"/>
      <c r="BY406" s="253"/>
      <c r="BZ406" s="346"/>
      <c r="CB406" s="253"/>
      <c r="CC406" s="345"/>
      <c r="CD406" s="253"/>
      <c r="CE406" s="346"/>
      <c r="CG406" s="253"/>
      <c r="CH406" s="345"/>
      <c r="CI406" s="253"/>
      <c r="CJ406" s="346"/>
      <c r="CL406" s="253"/>
      <c r="CM406" s="345"/>
      <c r="CN406" s="253"/>
      <c r="CO406" s="346"/>
      <c r="CQ406" s="253"/>
      <c r="CR406" s="345"/>
      <c r="CS406" s="253"/>
      <c r="CT406" s="346"/>
      <c r="CV406" s="253"/>
      <c r="CW406" s="345"/>
      <c r="CX406" s="253"/>
      <c r="CY406" s="346"/>
      <c r="DA406" s="253"/>
      <c r="DB406" s="345"/>
      <c r="DC406" s="253"/>
      <c r="DD406" s="346"/>
      <c r="DF406" s="253"/>
      <c r="DG406" s="345"/>
      <c r="DH406" s="253"/>
      <c r="DI406" s="346"/>
      <c r="DK406" s="253"/>
      <c r="DL406" s="345"/>
      <c r="DM406" s="253"/>
      <c r="DN406" s="346"/>
      <c r="DP406" s="253"/>
      <c r="DQ406" s="345"/>
      <c r="DR406" s="253"/>
      <c r="DS406" s="346"/>
      <c r="DU406" s="253"/>
      <c r="DV406" s="345"/>
      <c r="DW406" s="253"/>
      <c r="DX406" s="346"/>
      <c r="DZ406" s="253"/>
      <c r="EA406" s="345"/>
      <c r="EB406" s="253"/>
      <c r="EC406" s="346"/>
      <c r="EE406" s="253"/>
      <c r="EF406" s="345"/>
      <c r="EG406" s="253"/>
      <c r="EH406" s="346"/>
      <c r="EJ406" s="253"/>
      <c r="EK406" s="345"/>
      <c r="EL406" s="253"/>
      <c r="EM406" s="346"/>
      <c r="EO406" s="253"/>
      <c r="EP406" s="345"/>
      <c r="EQ406" s="253"/>
      <c r="ER406" s="346"/>
      <c r="ET406" s="253"/>
      <c r="EU406" s="345"/>
      <c r="EV406" s="253"/>
      <c r="EW406" s="346"/>
      <c r="EY406" s="253"/>
      <c r="EZ406" s="345"/>
      <c r="FA406" s="253"/>
      <c r="FB406" s="346"/>
      <c r="FD406" s="253"/>
      <c r="FE406" s="345"/>
      <c r="FF406" s="253"/>
      <c r="FG406" s="346"/>
      <c r="FI406" s="253"/>
      <c r="FJ406" s="345"/>
      <c r="FK406" s="253"/>
      <c r="FL406" s="346"/>
      <c r="FN406" s="253"/>
      <c r="FO406" s="345"/>
      <c r="FP406" s="253"/>
      <c r="FQ406" s="346"/>
      <c r="FS406" s="253"/>
      <c r="FT406" s="345"/>
      <c r="FU406" s="253"/>
      <c r="FV406" s="346"/>
      <c r="FX406" s="253"/>
      <c r="FY406" s="345"/>
      <c r="FZ406" s="253"/>
      <c r="GA406" s="346"/>
      <c r="GC406" s="253"/>
      <c r="GD406" s="345"/>
      <c r="GE406" s="253"/>
      <c r="GF406" s="346"/>
      <c r="GH406" s="253"/>
      <c r="GI406" s="345"/>
      <c r="GJ406" s="253"/>
      <c r="GK406" s="346"/>
      <c r="GM406" s="253"/>
      <c r="GN406" s="345"/>
      <c r="GO406" s="253"/>
      <c r="GP406" s="346"/>
      <c r="GR406" s="253"/>
      <c r="GS406" s="345"/>
      <c r="GT406" s="253"/>
      <c r="GU406" s="346"/>
      <c r="GW406" s="253"/>
      <c r="GX406" s="345"/>
      <c r="GY406" s="253"/>
      <c r="GZ406" s="346"/>
      <c r="HB406" s="253"/>
      <c r="HC406" s="345"/>
      <c r="HD406" s="253"/>
      <c r="HE406" s="346"/>
      <c r="HG406" s="253"/>
      <c r="HH406" s="345"/>
      <c r="HI406" s="253"/>
      <c r="HJ406" s="346"/>
      <c r="HL406" s="253"/>
      <c r="HM406" s="345"/>
      <c r="HN406" s="253"/>
      <c r="HO406" s="346"/>
      <c r="HQ406" s="253"/>
      <c r="HR406" s="345"/>
      <c r="HS406" s="253"/>
      <c r="HT406" s="346"/>
      <c r="HV406" s="253"/>
      <c r="HW406" s="345"/>
      <c r="HX406" s="253"/>
      <c r="HY406" s="346"/>
      <c r="IA406" s="253"/>
      <c r="IB406" s="345"/>
      <c r="IC406" s="253"/>
      <c r="ID406" s="346"/>
      <c r="IF406" s="253"/>
      <c r="IG406" s="345"/>
      <c r="IH406" s="253"/>
      <c r="II406" s="346"/>
      <c r="IK406" s="253"/>
      <c r="IL406" s="345"/>
      <c r="IM406" s="253"/>
      <c r="IN406" s="346"/>
      <c r="IP406" s="253"/>
      <c r="IQ406" s="345"/>
      <c r="IR406" s="253"/>
      <c r="IS406" s="346"/>
      <c r="IU406" s="253"/>
      <c r="IV406" s="345"/>
    </row>
    <row r="407" spans="1:256" x14ac:dyDescent="0.2">
      <c r="A407" s="345">
        <v>39903</v>
      </c>
      <c r="B407" s="1311">
        <v>6.44</v>
      </c>
      <c r="C407" s="346">
        <v>107310149.69</v>
      </c>
      <c r="D407" s="258">
        <v>6.5872999999999999</v>
      </c>
      <c r="E407" s="253">
        <f>B407-Index_Returns!B407</f>
        <v>-2.3195100000000002</v>
      </c>
      <c r="F407" s="733"/>
      <c r="G407" s="728"/>
      <c r="H407" s="346"/>
      <c r="J407" s="253"/>
      <c r="K407" s="345"/>
      <c r="L407" s="253"/>
      <c r="M407" s="346"/>
      <c r="O407" s="253"/>
      <c r="P407" s="345"/>
      <c r="Q407" s="253"/>
      <c r="R407" s="346"/>
      <c r="T407" s="253"/>
      <c r="U407" s="345"/>
      <c r="V407" s="253"/>
      <c r="W407" s="346"/>
      <c r="Y407" s="253"/>
      <c r="Z407" s="345"/>
      <c r="AA407" s="253"/>
      <c r="AB407" s="346"/>
      <c r="AD407" s="253"/>
      <c r="AE407" s="345"/>
      <c r="AF407" s="253"/>
      <c r="AG407" s="346"/>
      <c r="AI407" s="253"/>
      <c r="AJ407" s="345"/>
      <c r="AK407" s="253"/>
      <c r="AL407" s="346"/>
      <c r="AN407" s="253"/>
      <c r="AO407" s="345"/>
      <c r="AP407" s="253"/>
      <c r="AQ407" s="346"/>
      <c r="AS407" s="253"/>
      <c r="AT407" s="345"/>
      <c r="AU407" s="253"/>
      <c r="AV407" s="346"/>
      <c r="AX407" s="253"/>
      <c r="AY407" s="345"/>
      <c r="AZ407" s="253"/>
      <c r="BA407" s="346"/>
      <c r="BC407" s="253"/>
      <c r="BD407" s="345"/>
      <c r="BE407" s="253"/>
      <c r="BF407" s="346"/>
      <c r="BH407" s="253"/>
      <c r="BI407" s="345"/>
      <c r="BJ407" s="253"/>
      <c r="BK407" s="346"/>
      <c r="BM407" s="253"/>
      <c r="BN407" s="345"/>
      <c r="BO407" s="253"/>
      <c r="BP407" s="346"/>
      <c r="BR407" s="253"/>
      <c r="BS407" s="345"/>
      <c r="BT407" s="253"/>
      <c r="BU407" s="346"/>
      <c r="BW407" s="253"/>
      <c r="BX407" s="345"/>
      <c r="BY407" s="253"/>
      <c r="BZ407" s="346"/>
      <c r="CB407" s="253"/>
      <c r="CC407" s="345"/>
      <c r="CD407" s="253"/>
      <c r="CE407" s="346"/>
      <c r="CG407" s="253"/>
      <c r="CH407" s="345"/>
      <c r="CI407" s="253"/>
      <c r="CJ407" s="346"/>
      <c r="CL407" s="253"/>
      <c r="CM407" s="345"/>
      <c r="CN407" s="253"/>
      <c r="CO407" s="346"/>
      <c r="CQ407" s="253"/>
      <c r="CR407" s="345"/>
      <c r="CS407" s="253"/>
      <c r="CT407" s="346"/>
      <c r="CV407" s="253"/>
      <c r="CW407" s="345"/>
      <c r="CX407" s="253"/>
      <c r="CY407" s="346"/>
      <c r="DA407" s="253"/>
      <c r="DB407" s="345"/>
      <c r="DC407" s="253"/>
      <c r="DD407" s="346"/>
      <c r="DF407" s="253"/>
      <c r="DG407" s="345"/>
      <c r="DH407" s="253"/>
      <c r="DI407" s="346"/>
      <c r="DK407" s="253"/>
      <c r="DL407" s="345"/>
      <c r="DM407" s="253"/>
      <c r="DN407" s="346"/>
      <c r="DP407" s="253"/>
      <c r="DQ407" s="345"/>
      <c r="DR407" s="253"/>
      <c r="DS407" s="346"/>
      <c r="DU407" s="253"/>
      <c r="DV407" s="345"/>
      <c r="DW407" s="253"/>
      <c r="DX407" s="346"/>
      <c r="DZ407" s="253"/>
      <c r="EA407" s="345"/>
      <c r="EB407" s="253"/>
      <c r="EC407" s="346"/>
      <c r="EE407" s="253"/>
      <c r="EF407" s="345"/>
      <c r="EG407" s="253"/>
      <c r="EH407" s="346"/>
      <c r="EJ407" s="253"/>
      <c r="EK407" s="345"/>
      <c r="EL407" s="253"/>
      <c r="EM407" s="346"/>
      <c r="EO407" s="253"/>
      <c r="EP407" s="345"/>
      <c r="EQ407" s="253"/>
      <c r="ER407" s="346"/>
      <c r="ET407" s="253"/>
      <c r="EU407" s="345"/>
      <c r="EV407" s="253"/>
      <c r="EW407" s="346"/>
      <c r="EY407" s="253"/>
      <c r="EZ407" s="345"/>
      <c r="FA407" s="253"/>
      <c r="FB407" s="346"/>
      <c r="FD407" s="253"/>
      <c r="FE407" s="345"/>
      <c r="FF407" s="253"/>
      <c r="FG407" s="346"/>
      <c r="FI407" s="253"/>
      <c r="FJ407" s="345"/>
      <c r="FK407" s="253"/>
      <c r="FL407" s="346"/>
      <c r="FN407" s="253"/>
      <c r="FO407" s="345"/>
      <c r="FP407" s="253"/>
      <c r="FQ407" s="346"/>
      <c r="FS407" s="253"/>
      <c r="FT407" s="345"/>
      <c r="FU407" s="253"/>
      <c r="FV407" s="346"/>
      <c r="FX407" s="253"/>
      <c r="FY407" s="345"/>
      <c r="FZ407" s="253"/>
      <c r="GA407" s="346"/>
      <c r="GC407" s="253"/>
      <c r="GD407" s="345"/>
      <c r="GE407" s="253"/>
      <c r="GF407" s="346"/>
      <c r="GH407" s="253"/>
      <c r="GI407" s="345"/>
      <c r="GJ407" s="253"/>
      <c r="GK407" s="346"/>
      <c r="GM407" s="253"/>
      <c r="GN407" s="345"/>
      <c r="GO407" s="253"/>
      <c r="GP407" s="346"/>
      <c r="GR407" s="253"/>
      <c r="GS407" s="345"/>
      <c r="GT407" s="253"/>
      <c r="GU407" s="346"/>
      <c r="GW407" s="253"/>
      <c r="GX407" s="345"/>
      <c r="GY407" s="253"/>
      <c r="GZ407" s="346"/>
      <c r="HB407" s="253"/>
      <c r="HC407" s="345"/>
      <c r="HD407" s="253"/>
      <c r="HE407" s="346"/>
      <c r="HG407" s="253"/>
      <c r="HH407" s="345"/>
      <c r="HI407" s="253"/>
      <c r="HJ407" s="346"/>
      <c r="HL407" s="253"/>
      <c r="HM407" s="345"/>
      <c r="HN407" s="253"/>
      <c r="HO407" s="346"/>
      <c r="HQ407" s="253"/>
      <c r="HR407" s="345"/>
      <c r="HS407" s="253"/>
      <c r="HT407" s="346"/>
      <c r="HV407" s="253"/>
      <c r="HW407" s="345"/>
      <c r="HX407" s="253"/>
      <c r="HY407" s="346"/>
      <c r="IA407" s="253"/>
      <c r="IB407" s="345"/>
      <c r="IC407" s="253"/>
      <c r="ID407" s="346"/>
      <c r="IF407" s="253"/>
      <c r="IG407" s="345"/>
      <c r="IH407" s="253"/>
      <c r="II407" s="346"/>
      <c r="IK407" s="253"/>
      <c r="IL407" s="345"/>
      <c r="IM407" s="253"/>
      <c r="IN407" s="346"/>
      <c r="IP407" s="253"/>
      <c r="IQ407" s="345"/>
      <c r="IR407" s="253"/>
      <c r="IS407" s="346"/>
      <c r="IU407" s="253"/>
      <c r="IV407" s="345"/>
    </row>
    <row r="408" spans="1:256" x14ac:dyDescent="0.2">
      <c r="A408" s="345">
        <v>39933</v>
      </c>
      <c r="B408" s="1311">
        <v>12.75</v>
      </c>
      <c r="C408" s="346">
        <v>120993567.77</v>
      </c>
      <c r="E408" s="253">
        <f>B408-Index_Returns!B408</f>
        <v>3.1790599999999998</v>
      </c>
      <c r="F408" s="733"/>
      <c r="G408" s="728"/>
      <c r="H408" s="346"/>
      <c r="J408" s="253"/>
      <c r="K408" s="345"/>
      <c r="L408" s="253"/>
      <c r="M408" s="346"/>
      <c r="O408" s="253"/>
      <c r="P408" s="345"/>
      <c r="Q408" s="253"/>
      <c r="R408" s="346"/>
      <c r="T408" s="253"/>
      <c r="U408" s="345"/>
      <c r="V408" s="253"/>
      <c r="W408" s="346"/>
      <c r="Y408" s="253"/>
      <c r="Z408" s="345"/>
      <c r="AA408" s="253"/>
      <c r="AB408" s="346"/>
      <c r="AD408" s="253"/>
      <c r="AE408" s="345"/>
      <c r="AF408" s="253"/>
      <c r="AG408" s="346"/>
      <c r="AI408" s="253"/>
      <c r="AJ408" s="345"/>
      <c r="AK408" s="253"/>
      <c r="AL408" s="346"/>
      <c r="AN408" s="253"/>
      <c r="AO408" s="345"/>
      <c r="AP408" s="253"/>
      <c r="AQ408" s="346"/>
      <c r="AS408" s="253"/>
      <c r="AT408" s="345"/>
      <c r="AU408" s="253"/>
      <c r="AV408" s="346"/>
      <c r="AX408" s="253"/>
      <c r="AY408" s="345"/>
      <c r="AZ408" s="253"/>
      <c r="BA408" s="346"/>
      <c r="BC408" s="253"/>
      <c r="BD408" s="345"/>
      <c r="BE408" s="253"/>
      <c r="BF408" s="346"/>
      <c r="BH408" s="253"/>
      <c r="BI408" s="345"/>
      <c r="BJ408" s="253"/>
      <c r="BK408" s="346"/>
      <c r="BM408" s="253"/>
      <c r="BN408" s="345"/>
      <c r="BO408" s="253"/>
      <c r="BP408" s="346"/>
      <c r="BR408" s="253"/>
      <c r="BS408" s="345"/>
      <c r="BT408" s="253"/>
      <c r="BU408" s="346"/>
      <c r="BW408" s="253"/>
      <c r="BX408" s="345"/>
      <c r="BY408" s="253"/>
      <c r="BZ408" s="346"/>
      <c r="CB408" s="253"/>
      <c r="CC408" s="345"/>
      <c r="CD408" s="253"/>
      <c r="CE408" s="346"/>
      <c r="CG408" s="253"/>
      <c r="CH408" s="345"/>
      <c r="CI408" s="253"/>
      <c r="CJ408" s="346"/>
      <c r="CL408" s="253"/>
      <c r="CM408" s="345"/>
      <c r="CN408" s="253"/>
      <c r="CO408" s="346"/>
      <c r="CQ408" s="253"/>
      <c r="CR408" s="345"/>
      <c r="CS408" s="253"/>
      <c r="CT408" s="346"/>
      <c r="CV408" s="253"/>
      <c r="CW408" s="345"/>
      <c r="CX408" s="253"/>
      <c r="CY408" s="346"/>
      <c r="DA408" s="253"/>
      <c r="DB408" s="345"/>
      <c r="DC408" s="253"/>
      <c r="DD408" s="346"/>
      <c r="DF408" s="253"/>
      <c r="DG408" s="345"/>
      <c r="DH408" s="253"/>
      <c r="DI408" s="346"/>
      <c r="DK408" s="253"/>
      <c r="DL408" s="345"/>
      <c r="DM408" s="253"/>
      <c r="DN408" s="346"/>
      <c r="DP408" s="253"/>
      <c r="DQ408" s="345"/>
      <c r="DR408" s="253"/>
      <c r="DS408" s="346"/>
      <c r="DU408" s="253"/>
      <c r="DV408" s="345"/>
      <c r="DW408" s="253"/>
      <c r="DX408" s="346"/>
      <c r="DZ408" s="253"/>
      <c r="EA408" s="345"/>
      <c r="EB408" s="253"/>
      <c r="EC408" s="346"/>
      <c r="EE408" s="253"/>
      <c r="EF408" s="345"/>
      <c r="EG408" s="253"/>
      <c r="EH408" s="346"/>
      <c r="EJ408" s="253"/>
      <c r="EK408" s="345"/>
      <c r="EL408" s="253"/>
      <c r="EM408" s="346"/>
      <c r="EO408" s="253"/>
      <c r="EP408" s="345"/>
      <c r="EQ408" s="253"/>
      <c r="ER408" s="346"/>
      <c r="ET408" s="253"/>
      <c r="EU408" s="345"/>
      <c r="EV408" s="253"/>
      <c r="EW408" s="346"/>
      <c r="EY408" s="253"/>
      <c r="EZ408" s="345"/>
      <c r="FA408" s="253"/>
      <c r="FB408" s="346"/>
      <c r="FD408" s="253"/>
      <c r="FE408" s="345"/>
      <c r="FF408" s="253"/>
      <c r="FG408" s="346"/>
      <c r="FI408" s="253"/>
      <c r="FJ408" s="345"/>
      <c r="FK408" s="253"/>
      <c r="FL408" s="346"/>
      <c r="FN408" s="253"/>
      <c r="FO408" s="345"/>
      <c r="FP408" s="253"/>
      <c r="FQ408" s="346"/>
      <c r="FS408" s="253"/>
      <c r="FT408" s="345"/>
      <c r="FU408" s="253"/>
      <c r="FV408" s="346"/>
      <c r="FX408" s="253"/>
      <c r="FY408" s="345"/>
      <c r="FZ408" s="253"/>
      <c r="GA408" s="346"/>
      <c r="GC408" s="253"/>
      <c r="GD408" s="345"/>
      <c r="GE408" s="253"/>
      <c r="GF408" s="346"/>
      <c r="GH408" s="253"/>
      <c r="GI408" s="345"/>
      <c r="GJ408" s="253"/>
      <c r="GK408" s="346"/>
      <c r="GM408" s="253"/>
      <c r="GN408" s="345"/>
      <c r="GO408" s="253"/>
      <c r="GP408" s="346"/>
      <c r="GR408" s="253"/>
      <c r="GS408" s="345"/>
      <c r="GT408" s="253"/>
      <c r="GU408" s="346"/>
      <c r="GW408" s="253"/>
      <c r="GX408" s="345"/>
      <c r="GY408" s="253"/>
      <c r="GZ408" s="346"/>
      <c r="HB408" s="253"/>
      <c r="HC408" s="345"/>
      <c r="HD408" s="253"/>
      <c r="HE408" s="346"/>
      <c r="HG408" s="253"/>
      <c r="HH408" s="345"/>
      <c r="HI408" s="253"/>
      <c r="HJ408" s="346"/>
      <c r="HL408" s="253"/>
      <c r="HM408" s="345"/>
      <c r="HN408" s="253"/>
      <c r="HO408" s="346"/>
      <c r="HQ408" s="253"/>
      <c r="HR408" s="345"/>
      <c r="HS408" s="253"/>
      <c r="HT408" s="346"/>
      <c r="HV408" s="253"/>
      <c r="HW408" s="345"/>
      <c r="HX408" s="253"/>
      <c r="HY408" s="346"/>
      <c r="IA408" s="253"/>
      <c r="IB408" s="345"/>
      <c r="IC408" s="253"/>
      <c r="ID408" s="346"/>
      <c r="IF408" s="253"/>
      <c r="IG408" s="345"/>
      <c r="IH408" s="253"/>
      <c r="II408" s="346"/>
      <c r="IK408" s="253"/>
      <c r="IL408" s="345"/>
      <c r="IM408" s="253"/>
      <c r="IN408" s="346"/>
      <c r="IP408" s="253"/>
      <c r="IQ408" s="345"/>
      <c r="IR408" s="253"/>
      <c r="IS408" s="346"/>
      <c r="IU408" s="253"/>
      <c r="IV408" s="345"/>
    </row>
    <row r="409" spans="1:256" x14ac:dyDescent="0.2">
      <c r="A409" s="345">
        <v>39964</v>
      </c>
      <c r="B409" s="1311">
        <v>8.7200000000000006</v>
      </c>
      <c r="C409" s="346">
        <v>131549532.53</v>
      </c>
      <c r="E409" s="253">
        <f>B409-Index_Returns!B409</f>
        <v>3.1266900000000009</v>
      </c>
      <c r="F409" s="733"/>
      <c r="G409" s="728"/>
      <c r="H409" s="346"/>
      <c r="J409" s="253"/>
      <c r="K409" s="345"/>
      <c r="L409" s="253"/>
      <c r="M409" s="346"/>
      <c r="O409" s="253"/>
      <c r="P409" s="345"/>
      <c r="Q409" s="253"/>
      <c r="R409" s="346"/>
      <c r="T409" s="253"/>
      <c r="U409" s="345"/>
      <c r="V409" s="253"/>
      <c r="W409" s="346"/>
      <c r="Y409" s="253"/>
      <c r="Z409" s="345"/>
      <c r="AA409" s="253"/>
      <c r="AB409" s="346"/>
      <c r="AD409" s="253"/>
      <c r="AE409" s="345"/>
      <c r="AF409" s="253"/>
      <c r="AG409" s="346"/>
      <c r="AI409" s="253"/>
      <c r="AJ409" s="345"/>
      <c r="AK409" s="253"/>
      <c r="AL409" s="346"/>
      <c r="AN409" s="253"/>
      <c r="AO409" s="345"/>
      <c r="AP409" s="253"/>
      <c r="AQ409" s="346"/>
      <c r="AS409" s="253"/>
      <c r="AT409" s="345"/>
      <c r="AU409" s="253"/>
      <c r="AV409" s="346"/>
      <c r="AX409" s="253"/>
      <c r="AY409" s="345"/>
      <c r="AZ409" s="253"/>
      <c r="BA409" s="346"/>
      <c r="BC409" s="253"/>
      <c r="BD409" s="345"/>
      <c r="BE409" s="253"/>
      <c r="BF409" s="346"/>
      <c r="BH409" s="253"/>
      <c r="BI409" s="345"/>
      <c r="BJ409" s="253"/>
      <c r="BK409" s="346"/>
      <c r="BM409" s="253"/>
      <c r="BN409" s="345"/>
      <c r="BO409" s="253"/>
      <c r="BP409" s="346"/>
      <c r="BR409" s="253"/>
      <c r="BS409" s="345"/>
      <c r="BT409" s="253"/>
      <c r="BU409" s="346"/>
      <c r="BW409" s="253"/>
      <c r="BX409" s="345"/>
      <c r="BY409" s="253"/>
      <c r="BZ409" s="346"/>
      <c r="CB409" s="253"/>
      <c r="CC409" s="345"/>
      <c r="CD409" s="253"/>
      <c r="CE409" s="346"/>
      <c r="CG409" s="253"/>
      <c r="CH409" s="345"/>
      <c r="CI409" s="253"/>
      <c r="CJ409" s="346"/>
      <c r="CL409" s="253"/>
      <c r="CM409" s="345"/>
      <c r="CN409" s="253"/>
      <c r="CO409" s="346"/>
      <c r="CQ409" s="253"/>
      <c r="CR409" s="345"/>
      <c r="CS409" s="253"/>
      <c r="CT409" s="346"/>
      <c r="CV409" s="253"/>
      <c r="CW409" s="345"/>
      <c r="CX409" s="253"/>
      <c r="CY409" s="346"/>
      <c r="DA409" s="253"/>
      <c r="DB409" s="345"/>
      <c r="DC409" s="253"/>
      <c r="DD409" s="346"/>
      <c r="DF409" s="253"/>
      <c r="DG409" s="345"/>
      <c r="DH409" s="253"/>
      <c r="DI409" s="346"/>
      <c r="DK409" s="253"/>
      <c r="DL409" s="345"/>
      <c r="DM409" s="253"/>
      <c r="DN409" s="346"/>
      <c r="DP409" s="253"/>
      <c r="DQ409" s="345"/>
      <c r="DR409" s="253"/>
      <c r="DS409" s="346"/>
      <c r="DU409" s="253"/>
      <c r="DV409" s="345"/>
      <c r="DW409" s="253"/>
      <c r="DX409" s="346"/>
      <c r="DZ409" s="253"/>
      <c r="EA409" s="345"/>
      <c r="EB409" s="253"/>
      <c r="EC409" s="346"/>
      <c r="EE409" s="253"/>
      <c r="EF409" s="345"/>
      <c r="EG409" s="253"/>
      <c r="EH409" s="346"/>
      <c r="EJ409" s="253"/>
      <c r="EK409" s="345"/>
      <c r="EL409" s="253"/>
      <c r="EM409" s="346"/>
      <c r="EO409" s="253"/>
      <c r="EP409" s="345"/>
      <c r="EQ409" s="253"/>
      <c r="ER409" s="346"/>
      <c r="ET409" s="253"/>
      <c r="EU409" s="345"/>
      <c r="EV409" s="253"/>
      <c r="EW409" s="346"/>
      <c r="EY409" s="253"/>
      <c r="EZ409" s="345"/>
      <c r="FA409" s="253"/>
      <c r="FB409" s="346"/>
      <c r="FD409" s="253"/>
      <c r="FE409" s="345"/>
      <c r="FF409" s="253"/>
      <c r="FG409" s="346"/>
      <c r="FI409" s="253"/>
      <c r="FJ409" s="345"/>
      <c r="FK409" s="253"/>
      <c r="FL409" s="346"/>
      <c r="FN409" s="253"/>
      <c r="FO409" s="345"/>
      <c r="FP409" s="253"/>
      <c r="FQ409" s="346"/>
      <c r="FS409" s="253"/>
      <c r="FT409" s="345"/>
      <c r="FU409" s="253"/>
      <c r="FV409" s="346"/>
      <c r="FX409" s="253"/>
      <c r="FY409" s="345"/>
      <c r="FZ409" s="253"/>
      <c r="GA409" s="346"/>
      <c r="GC409" s="253"/>
      <c r="GD409" s="345"/>
      <c r="GE409" s="253"/>
      <c r="GF409" s="346"/>
      <c r="GH409" s="253"/>
      <c r="GI409" s="345"/>
      <c r="GJ409" s="253"/>
      <c r="GK409" s="346"/>
      <c r="GM409" s="253"/>
      <c r="GN409" s="345"/>
      <c r="GO409" s="253"/>
      <c r="GP409" s="346"/>
      <c r="GR409" s="253"/>
      <c r="GS409" s="345"/>
      <c r="GT409" s="253"/>
      <c r="GU409" s="346"/>
      <c r="GW409" s="253"/>
      <c r="GX409" s="345"/>
      <c r="GY409" s="253"/>
      <c r="GZ409" s="346"/>
      <c r="HB409" s="253"/>
      <c r="HC409" s="345"/>
      <c r="HD409" s="253"/>
      <c r="HE409" s="346"/>
      <c r="HG409" s="253"/>
      <c r="HH409" s="345"/>
      <c r="HI409" s="253"/>
      <c r="HJ409" s="346"/>
      <c r="HL409" s="253"/>
      <c r="HM409" s="345"/>
      <c r="HN409" s="253"/>
      <c r="HO409" s="346"/>
      <c r="HQ409" s="253"/>
      <c r="HR409" s="345"/>
      <c r="HS409" s="253"/>
      <c r="HT409" s="346"/>
      <c r="HV409" s="253"/>
      <c r="HW409" s="345"/>
      <c r="HX409" s="253"/>
      <c r="HY409" s="346"/>
      <c r="IA409" s="253"/>
      <c r="IB409" s="345"/>
      <c r="IC409" s="253"/>
      <c r="ID409" s="346"/>
      <c r="IF409" s="253"/>
      <c r="IG409" s="345"/>
      <c r="IH409" s="253"/>
      <c r="II409" s="346"/>
      <c r="IK409" s="253"/>
      <c r="IL409" s="345"/>
      <c r="IM409" s="253"/>
      <c r="IN409" s="346"/>
      <c r="IP409" s="253"/>
      <c r="IQ409" s="345"/>
      <c r="IR409" s="253"/>
      <c r="IS409" s="346"/>
      <c r="IU409" s="253"/>
      <c r="IV409" s="345"/>
    </row>
    <row r="410" spans="1:256" x14ac:dyDescent="0.2">
      <c r="A410" s="345">
        <v>39994</v>
      </c>
      <c r="B410" s="1311">
        <v>-1.6</v>
      </c>
      <c r="C410" s="346">
        <v>129567206.7</v>
      </c>
      <c r="E410" s="253">
        <f>B410-Index_Returns!B410</f>
        <v>-1.7984</v>
      </c>
      <c r="F410" s="733"/>
      <c r="G410" s="728"/>
      <c r="H410" s="346"/>
      <c r="J410" s="253"/>
      <c r="K410" s="345"/>
      <c r="L410" s="253"/>
      <c r="M410" s="346"/>
      <c r="O410" s="253"/>
      <c r="P410" s="345"/>
      <c r="Q410" s="253"/>
      <c r="R410" s="346"/>
      <c r="T410" s="253"/>
      <c r="U410" s="345"/>
      <c r="V410" s="253"/>
      <c r="W410" s="346"/>
      <c r="Y410" s="253"/>
      <c r="Z410" s="345"/>
      <c r="AA410" s="253"/>
      <c r="AB410" s="346"/>
      <c r="AD410" s="253"/>
      <c r="AE410" s="345"/>
      <c r="AF410" s="253"/>
      <c r="AG410" s="346"/>
      <c r="AI410" s="253"/>
      <c r="AJ410" s="345"/>
      <c r="AK410" s="253"/>
      <c r="AL410" s="346"/>
      <c r="AN410" s="253"/>
      <c r="AO410" s="345"/>
      <c r="AP410" s="253"/>
      <c r="AQ410" s="346"/>
      <c r="AS410" s="253"/>
      <c r="AT410" s="345"/>
      <c r="AU410" s="253"/>
      <c r="AV410" s="346"/>
      <c r="AX410" s="253"/>
      <c r="AY410" s="345"/>
      <c r="AZ410" s="253"/>
      <c r="BA410" s="346"/>
      <c r="BC410" s="253"/>
      <c r="BD410" s="345"/>
      <c r="BE410" s="253"/>
      <c r="BF410" s="346"/>
      <c r="BH410" s="253"/>
      <c r="BI410" s="345"/>
      <c r="BJ410" s="253"/>
      <c r="BK410" s="346"/>
      <c r="BM410" s="253"/>
      <c r="BN410" s="345"/>
      <c r="BO410" s="253"/>
      <c r="BP410" s="346"/>
      <c r="BR410" s="253"/>
      <c r="BS410" s="345"/>
      <c r="BT410" s="253"/>
      <c r="BU410" s="346"/>
      <c r="BW410" s="253"/>
      <c r="BX410" s="345"/>
      <c r="BY410" s="253"/>
      <c r="BZ410" s="346"/>
      <c r="CB410" s="253"/>
      <c r="CC410" s="345"/>
      <c r="CD410" s="253"/>
      <c r="CE410" s="346"/>
      <c r="CG410" s="253"/>
      <c r="CH410" s="345"/>
      <c r="CI410" s="253"/>
      <c r="CJ410" s="346"/>
      <c r="CL410" s="253"/>
      <c r="CM410" s="345"/>
      <c r="CN410" s="253"/>
      <c r="CO410" s="346"/>
      <c r="CQ410" s="253"/>
      <c r="CR410" s="345"/>
      <c r="CS410" s="253"/>
      <c r="CT410" s="346"/>
      <c r="CV410" s="253"/>
      <c r="CW410" s="345"/>
      <c r="CX410" s="253"/>
      <c r="CY410" s="346"/>
      <c r="DA410" s="253"/>
      <c r="DB410" s="345"/>
      <c r="DC410" s="253"/>
      <c r="DD410" s="346"/>
      <c r="DF410" s="253"/>
      <c r="DG410" s="345"/>
      <c r="DH410" s="253"/>
      <c r="DI410" s="346"/>
      <c r="DK410" s="253"/>
      <c r="DL410" s="345"/>
      <c r="DM410" s="253"/>
      <c r="DN410" s="346"/>
      <c r="DP410" s="253"/>
      <c r="DQ410" s="345"/>
      <c r="DR410" s="253"/>
      <c r="DS410" s="346"/>
      <c r="DU410" s="253"/>
      <c r="DV410" s="345"/>
      <c r="DW410" s="253"/>
      <c r="DX410" s="346"/>
      <c r="DZ410" s="253"/>
      <c r="EA410" s="345"/>
      <c r="EB410" s="253"/>
      <c r="EC410" s="346"/>
      <c r="EE410" s="253"/>
      <c r="EF410" s="345"/>
      <c r="EG410" s="253"/>
      <c r="EH410" s="346"/>
      <c r="EJ410" s="253"/>
      <c r="EK410" s="345"/>
      <c r="EL410" s="253"/>
      <c r="EM410" s="346"/>
      <c r="EO410" s="253"/>
      <c r="EP410" s="345"/>
      <c r="EQ410" s="253"/>
      <c r="ER410" s="346"/>
      <c r="ET410" s="253"/>
      <c r="EU410" s="345"/>
      <c r="EV410" s="253"/>
      <c r="EW410" s="346"/>
      <c r="EY410" s="253"/>
      <c r="EZ410" s="345"/>
      <c r="FA410" s="253"/>
      <c r="FB410" s="346"/>
      <c r="FD410" s="253"/>
      <c r="FE410" s="345"/>
      <c r="FF410" s="253"/>
      <c r="FG410" s="346"/>
      <c r="FI410" s="253"/>
      <c r="FJ410" s="345"/>
      <c r="FK410" s="253"/>
      <c r="FL410" s="346"/>
      <c r="FN410" s="253"/>
      <c r="FO410" s="345"/>
      <c r="FP410" s="253"/>
      <c r="FQ410" s="346"/>
      <c r="FS410" s="253"/>
      <c r="FT410" s="345"/>
      <c r="FU410" s="253"/>
      <c r="FV410" s="346"/>
      <c r="FX410" s="253"/>
      <c r="FY410" s="345"/>
      <c r="FZ410" s="253"/>
      <c r="GA410" s="346"/>
      <c r="GC410" s="253"/>
      <c r="GD410" s="345"/>
      <c r="GE410" s="253"/>
      <c r="GF410" s="346"/>
      <c r="GH410" s="253"/>
      <c r="GI410" s="345"/>
      <c r="GJ410" s="253"/>
      <c r="GK410" s="346"/>
      <c r="GM410" s="253"/>
      <c r="GN410" s="345"/>
      <c r="GO410" s="253"/>
      <c r="GP410" s="346"/>
      <c r="GR410" s="253"/>
      <c r="GS410" s="345"/>
      <c r="GT410" s="253"/>
      <c r="GU410" s="346"/>
      <c r="GW410" s="253"/>
      <c r="GX410" s="345"/>
      <c r="GY410" s="253"/>
      <c r="GZ410" s="346"/>
      <c r="HB410" s="253"/>
      <c r="HC410" s="345"/>
      <c r="HD410" s="253"/>
      <c r="HE410" s="346"/>
      <c r="HG410" s="253"/>
      <c r="HH410" s="345"/>
      <c r="HI410" s="253"/>
      <c r="HJ410" s="346"/>
      <c r="HL410" s="253"/>
      <c r="HM410" s="345"/>
      <c r="HN410" s="253"/>
      <c r="HO410" s="346"/>
      <c r="HQ410" s="253"/>
      <c r="HR410" s="345"/>
      <c r="HS410" s="253"/>
      <c r="HT410" s="346"/>
      <c r="HV410" s="253"/>
      <c r="HW410" s="345"/>
      <c r="HX410" s="253"/>
      <c r="HY410" s="346"/>
      <c r="IA410" s="253"/>
      <c r="IB410" s="345"/>
      <c r="IC410" s="253"/>
      <c r="ID410" s="346"/>
      <c r="IF410" s="253"/>
      <c r="IG410" s="345"/>
      <c r="IH410" s="253"/>
      <c r="II410" s="346"/>
      <c r="IK410" s="253"/>
      <c r="IL410" s="345"/>
      <c r="IM410" s="253"/>
      <c r="IN410" s="346"/>
      <c r="IP410" s="253"/>
      <c r="IQ410" s="345"/>
      <c r="IR410" s="253"/>
      <c r="IS410" s="346"/>
      <c r="IU410" s="253"/>
      <c r="IV410" s="345"/>
    </row>
    <row r="411" spans="1:256" x14ac:dyDescent="0.2">
      <c r="A411" s="345">
        <v>40025</v>
      </c>
      <c r="B411" s="1311">
        <v>6.86</v>
      </c>
      <c r="C411" s="346">
        <v>138461637.94</v>
      </c>
      <c r="D411" s="258">
        <v>6.8647</v>
      </c>
      <c r="E411" s="253">
        <f>B411-Index_Returns!B411</f>
        <v>-0.70368999999999993</v>
      </c>
      <c r="F411" s="733"/>
      <c r="G411" s="728"/>
      <c r="H411" s="346"/>
      <c r="J411" s="253"/>
      <c r="K411" s="345"/>
      <c r="L411" s="253"/>
      <c r="M411" s="346"/>
      <c r="O411" s="253"/>
      <c r="P411" s="345"/>
      <c r="Q411" s="253"/>
      <c r="R411" s="346"/>
      <c r="T411" s="253"/>
      <c r="U411" s="345"/>
      <c r="V411" s="253"/>
      <c r="W411" s="346"/>
      <c r="Y411" s="253"/>
      <c r="Z411" s="345"/>
      <c r="AA411" s="253"/>
      <c r="AB411" s="346"/>
      <c r="AD411" s="253"/>
      <c r="AE411" s="345"/>
      <c r="AF411" s="253"/>
      <c r="AG411" s="346"/>
      <c r="AI411" s="253"/>
      <c r="AJ411" s="345"/>
      <c r="AK411" s="253"/>
      <c r="AL411" s="346"/>
      <c r="AN411" s="253"/>
      <c r="AO411" s="345"/>
      <c r="AP411" s="253"/>
      <c r="AQ411" s="346"/>
      <c r="AS411" s="253"/>
      <c r="AT411" s="345"/>
      <c r="AU411" s="253"/>
      <c r="AV411" s="346"/>
      <c r="AX411" s="253"/>
      <c r="AY411" s="345"/>
      <c r="AZ411" s="253"/>
      <c r="BA411" s="346"/>
      <c r="BC411" s="253"/>
      <c r="BD411" s="345"/>
      <c r="BE411" s="253"/>
      <c r="BF411" s="346"/>
      <c r="BH411" s="253"/>
      <c r="BI411" s="345"/>
      <c r="BJ411" s="253"/>
      <c r="BK411" s="346"/>
      <c r="BM411" s="253"/>
      <c r="BN411" s="345"/>
      <c r="BO411" s="253"/>
      <c r="BP411" s="346"/>
      <c r="BR411" s="253"/>
      <c r="BS411" s="345"/>
      <c r="BT411" s="253"/>
      <c r="BU411" s="346"/>
      <c r="BW411" s="253"/>
      <c r="BX411" s="345"/>
      <c r="BY411" s="253"/>
      <c r="BZ411" s="346"/>
      <c r="CB411" s="253"/>
      <c r="CC411" s="345"/>
      <c r="CD411" s="253"/>
      <c r="CE411" s="346"/>
      <c r="CG411" s="253"/>
      <c r="CH411" s="345"/>
      <c r="CI411" s="253"/>
      <c r="CJ411" s="346"/>
      <c r="CL411" s="253"/>
      <c r="CM411" s="345"/>
      <c r="CN411" s="253"/>
      <c r="CO411" s="346"/>
      <c r="CQ411" s="253"/>
      <c r="CR411" s="345"/>
      <c r="CS411" s="253"/>
      <c r="CT411" s="346"/>
      <c r="CV411" s="253"/>
      <c r="CW411" s="345"/>
      <c r="CX411" s="253"/>
      <c r="CY411" s="346"/>
      <c r="DA411" s="253"/>
      <c r="DB411" s="345"/>
      <c r="DC411" s="253"/>
      <c r="DD411" s="346"/>
      <c r="DF411" s="253"/>
      <c r="DG411" s="345"/>
      <c r="DH411" s="253"/>
      <c r="DI411" s="346"/>
      <c r="DK411" s="253"/>
      <c r="DL411" s="345"/>
      <c r="DM411" s="253"/>
      <c r="DN411" s="346"/>
      <c r="DP411" s="253"/>
      <c r="DQ411" s="345"/>
      <c r="DR411" s="253"/>
      <c r="DS411" s="346"/>
      <c r="DU411" s="253"/>
      <c r="DV411" s="345"/>
      <c r="DW411" s="253"/>
      <c r="DX411" s="346"/>
      <c r="DZ411" s="253"/>
      <c r="EA411" s="345"/>
      <c r="EB411" s="253"/>
      <c r="EC411" s="346"/>
      <c r="EE411" s="253"/>
      <c r="EF411" s="345"/>
      <c r="EG411" s="253"/>
      <c r="EH411" s="346"/>
      <c r="EJ411" s="253"/>
      <c r="EK411" s="345"/>
      <c r="EL411" s="253"/>
      <c r="EM411" s="346"/>
      <c r="EO411" s="253"/>
      <c r="EP411" s="345"/>
      <c r="EQ411" s="253"/>
      <c r="ER411" s="346"/>
      <c r="ET411" s="253"/>
      <c r="EU411" s="345"/>
      <c r="EV411" s="253"/>
      <c r="EW411" s="346"/>
      <c r="EY411" s="253"/>
      <c r="EZ411" s="345"/>
      <c r="FA411" s="253"/>
      <c r="FB411" s="346"/>
      <c r="FD411" s="253"/>
      <c r="FE411" s="345"/>
      <c r="FF411" s="253"/>
      <c r="FG411" s="346"/>
      <c r="FI411" s="253"/>
      <c r="FJ411" s="345"/>
      <c r="FK411" s="253"/>
      <c r="FL411" s="346"/>
      <c r="FN411" s="253"/>
      <c r="FO411" s="345"/>
      <c r="FP411" s="253"/>
      <c r="FQ411" s="346"/>
      <c r="FS411" s="253"/>
      <c r="FT411" s="345"/>
      <c r="FU411" s="253"/>
      <c r="FV411" s="346"/>
      <c r="FX411" s="253"/>
      <c r="FY411" s="345"/>
      <c r="FZ411" s="253"/>
      <c r="GA411" s="346"/>
      <c r="GC411" s="253"/>
      <c r="GD411" s="345"/>
      <c r="GE411" s="253"/>
      <c r="GF411" s="346"/>
      <c r="GH411" s="253"/>
      <c r="GI411" s="345"/>
      <c r="GJ411" s="253"/>
      <c r="GK411" s="346"/>
      <c r="GM411" s="253"/>
      <c r="GN411" s="345"/>
      <c r="GO411" s="253"/>
      <c r="GP411" s="346"/>
      <c r="GR411" s="253"/>
      <c r="GS411" s="345"/>
      <c r="GT411" s="253"/>
      <c r="GU411" s="346"/>
      <c r="GW411" s="253"/>
      <c r="GX411" s="345"/>
      <c r="GY411" s="253"/>
      <c r="GZ411" s="346"/>
      <c r="HB411" s="253"/>
      <c r="HC411" s="345"/>
      <c r="HD411" s="253"/>
      <c r="HE411" s="346"/>
      <c r="HG411" s="253"/>
      <c r="HH411" s="345"/>
      <c r="HI411" s="253"/>
      <c r="HJ411" s="346"/>
      <c r="HL411" s="253"/>
      <c r="HM411" s="345"/>
      <c r="HN411" s="253"/>
      <c r="HO411" s="346"/>
      <c r="HQ411" s="253"/>
      <c r="HR411" s="345"/>
      <c r="HS411" s="253"/>
      <c r="HT411" s="346"/>
      <c r="HV411" s="253"/>
      <c r="HW411" s="345"/>
      <c r="HX411" s="253"/>
      <c r="HY411" s="346"/>
      <c r="IA411" s="253"/>
      <c r="IB411" s="345"/>
      <c r="IC411" s="253"/>
      <c r="ID411" s="346"/>
      <c r="IF411" s="253"/>
      <c r="IG411" s="345"/>
      <c r="IH411" s="253"/>
      <c r="II411" s="346"/>
      <c r="IK411" s="253"/>
      <c r="IL411" s="345"/>
      <c r="IM411" s="253"/>
      <c r="IN411" s="346"/>
      <c r="IP411" s="253"/>
      <c r="IQ411" s="345"/>
      <c r="IR411" s="253"/>
      <c r="IS411" s="346"/>
      <c r="IU411" s="253"/>
      <c r="IV411" s="345"/>
    </row>
    <row r="412" spans="1:256" x14ac:dyDescent="0.2">
      <c r="A412" s="345">
        <v>40056</v>
      </c>
      <c r="B412" s="1311">
        <v>4.18</v>
      </c>
      <c r="C412" s="346">
        <v>144249488.05000001</v>
      </c>
      <c r="D412" s="258">
        <v>4.1801000000000004</v>
      </c>
      <c r="E412" s="253">
        <f>B412-Index_Returns!B412</f>
        <v>0.56958999999999982</v>
      </c>
      <c r="F412" s="733"/>
      <c r="G412" s="728"/>
      <c r="H412" s="346"/>
      <c r="J412" s="253"/>
      <c r="K412" s="345"/>
      <c r="L412" s="253"/>
      <c r="M412" s="346"/>
      <c r="O412" s="253"/>
      <c r="P412" s="345"/>
      <c r="Q412" s="253"/>
      <c r="R412" s="346"/>
      <c r="T412" s="253"/>
      <c r="U412" s="345"/>
      <c r="V412" s="253"/>
      <c r="W412" s="346"/>
      <c r="Y412" s="253"/>
      <c r="Z412" s="345"/>
      <c r="AA412" s="253"/>
      <c r="AB412" s="346"/>
      <c r="AD412" s="253"/>
      <c r="AE412" s="345"/>
      <c r="AF412" s="253"/>
      <c r="AG412" s="346"/>
      <c r="AI412" s="253"/>
      <c r="AJ412" s="345"/>
      <c r="AK412" s="253"/>
      <c r="AL412" s="346"/>
      <c r="AN412" s="253"/>
      <c r="AO412" s="345"/>
      <c r="AP412" s="253"/>
      <c r="AQ412" s="346"/>
      <c r="AS412" s="253"/>
      <c r="AT412" s="345"/>
      <c r="AU412" s="253"/>
      <c r="AV412" s="346"/>
      <c r="AX412" s="253"/>
      <c r="AY412" s="345"/>
      <c r="AZ412" s="253"/>
      <c r="BA412" s="346"/>
      <c r="BC412" s="253"/>
      <c r="BD412" s="345"/>
      <c r="BE412" s="253"/>
      <c r="BF412" s="346"/>
      <c r="BH412" s="253"/>
      <c r="BI412" s="345"/>
      <c r="BJ412" s="253"/>
      <c r="BK412" s="346"/>
      <c r="BM412" s="253"/>
      <c r="BN412" s="345"/>
      <c r="BO412" s="253"/>
      <c r="BP412" s="346"/>
      <c r="BR412" s="253"/>
      <c r="BS412" s="345"/>
      <c r="BT412" s="253"/>
      <c r="BU412" s="346"/>
      <c r="BW412" s="253"/>
      <c r="BX412" s="345"/>
      <c r="BY412" s="253"/>
      <c r="BZ412" s="346"/>
      <c r="CB412" s="253"/>
      <c r="CC412" s="345"/>
      <c r="CD412" s="253"/>
      <c r="CE412" s="346"/>
      <c r="CG412" s="253"/>
      <c r="CH412" s="345"/>
      <c r="CI412" s="253"/>
      <c r="CJ412" s="346"/>
      <c r="CL412" s="253"/>
      <c r="CM412" s="345"/>
      <c r="CN412" s="253"/>
      <c r="CO412" s="346"/>
      <c r="CQ412" s="253"/>
      <c r="CR412" s="345"/>
      <c r="CS412" s="253"/>
      <c r="CT412" s="346"/>
      <c r="CV412" s="253"/>
      <c r="CW412" s="345"/>
      <c r="CX412" s="253"/>
      <c r="CY412" s="346"/>
      <c r="DA412" s="253"/>
      <c r="DB412" s="345"/>
      <c r="DC412" s="253"/>
      <c r="DD412" s="346"/>
      <c r="DF412" s="253"/>
      <c r="DG412" s="345"/>
      <c r="DH412" s="253"/>
      <c r="DI412" s="346"/>
      <c r="DK412" s="253"/>
      <c r="DL412" s="345"/>
      <c r="DM412" s="253"/>
      <c r="DN412" s="346"/>
      <c r="DP412" s="253"/>
      <c r="DQ412" s="345"/>
      <c r="DR412" s="253"/>
      <c r="DS412" s="346"/>
      <c r="DU412" s="253"/>
      <c r="DV412" s="345"/>
      <c r="DW412" s="253"/>
      <c r="DX412" s="346"/>
      <c r="DZ412" s="253"/>
      <c r="EA412" s="345"/>
      <c r="EB412" s="253"/>
      <c r="EC412" s="346"/>
      <c r="EE412" s="253"/>
      <c r="EF412" s="345"/>
      <c r="EG412" s="253"/>
      <c r="EH412" s="346"/>
      <c r="EJ412" s="253"/>
      <c r="EK412" s="345"/>
      <c r="EL412" s="253"/>
      <c r="EM412" s="346"/>
      <c r="EO412" s="253"/>
      <c r="EP412" s="345"/>
      <c r="EQ412" s="253"/>
      <c r="ER412" s="346"/>
      <c r="ET412" s="253"/>
      <c r="EU412" s="345"/>
      <c r="EV412" s="253"/>
      <c r="EW412" s="346"/>
      <c r="EY412" s="253"/>
      <c r="EZ412" s="345"/>
      <c r="FA412" s="253"/>
      <c r="FB412" s="346"/>
      <c r="FD412" s="253"/>
      <c r="FE412" s="345"/>
      <c r="FF412" s="253"/>
      <c r="FG412" s="346"/>
      <c r="FI412" s="253"/>
      <c r="FJ412" s="345"/>
      <c r="FK412" s="253"/>
      <c r="FL412" s="346"/>
      <c r="FN412" s="253"/>
      <c r="FO412" s="345"/>
      <c r="FP412" s="253"/>
      <c r="FQ412" s="346"/>
      <c r="FS412" s="253"/>
      <c r="FT412" s="345"/>
      <c r="FU412" s="253"/>
      <c r="FV412" s="346"/>
      <c r="FX412" s="253"/>
      <c r="FY412" s="345"/>
      <c r="FZ412" s="253"/>
      <c r="GA412" s="346"/>
      <c r="GC412" s="253"/>
      <c r="GD412" s="345"/>
      <c r="GE412" s="253"/>
      <c r="GF412" s="346"/>
      <c r="GH412" s="253"/>
      <c r="GI412" s="345"/>
      <c r="GJ412" s="253"/>
      <c r="GK412" s="346"/>
      <c r="GM412" s="253"/>
      <c r="GN412" s="345"/>
      <c r="GO412" s="253"/>
      <c r="GP412" s="346"/>
      <c r="GR412" s="253"/>
      <c r="GS412" s="345"/>
      <c r="GT412" s="253"/>
      <c r="GU412" s="346"/>
      <c r="GW412" s="253"/>
      <c r="GX412" s="345"/>
      <c r="GY412" s="253"/>
      <c r="GZ412" s="346"/>
      <c r="HB412" s="253"/>
      <c r="HC412" s="345"/>
      <c r="HD412" s="253"/>
      <c r="HE412" s="346"/>
      <c r="HG412" s="253"/>
      <c r="HH412" s="345"/>
      <c r="HI412" s="253"/>
      <c r="HJ412" s="346"/>
      <c r="HL412" s="253"/>
      <c r="HM412" s="345"/>
      <c r="HN412" s="253"/>
      <c r="HO412" s="346"/>
      <c r="HQ412" s="253"/>
      <c r="HR412" s="345"/>
      <c r="HS412" s="253"/>
      <c r="HT412" s="346"/>
      <c r="HV412" s="253"/>
      <c r="HW412" s="345"/>
      <c r="HX412" s="253"/>
      <c r="HY412" s="346"/>
      <c r="IA412" s="253"/>
      <c r="IB412" s="345"/>
      <c r="IC412" s="253"/>
      <c r="ID412" s="346"/>
      <c r="IF412" s="253"/>
      <c r="IG412" s="345"/>
      <c r="IH412" s="253"/>
      <c r="II412" s="346"/>
      <c r="IK412" s="253"/>
      <c r="IL412" s="345"/>
      <c r="IM412" s="253"/>
      <c r="IN412" s="346"/>
      <c r="IP412" s="253"/>
      <c r="IQ412" s="345"/>
      <c r="IR412" s="253"/>
      <c r="IS412" s="346"/>
      <c r="IU412" s="253"/>
      <c r="IV412" s="345"/>
    </row>
    <row r="413" spans="1:256" x14ac:dyDescent="0.2">
      <c r="A413" s="345">
        <v>40086</v>
      </c>
      <c r="B413" s="1311">
        <v>3.68</v>
      </c>
      <c r="C413" s="346">
        <v>149699930.63999999</v>
      </c>
      <c r="D413" s="258">
        <v>3.7785000000000002</v>
      </c>
      <c r="E413" s="253">
        <f>B413-Index_Returns!B413</f>
        <v>-5.1529999999999632E-2</v>
      </c>
      <c r="F413" s="733"/>
      <c r="G413" s="728"/>
      <c r="H413" s="346"/>
      <c r="J413" s="253"/>
      <c r="K413" s="345"/>
      <c r="L413" s="253"/>
      <c r="M413" s="346"/>
      <c r="O413" s="253"/>
      <c r="P413" s="345"/>
      <c r="Q413" s="253"/>
      <c r="R413" s="346"/>
      <c r="T413" s="253"/>
      <c r="U413" s="345"/>
      <c r="V413" s="253"/>
      <c r="W413" s="346"/>
      <c r="Y413" s="253"/>
      <c r="Z413" s="345"/>
      <c r="AA413" s="253"/>
      <c r="AB413" s="346"/>
      <c r="AD413" s="253"/>
      <c r="AE413" s="345"/>
      <c r="AF413" s="253"/>
      <c r="AG413" s="346"/>
      <c r="AI413" s="253"/>
      <c r="AJ413" s="345"/>
      <c r="AK413" s="253"/>
      <c r="AL413" s="346"/>
      <c r="AN413" s="253"/>
      <c r="AO413" s="345"/>
      <c r="AP413" s="253"/>
      <c r="AQ413" s="346"/>
      <c r="AS413" s="253"/>
      <c r="AT413" s="345"/>
      <c r="AU413" s="253"/>
      <c r="AV413" s="346"/>
      <c r="AX413" s="253"/>
      <c r="AY413" s="345"/>
      <c r="AZ413" s="253"/>
      <c r="BA413" s="346"/>
      <c r="BC413" s="253"/>
      <c r="BD413" s="345"/>
      <c r="BE413" s="253"/>
      <c r="BF413" s="346"/>
      <c r="BH413" s="253"/>
      <c r="BI413" s="345"/>
      <c r="BJ413" s="253"/>
      <c r="BK413" s="346"/>
      <c r="BM413" s="253"/>
      <c r="BN413" s="345"/>
      <c r="BO413" s="253"/>
      <c r="BP413" s="346"/>
      <c r="BR413" s="253"/>
      <c r="BS413" s="345"/>
      <c r="BT413" s="253"/>
      <c r="BU413" s="346"/>
      <c r="BW413" s="253"/>
      <c r="BX413" s="345"/>
      <c r="BY413" s="253"/>
      <c r="BZ413" s="346"/>
      <c r="CB413" s="253"/>
      <c r="CC413" s="345"/>
      <c r="CD413" s="253"/>
      <c r="CE413" s="346"/>
      <c r="CG413" s="253"/>
      <c r="CH413" s="345"/>
      <c r="CI413" s="253"/>
      <c r="CJ413" s="346"/>
      <c r="CL413" s="253"/>
      <c r="CM413" s="345"/>
      <c r="CN413" s="253"/>
      <c r="CO413" s="346"/>
      <c r="CQ413" s="253"/>
      <c r="CR413" s="345"/>
      <c r="CS413" s="253"/>
      <c r="CT413" s="346"/>
      <c r="CV413" s="253"/>
      <c r="CW413" s="345"/>
      <c r="CX413" s="253"/>
      <c r="CY413" s="346"/>
      <c r="DA413" s="253"/>
      <c r="DB413" s="345"/>
      <c r="DC413" s="253"/>
      <c r="DD413" s="346"/>
      <c r="DF413" s="253"/>
      <c r="DG413" s="345"/>
      <c r="DH413" s="253"/>
      <c r="DI413" s="346"/>
      <c r="DK413" s="253"/>
      <c r="DL413" s="345"/>
      <c r="DM413" s="253"/>
      <c r="DN413" s="346"/>
      <c r="DP413" s="253"/>
      <c r="DQ413" s="345"/>
      <c r="DR413" s="253"/>
      <c r="DS413" s="346"/>
      <c r="DU413" s="253"/>
      <c r="DV413" s="345"/>
      <c r="DW413" s="253"/>
      <c r="DX413" s="346"/>
      <c r="DZ413" s="253"/>
      <c r="EA413" s="345"/>
      <c r="EB413" s="253"/>
      <c r="EC413" s="346"/>
      <c r="EE413" s="253"/>
      <c r="EF413" s="345"/>
      <c r="EG413" s="253"/>
      <c r="EH413" s="346"/>
      <c r="EJ413" s="253"/>
      <c r="EK413" s="345"/>
      <c r="EL413" s="253"/>
      <c r="EM413" s="346"/>
      <c r="EO413" s="253"/>
      <c r="EP413" s="345"/>
      <c r="EQ413" s="253"/>
      <c r="ER413" s="346"/>
      <c r="ET413" s="253"/>
      <c r="EU413" s="345"/>
      <c r="EV413" s="253"/>
      <c r="EW413" s="346"/>
      <c r="EY413" s="253"/>
      <c r="EZ413" s="345"/>
      <c r="FA413" s="253"/>
      <c r="FB413" s="346"/>
      <c r="FD413" s="253"/>
      <c r="FE413" s="345"/>
      <c r="FF413" s="253"/>
      <c r="FG413" s="346"/>
      <c r="FI413" s="253"/>
      <c r="FJ413" s="345"/>
      <c r="FK413" s="253"/>
      <c r="FL413" s="346"/>
      <c r="FN413" s="253"/>
      <c r="FO413" s="345"/>
      <c r="FP413" s="253"/>
      <c r="FQ413" s="346"/>
      <c r="FS413" s="253"/>
      <c r="FT413" s="345"/>
      <c r="FU413" s="253"/>
      <c r="FV413" s="346"/>
      <c r="FX413" s="253"/>
      <c r="FY413" s="345"/>
      <c r="FZ413" s="253"/>
      <c r="GA413" s="346"/>
      <c r="GC413" s="253"/>
      <c r="GD413" s="345"/>
      <c r="GE413" s="253"/>
      <c r="GF413" s="346"/>
      <c r="GH413" s="253"/>
      <c r="GI413" s="345"/>
      <c r="GJ413" s="253"/>
      <c r="GK413" s="346"/>
      <c r="GM413" s="253"/>
      <c r="GN413" s="345"/>
      <c r="GO413" s="253"/>
      <c r="GP413" s="346"/>
      <c r="GR413" s="253"/>
      <c r="GS413" s="345"/>
      <c r="GT413" s="253"/>
      <c r="GU413" s="346"/>
      <c r="GW413" s="253"/>
      <c r="GX413" s="345"/>
      <c r="GY413" s="253"/>
      <c r="GZ413" s="346"/>
      <c r="HB413" s="253"/>
      <c r="HC413" s="345"/>
      <c r="HD413" s="253"/>
      <c r="HE413" s="346"/>
      <c r="HG413" s="253"/>
      <c r="HH413" s="345"/>
      <c r="HI413" s="253"/>
      <c r="HJ413" s="346"/>
      <c r="HL413" s="253"/>
      <c r="HM413" s="345"/>
      <c r="HN413" s="253"/>
      <c r="HO413" s="346"/>
      <c r="HQ413" s="253"/>
      <c r="HR413" s="345"/>
      <c r="HS413" s="253"/>
      <c r="HT413" s="346"/>
      <c r="HV413" s="253"/>
      <c r="HW413" s="345"/>
      <c r="HX413" s="253"/>
      <c r="HY413" s="346"/>
      <c r="IA413" s="253"/>
      <c r="IB413" s="345"/>
      <c r="IC413" s="253"/>
      <c r="ID413" s="346"/>
      <c r="IF413" s="253"/>
      <c r="IG413" s="345"/>
      <c r="IH413" s="253"/>
      <c r="II413" s="346"/>
      <c r="IK413" s="253"/>
      <c r="IL413" s="345"/>
      <c r="IM413" s="253"/>
      <c r="IN413" s="346"/>
      <c r="IP413" s="253"/>
      <c r="IQ413" s="345"/>
      <c r="IR413" s="253"/>
      <c r="IS413" s="346"/>
      <c r="IU413" s="253"/>
      <c r="IV413" s="345"/>
    </row>
    <row r="414" spans="1:256" x14ac:dyDescent="0.2">
      <c r="A414" s="345">
        <v>40117</v>
      </c>
      <c r="B414" s="1311">
        <v>-1.93</v>
      </c>
      <c r="C414" s="346">
        <v>146803427</v>
      </c>
      <c r="D414" s="258">
        <v>-1.93</v>
      </c>
      <c r="E414" s="253">
        <f>B414-Index_Returns!B414</f>
        <v>-7.231999999999994E-2</v>
      </c>
      <c r="F414" s="733"/>
      <c r="G414" s="728"/>
      <c r="H414" s="346"/>
      <c r="J414" s="253"/>
      <c r="K414" s="345"/>
      <c r="L414" s="253"/>
      <c r="M414" s="346"/>
      <c r="O414" s="253"/>
      <c r="P414" s="345"/>
      <c r="Q414" s="253"/>
      <c r="R414" s="346"/>
      <c r="T414" s="253"/>
      <c r="U414" s="345"/>
      <c r="V414" s="253"/>
      <c r="W414" s="346"/>
      <c r="Y414" s="253"/>
      <c r="Z414" s="345"/>
      <c r="AA414" s="253"/>
      <c r="AB414" s="346"/>
      <c r="AD414" s="253"/>
      <c r="AE414" s="345"/>
      <c r="AF414" s="253"/>
      <c r="AG414" s="346"/>
      <c r="AI414" s="253"/>
      <c r="AJ414" s="345"/>
      <c r="AK414" s="253"/>
      <c r="AL414" s="346"/>
      <c r="AN414" s="253"/>
      <c r="AO414" s="345"/>
      <c r="AP414" s="253"/>
      <c r="AQ414" s="346"/>
      <c r="AS414" s="253"/>
      <c r="AT414" s="345"/>
      <c r="AU414" s="253"/>
      <c r="AV414" s="346"/>
      <c r="AX414" s="253"/>
      <c r="AY414" s="345"/>
      <c r="AZ414" s="253"/>
      <c r="BA414" s="346"/>
      <c r="BC414" s="253"/>
      <c r="BD414" s="345"/>
      <c r="BE414" s="253"/>
      <c r="BF414" s="346"/>
      <c r="BH414" s="253"/>
      <c r="BI414" s="345"/>
      <c r="BJ414" s="253"/>
      <c r="BK414" s="346"/>
      <c r="BM414" s="253"/>
      <c r="BN414" s="345"/>
      <c r="BO414" s="253"/>
      <c r="BP414" s="346"/>
      <c r="BR414" s="253"/>
      <c r="BS414" s="345"/>
      <c r="BT414" s="253"/>
      <c r="BU414" s="346"/>
      <c r="BW414" s="253"/>
      <c r="BX414" s="345"/>
      <c r="BY414" s="253"/>
      <c r="BZ414" s="346"/>
      <c r="CB414" s="253"/>
      <c r="CC414" s="345"/>
      <c r="CD414" s="253"/>
      <c r="CE414" s="346"/>
      <c r="CG414" s="253"/>
      <c r="CH414" s="345"/>
      <c r="CI414" s="253"/>
      <c r="CJ414" s="346"/>
      <c r="CL414" s="253"/>
      <c r="CM414" s="345"/>
      <c r="CN414" s="253"/>
      <c r="CO414" s="346"/>
      <c r="CQ414" s="253"/>
      <c r="CR414" s="345"/>
      <c r="CS414" s="253"/>
      <c r="CT414" s="346"/>
      <c r="CV414" s="253"/>
      <c r="CW414" s="345"/>
      <c r="CX414" s="253"/>
      <c r="CY414" s="346"/>
      <c r="DA414" s="253"/>
      <c r="DB414" s="345"/>
      <c r="DC414" s="253"/>
      <c r="DD414" s="346"/>
      <c r="DF414" s="253"/>
      <c r="DG414" s="345"/>
      <c r="DH414" s="253"/>
      <c r="DI414" s="346"/>
      <c r="DK414" s="253"/>
      <c r="DL414" s="345"/>
      <c r="DM414" s="253"/>
      <c r="DN414" s="346"/>
      <c r="DP414" s="253"/>
      <c r="DQ414" s="345"/>
      <c r="DR414" s="253"/>
      <c r="DS414" s="346"/>
      <c r="DU414" s="253"/>
      <c r="DV414" s="345"/>
      <c r="DW414" s="253"/>
      <c r="DX414" s="346"/>
      <c r="DZ414" s="253"/>
      <c r="EA414" s="345"/>
      <c r="EB414" s="253"/>
      <c r="EC414" s="346"/>
      <c r="EE414" s="253"/>
      <c r="EF414" s="345"/>
      <c r="EG414" s="253"/>
      <c r="EH414" s="346"/>
      <c r="EJ414" s="253"/>
      <c r="EK414" s="345"/>
      <c r="EL414" s="253"/>
      <c r="EM414" s="346"/>
      <c r="EO414" s="253"/>
      <c r="EP414" s="345"/>
      <c r="EQ414" s="253"/>
      <c r="ER414" s="346"/>
      <c r="ET414" s="253"/>
      <c r="EU414" s="345"/>
      <c r="EV414" s="253"/>
      <c r="EW414" s="346"/>
      <c r="EY414" s="253"/>
      <c r="EZ414" s="345"/>
      <c r="FA414" s="253"/>
      <c r="FB414" s="346"/>
      <c r="FD414" s="253"/>
      <c r="FE414" s="345"/>
      <c r="FF414" s="253"/>
      <c r="FG414" s="346"/>
      <c r="FI414" s="253"/>
      <c r="FJ414" s="345"/>
      <c r="FK414" s="253"/>
      <c r="FL414" s="346"/>
      <c r="FN414" s="253"/>
      <c r="FO414" s="345"/>
      <c r="FP414" s="253"/>
      <c r="FQ414" s="346"/>
      <c r="FS414" s="253"/>
      <c r="FT414" s="345"/>
      <c r="FU414" s="253"/>
      <c r="FV414" s="346"/>
      <c r="FX414" s="253"/>
      <c r="FY414" s="345"/>
      <c r="FZ414" s="253"/>
      <c r="GA414" s="346"/>
      <c r="GC414" s="253"/>
      <c r="GD414" s="345"/>
      <c r="GE414" s="253"/>
      <c r="GF414" s="346"/>
      <c r="GH414" s="253"/>
      <c r="GI414" s="345"/>
      <c r="GJ414" s="253"/>
      <c r="GK414" s="346"/>
      <c r="GM414" s="253"/>
      <c r="GN414" s="345"/>
      <c r="GO414" s="253"/>
      <c r="GP414" s="346"/>
      <c r="GR414" s="253"/>
      <c r="GS414" s="345"/>
      <c r="GT414" s="253"/>
      <c r="GU414" s="346"/>
      <c r="GW414" s="253"/>
      <c r="GX414" s="345"/>
      <c r="GY414" s="253"/>
      <c r="GZ414" s="346"/>
      <c r="HB414" s="253"/>
      <c r="HC414" s="345"/>
      <c r="HD414" s="253"/>
      <c r="HE414" s="346"/>
      <c r="HG414" s="253"/>
      <c r="HH414" s="345"/>
      <c r="HI414" s="253"/>
      <c r="HJ414" s="346"/>
      <c r="HL414" s="253"/>
      <c r="HM414" s="345"/>
      <c r="HN414" s="253"/>
      <c r="HO414" s="346"/>
      <c r="HQ414" s="253"/>
      <c r="HR414" s="345"/>
      <c r="HS414" s="253"/>
      <c r="HT414" s="346"/>
      <c r="HV414" s="253"/>
      <c r="HW414" s="345"/>
      <c r="HX414" s="253"/>
      <c r="HY414" s="346"/>
      <c r="IA414" s="253"/>
      <c r="IB414" s="345"/>
      <c r="IC414" s="253"/>
      <c r="ID414" s="346"/>
      <c r="IF414" s="253"/>
      <c r="IG414" s="345"/>
      <c r="IH414" s="253"/>
      <c r="II414" s="346"/>
      <c r="IK414" s="253"/>
      <c r="IL414" s="345"/>
      <c r="IM414" s="253"/>
      <c r="IN414" s="346"/>
      <c r="IP414" s="253"/>
      <c r="IQ414" s="345"/>
      <c r="IR414" s="253"/>
      <c r="IS414" s="346"/>
      <c r="IU414" s="253"/>
      <c r="IV414" s="345"/>
    </row>
    <row r="415" spans="1:256" x14ac:dyDescent="0.2">
      <c r="A415" s="345">
        <v>40147</v>
      </c>
      <c r="B415" s="1311">
        <v>4.72</v>
      </c>
      <c r="C415" s="346">
        <v>153717493</v>
      </c>
      <c r="D415" s="258">
        <v>4.71</v>
      </c>
      <c r="E415" s="253">
        <f>B415-Index_Returns!B415</f>
        <v>-1.2783500000000005</v>
      </c>
      <c r="F415" s="733"/>
      <c r="G415" s="728"/>
      <c r="H415" s="346"/>
      <c r="J415" s="253"/>
      <c r="K415" s="345"/>
      <c r="L415" s="253"/>
      <c r="M415" s="346"/>
      <c r="O415" s="253"/>
      <c r="P415" s="345"/>
      <c r="Q415" s="253"/>
      <c r="R415" s="346"/>
      <c r="T415" s="253"/>
      <c r="U415" s="345"/>
      <c r="V415" s="253"/>
      <c r="W415" s="346"/>
      <c r="Y415" s="253"/>
      <c r="Z415" s="345"/>
      <c r="AA415" s="253"/>
      <c r="AB415" s="346"/>
      <c r="AD415" s="253"/>
      <c r="AE415" s="345"/>
      <c r="AF415" s="253"/>
      <c r="AG415" s="346"/>
      <c r="AI415" s="253"/>
      <c r="AJ415" s="345"/>
      <c r="AK415" s="253"/>
      <c r="AL415" s="346"/>
      <c r="AN415" s="253"/>
      <c r="AO415" s="345"/>
      <c r="AP415" s="253"/>
      <c r="AQ415" s="346"/>
      <c r="AS415" s="253"/>
      <c r="AT415" s="345"/>
      <c r="AU415" s="253"/>
      <c r="AV415" s="346"/>
      <c r="AX415" s="253"/>
      <c r="AY415" s="345"/>
      <c r="AZ415" s="253"/>
      <c r="BA415" s="346"/>
      <c r="BC415" s="253"/>
      <c r="BD415" s="345"/>
      <c r="BE415" s="253"/>
      <c r="BF415" s="346"/>
      <c r="BH415" s="253"/>
      <c r="BI415" s="345"/>
      <c r="BJ415" s="253"/>
      <c r="BK415" s="346"/>
      <c r="BM415" s="253"/>
      <c r="BN415" s="345"/>
      <c r="BO415" s="253"/>
      <c r="BP415" s="346"/>
      <c r="BR415" s="253"/>
      <c r="BS415" s="345"/>
      <c r="BT415" s="253"/>
      <c r="BU415" s="346"/>
      <c r="BW415" s="253"/>
      <c r="BX415" s="345"/>
      <c r="BY415" s="253"/>
      <c r="BZ415" s="346"/>
      <c r="CB415" s="253"/>
      <c r="CC415" s="345"/>
      <c r="CD415" s="253"/>
      <c r="CE415" s="346"/>
      <c r="CG415" s="253"/>
      <c r="CH415" s="345"/>
      <c r="CI415" s="253"/>
      <c r="CJ415" s="346"/>
      <c r="CL415" s="253"/>
      <c r="CM415" s="345"/>
      <c r="CN415" s="253"/>
      <c r="CO415" s="346"/>
      <c r="CQ415" s="253"/>
      <c r="CR415" s="345"/>
      <c r="CS415" s="253"/>
      <c r="CT415" s="346"/>
      <c r="CV415" s="253"/>
      <c r="CW415" s="345"/>
      <c r="CX415" s="253"/>
      <c r="CY415" s="346"/>
      <c r="DA415" s="253"/>
      <c r="DB415" s="345"/>
      <c r="DC415" s="253"/>
      <c r="DD415" s="346"/>
      <c r="DF415" s="253"/>
      <c r="DG415" s="345"/>
      <c r="DH415" s="253"/>
      <c r="DI415" s="346"/>
      <c r="DK415" s="253"/>
      <c r="DL415" s="345"/>
      <c r="DM415" s="253"/>
      <c r="DN415" s="346"/>
      <c r="DP415" s="253"/>
      <c r="DQ415" s="345"/>
      <c r="DR415" s="253"/>
      <c r="DS415" s="346"/>
      <c r="DU415" s="253"/>
      <c r="DV415" s="345"/>
      <c r="DW415" s="253"/>
      <c r="DX415" s="346"/>
      <c r="DZ415" s="253"/>
      <c r="EA415" s="345"/>
      <c r="EB415" s="253"/>
      <c r="EC415" s="346"/>
      <c r="EE415" s="253"/>
      <c r="EF415" s="345"/>
      <c r="EG415" s="253"/>
      <c r="EH415" s="346"/>
      <c r="EJ415" s="253"/>
      <c r="EK415" s="345"/>
      <c r="EL415" s="253"/>
      <c r="EM415" s="346"/>
      <c r="EO415" s="253"/>
      <c r="EP415" s="345"/>
      <c r="EQ415" s="253"/>
      <c r="ER415" s="346"/>
      <c r="ET415" s="253"/>
      <c r="EU415" s="345"/>
      <c r="EV415" s="253"/>
      <c r="EW415" s="346"/>
      <c r="EY415" s="253"/>
      <c r="EZ415" s="345"/>
      <c r="FA415" s="253"/>
      <c r="FB415" s="346"/>
      <c r="FD415" s="253"/>
      <c r="FE415" s="345"/>
      <c r="FF415" s="253"/>
      <c r="FG415" s="346"/>
      <c r="FI415" s="253"/>
      <c r="FJ415" s="345"/>
      <c r="FK415" s="253"/>
      <c r="FL415" s="346"/>
      <c r="FN415" s="253"/>
      <c r="FO415" s="345"/>
      <c r="FP415" s="253"/>
      <c r="FQ415" s="346"/>
      <c r="FS415" s="253"/>
      <c r="FT415" s="345"/>
      <c r="FU415" s="253"/>
      <c r="FV415" s="346"/>
      <c r="FX415" s="253"/>
      <c r="FY415" s="345"/>
      <c r="FZ415" s="253"/>
      <c r="GA415" s="346"/>
      <c r="GC415" s="253"/>
      <c r="GD415" s="345"/>
      <c r="GE415" s="253"/>
      <c r="GF415" s="346"/>
      <c r="GH415" s="253"/>
      <c r="GI415" s="345"/>
      <c r="GJ415" s="253"/>
      <c r="GK415" s="346"/>
      <c r="GM415" s="253"/>
      <c r="GN415" s="345"/>
      <c r="GO415" s="253"/>
      <c r="GP415" s="346"/>
      <c r="GR415" s="253"/>
      <c r="GS415" s="345"/>
      <c r="GT415" s="253"/>
      <c r="GU415" s="346"/>
      <c r="GW415" s="253"/>
      <c r="GX415" s="345"/>
      <c r="GY415" s="253"/>
      <c r="GZ415" s="346"/>
      <c r="HB415" s="253"/>
      <c r="HC415" s="345"/>
      <c r="HD415" s="253"/>
      <c r="HE415" s="346"/>
      <c r="HG415" s="253"/>
      <c r="HH415" s="345"/>
      <c r="HI415" s="253"/>
      <c r="HJ415" s="346"/>
      <c r="HL415" s="253"/>
      <c r="HM415" s="345"/>
      <c r="HN415" s="253"/>
      <c r="HO415" s="346"/>
      <c r="HQ415" s="253"/>
      <c r="HR415" s="345"/>
      <c r="HS415" s="253"/>
      <c r="HT415" s="346"/>
      <c r="HV415" s="253"/>
      <c r="HW415" s="345"/>
      <c r="HX415" s="253"/>
      <c r="HY415" s="346"/>
      <c r="IA415" s="253"/>
      <c r="IB415" s="345"/>
      <c r="IC415" s="253"/>
      <c r="ID415" s="346"/>
      <c r="IF415" s="253"/>
      <c r="IG415" s="345"/>
      <c r="IH415" s="253"/>
      <c r="II415" s="346"/>
      <c r="IK415" s="253"/>
      <c r="IL415" s="345"/>
      <c r="IM415" s="253"/>
      <c r="IN415" s="346"/>
      <c r="IP415" s="253"/>
      <c r="IQ415" s="345"/>
      <c r="IR415" s="253"/>
      <c r="IS415" s="346"/>
      <c r="IU415" s="253"/>
      <c r="IV415" s="345"/>
    </row>
    <row r="416" spans="1:256" x14ac:dyDescent="0.2">
      <c r="A416" s="345">
        <v>40178</v>
      </c>
      <c r="B416" s="1311">
        <v>2.81</v>
      </c>
      <c r="C416" s="346">
        <v>158045646.65000001</v>
      </c>
      <c r="D416" s="258">
        <v>2.8067799999999998</v>
      </c>
      <c r="E416" s="253">
        <f>B416-Index_Returns!B416</f>
        <v>0.87848999999999999</v>
      </c>
      <c r="F416" s="733"/>
      <c r="G416" s="728"/>
      <c r="H416" s="346"/>
      <c r="J416" s="253"/>
      <c r="K416" s="345"/>
      <c r="L416" s="253"/>
      <c r="M416" s="346"/>
      <c r="O416" s="253"/>
      <c r="P416" s="345"/>
      <c r="Q416" s="253"/>
      <c r="R416" s="346"/>
      <c r="T416" s="253"/>
      <c r="U416" s="345"/>
      <c r="V416" s="253"/>
      <c r="W416" s="346"/>
      <c r="Y416" s="253"/>
      <c r="Z416" s="345"/>
      <c r="AA416" s="253"/>
      <c r="AB416" s="346"/>
      <c r="AD416" s="253"/>
      <c r="AE416" s="345"/>
      <c r="AF416" s="253"/>
      <c r="AG416" s="346"/>
      <c r="AI416" s="253"/>
      <c r="AJ416" s="345"/>
      <c r="AK416" s="253"/>
      <c r="AL416" s="346"/>
      <c r="AN416" s="253"/>
      <c r="AO416" s="345"/>
      <c r="AP416" s="253"/>
      <c r="AQ416" s="346"/>
      <c r="AS416" s="253"/>
      <c r="AT416" s="345"/>
      <c r="AU416" s="253"/>
      <c r="AV416" s="346"/>
      <c r="AX416" s="253"/>
      <c r="AY416" s="345"/>
      <c r="AZ416" s="253"/>
      <c r="BA416" s="346"/>
      <c r="BC416" s="253"/>
      <c r="BD416" s="345"/>
      <c r="BE416" s="253"/>
      <c r="BF416" s="346"/>
      <c r="BH416" s="253"/>
      <c r="BI416" s="345"/>
      <c r="BJ416" s="253"/>
      <c r="BK416" s="346"/>
      <c r="BM416" s="253"/>
      <c r="BN416" s="345"/>
      <c r="BO416" s="253"/>
      <c r="BP416" s="346"/>
      <c r="BR416" s="253"/>
      <c r="BS416" s="345"/>
      <c r="BT416" s="253"/>
      <c r="BU416" s="346"/>
      <c r="BW416" s="253"/>
      <c r="BX416" s="345"/>
      <c r="BY416" s="253"/>
      <c r="BZ416" s="346"/>
      <c r="CB416" s="253"/>
      <c r="CC416" s="345"/>
      <c r="CD416" s="253"/>
      <c r="CE416" s="346"/>
      <c r="CG416" s="253"/>
      <c r="CH416" s="345"/>
      <c r="CI416" s="253"/>
      <c r="CJ416" s="346"/>
      <c r="CL416" s="253"/>
      <c r="CM416" s="345"/>
      <c r="CN416" s="253"/>
      <c r="CO416" s="346"/>
      <c r="CQ416" s="253"/>
      <c r="CR416" s="345"/>
      <c r="CS416" s="253"/>
      <c r="CT416" s="346"/>
      <c r="CV416" s="253"/>
      <c r="CW416" s="345"/>
      <c r="CX416" s="253"/>
      <c r="CY416" s="346"/>
      <c r="DA416" s="253"/>
      <c r="DB416" s="345"/>
      <c r="DC416" s="253"/>
      <c r="DD416" s="346"/>
      <c r="DF416" s="253"/>
      <c r="DG416" s="345"/>
      <c r="DH416" s="253"/>
      <c r="DI416" s="346"/>
      <c r="DK416" s="253"/>
      <c r="DL416" s="345"/>
      <c r="DM416" s="253"/>
      <c r="DN416" s="346"/>
      <c r="DP416" s="253"/>
      <c r="DQ416" s="345"/>
      <c r="DR416" s="253"/>
      <c r="DS416" s="346"/>
      <c r="DU416" s="253"/>
      <c r="DV416" s="345"/>
      <c r="DW416" s="253"/>
      <c r="DX416" s="346"/>
      <c r="DZ416" s="253"/>
      <c r="EA416" s="345"/>
      <c r="EB416" s="253"/>
      <c r="EC416" s="346"/>
      <c r="EE416" s="253"/>
      <c r="EF416" s="345"/>
      <c r="EG416" s="253"/>
      <c r="EH416" s="346"/>
      <c r="EJ416" s="253"/>
      <c r="EK416" s="345"/>
      <c r="EL416" s="253"/>
      <c r="EM416" s="346"/>
      <c r="EO416" s="253"/>
      <c r="EP416" s="345"/>
      <c r="EQ416" s="253"/>
      <c r="ER416" s="346"/>
      <c r="ET416" s="253"/>
      <c r="EU416" s="345"/>
      <c r="EV416" s="253"/>
      <c r="EW416" s="346"/>
      <c r="EY416" s="253"/>
      <c r="EZ416" s="345"/>
      <c r="FA416" s="253"/>
      <c r="FB416" s="346"/>
      <c r="FD416" s="253"/>
      <c r="FE416" s="345"/>
      <c r="FF416" s="253"/>
      <c r="FG416" s="346"/>
      <c r="FI416" s="253"/>
      <c r="FJ416" s="345"/>
      <c r="FK416" s="253"/>
      <c r="FL416" s="346"/>
      <c r="FN416" s="253"/>
      <c r="FO416" s="345"/>
      <c r="FP416" s="253"/>
      <c r="FQ416" s="346"/>
      <c r="FS416" s="253"/>
      <c r="FT416" s="345"/>
      <c r="FU416" s="253"/>
      <c r="FV416" s="346"/>
      <c r="FX416" s="253"/>
      <c r="FY416" s="345"/>
      <c r="FZ416" s="253"/>
      <c r="GA416" s="346"/>
      <c r="GC416" s="253"/>
      <c r="GD416" s="345"/>
      <c r="GE416" s="253"/>
      <c r="GF416" s="346"/>
      <c r="GH416" s="253"/>
      <c r="GI416" s="345"/>
      <c r="GJ416" s="253"/>
      <c r="GK416" s="346"/>
      <c r="GM416" s="253"/>
      <c r="GN416" s="345"/>
      <c r="GO416" s="253"/>
      <c r="GP416" s="346"/>
      <c r="GR416" s="253"/>
      <c r="GS416" s="345"/>
      <c r="GT416" s="253"/>
      <c r="GU416" s="346"/>
      <c r="GW416" s="253"/>
      <c r="GX416" s="345"/>
      <c r="GY416" s="253"/>
      <c r="GZ416" s="346"/>
      <c r="HB416" s="253"/>
      <c r="HC416" s="345"/>
      <c r="HD416" s="253"/>
      <c r="HE416" s="346"/>
      <c r="HG416" s="253"/>
      <c r="HH416" s="345"/>
      <c r="HI416" s="253"/>
      <c r="HJ416" s="346"/>
      <c r="HL416" s="253"/>
      <c r="HM416" s="345"/>
      <c r="HN416" s="253"/>
      <c r="HO416" s="346"/>
      <c r="HQ416" s="253"/>
      <c r="HR416" s="345"/>
      <c r="HS416" s="253"/>
      <c r="HT416" s="346"/>
      <c r="HV416" s="253"/>
      <c r="HW416" s="345"/>
      <c r="HX416" s="253"/>
      <c r="HY416" s="346"/>
      <c r="IA416" s="253"/>
      <c r="IB416" s="345"/>
      <c r="IC416" s="253"/>
      <c r="ID416" s="346"/>
      <c r="IF416" s="253"/>
      <c r="IG416" s="345"/>
      <c r="IH416" s="253"/>
      <c r="II416" s="346"/>
      <c r="IK416" s="253"/>
      <c r="IL416" s="345"/>
      <c r="IM416" s="253"/>
      <c r="IN416" s="346"/>
      <c r="IP416" s="253"/>
      <c r="IQ416" s="345"/>
      <c r="IR416" s="253"/>
      <c r="IS416" s="346"/>
      <c r="IU416" s="253"/>
      <c r="IV416" s="345"/>
    </row>
    <row r="417" spans="1:256" x14ac:dyDescent="0.2">
      <c r="A417" s="345">
        <v>40209</v>
      </c>
      <c r="B417" s="253">
        <v>-3.19</v>
      </c>
      <c r="C417" s="346">
        <v>154183788.41999999</v>
      </c>
      <c r="D417" s="258">
        <v>-3.19028</v>
      </c>
      <c r="E417" s="253">
        <f>B417-Index_Returns!B417</f>
        <v>0.40734000000000004</v>
      </c>
      <c r="F417" s="733"/>
      <c r="G417" s="728"/>
      <c r="H417" s="346"/>
      <c r="J417" s="253"/>
      <c r="K417" s="345"/>
      <c r="L417" s="253"/>
      <c r="M417" s="346"/>
      <c r="O417" s="253"/>
      <c r="P417" s="345"/>
      <c r="Q417" s="253"/>
      <c r="R417" s="346"/>
      <c r="T417" s="253"/>
      <c r="U417" s="345"/>
      <c r="V417" s="253"/>
      <c r="W417" s="346"/>
      <c r="Y417" s="253"/>
      <c r="Z417" s="345"/>
      <c r="AA417" s="253"/>
      <c r="AB417" s="346"/>
      <c r="AD417" s="253"/>
      <c r="AE417" s="345"/>
      <c r="AF417" s="253"/>
      <c r="AG417" s="346"/>
      <c r="AI417" s="253"/>
      <c r="AJ417" s="345"/>
      <c r="AK417" s="253"/>
      <c r="AL417" s="346"/>
      <c r="AN417" s="253"/>
      <c r="AO417" s="345"/>
      <c r="AP417" s="253"/>
      <c r="AQ417" s="346"/>
      <c r="AS417" s="253"/>
      <c r="AT417" s="345"/>
      <c r="AU417" s="253"/>
      <c r="AV417" s="346"/>
      <c r="AX417" s="253"/>
      <c r="AY417" s="345"/>
      <c r="AZ417" s="253"/>
      <c r="BA417" s="346"/>
      <c r="BC417" s="253"/>
      <c r="BD417" s="345"/>
      <c r="BE417" s="253"/>
      <c r="BF417" s="346"/>
      <c r="BH417" s="253"/>
      <c r="BI417" s="345"/>
      <c r="BJ417" s="253"/>
      <c r="BK417" s="346"/>
      <c r="BM417" s="253"/>
      <c r="BN417" s="345"/>
      <c r="BO417" s="253"/>
      <c r="BP417" s="346"/>
      <c r="BR417" s="253"/>
      <c r="BS417" s="345"/>
      <c r="BT417" s="253"/>
      <c r="BU417" s="346"/>
      <c r="BW417" s="253"/>
      <c r="BX417" s="345"/>
      <c r="BY417" s="253"/>
      <c r="BZ417" s="346"/>
      <c r="CB417" s="253"/>
      <c r="CC417" s="345"/>
      <c r="CD417" s="253"/>
      <c r="CE417" s="346"/>
      <c r="CG417" s="253"/>
      <c r="CH417" s="345"/>
      <c r="CI417" s="253"/>
      <c r="CJ417" s="346"/>
      <c r="CL417" s="253"/>
      <c r="CM417" s="345"/>
      <c r="CN417" s="253"/>
      <c r="CO417" s="346"/>
      <c r="CQ417" s="253"/>
      <c r="CR417" s="345"/>
      <c r="CS417" s="253"/>
      <c r="CT417" s="346"/>
      <c r="CV417" s="253"/>
      <c r="CW417" s="345"/>
      <c r="CX417" s="253"/>
      <c r="CY417" s="346"/>
      <c r="DA417" s="253"/>
      <c r="DB417" s="345"/>
      <c r="DC417" s="253"/>
      <c r="DD417" s="346"/>
      <c r="DF417" s="253"/>
      <c r="DG417" s="345"/>
      <c r="DH417" s="253"/>
      <c r="DI417" s="346"/>
      <c r="DK417" s="253"/>
      <c r="DL417" s="345"/>
      <c r="DM417" s="253"/>
      <c r="DN417" s="346"/>
      <c r="DP417" s="253"/>
      <c r="DQ417" s="345"/>
      <c r="DR417" s="253"/>
      <c r="DS417" s="346"/>
      <c r="DU417" s="253"/>
      <c r="DV417" s="345"/>
      <c r="DW417" s="253"/>
      <c r="DX417" s="346"/>
      <c r="DZ417" s="253"/>
      <c r="EA417" s="345"/>
      <c r="EB417" s="253"/>
      <c r="EC417" s="346"/>
      <c r="EE417" s="253"/>
      <c r="EF417" s="345"/>
      <c r="EG417" s="253"/>
      <c r="EH417" s="346"/>
      <c r="EJ417" s="253"/>
      <c r="EK417" s="345"/>
      <c r="EL417" s="253"/>
      <c r="EM417" s="346"/>
      <c r="EO417" s="253"/>
      <c r="EP417" s="345"/>
      <c r="EQ417" s="253"/>
      <c r="ER417" s="346"/>
      <c r="ET417" s="253"/>
      <c r="EU417" s="345"/>
      <c r="EV417" s="253"/>
      <c r="EW417" s="346"/>
      <c r="EY417" s="253"/>
      <c r="EZ417" s="345"/>
      <c r="FA417" s="253"/>
      <c r="FB417" s="346"/>
      <c r="FD417" s="253"/>
      <c r="FE417" s="345"/>
      <c r="FF417" s="253"/>
      <c r="FG417" s="346"/>
      <c r="FI417" s="253"/>
      <c r="FJ417" s="345"/>
      <c r="FK417" s="253"/>
      <c r="FL417" s="346"/>
      <c r="FN417" s="253"/>
      <c r="FO417" s="345"/>
      <c r="FP417" s="253"/>
      <c r="FQ417" s="346"/>
      <c r="FS417" s="253"/>
      <c r="FT417" s="345"/>
      <c r="FU417" s="253"/>
      <c r="FV417" s="346"/>
      <c r="FX417" s="253"/>
      <c r="FY417" s="345"/>
      <c r="FZ417" s="253"/>
      <c r="GA417" s="346"/>
      <c r="GC417" s="253"/>
      <c r="GD417" s="345"/>
      <c r="GE417" s="253"/>
      <c r="GF417" s="346"/>
      <c r="GH417" s="253"/>
      <c r="GI417" s="345"/>
      <c r="GJ417" s="253"/>
      <c r="GK417" s="346"/>
      <c r="GM417" s="253"/>
      <c r="GN417" s="345"/>
      <c r="GO417" s="253"/>
      <c r="GP417" s="346"/>
      <c r="GR417" s="253"/>
      <c r="GS417" s="345"/>
      <c r="GT417" s="253"/>
      <c r="GU417" s="346"/>
      <c r="GW417" s="253"/>
      <c r="GX417" s="345"/>
      <c r="GY417" s="253"/>
      <c r="GZ417" s="346"/>
      <c r="HB417" s="253"/>
      <c r="HC417" s="345"/>
      <c r="HD417" s="253"/>
      <c r="HE417" s="346"/>
      <c r="HG417" s="253"/>
      <c r="HH417" s="345"/>
      <c r="HI417" s="253"/>
      <c r="HJ417" s="346"/>
      <c r="HL417" s="253"/>
      <c r="HM417" s="345"/>
      <c r="HN417" s="253"/>
      <c r="HO417" s="346"/>
      <c r="HQ417" s="253"/>
      <c r="HR417" s="345"/>
      <c r="HS417" s="253"/>
      <c r="HT417" s="346"/>
      <c r="HV417" s="253"/>
      <c r="HW417" s="345"/>
      <c r="HX417" s="253"/>
      <c r="HY417" s="346"/>
      <c r="IA417" s="253"/>
      <c r="IB417" s="345"/>
      <c r="IC417" s="253"/>
      <c r="ID417" s="346"/>
      <c r="IF417" s="253"/>
      <c r="IG417" s="345"/>
      <c r="IH417" s="253"/>
      <c r="II417" s="346"/>
      <c r="IK417" s="253"/>
      <c r="IL417" s="345"/>
      <c r="IM417" s="253"/>
      <c r="IN417" s="346"/>
      <c r="IP417" s="253"/>
      <c r="IQ417" s="345"/>
      <c r="IR417" s="253"/>
      <c r="IS417" s="346"/>
      <c r="IU417" s="253"/>
      <c r="IV417" s="345"/>
    </row>
    <row r="418" spans="1:256" x14ac:dyDescent="0.2">
      <c r="A418" s="345">
        <v>40237</v>
      </c>
      <c r="B418" s="253">
        <v>4.12</v>
      </c>
      <c r="C418" s="346">
        <v>159316316.86000001</v>
      </c>
      <c r="D418" s="258">
        <v>4.1258999999999997</v>
      </c>
      <c r="E418" s="253">
        <f>B418-Index_Returns!B418</f>
        <v>1.0222800000000003</v>
      </c>
      <c r="F418" s="733"/>
      <c r="G418" s="728"/>
      <c r="H418" s="346"/>
      <c r="J418" s="253"/>
      <c r="K418" s="345"/>
      <c r="L418" s="253"/>
      <c r="M418" s="346"/>
      <c r="O418" s="253"/>
      <c r="P418" s="345"/>
      <c r="Q418" s="253"/>
      <c r="R418" s="346"/>
      <c r="T418" s="253"/>
      <c r="U418" s="345"/>
      <c r="V418" s="253"/>
      <c r="W418" s="346"/>
      <c r="Y418" s="253"/>
      <c r="Z418" s="345"/>
      <c r="AA418" s="253"/>
      <c r="AB418" s="346"/>
      <c r="AD418" s="253"/>
      <c r="AE418" s="345"/>
      <c r="AF418" s="253"/>
      <c r="AG418" s="346"/>
      <c r="AI418" s="253"/>
      <c r="AJ418" s="345"/>
      <c r="AK418" s="253"/>
      <c r="AL418" s="346"/>
      <c r="AN418" s="253"/>
      <c r="AO418" s="345"/>
      <c r="AP418" s="253"/>
      <c r="AQ418" s="346"/>
      <c r="AS418" s="253"/>
      <c r="AT418" s="345"/>
      <c r="AU418" s="253"/>
      <c r="AV418" s="346"/>
      <c r="AX418" s="253"/>
      <c r="AY418" s="345"/>
      <c r="AZ418" s="253"/>
      <c r="BA418" s="346"/>
      <c r="BC418" s="253"/>
      <c r="BD418" s="345"/>
      <c r="BE418" s="253"/>
      <c r="BF418" s="346"/>
      <c r="BH418" s="253"/>
      <c r="BI418" s="345"/>
      <c r="BJ418" s="253"/>
      <c r="BK418" s="346"/>
      <c r="BM418" s="253"/>
      <c r="BN418" s="345"/>
      <c r="BO418" s="253"/>
      <c r="BP418" s="346"/>
      <c r="BR418" s="253"/>
      <c r="BS418" s="345"/>
      <c r="BT418" s="253"/>
      <c r="BU418" s="346"/>
      <c r="BW418" s="253"/>
      <c r="BX418" s="345"/>
      <c r="BY418" s="253"/>
      <c r="BZ418" s="346"/>
      <c r="CB418" s="253"/>
      <c r="CC418" s="345"/>
      <c r="CD418" s="253"/>
      <c r="CE418" s="346"/>
      <c r="CG418" s="253"/>
      <c r="CH418" s="345"/>
      <c r="CI418" s="253"/>
      <c r="CJ418" s="346"/>
      <c r="CL418" s="253"/>
      <c r="CM418" s="345"/>
      <c r="CN418" s="253"/>
      <c r="CO418" s="346"/>
      <c r="CQ418" s="253"/>
      <c r="CR418" s="345"/>
      <c r="CS418" s="253"/>
      <c r="CT418" s="346"/>
      <c r="CV418" s="253"/>
      <c r="CW418" s="345"/>
      <c r="CX418" s="253"/>
      <c r="CY418" s="346"/>
      <c r="DA418" s="253"/>
      <c r="DB418" s="345"/>
      <c r="DC418" s="253"/>
      <c r="DD418" s="346"/>
      <c r="DF418" s="253"/>
      <c r="DG418" s="345"/>
      <c r="DH418" s="253"/>
      <c r="DI418" s="346"/>
      <c r="DK418" s="253"/>
      <c r="DL418" s="345"/>
      <c r="DM418" s="253"/>
      <c r="DN418" s="346"/>
      <c r="DP418" s="253"/>
      <c r="DQ418" s="345"/>
      <c r="DR418" s="253"/>
      <c r="DS418" s="346"/>
      <c r="DU418" s="253"/>
      <c r="DV418" s="345"/>
      <c r="DW418" s="253"/>
      <c r="DX418" s="346"/>
      <c r="DZ418" s="253"/>
      <c r="EA418" s="345"/>
      <c r="EB418" s="253"/>
      <c r="EC418" s="346"/>
      <c r="EE418" s="253"/>
      <c r="EF418" s="345"/>
      <c r="EG418" s="253"/>
      <c r="EH418" s="346"/>
      <c r="EJ418" s="253"/>
      <c r="EK418" s="345"/>
      <c r="EL418" s="253"/>
      <c r="EM418" s="346"/>
      <c r="EO418" s="253"/>
      <c r="EP418" s="345"/>
      <c r="EQ418" s="253"/>
      <c r="ER418" s="346"/>
      <c r="ET418" s="253"/>
      <c r="EU418" s="345"/>
      <c r="EV418" s="253"/>
      <c r="EW418" s="346"/>
      <c r="EY418" s="253"/>
      <c r="EZ418" s="345"/>
      <c r="FA418" s="253"/>
      <c r="FB418" s="346"/>
      <c r="FD418" s="253"/>
      <c r="FE418" s="345"/>
      <c r="FF418" s="253"/>
      <c r="FG418" s="346"/>
      <c r="FI418" s="253"/>
      <c r="FJ418" s="345"/>
      <c r="FK418" s="253"/>
      <c r="FL418" s="346"/>
      <c r="FN418" s="253"/>
      <c r="FO418" s="345"/>
      <c r="FP418" s="253"/>
      <c r="FQ418" s="346"/>
      <c r="FS418" s="253"/>
      <c r="FT418" s="345"/>
      <c r="FU418" s="253"/>
      <c r="FV418" s="346"/>
      <c r="FX418" s="253"/>
      <c r="FY418" s="345"/>
      <c r="FZ418" s="253"/>
      <c r="GA418" s="346"/>
      <c r="GC418" s="253"/>
      <c r="GD418" s="345"/>
      <c r="GE418" s="253"/>
      <c r="GF418" s="346"/>
      <c r="GH418" s="253"/>
      <c r="GI418" s="345"/>
      <c r="GJ418" s="253"/>
      <c r="GK418" s="346"/>
      <c r="GM418" s="253"/>
      <c r="GN418" s="345"/>
      <c r="GO418" s="253"/>
      <c r="GP418" s="346"/>
      <c r="GR418" s="253"/>
      <c r="GS418" s="345"/>
      <c r="GT418" s="253"/>
      <c r="GU418" s="346"/>
      <c r="GW418" s="253"/>
      <c r="GX418" s="345"/>
      <c r="GY418" s="253"/>
      <c r="GZ418" s="346"/>
      <c r="HB418" s="253"/>
      <c r="HC418" s="345"/>
      <c r="HD418" s="253"/>
      <c r="HE418" s="346"/>
      <c r="HG418" s="253"/>
      <c r="HH418" s="345"/>
      <c r="HI418" s="253"/>
      <c r="HJ418" s="346"/>
      <c r="HL418" s="253"/>
      <c r="HM418" s="345"/>
      <c r="HN418" s="253"/>
      <c r="HO418" s="346"/>
      <c r="HQ418" s="253"/>
      <c r="HR418" s="345"/>
      <c r="HS418" s="253"/>
      <c r="HT418" s="346"/>
      <c r="HV418" s="253"/>
      <c r="HW418" s="345"/>
      <c r="HX418" s="253"/>
      <c r="HY418" s="346"/>
      <c r="IA418" s="253"/>
      <c r="IB418" s="345"/>
      <c r="IC418" s="253"/>
      <c r="ID418" s="346"/>
      <c r="IF418" s="253"/>
      <c r="IG418" s="345"/>
      <c r="IH418" s="253"/>
      <c r="II418" s="346"/>
      <c r="IK418" s="253"/>
      <c r="IL418" s="345"/>
      <c r="IM418" s="253"/>
      <c r="IN418" s="346"/>
      <c r="IP418" s="253"/>
      <c r="IQ418" s="345"/>
      <c r="IR418" s="253"/>
      <c r="IS418" s="346"/>
      <c r="IU418" s="253"/>
      <c r="IV418" s="345"/>
    </row>
    <row r="419" spans="1:256" x14ac:dyDescent="0.2">
      <c r="A419" s="345">
        <v>40268</v>
      </c>
      <c r="B419" s="253">
        <v>6.58</v>
      </c>
      <c r="C419" s="346">
        <v>168927235.15000001</v>
      </c>
      <c r="D419" s="258">
        <v>6.5797600000000003</v>
      </c>
      <c r="E419" s="253">
        <f>B419-Index_Returns!B419</f>
        <v>0.54553999999999991</v>
      </c>
      <c r="F419" s="733"/>
      <c r="G419" s="728"/>
      <c r="H419" s="346"/>
      <c r="J419" s="253"/>
      <c r="K419" s="345"/>
      <c r="L419" s="253"/>
      <c r="M419" s="346"/>
      <c r="O419" s="253"/>
      <c r="P419" s="345"/>
      <c r="Q419" s="253"/>
      <c r="R419" s="346"/>
      <c r="T419" s="253"/>
      <c r="U419" s="345"/>
      <c r="V419" s="253"/>
      <c r="W419" s="346"/>
      <c r="Y419" s="253"/>
      <c r="Z419" s="345"/>
      <c r="AA419" s="253"/>
      <c r="AB419" s="346"/>
      <c r="AD419" s="253"/>
      <c r="AE419" s="345"/>
      <c r="AF419" s="253"/>
      <c r="AG419" s="346"/>
      <c r="AI419" s="253"/>
      <c r="AJ419" s="345"/>
      <c r="AK419" s="253"/>
      <c r="AL419" s="346"/>
      <c r="AN419" s="253"/>
      <c r="AO419" s="345"/>
      <c r="AP419" s="253"/>
      <c r="AQ419" s="346"/>
      <c r="AS419" s="253"/>
      <c r="AT419" s="345"/>
      <c r="AU419" s="253"/>
      <c r="AV419" s="346"/>
      <c r="AX419" s="253"/>
      <c r="AY419" s="345"/>
      <c r="AZ419" s="253"/>
      <c r="BA419" s="346"/>
      <c r="BC419" s="253"/>
      <c r="BD419" s="345"/>
      <c r="BE419" s="253"/>
      <c r="BF419" s="346"/>
      <c r="BH419" s="253"/>
      <c r="BI419" s="345"/>
      <c r="BJ419" s="253"/>
      <c r="BK419" s="346"/>
      <c r="BM419" s="253"/>
      <c r="BN419" s="345"/>
      <c r="BO419" s="253"/>
      <c r="BP419" s="346"/>
      <c r="BR419" s="253"/>
      <c r="BS419" s="345"/>
      <c r="BT419" s="253"/>
      <c r="BU419" s="346"/>
      <c r="BW419" s="253"/>
      <c r="BX419" s="345"/>
      <c r="BY419" s="253"/>
      <c r="BZ419" s="346"/>
      <c r="CB419" s="253"/>
      <c r="CC419" s="345"/>
      <c r="CD419" s="253"/>
      <c r="CE419" s="346"/>
      <c r="CG419" s="253"/>
      <c r="CH419" s="345"/>
      <c r="CI419" s="253"/>
      <c r="CJ419" s="346"/>
      <c r="CL419" s="253"/>
      <c r="CM419" s="345"/>
      <c r="CN419" s="253"/>
      <c r="CO419" s="346"/>
      <c r="CQ419" s="253"/>
      <c r="CR419" s="345"/>
      <c r="CS419" s="253"/>
      <c r="CT419" s="346"/>
      <c r="CV419" s="253"/>
      <c r="CW419" s="345"/>
      <c r="CX419" s="253"/>
      <c r="CY419" s="346"/>
      <c r="DA419" s="253"/>
      <c r="DB419" s="345"/>
      <c r="DC419" s="253"/>
      <c r="DD419" s="346"/>
      <c r="DF419" s="253"/>
      <c r="DG419" s="345"/>
      <c r="DH419" s="253"/>
      <c r="DI419" s="346"/>
      <c r="DK419" s="253"/>
      <c r="DL419" s="345"/>
      <c r="DM419" s="253"/>
      <c r="DN419" s="346"/>
      <c r="DP419" s="253"/>
      <c r="DQ419" s="345"/>
      <c r="DR419" s="253"/>
      <c r="DS419" s="346"/>
      <c r="DU419" s="253"/>
      <c r="DV419" s="345"/>
      <c r="DW419" s="253"/>
      <c r="DX419" s="346"/>
      <c r="DZ419" s="253"/>
      <c r="EA419" s="345"/>
      <c r="EB419" s="253"/>
      <c r="EC419" s="346"/>
      <c r="EE419" s="253"/>
      <c r="EF419" s="345"/>
      <c r="EG419" s="253"/>
      <c r="EH419" s="346"/>
      <c r="EJ419" s="253"/>
      <c r="EK419" s="345"/>
      <c r="EL419" s="253"/>
      <c r="EM419" s="346"/>
      <c r="EO419" s="253"/>
      <c r="EP419" s="345"/>
      <c r="EQ419" s="253"/>
      <c r="ER419" s="346"/>
      <c r="ET419" s="253"/>
      <c r="EU419" s="345"/>
      <c r="EV419" s="253"/>
      <c r="EW419" s="346"/>
      <c r="EY419" s="253"/>
      <c r="EZ419" s="345"/>
      <c r="FA419" s="253"/>
      <c r="FB419" s="346"/>
      <c r="FD419" s="253"/>
      <c r="FE419" s="345"/>
      <c r="FF419" s="253"/>
      <c r="FG419" s="346"/>
      <c r="FI419" s="253"/>
      <c r="FJ419" s="345"/>
      <c r="FK419" s="253"/>
      <c r="FL419" s="346"/>
      <c r="FN419" s="253"/>
      <c r="FO419" s="345"/>
      <c r="FP419" s="253"/>
      <c r="FQ419" s="346"/>
      <c r="FS419" s="253"/>
      <c r="FT419" s="345"/>
      <c r="FU419" s="253"/>
      <c r="FV419" s="346"/>
      <c r="FX419" s="253"/>
      <c r="FY419" s="345"/>
      <c r="FZ419" s="253"/>
      <c r="GA419" s="346"/>
      <c r="GC419" s="253"/>
      <c r="GD419" s="345"/>
      <c r="GE419" s="253"/>
      <c r="GF419" s="346"/>
      <c r="GH419" s="253"/>
      <c r="GI419" s="345"/>
      <c r="GJ419" s="253"/>
      <c r="GK419" s="346"/>
      <c r="GM419" s="253"/>
      <c r="GN419" s="345"/>
      <c r="GO419" s="253"/>
      <c r="GP419" s="346"/>
      <c r="GR419" s="253"/>
      <c r="GS419" s="345"/>
      <c r="GT419" s="253"/>
      <c r="GU419" s="346"/>
      <c r="GW419" s="253"/>
      <c r="GX419" s="345"/>
      <c r="GY419" s="253"/>
      <c r="GZ419" s="346"/>
      <c r="HB419" s="253"/>
      <c r="HC419" s="345"/>
      <c r="HD419" s="253"/>
      <c r="HE419" s="346"/>
      <c r="HG419" s="253"/>
      <c r="HH419" s="345"/>
      <c r="HI419" s="253"/>
      <c r="HJ419" s="346"/>
      <c r="HL419" s="253"/>
      <c r="HM419" s="345"/>
      <c r="HN419" s="253"/>
      <c r="HO419" s="346"/>
      <c r="HQ419" s="253"/>
      <c r="HR419" s="345"/>
      <c r="HS419" s="253"/>
      <c r="HT419" s="346"/>
      <c r="HV419" s="253"/>
      <c r="HW419" s="345"/>
      <c r="HX419" s="253"/>
      <c r="HY419" s="346"/>
      <c r="IA419" s="253"/>
      <c r="IB419" s="345"/>
      <c r="IC419" s="253"/>
      <c r="ID419" s="346"/>
      <c r="IF419" s="253"/>
      <c r="IG419" s="345"/>
      <c r="IH419" s="253"/>
      <c r="II419" s="346"/>
      <c r="IK419" s="253"/>
      <c r="IL419" s="345"/>
      <c r="IM419" s="253"/>
      <c r="IN419" s="346"/>
      <c r="IP419" s="253"/>
      <c r="IQ419" s="345"/>
      <c r="IR419" s="253"/>
      <c r="IS419" s="346"/>
      <c r="IU419" s="253"/>
      <c r="IV419" s="345"/>
    </row>
    <row r="420" spans="1:256" x14ac:dyDescent="0.2">
      <c r="A420" s="345">
        <v>40298</v>
      </c>
      <c r="B420" s="253">
        <v>0.53</v>
      </c>
      <c r="C420" s="346">
        <v>170692186.41</v>
      </c>
      <c r="D420" s="258">
        <v>0.53034000000000003</v>
      </c>
      <c r="E420" s="253">
        <f>B420-Index_Returns!B420</f>
        <v>-1.0487599999999999</v>
      </c>
      <c r="F420" s="733"/>
      <c r="G420" s="728"/>
      <c r="H420" s="346"/>
      <c r="J420" s="253"/>
      <c r="K420" s="345"/>
      <c r="L420" s="253"/>
      <c r="M420" s="346"/>
      <c r="O420" s="253"/>
      <c r="P420" s="345"/>
      <c r="Q420" s="253"/>
      <c r="R420" s="346"/>
      <c r="T420" s="253"/>
      <c r="U420" s="345"/>
      <c r="V420" s="253"/>
      <c r="W420" s="346"/>
      <c r="Y420" s="253"/>
      <c r="Z420" s="345"/>
      <c r="AA420" s="253"/>
      <c r="AB420" s="346"/>
      <c r="AD420" s="253"/>
      <c r="AE420" s="345"/>
      <c r="AF420" s="253"/>
      <c r="AG420" s="346"/>
      <c r="AI420" s="253"/>
      <c r="AJ420" s="345"/>
      <c r="AK420" s="253"/>
      <c r="AL420" s="346"/>
      <c r="AN420" s="253"/>
      <c r="AO420" s="345"/>
      <c r="AP420" s="253"/>
      <c r="AQ420" s="346"/>
      <c r="AS420" s="253"/>
      <c r="AT420" s="345"/>
      <c r="AU420" s="253"/>
      <c r="AV420" s="346"/>
      <c r="AX420" s="253"/>
      <c r="AY420" s="345"/>
      <c r="AZ420" s="253"/>
      <c r="BA420" s="346"/>
      <c r="BC420" s="253"/>
      <c r="BD420" s="345"/>
      <c r="BE420" s="253"/>
      <c r="BF420" s="346"/>
      <c r="BH420" s="253"/>
      <c r="BI420" s="345"/>
      <c r="BJ420" s="253"/>
      <c r="BK420" s="346"/>
      <c r="BM420" s="253"/>
      <c r="BN420" s="345"/>
      <c r="BO420" s="253"/>
      <c r="BP420" s="346"/>
      <c r="BR420" s="253"/>
      <c r="BS420" s="345"/>
      <c r="BT420" s="253"/>
      <c r="BU420" s="346"/>
      <c r="BW420" s="253"/>
      <c r="BX420" s="345"/>
      <c r="BY420" s="253"/>
      <c r="BZ420" s="346"/>
      <c r="CB420" s="253"/>
      <c r="CC420" s="345"/>
      <c r="CD420" s="253"/>
      <c r="CE420" s="346"/>
      <c r="CG420" s="253"/>
      <c r="CH420" s="345"/>
      <c r="CI420" s="253"/>
      <c r="CJ420" s="346"/>
      <c r="CL420" s="253"/>
      <c r="CM420" s="345"/>
      <c r="CN420" s="253"/>
      <c r="CO420" s="346"/>
      <c r="CQ420" s="253"/>
      <c r="CR420" s="345"/>
      <c r="CS420" s="253"/>
      <c r="CT420" s="346"/>
      <c r="CV420" s="253"/>
      <c r="CW420" s="345"/>
      <c r="CX420" s="253"/>
      <c r="CY420" s="346"/>
      <c r="DA420" s="253"/>
      <c r="DB420" s="345"/>
      <c r="DC420" s="253"/>
      <c r="DD420" s="346"/>
      <c r="DF420" s="253"/>
      <c r="DG420" s="345"/>
      <c r="DH420" s="253"/>
      <c r="DI420" s="346"/>
      <c r="DK420" s="253"/>
      <c r="DL420" s="345"/>
      <c r="DM420" s="253"/>
      <c r="DN420" s="346"/>
      <c r="DP420" s="253"/>
      <c r="DQ420" s="345"/>
      <c r="DR420" s="253"/>
      <c r="DS420" s="346"/>
      <c r="DU420" s="253"/>
      <c r="DV420" s="345"/>
      <c r="DW420" s="253"/>
      <c r="DX420" s="346"/>
      <c r="DZ420" s="253"/>
      <c r="EA420" s="345"/>
      <c r="EB420" s="253"/>
      <c r="EC420" s="346"/>
      <c r="EE420" s="253"/>
      <c r="EF420" s="345"/>
      <c r="EG420" s="253"/>
      <c r="EH420" s="346"/>
      <c r="EJ420" s="253"/>
      <c r="EK420" s="345"/>
      <c r="EL420" s="253"/>
      <c r="EM420" s="346"/>
      <c r="EO420" s="253"/>
      <c r="EP420" s="345"/>
      <c r="EQ420" s="253"/>
      <c r="ER420" s="346"/>
      <c r="ET420" s="253"/>
      <c r="EU420" s="345"/>
      <c r="EV420" s="253"/>
      <c r="EW420" s="346"/>
      <c r="EY420" s="253"/>
      <c r="EZ420" s="345"/>
      <c r="FA420" s="253"/>
      <c r="FB420" s="346"/>
      <c r="FD420" s="253"/>
      <c r="FE420" s="345"/>
      <c r="FF420" s="253"/>
      <c r="FG420" s="346"/>
      <c r="FI420" s="253"/>
      <c r="FJ420" s="345"/>
      <c r="FK420" s="253"/>
      <c r="FL420" s="346"/>
      <c r="FN420" s="253"/>
      <c r="FO420" s="345"/>
      <c r="FP420" s="253"/>
      <c r="FQ420" s="346"/>
      <c r="FS420" s="253"/>
      <c r="FT420" s="345"/>
      <c r="FU420" s="253"/>
      <c r="FV420" s="346"/>
      <c r="FX420" s="253"/>
      <c r="FY420" s="345"/>
      <c r="FZ420" s="253"/>
      <c r="GA420" s="346"/>
      <c r="GC420" s="253"/>
      <c r="GD420" s="345"/>
      <c r="GE420" s="253"/>
      <c r="GF420" s="346"/>
      <c r="GH420" s="253"/>
      <c r="GI420" s="345"/>
      <c r="GJ420" s="253"/>
      <c r="GK420" s="346"/>
      <c r="GM420" s="253"/>
      <c r="GN420" s="345"/>
      <c r="GO420" s="253"/>
      <c r="GP420" s="346"/>
      <c r="GR420" s="253"/>
      <c r="GS420" s="345"/>
      <c r="GT420" s="253"/>
      <c r="GU420" s="346"/>
      <c r="GW420" s="253"/>
      <c r="GX420" s="345"/>
      <c r="GY420" s="253"/>
      <c r="GZ420" s="346"/>
      <c r="HB420" s="253"/>
      <c r="HC420" s="345"/>
      <c r="HD420" s="253"/>
      <c r="HE420" s="346"/>
      <c r="HG420" s="253"/>
      <c r="HH420" s="345"/>
      <c r="HI420" s="253"/>
      <c r="HJ420" s="346"/>
      <c r="HL420" s="253"/>
      <c r="HM420" s="345"/>
      <c r="HN420" s="253"/>
      <c r="HO420" s="346"/>
      <c r="HQ420" s="253"/>
      <c r="HR420" s="345"/>
      <c r="HS420" s="253"/>
      <c r="HT420" s="346"/>
      <c r="HV420" s="253"/>
      <c r="HW420" s="345"/>
      <c r="HX420" s="253"/>
      <c r="HY420" s="346"/>
      <c r="IA420" s="253"/>
      <c r="IB420" s="345"/>
      <c r="IC420" s="253"/>
      <c r="ID420" s="346"/>
      <c r="IF420" s="253"/>
      <c r="IG420" s="345"/>
      <c r="IH420" s="253"/>
      <c r="II420" s="346"/>
      <c r="IK420" s="253"/>
      <c r="IL420" s="345"/>
      <c r="IM420" s="253"/>
      <c r="IN420" s="346"/>
      <c r="IP420" s="253"/>
      <c r="IQ420" s="345"/>
      <c r="IR420" s="253"/>
      <c r="IS420" s="346"/>
      <c r="IU420" s="253"/>
      <c r="IV420" s="345"/>
    </row>
    <row r="421" spans="1:256" x14ac:dyDescent="0.2">
      <c r="A421" s="345">
        <v>40329</v>
      </c>
      <c r="B421" s="253">
        <v>-6.63</v>
      </c>
      <c r="C421" s="346">
        <v>159383014.56</v>
      </c>
      <c r="D421" s="258">
        <v>-6.6254799999999996</v>
      </c>
      <c r="E421" s="253">
        <f>B421-Index_Returns!B421</f>
        <v>1.35501</v>
      </c>
      <c r="F421" s="733"/>
      <c r="G421" s="728"/>
      <c r="H421" s="346"/>
      <c r="J421" s="253"/>
      <c r="K421" s="345"/>
      <c r="L421" s="253"/>
      <c r="M421" s="346"/>
      <c r="O421" s="253"/>
      <c r="P421" s="345"/>
      <c r="Q421" s="253"/>
      <c r="R421" s="346"/>
      <c r="T421" s="253"/>
      <c r="U421" s="345"/>
      <c r="V421" s="253"/>
      <c r="W421" s="346"/>
      <c r="Y421" s="253"/>
      <c r="Z421" s="345"/>
      <c r="AA421" s="253"/>
      <c r="AB421" s="346"/>
      <c r="AD421" s="253"/>
      <c r="AE421" s="345"/>
      <c r="AF421" s="253"/>
      <c r="AG421" s="346"/>
      <c r="AI421" s="253"/>
      <c r="AJ421" s="345"/>
      <c r="AK421" s="253"/>
      <c r="AL421" s="346"/>
      <c r="AN421" s="253"/>
      <c r="AO421" s="345"/>
      <c r="AP421" s="253"/>
      <c r="AQ421" s="346"/>
      <c r="AS421" s="253"/>
      <c r="AT421" s="345"/>
      <c r="AU421" s="253"/>
      <c r="AV421" s="346"/>
      <c r="AX421" s="253"/>
      <c r="AY421" s="345"/>
      <c r="AZ421" s="253"/>
      <c r="BA421" s="346"/>
      <c r="BC421" s="253"/>
      <c r="BD421" s="345"/>
      <c r="BE421" s="253"/>
      <c r="BF421" s="346"/>
      <c r="BH421" s="253"/>
      <c r="BI421" s="345"/>
      <c r="BJ421" s="253"/>
      <c r="BK421" s="346"/>
      <c r="BM421" s="253"/>
      <c r="BN421" s="345"/>
      <c r="BO421" s="253"/>
      <c r="BP421" s="346"/>
      <c r="BR421" s="253"/>
      <c r="BS421" s="345"/>
      <c r="BT421" s="253"/>
      <c r="BU421" s="346"/>
      <c r="BW421" s="253"/>
      <c r="BX421" s="345"/>
      <c r="BY421" s="253"/>
      <c r="BZ421" s="346"/>
      <c r="CB421" s="253"/>
      <c r="CC421" s="345"/>
      <c r="CD421" s="253"/>
      <c r="CE421" s="346"/>
      <c r="CG421" s="253"/>
      <c r="CH421" s="345"/>
      <c r="CI421" s="253"/>
      <c r="CJ421" s="346"/>
      <c r="CL421" s="253"/>
      <c r="CM421" s="345"/>
      <c r="CN421" s="253"/>
      <c r="CO421" s="346"/>
      <c r="CQ421" s="253"/>
      <c r="CR421" s="345"/>
      <c r="CS421" s="253"/>
      <c r="CT421" s="346"/>
      <c r="CV421" s="253"/>
      <c r="CW421" s="345"/>
      <c r="CX421" s="253"/>
      <c r="CY421" s="346"/>
      <c r="DA421" s="253"/>
      <c r="DB421" s="345"/>
      <c r="DC421" s="253"/>
      <c r="DD421" s="346"/>
      <c r="DF421" s="253"/>
      <c r="DG421" s="345"/>
      <c r="DH421" s="253"/>
      <c r="DI421" s="346"/>
      <c r="DK421" s="253"/>
      <c r="DL421" s="345"/>
      <c r="DM421" s="253"/>
      <c r="DN421" s="346"/>
      <c r="DP421" s="253"/>
      <c r="DQ421" s="345"/>
      <c r="DR421" s="253"/>
      <c r="DS421" s="346"/>
      <c r="DU421" s="253"/>
      <c r="DV421" s="345"/>
      <c r="DW421" s="253"/>
      <c r="DX421" s="346"/>
      <c r="DZ421" s="253"/>
      <c r="EA421" s="345"/>
      <c r="EB421" s="253"/>
      <c r="EC421" s="346"/>
      <c r="EE421" s="253"/>
      <c r="EF421" s="345"/>
      <c r="EG421" s="253"/>
      <c r="EH421" s="346"/>
      <c r="EJ421" s="253"/>
      <c r="EK421" s="345"/>
      <c r="EL421" s="253"/>
      <c r="EM421" s="346"/>
      <c r="EO421" s="253"/>
      <c r="EP421" s="345"/>
      <c r="EQ421" s="253"/>
      <c r="ER421" s="346"/>
      <c r="ET421" s="253"/>
      <c r="EU421" s="345"/>
      <c r="EV421" s="253"/>
      <c r="EW421" s="346"/>
      <c r="EY421" s="253"/>
      <c r="EZ421" s="345"/>
      <c r="FA421" s="253"/>
      <c r="FB421" s="346"/>
      <c r="FD421" s="253"/>
      <c r="FE421" s="345"/>
      <c r="FF421" s="253"/>
      <c r="FG421" s="346"/>
      <c r="FI421" s="253"/>
      <c r="FJ421" s="345"/>
      <c r="FK421" s="253"/>
      <c r="FL421" s="346"/>
      <c r="FN421" s="253"/>
      <c r="FO421" s="345"/>
      <c r="FP421" s="253"/>
      <c r="FQ421" s="346"/>
      <c r="FS421" s="253"/>
      <c r="FT421" s="345"/>
      <c r="FU421" s="253"/>
      <c r="FV421" s="346"/>
      <c r="FX421" s="253"/>
      <c r="FY421" s="345"/>
      <c r="FZ421" s="253"/>
      <c r="GA421" s="346"/>
      <c r="GC421" s="253"/>
      <c r="GD421" s="345"/>
      <c r="GE421" s="253"/>
      <c r="GF421" s="346"/>
      <c r="GH421" s="253"/>
      <c r="GI421" s="345"/>
      <c r="GJ421" s="253"/>
      <c r="GK421" s="346"/>
      <c r="GM421" s="253"/>
      <c r="GN421" s="345"/>
      <c r="GO421" s="253"/>
      <c r="GP421" s="346"/>
      <c r="GR421" s="253"/>
      <c r="GS421" s="345"/>
      <c r="GT421" s="253"/>
      <c r="GU421" s="346"/>
      <c r="GW421" s="253"/>
      <c r="GX421" s="345"/>
      <c r="GY421" s="253"/>
      <c r="GZ421" s="346"/>
      <c r="HB421" s="253"/>
      <c r="HC421" s="345"/>
      <c r="HD421" s="253"/>
      <c r="HE421" s="346"/>
      <c r="HG421" s="253"/>
      <c r="HH421" s="345"/>
      <c r="HI421" s="253"/>
      <c r="HJ421" s="346"/>
      <c r="HL421" s="253"/>
      <c r="HM421" s="345"/>
      <c r="HN421" s="253"/>
      <c r="HO421" s="346"/>
      <c r="HQ421" s="253"/>
      <c r="HR421" s="345"/>
      <c r="HS421" s="253"/>
      <c r="HT421" s="346"/>
      <c r="HV421" s="253"/>
      <c r="HW421" s="345"/>
      <c r="HX421" s="253"/>
      <c r="HY421" s="346"/>
      <c r="IA421" s="253"/>
      <c r="IB421" s="345"/>
      <c r="IC421" s="253"/>
      <c r="ID421" s="346"/>
      <c r="IF421" s="253"/>
      <c r="IG421" s="345"/>
      <c r="IH421" s="253"/>
      <c r="II421" s="346"/>
      <c r="IK421" s="253"/>
      <c r="IL421" s="345"/>
      <c r="IM421" s="253"/>
      <c r="IN421" s="346"/>
      <c r="IP421" s="253"/>
      <c r="IQ421" s="345"/>
      <c r="IR421" s="253"/>
      <c r="IS421" s="346"/>
      <c r="IU421" s="253"/>
      <c r="IV421" s="345"/>
    </row>
    <row r="422" spans="1:256" x14ac:dyDescent="0.2">
      <c r="A422" s="345">
        <v>40359</v>
      </c>
      <c r="B422" s="253">
        <v>-5.73</v>
      </c>
      <c r="C422" s="346">
        <v>150411669.00999999</v>
      </c>
      <c r="D422" s="258">
        <v>-5.73468</v>
      </c>
      <c r="E422" s="253">
        <f>B422-Index_Returns!B422</f>
        <v>-0.49508000000000063</v>
      </c>
      <c r="F422" s="733"/>
      <c r="G422" s="728"/>
      <c r="H422" s="346"/>
      <c r="J422" s="253"/>
      <c r="K422" s="345"/>
      <c r="L422" s="253"/>
      <c r="M422" s="346"/>
      <c r="O422" s="253"/>
      <c r="P422" s="345"/>
      <c r="Q422" s="253"/>
      <c r="R422" s="346"/>
      <c r="T422" s="253"/>
      <c r="U422" s="345"/>
      <c r="V422" s="253"/>
      <c r="W422" s="346"/>
      <c r="Y422" s="253"/>
      <c r="Z422" s="345"/>
      <c r="AA422" s="253"/>
      <c r="AB422" s="346"/>
      <c r="AD422" s="253"/>
      <c r="AE422" s="345"/>
      <c r="AF422" s="253"/>
      <c r="AG422" s="346"/>
      <c r="AI422" s="253"/>
      <c r="AJ422" s="345"/>
      <c r="AK422" s="253"/>
      <c r="AL422" s="346"/>
      <c r="AN422" s="253"/>
      <c r="AO422" s="345"/>
      <c r="AP422" s="253"/>
      <c r="AQ422" s="346"/>
      <c r="AS422" s="253"/>
      <c r="AT422" s="345"/>
      <c r="AU422" s="253"/>
      <c r="AV422" s="346"/>
      <c r="AX422" s="253"/>
      <c r="AY422" s="345"/>
      <c r="AZ422" s="253"/>
      <c r="BA422" s="346"/>
      <c r="BC422" s="253"/>
      <c r="BD422" s="345"/>
      <c r="BE422" s="253"/>
      <c r="BF422" s="346"/>
      <c r="BH422" s="253"/>
      <c r="BI422" s="345"/>
      <c r="BJ422" s="253"/>
      <c r="BK422" s="346"/>
      <c r="BM422" s="253"/>
      <c r="BN422" s="345"/>
      <c r="BO422" s="253"/>
      <c r="BP422" s="346"/>
      <c r="BR422" s="253"/>
      <c r="BS422" s="345"/>
      <c r="BT422" s="253"/>
      <c r="BU422" s="346"/>
      <c r="BW422" s="253"/>
      <c r="BX422" s="345"/>
      <c r="BY422" s="253"/>
      <c r="BZ422" s="346"/>
      <c r="CB422" s="253"/>
      <c r="CC422" s="345"/>
      <c r="CD422" s="253"/>
      <c r="CE422" s="346"/>
      <c r="CG422" s="253"/>
      <c r="CH422" s="345"/>
      <c r="CI422" s="253"/>
      <c r="CJ422" s="346"/>
      <c r="CL422" s="253"/>
      <c r="CM422" s="345"/>
      <c r="CN422" s="253"/>
      <c r="CO422" s="346"/>
      <c r="CQ422" s="253"/>
      <c r="CR422" s="345"/>
      <c r="CS422" s="253"/>
      <c r="CT422" s="346"/>
      <c r="CV422" s="253"/>
      <c r="CW422" s="345"/>
      <c r="CX422" s="253"/>
      <c r="CY422" s="346"/>
      <c r="DA422" s="253"/>
      <c r="DB422" s="345"/>
      <c r="DC422" s="253"/>
      <c r="DD422" s="346"/>
      <c r="DF422" s="253"/>
      <c r="DG422" s="345"/>
      <c r="DH422" s="253"/>
      <c r="DI422" s="346"/>
      <c r="DK422" s="253"/>
      <c r="DL422" s="345"/>
      <c r="DM422" s="253"/>
      <c r="DN422" s="346"/>
      <c r="DP422" s="253"/>
      <c r="DQ422" s="345"/>
      <c r="DR422" s="253"/>
      <c r="DS422" s="346"/>
      <c r="DU422" s="253"/>
      <c r="DV422" s="345"/>
      <c r="DW422" s="253"/>
      <c r="DX422" s="346"/>
      <c r="DZ422" s="253"/>
      <c r="EA422" s="345"/>
      <c r="EB422" s="253"/>
      <c r="EC422" s="346"/>
      <c r="EE422" s="253"/>
      <c r="EF422" s="345"/>
      <c r="EG422" s="253"/>
      <c r="EH422" s="346"/>
      <c r="EJ422" s="253"/>
      <c r="EK422" s="345"/>
      <c r="EL422" s="253"/>
      <c r="EM422" s="346"/>
      <c r="EO422" s="253"/>
      <c r="EP422" s="345"/>
      <c r="EQ422" s="253"/>
      <c r="ER422" s="346"/>
      <c r="ET422" s="253"/>
      <c r="EU422" s="345"/>
      <c r="EV422" s="253"/>
      <c r="EW422" s="346"/>
      <c r="EY422" s="253"/>
      <c r="EZ422" s="345"/>
      <c r="FA422" s="253"/>
      <c r="FB422" s="346"/>
      <c r="FD422" s="253"/>
      <c r="FE422" s="345"/>
      <c r="FF422" s="253"/>
      <c r="FG422" s="346"/>
      <c r="FI422" s="253"/>
      <c r="FJ422" s="345"/>
      <c r="FK422" s="253"/>
      <c r="FL422" s="346"/>
      <c r="FN422" s="253"/>
      <c r="FO422" s="345"/>
      <c r="FP422" s="253"/>
      <c r="FQ422" s="346"/>
      <c r="FS422" s="253"/>
      <c r="FT422" s="345"/>
      <c r="FU422" s="253"/>
      <c r="FV422" s="346"/>
      <c r="FX422" s="253"/>
      <c r="FY422" s="345"/>
      <c r="FZ422" s="253"/>
      <c r="GA422" s="346"/>
      <c r="GC422" s="253"/>
      <c r="GD422" s="345"/>
      <c r="GE422" s="253"/>
      <c r="GF422" s="346"/>
      <c r="GH422" s="253"/>
      <c r="GI422" s="345"/>
      <c r="GJ422" s="253"/>
      <c r="GK422" s="346"/>
      <c r="GM422" s="253"/>
      <c r="GN422" s="345"/>
      <c r="GO422" s="253"/>
      <c r="GP422" s="346"/>
      <c r="GR422" s="253"/>
      <c r="GS422" s="345"/>
      <c r="GT422" s="253"/>
      <c r="GU422" s="346"/>
      <c r="GW422" s="253"/>
      <c r="GX422" s="345"/>
      <c r="GY422" s="253"/>
      <c r="GZ422" s="346"/>
      <c r="HB422" s="253"/>
      <c r="HC422" s="345"/>
      <c r="HD422" s="253"/>
      <c r="HE422" s="346"/>
      <c r="HG422" s="253"/>
      <c r="HH422" s="345"/>
      <c r="HI422" s="253"/>
      <c r="HJ422" s="346"/>
      <c r="HL422" s="253"/>
      <c r="HM422" s="345"/>
      <c r="HN422" s="253"/>
      <c r="HO422" s="346"/>
      <c r="HQ422" s="253"/>
      <c r="HR422" s="345"/>
      <c r="HS422" s="253"/>
      <c r="HT422" s="346"/>
      <c r="HV422" s="253"/>
      <c r="HW422" s="345"/>
      <c r="HX422" s="253"/>
      <c r="HY422" s="346"/>
      <c r="IA422" s="253"/>
      <c r="IB422" s="345"/>
      <c r="IC422" s="253"/>
      <c r="ID422" s="346"/>
      <c r="IF422" s="253"/>
      <c r="IG422" s="345"/>
      <c r="IH422" s="253"/>
      <c r="II422" s="346"/>
      <c r="IK422" s="253"/>
      <c r="IL422" s="345"/>
      <c r="IM422" s="253"/>
      <c r="IN422" s="346"/>
      <c r="IP422" s="253"/>
      <c r="IQ422" s="345"/>
      <c r="IR422" s="253"/>
      <c r="IS422" s="346"/>
      <c r="IU422" s="253"/>
      <c r="IV422" s="345"/>
    </row>
    <row r="423" spans="1:256" x14ac:dyDescent="0.2">
      <c r="A423" s="345">
        <v>40390</v>
      </c>
      <c r="B423" s="253">
        <v>7.66</v>
      </c>
      <c r="C423" s="346">
        <v>161748748.00999999</v>
      </c>
      <c r="D423" s="258">
        <v>7.6581599999999996</v>
      </c>
      <c r="E423" s="253">
        <f>B423-Index_Returns!B423</f>
        <v>0.65364999999999984</v>
      </c>
      <c r="F423" s="733"/>
      <c r="G423" s="728"/>
      <c r="H423" s="346"/>
      <c r="J423" s="253"/>
      <c r="K423" s="345"/>
      <c r="L423" s="253"/>
      <c r="M423" s="346"/>
      <c r="O423" s="253"/>
      <c r="P423" s="345"/>
      <c r="Q423" s="253"/>
      <c r="R423" s="346"/>
      <c r="T423" s="253"/>
      <c r="U423" s="345"/>
      <c r="V423" s="253"/>
      <c r="W423" s="346"/>
      <c r="Y423" s="253"/>
      <c r="Z423" s="345"/>
      <c r="AA423" s="253"/>
      <c r="AB423" s="346"/>
      <c r="AD423" s="253"/>
      <c r="AE423" s="345"/>
      <c r="AF423" s="253"/>
      <c r="AG423" s="346"/>
      <c r="AI423" s="253"/>
      <c r="AJ423" s="345"/>
      <c r="AK423" s="253"/>
      <c r="AL423" s="346"/>
      <c r="AN423" s="253"/>
      <c r="AO423" s="345"/>
      <c r="AP423" s="253"/>
      <c r="AQ423" s="346"/>
      <c r="AS423" s="253"/>
      <c r="AT423" s="345"/>
      <c r="AU423" s="253"/>
      <c r="AV423" s="346"/>
      <c r="AX423" s="253"/>
      <c r="AY423" s="345"/>
      <c r="AZ423" s="253"/>
      <c r="BA423" s="346"/>
      <c r="BC423" s="253"/>
      <c r="BD423" s="345"/>
      <c r="BE423" s="253"/>
      <c r="BF423" s="346"/>
      <c r="BH423" s="253"/>
      <c r="BI423" s="345"/>
      <c r="BJ423" s="253"/>
      <c r="BK423" s="346"/>
      <c r="BM423" s="253"/>
      <c r="BN423" s="345"/>
      <c r="BO423" s="253"/>
      <c r="BP423" s="346"/>
      <c r="BR423" s="253"/>
      <c r="BS423" s="345"/>
      <c r="BT423" s="253"/>
      <c r="BU423" s="346"/>
      <c r="BW423" s="253"/>
      <c r="BX423" s="345"/>
      <c r="BY423" s="253"/>
      <c r="BZ423" s="346"/>
      <c r="CB423" s="253"/>
      <c r="CC423" s="345"/>
      <c r="CD423" s="253"/>
      <c r="CE423" s="346"/>
      <c r="CG423" s="253"/>
      <c r="CH423" s="345"/>
      <c r="CI423" s="253"/>
      <c r="CJ423" s="346"/>
      <c r="CL423" s="253"/>
      <c r="CM423" s="345"/>
      <c r="CN423" s="253"/>
      <c r="CO423" s="346"/>
      <c r="CQ423" s="253"/>
      <c r="CR423" s="345"/>
      <c r="CS423" s="253"/>
      <c r="CT423" s="346"/>
      <c r="CV423" s="253"/>
      <c r="CW423" s="345"/>
      <c r="CX423" s="253"/>
      <c r="CY423" s="346"/>
      <c r="DA423" s="253"/>
      <c r="DB423" s="345"/>
      <c r="DC423" s="253"/>
      <c r="DD423" s="346"/>
      <c r="DF423" s="253"/>
      <c r="DG423" s="345"/>
      <c r="DH423" s="253"/>
      <c r="DI423" s="346"/>
      <c r="DK423" s="253"/>
      <c r="DL423" s="345"/>
      <c r="DM423" s="253"/>
      <c r="DN423" s="346"/>
      <c r="DP423" s="253"/>
      <c r="DQ423" s="345"/>
      <c r="DR423" s="253"/>
      <c r="DS423" s="346"/>
      <c r="DU423" s="253"/>
      <c r="DV423" s="345"/>
      <c r="DW423" s="253"/>
      <c r="DX423" s="346"/>
      <c r="DZ423" s="253"/>
      <c r="EA423" s="345"/>
      <c r="EB423" s="253"/>
      <c r="EC423" s="346"/>
      <c r="EE423" s="253"/>
      <c r="EF423" s="345"/>
      <c r="EG423" s="253"/>
      <c r="EH423" s="346"/>
      <c r="EJ423" s="253"/>
      <c r="EK423" s="345"/>
      <c r="EL423" s="253"/>
      <c r="EM423" s="346"/>
      <c r="EO423" s="253"/>
      <c r="EP423" s="345"/>
      <c r="EQ423" s="253"/>
      <c r="ER423" s="346"/>
      <c r="ET423" s="253"/>
      <c r="EU423" s="345"/>
      <c r="EV423" s="253"/>
      <c r="EW423" s="346"/>
      <c r="EY423" s="253"/>
      <c r="EZ423" s="345"/>
      <c r="FA423" s="253"/>
      <c r="FB423" s="346"/>
      <c r="FD423" s="253"/>
      <c r="FE423" s="345"/>
      <c r="FF423" s="253"/>
      <c r="FG423" s="346"/>
      <c r="FI423" s="253"/>
      <c r="FJ423" s="345"/>
      <c r="FK423" s="253"/>
      <c r="FL423" s="346"/>
      <c r="FN423" s="253"/>
      <c r="FO423" s="345"/>
      <c r="FP423" s="253"/>
      <c r="FQ423" s="346"/>
      <c r="FS423" s="253"/>
      <c r="FT423" s="345"/>
      <c r="FU423" s="253"/>
      <c r="FV423" s="346"/>
      <c r="FX423" s="253"/>
      <c r="FY423" s="345"/>
      <c r="FZ423" s="253"/>
      <c r="GA423" s="346"/>
      <c r="GC423" s="253"/>
      <c r="GD423" s="345"/>
      <c r="GE423" s="253"/>
      <c r="GF423" s="346"/>
      <c r="GH423" s="253"/>
      <c r="GI423" s="345"/>
      <c r="GJ423" s="253"/>
      <c r="GK423" s="346"/>
      <c r="GM423" s="253"/>
      <c r="GN423" s="345"/>
      <c r="GO423" s="253"/>
      <c r="GP423" s="346"/>
      <c r="GR423" s="253"/>
      <c r="GS423" s="345"/>
      <c r="GT423" s="253"/>
      <c r="GU423" s="346"/>
      <c r="GW423" s="253"/>
      <c r="GX423" s="345"/>
      <c r="GY423" s="253"/>
      <c r="GZ423" s="346"/>
      <c r="HB423" s="253"/>
      <c r="HC423" s="345"/>
      <c r="HD423" s="253"/>
      <c r="HE423" s="346"/>
      <c r="HG423" s="253"/>
      <c r="HH423" s="345"/>
      <c r="HI423" s="253"/>
      <c r="HJ423" s="346"/>
      <c r="HL423" s="253"/>
      <c r="HM423" s="345"/>
      <c r="HN423" s="253"/>
      <c r="HO423" s="346"/>
      <c r="HQ423" s="253"/>
      <c r="HR423" s="345"/>
      <c r="HS423" s="253"/>
      <c r="HT423" s="346"/>
      <c r="HV423" s="253"/>
      <c r="HW423" s="345"/>
      <c r="HX423" s="253"/>
      <c r="HY423" s="346"/>
      <c r="IA423" s="253"/>
      <c r="IB423" s="345"/>
      <c r="IC423" s="253"/>
      <c r="ID423" s="346"/>
      <c r="IF423" s="253"/>
      <c r="IG423" s="345"/>
      <c r="IH423" s="253"/>
      <c r="II423" s="346"/>
      <c r="IK423" s="253"/>
      <c r="IL423" s="345"/>
      <c r="IM423" s="253"/>
      <c r="IN423" s="346"/>
      <c r="IP423" s="253"/>
      <c r="IQ423" s="345"/>
      <c r="IR423" s="253"/>
      <c r="IS423" s="346"/>
      <c r="IU423" s="253"/>
      <c r="IV423" s="345"/>
    </row>
    <row r="424" spans="1:256" x14ac:dyDescent="0.2">
      <c r="A424" s="345">
        <v>40421</v>
      </c>
      <c r="B424" s="253">
        <v>-3.57</v>
      </c>
      <c r="C424" s="346">
        <v>155972715.47999999</v>
      </c>
      <c r="D424" s="258">
        <v>-3.57063</v>
      </c>
      <c r="E424" s="253">
        <f>B424-Index_Returns!B424</f>
        <v>0.9444300000000001</v>
      </c>
      <c r="F424" s="733"/>
      <c r="G424" s="728"/>
      <c r="H424" s="346"/>
      <c r="J424" s="253"/>
      <c r="K424" s="345"/>
      <c r="L424" s="253"/>
      <c r="M424" s="346"/>
      <c r="O424" s="253"/>
      <c r="P424" s="345"/>
      <c r="Q424" s="253"/>
      <c r="R424" s="346"/>
      <c r="T424" s="253"/>
      <c r="U424" s="345"/>
      <c r="V424" s="253"/>
      <c r="W424" s="346"/>
      <c r="Y424" s="253"/>
      <c r="Z424" s="345"/>
      <c r="AA424" s="253"/>
      <c r="AB424" s="346"/>
      <c r="AD424" s="253"/>
      <c r="AE424" s="345"/>
      <c r="AF424" s="253"/>
      <c r="AG424" s="346"/>
      <c r="AI424" s="253"/>
      <c r="AJ424" s="345"/>
      <c r="AK424" s="253"/>
      <c r="AL424" s="346"/>
      <c r="AN424" s="253"/>
      <c r="AO424" s="345"/>
      <c r="AP424" s="253"/>
      <c r="AQ424" s="346"/>
      <c r="AS424" s="253"/>
      <c r="AT424" s="345"/>
      <c r="AU424" s="253"/>
      <c r="AV424" s="346"/>
      <c r="AX424" s="253"/>
      <c r="AY424" s="345"/>
      <c r="AZ424" s="253"/>
      <c r="BA424" s="346"/>
      <c r="BC424" s="253"/>
      <c r="BD424" s="345"/>
      <c r="BE424" s="253"/>
      <c r="BF424" s="346"/>
      <c r="BH424" s="253"/>
      <c r="BI424" s="345"/>
      <c r="BJ424" s="253"/>
      <c r="BK424" s="346"/>
      <c r="BM424" s="253"/>
      <c r="BN424" s="345"/>
      <c r="BO424" s="253"/>
      <c r="BP424" s="346"/>
      <c r="BR424" s="253"/>
      <c r="BS424" s="345"/>
      <c r="BT424" s="253"/>
      <c r="BU424" s="346"/>
      <c r="BW424" s="253"/>
      <c r="BX424" s="345"/>
      <c r="BY424" s="253"/>
      <c r="BZ424" s="346"/>
      <c r="CB424" s="253"/>
      <c r="CC424" s="345"/>
      <c r="CD424" s="253"/>
      <c r="CE424" s="346"/>
      <c r="CG424" s="253"/>
      <c r="CH424" s="345"/>
      <c r="CI424" s="253"/>
      <c r="CJ424" s="346"/>
      <c r="CL424" s="253"/>
      <c r="CM424" s="345"/>
      <c r="CN424" s="253"/>
      <c r="CO424" s="346"/>
      <c r="CQ424" s="253"/>
      <c r="CR424" s="345"/>
      <c r="CS424" s="253"/>
      <c r="CT424" s="346"/>
      <c r="CV424" s="253"/>
      <c r="CW424" s="345"/>
      <c r="CX424" s="253"/>
      <c r="CY424" s="346"/>
      <c r="DA424" s="253"/>
      <c r="DB424" s="345"/>
      <c r="DC424" s="253"/>
      <c r="DD424" s="346"/>
      <c r="DF424" s="253"/>
      <c r="DG424" s="345"/>
      <c r="DH424" s="253"/>
      <c r="DI424" s="346"/>
      <c r="DK424" s="253"/>
      <c r="DL424" s="345"/>
      <c r="DM424" s="253"/>
      <c r="DN424" s="346"/>
      <c r="DP424" s="253"/>
      <c r="DQ424" s="345"/>
      <c r="DR424" s="253"/>
      <c r="DS424" s="346"/>
      <c r="DU424" s="253"/>
      <c r="DV424" s="345"/>
      <c r="DW424" s="253"/>
      <c r="DX424" s="346"/>
      <c r="DZ424" s="253"/>
      <c r="EA424" s="345"/>
      <c r="EB424" s="253"/>
      <c r="EC424" s="346"/>
      <c r="EE424" s="253"/>
      <c r="EF424" s="345"/>
      <c r="EG424" s="253"/>
      <c r="EH424" s="346"/>
      <c r="EJ424" s="253"/>
      <c r="EK424" s="345"/>
      <c r="EL424" s="253"/>
      <c r="EM424" s="346"/>
      <c r="EO424" s="253"/>
      <c r="EP424" s="345"/>
      <c r="EQ424" s="253"/>
      <c r="ER424" s="346"/>
      <c r="ET424" s="253"/>
      <c r="EU424" s="345"/>
      <c r="EV424" s="253"/>
      <c r="EW424" s="346"/>
      <c r="EY424" s="253"/>
      <c r="EZ424" s="345"/>
      <c r="FA424" s="253"/>
      <c r="FB424" s="346"/>
      <c r="FD424" s="253"/>
      <c r="FE424" s="345"/>
      <c r="FF424" s="253"/>
      <c r="FG424" s="346"/>
      <c r="FI424" s="253"/>
      <c r="FJ424" s="345"/>
      <c r="FK424" s="253"/>
      <c r="FL424" s="346"/>
      <c r="FN424" s="253"/>
      <c r="FO424" s="345"/>
      <c r="FP424" s="253"/>
      <c r="FQ424" s="346"/>
      <c r="FS424" s="253"/>
      <c r="FT424" s="345"/>
      <c r="FU424" s="253"/>
      <c r="FV424" s="346"/>
      <c r="FX424" s="253"/>
      <c r="FY424" s="345"/>
      <c r="FZ424" s="253"/>
      <c r="GA424" s="346"/>
      <c r="GC424" s="253"/>
      <c r="GD424" s="345"/>
      <c r="GE424" s="253"/>
      <c r="GF424" s="346"/>
      <c r="GH424" s="253"/>
      <c r="GI424" s="345"/>
      <c r="GJ424" s="253"/>
      <c r="GK424" s="346"/>
      <c r="GM424" s="253"/>
      <c r="GN424" s="345"/>
      <c r="GO424" s="253"/>
      <c r="GP424" s="346"/>
      <c r="GR424" s="253"/>
      <c r="GS424" s="345"/>
      <c r="GT424" s="253"/>
      <c r="GU424" s="346"/>
      <c r="GW424" s="253"/>
      <c r="GX424" s="345"/>
      <c r="GY424" s="253"/>
      <c r="GZ424" s="346"/>
      <c r="HB424" s="253"/>
      <c r="HC424" s="345"/>
      <c r="HD424" s="253"/>
      <c r="HE424" s="346"/>
      <c r="HG424" s="253"/>
      <c r="HH424" s="345"/>
      <c r="HI424" s="253"/>
      <c r="HJ424" s="346"/>
      <c r="HL424" s="253"/>
      <c r="HM424" s="345"/>
      <c r="HN424" s="253"/>
      <c r="HO424" s="346"/>
      <c r="HQ424" s="253"/>
      <c r="HR424" s="345"/>
      <c r="HS424" s="253"/>
      <c r="HT424" s="346"/>
      <c r="HV424" s="253"/>
      <c r="HW424" s="345"/>
      <c r="HX424" s="253"/>
      <c r="HY424" s="346"/>
      <c r="IA424" s="253"/>
      <c r="IB424" s="345"/>
      <c r="IC424" s="253"/>
      <c r="ID424" s="346"/>
      <c r="IF424" s="253"/>
      <c r="IG424" s="345"/>
      <c r="IH424" s="253"/>
      <c r="II424" s="346"/>
      <c r="IK424" s="253"/>
      <c r="IL424" s="345"/>
      <c r="IM424" s="253"/>
      <c r="IN424" s="346"/>
      <c r="IP424" s="253"/>
      <c r="IQ424" s="345"/>
      <c r="IR424" s="253"/>
      <c r="IS424" s="346"/>
      <c r="IU424" s="253"/>
      <c r="IV424" s="345"/>
    </row>
    <row r="425" spans="1:256" x14ac:dyDescent="0.2">
      <c r="A425" s="345">
        <v>40451</v>
      </c>
      <c r="B425" s="253">
        <v>9.76</v>
      </c>
      <c r="C425" s="346">
        <v>171194745.59999999</v>
      </c>
      <c r="D425" s="258">
        <v>9.7594200000000004</v>
      </c>
      <c r="E425" s="253">
        <f>B425-Index_Returns!B425</f>
        <v>0.83555999999999919</v>
      </c>
      <c r="F425" s="733"/>
      <c r="G425" s="728"/>
      <c r="H425" s="346"/>
      <c r="J425" s="253"/>
      <c r="K425" s="345"/>
      <c r="L425" s="253"/>
      <c r="M425" s="346"/>
      <c r="O425" s="253"/>
      <c r="P425" s="345"/>
      <c r="Q425" s="253"/>
      <c r="R425" s="346"/>
      <c r="T425" s="253"/>
      <c r="U425" s="345"/>
      <c r="V425" s="253"/>
      <c r="W425" s="346"/>
      <c r="Y425" s="253"/>
      <c r="Z425" s="345"/>
      <c r="AA425" s="253"/>
      <c r="AB425" s="346"/>
      <c r="AD425" s="253"/>
      <c r="AE425" s="345"/>
      <c r="AF425" s="253"/>
      <c r="AG425" s="346"/>
      <c r="AI425" s="253"/>
      <c r="AJ425" s="345"/>
      <c r="AK425" s="253"/>
      <c r="AL425" s="346"/>
      <c r="AN425" s="253"/>
      <c r="AO425" s="345"/>
      <c r="AP425" s="253"/>
      <c r="AQ425" s="346"/>
      <c r="AS425" s="253"/>
      <c r="AT425" s="345"/>
      <c r="AU425" s="253"/>
      <c r="AV425" s="346"/>
      <c r="AX425" s="253"/>
      <c r="AY425" s="345"/>
      <c r="AZ425" s="253"/>
      <c r="BA425" s="346"/>
      <c r="BC425" s="253"/>
      <c r="BD425" s="345"/>
      <c r="BE425" s="253"/>
      <c r="BF425" s="346"/>
      <c r="BH425" s="253"/>
      <c r="BI425" s="345"/>
      <c r="BJ425" s="253"/>
      <c r="BK425" s="346"/>
      <c r="BM425" s="253"/>
      <c r="BN425" s="345"/>
      <c r="BO425" s="253"/>
      <c r="BP425" s="346"/>
      <c r="BR425" s="253"/>
      <c r="BS425" s="345"/>
      <c r="BT425" s="253"/>
      <c r="BU425" s="346"/>
      <c r="BW425" s="253"/>
      <c r="BX425" s="345"/>
      <c r="BY425" s="253"/>
      <c r="BZ425" s="346"/>
      <c r="CB425" s="253"/>
      <c r="CC425" s="345"/>
      <c r="CD425" s="253"/>
      <c r="CE425" s="346"/>
      <c r="CG425" s="253"/>
      <c r="CH425" s="345"/>
      <c r="CI425" s="253"/>
      <c r="CJ425" s="346"/>
      <c r="CL425" s="253"/>
      <c r="CM425" s="345"/>
      <c r="CN425" s="253"/>
      <c r="CO425" s="346"/>
      <c r="CQ425" s="253"/>
      <c r="CR425" s="345"/>
      <c r="CS425" s="253"/>
      <c r="CT425" s="346"/>
      <c r="CV425" s="253"/>
      <c r="CW425" s="345"/>
      <c r="CX425" s="253"/>
      <c r="CY425" s="346"/>
      <c r="DA425" s="253"/>
      <c r="DB425" s="345"/>
      <c r="DC425" s="253"/>
      <c r="DD425" s="346"/>
      <c r="DF425" s="253"/>
      <c r="DG425" s="345"/>
      <c r="DH425" s="253"/>
      <c r="DI425" s="346"/>
      <c r="DK425" s="253"/>
      <c r="DL425" s="345"/>
      <c r="DM425" s="253"/>
      <c r="DN425" s="346"/>
      <c r="DP425" s="253"/>
      <c r="DQ425" s="345"/>
      <c r="DR425" s="253"/>
      <c r="DS425" s="346"/>
      <c r="DU425" s="253"/>
      <c r="DV425" s="345"/>
      <c r="DW425" s="253"/>
      <c r="DX425" s="346"/>
      <c r="DZ425" s="253"/>
      <c r="EA425" s="345"/>
      <c r="EB425" s="253"/>
      <c r="EC425" s="346"/>
      <c r="EE425" s="253"/>
      <c r="EF425" s="345"/>
      <c r="EG425" s="253"/>
      <c r="EH425" s="346"/>
      <c r="EJ425" s="253"/>
      <c r="EK425" s="345"/>
      <c r="EL425" s="253"/>
      <c r="EM425" s="346"/>
      <c r="EO425" s="253"/>
      <c r="EP425" s="345"/>
      <c r="EQ425" s="253"/>
      <c r="ER425" s="346"/>
      <c r="ET425" s="253"/>
      <c r="EU425" s="345"/>
      <c r="EV425" s="253"/>
      <c r="EW425" s="346"/>
      <c r="EY425" s="253"/>
      <c r="EZ425" s="345"/>
      <c r="FA425" s="253"/>
      <c r="FB425" s="346"/>
      <c r="FD425" s="253"/>
      <c r="FE425" s="345"/>
      <c r="FF425" s="253"/>
      <c r="FG425" s="346"/>
      <c r="FI425" s="253"/>
      <c r="FJ425" s="345"/>
      <c r="FK425" s="253"/>
      <c r="FL425" s="346"/>
      <c r="FN425" s="253"/>
      <c r="FO425" s="345"/>
      <c r="FP425" s="253"/>
      <c r="FQ425" s="346"/>
      <c r="FS425" s="253"/>
      <c r="FT425" s="345"/>
      <c r="FU425" s="253"/>
      <c r="FV425" s="346"/>
      <c r="FX425" s="253"/>
      <c r="FY425" s="345"/>
      <c r="FZ425" s="253"/>
      <c r="GA425" s="346"/>
      <c r="GC425" s="253"/>
      <c r="GD425" s="345"/>
      <c r="GE425" s="253"/>
      <c r="GF425" s="346"/>
      <c r="GH425" s="253"/>
      <c r="GI425" s="345"/>
      <c r="GJ425" s="253"/>
      <c r="GK425" s="346"/>
      <c r="GM425" s="253"/>
      <c r="GN425" s="345"/>
      <c r="GO425" s="253"/>
      <c r="GP425" s="346"/>
      <c r="GR425" s="253"/>
      <c r="GS425" s="345"/>
      <c r="GT425" s="253"/>
      <c r="GU425" s="346"/>
      <c r="GW425" s="253"/>
      <c r="GX425" s="345"/>
      <c r="GY425" s="253"/>
      <c r="GZ425" s="346"/>
      <c r="HB425" s="253"/>
      <c r="HC425" s="345"/>
      <c r="HD425" s="253"/>
      <c r="HE425" s="346"/>
      <c r="HG425" s="253"/>
      <c r="HH425" s="345"/>
      <c r="HI425" s="253"/>
      <c r="HJ425" s="346"/>
      <c r="HL425" s="253"/>
      <c r="HM425" s="345"/>
      <c r="HN425" s="253"/>
      <c r="HO425" s="346"/>
      <c r="HQ425" s="253"/>
      <c r="HR425" s="345"/>
      <c r="HS425" s="253"/>
      <c r="HT425" s="346"/>
      <c r="HV425" s="253"/>
      <c r="HW425" s="345"/>
      <c r="HX425" s="253"/>
      <c r="HY425" s="346"/>
      <c r="IA425" s="253"/>
      <c r="IB425" s="345"/>
      <c r="IC425" s="253"/>
      <c r="ID425" s="346"/>
      <c r="IF425" s="253"/>
      <c r="IG425" s="345"/>
      <c r="IH425" s="253"/>
      <c r="II425" s="346"/>
      <c r="IK425" s="253"/>
      <c r="IL425" s="345"/>
      <c r="IM425" s="253"/>
      <c r="IN425" s="346"/>
      <c r="IP425" s="253"/>
      <c r="IQ425" s="345"/>
      <c r="IR425" s="253"/>
      <c r="IS425" s="346"/>
      <c r="IU425" s="253"/>
      <c r="IV425" s="345"/>
    </row>
    <row r="426" spans="1:256" x14ac:dyDescent="0.2">
      <c r="A426" s="345">
        <v>40482</v>
      </c>
      <c r="B426" s="253">
        <v>4.0959099999999999</v>
      </c>
      <c r="C426" s="346">
        <v>178206719.66</v>
      </c>
      <c r="D426" s="258">
        <v>4.0959099999999999</v>
      </c>
      <c r="E426" s="253">
        <f>B426-Index_Returns!B426</f>
        <v>0.29098999999999986</v>
      </c>
      <c r="F426" s="345"/>
      <c r="G426" s="253"/>
      <c r="H426" s="346"/>
      <c r="J426" s="253"/>
      <c r="K426" s="345"/>
      <c r="L426" s="253"/>
      <c r="M426" s="346"/>
      <c r="O426" s="253"/>
      <c r="P426" s="345"/>
      <c r="Q426" s="253"/>
      <c r="R426" s="346"/>
      <c r="T426" s="253"/>
      <c r="U426" s="345"/>
      <c r="V426" s="253"/>
      <c r="W426" s="346"/>
      <c r="Y426" s="253"/>
      <c r="Z426" s="345"/>
      <c r="AA426" s="253"/>
      <c r="AB426" s="346"/>
      <c r="AD426" s="253"/>
      <c r="AE426" s="345"/>
      <c r="AF426" s="253"/>
      <c r="AG426" s="346"/>
      <c r="AI426" s="253"/>
      <c r="AJ426" s="345"/>
      <c r="AK426" s="253"/>
      <c r="AL426" s="346"/>
      <c r="AN426" s="253"/>
      <c r="AO426" s="345"/>
      <c r="AP426" s="253"/>
      <c r="AQ426" s="346"/>
      <c r="AS426" s="253"/>
      <c r="AT426" s="345"/>
      <c r="AU426" s="253"/>
      <c r="AV426" s="346"/>
      <c r="AX426" s="253"/>
      <c r="AY426" s="345"/>
      <c r="AZ426" s="253"/>
      <c r="BA426" s="346"/>
      <c r="BC426" s="253"/>
      <c r="BD426" s="345"/>
      <c r="BE426" s="253"/>
      <c r="BF426" s="346"/>
      <c r="BH426" s="253"/>
      <c r="BI426" s="345"/>
      <c r="BJ426" s="253"/>
      <c r="BK426" s="346"/>
      <c r="BM426" s="253"/>
      <c r="BN426" s="345"/>
      <c r="BO426" s="253"/>
      <c r="BP426" s="346"/>
      <c r="BR426" s="253"/>
      <c r="BS426" s="345"/>
      <c r="BT426" s="253"/>
      <c r="BU426" s="346"/>
      <c r="BW426" s="253"/>
      <c r="BX426" s="345"/>
      <c r="BY426" s="253"/>
      <c r="BZ426" s="346"/>
      <c r="CB426" s="253"/>
      <c r="CC426" s="345"/>
      <c r="CD426" s="253"/>
      <c r="CE426" s="346"/>
      <c r="CG426" s="253"/>
      <c r="CH426" s="345"/>
      <c r="CI426" s="253"/>
      <c r="CJ426" s="346"/>
      <c r="CL426" s="253"/>
      <c r="CM426" s="345"/>
      <c r="CN426" s="253"/>
      <c r="CO426" s="346"/>
      <c r="CQ426" s="253"/>
      <c r="CR426" s="345"/>
      <c r="CS426" s="253"/>
      <c r="CT426" s="346"/>
      <c r="CV426" s="253"/>
      <c r="CW426" s="345"/>
      <c r="CX426" s="253"/>
      <c r="CY426" s="346"/>
      <c r="DA426" s="253"/>
      <c r="DB426" s="345"/>
      <c r="DC426" s="253"/>
      <c r="DD426" s="346"/>
      <c r="DF426" s="253"/>
      <c r="DG426" s="345"/>
      <c r="DH426" s="253"/>
      <c r="DI426" s="346"/>
      <c r="DK426" s="253"/>
      <c r="DL426" s="345"/>
      <c r="DM426" s="253"/>
      <c r="DN426" s="346"/>
      <c r="DP426" s="253"/>
      <c r="DQ426" s="345"/>
      <c r="DR426" s="253"/>
      <c r="DS426" s="346"/>
      <c r="DU426" s="253"/>
      <c r="DV426" s="345"/>
      <c r="DW426" s="253"/>
      <c r="DX426" s="346"/>
      <c r="DZ426" s="253"/>
      <c r="EA426" s="345"/>
      <c r="EB426" s="253"/>
      <c r="EC426" s="346"/>
      <c r="EE426" s="253"/>
      <c r="EF426" s="345"/>
      <c r="EG426" s="253"/>
      <c r="EH426" s="346"/>
      <c r="EJ426" s="253"/>
      <c r="EK426" s="345"/>
      <c r="EL426" s="253"/>
      <c r="EM426" s="346"/>
      <c r="EO426" s="253"/>
      <c r="EP426" s="345"/>
      <c r="EQ426" s="253"/>
      <c r="ER426" s="346"/>
      <c r="ET426" s="253"/>
      <c r="EU426" s="345"/>
      <c r="EV426" s="253"/>
      <c r="EW426" s="346"/>
      <c r="EY426" s="253"/>
      <c r="EZ426" s="345"/>
      <c r="FA426" s="253"/>
      <c r="FB426" s="346"/>
      <c r="FD426" s="253"/>
      <c r="FE426" s="345"/>
      <c r="FF426" s="253"/>
      <c r="FG426" s="346"/>
      <c r="FI426" s="253"/>
      <c r="FJ426" s="345"/>
      <c r="FK426" s="253"/>
      <c r="FL426" s="346"/>
      <c r="FN426" s="253"/>
      <c r="FO426" s="345"/>
      <c r="FP426" s="253"/>
      <c r="FQ426" s="346"/>
      <c r="FS426" s="253"/>
      <c r="FT426" s="345"/>
      <c r="FU426" s="253"/>
      <c r="FV426" s="346"/>
      <c r="FX426" s="253"/>
      <c r="FY426" s="345"/>
      <c r="FZ426" s="253"/>
      <c r="GA426" s="346"/>
      <c r="GC426" s="253"/>
      <c r="GD426" s="345"/>
      <c r="GE426" s="253"/>
      <c r="GF426" s="346"/>
      <c r="GH426" s="253"/>
      <c r="GI426" s="345"/>
      <c r="GJ426" s="253"/>
      <c r="GK426" s="346"/>
      <c r="GM426" s="253"/>
      <c r="GN426" s="345"/>
      <c r="GO426" s="253"/>
      <c r="GP426" s="346"/>
      <c r="GR426" s="253"/>
      <c r="GS426" s="345"/>
      <c r="GT426" s="253"/>
      <c r="GU426" s="346"/>
      <c r="GW426" s="253"/>
      <c r="GX426" s="345"/>
      <c r="GY426" s="253"/>
      <c r="GZ426" s="346"/>
      <c r="HB426" s="253"/>
      <c r="HC426" s="345"/>
      <c r="HD426" s="253"/>
      <c r="HE426" s="346"/>
      <c r="HG426" s="253"/>
      <c r="HH426" s="345"/>
      <c r="HI426" s="253"/>
      <c r="HJ426" s="346"/>
      <c r="HL426" s="253"/>
      <c r="HM426" s="345"/>
      <c r="HN426" s="253"/>
      <c r="HO426" s="346"/>
      <c r="HQ426" s="253"/>
      <c r="HR426" s="345"/>
      <c r="HS426" s="253"/>
      <c r="HT426" s="346"/>
      <c r="HV426" s="253"/>
      <c r="HW426" s="345"/>
      <c r="HX426" s="253"/>
      <c r="HY426" s="346"/>
      <c r="IA426" s="253"/>
      <c r="IB426" s="345"/>
      <c r="IC426" s="253"/>
      <c r="ID426" s="346"/>
      <c r="IF426" s="253"/>
      <c r="IG426" s="345"/>
      <c r="IH426" s="253"/>
      <c r="II426" s="346"/>
      <c r="IK426" s="253"/>
      <c r="IL426" s="345"/>
      <c r="IM426" s="253"/>
      <c r="IN426" s="346"/>
      <c r="IP426" s="253"/>
      <c r="IQ426" s="345"/>
      <c r="IR426" s="253"/>
      <c r="IS426" s="346"/>
      <c r="IU426" s="253"/>
      <c r="IV426" s="345"/>
    </row>
    <row r="427" spans="1:256" x14ac:dyDescent="0.2">
      <c r="A427" s="345">
        <v>40512</v>
      </c>
      <c r="B427" s="253">
        <f>D427</f>
        <v>0.64054</v>
      </c>
      <c r="C427" s="346">
        <v>179348200.63</v>
      </c>
      <c r="D427" s="258">
        <v>0.64054</v>
      </c>
      <c r="E427" s="253">
        <f>B427-Index_Returns!B427</f>
        <v>0.62771999999999994</v>
      </c>
      <c r="F427" s="345"/>
      <c r="G427" s="253"/>
      <c r="H427" s="346"/>
      <c r="J427" s="253"/>
      <c r="K427" s="345"/>
      <c r="L427" s="253"/>
      <c r="M427" s="346"/>
      <c r="O427" s="253"/>
      <c r="P427" s="345"/>
      <c r="Q427" s="253"/>
      <c r="R427" s="346"/>
      <c r="T427" s="253"/>
      <c r="U427" s="345"/>
      <c r="V427" s="253"/>
      <c r="W427" s="346"/>
      <c r="Y427" s="253"/>
      <c r="Z427" s="345"/>
      <c r="AA427" s="253"/>
      <c r="AB427" s="346"/>
      <c r="AD427" s="253"/>
      <c r="AE427" s="345"/>
      <c r="AF427" s="253"/>
      <c r="AG427" s="346"/>
      <c r="AI427" s="253"/>
      <c r="AJ427" s="345"/>
      <c r="AK427" s="253"/>
      <c r="AL427" s="346"/>
      <c r="AN427" s="253"/>
      <c r="AO427" s="345"/>
      <c r="AP427" s="253"/>
      <c r="AQ427" s="346"/>
      <c r="AS427" s="253"/>
      <c r="AT427" s="345"/>
      <c r="AU427" s="253"/>
      <c r="AV427" s="346"/>
      <c r="AX427" s="253"/>
      <c r="AY427" s="345"/>
      <c r="AZ427" s="253"/>
      <c r="BA427" s="346"/>
      <c r="BC427" s="253"/>
      <c r="BD427" s="345"/>
      <c r="BE427" s="253"/>
      <c r="BF427" s="346"/>
      <c r="BH427" s="253"/>
      <c r="BI427" s="345"/>
      <c r="BJ427" s="253"/>
      <c r="BK427" s="346"/>
      <c r="BM427" s="253"/>
      <c r="BN427" s="345"/>
      <c r="BO427" s="253"/>
      <c r="BP427" s="346"/>
      <c r="BR427" s="253"/>
      <c r="BS427" s="345"/>
      <c r="BT427" s="253"/>
      <c r="BU427" s="346"/>
      <c r="BW427" s="253"/>
      <c r="BX427" s="345"/>
      <c r="BY427" s="253"/>
      <c r="BZ427" s="346"/>
      <c r="CB427" s="253"/>
      <c r="CC427" s="345"/>
      <c r="CD427" s="253"/>
      <c r="CE427" s="346"/>
      <c r="CG427" s="253"/>
      <c r="CH427" s="345"/>
      <c r="CI427" s="253"/>
      <c r="CJ427" s="346"/>
      <c r="CL427" s="253"/>
      <c r="CM427" s="345"/>
      <c r="CN427" s="253"/>
      <c r="CO427" s="346"/>
      <c r="CQ427" s="253"/>
      <c r="CR427" s="345"/>
      <c r="CS427" s="253"/>
      <c r="CT427" s="346"/>
      <c r="CV427" s="253"/>
      <c r="CW427" s="345"/>
      <c r="CX427" s="253"/>
      <c r="CY427" s="346"/>
      <c r="DA427" s="253"/>
      <c r="DB427" s="345"/>
      <c r="DC427" s="253"/>
      <c r="DD427" s="346"/>
      <c r="DF427" s="253"/>
      <c r="DG427" s="345"/>
      <c r="DH427" s="253"/>
      <c r="DI427" s="346"/>
      <c r="DK427" s="253"/>
      <c r="DL427" s="345"/>
      <c r="DM427" s="253"/>
      <c r="DN427" s="346"/>
      <c r="DP427" s="253"/>
      <c r="DQ427" s="345"/>
      <c r="DR427" s="253"/>
      <c r="DS427" s="346"/>
      <c r="DU427" s="253"/>
      <c r="DV427" s="345"/>
      <c r="DW427" s="253"/>
      <c r="DX427" s="346"/>
      <c r="DZ427" s="253"/>
      <c r="EA427" s="345"/>
      <c r="EB427" s="253"/>
      <c r="EC427" s="346"/>
      <c r="EE427" s="253"/>
      <c r="EF427" s="345"/>
      <c r="EG427" s="253"/>
      <c r="EH427" s="346"/>
      <c r="EJ427" s="253"/>
      <c r="EK427" s="345"/>
      <c r="EL427" s="253"/>
      <c r="EM427" s="346"/>
      <c r="EO427" s="253"/>
      <c r="EP427" s="345"/>
      <c r="EQ427" s="253"/>
      <c r="ER427" s="346"/>
      <c r="ET427" s="253"/>
      <c r="EU427" s="345"/>
      <c r="EV427" s="253"/>
      <c r="EW427" s="346"/>
      <c r="EY427" s="253"/>
      <c r="EZ427" s="345"/>
      <c r="FA427" s="253"/>
      <c r="FB427" s="346"/>
      <c r="FD427" s="253"/>
      <c r="FE427" s="345"/>
      <c r="FF427" s="253"/>
      <c r="FG427" s="346"/>
      <c r="FI427" s="253"/>
      <c r="FJ427" s="345"/>
      <c r="FK427" s="253"/>
      <c r="FL427" s="346"/>
      <c r="FN427" s="253"/>
      <c r="FO427" s="345"/>
      <c r="FP427" s="253"/>
      <c r="FQ427" s="346"/>
      <c r="FS427" s="253"/>
      <c r="FT427" s="345"/>
      <c r="FU427" s="253"/>
      <c r="FV427" s="346"/>
      <c r="FX427" s="253"/>
      <c r="FY427" s="345"/>
      <c r="FZ427" s="253"/>
      <c r="GA427" s="346"/>
      <c r="GC427" s="253"/>
      <c r="GD427" s="345"/>
      <c r="GE427" s="253"/>
      <c r="GF427" s="346"/>
      <c r="GH427" s="253"/>
      <c r="GI427" s="345"/>
      <c r="GJ427" s="253"/>
      <c r="GK427" s="346"/>
      <c r="GM427" s="253"/>
      <c r="GN427" s="345"/>
      <c r="GO427" s="253"/>
      <c r="GP427" s="346"/>
      <c r="GR427" s="253"/>
      <c r="GS427" s="345"/>
      <c r="GT427" s="253"/>
      <c r="GU427" s="346"/>
      <c r="GW427" s="253"/>
      <c r="GX427" s="345"/>
      <c r="GY427" s="253"/>
      <c r="GZ427" s="346"/>
      <c r="HB427" s="253"/>
      <c r="HC427" s="345"/>
      <c r="HD427" s="253"/>
      <c r="HE427" s="346"/>
      <c r="HG427" s="253"/>
      <c r="HH427" s="345"/>
      <c r="HI427" s="253"/>
      <c r="HJ427" s="346"/>
      <c r="HL427" s="253"/>
      <c r="HM427" s="345"/>
      <c r="HN427" s="253"/>
      <c r="HO427" s="346"/>
      <c r="HQ427" s="253"/>
      <c r="HR427" s="345"/>
      <c r="HS427" s="253"/>
      <c r="HT427" s="346"/>
      <c r="HV427" s="253"/>
      <c r="HW427" s="345"/>
      <c r="HX427" s="253"/>
      <c r="HY427" s="346"/>
      <c r="IA427" s="253"/>
      <c r="IB427" s="345"/>
      <c r="IC427" s="253"/>
      <c r="ID427" s="346"/>
      <c r="IF427" s="253"/>
      <c r="IG427" s="345"/>
      <c r="IH427" s="253"/>
      <c r="II427" s="346"/>
      <c r="IK427" s="253"/>
      <c r="IL427" s="345"/>
      <c r="IM427" s="253"/>
      <c r="IN427" s="346"/>
      <c r="IP427" s="253"/>
      <c r="IQ427" s="345"/>
      <c r="IR427" s="253"/>
      <c r="IS427" s="346"/>
      <c r="IU427" s="253"/>
      <c r="IV427" s="345"/>
    </row>
    <row r="428" spans="1:256" x14ac:dyDescent="0.2">
      <c r="A428" s="345">
        <v>40543</v>
      </c>
      <c r="B428" s="253">
        <v>6.0191699999999999</v>
      </c>
      <c r="C428" s="346">
        <v>190143463.88999999</v>
      </c>
      <c r="D428" s="258">
        <v>6.0191699999999999</v>
      </c>
      <c r="E428" s="253">
        <f>B428-Index_Returns!B428</f>
        <v>-0.66401999999999983</v>
      </c>
      <c r="F428" s="345"/>
      <c r="G428" s="253"/>
      <c r="H428" s="346"/>
      <c r="J428" s="253"/>
      <c r="K428" s="345"/>
      <c r="L428" s="253"/>
      <c r="M428" s="346"/>
      <c r="O428" s="253"/>
      <c r="P428" s="345"/>
      <c r="Q428" s="253"/>
      <c r="R428" s="346"/>
      <c r="T428" s="253"/>
      <c r="U428" s="345"/>
      <c r="V428" s="253"/>
      <c r="W428" s="346"/>
      <c r="Y428" s="253"/>
      <c r="Z428" s="345"/>
      <c r="AA428" s="253"/>
      <c r="AB428" s="346"/>
      <c r="AD428" s="253"/>
      <c r="AE428" s="345"/>
      <c r="AF428" s="253"/>
      <c r="AG428" s="346"/>
      <c r="AI428" s="253"/>
      <c r="AJ428" s="345"/>
      <c r="AK428" s="253"/>
      <c r="AL428" s="346"/>
      <c r="AN428" s="253"/>
      <c r="AO428" s="345"/>
      <c r="AP428" s="253"/>
      <c r="AQ428" s="346"/>
      <c r="AS428" s="253"/>
      <c r="AT428" s="345"/>
      <c r="AU428" s="253"/>
      <c r="AV428" s="346"/>
      <c r="AX428" s="253"/>
      <c r="AY428" s="345"/>
      <c r="AZ428" s="253"/>
      <c r="BA428" s="346"/>
      <c r="BC428" s="253"/>
      <c r="BD428" s="345"/>
      <c r="BE428" s="253"/>
      <c r="BF428" s="346"/>
      <c r="BH428" s="253"/>
      <c r="BI428" s="345"/>
      <c r="BJ428" s="253"/>
      <c r="BK428" s="346"/>
      <c r="BM428" s="253"/>
      <c r="BN428" s="345"/>
      <c r="BO428" s="253"/>
      <c r="BP428" s="346"/>
      <c r="BR428" s="253"/>
      <c r="BS428" s="345"/>
      <c r="BT428" s="253"/>
      <c r="BU428" s="346"/>
      <c r="BW428" s="253"/>
      <c r="BX428" s="345"/>
      <c r="BY428" s="253"/>
      <c r="BZ428" s="346"/>
      <c r="CB428" s="253"/>
      <c r="CC428" s="345"/>
      <c r="CD428" s="253"/>
      <c r="CE428" s="346"/>
      <c r="CG428" s="253"/>
      <c r="CH428" s="345"/>
      <c r="CI428" s="253"/>
      <c r="CJ428" s="346"/>
      <c r="CL428" s="253"/>
      <c r="CM428" s="345"/>
      <c r="CN428" s="253"/>
      <c r="CO428" s="346"/>
      <c r="CQ428" s="253"/>
      <c r="CR428" s="345"/>
      <c r="CS428" s="253"/>
      <c r="CT428" s="346"/>
      <c r="CV428" s="253"/>
      <c r="CW428" s="345"/>
      <c r="CX428" s="253"/>
      <c r="CY428" s="346"/>
      <c r="DA428" s="253"/>
      <c r="DB428" s="345"/>
      <c r="DC428" s="253"/>
      <c r="DD428" s="346"/>
      <c r="DF428" s="253"/>
      <c r="DG428" s="345"/>
      <c r="DH428" s="253"/>
      <c r="DI428" s="346"/>
      <c r="DK428" s="253"/>
      <c r="DL428" s="345"/>
      <c r="DM428" s="253"/>
      <c r="DN428" s="346"/>
      <c r="DP428" s="253"/>
      <c r="DQ428" s="345"/>
      <c r="DR428" s="253"/>
      <c r="DS428" s="346"/>
      <c r="DU428" s="253"/>
      <c r="DV428" s="345"/>
      <c r="DW428" s="253"/>
      <c r="DX428" s="346"/>
      <c r="DZ428" s="253"/>
      <c r="EA428" s="345"/>
      <c r="EB428" s="253"/>
      <c r="EC428" s="346"/>
      <c r="EE428" s="253"/>
      <c r="EF428" s="345"/>
      <c r="EG428" s="253"/>
      <c r="EH428" s="346"/>
      <c r="EJ428" s="253"/>
      <c r="EK428" s="345"/>
      <c r="EL428" s="253"/>
      <c r="EM428" s="346"/>
      <c r="EO428" s="253"/>
      <c r="EP428" s="345"/>
      <c r="EQ428" s="253"/>
      <c r="ER428" s="346"/>
      <c r="ET428" s="253"/>
      <c r="EU428" s="345"/>
      <c r="EV428" s="253"/>
      <c r="EW428" s="346"/>
      <c r="EY428" s="253"/>
      <c r="EZ428" s="345"/>
      <c r="FA428" s="253"/>
      <c r="FB428" s="346"/>
      <c r="FD428" s="253"/>
      <c r="FE428" s="345"/>
      <c r="FF428" s="253"/>
      <c r="FG428" s="346"/>
      <c r="FI428" s="253"/>
      <c r="FJ428" s="345"/>
      <c r="FK428" s="253"/>
      <c r="FL428" s="346"/>
      <c r="FN428" s="253"/>
      <c r="FO428" s="345"/>
      <c r="FP428" s="253"/>
      <c r="FQ428" s="346"/>
      <c r="FS428" s="253"/>
      <c r="FT428" s="345"/>
      <c r="FU428" s="253"/>
      <c r="FV428" s="346"/>
      <c r="FX428" s="253"/>
      <c r="FY428" s="345"/>
      <c r="FZ428" s="253"/>
      <c r="GA428" s="346"/>
      <c r="GC428" s="253"/>
      <c r="GD428" s="345"/>
      <c r="GE428" s="253"/>
      <c r="GF428" s="346"/>
      <c r="GH428" s="253"/>
      <c r="GI428" s="345"/>
      <c r="GJ428" s="253"/>
      <c r="GK428" s="346"/>
      <c r="GM428" s="253"/>
      <c r="GN428" s="345"/>
      <c r="GO428" s="253"/>
      <c r="GP428" s="346"/>
      <c r="GR428" s="253"/>
      <c r="GS428" s="345"/>
      <c r="GT428" s="253"/>
      <c r="GU428" s="346"/>
      <c r="GW428" s="253"/>
      <c r="GX428" s="345"/>
      <c r="GY428" s="253"/>
      <c r="GZ428" s="346"/>
      <c r="HB428" s="253"/>
      <c r="HC428" s="345"/>
      <c r="HD428" s="253"/>
      <c r="HE428" s="346"/>
      <c r="HG428" s="253"/>
      <c r="HH428" s="345"/>
      <c r="HI428" s="253"/>
      <c r="HJ428" s="346"/>
      <c r="HL428" s="253"/>
      <c r="HM428" s="345"/>
      <c r="HN428" s="253"/>
      <c r="HO428" s="346"/>
      <c r="HQ428" s="253"/>
      <c r="HR428" s="345"/>
      <c r="HS428" s="253"/>
      <c r="HT428" s="346"/>
      <c r="HV428" s="253"/>
      <c r="HW428" s="345"/>
      <c r="HX428" s="253"/>
      <c r="HY428" s="346"/>
      <c r="IA428" s="253"/>
      <c r="IB428" s="345"/>
      <c r="IC428" s="253"/>
      <c r="ID428" s="346"/>
      <c r="IF428" s="253"/>
      <c r="IG428" s="345"/>
      <c r="IH428" s="253"/>
      <c r="II428" s="346"/>
      <c r="IK428" s="253"/>
      <c r="IL428" s="345"/>
      <c r="IM428" s="253"/>
      <c r="IN428" s="346"/>
      <c r="IP428" s="253"/>
      <c r="IQ428" s="345"/>
      <c r="IR428" s="253"/>
      <c r="IS428" s="346"/>
      <c r="IU428" s="253"/>
      <c r="IV428" s="345"/>
    </row>
    <row r="429" spans="1:256" x14ac:dyDescent="0.2">
      <c r="A429" s="345">
        <v>40574</v>
      </c>
      <c r="B429" s="253">
        <f>D429</f>
        <v>3.0213199999999998</v>
      </c>
      <c r="C429" s="346">
        <v>195886050.69</v>
      </c>
      <c r="D429" s="258">
        <v>3.0213199999999998</v>
      </c>
      <c r="E429" s="253">
        <f>B429-Index_Returns!B429</f>
        <v>0.65115999999999996</v>
      </c>
      <c r="F429" s="345"/>
      <c r="G429" s="253"/>
      <c r="H429" s="346"/>
      <c r="J429" s="253"/>
      <c r="K429" s="345"/>
      <c r="L429" s="253"/>
      <c r="M429" s="346"/>
      <c r="O429" s="253"/>
      <c r="P429" s="345"/>
      <c r="Q429" s="253"/>
      <c r="R429" s="346"/>
      <c r="T429" s="253"/>
      <c r="U429" s="345"/>
      <c r="V429" s="253"/>
      <c r="W429" s="346"/>
      <c r="Y429" s="253"/>
      <c r="Z429" s="345"/>
      <c r="AA429" s="253"/>
      <c r="AB429" s="346"/>
      <c r="AD429" s="253"/>
      <c r="AE429" s="345"/>
      <c r="AF429" s="253"/>
      <c r="AG429" s="346"/>
      <c r="AI429" s="253"/>
      <c r="AJ429" s="345"/>
      <c r="AK429" s="253"/>
      <c r="AL429" s="346"/>
      <c r="AN429" s="253"/>
      <c r="AO429" s="345"/>
      <c r="AP429" s="253"/>
      <c r="AQ429" s="346"/>
      <c r="AS429" s="253"/>
      <c r="AT429" s="345"/>
      <c r="AU429" s="253"/>
      <c r="AV429" s="346"/>
      <c r="AX429" s="253"/>
      <c r="AY429" s="345"/>
      <c r="AZ429" s="253"/>
      <c r="BA429" s="346"/>
      <c r="BC429" s="253"/>
      <c r="BD429" s="345"/>
      <c r="BE429" s="253"/>
      <c r="BF429" s="346"/>
      <c r="BH429" s="253"/>
      <c r="BI429" s="345"/>
      <c r="BJ429" s="253"/>
      <c r="BK429" s="346"/>
      <c r="BM429" s="253"/>
      <c r="BN429" s="345"/>
      <c r="BO429" s="253"/>
      <c r="BP429" s="346"/>
      <c r="BR429" s="253"/>
      <c r="BS429" s="345"/>
      <c r="BT429" s="253"/>
      <c r="BU429" s="346"/>
      <c r="BW429" s="253"/>
      <c r="BX429" s="345"/>
      <c r="BY429" s="253"/>
      <c r="BZ429" s="346"/>
      <c r="CB429" s="253"/>
      <c r="CC429" s="345"/>
      <c r="CD429" s="253"/>
      <c r="CE429" s="346"/>
      <c r="CG429" s="253"/>
      <c r="CH429" s="345"/>
      <c r="CI429" s="253"/>
      <c r="CJ429" s="346"/>
      <c r="CL429" s="253"/>
      <c r="CM429" s="345"/>
      <c r="CN429" s="253"/>
      <c r="CO429" s="346"/>
      <c r="CQ429" s="253"/>
      <c r="CR429" s="345"/>
      <c r="CS429" s="253"/>
      <c r="CT429" s="346"/>
      <c r="CV429" s="253"/>
      <c r="CW429" s="345"/>
      <c r="CX429" s="253"/>
      <c r="CY429" s="346"/>
      <c r="DA429" s="253"/>
      <c r="DB429" s="345"/>
      <c r="DC429" s="253"/>
      <c r="DD429" s="346"/>
      <c r="DF429" s="253"/>
      <c r="DG429" s="345"/>
      <c r="DH429" s="253"/>
      <c r="DI429" s="346"/>
      <c r="DK429" s="253"/>
      <c r="DL429" s="345"/>
      <c r="DM429" s="253"/>
      <c r="DN429" s="346"/>
      <c r="DP429" s="253"/>
      <c r="DQ429" s="345"/>
      <c r="DR429" s="253"/>
      <c r="DS429" s="346"/>
      <c r="DU429" s="253"/>
      <c r="DV429" s="345"/>
      <c r="DW429" s="253"/>
      <c r="DX429" s="346"/>
      <c r="DZ429" s="253"/>
      <c r="EA429" s="345"/>
      <c r="EB429" s="253"/>
      <c r="EC429" s="346"/>
      <c r="EE429" s="253"/>
      <c r="EF429" s="345"/>
      <c r="EG429" s="253"/>
      <c r="EH429" s="346"/>
      <c r="EJ429" s="253"/>
      <c r="EK429" s="345"/>
      <c r="EL429" s="253"/>
      <c r="EM429" s="346"/>
      <c r="EO429" s="253"/>
      <c r="EP429" s="345"/>
      <c r="EQ429" s="253"/>
      <c r="ER429" s="346"/>
      <c r="ET429" s="253"/>
      <c r="EU429" s="345"/>
      <c r="EV429" s="253"/>
      <c r="EW429" s="346"/>
      <c r="EY429" s="253"/>
      <c r="EZ429" s="345"/>
      <c r="FA429" s="253"/>
      <c r="FB429" s="346"/>
      <c r="FD429" s="253"/>
      <c r="FE429" s="345"/>
      <c r="FF429" s="253"/>
      <c r="FG429" s="346"/>
      <c r="FI429" s="253"/>
      <c r="FJ429" s="345"/>
      <c r="FK429" s="253"/>
      <c r="FL429" s="346"/>
      <c r="FN429" s="253"/>
      <c r="FO429" s="345"/>
      <c r="FP429" s="253"/>
      <c r="FQ429" s="346"/>
      <c r="FS429" s="253"/>
      <c r="FT429" s="345"/>
      <c r="FU429" s="253"/>
      <c r="FV429" s="346"/>
      <c r="FX429" s="253"/>
      <c r="FY429" s="345"/>
      <c r="FZ429" s="253"/>
      <c r="GA429" s="346"/>
      <c r="GC429" s="253"/>
      <c r="GD429" s="345"/>
      <c r="GE429" s="253"/>
      <c r="GF429" s="346"/>
      <c r="GH429" s="253"/>
      <c r="GI429" s="345"/>
      <c r="GJ429" s="253"/>
      <c r="GK429" s="346"/>
      <c r="GM429" s="253"/>
      <c r="GN429" s="345"/>
      <c r="GO429" s="253"/>
      <c r="GP429" s="346"/>
      <c r="GR429" s="253"/>
      <c r="GS429" s="345"/>
      <c r="GT429" s="253"/>
      <c r="GU429" s="346"/>
      <c r="GW429" s="253"/>
      <c r="GX429" s="345"/>
      <c r="GY429" s="253"/>
      <c r="GZ429" s="346"/>
      <c r="HB429" s="253"/>
      <c r="HC429" s="345"/>
      <c r="HD429" s="253"/>
      <c r="HE429" s="346"/>
      <c r="HG429" s="253"/>
      <c r="HH429" s="345"/>
      <c r="HI429" s="253"/>
      <c r="HJ429" s="346"/>
      <c r="HL429" s="253"/>
      <c r="HM429" s="345"/>
      <c r="HN429" s="253"/>
      <c r="HO429" s="346"/>
      <c r="HQ429" s="253"/>
      <c r="HR429" s="345"/>
      <c r="HS429" s="253"/>
      <c r="HT429" s="346"/>
      <c r="HV429" s="253"/>
      <c r="HW429" s="345"/>
      <c r="HX429" s="253"/>
      <c r="HY429" s="346"/>
      <c r="IA429" s="253"/>
      <c r="IB429" s="345"/>
      <c r="IC429" s="253"/>
      <c r="ID429" s="346"/>
      <c r="IF429" s="253"/>
      <c r="IG429" s="345"/>
      <c r="IH429" s="253"/>
      <c r="II429" s="346"/>
      <c r="IK429" s="253"/>
      <c r="IL429" s="345"/>
      <c r="IM429" s="253"/>
      <c r="IN429" s="346"/>
      <c r="IP429" s="253"/>
      <c r="IQ429" s="345"/>
      <c r="IR429" s="253"/>
      <c r="IS429" s="346"/>
      <c r="IU429" s="253"/>
      <c r="IV429" s="345"/>
    </row>
    <row r="430" spans="1:256" x14ac:dyDescent="0.2">
      <c r="A430" s="345">
        <v>40602</v>
      </c>
      <c r="B430" s="253">
        <v>4.6233199999999997</v>
      </c>
      <c r="C430" s="346">
        <v>204923969.43000001</v>
      </c>
      <c r="D430" s="258">
        <v>4.6233199999999997</v>
      </c>
      <c r="E430" s="253">
        <f>B430-Index_Returns!B430</f>
        <v>1.1974299999999998</v>
      </c>
      <c r="F430" s="345"/>
      <c r="G430" s="253"/>
      <c r="H430" s="346"/>
      <c r="J430" s="253"/>
      <c r="K430" s="345"/>
      <c r="L430" s="253"/>
      <c r="M430" s="346"/>
      <c r="O430" s="253"/>
      <c r="P430" s="345"/>
      <c r="Q430" s="253"/>
      <c r="R430" s="346"/>
      <c r="T430" s="253"/>
      <c r="U430" s="345"/>
      <c r="V430" s="253"/>
      <c r="W430" s="346"/>
      <c r="Y430" s="253"/>
      <c r="Z430" s="345"/>
      <c r="AA430" s="253"/>
      <c r="AB430" s="346"/>
      <c r="AD430" s="253"/>
      <c r="AE430" s="345"/>
      <c r="AF430" s="253"/>
      <c r="AG430" s="346"/>
      <c r="AI430" s="253"/>
      <c r="AJ430" s="345"/>
      <c r="AK430" s="253"/>
      <c r="AL430" s="346"/>
      <c r="AN430" s="253"/>
      <c r="AO430" s="345"/>
      <c r="AP430" s="253"/>
      <c r="AQ430" s="346"/>
      <c r="AS430" s="253"/>
      <c r="AT430" s="345"/>
      <c r="AU430" s="253"/>
      <c r="AV430" s="346"/>
      <c r="AX430" s="253"/>
      <c r="AY430" s="345"/>
      <c r="AZ430" s="253"/>
      <c r="BA430" s="346"/>
      <c r="BC430" s="253"/>
      <c r="BD430" s="345"/>
      <c r="BE430" s="253"/>
      <c r="BF430" s="346"/>
      <c r="BH430" s="253"/>
      <c r="BI430" s="345"/>
      <c r="BJ430" s="253"/>
      <c r="BK430" s="346"/>
      <c r="BM430" s="253"/>
      <c r="BN430" s="345"/>
      <c r="BO430" s="253"/>
      <c r="BP430" s="346"/>
      <c r="BR430" s="253"/>
      <c r="BS430" s="345"/>
      <c r="BT430" s="253"/>
      <c r="BU430" s="346"/>
      <c r="BW430" s="253"/>
      <c r="BX430" s="345"/>
      <c r="BY430" s="253"/>
      <c r="BZ430" s="346"/>
      <c r="CB430" s="253"/>
      <c r="CC430" s="345"/>
      <c r="CD430" s="253"/>
      <c r="CE430" s="346"/>
      <c r="CG430" s="253"/>
      <c r="CH430" s="345"/>
      <c r="CI430" s="253"/>
      <c r="CJ430" s="346"/>
      <c r="CL430" s="253"/>
      <c r="CM430" s="345"/>
      <c r="CN430" s="253"/>
      <c r="CO430" s="346"/>
      <c r="CQ430" s="253"/>
      <c r="CR430" s="345"/>
      <c r="CS430" s="253"/>
      <c r="CT430" s="346"/>
      <c r="CV430" s="253"/>
      <c r="CW430" s="345"/>
      <c r="CX430" s="253"/>
      <c r="CY430" s="346"/>
      <c r="DA430" s="253"/>
      <c r="DB430" s="345"/>
      <c r="DC430" s="253"/>
      <c r="DD430" s="346"/>
      <c r="DF430" s="253"/>
      <c r="DG430" s="345"/>
      <c r="DH430" s="253"/>
      <c r="DI430" s="346"/>
      <c r="DK430" s="253"/>
      <c r="DL430" s="345"/>
      <c r="DM430" s="253"/>
      <c r="DN430" s="346"/>
      <c r="DP430" s="253"/>
      <c r="DQ430" s="345"/>
      <c r="DR430" s="253"/>
      <c r="DS430" s="346"/>
      <c r="DU430" s="253"/>
      <c r="DV430" s="345"/>
      <c r="DW430" s="253"/>
      <c r="DX430" s="346"/>
      <c r="DZ430" s="253"/>
      <c r="EA430" s="345"/>
      <c r="EB430" s="253"/>
      <c r="EC430" s="346"/>
      <c r="EE430" s="253"/>
      <c r="EF430" s="345"/>
      <c r="EG430" s="253"/>
      <c r="EH430" s="346"/>
      <c r="EJ430" s="253"/>
      <c r="EK430" s="345"/>
      <c r="EL430" s="253"/>
      <c r="EM430" s="346"/>
      <c r="EO430" s="253"/>
      <c r="EP430" s="345"/>
      <c r="EQ430" s="253"/>
      <c r="ER430" s="346"/>
      <c r="ET430" s="253"/>
      <c r="EU430" s="345"/>
      <c r="EV430" s="253"/>
      <c r="EW430" s="346"/>
      <c r="EY430" s="253"/>
      <c r="EZ430" s="345"/>
      <c r="FA430" s="253"/>
      <c r="FB430" s="346"/>
      <c r="FD430" s="253"/>
      <c r="FE430" s="345"/>
      <c r="FF430" s="253"/>
      <c r="FG430" s="346"/>
      <c r="FI430" s="253"/>
      <c r="FJ430" s="345"/>
      <c r="FK430" s="253"/>
      <c r="FL430" s="346"/>
      <c r="FN430" s="253"/>
      <c r="FO430" s="345"/>
      <c r="FP430" s="253"/>
      <c r="FQ430" s="346"/>
      <c r="FS430" s="253"/>
      <c r="FT430" s="345"/>
      <c r="FU430" s="253"/>
      <c r="FV430" s="346"/>
      <c r="FX430" s="253"/>
      <c r="FY430" s="345"/>
      <c r="FZ430" s="253"/>
      <c r="GA430" s="346"/>
      <c r="GC430" s="253"/>
      <c r="GD430" s="345"/>
      <c r="GE430" s="253"/>
      <c r="GF430" s="346"/>
      <c r="GH430" s="253"/>
      <c r="GI430" s="345"/>
      <c r="GJ430" s="253"/>
      <c r="GK430" s="346"/>
      <c r="GM430" s="253"/>
      <c r="GN430" s="345"/>
      <c r="GO430" s="253"/>
      <c r="GP430" s="346"/>
      <c r="GR430" s="253"/>
      <c r="GS430" s="345"/>
      <c r="GT430" s="253"/>
      <c r="GU430" s="346"/>
      <c r="GW430" s="253"/>
      <c r="GX430" s="345"/>
      <c r="GY430" s="253"/>
      <c r="GZ430" s="346"/>
      <c r="HB430" s="253"/>
      <c r="HC430" s="345"/>
      <c r="HD430" s="253"/>
      <c r="HE430" s="346"/>
      <c r="HG430" s="253"/>
      <c r="HH430" s="345"/>
      <c r="HI430" s="253"/>
      <c r="HJ430" s="346"/>
      <c r="HL430" s="253"/>
      <c r="HM430" s="345"/>
      <c r="HN430" s="253"/>
      <c r="HO430" s="346"/>
      <c r="HQ430" s="253"/>
      <c r="HR430" s="345"/>
      <c r="HS430" s="253"/>
      <c r="HT430" s="346"/>
      <c r="HV430" s="253"/>
      <c r="HW430" s="345"/>
      <c r="HX430" s="253"/>
      <c r="HY430" s="346"/>
      <c r="IA430" s="253"/>
      <c r="IB430" s="345"/>
      <c r="IC430" s="253"/>
      <c r="ID430" s="346"/>
      <c r="IF430" s="253"/>
      <c r="IG430" s="345"/>
      <c r="IH430" s="253"/>
      <c r="II430" s="346"/>
      <c r="IK430" s="253"/>
      <c r="IL430" s="345"/>
      <c r="IM430" s="253"/>
      <c r="IN430" s="346"/>
      <c r="IP430" s="253"/>
      <c r="IQ430" s="345"/>
      <c r="IR430" s="253"/>
      <c r="IS430" s="346"/>
      <c r="IU430" s="253"/>
      <c r="IV430" s="345"/>
    </row>
    <row r="431" spans="1:256" x14ac:dyDescent="0.2">
      <c r="A431" s="345">
        <v>40633</v>
      </c>
      <c r="B431" s="253">
        <f>D431</f>
        <v>1.47136</v>
      </c>
      <c r="C431" s="346">
        <v>207949234.44999999</v>
      </c>
      <c r="D431" s="258">
        <v>1.47136</v>
      </c>
      <c r="E431" s="253">
        <f>B431-Index_Returns!B431</f>
        <v>1.4316</v>
      </c>
      <c r="F431" s="345"/>
      <c r="G431" s="253"/>
      <c r="H431" s="346"/>
      <c r="J431" s="253"/>
      <c r="K431" s="345"/>
      <c r="L431" s="253"/>
      <c r="M431" s="346"/>
      <c r="O431" s="253"/>
      <c r="P431" s="345"/>
      <c r="Q431" s="253"/>
      <c r="R431" s="346"/>
      <c r="T431" s="253"/>
      <c r="U431" s="345"/>
      <c r="V431" s="253"/>
      <c r="W431" s="346"/>
      <c r="Y431" s="253"/>
      <c r="Z431" s="345"/>
      <c r="AA431" s="253"/>
      <c r="AB431" s="346"/>
      <c r="AD431" s="253"/>
      <c r="AE431" s="345"/>
      <c r="AF431" s="253"/>
      <c r="AG431" s="346"/>
      <c r="AI431" s="253"/>
      <c r="AJ431" s="345"/>
      <c r="AK431" s="253"/>
      <c r="AL431" s="346"/>
      <c r="AN431" s="253"/>
      <c r="AO431" s="345"/>
      <c r="AP431" s="253"/>
      <c r="AQ431" s="346"/>
      <c r="AS431" s="253"/>
      <c r="AT431" s="345"/>
      <c r="AU431" s="253"/>
      <c r="AV431" s="346"/>
      <c r="AX431" s="253"/>
      <c r="AY431" s="345"/>
      <c r="AZ431" s="253"/>
      <c r="BA431" s="346"/>
      <c r="BC431" s="253"/>
      <c r="BD431" s="345"/>
      <c r="BE431" s="253"/>
      <c r="BF431" s="346"/>
      <c r="BH431" s="253"/>
      <c r="BI431" s="345"/>
      <c r="BJ431" s="253"/>
      <c r="BK431" s="346"/>
      <c r="BM431" s="253"/>
      <c r="BN431" s="345"/>
      <c r="BO431" s="253"/>
      <c r="BP431" s="346"/>
      <c r="BR431" s="253"/>
      <c r="BS431" s="345"/>
      <c r="BT431" s="253"/>
      <c r="BU431" s="346"/>
      <c r="BW431" s="253"/>
      <c r="BX431" s="345"/>
      <c r="BY431" s="253"/>
      <c r="BZ431" s="346"/>
      <c r="CB431" s="253"/>
      <c r="CC431" s="345"/>
      <c r="CD431" s="253"/>
      <c r="CE431" s="346"/>
      <c r="CG431" s="253"/>
      <c r="CH431" s="345"/>
      <c r="CI431" s="253"/>
      <c r="CJ431" s="346"/>
      <c r="CL431" s="253"/>
      <c r="CM431" s="345"/>
      <c r="CN431" s="253"/>
      <c r="CO431" s="346"/>
      <c r="CQ431" s="253"/>
      <c r="CR431" s="345"/>
      <c r="CS431" s="253"/>
      <c r="CT431" s="346"/>
      <c r="CV431" s="253"/>
      <c r="CW431" s="345"/>
      <c r="CX431" s="253"/>
      <c r="CY431" s="346"/>
      <c r="DA431" s="253"/>
      <c r="DB431" s="345"/>
      <c r="DC431" s="253"/>
      <c r="DD431" s="346"/>
      <c r="DF431" s="253"/>
      <c r="DG431" s="345"/>
      <c r="DH431" s="253"/>
      <c r="DI431" s="346"/>
      <c r="DK431" s="253"/>
      <c r="DL431" s="345"/>
      <c r="DM431" s="253"/>
      <c r="DN431" s="346"/>
      <c r="DP431" s="253"/>
      <c r="DQ431" s="345"/>
      <c r="DR431" s="253"/>
      <c r="DS431" s="346"/>
      <c r="DU431" s="253"/>
      <c r="DV431" s="345"/>
      <c r="DW431" s="253"/>
      <c r="DX431" s="346"/>
      <c r="DZ431" s="253"/>
      <c r="EA431" s="345"/>
      <c r="EB431" s="253"/>
      <c r="EC431" s="346"/>
      <c r="EE431" s="253"/>
      <c r="EF431" s="345"/>
      <c r="EG431" s="253"/>
      <c r="EH431" s="346"/>
      <c r="EJ431" s="253"/>
      <c r="EK431" s="345"/>
      <c r="EL431" s="253"/>
      <c r="EM431" s="346"/>
      <c r="EO431" s="253"/>
      <c r="EP431" s="345"/>
      <c r="EQ431" s="253"/>
      <c r="ER431" s="346"/>
      <c r="ET431" s="253"/>
      <c r="EU431" s="345"/>
      <c r="EV431" s="253"/>
      <c r="EW431" s="346"/>
      <c r="EY431" s="253"/>
      <c r="EZ431" s="345"/>
      <c r="FA431" s="253"/>
      <c r="FB431" s="346"/>
      <c r="FD431" s="253"/>
      <c r="FE431" s="345"/>
      <c r="FF431" s="253"/>
      <c r="FG431" s="346"/>
      <c r="FI431" s="253"/>
      <c r="FJ431" s="345"/>
      <c r="FK431" s="253"/>
      <c r="FL431" s="346"/>
      <c r="FN431" s="253"/>
      <c r="FO431" s="345"/>
      <c r="FP431" s="253"/>
      <c r="FQ431" s="346"/>
      <c r="FS431" s="253"/>
      <c r="FT431" s="345"/>
      <c r="FU431" s="253"/>
      <c r="FV431" s="346"/>
      <c r="FX431" s="253"/>
      <c r="FY431" s="345"/>
      <c r="FZ431" s="253"/>
      <c r="GA431" s="346"/>
      <c r="GC431" s="253"/>
      <c r="GD431" s="345"/>
      <c r="GE431" s="253"/>
      <c r="GF431" s="346"/>
      <c r="GH431" s="253"/>
      <c r="GI431" s="345"/>
      <c r="GJ431" s="253"/>
      <c r="GK431" s="346"/>
      <c r="GM431" s="253"/>
      <c r="GN431" s="345"/>
      <c r="GO431" s="253"/>
      <c r="GP431" s="346"/>
      <c r="GR431" s="253"/>
      <c r="GS431" s="345"/>
      <c r="GT431" s="253"/>
      <c r="GU431" s="346"/>
      <c r="GW431" s="253"/>
      <c r="GX431" s="345"/>
      <c r="GY431" s="253"/>
      <c r="GZ431" s="346"/>
      <c r="HB431" s="253"/>
      <c r="HC431" s="345"/>
      <c r="HD431" s="253"/>
      <c r="HE431" s="346"/>
      <c r="HG431" s="253"/>
      <c r="HH431" s="345"/>
      <c r="HI431" s="253"/>
      <c r="HJ431" s="346"/>
      <c r="HL431" s="253"/>
      <c r="HM431" s="345"/>
      <c r="HN431" s="253"/>
      <c r="HO431" s="346"/>
      <c r="HQ431" s="253"/>
      <c r="HR431" s="345"/>
      <c r="HS431" s="253"/>
      <c r="HT431" s="346"/>
      <c r="HV431" s="253"/>
      <c r="HW431" s="345"/>
      <c r="HX431" s="253"/>
      <c r="HY431" s="346"/>
      <c r="IA431" s="253"/>
      <c r="IB431" s="345"/>
      <c r="IC431" s="253"/>
      <c r="ID431" s="346"/>
      <c r="IF431" s="253"/>
      <c r="IG431" s="345"/>
      <c r="IH431" s="253"/>
      <c r="II431" s="346"/>
      <c r="IK431" s="253"/>
      <c r="IL431" s="345"/>
      <c r="IM431" s="253"/>
      <c r="IN431" s="346"/>
      <c r="IP431" s="253"/>
      <c r="IQ431" s="345"/>
      <c r="IR431" s="253"/>
      <c r="IS431" s="346"/>
      <c r="IU431" s="253"/>
      <c r="IV431" s="345"/>
    </row>
    <row r="432" spans="1:256" x14ac:dyDescent="0.2">
      <c r="A432" s="345">
        <v>40663</v>
      </c>
      <c r="B432" s="253">
        <f t="shared" ref="B432:B464" si="0">D432</f>
        <v>4.1613499999999997</v>
      </c>
      <c r="C432" s="346">
        <v>216599325.72999999</v>
      </c>
      <c r="D432" s="258">
        <v>4.1613499999999997</v>
      </c>
      <c r="E432" s="253">
        <f>B432-Index_Returns!B432</f>
        <v>1.1998099999999998</v>
      </c>
      <c r="F432" s="345"/>
      <c r="G432" s="253"/>
      <c r="H432" s="346"/>
      <c r="J432" s="253"/>
      <c r="K432" s="345"/>
      <c r="L432" s="253"/>
      <c r="M432" s="346"/>
      <c r="O432" s="253"/>
      <c r="P432" s="345"/>
      <c r="Q432" s="253"/>
      <c r="R432" s="346"/>
      <c r="T432" s="253"/>
      <c r="U432" s="345"/>
      <c r="V432" s="253"/>
      <c r="W432" s="346"/>
      <c r="Y432" s="253"/>
      <c r="Z432" s="345"/>
      <c r="AA432" s="253"/>
      <c r="AB432" s="346"/>
      <c r="AD432" s="253"/>
      <c r="AE432" s="345"/>
      <c r="AF432" s="253"/>
      <c r="AG432" s="346"/>
      <c r="AI432" s="253"/>
      <c r="AJ432" s="345"/>
      <c r="AK432" s="253"/>
      <c r="AL432" s="346"/>
      <c r="AN432" s="253"/>
      <c r="AO432" s="345"/>
      <c r="AP432" s="253"/>
      <c r="AQ432" s="346"/>
      <c r="AS432" s="253"/>
      <c r="AT432" s="345"/>
      <c r="AU432" s="253"/>
      <c r="AV432" s="346"/>
      <c r="AX432" s="253"/>
      <c r="AY432" s="345"/>
      <c r="AZ432" s="253"/>
      <c r="BA432" s="346"/>
      <c r="BC432" s="253"/>
      <c r="BD432" s="345"/>
      <c r="BE432" s="253"/>
      <c r="BF432" s="346"/>
      <c r="BH432" s="253"/>
      <c r="BI432" s="345"/>
      <c r="BJ432" s="253"/>
      <c r="BK432" s="346"/>
      <c r="BM432" s="253"/>
      <c r="BN432" s="345"/>
      <c r="BO432" s="253"/>
      <c r="BP432" s="346"/>
      <c r="BR432" s="253"/>
      <c r="BS432" s="345"/>
      <c r="BT432" s="253"/>
      <c r="BU432" s="346"/>
      <c r="BW432" s="253"/>
      <c r="BX432" s="345"/>
      <c r="BY432" s="253"/>
      <c r="BZ432" s="346"/>
      <c r="CB432" s="253"/>
      <c r="CC432" s="345"/>
      <c r="CD432" s="253"/>
      <c r="CE432" s="346"/>
      <c r="CG432" s="253"/>
      <c r="CH432" s="345"/>
      <c r="CI432" s="253"/>
      <c r="CJ432" s="346"/>
      <c r="CL432" s="253"/>
      <c r="CM432" s="345"/>
      <c r="CN432" s="253"/>
      <c r="CO432" s="346"/>
      <c r="CQ432" s="253"/>
      <c r="CR432" s="345"/>
      <c r="CS432" s="253"/>
      <c r="CT432" s="346"/>
      <c r="CV432" s="253"/>
      <c r="CW432" s="345"/>
      <c r="CX432" s="253"/>
      <c r="CY432" s="346"/>
      <c r="DA432" s="253"/>
      <c r="DB432" s="345"/>
      <c r="DC432" s="253"/>
      <c r="DD432" s="346"/>
      <c r="DF432" s="253"/>
      <c r="DG432" s="345"/>
      <c r="DH432" s="253"/>
      <c r="DI432" s="346"/>
      <c r="DK432" s="253"/>
      <c r="DL432" s="345"/>
      <c r="DM432" s="253"/>
      <c r="DN432" s="346"/>
      <c r="DP432" s="253"/>
      <c r="DQ432" s="345"/>
      <c r="DR432" s="253"/>
      <c r="DS432" s="346"/>
      <c r="DU432" s="253"/>
      <c r="DV432" s="345"/>
      <c r="DW432" s="253"/>
      <c r="DX432" s="346"/>
      <c r="DZ432" s="253"/>
      <c r="EA432" s="345"/>
      <c r="EB432" s="253"/>
      <c r="EC432" s="346"/>
      <c r="EE432" s="253"/>
      <c r="EF432" s="345"/>
      <c r="EG432" s="253"/>
      <c r="EH432" s="346"/>
      <c r="EJ432" s="253"/>
      <c r="EK432" s="345"/>
      <c r="EL432" s="253"/>
      <c r="EM432" s="346"/>
      <c r="EO432" s="253"/>
      <c r="EP432" s="345"/>
      <c r="EQ432" s="253"/>
      <c r="ER432" s="346"/>
      <c r="ET432" s="253"/>
      <c r="EU432" s="345"/>
      <c r="EV432" s="253"/>
      <c r="EW432" s="346"/>
      <c r="EY432" s="253"/>
      <c r="EZ432" s="345"/>
      <c r="FA432" s="253"/>
      <c r="FB432" s="346"/>
      <c r="FD432" s="253"/>
      <c r="FE432" s="345"/>
      <c r="FF432" s="253"/>
      <c r="FG432" s="346"/>
      <c r="FI432" s="253"/>
      <c r="FJ432" s="345"/>
      <c r="FK432" s="253"/>
      <c r="FL432" s="346"/>
      <c r="FN432" s="253"/>
      <c r="FO432" s="345"/>
      <c r="FP432" s="253"/>
      <c r="FQ432" s="346"/>
      <c r="FS432" s="253"/>
      <c r="FT432" s="345"/>
      <c r="FU432" s="253"/>
      <c r="FV432" s="346"/>
      <c r="FX432" s="253"/>
      <c r="FY432" s="345"/>
      <c r="FZ432" s="253"/>
      <c r="GA432" s="346"/>
      <c r="GC432" s="253"/>
      <c r="GD432" s="345"/>
      <c r="GE432" s="253"/>
      <c r="GF432" s="346"/>
      <c r="GH432" s="253"/>
      <c r="GI432" s="345"/>
      <c r="GJ432" s="253"/>
      <c r="GK432" s="346"/>
      <c r="GM432" s="253"/>
      <c r="GN432" s="345"/>
      <c r="GO432" s="253"/>
      <c r="GP432" s="346"/>
      <c r="GR432" s="253"/>
      <c r="GS432" s="345"/>
      <c r="GT432" s="253"/>
      <c r="GU432" s="346"/>
      <c r="GW432" s="253"/>
      <c r="GX432" s="345"/>
      <c r="GY432" s="253"/>
      <c r="GZ432" s="346"/>
      <c r="HB432" s="253"/>
      <c r="HC432" s="345"/>
      <c r="HD432" s="253"/>
      <c r="HE432" s="346"/>
      <c r="HG432" s="253"/>
      <c r="HH432" s="345"/>
      <c r="HI432" s="253"/>
      <c r="HJ432" s="346"/>
      <c r="HL432" s="253"/>
      <c r="HM432" s="345"/>
      <c r="HN432" s="253"/>
      <c r="HO432" s="346"/>
      <c r="HQ432" s="253"/>
      <c r="HR432" s="345"/>
      <c r="HS432" s="253"/>
      <c r="HT432" s="346"/>
      <c r="HV432" s="253"/>
      <c r="HW432" s="345"/>
      <c r="HX432" s="253"/>
      <c r="HY432" s="346"/>
      <c r="IA432" s="253"/>
      <c r="IB432" s="345"/>
      <c r="IC432" s="253"/>
      <c r="ID432" s="346"/>
      <c r="IF432" s="253"/>
      <c r="IG432" s="345"/>
      <c r="IH432" s="253"/>
      <c r="II432" s="346"/>
      <c r="IK432" s="253"/>
      <c r="IL432" s="345"/>
      <c r="IM432" s="253"/>
      <c r="IN432" s="346"/>
      <c r="IP432" s="253"/>
      <c r="IQ432" s="345"/>
      <c r="IR432" s="253"/>
      <c r="IS432" s="346"/>
      <c r="IU432" s="253"/>
      <c r="IV432" s="345"/>
    </row>
    <row r="433" spans="1:256" x14ac:dyDescent="0.2">
      <c r="A433" s="345">
        <v>40694</v>
      </c>
      <c r="B433" s="253">
        <f t="shared" si="0"/>
        <v>0.33811000000000002</v>
      </c>
      <c r="C433" s="346">
        <v>217333342.08000001</v>
      </c>
      <c r="D433" s="258">
        <v>0.33811000000000002</v>
      </c>
      <c r="E433" s="253">
        <f>B433-Index_Returns!B433</f>
        <v>1.4700600000000001</v>
      </c>
      <c r="F433" s="345"/>
      <c r="G433" s="253"/>
      <c r="H433" s="346"/>
      <c r="J433" s="253"/>
      <c r="K433" s="345"/>
      <c r="L433" s="253"/>
      <c r="M433" s="346"/>
      <c r="O433" s="253"/>
      <c r="P433" s="345"/>
      <c r="Q433" s="253"/>
      <c r="R433" s="346"/>
      <c r="T433" s="253"/>
      <c r="U433" s="345"/>
      <c r="V433" s="253"/>
      <c r="W433" s="346"/>
      <c r="Y433" s="253"/>
      <c r="Z433" s="345"/>
      <c r="AA433" s="253"/>
      <c r="AB433" s="346"/>
      <c r="AD433" s="253"/>
      <c r="AE433" s="345"/>
      <c r="AF433" s="253"/>
      <c r="AG433" s="346"/>
      <c r="AI433" s="253"/>
      <c r="AJ433" s="345"/>
      <c r="AK433" s="253"/>
      <c r="AL433" s="346"/>
      <c r="AN433" s="253"/>
      <c r="AO433" s="345"/>
      <c r="AP433" s="253"/>
      <c r="AQ433" s="346"/>
      <c r="AS433" s="253"/>
      <c r="AT433" s="345"/>
      <c r="AU433" s="253"/>
      <c r="AV433" s="346"/>
      <c r="AX433" s="253"/>
      <c r="AY433" s="345"/>
      <c r="AZ433" s="253"/>
      <c r="BA433" s="346"/>
      <c r="BC433" s="253"/>
      <c r="BD433" s="345"/>
      <c r="BE433" s="253"/>
      <c r="BF433" s="346"/>
      <c r="BH433" s="253"/>
      <c r="BI433" s="345"/>
      <c r="BJ433" s="253"/>
      <c r="BK433" s="346"/>
      <c r="BM433" s="253"/>
      <c r="BN433" s="345"/>
      <c r="BO433" s="253"/>
      <c r="BP433" s="346"/>
      <c r="BR433" s="253"/>
      <c r="BS433" s="345"/>
      <c r="BT433" s="253"/>
      <c r="BU433" s="346"/>
      <c r="BW433" s="253"/>
      <c r="BX433" s="345"/>
      <c r="BY433" s="253"/>
      <c r="BZ433" s="346"/>
      <c r="CB433" s="253"/>
      <c r="CC433" s="345"/>
      <c r="CD433" s="253"/>
      <c r="CE433" s="346"/>
      <c r="CG433" s="253"/>
      <c r="CH433" s="345"/>
      <c r="CI433" s="253"/>
      <c r="CJ433" s="346"/>
      <c r="CL433" s="253"/>
      <c r="CM433" s="345"/>
      <c r="CN433" s="253"/>
      <c r="CO433" s="346"/>
      <c r="CQ433" s="253"/>
      <c r="CR433" s="345"/>
      <c r="CS433" s="253"/>
      <c r="CT433" s="346"/>
      <c r="CV433" s="253"/>
      <c r="CW433" s="345"/>
      <c r="CX433" s="253"/>
      <c r="CY433" s="346"/>
      <c r="DA433" s="253"/>
      <c r="DB433" s="345"/>
      <c r="DC433" s="253"/>
      <c r="DD433" s="346"/>
      <c r="DF433" s="253"/>
      <c r="DG433" s="345"/>
      <c r="DH433" s="253"/>
      <c r="DI433" s="346"/>
      <c r="DK433" s="253"/>
      <c r="DL433" s="345"/>
      <c r="DM433" s="253"/>
      <c r="DN433" s="346"/>
      <c r="DP433" s="253"/>
      <c r="DQ433" s="345"/>
      <c r="DR433" s="253"/>
      <c r="DS433" s="346"/>
      <c r="DU433" s="253"/>
      <c r="DV433" s="345"/>
      <c r="DW433" s="253"/>
      <c r="DX433" s="346"/>
      <c r="DZ433" s="253"/>
      <c r="EA433" s="345"/>
      <c r="EB433" s="253"/>
      <c r="EC433" s="346"/>
      <c r="EE433" s="253"/>
      <c r="EF433" s="345"/>
      <c r="EG433" s="253"/>
      <c r="EH433" s="346"/>
      <c r="EJ433" s="253"/>
      <c r="EK433" s="345"/>
      <c r="EL433" s="253"/>
      <c r="EM433" s="346"/>
      <c r="EO433" s="253"/>
      <c r="EP433" s="345"/>
      <c r="EQ433" s="253"/>
      <c r="ER433" s="346"/>
      <c r="ET433" s="253"/>
      <c r="EU433" s="345"/>
      <c r="EV433" s="253"/>
      <c r="EW433" s="346"/>
      <c r="EY433" s="253"/>
      <c r="EZ433" s="345"/>
      <c r="FA433" s="253"/>
      <c r="FB433" s="346"/>
      <c r="FD433" s="253"/>
      <c r="FE433" s="345"/>
      <c r="FF433" s="253"/>
      <c r="FG433" s="346"/>
      <c r="FI433" s="253"/>
      <c r="FJ433" s="345"/>
      <c r="FK433" s="253"/>
      <c r="FL433" s="346"/>
      <c r="FN433" s="253"/>
      <c r="FO433" s="345"/>
      <c r="FP433" s="253"/>
      <c r="FQ433" s="346"/>
      <c r="FS433" s="253"/>
      <c r="FT433" s="345"/>
      <c r="FU433" s="253"/>
      <c r="FV433" s="346"/>
      <c r="FX433" s="253"/>
      <c r="FY433" s="345"/>
      <c r="FZ433" s="253"/>
      <c r="GA433" s="346"/>
      <c r="GC433" s="253"/>
      <c r="GD433" s="345"/>
      <c r="GE433" s="253"/>
      <c r="GF433" s="346"/>
      <c r="GH433" s="253"/>
      <c r="GI433" s="345"/>
      <c r="GJ433" s="253"/>
      <c r="GK433" s="346"/>
      <c r="GM433" s="253"/>
      <c r="GN433" s="345"/>
      <c r="GO433" s="253"/>
      <c r="GP433" s="346"/>
      <c r="GR433" s="253"/>
      <c r="GS433" s="345"/>
      <c r="GT433" s="253"/>
      <c r="GU433" s="346"/>
      <c r="GW433" s="253"/>
      <c r="GX433" s="345"/>
      <c r="GY433" s="253"/>
      <c r="GZ433" s="346"/>
      <c r="HB433" s="253"/>
      <c r="HC433" s="345"/>
      <c r="HD433" s="253"/>
      <c r="HE433" s="346"/>
      <c r="HG433" s="253"/>
      <c r="HH433" s="345"/>
      <c r="HI433" s="253"/>
      <c r="HJ433" s="346"/>
      <c r="HL433" s="253"/>
      <c r="HM433" s="345"/>
      <c r="HN433" s="253"/>
      <c r="HO433" s="346"/>
      <c r="HQ433" s="253"/>
      <c r="HR433" s="345"/>
      <c r="HS433" s="253"/>
      <c r="HT433" s="346"/>
      <c r="HV433" s="253"/>
      <c r="HW433" s="345"/>
      <c r="HX433" s="253"/>
      <c r="HY433" s="346"/>
      <c r="IA433" s="253"/>
      <c r="IB433" s="345"/>
      <c r="IC433" s="253"/>
      <c r="ID433" s="346"/>
      <c r="IF433" s="253"/>
      <c r="IG433" s="345"/>
      <c r="IH433" s="253"/>
      <c r="II433" s="346"/>
      <c r="IK433" s="253"/>
      <c r="IL433" s="345"/>
      <c r="IM433" s="253"/>
      <c r="IN433" s="346"/>
      <c r="IP433" s="253"/>
      <c r="IQ433" s="345"/>
      <c r="IR433" s="253"/>
      <c r="IS433" s="346"/>
      <c r="IU433" s="253"/>
      <c r="IV433" s="345"/>
    </row>
    <row r="434" spans="1:256" x14ac:dyDescent="0.2">
      <c r="A434" s="345">
        <v>40724</v>
      </c>
      <c r="B434" s="253">
        <f t="shared" si="0"/>
        <v>-1.0361400000000001</v>
      </c>
      <c r="C434" s="346">
        <v>215320176.65000001</v>
      </c>
      <c r="D434" s="258">
        <v>-1.0361400000000001</v>
      </c>
      <c r="E434" s="253">
        <f>B434-Index_Returns!B434</f>
        <v>0.63076999999999983</v>
      </c>
      <c r="F434" s="345"/>
      <c r="G434" s="253"/>
      <c r="H434" s="346"/>
      <c r="J434" s="253"/>
      <c r="K434" s="345"/>
      <c r="L434" s="253"/>
      <c r="M434" s="346"/>
      <c r="O434" s="253"/>
      <c r="P434" s="345"/>
      <c r="Q434" s="253"/>
      <c r="R434" s="346"/>
      <c r="T434" s="253"/>
      <c r="U434" s="345"/>
      <c r="V434" s="253"/>
      <c r="W434" s="346"/>
      <c r="Y434" s="253"/>
      <c r="Z434" s="345"/>
      <c r="AA434" s="253"/>
      <c r="AB434" s="346"/>
      <c r="AD434" s="253"/>
      <c r="AE434" s="345"/>
      <c r="AF434" s="253"/>
      <c r="AG434" s="346"/>
      <c r="AI434" s="253"/>
      <c r="AJ434" s="345"/>
      <c r="AK434" s="253"/>
      <c r="AL434" s="346"/>
      <c r="AN434" s="253"/>
      <c r="AO434" s="345"/>
      <c r="AP434" s="253"/>
      <c r="AQ434" s="346"/>
      <c r="AS434" s="253"/>
      <c r="AT434" s="345"/>
      <c r="AU434" s="253"/>
      <c r="AV434" s="346"/>
      <c r="AX434" s="253"/>
      <c r="AY434" s="345"/>
      <c r="AZ434" s="253"/>
      <c r="BA434" s="346"/>
      <c r="BC434" s="253"/>
      <c r="BD434" s="345"/>
      <c r="BE434" s="253"/>
      <c r="BF434" s="346"/>
      <c r="BH434" s="253"/>
      <c r="BI434" s="345"/>
      <c r="BJ434" s="253"/>
      <c r="BK434" s="346"/>
      <c r="BM434" s="253"/>
      <c r="BN434" s="345"/>
      <c r="BO434" s="253"/>
      <c r="BP434" s="346"/>
      <c r="BR434" s="253"/>
      <c r="BS434" s="345"/>
      <c r="BT434" s="253"/>
      <c r="BU434" s="346"/>
      <c r="BW434" s="253"/>
      <c r="BX434" s="345"/>
      <c r="BY434" s="253"/>
      <c r="BZ434" s="346"/>
      <c r="CB434" s="253"/>
      <c r="CC434" s="345"/>
      <c r="CD434" s="253"/>
      <c r="CE434" s="346"/>
      <c r="CG434" s="253"/>
      <c r="CH434" s="345"/>
      <c r="CI434" s="253"/>
      <c r="CJ434" s="346"/>
      <c r="CL434" s="253"/>
      <c r="CM434" s="345"/>
      <c r="CN434" s="253"/>
      <c r="CO434" s="346"/>
      <c r="CQ434" s="253"/>
      <c r="CR434" s="345"/>
      <c r="CS434" s="253"/>
      <c r="CT434" s="346"/>
      <c r="CV434" s="253"/>
      <c r="CW434" s="345"/>
      <c r="CX434" s="253"/>
      <c r="CY434" s="346"/>
      <c r="DA434" s="253"/>
      <c r="DB434" s="345"/>
      <c r="DC434" s="253"/>
      <c r="DD434" s="346"/>
      <c r="DF434" s="253"/>
      <c r="DG434" s="345"/>
      <c r="DH434" s="253"/>
      <c r="DI434" s="346"/>
      <c r="DK434" s="253"/>
      <c r="DL434" s="345"/>
      <c r="DM434" s="253"/>
      <c r="DN434" s="346"/>
      <c r="DP434" s="253"/>
      <c r="DQ434" s="345"/>
      <c r="DR434" s="253"/>
      <c r="DS434" s="346"/>
      <c r="DU434" s="253"/>
      <c r="DV434" s="345"/>
      <c r="DW434" s="253"/>
      <c r="DX434" s="346"/>
      <c r="DZ434" s="253"/>
      <c r="EA434" s="345"/>
      <c r="EB434" s="253"/>
      <c r="EC434" s="346"/>
      <c r="EE434" s="253"/>
      <c r="EF434" s="345"/>
      <c r="EG434" s="253"/>
      <c r="EH434" s="346"/>
      <c r="EJ434" s="253"/>
      <c r="EK434" s="345"/>
      <c r="EL434" s="253"/>
      <c r="EM434" s="346"/>
      <c r="EO434" s="253"/>
      <c r="EP434" s="345"/>
      <c r="EQ434" s="253"/>
      <c r="ER434" s="346"/>
      <c r="ET434" s="253"/>
      <c r="EU434" s="345"/>
      <c r="EV434" s="253"/>
      <c r="EW434" s="346"/>
      <c r="EY434" s="253"/>
      <c r="EZ434" s="345"/>
      <c r="FA434" s="253"/>
      <c r="FB434" s="346"/>
      <c r="FD434" s="253"/>
      <c r="FE434" s="345"/>
      <c r="FF434" s="253"/>
      <c r="FG434" s="346"/>
      <c r="FI434" s="253"/>
      <c r="FJ434" s="345"/>
      <c r="FK434" s="253"/>
      <c r="FL434" s="346"/>
      <c r="FN434" s="253"/>
      <c r="FO434" s="345"/>
      <c r="FP434" s="253"/>
      <c r="FQ434" s="346"/>
      <c r="FS434" s="253"/>
      <c r="FT434" s="345"/>
      <c r="FU434" s="253"/>
      <c r="FV434" s="346"/>
      <c r="FX434" s="253"/>
      <c r="FY434" s="345"/>
      <c r="FZ434" s="253"/>
      <c r="GA434" s="346"/>
      <c r="GC434" s="253"/>
      <c r="GD434" s="345"/>
      <c r="GE434" s="253"/>
      <c r="GF434" s="346"/>
      <c r="GH434" s="253"/>
      <c r="GI434" s="345"/>
      <c r="GJ434" s="253"/>
      <c r="GK434" s="346"/>
      <c r="GM434" s="253"/>
      <c r="GN434" s="345"/>
      <c r="GO434" s="253"/>
      <c r="GP434" s="346"/>
      <c r="GR434" s="253"/>
      <c r="GS434" s="345"/>
      <c r="GT434" s="253"/>
      <c r="GU434" s="346"/>
      <c r="GW434" s="253"/>
      <c r="GX434" s="345"/>
      <c r="GY434" s="253"/>
      <c r="GZ434" s="346"/>
      <c r="HB434" s="253"/>
      <c r="HC434" s="345"/>
      <c r="HD434" s="253"/>
      <c r="HE434" s="346"/>
      <c r="HG434" s="253"/>
      <c r="HH434" s="345"/>
      <c r="HI434" s="253"/>
      <c r="HJ434" s="346"/>
      <c r="HL434" s="253"/>
      <c r="HM434" s="345"/>
      <c r="HN434" s="253"/>
      <c r="HO434" s="346"/>
      <c r="HQ434" s="253"/>
      <c r="HR434" s="345"/>
      <c r="HS434" s="253"/>
      <c r="HT434" s="346"/>
      <c r="HV434" s="253"/>
      <c r="HW434" s="345"/>
      <c r="HX434" s="253"/>
      <c r="HY434" s="346"/>
      <c r="IA434" s="253"/>
      <c r="IB434" s="345"/>
      <c r="IC434" s="253"/>
      <c r="ID434" s="346"/>
      <c r="IF434" s="253"/>
      <c r="IG434" s="345"/>
      <c r="IH434" s="253"/>
      <c r="II434" s="346"/>
      <c r="IK434" s="253"/>
      <c r="IL434" s="345"/>
      <c r="IM434" s="253"/>
      <c r="IN434" s="346"/>
      <c r="IP434" s="253"/>
      <c r="IQ434" s="345"/>
      <c r="IR434" s="253"/>
      <c r="IS434" s="346"/>
      <c r="IU434" s="253"/>
      <c r="IV434" s="345"/>
    </row>
    <row r="435" spans="1:256" x14ac:dyDescent="0.2">
      <c r="A435" s="345">
        <v>40755</v>
      </c>
      <c r="B435" s="253">
        <f t="shared" si="0"/>
        <v>-2.5789300000000002</v>
      </c>
      <c r="C435" s="346">
        <v>209767228.19</v>
      </c>
      <c r="D435" s="258">
        <v>-2.5789300000000002</v>
      </c>
      <c r="E435" s="253">
        <f>B435-Index_Returns!B435</f>
        <v>-0.54544000000000015</v>
      </c>
      <c r="F435" s="345"/>
      <c r="G435" s="253"/>
      <c r="H435" s="346"/>
      <c r="J435" s="253"/>
      <c r="K435" s="345"/>
      <c r="L435" s="253"/>
      <c r="M435" s="346"/>
      <c r="O435" s="253"/>
      <c r="P435" s="345"/>
      <c r="Q435" s="253"/>
      <c r="R435" s="346"/>
      <c r="T435" s="253"/>
      <c r="U435" s="345"/>
      <c r="V435" s="253"/>
      <c r="W435" s="346"/>
      <c r="Y435" s="253"/>
      <c r="Z435" s="345"/>
      <c r="AA435" s="253"/>
      <c r="AB435" s="346"/>
      <c r="AD435" s="253"/>
      <c r="AE435" s="345"/>
      <c r="AF435" s="253"/>
      <c r="AG435" s="346"/>
      <c r="AI435" s="253"/>
      <c r="AJ435" s="345"/>
      <c r="AK435" s="253"/>
      <c r="AL435" s="346"/>
      <c r="AN435" s="253"/>
      <c r="AO435" s="345"/>
      <c r="AP435" s="253"/>
      <c r="AQ435" s="346"/>
      <c r="AS435" s="253"/>
      <c r="AT435" s="345"/>
      <c r="AU435" s="253"/>
      <c r="AV435" s="346"/>
      <c r="AX435" s="253"/>
      <c r="AY435" s="345"/>
      <c r="AZ435" s="253"/>
      <c r="BA435" s="346"/>
      <c r="BC435" s="253"/>
      <c r="BD435" s="345"/>
      <c r="BE435" s="253"/>
      <c r="BF435" s="346"/>
      <c r="BH435" s="253"/>
      <c r="BI435" s="345"/>
      <c r="BJ435" s="253"/>
      <c r="BK435" s="346"/>
      <c r="BM435" s="253"/>
      <c r="BN435" s="345"/>
      <c r="BO435" s="253"/>
      <c r="BP435" s="346"/>
      <c r="BR435" s="253"/>
      <c r="BS435" s="345"/>
      <c r="BT435" s="253"/>
      <c r="BU435" s="346"/>
      <c r="BW435" s="253"/>
      <c r="BX435" s="345"/>
      <c r="BY435" s="253"/>
      <c r="BZ435" s="346"/>
      <c r="CB435" s="253"/>
      <c r="CC435" s="345"/>
      <c r="CD435" s="253"/>
      <c r="CE435" s="346"/>
      <c r="CG435" s="253"/>
      <c r="CH435" s="345"/>
      <c r="CI435" s="253"/>
      <c r="CJ435" s="346"/>
      <c r="CL435" s="253"/>
      <c r="CM435" s="345"/>
      <c r="CN435" s="253"/>
      <c r="CO435" s="346"/>
      <c r="CQ435" s="253"/>
      <c r="CR435" s="345"/>
      <c r="CS435" s="253"/>
      <c r="CT435" s="346"/>
      <c r="CV435" s="253"/>
      <c r="CW435" s="345"/>
      <c r="CX435" s="253"/>
      <c r="CY435" s="346"/>
      <c r="DA435" s="253"/>
      <c r="DB435" s="345"/>
      <c r="DC435" s="253"/>
      <c r="DD435" s="346"/>
      <c r="DF435" s="253"/>
      <c r="DG435" s="345"/>
      <c r="DH435" s="253"/>
      <c r="DI435" s="346"/>
      <c r="DK435" s="253"/>
      <c r="DL435" s="345"/>
      <c r="DM435" s="253"/>
      <c r="DN435" s="346"/>
      <c r="DP435" s="253"/>
      <c r="DQ435" s="345"/>
      <c r="DR435" s="253"/>
      <c r="DS435" s="346"/>
      <c r="DU435" s="253"/>
      <c r="DV435" s="345"/>
      <c r="DW435" s="253"/>
      <c r="DX435" s="346"/>
      <c r="DZ435" s="253"/>
      <c r="EA435" s="345"/>
      <c r="EB435" s="253"/>
      <c r="EC435" s="346"/>
      <c r="EE435" s="253"/>
      <c r="EF435" s="345"/>
      <c r="EG435" s="253"/>
      <c r="EH435" s="346"/>
      <c r="EJ435" s="253"/>
      <c r="EK435" s="345"/>
      <c r="EL435" s="253"/>
      <c r="EM435" s="346"/>
      <c r="EO435" s="253"/>
      <c r="EP435" s="345"/>
      <c r="EQ435" s="253"/>
      <c r="ER435" s="346"/>
      <c r="ET435" s="253"/>
      <c r="EU435" s="345"/>
      <c r="EV435" s="253"/>
      <c r="EW435" s="346"/>
      <c r="EY435" s="253"/>
      <c r="EZ435" s="345"/>
      <c r="FA435" s="253"/>
      <c r="FB435" s="346"/>
      <c r="FD435" s="253"/>
      <c r="FE435" s="345"/>
      <c r="FF435" s="253"/>
      <c r="FG435" s="346"/>
      <c r="FI435" s="253"/>
      <c r="FJ435" s="345"/>
      <c r="FK435" s="253"/>
      <c r="FL435" s="346"/>
      <c r="FN435" s="253"/>
      <c r="FO435" s="345"/>
      <c r="FP435" s="253"/>
      <c r="FQ435" s="346"/>
      <c r="FS435" s="253"/>
      <c r="FT435" s="345"/>
      <c r="FU435" s="253"/>
      <c r="FV435" s="346"/>
      <c r="FX435" s="253"/>
      <c r="FY435" s="345"/>
      <c r="FZ435" s="253"/>
      <c r="GA435" s="346"/>
      <c r="GC435" s="253"/>
      <c r="GD435" s="345"/>
      <c r="GE435" s="253"/>
      <c r="GF435" s="346"/>
      <c r="GH435" s="253"/>
      <c r="GI435" s="345"/>
      <c r="GJ435" s="253"/>
      <c r="GK435" s="346"/>
      <c r="GM435" s="253"/>
      <c r="GN435" s="345"/>
      <c r="GO435" s="253"/>
      <c r="GP435" s="346"/>
      <c r="GR435" s="253"/>
      <c r="GS435" s="345"/>
      <c r="GT435" s="253"/>
      <c r="GU435" s="346"/>
      <c r="GW435" s="253"/>
      <c r="GX435" s="345"/>
      <c r="GY435" s="253"/>
      <c r="GZ435" s="346"/>
      <c r="HB435" s="253"/>
      <c r="HC435" s="345"/>
      <c r="HD435" s="253"/>
      <c r="HE435" s="346"/>
      <c r="HG435" s="253"/>
      <c r="HH435" s="345"/>
      <c r="HI435" s="253"/>
      <c r="HJ435" s="346"/>
      <c r="HL435" s="253"/>
      <c r="HM435" s="345"/>
      <c r="HN435" s="253"/>
      <c r="HO435" s="346"/>
      <c r="HQ435" s="253"/>
      <c r="HR435" s="345"/>
      <c r="HS435" s="253"/>
      <c r="HT435" s="346"/>
      <c r="HV435" s="253"/>
      <c r="HW435" s="345"/>
      <c r="HX435" s="253"/>
      <c r="HY435" s="346"/>
      <c r="IA435" s="253"/>
      <c r="IB435" s="345"/>
      <c r="IC435" s="253"/>
      <c r="ID435" s="346"/>
      <c r="IF435" s="253"/>
      <c r="IG435" s="345"/>
      <c r="IH435" s="253"/>
      <c r="II435" s="346"/>
      <c r="IK435" s="253"/>
      <c r="IL435" s="345"/>
      <c r="IM435" s="253"/>
      <c r="IN435" s="346"/>
      <c r="IP435" s="253"/>
      <c r="IQ435" s="345"/>
      <c r="IR435" s="253"/>
      <c r="IS435" s="346"/>
      <c r="IU435" s="253"/>
      <c r="IV435" s="345"/>
    </row>
    <row r="436" spans="1:256" x14ac:dyDescent="0.2">
      <c r="A436" s="345">
        <v>40786</v>
      </c>
      <c r="B436" s="253">
        <f t="shared" si="0"/>
        <v>-5.9297199999999997</v>
      </c>
      <c r="C436" s="346">
        <v>197589302.90000001</v>
      </c>
      <c r="D436" s="258">
        <v>-5.9297199999999997</v>
      </c>
      <c r="E436" s="253">
        <f>B436-Index_Returns!B436</f>
        <v>-0.49753999999999987</v>
      </c>
      <c r="F436" s="345"/>
      <c r="G436" s="253"/>
      <c r="H436" s="346"/>
      <c r="J436" s="253"/>
      <c r="K436" s="345"/>
      <c r="L436" s="253"/>
      <c r="M436" s="346"/>
      <c r="O436" s="253"/>
      <c r="P436" s="345"/>
      <c r="Q436" s="253"/>
      <c r="R436" s="346"/>
      <c r="T436" s="253"/>
      <c r="U436" s="345"/>
      <c r="V436" s="253"/>
      <c r="W436" s="346"/>
      <c r="Y436" s="253"/>
      <c r="Z436" s="345"/>
      <c r="AA436" s="253"/>
      <c r="AB436" s="346"/>
      <c r="AD436" s="253"/>
      <c r="AE436" s="345"/>
      <c r="AF436" s="253"/>
      <c r="AG436" s="346"/>
      <c r="AI436" s="253"/>
      <c r="AJ436" s="345"/>
      <c r="AK436" s="253"/>
      <c r="AL436" s="346"/>
      <c r="AN436" s="253"/>
      <c r="AO436" s="345"/>
      <c r="AP436" s="253"/>
      <c r="AQ436" s="346"/>
      <c r="AS436" s="253"/>
      <c r="AT436" s="345"/>
      <c r="AU436" s="253"/>
      <c r="AV436" s="346"/>
      <c r="AX436" s="253"/>
      <c r="AY436" s="345"/>
      <c r="AZ436" s="253"/>
      <c r="BA436" s="346"/>
      <c r="BC436" s="253"/>
      <c r="BD436" s="345"/>
      <c r="BE436" s="253"/>
      <c r="BF436" s="346"/>
      <c r="BH436" s="253"/>
      <c r="BI436" s="345"/>
      <c r="BJ436" s="253"/>
      <c r="BK436" s="346"/>
      <c r="BM436" s="253"/>
      <c r="BN436" s="345"/>
      <c r="BO436" s="253"/>
      <c r="BP436" s="346"/>
      <c r="BR436" s="253"/>
      <c r="BS436" s="345"/>
      <c r="BT436" s="253"/>
      <c r="BU436" s="346"/>
      <c r="BW436" s="253"/>
      <c r="BX436" s="345"/>
      <c r="BY436" s="253"/>
      <c r="BZ436" s="346"/>
      <c r="CB436" s="253"/>
      <c r="CC436" s="345"/>
      <c r="CD436" s="253"/>
      <c r="CE436" s="346"/>
      <c r="CG436" s="253"/>
      <c r="CH436" s="345"/>
      <c r="CI436" s="253"/>
      <c r="CJ436" s="346"/>
      <c r="CL436" s="253"/>
      <c r="CM436" s="345"/>
      <c r="CN436" s="253"/>
      <c r="CO436" s="346"/>
      <c r="CQ436" s="253"/>
      <c r="CR436" s="345"/>
      <c r="CS436" s="253"/>
      <c r="CT436" s="346"/>
      <c r="CV436" s="253"/>
      <c r="CW436" s="345"/>
      <c r="CX436" s="253"/>
      <c r="CY436" s="346"/>
      <c r="DA436" s="253"/>
      <c r="DB436" s="345"/>
      <c r="DC436" s="253"/>
      <c r="DD436" s="346"/>
      <c r="DF436" s="253"/>
      <c r="DG436" s="345"/>
      <c r="DH436" s="253"/>
      <c r="DI436" s="346"/>
      <c r="DK436" s="253"/>
      <c r="DL436" s="345"/>
      <c r="DM436" s="253"/>
      <c r="DN436" s="346"/>
      <c r="DP436" s="253"/>
      <c r="DQ436" s="345"/>
      <c r="DR436" s="253"/>
      <c r="DS436" s="346"/>
      <c r="DU436" s="253"/>
      <c r="DV436" s="345"/>
      <c r="DW436" s="253"/>
      <c r="DX436" s="346"/>
      <c r="DZ436" s="253"/>
      <c r="EA436" s="345"/>
      <c r="EB436" s="253"/>
      <c r="EC436" s="346"/>
      <c r="EE436" s="253"/>
      <c r="EF436" s="345"/>
      <c r="EG436" s="253"/>
      <c r="EH436" s="346"/>
      <c r="EJ436" s="253"/>
      <c r="EK436" s="345"/>
      <c r="EL436" s="253"/>
      <c r="EM436" s="346"/>
      <c r="EO436" s="253"/>
      <c r="EP436" s="345"/>
      <c r="EQ436" s="253"/>
      <c r="ER436" s="346"/>
      <c r="ET436" s="253"/>
      <c r="EU436" s="345"/>
      <c r="EV436" s="253"/>
      <c r="EW436" s="346"/>
      <c r="EY436" s="253"/>
      <c r="EZ436" s="345"/>
      <c r="FA436" s="253"/>
      <c r="FB436" s="346"/>
      <c r="FD436" s="253"/>
      <c r="FE436" s="345"/>
      <c r="FF436" s="253"/>
      <c r="FG436" s="346"/>
      <c r="FI436" s="253"/>
      <c r="FJ436" s="345"/>
      <c r="FK436" s="253"/>
      <c r="FL436" s="346"/>
      <c r="FN436" s="253"/>
      <c r="FO436" s="345"/>
      <c r="FP436" s="253"/>
      <c r="FQ436" s="346"/>
      <c r="FS436" s="253"/>
      <c r="FT436" s="345"/>
      <c r="FU436" s="253"/>
      <c r="FV436" s="346"/>
      <c r="FX436" s="253"/>
      <c r="FY436" s="345"/>
      <c r="FZ436" s="253"/>
      <c r="GA436" s="346"/>
      <c r="GC436" s="253"/>
      <c r="GD436" s="345"/>
      <c r="GE436" s="253"/>
      <c r="GF436" s="346"/>
      <c r="GH436" s="253"/>
      <c r="GI436" s="345"/>
      <c r="GJ436" s="253"/>
      <c r="GK436" s="346"/>
      <c r="GM436" s="253"/>
      <c r="GN436" s="345"/>
      <c r="GO436" s="253"/>
      <c r="GP436" s="346"/>
      <c r="GR436" s="253"/>
      <c r="GS436" s="345"/>
      <c r="GT436" s="253"/>
      <c r="GU436" s="346"/>
      <c r="GW436" s="253"/>
      <c r="GX436" s="345"/>
      <c r="GY436" s="253"/>
      <c r="GZ436" s="346"/>
      <c r="HB436" s="253"/>
      <c r="HC436" s="345"/>
      <c r="HD436" s="253"/>
      <c r="HE436" s="346"/>
      <c r="HG436" s="253"/>
      <c r="HH436" s="345"/>
      <c r="HI436" s="253"/>
      <c r="HJ436" s="346"/>
      <c r="HL436" s="253"/>
      <c r="HM436" s="345"/>
      <c r="HN436" s="253"/>
      <c r="HO436" s="346"/>
      <c r="HQ436" s="253"/>
      <c r="HR436" s="345"/>
      <c r="HS436" s="253"/>
      <c r="HT436" s="346"/>
      <c r="HV436" s="253"/>
      <c r="HW436" s="345"/>
      <c r="HX436" s="253"/>
      <c r="HY436" s="346"/>
      <c r="IA436" s="253"/>
      <c r="IB436" s="345"/>
      <c r="IC436" s="253"/>
      <c r="ID436" s="346"/>
      <c r="IF436" s="253"/>
      <c r="IG436" s="345"/>
      <c r="IH436" s="253"/>
      <c r="II436" s="346"/>
      <c r="IK436" s="253"/>
      <c r="IL436" s="345"/>
      <c r="IM436" s="253"/>
      <c r="IN436" s="346"/>
      <c r="IP436" s="253"/>
      <c r="IQ436" s="345"/>
      <c r="IR436" s="253"/>
      <c r="IS436" s="346"/>
      <c r="IU436" s="253"/>
      <c r="IV436" s="345"/>
    </row>
    <row r="437" spans="1:256" x14ac:dyDescent="0.2">
      <c r="A437" s="345">
        <v>40816</v>
      </c>
      <c r="B437" s="253">
        <f t="shared" si="0"/>
        <v>-5.5737199999999998</v>
      </c>
      <c r="C437" s="346">
        <v>186576220.08000001</v>
      </c>
      <c r="D437" s="258">
        <v>-5.5737199999999998</v>
      </c>
      <c r="E437" s="253">
        <f>B437-Index_Returns!B437</f>
        <v>1.4561400000000004</v>
      </c>
      <c r="F437" s="345"/>
      <c r="G437" s="253"/>
      <c r="H437" s="346"/>
      <c r="J437" s="253"/>
      <c r="K437" s="345"/>
      <c r="L437" s="253"/>
      <c r="M437" s="346"/>
      <c r="O437" s="253"/>
      <c r="P437" s="345"/>
      <c r="Q437" s="253"/>
      <c r="R437" s="346"/>
      <c r="T437" s="253"/>
      <c r="U437" s="345"/>
      <c r="V437" s="253"/>
      <c r="W437" s="346"/>
      <c r="Y437" s="253"/>
      <c r="Z437" s="345"/>
      <c r="AA437" s="253"/>
      <c r="AB437" s="346"/>
      <c r="AD437" s="253"/>
      <c r="AE437" s="345"/>
      <c r="AF437" s="253"/>
      <c r="AG437" s="346"/>
      <c r="AI437" s="253"/>
      <c r="AJ437" s="345"/>
      <c r="AK437" s="253"/>
      <c r="AL437" s="346"/>
      <c r="AN437" s="253"/>
      <c r="AO437" s="345"/>
      <c r="AP437" s="253"/>
      <c r="AQ437" s="346"/>
      <c r="AS437" s="253"/>
      <c r="AT437" s="345"/>
      <c r="AU437" s="253"/>
      <c r="AV437" s="346"/>
      <c r="AX437" s="253"/>
      <c r="AY437" s="345"/>
      <c r="AZ437" s="253"/>
      <c r="BA437" s="346"/>
      <c r="BC437" s="253"/>
      <c r="BD437" s="345"/>
      <c r="BE437" s="253"/>
      <c r="BF437" s="346"/>
      <c r="BH437" s="253"/>
      <c r="BI437" s="345"/>
      <c r="BJ437" s="253"/>
      <c r="BK437" s="346"/>
      <c r="BM437" s="253"/>
      <c r="BN437" s="345"/>
      <c r="BO437" s="253"/>
      <c r="BP437" s="346"/>
      <c r="BR437" s="253"/>
      <c r="BS437" s="345"/>
      <c r="BT437" s="253"/>
      <c r="BU437" s="346"/>
      <c r="BW437" s="253"/>
      <c r="BX437" s="345"/>
      <c r="BY437" s="253"/>
      <c r="BZ437" s="346"/>
      <c r="CB437" s="253"/>
      <c r="CC437" s="345"/>
      <c r="CD437" s="253"/>
      <c r="CE437" s="346"/>
      <c r="CG437" s="253"/>
      <c r="CH437" s="345"/>
      <c r="CI437" s="253"/>
      <c r="CJ437" s="346"/>
      <c r="CL437" s="253"/>
      <c r="CM437" s="345"/>
      <c r="CN437" s="253"/>
      <c r="CO437" s="346"/>
      <c r="CQ437" s="253"/>
      <c r="CR437" s="345"/>
      <c r="CS437" s="253"/>
      <c r="CT437" s="346"/>
      <c r="CV437" s="253"/>
      <c r="CW437" s="345"/>
      <c r="CX437" s="253"/>
      <c r="CY437" s="346"/>
      <c r="DA437" s="253"/>
      <c r="DB437" s="345"/>
      <c r="DC437" s="253"/>
      <c r="DD437" s="346"/>
      <c r="DF437" s="253"/>
      <c r="DG437" s="345"/>
      <c r="DH437" s="253"/>
      <c r="DI437" s="346"/>
      <c r="DK437" s="253"/>
      <c r="DL437" s="345"/>
      <c r="DM437" s="253"/>
      <c r="DN437" s="346"/>
      <c r="DP437" s="253"/>
      <c r="DQ437" s="345"/>
      <c r="DR437" s="253"/>
      <c r="DS437" s="346"/>
      <c r="DU437" s="253"/>
      <c r="DV437" s="345"/>
      <c r="DW437" s="253"/>
      <c r="DX437" s="346"/>
      <c r="DZ437" s="253"/>
      <c r="EA437" s="345"/>
      <c r="EB437" s="253"/>
      <c r="EC437" s="346"/>
      <c r="EE437" s="253"/>
      <c r="EF437" s="345"/>
      <c r="EG437" s="253"/>
      <c r="EH437" s="346"/>
      <c r="EJ437" s="253"/>
      <c r="EK437" s="345"/>
      <c r="EL437" s="253"/>
      <c r="EM437" s="346"/>
      <c r="EO437" s="253"/>
      <c r="EP437" s="345"/>
      <c r="EQ437" s="253"/>
      <c r="ER437" s="346"/>
      <c r="ET437" s="253"/>
      <c r="EU437" s="345"/>
      <c r="EV437" s="253"/>
      <c r="EW437" s="346"/>
      <c r="EY437" s="253"/>
      <c r="EZ437" s="345"/>
      <c r="FA437" s="253"/>
      <c r="FB437" s="346"/>
      <c r="FD437" s="253"/>
      <c r="FE437" s="345"/>
      <c r="FF437" s="253"/>
      <c r="FG437" s="346"/>
      <c r="FI437" s="253"/>
      <c r="FJ437" s="345"/>
      <c r="FK437" s="253"/>
      <c r="FL437" s="346"/>
      <c r="FN437" s="253"/>
      <c r="FO437" s="345"/>
      <c r="FP437" s="253"/>
      <c r="FQ437" s="346"/>
      <c r="FS437" s="253"/>
      <c r="FT437" s="345"/>
      <c r="FU437" s="253"/>
      <c r="FV437" s="346"/>
      <c r="FX437" s="253"/>
      <c r="FY437" s="345"/>
      <c r="FZ437" s="253"/>
      <c r="GA437" s="346"/>
      <c r="GC437" s="253"/>
      <c r="GD437" s="345"/>
      <c r="GE437" s="253"/>
      <c r="GF437" s="346"/>
      <c r="GH437" s="253"/>
      <c r="GI437" s="345"/>
      <c r="GJ437" s="253"/>
      <c r="GK437" s="346"/>
      <c r="GM437" s="253"/>
      <c r="GN437" s="345"/>
      <c r="GO437" s="253"/>
      <c r="GP437" s="346"/>
      <c r="GR437" s="253"/>
      <c r="GS437" s="345"/>
      <c r="GT437" s="253"/>
      <c r="GU437" s="346"/>
      <c r="GW437" s="253"/>
      <c r="GX437" s="345"/>
      <c r="GY437" s="253"/>
      <c r="GZ437" s="346"/>
      <c r="HB437" s="253"/>
      <c r="HC437" s="345"/>
      <c r="HD437" s="253"/>
      <c r="HE437" s="346"/>
      <c r="HG437" s="253"/>
      <c r="HH437" s="345"/>
      <c r="HI437" s="253"/>
      <c r="HJ437" s="346"/>
      <c r="HL437" s="253"/>
      <c r="HM437" s="345"/>
      <c r="HN437" s="253"/>
      <c r="HO437" s="346"/>
      <c r="HQ437" s="253"/>
      <c r="HR437" s="345"/>
      <c r="HS437" s="253"/>
      <c r="HT437" s="346"/>
      <c r="HV437" s="253"/>
      <c r="HW437" s="345"/>
      <c r="HX437" s="253"/>
      <c r="HY437" s="346"/>
      <c r="IA437" s="253"/>
      <c r="IB437" s="345"/>
      <c r="IC437" s="253"/>
      <c r="ID437" s="346"/>
      <c r="IF437" s="253"/>
      <c r="IG437" s="345"/>
      <c r="IH437" s="253"/>
      <c r="II437" s="346"/>
      <c r="IK437" s="253"/>
      <c r="IL437" s="345"/>
      <c r="IM437" s="253"/>
      <c r="IN437" s="346"/>
      <c r="IP437" s="253"/>
      <c r="IQ437" s="345"/>
      <c r="IR437" s="253"/>
      <c r="IS437" s="346"/>
      <c r="IU437" s="253"/>
      <c r="IV437" s="345"/>
    </row>
    <row r="438" spans="1:256" x14ac:dyDescent="0.2">
      <c r="A438" s="345">
        <v>40847</v>
      </c>
      <c r="B438" s="253">
        <f t="shared" si="0"/>
        <v>10.42337</v>
      </c>
      <c r="C438" s="346">
        <v>206331937.37</v>
      </c>
      <c r="D438" s="258">
        <v>10.42337</v>
      </c>
      <c r="E438" s="253">
        <f>B438-Index_Returns!B438</f>
        <v>-0.50593999999999895</v>
      </c>
    </row>
    <row r="439" spans="1:256" x14ac:dyDescent="0.2">
      <c r="A439" s="345">
        <v>40877</v>
      </c>
      <c r="B439" s="253">
        <f t="shared" si="0"/>
        <v>-0.36565999999999999</v>
      </c>
      <c r="C439" s="346">
        <v>205567039.47999999</v>
      </c>
      <c r="D439" s="258">
        <v>-0.36565999999999999</v>
      </c>
      <c r="E439" s="253">
        <f>B439-Index_Returns!B439</f>
        <v>-0.14462999999999998</v>
      </c>
    </row>
    <row r="440" spans="1:256" x14ac:dyDescent="0.2">
      <c r="A440" s="345">
        <v>40908</v>
      </c>
      <c r="B440" s="253">
        <f t="shared" si="0"/>
        <v>-0.18837999999999999</v>
      </c>
      <c r="C440" s="346">
        <v>205179797.27000001</v>
      </c>
      <c r="D440" s="258">
        <v>-0.18837999999999999</v>
      </c>
      <c r="E440" s="253">
        <f>B440-Index_Returns!B440</f>
        <v>-1.21132</v>
      </c>
    </row>
    <row r="441" spans="1:256" x14ac:dyDescent="0.2">
      <c r="A441" s="345">
        <v>40939</v>
      </c>
      <c r="B441" s="253">
        <f t="shared" si="0"/>
        <v>4.9198599999999999</v>
      </c>
      <c r="C441" s="346">
        <v>215281926.78999999</v>
      </c>
      <c r="D441" s="258">
        <v>4.9198599999999999</v>
      </c>
      <c r="E441" s="253">
        <f>B441-Index_Returns!B441</f>
        <v>0.4383499999999998</v>
      </c>
    </row>
    <row r="442" spans="1:256" x14ac:dyDescent="0.2">
      <c r="A442" s="345">
        <v>40968</v>
      </c>
      <c r="B442" s="253">
        <f t="shared" si="0"/>
        <v>5.6147799999999997</v>
      </c>
      <c r="C442" s="346">
        <v>227675899.24000001</v>
      </c>
      <c r="D442" s="258">
        <v>5.6147799999999997</v>
      </c>
      <c r="E442" s="253">
        <f>B442-Index_Returns!B442</f>
        <v>1.2905599999999993</v>
      </c>
    </row>
    <row r="443" spans="1:256" x14ac:dyDescent="0.2">
      <c r="A443" s="345">
        <v>40999</v>
      </c>
      <c r="B443" s="253">
        <f t="shared" si="0"/>
        <v>1.6714899999999999</v>
      </c>
      <c r="C443" s="346">
        <v>231481509.24000001</v>
      </c>
      <c r="D443" s="258">
        <v>1.6714899999999999</v>
      </c>
      <c r="E443" s="253">
        <f>B443-Index_Returns!B443</f>
        <v>-1.6194299999999999</v>
      </c>
    </row>
    <row r="444" spans="1:256" x14ac:dyDescent="0.2">
      <c r="A444" s="345">
        <v>41029</v>
      </c>
      <c r="B444" s="253">
        <f t="shared" si="0"/>
        <v>-0.85226000000000002</v>
      </c>
      <c r="C444" s="346">
        <v>229543682.52000001</v>
      </c>
      <c r="D444" s="258">
        <v>-0.85226000000000002</v>
      </c>
      <c r="E444" s="253">
        <f>B444-Index_Returns!B444</f>
        <v>-0.22457000000000005</v>
      </c>
    </row>
    <row r="445" spans="1:256" x14ac:dyDescent="0.2">
      <c r="A445" s="345">
        <v>41060</v>
      </c>
      <c r="B445" s="253">
        <f t="shared" si="0"/>
        <v>-6.5849500000000001</v>
      </c>
      <c r="C445" s="346">
        <v>214379184.72</v>
      </c>
      <c r="D445" s="258">
        <v>-6.5849500000000001</v>
      </c>
      <c r="E445" s="253">
        <f>B445-Index_Returns!B445</f>
        <v>-0.5748899999999999</v>
      </c>
    </row>
    <row r="446" spans="1:256" x14ac:dyDescent="0.2">
      <c r="A446" s="345">
        <v>41090</v>
      </c>
      <c r="B446" s="253">
        <f t="shared" si="0"/>
        <v>3.5072299999999998</v>
      </c>
      <c r="C446" s="346">
        <v>222314969.75999999</v>
      </c>
      <c r="D446" s="258">
        <v>3.5072299999999998</v>
      </c>
      <c r="E446" s="253">
        <f>B446-Index_Returns!B446</f>
        <v>-0.6129800000000003</v>
      </c>
    </row>
    <row r="447" spans="1:256" x14ac:dyDescent="0.2">
      <c r="A447" s="345">
        <v>41121</v>
      </c>
      <c r="B447" s="253">
        <f t="shared" si="0"/>
        <v>0.16954</v>
      </c>
      <c r="C447" s="346">
        <v>222691892.15000001</v>
      </c>
      <c r="D447" s="258">
        <v>0.16954</v>
      </c>
      <c r="E447" s="253">
        <f>B447-Index_Returns!B447</f>
        <v>-1.21936</v>
      </c>
    </row>
    <row r="448" spans="1:256" x14ac:dyDescent="0.2">
      <c r="A448" s="345">
        <v>41152</v>
      </c>
      <c r="B448" s="253">
        <f t="shared" si="0"/>
        <v>2.3258399999999999</v>
      </c>
      <c r="C448" s="346">
        <v>220202853.75999999</v>
      </c>
      <c r="D448" s="258">
        <v>2.3258399999999999</v>
      </c>
      <c r="E448" s="253">
        <f>B448-Index_Returns!B448</f>
        <v>7.3579999999999757E-2</v>
      </c>
    </row>
    <row r="449" spans="1:5" x14ac:dyDescent="0.2">
      <c r="A449" s="345">
        <v>41182</v>
      </c>
      <c r="B449" s="253">
        <f t="shared" si="0"/>
        <v>2.08541</v>
      </c>
      <c r="C449" s="346">
        <v>224800446.86000001</v>
      </c>
      <c r="D449" s="258">
        <v>2.08541</v>
      </c>
      <c r="E449" s="253">
        <f>B449-Index_Returns!B449</f>
        <v>-0.49878</v>
      </c>
    </row>
    <row r="450" spans="1:5" x14ac:dyDescent="0.2">
      <c r="A450" s="345">
        <v>41213</v>
      </c>
      <c r="B450" s="253">
        <f t="shared" si="0"/>
        <v>-1.7556400000000001</v>
      </c>
      <c r="C450" s="346">
        <v>213224409.66999999</v>
      </c>
      <c r="D450" s="258">
        <v>-1.7556400000000001</v>
      </c>
      <c r="E450" s="253">
        <f>B450-Index_Returns!B450</f>
        <v>9.0799999999999992E-2</v>
      </c>
    </row>
    <row r="451" spans="1:5" x14ac:dyDescent="0.2">
      <c r="A451" s="345">
        <v>41243</v>
      </c>
      <c r="B451" s="253">
        <f t="shared" si="0"/>
        <v>1.1719200000000001</v>
      </c>
      <c r="C451" s="346">
        <v>215723228.59999999</v>
      </c>
      <c r="D451" s="258">
        <v>1.1719200000000001</v>
      </c>
      <c r="E451" s="253">
        <f>B451-Index_Returns!B451</f>
        <v>0.59181000000000006</v>
      </c>
    </row>
    <row r="452" spans="1:5" x14ac:dyDescent="0.2">
      <c r="A452" s="345">
        <v>41274</v>
      </c>
      <c r="B452" s="253">
        <f t="shared" si="0"/>
        <v>-2.7830000000000001E-2</v>
      </c>
      <c r="C452" s="346">
        <v>195231322.09999999</v>
      </c>
      <c r="D452" s="258">
        <v>-2.7830000000000001E-2</v>
      </c>
      <c r="E452" s="253">
        <f>B452-Index_Returns!B452</f>
        <v>-0.93930000000000002</v>
      </c>
    </row>
    <row r="453" spans="1:5" x14ac:dyDescent="0.2">
      <c r="A453" s="345">
        <v>41305</v>
      </c>
      <c r="B453" s="253">
        <f t="shared" si="0"/>
        <v>5.1809000000000003</v>
      </c>
      <c r="C453" s="346">
        <v>190384658.03999999</v>
      </c>
      <c r="D453" s="258">
        <v>5.1809000000000003</v>
      </c>
      <c r="E453" s="253">
        <f>B453-Index_Returns!B453</f>
        <v>1.4000000000002899E-3</v>
      </c>
    </row>
    <row r="454" spans="1:5" x14ac:dyDescent="0.2">
      <c r="A454" s="345">
        <v>41333</v>
      </c>
      <c r="B454" s="253">
        <f t="shared" si="0"/>
        <v>1.01963</v>
      </c>
      <c r="C454" s="346">
        <v>192164928.97999999</v>
      </c>
      <c r="D454" s="258">
        <v>1.01963</v>
      </c>
      <c r="E454" s="253">
        <f>B454-Index_Returns!B454</f>
        <v>-0.33786000000000005</v>
      </c>
    </row>
    <row r="455" spans="1:5" x14ac:dyDescent="0.2">
      <c r="A455" s="345">
        <v>41364</v>
      </c>
      <c r="B455" s="253">
        <f t="shared" si="0"/>
        <v>3.7160099999999998</v>
      </c>
      <c r="C455" s="346">
        <v>197464135.88</v>
      </c>
      <c r="D455" s="258">
        <v>3.7160099999999998</v>
      </c>
      <c r="E455" s="253">
        <f>B455-Index_Returns!B455</f>
        <v>-3.4320000000000128E-2</v>
      </c>
    </row>
    <row r="456" spans="1:5" x14ac:dyDescent="0.2">
      <c r="A456" s="345">
        <v>41394</v>
      </c>
      <c r="B456" s="253" t="str">
        <f t="shared" si="0"/>
        <v xml:space="preserve"> </v>
      </c>
      <c r="C456" s="346">
        <v>899464.57</v>
      </c>
      <c r="D456" s="258" t="s">
        <v>643</v>
      </c>
      <c r="E456" s="253" t="e">
        <f>B456-Index_Returns!B456</f>
        <v>#VALUE!</v>
      </c>
    </row>
    <row r="457" spans="1:5" x14ac:dyDescent="0.2">
      <c r="A457" s="345">
        <v>41425</v>
      </c>
      <c r="B457" s="253">
        <f t="shared" si="0"/>
        <v>0</v>
      </c>
      <c r="E457" s="253">
        <f>B457-Index_Returns!B457</f>
        <v>-2.3391899999999999</v>
      </c>
    </row>
    <row r="458" spans="1:5" x14ac:dyDescent="0.2">
      <c r="A458" s="345">
        <v>41455</v>
      </c>
      <c r="B458" s="253">
        <f t="shared" si="0"/>
        <v>0</v>
      </c>
      <c r="E458" s="253">
        <f>B458-Index_Returns!B458</f>
        <v>1.3429</v>
      </c>
    </row>
    <row r="459" spans="1:5" x14ac:dyDescent="0.2">
      <c r="A459" s="345">
        <v>41486</v>
      </c>
      <c r="B459" s="253">
        <f t="shared" si="0"/>
        <v>0</v>
      </c>
      <c r="E459" s="253">
        <f>B459-Index_Returns!B459</f>
        <v>-5.0884200000000002</v>
      </c>
    </row>
    <row r="460" spans="1:5" x14ac:dyDescent="0.2">
      <c r="A460" s="345">
        <v>41517</v>
      </c>
      <c r="B460" s="253">
        <f t="shared" si="0"/>
        <v>0</v>
      </c>
      <c r="E460" s="253">
        <f>B460-Index_Returns!B460</f>
        <v>2.8961600000000001</v>
      </c>
    </row>
    <row r="461" spans="1:5" x14ac:dyDescent="0.2">
      <c r="A461" s="345">
        <v>41547</v>
      </c>
      <c r="B461" s="253">
        <f t="shared" si="0"/>
        <v>0</v>
      </c>
      <c r="E461" s="253">
        <f>B461-Index_Returns!B461</f>
        <v>-3.1359499999999998</v>
      </c>
    </row>
    <row r="462" spans="1:5" x14ac:dyDescent="0.2">
      <c r="A462" s="345">
        <v>41578</v>
      </c>
      <c r="B462" s="253">
        <f t="shared" si="0"/>
        <v>0</v>
      </c>
      <c r="E462" s="253">
        <f>B462-Index_Returns!B462</f>
        <v>-4.5967799999999999</v>
      </c>
    </row>
    <row r="463" spans="1:5" x14ac:dyDescent="0.2">
      <c r="A463" s="345">
        <v>41608</v>
      </c>
      <c r="B463" s="253">
        <f t="shared" si="0"/>
        <v>0</v>
      </c>
      <c r="E463" s="253">
        <f>B463-Index_Returns!B463</f>
        <v>-3.0474000000000001</v>
      </c>
    </row>
    <row r="464" spans="1:5" x14ac:dyDescent="0.2">
      <c r="A464" s="345">
        <v>41639</v>
      </c>
      <c r="B464" s="253">
        <f t="shared" si="0"/>
        <v>0</v>
      </c>
      <c r="E464" s="253">
        <f>B464-Index_Returns!B464</f>
        <v>-2.5316100000000001</v>
      </c>
    </row>
    <row r="465" spans="1:1" x14ac:dyDescent="0.2">
      <c r="A465" s="345"/>
    </row>
    <row r="466" spans="1:1" x14ac:dyDescent="0.2">
      <c r="A466" s="345"/>
    </row>
    <row r="467" spans="1:1" x14ac:dyDescent="0.2">
      <c r="A467" s="345"/>
    </row>
    <row r="468" spans="1:1" x14ac:dyDescent="0.2">
      <c r="A468" s="345"/>
    </row>
    <row r="469" spans="1:1" x14ac:dyDescent="0.2">
      <c r="A469" s="345"/>
    </row>
  </sheetData>
  <phoneticPr fontId="3" type="noConversion"/>
  <pageMargins left="0.75" right="0.75" top="1" bottom="1" header="0.5" footer="0.5"/>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pageSetUpPr fitToPage="1"/>
  </sheetPr>
  <dimension ref="A1:J452"/>
  <sheetViews>
    <sheetView workbookViewId="0">
      <pane xSplit="1" ySplit="2" topLeftCell="B414" activePane="bottomRight" state="frozen"/>
      <selection activeCell="D435" sqref="D435"/>
      <selection pane="topRight" activeCell="D435" sqref="D435"/>
      <selection pane="bottomLeft" activeCell="D435" sqref="D435"/>
      <selection pane="bottomRight" activeCell="D447" sqref="D447"/>
    </sheetView>
  </sheetViews>
  <sheetFormatPr defaultRowHeight="12.75" x14ac:dyDescent="0.2"/>
  <cols>
    <col min="1" max="1" width="18.7109375" style="21" customWidth="1"/>
    <col min="2" max="2" width="18.7109375" style="257" customWidth="1"/>
    <col min="3" max="3" width="18.7109375" style="346" customWidth="1"/>
    <col min="4" max="4" width="18.7109375" style="258" customWidth="1"/>
    <col min="5" max="5" width="9.140625" style="14"/>
    <col min="6" max="6" width="12.42578125" bestFit="1" customWidth="1"/>
    <col min="7" max="7" width="15.5703125" style="352" bestFit="1" customWidth="1"/>
    <col min="8" max="8" width="13.7109375" style="352" bestFit="1" customWidth="1"/>
    <col min="10" max="10" width="10.140625" bestFit="1" customWidth="1"/>
  </cols>
  <sheetData>
    <row r="1" spans="1:5" x14ac:dyDescent="0.2">
      <c r="A1" s="267" t="s">
        <v>6</v>
      </c>
      <c r="B1" s="321" t="s">
        <v>463</v>
      </c>
      <c r="C1" s="1381" t="s">
        <v>5</v>
      </c>
      <c r="D1" s="1370">
        <v>1</v>
      </c>
    </row>
    <row r="2" spans="1:5" x14ac:dyDescent="0.2">
      <c r="A2" s="3" t="s">
        <v>27</v>
      </c>
      <c r="B2" s="71" t="s">
        <v>91</v>
      </c>
      <c r="C2" s="226" t="s">
        <v>92</v>
      </c>
      <c r="D2" s="71" t="s">
        <v>90</v>
      </c>
      <c r="E2" s="734" t="s">
        <v>80</v>
      </c>
    </row>
    <row r="3" spans="1:5" x14ac:dyDescent="0.2">
      <c r="A3" s="345">
        <v>27606</v>
      </c>
      <c r="B3" s="71"/>
      <c r="C3" s="226"/>
      <c r="D3" s="71"/>
    </row>
    <row r="4" spans="1:5" x14ac:dyDescent="0.2">
      <c r="A4" s="345">
        <v>27637</v>
      </c>
      <c r="B4" s="71"/>
      <c r="C4" s="226"/>
      <c r="D4" s="71"/>
    </row>
    <row r="5" spans="1:5" x14ac:dyDescent="0.2">
      <c r="A5" s="345">
        <v>27667</v>
      </c>
      <c r="B5" s="71"/>
      <c r="C5" s="226"/>
      <c r="D5" s="71"/>
    </row>
    <row r="6" spans="1:5" x14ac:dyDescent="0.2">
      <c r="A6" s="345">
        <v>27698</v>
      </c>
      <c r="B6" s="71"/>
      <c r="C6" s="226"/>
      <c r="D6" s="71"/>
    </row>
    <row r="7" spans="1:5" x14ac:dyDescent="0.2">
      <c r="A7" s="345">
        <v>27728</v>
      </c>
      <c r="B7" s="71"/>
      <c r="C7" s="226"/>
      <c r="D7" s="71"/>
    </row>
    <row r="8" spans="1:5" x14ac:dyDescent="0.2">
      <c r="A8" s="345">
        <v>27759</v>
      </c>
      <c r="B8" s="71"/>
      <c r="C8" s="226"/>
      <c r="D8" s="71"/>
    </row>
    <row r="9" spans="1:5" x14ac:dyDescent="0.2">
      <c r="A9" s="345">
        <v>27790</v>
      </c>
      <c r="B9" s="71"/>
      <c r="C9" s="226"/>
      <c r="D9" s="71"/>
    </row>
    <row r="10" spans="1:5" x14ac:dyDescent="0.2">
      <c r="A10" s="345">
        <v>27819</v>
      </c>
      <c r="B10" s="71"/>
      <c r="C10" s="226"/>
      <c r="D10" s="71"/>
    </row>
    <row r="11" spans="1:5" x14ac:dyDescent="0.2">
      <c r="A11" s="345">
        <v>27850</v>
      </c>
      <c r="B11" s="71"/>
      <c r="C11" s="226"/>
      <c r="D11" s="71"/>
    </row>
    <row r="12" spans="1:5" x14ac:dyDescent="0.2">
      <c r="A12" s="345">
        <v>27880</v>
      </c>
      <c r="B12" s="71"/>
      <c r="C12" s="226"/>
      <c r="D12" s="71"/>
    </row>
    <row r="13" spans="1:5" x14ac:dyDescent="0.2">
      <c r="A13" s="345">
        <v>27911</v>
      </c>
      <c r="B13" s="71"/>
      <c r="C13" s="226"/>
      <c r="D13" s="71"/>
    </row>
    <row r="14" spans="1:5" x14ac:dyDescent="0.2">
      <c r="A14" s="345">
        <v>27941</v>
      </c>
      <c r="B14" s="71"/>
      <c r="C14" s="226"/>
      <c r="D14" s="71"/>
    </row>
    <row r="15" spans="1:5" x14ac:dyDescent="0.2">
      <c r="A15" s="345">
        <v>27972</v>
      </c>
      <c r="B15" s="71"/>
      <c r="C15" s="226"/>
      <c r="D15" s="71"/>
    </row>
    <row r="16" spans="1:5" x14ac:dyDescent="0.2">
      <c r="A16" s="345">
        <v>28003</v>
      </c>
      <c r="B16" s="71"/>
      <c r="C16" s="226"/>
      <c r="D16" s="71"/>
    </row>
    <row r="17" spans="1:4" x14ac:dyDescent="0.2">
      <c r="A17" s="345">
        <v>28033</v>
      </c>
      <c r="B17" s="71"/>
      <c r="C17" s="226"/>
      <c r="D17" s="71"/>
    </row>
    <row r="18" spans="1:4" x14ac:dyDescent="0.2">
      <c r="A18" s="345">
        <v>28064</v>
      </c>
      <c r="B18" s="71"/>
      <c r="C18" s="226"/>
      <c r="D18" s="71"/>
    </row>
    <row r="19" spans="1:4" x14ac:dyDescent="0.2">
      <c r="A19" s="345">
        <v>28094</v>
      </c>
      <c r="B19" s="71"/>
      <c r="C19" s="226"/>
      <c r="D19" s="71"/>
    </row>
    <row r="20" spans="1:4" x14ac:dyDescent="0.2">
      <c r="A20" s="345">
        <v>28125</v>
      </c>
      <c r="B20" s="71"/>
      <c r="C20" s="226"/>
      <c r="D20" s="71"/>
    </row>
    <row r="21" spans="1:4" x14ac:dyDescent="0.2">
      <c r="A21" s="345">
        <v>28156</v>
      </c>
      <c r="B21" s="71"/>
      <c r="C21" s="226"/>
      <c r="D21" s="71"/>
    </row>
    <row r="22" spans="1:4" x14ac:dyDescent="0.2">
      <c r="A22" s="345">
        <v>28184</v>
      </c>
      <c r="B22" s="71"/>
      <c r="C22" s="226"/>
      <c r="D22" s="71"/>
    </row>
    <row r="23" spans="1:4" x14ac:dyDescent="0.2">
      <c r="A23" s="345">
        <v>28215</v>
      </c>
      <c r="B23" s="71"/>
      <c r="C23" s="226"/>
      <c r="D23" s="71"/>
    </row>
    <row r="24" spans="1:4" x14ac:dyDescent="0.2">
      <c r="A24" s="345">
        <v>28245</v>
      </c>
      <c r="B24" s="71"/>
      <c r="C24" s="226"/>
      <c r="D24" s="71"/>
    </row>
    <row r="25" spans="1:4" x14ac:dyDescent="0.2">
      <c r="A25" s="345">
        <v>28276</v>
      </c>
      <c r="B25" s="71"/>
      <c r="C25" s="226"/>
      <c r="D25" s="71"/>
    </row>
    <row r="26" spans="1:4" x14ac:dyDescent="0.2">
      <c r="A26" s="345">
        <v>28306</v>
      </c>
      <c r="B26" s="71"/>
      <c r="C26" s="226"/>
      <c r="D26" s="71"/>
    </row>
    <row r="27" spans="1:4" x14ac:dyDescent="0.2">
      <c r="A27" s="345">
        <v>28337</v>
      </c>
      <c r="B27" s="71"/>
      <c r="C27" s="226"/>
      <c r="D27" s="71"/>
    </row>
    <row r="28" spans="1:4" x14ac:dyDescent="0.2">
      <c r="A28" s="345">
        <v>28368</v>
      </c>
      <c r="B28" s="71"/>
      <c r="C28" s="226"/>
      <c r="D28" s="71"/>
    </row>
    <row r="29" spans="1:4" x14ac:dyDescent="0.2">
      <c r="A29" s="345">
        <v>28398</v>
      </c>
      <c r="B29" s="71"/>
      <c r="C29" s="226"/>
      <c r="D29" s="71"/>
    </row>
    <row r="30" spans="1:4" x14ac:dyDescent="0.2">
      <c r="A30" s="345">
        <v>28429</v>
      </c>
      <c r="B30" s="71"/>
      <c r="C30" s="226"/>
      <c r="D30" s="71"/>
    </row>
    <row r="31" spans="1:4" x14ac:dyDescent="0.2">
      <c r="A31" s="345">
        <v>28459</v>
      </c>
      <c r="B31" s="71"/>
      <c r="C31" s="226"/>
      <c r="D31" s="71"/>
    </row>
    <row r="32" spans="1:4" x14ac:dyDescent="0.2">
      <c r="A32" s="345">
        <v>28490</v>
      </c>
      <c r="B32" s="71"/>
      <c r="C32" s="226"/>
      <c r="D32" s="71"/>
    </row>
    <row r="33" spans="1:4" x14ac:dyDescent="0.2">
      <c r="A33" s="345">
        <v>28521</v>
      </c>
      <c r="B33" s="71"/>
      <c r="C33" s="226"/>
      <c r="D33" s="71"/>
    </row>
    <row r="34" spans="1:4" x14ac:dyDescent="0.2">
      <c r="A34" s="345">
        <v>28549</v>
      </c>
      <c r="B34" s="71"/>
      <c r="C34" s="226"/>
      <c r="D34" s="71"/>
    </row>
    <row r="35" spans="1:4" x14ac:dyDescent="0.2">
      <c r="A35" s="345">
        <v>28580</v>
      </c>
      <c r="B35" s="71"/>
      <c r="C35" s="226"/>
      <c r="D35" s="71"/>
    </row>
    <row r="36" spans="1:4" x14ac:dyDescent="0.2">
      <c r="A36" s="345">
        <v>28610</v>
      </c>
      <c r="B36" s="71"/>
      <c r="C36" s="226"/>
      <c r="D36" s="71"/>
    </row>
    <row r="37" spans="1:4" x14ac:dyDescent="0.2">
      <c r="A37" s="345">
        <v>28641</v>
      </c>
      <c r="B37" s="71"/>
      <c r="C37" s="226"/>
      <c r="D37" s="71"/>
    </row>
    <row r="38" spans="1:4" x14ac:dyDescent="0.2">
      <c r="A38" s="345">
        <v>28671</v>
      </c>
      <c r="B38" s="71"/>
      <c r="C38" s="226"/>
      <c r="D38" s="71"/>
    </row>
    <row r="39" spans="1:4" x14ac:dyDescent="0.2">
      <c r="A39" s="345">
        <v>28702</v>
      </c>
      <c r="B39" s="71"/>
      <c r="C39" s="226"/>
      <c r="D39" s="71"/>
    </row>
    <row r="40" spans="1:4" x14ac:dyDescent="0.2">
      <c r="A40" s="345">
        <v>28733</v>
      </c>
      <c r="B40" s="71"/>
      <c r="C40" s="226"/>
      <c r="D40" s="71"/>
    </row>
    <row r="41" spans="1:4" x14ac:dyDescent="0.2">
      <c r="A41" s="345">
        <v>28763</v>
      </c>
      <c r="B41" s="71"/>
      <c r="C41" s="226"/>
      <c r="D41" s="71"/>
    </row>
    <row r="42" spans="1:4" x14ac:dyDescent="0.2">
      <c r="A42" s="345">
        <v>28794</v>
      </c>
      <c r="B42" s="71"/>
      <c r="C42" s="226"/>
      <c r="D42" s="71"/>
    </row>
    <row r="43" spans="1:4" x14ac:dyDescent="0.2">
      <c r="A43" s="345">
        <v>28824</v>
      </c>
      <c r="B43" s="71"/>
      <c r="C43" s="226"/>
      <c r="D43" s="71"/>
    </row>
    <row r="44" spans="1:4" x14ac:dyDescent="0.2">
      <c r="A44" s="345">
        <v>28855</v>
      </c>
      <c r="B44" s="71"/>
      <c r="C44" s="226"/>
      <c r="D44" s="71"/>
    </row>
    <row r="45" spans="1:4" x14ac:dyDescent="0.2">
      <c r="A45" s="345">
        <v>28886</v>
      </c>
      <c r="B45" s="71"/>
      <c r="C45" s="226"/>
      <c r="D45" s="71"/>
    </row>
    <row r="46" spans="1:4" x14ac:dyDescent="0.2">
      <c r="A46" s="345">
        <v>28914</v>
      </c>
      <c r="B46" s="71"/>
      <c r="C46" s="226"/>
      <c r="D46" s="71"/>
    </row>
    <row r="47" spans="1:4" x14ac:dyDescent="0.2">
      <c r="A47" s="345">
        <v>28945</v>
      </c>
      <c r="B47" s="71"/>
      <c r="C47" s="226"/>
      <c r="D47" s="71"/>
    </row>
    <row r="48" spans="1:4" x14ac:dyDescent="0.2">
      <c r="A48" s="345">
        <v>28975</v>
      </c>
      <c r="B48" s="71"/>
      <c r="C48" s="226"/>
      <c r="D48" s="71"/>
    </row>
    <row r="49" spans="1:4" x14ac:dyDescent="0.2">
      <c r="A49" s="345">
        <v>29006</v>
      </c>
      <c r="B49" s="71"/>
      <c r="C49" s="226"/>
      <c r="D49" s="71"/>
    </row>
    <row r="50" spans="1:4" x14ac:dyDescent="0.2">
      <c r="A50" s="345">
        <v>29036</v>
      </c>
      <c r="B50" s="71"/>
      <c r="C50" s="226"/>
      <c r="D50" s="71"/>
    </row>
    <row r="51" spans="1:4" x14ac:dyDescent="0.2">
      <c r="A51" s="345">
        <v>29067</v>
      </c>
      <c r="B51" s="71"/>
      <c r="C51" s="226"/>
      <c r="D51" s="71"/>
    </row>
    <row r="52" spans="1:4" x14ac:dyDescent="0.2">
      <c r="A52" s="345">
        <v>29098</v>
      </c>
      <c r="B52" s="71"/>
      <c r="C52" s="226"/>
      <c r="D52" s="71"/>
    </row>
    <row r="53" spans="1:4" x14ac:dyDescent="0.2">
      <c r="A53" s="345">
        <v>29128</v>
      </c>
      <c r="B53" s="71"/>
      <c r="C53" s="226"/>
      <c r="D53" s="71"/>
    </row>
    <row r="54" spans="1:4" x14ac:dyDescent="0.2">
      <c r="A54" s="345">
        <v>29159</v>
      </c>
      <c r="B54" s="71"/>
      <c r="C54" s="226"/>
      <c r="D54" s="71"/>
    </row>
    <row r="55" spans="1:4" x14ac:dyDescent="0.2">
      <c r="A55" s="345">
        <v>29189</v>
      </c>
      <c r="B55" s="71"/>
      <c r="C55" s="226"/>
      <c r="D55" s="71"/>
    </row>
    <row r="56" spans="1:4" x14ac:dyDescent="0.2">
      <c r="A56" s="345">
        <v>29220</v>
      </c>
      <c r="B56" s="71"/>
      <c r="C56" s="226"/>
      <c r="D56" s="71"/>
    </row>
    <row r="57" spans="1:4" x14ac:dyDescent="0.2">
      <c r="A57" s="345">
        <v>29251</v>
      </c>
      <c r="B57" s="71"/>
      <c r="C57" s="226"/>
      <c r="D57" s="71"/>
    </row>
    <row r="58" spans="1:4" x14ac:dyDescent="0.2">
      <c r="A58" s="345">
        <v>29280</v>
      </c>
      <c r="B58" s="71"/>
      <c r="C58" s="226"/>
      <c r="D58" s="71"/>
    </row>
    <row r="59" spans="1:4" x14ac:dyDescent="0.2">
      <c r="A59" s="345">
        <v>29311</v>
      </c>
      <c r="B59" s="71"/>
      <c r="C59" s="226"/>
      <c r="D59" s="71"/>
    </row>
    <row r="60" spans="1:4" x14ac:dyDescent="0.2">
      <c r="A60" s="345">
        <v>29341</v>
      </c>
      <c r="B60" s="71"/>
      <c r="C60" s="226"/>
      <c r="D60" s="71"/>
    </row>
    <row r="61" spans="1:4" x14ac:dyDescent="0.2">
      <c r="A61" s="345">
        <v>29372</v>
      </c>
      <c r="B61" s="71"/>
      <c r="C61" s="226"/>
      <c r="D61" s="71"/>
    </row>
    <row r="62" spans="1:4" x14ac:dyDescent="0.2">
      <c r="A62" s="345">
        <v>29402</v>
      </c>
      <c r="B62" s="71"/>
      <c r="C62" s="226"/>
      <c r="D62" s="71"/>
    </row>
    <row r="63" spans="1:4" x14ac:dyDescent="0.2">
      <c r="A63" s="345">
        <v>29433</v>
      </c>
      <c r="B63" s="71"/>
      <c r="C63" s="226"/>
      <c r="D63" s="71"/>
    </row>
    <row r="64" spans="1:4" x14ac:dyDescent="0.2">
      <c r="A64" s="345">
        <v>29464</v>
      </c>
      <c r="B64" s="71"/>
      <c r="C64" s="226"/>
      <c r="D64" s="71"/>
    </row>
    <row r="65" spans="1:4" x14ac:dyDescent="0.2">
      <c r="A65" s="345">
        <v>29494</v>
      </c>
      <c r="B65" s="71"/>
      <c r="C65" s="226"/>
      <c r="D65" s="71"/>
    </row>
    <row r="66" spans="1:4" x14ac:dyDescent="0.2">
      <c r="A66" s="345">
        <v>29525</v>
      </c>
      <c r="B66" s="71"/>
      <c r="C66" s="226"/>
      <c r="D66" s="71"/>
    </row>
    <row r="67" spans="1:4" x14ac:dyDescent="0.2">
      <c r="A67" s="345">
        <v>29555</v>
      </c>
      <c r="B67" s="71"/>
      <c r="C67" s="226"/>
      <c r="D67" s="71"/>
    </row>
    <row r="68" spans="1:4" x14ac:dyDescent="0.2">
      <c r="A68" s="345">
        <v>29586</v>
      </c>
      <c r="B68" s="71"/>
      <c r="C68" s="226"/>
      <c r="D68" s="71"/>
    </row>
    <row r="69" spans="1:4" x14ac:dyDescent="0.2">
      <c r="A69" s="345">
        <v>29617</v>
      </c>
      <c r="B69" s="71"/>
      <c r="C69" s="226"/>
      <c r="D69" s="71"/>
    </row>
    <row r="70" spans="1:4" x14ac:dyDescent="0.2">
      <c r="A70" s="345">
        <v>29645</v>
      </c>
      <c r="B70" s="71"/>
      <c r="C70" s="226"/>
      <c r="D70" s="71"/>
    </row>
    <row r="71" spans="1:4" x14ac:dyDescent="0.2">
      <c r="A71" s="345">
        <v>29676</v>
      </c>
      <c r="B71" s="71"/>
      <c r="C71" s="226"/>
      <c r="D71" s="71"/>
    </row>
    <row r="72" spans="1:4" x14ac:dyDescent="0.2">
      <c r="A72" s="345">
        <v>29706</v>
      </c>
      <c r="B72" s="71"/>
      <c r="C72" s="226"/>
      <c r="D72" s="71"/>
    </row>
    <row r="73" spans="1:4" x14ac:dyDescent="0.2">
      <c r="A73" s="345">
        <v>29737</v>
      </c>
      <c r="B73" s="71"/>
      <c r="C73" s="226"/>
      <c r="D73" s="71"/>
    </row>
    <row r="74" spans="1:4" x14ac:dyDescent="0.2">
      <c r="A74" s="345">
        <v>29767</v>
      </c>
      <c r="B74" s="71"/>
      <c r="C74" s="226"/>
      <c r="D74" s="71"/>
    </row>
    <row r="75" spans="1:4" x14ac:dyDescent="0.2">
      <c r="A75" s="345">
        <v>29798</v>
      </c>
      <c r="B75" s="71"/>
      <c r="C75" s="226"/>
      <c r="D75" s="71"/>
    </row>
    <row r="76" spans="1:4" x14ac:dyDescent="0.2">
      <c r="A76" s="345">
        <v>29829</v>
      </c>
      <c r="B76" s="71"/>
      <c r="C76" s="226"/>
      <c r="D76" s="71"/>
    </row>
    <row r="77" spans="1:4" x14ac:dyDescent="0.2">
      <c r="A77" s="345">
        <v>29859</v>
      </c>
      <c r="B77" s="71"/>
      <c r="C77" s="226"/>
      <c r="D77" s="71"/>
    </row>
    <row r="78" spans="1:4" x14ac:dyDescent="0.2">
      <c r="A78" s="345">
        <v>29890</v>
      </c>
      <c r="B78" s="71"/>
      <c r="C78" s="226"/>
      <c r="D78" s="71"/>
    </row>
    <row r="79" spans="1:4" x14ac:dyDescent="0.2">
      <c r="A79" s="345">
        <v>29920</v>
      </c>
      <c r="B79" s="71"/>
      <c r="C79" s="226"/>
      <c r="D79" s="71"/>
    </row>
    <row r="80" spans="1:4" x14ac:dyDescent="0.2">
      <c r="A80" s="345">
        <v>29951</v>
      </c>
      <c r="B80" s="71"/>
      <c r="C80" s="226"/>
      <c r="D80" s="71"/>
    </row>
    <row r="81" spans="1:4" x14ac:dyDescent="0.2">
      <c r="A81" s="345">
        <v>29982</v>
      </c>
      <c r="B81" s="71"/>
      <c r="C81" s="226"/>
      <c r="D81" s="71"/>
    </row>
    <row r="82" spans="1:4" x14ac:dyDescent="0.2">
      <c r="A82" s="345">
        <v>30010</v>
      </c>
      <c r="B82" s="71"/>
      <c r="C82" s="226"/>
      <c r="D82" s="71"/>
    </row>
    <row r="83" spans="1:4" x14ac:dyDescent="0.2">
      <c r="A83" s="345">
        <v>30041</v>
      </c>
      <c r="B83" s="71"/>
      <c r="C83" s="226"/>
      <c r="D83" s="71"/>
    </row>
    <row r="84" spans="1:4" x14ac:dyDescent="0.2">
      <c r="A84" s="345">
        <v>30071</v>
      </c>
      <c r="B84" s="71"/>
      <c r="C84" s="226"/>
      <c r="D84" s="71"/>
    </row>
    <row r="85" spans="1:4" x14ac:dyDescent="0.2">
      <c r="A85" s="345">
        <v>30102</v>
      </c>
      <c r="B85" s="71"/>
      <c r="C85" s="226"/>
      <c r="D85" s="71"/>
    </row>
    <row r="86" spans="1:4" x14ac:dyDescent="0.2">
      <c r="A86" s="345">
        <v>30132</v>
      </c>
      <c r="B86" s="71"/>
      <c r="C86" s="226"/>
      <c r="D86" s="71"/>
    </row>
    <row r="87" spans="1:4" x14ac:dyDescent="0.2">
      <c r="A87" s="345">
        <v>30163</v>
      </c>
      <c r="B87" s="71"/>
      <c r="C87" s="226"/>
      <c r="D87" s="71"/>
    </row>
    <row r="88" spans="1:4" x14ac:dyDescent="0.2">
      <c r="A88" s="345">
        <v>30194</v>
      </c>
      <c r="B88" s="71"/>
      <c r="C88" s="226"/>
      <c r="D88" s="71"/>
    </row>
    <row r="89" spans="1:4" x14ac:dyDescent="0.2">
      <c r="A89" s="345">
        <v>30224</v>
      </c>
      <c r="B89" s="71"/>
      <c r="C89" s="226"/>
      <c r="D89" s="71"/>
    </row>
    <row r="90" spans="1:4" x14ac:dyDescent="0.2">
      <c r="A90" s="345">
        <v>30255</v>
      </c>
      <c r="B90" s="71"/>
      <c r="C90" s="226"/>
      <c r="D90" s="71"/>
    </row>
    <row r="91" spans="1:4" x14ac:dyDescent="0.2">
      <c r="A91" s="345">
        <v>30285</v>
      </c>
      <c r="B91" s="71"/>
      <c r="C91" s="226"/>
      <c r="D91" s="71"/>
    </row>
    <row r="92" spans="1:4" x14ac:dyDescent="0.2">
      <c r="A92" s="345">
        <v>30316</v>
      </c>
      <c r="B92" s="71"/>
      <c r="C92" s="226"/>
      <c r="D92" s="71"/>
    </row>
    <row r="93" spans="1:4" x14ac:dyDescent="0.2">
      <c r="A93" s="345">
        <v>30347</v>
      </c>
      <c r="B93" s="71"/>
      <c r="C93" s="226"/>
      <c r="D93" s="71"/>
    </row>
    <row r="94" spans="1:4" x14ac:dyDescent="0.2">
      <c r="A94" s="345">
        <v>30375</v>
      </c>
      <c r="B94" s="71"/>
      <c r="C94" s="226"/>
      <c r="D94" s="71"/>
    </row>
    <row r="95" spans="1:4" x14ac:dyDescent="0.2">
      <c r="A95" s="345">
        <v>30406</v>
      </c>
      <c r="B95" s="71"/>
      <c r="C95" s="226"/>
      <c r="D95" s="71"/>
    </row>
    <row r="96" spans="1:4" x14ac:dyDescent="0.2">
      <c r="A96" s="345">
        <v>30436</v>
      </c>
      <c r="B96" s="71"/>
      <c r="C96" s="226"/>
      <c r="D96" s="71"/>
    </row>
    <row r="97" spans="1:4" x14ac:dyDescent="0.2">
      <c r="A97" s="345">
        <v>30467</v>
      </c>
      <c r="B97" s="71"/>
      <c r="C97" s="226"/>
      <c r="D97" s="71"/>
    </row>
    <row r="98" spans="1:4" x14ac:dyDescent="0.2">
      <c r="A98" s="345">
        <v>30497</v>
      </c>
      <c r="B98" s="71"/>
      <c r="C98" s="226"/>
      <c r="D98" s="71"/>
    </row>
    <row r="99" spans="1:4" x14ac:dyDescent="0.2">
      <c r="A99" s="345">
        <v>30528</v>
      </c>
      <c r="B99" s="71"/>
      <c r="C99" s="226"/>
      <c r="D99" s="71"/>
    </row>
    <row r="100" spans="1:4" x14ac:dyDescent="0.2">
      <c r="A100" s="345">
        <v>30559</v>
      </c>
      <c r="B100" s="71"/>
      <c r="C100" s="226"/>
      <c r="D100" s="71"/>
    </row>
    <row r="101" spans="1:4" x14ac:dyDescent="0.2">
      <c r="A101" s="345">
        <v>30589</v>
      </c>
      <c r="B101" s="71"/>
      <c r="C101" s="226"/>
      <c r="D101" s="71"/>
    </row>
    <row r="102" spans="1:4" x14ac:dyDescent="0.2">
      <c r="A102" s="345">
        <v>30620</v>
      </c>
      <c r="B102" s="71"/>
      <c r="C102" s="226"/>
      <c r="D102" s="71"/>
    </row>
    <row r="103" spans="1:4" x14ac:dyDescent="0.2">
      <c r="A103" s="345">
        <v>30650</v>
      </c>
      <c r="B103" s="71"/>
      <c r="C103" s="226"/>
      <c r="D103" s="71"/>
    </row>
    <row r="104" spans="1:4" x14ac:dyDescent="0.2">
      <c r="A104" s="345">
        <v>30681</v>
      </c>
      <c r="B104" s="71"/>
      <c r="C104" s="226"/>
      <c r="D104" s="71"/>
    </row>
    <row r="105" spans="1:4" x14ac:dyDescent="0.2">
      <c r="A105" s="345">
        <v>30712</v>
      </c>
      <c r="B105" s="71"/>
      <c r="C105" s="226"/>
      <c r="D105" s="71"/>
    </row>
    <row r="106" spans="1:4" x14ac:dyDescent="0.2">
      <c r="A106" s="345">
        <v>30741</v>
      </c>
      <c r="B106" s="71"/>
      <c r="C106" s="226"/>
      <c r="D106" s="71"/>
    </row>
    <row r="107" spans="1:4" x14ac:dyDescent="0.2">
      <c r="A107" s="345">
        <v>30772</v>
      </c>
      <c r="B107" s="71"/>
      <c r="C107" s="226"/>
      <c r="D107" s="71"/>
    </row>
    <row r="108" spans="1:4" x14ac:dyDescent="0.2">
      <c r="A108" s="345">
        <v>30802</v>
      </c>
      <c r="B108" s="71"/>
      <c r="C108" s="226"/>
      <c r="D108" s="71"/>
    </row>
    <row r="109" spans="1:4" x14ac:dyDescent="0.2">
      <c r="A109" s="345">
        <v>30833</v>
      </c>
      <c r="B109" s="71"/>
      <c r="C109" s="226"/>
      <c r="D109" s="71"/>
    </row>
    <row r="110" spans="1:4" x14ac:dyDescent="0.2">
      <c r="A110" s="345">
        <v>30863</v>
      </c>
      <c r="B110" s="71"/>
      <c r="C110" s="226"/>
      <c r="D110" s="71"/>
    </row>
    <row r="111" spans="1:4" x14ac:dyDescent="0.2">
      <c r="A111" s="345">
        <v>30894</v>
      </c>
      <c r="B111" s="71"/>
      <c r="C111" s="226"/>
      <c r="D111" s="71"/>
    </row>
    <row r="112" spans="1:4" x14ac:dyDescent="0.2">
      <c r="A112" s="345">
        <v>30925</v>
      </c>
      <c r="B112" s="71"/>
      <c r="C112" s="226"/>
      <c r="D112" s="71"/>
    </row>
    <row r="113" spans="1:4" x14ac:dyDescent="0.2">
      <c r="A113" s="345">
        <v>30955</v>
      </c>
      <c r="B113" s="71"/>
      <c r="C113" s="226"/>
      <c r="D113" s="71"/>
    </row>
    <row r="114" spans="1:4" x14ac:dyDescent="0.2">
      <c r="A114" s="345">
        <v>30986</v>
      </c>
      <c r="B114" s="71"/>
      <c r="C114" s="226"/>
      <c r="D114" s="71"/>
    </row>
    <row r="115" spans="1:4" x14ac:dyDescent="0.2">
      <c r="A115" s="345">
        <v>31016</v>
      </c>
      <c r="B115" s="71"/>
      <c r="C115" s="226"/>
      <c r="D115" s="71"/>
    </row>
    <row r="116" spans="1:4" x14ac:dyDescent="0.2">
      <c r="A116" s="345">
        <v>31047</v>
      </c>
      <c r="B116" s="71"/>
      <c r="C116" s="226"/>
      <c r="D116" s="71"/>
    </row>
    <row r="117" spans="1:4" x14ac:dyDescent="0.2">
      <c r="A117" s="345">
        <v>31078</v>
      </c>
      <c r="B117" s="71"/>
      <c r="C117" s="226"/>
      <c r="D117" s="71"/>
    </row>
    <row r="118" spans="1:4" x14ac:dyDescent="0.2">
      <c r="A118" s="345">
        <v>31106</v>
      </c>
      <c r="B118" s="71"/>
      <c r="C118" s="226"/>
      <c r="D118" s="71"/>
    </row>
    <row r="119" spans="1:4" x14ac:dyDescent="0.2">
      <c r="A119" s="345">
        <v>31137</v>
      </c>
      <c r="B119" s="71"/>
      <c r="C119" s="226"/>
      <c r="D119" s="71"/>
    </row>
    <row r="120" spans="1:4" x14ac:dyDescent="0.2">
      <c r="A120" s="345">
        <v>31167</v>
      </c>
      <c r="B120" s="71"/>
      <c r="C120" s="226"/>
      <c r="D120" s="71"/>
    </row>
    <row r="121" spans="1:4" x14ac:dyDescent="0.2">
      <c r="A121" s="345">
        <v>31198</v>
      </c>
      <c r="B121" s="71"/>
      <c r="C121" s="226"/>
      <c r="D121" s="71"/>
    </row>
    <row r="122" spans="1:4" x14ac:dyDescent="0.2">
      <c r="A122" s="345">
        <v>31228</v>
      </c>
      <c r="B122" s="71"/>
      <c r="C122" s="226"/>
      <c r="D122" s="71"/>
    </row>
    <row r="123" spans="1:4" x14ac:dyDescent="0.2">
      <c r="A123" s="345">
        <v>31259</v>
      </c>
      <c r="B123" s="71"/>
      <c r="C123" s="226"/>
      <c r="D123" s="71"/>
    </row>
    <row r="124" spans="1:4" x14ac:dyDescent="0.2">
      <c r="A124" s="345">
        <v>31290</v>
      </c>
      <c r="B124" s="71"/>
      <c r="C124" s="226"/>
      <c r="D124" s="71"/>
    </row>
    <row r="125" spans="1:4" x14ac:dyDescent="0.2">
      <c r="A125" s="345">
        <v>31320</v>
      </c>
      <c r="B125" s="71"/>
      <c r="C125" s="226"/>
      <c r="D125" s="71"/>
    </row>
    <row r="126" spans="1:4" x14ac:dyDescent="0.2">
      <c r="A126" s="345">
        <v>31351</v>
      </c>
      <c r="B126" s="71"/>
      <c r="C126" s="226"/>
      <c r="D126" s="71"/>
    </row>
    <row r="127" spans="1:4" x14ac:dyDescent="0.2">
      <c r="A127" s="345">
        <v>31381</v>
      </c>
      <c r="B127" s="71"/>
      <c r="C127" s="226"/>
      <c r="D127" s="71"/>
    </row>
    <row r="128" spans="1:4" x14ac:dyDescent="0.2">
      <c r="A128" s="345">
        <v>31412</v>
      </c>
      <c r="B128" s="71"/>
      <c r="C128" s="226"/>
      <c r="D128" s="71"/>
    </row>
    <row r="129" spans="1:4" x14ac:dyDescent="0.2">
      <c r="A129" s="345">
        <v>31443</v>
      </c>
      <c r="B129" s="71"/>
      <c r="C129" s="226"/>
      <c r="D129" s="71"/>
    </row>
    <row r="130" spans="1:4" x14ac:dyDescent="0.2">
      <c r="A130" s="345">
        <v>31471</v>
      </c>
      <c r="B130" s="71"/>
      <c r="C130" s="226"/>
      <c r="D130" s="71"/>
    </row>
    <row r="131" spans="1:4" x14ac:dyDescent="0.2">
      <c r="A131" s="345">
        <v>31502</v>
      </c>
      <c r="B131" s="71"/>
      <c r="C131" s="226"/>
      <c r="D131" s="71"/>
    </row>
    <row r="132" spans="1:4" x14ac:dyDescent="0.2">
      <c r="A132" s="345">
        <v>31532</v>
      </c>
      <c r="B132" s="71"/>
      <c r="C132" s="226"/>
      <c r="D132" s="71"/>
    </row>
    <row r="133" spans="1:4" x14ac:dyDescent="0.2">
      <c r="A133" s="345">
        <v>31563</v>
      </c>
      <c r="B133" s="71"/>
      <c r="C133" s="226"/>
      <c r="D133" s="71"/>
    </row>
    <row r="134" spans="1:4" x14ac:dyDescent="0.2">
      <c r="A134" s="345">
        <v>31593</v>
      </c>
      <c r="B134" s="71"/>
      <c r="C134" s="226"/>
      <c r="D134" s="71"/>
    </row>
    <row r="135" spans="1:4" x14ac:dyDescent="0.2">
      <c r="A135" s="345">
        <v>31624</v>
      </c>
      <c r="B135" s="71"/>
      <c r="C135" s="226"/>
      <c r="D135" s="71"/>
    </row>
    <row r="136" spans="1:4" x14ac:dyDescent="0.2">
      <c r="A136" s="345">
        <v>31655</v>
      </c>
      <c r="B136" s="71"/>
      <c r="C136" s="226"/>
      <c r="D136" s="71"/>
    </row>
    <row r="137" spans="1:4" x14ac:dyDescent="0.2">
      <c r="A137" s="345">
        <v>31685</v>
      </c>
      <c r="B137" s="71"/>
      <c r="C137" s="226"/>
      <c r="D137" s="71"/>
    </row>
    <row r="138" spans="1:4" x14ac:dyDescent="0.2">
      <c r="A138" s="345">
        <v>31716</v>
      </c>
      <c r="B138" s="71"/>
      <c r="C138" s="226"/>
      <c r="D138" s="71"/>
    </row>
    <row r="139" spans="1:4" x14ac:dyDescent="0.2">
      <c r="A139" s="345">
        <v>31746</v>
      </c>
      <c r="B139" s="71"/>
      <c r="C139" s="226"/>
      <c r="D139" s="71"/>
    </row>
    <row r="140" spans="1:4" x14ac:dyDescent="0.2">
      <c r="A140" s="345">
        <v>31777</v>
      </c>
      <c r="B140" s="71"/>
      <c r="C140" s="226"/>
      <c r="D140" s="71"/>
    </row>
    <row r="141" spans="1:4" x14ac:dyDescent="0.2">
      <c r="A141" s="345">
        <v>31808</v>
      </c>
      <c r="B141" s="73"/>
      <c r="C141" s="25"/>
      <c r="D141" s="73"/>
    </row>
    <row r="142" spans="1:4" x14ac:dyDescent="0.2">
      <c r="A142" s="345">
        <v>31836</v>
      </c>
      <c r="B142" s="73"/>
      <c r="C142" s="25"/>
      <c r="D142" s="73"/>
    </row>
    <row r="143" spans="1:4" x14ac:dyDescent="0.2">
      <c r="A143" s="345">
        <v>31867</v>
      </c>
      <c r="B143" s="73"/>
      <c r="C143" s="25"/>
      <c r="D143" s="73"/>
    </row>
    <row r="144" spans="1:4" x14ac:dyDescent="0.2">
      <c r="A144" s="345">
        <v>31897</v>
      </c>
      <c r="B144" s="73"/>
      <c r="C144" s="25"/>
      <c r="D144" s="73"/>
    </row>
    <row r="145" spans="1:4" x14ac:dyDescent="0.2">
      <c r="A145" s="345">
        <v>31928</v>
      </c>
      <c r="B145" s="73"/>
      <c r="C145" s="25"/>
      <c r="D145" s="73"/>
    </row>
    <row r="146" spans="1:4" x14ac:dyDescent="0.2">
      <c r="A146" s="345">
        <v>31958</v>
      </c>
      <c r="B146" s="73"/>
      <c r="C146" s="25"/>
      <c r="D146" s="73"/>
    </row>
    <row r="147" spans="1:4" x14ac:dyDescent="0.2">
      <c r="A147" s="345">
        <v>31989</v>
      </c>
      <c r="B147" s="73"/>
      <c r="C147" s="25"/>
      <c r="D147" s="73"/>
    </row>
    <row r="148" spans="1:4" x14ac:dyDescent="0.2">
      <c r="A148" s="345">
        <v>32020</v>
      </c>
      <c r="B148" s="73"/>
      <c r="C148" s="25"/>
      <c r="D148" s="73"/>
    </row>
    <row r="149" spans="1:4" x14ac:dyDescent="0.2">
      <c r="A149" s="345">
        <v>32050</v>
      </c>
      <c r="B149" s="73"/>
      <c r="C149" s="25"/>
      <c r="D149" s="73"/>
    </row>
    <row r="150" spans="1:4" x14ac:dyDescent="0.2">
      <c r="A150" s="345">
        <v>32081</v>
      </c>
      <c r="B150" s="73"/>
      <c r="C150" s="25"/>
      <c r="D150" s="73"/>
    </row>
    <row r="151" spans="1:4" x14ac:dyDescent="0.2">
      <c r="A151" s="345">
        <v>32111</v>
      </c>
      <c r="B151" s="73"/>
      <c r="C151" s="25"/>
      <c r="D151" s="73"/>
    </row>
    <row r="152" spans="1:4" x14ac:dyDescent="0.2">
      <c r="A152" s="345">
        <v>32142</v>
      </c>
      <c r="B152" s="73"/>
      <c r="C152" s="25"/>
      <c r="D152" s="73"/>
    </row>
    <row r="153" spans="1:4" x14ac:dyDescent="0.2">
      <c r="A153" s="345">
        <v>32173</v>
      </c>
      <c r="B153" s="73"/>
      <c r="C153" s="25"/>
      <c r="D153" s="73"/>
    </row>
    <row r="154" spans="1:4" x14ac:dyDescent="0.2">
      <c r="A154" s="345">
        <v>32202</v>
      </c>
      <c r="B154" s="73"/>
      <c r="C154" s="25"/>
      <c r="D154" s="73"/>
    </row>
    <row r="155" spans="1:4" x14ac:dyDescent="0.2">
      <c r="A155" s="345">
        <v>32233</v>
      </c>
      <c r="B155" s="73"/>
      <c r="C155" s="25"/>
      <c r="D155" s="73"/>
    </row>
    <row r="156" spans="1:4" x14ac:dyDescent="0.2">
      <c r="A156" s="345">
        <v>32263</v>
      </c>
      <c r="B156" s="73"/>
      <c r="C156" s="25"/>
      <c r="D156" s="73"/>
    </row>
    <row r="157" spans="1:4" x14ac:dyDescent="0.2">
      <c r="A157" s="345">
        <v>32294</v>
      </c>
      <c r="B157" s="73"/>
      <c r="C157" s="25"/>
      <c r="D157" s="73"/>
    </row>
    <row r="158" spans="1:4" x14ac:dyDescent="0.2">
      <c r="A158" s="345">
        <v>32324</v>
      </c>
      <c r="B158" s="73"/>
      <c r="C158" s="25"/>
      <c r="D158" s="73"/>
    </row>
    <row r="159" spans="1:4" x14ac:dyDescent="0.2">
      <c r="A159" s="345">
        <v>32355</v>
      </c>
      <c r="B159" s="73"/>
      <c r="C159" s="25"/>
      <c r="D159" s="73"/>
    </row>
    <row r="160" spans="1:4" x14ac:dyDescent="0.2">
      <c r="A160" s="345">
        <v>32386</v>
      </c>
      <c r="B160" s="73"/>
      <c r="C160" s="25"/>
      <c r="D160" s="73"/>
    </row>
    <row r="161" spans="1:4" x14ac:dyDescent="0.2">
      <c r="A161" s="345">
        <v>32416</v>
      </c>
      <c r="B161" s="73"/>
      <c r="C161" s="25"/>
      <c r="D161" s="73"/>
    </row>
    <row r="162" spans="1:4" x14ac:dyDescent="0.2">
      <c r="A162" s="345">
        <v>32447</v>
      </c>
      <c r="B162" s="73"/>
      <c r="C162" s="25"/>
      <c r="D162" s="73"/>
    </row>
    <row r="163" spans="1:4" x14ac:dyDescent="0.2">
      <c r="A163" s="345">
        <v>32477</v>
      </c>
      <c r="B163" s="73"/>
      <c r="C163" s="25"/>
      <c r="D163" s="73"/>
    </row>
    <row r="164" spans="1:4" x14ac:dyDescent="0.2">
      <c r="A164" s="345">
        <v>32508</v>
      </c>
      <c r="B164" s="73"/>
      <c r="C164" s="25"/>
      <c r="D164" s="73"/>
    </row>
    <row r="165" spans="1:4" x14ac:dyDescent="0.2">
      <c r="A165" s="345">
        <v>32539</v>
      </c>
      <c r="B165" s="73"/>
      <c r="C165" s="25"/>
      <c r="D165" s="73"/>
    </row>
    <row r="166" spans="1:4" x14ac:dyDescent="0.2">
      <c r="A166" s="345">
        <v>32567</v>
      </c>
      <c r="B166" s="73"/>
      <c r="C166" s="25"/>
      <c r="D166" s="73"/>
    </row>
    <row r="167" spans="1:4" x14ac:dyDescent="0.2">
      <c r="A167" s="345">
        <v>32598</v>
      </c>
      <c r="B167" s="73"/>
      <c r="C167" s="25"/>
      <c r="D167" s="73"/>
    </row>
    <row r="168" spans="1:4" x14ac:dyDescent="0.2">
      <c r="A168" s="345">
        <v>32628</v>
      </c>
      <c r="B168" s="73"/>
      <c r="C168" s="25"/>
      <c r="D168" s="73"/>
    </row>
    <row r="169" spans="1:4" x14ac:dyDescent="0.2">
      <c r="A169" s="345">
        <v>32659</v>
      </c>
      <c r="B169" s="73"/>
      <c r="C169" s="25"/>
      <c r="D169" s="73"/>
    </row>
    <row r="170" spans="1:4" x14ac:dyDescent="0.2">
      <c r="A170" s="345">
        <v>32689</v>
      </c>
      <c r="B170" s="73"/>
      <c r="C170" s="25"/>
      <c r="D170" s="73"/>
    </row>
    <row r="171" spans="1:4" x14ac:dyDescent="0.2">
      <c r="A171" s="345">
        <v>32720</v>
      </c>
      <c r="B171" s="73"/>
      <c r="C171" s="25"/>
      <c r="D171" s="73"/>
    </row>
    <row r="172" spans="1:4" x14ac:dyDescent="0.2">
      <c r="A172" s="345">
        <v>32751</v>
      </c>
      <c r="B172" s="73"/>
      <c r="C172" s="25"/>
      <c r="D172" s="73"/>
    </row>
    <row r="173" spans="1:4" x14ac:dyDescent="0.2">
      <c r="A173" s="345">
        <v>32781</v>
      </c>
      <c r="B173" s="73"/>
      <c r="C173" s="25"/>
      <c r="D173" s="73"/>
    </row>
    <row r="174" spans="1:4" x14ac:dyDescent="0.2">
      <c r="A174" s="345">
        <v>32812</v>
      </c>
      <c r="B174" s="73"/>
      <c r="C174" s="25"/>
      <c r="D174" s="73"/>
    </row>
    <row r="175" spans="1:4" x14ac:dyDescent="0.2">
      <c r="A175" s="345">
        <v>32842</v>
      </c>
      <c r="B175" s="73"/>
      <c r="C175" s="25"/>
      <c r="D175" s="73"/>
    </row>
    <row r="176" spans="1:4" x14ac:dyDescent="0.2">
      <c r="A176" s="345">
        <v>32873</v>
      </c>
      <c r="B176" s="73"/>
      <c r="C176" s="25"/>
      <c r="D176" s="73"/>
    </row>
    <row r="177" spans="1:4" x14ac:dyDescent="0.2">
      <c r="A177" s="345">
        <v>32904</v>
      </c>
      <c r="B177" s="73"/>
      <c r="C177" s="25"/>
      <c r="D177" s="73"/>
    </row>
    <row r="178" spans="1:4" x14ac:dyDescent="0.2">
      <c r="A178" s="345">
        <v>32932</v>
      </c>
      <c r="B178" s="73"/>
      <c r="C178" s="25"/>
      <c r="D178" s="73"/>
    </row>
    <row r="179" spans="1:4" x14ac:dyDescent="0.2">
      <c r="A179" s="345">
        <v>32963</v>
      </c>
      <c r="B179" s="73"/>
      <c r="C179" s="25"/>
      <c r="D179" s="73"/>
    </row>
    <row r="180" spans="1:4" x14ac:dyDescent="0.2">
      <c r="A180" s="345">
        <v>32993</v>
      </c>
      <c r="B180" s="73"/>
      <c r="C180" s="25"/>
      <c r="D180" s="73"/>
    </row>
    <row r="181" spans="1:4" x14ac:dyDescent="0.2">
      <c r="A181" s="345">
        <v>33024</v>
      </c>
      <c r="B181" s="73"/>
      <c r="C181" s="25"/>
      <c r="D181" s="73"/>
    </row>
    <row r="182" spans="1:4" x14ac:dyDescent="0.2">
      <c r="A182" s="345">
        <v>33054</v>
      </c>
      <c r="B182" s="73"/>
      <c r="C182" s="25"/>
      <c r="D182" s="73"/>
    </row>
    <row r="183" spans="1:4" x14ac:dyDescent="0.2">
      <c r="A183" s="345">
        <v>33085</v>
      </c>
      <c r="B183" s="73"/>
      <c r="C183" s="25"/>
      <c r="D183" s="73"/>
    </row>
    <row r="184" spans="1:4" x14ac:dyDescent="0.2">
      <c r="A184" s="345">
        <v>33116</v>
      </c>
      <c r="B184" s="73"/>
      <c r="C184" s="25"/>
      <c r="D184" s="73"/>
    </row>
    <row r="185" spans="1:4" x14ac:dyDescent="0.2">
      <c r="A185" s="345">
        <v>33146</v>
      </c>
      <c r="B185" s="73"/>
      <c r="C185" s="25"/>
      <c r="D185" s="73"/>
    </row>
    <row r="186" spans="1:4" x14ac:dyDescent="0.2">
      <c r="A186" s="345">
        <v>33177</v>
      </c>
      <c r="B186" s="73"/>
      <c r="C186" s="25"/>
      <c r="D186" s="73"/>
    </row>
    <row r="187" spans="1:4" x14ac:dyDescent="0.2">
      <c r="A187" s="345">
        <v>33207</v>
      </c>
      <c r="B187" s="73"/>
      <c r="C187" s="25"/>
      <c r="D187" s="73"/>
    </row>
    <row r="188" spans="1:4" x14ac:dyDescent="0.2">
      <c r="A188" s="345">
        <v>33238</v>
      </c>
      <c r="B188" s="73"/>
      <c r="C188" s="25"/>
      <c r="D188" s="73"/>
    </row>
    <row r="189" spans="1:4" x14ac:dyDescent="0.2">
      <c r="A189" s="345">
        <v>33269</v>
      </c>
      <c r="B189" s="73"/>
      <c r="C189" s="25"/>
      <c r="D189" s="73"/>
    </row>
    <row r="190" spans="1:4" x14ac:dyDescent="0.2">
      <c r="A190" s="345">
        <v>33297</v>
      </c>
      <c r="B190" s="73"/>
      <c r="C190" s="25"/>
      <c r="D190" s="73"/>
    </row>
    <row r="191" spans="1:4" x14ac:dyDescent="0.2">
      <c r="A191" s="345">
        <v>33328</v>
      </c>
      <c r="B191" s="73"/>
      <c r="C191" s="25"/>
      <c r="D191" s="73"/>
    </row>
    <row r="192" spans="1:4" x14ac:dyDescent="0.2">
      <c r="A192" s="345">
        <v>33358</v>
      </c>
      <c r="B192" s="73"/>
      <c r="C192" s="25"/>
      <c r="D192" s="73"/>
    </row>
    <row r="193" spans="1:4" x14ac:dyDescent="0.2">
      <c r="A193" s="345">
        <v>33389</v>
      </c>
      <c r="B193" s="73"/>
      <c r="C193" s="25"/>
      <c r="D193" s="73"/>
    </row>
    <row r="194" spans="1:4" x14ac:dyDescent="0.2">
      <c r="A194" s="345">
        <v>33419</v>
      </c>
      <c r="B194" s="73"/>
      <c r="C194" s="25"/>
      <c r="D194" s="73"/>
    </row>
    <row r="195" spans="1:4" x14ac:dyDescent="0.2">
      <c r="A195" s="345">
        <v>33450</v>
      </c>
      <c r="B195" s="73"/>
      <c r="C195" s="25"/>
      <c r="D195" s="73"/>
    </row>
    <row r="196" spans="1:4" x14ac:dyDescent="0.2">
      <c r="A196" s="345">
        <v>33481</v>
      </c>
      <c r="B196" s="73"/>
      <c r="C196" s="25"/>
      <c r="D196" s="73"/>
    </row>
    <row r="197" spans="1:4" x14ac:dyDescent="0.2">
      <c r="A197" s="345">
        <v>33511</v>
      </c>
      <c r="B197" s="73"/>
      <c r="C197" s="25"/>
      <c r="D197" s="73"/>
    </row>
    <row r="198" spans="1:4" x14ac:dyDescent="0.2">
      <c r="A198" s="345">
        <v>33542</v>
      </c>
      <c r="B198" s="73"/>
      <c r="C198" s="25"/>
      <c r="D198" s="73"/>
    </row>
    <row r="199" spans="1:4" x14ac:dyDescent="0.2">
      <c r="A199" s="345">
        <v>33572</v>
      </c>
      <c r="B199" s="73"/>
      <c r="C199" s="25"/>
      <c r="D199" s="73"/>
    </row>
    <row r="200" spans="1:4" x14ac:dyDescent="0.2">
      <c r="A200" s="345">
        <v>33603</v>
      </c>
      <c r="B200" s="73"/>
      <c r="C200" s="25"/>
      <c r="D200" s="73"/>
    </row>
    <row r="201" spans="1:4" x14ac:dyDescent="0.2">
      <c r="A201" s="345">
        <v>33634</v>
      </c>
      <c r="B201" s="73"/>
      <c r="C201" s="25"/>
      <c r="D201" s="73"/>
    </row>
    <row r="202" spans="1:4" x14ac:dyDescent="0.2">
      <c r="A202" s="345">
        <v>33663</v>
      </c>
      <c r="B202" s="73"/>
      <c r="C202" s="25"/>
      <c r="D202" s="73"/>
    </row>
    <row r="203" spans="1:4" x14ac:dyDescent="0.2">
      <c r="A203" s="345">
        <v>33694</v>
      </c>
      <c r="B203" s="73"/>
      <c r="C203" s="25"/>
      <c r="D203" s="73"/>
    </row>
    <row r="204" spans="1:4" x14ac:dyDescent="0.2">
      <c r="A204" s="345">
        <v>33724</v>
      </c>
      <c r="B204" s="73"/>
      <c r="C204" s="25"/>
      <c r="D204" s="73"/>
    </row>
    <row r="205" spans="1:4" x14ac:dyDescent="0.2">
      <c r="A205" s="345">
        <v>33755</v>
      </c>
      <c r="B205" s="73"/>
      <c r="C205" s="25"/>
      <c r="D205" s="73"/>
    </row>
    <row r="206" spans="1:4" x14ac:dyDescent="0.2">
      <c r="A206" s="345">
        <v>33785</v>
      </c>
      <c r="B206" s="73"/>
      <c r="C206" s="25"/>
      <c r="D206" s="73"/>
    </row>
    <row r="207" spans="1:4" x14ac:dyDescent="0.2">
      <c r="A207" s="345">
        <v>33816</v>
      </c>
      <c r="B207" s="73"/>
      <c r="C207" s="25"/>
      <c r="D207" s="73"/>
    </row>
    <row r="208" spans="1:4" x14ac:dyDescent="0.2">
      <c r="A208" s="345">
        <v>33847</v>
      </c>
      <c r="B208" s="73"/>
      <c r="C208" s="25"/>
      <c r="D208" s="73"/>
    </row>
    <row r="209" spans="1:4" x14ac:dyDescent="0.2">
      <c r="A209" s="345">
        <v>33877</v>
      </c>
      <c r="B209" s="73"/>
      <c r="C209" s="25"/>
      <c r="D209" s="73"/>
    </row>
    <row r="210" spans="1:4" x14ac:dyDescent="0.2">
      <c r="A210" s="345">
        <v>33908</v>
      </c>
      <c r="B210" s="73"/>
      <c r="C210" s="25"/>
      <c r="D210" s="73"/>
    </row>
    <row r="211" spans="1:4" x14ac:dyDescent="0.2">
      <c r="A211" s="345">
        <v>33938</v>
      </c>
      <c r="B211" s="73"/>
      <c r="C211" s="25"/>
      <c r="D211" s="73"/>
    </row>
    <row r="212" spans="1:4" x14ac:dyDescent="0.2">
      <c r="A212" s="345">
        <v>33969</v>
      </c>
      <c r="B212" s="73"/>
      <c r="C212" s="25"/>
      <c r="D212" s="73"/>
    </row>
    <row r="213" spans="1:4" x14ac:dyDescent="0.2">
      <c r="A213" s="345">
        <v>34000</v>
      </c>
      <c r="B213" s="73"/>
      <c r="C213" s="25"/>
      <c r="D213" s="73"/>
    </row>
    <row r="214" spans="1:4" x14ac:dyDescent="0.2">
      <c r="A214" s="345">
        <v>34028</v>
      </c>
      <c r="B214" s="73"/>
      <c r="C214" s="25"/>
      <c r="D214" s="73"/>
    </row>
    <row r="215" spans="1:4" x14ac:dyDescent="0.2">
      <c r="A215" s="345">
        <v>34059</v>
      </c>
      <c r="B215" s="73"/>
      <c r="C215" s="25"/>
      <c r="D215" s="73"/>
    </row>
    <row r="216" spans="1:4" x14ac:dyDescent="0.2">
      <c r="A216" s="345">
        <v>34089</v>
      </c>
      <c r="B216" s="73"/>
      <c r="C216" s="25"/>
      <c r="D216" s="73"/>
    </row>
    <row r="217" spans="1:4" x14ac:dyDescent="0.2">
      <c r="A217" s="345">
        <v>34120</v>
      </c>
      <c r="B217" s="73"/>
      <c r="C217" s="25"/>
      <c r="D217" s="73"/>
    </row>
    <row r="218" spans="1:4" x14ac:dyDescent="0.2">
      <c r="A218" s="345">
        <v>34150</v>
      </c>
      <c r="B218" s="73"/>
      <c r="C218" s="25"/>
      <c r="D218" s="73"/>
    </row>
    <row r="219" spans="1:4" x14ac:dyDescent="0.2">
      <c r="A219" s="345">
        <v>34181</v>
      </c>
      <c r="B219" s="73"/>
      <c r="C219" s="25"/>
      <c r="D219" s="73"/>
    </row>
    <row r="220" spans="1:4" x14ac:dyDescent="0.2">
      <c r="A220" s="345">
        <v>34212</v>
      </c>
      <c r="B220" s="73"/>
      <c r="C220" s="25"/>
      <c r="D220" s="73"/>
    </row>
    <row r="221" spans="1:4" x14ac:dyDescent="0.2">
      <c r="A221" s="345">
        <v>34242</v>
      </c>
      <c r="B221" s="73"/>
      <c r="C221" s="25"/>
      <c r="D221" s="73"/>
    </row>
    <row r="222" spans="1:4" x14ac:dyDescent="0.2">
      <c r="A222" s="345">
        <v>34273</v>
      </c>
      <c r="B222" s="73"/>
      <c r="C222" s="25"/>
      <c r="D222" s="73"/>
    </row>
    <row r="223" spans="1:4" x14ac:dyDescent="0.2">
      <c r="A223" s="345">
        <v>34303</v>
      </c>
      <c r="B223" s="73"/>
      <c r="C223" s="25"/>
      <c r="D223" s="73"/>
    </row>
    <row r="224" spans="1:4" x14ac:dyDescent="0.2">
      <c r="A224" s="345">
        <v>34334</v>
      </c>
      <c r="B224" s="73"/>
      <c r="C224" s="25"/>
      <c r="D224" s="73"/>
    </row>
    <row r="225" spans="1:4" x14ac:dyDescent="0.2">
      <c r="A225" s="345">
        <v>34365</v>
      </c>
      <c r="B225" s="73"/>
      <c r="C225" s="25"/>
      <c r="D225" s="73"/>
    </row>
    <row r="226" spans="1:4" x14ac:dyDescent="0.2">
      <c r="A226" s="345">
        <v>34393</v>
      </c>
      <c r="B226" s="73"/>
      <c r="C226" s="25"/>
      <c r="D226" s="73"/>
    </row>
    <row r="227" spans="1:4" x14ac:dyDescent="0.2">
      <c r="A227" s="345">
        <v>34424</v>
      </c>
      <c r="B227" s="73"/>
      <c r="C227" s="25"/>
      <c r="D227" s="73"/>
    </row>
    <row r="228" spans="1:4" x14ac:dyDescent="0.2">
      <c r="A228" s="345">
        <v>34454</v>
      </c>
      <c r="B228" s="73"/>
      <c r="C228" s="25"/>
      <c r="D228" s="73"/>
    </row>
    <row r="229" spans="1:4" x14ac:dyDescent="0.2">
      <c r="A229" s="345">
        <v>34485</v>
      </c>
      <c r="B229" s="73"/>
      <c r="C229" s="25"/>
      <c r="D229" s="73"/>
    </row>
    <row r="230" spans="1:4" x14ac:dyDescent="0.2">
      <c r="A230" s="345">
        <v>34515</v>
      </c>
      <c r="B230" s="73"/>
      <c r="C230" s="25"/>
      <c r="D230" s="73"/>
    </row>
    <row r="231" spans="1:4" x14ac:dyDescent="0.2">
      <c r="A231" s="345">
        <v>34546</v>
      </c>
      <c r="B231" s="73"/>
      <c r="C231" s="25"/>
      <c r="D231" s="73"/>
    </row>
    <row r="232" spans="1:4" x14ac:dyDescent="0.2">
      <c r="A232" s="345">
        <v>34577</v>
      </c>
      <c r="B232" s="73"/>
      <c r="C232" s="25"/>
      <c r="D232" s="73"/>
    </row>
    <row r="233" spans="1:4" x14ac:dyDescent="0.2">
      <c r="A233" s="345">
        <v>34607</v>
      </c>
      <c r="B233" s="73"/>
      <c r="C233" s="25"/>
      <c r="D233" s="73"/>
    </row>
    <row r="234" spans="1:4" x14ac:dyDescent="0.2">
      <c r="A234" s="345">
        <v>34638</v>
      </c>
      <c r="B234" s="73"/>
      <c r="C234" s="25"/>
      <c r="D234" s="73"/>
    </row>
    <row r="235" spans="1:4" x14ac:dyDescent="0.2">
      <c r="A235" s="345">
        <v>34668</v>
      </c>
      <c r="B235" s="73"/>
      <c r="C235" s="25"/>
      <c r="D235" s="73"/>
    </row>
    <row r="236" spans="1:4" x14ac:dyDescent="0.2">
      <c r="A236" s="345">
        <v>34699</v>
      </c>
      <c r="B236" s="73"/>
      <c r="C236" s="25"/>
      <c r="D236" s="73"/>
    </row>
    <row r="237" spans="1:4" x14ac:dyDescent="0.2">
      <c r="A237" s="345">
        <v>34730</v>
      </c>
      <c r="B237" s="73"/>
      <c r="C237" s="25"/>
      <c r="D237" s="73"/>
    </row>
    <row r="238" spans="1:4" x14ac:dyDescent="0.2">
      <c r="A238" s="345">
        <v>34758</v>
      </c>
      <c r="B238" s="73"/>
      <c r="C238" s="25"/>
      <c r="D238" s="73"/>
    </row>
    <row r="239" spans="1:4" x14ac:dyDescent="0.2">
      <c r="A239" s="345">
        <v>34789</v>
      </c>
      <c r="B239" s="73"/>
      <c r="C239" s="25"/>
      <c r="D239" s="73"/>
    </row>
    <row r="240" spans="1:4" x14ac:dyDescent="0.2">
      <c r="A240" s="345">
        <v>34819</v>
      </c>
      <c r="B240" s="73"/>
      <c r="C240" s="25"/>
      <c r="D240" s="73"/>
    </row>
    <row r="241" spans="1:10" x14ac:dyDescent="0.2">
      <c r="A241" s="345">
        <v>34850</v>
      </c>
      <c r="B241" s="73"/>
      <c r="C241" s="25"/>
      <c r="D241" s="73"/>
    </row>
    <row r="242" spans="1:10" x14ac:dyDescent="0.2">
      <c r="A242" s="345">
        <v>34880</v>
      </c>
      <c r="B242" s="73"/>
      <c r="C242" s="25"/>
      <c r="D242" s="73"/>
    </row>
    <row r="243" spans="1:10" x14ac:dyDescent="0.2">
      <c r="A243" s="345">
        <v>34911</v>
      </c>
      <c r="B243" s="73"/>
      <c r="C243" s="25"/>
      <c r="D243" s="73"/>
    </row>
    <row r="244" spans="1:10" x14ac:dyDescent="0.2">
      <c r="A244" s="345">
        <v>34942</v>
      </c>
      <c r="B244" s="73"/>
      <c r="C244" s="25"/>
      <c r="D244" s="73"/>
    </row>
    <row r="245" spans="1:10" x14ac:dyDescent="0.2">
      <c r="A245" s="345">
        <v>34972</v>
      </c>
      <c r="B245" s="73"/>
      <c r="C245" s="25"/>
      <c r="D245" s="73"/>
    </row>
    <row r="246" spans="1:10" x14ac:dyDescent="0.2">
      <c r="A246" s="345">
        <v>35003</v>
      </c>
      <c r="B246" s="1369">
        <v>2.08</v>
      </c>
      <c r="C246" s="263">
        <v>778551865</v>
      </c>
      <c r="D246" s="264"/>
      <c r="G246" s="352">
        <v>2.08</v>
      </c>
      <c r="I246" s="352"/>
      <c r="J246" s="352"/>
    </row>
    <row r="247" spans="1:10" x14ac:dyDescent="0.2">
      <c r="A247" s="345">
        <v>35033</v>
      </c>
      <c r="B247" s="1369">
        <v>2.08</v>
      </c>
      <c r="C247" s="263">
        <v>812718435</v>
      </c>
      <c r="D247" s="264"/>
      <c r="G247" s="352">
        <v>2.08</v>
      </c>
      <c r="I247" s="352"/>
      <c r="J247" s="352"/>
    </row>
    <row r="248" spans="1:10" x14ac:dyDescent="0.2">
      <c r="A248" s="345">
        <v>35064</v>
      </c>
      <c r="B248" s="1369">
        <v>2.08</v>
      </c>
      <c r="C248" s="263">
        <v>827442403</v>
      </c>
      <c r="D248" s="264"/>
      <c r="G248" s="352">
        <v>2.08</v>
      </c>
      <c r="I248" s="352"/>
      <c r="J248" s="352"/>
    </row>
    <row r="249" spans="1:10" x14ac:dyDescent="0.2">
      <c r="A249" s="345">
        <v>35095</v>
      </c>
      <c r="B249" s="1369">
        <v>1.77</v>
      </c>
      <c r="C249" s="263">
        <v>857493372</v>
      </c>
      <c r="D249" s="264"/>
      <c r="G249" s="352">
        <v>1.77</v>
      </c>
      <c r="I249" s="352"/>
      <c r="J249" s="352"/>
    </row>
    <row r="250" spans="1:10" x14ac:dyDescent="0.2">
      <c r="A250" s="345">
        <v>35124</v>
      </c>
      <c r="B250" s="1369">
        <v>1.77</v>
      </c>
      <c r="C250" s="263">
        <v>864615473</v>
      </c>
      <c r="D250" s="264"/>
      <c r="G250" s="352">
        <v>1.77</v>
      </c>
      <c r="I250" s="352"/>
      <c r="J250" s="352"/>
    </row>
    <row r="251" spans="1:10" x14ac:dyDescent="0.2">
      <c r="A251" s="345">
        <v>35155</v>
      </c>
      <c r="B251" s="1369">
        <v>1.77</v>
      </c>
      <c r="C251" s="263">
        <v>872403695</v>
      </c>
      <c r="D251" s="264"/>
      <c r="G251" s="352">
        <v>1.77</v>
      </c>
      <c r="I251" s="352"/>
      <c r="J251" s="352"/>
    </row>
    <row r="252" spans="1:10" x14ac:dyDescent="0.2">
      <c r="A252" s="345">
        <v>35185</v>
      </c>
      <c r="B252" s="1369">
        <v>1.52</v>
      </c>
      <c r="C252" s="263">
        <v>883815365</v>
      </c>
      <c r="D252" s="264"/>
      <c r="G252" s="352">
        <v>1.52</v>
      </c>
      <c r="I252" s="352"/>
      <c r="J252" s="352"/>
    </row>
    <row r="253" spans="1:10" x14ac:dyDescent="0.2">
      <c r="A253" s="345">
        <v>35216</v>
      </c>
      <c r="B253" s="1369">
        <v>1.52</v>
      </c>
      <c r="C253" s="263">
        <v>907792443</v>
      </c>
      <c r="D253" s="264"/>
      <c r="G253" s="352">
        <v>1.52</v>
      </c>
      <c r="I253" s="352"/>
      <c r="J253" s="352"/>
    </row>
    <row r="254" spans="1:10" x14ac:dyDescent="0.2">
      <c r="A254" s="345">
        <v>35246</v>
      </c>
      <c r="B254" s="1369">
        <v>1.52</v>
      </c>
      <c r="C254" s="263">
        <v>912987116</v>
      </c>
      <c r="D254" s="264"/>
      <c r="G254" s="352">
        <v>1.52</v>
      </c>
      <c r="I254" s="352"/>
      <c r="J254" s="352"/>
    </row>
    <row r="255" spans="1:10" x14ac:dyDescent="0.2">
      <c r="A255" s="345">
        <v>35277</v>
      </c>
      <c r="B255" s="1369">
        <v>0.98</v>
      </c>
      <c r="C255" s="263">
        <v>873472428</v>
      </c>
      <c r="D255" s="264"/>
      <c r="G255" s="352">
        <v>0.98</v>
      </c>
      <c r="I255" s="352"/>
      <c r="J255" s="352"/>
    </row>
    <row r="256" spans="1:10" x14ac:dyDescent="0.2">
      <c r="A256" s="345">
        <v>35308</v>
      </c>
      <c r="B256" s="1369">
        <v>0.98</v>
      </c>
      <c r="C256" s="263">
        <v>890960638</v>
      </c>
      <c r="D256" s="264"/>
      <c r="G256" s="352">
        <v>0.98</v>
      </c>
      <c r="I256" s="352"/>
      <c r="J256" s="352"/>
    </row>
    <row r="257" spans="1:10" x14ac:dyDescent="0.2">
      <c r="A257" s="345">
        <v>35338</v>
      </c>
      <c r="B257" s="1369">
        <v>0.98</v>
      </c>
      <c r="C257" s="263">
        <v>940348709</v>
      </c>
      <c r="D257" s="264"/>
      <c r="G257" s="352">
        <v>0.98</v>
      </c>
      <c r="I257" s="352"/>
      <c r="J257" s="352"/>
    </row>
    <row r="258" spans="1:10" x14ac:dyDescent="0.2">
      <c r="A258" s="345">
        <v>35369</v>
      </c>
      <c r="B258" s="1369">
        <v>2.79</v>
      </c>
      <c r="C258" s="263">
        <v>967119249</v>
      </c>
      <c r="D258" s="264"/>
      <c r="G258" s="352">
        <v>2.79</v>
      </c>
      <c r="I258" s="352"/>
      <c r="J258" s="352"/>
    </row>
    <row r="259" spans="1:10" x14ac:dyDescent="0.2">
      <c r="A259" s="345">
        <v>35399</v>
      </c>
      <c r="B259" s="1369">
        <v>2.79</v>
      </c>
      <c r="C259" s="263">
        <v>1043202232</v>
      </c>
      <c r="D259" s="264"/>
      <c r="G259" s="352">
        <v>2.79</v>
      </c>
      <c r="I259" s="352"/>
      <c r="J259" s="352"/>
    </row>
    <row r="260" spans="1:10" x14ac:dyDescent="0.2">
      <c r="A260" s="345">
        <v>35430</v>
      </c>
      <c r="B260" s="1369">
        <v>2.79</v>
      </c>
      <c r="C260" s="263">
        <v>1021293778</v>
      </c>
      <c r="D260" s="264"/>
      <c r="G260" s="352">
        <v>2.79</v>
      </c>
      <c r="I260" s="352"/>
      <c r="J260" s="352"/>
    </row>
    <row r="261" spans="1:10" x14ac:dyDescent="0.2">
      <c r="A261" s="345">
        <v>35461</v>
      </c>
      <c r="B261" s="1369">
        <v>6.34</v>
      </c>
      <c r="C261" s="33">
        <v>1086231876</v>
      </c>
      <c r="D261" s="264"/>
      <c r="G261" s="352">
        <v>6.34</v>
      </c>
      <c r="I261" s="352"/>
      <c r="J261" s="352"/>
    </row>
    <row r="262" spans="1:10" x14ac:dyDescent="0.2">
      <c r="A262" s="345">
        <v>35489</v>
      </c>
      <c r="B262" s="1369">
        <v>1.04</v>
      </c>
      <c r="C262" s="33">
        <v>1097694500</v>
      </c>
      <c r="D262" s="264"/>
      <c r="G262" s="352">
        <v>1.04</v>
      </c>
      <c r="I262" s="352"/>
      <c r="J262" s="352"/>
    </row>
    <row r="263" spans="1:10" x14ac:dyDescent="0.2">
      <c r="A263" s="345">
        <v>35520</v>
      </c>
      <c r="B263" s="1369">
        <v>-4.12</v>
      </c>
      <c r="C263" s="33">
        <v>1052556942</v>
      </c>
      <c r="D263" s="264"/>
      <c r="G263" s="352">
        <v>-4.12</v>
      </c>
      <c r="I263" s="352"/>
      <c r="J263" s="352"/>
    </row>
    <row r="264" spans="1:10" x14ac:dyDescent="0.2">
      <c r="A264" s="345">
        <v>35550</v>
      </c>
      <c r="B264" s="1369">
        <v>5.91</v>
      </c>
      <c r="C264" s="33">
        <v>1114867277</v>
      </c>
      <c r="D264" s="264"/>
      <c r="G264" s="352">
        <v>5.91</v>
      </c>
      <c r="I264" s="352"/>
      <c r="J264" s="352"/>
    </row>
    <row r="265" spans="1:10" x14ac:dyDescent="0.2">
      <c r="A265" s="345">
        <v>35581</v>
      </c>
      <c r="B265" s="1369">
        <v>5.99</v>
      </c>
      <c r="C265" s="33">
        <v>1181690660</v>
      </c>
      <c r="D265" s="264"/>
      <c r="G265" s="352">
        <v>5.99</v>
      </c>
      <c r="I265" s="352"/>
      <c r="J265" s="352"/>
    </row>
    <row r="266" spans="1:10" x14ac:dyDescent="0.2">
      <c r="A266" s="345">
        <v>35611</v>
      </c>
      <c r="B266" s="1369">
        <v>4.41</v>
      </c>
      <c r="C266" s="33">
        <v>1233881580</v>
      </c>
      <c r="D266" s="264"/>
      <c r="G266" s="352">
        <v>4.41</v>
      </c>
      <c r="I266" s="352"/>
      <c r="J266" s="352"/>
    </row>
    <row r="267" spans="1:10" x14ac:dyDescent="0.2">
      <c r="A267" s="345">
        <v>35642</v>
      </c>
      <c r="B267" s="1369">
        <v>7.93</v>
      </c>
      <c r="C267" s="33">
        <v>1331765471</v>
      </c>
      <c r="D267" s="264"/>
      <c r="G267" s="352">
        <v>7.93</v>
      </c>
      <c r="I267" s="352"/>
      <c r="J267" s="352"/>
    </row>
    <row r="268" spans="1:10" x14ac:dyDescent="0.2">
      <c r="A268" s="345">
        <v>35673</v>
      </c>
      <c r="B268" s="1369">
        <v>-5.8</v>
      </c>
      <c r="C268" s="33">
        <v>1253710141</v>
      </c>
      <c r="D268" s="264"/>
      <c r="G268" s="352">
        <v>-5.8</v>
      </c>
      <c r="I268" s="352"/>
      <c r="J268" s="352"/>
    </row>
    <row r="269" spans="1:10" x14ac:dyDescent="0.2">
      <c r="A269" s="345">
        <v>35703</v>
      </c>
      <c r="B269" s="1369">
        <v>5.15</v>
      </c>
      <c r="C269" s="33">
        <v>1317800026</v>
      </c>
      <c r="D269" s="264"/>
      <c r="G269" s="352">
        <v>5.15</v>
      </c>
      <c r="I269" s="352"/>
      <c r="J269" s="352"/>
    </row>
    <row r="270" spans="1:10" x14ac:dyDescent="0.2">
      <c r="A270" s="345">
        <v>35734</v>
      </c>
      <c r="B270" s="1369">
        <v>-3.1</v>
      </c>
      <c r="C270" s="33">
        <v>1276934414</v>
      </c>
      <c r="D270" s="264"/>
      <c r="G270" s="352">
        <v>-3.1</v>
      </c>
      <c r="I270" s="352"/>
      <c r="J270" s="352"/>
    </row>
    <row r="271" spans="1:10" x14ac:dyDescent="0.2">
      <c r="A271" s="345">
        <v>35764</v>
      </c>
      <c r="B271" s="1369">
        <v>4.55</v>
      </c>
      <c r="C271" s="33">
        <v>1335066677</v>
      </c>
      <c r="D271" s="264"/>
      <c r="G271" s="352">
        <v>4.55</v>
      </c>
      <c r="I271" s="352"/>
      <c r="J271" s="352"/>
    </row>
    <row r="272" spans="1:10" x14ac:dyDescent="0.2">
      <c r="A272" s="345">
        <v>35795</v>
      </c>
      <c r="B272" s="1369">
        <v>1.52</v>
      </c>
      <c r="C272" s="33">
        <v>1355374682</v>
      </c>
      <c r="D272" s="264"/>
      <c r="E272" s="14">
        <f>B272-Index_Returns!B272</f>
        <v>-0.19700000000000006</v>
      </c>
      <c r="G272" s="352">
        <v>1.52</v>
      </c>
      <c r="I272" s="352"/>
      <c r="J272" s="352"/>
    </row>
    <row r="273" spans="1:10" x14ac:dyDescent="0.2">
      <c r="A273" s="345">
        <v>35826</v>
      </c>
      <c r="B273" s="1369">
        <v>1.2</v>
      </c>
      <c r="C273" s="33">
        <v>1372627232</v>
      </c>
      <c r="D273" s="264"/>
      <c r="E273" s="14">
        <f>B273-Index_Returns!B273</f>
        <v>9.3999999999999861E-2</v>
      </c>
      <c r="G273" s="352">
        <v>1.2</v>
      </c>
      <c r="I273" s="352"/>
      <c r="J273" s="352"/>
    </row>
    <row r="274" spans="1:10" x14ac:dyDescent="0.2">
      <c r="A274" s="345">
        <v>35854</v>
      </c>
      <c r="B274" s="1369">
        <v>7.2</v>
      </c>
      <c r="C274" s="33">
        <v>1936769968</v>
      </c>
      <c r="D274" s="264"/>
      <c r="E274" s="14">
        <f>B274-Index_Returns!B274</f>
        <v>-1.1999999999999567E-2</v>
      </c>
      <c r="G274" s="352">
        <v>7.2</v>
      </c>
      <c r="I274" s="352"/>
      <c r="J274" s="352"/>
    </row>
    <row r="275" spans="1:10" x14ac:dyDescent="0.2">
      <c r="A275" s="345">
        <v>35885</v>
      </c>
      <c r="B275" s="1369">
        <v>5.09</v>
      </c>
      <c r="C275" s="33">
        <v>2039855487</v>
      </c>
      <c r="D275" s="264"/>
      <c r="E275" s="14">
        <f>B275-Index_Returns!B275</f>
        <v>-3.1000000000000583E-2</v>
      </c>
      <c r="G275" s="352">
        <v>5.09</v>
      </c>
      <c r="I275" s="352"/>
      <c r="J275" s="352"/>
    </row>
    <row r="276" spans="1:10" x14ac:dyDescent="0.2">
      <c r="A276" s="345">
        <v>35915</v>
      </c>
      <c r="B276" s="1369">
        <v>1.05</v>
      </c>
      <c r="C276" s="33">
        <v>2065890480</v>
      </c>
      <c r="D276" s="264"/>
      <c r="E276" s="14">
        <f>B276-Index_Returns!B276</f>
        <v>4.4000000000000039E-2</v>
      </c>
      <c r="G276" s="352">
        <v>1.05</v>
      </c>
      <c r="I276" s="352"/>
      <c r="J276" s="352"/>
    </row>
    <row r="277" spans="1:10" x14ac:dyDescent="0.2">
      <c r="A277" s="345">
        <v>35946</v>
      </c>
      <c r="B277" s="1369">
        <v>-1.53</v>
      </c>
      <c r="C277" s="33">
        <v>2034307178</v>
      </c>
      <c r="D277" s="264"/>
      <c r="E277" s="14">
        <f>B277-Index_Returns!B277</f>
        <v>0.18900000000000006</v>
      </c>
      <c r="G277" s="352">
        <v>-1.53</v>
      </c>
      <c r="I277" s="352"/>
      <c r="J277" s="352"/>
    </row>
    <row r="278" spans="1:10" x14ac:dyDescent="0.2">
      <c r="A278" s="345">
        <v>35976</v>
      </c>
      <c r="B278" s="1369">
        <v>3.7</v>
      </c>
      <c r="C278" s="33">
        <v>2110129506</v>
      </c>
      <c r="D278" s="264"/>
      <c r="E278" s="14">
        <f>B278-Index_Returns!B278</f>
        <v>-0.3620000000000001</v>
      </c>
      <c r="G278" s="352">
        <v>3.7</v>
      </c>
      <c r="I278" s="352"/>
      <c r="J278" s="352"/>
    </row>
    <row r="279" spans="1:10" x14ac:dyDescent="0.2">
      <c r="A279" s="345">
        <v>36007</v>
      </c>
      <c r="B279" s="1369">
        <v>-1.1399999999999999</v>
      </c>
      <c r="C279" s="33">
        <v>2079312920</v>
      </c>
      <c r="D279" s="264"/>
      <c r="E279" s="14">
        <f>B279-Index_Returns!B279</f>
        <v>-7.4999999999999956E-2</v>
      </c>
      <c r="G279" s="352">
        <v>-1.1399999999999999</v>
      </c>
      <c r="I279" s="352"/>
      <c r="J279" s="352"/>
    </row>
    <row r="280" spans="1:10" x14ac:dyDescent="0.2">
      <c r="A280" s="345">
        <v>36038</v>
      </c>
      <c r="B280" s="1369">
        <v>-14.14</v>
      </c>
      <c r="C280" s="33">
        <v>1777558608</v>
      </c>
      <c r="D280" s="264"/>
      <c r="E280" s="14">
        <f>B280-Index_Returns!B280</f>
        <v>0.31799999999999962</v>
      </c>
      <c r="G280" s="352">
        <v>-14.14</v>
      </c>
      <c r="I280" s="352"/>
      <c r="J280" s="352"/>
    </row>
    <row r="281" spans="1:10" x14ac:dyDescent="0.2">
      <c r="A281" s="345">
        <v>36068</v>
      </c>
      <c r="B281" s="1369">
        <v>5.82</v>
      </c>
      <c r="C281" s="33">
        <v>1880361907</v>
      </c>
      <c r="D281" s="264"/>
      <c r="E281" s="14">
        <f>B281-Index_Returns!B281</f>
        <v>-0.58599999999999941</v>
      </c>
      <c r="G281" s="352">
        <v>5.82</v>
      </c>
      <c r="I281" s="352"/>
      <c r="J281" s="352"/>
    </row>
    <row r="282" spans="1:10" x14ac:dyDescent="0.2">
      <c r="A282" s="345">
        <v>36099</v>
      </c>
      <c r="B282" s="1369">
        <v>8.35</v>
      </c>
      <c r="C282" s="33">
        <v>2037582908</v>
      </c>
      <c r="D282" s="264"/>
      <c r="E282" s="14">
        <f>B282-Index_Returns!B282</f>
        <v>0.2159999999999993</v>
      </c>
      <c r="G282" s="352">
        <v>8.35</v>
      </c>
      <c r="I282" s="352"/>
      <c r="J282" s="352"/>
    </row>
    <row r="283" spans="1:10" x14ac:dyDescent="0.2">
      <c r="A283" s="345">
        <v>36129</v>
      </c>
      <c r="B283" s="1369">
        <v>6.12</v>
      </c>
      <c r="C283" s="33">
        <v>2159342631</v>
      </c>
      <c r="D283" s="264"/>
      <c r="E283" s="14">
        <f>B283-Index_Returns!B283</f>
        <v>6.0000000000000497E-2</v>
      </c>
      <c r="G283" s="352">
        <v>6.12</v>
      </c>
      <c r="I283" s="352"/>
      <c r="J283" s="352"/>
    </row>
    <row r="284" spans="1:10" x14ac:dyDescent="0.2">
      <c r="A284" s="345">
        <v>36160</v>
      </c>
      <c r="B284" s="1369">
        <v>5.51</v>
      </c>
      <c r="C284" s="33">
        <v>2278363950</v>
      </c>
      <c r="D284" s="264"/>
      <c r="E284" s="14">
        <f>B284-Index_Returns!B284</f>
        <v>-0.25199999999999978</v>
      </c>
      <c r="G284" s="352">
        <v>5.51</v>
      </c>
      <c r="I284" s="352"/>
      <c r="J284" s="352"/>
    </row>
    <row r="285" spans="1:10" x14ac:dyDescent="0.2">
      <c r="A285" s="345">
        <v>36191</v>
      </c>
      <c r="B285" s="1369">
        <v>3.71</v>
      </c>
      <c r="C285" s="33">
        <v>2360648463</v>
      </c>
      <c r="D285" s="264"/>
      <c r="E285" s="14">
        <f>B285-Index_Returns!B285</f>
        <v>-0.47200000000000042</v>
      </c>
      <c r="G285" s="352">
        <v>3.71</v>
      </c>
      <c r="I285" s="352"/>
      <c r="J285" s="352"/>
    </row>
    <row r="286" spans="1:10" x14ac:dyDescent="0.2">
      <c r="A286" s="345">
        <v>36219</v>
      </c>
      <c r="B286" s="1369">
        <v>-3.06</v>
      </c>
      <c r="C286" s="33">
        <v>2288429191</v>
      </c>
      <c r="D286" s="264"/>
      <c r="E286" s="14">
        <f>B286-Index_Returns!B286</f>
        <v>4.8000000000000043E-2</v>
      </c>
      <c r="G286" s="352">
        <v>-3.06</v>
      </c>
      <c r="I286" s="352"/>
      <c r="J286" s="352"/>
    </row>
    <row r="287" spans="1:10" x14ac:dyDescent="0.2">
      <c r="A287" s="345">
        <v>36250</v>
      </c>
      <c r="B287" s="1369">
        <v>3.79</v>
      </c>
      <c r="C287" s="33">
        <v>2374721228</v>
      </c>
      <c r="D287" s="264"/>
      <c r="E287" s="14">
        <f>B287-Index_Returns!B287</f>
        <v>-0.2110000000000003</v>
      </c>
      <c r="G287" s="352">
        <v>3.79</v>
      </c>
      <c r="I287" s="352"/>
      <c r="J287" s="352"/>
    </row>
    <row r="288" spans="1:10" x14ac:dyDescent="0.2">
      <c r="A288" s="345">
        <v>36280</v>
      </c>
      <c r="B288" s="1369">
        <v>3.8</v>
      </c>
      <c r="C288" s="33">
        <v>2465049028</v>
      </c>
      <c r="D288" s="264"/>
      <c r="E288" s="14">
        <f>B288-Index_Returns!B288</f>
        <v>-7.3000000000000398E-2</v>
      </c>
      <c r="G288" s="352">
        <v>3.8</v>
      </c>
      <c r="I288" s="352"/>
      <c r="J288" s="352"/>
    </row>
    <row r="289" spans="1:10" x14ac:dyDescent="0.2">
      <c r="A289" s="345">
        <v>36311</v>
      </c>
      <c r="B289" s="1369">
        <v>-2.0299999999999998</v>
      </c>
      <c r="C289" s="33">
        <v>2415087414</v>
      </c>
      <c r="D289" s="264"/>
      <c r="E289" s="14">
        <f>B289-Index_Returns!B289</f>
        <v>0.33100000000000041</v>
      </c>
      <c r="G289" s="352">
        <v>-2.0299999999999998</v>
      </c>
      <c r="I289" s="352"/>
      <c r="J289" s="352"/>
    </row>
    <row r="290" spans="1:10" x14ac:dyDescent="0.2">
      <c r="A290" s="345">
        <v>36341</v>
      </c>
      <c r="B290" s="1369">
        <v>5.13</v>
      </c>
      <c r="C290" s="33">
        <v>2538944124</v>
      </c>
      <c r="D290" s="264"/>
      <c r="E290" s="14">
        <f>B290-Index_Returns!B290</f>
        <v>-0.41999999999999993</v>
      </c>
      <c r="G290" s="352">
        <v>5.13</v>
      </c>
      <c r="I290" s="352"/>
      <c r="J290" s="352"/>
    </row>
    <row r="291" spans="1:10" x14ac:dyDescent="0.2">
      <c r="A291" s="345">
        <v>36372</v>
      </c>
      <c r="B291" s="1369">
        <v>-2.96</v>
      </c>
      <c r="C291" s="33">
        <v>2463985448</v>
      </c>
      <c r="D291" s="264"/>
      <c r="E291" s="14">
        <f>B291-Index_Returns!B291</f>
        <v>0.16199999999999992</v>
      </c>
      <c r="G291" s="352">
        <v>-2.96</v>
      </c>
      <c r="I291" s="352"/>
      <c r="J291" s="352"/>
    </row>
    <row r="292" spans="1:10" x14ac:dyDescent="0.2">
      <c r="A292" s="345">
        <v>36403</v>
      </c>
      <c r="B292" s="1369">
        <v>-0.55000000000000004</v>
      </c>
      <c r="C292" s="33">
        <v>2450419566</v>
      </c>
      <c r="D292" s="264"/>
      <c r="E292" s="14">
        <f>B292-Index_Returns!B292</f>
        <v>-5.0000000000000044E-2</v>
      </c>
      <c r="G292" s="352">
        <v>-0.55000000000000004</v>
      </c>
      <c r="I292" s="352"/>
      <c r="J292" s="352"/>
    </row>
    <row r="293" spans="1:10" x14ac:dyDescent="0.2">
      <c r="A293" s="345">
        <v>36433</v>
      </c>
      <c r="B293" s="1369">
        <v>-2.92</v>
      </c>
      <c r="C293" s="33">
        <v>2378952036</v>
      </c>
      <c r="D293" s="264"/>
      <c r="E293" s="14">
        <f>B293-Index_Returns!B293</f>
        <v>-0.17999999999999972</v>
      </c>
      <c r="G293" s="352">
        <v>-2.92</v>
      </c>
      <c r="I293" s="352"/>
      <c r="J293" s="352"/>
    </row>
    <row r="294" spans="1:10" x14ac:dyDescent="0.2">
      <c r="A294" s="345">
        <v>36464</v>
      </c>
      <c r="B294" s="1369">
        <v>6.44</v>
      </c>
      <c r="C294" s="33">
        <v>2529298996</v>
      </c>
      <c r="D294" s="264"/>
      <c r="E294" s="14">
        <f>B294-Index_Returns!B294</f>
        <v>0.11000000000000032</v>
      </c>
      <c r="G294" s="352">
        <v>6.44</v>
      </c>
      <c r="I294" s="352"/>
      <c r="J294" s="352"/>
    </row>
    <row r="295" spans="1:10" x14ac:dyDescent="0.2">
      <c r="A295" s="345">
        <v>36494</v>
      </c>
      <c r="B295" s="1369">
        <v>1.98</v>
      </c>
      <c r="C295" s="33">
        <v>2579377794</v>
      </c>
      <c r="D295" s="264"/>
      <c r="E295" s="14">
        <f>B295-Index_Returns!B295</f>
        <v>-4.9999999999999822E-2</v>
      </c>
      <c r="G295" s="352">
        <v>1.98</v>
      </c>
      <c r="I295" s="352"/>
      <c r="J295" s="352"/>
    </row>
    <row r="296" spans="1:10" x14ac:dyDescent="0.2">
      <c r="A296" s="345">
        <v>36525</v>
      </c>
      <c r="B296" s="1369">
        <v>5.8</v>
      </c>
      <c r="C296" s="33">
        <v>2729075190</v>
      </c>
      <c r="D296" s="264"/>
      <c r="E296" s="14">
        <f>B296-Index_Returns!B296</f>
        <v>-8.9999999999999858E-2</v>
      </c>
      <c r="G296" s="352">
        <v>5.8</v>
      </c>
      <c r="I296" s="352"/>
      <c r="J296" s="352"/>
    </row>
    <row r="297" spans="1:10" x14ac:dyDescent="0.2">
      <c r="A297" s="345">
        <v>36556</v>
      </c>
      <c r="B297" s="1369">
        <v>-5.36</v>
      </c>
      <c r="C297" s="33">
        <v>2581883397</v>
      </c>
      <c r="D297" s="264"/>
      <c r="E297" s="14">
        <f>B297-Index_Returns!B297</f>
        <v>-0.3360000000000003</v>
      </c>
      <c r="G297" s="352">
        <v>-5.36</v>
      </c>
      <c r="I297" s="352"/>
      <c r="J297" s="352"/>
    </row>
    <row r="298" spans="1:10" x14ac:dyDescent="0.2">
      <c r="A298" s="345">
        <v>36585</v>
      </c>
      <c r="B298" s="1369">
        <v>-2.27</v>
      </c>
      <c r="C298" s="33">
        <v>2523263511</v>
      </c>
      <c r="D298" s="264"/>
      <c r="E298" s="14">
        <f>B298-Index_Returns!B298</f>
        <v>-0.377</v>
      </c>
      <c r="G298" s="352">
        <v>-2.27</v>
      </c>
      <c r="I298" s="352"/>
      <c r="J298" s="352"/>
    </row>
    <row r="299" spans="1:10" x14ac:dyDescent="0.2">
      <c r="A299" s="345">
        <v>36616</v>
      </c>
      <c r="B299" s="1369">
        <v>9.98</v>
      </c>
      <c r="C299" s="33">
        <v>2774624796</v>
      </c>
      <c r="D299" s="264"/>
      <c r="E299" s="14">
        <f>B299-Index_Returns!B299</f>
        <v>0.19700000000000095</v>
      </c>
      <c r="G299" s="352">
        <v>9.98</v>
      </c>
      <c r="I299" s="352"/>
      <c r="J299" s="352"/>
    </row>
    <row r="300" spans="1:10" x14ac:dyDescent="0.2">
      <c r="A300" s="345">
        <v>36646</v>
      </c>
      <c r="B300" s="1369">
        <v>-2.86</v>
      </c>
      <c r="C300" s="33">
        <v>2695317676</v>
      </c>
      <c r="D300" s="264"/>
      <c r="E300" s="14">
        <f>B300-Index_Returns!B300</f>
        <v>0.14900000000000002</v>
      </c>
      <c r="G300" s="352">
        <v>-2.86</v>
      </c>
      <c r="I300" s="352"/>
      <c r="J300" s="352"/>
    </row>
    <row r="301" spans="1:10" x14ac:dyDescent="0.2">
      <c r="A301" s="345">
        <v>36677</v>
      </c>
      <c r="B301" s="1369">
        <v>-1.52</v>
      </c>
      <c r="C301" s="33">
        <v>2654348029</v>
      </c>
      <c r="D301" s="264"/>
      <c r="E301" s="14">
        <f>B301-Index_Returns!B301</f>
        <v>0.53200000000000003</v>
      </c>
      <c r="G301" s="352">
        <v>-1.52</v>
      </c>
      <c r="I301" s="352"/>
      <c r="J301" s="352"/>
    </row>
    <row r="302" spans="1:10" x14ac:dyDescent="0.2">
      <c r="A302" s="345">
        <v>36707</v>
      </c>
      <c r="B302" s="1369">
        <v>2.15</v>
      </c>
      <c r="C302" s="33">
        <v>2708265758</v>
      </c>
      <c r="D302" s="264"/>
      <c r="E302" s="14">
        <f>B302-Index_Returns!B302</f>
        <v>-0.31499999999999995</v>
      </c>
      <c r="G302" s="352">
        <v>2.15</v>
      </c>
      <c r="I302" s="352"/>
      <c r="J302" s="352"/>
    </row>
    <row r="303" spans="1:10" x14ac:dyDescent="0.2">
      <c r="A303" s="345">
        <v>36738</v>
      </c>
      <c r="B303" s="1369">
        <v>-1.47</v>
      </c>
      <c r="C303" s="33">
        <v>2666914469</v>
      </c>
      <c r="D303" s="264"/>
      <c r="E303" s="14">
        <f>B303-Index_Returns!B303</f>
        <v>9.2999999999999972E-2</v>
      </c>
      <c r="G303" s="352">
        <v>-1.47</v>
      </c>
      <c r="I303" s="352"/>
      <c r="J303" s="352"/>
    </row>
    <row r="304" spans="1:10" x14ac:dyDescent="0.2">
      <c r="A304" s="345">
        <v>36769</v>
      </c>
      <c r="B304" s="1369">
        <v>6.03</v>
      </c>
      <c r="C304" s="33">
        <v>2832654980</v>
      </c>
      <c r="D304" s="264"/>
      <c r="E304" s="14">
        <f>B304-Index_Returns!B304</f>
        <v>-0.18100000000000005</v>
      </c>
      <c r="G304" s="352">
        <v>6.03</v>
      </c>
      <c r="I304" s="352"/>
      <c r="J304" s="352"/>
    </row>
    <row r="305" spans="1:10" x14ac:dyDescent="0.2">
      <c r="A305" s="345">
        <v>36799</v>
      </c>
      <c r="B305" s="1369">
        <v>-5.21</v>
      </c>
      <c r="C305" s="33">
        <v>1230481501</v>
      </c>
      <c r="D305" s="264"/>
      <c r="E305" s="14">
        <f>B305-Index_Returns!B305</f>
        <v>6.899999999999995E-2</v>
      </c>
      <c r="G305" s="352">
        <v>-5.21</v>
      </c>
      <c r="I305" s="352"/>
      <c r="J305" s="352"/>
    </row>
    <row r="306" spans="1:10" x14ac:dyDescent="0.2">
      <c r="A306" s="345">
        <v>36830</v>
      </c>
      <c r="B306" s="1369">
        <v>-0.12</v>
      </c>
      <c r="C306" s="33">
        <v>1228938236</v>
      </c>
      <c r="D306" s="264"/>
      <c r="E306" s="14">
        <f>B306-Index_Returns!B306</f>
        <v>0.30299999999999999</v>
      </c>
      <c r="G306" s="352">
        <v>-0.12</v>
      </c>
      <c r="I306" s="352"/>
      <c r="J306" s="352"/>
    </row>
    <row r="307" spans="1:10" x14ac:dyDescent="0.2">
      <c r="A307" s="345">
        <v>36860</v>
      </c>
      <c r="B307" s="1369">
        <v>-7.88</v>
      </c>
      <c r="C307" s="33">
        <v>1132139513</v>
      </c>
      <c r="D307" s="264"/>
      <c r="E307" s="14">
        <f>B307-Index_Returns!B307</f>
        <v>4.0000000000004476E-3</v>
      </c>
      <c r="G307" s="352">
        <v>-7.88</v>
      </c>
      <c r="I307" s="352"/>
      <c r="J307" s="352"/>
    </row>
    <row r="308" spans="1:10" x14ac:dyDescent="0.2">
      <c r="A308" s="345">
        <v>36891</v>
      </c>
      <c r="B308" s="1369">
        <v>0.56999999999999995</v>
      </c>
      <c r="C308" s="33">
        <v>1138628751</v>
      </c>
      <c r="D308" s="264"/>
      <c r="E308" s="14">
        <f>B308-Index_Returns!B308</f>
        <v>8.0999999999999961E-2</v>
      </c>
      <c r="G308" s="352">
        <v>0.56999999999999995</v>
      </c>
      <c r="I308" s="352"/>
      <c r="J308" s="352"/>
    </row>
    <row r="309" spans="1:10" x14ac:dyDescent="0.2">
      <c r="A309" s="345">
        <v>36922</v>
      </c>
      <c r="B309" s="1369">
        <v>3.34</v>
      </c>
      <c r="C309" s="33">
        <v>1176212727</v>
      </c>
      <c r="D309" s="264"/>
      <c r="E309" s="14">
        <f>B309-Index_Returns!B309</f>
        <v>-0.20999999999999996</v>
      </c>
      <c r="G309" s="352">
        <v>3.34</v>
      </c>
      <c r="I309" s="352"/>
      <c r="J309" s="352"/>
    </row>
    <row r="310" spans="1:10" x14ac:dyDescent="0.2">
      <c r="A310" s="345">
        <v>36950</v>
      </c>
      <c r="B310" s="1369">
        <v>-9.0500000000000007</v>
      </c>
      <c r="C310" s="33">
        <v>1069821574</v>
      </c>
      <c r="D310" s="264"/>
      <c r="E310" s="14">
        <f>B310-Index_Returns!B310</f>
        <v>6.7999999999999616E-2</v>
      </c>
      <c r="G310" s="352">
        <v>-9.0500000000000007</v>
      </c>
      <c r="I310" s="352"/>
      <c r="J310" s="352"/>
    </row>
    <row r="311" spans="1:10" x14ac:dyDescent="0.2">
      <c r="A311" s="345">
        <v>36981</v>
      </c>
      <c r="B311" s="1369">
        <v>-6.59</v>
      </c>
      <c r="C311" s="33">
        <v>996948565</v>
      </c>
      <c r="D311" s="264"/>
      <c r="E311" s="14">
        <f>B311-Index_Returns!B311</f>
        <v>-0.25499999999999989</v>
      </c>
      <c r="G311" s="352">
        <v>-6.59</v>
      </c>
      <c r="I311" s="352"/>
      <c r="J311" s="352"/>
    </row>
    <row r="312" spans="1:10" x14ac:dyDescent="0.2">
      <c r="A312" s="345">
        <v>37011</v>
      </c>
      <c r="B312" s="1369">
        <v>7.87</v>
      </c>
      <c r="C312" s="33">
        <v>1075390000</v>
      </c>
      <c r="D312" s="264"/>
      <c r="E312" s="14">
        <f>B312-Index_Returns!B312</f>
        <v>9.9000000000000199E-2</v>
      </c>
      <c r="G312" s="352">
        <v>7.87</v>
      </c>
      <c r="I312" s="352"/>
      <c r="J312" s="352"/>
    </row>
    <row r="313" spans="1:10" x14ac:dyDescent="0.2">
      <c r="A313" s="345">
        <v>37042</v>
      </c>
      <c r="B313" s="1369">
        <v>0.56000000000000005</v>
      </c>
      <c r="C313" s="33">
        <v>1081427358</v>
      </c>
      <c r="D313" s="264"/>
      <c r="E313" s="14">
        <f>B313-Index_Returns!B313</f>
        <v>-0.10999999999999999</v>
      </c>
      <c r="G313" s="352">
        <v>0.56000000000000005</v>
      </c>
      <c r="I313" s="352"/>
      <c r="J313" s="352"/>
    </row>
    <row r="314" spans="1:10" x14ac:dyDescent="0.2">
      <c r="A314" s="345">
        <v>37072</v>
      </c>
      <c r="B314" s="1369">
        <v>-2.41</v>
      </c>
      <c r="C314" s="33">
        <v>1055433780</v>
      </c>
      <c r="D314" s="264"/>
      <c r="E314" s="14">
        <f>B314-Index_Returns!B314</f>
        <v>2.4000000000000021E-2</v>
      </c>
      <c r="G314" s="352">
        <v>-2.41</v>
      </c>
      <c r="I314" s="352"/>
      <c r="J314" s="352"/>
    </row>
    <row r="315" spans="1:10" x14ac:dyDescent="0.2">
      <c r="A315" s="345">
        <v>37103</v>
      </c>
      <c r="B315" s="1369">
        <v>-1.06</v>
      </c>
      <c r="C315" s="33">
        <v>1044273977</v>
      </c>
      <c r="D315" s="264"/>
      <c r="E315" s="14">
        <f>B315-Index_Returns!B315</f>
        <v>-7.6000000000000068E-2</v>
      </c>
      <c r="G315" s="352">
        <v>-1.06</v>
      </c>
      <c r="I315" s="352"/>
      <c r="J315" s="352"/>
    </row>
    <row r="316" spans="1:10" x14ac:dyDescent="0.2">
      <c r="A316" s="345">
        <v>37134</v>
      </c>
      <c r="B316" s="1369">
        <v>-6.21</v>
      </c>
      <c r="C316" s="33">
        <v>979449106</v>
      </c>
      <c r="D316" s="264"/>
      <c r="E316" s="14">
        <f>B316-Index_Returns!B316</f>
        <v>4.9999999999999822E-2</v>
      </c>
      <c r="G316" s="352">
        <v>-6.21</v>
      </c>
      <c r="I316" s="352"/>
      <c r="J316" s="352"/>
    </row>
    <row r="317" spans="1:10" x14ac:dyDescent="0.2">
      <c r="A317" s="345">
        <v>37164</v>
      </c>
      <c r="B317" s="1369">
        <v>-7.98</v>
      </c>
      <c r="C317" s="33">
        <v>901240258</v>
      </c>
      <c r="D317" s="264"/>
      <c r="E317" s="14">
        <f>B317-Index_Returns!B317</f>
        <v>9.4999999999998863E-2</v>
      </c>
      <c r="G317" s="352">
        <v>-7.98</v>
      </c>
      <c r="I317" s="352"/>
      <c r="J317" s="352"/>
    </row>
    <row r="318" spans="1:10" x14ac:dyDescent="0.2">
      <c r="A318" s="345">
        <v>37195</v>
      </c>
      <c r="B318" s="1369">
        <v>2.0099999999999998</v>
      </c>
      <c r="C318" s="33">
        <v>919400698</v>
      </c>
      <c r="D318" s="264"/>
      <c r="E318" s="14">
        <f>B318-Index_Returns!B318</f>
        <v>0.10299999999999976</v>
      </c>
      <c r="G318" s="352">
        <v>2.0099999999999998</v>
      </c>
      <c r="I318" s="352"/>
      <c r="J318" s="352"/>
    </row>
    <row r="319" spans="1:10" x14ac:dyDescent="0.2">
      <c r="A319" s="345">
        <v>37225</v>
      </c>
      <c r="B319" s="1369">
        <v>7.7</v>
      </c>
      <c r="C319" s="33">
        <v>984177046</v>
      </c>
      <c r="D319" s="264"/>
      <c r="E319" s="14">
        <f>B319-Index_Returns!B319</f>
        <v>2.8999999999999915E-2</v>
      </c>
      <c r="G319" s="352">
        <v>7.7</v>
      </c>
      <c r="I319" s="352"/>
      <c r="J319" s="352"/>
    </row>
    <row r="320" spans="1:10" x14ac:dyDescent="0.2">
      <c r="A320" s="345">
        <v>37256</v>
      </c>
      <c r="B320" s="1369">
        <v>0.63</v>
      </c>
      <c r="C320" s="33">
        <v>986713595</v>
      </c>
      <c r="D320" s="264"/>
      <c r="E320" s="14">
        <f>B320-Index_Returns!B320</f>
        <v>-0.246</v>
      </c>
      <c r="G320" s="352">
        <v>0.63</v>
      </c>
      <c r="I320" s="352"/>
      <c r="J320" s="352"/>
    </row>
    <row r="321" spans="1:10" x14ac:dyDescent="0.2">
      <c r="A321" s="345">
        <v>37287</v>
      </c>
      <c r="B321" s="1369">
        <v>-1.31</v>
      </c>
      <c r="C321" s="33">
        <v>973780793</v>
      </c>
      <c r="D321" s="264"/>
      <c r="E321" s="14">
        <f>B321-Index_Returns!B321</f>
        <v>0.14900000000000002</v>
      </c>
      <c r="G321" s="352">
        <v>-1.31</v>
      </c>
      <c r="I321" s="352"/>
      <c r="J321" s="352"/>
    </row>
    <row r="322" spans="1:10" x14ac:dyDescent="0.2">
      <c r="A322" s="345">
        <v>37315</v>
      </c>
      <c r="B322" s="1369">
        <v>-1.87</v>
      </c>
      <c r="C322" s="33">
        <v>955592881</v>
      </c>
      <c r="D322" s="264"/>
      <c r="E322" s="14">
        <f>B322-Index_Returns!B322</f>
        <v>5.7999999999999829E-2</v>
      </c>
      <c r="G322" s="352">
        <v>-1.87</v>
      </c>
      <c r="I322" s="352"/>
      <c r="J322" s="352"/>
    </row>
    <row r="323" spans="1:10" x14ac:dyDescent="0.2">
      <c r="A323" s="345">
        <v>37346</v>
      </c>
      <c r="B323" s="1369">
        <v>3.71</v>
      </c>
      <c r="C323" s="33">
        <v>991043407</v>
      </c>
      <c r="D323" s="264"/>
      <c r="E323" s="14">
        <f>B323-Index_Returns!B323</f>
        <v>-5.1000000000000156E-2</v>
      </c>
      <c r="G323" s="352">
        <v>3.71</v>
      </c>
      <c r="I323" s="352"/>
      <c r="J323" s="352"/>
    </row>
    <row r="324" spans="1:10" x14ac:dyDescent="0.2">
      <c r="A324" s="345">
        <v>37376</v>
      </c>
      <c r="B324" s="1369">
        <v>-6.24</v>
      </c>
      <c r="C324" s="33">
        <v>929181761</v>
      </c>
      <c r="D324" s="264"/>
      <c r="E324" s="14">
        <f>B324-Index_Returns!B324</f>
        <v>-0.17700000000000049</v>
      </c>
      <c r="G324" s="352">
        <v>-6.24</v>
      </c>
      <c r="I324" s="352"/>
      <c r="J324" s="352"/>
    </row>
    <row r="325" spans="1:10" x14ac:dyDescent="0.2">
      <c r="A325" s="345">
        <v>37407</v>
      </c>
      <c r="B325" s="1369">
        <v>-0.64</v>
      </c>
      <c r="C325" s="33">
        <v>923209311</v>
      </c>
      <c r="D325" s="264"/>
      <c r="E325" s="14">
        <f>B325-Index_Returns!B325</f>
        <v>9.6999999999999975E-2</v>
      </c>
      <c r="G325" s="352">
        <v>-0.64</v>
      </c>
      <c r="I325" s="352"/>
      <c r="J325" s="352"/>
    </row>
    <row r="326" spans="1:10" x14ac:dyDescent="0.2">
      <c r="A326" s="345">
        <v>37437</v>
      </c>
      <c r="B326" s="1369">
        <v>-6.94</v>
      </c>
      <c r="C326" s="33">
        <v>859189593</v>
      </c>
      <c r="D326" s="264"/>
      <c r="E326" s="14">
        <f>B326-Index_Returns!B326</f>
        <v>0.18399999999999928</v>
      </c>
      <c r="G326" s="352">
        <v>-6.94</v>
      </c>
      <c r="I326" s="352"/>
      <c r="J326" s="352"/>
    </row>
    <row r="327" spans="1:10" x14ac:dyDescent="0.2">
      <c r="A327" s="345">
        <v>37468</v>
      </c>
      <c r="B327" s="1369">
        <v>-7.72</v>
      </c>
      <c r="C327" s="33">
        <v>792832037</v>
      </c>
      <c r="D327" s="264"/>
      <c r="E327" s="14">
        <f>B327-Index_Returns!B327</f>
        <v>7.5000000000000178E-2</v>
      </c>
      <c r="G327" s="352">
        <v>-7.72</v>
      </c>
      <c r="I327" s="352"/>
      <c r="J327" s="352"/>
    </row>
    <row r="328" spans="1:10" x14ac:dyDescent="0.2">
      <c r="A328" s="345">
        <v>37499</v>
      </c>
      <c r="B328" s="1369">
        <v>0.45</v>
      </c>
      <c r="C328" s="33">
        <v>796385533</v>
      </c>
      <c r="D328" s="264"/>
      <c r="E328" s="14">
        <f>B328-Index_Returns!B328</f>
        <v>-0.20700000000000002</v>
      </c>
      <c r="G328" s="352">
        <v>0.45</v>
      </c>
      <c r="I328" s="352"/>
      <c r="J328" s="352"/>
    </row>
    <row r="329" spans="1:10" x14ac:dyDescent="0.2">
      <c r="A329" s="345">
        <v>37529</v>
      </c>
      <c r="B329" s="1369">
        <v>-10.75</v>
      </c>
      <c r="C329" s="33">
        <v>710793994</v>
      </c>
      <c r="D329" s="264"/>
      <c r="E329" s="14">
        <f>B329-Index_Returns!B329</f>
        <v>0.11800000000000033</v>
      </c>
      <c r="G329" s="352">
        <v>-10.75</v>
      </c>
      <c r="I329" s="352"/>
      <c r="J329" s="352"/>
    </row>
    <row r="330" spans="1:10" x14ac:dyDescent="0.2">
      <c r="A330" s="345">
        <v>37560</v>
      </c>
      <c r="B330" s="1369">
        <v>9.01</v>
      </c>
      <c r="C330" s="33">
        <v>774854915</v>
      </c>
      <c r="D330" s="264"/>
      <c r="E330" s="14">
        <f>B330-Index_Returns!B330</f>
        <v>0.20800000000000018</v>
      </c>
      <c r="G330" s="352">
        <v>9.01</v>
      </c>
      <c r="I330" s="352"/>
      <c r="J330" s="352"/>
    </row>
    <row r="331" spans="1:10" x14ac:dyDescent="0.2">
      <c r="A331" s="345">
        <v>37590</v>
      </c>
      <c r="B331" s="1369">
        <v>6.08</v>
      </c>
      <c r="C331" s="33">
        <v>821938891</v>
      </c>
      <c r="D331" s="264"/>
      <c r="E331" s="14">
        <f>B331-Index_Returns!B331</f>
        <v>0.19399999999999995</v>
      </c>
      <c r="G331" s="352">
        <v>6.08</v>
      </c>
      <c r="I331" s="352"/>
      <c r="J331" s="352"/>
    </row>
    <row r="332" spans="1:10" x14ac:dyDescent="0.2">
      <c r="A332" s="345">
        <v>37621</v>
      </c>
      <c r="B332" s="1369">
        <v>-6.07</v>
      </c>
      <c r="C332" s="33">
        <v>772094817</v>
      </c>
      <c r="D332" s="264"/>
      <c r="E332" s="14">
        <f>B332-Index_Returns!B332</f>
        <v>-0.19500000000000028</v>
      </c>
      <c r="G332" s="352">
        <v>-6.07</v>
      </c>
      <c r="I332" s="352"/>
      <c r="J332" s="352"/>
    </row>
    <row r="333" spans="1:10" x14ac:dyDescent="0.2">
      <c r="A333" s="345">
        <v>37652</v>
      </c>
      <c r="B333" s="1369">
        <v>-2.56</v>
      </c>
      <c r="C333" s="33">
        <v>752328606</v>
      </c>
      <c r="D333" s="264"/>
      <c r="E333" s="14">
        <f>B333-Index_Returns!B333</f>
        <v>6.0000000000000053E-2</v>
      </c>
      <c r="G333" s="352">
        <v>-2.56</v>
      </c>
      <c r="I333" s="352"/>
      <c r="J333" s="352"/>
    </row>
    <row r="334" spans="1:10" x14ac:dyDescent="0.2">
      <c r="A334" s="345">
        <v>37680</v>
      </c>
      <c r="B334" s="1369">
        <v>-1.55</v>
      </c>
      <c r="C334" s="33">
        <v>740661958</v>
      </c>
      <c r="D334" s="264"/>
      <c r="E334" s="14">
        <f>B334-Index_Returns!B334</f>
        <v>-5.0000000000000044E-2</v>
      </c>
      <c r="G334" s="352">
        <v>-1.55</v>
      </c>
      <c r="I334" s="352"/>
      <c r="J334" s="352"/>
    </row>
    <row r="335" spans="1:10" x14ac:dyDescent="0.2">
      <c r="A335" s="345">
        <v>37711</v>
      </c>
      <c r="B335" s="1369">
        <v>0.86</v>
      </c>
      <c r="C335" s="33">
        <v>747027636</v>
      </c>
      <c r="D335" s="264"/>
      <c r="E335" s="14">
        <f>B335-Index_Returns!B335</f>
        <v>-0.11099999999999999</v>
      </c>
      <c r="G335" s="352">
        <v>0.86</v>
      </c>
      <c r="I335" s="352"/>
      <c r="J335" s="352"/>
    </row>
    <row r="336" spans="1:10" x14ac:dyDescent="0.2">
      <c r="A336" s="345">
        <v>37741</v>
      </c>
      <c r="B336" s="1369">
        <v>8.39</v>
      </c>
      <c r="C336" s="33">
        <v>809674484</v>
      </c>
      <c r="D336" s="264"/>
      <c r="E336" s="14">
        <f>B336-Index_Returns!B336</f>
        <v>0.15300000000000047</v>
      </c>
      <c r="G336" s="352">
        <v>8.39</v>
      </c>
      <c r="I336" s="352"/>
      <c r="J336" s="352"/>
    </row>
    <row r="337" spans="1:10" x14ac:dyDescent="0.2">
      <c r="A337" s="345">
        <v>37772</v>
      </c>
      <c r="B337" s="1369">
        <v>5.42</v>
      </c>
      <c r="C337" s="33">
        <v>853520129</v>
      </c>
      <c r="D337" s="264"/>
      <c r="E337" s="14">
        <f>B337-Index_Returns!B337</f>
        <v>0.1509999999999998</v>
      </c>
      <c r="G337" s="352">
        <v>5.42</v>
      </c>
      <c r="I337" s="352"/>
      <c r="J337" s="352"/>
    </row>
    <row r="338" spans="1:10" x14ac:dyDescent="0.2">
      <c r="A338" s="345">
        <v>37802</v>
      </c>
      <c r="B338" s="1369">
        <v>1.36</v>
      </c>
      <c r="C338" s="33">
        <v>865166140</v>
      </c>
      <c r="D338" s="264"/>
      <c r="E338" s="14">
        <f>B338-Index_Returns!B338</f>
        <v>8.4000000000000075E-2</v>
      </c>
      <c r="G338" s="352">
        <v>1.36</v>
      </c>
      <c r="I338" s="352"/>
      <c r="J338" s="352"/>
    </row>
    <row r="339" spans="1:10" x14ac:dyDescent="0.2">
      <c r="A339" s="345">
        <v>37833</v>
      </c>
      <c r="B339" s="1369">
        <v>1.9</v>
      </c>
      <c r="C339" s="33">
        <v>881582382</v>
      </c>
      <c r="D339" s="264"/>
      <c r="E339" s="14">
        <f>B339-Index_Returns!B339</f>
        <v>0.13700000000000001</v>
      </c>
      <c r="G339" s="352">
        <v>1.9</v>
      </c>
      <c r="I339" s="352"/>
      <c r="J339" s="352"/>
    </row>
    <row r="340" spans="1:10" x14ac:dyDescent="0.2">
      <c r="A340" s="345">
        <v>37864</v>
      </c>
      <c r="B340" s="1369">
        <v>1.79</v>
      </c>
      <c r="C340" s="33">
        <v>887287965</v>
      </c>
      <c r="D340" s="264"/>
      <c r="E340" s="14">
        <f>B340-Index_Returns!B340</f>
        <v>-0.15999999999999992</v>
      </c>
      <c r="G340" s="352">
        <v>1.79</v>
      </c>
      <c r="I340" s="352"/>
      <c r="J340" s="352"/>
    </row>
    <row r="341" spans="1:10" x14ac:dyDescent="0.2">
      <c r="A341" s="345">
        <v>37894</v>
      </c>
      <c r="B341" s="1369">
        <v>-1.1100000000000001</v>
      </c>
      <c r="C341" s="34">
        <v>887388886</v>
      </c>
      <c r="D341" s="264"/>
      <c r="E341" s="14">
        <f>B341-Index_Returns!B341</f>
        <v>-4.8000000000000043E-2</v>
      </c>
      <c r="G341" s="352">
        <v>-1.1100000000000001</v>
      </c>
      <c r="I341" s="352"/>
      <c r="J341" s="352"/>
    </row>
    <row r="342" spans="1:10" x14ac:dyDescent="0.2">
      <c r="A342" s="345">
        <v>37925</v>
      </c>
      <c r="B342" s="1369">
        <v>5.5</v>
      </c>
      <c r="C342" s="34">
        <v>936199113</v>
      </c>
      <c r="D342" s="264"/>
      <c r="E342" s="14">
        <f>B342-Index_Returns!B342</f>
        <v>-0.15700000000000003</v>
      </c>
      <c r="G342" s="352">
        <v>5.5</v>
      </c>
      <c r="I342" s="352"/>
      <c r="J342" s="352"/>
    </row>
    <row r="343" spans="1:10" x14ac:dyDescent="0.2">
      <c r="A343" s="345">
        <v>37955</v>
      </c>
      <c r="B343" s="1369">
        <v>0.83</v>
      </c>
      <c r="C343" s="34">
        <v>944005682</v>
      </c>
      <c r="D343" s="264"/>
      <c r="E343" s="14">
        <f>B343-Index_Returns!B343</f>
        <v>-5.0000000000000044E-2</v>
      </c>
      <c r="G343" s="352">
        <v>0.83</v>
      </c>
      <c r="I343" s="352"/>
      <c r="J343" s="352"/>
    </row>
    <row r="344" spans="1:10" x14ac:dyDescent="0.2">
      <c r="A344" s="345">
        <v>37986</v>
      </c>
      <c r="B344" s="1369">
        <v>5.21</v>
      </c>
      <c r="C344" s="34">
        <v>993209913</v>
      </c>
      <c r="D344" s="264"/>
      <c r="E344" s="14">
        <f>B344-Index_Returns!B344</f>
        <v>-3.3999999999999808E-2</v>
      </c>
      <c r="G344" s="352">
        <v>5.21</v>
      </c>
      <c r="I344" s="352"/>
      <c r="J344" s="352"/>
    </row>
    <row r="345" spans="1:10" x14ac:dyDescent="0.2">
      <c r="A345" s="345">
        <v>38017</v>
      </c>
      <c r="B345" s="1369">
        <v>1.88</v>
      </c>
      <c r="C345" s="34">
        <v>1011857784</v>
      </c>
      <c r="D345" s="264"/>
      <c r="E345" s="14">
        <f>B345-Index_Returns!B345</f>
        <v>4.3999999999999817E-2</v>
      </c>
      <c r="G345" s="352">
        <v>1.88</v>
      </c>
      <c r="I345" s="352"/>
      <c r="J345" s="352"/>
    </row>
    <row r="346" spans="1:10" x14ac:dyDescent="0.2">
      <c r="A346" s="345">
        <v>38046</v>
      </c>
      <c r="B346" s="1369">
        <v>1.39</v>
      </c>
      <c r="C346" s="34">
        <v>1025896041</v>
      </c>
      <c r="D346" s="264"/>
      <c r="E346" s="14">
        <f>B346-Index_Returns!B346</f>
        <v>0</v>
      </c>
      <c r="G346" s="352">
        <v>1.39</v>
      </c>
      <c r="I346" s="352"/>
      <c r="J346" s="352"/>
    </row>
    <row r="347" spans="1:10" x14ac:dyDescent="0.2">
      <c r="A347" s="345">
        <v>38077</v>
      </c>
      <c r="B347" s="1369">
        <v>-1.51</v>
      </c>
      <c r="C347" s="34">
        <v>1010443048</v>
      </c>
      <c r="D347" s="255"/>
      <c r="E347" s="14">
        <f>B347-Index_Returns!B347</f>
        <v>-1.0000000000001119E-3</v>
      </c>
      <c r="G347" s="352">
        <v>-1.51</v>
      </c>
      <c r="I347" s="352"/>
      <c r="J347" s="352"/>
    </row>
    <row r="348" spans="1:10" x14ac:dyDescent="0.2">
      <c r="A348" s="345">
        <v>38107</v>
      </c>
      <c r="B348" s="1369">
        <v>-1.51</v>
      </c>
      <c r="C348" s="34">
        <v>995195209</v>
      </c>
      <c r="D348" s="253"/>
      <c r="E348" s="14">
        <f>B348-Index_Returns!B348</f>
        <v>6.0000000000000053E-2</v>
      </c>
      <c r="G348" s="352">
        <v>-1.51</v>
      </c>
      <c r="I348" s="352"/>
      <c r="J348" s="352"/>
    </row>
    <row r="349" spans="1:10" x14ac:dyDescent="0.2">
      <c r="A349" s="345">
        <v>38138</v>
      </c>
      <c r="B349" s="1369">
        <v>1.35</v>
      </c>
      <c r="C349" s="34">
        <v>1008638373</v>
      </c>
      <c r="D349" s="253"/>
      <c r="E349" s="14">
        <f>B349-Index_Returns!B349</f>
        <v>-2.200000000000002E-2</v>
      </c>
      <c r="G349" s="352">
        <v>1.35</v>
      </c>
      <c r="I349" s="352"/>
      <c r="J349" s="352"/>
    </row>
    <row r="350" spans="1:10" x14ac:dyDescent="0.2">
      <c r="A350" s="345">
        <v>38168</v>
      </c>
      <c r="B350" s="1369">
        <v>1.93</v>
      </c>
      <c r="C350" s="34">
        <v>1028119508</v>
      </c>
      <c r="D350" s="253"/>
      <c r="E350" s="14">
        <f>B350-Index_Returns!B350</f>
        <v>-1.4000000000000012E-2</v>
      </c>
      <c r="G350" s="352">
        <v>1.93</v>
      </c>
      <c r="I350" s="352"/>
      <c r="J350" s="352"/>
    </row>
    <row r="351" spans="1:10" x14ac:dyDescent="0.2">
      <c r="A351" s="345">
        <v>38199</v>
      </c>
      <c r="B351" s="1369">
        <v>-3.29</v>
      </c>
      <c r="C351" s="34">
        <v>994279408</v>
      </c>
      <c r="D351" s="253"/>
      <c r="E351" s="14">
        <f>B351-Index_Returns!B351</f>
        <v>2.0000000000000018E-2</v>
      </c>
      <c r="G351" s="352">
        <v>-3.29</v>
      </c>
      <c r="I351" s="352"/>
      <c r="J351" s="352"/>
    </row>
    <row r="352" spans="1:10" x14ac:dyDescent="0.2">
      <c r="A352" s="345">
        <v>38230</v>
      </c>
      <c r="B352" s="1369">
        <v>0.39</v>
      </c>
      <c r="C352" s="34">
        <v>998200653</v>
      </c>
      <c r="D352" s="253"/>
      <c r="E352" s="14">
        <f>B352-Index_Returns!B352</f>
        <v>-1.5000000000000013E-2</v>
      </c>
      <c r="G352" s="352">
        <v>0.39</v>
      </c>
      <c r="I352" s="352"/>
      <c r="J352" s="352"/>
    </row>
    <row r="353" spans="1:10" x14ac:dyDescent="0.2">
      <c r="A353" s="345">
        <v>38260</v>
      </c>
      <c r="B353" s="1369">
        <v>1.08</v>
      </c>
      <c r="C353" s="34">
        <v>1009148512</v>
      </c>
      <c r="D353" s="253"/>
      <c r="E353" s="14">
        <f>B353-Index_Returns!B353</f>
        <v>-2.9999999999998916E-3</v>
      </c>
      <c r="G353" s="352">
        <v>1.08</v>
      </c>
      <c r="I353" s="352"/>
      <c r="J353" s="352"/>
    </row>
    <row r="354" spans="1:10" x14ac:dyDescent="0.2">
      <c r="A354" s="345">
        <v>38291</v>
      </c>
      <c r="B354" s="1369">
        <v>1.53</v>
      </c>
      <c r="C354" s="34">
        <v>1024590159</v>
      </c>
      <c r="D354" s="253"/>
      <c r="E354" s="14">
        <f>B354-Index_Returns!B354</f>
        <v>2.0000000000000018E-3</v>
      </c>
      <c r="G354" s="352">
        <v>1.53</v>
      </c>
      <c r="I354" s="352"/>
      <c r="J354" s="352"/>
    </row>
    <row r="355" spans="1:10" x14ac:dyDescent="0.2">
      <c r="A355" s="345">
        <v>38321</v>
      </c>
      <c r="B355" s="1369">
        <v>4.05</v>
      </c>
      <c r="C355" s="34">
        <v>1066121592</v>
      </c>
      <c r="D355" s="253"/>
      <c r="E355" s="14">
        <f>B355-Index_Returns!B355</f>
        <v>3.9999999999995595E-3</v>
      </c>
      <c r="G355" s="352">
        <v>4.05</v>
      </c>
      <c r="I355" s="352"/>
      <c r="J355" s="352"/>
    </row>
    <row r="356" spans="1:10" x14ac:dyDescent="0.2">
      <c r="A356" s="345">
        <v>38352</v>
      </c>
      <c r="B356" s="1369">
        <v>3.4</v>
      </c>
      <c r="C356" s="256">
        <v>1102442746</v>
      </c>
      <c r="D356" s="253"/>
      <c r="E356" s="14">
        <f>B356-Index_Returns!B356</f>
        <v>-3.0000000000001137E-3</v>
      </c>
      <c r="G356" s="352">
        <v>3.4</v>
      </c>
      <c r="I356" s="352"/>
      <c r="J356" s="352"/>
    </row>
    <row r="357" spans="1:10" x14ac:dyDescent="0.2">
      <c r="A357" s="345">
        <v>38383</v>
      </c>
      <c r="B357" s="1369">
        <v>-2.39</v>
      </c>
      <c r="C357" s="34">
        <v>1076062618</v>
      </c>
      <c r="D357" s="253"/>
      <c r="E357" s="14">
        <f>B357-Index_Returns!B357</f>
        <v>4.6999999999999709E-2</v>
      </c>
      <c r="G357" s="352">
        <v>-2.39</v>
      </c>
      <c r="I357" s="352"/>
      <c r="J357" s="352"/>
    </row>
    <row r="358" spans="1:10" x14ac:dyDescent="0.2">
      <c r="A358" s="345">
        <v>38411</v>
      </c>
      <c r="B358" s="1369">
        <v>2.0699999999999998</v>
      </c>
      <c r="C358" s="34">
        <v>1098385254</v>
      </c>
      <c r="D358" s="253"/>
      <c r="E358" s="14">
        <f>B358-Index_Returns!B358</f>
        <v>-3.4000000000000252E-2</v>
      </c>
      <c r="G358" s="352">
        <v>2.0699999999999998</v>
      </c>
      <c r="I358" s="352"/>
      <c r="J358" s="352"/>
    </row>
    <row r="359" spans="1:10" x14ac:dyDescent="0.2">
      <c r="A359" s="345">
        <v>38442</v>
      </c>
      <c r="B359" s="1369">
        <v>-1.74</v>
      </c>
      <c r="C359" s="256">
        <v>1079275605</v>
      </c>
      <c r="D359" s="253"/>
      <c r="E359" s="14">
        <f>B359-Index_Returns!B359</f>
        <v>3.0999999999999917E-2</v>
      </c>
      <c r="G359" s="352">
        <v>-1.74</v>
      </c>
      <c r="I359" s="352"/>
      <c r="J359" s="352"/>
    </row>
    <row r="360" spans="1:10" x14ac:dyDescent="0.2">
      <c r="A360" s="345">
        <v>38472</v>
      </c>
      <c r="B360" s="1369">
        <v>-1.91</v>
      </c>
      <c r="C360" s="256">
        <v>1058664948</v>
      </c>
      <c r="D360" s="253"/>
      <c r="E360" s="14">
        <f>B360-Index_Returns!B360</f>
        <v>-1.2999999999999901E-2</v>
      </c>
      <c r="G360" s="352">
        <v>-1.91</v>
      </c>
      <c r="I360" s="352"/>
      <c r="J360" s="352"/>
    </row>
    <row r="361" spans="1:10" x14ac:dyDescent="0.2">
      <c r="A361" s="345">
        <v>38503</v>
      </c>
      <c r="B361" s="1369">
        <v>3.18</v>
      </c>
      <c r="C361" s="256">
        <v>1092301200</v>
      </c>
      <c r="D361" s="253"/>
      <c r="E361" s="14">
        <f>B361-Index_Returns!B361</f>
        <v>-1.9999999999997797E-3</v>
      </c>
      <c r="G361" s="352">
        <v>3.18</v>
      </c>
      <c r="I361" s="352"/>
      <c r="J361" s="352"/>
    </row>
    <row r="362" spans="1:10" x14ac:dyDescent="0.2">
      <c r="A362" s="345">
        <v>38533</v>
      </c>
      <c r="B362" s="1369">
        <v>0.16</v>
      </c>
      <c r="C362" s="256">
        <v>1094093651</v>
      </c>
      <c r="D362" s="253"/>
      <c r="E362" s="14">
        <f>B362-Index_Returns!B362</f>
        <v>1.8000000000000016E-2</v>
      </c>
      <c r="G362" s="352">
        <v>0.16</v>
      </c>
      <c r="I362" s="352"/>
      <c r="J362" s="352"/>
    </row>
    <row r="363" spans="1:10" x14ac:dyDescent="0.2">
      <c r="A363" s="345">
        <v>38564</v>
      </c>
      <c r="B363" s="1369">
        <v>3.73</v>
      </c>
      <c r="C363" s="256">
        <v>1134894906</v>
      </c>
      <c r="D363" s="253"/>
      <c r="E363" s="14">
        <f>B363-Index_Returns!B363</f>
        <v>1.1000000000000121E-2</v>
      </c>
      <c r="G363" s="352">
        <v>3.73</v>
      </c>
      <c r="I363" s="352"/>
      <c r="J363" s="352"/>
    </row>
    <row r="364" spans="1:10" x14ac:dyDescent="0.2">
      <c r="A364" s="345">
        <v>38595</v>
      </c>
      <c r="B364" s="1369">
        <v>-1</v>
      </c>
      <c r="C364" s="256">
        <v>1123544519</v>
      </c>
      <c r="D364" s="253"/>
      <c r="E364" s="14">
        <f>B364-Index_Returns!B364</f>
        <v>-8.7589999999999946E-2</v>
      </c>
      <c r="G364" s="352">
        <v>-1</v>
      </c>
      <c r="I364" s="352"/>
      <c r="J364" s="352"/>
    </row>
    <row r="365" spans="1:10" x14ac:dyDescent="0.2">
      <c r="A365" s="345">
        <v>38625</v>
      </c>
      <c r="B365" s="1369">
        <v>0.76</v>
      </c>
      <c r="C365" s="256">
        <v>1132076055</v>
      </c>
      <c r="D365" s="253"/>
      <c r="E365" s="14">
        <f>B365-Index_Returns!B365</f>
        <v>-5.0000000000000044E-2</v>
      </c>
      <c r="G365" s="352">
        <v>0.76</v>
      </c>
      <c r="I365" s="352"/>
      <c r="J365" s="352"/>
    </row>
    <row r="366" spans="1:10" x14ac:dyDescent="0.2">
      <c r="A366" s="345">
        <v>38656</v>
      </c>
      <c r="B366" s="1369">
        <v>-1.28</v>
      </c>
      <c r="C366" s="256">
        <v>1117582884</v>
      </c>
      <c r="D366" s="253"/>
      <c r="E366" s="14">
        <f>B366-Index_Returns!B366</f>
        <v>0.38708999999999993</v>
      </c>
      <c r="G366" s="352">
        <v>-1.28</v>
      </c>
      <c r="I366" s="352"/>
      <c r="J366" s="352"/>
    </row>
    <row r="367" spans="1:10" x14ac:dyDescent="0.2">
      <c r="A367" s="345">
        <v>38686</v>
      </c>
      <c r="B367" s="1369">
        <v>3.86</v>
      </c>
      <c r="C367" s="256">
        <v>1160695722</v>
      </c>
      <c r="D367" s="253"/>
      <c r="E367" s="14">
        <f>B367-Index_Returns!B367</f>
        <v>7.7769999999999673E-2</v>
      </c>
      <c r="G367" s="352">
        <v>3.86</v>
      </c>
      <c r="I367" s="352"/>
      <c r="J367" s="352"/>
    </row>
    <row r="368" spans="1:10" x14ac:dyDescent="0.2">
      <c r="A368" s="345">
        <v>38717</v>
      </c>
      <c r="B368" s="1369">
        <v>0.03</v>
      </c>
      <c r="C368" s="256">
        <v>1161018761</v>
      </c>
      <c r="D368" s="253"/>
      <c r="E368" s="14">
        <f>B368-Index_Returns!B368</f>
        <v>-4.2799999999999991E-3</v>
      </c>
      <c r="G368" s="352">
        <v>0.03</v>
      </c>
      <c r="I368" s="352"/>
      <c r="J368" s="352"/>
    </row>
    <row r="369" spans="1:10" x14ac:dyDescent="0.2">
      <c r="A369" s="345">
        <v>38748</v>
      </c>
      <c r="B369" s="1369">
        <v>2.77</v>
      </c>
      <c r="C369" s="256">
        <v>1193148701</v>
      </c>
      <c r="D369" s="253"/>
      <c r="E369" s="14">
        <f>B369-Index_Returns!B369</f>
        <v>0.12170000000000014</v>
      </c>
      <c r="G369" s="352">
        <v>2.77</v>
      </c>
      <c r="I369" s="352"/>
      <c r="J369" s="352"/>
    </row>
    <row r="370" spans="1:10" x14ac:dyDescent="0.2">
      <c r="A370" s="345">
        <v>38776</v>
      </c>
      <c r="B370" s="1369">
        <v>0.26</v>
      </c>
      <c r="C370" s="256">
        <v>1196206812</v>
      </c>
      <c r="D370" s="253"/>
      <c r="E370" s="14">
        <f>B370-Index_Returns!B370</f>
        <v>-1.1369999999999991E-2</v>
      </c>
      <c r="G370" s="352">
        <v>0.26</v>
      </c>
      <c r="I370" s="352"/>
      <c r="J370" s="352"/>
    </row>
    <row r="371" spans="1:10" x14ac:dyDescent="0.2">
      <c r="A371" s="345">
        <v>38807</v>
      </c>
      <c r="B371" s="1369">
        <v>1.35</v>
      </c>
      <c r="C371" s="33">
        <v>1212429635</v>
      </c>
      <c r="D371" s="253"/>
      <c r="E371" s="14">
        <f>B371-Index_Returns!B371</f>
        <v>0.10524</v>
      </c>
      <c r="G371" s="352">
        <v>1.35</v>
      </c>
      <c r="I371" s="352"/>
      <c r="J371" s="352"/>
    </row>
    <row r="372" spans="1:10" x14ac:dyDescent="0.2">
      <c r="A372" s="345">
        <v>38837</v>
      </c>
      <c r="B372" s="1369">
        <v>1.31</v>
      </c>
      <c r="C372" s="33">
        <v>1228326978</v>
      </c>
      <c r="D372" s="253"/>
      <c r="E372" s="14">
        <f>B372-Index_Returns!B372</f>
        <v>-3.2750000000000057E-2</v>
      </c>
      <c r="G372" s="352">
        <v>1.31</v>
      </c>
      <c r="I372" s="352"/>
      <c r="J372" s="352"/>
    </row>
    <row r="373" spans="1:10" x14ac:dyDescent="0.2">
      <c r="A373" s="345">
        <v>38868</v>
      </c>
      <c r="B373" s="1369">
        <v>-2.91</v>
      </c>
      <c r="C373" s="33">
        <v>1192558717</v>
      </c>
      <c r="D373" s="253"/>
      <c r="E373" s="14">
        <f>B373-Index_Returns!B373</f>
        <v>-3.1870000000000065E-2</v>
      </c>
      <c r="G373" s="352">
        <v>-2.91</v>
      </c>
      <c r="I373" s="352"/>
      <c r="J373" s="352"/>
    </row>
    <row r="374" spans="1:10" x14ac:dyDescent="0.2">
      <c r="A374" s="345">
        <v>38898</v>
      </c>
      <c r="B374" s="1369">
        <v>0.16</v>
      </c>
      <c r="C374" s="354">
        <v>1194502144</v>
      </c>
      <c r="D374" s="253"/>
      <c r="E374" s="14">
        <f>B374-Index_Returns!B374</f>
        <v>2.443999999999999E-2</v>
      </c>
      <c r="G374" s="352">
        <v>0.16</v>
      </c>
      <c r="I374" s="352"/>
      <c r="J374" s="352"/>
    </row>
    <row r="375" spans="1:10" x14ac:dyDescent="0.2">
      <c r="A375" s="345">
        <v>38929</v>
      </c>
      <c r="B375" s="1369">
        <v>0.62</v>
      </c>
      <c r="C375" s="34">
        <v>1201924725</v>
      </c>
      <c r="D375" s="253"/>
      <c r="E375" s="14">
        <f>B375-Index_Returns!B375</f>
        <v>3.1499999999999861E-3</v>
      </c>
      <c r="G375" s="352">
        <v>0.62</v>
      </c>
      <c r="I375" s="352"/>
      <c r="J375" s="352"/>
    </row>
    <row r="376" spans="1:10" x14ac:dyDescent="0.2">
      <c r="A376" s="345">
        <v>38960</v>
      </c>
      <c r="B376" s="1369">
        <v>2.39</v>
      </c>
      <c r="C376" s="34">
        <v>1230639791</v>
      </c>
      <c r="D376" s="253"/>
      <c r="E376" s="14">
        <f>B376-Index_Returns!B376</f>
        <v>1.0699999999999932E-2</v>
      </c>
      <c r="G376" s="352">
        <v>2.39</v>
      </c>
      <c r="I376" s="352"/>
      <c r="J376" s="352"/>
    </row>
    <row r="377" spans="1:10" x14ac:dyDescent="0.2">
      <c r="A377" s="345">
        <v>38990</v>
      </c>
      <c r="B377" s="1369">
        <v>2.58</v>
      </c>
      <c r="C377" s="34">
        <v>1262432890</v>
      </c>
      <c r="D377" s="253"/>
      <c r="E377" s="14">
        <f>B377-Index_Returns!B377</f>
        <v>2.9699999999999172E-3</v>
      </c>
      <c r="G377" s="352">
        <v>2.58</v>
      </c>
      <c r="I377" s="352"/>
      <c r="J377" s="352"/>
    </row>
    <row r="378" spans="1:10" x14ac:dyDescent="0.2">
      <c r="A378" s="345">
        <v>39021</v>
      </c>
      <c r="B378" s="1369">
        <v>3.26</v>
      </c>
      <c r="C378" s="34">
        <v>1303584289</v>
      </c>
      <c r="D378" s="253"/>
      <c r="E378" s="14">
        <f>B378-Index_Returns!B378</f>
        <v>1.3999999999998458E-3</v>
      </c>
      <c r="F378" s="352"/>
      <c r="G378" s="352">
        <v>3.26</v>
      </c>
      <c r="I378" s="352"/>
      <c r="J378" s="352"/>
    </row>
    <row r="379" spans="1:10" x14ac:dyDescent="0.2">
      <c r="A379" s="345">
        <v>39051</v>
      </c>
      <c r="B379" s="1369">
        <v>1.91</v>
      </c>
      <c r="C379" s="34">
        <v>1328542732</v>
      </c>
      <c r="D379" s="253"/>
      <c r="E379" s="14">
        <f>B379-Index_Returns!B379</f>
        <v>8.3899999999998975E-3</v>
      </c>
      <c r="F379" s="352"/>
      <c r="G379" s="352">
        <v>1.91</v>
      </c>
      <c r="I379" s="352"/>
      <c r="J379" s="352"/>
    </row>
    <row r="380" spans="1:10" x14ac:dyDescent="0.2">
      <c r="A380" s="345">
        <v>39082</v>
      </c>
      <c r="B380" s="1369">
        <v>1.38</v>
      </c>
      <c r="C380" s="34">
        <v>1346957019</v>
      </c>
      <c r="D380" s="253"/>
      <c r="E380" s="14">
        <f>B380-Index_Returns!B380</f>
        <v>-2.2770000000000179E-2</v>
      </c>
      <c r="F380" s="352"/>
      <c r="G380" s="352">
        <v>1.38</v>
      </c>
      <c r="I380" s="352"/>
      <c r="J380" s="352"/>
    </row>
    <row r="381" spans="1:10" x14ac:dyDescent="0.2">
      <c r="A381" s="345">
        <v>39113</v>
      </c>
      <c r="B381" s="1369">
        <v>1.5</v>
      </c>
      <c r="C381" s="346">
        <v>1367164548</v>
      </c>
      <c r="E381" s="14">
        <f>B381-Index_Returns!B381</f>
        <v>-1.2000000000000011E-2</v>
      </c>
      <c r="F381" s="352"/>
      <c r="G381" s="352">
        <v>1.5</v>
      </c>
      <c r="I381" s="352"/>
      <c r="J381" s="352"/>
    </row>
    <row r="382" spans="1:10" x14ac:dyDescent="0.2">
      <c r="A382" s="345">
        <v>39141</v>
      </c>
      <c r="B382" s="1369">
        <v>-1.97</v>
      </c>
      <c r="C382" s="346">
        <v>1340284626</v>
      </c>
      <c r="E382" s="14">
        <f>B382-Index_Returns!B382</f>
        <v>-1.411999999999991E-2</v>
      </c>
      <c r="F382" s="352"/>
      <c r="G382" s="352">
        <v>-1.97</v>
      </c>
      <c r="I382" s="352"/>
      <c r="J382" s="352"/>
    </row>
    <row r="383" spans="1:10" x14ac:dyDescent="0.2">
      <c r="A383" s="345">
        <v>39172</v>
      </c>
      <c r="B383" s="1369">
        <v>1.1499999999999999</v>
      </c>
      <c r="C383" s="346">
        <v>1355750775</v>
      </c>
      <c r="E383" s="14">
        <f>B383-Index_Returns!B383</f>
        <v>3.1499999999999861E-2</v>
      </c>
      <c r="G383" s="352">
        <v>1.1499999999999999</v>
      </c>
      <c r="I383" s="352"/>
      <c r="J383" s="352"/>
    </row>
    <row r="384" spans="1:10" x14ac:dyDescent="0.2">
      <c r="A384" s="345">
        <v>39202</v>
      </c>
      <c r="B384" s="1369">
        <v>4.43</v>
      </c>
      <c r="C384" s="346">
        <v>1415837682</v>
      </c>
      <c r="E384" s="14">
        <f>B384-Index_Returns!B384</f>
        <v>4.6999999999997044E-4</v>
      </c>
      <c r="G384" s="352">
        <v>4.43</v>
      </c>
      <c r="I384" s="352"/>
      <c r="J384" s="352"/>
    </row>
    <row r="385" spans="1:10" x14ac:dyDescent="0.2">
      <c r="A385" s="345">
        <v>39233</v>
      </c>
      <c r="B385" s="1369">
        <v>3.49</v>
      </c>
      <c r="C385" s="346">
        <v>1465258932</v>
      </c>
      <c r="E385" s="14">
        <f>B385-Index_Returns!B385</f>
        <v>4.9000000000010147E-4</v>
      </c>
      <c r="G385" s="352">
        <v>3.49</v>
      </c>
      <c r="I385" s="352"/>
      <c r="J385" s="352"/>
    </row>
    <row r="386" spans="1:10" x14ac:dyDescent="0.2">
      <c r="A386" s="345">
        <v>39263</v>
      </c>
      <c r="B386" s="1369">
        <v>-1.66</v>
      </c>
      <c r="C386" s="346">
        <v>1440945272</v>
      </c>
      <c r="E386" s="14">
        <f>B386-Index_Returns!B386</f>
        <v>1.3199999999999878E-3</v>
      </c>
      <c r="G386" s="352">
        <v>-1.66</v>
      </c>
      <c r="I386" s="352"/>
      <c r="J386" s="352"/>
    </row>
    <row r="387" spans="1:10" x14ac:dyDescent="0.2">
      <c r="A387" s="345">
        <v>39294</v>
      </c>
      <c r="B387" s="1369">
        <v>-3.11</v>
      </c>
      <c r="C387" s="346">
        <v>1396176954</v>
      </c>
      <c r="E387" s="14">
        <f>B387-Index_Returns!B387</f>
        <v>-9.5099999999996854E-3</v>
      </c>
      <c r="G387" s="352">
        <v>-3.11</v>
      </c>
      <c r="I387" s="352"/>
      <c r="J387" s="352"/>
    </row>
    <row r="388" spans="1:10" x14ac:dyDescent="0.2">
      <c r="A388" s="345">
        <v>39325</v>
      </c>
      <c r="B388" s="1369">
        <v>1.5</v>
      </c>
      <c r="C388" s="346">
        <v>1417140750</v>
      </c>
      <c r="E388" s="14">
        <f>B388-Index_Returns!B388</f>
        <v>9.7999999999998089E-4</v>
      </c>
      <c r="G388" s="352">
        <v>1.5</v>
      </c>
      <c r="I388" s="352"/>
      <c r="J388" s="352"/>
    </row>
    <row r="389" spans="1:10" x14ac:dyDescent="0.2">
      <c r="A389" s="345">
        <v>39355</v>
      </c>
      <c r="B389" s="1369">
        <v>3.73</v>
      </c>
      <c r="C389" s="346">
        <v>1468006858</v>
      </c>
      <c r="E389" s="14">
        <f>B389-Index_Returns!B389</f>
        <v>-9.8600000000002019E-3</v>
      </c>
      <c r="G389" s="352">
        <v>3.73</v>
      </c>
      <c r="I389" s="352"/>
      <c r="J389" s="352"/>
    </row>
    <row r="390" spans="1:10" x14ac:dyDescent="0.2">
      <c r="A390" s="345">
        <v>39386</v>
      </c>
      <c r="B390" s="1369">
        <v>1.53</v>
      </c>
      <c r="C390" s="346">
        <v>1490486835</v>
      </c>
      <c r="E390" s="14">
        <f>B390-Index_Returns!B390</f>
        <v>-6.0670000000000002E-2</v>
      </c>
      <c r="G390" s="352">
        <v>1.53</v>
      </c>
      <c r="I390" s="352"/>
      <c r="J390" s="352"/>
    </row>
    <row r="391" spans="1:10" x14ac:dyDescent="0.2">
      <c r="A391" s="345">
        <v>39416</v>
      </c>
      <c r="B391" s="1369">
        <v>-4.16</v>
      </c>
      <c r="C391" s="346">
        <v>1428477910</v>
      </c>
      <c r="E391" s="14">
        <f>B391-Index_Returns!B391</f>
        <v>2.0649999999999835E-2</v>
      </c>
      <c r="G391" s="352">
        <v>-4.16</v>
      </c>
      <c r="I391" s="352"/>
      <c r="J391" s="352"/>
    </row>
    <row r="392" spans="1:10" x14ac:dyDescent="0.2">
      <c r="A392" s="345">
        <v>39447</v>
      </c>
      <c r="B392" s="1369">
        <v>-0.72</v>
      </c>
      <c r="C392" s="346">
        <v>1418231677</v>
      </c>
      <c r="E392" s="14">
        <f>B392-Index_Returns!B392</f>
        <v>-2.6220000000000021E-2</v>
      </c>
      <c r="G392" s="787">
        <v>-0.72</v>
      </c>
      <c r="I392" s="352"/>
      <c r="J392" s="352"/>
    </row>
    <row r="393" spans="1:10" x14ac:dyDescent="0.2">
      <c r="A393" s="345">
        <v>39478</v>
      </c>
      <c r="B393" s="1369">
        <v>-6.08</v>
      </c>
      <c r="C393" s="346">
        <v>1332062265</v>
      </c>
      <c r="E393" s="14">
        <f>B393-Index_Returns!B393</f>
        <v>-8.1859999999999822E-2</v>
      </c>
      <c r="G393" s="352">
        <v>-6.08</v>
      </c>
      <c r="I393" s="352"/>
      <c r="J393" s="352"/>
    </row>
    <row r="394" spans="1:10" x14ac:dyDescent="0.2">
      <c r="A394" s="345">
        <v>39507</v>
      </c>
      <c r="B394" s="1369">
        <v>-3.1</v>
      </c>
      <c r="C394" s="346">
        <v>1290716915</v>
      </c>
      <c r="E394" s="14">
        <f>B394-Index_Returns!B394</f>
        <v>0.14857999999999993</v>
      </c>
      <c r="G394" s="352">
        <v>-3.1</v>
      </c>
      <c r="I394" s="352"/>
      <c r="J394" s="352"/>
    </row>
    <row r="395" spans="1:10" x14ac:dyDescent="0.2">
      <c r="A395" s="345">
        <v>39538</v>
      </c>
      <c r="B395" s="1369">
        <v>-0.41</v>
      </c>
      <c r="C395" s="346">
        <v>1285458449</v>
      </c>
      <c r="E395" s="14">
        <f>B395-Index_Returns!B395</f>
        <v>2.1800000000000042E-2</v>
      </c>
      <c r="G395" s="352">
        <v>-0.41</v>
      </c>
      <c r="I395" s="352"/>
      <c r="J395" s="352"/>
    </row>
    <row r="396" spans="1:10" x14ac:dyDescent="0.2">
      <c r="A396" s="345">
        <v>39568</v>
      </c>
      <c r="B396" s="1369">
        <v>4.8600000000000003</v>
      </c>
      <c r="C396" s="346">
        <v>1347987782</v>
      </c>
      <c r="E396" s="14">
        <f>B396-Index_Returns!B396</f>
        <v>-1.033999999999935E-2</v>
      </c>
      <c r="G396" s="352">
        <v>4.8600000000000003</v>
      </c>
      <c r="I396" s="352"/>
      <c r="J396" s="352"/>
    </row>
    <row r="397" spans="1:10" x14ac:dyDescent="0.2">
      <c r="A397" s="345">
        <v>39599</v>
      </c>
      <c r="B397" s="1369">
        <v>1.31</v>
      </c>
      <c r="C397" s="346">
        <v>1365621488</v>
      </c>
      <c r="E397" s="14">
        <f>B397-Index_Returns!B397</f>
        <v>1.4739999999999975E-2</v>
      </c>
      <c r="G397" s="352">
        <v>1.31</v>
      </c>
      <c r="I397" s="352"/>
      <c r="J397" s="352"/>
    </row>
    <row r="398" spans="1:10" x14ac:dyDescent="0.2">
      <c r="A398" s="345">
        <v>39629</v>
      </c>
      <c r="B398" s="1369">
        <v>-8.41</v>
      </c>
      <c r="C398" s="346">
        <v>1250770298</v>
      </c>
      <c r="E398" s="14">
        <f>B398-Index_Returns!B398</f>
        <v>2.0379999999999399E-2</v>
      </c>
      <c r="G398" s="352">
        <v>-8.41</v>
      </c>
      <c r="I398" s="352"/>
      <c r="J398" s="352"/>
    </row>
    <row r="399" spans="1:10" x14ac:dyDescent="0.2">
      <c r="A399" s="345">
        <v>39660</v>
      </c>
      <c r="B399" s="1369">
        <v>-0.78</v>
      </c>
      <c r="C399" s="33">
        <v>1240966760</v>
      </c>
      <c r="E399" s="14">
        <f>B399-Index_Returns!B399</f>
        <v>6.0620000000000007E-2</v>
      </c>
      <c r="G399" s="352">
        <v>-0.78</v>
      </c>
      <c r="I399" s="352"/>
      <c r="J399" s="352"/>
    </row>
    <row r="400" spans="1:10" x14ac:dyDescent="0.2">
      <c r="A400" s="345">
        <v>39691</v>
      </c>
      <c r="B400" s="1369">
        <v>1.45</v>
      </c>
      <c r="C400" s="33">
        <v>1260823913</v>
      </c>
      <c r="E400" s="14">
        <f>B400-Index_Returns!B400</f>
        <v>3.5099999999999021E-3</v>
      </c>
      <c r="G400" s="352">
        <v>1.45</v>
      </c>
      <c r="I400" s="352"/>
      <c r="J400" s="352"/>
    </row>
    <row r="401" spans="1:10" x14ac:dyDescent="0.2">
      <c r="A401" s="345">
        <v>39721</v>
      </c>
      <c r="B401" s="1369">
        <v>-8.93</v>
      </c>
      <c r="C401" s="33">
        <v>1146585732</v>
      </c>
      <c r="E401" s="14">
        <f>B401-Index_Returns!B401</f>
        <v>-1.9249999999999545E-2</v>
      </c>
      <c r="G401" s="352">
        <v>-8.93</v>
      </c>
      <c r="I401" s="352"/>
      <c r="J401" s="352"/>
    </row>
    <row r="402" spans="1:10" x14ac:dyDescent="0.2">
      <c r="A402" s="345">
        <v>39752</v>
      </c>
      <c r="B402" s="1369">
        <v>-17.04</v>
      </c>
      <c r="C402" s="346">
        <v>941660060</v>
      </c>
      <c r="E402" s="14">
        <f>B402-Index_Returns!B402</f>
        <v>-0.24523999999999901</v>
      </c>
      <c r="G402" s="352">
        <v>-17.04</v>
      </c>
      <c r="I402" s="352"/>
      <c r="J402" s="352"/>
    </row>
    <row r="403" spans="1:10" x14ac:dyDescent="0.2">
      <c r="A403" s="345">
        <v>39782</v>
      </c>
      <c r="B403" s="1369">
        <v>-7.15</v>
      </c>
      <c r="C403" s="346">
        <v>874377811</v>
      </c>
      <c r="E403" s="14">
        <f>B403-Index_Returns!B403</f>
        <v>2.5489999999999569E-2</v>
      </c>
      <c r="G403" s="352">
        <v>-7.15</v>
      </c>
      <c r="I403" s="352"/>
      <c r="J403" s="352"/>
    </row>
    <row r="404" spans="1:10" x14ac:dyDescent="0.2">
      <c r="A404" s="345">
        <v>39813</v>
      </c>
      <c r="B404" s="1369">
        <v>1.08</v>
      </c>
      <c r="C404" s="346">
        <v>883849671</v>
      </c>
      <c r="E404" s="14">
        <f>B404-Index_Returns!B404</f>
        <v>1.5990000000000171E-2</v>
      </c>
      <c r="G404" s="352">
        <v>1.08</v>
      </c>
      <c r="I404" s="352"/>
      <c r="J404" s="352"/>
    </row>
    <row r="405" spans="1:10" x14ac:dyDescent="0.2">
      <c r="A405" s="345">
        <v>39844</v>
      </c>
      <c r="B405" s="1369">
        <v>-8.17</v>
      </c>
      <c r="C405" s="346">
        <v>819385951</v>
      </c>
      <c r="D405" s="258">
        <v>-8.1740999999999993</v>
      </c>
      <c r="E405" s="14">
        <f>B405-Index_Returns!B405</f>
        <v>0.25861000000000089</v>
      </c>
      <c r="G405" s="352">
        <v>-8.17</v>
      </c>
      <c r="I405" s="352"/>
      <c r="J405" s="352"/>
    </row>
    <row r="406" spans="1:10" x14ac:dyDescent="0.2">
      <c r="A406" s="345">
        <v>39872</v>
      </c>
      <c r="B406" s="1369">
        <v>-10.5</v>
      </c>
      <c r="C406" s="346">
        <v>735101465</v>
      </c>
      <c r="D406" s="258">
        <v>-10.502800000000001</v>
      </c>
      <c r="E406" s="14">
        <f>B406-Index_Returns!B406</f>
        <v>0.14777999999999913</v>
      </c>
      <c r="G406" s="352">
        <v>-10.5</v>
      </c>
      <c r="I406" s="352"/>
      <c r="J406" s="352"/>
    </row>
    <row r="407" spans="1:10" x14ac:dyDescent="0.2">
      <c r="A407" s="345">
        <v>39903</v>
      </c>
      <c r="B407" s="1369">
        <v>8.68</v>
      </c>
      <c r="C407" s="346">
        <v>798880658</v>
      </c>
      <c r="D407" s="258">
        <v>8.6761999999999997</v>
      </c>
      <c r="E407" s="14">
        <f>B407-Index_Returns!B407</f>
        <v>-7.9510000000000858E-2</v>
      </c>
      <c r="G407" s="352">
        <v>8.68</v>
      </c>
      <c r="I407" s="352"/>
      <c r="J407" s="352"/>
    </row>
    <row r="408" spans="1:10" x14ac:dyDescent="0.2">
      <c r="A408" s="345">
        <v>39933</v>
      </c>
      <c r="B408" s="1369">
        <v>9.32</v>
      </c>
      <c r="C408" s="346">
        <v>889332195</v>
      </c>
      <c r="E408" s="14">
        <f>B408-Index_Returns!B408</f>
        <v>-0.25093999999999994</v>
      </c>
      <c r="G408" s="352">
        <v>9.32</v>
      </c>
      <c r="I408" s="352"/>
      <c r="J408" s="352"/>
    </row>
    <row r="409" spans="1:10" x14ac:dyDescent="0.2">
      <c r="A409" s="345">
        <v>39964</v>
      </c>
      <c r="B409" s="1369">
        <v>5.59</v>
      </c>
      <c r="C409" s="346">
        <v>939045641</v>
      </c>
      <c r="E409" s="14">
        <f>B409-Index_Returns!B409</f>
        <v>-3.3099999999999241E-3</v>
      </c>
      <c r="G409" s="352">
        <v>5.59</v>
      </c>
      <c r="I409" s="352"/>
      <c r="J409" s="352"/>
    </row>
    <row r="410" spans="1:10" x14ac:dyDescent="0.2">
      <c r="A410" s="345">
        <v>39994</v>
      </c>
      <c r="B410" s="1369">
        <v>0.22</v>
      </c>
      <c r="C410" s="346">
        <v>941143396</v>
      </c>
      <c r="E410" s="14">
        <f>B410-Index_Returns!B410</f>
        <v>2.1600000000000008E-2</v>
      </c>
      <c r="G410" s="352">
        <v>0.22</v>
      </c>
      <c r="I410" s="352"/>
      <c r="J410" s="352"/>
    </row>
    <row r="411" spans="1:10" x14ac:dyDescent="0.2">
      <c r="A411" s="345">
        <v>40025</v>
      </c>
      <c r="B411" s="1369">
        <v>7.6</v>
      </c>
      <c r="C411" s="346">
        <v>1012709837</v>
      </c>
      <c r="D411" s="258">
        <v>7.6039000000000003</v>
      </c>
      <c r="E411" s="14">
        <f>B411-Index_Returns!B411</f>
        <v>3.6309999999999398E-2</v>
      </c>
      <c r="G411" s="352">
        <v>7.6</v>
      </c>
      <c r="I411" s="352"/>
      <c r="J411" s="352"/>
    </row>
    <row r="412" spans="1:10" x14ac:dyDescent="0.2">
      <c r="A412" s="345">
        <v>40056</v>
      </c>
      <c r="B412" s="1369">
        <v>3.65</v>
      </c>
      <c r="C412" s="346">
        <v>1049699224</v>
      </c>
      <c r="D412" s="258">
        <v>3.6524999999999999</v>
      </c>
      <c r="E412" s="14">
        <f>B412-Index_Returns!B412</f>
        <v>3.9590000000000014E-2</v>
      </c>
      <c r="G412" s="352">
        <v>3.65</v>
      </c>
      <c r="I412" s="352"/>
      <c r="J412" s="352"/>
    </row>
    <row r="413" spans="1:10" x14ac:dyDescent="0.2">
      <c r="A413" s="345">
        <v>40086</v>
      </c>
      <c r="B413" s="1369">
        <v>3.72</v>
      </c>
      <c r="C413" s="346">
        <v>1088710902</v>
      </c>
      <c r="D413" s="258">
        <v>3.7164999999999999</v>
      </c>
      <c r="E413" s="14">
        <f>B413-Index_Returns!B413</f>
        <v>-1.1529999999999596E-2</v>
      </c>
      <c r="G413" s="352">
        <v>3.72</v>
      </c>
      <c r="I413" s="352"/>
      <c r="J413" s="352"/>
    </row>
    <row r="414" spans="1:10" x14ac:dyDescent="0.2">
      <c r="A414" s="345">
        <v>40117</v>
      </c>
      <c r="B414" s="1369">
        <v>-1.8593599999999999</v>
      </c>
      <c r="C414" s="346">
        <v>1068467821.47</v>
      </c>
      <c r="D414" s="258">
        <v>-1.86</v>
      </c>
      <c r="E414" s="14">
        <f>B414-Index_Returns!B414</f>
        <v>-1.6799999999999038E-3</v>
      </c>
      <c r="G414" s="352">
        <v>-1.8593599999999999</v>
      </c>
      <c r="I414" s="352"/>
      <c r="J414" s="352"/>
    </row>
    <row r="415" spans="1:10" x14ac:dyDescent="0.2">
      <c r="A415" s="345">
        <v>40147</v>
      </c>
      <c r="B415" s="1369">
        <v>5.98116</v>
      </c>
      <c r="C415" s="1333">
        <v>1132374574.72</v>
      </c>
      <c r="D415" s="1369">
        <v>6.0129999999999999</v>
      </c>
      <c r="E415" s="14">
        <f>B415-Index_Returns!B415</f>
        <v>-1.7190000000000261E-2</v>
      </c>
      <c r="G415" s="352">
        <v>5.98116</v>
      </c>
      <c r="I415" s="352"/>
      <c r="J415" s="352"/>
    </row>
    <row r="416" spans="1:10" x14ac:dyDescent="0.2">
      <c r="A416" s="345">
        <v>40178</v>
      </c>
      <c r="B416" s="1369">
        <v>1.9553</v>
      </c>
      <c r="C416" s="346">
        <v>1154515943.0799999</v>
      </c>
      <c r="D416" s="258">
        <v>1.9553</v>
      </c>
      <c r="E416" s="14">
        <f>B416-Index_Returns!B416</f>
        <v>2.3789999999999978E-2</v>
      </c>
      <c r="G416" s="352">
        <v>1.9553</v>
      </c>
      <c r="I416" s="352"/>
      <c r="J416" s="352"/>
    </row>
    <row r="417" spans="1:10" x14ac:dyDescent="0.2">
      <c r="A417" s="345">
        <v>40209</v>
      </c>
      <c r="B417" s="253">
        <v>-3.5866799999999999</v>
      </c>
      <c r="C417" s="346">
        <v>1113107199.25</v>
      </c>
      <c r="D417" s="258">
        <v>-3.5866799999999999</v>
      </c>
      <c r="E417" s="14">
        <f>B417-Index_Returns!B417</f>
        <v>1.0660000000000114E-2</v>
      </c>
      <c r="G417" s="352">
        <v>-3.5866799999999999</v>
      </c>
      <c r="I417" s="352"/>
      <c r="J417" s="352"/>
    </row>
    <row r="418" spans="1:10" x14ac:dyDescent="0.2">
      <c r="A418" s="345">
        <v>40237</v>
      </c>
      <c r="B418" s="253">
        <v>3.11436</v>
      </c>
      <c r="C418" s="346">
        <v>1147773366.0599999</v>
      </c>
      <c r="D418" s="258">
        <v>3.1143999999999998</v>
      </c>
      <c r="E418" s="14">
        <f>B418-Index_Returns!B418</f>
        <v>1.664000000000021E-2</v>
      </c>
      <c r="G418" s="352">
        <v>3.11436</v>
      </c>
      <c r="I418" s="352"/>
      <c r="J418" s="352"/>
    </row>
    <row r="419" spans="1:10" x14ac:dyDescent="0.2">
      <c r="A419" s="345">
        <v>40268</v>
      </c>
      <c r="B419" s="253">
        <v>6.02745</v>
      </c>
      <c r="C419" s="1334">
        <v>1216954797.6500001</v>
      </c>
      <c r="D419" s="1311">
        <v>6.0274000000000001</v>
      </c>
      <c r="E419" s="14">
        <f>B419-Index_Returns!B419</f>
        <v>-7.0100000000001828E-3</v>
      </c>
      <c r="G419" s="352">
        <v>6.02745</v>
      </c>
      <c r="I419" s="352"/>
      <c r="J419" s="352"/>
    </row>
    <row r="420" spans="1:10" x14ac:dyDescent="0.2">
      <c r="A420" s="345">
        <v>40298</v>
      </c>
      <c r="B420" s="253">
        <v>1.57399</v>
      </c>
      <c r="C420" s="346">
        <v>1236109591.9100001</v>
      </c>
      <c r="D420" s="258">
        <v>1.5740000000000001</v>
      </c>
      <c r="E420" s="14">
        <f>B420-Index_Returns!B420</f>
        <v>-4.769999999999941E-3</v>
      </c>
      <c r="G420" s="352">
        <v>1.57399</v>
      </c>
      <c r="I420" s="352"/>
      <c r="J420" s="352"/>
    </row>
    <row r="421" spans="1:10" x14ac:dyDescent="0.2">
      <c r="A421" s="345">
        <v>40329</v>
      </c>
      <c r="B421" s="253">
        <v>-7.9816500000000001</v>
      </c>
      <c r="C421" s="346">
        <v>1137447697.9100001</v>
      </c>
      <c r="D421" s="258">
        <v>-7.9816000000000003</v>
      </c>
      <c r="E421" s="14">
        <f>B421-Index_Returns!B421</f>
        <v>3.3599999999998076E-3</v>
      </c>
      <c r="G421" s="352">
        <v>-7.9816500000000001</v>
      </c>
      <c r="I421" s="352"/>
      <c r="J421" s="352"/>
    </row>
    <row r="422" spans="1:10" x14ac:dyDescent="0.2">
      <c r="A422" s="345">
        <v>40359</v>
      </c>
      <c r="B422" s="253">
        <v>-5.2257199999999999</v>
      </c>
      <c r="C422" s="346">
        <v>1076118013.9100001</v>
      </c>
      <c r="D422" s="258">
        <v>-5.226</v>
      </c>
      <c r="E422" s="14">
        <f>B422-Index_Returns!B422</f>
        <v>9.1999999999998749E-3</v>
      </c>
      <c r="G422" s="352">
        <v>-5.2257199999999999</v>
      </c>
      <c r="I422" s="352"/>
      <c r="J422" s="352"/>
    </row>
    <row r="423" spans="1:10" x14ac:dyDescent="0.2">
      <c r="A423" s="345">
        <v>40390</v>
      </c>
      <c r="B423" s="253">
        <v>6.9990899999999998</v>
      </c>
      <c r="C423" s="346">
        <v>1151436474.04</v>
      </c>
      <c r="D423" s="258">
        <v>6.9991000000000003</v>
      </c>
      <c r="E423" s="14">
        <f>B423-Index_Returns!B423</f>
        <v>-7.2600000000004883E-3</v>
      </c>
      <c r="G423" s="352">
        <v>6.9990899999999998</v>
      </c>
      <c r="I423" s="352"/>
      <c r="J423" s="352"/>
    </row>
    <row r="424" spans="1:10" x14ac:dyDescent="0.2">
      <c r="A424" s="345">
        <v>40421</v>
      </c>
      <c r="B424" s="253">
        <v>-4.51328</v>
      </c>
      <c r="C424" s="346">
        <v>1099468891.6900001</v>
      </c>
      <c r="D424" s="258">
        <v>-4.5133000000000001</v>
      </c>
      <c r="E424" s="14">
        <f>B424-Index_Returns!B424</f>
        <v>1.1499999999999844E-3</v>
      </c>
      <c r="G424" s="352">
        <v>-4.51328</v>
      </c>
      <c r="I424" s="352"/>
      <c r="J424" s="352"/>
    </row>
    <row r="425" spans="1:10" x14ac:dyDescent="0.2">
      <c r="A425" s="345">
        <v>40451</v>
      </c>
      <c r="B425" s="253">
        <v>8.9331300000000002</v>
      </c>
      <c r="C425" s="346">
        <v>1192103923.0599999</v>
      </c>
      <c r="D425" s="258">
        <v>8.9330999999999996</v>
      </c>
      <c r="E425" s="14">
        <f>B425-Index_Returns!B425</f>
        <v>8.6899999999996425E-3</v>
      </c>
      <c r="G425" s="352">
        <v>8.9331300000000002</v>
      </c>
      <c r="I425" s="352"/>
      <c r="J425" s="352"/>
    </row>
    <row r="426" spans="1:10" x14ac:dyDescent="0.2">
      <c r="A426" s="345">
        <v>40482</v>
      </c>
      <c r="B426" s="253">
        <v>3.7846700000000002</v>
      </c>
      <c r="C426" s="346">
        <v>1237221079.99</v>
      </c>
      <c r="D426" s="258">
        <v>3.7847</v>
      </c>
      <c r="E426" s="14">
        <f>B426-Index_Returns!B426</f>
        <v>-2.0249999999999879E-2</v>
      </c>
      <c r="G426" s="352">
        <v>3.7846700000000002</v>
      </c>
      <c r="I426" s="352"/>
      <c r="J426" s="352"/>
    </row>
    <row r="427" spans="1:10" x14ac:dyDescent="0.2">
      <c r="A427" s="345">
        <v>40512</v>
      </c>
      <c r="B427" s="253">
        <v>1.8159999999999999E-2</v>
      </c>
      <c r="C427" s="346">
        <v>1236975705.3099999</v>
      </c>
      <c r="D427" s="258">
        <v>1.8200000000000001E-2</v>
      </c>
      <c r="E427" s="14">
        <f>B427-Index_Returns!B427</f>
        <v>5.3399999999999993E-3</v>
      </c>
      <c r="G427" s="352">
        <v>1.8159999999999999E-2</v>
      </c>
      <c r="I427" s="352"/>
      <c r="J427" s="352"/>
    </row>
    <row r="428" spans="1:10" x14ac:dyDescent="0.2">
      <c r="A428" s="345">
        <v>40543</v>
      </c>
      <c r="B428" s="253">
        <v>6.6869800000000001</v>
      </c>
      <c r="C428" s="346">
        <v>1319691979.74</v>
      </c>
      <c r="D428" s="258">
        <v>6.6870000000000003</v>
      </c>
      <c r="E428" s="14">
        <f>B428-Index_Returns!B428</f>
        <v>3.7900000000004042E-3</v>
      </c>
      <c r="G428" s="352">
        <v>6.6869800000000001</v>
      </c>
      <c r="I428" s="352"/>
      <c r="J428" s="352"/>
    </row>
    <row r="429" spans="1:10" x14ac:dyDescent="0.2">
      <c r="A429" s="345">
        <v>40574</v>
      </c>
      <c r="B429" s="253">
        <v>2.3746700000000001</v>
      </c>
      <c r="C429" s="346">
        <v>1345487523.53</v>
      </c>
      <c r="D429" s="258">
        <v>2.3746999999999998</v>
      </c>
      <c r="E429" s="14">
        <f>B429-Index_Returns!B429</f>
        <v>4.510000000000236E-3</v>
      </c>
      <c r="G429" s="352">
        <v>2.3746700000000001</v>
      </c>
      <c r="I429" s="352"/>
      <c r="J429" s="352"/>
    </row>
    <row r="430" spans="1:10" x14ac:dyDescent="0.2">
      <c r="A430" s="345">
        <v>40602</v>
      </c>
      <c r="B430" s="253">
        <v>3.4230700000000001</v>
      </c>
      <c r="C430" s="346">
        <v>1387910027.6199999</v>
      </c>
      <c r="D430" s="258">
        <v>3.41893</v>
      </c>
      <c r="E430" s="14">
        <f>B430-Index_Returns!B430</f>
        <v>-2.8199999999998226E-3</v>
      </c>
      <c r="G430" s="352">
        <v>3.4230700000000001</v>
      </c>
      <c r="I430" s="352"/>
      <c r="J430" s="352"/>
    </row>
    <row r="431" spans="1:10" x14ac:dyDescent="0.2">
      <c r="A431" s="345">
        <v>40633</v>
      </c>
      <c r="B431" s="253">
        <v>4.6699999999999998E-2</v>
      </c>
      <c r="C431" s="346">
        <v>1392210685.8</v>
      </c>
      <c r="D431" s="258">
        <v>3.7920000000000002E-2</v>
      </c>
      <c r="E431" s="14">
        <f>B431-Index_Returns!B431</f>
        <v>6.9400000000000017E-3</v>
      </c>
      <c r="G431" s="352">
        <v>4.6699999999999998E-2</v>
      </c>
      <c r="I431" s="352"/>
      <c r="J431" s="352"/>
    </row>
    <row r="432" spans="1:10" x14ac:dyDescent="0.2">
      <c r="A432" s="345">
        <v>40663</v>
      </c>
      <c r="B432" s="253">
        <v>2.9378199999999999</v>
      </c>
      <c r="C432" s="346">
        <v>1433111269.72</v>
      </c>
      <c r="D432" s="258">
        <v>2.9378199999999999</v>
      </c>
      <c r="E432" s="14">
        <f>B432-Index_Returns!B432</f>
        <v>-2.3719999999999963E-2</v>
      </c>
      <c r="G432" s="352">
        <v>2.9378199999999999</v>
      </c>
      <c r="I432" s="352"/>
      <c r="J432" s="352"/>
    </row>
    <row r="433" spans="1:10" x14ac:dyDescent="0.2">
      <c r="A433" s="345">
        <v>40694</v>
      </c>
      <c r="B433" s="253">
        <v>-1.1314299999999999</v>
      </c>
      <c r="C433" s="346">
        <v>1416896624.27</v>
      </c>
      <c r="D433" s="258">
        <v>-1.1314299999999999</v>
      </c>
      <c r="E433" s="14">
        <f>B433-Index_Returns!B433</f>
        <v>5.2000000000007596E-4</v>
      </c>
      <c r="G433" s="352">
        <v>-1.1314299999999999</v>
      </c>
      <c r="I433" s="352"/>
      <c r="J433" s="352"/>
    </row>
    <row r="434" spans="1:10" x14ac:dyDescent="0.2">
      <c r="A434" s="345">
        <v>40724</v>
      </c>
      <c r="B434" s="253">
        <v>-1.67797</v>
      </c>
      <c r="C434" s="346">
        <v>1393121576.48</v>
      </c>
      <c r="D434" s="258">
        <v>-1.67797</v>
      </c>
      <c r="E434" s="14">
        <f>B434-Index_Returns!B434</f>
        <v>-1.106000000000007E-2</v>
      </c>
      <c r="G434" s="352">
        <v>-1.67797</v>
      </c>
      <c r="I434" s="352"/>
      <c r="J434" s="352"/>
    </row>
    <row r="435" spans="1:10" x14ac:dyDescent="0.2">
      <c r="A435" s="345">
        <v>40755</v>
      </c>
      <c r="B435" s="253">
        <f t="shared" ref="B435:B452" si="0">D435</f>
        <v>-2.0253399999999999</v>
      </c>
      <c r="C435" s="346">
        <v>1359016694.28</v>
      </c>
      <c r="D435" s="258">
        <v>-2.0253399999999999</v>
      </c>
      <c r="E435" s="14">
        <f>B435-Index_Returns!B435</f>
        <v>8.1500000000001016E-3</v>
      </c>
    </row>
    <row r="436" spans="1:10" x14ac:dyDescent="0.2">
      <c r="A436" s="345">
        <v>40786</v>
      </c>
      <c r="B436" s="253">
        <f t="shared" si="0"/>
        <v>-5.4308699999999996</v>
      </c>
      <c r="C436" s="346">
        <v>1284158510.5599999</v>
      </c>
      <c r="D436" s="258">
        <v>-5.4308699999999996</v>
      </c>
      <c r="E436" s="14">
        <f>B436-Index_Returns!B436</f>
        <v>1.3100000000001444E-3</v>
      </c>
    </row>
    <row r="437" spans="1:10" x14ac:dyDescent="0.2">
      <c r="A437" s="345">
        <v>40816</v>
      </c>
      <c r="B437" s="253">
        <f t="shared" si="0"/>
        <v>-7.0247000000000002</v>
      </c>
      <c r="C437" s="346">
        <v>1193950290.55</v>
      </c>
      <c r="D437" s="258">
        <v>-7.0247000000000002</v>
      </c>
      <c r="E437" s="14">
        <f>B437-Index_Returns!B437</f>
        <v>5.1600000000000534E-3</v>
      </c>
    </row>
    <row r="438" spans="1:10" x14ac:dyDescent="0.2">
      <c r="A438" s="345">
        <v>40847</v>
      </c>
      <c r="B438" s="253">
        <f t="shared" si="0"/>
        <v>10.92695</v>
      </c>
      <c r="C438" s="346">
        <v>1323854444.0999999</v>
      </c>
      <c r="D438" s="258">
        <v>10.92695</v>
      </c>
      <c r="E438" s="14">
        <f>B438-Index_Returns!B438</f>
        <v>-2.3599999999994736E-3</v>
      </c>
    </row>
    <row r="439" spans="1:10" x14ac:dyDescent="0.2">
      <c r="A439" s="345">
        <v>40877</v>
      </c>
      <c r="B439" s="253">
        <f t="shared" si="0"/>
        <v>-0.21479000000000001</v>
      </c>
      <c r="C439" s="346">
        <v>1321010909.8499999</v>
      </c>
      <c r="D439" s="258">
        <v>-0.21479000000000001</v>
      </c>
      <c r="E439" s="14">
        <f>B439-Index_Returns!B439</f>
        <v>6.2399999999999956E-3</v>
      </c>
    </row>
    <row r="440" spans="1:10" x14ac:dyDescent="0.2">
      <c r="A440" s="345">
        <v>40908</v>
      </c>
      <c r="B440" s="253">
        <f t="shared" si="0"/>
        <v>1.0316000000000001</v>
      </c>
      <c r="C440" s="346">
        <v>1330597229.3199999</v>
      </c>
      <c r="D440" s="258">
        <v>1.0316000000000001</v>
      </c>
      <c r="E440" s="14">
        <f>B440-Index_Returns!B440</f>
        <v>8.6600000000001121E-3</v>
      </c>
    </row>
    <row r="441" spans="1:10" x14ac:dyDescent="0.2">
      <c r="A441" s="345">
        <v>40939</v>
      </c>
      <c r="B441" s="253">
        <f t="shared" si="0"/>
        <v>4.4823300000000001</v>
      </c>
      <c r="C441" s="346">
        <v>1390238916.0899999</v>
      </c>
      <c r="D441" s="258">
        <v>4.4823300000000001</v>
      </c>
      <c r="E441" s="14">
        <f>B441-Index_Returns!B441</f>
        <v>8.2000000000004292E-4</v>
      </c>
    </row>
    <row r="442" spans="1:10" x14ac:dyDescent="0.2">
      <c r="A442" s="345">
        <v>40968</v>
      </c>
      <c r="B442" s="253">
        <f t="shared" si="0"/>
        <v>4.3292700000000002</v>
      </c>
      <c r="C442" s="346">
        <v>1450426155.3800001</v>
      </c>
      <c r="D442" s="258">
        <v>4.3292700000000002</v>
      </c>
      <c r="E442" s="14">
        <f>B442-Index_Returns!B442</f>
        <v>5.0499999999997769E-3</v>
      </c>
    </row>
    <row r="443" spans="1:10" x14ac:dyDescent="0.2">
      <c r="A443" s="345">
        <v>40999</v>
      </c>
      <c r="B443" s="253">
        <f t="shared" si="0"/>
        <v>3.29067</v>
      </c>
      <c r="C443" s="346">
        <v>1493602550.3699999</v>
      </c>
      <c r="D443" s="258">
        <v>3.29067</v>
      </c>
      <c r="E443" s="14">
        <f>B443-Index_Returns!B443</f>
        <v>-2.4999999999986144E-4</v>
      </c>
    </row>
    <row r="444" spans="1:10" x14ac:dyDescent="0.2">
      <c r="A444" s="345">
        <v>41029</v>
      </c>
      <c r="B444" s="253">
        <f t="shared" si="0"/>
        <v>-0.63422999999999996</v>
      </c>
      <c r="C444" s="346">
        <v>1484129750.0999999</v>
      </c>
      <c r="D444" s="258">
        <v>-0.63422999999999996</v>
      </c>
      <c r="E444" s="14">
        <f>B444-Index_Returns!B444</f>
        <v>-6.5399999999999903E-3</v>
      </c>
    </row>
    <row r="445" spans="1:10" x14ac:dyDescent="0.2">
      <c r="A445" s="345">
        <v>41060</v>
      </c>
      <c r="B445" s="253">
        <f t="shared" si="0"/>
        <v>-6.0205700000000002</v>
      </c>
      <c r="C445" s="346">
        <v>1394776627.5</v>
      </c>
      <c r="D445" s="258">
        <v>-6.0205700000000002</v>
      </c>
      <c r="E445" s="14">
        <f>B445-Index_Returns!B445</f>
        <v>-1.0510000000000019E-2</v>
      </c>
    </row>
    <row r="446" spans="1:10" x14ac:dyDescent="0.2">
      <c r="A446" s="345">
        <v>41090</v>
      </c>
      <c r="B446" s="253">
        <f t="shared" si="0"/>
        <v>4.1108099999999999</v>
      </c>
      <c r="C446" s="346">
        <v>1452113204.73</v>
      </c>
      <c r="D446" s="258">
        <v>4.1108099999999999</v>
      </c>
      <c r="E446" s="14">
        <f>B446-Index_Returns!B446</f>
        <v>-9.400000000000297E-3</v>
      </c>
    </row>
    <row r="447" spans="1:10" x14ac:dyDescent="0.2">
      <c r="A447" s="345">
        <v>41121</v>
      </c>
      <c r="B447" s="253">
        <f t="shared" si="0"/>
        <v>-1.43821</v>
      </c>
      <c r="C447" s="346">
        <v>1956708.3</v>
      </c>
      <c r="D447" s="258">
        <v>-1.43821</v>
      </c>
      <c r="E447" s="14">
        <f>B447-Index_Returns!B447</f>
        <v>-2.8271100000000002</v>
      </c>
    </row>
    <row r="448" spans="1:10" x14ac:dyDescent="0.2">
      <c r="A448" s="345">
        <v>41152</v>
      </c>
      <c r="B448" s="253">
        <f t="shared" si="0"/>
        <v>0</v>
      </c>
      <c r="E448" s="14">
        <f>B448-Index_Returns!B448</f>
        <v>-2.2522600000000002</v>
      </c>
    </row>
    <row r="449" spans="1:5" x14ac:dyDescent="0.2">
      <c r="A449" s="345">
        <v>41182</v>
      </c>
      <c r="B449" s="253">
        <f t="shared" si="0"/>
        <v>0</v>
      </c>
      <c r="E449" s="14">
        <f>B449-Index_Returns!B449</f>
        <v>-2.58419</v>
      </c>
    </row>
    <row r="450" spans="1:5" x14ac:dyDescent="0.2">
      <c r="A450" s="345">
        <v>41213</v>
      </c>
      <c r="B450" s="253">
        <f t="shared" si="0"/>
        <v>0</v>
      </c>
      <c r="E450" s="14">
        <f>B450-Index_Returns!B450</f>
        <v>1.8464400000000001</v>
      </c>
    </row>
    <row r="451" spans="1:5" x14ac:dyDescent="0.2">
      <c r="A451" s="345">
        <v>41243</v>
      </c>
      <c r="B451" s="253">
        <f t="shared" si="0"/>
        <v>0</v>
      </c>
      <c r="E451" s="14">
        <f>B451-Index_Returns!B451</f>
        <v>-0.58011000000000001</v>
      </c>
    </row>
    <row r="452" spans="1:5" x14ac:dyDescent="0.2">
      <c r="A452" s="345">
        <v>41274</v>
      </c>
      <c r="B452" s="253">
        <f t="shared" si="0"/>
        <v>0</v>
      </c>
      <c r="E452" s="14">
        <f>B452-Index_Returns!B452</f>
        <v>-0.91147</v>
      </c>
    </row>
  </sheetData>
  <phoneticPr fontId="3" type="noConversion"/>
  <printOptions headings="1" gridLines="1"/>
  <pageMargins left="0.19685039370078741" right="0.19685039370078741" top="0.19685039370078741" bottom="0.19685039370078741" header="0.51181102362204722" footer="0.51181102362204722"/>
  <pageSetup paperSize="5" scale="17" orientation="portrait" r:id="rId1"/>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0000"/>
    <pageSetUpPr fitToPage="1"/>
  </sheetPr>
  <dimension ref="A1:J469"/>
  <sheetViews>
    <sheetView workbookViewId="0">
      <pane xSplit="1" ySplit="2" topLeftCell="B423" activePane="bottomRight" state="frozen"/>
      <selection activeCell="E452" sqref="E452:E464"/>
      <selection pane="topRight" activeCell="E452" sqref="E452:E464"/>
      <selection pane="bottomLeft" activeCell="E452" sqref="E452:E464"/>
      <selection pane="bottomRight" activeCell="C455" sqref="C455:D455"/>
    </sheetView>
  </sheetViews>
  <sheetFormatPr defaultRowHeight="12.75" x14ac:dyDescent="0.2"/>
  <cols>
    <col min="1" max="1" width="18.7109375" style="21" customWidth="1"/>
    <col min="2" max="2" width="18.7109375" style="257" customWidth="1"/>
    <col min="3" max="3" width="18.7109375" style="348" customWidth="1"/>
    <col min="4" max="4" width="18.7109375" style="258" customWidth="1"/>
    <col min="5" max="5" width="9.140625" style="14"/>
    <col min="6" max="6" width="12.42578125" bestFit="1" customWidth="1"/>
    <col min="7" max="7" width="14" style="352" bestFit="1" customWidth="1"/>
    <col min="8" max="8" width="9.140625" style="352"/>
  </cols>
  <sheetData>
    <row r="1" spans="1:4" x14ac:dyDescent="0.2">
      <c r="A1" s="265" t="s">
        <v>38</v>
      </c>
      <c r="B1" s="321" t="s">
        <v>467</v>
      </c>
      <c r="C1" s="1389" t="s">
        <v>30</v>
      </c>
      <c r="D1" s="1370">
        <v>0.5</v>
      </c>
    </row>
    <row r="2" spans="1:4" x14ac:dyDescent="0.2">
      <c r="A2" s="3" t="s">
        <v>27</v>
      </c>
      <c r="B2" s="71" t="s">
        <v>91</v>
      </c>
      <c r="C2" s="347" t="s">
        <v>92</v>
      </c>
      <c r="D2" s="71"/>
    </row>
    <row r="3" spans="1:4" x14ac:dyDescent="0.2">
      <c r="A3" s="345">
        <v>27606</v>
      </c>
      <c r="B3" s="71"/>
      <c r="C3" s="347"/>
      <c r="D3" s="71"/>
    </row>
    <row r="4" spans="1:4" x14ac:dyDescent="0.2">
      <c r="A4" s="345">
        <v>27637</v>
      </c>
      <c r="B4" s="71"/>
      <c r="C4" s="347"/>
      <c r="D4" s="71"/>
    </row>
    <row r="5" spans="1:4" x14ac:dyDescent="0.2">
      <c r="A5" s="345">
        <v>27667</v>
      </c>
      <c r="B5" s="71"/>
      <c r="C5" s="347"/>
      <c r="D5" s="71"/>
    </row>
    <row r="6" spans="1:4" x14ac:dyDescent="0.2">
      <c r="A6" s="345">
        <v>27698</v>
      </c>
      <c r="B6" s="71"/>
      <c r="C6" s="347"/>
      <c r="D6" s="71"/>
    </row>
    <row r="7" spans="1:4" x14ac:dyDescent="0.2">
      <c r="A7" s="345">
        <v>27728</v>
      </c>
      <c r="B7" s="71"/>
      <c r="C7" s="347"/>
      <c r="D7" s="71"/>
    </row>
    <row r="8" spans="1:4" x14ac:dyDescent="0.2">
      <c r="A8" s="345">
        <v>27759</v>
      </c>
      <c r="B8" s="71"/>
      <c r="C8" s="347"/>
      <c r="D8" s="71"/>
    </row>
    <row r="9" spans="1:4" x14ac:dyDescent="0.2">
      <c r="A9" s="345">
        <v>27790</v>
      </c>
      <c r="B9" s="71"/>
      <c r="C9" s="347"/>
      <c r="D9" s="71"/>
    </row>
    <row r="10" spans="1:4" x14ac:dyDescent="0.2">
      <c r="A10" s="345">
        <v>27819</v>
      </c>
      <c r="B10" s="71"/>
      <c r="C10" s="347"/>
      <c r="D10" s="71"/>
    </row>
    <row r="11" spans="1:4" x14ac:dyDescent="0.2">
      <c r="A11" s="345">
        <v>27850</v>
      </c>
      <c r="B11" s="71"/>
      <c r="C11" s="347"/>
      <c r="D11" s="71"/>
    </row>
    <row r="12" spans="1:4" x14ac:dyDescent="0.2">
      <c r="A12" s="345">
        <v>27880</v>
      </c>
      <c r="B12" s="71"/>
      <c r="C12" s="347"/>
      <c r="D12" s="71"/>
    </row>
    <row r="13" spans="1:4" x14ac:dyDescent="0.2">
      <c r="A13" s="345">
        <v>27911</v>
      </c>
      <c r="B13" s="71"/>
      <c r="C13" s="347"/>
      <c r="D13" s="71"/>
    </row>
    <row r="14" spans="1:4" x14ac:dyDescent="0.2">
      <c r="A14" s="345">
        <v>27941</v>
      </c>
      <c r="B14" s="71"/>
      <c r="C14" s="347"/>
      <c r="D14" s="71"/>
    </row>
    <row r="15" spans="1:4" x14ac:dyDescent="0.2">
      <c r="A15" s="345">
        <v>27972</v>
      </c>
      <c r="B15" s="71"/>
      <c r="C15" s="347"/>
      <c r="D15" s="71"/>
    </row>
    <row r="16" spans="1:4" x14ac:dyDescent="0.2">
      <c r="A16" s="345">
        <v>28003</v>
      </c>
      <c r="B16" s="71"/>
      <c r="C16" s="347"/>
      <c r="D16" s="71"/>
    </row>
    <row r="17" spans="1:4" x14ac:dyDescent="0.2">
      <c r="A17" s="345">
        <v>28033</v>
      </c>
      <c r="B17" s="71"/>
      <c r="C17" s="347"/>
      <c r="D17" s="71"/>
    </row>
    <row r="18" spans="1:4" x14ac:dyDescent="0.2">
      <c r="A18" s="345">
        <v>28064</v>
      </c>
      <c r="B18" s="71"/>
      <c r="C18" s="347"/>
      <c r="D18" s="71"/>
    </row>
    <row r="19" spans="1:4" x14ac:dyDescent="0.2">
      <c r="A19" s="345">
        <v>28094</v>
      </c>
      <c r="B19" s="71"/>
      <c r="C19" s="347"/>
      <c r="D19" s="71"/>
    </row>
    <row r="20" spans="1:4" x14ac:dyDescent="0.2">
      <c r="A20" s="345">
        <v>28125</v>
      </c>
      <c r="B20" s="71"/>
      <c r="C20" s="347"/>
      <c r="D20" s="71"/>
    </row>
    <row r="21" spans="1:4" x14ac:dyDescent="0.2">
      <c r="A21" s="345">
        <v>28156</v>
      </c>
      <c r="B21" s="71"/>
      <c r="C21" s="347"/>
      <c r="D21" s="71"/>
    </row>
    <row r="22" spans="1:4" x14ac:dyDescent="0.2">
      <c r="A22" s="345">
        <v>28184</v>
      </c>
      <c r="B22" s="71"/>
      <c r="C22" s="347"/>
      <c r="D22" s="71"/>
    </row>
    <row r="23" spans="1:4" x14ac:dyDescent="0.2">
      <c r="A23" s="345">
        <v>28215</v>
      </c>
      <c r="B23" s="71"/>
      <c r="C23" s="347"/>
      <c r="D23" s="71"/>
    </row>
    <row r="24" spans="1:4" x14ac:dyDescent="0.2">
      <c r="A24" s="345">
        <v>28245</v>
      </c>
      <c r="B24" s="71"/>
      <c r="C24" s="347"/>
      <c r="D24" s="71"/>
    </row>
    <row r="25" spans="1:4" x14ac:dyDescent="0.2">
      <c r="A25" s="345">
        <v>28276</v>
      </c>
      <c r="B25" s="71"/>
      <c r="C25" s="347"/>
      <c r="D25" s="71"/>
    </row>
    <row r="26" spans="1:4" x14ac:dyDescent="0.2">
      <c r="A26" s="345">
        <v>28306</v>
      </c>
      <c r="B26" s="71"/>
      <c r="C26" s="347"/>
      <c r="D26" s="71"/>
    </row>
    <row r="27" spans="1:4" x14ac:dyDescent="0.2">
      <c r="A27" s="345">
        <v>28337</v>
      </c>
      <c r="B27" s="71"/>
      <c r="C27" s="347"/>
      <c r="D27" s="71"/>
    </row>
    <row r="28" spans="1:4" x14ac:dyDescent="0.2">
      <c r="A28" s="345">
        <v>28368</v>
      </c>
      <c r="B28" s="71"/>
      <c r="C28" s="347"/>
      <c r="D28" s="71"/>
    </row>
    <row r="29" spans="1:4" x14ac:dyDescent="0.2">
      <c r="A29" s="345">
        <v>28398</v>
      </c>
      <c r="B29" s="71"/>
      <c r="C29" s="347"/>
      <c r="D29" s="71"/>
    </row>
    <row r="30" spans="1:4" x14ac:dyDescent="0.2">
      <c r="A30" s="345">
        <v>28429</v>
      </c>
      <c r="B30" s="71"/>
      <c r="C30" s="347"/>
      <c r="D30" s="71"/>
    </row>
    <row r="31" spans="1:4" x14ac:dyDescent="0.2">
      <c r="A31" s="345">
        <v>28459</v>
      </c>
      <c r="B31" s="71"/>
      <c r="C31" s="347"/>
      <c r="D31" s="71"/>
    </row>
    <row r="32" spans="1:4" x14ac:dyDescent="0.2">
      <c r="A32" s="345">
        <v>28490</v>
      </c>
      <c r="B32" s="71"/>
      <c r="C32" s="347"/>
      <c r="D32" s="71"/>
    </row>
    <row r="33" spans="1:4" x14ac:dyDescent="0.2">
      <c r="A33" s="345">
        <v>28521</v>
      </c>
      <c r="B33" s="71"/>
      <c r="C33" s="347"/>
      <c r="D33" s="71"/>
    </row>
    <row r="34" spans="1:4" x14ac:dyDescent="0.2">
      <c r="A34" s="345">
        <v>28549</v>
      </c>
      <c r="B34" s="71"/>
      <c r="C34" s="347"/>
      <c r="D34" s="71"/>
    </row>
    <row r="35" spans="1:4" x14ac:dyDescent="0.2">
      <c r="A35" s="345">
        <v>28580</v>
      </c>
      <c r="B35" s="71"/>
      <c r="C35" s="347"/>
      <c r="D35" s="71"/>
    </row>
    <row r="36" spans="1:4" x14ac:dyDescent="0.2">
      <c r="A36" s="345">
        <v>28610</v>
      </c>
      <c r="B36" s="71"/>
      <c r="C36" s="347"/>
      <c r="D36" s="71"/>
    </row>
    <row r="37" spans="1:4" x14ac:dyDescent="0.2">
      <c r="A37" s="345">
        <v>28641</v>
      </c>
      <c r="B37" s="71"/>
      <c r="C37" s="347"/>
      <c r="D37" s="71"/>
    </row>
    <row r="38" spans="1:4" x14ac:dyDescent="0.2">
      <c r="A38" s="345">
        <v>28671</v>
      </c>
      <c r="B38" s="71"/>
      <c r="C38" s="347"/>
      <c r="D38" s="71"/>
    </row>
    <row r="39" spans="1:4" x14ac:dyDescent="0.2">
      <c r="A39" s="345">
        <v>28702</v>
      </c>
      <c r="B39" s="71"/>
      <c r="C39" s="347"/>
      <c r="D39" s="71"/>
    </row>
    <row r="40" spans="1:4" x14ac:dyDescent="0.2">
      <c r="A40" s="345">
        <v>28733</v>
      </c>
      <c r="B40" s="71"/>
      <c r="C40" s="347"/>
      <c r="D40" s="71"/>
    </row>
    <row r="41" spans="1:4" x14ac:dyDescent="0.2">
      <c r="A41" s="345">
        <v>28763</v>
      </c>
      <c r="B41" s="71"/>
      <c r="C41" s="347"/>
      <c r="D41" s="71"/>
    </row>
    <row r="42" spans="1:4" x14ac:dyDescent="0.2">
      <c r="A42" s="345">
        <v>28794</v>
      </c>
      <c r="B42" s="71"/>
      <c r="C42" s="347"/>
      <c r="D42" s="71"/>
    </row>
    <row r="43" spans="1:4" x14ac:dyDescent="0.2">
      <c r="A43" s="345">
        <v>28824</v>
      </c>
      <c r="B43" s="71"/>
      <c r="C43" s="347"/>
      <c r="D43" s="71"/>
    </row>
    <row r="44" spans="1:4" x14ac:dyDescent="0.2">
      <c r="A44" s="345">
        <v>28855</v>
      </c>
      <c r="B44" s="71"/>
      <c r="C44" s="347"/>
      <c r="D44" s="71"/>
    </row>
    <row r="45" spans="1:4" x14ac:dyDescent="0.2">
      <c r="A45" s="345">
        <v>28886</v>
      </c>
      <c r="B45" s="71"/>
      <c r="C45" s="347"/>
      <c r="D45" s="71"/>
    </row>
    <row r="46" spans="1:4" x14ac:dyDescent="0.2">
      <c r="A46" s="345">
        <v>28914</v>
      </c>
      <c r="B46" s="71"/>
      <c r="C46" s="347"/>
      <c r="D46" s="71"/>
    </row>
    <row r="47" spans="1:4" x14ac:dyDescent="0.2">
      <c r="A47" s="345">
        <v>28945</v>
      </c>
      <c r="B47" s="71"/>
      <c r="C47" s="347"/>
      <c r="D47" s="71"/>
    </row>
    <row r="48" spans="1:4" x14ac:dyDescent="0.2">
      <c r="A48" s="345">
        <v>28975</v>
      </c>
      <c r="B48" s="71"/>
      <c r="C48" s="347"/>
      <c r="D48" s="71"/>
    </row>
    <row r="49" spans="1:4" x14ac:dyDescent="0.2">
      <c r="A49" s="345">
        <v>29006</v>
      </c>
      <c r="B49" s="71"/>
      <c r="C49" s="347"/>
      <c r="D49" s="71"/>
    </row>
    <row r="50" spans="1:4" x14ac:dyDescent="0.2">
      <c r="A50" s="345">
        <v>29036</v>
      </c>
      <c r="B50" s="71"/>
      <c r="C50" s="347"/>
      <c r="D50" s="71"/>
    </row>
    <row r="51" spans="1:4" x14ac:dyDescent="0.2">
      <c r="A51" s="345">
        <v>29067</v>
      </c>
      <c r="B51" s="71"/>
      <c r="C51" s="347"/>
      <c r="D51" s="71"/>
    </row>
    <row r="52" spans="1:4" x14ac:dyDescent="0.2">
      <c r="A52" s="345">
        <v>29098</v>
      </c>
      <c r="B52" s="71"/>
      <c r="C52" s="347"/>
      <c r="D52" s="71"/>
    </row>
    <row r="53" spans="1:4" x14ac:dyDescent="0.2">
      <c r="A53" s="345">
        <v>29128</v>
      </c>
      <c r="B53" s="71"/>
      <c r="C53" s="347"/>
      <c r="D53" s="71"/>
    </row>
    <row r="54" spans="1:4" x14ac:dyDescent="0.2">
      <c r="A54" s="345">
        <v>29159</v>
      </c>
      <c r="B54" s="71"/>
      <c r="C54" s="347"/>
      <c r="D54" s="71"/>
    </row>
    <row r="55" spans="1:4" x14ac:dyDescent="0.2">
      <c r="A55" s="345">
        <v>29189</v>
      </c>
      <c r="B55" s="71"/>
      <c r="C55" s="347"/>
      <c r="D55" s="71"/>
    </row>
    <row r="56" spans="1:4" x14ac:dyDescent="0.2">
      <c r="A56" s="345">
        <v>29220</v>
      </c>
      <c r="B56" s="71"/>
      <c r="C56" s="347"/>
      <c r="D56" s="71"/>
    </row>
    <row r="57" spans="1:4" x14ac:dyDescent="0.2">
      <c r="A57" s="345">
        <v>29251</v>
      </c>
      <c r="B57" s="71"/>
      <c r="C57" s="347"/>
      <c r="D57" s="71"/>
    </row>
    <row r="58" spans="1:4" x14ac:dyDescent="0.2">
      <c r="A58" s="345">
        <v>29280</v>
      </c>
      <c r="B58" s="71"/>
      <c r="C58" s="347"/>
      <c r="D58" s="71"/>
    </row>
    <row r="59" spans="1:4" x14ac:dyDescent="0.2">
      <c r="A59" s="345">
        <v>29311</v>
      </c>
      <c r="B59" s="71"/>
      <c r="C59" s="347"/>
      <c r="D59" s="71"/>
    </row>
    <row r="60" spans="1:4" x14ac:dyDescent="0.2">
      <c r="A60" s="345">
        <v>29341</v>
      </c>
      <c r="B60" s="71"/>
      <c r="C60" s="347"/>
      <c r="D60" s="71"/>
    </row>
    <row r="61" spans="1:4" x14ac:dyDescent="0.2">
      <c r="A61" s="345">
        <v>29372</v>
      </c>
      <c r="B61" s="71"/>
      <c r="C61" s="347"/>
      <c r="D61" s="71"/>
    </row>
    <row r="62" spans="1:4" x14ac:dyDescent="0.2">
      <c r="A62" s="345">
        <v>29402</v>
      </c>
      <c r="B62" s="71"/>
      <c r="C62" s="347"/>
      <c r="D62" s="71"/>
    </row>
    <row r="63" spans="1:4" x14ac:dyDescent="0.2">
      <c r="A63" s="345">
        <v>29433</v>
      </c>
      <c r="B63" s="71"/>
      <c r="C63" s="347"/>
      <c r="D63" s="71"/>
    </row>
    <row r="64" spans="1:4" x14ac:dyDescent="0.2">
      <c r="A64" s="345">
        <v>29464</v>
      </c>
      <c r="B64" s="71"/>
      <c r="C64" s="347"/>
      <c r="D64" s="71"/>
    </row>
    <row r="65" spans="1:4" x14ac:dyDescent="0.2">
      <c r="A65" s="345">
        <v>29494</v>
      </c>
      <c r="B65" s="71"/>
      <c r="C65" s="347"/>
      <c r="D65" s="71"/>
    </row>
    <row r="66" spans="1:4" x14ac:dyDescent="0.2">
      <c r="A66" s="345">
        <v>29525</v>
      </c>
      <c r="B66" s="71"/>
      <c r="C66" s="347"/>
      <c r="D66" s="71"/>
    </row>
    <row r="67" spans="1:4" x14ac:dyDescent="0.2">
      <c r="A67" s="345">
        <v>29555</v>
      </c>
      <c r="B67" s="71"/>
      <c r="C67" s="347"/>
      <c r="D67" s="71"/>
    </row>
    <row r="68" spans="1:4" x14ac:dyDescent="0.2">
      <c r="A68" s="345">
        <v>29586</v>
      </c>
      <c r="B68" s="71"/>
      <c r="C68" s="347"/>
      <c r="D68" s="71"/>
    </row>
    <row r="69" spans="1:4" x14ac:dyDescent="0.2">
      <c r="A69" s="345">
        <v>29617</v>
      </c>
      <c r="B69" s="71"/>
      <c r="C69" s="347"/>
      <c r="D69" s="71"/>
    </row>
    <row r="70" spans="1:4" x14ac:dyDescent="0.2">
      <c r="A70" s="345">
        <v>29645</v>
      </c>
      <c r="B70" s="71"/>
      <c r="C70" s="347"/>
      <c r="D70" s="71"/>
    </row>
    <row r="71" spans="1:4" x14ac:dyDescent="0.2">
      <c r="A71" s="345">
        <v>29676</v>
      </c>
      <c r="B71" s="71"/>
      <c r="C71" s="347"/>
      <c r="D71" s="71"/>
    </row>
    <row r="72" spans="1:4" x14ac:dyDescent="0.2">
      <c r="A72" s="345">
        <v>29706</v>
      </c>
      <c r="B72" s="71"/>
      <c r="C72" s="347"/>
      <c r="D72" s="71"/>
    </row>
    <row r="73" spans="1:4" x14ac:dyDescent="0.2">
      <c r="A73" s="345">
        <v>29737</v>
      </c>
      <c r="B73" s="71"/>
      <c r="C73" s="347"/>
      <c r="D73" s="71"/>
    </row>
    <row r="74" spans="1:4" x14ac:dyDescent="0.2">
      <c r="A74" s="345">
        <v>29767</v>
      </c>
      <c r="B74" s="71"/>
      <c r="C74" s="347"/>
      <c r="D74" s="71"/>
    </row>
    <row r="75" spans="1:4" x14ac:dyDescent="0.2">
      <c r="A75" s="345">
        <v>29798</v>
      </c>
      <c r="B75" s="71"/>
      <c r="C75" s="347"/>
      <c r="D75" s="71"/>
    </row>
    <row r="76" spans="1:4" x14ac:dyDescent="0.2">
      <c r="A76" s="345">
        <v>29829</v>
      </c>
      <c r="B76" s="71"/>
      <c r="C76" s="347"/>
      <c r="D76" s="71"/>
    </row>
    <row r="77" spans="1:4" x14ac:dyDescent="0.2">
      <c r="A77" s="345">
        <v>29859</v>
      </c>
      <c r="B77" s="71"/>
      <c r="C77" s="347"/>
      <c r="D77" s="71"/>
    </row>
    <row r="78" spans="1:4" x14ac:dyDescent="0.2">
      <c r="A78" s="345">
        <v>29890</v>
      </c>
      <c r="B78" s="71"/>
      <c r="C78" s="347"/>
      <c r="D78" s="71"/>
    </row>
    <row r="79" spans="1:4" x14ac:dyDescent="0.2">
      <c r="A79" s="345">
        <v>29920</v>
      </c>
      <c r="B79" s="71"/>
      <c r="C79" s="347"/>
      <c r="D79" s="71"/>
    </row>
    <row r="80" spans="1:4" x14ac:dyDescent="0.2">
      <c r="A80" s="345">
        <v>29951</v>
      </c>
      <c r="B80" s="71"/>
      <c r="C80" s="347"/>
      <c r="D80" s="71"/>
    </row>
    <row r="81" spans="1:4" x14ac:dyDescent="0.2">
      <c r="A81" s="345">
        <v>29982</v>
      </c>
      <c r="B81" s="71"/>
      <c r="C81" s="347"/>
      <c r="D81" s="71"/>
    </row>
    <row r="82" spans="1:4" x14ac:dyDescent="0.2">
      <c r="A82" s="345">
        <v>30010</v>
      </c>
      <c r="B82" s="71"/>
      <c r="C82" s="347"/>
      <c r="D82" s="71"/>
    </row>
    <row r="83" spans="1:4" x14ac:dyDescent="0.2">
      <c r="A83" s="345">
        <v>30041</v>
      </c>
      <c r="B83" s="71"/>
      <c r="C83" s="347"/>
      <c r="D83" s="71"/>
    </row>
    <row r="84" spans="1:4" x14ac:dyDescent="0.2">
      <c r="A84" s="345">
        <v>30071</v>
      </c>
      <c r="B84" s="71"/>
      <c r="C84" s="347"/>
      <c r="D84" s="71"/>
    </row>
    <row r="85" spans="1:4" x14ac:dyDescent="0.2">
      <c r="A85" s="345">
        <v>30102</v>
      </c>
      <c r="B85" s="71"/>
      <c r="C85" s="347"/>
      <c r="D85" s="71"/>
    </row>
    <row r="86" spans="1:4" x14ac:dyDescent="0.2">
      <c r="A86" s="345">
        <v>30132</v>
      </c>
      <c r="B86" s="71"/>
      <c r="C86" s="347"/>
      <c r="D86" s="71"/>
    </row>
    <row r="87" spans="1:4" x14ac:dyDescent="0.2">
      <c r="A87" s="345">
        <v>30163</v>
      </c>
      <c r="B87" s="71"/>
      <c r="C87" s="347"/>
      <c r="D87" s="71"/>
    </row>
    <row r="88" spans="1:4" x14ac:dyDescent="0.2">
      <c r="A88" s="345">
        <v>30194</v>
      </c>
      <c r="B88" s="71"/>
      <c r="C88" s="347"/>
      <c r="D88" s="71"/>
    </row>
    <row r="89" spans="1:4" x14ac:dyDescent="0.2">
      <c r="A89" s="345">
        <v>30224</v>
      </c>
      <c r="B89" s="71"/>
      <c r="C89" s="347"/>
      <c r="D89" s="71"/>
    </row>
    <row r="90" spans="1:4" x14ac:dyDescent="0.2">
      <c r="A90" s="345">
        <v>30255</v>
      </c>
      <c r="B90" s="71"/>
      <c r="C90" s="347"/>
      <c r="D90" s="71"/>
    </row>
    <row r="91" spans="1:4" x14ac:dyDescent="0.2">
      <c r="A91" s="345">
        <v>30285</v>
      </c>
      <c r="B91" s="71"/>
      <c r="C91" s="347"/>
      <c r="D91" s="71"/>
    </row>
    <row r="92" spans="1:4" x14ac:dyDescent="0.2">
      <c r="A92" s="345">
        <v>30316</v>
      </c>
      <c r="B92" s="71"/>
      <c r="C92" s="347"/>
      <c r="D92" s="71"/>
    </row>
    <row r="93" spans="1:4" x14ac:dyDescent="0.2">
      <c r="A93" s="345">
        <v>30347</v>
      </c>
      <c r="B93" s="71"/>
      <c r="C93" s="347"/>
      <c r="D93" s="71"/>
    </row>
    <row r="94" spans="1:4" x14ac:dyDescent="0.2">
      <c r="A94" s="345">
        <v>30375</v>
      </c>
      <c r="B94" s="71"/>
      <c r="C94" s="347"/>
      <c r="D94" s="71"/>
    </row>
    <row r="95" spans="1:4" x14ac:dyDescent="0.2">
      <c r="A95" s="345">
        <v>30406</v>
      </c>
      <c r="B95" s="71"/>
      <c r="C95" s="347"/>
      <c r="D95" s="71"/>
    </row>
    <row r="96" spans="1:4" x14ac:dyDescent="0.2">
      <c r="A96" s="345">
        <v>30436</v>
      </c>
      <c r="B96" s="71"/>
      <c r="C96" s="347"/>
      <c r="D96" s="71"/>
    </row>
    <row r="97" spans="1:4" x14ac:dyDescent="0.2">
      <c r="A97" s="345">
        <v>30467</v>
      </c>
      <c r="B97" s="71"/>
      <c r="C97" s="347"/>
      <c r="D97" s="71"/>
    </row>
    <row r="98" spans="1:4" x14ac:dyDescent="0.2">
      <c r="A98" s="345">
        <v>30497</v>
      </c>
      <c r="B98" s="71"/>
      <c r="C98" s="347"/>
      <c r="D98" s="71"/>
    </row>
    <row r="99" spans="1:4" x14ac:dyDescent="0.2">
      <c r="A99" s="345">
        <v>30528</v>
      </c>
      <c r="B99" s="71"/>
      <c r="C99" s="347"/>
      <c r="D99" s="71"/>
    </row>
    <row r="100" spans="1:4" x14ac:dyDescent="0.2">
      <c r="A100" s="345">
        <v>30559</v>
      </c>
      <c r="B100" s="71"/>
      <c r="C100" s="347"/>
      <c r="D100" s="71"/>
    </row>
    <row r="101" spans="1:4" x14ac:dyDescent="0.2">
      <c r="A101" s="345">
        <v>30589</v>
      </c>
      <c r="B101" s="71"/>
      <c r="C101" s="347"/>
      <c r="D101" s="71"/>
    </row>
    <row r="102" spans="1:4" x14ac:dyDescent="0.2">
      <c r="A102" s="345">
        <v>30620</v>
      </c>
      <c r="B102" s="71"/>
      <c r="C102" s="347"/>
      <c r="D102" s="71"/>
    </row>
    <row r="103" spans="1:4" x14ac:dyDescent="0.2">
      <c r="A103" s="345">
        <v>30650</v>
      </c>
      <c r="B103" s="71"/>
      <c r="C103" s="347"/>
      <c r="D103" s="71"/>
    </row>
    <row r="104" spans="1:4" x14ac:dyDescent="0.2">
      <c r="A104" s="345">
        <v>30681</v>
      </c>
      <c r="B104" s="71"/>
      <c r="C104" s="347"/>
      <c r="D104" s="71"/>
    </row>
    <row r="105" spans="1:4" x14ac:dyDescent="0.2">
      <c r="A105" s="345">
        <v>30712</v>
      </c>
      <c r="B105" s="71"/>
      <c r="C105" s="347"/>
      <c r="D105" s="71"/>
    </row>
    <row r="106" spans="1:4" x14ac:dyDescent="0.2">
      <c r="A106" s="345">
        <v>30741</v>
      </c>
      <c r="B106" s="71"/>
      <c r="C106" s="347"/>
      <c r="D106" s="71"/>
    </row>
    <row r="107" spans="1:4" x14ac:dyDescent="0.2">
      <c r="A107" s="345">
        <v>30772</v>
      </c>
      <c r="B107" s="71"/>
      <c r="C107" s="347"/>
      <c r="D107" s="71"/>
    </row>
    <row r="108" spans="1:4" x14ac:dyDescent="0.2">
      <c r="A108" s="345">
        <v>30802</v>
      </c>
      <c r="B108" s="71"/>
      <c r="C108" s="347"/>
      <c r="D108" s="71"/>
    </row>
    <row r="109" spans="1:4" x14ac:dyDescent="0.2">
      <c r="A109" s="345">
        <v>30833</v>
      </c>
      <c r="B109" s="71"/>
      <c r="C109" s="347"/>
      <c r="D109" s="71"/>
    </row>
    <row r="110" spans="1:4" x14ac:dyDescent="0.2">
      <c r="A110" s="345">
        <v>30863</v>
      </c>
      <c r="B110" s="71"/>
      <c r="C110" s="347"/>
      <c r="D110" s="71"/>
    </row>
    <row r="111" spans="1:4" x14ac:dyDescent="0.2">
      <c r="A111" s="345">
        <v>30894</v>
      </c>
      <c r="B111" s="71"/>
      <c r="C111" s="347"/>
      <c r="D111" s="71"/>
    </row>
    <row r="112" spans="1:4" x14ac:dyDescent="0.2">
      <c r="A112" s="345">
        <v>30925</v>
      </c>
      <c r="B112" s="71"/>
      <c r="C112" s="347"/>
      <c r="D112" s="71"/>
    </row>
    <row r="113" spans="1:4" x14ac:dyDescent="0.2">
      <c r="A113" s="345">
        <v>30955</v>
      </c>
      <c r="B113" s="71"/>
      <c r="C113" s="347"/>
      <c r="D113" s="71"/>
    </row>
    <row r="114" spans="1:4" x14ac:dyDescent="0.2">
      <c r="A114" s="345">
        <v>30986</v>
      </c>
      <c r="B114" s="71"/>
      <c r="C114" s="347"/>
      <c r="D114" s="71"/>
    </row>
    <row r="115" spans="1:4" x14ac:dyDescent="0.2">
      <c r="A115" s="345">
        <v>31016</v>
      </c>
      <c r="B115" s="71"/>
      <c r="C115" s="347"/>
      <c r="D115" s="71"/>
    </row>
    <row r="116" spans="1:4" x14ac:dyDescent="0.2">
      <c r="A116" s="345">
        <v>31047</v>
      </c>
      <c r="B116" s="71"/>
      <c r="C116" s="347"/>
      <c r="D116" s="71"/>
    </row>
    <row r="117" spans="1:4" x14ac:dyDescent="0.2">
      <c r="A117" s="345">
        <v>31078</v>
      </c>
      <c r="B117" s="71"/>
      <c r="C117" s="347"/>
      <c r="D117" s="71"/>
    </row>
    <row r="118" spans="1:4" x14ac:dyDescent="0.2">
      <c r="A118" s="345">
        <v>31106</v>
      </c>
      <c r="B118" s="71"/>
      <c r="C118" s="347"/>
      <c r="D118" s="71"/>
    </row>
    <row r="119" spans="1:4" x14ac:dyDescent="0.2">
      <c r="A119" s="345">
        <v>31137</v>
      </c>
      <c r="B119" s="71"/>
      <c r="C119" s="347"/>
      <c r="D119" s="71"/>
    </row>
    <row r="120" spans="1:4" x14ac:dyDescent="0.2">
      <c r="A120" s="345">
        <v>31167</v>
      </c>
      <c r="B120" s="71"/>
      <c r="C120" s="347"/>
      <c r="D120" s="71"/>
    </row>
    <row r="121" spans="1:4" x14ac:dyDescent="0.2">
      <c r="A121" s="345">
        <v>31198</v>
      </c>
      <c r="B121" s="71"/>
      <c r="C121" s="347"/>
      <c r="D121" s="71"/>
    </row>
    <row r="122" spans="1:4" x14ac:dyDescent="0.2">
      <c r="A122" s="345">
        <v>31228</v>
      </c>
      <c r="B122" s="71"/>
      <c r="C122" s="347"/>
      <c r="D122" s="71"/>
    </row>
    <row r="123" spans="1:4" x14ac:dyDescent="0.2">
      <c r="A123" s="345">
        <v>31259</v>
      </c>
      <c r="B123" s="71"/>
      <c r="C123" s="347"/>
      <c r="D123" s="71"/>
    </row>
    <row r="124" spans="1:4" x14ac:dyDescent="0.2">
      <c r="A124" s="345">
        <v>31290</v>
      </c>
      <c r="B124" s="71"/>
      <c r="C124" s="347"/>
      <c r="D124" s="71"/>
    </row>
    <row r="125" spans="1:4" x14ac:dyDescent="0.2">
      <c r="A125" s="345">
        <v>31320</v>
      </c>
      <c r="B125" s="71"/>
      <c r="C125" s="347"/>
      <c r="D125" s="71"/>
    </row>
    <row r="126" spans="1:4" x14ac:dyDescent="0.2">
      <c r="A126" s="345">
        <v>31351</v>
      </c>
      <c r="B126" s="71"/>
      <c r="C126" s="347"/>
      <c r="D126" s="71"/>
    </row>
    <row r="127" spans="1:4" x14ac:dyDescent="0.2">
      <c r="A127" s="345">
        <v>31381</v>
      </c>
      <c r="B127" s="71"/>
      <c r="C127" s="347"/>
      <c r="D127" s="71"/>
    </row>
    <row r="128" spans="1:4" x14ac:dyDescent="0.2">
      <c r="A128" s="345">
        <v>31412</v>
      </c>
      <c r="B128" s="71"/>
      <c r="C128" s="347"/>
      <c r="D128" s="71"/>
    </row>
    <row r="129" spans="1:4" x14ac:dyDescent="0.2">
      <c r="A129" s="345">
        <v>31443</v>
      </c>
      <c r="B129" s="71"/>
      <c r="C129" s="347"/>
      <c r="D129" s="71"/>
    </row>
    <row r="130" spans="1:4" x14ac:dyDescent="0.2">
      <c r="A130" s="345">
        <v>31471</v>
      </c>
      <c r="B130" s="71"/>
      <c r="C130" s="347"/>
      <c r="D130" s="71"/>
    </row>
    <row r="131" spans="1:4" x14ac:dyDescent="0.2">
      <c r="A131" s="345">
        <v>31502</v>
      </c>
      <c r="B131" s="71"/>
      <c r="C131" s="347"/>
      <c r="D131" s="71"/>
    </row>
    <row r="132" spans="1:4" x14ac:dyDescent="0.2">
      <c r="A132" s="345">
        <v>31532</v>
      </c>
      <c r="B132" s="71"/>
      <c r="C132" s="347"/>
      <c r="D132" s="71"/>
    </row>
    <row r="133" spans="1:4" x14ac:dyDescent="0.2">
      <c r="A133" s="345">
        <v>31563</v>
      </c>
      <c r="B133" s="71"/>
      <c r="C133" s="347"/>
      <c r="D133" s="71"/>
    </row>
    <row r="134" spans="1:4" x14ac:dyDescent="0.2">
      <c r="A134" s="345">
        <v>31593</v>
      </c>
      <c r="B134" s="71"/>
      <c r="C134" s="347"/>
      <c r="D134" s="71"/>
    </row>
    <row r="135" spans="1:4" x14ac:dyDescent="0.2">
      <c r="A135" s="345">
        <v>31624</v>
      </c>
      <c r="B135" s="71"/>
      <c r="C135" s="347"/>
      <c r="D135" s="71"/>
    </row>
    <row r="136" spans="1:4" x14ac:dyDescent="0.2">
      <c r="A136" s="345">
        <v>31655</v>
      </c>
      <c r="B136" s="71"/>
      <c r="C136" s="347"/>
      <c r="D136" s="71"/>
    </row>
    <row r="137" spans="1:4" x14ac:dyDescent="0.2">
      <c r="A137" s="345">
        <v>31685</v>
      </c>
      <c r="B137" s="71"/>
      <c r="C137" s="347"/>
      <c r="D137" s="71"/>
    </row>
    <row r="138" spans="1:4" x14ac:dyDescent="0.2">
      <c r="A138" s="345">
        <v>31716</v>
      </c>
      <c r="B138" s="71"/>
      <c r="C138" s="347"/>
      <c r="D138" s="71"/>
    </row>
    <row r="139" spans="1:4" x14ac:dyDescent="0.2">
      <c r="A139" s="345">
        <v>31746</v>
      </c>
      <c r="B139" s="71"/>
      <c r="C139" s="347"/>
      <c r="D139" s="71"/>
    </row>
    <row r="140" spans="1:4" x14ac:dyDescent="0.2">
      <c r="A140" s="345">
        <v>31777</v>
      </c>
      <c r="B140" s="71"/>
      <c r="C140" s="347"/>
      <c r="D140" s="71"/>
    </row>
    <row r="141" spans="1:4" x14ac:dyDescent="0.2">
      <c r="A141" s="345">
        <v>31808</v>
      </c>
      <c r="B141" s="73"/>
      <c r="C141" s="30"/>
      <c r="D141" s="73"/>
    </row>
    <row r="142" spans="1:4" x14ac:dyDescent="0.2">
      <c r="A142" s="345">
        <v>31836</v>
      </c>
      <c r="B142" s="73"/>
      <c r="C142" s="30"/>
      <c r="D142" s="73"/>
    </row>
    <row r="143" spans="1:4" x14ac:dyDescent="0.2">
      <c r="A143" s="345">
        <v>31867</v>
      </c>
      <c r="B143" s="73"/>
      <c r="C143" s="30"/>
      <c r="D143" s="73"/>
    </row>
    <row r="144" spans="1:4" x14ac:dyDescent="0.2">
      <c r="A144" s="345">
        <v>31897</v>
      </c>
      <c r="B144" s="73"/>
      <c r="C144" s="30"/>
      <c r="D144" s="73"/>
    </row>
    <row r="145" spans="1:4" x14ac:dyDescent="0.2">
      <c r="A145" s="345">
        <v>31928</v>
      </c>
      <c r="B145" s="73"/>
      <c r="C145" s="30"/>
      <c r="D145" s="73"/>
    </row>
    <row r="146" spans="1:4" x14ac:dyDescent="0.2">
      <c r="A146" s="345">
        <v>31958</v>
      </c>
      <c r="B146" s="73"/>
      <c r="C146" s="30"/>
      <c r="D146" s="73"/>
    </row>
    <row r="147" spans="1:4" x14ac:dyDescent="0.2">
      <c r="A147" s="345">
        <v>31989</v>
      </c>
      <c r="B147" s="73"/>
      <c r="C147" s="30"/>
      <c r="D147" s="73"/>
    </row>
    <row r="148" spans="1:4" x14ac:dyDescent="0.2">
      <c r="A148" s="345">
        <v>32020</v>
      </c>
      <c r="B148" s="73"/>
      <c r="C148" s="30"/>
      <c r="D148" s="73"/>
    </row>
    <row r="149" spans="1:4" x14ac:dyDescent="0.2">
      <c r="A149" s="345">
        <v>32050</v>
      </c>
      <c r="B149" s="73"/>
      <c r="C149" s="30"/>
      <c r="D149" s="73"/>
    </row>
    <row r="150" spans="1:4" x14ac:dyDescent="0.2">
      <c r="A150" s="345">
        <v>32081</v>
      </c>
      <c r="B150" s="73"/>
      <c r="C150" s="30"/>
      <c r="D150" s="73"/>
    </row>
    <row r="151" spans="1:4" x14ac:dyDescent="0.2">
      <c r="A151" s="345">
        <v>32111</v>
      </c>
      <c r="B151" s="73"/>
      <c r="C151" s="30"/>
      <c r="D151" s="73"/>
    </row>
    <row r="152" spans="1:4" x14ac:dyDescent="0.2">
      <c r="A152" s="345">
        <v>32142</v>
      </c>
      <c r="B152" s="73"/>
      <c r="C152" s="30"/>
      <c r="D152" s="73"/>
    </row>
    <row r="153" spans="1:4" x14ac:dyDescent="0.2">
      <c r="A153" s="345">
        <v>32173</v>
      </c>
      <c r="B153" s="73"/>
      <c r="C153" s="30"/>
      <c r="D153" s="73"/>
    </row>
    <row r="154" spans="1:4" x14ac:dyDescent="0.2">
      <c r="A154" s="345">
        <v>32202</v>
      </c>
      <c r="B154" s="73"/>
      <c r="C154" s="30"/>
      <c r="D154" s="73"/>
    </row>
    <row r="155" spans="1:4" x14ac:dyDescent="0.2">
      <c r="A155" s="345">
        <v>32233</v>
      </c>
      <c r="B155" s="73"/>
      <c r="C155" s="30"/>
      <c r="D155" s="73"/>
    </row>
    <row r="156" spans="1:4" x14ac:dyDescent="0.2">
      <c r="A156" s="345">
        <v>32263</v>
      </c>
      <c r="B156" s="73"/>
      <c r="C156" s="30"/>
      <c r="D156" s="73"/>
    </row>
    <row r="157" spans="1:4" x14ac:dyDescent="0.2">
      <c r="A157" s="345">
        <v>32294</v>
      </c>
      <c r="B157" s="73"/>
      <c r="C157" s="30"/>
      <c r="D157" s="73"/>
    </row>
    <row r="158" spans="1:4" x14ac:dyDescent="0.2">
      <c r="A158" s="345">
        <v>32324</v>
      </c>
      <c r="B158" s="73"/>
      <c r="C158" s="30"/>
      <c r="D158" s="73"/>
    </row>
    <row r="159" spans="1:4" x14ac:dyDescent="0.2">
      <c r="A159" s="345">
        <v>32355</v>
      </c>
      <c r="B159" s="73"/>
      <c r="C159" s="30"/>
      <c r="D159" s="73"/>
    </row>
    <row r="160" spans="1:4" x14ac:dyDescent="0.2">
      <c r="A160" s="345">
        <v>32386</v>
      </c>
      <c r="B160" s="73"/>
      <c r="C160" s="30"/>
      <c r="D160" s="73"/>
    </row>
    <row r="161" spans="1:10" x14ac:dyDescent="0.2">
      <c r="A161" s="345">
        <v>32416</v>
      </c>
      <c r="B161" s="73"/>
      <c r="C161" s="30"/>
      <c r="D161" s="73"/>
    </row>
    <row r="162" spans="1:10" x14ac:dyDescent="0.2">
      <c r="A162" s="345">
        <v>32447</v>
      </c>
      <c r="B162" s="73"/>
      <c r="C162" s="30"/>
      <c r="D162" s="73"/>
    </row>
    <row r="163" spans="1:10" x14ac:dyDescent="0.2">
      <c r="A163" s="345">
        <v>32477</v>
      </c>
      <c r="B163" s="73"/>
      <c r="C163" s="30"/>
      <c r="D163" s="73"/>
    </row>
    <row r="164" spans="1:10" x14ac:dyDescent="0.2">
      <c r="A164" s="345">
        <v>32508</v>
      </c>
      <c r="B164" s="73"/>
      <c r="C164" s="30"/>
      <c r="D164" s="73"/>
    </row>
    <row r="165" spans="1:10" x14ac:dyDescent="0.2">
      <c r="A165" s="345">
        <v>32539</v>
      </c>
      <c r="B165" s="73"/>
      <c r="C165" s="30"/>
      <c r="D165" s="73"/>
    </row>
    <row r="166" spans="1:10" x14ac:dyDescent="0.2">
      <c r="A166" s="345">
        <v>32567</v>
      </c>
      <c r="B166" s="73"/>
      <c r="C166" s="30"/>
      <c r="D166" s="73"/>
    </row>
    <row r="167" spans="1:10" x14ac:dyDescent="0.2">
      <c r="A167" s="345">
        <v>32598</v>
      </c>
      <c r="B167" s="73"/>
      <c r="C167" s="30"/>
      <c r="D167" s="73"/>
    </row>
    <row r="168" spans="1:10" x14ac:dyDescent="0.2">
      <c r="A168" s="345">
        <v>32628</v>
      </c>
      <c r="B168" s="73"/>
      <c r="C168" s="30"/>
      <c r="D168" s="73"/>
    </row>
    <row r="169" spans="1:10" x14ac:dyDescent="0.2">
      <c r="A169" s="345">
        <v>32659</v>
      </c>
      <c r="B169" s="73"/>
      <c r="C169" s="30"/>
      <c r="D169" s="73"/>
    </row>
    <row r="170" spans="1:10" x14ac:dyDescent="0.2">
      <c r="A170" s="345">
        <v>32689</v>
      </c>
      <c r="B170" s="73"/>
      <c r="C170" s="30"/>
      <c r="D170" s="73"/>
    </row>
    <row r="171" spans="1:10" x14ac:dyDescent="0.2">
      <c r="A171" s="345">
        <v>32720</v>
      </c>
      <c r="B171" s="73"/>
      <c r="C171" s="30"/>
      <c r="D171" s="73"/>
    </row>
    <row r="172" spans="1:10" x14ac:dyDescent="0.2">
      <c r="A172" s="345">
        <v>32751</v>
      </c>
      <c r="B172" s="1369">
        <v>1.91</v>
      </c>
      <c r="C172" s="29">
        <v>1196607161.52</v>
      </c>
      <c r="D172" s="79"/>
      <c r="J172" s="352"/>
    </row>
    <row r="173" spans="1:10" x14ac:dyDescent="0.2">
      <c r="A173" s="345">
        <v>32781</v>
      </c>
      <c r="B173" s="1369">
        <v>-0.4</v>
      </c>
      <c r="C173" s="29">
        <v>983471120.50999999</v>
      </c>
      <c r="D173" s="79"/>
      <c r="J173" s="352"/>
    </row>
    <row r="174" spans="1:10" x14ac:dyDescent="0.2">
      <c r="A174" s="345">
        <v>32812</v>
      </c>
      <c r="B174" s="1369">
        <v>-2.2999999999999998</v>
      </c>
      <c r="C174" s="29">
        <v>954389075.20000005</v>
      </c>
      <c r="D174" s="79"/>
      <c r="J174" s="352"/>
    </row>
    <row r="175" spans="1:10" x14ac:dyDescent="0.2">
      <c r="A175" s="345">
        <v>32842</v>
      </c>
      <c r="B175" s="1369">
        <v>2.04</v>
      </c>
      <c r="C175" s="29">
        <v>972093848.09000003</v>
      </c>
      <c r="D175" s="79"/>
      <c r="J175" s="352"/>
    </row>
    <row r="176" spans="1:10" x14ac:dyDescent="0.2">
      <c r="A176" s="345">
        <v>32873</v>
      </c>
      <c r="B176" s="1369">
        <v>2.39</v>
      </c>
      <c r="C176" s="29">
        <v>991742109.14999998</v>
      </c>
      <c r="D176" s="79"/>
      <c r="J176" s="352"/>
    </row>
    <row r="177" spans="1:10" x14ac:dyDescent="0.2">
      <c r="A177" s="345">
        <v>32904</v>
      </c>
      <c r="B177" s="1369">
        <v>-6.67</v>
      </c>
      <c r="C177" s="29">
        <v>920362671.63999999</v>
      </c>
      <c r="D177" s="79"/>
      <c r="J177" s="352"/>
    </row>
    <row r="178" spans="1:10" x14ac:dyDescent="0.2">
      <c r="A178" s="345">
        <v>32932</v>
      </c>
      <c r="B178" s="1369">
        <v>1.28</v>
      </c>
      <c r="C178" s="29">
        <v>935381461.20000005</v>
      </c>
      <c r="D178" s="79"/>
      <c r="J178" s="352"/>
    </row>
    <row r="179" spans="1:10" x14ac:dyDescent="0.2">
      <c r="A179" s="345">
        <v>32963</v>
      </c>
      <c r="B179" s="1369">
        <v>2.67</v>
      </c>
      <c r="C179" s="29">
        <v>960567006.91999996</v>
      </c>
      <c r="D179" s="79"/>
      <c r="J179" s="352"/>
    </row>
    <row r="180" spans="1:10" x14ac:dyDescent="0.2">
      <c r="A180" s="345">
        <v>32993</v>
      </c>
      <c r="B180" s="1369">
        <v>-2.5</v>
      </c>
      <c r="C180" s="29">
        <v>932484312.38</v>
      </c>
      <c r="D180" s="79"/>
      <c r="J180" s="352"/>
    </row>
    <row r="181" spans="1:10" x14ac:dyDescent="0.2">
      <c r="A181" s="345">
        <v>33024</v>
      </c>
      <c r="B181" s="1369">
        <v>9.69</v>
      </c>
      <c r="C181" s="29">
        <v>1017705918.9299999</v>
      </c>
      <c r="D181" s="79"/>
      <c r="J181" s="352"/>
    </row>
    <row r="182" spans="1:10" x14ac:dyDescent="0.2">
      <c r="A182" s="345">
        <v>33054</v>
      </c>
      <c r="B182" s="1369">
        <v>-0.7</v>
      </c>
      <c r="C182" s="29">
        <v>1005995100.45</v>
      </c>
      <c r="D182" s="79"/>
      <c r="J182" s="352"/>
    </row>
    <row r="183" spans="1:10" x14ac:dyDescent="0.2">
      <c r="A183" s="345">
        <v>33085</v>
      </c>
      <c r="B183" s="1369">
        <v>-0.31</v>
      </c>
      <c r="C183" s="29">
        <v>996482250.32000005</v>
      </c>
      <c r="D183" s="79"/>
      <c r="J183" s="352"/>
    </row>
    <row r="184" spans="1:10" x14ac:dyDescent="0.2">
      <c r="A184" s="345">
        <v>33116</v>
      </c>
      <c r="B184" s="1369">
        <v>-9.0399999999999991</v>
      </c>
      <c r="C184" s="29">
        <v>903759308.45000005</v>
      </c>
      <c r="D184" s="79"/>
      <c r="J184" s="352"/>
    </row>
    <row r="185" spans="1:10" x14ac:dyDescent="0.2">
      <c r="A185" s="345">
        <v>33146</v>
      </c>
      <c r="B185" s="1369">
        <v>-4.8899999999999997</v>
      </c>
      <c r="C185" s="29">
        <v>855089647.90999997</v>
      </c>
      <c r="D185" s="79"/>
      <c r="J185" s="352"/>
    </row>
    <row r="186" spans="1:10" x14ac:dyDescent="0.2">
      <c r="A186" s="345">
        <v>33177</v>
      </c>
      <c r="B186" s="1369">
        <v>-0.44</v>
      </c>
      <c r="C186" s="29">
        <v>844456654.05999994</v>
      </c>
      <c r="D186" s="79"/>
      <c r="J186" s="352"/>
    </row>
    <row r="187" spans="1:10" x14ac:dyDescent="0.2">
      <c r="A187" s="345">
        <v>33207</v>
      </c>
      <c r="B187" s="1369">
        <v>6.45</v>
      </c>
      <c r="C187" s="29">
        <v>961172807.02999997</v>
      </c>
      <c r="D187" s="79"/>
      <c r="J187" s="352"/>
    </row>
    <row r="188" spans="1:10" x14ac:dyDescent="0.2">
      <c r="A188" s="345">
        <v>33238</v>
      </c>
      <c r="B188" s="1369">
        <v>2.77</v>
      </c>
      <c r="C188" s="29">
        <v>991335047.09000003</v>
      </c>
      <c r="D188" s="79"/>
      <c r="J188" s="352"/>
    </row>
    <row r="189" spans="1:10" x14ac:dyDescent="0.2">
      <c r="A189" s="345">
        <v>33269</v>
      </c>
      <c r="B189" s="1369">
        <v>4.37</v>
      </c>
      <c r="C189" s="29">
        <v>1040263366.11</v>
      </c>
      <c r="D189" s="79"/>
      <c r="J189" s="352"/>
    </row>
    <row r="190" spans="1:10" x14ac:dyDescent="0.2">
      <c r="A190" s="345">
        <v>33297</v>
      </c>
      <c r="B190" s="1369">
        <v>7.13</v>
      </c>
      <c r="C190" s="29">
        <v>1119524745.5999999</v>
      </c>
      <c r="D190" s="79"/>
      <c r="J190" s="352"/>
    </row>
    <row r="191" spans="1:10" x14ac:dyDescent="0.2">
      <c r="A191" s="345">
        <v>33328</v>
      </c>
      <c r="B191" s="1369">
        <v>2.4</v>
      </c>
      <c r="C191" s="29">
        <v>1153214157.5699999</v>
      </c>
      <c r="D191" s="79"/>
      <c r="J191" s="352"/>
    </row>
    <row r="192" spans="1:10" x14ac:dyDescent="0.2">
      <c r="A192" s="345">
        <v>33358</v>
      </c>
      <c r="B192" s="1369">
        <v>0.22</v>
      </c>
      <c r="C192" s="29">
        <v>1156646332.4200001</v>
      </c>
      <c r="D192" s="79"/>
      <c r="J192" s="352"/>
    </row>
    <row r="193" spans="1:10" x14ac:dyDescent="0.2">
      <c r="A193" s="345">
        <v>33389</v>
      </c>
      <c r="B193" s="1369">
        <v>4.28</v>
      </c>
      <c r="C193" s="29">
        <v>1204455128.1300001</v>
      </c>
      <c r="D193" s="79"/>
      <c r="J193" s="352"/>
    </row>
    <row r="194" spans="1:10" x14ac:dyDescent="0.2">
      <c r="A194" s="345">
        <v>33419</v>
      </c>
      <c r="B194" s="1369">
        <v>-4.53</v>
      </c>
      <c r="C194" s="29">
        <v>1150593934.24</v>
      </c>
      <c r="D194" s="79"/>
      <c r="J194" s="352"/>
    </row>
    <row r="195" spans="1:10" x14ac:dyDescent="0.2">
      <c r="A195" s="345">
        <v>33450</v>
      </c>
      <c r="B195" s="1369">
        <v>4.6399999999999997</v>
      </c>
      <c r="C195" s="29">
        <v>1205178687.1300001</v>
      </c>
      <c r="D195" s="79"/>
      <c r="J195" s="352"/>
    </row>
    <row r="196" spans="1:10" x14ac:dyDescent="0.2">
      <c r="A196" s="345">
        <v>33481</v>
      </c>
      <c r="B196" s="1369">
        <v>2.35</v>
      </c>
      <c r="C196" s="29">
        <v>1236682833.5999999</v>
      </c>
      <c r="D196" s="79"/>
      <c r="J196" s="352"/>
    </row>
    <row r="197" spans="1:10" x14ac:dyDescent="0.2">
      <c r="A197" s="345">
        <v>33511</v>
      </c>
      <c r="B197" s="1369">
        <v>-1.68</v>
      </c>
      <c r="C197" s="29">
        <v>1221744827.54</v>
      </c>
      <c r="D197" s="79"/>
      <c r="J197" s="352"/>
    </row>
    <row r="198" spans="1:10" x14ac:dyDescent="0.2">
      <c r="A198" s="345">
        <v>33542</v>
      </c>
      <c r="B198" s="1369">
        <v>1.36</v>
      </c>
      <c r="C198" s="29">
        <v>1223446877.27</v>
      </c>
      <c r="D198" s="79"/>
      <c r="J198" s="352"/>
    </row>
    <row r="199" spans="1:10" x14ac:dyDescent="0.2">
      <c r="A199" s="345">
        <v>33572</v>
      </c>
      <c r="B199" s="1369">
        <v>-4</v>
      </c>
      <c r="C199" s="29">
        <v>1177255136.22</v>
      </c>
      <c r="D199" s="79"/>
      <c r="J199" s="352"/>
    </row>
    <row r="200" spans="1:10" x14ac:dyDescent="0.2">
      <c r="A200" s="345">
        <v>33603</v>
      </c>
      <c r="B200" s="1369">
        <v>11.41</v>
      </c>
      <c r="C200" s="29">
        <v>1306210682.9300001</v>
      </c>
      <c r="D200" s="79"/>
      <c r="J200" s="352"/>
    </row>
    <row r="201" spans="1:10" x14ac:dyDescent="0.2">
      <c r="A201" s="345">
        <v>33634</v>
      </c>
      <c r="B201" s="1369">
        <v>-1.87</v>
      </c>
      <c r="C201" s="29">
        <v>1300200782.78</v>
      </c>
      <c r="D201" s="79"/>
      <c r="J201" s="352"/>
    </row>
    <row r="202" spans="1:10" x14ac:dyDescent="0.2">
      <c r="A202" s="345">
        <v>33663</v>
      </c>
      <c r="B202" s="1369">
        <v>1.29</v>
      </c>
      <c r="C202" s="29">
        <v>1318301437.4400001</v>
      </c>
      <c r="D202" s="79"/>
      <c r="J202" s="352"/>
    </row>
    <row r="203" spans="1:10" x14ac:dyDescent="0.2">
      <c r="A203" s="345">
        <v>33694</v>
      </c>
      <c r="B203" s="1369">
        <v>-1.94</v>
      </c>
      <c r="C203" s="29">
        <v>1288611464.05</v>
      </c>
      <c r="D203" s="79"/>
      <c r="J203" s="352"/>
    </row>
    <row r="204" spans="1:10" x14ac:dyDescent="0.2">
      <c r="A204" s="345">
        <v>33724</v>
      </c>
      <c r="B204" s="1369">
        <v>2.92</v>
      </c>
      <c r="C204" s="29">
        <v>1310749298.0899999</v>
      </c>
      <c r="D204" s="79"/>
      <c r="J204" s="352"/>
    </row>
    <row r="205" spans="1:10" x14ac:dyDescent="0.2">
      <c r="A205" s="345">
        <v>33755</v>
      </c>
      <c r="B205" s="1369">
        <v>0.47</v>
      </c>
      <c r="C205" s="29">
        <v>1291429959.9400001</v>
      </c>
      <c r="D205" s="79"/>
      <c r="J205" s="352"/>
    </row>
    <row r="206" spans="1:10" x14ac:dyDescent="0.2">
      <c r="A206" s="345">
        <v>33785</v>
      </c>
      <c r="B206" s="1369">
        <v>-1.47</v>
      </c>
      <c r="C206" s="29">
        <v>1267835837.25</v>
      </c>
      <c r="D206" s="79"/>
      <c r="J206" s="352"/>
    </row>
    <row r="207" spans="1:10" x14ac:dyDescent="0.2">
      <c r="A207" s="345">
        <v>33816</v>
      </c>
      <c r="B207" s="1369">
        <v>4.09</v>
      </c>
      <c r="C207" s="29">
        <v>1318430982.01</v>
      </c>
      <c r="D207" s="79"/>
      <c r="J207" s="352"/>
    </row>
    <row r="208" spans="1:10" x14ac:dyDescent="0.2">
      <c r="A208" s="345">
        <v>33847</v>
      </c>
      <c r="B208" s="1369">
        <v>-2.04</v>
      </c>
      <c r="C208" s="29">
        <v>1291923425.55</v>
      </c>
      <c r="D208" s="79"/>
      <c r="J208" s="352"/>
    </row>
    <row r="209" spans="1:10" x14ac:dyDescent="0.2">
      <c r="A209" s="345">
        <v>33877</v>
      </c>
      <c r="B209" s="1369">
        <v>1.17</v>
      </c>
      <c r="C209" s="29">
        <v>1307821337.3199999</v>
      </c>
      <c r="D209" s="79"/>
      <c r="J209" s="352"/>
    </row>
    <row r="210" spans="1:10" x14ac:dyDescent="0.2">
      <c r="A210" s="345">
        <v>33908</v>
      </c>
      <c r="B210" s="1369">
        <v>0.35</v>
      </c>
      <c r="C210" s="29">
        <v>1320308473.74</v>
      </c>
      <c r="D210" s="79"/>
      <c r="J210" s="352"/>
    </row>
    <row r="211" spans="1:10" x14ac:dyDescent="0.2">
      <c r="A211" s="345">
        <v>33938</v>
      </c>
      <c r="B211" s="1369">
        <v>3.39</v>
      </c>
      <c r="C211" s="29">
        <v>1372840457.51</v>
      </c>
      <c r="D211" s="79"/>
      <c r="J211" s="352"/>
    </row>
    <row r="212" spans="1:10" x14ac:dyDescent="0.2">
      <c r="A212" s="345">
        <v>33969</v>
      </c>
      <c r="B212" s="1369">
        <v>1.23</v>
      </c>
      <c r="C212" s="29">
        <v>1397556472.53</v>
      </c>
      <c r="D212" s="79"/>
      <c r="J212" s="352"/>
    </row>
    <row r="213" spans="1:10" x14ac:dyDescent="0.2">
      <c r="A213" s="345">
        <v>34000</v>
      </c>
      <c r="B213" s="1369">
        <v>0.84</v>
      </c>
      <c r="C213" s="29">
        <v>1414286355.6400001</v>
      </c>
      <c r="D213" s="79"/>
      <c r="J213" s="352"/>
    </row>
    <row r="214" spans="1:10" x14ac:dyDescent="0.2">
      <c r="A214" s="345">
        <v>34028</v>
      </c>
      <c r="B214" s="1369">
        <v>1.36</v>
      </c>
      <c r="C214" s="29">
        <v>1415514340.3900001</v>
      </c>
      <c r="D214" s="79"/>
      <c r="J214" s="352"/>
    </row>
    <row r="215" spans="1:10" x14ac:dyDescent="0.2">
      <c r="A215" s="345">
        <v>34059</v>
      </c>
      <c r="B215" s="1369">
        <v>2.11</v>
      </c>
      <c r="C215" s="29">
        <v>1451331329.04</v>
      </c>
      <c r="D215" s="79"/>
      <c r="J215" s="352"/>
    </row>
    <row r="216" spans="1:10" x14ac:dyDescent="0.2">
      <c r="A216" s="345">
        <v>34089</v>
      </c>
      <c r="B216" s="1369">
        <v>-2.41</v>
      </c>
      <c r="C216" s="29">
        <v>1412356963.6199999</v>
      </c>
      <c r="D216" s="79"/>
      <c r="J216" s="352"/>
    </row>
    <row r="217" spans="1:10" x14ac:dyDescent="0.2">
      <c r="A217" s="345">
        <v>34120</v>
      </c>
      <c r="B217" s="1369">
        <v>2.67</v>
      </c>
      <c r="C217" s="29">
        <v>1454170193.27</v>
      </c>
      <c r="D217" s="79"/>
      <c r="J217" s="352"/>
    </row>
    <row r="218" spans="1:10" x14ac:dyDescent="0.2">
      <c r="A218" s="345">
        <v>34150</v>
      </c>
      <c r="B218" s="1369">
        <v>0.3</v>
      </c>
      <c r="C218" s="29">
        <v>1425322968.1099999</v>
      </c>
      <c r="D218" s="79"/>
      <c r="J218" s="352"/>
    </row>
    <row r="219" spans="1:10" x14ac:dyDescent="0.2">
      <c r="A219" s="345">
        <v>34181</v>
      </c>
      <c r="B219" s="1369">
        <v>-0.4</v>
      </c>
      <c r="C219" s="29">
        <v>1424336024.99</v>
      </c>
      <c r="D219" s="79"/>
      <c r="J219" s="352"/>
    </row>
    <row r="220" spans="1:10" x14ac:dyDescent="0.2">
      <c r="A220" s="345">
        <v>34212</v>
      </c>
      <c r="B220" s="1369">
        <v>3.78</v>
      </c>
      <c r="C220" s="29">
        <v>1479943004.03</v>
      </c>
      <c r="D220" s="79"/>
      <c r="J220" s="352"/>
    </row>
    <row r="221" spans="1:10" x14ac:dyDescent="0.2">
      <c r="A221" s="345">
        <v>34242</v>
      </c>
      <c r="B221" s="1369">
        <v>-0.77</v>
      </c>
      <c r="C221" s="29">
        <v>1481084846.6300001</v>
      </c>
      <c r="D221" s="79"/>
      <c r="J221" s="352"/>
    </row>
    <row r="222" spans="1:10" x14ac:dyDescent="0.2">
      <c r="A222" s="345">
        <v>34273</v>
      </c>
      <c r="B222" s="1369">
        <v>2.0699999999999998</v>
      </c>
      <c r="C222" s="29">
        <v>1506483595.2</v>
      </c>
      <c r="D222" s="79"/>
      <c r="J222" s="352"/>
    </row>
    <row r="223" spans="1:10" x14ac:dyDescent="0.2">
      <c r="A223" s="345">
        <v>34303</v>
      </c>
      <c r="B223" s="1369">
        <v>-0.94</v>
      </c>
      <c r="C223" s="29">
        <v>1480275427.6199999</v>
      </c>
      <c r="D223" s="79"/>
      <c r="J223" s="352"/>
    </row>
    <row r="224" spans="1:10" x14ac:dyDescent="0.2">
      <c r="A224" s="345">
        <v>34334</v>
      </c>
      <c r="B224" s="1369">
        <v>1.21</v>
      </c>
      <c r="C224" s="29">
        <v>1508634230.8699999</v>
      </c>
      <c r="D224" s="79"/>
      <c r="J224" s="352"/>
    </row>
    <row r="225" spans="1:10" x14ac:dyDescent="0.2">
      <c r="A225" s="345">
        <v>34365</v>
      </c>
      <c r="B225" s="1369">
        <v>3.4</v>
      </c>
      <c r="C225" s="29">
        <v>1556540449.48</v>
      </c>
      <c r="D225" s="79"/>
      <c r="J225" s="352"/>
    </row>
    <row r="226" spans="1:10" x14ac:dyDescent="0.2">
      <c r="A226" s="345">
        <v>34393</v>
      </c>
      <c r="B226" s="1369">
        <v>-2.71</v>
      </c>
      <c r="C226" s="29">
        <v>1520448614.73</v>
      </c>
      <c r="D226" s="79"/>
      <c r="J226" s="352"/>
    </row>
    <row r="227" spans="1:10" x14ac:dyDescent="0.2">
      <c r="A227" s="345">
        <v>34424</v>
      </c>
      <c r="B227" s="1369">
        <v>-4.3600000000000003</v>
      </c>
      <c r="C227" s="29">
        <v>1452105656.52</v>
      </c>
      <c r="D227" s="79"/>
      <c r="J227" s="352"/>
    </row>
    <row r="228" spans="1:10" x14ac:dyDescent="0.2">
      <c r="A228" s="345">
        <v>34454</v>
      </c>
      <c r="B228" s="1369">
        <v>1.28</v>
      </c>
      <c r="C228" s="29">
        <v>1468312914.1900001</v>
      </c>
      <c r="D228" s="79"/>
      <c r="J228" s="352"/>
    </row>
    <row r="229" spans="1:10" x14ac:dyDescent="0.2">
      <c r="A229" s="345">
        <v>34485</v>
      </c>
      <c r="B229" s="1369">
        <v>1.64</v>
      </c>
      <c r="C229" s="29">
        <v>1482010329.54</v>
      </c>
      <c r="D229" s="79"/>
      <c r="J229" s="352"/>
    </row>
    <row r="230" spans="1:10" x14ac:dyDescent="0.2">
      <c r="A230" s="345">
        <v>34515</v>
      </c>
      <c r="B230" s="1369">
        <v>-2.4500000000000002</v>
      </c>
      <c r="C230" s="29">
        <v>1482010329.54</v>
      </c>
      <c r="D230" s="79"/>
      <c r="J230" s="352"/>
    </row>
    <row r="231" spans="1:10" x14ac:dyDescent="0.2">
      <c r="A231" s="345">
        <v>34546</v>
      </c>
      <c r="B231" s="1369">
        <v>3.28</v>
      </c>
      <c r="C231" s="29">
        <v>1485487583.1700001</v>
      </c>
      <c r="D231" s="79"/>
      <c r="J231" s="352"/>
    </row>
    <row r="232" spans="1:10" x14ac:dyDescent="0.2">
      <c r="A232" s="345">
        <v>34577</v>
      </c>
      <c r="B232" s="1369">
        <v>4.0999999999999996</v>
      </c>
      <c r="C232" s="29">
        <v>1549785700.1400001</v>
      </c>
      <c r="D232" s="79"/>
      <c r="J232" s="352"/>
    </row>
    <row r="233" spans="1:10" x14ac:dyDescent="0.2">
      <c r="A233" s="345">
        <v>34607</v>
      </c>
      <c r="B233" s="1369">
        <v>-2.44</v>
      </c>
      <c r="C233" s="29">
        <v>1519011960.6600001</v>
      </c>
      <c r="D233" s="79"/>
      <c r="J233" s="352"/>
    </row>
    <row r="234" spans="1:10" x14ac:dyDescent="0.2">
      <c r="A234" s="345">
        <v>34638</v>
      </c>
      <c r="B234" s="1369">
        <v>2.2400000000000002</v>
      </c>
      <c r="C234" s="29">
        <v>1544597915.29</v>
      </c>
      <c r="D234" s="79"/>
      <c r="J234" s="352"/>
    </row>
    <row r="235" spans="1:10" x14ac:dyDescent="0.2">
      <c r="A235" s="345">
        <v>34668</v>
      </c>
      <c r="B235" s="1369">
        <v>-3.64</v>
      </c>
      <c r="C235" s="29">
        <v>1486593372.5</v>
      </c>
      <c r="D235" s="79"/>
      <c r="J235" s="352"/>
    </row>
    <row r="236" spans="1:10" x14ac:dyDescent="0.2">
      <c r="A236" s="345">
        <v>34699</v>
      </c>
      <c r="B236" s="1369">
        <v>1.48</v>
      </c>
      <c r="C236" s="29">
        <v>1437348133.75</v>
      </c>
      <c r="D236" s="79"/>
      <c r="J236" s="352"/>
    </row>
    <row r="237" spans="1:10" x14ac:dyDescent="0.2">
      <c r="A237" s="345">
        <v>34730</v>
      </c>
      <c r="B237" s="1369">
        <v>2.59</v>
      </c>
      <c r="C237" s="29">
        <v>1294550169.3800001</v>
      </c>
      <c r="D237" s="79"/>
      <c r="J237" s="352"/>
    </row>
    <row r="238" spans="1:10" x14ac:dyDescent="0.2">
      <c r="A238" s="345">
        <v>34758</v>
      </c>
      <c r="B238" s="1369">
        <v>3.89</v>
      </c>
      <c r="C238" s="29">
        <v>1285352152.4400001</v>
      </c>
      <c r="D238" s="79"/>
      <c r="J238" s="352"/>
    </row>
    <row r="239" spans="1:10" x14ac:dyDescent="0.2">
      <c r="A239" s="345">
        <v>34789</v>
      </c>
      <c r="B239" s="1369">
        <v>2.95</v>
      </c>
      <c r="C239" s="29">
        <v>1089803857.4100001</v>
      </c>
      <c r="D239" s="79"/>
      <c r="J239" s="352"/>
    </row>
    <row r="240" spans="1:10" x14ac:dyDescent="0.2">
      <c r="A240" s="345">
        <v>34819</v>
      </c>
      <c r="B240" s="1369">
        <v>2.95</v>
      </c>
      <c r="C240" s="29">
        <v>1117584113.4000001</v>
      </c>
      <c r="D240" s="79"/>
      <c r="J240" s="352"/>
    </row>
    <row r="241" spans="1:10" x14ac:dyDescent="0.2">
      <c r="A241" s="345">
        <v>34850</v>
      </c>
      <c r="B241" s="1369">
        <v>4</v>
      </c>
      <c r="C241" s="29">
        <v>1157430280.0599999</v>
      </c>
      <c r="D241" s="79"/>
      <c r="J241" s="352"/>
    </row>
    <row r="242" spans="1:10" x14ac:dyDescent="0.2">
      <c r="A242" s="345">
        <v>34880</v>
      </c>
      <c r="B242" s="1369">
        <v>2.3199999999999998</v>
      </c>
      <c r="C242" s="29">
        <v>1192100410.48</v>
      </c>
      <c r="D242" s="79"/>
      <c r="J242" s="352"/>
    </row>
    <row r="243" spans="1:10" x14ac:dyDescent="0.2">
      <c r="A243" s="345">
        <v>34911</v>
      </c>
      <c r="B243" s="1369">
        <v>3.32</v>
      </c>
      <c r="C243" s="29">
        <v>1240834684.5799999</v>
      </c>
      <c r="D243" s="79"/>
      <c r="J243" s="352"/>
    </row>
    <row r="244" spans="1:10" x14ac:dyDescent="0.2">
      <c r="A244" s="345">
        <v>34942</v>
      </c>
      <c r="B244" s="1369">
        <v>0.26</v>
      </c>
      <c r="C244" s="29">
        <v>1167963024.1700001</v>
      </c>
      <c r="D244" s="79"/>
      <c r="J244" s="352"/>
    </row>
    <row r="245" spans="1:10" x14ac:dyDescent="0.2">
      <c r="A245" s="345">
        <v>34972</v>
      </c>
      <c r="B245" s="1369">
        <v>4.22</v>
      </c>
      <c r="C245" s="29">
        <v>1208451345.1300001</v>
      </c>
      <c r="D245" s="79"/>
      <c r="J245" s="352"/>
    </row>
    <row r="246" spans="1:10" x14ac:dyDescent="0.2">
      <c r="A246" s="345">
        <v>35003</v>
      </c>
      <c r="B246" s="1369">
        <v>-0.35</v>
      </c>
      <c r="C246" s="29">
        <v>1189231671.6500001</v>
      </c>
      <c r="D246" s="79"/>
      <c r="J246" s="352"/>
    </row>
    <row r="247" spans="1:10" x14ac:dyDescent="0.2">
      <c r="A247" s="345">
        <v>35033</v>
      </c>
      <c r="B247" s="1369">
        <v>4.3899999999999997</v>
      </c>
      <c r="C247" s="29">
        <v>1240178723.79</v>
      </c>
      <c r="D247" s="79"/>
      <c r="J247" s="352"/>
    </row>
    <row r="248" spans="1:10" x14ac:dyDescent="0.2">
      <c r="A248" s="345">
        <v>35064</v>
      </c>
      <c r="B248" s="1369">
        <v>1.93</v>
      </c>
      <c r="C248" s="29">
        <v>1386376844.3199999</v>
      </c>
      <c r="D248" s="79"/>
      <c r="J248" s="352"/>
    </row>
    <row r="249" spans="1:10" x14ac:dyDescent="0.2">
      <c r="A249" s="345">
        <v>35095</v>
      </c>
      <c r="B249" s="1369">
        <v>3.4</v>
      </c>
      <c r="C249" s="29">
        <v>1409996428.0899999</v>
      </c>
      <c r="D249" s="79"/>
      <c r="J249" s="352"/>
    </row>
    <row r="250" spans="1:10" x14ac:dyDescent="0.2">
      <c r="A250" s="345">
        <v>35124</v>
      </c>
      <c r="B250" s="1369">
        <v>0.94</v>
      </c>
      <c r="C250" s="29">
        <v>1443056078.3599999</v>
      </c>
      <c r="D250" s="79"/>
      <c r="J250" s="352"/>
    </row>
    <row r="251" spans="1:10" x14ac:dyDescent="0.2">
      <c r="A251" s="345">
        <v>35155</v>
      </c>
      <c r="B251" s="1369">
        <v>0.97</v>
      </c>
      <c r="C251" s="29">
        <v>1463819072.4000001</v>
      </c>
      <c r="D251" s="79"/>
      <c r="J251" s="352"/>
    </row>
    <row r="252" spans="1:10" x14ac:dyDescent="0.2">
      <c r="A252" s="345">
        <v>35185</v>
      </c>
      <c r="B252" s="1369">
        <v>1.47</v>
      </c>
      <c r="C252" s="29">
        <v>1511874986.3900001</v>
      </c>
      <c r="D252" s="79"/>
      <c r="J252" s="352"/>
    </row>
    <row r="253" spans="1:10" x14ac:dyDescent="0.2">
      <c r="A253" s="345">
        <v>35216</v>
      </c>
      <c r="B253" s="1369">
        <v>2.57</v>
      </c>
      <c r="C253" s="29">
        <v>1697969112.8800001</v>
      </c>
      <c r="D253" s="79"/>
      <c r="J253" s="352"/>
    </row>
    <row r="254" spans="1:10" x14ac:dyDescent="0.2">
      <c r="A254" s="345">
        <v>35246</v>
      </c>
      <c r="B254" s="1369">
        <v>0.38</v>
      </c>
      <c r="C254" s="29">
        <v>1304368053.3</v>
      </c>
      <c r="D254" s="79"/>
      <c r="J254" s="352"/>
    </row>
    <row r="255" spans="1:10" x14ac:dyDescent="0.2">
      <c r="A255" s="345">
        <v>35277</v>
      </c>
      <c r="B255" s="1369">
        <v>-4.42</v>
      </c>
      <c r="C255" s="29">
        <v>1218972119.0599999</v>
      </c>
      <c r="D255" s="79"/>
      <c r="J255" s="352"/>
    </row>
    <row r="256" spans="1:10" x14ac:dyDescent="0.2">
      <c r="A256" s="345">
        <v>35308</v>
      </c>
      <c r="B256" s="1369">
        <v>2.1</v>
      </c>
      <c r="C256" s="29">
        <v>1277325970.6900001</v>
      </c>
      <c r="D256" s="79"/>
      <c r="J256" s="352"/>
    </row>
    <row r="257" spans="1:10" x14ac:dyDescent="0.2">
      <c r="A257" s="345">
        <v>35338</v>
      </c>
      <c r="B257" s="1369">
        <v>5.63</v>
      </c>
      <c r="C257" s="29">
        <v>1340098193.8099999</v>
      </c>
      <c r="D257" s="79"/>
      <c r="J257" s="352"/>
    </row>
    <row r="258" spans="1:10" x14ac:dyDescent="0.2">
      <c r="A258" s="345">
        <v>35369</v>
      </c>
      <c r="B258" s="1369">
        <v>2.76</v>
      </c>
      <c r="C258" s="29">
        <v>1339654373.8499999</v>
      </c>
      <c r="D258" s="79"/>
      <c r="J258" s="352"/>
    </row>
    <row r="259" spans="1:10" x14ac:dyDescent="0.2">
      <c r="A259" s="345">
        <v>35399</v>
      </c>
      <c r="B259" s="1369">
        <v>7.57</v>
      </c>
      <c r="C259" s="29">
        <v>1340106497.49</v>
      </c>
      <c r="D259" s="79"/>
      <c r="J259" s="352"/>
    </row>
    <row r="260" spans="1:10" x14ac:dyDescent="0.2">
      <c r="A260" s="345">
        <v>35430</v>
      </c>
      <c r="B260" s="1369">
        <v>-1.98</v>
      </c>
      <c r="C260" s="29">
        <v>1378384506.2</v>
      </c>
      <c r="D260" s="79"/>
      <c r="J260" s="352"/>
    </row>
    <row r="261" spans="1:10" x14ac:dyDescent="0.2">
      <c r="A261" s="345">
        <v>35461</v>
      </c>
      <c r="B261" s="1369">
        <v>6.25</v>
      </c>
      <c r="C261" s="29">
        <v>2158418192.4899998</v>
      </c>
      <c r="D261" s="79"/>
      <c r="J261" s="352"/>
    </row>
    <row r="262" spans="1:10" x14ac:dyDescent="0.2">
      <c r="A262" s="345">
        <v>35489</v>
      </c>
      <c r="B262" s="1369">
        <v>0.8</v>
      </c>
      <c r="C262" s="29">
        <v>2195840337.9200001</v>
      </c>
      <c r="D262" s="79"/>
      <c r="E262" s="14">
        <f>B262-Index_Returns!B262</f>
        <v>1.6000000000000014E-2</v>
      </c>
      <c r="J262" s="352"/>
    </row>
    <row r="263" spans="1:10" x14ac:dyDescent="0.2">
      <c r="A263" s="345">
        <v>35520</v>
      </c>
      <c r="B263" s="1369">
        <v>-4.1100000000000003</v>
      </c>
      <c r="C263" s="29">
        <v>1695516854.79</v>
      </c>
      <c r="D263" s="79"/>
      <c r="E263" s="14">
        <f>B263-Index_Returns!B263</f>
        <v>-1.000000000000334E-3</v>
      </c>
      <c r="J263" s="352"/>
    </row>
    <row r="264" spans="1:10" x14ac:dyDescent="0.2">
      <c r="A264" s="345">
        <v>35550</v>
      </c>
      <c r="B264" s="1369">
        <v>5.99</v>
      </c>
      <c r="C264" s="29">
        <v>1563438467.0799999</v>
      </c>
      <c r="D264" s="79"/>
      <c r="E264" s="14">
        <f>B264-Index_Returns!B264</f>
        <v>2.0000000000000462E-2</v>
      </c>
      <c r="J264" s="352"/>
    </row>
    <row r="265" spans="1:10" x14ac:dyDescent="0.2">
      <c r="A265" s="345">
        <v>35581</v>
      </c>
      <c r="B265" s="1369">
        <v>6.08</v>
      </c>
      <c r="C265" s="29">
        <v>1695012198.46</v>
      </c>
      <c r="D265" s="79"/>
      <c r="E265" s="14">
        <f>B265-Index_Returns!B265</f>
        <v>-8.0000000000000071E-3</v>
      </c>
      <c r="J265" s="352"/>
    </row>
    <row r="266" spans="1:10" x14ac:dyDescent="0.2">
      <c r="A266" s="345">
        <v>35611</v>
      </c>
      <c r="B266" s="1369">
        <v>4.4800000000000004</v>
      </c>
      <c r="C266" s="29">
        <v>1767133133.4200001</v>
      </c>
      <c r="D266" s="79"/>
      <c r="E266" s="14">
        <f>B266-Index_Returns!B266</f>
        <v>0</v>
      </c>
      <c r="J266" s="352"/>
    </row>
    <row r="267" spans="1:10" x14ac:dyDescent="0.2">
      <c r="A267" s="345">
        <v>35642</v>
      </c>
      <c r="B267" s="1369">
        <v>7.97</v>
      </c>
      <c r="C267" s="29">
        <v>1610590047.97</v>
      </c>
      <c r="D267" s="79"/>
      <c r="E267" s="14">
        <f>B267-Index_Returns!B267</f>
        <v>1.2999999999999901E-2</v>
      </c>
      <c r="J267" s="352"/>
    </row>
    <row r="268" spans="1:10" x14ac:dyDescent="0.2">
      <c r="A268" s="345">
        <v>35673</v>
      </c>
      <c r="B268" s="1369">
        <v>-5.61</v>
      </c>
      <c r="C268" s="29">
        <v>1595683025.6800001</v>
      </c>
      <c r="D268" s="79"/>
      <c r="E268" s="14">
        <f>B268-Index_Returns!B268</f>
        <v>-8.0000000000000071E-3</v>
      </c>
      <c r="J268" s="352"/>
    </row>
    <row r="269" spans="1:10" x14ac:dyDescent="0.2">
      <c r="A269" s="345">
        <v>35703</v>
      </c>
      <c r="B269" s="1369">
        <v>5.48</v>
      </c>
      <c r="C269" s="29">
        <v>1698269517.8299999</v>
      </c>
      <c r="D269" s="79"/>
      <c r="E269" s="14">
        <f>B269-Index_Returns!B269</f>
        <v>3.0000000000001137E-3</v>
      </c>
      <c r="J269" s="352"/>
    </row>
    <row r="270" spans="1:10" x14ac:dyDescent="0.2">
      <c r="A270" s="345">
        <v>35734</v>
      </c>
      <c r="B270" s="1369">
        <v>-3.34</v>
      </c>
      <c r="C270" s="29">
        <v>1481296600.74</v>
      </c>
      <c r="D270" s="79"/>
      <c r="E270" s="14">
        <f>B270-Index_Returns!B270</f>
        <v>0</v>
      </c>
      <c r="J270" s="352"/>
    </row>
    <row r="271" spans="1:10" x14ac:dyDescent="0.2">
      <c r="A271" s="345">
        <v>35764</v>
      </c>
      <c r="B271" s="1369">
        <v>4.63</v>
      </c>
      <c r="C271" s="29">
        <v>1452877627.77</v>
      </c>
      <c r="D271" s="79"/>
      <c r="E271" s="14">
        <f>B271-Index_Returns!B271</f>
        <v>1.000000000000334E-3</v>
      </c>
      <c r="J271" s="352"/>
    </row>
    <row r="272" spans="1:10" x14ac:dyDescent="0.2">
      <c r="A272" s="345">
        <v>35795</v>
      </c>
      <c r="B272" s="1369">
        <v>1.72</v>
      </c>
      <c r="C272" s="29">
        <v>1486209406.4000001</v>
      </c>
      <c r="D272" s="79"/>
      <c r="E272" s="14">
        <f>B272-Index_Returns!B272</f>
        <v>2.9999999999998916E-3</v>
      </c>
      <c r="J272" s="352"/>
    </row>
    <row r="273" spans="1:10" x14ac:dyDescent="0.2">
      <c r="A273" s="345">
        <v>35826</v>
      </c>
      <c r="B273" s="1369">
        <v>1.1000000000000001</v>
      </c>
      <c r="C273" s="29">
        <v>1339185842.8900001</v>
      </c>
      <c r="D273" s="79"/>
      <c r="E273" s="14">
        <f>B273-Index_Returns!B273</f>
        <v>-6.0000000000000053E-3</v>
      </c>
      <c r="J273" s="352"/>
    </row>
    <row r="274" spans="1:10" x14ac:dyDescent="0.2">
      <c r="A274" s="345">
        <v>35854</v>
      </c>
      <c r="B274" s="1369">
        <v>7.22</v>
      </c>
      <c r="C274" s="29">
        <v>1075255051.3900001</v>
      </c>
      <c r="D274" s="79"/>
      <c r="E274" s="14">
        <f>B274-Index_Returns!B274</f>
        <v>8.0000000000000071E-3</v>
      </c>
      <c r="J274" s="352"/>
    </row>
    <row r="275" spans="1:10" x14ac:dyDescent="0.2">
      <c r="A275" s="345">
        <v>35885</v>
      </c>
      <c r="B275" s="1369">
        <v>5.12</v>
      </c>
      <c r="C275" s="29">
        <v>1123945864.02</v>
      </c>
      <c r="D275" s="79"/>
      <c r="E275" s="14">
        <f>B275-Index_Returns!B275</f>
        <v>-1.000000000000334E-3</v>
      </c>
      <c r="J275" s="352"/>
    </row>
    <row r="276" spans="1:10" x14ac:dyDescent="0.2">
      <c r="A276" s="345">
        <v>35915</v>
      </c>
      <c r="B276" s="1369">
        <v>1.01</v>
      </c>
      <c r="C276" s="29">
        <v>1375103080.6700001</v>
      </c>
      <c r="D276" s="79"/>
      <c r="E276" s="14">
        <f>B276-Index_Returns!B276</f>
        <v>4.0000000000000036E-3</v>
      </c>
      <c r="J276" s="352"/>
    </row>
    <row r="277" spans="1:10" x14ac:dyDescent="0.2">
      <c r="A277" s="345">
        <v>35946</v>
      </c>
      <c r="B277" s="1369">
        <v>-1.71</v>
      </c>
      <c r="C277" s="29">
        <v>1315195603.8299999</v>
      </c>
      <c r="D277" s="79"/>
      <c r="E277" s="14">
        <f>B277-Index_Returns!B277</f>
        <v>9.000000000000119E-3</v>
      </c>
      <c r="J277" s="352"/>
    </row>
    <row r="278" spans="1:10" x14ac:dyDescent="0.2">
      <c r="A278" s="345">
        <v>35976</v>
      </c>
      <c r="B278" s="1369">
        <v>4.05</v>
      </c>
      <c r="C278" s="29">
        <v>1328346240.6099999</v>
      </c>
      <c r="D278" s="79"/>
      <c r="E278" s="14">
        <f>B278-Index_Returns!B278</f>
        <v>-1.2000000000000455E-2</v>
      </c>
      <c r="J278" s="352"/>
    </row>
    <row r="279" spans="1:10" x14ac:dyDescent="0.2">
      <c r="A279" s="345">
        <v>36007</v>
      </c>
      <c r="B279" s="1369">
        <v>-1.06</v>
      </c>
      <c r="C279" s="29">
        <v>824563736.27999997</v>
      </c>
      <c r="D279" s="79"/>
      <c r="E279" s="14">
        <f>B279-Index_Returns!B279</f>
        <v>4.9999999999998934E-3</v>
      </c>
      <c r="J279" s="352"/>
    </row>
    <row r="280" spans="1:10" x14ac:dyDescent="0.2">
      <c r="A280" s="345">
        <v>36038</v>
      </c>
      <c r="B280" s="1369">
        <v>-14.45</v>
      </c>
      <c r="C280" s="29">
        <v>102952079.15000001</v>
      </c>
      <c r="D280" s="79"/>
      <c r="E280" s="14">
        <f>B280-Index_Returns!B280</f>
        <v>8.0000000000008953E-3</v>
      </c>
      <c r="J280" s="352"/>
    </row>
    <row r="281" spans="1:10" x14ac:dyDescent="0.2">
      <c r="A281" s="345">
        <v>36068</v>
      </c>
      <c r="B281" s="1369">
        <v>6.4</v>
      </c>
      <c r="C281" s="29">
        <v>269145025.27999997</v>
      </c>
      <c r="D281" s="79"/>
      <c r="E281" s="14">
        <f>B281-Index_Returns!B281</f>
        <v>-5.9999999999993392E-3</v>
      </c>
      <c r="J281" s="352"/>
    </row>
    <row r="282" spans="1:10" x14ac:dyDescent="0.2">
      <c r="A282" s="345">
        <v>36099</v>
      </c>
      <c r="B282" s="1369">
        <v>8.15</v>
      </c>
      <c r="C282" s="29">
        <v>789299465.67999995</v>
      </c>
      <c r="D282" s="79"/>
      <c r="E282" s="14">
        <f>B282-Index_Returns!B282</f>
        <v>1.6000000000000014E-2</v>
      </c>
      <c r="J282" s="352"/>
    </row>
    <row r="283" spans="1:10" x14ac:dyDescent="0.2">
      <c r="A283" s="345">
        <v>36129</v>
      </c>
      <c r="B283" s="1369">
        <v>6.06</v>
      </c>
      <c r="C283" s="29">
        <v>842486804.80999994</v>
      </c>
      <c r="D283" s="79"/>
      <c r="E283" s="14">
        <f>B283-Index_Returns!B283</f>
        <v>0</v>
      </c>
      <c r="J283" s="352"/>
    </row>
    <row r="284" spans="1:10" x14ac:dyDescent="0.2">
      <c r="A284" s="345">
        <v>36160</v>
      </c>
      <c r="B284" s="1369">
        <v>5.76</v>
      </c>
      <c r="C284" s="29">
        <v>469273150.19999999</v>
      </c>
      <c r="D284" s="79"/>
      <c r="E284" s="14">
        <f>B284-Index_Returns!B284</f>
        <v>-1.9999999999997797E-3</v>
      </c>
      <c r="J284" s="352"/>
    </row>
    <row r="285" spans="1:10" x14ac:dyDescent="0.2">
      <c r="A285" s="345">
        <v>36191</v>
      </c>
      <c r="B285" s="1369">
        <v>4.2</v>
      </c>
      <c r="C285" s="29">
        <v>394500546.69999999</v>
      </c>
      <c r="D285" s="79"/>
      <c r="E285" s="14">
        <f>B285-Index_Returns!B285</f>
        <v>1.7999999999999794E-2</v>
      </c>
      <c r="J285" s="352"/>
    </row>
    <row r="286" spans="1:10" x14ac:dyDescent="0.2">
      <c r="A286" s="345">
        <v>36219</v>
      </c>
      <c r="B286" s="1369">
        <v>-3.11</v>
      </c>
      <c r="C286" s="29">
        <v>377717077.74000001</v>
      </c>
      <c r="D286" s="79"/>
      <c r="E286" s="14">
        <f>B286-Index_Returns!B286</f>
        <v>-1.9999999999997797E-3</v>
      </c>
      <c r="J286" s="352"/>
    </row>
    <row r="287" spans="1:10" x14ac:dyDescent="0.2">
      <c r="A287" s="345">
        <v>36250</v>
      </c>
      <c r="B287" s="1369">
        <v>4</v>
      </c>
      <c r="C287" s="29">
        <v>393043406.08999997</v>
      </c>
      <c r="D287" s="79"/>
      <c r="E287" s="14">
        <f>B287-Index_Returns!B287</f>
        <v>-1.000000000000334E-3</v>
      </c>
      <c r="J287" s="352"/>
    </row>
    <row r="288" spans="1:10" x14ac:dyDescent="0.2">
      <c r="A288" s="345">
        <v>36280</v>
      </c>
      <c r="B288" s="1369">
        <v>3.89</v>
      </c>
      <c r="C288" s="29">
        <v>409411798.69</v>
      </c>
      <c r="D288" s="79"/>
      <c r="E288" s="14">
        <f>B288-Index_Returns!B288</f>
        <v>1.6999999999999904E-2</v>
      </c>
      <c r="J288" s="352"/>
    </row>
    <row r="289" spans="1:10" x14ac:dyDescent="0.2">
      <c r="A289" s="345">
        <v>36311</v>
      </c>
      <c r="B289" s="1369">
        <v>-2.36</v>
      </c>
      <c r="C289" s="29">
        <v>399121547.16000003</v>
      </c>
      <c r="D289" s="79"/>
      <c r="E289" s="14">
        <f>B289-Index_Returns!B289</f>
        <v>1.000000000000334E-3</v>
      </c>
      <c r="J289" s="352"/>
    </row>
    <row r="290" spans="1:10" x14ac:dyDescent="0.2">
      <c r="A290" s="345">
        <v>36341</v>
      </c>
      <c r="B290" s="1369">
        <v>5.54</v>
      </c>
      <c r="C290" s="29">
        <v>0</v>
      </c>
      <c r="D290" s="79"/>
      <c r="E290" s="14">
        <f>B290-Index_Returns!B290</f>
        <v>-9.9999999999997868E-3</v>
      </c>
      <c r="J290" s="352"/>
    </row>
    <row r="291" spans="1:10" x14ac:dyDescent="0.2">
      <c r="A291" s="345">
        <v>36372</v>
      </c>
      <c r="B291" s="1369">
        <v>-3.12</v>
      </c>
      <c r="C291" s="29">
        <v>0</v>
      </c>
      <c r="D291" s="79"/>
      <c r="E291" s="14">
        <f>B291-Index_Returns!B291</f>
        <v>1.9999999999997797E-3</v>
      </c>
      <c r="J291" s="352"/>
    </row>
    <row r="292" spans="1:10" x14ac:dyDescent="0.2">
      <c r="A292" s="345">
        <v>36403</v>
      </c>
      <c r="B292" s="1369">
        <v>-0.5</v>
      </c>
      <c r="C292" s="29">
        <v>783986216.00999999</v>
      </c>
      <c r="D292" s="79"/>
      <c r="E292" s="14">
        <f>B292-Index_Returns!B292</f>
        <v>0</v>
      </c>
      <c r="J292" s="352"/>
    </row>
    <row r="293" spans="1:10" x14ac:dyDescent="0.2">
      <c r="A293" s="345">
        <v>36433</v>
      </c>
      <c r="B293" s="1369">
        <v>-2.76</v>
      </c>
      <c r="C293" s="29">
        <v>714479055.55999994</v>
      </c>
      <c r="D293" s="79"/>
      <c r="E293" s="14">
        <f>B293-Index_Returns!B293</f>
        <v>-1.9999999999999574E-2</v>
      </c>
      <c r="J293" s="352"/>
    </row>
    <row r="294" spans="1:10" x14ac:dyDescent="0.2">
      <c r="A294" s="345">
        <v>36464</v>
      </c>
      <c r="B294" s="1369">
        <v>6.33</v>
      </c>
      <c r="C294" s="29">
        <v>696876991.75999999</v>
      </c>
      <c r="D294" s="79"/>
      <c r="E294" s="14">
        <f>B294-Index_Returns!B294</f>
        <v>0</v>
      </c>
      <c r="J294" s="352"/>
    </row>
    <row r="295" spans="1:10" x14ac:dyDescent="0.2">
      <c r="A295" s="345">
        <v>36494</v>
      </c>
      <c r="B295" s="1369">
        <v>2.02</v>
      </c>
      <c r="C295" s="29">
        <v>710592102.15999997</v>
      </c>
      <c r="D295" s="79"/>
      <c r="E295" s="14">
        <f>B295-Index_Returns!B295</f>
        <v>-9.9999999999997868E-3</v>
      </c>
      <c r="J295" s="352"/>
    </row>
    <row r="296" spans="1:10" x14ac:dyDescent="0.2">
      <c r="A296" s="345">
        <v>36525</v>
      </c>
      <c r="B296" s="1369">
        <v>5.9</v>
      </c>
      <c r="C296" s="29">
        <v>752531538.25999999</v>
      </c>
      <c r="D296" s="79"/>
      <c r="E296" s="14">
        <f>B296-Index_Returns!B296</f>
        <v>1.0000000000000675E-2</v>
      </c>
      <c r="J296" s="352"/>
    </row>
    <row r="297" spans="1:10" x14ac:dyDescent="0.2">
      <c r="A297" s="345">
        <v>36556</v>
      </c>
      <c r="B297" s="1369">
        <v>-5.03</v>
      </c>
      <c r="C297" s="29">
        <v>714702409.64999998</v>
      </c>
      <c r="D297" s="79"/>
      <c r="E297" s="14">
        <f>B297-Index_Returns!B297</f>
        <v>-6.0000000000002274E-3</v>
      </c>
      <c r="J297" s="352"/>
    </row>
    <row r="298" spans="1:10" x14ac:dyDescent="0.2">
      <c r="A298" s="345">
        <v>36585</v>
      </c>
      <c r="B298" s="1369">
        <v>-1.93</v>
      </c>
      <c r="C298" s="29">
        <v>548927610.27999997</v>
      </c>
      <c r="D298" s="79"/>
      <c r="E298" s="14">
        <f>B298-Index_Returns!B298</f>
        <v>-3.6999999999999922E-2</v>
      </c>
      <c r="J298" s="352"/>
    </row>
    <row r="299" spans="1:10" x14ac:dyDescent="0.2">
      <c r="A299" s="345">
        <v>36616</v>
      </c>
      <c r="B299" s="1369">
        <v>9.76</v>
      </c>
      <c r="C299" s="29">
        <v>563147154.99000001</v>
      </c>
      <c r="D299" s="79"/>
      <c r="E299" s="14">
        <f>B299-Index_Returns!B299</f>
        <v>-2.2999999999999687E-2</v>
      </c>
      <c r="J299" s="352"/>
    </row>
    <row r="300" spans="1:10" x14ac:dyDescent="0.2">
      <c r="A300" s="345">
        <v>36646</v>
      </c>
      <c r="B300" s="1369">
        <v>-3</v>
      </c>
      <c r="C300" s="29">
        <v>546261030.59000003</v>
      </c>
      <c r="D300" s="79"/>
      <c r="E300" s="14">
        <f>B300-Index_Returns!B300</f>
        <v>8.999999999999897E-3</v>
      </c>
      <c r="J300" s="352"/>
    </row>
    <row r="301" spans="1:10" x14ac:dyDescent="0.2">
      <c r="A301" s="345">
        <v>36677</v>
      </c>
      <c r="B301" s="1369">
        <v>-2.0499999999999998</v>
      </c>
      <c r="C301" s="29">
        <v>474173620.31999999</v>
      </c>
      <c r="D301" s="79"/>
      <c r="E301" s="14">
        <f>B301-Index_Returns!B301</f>
        <v>2.0000000000002238E-3</v>
      </c>
      <c r="J301" s="352"/>
    </row>
    <row r="302" spans="1:10" x14ac:dyDescent="0.2">
      <c r="A302" s="345">
        <v>36707</v>
      </c>
      <c r="B302" s="1369">
        <v>2.46</v>
      </c>
      <c r="C302" s="29">
        <v>425298484.75999999</v>
      </c>
      <c r="D302" s="79"/>
      <c r="E302" s="14">
        <f>B302-Index_Returns!B302</f>
        <v>-4.9999999999998934E-3</v>
      </c>
      <c r="J302" s="352"/>
    </row>
    <row r="303" spans="1:10" x14ac:dyDescent="0.2">
      <c r="A303" s="345">
        <v>36738</v>
      </c>
      <c r="B303" s="1369">
        <v>-1.54</v>
      </c>
      <c r="C303" s="29">
        <v>374408257.57999998</v>
      </c>
      <c r="D303" s="79"/>
      <c r="E303" s="14">
        <f>B303-Index_Returns!B303</f>
        <v>2.2999999999999909E-2</v>
      </c>
      <c r="J303" s="352"/>
    </row>
    <row r="304" spans="1:10" x14ac:dyDescent="0.2">
      <c r="A304" s="345">
        <v>36769</v>
      </c>
      <c r="B304" s="1369">
        <v>6.21</v>
      </c>
      <c r="C304" s="29">
        <v>310059558.94</v>
      </c>
      <c r="D304" s="79"/>
      <c r="E304" s="14">
        <f>B304-Index_Returns!B304</f>
        <v>-1.000000000000334E-3</v>
      </c>
      <c r="J304" s="352"/>
    </row>
    <row r="305" spans="1:10" x14ac:dyDescent="0.2">
      <c r="A305" s="345">
        <v>36799</v>
      </c>
      <c r="B305" s="1369">
        <v>-5.28</v>
      </c>
      <c r="C305" s="29">
        <v>1704598594.4400001</v>
      </c>
      <c r="D305" s="79"/>
      <c r="E305" s="14">
        <f>B305-Index_Returns!B305</f>
        <v>-1.000000000000334E-3</v>
      </c>
      <c r="J305" s="352"/>
    </row>
    <row r="306" spans="1:10" x14ac:dyDescent="0.2">
      <c r="A306" s="345">
        <v>36830</v>
      </c>
      <c r="B306" s="1369">
        <v>-0.42</v>
      </c>
      <c r="C306" s="29">
        <v>1624050384.01</v>
      </c>
      <c r="D306" s="79"/>
      <c r="E306" s="14">
        <f>B306-Index_Returns!B306</f>
        <v>3.0000000000000027E-3</v>
      </c>
      <c r="J306" s="352"/>
    </row>
    <row r="307" spans="1:10" x14ac:dyDescent="0.2">
      <c r="A307" s="345">
        <v>36860</v>
      </c>
      <c r="B307" s="1369">
        <v>-7.88</v>
      </c>
      <c r="C307" s="29">
        <v>1511519452.3199999</v>
      </c>
      <c r="D307" s="79"/>
      <c r="E307" s="14">
        <f>B307-Index_Returns!B307</f>
        <v>4.0000000000004476E-3</v>
      </c>
      <c r="J307" s="352"/>
    </row>
    <row r="308" spans="1:10" x14ac:dyDescent="0.2">
      <c r="A308" s="345">
        <v>36891</v>
      </c>
      <c r="B308" s="1369">
        <v>0.5</v>
      </c>
      <c r="C308" s="29">
        <v>1668427436.6199999</v>
      </c>
      <c r="D308" s="79"/>
      <c r="E308" s="14">
        <f>B308-Index_Returns!B308</f>
        <v>1.100000000000001E-2</v>
      </c>
      <c r="J308" s="352"/>
    </row>
    <row r="309" spans="1:10" x14ac:dyDescent="0.2">
      <c r="A309" s="345">
        <v>36922</v>
      </c>
      <c r="B309" s="1369">
        <v>3.55</v>
      </c>
      <c r="C309" s="29">
        <v>2038261030.4200001</v>
      </c>
      <c r="D309" s="79"/>
      <c r="E309" s="14">
        <f>B309-Index_Returns!B309</f>
        <v>0</v>
      </c>
      <c r="J309" s="352"/>
    </row>
    <row r="310" spans="1:10" x14ac:dyDescent="0.2">
      <c r="A310" s="345">
        <v>36950</v>
      </c>
      <c r="B310" s="1369">
        <v>-9.1199999999999992</v>
      </c>
      <c r="C310" s="29">
        <v>1852463453.54</v>
      </c>
      <c r="D310" s="79"/>
      <c r="E310" s="14">
        <f>B310-Index_Returns!B310</f>
        <v>-1.9999999999988916E-3</v>
      </c>
      <c r="J310" s="352"/>
    </row>
    <row r="311" spans="1:10" x14ac:dyDescent="0.2">
      <c r="A311" s="345">
        <v>36981</v>
      </c>
      <c r="B311" s="1369">
        <v>-6.33</v>
      </c>
      <c r="C311" s="29">
        <v>1671293983.9000001</v>
      </c>
      <c r="D311" s="79"/>
      <c r="E311" s="14">
        <f>B311-Index_Returns!B311</f>
        <v>4.9999999999998934E-3</v>
      </c>
      <c r="J311" s="352"/>
    </row>
    <row r="312" spans="1:10" x14ac:dyDescent="0.2">
      <c r="A312" s="345">
        <v>37011</v>
      </c>
      <c r="B312" s="1369">
        <v>7.78</v>
      </c>
      <c r="C312" s="29">
        <v>2353096495.6100001</v>
      </c>
      <c r="D312" s="79"/>
      <c r="E312" s="14">
        <f>B312-Index_Returns!B312</f>
        <v>9.0000000000003411E-3</v>
      </c>
      <c r="J312" s="352"/>
    </row>
    <row r="313" spans="1:10" x14ac:dyDescent="0.2">
      <c r="A313" s="345">
        <v>37042</v>
      </c>
      <c r="B313" s="1369">
        <v>0.67</v>
      </c>
      <c r="C313" s="29">
        <v>2300783441.8000002</v>
      </c>
      <c r="D313" s="79"/>
      <c r="E313" s="14">
        <f>B313-Index_Returns!B313</f>
        <v>0</v>
      </c>
      <c r="J313" s="352"/>
    </row>
    <row r="314" spans="1:10" x14ac:dyDescent="0.2">
      <c r="A314" s="345">
        <v>37072</v>
      </c>
      <c r="B314" s="1369">
        <v>-2.42</v>
      </c>
      <c r="C314" s="29">
        <v>2225061033.4499998</v>
      </c>
      <c r="D314" s="79"/>
      <c r="E314" s="14">
        <f>B314-Index_Returns!B314</f>
        <v>1.4000000000000234E-2</v>
      </c>
      <c r="J314" s="352"/>
    </row>
    <row r="315" spans="1:10" x14ac:dyDescent="0.2">
      <c r="A315" s="345">
        <v>37103</v>
      </c>
      <c r="B315" s="1369">
        <v>-1</v>
      </c>
      <c r="C315" s="29">
        <v>2141867656.47</v>
      </c>
      <c r="D315" s="79"/>
      <c r="E315" s="14">
        <f>B315-Index_Returns!B315</f>
        <v>-1.6000000000000014E-2</v>
      </c>
      <c r="J315" s="352"/>
    </row>
    <row r="316" spans="1:10" x14ac:dyDescent="0.2">
      <c r="A316" s="345">
        <v>37134</v>
      </c>
      <c r="B316" s="1369">
        <v>-6.26</v>
      </c>
      <c r="C316" s="29">
        <v>1940579918.24</v>
      </c>
      <c r="D316" s="79"/>
      <c r="E316" s="14">
        <f>B316-Index_Returns!B316</f>
        <v>0</v>
      </c>
      <c r="J316" s="352"/>
    </row>
    <row r="317" spans="1:10" x14ac:dyDescent="0.2">
      <c r="A317" s="345">
        <v>37164</v>
      </c>
      <c r="B317" s="1369">
        <v>-8.08</v>
      </c>
      <c r="C317" s="29">
        <v>1716939145.0699999</v>
      </c>
      <c r="D317" s="79"/>
      <c r="E317" s="14">
        <f>B317-Index_Returns!B317</f>
        <v>-5.0000000000007816E-3</v>
      </c>
      <c r="J317" s="352"/>
    </row>
    <row r="318" spans="1:10" x14ac:dyDescent="0.2">
      <c r="A318" s="345">
        <v>37195</v>
      </c>
      <c r="B318" s="1369">
        <v>1.91</v>
      </c>
      <c r="C318" s="29">
        <v>2125271842.01</v>
      </c>
      <c r="D318" s="79"/>
      <c r="E318" s="14">
        <f>B318-Index_Returns!B318</f>
        <v>2.9999999999998916E-3</v>
      </c>
      <c r="J318" s="352"/>
    </row>
    <row r="319" spans="1:10" x14ac:dyDescent="0.2">
      <c r="A319" s="345">
        <v>37225</v>
      </c>
      <c r="B319" s="1369">
        <v>7.67</v>
      </c>
      <c r="C319" s="29">
        <v>2188674244.0799999</v>
      </c>
      <c r="D319" s="79"/>
      <c r="E319" s="14">
        <f>B319-Index_Returns!B319</f>
        <v>-1.000000000000334E-3</v>
      </c>
      <c r="J319" s="352"/>
    </row>
    <row r="320" spans="1:10" x14ac:dyDescent="0.2">
      <c r="A320" s="345">
        <v>37256</v>
      </c>
      <c r="B320" s="1369">
        <v>0.88</v>
      </c>
      <c r="C320" s="29">
        <v>2142716986.23</v>
      </c>
      <c r="D320" s="79"/>
      <c r="E320" s="14">
        <f>B320-Index_Returns!B320</f>
        <v>4.0000000000000036E-3</v>
      </c>
      <c r="J320" s="352"/>
    </row>
    <row r="321" spans="1:10" x14ac:dyDescent="0.2">
      <c r="A321" s="345">
        <v>37287</v>
      </c>
      <c r="B321" s="1369">
        <v>-1.46</v>
      </c>
      <c r="C321" s="29">
        <v>2086409527.3099999</v>
      </c>
      <c r="D321" s="79"/>
      <c r="E321" s="14">
        <f>B321-Index_Returns!B321</f>
        <v>-9.9999999999988987E-4</v>
      </c>
      <c r="J321" s="352"/>
    </row>
    <row r="322" spans="1:10" x14ac:dyDescent="0.2">
      <c r="A322" s="345">
        <v>37315</v>
      </c>
      <c r="B322" s="1369">
        <v>-1.93</v>
      </c>
      <c r="C322" s="29">
        <v>1984793895.6400001</v>
      </c>
      <c r="D322" s="79"/>
      <c r="E322" s="14">
        <f>B322-Index_Returns!B322</f>
        <v>-2.0000000000000018E-3</v>
      </c>
      <c r="J322" s="352"/>
    </row>
    <row r="323" spans="1:10" x14ac:dyDescent="0.2">
      <c r="A323" s="345">
        <v>37346</v>
      </c>
      <c r="B323" s="1369">
        <v>3.76</v>
      </c>
      <c r="C323" s="29">
        <v>1983386397.0999999</v>
      </c>
      <c r="D323" s="79"/>
      <c r="E323" s="14">
        <f>B323-Index_Returns!B323</f>
        <v>-1.000000000000334E-3</v>
      </c>
      <c r="J323" s="352"/>
    </row>
    <row r="324" spans="1:10" x14ac:dyDescent="0.2">
      <c r="A324" s="345">
        <v>37376</v>
      </c>
      <c r="B324" s="1369">
        <v>-6.06</v>
      </c>
      <c r="C324" s="29">
        <v>1714946982.5699999</v>
      </c>
      <c r="D324" s="79"/>
      <c r="E324" s="14">
        <f>B324-Index_Returns!B324</f>
        <v>3.0000000000001137E-3</v>
      </c>
      <c r="J324" s="352"/>
    </row>
    <row r="325" spans="1:10" x14ac:dyDescent="0.2">
      <c r="A325" s="345">
        <v>37407</v>
      </c>
      <c r="B325" s="1369">
        <v>-0.74</v>
      </c>
      <c r="C325" s="29">
        <v>1702327640.3599999</v>
      </c>
      <c r="D325" s="79"/>
      <c r="E325" s="14">
        <f>B325-Index_Returns!B325</f>
        <v>-3.0000000000000027E-3</v>
      </c>
      <c r="J325" s="352"/>
    </row>
    <row r="326" spans="1:10" x14ac:dyDescent="0.2">
      <c r="A326" s="345">
        <v>37437</v>
      </c>
      <c r="B326" s="1369">
        <v>-7.12</v>
      </c>
      <c r="C326" s="29">
        <v>1581209136.4300001</v>
      </c>
      <c r="D326" s="79"/>
      <c r="E326" s="14">
        <f>B326-Index_Returns!B326</f>
        <v>3.9999999999995595E-3</v>
      </c>
      <c r="J326" s="352"/>
    </row>
    <row r="327" spans="1:10" x14ac:dyDescent="0.2">
      <c r="A327" s="345">
        <v>37468</v>
      </c>
      <c r="B327" s="1369">
        <v>-7.76</v>
      </c>
      <c r="C327" s="29">
        <v>1559957463.3</v>
      </c>
      <c r="D327" s="79"/>
      <c r="E327" s="14">
        <f>B327-Index_Returns!B327</f>
        <v>3.5000000000000142E-2</v>
      </c>
      <c r="J327" s="352"/>
    </row>
    <row r="328" spans="1:10" x14ac:dyDescent="0.2">
      <c r="A328" s="345">
        <v>37499</v>
      </c>
      <c r="B328" s="1369">
        <v>0.66</v>
      </c>
      <c r="C328" s="29">
        <v>1942757720.8900001</v>
      </c>
      <c r="D328" s="79"/>
      <c r="E328" s="14">
        <f>B328-Index_Returns!B328</f>
        <v>3.0000000000000027E-3</v>
      </c>
      <c r="J328" s="352"/>
    </row>
    <row r="329" spans="1:10" x14ac:dyDescent="0.2">
      <c r="A329" s="345">
        <v>37529</v>
      </c>
      <c r="B329" s="1369">
        <v>-10.87</v>
      </c>
      <c r="C329" s="29">
        <v>1785087267.74</v>
      </c>
      <c r="D329" s="79"/>
      <c r="E329" s="14">
        <f>B329-Index_Returns!B329</f>
        <v>-1.9999999999988916E-3</v>
      </c>
      <c r="J329" s="352"/>
    </row>
    <row r="330" spans="1:10" x14ac:dyDescent="0.2">
      <c r="A330" s="345">
        <v>37560</v>
      </c>
      <c r="B330" s="1369">
        <v>8.8000000000000007</v>
      </c>
      <c r="C330" s="29">
        <v>1969429225.73</v>
      </c>
      <c r="D330" s="79"/>
      <c r="E330" s="14">
        <f>B330-Index_Returns!B330</f>
        <v>-1.9999999999988916E-3</v>
      </c>
      <c r="J330" s="352"/>
    </row>
    <row r="331" spans="1:10" x14ac:dyDescent="0.2">
      <c r="A331" s="345">
        <v>37590</v>
      </c>
      <c r="B331" s="1369">
        <v>5.88</v>
      </c>
      <c r="C331" s="29">
        <v>2143162484.9200001</v>
      </c>
      <c r="D331" s="79"/>
      <c r="E331" s="14">
        <f>B331-Index_Returns!B331</f>
        <v>-6.0000000000002274E-3</v>
      </c>
      <c r="J331" s="352"/>
    </row>
    <row r="332" spans="1:10" x14ac:dyDescent="0.2">
      <c r="A332" s="345">
        <v>37621</v>
      </c>
      <c r="B332" s="1369">
        <v>-5.87</v>
      </c>
      <c r="C332" s="29">
        <v>1948798376.4400001</v>
      </c>
      <c r="D332" s="79"/>
      <c r="E332" s="14">
        <f>B332-Index_Returns!B332</f>
        <v>4.9999999999998934E-3</v>
      </c>
      <c r="J332" s="352"/>
    </row>
    <row r="333" spans="1:10" x14ac:dyDescent="0.2">
      <c r="A333" s="345">
        <v>37652</v>
      </c>
      <c r="B333" s="1369">
        <v>-2.62</v>
      </c>
      <c r="C333" s="29">
        <v>1897746961.74</v>
      </c>
      <c r="D333" s="79"/>
      <c r="E333" s="14">
        <f>B333-Index_Returns!B333</f>
        <v>0</v>
      </c>
      <c r="J333" s="352"/>
    </row>
    <row r="334" spans="1:10" x14ac:dyDescent="0.2">
      <c r="A334" s="345">
        <v>37680</v>
      </c>
      <c r="B334" s="1369">
        <v>-1.5</v>
      </c>
      <c r="C334" s="29">
        <v>1869291019.54</v>
      </c>
      <c r="D334" s="79"/>
      <c r="E334" s="14">
        <f>B334-Index_Returns!B334</f>
        <v>0</v>
      </c>
      <c r="J334" s="352"/>
    </row>
    <row r="335" spans="1:10" x14ac:dyDescent="0.2">
      <c r="A335" s="345">
        <v>37711</v>
      </c>
      <c r="B335" s="1369">
        <v>0.97</v>
      </c>
      <c r="C335" s="29">
        <v>1887451163.52</v>
      </c>
      <c r="D335" s="79"/>
      <c r="E335" s="14">
        <f>B335-Index_Returns!B335</f>
        <v>-1.0000000000000009E-3</v>
      </c>
      <c r="J335" s="352"/>
    </row>
    <row r="336" spans="1:10" x14ac:dyDescent="0.2">
      <c r="A336" s="345">
        <v>37741</v>
      </c>
      <c r="B336" s="1369">
        <v>8.2899999999999991</v>
      </c>
      <c r="C336" s="29">
        <v>2043957467.24</v>
      </c>
      <c r="D336" s="79"/>
      <c r="E336" s="14">
        <f>B336-Index_Returns!B336</f>
        <v>5.2999999999999048E-2</v>
      </c>
      <c r="J336" s="352"/>
    </row>
    <row r="337" spans="1:10" x14ac:dyDescent="0.2">
      <c r="A337" s="345">
        <v>37772</v>
      </c>
      <c r="B337" s="1369">
        <v>5.27</v>
      </c>
      <c r="C337" s="29">
        <v>1998692669.3099999</v>
      </c>
      <c r="D337" s="79"/>
      <c r="E337" s="14">
        <f>B337-Index_Returns!B337</f>
        <v>9.9999999999944578E-4</v>
      </c>
      <c r="J337" s="352"/>
    </row>
    <row r="338" spans="1:10" x14ac:dyDescent="0.2">
      <c r="A338" s="345">
        <v>37802</v>
      </c>
      <c r="B338" s="1369">
        <v>1.27</v>
      </c>
      <c r="C338" s="29">
        <v>2024182261.25</v>
      </c>
      <c r="D338" s="79"/>
      <c r="E338" s="14">
        <f>B338-Index_Returns!B338</f>
        <v>-6.0000000000000053E-3</v>
      </c>
      <c r="J338" s="352"/>
    </row>
    <row r="339" spans="1:10" x14ac:dyDescent="0.2">
      <c r="A339" s="345">
        <v>37833</v>
      </c>
      <c r="B339" s="1369">
        <v>1.76</v>
      </c>
      <c r="C339" s="33">
        <v>2010247982.4100001</v>
      </c>
      <c r="D339" s="79"/>
      <c r="E339" s="14">
        <f>B339-Index_Returns!B339</f>
        <v>-2.9999999999998916E-3</v>
      </c>
      <c r="J339" s="352"/>
    </row>
    <row r="340" spans="1:10" x14ac:dyDescent="0.2">
      <c r="A340" s="345">
        <v>37864</v>
      </c>
      <c r="B340" s="1369">
        <v>1.95</v>
      </c>
      <c r="C340" s="33">
        <v>1968299958.97</v>
      </c>
      <c r="D340" s="79"/>
      <c r="E340" s="14">
        <f>B340-Index_Returns!B340</f>
        <v>0</v>
      </c>
      <c r="J340" s="352"/>
    </row>
    <row r="341" spans="1:10" x14ac:dyDescent="0.2">
      <c r="A341" s="345">
        <v>37894</v>
      </c>
      <c r="B341" s="1369">
        <v>-1.06</v>
      </c>
      <c r="C341" s="34">
        <v>1892898671.74</v>
      </c>
      <c r="D341" s="79"/>
      <c r="E341" s="14">
        <f>B341-Index_Returns!B341</f>
        <v>2.0000000000000018E-3</v>
      </c>
      <c r="J341" s="352"/>
    </row>
    <row r="342" spans="1:10" x14ac:dyDescent="0.2">
      <c r="A342" s="345">
        <v>37925</v>
      </c>
      <c r="B342" s="1369">
        <v>5.66</v>
      </c>
      <c r="C342" s="34">
        <v>1999989082.6300001</v>
      </c>
      <c r="D342" s="79"/>
      <c r="E342" s="14">
        <f>B342-Index_Returns!B342</f>
        <v>3.0000000000001137E-3</v>
      </c>
      <c r="J342" s="352"/>
    </row>
    <row r="343" spans="1:10" x14ac:dyDescent="0.2">
      <c r="A343" s="345">
        <v>37955</v>
      </c>
      <c r="B343" s="1369">
        <v>0.88</v>
      </c>
      <c r="C343" s="34">
        <v>1977347682.4200001</v>
      </c>
      <c r="D343" s="79"/>
      <c r="E343" s="14">
        <f>B343-Index_Returns!B343</f>
        <v>0</v>
      </c>
      <c r="J343" s="352"/>
    </row>
    <row r="344" spans="1:10" x14ac:dyDescent="0.2">
      <c r="A344" s="345">
        <v>37986</v>
      </c>
      <c r="B344" s="1369">
        <v>5.24</v>
      </c>
      <c r="C344" s="34">
        <v>2081056436.5599999</v>
      </c>
      <c r="D344" s="79"/>
      <c r="E344" s="14">
        <f>B344-Index_Returns!B344</f>
        <v>-3.9999999999995595E-3</v>
      </c>
      <c r="J344" s="352"/>
    </row>
    <row r="345" spans="1:10" x14ac:dyDescent="0.2">
      <c r="A345" s="345">
        <v>38017</v>
      </c>
      <c r="B345" s="1369">
        <v>1.84</v>
      </c>
      <c r="C345" s="34">
        <v>2347149747.1900001</v>
      </c>
      <c r="D345" s="79"/>
      <c r="E345" s="14">
        <f>B345-Index_Returns!B345</f>
        <v>4.0000000000000036E-3</v>
      </c>
      <c r="J345" s="352"/>
    </row>
    <row r="346" spans="1:10" x14ac:dyDescent="0.2">
      <c r="A346" s="345">
        <v>38046</v>
      </c>
      <c r="B346" s="1369">
        <v>1.39</v>
      </c>
      <c r="C346" s="34">
        <v>2379797424.0300002</v>
      </c>
      <c r="D346" s="79"/>
      <c r="E346" s="14">
        <f>B346-Index_Returns!B346</f>
        <v>0</v>
      </c>
      <c r="J346" s="352"/>
    </row>
    <row r="347" spans="1:10" x14ac:dyDescent="0.2">
      <c r="A347" s="345">
        <v>38077</v>
      </c>
      <c r="B347" s="1369">
        <v>-1.5</v>
      </c>
      <c r="C347" s="34">
        <v>2344155289.23</v>
      </c>
      <c r="D347" s="255"/>
      <c r="E347" s="14">
        <f>B347-Index_Returns!B347</f>
        <v>8.999999999999897E-3</v>
      </c>
      <c r="J347" s="352"/>
    </row>
    <row r="348" spans="1:10" x14ac:dyDescent="0.2">
      <c r="A348" s="345">
        <v>38107</v>
      </c>
      <c r="B348" s="1369">
        <v>-1.57</v>
      </c>
      <c r="C348" s="34">
        <v>2307319888.5799999</v>
      </c>
      <c r="D348" s="253"/>
      <c r="E348" s="14">
        <f>B348-Index_Returns!B348</f>
        <v>0</v>
      </c>
      <c r="J348" s="352"/>
    </row>
    <row r="349" spans="1:10" x14ac:dyDescent="0.2">
      <c r="A349" s="345">
        <v>38138</v>
      </c>
      <c r="B349" s="1369">
        <v>1.37</v>
      </c>
      <c r="C349" s="34">
        <v>2339005700</v>
      </c>
      <c r="D349" s="253"/>
      <c r="E349" s="14">
        <f>B349-Index_Returns!B349</f>
        <v>-2.0000000000000018E-3</v>
      </c>
      <c r="J349" s="352"/>
    </row>
    <row r="350" spans="1:10" x14ac:dyDescent="0.2">
      <c r="A350" s="345">
        <v>38168</v>
      </c>
      <c r="B350" s="1369">
        <v>1.94</v>
      </c>
      <c r="C350" s="34">
        <v>2384502125.4899998</v>
      </c>
      <c r="D350" s="253"/>
      <c r="E350" s="14">
        <f>B350-Index_Returns!B350</f>
        <v>-4.0000000000000036E-3</v>
      </c>
      <c r="J350" s="352"/>
    </row>
    <row r="351" spans="1:10" x14ac:dyDescent="0.2">
      <c r="A351" s="345">
        <v>38199</v>
      </c>
      <c r="B351" s="1369">
        <v>-3.3</v>
      </c>
      <c r="C351" s="34">
        <v>2305902342.2199998</v>
      </c>
      <c r="D351" s="253"/>
      <c r="E351" s="14">
        <f>B351-Index_Returns!B351</f>
        <v>1.0000000000000231E-2</v>
      </c>
      <c r="J351" s="352"/>
    </row>
    <row r="352" spans="1:10" x14ac:dyDescent="0.2">
      <c r="A352" s="345">
        <v>38230</v>
      </c>
      <c r="B352" s="1369">
        <v>0.41</v>
      </c>
      <c r="C352" s="34">
        <v>2315247822.4099998</v>
      </c>
      <c r="D352" s="253"/>
      <c r="E352" s="14">
        <f>B352-Index_Returns!B352</f>
        <v>4.9999999999999489E-3</v>
      </c>
      <c r="J352" s="352"/>
    </row>
    <row r="353" spans="1:10" x14ac:dyDescent="0.2">
      <c r="A353" s="345">
        <v>38260</v>
      </c>
      <c r="B353" s="1369">
        <v>1.08</v>
      </c>
      <c r="C353" s="34">
        <v>2318193422.02</v>
      </c>
      <c r="D353" s="253"/>
      <c r="E353" s="14">
        <f>B353-Index_Returns!B353</f>
        <v>-2.9999999999998916E-3</v>
      </c>
      <c r="J353" s="352"/>
    </row>
    <row r="354" spans="1:10" x14ac:dyDescent="0.2">
      <c r="A354" s="345">
        <v>38291</v>
      </c>
      <c r="B354" s="1369">
        <v>1.53</v>
      </c>
      <c r="C354" s="34">
        <v>2308161915.46</v>
      </c>
      <c r="D354" s="253"/>
      <c r="E354" s="14">
        <f>B354-Index_Returns!B354</f>
        <v>2.0000000000000018E-3</v>
      </c>
      <c r="J354" s="352"/>
    </row>
    <row r="355" spans="1:10" x14ac:dyDescent="0.2">
      <c r="A355" s="345">
        <v>38321</v>
      </c>
      <c r="B355" s="1369">
        <v>4.05</v>
      </c>
      <c r="C355" s="34">
        <v>2361810870.2199998</v>
      </c>
      <c r="D355" s="253"/>
      <c r="E355" s="14">
        <f>B355-Index_Returns!B355</f>
        <v>3.9999999999995595E-3</v>
      </c>
      <c r="J355" s="352"/>
    </row>
    <row r="356" spans="1:10" x14ac:dyDescent="0.2">
      <c r="A356" s="345">
        <v>38352</v>
      </c>
      <c r="B356" s="1369">
        <v>3.41</v>
      </c>
      <c r="C356" s="256">
        <v>2442375208.7800002</v>
      </c>
      <c r="D356" s="253"/>
      <c r="E356" s="14">
        <f>B356-Index_Returns!B356</f>
        <v>7.0000000000001172E-3</v>
      </c>
      <c r="J356" s="352"/>
    </row>
    <row r="357" spans="1:10" x14ac:dyDescent="0.2">
      <c r="A357" s="345">
        <v>38383</v>
      </c>
      <c r="B357" s="1369">
        <v>-2.4300000000000002</v>
      </c>
      <c r="C357" s="34">
        <v>2324275619.1100001</v>
      </c>
      <c r="D357" s="253"/>
      <c r="E357" s="14">
        <f>B357-Index_Returns!B357</f>
        <v>6.9999999999996732E-3</v>
      </c>
      <c r="J357" s="352"/>
    </row>
    <row r="358" spans="1:10" x14ac:dyDescent="0.2">
      <c r="A358" s="345">
        <v>38411</v>
      </c>
      <c r="B358" s="1369">
        <v>2.1</v>
      </c>
      <c r="C358" s="34">
        <v>2373188770.1599998</v>
      </c>
      <c r="D358" s="253"/>
      <c r="E358" s="14">
        <f>B358-Index_Returns!B358</f>
        <v>-4.0000000000000036E-3</v>
      </c>
      <c r="J358" s="352"/>
    </row>
    <row r="359" spans="1:10" x14ac:dyDescent="0.2">
      <c r="A359" s="345">
        <v>38442</v>
      </c>
      <c r="B359" s="1369">
        <v>-1.75</v>
      </c>
      <c r="C359" s="256">
        <v>2331677145.3099999</v>
      </c>
      <c r="D359" s="253"/>
      <c r="E359" s="14">
        <f>B359-Index_Returns!B359</f>
        <v>2.0999999999999908E-2</v>
      </c>
      <c r="J359" s="352"/>
    </row>
    <row r="360" spans="1:10" x14ac:dyDescent="0.2">
      <c r="A360" s="345">
        <v>38472</v>
      </c>
      <c r="B360" s="1369">
        <v>-1.9</v>
      </c>
      <c r="C360" s="256">
        <v>2287470654.1500001</v>
      </c>
      <c r="D360" s="253"/>
      <c r="E360" s="14">
        <f>B360-Index_Returns!B360</f>
        <v>-2.9999999999998916E-3</v>
      </c>
      <c r="J360" s="352"/>
    </row>
    <row r="361" spans="1:10" x14ac:dyDescent="0.2">
      <c r="A361" s="345">
        <v>38503</v>
      </c>
      <c r="B361" s="1369">
        <v>3.19</v>
      </c>
      <c r="C361" s="256">
        <v>2316308341.8200002</v>
      </c>
      <c r="D361" s="253"/>
      <c r="E361" s="14">
        <f>B361-Index_Returns!B361</f>
        <v>8.0000000000000071E-3</v>
      </c>
      <c r="J361" s="352"/>
    </row>
    <row r="362" spans="1:10" x14ac:dyDescent="0.2">
      <c r="A362" s="345">
        <v>38533</v>
      </c>
      <c r="B362" s="1369">
        <v>0.14000000000000001</v>
      </c>
      <c r="C362" s="256">
        <v>2274598361.23</v>
      </c>
      <c r="D362" s="253"/>
      <c r="E362" s="14">
        <f>B362-Index_Returns!B362</f>
        <v>-1.999999999999974E-3</v>
      </c>
      <c r="J362" s="352"/>
    </row>
    <row r="363" spans="1:10" x14ac:dyDescent="0.2">
      <c r="A363" s="345">
        <v>38564</v>
      </c>
      <c r="B363" s="1369">
        <v>3.72</v>
      </c>
      <c r="C363" s="256">
        <v>2281000262.79</v>
      </c>
      <c r="D363" s="253"/>
      <c r="E363" s="14">
        <f>B363-Index_Returns!B363</f>
        <v>1.000000000000334E-3</v>
      </c>
      <c r="J363" s="352"/>
    </row>
    <row r="364" spans="1:10" x14ac:dyDescent="0.2">
      <c r="A364" s="345">
        <v>38595</v>
      </c>
      <c r="B364" s="1369">
        <v>-0.9</v>
      </c>
      <c r="C364" s="256">
        <v>2260381966.6999998</v>
      </c>
      <c r="D364" s="253"/>
      <c r="E364" s="14">
        <f>B364-Index_Returns!B364</f>
        <v>1.2410000000000032E-2</v>
      </c>
      <c r="J364" s="352"/>
    </row>
    <row r="365" spans="1:10" x14ac:dyDescent="0.2">
      <c r="A365" s="345">
        <v>38625</v>
      </c>
      <c r="B365" s="1369">
        <v>0.81</v>
      </c>
      <c r="C365" s="256">
        <v>2278827600.6500001</v>
      </c>
      <c r="D365" s="253"/>
      <c r="E365" s="14">
        <f>B365-Index_Returns!B365</f>
        <v>0</v>
      </c>
      <c r="J365" s="352"/>
    </row>
    <row r="366" spans="1:10" x14ac:dyDescent="0.2">
      <c r="A366" s="345">
        <v>38656</v>
      </c>
      <c r="B366" s="1369">
        <v>-1.67</v>
      </c>
      <c r="C366" s="256">
        <v>2211280756.77</v>
      </c>
      <c r="D366" s="253"/>
      <c r="E366" s="14">
        <f>B366-Index_Returns!B366</f>
        <v>-2.9099999999999682E-3</v>
      </c>
      <c r="J366" s="352"/>
    </row>
    <row r="367" spans="1:10" x14ac:dyDescent="0.2">
      <c r="A367" s="345">
        <v>38686</v>
      </c>
      <c r="B367" s="1369">
        <v>3.78</v>
      </c>
      <c r="C367" s="256">
        <v>2217991011.5500002</v>
      </c>
      <c r="D367" s="253"/>
      <c r="E367" s="14">
        <f>B367-Index_Returns!B367</f>
        <v>-2.2300000000003983E-3</v>
      </c>
      <c r="J367" s="352"/>
    </row>
    <row r="368" spans="1:10" x14ac:dyDescent="0.2">
      <c r="A368" s="345">
        <v>38717</v>
      </c>
      <c r="B368" s="1369">
        <v>0.04</v>
      </c>
      <c r="C368" s="256">
        <v>2142985034.1700001</v>
      </c>
      <c r="D368" s="253"/>
      <c r="E368" s="14">
        <f>B368-Index_Returns!B368</f>
        <v>5.7200000000000029E-3</v>
      </c>
      <c r="J368" s="352"/>
    </row>
    <row r="369" spans="1:10" x14ac:dyDescent="0.2">
      <c r="A369" s="345">
        <v>38748</v>
      </c>
      <c r="B369" s="1369">
        <v>2.66</v>
      </c>
      <c r="C369" s="256">
        <v>2199996473.5900002</v>
      </c>
      <c r="D369" s="253"/>
      <c r="E369" s="14">
        <f>B369-Index_Returns!B369</f>
        <v>1.1700000000000266E-2</v>
      </c>
      <c r="J369" s="352"/>
    </row>
    <row r="370" spans="1:10" x14ac:dyDescent="0.2">
      <c r="A370" s="345">
        <v>38776</v>
      </c>
      <c r="B370" s="1369">
        <v>0.27</v>
      </c>
      <c r="C370" s="256">
        <v>2205998016.0300002</v>
      </c>
      <c r="D370" s="253"/>
      <c r="E370" s="14">
        <f>B370-Index_Returns!B370</f>
        <v>-1.3699999999999823E-3</v>
      </c>
      <c r="J370" s="352"/>
    </row>
    <row r="371" spans="1:10" x14ac:dyDescent="0.2">
      <c r="A371" s="345">
        <v>38807</v>
      </c>
      <c r="B371" s="1369">
        <v>1.25</v>
      </c>
      <c r="C371" s="33">
        <v>2203631407.6900001</v>
      </c>
      <c r="D371" s="253"/>
      <c r="E371" s="14">
        <f>B371-Index_Returns!B371</f>
        <v>5.2399999999999114E-3</v>
      </c>
      <c r="J371" s="352"/>
    </row>
    <row r="372" spans="1:10" x14ac:dyDescent="0.2">
      <c r="A372" s="345">
        <v>38837</v>
      </c>
      <c r="B372" s="1369">
        <v>1.34</v>
      </c>
      <c r="C372" s="33">
        <v>2233261751.6100001</v>
      </c>
      <c r="D372" s="253"/>
      <c r="E372" s="14">
        <f>B372-Index_Returns!B372</f>
        <v>-2.7500000000000302E-3</v>
      </c>
      <c r="J372" s="352"/>
    </row>
    <row r="373" spans="1:10" x14ac:dyDescent="0.2">
      <c r="A373" s="345">
        <v>38868</v>
      </c>
      <c r="B373" s="1369">
        <v>-2.88</v>
      </c>
      <c r="C373" s="33">
        <v>2168993156.4099998</v>
      </c>
      <c r="D373" s="253"/>
      <c r="E373" s="14">
        <f>B373-Index_Returns!B373</f>
        <v>-1.8699999999998163E-3</v>
      </c>
      <c r="J373" s="352"/>
    </row>
    <row r="374" spans="1:10" x14ac:dyDescent="0.2">
      <c r="A374" s="345">
        <v>38898</v>
      </c>
      <c r="B374" s="1369">
        <v>0.14000000000000001</v>
      </c>
      <c r="C374" s="354">
        <v>2152202598.5</v>
      </c>
      <c r="D374" s="253"/>
      <c r="E374" s="14">
        <f>B374-Index_Returns!B374</f>
        <v>4.4399999999999995E-3</v>
      </c>
      <c r="J374" s="352"/>
    </row>
    <row r="375" spans="1:10" x14ac:dyDescent="0.2">
      <c r="A375" s="345">
        <v>38929</v>
      </c>
      <c r="B375" s="1369">
        <v>0.63</v>
      </c>
      <c r="C375" s="34">
        <v>2115320965.05</v>
      </c>
      <c r="D375" s="253"/>
      <c r="E375" s="14">
        <f>B375-Index_Returns!B375</f>
        <v>1.3149999999999995E-2</v>
      </c>
      <c r="J375" s="352"/>
    </row>
    <row r="376" spans="1:10" x14ac:dyDescent="0.2">
      <c r="A376" s="345">
        <v>38960</v>
      </c>
      <c r="B376" s="1369">
        <v>2.38</v>
      </c>
      <c r="C376" s="34">
        <v>2105629456.22</v>
      </c>
      <c r="D376" s="253"/>
      <c r="E376" s="14">
        <f>B376-Index_Returns!B376</f>
        <v>6.9999999999970086E-4</v>
      </c>
      <c r="J376" s="352"/>
    </row>
    <row r="377" spans="1:10" x14ac:dyDescent="0.2">
      <c r="A377" s="345">
        <v>38990</v>
      </c>
      <c r="B377" s="1369">
        <v>2.58</v>
      </c>
      <c r="C377" s="34">
        <v>2159948323.1700001</v>
      </c>
      <c r="D377" s="253"/>
      <c r="E377" s="14">
        <f>B377-Index_Returns!B377</f>
        <v>2.9699999999999172E-3</v>
      </c>
      <c r="J377" s="352"/>
    </row>
    <row r="378" spans="1:10" x14ac:dyDescent="0.2">
      <c r="A378" s="345">
        <v>39021</v>
      </c>
      <c r="B378" s="1369">
        <v>3.26</v>
      </c>
      <c r="C378" s="34">
        <v>2002975625.4100001</v>
      </c>
      <c r="D378" s="253"/>
      <c r="E378" s="14">
        <f>B378-Index_Returns!B378</f>
        <v>1.3999999999998458E-3</v>
      </c>
      <c r="F378" s="352"/>
      <c r="J378" s="352"/>
    </row>
    <row r="379" spans="1:10" x14ac:dyDescent="0.2">
      <c r="A379" s="345">
        <v>39051</v>
      </c>
      <c r="B379" s="1369">
        <v>1.9</v>
      </c>
      <c r="C379" s="34">
        <v>2041049184.3800001</v>
      </c>
      <c r="D379" s="253"/>
      <c r="E379" s="14">
        <f>B379-Index_Returns!B379</f>
        <v>-1.6100000000001113E-3</v>
      </c>
      <c r="F379" s="116"/>
      <c r="J379" s="352"/>
    </row>
    <row r="380" spans="1:10" x14ac:dyDescent="0.2">
      <c r="A380" s="345">
        <v>39082</v>
      </c>
      <c r="B380" s="1369">
        <v>1.41</v>
      </c>
      <c r="C380" s="34">
        <v>1992831714.8399999</v>
      </c>
      <c r="D380" s="253"/>
      <c r="E380" s="14">
        <f>B380-Index_Returns!B380</f>
        <v>7.2299999999998477E-3</v>
      </c>
      <c r="F380" s="352"/>
      <c r="J380" s="352"/>
    </row>
    <row r="381" spans="1:10" x14ac:dyDescent="0.2">
      <c r="A381" s="345">
        <v>39113</v>
      </c>
      <c r="B381" s="1369">
        <v>1.51</v>
      </c>
      <c r="C381" s="346">
        <v>2022991494.28</v>
      </c>
      <c r="E381" s="14">
        <f>B381-Index_Returns!B381</f>
        <v>-2.0000000000000018E-3</v>
      </c>
      <c r="F381" s="352"/>
      <c r="J381" s="352"/>
    </row>
    <row r="382" spans="1:10" x14ac:dyDescent="0.2">
      <c r="A382" s="345">
        <v>39141</v>
      </c>
      <c r="B382" s="1369">
        <v>-1.96</v>
      </c>
      <c r="C382" s="346">
        <v>1983438975.29</v>
      </c>
      <c r="E382" s="14">
        <f>B382-Index_Returns!B382</f>
        <v>-4.1199999999999015E-3</v>
      </c>
      <c r="F382" s="352"/>
      <c r="J382" s="352"/>
    </row>
    <row r="383" spans="1:10" x14ac:dyDescent="0.2">
      <c r="A383" s="345">
        <v>39172</v>
      </c>
      <c r="B383" s="1369">
        <v>1.1200000000000001</v>
      </c>
      <c r="C383" s="346">
        <v>1943368071.99</v>
      </c>
      <c r="E383" s="14">
        <f>B383-Index_Returns!B383</f>
        <v>1.5000000000000568E-3</v>
      </c>
      <c r="F383" s="325"/>
      <c r="J383" s="352"/>
    </row>
    <row r="384" spans="1:10" x14ac:dyDescent="0.2">
      <c r="A384" s="345">
        <v>39202</v>
      </c>
      <c r="B384" s="1369">
        <v>4.43</v>
      </c>
      <c r="C384" s="346">
        <v>1930325679.3399999</v>
      </c>
      <c r="E384" s="14">
        <f>B384-Index_Returns!B384</f>
        <v>4.6999999999997044E-4</v>
      </c>
      <c r="F384" s="325"/>
      <c r="J384" s="352"/>
    </row>
    <row r="385" spans="1:10" x14ac:dyDescent="0.2">
      <c r="A385" s="345">
        <v>39233</v>
      </c>
      <c r="B385" s="1369">
        <v>3.49</v>
      </c>
      <c r="C385" s="346">
        <v>1969936155.3800001</v>
      </c>
      <c r="E385" s="14">
        <f>B385-Index_Returns!B385</f>
        <v>4.9000000000010147E-4</v>
      </c>
      <c r="F385" s="325"/>
      <c r="J385" s="352"/>
    </row>
    <row r="386" spans="1:10" x14ac:dyDescent="0.2">
      <c r="A386" s="345">
        <v>39263</v>
      </c>
      <c r="B386" s="1369">
        <v>-1.66</v>
      </c>
      <c r="C386" s="346">
        <v>1926281125.79</v>
      </c>
      <c r="E386" s="14">
        <f>B386-Index_Returns!B386</f>
        <v>1.3199999999999878E-3</v>
      </c>
      <c r="F386" s="325"/>
      <c r="J386" s="352"/>
    </row>
    <row r="387" spans="1:10" x14ac:dyDescent="0.2">
      <c r="A387" s="345">
        <v>39294</v>
      </c>
      <c r="B387" s="1369">
        <v>-3.1</v>
      </c>
      <c r="C387" s="346">
        <v>1847855657.4300001</v>
      </c>
      <c r="E387" s="14">
        <f>B387-Index_Returns!B387</f>
        <v>4.9000000000010147E-4</v>
      </c>
      <c r="J387" s="352"/>
    </row>
    <row r="388" spans="1:10" x14ac:dyDescent="0.2">
      <c r="A388" s="345">
        <v>39325</v>
      </c>
      <c r="B388" s="1369">
        <v>1.51</v>
      </c>
      <c r="C388" s="346">
        <v>1552828711.76</v>
      </c>
      <c r="E388" s="14">
        <f>B388-Index_Returns!B388</f>
        <v>1.097999999999999E-2</v>
      </c>
      <c r="J388" s="352"/>
    </row>
    <row r="389" spans="1:10" x14ac:dyDescent="0.2">
      <c r="A389" s="345">
        <v>39355</v>
      </c>
      <c r="B389" s="1369">
        <v>3.75</v>
      </c>
      <c r="C389" s="346">
        <v>1570736324.22</v>
      </c>
      <c r="E389" s="14">
        <f>B389-Index_Returns!B389</f>
        <v>1.0139999999999816E-2</v>
      </c>
      <c r="J389" s="352"/>
    </row>
    <row r="390" spans="1:10" x14ac:dyDescent="0.2">
      <c r="A390" s="345">
        <v>39386</v>
      </c>
      <c r="B390" s="1369">
        <v>1.59</v>
      </c>
      <c r="C390" s="346">
        <v>1595788012.5599999</v>
      </c>
      <c r="E390" s="14">
        <f>B390-Index_Returns!B390</f>
        <v>-6.6999999999994841E-4</v>
      </c>
      <c r="J390" s="352"/>
    </row>
    <row r="391" spans="1:10" x14ac:dyDescent="0.2">
      <c r="A391" s="345">
        <v>39416</v>
      </c>
      <c r="B391" s="1369">
        <v>-4.17</v>
      </c>
      <c r="C391" s="346">
        <v>1408985456.99</v>
      </c>
      <c r="E391" s="14">
        <f>B391-Index_Returns!B391</f>
        <v>1.0650000000000048E-2</v>
      </c>
      <c r="J391" s="352"/>
    </row>
    <row r="392" spans="1:10" x14ac:dyDescent="0.2">
      <c r="A392" s="345">
        <v>39447</v>
      </c>
      <c r="B392" s="1369">
        <v>-0.69</v>
      </c>
      <c r="C392" s="346">
        <v>1399233907.24</v>
      </c>
      <c r="E392" s="14">
        <f>B392-Index_Returns!B392</f>
        <v>3.7800000000000056E-3</v>
      </c>
      <c r="G392" s="787"/>
      <c r="J392" s="352"/>
    </row>
    <row r="393" spans="1:10" x14ac:dyDescent="0.2">
      <c r="A393" s="345">
        <v>39478</v>
      </c>
      <c r="B393" s="1369">
        <v>-6</v>
      </c>
      <c r="C393" s="346">
        <v>1315342828.29</v>
      </c>
      <c r="E393" s="14">
        <f>B393-Index_Returns!B393</f>
        <v>-1.8599999999997507E-3</v>
      </c>
      <c r="J393" s="352"/>
    </row>
    <row r="394" spans="1:10" x14ac:dyDescent="0.2">
      <c r="A394" s="345">
        <v>39507</v>
      </c>
      <c r="B394" s="1369">
        <v>-3.24</v>
      </c>
      <c r="C394" s="346">
        <v>1272684612.51</v>
      </c>
      <c r="E394" s="14">
        <f>B394-Index_Returns!B394</f>
        <v>8.57999999999981E-3</v>
      </c>
      <c r="J394" s="352"/>
    </row>
    <row r="395" spans="1:10" x14ac:dyDescent="0.2">
      <c r="A395" s="345">
        <v>39538</v>
      </c>
      <c r="B395" s="1369">
        <v>-0.43</v>
      </c>
      <c r="C395" s="346">
        <v>1267208360.55</v>
      </c>
      <c r="E395" s="14">
        <f>B395-Index_Returns!B395</f>
        <v>1.8000000000000238E-3</v>
      </c>
      <c r="J395" s="352"/>
    </row>
    <row r="396" spans="1:10" x14ac:dyDescent="0.2">
      <c r="A396" s="345">
        <v>39568</v>
      </c>
      <c r="B396" s="1369">
        <v>4.87</v>
      </c>
      <c r="C396" s="346">
        <v>1328936742.8800001</v>
      </c>
      <c r="E396" s="14">
        <f>B396-Index_Returns!B396</f>
        <v>-3.3999999999956287E-4</v>
      </c>
      <c r="J396" s="352"/>
    </row>
    <row r="397" spans="1:10" x14ac:dyDescent="0.2">
      <c r="A397" s="345">
        <v>39599</v>
      </c>
      <c r="B397" s="1369">
        <v>1.31</v>
      </c>
      <c r="C397" s="346">
        <v>1346352751.1300001</v>
      </c>
      <c r="E397" s="14">
        <f>B397-Index_Returns!B397</f>
        <v>1.4739999999999975E-2</v>
      </c>
      <c r="J397" s="352"/>
    </row>
    <row r="398" spans="1:10" x14ac:dyDescent="0.2">
      <c r="A398" s="345">
        <v>39629</v>
      </c>
      <c r="B398" s="1369">
        <v>-8.43</v>
      </c>
      <c r="C398" s="346">
        <v>1232934183.03</v>
      </c>
      <c r="E398" s="14">
        <f>B398-Index_Returns!B398</f>
        <v>3.7999999999982492E-4</v>
      </c>
      <c r="J398" s="352"/>
    </row>
    <row r="399" spans="1:10" x14ac:dyDescent="0.2">
      <c r="A399" s="345">
        <v>39660</v>
      </c>
      <c r="B399" s="1369">
        <v>-0.83</v>
      </c>
      <c r="C399" s="33">
        <v>1222699628.6300001</v>
      </c>
      <c r="E399" s="14">
        <f>B399-Index_Returns!B399</f>
        <v>1.0620000000000074E-2</v>
      </c>
      <c r="J399" s="352"/>
    </row>
    <row r="400" spans="1:10" x14ac:dyDescent="0.2">
      <c r="A400" s="345">
        <v>39691</v>
      </c>
      <c r="B400" s="1369">
        <v>1.46</v>
      </c>
      <c r="C400" s="33">
        <v>1240524108.3499999</v>
      </c>
      <c r="E400" s="14">
        <f>B400-Index_Returns!B400</f>
        <v>1.3509999999999911E-2</v>
      </c>
      <c r="J400" s="352"/>
    </row>
    <row r="401" spans="1:10" x14ac:dyDescent="0.2">
      <c r="A401" s="345">
        <v>39721</v>
      </c>
      <c r="B401" s="1369">
        <v>-8.9</v>
      </c>
      <c r="C401" s="33">
        <v>1130083383.6700001</v>
      </c>
      <c r="E401" s="14">
        <f>B401-Index_Returns!B401</f>
        <v>1.0749999999999815E-2</v>
      </c>
      <c r="J401" s="352"/>
    </row>
    <row r="402" spans="1:10" x14ac:dyDescent="0.2">
      <c r="A402" s="345">
        <v>39752</v>
      </c>
      <c r="B402" s="1369">
        <v>-16.79</v>
      </c>
      <c r="C402" s="346">
        <v>940306140</v>
      </c>
      <c r="E402" s="14">
        <f>B402-Index_Returns!B402</f>
        <v>4.7600000000009857E-3</v>
      </c>
      <c r="J402" s="352"/>
    </row>
    <row r="403" spans="1:10" x14ac:dyDescent="0.2">
      <c r="A403" s="345">
        <v>39782</v>
      </c>
      <c r="B403" s="1369">
        <v>-7.16</v>
      </c>
      <c r="C403" s="346">
        <v>873002258</v>
      </c>
      <c r="E403" s="14">
        <f>B403-Index_Returns!B403</f>
        <v>1.5489999999999782E-2</v>
      </c>
      <c r="J403" s="352"/>
    </row>
    <row r="404" spans="1:10" x14ac:dyDescent="0.2">
      <c r="A404" s="345">
        <v>39813</v>
      </c>
      <c r="B404" s="1369">
        <v>1.1299999999999999</v>
      </c>
      <c r="C404" s="346">
        <v>882914118</v>
      </c>
      <c r="E404" s="14">
        <f>B404-Index_Returns!B404</f>
        <v>6.5989999999999993E-2</v>
      </c>
      <c r="J404" s="352"/>
    </row>
    <row r="405" spans="1:10" x14ac:dyDescent="0.2">
      <c r="A405" s="345">
        <v>39844</v>
      </c>
      <c r="B405" s="1369">
        <v>-8.41</v>
      </c>
      <c r="C405" s="346">
        <v>808689527.25</v>
      </c>
      <c r="D405" s="258">
        <v>-8.4068000000000005</v>
      </c>
      <c r="E405" s="14">
        <f>B405-Index_Returns!B405</f>
        <v>1.8610000000000682E-2</v>
      </c>
      <c r="J405" s="352"/>
    </row>
    <row r="406" spans="1:10" x14ac:dyDescent="0.2">
      <c r="A406" s="345">
        <v>39872</v>
      </c>
      <c r="B406" s="1369">
        <v>-10.64</v>
      </c>
      <c r="C406" s="346">
        <v>722659273.59000003</v>
      </c>
      <c r="D406" s="258">
        <v>-10.64</v>
      </c>
      <c r="E406" s="14">
        <f>B406-Index_Returns!B406</f>
        <v>7.7799999999985658E-3</v>
      </c>
      <c r="J406" s="352"/>
    </row>
    <row r="407" spans="1:10" x14ac:dyDescent="0.2">
      <c r="A407" s="345">
        <v>39903</v>
      </c>
      <c r="B407" s="1369">
        <v>8.82</v>
      </c>
      <c r="C407" s="346">
        <v>786398110.75999999</v>
      </c>
      <c r="D407" s="258">
        <v>8.82</v>
      </c>
      <c r="E407" s="14">
        <f>B407-Index_Returns!B407</f>
        <v>6.0489999999999711E-2</v>
      </c>
      <c r="J407" s="352"/>
    </row>
    <row r="408" spans="1:10" x14ac:dyDescent="0.2">
      <c r="A408" s="345">
        <v>39933</v>
      </c>
      <c r="B408" s="1369">
        <v>9.59</v>
      </c>
      <c r="C408" s="346">
        <v>861821449.5</v>
      </c>
      <c r="E408" s="14">
        <f>B408-Index_Returns!B408</f>
        <v>1.9059999999999633E-2</v>
      </c>
      <c r="J408" s="352"/>
    </row>
    <row r="409" spans="1:10" x14ac:dyDescent="0.2">
      <c r="A409" s="345">
        <v>39964</v>
      </c>
      <c r="B409" s="1369">
        <v>5.61</v>
      </c>
      <c r="C409" s="346">
        <v>910148940.99000001</v>
      </c>
      <c r="E409" s="14">
        <f>B409-Index_Returns!B409</f>
        <v>1.6690000000000538E-2</v>
      </c>
      <c r="J409" s="352"/>
    </row>
    <row r="410" spans="1:10" x14ac:dyDescent="0.2">
      <c r="A410" s="345">
        <v>39994</v>
      </c>
      <c r="B410" s="1369">
        <v>0.25</v>
      </c>
      <c r="C410" s="346">
        <v>1223461940.49</v>
      </c>
      <c r="E410" s="14">
        <f>B410-Index_Returns!B410</f>
        <v>5.1600000000000007E-2</v>
      </c>
      <c r="J410" s="352"/>
    </row>
    <row r="411" spans="1:10" x14ac:dyDescent="0.2">
      <c r="A411" s="345">
        <v>40025</v>
      </c>
      <c r="B411" s="1369">
        <v>7.58</v>
      </c>
      <c r="C411" s="346">
        <v>981546966.86000001</v>
      </c>
      <c r="D411" s="258">
        <v>7.5772000000000004</v>
      </c>
      <c r="E411" s="14">
        <f>B411-Index_Returns!B411</f>
        <v>1.6309999999999825E-2</v>
      </c>
      <c r="J411" s="352"/>
    </row>
    <row r="412" spans="1:10" x14ac:dyDescent="0.2">
      <c r="A412" s="345">
        <v>40056</v>
      </c>
      <c r="B412" s="1369">
        <v>3.62</v>
      </c>
      <c r="C412" s="346">
        <v>1363788453.3599999</v>
      </c>
      <c r="D412" s="258">
        <v>3.62</v>
      </c>
      <c r="E412" s="14">
        <f>B412-Index_Returns!B412</f>
        <v>9.5900000000002095E-3</v>
      </c>
      <c r="J412" s="352"/>
    </row>
    <row r="413" spans="1:10" x14ac:dyDescent="0.2">
      <c r="A413" s="345">
        <v>40086</v>
      </c>
      <c r="B413" s="1369">
        <v>3.73</v>
      </c>
      <c r="C413" s="346">
        <v>1354523976.3699999</v>
      </c>
      <c r="D413" s="258">
        <v>3.74</v>
      </c>
      <c r="E413" s="14">
        <f>B413-Index_Returns!B413</f>
        <v>-1.5299999999998093E-3</v>
      </c>
      <c r="J413" s="352"/>
    </row>
    <row r="414" spans="1:10" x14ac:dyDescent="0.2">
      <c r="A414" s="345">
        <v>40117</v>
      </c>
      <c r="B414" s="1369">
        <v>-1.84805</v>
      </c>
      <c r="C414" s="348">
        <v>1329491716</v>
      </c>
      <c r="D414" s="258">
        <v>-1.85</v>
      </c>
      <c r="E414" s="14">
        <f>B414-Index_Returns!B414</f>
        <v>9.6300000000000274E-3</v>
      </c>
      <c r="J414" s="352"/>
    </row>
    <row r="415" spans="1:10" x14ac:dyDescent="0.2">
      <c r="A415" s="345">
        <v>40147</v>
      </c>
      <c r="B415" s="1369">
        <v>6.0007299999999999</v>
      </c>
      <c r="C415" s="348">
        <v>1329947657</v>
      </c>
      <c r="D415" s="258">
        <v>5.9720000000000004</v>
      </c>
      <c r="E415" s="14">
        <f>B415-Index_Returns!B415</f>
        <v>2.3799999999996047E-3</v>
      </c>
      <c r="J415" s="352"/>
    </row>
    <row r="416" spans="1:10" x14ac:dyDescent="0.2">
      <c r="A416" s="345">
        <v>40178</v>
      </c>
      <c r="B416" s="1369">
        <v>1.9807699999999999</v>
      </c>
      <c r="C416" s="348">
        <v>1356290897.6400001</v>
      </c>
      <c r="D416" s="258">
        <v>1.9807699999999999</v>
      </c>
      <c r="E416" s="14">
        <f>B416-Index_Returns!B416</f>
        <v>4.9259999999999859E-2</v>
      </c>
      <c r="J416" s="352"/>
    </row>
    <row r="417" spans="1:10" x14ac:dyDescent="0.2">
      <c r="A417" s="345">
        <v>40209</v>
      </c>
      <c r="B417" s="253">
        <v>-3.5922999999999998</v>
      </c>
      <c r="C417" s="348">
        <v>1307568808.45</v>
      </c>
      <c r="D417" s="258">
        <v>-3.5922999999999998</v>
      </c>
      <c r="E417" s="14">
        <f>B417-Index_Returns!B417</f>
        <v>5.0400000000001555E-3</v>
      </c>
      <c r="J417" s="352"/>
    </row>
    <row r="418" spans="1:10" x14ac:dyDescent="0.2">
      <c r="A418" s="345">
        <v>40237</v>
      </c>
      <c r="B418" s="253">
        <v>3.11633</v>
      </c>
      <c r="C418" s="348">
        <v>1322988727.48</v>
      </c>
      <c r="D418" s="258">
        <v>3.09049</v>
      </c>
      <c r="E418" s="14">
        <f>B418-Index_Returns!B418</f>
        <v>1.8610000000000237E-2</v>
      </c>
      <c r="J418" s="352"/>
    </row>
    <row r="419" spans="1:10" x14ac:dyDescent="0.2">
      <c r="A419" s="345">
        <v>40268</v>
      </c>
      <c r="B419" s="253">
        <v>6.0422500000000001</v>
      </c>
      <c r="C419" s="348">
        <v>1349509450.55</v>
      </c>
      <c r="D419" s="1311">
        <v>6.0232299999999999</v>
      </c>
      <c r="E419" s="14">
        <f>B419-Index_Returns!B419</f>
        <v>7.7899999999999636E-3</v>
      </c>
      <c r="J419" s="352"/>
    </row>
    <row r="420" spans="1:10" x14ac:dyDescent="0.2">
      <c r="A420" s="345">
        <v>40298</v>
      </c>
      <c r="B420" s="253">
        <v>1.5972999999999999</v>
      </c>
      <c r="C420" s="348">
        <v>1320880007.76</v>
      </c>
      <c r="D420" s="258">
        <v>1.5693299999999999</v>
      </c>
      <c r="E420" s="14">
        <f>B420-Index_Returns!B420</f>
        <v>1.8540000000000001E-2</v>
      </c>
      <c r="J420" s="352"/>
    </row>
    <row r="421" spans="1:10" x14ac:dyDescent="0.2">
      <c r="A421" s="345">
        <v>40329</v>
      </c>
      <c r="B421" s="253">
        <v>-7.9787800000000004</v>
      </c>
      <c r="C421" s="348">
        <v>1215489855.23</v>
      </c>
      <c r="D421" s="258">
        <v>-7.9787800000000004</v>
      </c>
      <c r="E421" s="14">
        <f>B421-Index_Returns!B421</f>
        <v>6.2299999999995137E-3</v>
      </c>
      <c r="J421" s="352"/>
    </row>
    <row r="422" spans="1:10" x14ac:dyDescent="0.2">
      <c r="A422" s="345">
        <v>40359</v>
      </c>
      <c r="B422" s="253">
        <v>-5.2331799999999999</v>
      </c>
      <c r="C422" s="348">
        <v>1151881113.5899999</v>
      </c>
      <c r="D422" s="258">
        <v>-5.2331799999999999</v>
      </c>
      <c r="E422" s="14">
        <f>B422-Index_Returns!B422</f>
        <v>1.7399999999998528E-3</v>
      </c>
      <c r="J422" s="352"/>
    </row>
    <row r="423" spans="1:10" x14ac:dyDescent="0.2">
      <c r="A423" s="345">
        <v>40390</v>
      </c>
      <c r="B423" s="253">
        <v>7.02189</v>
      </c>
      <c r="C423" s="348">
        <v>1143716386.8499999</v>
      </c>
      <c r="D423" s="258">
        <v>7.02189</v>
      </c>
      <c r="E423" s="14">
        <f>B423-Index_Returns!B423</f>
        <v>1.5539999999999665E-2</v>
      </c>
      <c r="J423" s="352"/>
    </row>
    <row r="424" spans="1:10" x14ac:dyDescent="0.2">
      <c r="A424" s="345">
        <v>40421</v>
      </c>
      <c r="B424" s="253">
        <v>-4.5121099999999998</v>
      </c>
      <c r="C424" s="348">
        <v>937874215.52999997</v>
      </c>
      <c r="D424" s="258">
        <v>-4.5121099999999998</v>
      </c>
      <c r="E424" s="14">
        <f>B424-Index_Returns!B424</f>
        <v>2.3200000000000998E-3</v>
      </c>
      <c r="J424" s="352"/>
    </row>
    <row r="425" spans="1:10" x14ac:dyDescent="0.2">
      <c r="A425" s="345">
        <v>40451</v>
      </c>
      <c r="B425" s="253">
        <v>8.9488500000000002</v>
      </c>
      <c r="C425" s="348">
        <v>612146561.89999998</v>
      </c>
      <c r="D425" s="258">
        <v>8.9488500000000002</v>
      </c>
      <c r="E425" s="14">
        <f>B425-Index_Returns!B425</f>
        <v>2.4409999999999599E-2</v>
      </c>
      <c r="J425" s="352"/>
    </row>
    <row r="426" spans="1:10" x14ac:dyDescent="0.2">
      <c r="A426" s="345">
        <v>40482</v>
      </c>
      <c r="B426" s="253">
        <v>3.80708</v>
      </c>
      <c r="C426" s="348">
        <v>585541052.33000004</v>
      </c>
      <c r="D426" s="258">
        <v>3.80708</v>
      </c>
      <c r="E426" s="14">
        <f>B426-Index_Returns!B426</f>
        <v>2.1599999999999397E-3</v>
      </c>
      <c r="J426" s="352"/>
    </row>
    <row r="427" spans="1:10" x14ac:dyDescent="0.2">
      <c r="A427" s="345">
        <v>40512</v>
      </c>
      <c r="B427" s="253">
        <v>2.034E-2</v>
      </c>
      <c r="C427" s="348">
        <v>585660119.17999995</v>
      </c>
      <c r="D427" s="258">
        <v>2.034E-2</v>
      </c>
      <c r="E427" s="14">
        <f>B427-Index_Returns!B427</f>
        <v>7.5200000000000006E-3</v>
      </c>
      <c r="J427" s="352"/>
    </row>
    <row r="428" spans="1:10" x14ac:dyDescent="0.2">
      <c r="A428" s="345">
        <v>40543</v>
      </c>
      <c r="B428" s="253">
        <v>6.6938899999999997</v>
      </c>
      <c r="C428" s="348">
        <v>594091114.16999996</v>
      </c>
      <c r="D428" s="258">
        <v>6.6938899999999997</v>
      </c>
      <c r="E428" s="14">
        <f>B428-Index_Returns!B428</f>
        <v>1.0699999999999932E-2</v>
      </c>
      <c r="J428" s="352"/>
    </row>
    <row r="429" spans="1:10" x14ac:dyDescent="0.2">
      <c r="A429" s="345">
        <v>40574</v>
      </c>
      <c r="B429" s="253">
        <v>2.40049</v>
      </c>
      <c r="C429" s="348">
        <v>608352180.83000004</v>
      </c>
      <c r="D429" s="258">
        <v>2.40049</v>
      </c>
      <c r="E429" s="14">
        <f>B429-Index_Returns!B429</f>
        <v>3.033000000000019E-2</v>
      </c>
      <c r="J429" s="352"/>
    </row>
    <row r="430" spans="1:10" x14ac:dyDescent="0.2">
      <c r="A430" s="345">
        <v>40602</v>
      </c>
      <c r="B430" s="253">
        <v>3.4298799999999998</v>
      </c>
      <c r="C430" s="348">
        <v>629217916.37</v>
      </c>
      <c r="D430" s="258">
        <v>3.4298799999999998</v>
      </c>
      <c r="E430" s="14">
        <f>B430-Index_Returns!B430</f>
        <v>3.989999999999938E-3</v>
      </c>
      <c r="J430" s="352"/>
    </row>
    <row r="431" spans="1:10" x14ac:dyDescent="0.2">
      <c r="A431" s="345">
        <v>40633</v>
      </c>
      <c r="B431" s="253">
        <v>4.1860000000000001E-2</v>
      </c>
      <c r="C431" s="348">
        <v>629481276.51999998</v>
      </c>
      <c r="D431" s="258">
        <v>4.1860000000000001E-2</v>
      </c>
      <c r="E431" s="14">
        <f>B431-Index_Returns!B431</f>
        <v>2.1000000000000046E-3</v>
      </c>
      <c r="J431" s="352"/>
    </row>
    <row r="432" spans="1:10" x14ac:dyDescent="0.2">
      <c r="A432" s="345">
        <v>40663</v>
      </c>
      <c r="B432" s="253">
        <v>2.9641899999999999</v>
      </c>
      <c r="C432" s="348">
        <v>648147898.75</v>
      </c>
      <c r="D432" s="258">
        <v>2.9653999999999998</v>
      </c>
      <c r="E432" s="14">
        <f>B432-Index_Returns!B432</f>
        <v>2.6500000000000412E-3</v>
      </c>
      <c r="J432" s="352"/>
    </row>
    <row r="433" spans="1:10" x14ac:dyDescent="0.2">
      <c r="A433" s="345">
        <v>40694</v>
      </c>
      <c r="B433" s="253">
        <v>-1.1257200000000001</v>
      </c>
      <c r="C433" s="348">
        <v>640859320.92999995</v>
      </c>
      <c r="D433" s="258">
        <v>-1.12452</v>
      </c>
      <c r="E433" s="14">
        <f>B433-Index_Returns!B433</f>
        <v>6.2299999999999578E-3</v>
      </c>
      <c r="J433" s="352"/>
    </row>
    <row r="434" spans="1:10" x14ac:dyDescent="0.2">
      <c r="A434" s="345">
        <v>40724</v>
      </c>
      <c r="B434" s="253">
        <v>-1.65831</v>
      </c>
      <c r="C434" s="348">
        <v>630231901.32000005</v>
      </c>
      <c r="D434" s="258">
        <v>-1.65831</v>
      </c>
      <c r="E434" s="14">
        <f>B434-Index_Returns!B434</f>
        <v>8.599999999999941E-3</v>
      </c>
      <c r="J434" s="352"/>
    </row>
    <row r="435" spans="1:10" x14ac:dyDescent="0.2">
      <c r="A435" s="345">
        <v>40755</v>
      </c>
      <c r="B435" s="253">
        <f t="shared" ref="B435:B464" si="0">D435</f>
        <v>-2.0314399999999999</v>
      </c>
      <c r="C435" s="348">
        <v>583461058.17999995</v>
      </c>
      <c r="D435" s="258">
        <v>-2.0314399999999999</v>
      </c>
      <c r="E435" s="14">
        <f>B435-Index_Returns!B435</f>
        <v>2.0500000000001073E-3</v>
      </c>
    </row>
    <row r="436" spans="1:10" x14ac:dyDescent="0.2">
      <c r="A436" s="345">
        <v>40786</v>
      </c>
      <c r="B436" s="253">
        <f t="shared" si="0"/>
        <v>-5.4307100000000004</v>
      </c>
      <c r="C436" s="348">
        <v>551774992.05999994</v>
      </c>
      <c r="D436" s="258">
        <v>-5.4307100000000004</v>
      </c>
      <c r="E436" s="14">
        <f>B436-Index_Returns!B436</f>
        <v>1.4699999999994162E-3</v>
      </c>
    </row>
    <row r="437" spans="1:10" x14ac:dyDescent="0.2">
      <c r="A437" s="345">
        <v>40816</v>
      </c>
      <c r="B437" s="253">
        <f t="shared" si="0"/>
        <v>-7.0243900000000004</v>
      </c>
      <c r="C437" s="348">
        <v>402271767.77999997</v>
      </c>
      <c r="D437" s="258">
        <v>-7.0243900000000004</v>
      </c>
      <c r="E437" s="14">
        <f>B437-Index_Returns!B437</f>
        <v>5.4699999999998639E-3</v>
      </c>
    </row>
    <row r="438" spans="1:10" x14ac:dyDescent="0.2">
      <c r="A438" s="345">
        <v>40847</v>
      </c>
      <c r="B438" s="253">
        <f t="shared" si="0"/>
        <v>10.934369999999999</v>
      </c>
      <c r="C438" s="348">
        <v>446257644.87</v>
      </c>
      <c r="D438" s="258">
        <v>10.934369999999999</v>
      </c>
      <c r="E438" s="14">
        <f>B438-Index_Returns!B438</f>
        <v>5.0600000000002865E-3</v>
      </c>
    </row>
    <row r="439" spans="1:10" x14ac:dyDescent="0.2">
      <c r="A439" s="345">
        <v>40877</v>
      </c>
      <c r="B439" s="253">
        <f t="shared" si="0"/>
        <v>-0.21720999999999999</v>
      </c>
      <c r="C439" s="348">
        <v>370102495.75</v>
      </c>
      <c r="D439" s="258">
        <v>-0.21720999999999999</v>
      </c>
      <c r="E439" s="14">
        <f>B439-Index_Returns!B439</f>
        <v>3.8200000000000178E-3</v>
      </c>
    </row>
    <row r="440" spans="1:10" x14ac:dyDescent="0.2">
      <c r="A440" s="345">
        <v>40908</v>
      </c>
      <c r="B440" s="253">
        <f t="shared" si="0"/>
        <v>1.0229299999999999</v>
      </c>
      <c r="C440" s="348">
        <v>373885554.56999999</v>
      </c>
      <c r="D440" s="258">
        <v>1.0229299999999999</v>
      </c>
      <c r="E440" s="14">
        <f>B440-Index_Returns!B440</f>
        <v>-1.0000000000065512E-5</v>
      </c>
    </row>
    <row r="441" spans="1:10" x14ac:dyDescent="0.2">
      <c r="A441" s="345">
        <v>40939</v>
      </c>
      <c r="B441" s="253">
        <f t="shared" si="0"/>
        <v>4.47865</v>
      </c>
      <c r="C441" s="348">
        <v>390815436.13</v>
      </c>
      <c r="D441" s="258">
        <v>4.47865</v>
      </c>
      <c r="E441" s="14">
        <f>B441-Index_Returns!B441</f>
        <v>-2.8600000000000847E-3</v>
      </c>
    </row>
    <row r="442" spans="1:10" x14ac:dyDescent="0.2">
      <c r="A442" s="345">
        <v>40968</v>
      </c>
      <c r="B442" s="253">
        <f t="shared" si="0"/>
        <v>4.3222800000000001</v>
      </c>
      <c r="C442" s="348">
        <v>407529630.93000001</v>
      </c>
      <c r="D442" s="258">
        <v>4.3222800000000001</v>
      </c>
      <c r="E442" s="14">
        <f>B442-Index_Returns!B442</f>
        <v>-1.9400000000002748E-3</v>
      </c>
    </row>
    <row r="443" spans="1:10" x14ac:dyDescent="0.2">
      <c r="A443" s="345">
        <v>40999</v>
      </c>
      <c r="B443" s="253">
        <f t="shared" si="0"/>
        <v>3.2916699999999999</v>
      </c>
      <c r="C443" s="348">
        <v>420944153.24000001</v>
      </c>
      <c r="D443" s="258">
        <v>3.2916699999999999</v>
      </c>
      <c r="E443" s="14">
        <f>B443-Index_Returns!B443</f>
        <v>7.5000000000002842E-4</v>
      </c>
    </row>
    <row r="444" spans="1:10" x14ac:dyDescent="0.2">
      <c r="A444" s="345">
        <v>41029</v>
      </c>
      <c r="B444" s="253">
        <f t="shared" si="0"/>
        <v>-0.62829999999999997</v>
      </c>
      <c r="C444" s="348">
        <v>327815477.01999998</v>
      </c>
      <c r="D444" s="258">
        <v>-0.62829999999999997</v>
      </c>
      <c r="E444" s="14">
        <f>B444-Index_Returns!B444</f>
        <v>-6.0999999999999943E-4</v>
      </c>
    </row>
    <row r="445" spans="1:10" x14ac:dyDescent="0.2">
      <c r="A445" s="345">
        <v>41060</v>
      </c>
      <c r="B445" s="253">
        <f t="shared" si="0"/>
        <v>-6.0075099999999999</v>
      </c>
      <c r="C445" s="348">
        <v>308121935.45999998</v>
      </c>
      <c r="D445" s="258">
        <v>-6.0075099999999999</v>
      </c>
      <c r="E445" s="14">
        <f>B445-Index_Returns!B445</f>
        <v>2.5500000000002743E-3</v>
      </c>
    </row>
    <row r="446" spans="1:10" x14ac:dyDescent="0.2">
      <c r="A446" s="345">
        <v>41090</v>
      </c>
      <c r="B446" s="253">
        <f t="shared" si="0"/>
        <v>4.1158299999999999</v>
      </c>
      <c r="C446" s="348">
        <v>320814551.75999999</v>
      </c>
      <c r="D446" s="258">
        <v>4.1158299999999999</v>
      </c>
      <c r="E446" s="14">
        <f>B446-Index_Returns!B446</f>
        <v>-4.3800000000002726E-3</v>
      </c>
    </row>
    <row r="447" spans="1:10" x14ac:dyDescent="0.2">
      <c r="A447" s="345">
        <v>41121</v>
      </c>
      <c r="B447" s="253">
        <f t="shared" si="0"/>
        <v>1.38828</v>
      </c>
      <c r="C447" s="348">
        <v>325268341.62</v>
      </c>
      <c r="D447" s="258">
        <v>1.38828</v>
      </c>
      <c r="E447" s="14">
        <f>B447-Index_Returns!B447</f>
        <v>-6.2000000000006494E-4</v>
      </c>
    </row>
    <row r="448" spans="1:10" x14ac:dyDescent="0.2">
      <c r="A448" s="345">
        <v>41152</v>
      </c>
      <c r="B448" s="253">
        <f t="shared" si="0"/>
        <v>2.2837900000000002</v>
      </c>
      <c r="C448" s="348">
        <v>322667916.75</v>
      </c>
      <c r="D448" s="258">
        <v>2.2837900000000002</v>
      </c>
      <c r="E448" s="14">
        <f>B448-Index_Returns!B448</f>
        <v>3.1530000000000058E-2</v>
      </c>
    </row>
    <row r="449" spans="1:5" x14ac:dyDescent="0.2">
      <c r="A449" s="345">
        <v>41182</v>
      </c>
      <c r="B449" s="253">
        <f t="shared" si="0"/>
        <v>2.5841699999999999</v>
      </c>
      <c r="C449" s="348">
        <v>331006198.17000002</v>
      </c>
      <c r="D449" s="258">
        <v>2.5841699999999999</v>
      </c>
      <c r="E449" s="14">
        <f>B449-Index_Returns!B449</f>
        <v>-2.0000000000131024E-5</v>
      </c>
    </row>
    <row r="450" spans="1:5" x14ac:dyDescent="0.2">
      <c r="A450" s="345">
        <v>41213</v>
      </c>
      <c r="B450" s="253">
        <f t="shared" si="0"/>
        <v>-1.84745</v>
      </c>
      <c r="C450" s="348">
        <v>324891018.72000003</v>
      </c>
      <c r="D450" s="258">
        <v>-1.84745</v>
      </c>
      <c r="E450" s="14">
        <f>B450-Index_Returns!B450</f>
        <v>-1.0099999999999554E-3</v>
      </c>
    </row>
    <row r="451" spans="1:5" x14ac:dyDescent="0.2">
      <c r="A451" s="345">
        <v>41243</v>
      </c>
      <c r="B451" s="253">
        <f t="shared" si="0"/>
        <v>0.57882999999999996</v>
      </c>
      <c r="C451" s="348">
        <v>326771593.94999999</v>
      </c>
      <c r="D451" s="258">
        <v>0.57882999999999996</v>
      </c>
      <c r="E451" s="14">
        <f>B451-Index_Returns!B451</f>
        <v>-1.2800000000000589E-3</v>
      </c>
    </row>
    <row r="452" spans="1:5" x14ac:dyDescent="0.2">
      <c r="A452" s="345">
        <v>41274</v>
      </c>
      <c r="B452" s="253">
        <f t="shared" si="0"/>
        <v>0.91596</v>
      </c>
      <c r="C452" s="348">
        <v>329764677.16000003</v>
      </c>
      <c r="D452" s="258">
        <v>0.91596</v>
      </c>
      <c r="E452" s="14">
        <f>B452-Index_Returns!B452</f>
        <v>4.489999999999994E-3</v>
      </c>
    </row>
    <row r="453" spans="1:5" x14ac:dyDescent="0.2">
      <c r="A453" s="345">
        <v>41305</v>
      </c>
      <c r="B453" s="253">
        <f t="shared" si="0"/>
        <v>5.1790599999999998</v>
      </c>
      <c r="C453" s="348">
        <v>346843401.25999999</v>
      </c>
      <c r="D453" s="258">
        <v>5.1790599999999998</v>
      </c>
      <c r="E453" s="14">
        <f>B453-Index_Returns!B453</f>
        <v>-4.4000000000021799E-4</v>
      </c>
    </row>
    <row r="454" spans="1:5" x14ac:dyDescent="0.2">
      <c r="A454" s="345">
        <v>41333</v>
      </c>
      <c r="B454" s="253">
        <f t="shared" si="0"/>
        <v>1.3571299999999999</v>
      </c>
      <c r="C454" s="348">
        <v>351550525.97000003</v>
      </c>
      <c r="D454" s="258">
        <v>1.3571299999999999</v>
      </c>
      <c r="E454" s="14">
        <f>B454-Index_Returns!B454</f>
        <v>-3.6000000000013799E-4</v>
      </c>
    </row>
    <row r="455" spans="1:5" x14ac:dyDescent="0.2">
      <c r="A455" s="345">
        <v>41364</v>
      </c>
      <c r="B455" s="253" t="str">
        <f t="shared" si="0"/>
        <v xml:space="preserve"> </v>
      </c>
      <c r="C455" s="348">
        <v>2465151.7999999998</v>
      </c>
      <c r="D455" s="258" t="s">
        <v>643</v>
      </c>
      <c r="E455" s="14" t="e">
        <f>B455-Index_Returns!B455</f>
        <v>#VALUE!</v>
      </c>
    </row>
    <row r="456" spans="1:5" x14ac:dyDescent="0.2">
      <c r="A456" s="345">
        <v>41394</v>
      </c>
      <c r="B456" s="253">
        <f t="shared" si="0"/>
        <v>0</v>
      </c>
      <c r="E456" s="14">
        <f>B456-Index_Returns!B456</f>
        <v>-1.92666</v>
      </c>
    </row>
    <row r="457" spans="1:5" x14ac:dyDescent="0.2">
      <c r="A457" s="345">
        <v>41425</v>
      </c>
      <c r="B457" s="253">
        <f t="shared" si="0"/>
        <v>0</v>
      </c>
      <c r="E457" s="14">
        <f>B457-Index_Returns!B457</f>
        <v>-2.3391899999999999</v>
      </c>
    </row>
    <row r="458" spans="1:5" x14ac:dyDescent="0.2">
      <c r="A458" s="345">
        <v>41455</v>
      </c>
      <c r="B458" s="253">
        <f t="shared" si="0"/>
        <v>0</v>
      </c>
      <c r="E458" s="14">
        <f>B458-Index_Returns!B458</f>
        <v>1.3429</v>
      </c>
    </row>
    <row r="459" spans="1:5" x14ac:dyDescent="0.2">
      <c r="A459" s="345">
        <v>41486</v>
      </c>
      <c r="B459" s="253">
        <f t="shared" si="0"/>
        <v>0</v>
      </c>
      <c r="E459" s="14">
        <f>B459-Index_Returns!B459</f>
        <v>-5.0884200000000002</v>
      </c>
    </row>
    <row r="460" spans="1:5" x14ac:dyDescent="0.2">
      <c r="A460" s="345">
        <v>41517</v>
      </c>
      <c r="B460" s="253">
        <f t="shared" si="0"/>
        <v>0</v>
      </c>
      <c r="E460" s="14">
        <f>B460-Index_Returns!B460</f>
        <v>2.8961600000000001</v>
      </c>
    </row>
    <row r="461" spans="1:5" x14ac:dyDescent="0.2">
      <c r="A461" s="345">
        <v>41547</v>
      </c>
      <c r="B461" s="253">
        <f t="shared" si="0"/>
        <v>0</v>
      </c>
      <c r="E461" s="14">
        <f>B461-Index_Returns!B461</f>
        <v>-3.1359499999999998</v>
      </c>
    </row>
    <row r="462" spans="1:5" x14ac:dyDescent="0.2">
      <c r="A462" s="345">
        <v>41578</v>
      </c>
      <c r="B462" s="253">
        <f t="shared" si="0"/>
        <v>0</v>
      </c>
      <c r="E462" s="14">
        <f>B462-Index_Returns!B462</f>
        <v>-4.5967799999999999</v>
      </c>
    </row>
    <row r="463" spans="1:5" x14ac:dyDescent="0.2">
      <c r="A463" s="345">
        <v>41608</v>
      </c>
      <c r="B463" s="253">
        <f t="shared" si="0"/>
        <v>0</v>
      </c>
      <c r="E463" s="14">
        <f>B463-Index_Returns!B463</f>
        <v>-3.0474000000000001</v>
      </c>
    </row>
    <row r="464" spans="1:5" x14ac:dyDescent="0.2">
      <c r="A464" s="345">
        <v>41639</v>
      </c>
      <c r="B464" s="253">
        <f t="shared" si="0"/>
        <v>0</v>
      </c>
      <c r="E464" s="14">
        <f>B464-Index_Returns!B464</f>
        <v>-2.5316100000000001</v>
      </c>
    </row>
    <row r="465" spans="1:1" x14ac:dyDescent="0.2">
      <c r="A465" s="345"/>
    </row>
    <row r="466" spans="1:1" x14ac:dyDescent="0.2">
      <c r="A466" s="345"/>
    </row>
    <row r="467" spans="1:1" x14ac:dyDescent="0.2">
      <c r="A467" s="345"/>
    </row>
    <row r="468" spans="1:1" x14ac:dyDescent="0.2">
      <c r="A468" s="345"/>
    </row>
    <row r="469" spans="1:1" x14ac:dyDescent="0.2">
      <c r="A469" s="345"/>
    </row>
  </sheetData>
  <phoneticPr fontId="3" type="noConversion"/>
  <printOptions headings="1" gridLines="1"/>
  <pageMargins left="0.75" right="0.75" top="1" bottom="1" header="0.5" footer="0.5"/>
  <pageSetup scale="12" orientation="portrait" r:id="rId1"/>
  <headerFooter alignWithMargins="0">
    <oddHeader>&amp;L&amp;A</oddHeader>
  </headerFooter>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pageSetUpPr fitToPage="1"/>
  </sheetPr>
  <dimension ref="A1:I428"/>
  <sheetViews>
    <sheetView workbookViewId="0">
      <pane xSplit="1" ySplit="2" topLeftCell="B310" activePane="bottomRight" state="frozen"/>
      <selection pane="topRight"/>
      <selection pane="bottomLeft"/>
      <selection pane="bottomRight" activeCell="F424" sqref="F298:F424"/>
    </sheetView>
  </sheetViews>
  <sheetFormatPr defaultRowHeight="12.75" x14ac:dyDescent="0.2"/>
  <cols>
    <col min="1" max="1" width="18.7109375" style="21" customWidth="1"/>
    <col min="2" max="2" width="18.7109375" style="257" customWidth="1"/>
    <col min="3" max="3" width="18.7109375" style="5" customWidth="1"/>
    <col min="4" max="4" width="18.7109375" style="258" customWidth="1"/>
    <col min="6" max="6" width="12.42578125" bestFit="1" customWidth="1"/>
    <col min="7" max="7" width="12.85546875" style="352" bestFit="1" customWidth="1"/>
    <col min="8" max="8" width="15.85546875" style="352" bestFit="1" customWidth="1"/>
  </cols>
  <sheetData>
    <row r="1" spans="1:4" x14ac:dyDescent="0.2">
      <c r="A1" s="265" t="s">
        <v>42</v>
      </c>
      <c r="B1" s="321" t="s">
        <v>474</v>
      </c>
      <c r="C1" s="20" t="s">
        <v>14</v>
      </c>
      <c r="D1" s="252" t="e">
        <f>Fees!F74</f>
        <v>#REF!</v>
      </c>
    </row>
    <row r="2" spans="1:4" x14ac:dyDescent="0.2">
      <c r="A2" s="3" t="s">
        <v>27</v>
      </c>
      <c r="B2" s="71" t="s">
        <v>91</v>
      </c>
      <c r="C2" s="3" t="s">
        <v>92</v>
      </c>
      <c r="D2" s="71" t="s">
        <v>90</v>
      </c>
    </row>
    <row r="3" spans="1:4" x14ac:dyDescent="0.2">
      <c r="A3" s="345">
        <v>27606</v>
      </c>
      <c r="B3" s="71"/>
      <c r="C3" s="226"/>
      <c r="D3" s="71"/>
    </row>
    <row r="4" spans="1:4" x14ac:dyDescent="0.2">
      <c r="A4" s="345">
        <v>27637</v>
      </c>
      <c r="B4" s="71"/>
      <c r="C4" s="226"/>
      <c r="D4" s="71"/>
    </row>
    <row r="5" spans="1:4" x14ac:dyDescent="0.2">
      <c r="A5" s="345">
        <v>27667</v>
      </c>
      <c r="B5" s="71"/>
      <c r="C5" s="226"/>
      <c r="D5" s="71"/>
    </row>
    <row r="6" spans="1:4" x14ac:dyDescent="0.2">
      <c r="A6" s="345">
        <v>27698</v>
      </c>
      <c r="B6" s="71"/>
      <c r="C6" s="226"/>
      <c r="D6" s="71"/>
    </row>
    <row r="7" spans="1:4" x14ac:dyDescent="0.2">
      <c r="A7" s="345">
        <v>27728</v>
      </c>
      <c r="B7" s="71"/>
      <c r="C7" s="226"/>
      <c r="D7" s="71"/>
    </row>
    <row r="8" spans="1:4" x14ac:dyDescent="0.2">
      <c r="A8" s="345">
        <v>27759</v>
      </c>
      <c r="B8" s="71"/>
      <c r="C8" s="226"/>
      <c r="D8" s="71"/>
    </row>
    <row r="9" spans="1:4" x14ac:dyDescent="0.2">
      <c r="A9" s="345">
        <v>27790</v>
      </c>
      <c r="B9" s="71"/>
      <c r="C9" s="226"/>
      <c r="D9" s="71"/>
    </row>
    <row r="10" spans="1:4" x14ac:dyDescent="0.2">
      <c r="A10" s="345">
        <v>27819</v>
      </c>
      <c r="B10" s="71"/>
      <c r="C10" s="226"/>
      <c r="D10" s="71"/>
    </row>
    <row r="11" spans="1:4" x14ac:dyDescent="0.2">
      <c r="A11" s="345">
        <v>27850</v>
      </c>
      <c r="B11" s="71"/>
      <c r="C11" s="226"/>
      <c r="D11" s="71"/>
    </row>
    <row r="12" spans="1:4" x14ac:dyDescent="0.2">
      <c r="A12" s="345">
        <v>27880</v>
      </c>
      <c r="B12" s="71"/>
      <c r="C12" s="226"/>
      <c r="D12" s="71"/>
    </row>
    <row r="13" spans="1:4" x14ac:dyDescent="0.2">
      <c r="A13" s="345">
        <v>27911</v>
      </c>
      <c r="B13" s="71"/>
      <c r="C13" s="226"/>
      <c r="D13" s="71"/>
    </row>
    <row r="14" spans="1:4" x14ac:dyDescent="0.2">
      <c r="A14" s="345">
        <v>27941</v>
      </c>
      <c r="B14" s="71"/>
      <c r="C14" s="226"/>
      <c r="D14" s="71"/>
    </row>
    <row r="15" spans="1:4" x14ac:dyDescent="0.2">
      <c r="A15" s="345">
        <v>27972</v>
      </c>
      <c r="B15" s="71"/>
      <c r="C15" s="226"/>
      <c r="D15" s="71"/>
    </row>
    <row r="16" spans="1:4" x14ac:dyDescent="0.2">
      <c r="A16" s="345">
        <v>28003</v>
      </c>
      <c r="B16" s="71"/>
      <c r="C16" s="226"/>
      <c r="D16" s="71"/>
    </row>
    <row r="17" spans="1:4" x14ac:dyDescent="0.2">
      <c r="A17" s="345">
        <v>28033</v>
      </c>
      <c r="B17" s="71"/>
      <c r="C17" s="226"/>
      <c r="D17" s="71"/>
    </row>
    <row r="18" spans="1:4" x14ac:dyDescent="0.2">
      <c r="A18" s="345">
        <v>28064</v>
      </c>
      <c r="B18" s="71"/>
      <c r="C18" s="226"/>
      <c r="D18" s="71"/>
    </row>
    <row r="19" spans="1:4" x14ac:dyDescent="0.2">
      <c r="A19" s="345">
        <v>28094</v>
      </c>
      <c r="B19" s="71"/>
      <c r="C19" s="226"/>
      <c r="D19" s="71"/>
    </row>
    <row r="20" spans="1:4" x14ac:dyDescent="0.2">
      <c r="A20" s="345">
        <v>28125</v>
      </c>
      <c r="B20" s="71"/>
      <c r="C20" s="226"/>
      <c r="D20" s="71"/>
    </row>
    <row r="21" spans="1:4" x14ac:dyDescent="0.2">
      <c r="A21" s="345">
        <v>28156</v>
      </c>
      <c r="B21" s="71"/>
      <c r="C21" s="226"/>
      <c r="D21" s="71"/>
    </row>
    <row r="22" spans="1:4" x14ac:dyDescent="0.2">
      <c r="A22" s="345">
        <v>28184</v>
      </c>
      <c r="B22" s="71"/>
      <c r="C22" s="226"/>
      <c r="D22" s="71"/>
    </row>
    <row r="23" spans="1:4" x14ac:dyDescent="0.2">
      <c r="A23" s="345">
        <v>28215</v>
      </c>
      <c r="B23" s="71"/>
      <c r="C23" s="226"/>
      <c r="D23" s="71"/>
    </row>
    <row r="24" spans="1:4" x14ac:dyDescent="0.2">
      <c r="A24" s="345">
        <v>28245</v>
      </c>
      <c r="B24" s="71"/>
      <c r="C24" s="226"/>
      <c r="D24" s="71"/>
    </row>
    <row r="25" spans="1:4" x14ac:dyDescent="0.2">
      <c r="A25" s="345">
        <v>28276</v>
      </c>
      <c r="B25" s="71"/>
      <c r="C25" s="226"/>
      <c r="D25" s="71"/>
    </row>
    <row r="26" spans="1:4" x14ac:dyDescent="0.2">
      <c r="A26" s="345">
        <v>28306</v>
      </c>
      <c r="B26" s="71"/>
      <c r="C26" s="226"/>
      <c r="D26" s="71"/>
    </row>
    <row r="27" spans="1:4" x14ac:dyDescent="0.2">
      <c r="A27" s="345">
        <v>28337</v>
      </c>
      <c r="B27" s="71"/>
      <c r="C27" s="226"/>
      <c r="D27" s="71"/>
    </row>
    <row r="28" spans="1:4" x14ac:dyDescent="0.2">
      <c r="A28" s="345">
        <v>28368</v>
      </c>
      <c r="B28" s="71"/>
      <c r="C28" s="226"/>
      <c r="D28" s="71"/>
    </row>
    <row r="29" spans="1:4" x14ac:dyDescent="0.2">
      <c r="A29" s="345">
        <v>28398</v>
      </c>
      <c r="B29" s="71"/>
      <c r="C29" s="226"/>
      <c r="D29" s="71"/>
    </row>
    <row r="30" spans="1:4" x14ac:dyDescent="0.2">
      <c r="A30" s="345">
        <v>28429</v>
      </c>
      <c r="B30" s="71"/>
      <c r="C30" s="226"/>
      <c r="D30" s="71"/>
    </row>
    <row r="31" spans="1:4" x14ac:dyDescent="0.2">
      <c r="A31" s="345">
        <v>28459</v>
      </c>
      <c r="B31" s="71"/>
      <c r="C31" s="226"/>
      <c r="D31" s="71"/>
    </row>
    <row r="32" spans="1:4" x14ac:dyDescent="0.2">
      <c r="A32" s="345">
        <v>28490</v>
      </c>
      <c r="B32" s="71"/>
      <c r="C32" s="226"/>
      <c r="D32" s="71"/>
    </row>
    <row r="33" spans="1:4" x14ac:dyDescent="0.2">
      <c r="A33" s="345">
        <v>28521</v>
      </c>
      <c r="B33" s="71"/>
      <c r="C33" s="226"/>
      <c r="D33" s="71"/>
    </row>
    <row r="34" spans="1:4" x14ac:dyDescent="0.2">
      <c r="A34" s="345">
        <v>28549</v>
      </c>
      <c r="B34" s="71"/>
      <c r="C34" s="226"/>
      <c r="D34" s="71"/>
    </row>
    <row r="35" spans="1:4" x14ac:dyDescent="0.2">
      <c r="A35" s="345">
        <v>28580</v>
      </c>
      <c r="B35" s="71"/>
      <c r="C35" s="226"/>
      <c r="D35" s="71"/>
    </row>
    <row r="36" spans="1:4" x14ac:dyDescent="0.2">
      <c r="A36" s="345">
        <v>28610</v>
      </c>
      <c r="B36" s="71"/>
      <c r="C36" s="226"/>
      <c r="D36" s="71"/>
    </row>
    <row r="37" spans="1:4" x14ac:dyDescent="0.2">
      <c r="A37" s="345">
        <v>28641</v>
      </c>
      <c r="B37" s="71"/>
      <c r="C37" s="226"/>
      <c r="D37" s="71"/>
    </row>
    <row r="38" spans="1:4" x14ac:dyDescent="0.2">
      <c r="A38" s="345">
        <v>28671</v>
      </c>
      <c r="B38" s="71"/>
      <c r="C38" s="226"/>
      <c r="D38" s="71"/>
    </row>
    <row r="39" spans="1:4" x14ac:dyDescent="0.2">
      <c r="A39" s="345">
        <v>28702</v>
      </c>
      <c r="B39" s="71"/>
      <c r="C39" s="226"/>
      <c r="D39" s="71"/>
    </row>
    <row r="40" spans="1:4" x14ac:dyDescent="0.2">
      <c r="A40" s="345">
        <v>28733</v>
      </c>
      <c r="B40" s="71"/>
      <c r="C40" s="226"/>
      <c r="D40" s="71"/>
    </row>
    <row r="41" spans="1:4" x14ac:dyDescent="0.2">
      <c r="A41" s="345">
        <v>28763</v>
      </c>
      <c r="B41" s="71"/>
      <c r="C41" s="226"/>
      <c r="D41" s="71"/>
    </row>
    <row r="42" spans="1:4" x14ac:dyDescent="0.2">
      <c r="A42" s="345">
        <v>28794</v>
      </c>
      <c r="B42" s="71"/>
      <c r="C42" s="226"/>
      <c r="D42" s="71"/>
    </row>
    <row r="43" spans="1:4" x14ac:dyDescent="0.2">
      <c r="A43" s="345">
        <v>28824</v>
      </c>
      <c r="B43" s="71"/>
      <c r="C43" s="226"/>
      <c r="D43" s="71"/>
    </row>
    <row r="44" spans="1:4" x14ac:dyDescent="0.2">
      <c r="A44" s="345">
        <v>28855</v>
      </c>
      <c r="B44" s="71"/>
      <c r="C44" s="226"/>
      <c r="D44" s="71"/>
    </row>
    <row r="45" spans="1:4" x14ac:dyDescent="0.2">
      <c r="A45" s="345">
        <v>28886</v>
      </c>
      <c r="B45" s="71"/>
      <c r="C45" s="226"/>
      <c r="D45" s="71"/>
    </row>
    <row r="46" spans="1:4" x14ac:dyDescent="0.2">
      <c r="A46" s="345">
        <v>28914</v>
      </c>
      <c r="B46" s="71"/>
      <c r="C46" s="226"/>
      <c r="D46" s="71"/>
    </row>
    <row r="47" spans="1:4" x14ac:dyDescent="0.2">
      <c r="A47" s="345">
        <v>28945</v>
      </c>
      <c r="B47" s="71"/>
      <c r="C47" s="226"/>
      <c r="D47" s="71"/>
    </row>
    <row r="48" spans="1:4" x14ac:dyDescent="0.2">
      <c r="A48" s="345">
        <v>28975</v>
      </c>
      <c r="B48" s="71"/>
      <c r="C48" s="226"/>
      <c r="D48" s="71"/>
    </row>
    <row r="49" spans="1:4" x14ac:dyDescent="0.2">
      <c r="A49" s="345">
        <v>29006</v>
      </c>
      <c r="B49" s="71"/>
      <c r="C49" s="226"/>
      <c r="D49" s="71"/>
    </row>
    <row r="50" spans="1:4" x14ac:dyDescent="0.2">
      <c r="A50" s="345">
        <v>29036</v>
      </c>
      <c r="B50" s="71"/>
      <c r="C50" s="226"/>
      <c r="D50" s="71"/>
    </row>
    <row r="51" spans="1:4" x14ac:dyDescent="0.2">
      <c r="A51" s="345">
        <v>29067</v>
      </c>
      <c r="B51" s="71"/>
      <c r="C51" s="226"/>
      <c r="D51" s="71"/>
    </row>
    <row r="52" spans="1:4" x14ac:dyDescent="0.2">
      <c r="A52" s="345">
        <v>29098</v>
      </c>
      <c r="B52" s="71"/>
      <c r="C52" s="226"/>
      <c r="D52" s="71"/>
    </row>
    <row r="53" spans="1:4" x14ac:dyDescent="0.2">
      <c r="A53" s="345">
        <v>29128</v>
      </c>
      <c r="B53" s="71"/>
      <c r="C53" s="226"/>
      <c r="D53" s="71"/>
    </row>
    <row r="54" spans="1:4" x14ac:dyDescent="0.2">
      <c r="A54" s="345">
        <v>29159</v>
      </c>
      <c r="B54" s="71"/>
      <c r="C54" s="226"/>
      <c r="D54" s="71"/>
    </row>
    <row r="55" spans="1:4" x14ac:dyDescent="0.2">
      <c r="A55" s="345">
        <v>29189</v>
      </c>
      <c r="B55" s="71"/>
      <c r="C55" s="226"/>
      <c r="D55" s="71"/>
    </row>
    <row r="56" spans="1:4" x14ac:dyDescent="0.2">
      <c r="A56" s="345">
        <v>29220</v>
      </c>
      <c r="B56" s="71"/>
      <c r="C56" s="226"/>
      <c r="D56" s="71"/>
    </row>
    <row r="57" spans="1:4" x14ac:dyDescent="0.2">
      <c r="A57" s="345">
        <v>29251</v>
      </c>
      <c r="B57" s="71"/>
      <c r="C57" s="226"/>
      <c r="D57" s="71"/>
    </row>
    <row r="58" spans="1:4" x14ac:dyDescent="0.2">
      <c r="A58" s="345">
        <v>29280</v>
      </c>
      <c r="B58" s="71"/>
      <c r="C58" s="226"/>
      <c r="D58" s="71"/>
    </row>
    <row r="59" spans="1:4" x14ac:dyDescent="0.2">
      <c r="A59" s="345">
        <v>29311</v>
      </c>
      <c r="B59" s="71"/>
      <c r="C59" s="226"/>
      <c r="D59" s="71"/>
    </row>
    <row r="60" spans="1:4" x14ac:dyDescent="0.2">
      <c r="A60" s="345">
        <v>29341</v>
      </c>
      <c r="B60" s="71"/>
      <c r="C60" s="226"/>
      <c r="D60" s="71"/>
    </row>
    <row r="61" spans="1:4" x14ac:dyDescent="0.2">
      <c r="A61" s="345">
        <v>29372</v>
      </c>
      <c r="B61" s="71"/>
      <c r="C61" s="226"/>
      <c r="D61" s="71"/>
    </row>
    <row r="62" spans="1:4" x14ac:dyDescent="0.2">
      <c r="A62" s="345">
        <v>29402</v>
      </c>
      <c r="B62" s="71"/>
      <c r="C62" s="226"/>
      <c r="D62" s="71"/>
    </row>
    <row r="63" spans="1:4" x14ac:dyDescent="0.2">
      <c r="A63" s="345">
        <v>29433</v>
      </c>
      <c r="B63" s="71"/>
      <c r="C63" s="226"/>
      <c r="D63" s="71"/>
    </row>
    <row r="64" spans="1:4" x14ac:dyDescent="0.2">
      <c r="A64" s="345">
        <v>29464</v>
      </c>
      <c r="B64" s="71"/>
      <c r="C64" s="226"/>
      <c r="D64" s="71"/>
    </row>
    <row r="65" spans="1:4" x14ac:dyDescent="0.2">
      <c r="A65" s="345">
        <v>29494</v>
      </c>
      <c r="B65" s="71"/>
      <c r="C65" s="226"/>
      <c r="D65" s="71"/>
    </row>
    <row r="66" spans="1:4" x14ac:dyDescent="0.2">
      <c r="A66" s="345">
        <v>29525</v>
      </c>
      <c r="B66" s="71"/>
      <c r="C66" s="226"/>
      <c r="D66" s="71"/>
    </row>
    <row r="67" spans="1:4" x14ac:dyDescent="0.2">
      <c r="A67" s="345">
        <v>29555</v>
      </c>
      <c r="B67" s="71"/>
      <c r="C67" s="226"/>
      <c r="D67" s="71"/>
    </row>
    <row r="68" spans="1:4" x14ac:dyDescent="0.2">
      <c r="A68" s="345">
        <v>29586</v>
      </c>
      <c r="B68" s="71"/>
      <c r="C68" s="226"/>
      <c r="D68" s="71"/>
    </row>
    <row r="69" spans="1:4" x14ac:dyDescent="0.2">
      <c r="A69" s="345">
        <v>29617</v>
      </c>
      <c r="B69" s="71"/>
      <c r="C69" s="226"/>
      <c r="D69" s="71"/>
    </row>
    <row r="70" spans="1:4" x14ac:dyDescent="0.2">
      <c r="A70" s="345">
        <v>29645</v>
      </c>
      <c r="B70" s="71"/>
      <c r="C70" s="226"/>
      <c r="D70" s="71"/>
    </row>
    <row r="71" spans="1:4" x14ac:dyDescent="0.2">
      <c r="A71" s="345">
        <v>29676</v>
      </c>
      <c r="B71" s="71"/>
      <c r="C71" s="226"/>
      <c r="D71" s="71"/>
    </row>
    <row r="72" spans="1:4" x14ac:dyDescent="0.2">
      <c r="A72" s="345">
        <v>29706</v>
      </c>
      <c r="B72" s="71"/>
      <c r="C72" s="226"/>
      <c r="D72" s="71"/>
    </row>
    <row r="73" spans="1:4" x14ac:dyDescent="0.2">
      <c r="A73" s="345">
        <v>29737</v>
      </c>
      <c r="B73" s="71"/>
      <c r="C73" s="226"/>
      <c r="D73" s="71"/>
    </row>
    <row r="74" spans="1:4" x14ac:dyDescent="0.2">
      <c r="A74" s="345">
        <v>29767</v>
      </c>
      <c r="B74" s="71"/>
      <c r="C74" s="226"/>
      <c r="D74" s="71"/>
    </row>
    <row r="75" spans="1:4" x14ac:dyDescent="0.2">
      <c r="A75" s="345">
        <v>29798</v>
      </c>
      <c r="B75" s="71"/>
      <c r="C75" s="226"/>
      <c r="D75" s="71"/>
    </row>
    <row r="76" spans="1:4" x14ac:dyDescent="0.2">
      <c r="A76" s="345">
        <v>29829</v>
      </c>
      <c r="B76" s="71"/>
      <c r="C76" s="226"/>
      <c r="D76" s="71"/>
    </row>
    <row r="77" spans="1:4" x14ac:dyDescent="0.2">
      <c r="A77" s="345">
        <v>29859</v>
      </c>
      <c r="B77" s="71"/>
      <c r="C77" s="226"/>
      <c r="D77" s="71"/>
    </row>
    <row r="78" spans="1:4" x14ac:dyDescent="0.2">
      <c r="A78" s="345">
        <v>29890</v>
      </c>
      <c r="B78" s="71"/>
      <c r="C78" s="226"/>
      <c r="D78" s="71"/>
    </row>
    <row r="79" spans="1:4" x14ac:dyDescent="0.2">
      <c r="A79" s="345">
        <v>29920</v>
      </c>
      <c r="B79" s="71"/>
      <c r="C79" s="226"/>
      <c r="D79" s="71"/>
    </row>
    <row r="80" spans="1:4" x14ac:dyDescent="0.2">
      <c r="A80" s="345">
        <v>29951</v>
      </c>
      <c r="B80" s="71"/>
      <c r="C80" s="226"/>
      <c r="D80" s="71"/>
    </row>
    <row r="81" spans="1:4" x14ac:dyDescent="0.2">
      <c r="A81" s="345">
        <v>29982</v>
      </c>
      <c r="B81" s="71"/>
      <c r="C81" s="226"/>
      <c r="D81" s="71"/>
    </row>
    <row r="82" spans="1:4" x14ac:dyDescent="0.2">
      <c r="A82" s="345">
        <v>30010</v>
      </c>
      <c r="B82" s="71"/>
      <c r="C82" s="226"/>
      <c r="D82" s="71"/>
    </row>
    <row r="83" spans="1:4" x14ac:dyDescent="0.2">
      <c r="A83" s="345">
        <v>30041</v>
      </c>
      <c r="B83" s="71"/>
      <c r="C83" s="226"/>
      <c r="D83" s="71"/>
    </row>
    <row r="84" spans="1:4" x14ac:dyDescent="0.2">
      <c r="A84" s="345">
        <v>30071</v>
      </c>
      <c r="B84" s="71"/>
      <c r="C84" s="226"/>
      <c r="D84" s="71"/>
    </row>
    <row r="85" spans="1:4" x14ac:dyDescent="0.2">
      <c r="A85" s="345">
        <v>30102</v>
      </c>
      <c r="B85" s="71"/>
      <c r="C85" s="226"/>
      <c r="D85" s="71"/>
    </row>
    <row r="86" spans="1:4" x14ac:dyDescent="0.2">
      <c r="A86" s="345">
        <v>30132</v>
      </c>
      <c r="B86" s="71"/>
      <c r="C86" s="226"/>
      <c r="D86" s="71"/>
    </row>
    <row r="87" spans="1:4" x14ac:dyDescent="0.2">
      <c r="A87" s="345">
        <v>30163</v>
      </c>
      <c r="B87" s="71"/>
      <c r="C87" s="226"/>
      <c r="D87" s="71"/>
    </row>
    <row r="88" spans="1:4" x14ac:dyDescent="0.2">
      <c r="A88" s="345">
        <v>30194</v>
      </c>
      <c r="B88" s="71"/>
      <c r="C88" s="226"/>
      <c r="D88" s="71"/>
    </row>
    <row r="89" spans="1:4" x14ac:dyDescent="0.2">
      <c r="A89" s="345">
        <v>30224</v>
      </c>
      <c r="B89" s="71"/>
      <c r="C89" s="226"/>
      <c r="D89" s="71"/>
    </row>
    <row r="90" spans="1:4" x14ac:dyDescent="0.2">
      <c r="A90" s="345">
        <v>30255</v>
      </c>
      <c r="B90" s="71"/>
      <c r="C90" s="226"/>
      <c r="D90" s="71"/>
    </row>
    <row r="91" spans="1:4" x14ac:dyDescent="0.2">
      <c r="A91" s="345">
        <v>30285</v>
      </c>
      <c r="B91" s="71"/>
      <c r="C91" s="226"/>
      <c r="D91" s="71"/>
    </row>
    <row r="92" spans="1:4" x14ac:dyDescent="0.2">
      <c r="A92" s="345">
        <v>30316</v>
      </c>
      <c r="B92" s="71"/>
      <c r="C92" s="226"/>
      <c r="D92" s="71"/>
    </row>
    <row r="93" spans="1:4" x14ac:dyDescent="0.2">
      <c r="A93" s="345">
        <v>30347</v>
      </c>
      <c r="B93" s="71"/>
      <c r="C93" s="226"/>
      <c r="D93" s="71"/>
    </row>
    <row r="94" spans="1:4" x14ac:dyDescent="0.2">
      <c r="A94" s="345">
        <v>30375</v>
      </c>
      <c r="B94" s="71"/>
      <c r="C94" s="226"/>
      <c r="D94" s="71"/>
    </row>
    <row r="95" spans="1:4" x14ac:dyDescent="0.2">
      <c r="A95" s="345">
        <v>30406</v>
      </c>
      <c r="B95" s="71"/>
      <c r="C95" s="226"/>
      <c r="D95" s="71"/>
    </row>
    <row r="96" spans="1:4" x14ac:dyDescent="0.2">
      <c r="A96" s="345">
        <v>30436</v>
      </c>
      <c r="B96" s="71"/>
      <c r="C96" s="226"/>
      <c r="D96" s="71"/>
    </row>
    <row r="97" spans="1:4" x14ac:dyDescent="0.2">
      <c r="A97" s="345">
        <v>30467</v>
      </c>
      <c r="B97" s="71"/>
      <c r="C97" s="226"/>
      <c r="D97" s="71"/>
    </row>
    <row r="98" spans="1:4" x14ac:dyDescent="0.2">
      <c r="A98" s="345">
        <v>30497</v>
      </c>
      <c r="B98" s="71"/>
      <c r="C98" s="226"/>
      <c r="D98" s="71"/>
    </row>
    <row r="99" spans="1:4" x14ac:dyDescent="0.2">
      <c r="A99" s="345">
        <v>30528</v>
      </c>
      <c r="B99" s="71"/>
      <c r="C99" s="226"/>
      <c r="D99" s="71"/>
    </row>
    <row r="100" spans="1:4" x14ac:dyDescent="0.2">
      <c r="A100" s="345">
        <v>30559</v>
      </c>
      <c r="B100" s="71"/>
      <c r="C100" s="226"/>
      <c r="D100" s="71"/>
    </row>
    <row r="101" spans="1:4" x14ac:dyDescent="0.2">
      <c r="A101" s="345">
        <v>30589</v>
      </c>
      <c r="B101" s="71"/>
      <c r="C101" s="226"/>
      <c r="D101" s="71"/>
    </row>
    <row r="102" spans="1:4" x14ac:dyDescent="0.2">
      <c r="A102" s="345">
        <v>30620</v>
      </c>
      <c r="B102" s="71"/>
      <c r="C102" s="226"/>
      <c r="D102" s="71"/>
    </row>
    <row r="103" spans="1:4" x14ac:dyDescent="0.2">
      <c r="A103" s="345">
        <v>30650</v>
      </c>
      <c r="B103" s="71"/>
      <c r="C103" s="226"/>
      <c r="D103" s="71"/>
    </row>
    <row r="104" spans="1:4" x14ac:dyDescent="0.2">
      <c r="A104" s="345">
        <v>30681</v>
      </c>
      <c r="B104" s="71"/>
      <c r="C104" s="226"/>
      <c r="D104" s="71"/>
    </row>
    <row r="105" spans="1:4" x14ac:dyDescent="0.2">
      <c r="A105" s="345">
        <v>30712</v>
      </c>
      <c r="B105" s="71"/>
      <c r="C105" s="226"/>
      <c r="D105" s="71"/>
    </row>
    <row r="106" spans="1:4" x14ac:dyDescent="0.2">
      <c r="A106" s="345">
        <v>30741</v>
      </c>
      <c r="B106" s="71"/>
      <c r="C106" s="226"/>
      <c r="D106" s="71"/>
    </row>
    <row r="107" spans="1:4" x14ac:dyDescent="0.2">
      <c r="A107" s="345">
        <v>30772</v>
      </c>
      <c r="B107" s="71"/>
      <c r="C107" s="226"/>
      <c r="D107" s="71"/>
    </row>
    <row r="108" spans="1:4" x14ac:dyDescent="0.2">
      <c r="A108" s="345">
        <v>30802</v>
      </c>
      <c r="B108" s="71"/>
      <c r="C108" s="226"/>
      <c r="D108" s="71"/>
    </row>
    <row r="109" spans="1:4" x14ac:dyDescent="0.2">
      <c r="A109" s="345">
        <v>30833</v>
      </c>
      <c r="B109" s="71"/>
      <c r="C109" s="226"/>
      <c r="D109" s="71"/>
    </row>
    <row r="110" spans="1:4" x14ac:dyDescent="0.2">
      <c r="A110" s="345">
        <v>30863</v>
      </c>
      <c r="B110" s="71"/>
      <c r="C110" s="226"/>
      <c r="D110" s="71"/>
    </row>
    <row r="111" spans="1:4" x14ac:dyDescent="0.2">
      <c r="A111" s="345">
        <v>30894</v>
      </c>
      <c r="B111" s="71"/>
      <c r="C111" s="226"/>
      <c r="D111" s="71"/>
    </row>
    <row r="112" spans="1:4" x14ac:dyDescent="0.2">
      <c r="A112" s="345">
        <v>30925</v>
      </c>
      <c r="B112" s="71"/>
      <c r="C112" s="226"/>
      <c r="D112" s="71"/>
    </row>
    <row r="113" spans="1:4" x14ac:dyDescent="0.2">
      <c r="A113" s="345">
        <v>30955</v>
      </c>
      <c r="B113" s="71"/>
      <c r="C113" s="226"/>
      <c r="D113" s="71"/>
    </row>
    <row r="114" spans="1:4" x14ac:dyDescent="0.2">
      <c r="A114" s="345">
        <v>30986</v>
      </c>
      <c r="B114" s="71"/>
      <c r="C114" s="226"/>
      <c r="D114" s="71"/>
    </row>
    <row r="115" spans="1:4" x14ac:dyDescent="0.2">
      <c r="A115" s="345">
        <v>31016</v>
      </c>
      <c r="B115" s="71"/>
      <c r="C115" s="226"/>
      <c r="D115" s="71"/>
    </row>
    <row r="116" spans="1:4" x14ac:dyDescent="0.2">
      <c r="A116" s="345">
        <v>31047</v>
      </c>
      <c r="B116" s="71"/>
      <c r="C116" s="226"/>
      <c r="D116" s="71"/>
    </row>
    <row r="117" spans="1:4" x14ac:dyDescent="0.2">
      <c r="A117" s="345">
        <v>31078</v>
      </c>
      <c r="B117" s="71"/>
      <c r="C117" s="226"/>
      <c r="D117" s="71"/>
    </row>
    <row r="118" spans="1:4" x14ac:dyDescent="0.2">
      <c r="A118" s="345">
        <v>31106</v>
      </c>
      <c r="B118" s="71"/>
      <c r="C118" s="226"/>
      <c r="D118" s="71"/>
    </row>
    <row r="119" spans="1:4" x14ac:dyDescent="0.2">
      <c r="A119" s="345">
        <v>31137</v>
      </c>
      <c r="B119" s="71"/>
      <c r="C119" s="226"/>
      <c r="D119" s="71"/>
    </row>
    <row r="120" spans="1:4" x14ac:dyDescent="0.2">
      <c r="A120" s="345">
        <v>31167</v>
      </c>
      <c r="B120" s="71"/>
      <c r="C120" s="226"/>
      <c r="D120" s="71"/>
    </row>
    <row r="121" spans="1:4" x14ac:dyDescent="0.2">
      <c r="A121" s="345">
        <v>31198</v>
      </c>
      <c r="B121" s="71"/>
      <c r="C121" s="226"/>
      <c r="D121" s="71"/>
    </row>
    <row r="122" spans="1:4" x14ac:dyDescent="0.2">
      <c r="A122" s="345">
        <v>31228</v>
      </c>
      <c r="B122" s="71"/>
      <c r="C122" s="226"/>
      <c r="D122" s="71"/>
    </row>
    <row r="123" spans="1:4" x14ac:dyDescent="0.2">
      <c r="A123" s="345">
        <v>31259</v>
      </c>
      <c r="B123" s="71"/>
      <c r="C123" s="226"/>
      <c r="D123" s="71"/>
    </row>
    <row r="124" spans="1:4" x14ac:dyDescent="0.2">
      <c r="A124" s="345">
        <v>31290</v>
      </c>
      <c r="B124" s="71"/>
      <c r="C124" s="226"/>
      <c r="D124" s="71"/>
    </row>
    <row r="125" spans="1:4" x14ac:dyDescent="0.2">
      <c r="A125" s="345">
        <v>31320</v>
      </c>
      <c r="B125" s="71"/>
      <c r="C125" s="226"/>
      <c r="D125" s="71"/>
    </row>
    <row r="126" spans="1:4" x14ac:dyDescent="0.2">
      <c r="A126" s="345">
        <v>31351</v>
      </c>
      <c r="B126" s="71"/>
      <c r="C126" s="226"/>
      <c r="D126" s="71"/>
    </row>
    <row r="127" spans="1:4" x14ac:dyDescent="0.2">
      <c r="A127" s="345">
        <v>31381</v>
      </c>
      <c r="B127" s="71"/>
      <c r="C127" s="226"/>
      <c r="D127" s="71"/>
    </row>
    <row r="128" spans="1:4" x14ac:dyDescent="0.2">
      <c r="A128" s="345">
        <v>31412</v>
      </c>
      <c r="B128" s="71"/>
      <c r="C128" s="226"/>
      <c r="D128" s="71"/>
    </row>
    <row r="129" spans="1:4" x14ac:dyDescent="0.2">
      <c r="A129" s="345">
        <v>31443</v>
      </c>
      <c r="B129" s="71"/>
      <c r="C129" s="226"/>
      <c r="D129" s="71"/>
    </row>
    <row r="130" spans="1:4" x14ac:dyDescent="0.2">
      <c r="A130" s="345">
        <v>31471</v>
      </c>
      <c r="B130" s="71"/>
      <c r="C130" s="226"/>
      <c r="D130" s="71"/>
    </row>
    <row r="131" spans="1:4" x14ac:dyDescent="0.2">
      <c r="A131" s="345">
        <v>31502</v>
      </c>
      <c r="B131" s="71"/>
      <c r="C131" s="226"/>
      <c r="D131" s="71"/>
    </row>
    <row r="132" spans="1:4" x14ac:dyDescent="0.2">
      <c r="A132" s="345">
        <v>31532</v>
      </c>
      <c r="B132" s="71"/>
      <c r="C132" s="226"/>
      <c r="D132" s="71"/>
    </row>
    <row r="133" spans="1:4" x14ac:dyDescent="0.2">
      <c r="A133" s="345">
        <v>31563</v>
      </c>
      <c r="B133" s="71"/>
      <c r="C133" s="226"/>
      <c r="D133" s="71"/>
    </row>
    <row r="134" spans="1:4" x14ac:dyDescent="0.2">
      <c r="A134" s="345">
        <v>31593</v>
      </c>
      <c r="B134" s="71"/>
      <c r="C134" s="226"/>
      <c r="D134" s="71"/>
    </row>
    <row r="135" spans="1:4" x14ac:dyDescent="0.2">
      <c r="A135" s="345">
        <v>31624</v>
      </c>
      <c r="B135" s="71"/>
      <c r="C135" s="226"/>
      <c r="D135" s="71"/>
    </row>
    <row r="136" spans="1:4" x14ac:dyDescent="0.2">
      <c r="A136" s="345">
        <v>31655</v>
      </c>
      <c r="B136" s="71"/>
      <c r="C136" s="226"/>
      <c r="D136" s="71"/>
    </row>
    <row r="137" spans="1:4" x14ac:dyDescent="0.2">
      <c r="A137" s="345">
        <v>31685</v>
      </c>
      <c r="B137" s="71"/>
      <c r="C137" s="226"/>
      <c r="D137" s="71"/>
    </row>
    <row r="138" spans="1:4" x14ac:dyDescent="0.2">
      <c r="A138" s="345">
        <v>31716</v>
      </c>
      <c r="B138" s="71"/>
      <c r="C138" s="226"/>
      <c r="D138" s="71"/>
    </row>
    <row r="139" spans="1:4" x14ac:dyDescent="0.2">
      <c r="A139" s="345">
        <v>31746</v>
      </c>
      <c r="B139" s="71"/>
      <c r="C139" s="226"/>
      <c r="D139" s="71"/>
    </row>
    <row r="140" spans="1:4" x14ac:dyDescent="0.2">
      <c r="A140" s="345">
        <v>31777</v>
      </c>
      <c r="B140" s="71"/>
      <c r="C140" s="226"/>
      <c r="D140" s="71"/>
    </row>
    <row r="141" spans="1:4" x14ac:dyDescent="0.2">
      <c r="A141" s="345">
        <v>31808</v>
      </c>
      <c r="B141" s="73"/>
      <c r="C141" s="25"/>
      <c r="D141" s="73"/>
    </row>
    <row r="142" spans="1:4" x14ac:dyDescent="0.2">
      <c r="A142" s="345">
        <v>31836</v>
      </c>
      <c r="B142" s="73"/>
      <c r="C142" s="25"/>
      <c r="D142" s="73"/>
    </row>
    <row r="143" spans="1:4" x14ac:dyDescent="0.2">
      <c r="A143" s="345">
        <v>31867</v>
      </c>
      <c r="B143" s="73"/>
      <c r="C143" s="25"/>
      <c r="D143" s="73"/>
    </row>
    <row r="144" spans="1:4" x14ac:dyDescent="0.2">
      <c r="A144" s="345">
        <v>31897</v>
      </c>
      <c r="B144" s="73"/>
      <c r="C144" s="25"/>
      <c r="D144" s="73"/>
    </row>
    <row r="145" spans="1:4" x14ac:dyDescent="0.2">
      <c r="A145" s="345">
        <v>31928</v>
      </c>
      <c r="B145" s="73"/>
      <c r="C145" s="25"/>
      <c r="D145" s="73"/>
    </row>
    <row r="146" spans="1:4" x14ac:dyDescent="0.2">
      <c r="A146" s="345">
        <v>31958</v>
      </c>
      <c r="B146" s="73"/>
      <c r="C146" s="25"/>
      <c r="D146" s="73"/>
    </row>
    <row r="147" spans="1:4" x14ac:dyDescent="0.2">
      <c r="A147" s="345">
        <v>31989</v>
      </c>
      <c r="B147" s="73"/>
      <c r="C147" s="25"/>
      <c r="D147" s="73"/>
    </row>
    <row r="148" spans="1:4" x14ac:dyDescent="0.2">
      <c r="A148" s="345">
        <v>32020</v>
      </c>
      <c r="B148" s="73"/>
      <c r="C148" s="25"/>
      <c r="D148" s="73"/>
    </row>
    <row r="149" spans="1:4" x14ac:dyDescent="0.2">
      <c r="A149" s="345">
        <v>32050</v>
      </c>
      <c r="B149" s="73"/>
      <c r="C149" s="25"/>
      <c r="D149" s="73"/>
    </row>
    <row r="150" spans="1:4" x14ac:dyDescent="0.2">
      <c r="A150" s="345">
        <v>32081</v>
      </c>
      <c r="B150" s="73"/>
      <c r="C150" s="25"/>
      <c r="D150" s="73"/>
    </row>
    <row r="151" spans="1:4" x14ac:dyDescent="0.2">
      <c r="A151" s="345">
        <v>32111</v>
      </c>
      <c r="B151" s="73"/>
      <c r="C151" s="25"/>
      <c r="D151" s="73"/>
    </row>
    <row r="152" spans="1:4" x14ac:dyDescent="0.2">
      <c r="A152" s="345">
        <v>32142</v>
      </c>
      <c r="B152" s="73"/>
      <c r="C152" s="25"/>
      <c r="D152" s="73"/>
    </row>
    <row r="153" spans="1:4" x14ac:dyDescent="0.2">
      <c r="A153" s="345">
        <v>32173</v>
      </c>
      <c r="B153" s="73"/>
      <c r="C153" s="25"/>
      <c r="D153" s="73"/>
    </row>
    <row r="154" spans="1:4" x14ac:dyDescent="0.2">
      <c r="A154" s="345">
        <v>32202</v>
      </c>
      <c r="B154" s="73"/>
      <c r="C154" s="25"/>
      <c r="D154" s="73"/>
    </row>
    <row r="155" spans="1:4" x14ac:dyDescent="0.2">
      <c r="A155" s="345">
        <v>32233</v>
      </c>
      <c r="B155" s="73"/>
      <c r="C155" s="25"/>
      <c r="D155" s="73"/>
    </row>
    <row r="156" spans="1:4" x14ac:dyDescent="0.2">
      <c r="A156" s="345">
        <v>32263</v>
      </c>
      <c r="B156" s="73"/>
      <c r="C156" s="25"/>
      <c r="D156" s="73"/>
    </row>
    <row r="157" spans="1:4" x14ac:dyDescent="0.2">
      <c r="A157" s="345">
        <v>32294</v>
      </c>
      <c r="B157" s="73"/>
      <c r="C157" s="25"/>
      <c r="D157" s="73"/>
    </row>
    <row r="158" spans="1:4" x14ac:dyDescent="0.2">
      <c r="A158" s="345">
        <v>32324</v>
      </c>
      <c r="B158" s="73"/>
      <c r="C158" s="25"/>
      <c r="D158" s="73"/>
    </row>
    <row r="159" spans="1:4" x14ac:dyDescent="0.2">
      <c r="A159" s="345">
        <v>32355</v>
      </c>
      <c r="B159" s="73"/>
      <c r="C159" s="25"/>
      <c r="D159" s="73"/>
    </row>
    <row r="160" spans="1:4" x14ac:dyDescent="0.2">
      <c r="A160" s="345">
        <v>32386</v>
      </c>
      <c r="B160" s="73"/>
      <c r="C160" s="25"/>
      <c r="D160" s="73"/>
    </row>
    <row r="161" spans="1:4" x14ac:dyDescent="0.2">
      <c r="A161" s="345">
        <v>32416</v>
      </c>
      <c r="B161" s="73"/>
      <c r="C161" s="25"/>
      <c r="D161" s="73"/>
    </row>
    <row r="162" spans="1:4" x14ac:dyDescent="0.2">
      <c r="A162" s="345">
        <v>32447</v>
      </c>
      <c r="B162" s="73"/>
      <c r="C162" s="25"/>
      <c r="D162" s="73"/>
    </row>
    <row r="163" spans="1:4" x14ac:dyDescent="0.2">
      <c r="A163" s="345">
        <v>32477</v>
      </c>
      <c r="B163" s="73"/>
      <c r="C163" s="25"/>
      <c r="D163" s="73"/>
    </row>
    <row r="164" spans="1:4" x14ac:dyDescent="0.2">
      <c r="A164" s="345">
        <v>32508</v>
      </c>
      <c r="B164" s="73"/>
      <c r="C164" s="25"/>
      <c r="D164" s="73"/>
    </row>
    <row r="165" spans="1:4" x14ac:dyDescent="0.2">
      <c r="A165" s="345">
        <v>32539</v>
      </c>
      <c r="B165" s="73"/>
      <c r="C165" s="25"/>
      <c r="D165" s="73"/>
    </row>
    <row r="166" spans="1:4" x14ac:dyDescent="0.2">
      <c r="A166" s="345">
        <v>32567</v>
      </c>
      <c r="B166" s="73"/>
      <c r="C166" s="25"/>
      <c r="D166" s="73"/>
    </row>
    <row r="167" spans="1:4" x14ac:dyDescent="0.2">
      <c r="A167" s="345">
        <v>32598</v>
      </c>
      <c r="B167" s="73"/>
      <c r="C167" s="25"/>
      <c r="D167" s="73"/>
    </row>
    <row r="168" spans="1:4" x14ac:dyDescent="0.2">
      <c r="A168" s="345">
        <v>32628</v>
      </c>
      <c r="B168" s="73"/>
      <c r="C168" s="25"/>
      <c r="D168" s="73"/>
    </row>
    <row r="169" spans="1:4" x14ac:dyDescent="0.2">
      <c r="A169" s="345">
        <v>32659</v>
      </c>
      <c r="B169" s="73"/>
      <c r="C169" s="25"/>
      <c r="D169" s="73"/>
    </row>
    <row r="170" spans="1:4" x14ac:dyDescent="0.2">
      <c r="A170" s="345">
        <v>32689</v>
      </c>
      <c r="B170" s="73"/>
      <c r="C170" s="25"/>
      <c r="D170" s="73"/>
    </row>
    <row r="171" spans="1:4" x14ac:dyDescent="0.2">
      <c r="A171" s="345">
        <v>32720</v>
      </c>
      <c r="B171" s="73"/>
      <c r="C171" s="25"/>
      <c r="D171" s="73"/>
    </row>
    <row r="172" spans="1:4" x14ac:dyDescent="0.2">
      <c r="A172" s="345">
        <v>32751</v>
      </c>
      <c r="B172" s="73"/>
      <c r="C172" s="25"/>
      <c r="D172" s="73"/>
    </row>
    <row r="173" spans="1:4" x14ac:dyDescent="0.2">
      <c r="A173" s="345">
        <v>32781</v>
      </c>
      <c r="B173" s="73"/>
      <c r="C173" s="25"/>
      <c r="D173" s="73"/>
    </row>
    <row r="174" spans="1:4" x14ac:dyDescent="0.2">
      <c r="A174" s="345">
        <v>32812</v>
      </c>
      <c r="B174" s="73"/>
      <c r="C174" s="25"/>
      <c r="D174" s="73"/>
    </row>
    <row r="175" spans="1:4" x14ac:dyDescent="0.2">
      <c r="A175" s="345">
        <v>32842</v>
      </c>
      <c r="B175" s="73"/>
      <c r="C175" s="25"/>
      <c r="D175" s="73"/>
    </row>
    <row r="176" spans="1:4" x14ac:dyDescent="0.2">
      <c r="A176" s="345">
        <v>32873</v>
      </c>
      <c r="B176" s="73"/>
      <c r="C176" s="25"/>
      <c r="D176" s="73"/>
    </row>
    <row r="177" spans="1:4" x14ac:dyDescent="0.2">
      <c r="A177" s="345">
        <v>32904</v>
      </c>
      <c r="B177" s="73"/>
      <c r="C177" s="25"/>
      <c r="D177" s="73"/>
    </row>
    <row r="178" spans="1:4" x14ac:dyDescent="0.2">
      <c r="A178" s="345">
        <v>32932</v>
      </c>
      <c r="B178" s="73"/>
      <c r="C178" s="25"/>
      <c r="D178" s="73"/>
    </row>
    <row r="179" spans="1:4" x14ac:dyDescent="0.2">
      <c r="A179" s="345">
        <v>32963</v>
      </c>
      <c r="B179" s="73"/>
      <c r="C179" s="25"/>
      <c r="D179" s="73"/>
    </row>
    <row r="180" spans="1:4" x14ac:dyDescent="0.2">
      <c r="A180" s="345">
        <v>32993</v>
      </c>
      <c r="B180" s="73"/>
      <c r="C180" s="25"/>
      <c r="D180" s="73"/>
    </row>
    <row r="181" spans="1:4" x14ac:dyDescent="0.2">
      <c r="A181" s="345">
        <v>33024</v>
      </c>
      <c r="B181" s="73"/>
      <c r="C181" s="25"/>
      <c r="D181" s="73"/>
    </row>
    <row r="182" spans="1:4" x14ac:dyDescent="0.2">
      <c r="A182" s="345">
        <v>33054</v>
      </c>
      <c r="B182" s="73"/>
      <c r="C182" s="25"/>
      <c r="D182" s="73"/>
    </row>
    <row r="183" spans="1:4" x14ac:dyDescent="0.2">
      <c r="A183" s="345">
        <v>33085</v>
      </c>
      <c r="B183" s="73"/>
      <c r="C183" s="25"/>
      <c r="D183" s="73"/>
    </row>
    <row r="184" spans="1:4" x14ac:dyDescent="0.2">
      <c r="A184" s="345">
        <v>33116</v>
      </c>
      <c r="B184" s="73"/>
      <c r="C184" s="25"/>
      <c r="D184" s="73"/>
    </row>
    <row r="185" spans="1:4" x14ac:dyDescent="0.2">
      <c r="A185" s="345">
        <v>33146</v>
      </c>
      <c r="B185" s="73"/>
      <c r="C185" s="25"/>
      <c r="D185" s="73"/>
    </row>
    <row r="186" spans="1:4" x14ac:dyDescent="0.2">
      <c r="A186" s="345">
        <v>33177</v>
      </c>
      <c r="B186" s="73"/>
      <c r="C186" s="25"/>
      <c r="D186" s="73"/>
    </row>
    <row r="187" spans="1:4" x14ac:dyDescent="0.2">
      <c r="A187" s="345">
        <v>33207</v>
      </c>
      <c r="B187" s="73"/>
      <c r="C187" s="25"/>
      <c r="D187" s="73"/>
    </row>
    <row r="188" spans="1:4" x14ac:dyDescent="0.2">
      <c r="A188" s="345">
        <v>33238</v>
      </c>
      <c r="B188" s="73"/>
      <c r="C188" s="25"/>
      <c r="D188" s="73"/>
    </row>
    <row r="189" spans="1:4" x14ac:dyDescent="0.2">
      <c r="A189" s="345">
        <v>33269</v>
      </c>
      <c r="B189" s="73"/>
      <c r="C189" s="25"/>
      <c r="D189" s="73"/>
    </row>
    <row r="190" spans="1:4" x14ac:dyDescent="0.2">
      <c r="A190" s="345">
        <v>33297</v>
      </c>
      <c r="B190" s="73"/>
      <c r="C190" s="25"/>
      <c r="D190" s="73"/>
    </row>
    <row r="191" spans="1:4" x14ac:dyDescent="0.2">
      <c r="A191" s="345">
        <v>33328</v>
      </c>
      <c r="B191" s="73"/>
      <c r="C191" s="25"/>
      <c r="D191" s="73"/>
    </row>
    <row r="192" spans="1:4" x14ac:dyDescent="0.2">
      <c r="A192" s="345">
        <v>33358</v>
      </c>
      <c r="B192" s="73"/>
      <c r="C192" s="25"/>
      <c r="D192" s="73"/>
    </row>
    <row r="193" spans="1:4" x14ac:dyDescent="0.2">
      <c r="A193" s="345">
        <v>33389</v>
      </c>
      <c r="B193" s="73"/>
      <c r="C193" s="25"/>
      <c r="D193" s="73"/>
    </row>
    <row r="194" spans="1:4" x14ac:dyDescent="0.2">
      <c r="A194" s="345">
        <v>33419</v>
      </c>
      <c r="B194" s="73"/>
      <c r="C194" s="25"/>
      <c r="D194" s="73"/>
    </row>
    <row r="195" spans="1:4" x14ac:dyDescent="0.2">
      <c r="A195" s="345">
        <v>33450</v>
      </c>
      <c r="B195" s="73"/>
      <c r="C195" s="25"/>
      <c r="D195" s="73"/>
    </row>
    <row r="196" spans="1:4" x14ac:dyDescent="0.2">
      <c r="A196" s="345">
        <v>33481</v>
      </c>
      <c r="B196" s="73"/>
      <c r="C196" s="25"/>
      <c r="D196" s="73"/>
    </row>
    <row r="197" spans="1:4" x14ac:dyDescent="0.2">
      <c r="A197" s="345">
        <v>33511</v>
      </c>
      <c r="B197" s="73"/>
      <c r="C197" s="25"/>
      <c r="D197" s="73"/>
    </row>
    <row r="198" spans="1:4" x14ac:dyDescent="0.2">
      <c r="A198" s="345">
        <v>33542</v>
      </c>
      <c r="B198" s="73"/>
      <c r="C198" s="25"/>
      <c r="D198" s="73"/>
    </row>
    <row r="199" spans="1:4" x14ac:dyDescent="0.2">
      <c r="A199" s="345">
        <v>33572</v>
      </c>
      <c r="B199" s="73"/>
      <c r="C199" s="25"/>
      <c r="D199" s="73"/>
    </row>
    <row r="200" spans="1:4" x14ac:dyDescent="0.2">
      <c r="A200" s="345">
        <v>33603</v>
      </c>
      <c r="B200" s="73"/>
      <c r="C200" s="25"/>
      <c r="D200" s="73"/>
    </row>
    <row r="201" spans="1:4" x14ac:dyDescent="0.2">
      <c r="A201" s="345">
        <v>33634</v>
      </c>
      <c r="B201" s="73"/>
      <c r="C201" s="25"/>
      <c r="D201" s="73"/>
    </row>
    <row r="202" spans="1:4" x14ac:dyDescent="0.2">
      <c r="A202" s="345">
        <v>33663</v>
      </c>
      <c r="B202" s="73"/>
      <c r="C202" s="25"/>
      <c r="D202" s="73"/>
    </row>
    <row r="203" spans="1:4" x14ac:dyDescent="0.2">
      <c r="A203" s="345">
        <v>33694</v>
      </c>
      <c r="B203" s="73"/>
      <c r="C203" s="25"/>
      <c r="D203" s="73"/>
    </row>
    <row r="204" spans="1:4" x14ac:dyDescent="0.2">
      <c r="A204" s="345">
        <v>33724</v>
      </c>
      <c r="B204" s="73"/>
      <c r="C204" s="25"/>
      <c r="D204" s="73"/>
    </row>
    <row r="205" spans="1:4" x14ac:dyDescent="0.2">
      <c r="A205" s="345">
        <v>33755</v>
      </c>
      <c r="B205" s="73"/>
      <c r="C205" s="25"/>
      <c r="D205" s="73"/>
    </row>
    <row r="206" spans="1:4" x14ac:dyDescent="0.2">
      <c r="A206" s="345">
        <v>33785</v>
      </c>
      <c r="B206" s="73"/>
      <c r="C206" s="25"/>
      <c r="D206" s="73"/>
    </row>
    <row r="207" spans="1:4" x14ac:dyDescent="0.2">
      <c r="A207" s="345">
        <v>33816</v>
      </c>
      <c r="B207" s="73"/>
      <c r="C207" s="25"/>
      <c r="D207" s="73"/>
    </row>
    <row r="208" spans="1:4" x14ac:dyDescent="0.2">
      <c r="A208" s="345">
        <v>33847</v>
      </c>
      <c r="B208" s="73"/>
      <c r="C208" s="25"/>
      <c r="D208" s="73"/>
    </row>
    <row r="209" spans="1:4" x14ac:dyDescent="0.2">
      <c r="A209" s="345">
        <v>33877</v>
      </c>
      <c r="B209" s="73"/>
      <c r="C209" s="25"/>
      <c r="D209" s="73"/>
    </row>
    <row r="210" spans="1:4" x14ac:dyDescent="0.2">
      <c r="A210" s="345">
        <v>33908</v>
      </c>
      <c r="B210" s="73"/>
      <c r="C210" s="25"/>
      <c r="D210" s="73"/>
    </row>
    <row r="211" spans="1:4" x14ac:dyDescent="0.2">
      <c r="A211" s="345">
        <v>33938</v>
      </c>
      <c r="B211" s="73"/>
      <c r="C211" s="25"/>
      <c r="D211" s="73"/>
    </row>
    <row r="212" spans="1:4" x14ac:dyDescent="0.2">
      <c r="A212" s="345">
        <v>33969</v>
      </c>
      <c r="B212" s="73"/>
      <c r="C212" s="25"/>
      <c r="D212" s="73"/>
    </row>
    <row r="213" spans="1:4" x14ac:dyDescent="0.2">
      <c r="A213" s="345">
        <v>34000</v>
      </c>
      <c r="B213" s="73"/>
      <c r="C213" s="25"/>
      <c r="D213" s="73"/>
    </row>
    <row r="214" spans="1:4" x14ac:dyDescent="0.2">
      <c r="A214" s="345">
        <v>34028</v>
      </c>
      <c r="B214" s="73"/>
      <c r="C214" s="25"/>
      <c r="D214" s="73"/>
    </row>
    <row r="215" spans="1:4" x14ac:dyDescent="0.2">
      <c r="A215" s="345">
        <v>34059</v>
      </c>
      <c r="B215" s="73"/>
      <c r="C215" s="25"/>
      <c r="D215" s="73"/>
    </row>
    <row r="216" spans="1:4" x14ac:dyDescent="0.2">
      <c r="A216" s="345">
        <v>34089</v>
      </c>
      <c r="B216" s="73"/>
      <c r="C216" s="25"/>
      <c r="D216" s="73"/>
    </row>
    <row r="217" spans="1:4" x14ac:dyDescent="0.2">
      <c r="A217" s="345">
        <v>34120</v>
      </c>
      <c r="B217" s="73"/>
      <c r="C217" s="25"/>
      <c r="D217" s="73"/>
    </row>
    <row r="218" spans="1:4" x14ac:dyDescent="0.2">
      <c r="A218" s="345">
        <v>34150</v>
      </c>
      <c r="B218" s="73"/>
      <c r="C218" s="25"/>
      <c r="D218" s="73"/>
    </row>
    <row r="219" spans="1:4" x14ac:dyDescent="0.2">
      <c r="A219" s="345">
        <v>34181</v>
      </c>
      <c r="B219" s="73"/>
      <c r="C219" s="25"/>
      <c r="D219" s="73"/>
    </row>
    <row r="220" spans="1:4" x14ac:dyDescent="0.2">
      <c r="A220" s="345">
        <v>34212</v>
      </c>
      <c r="B220" s="73"/>
      <c r="C220" s="25"/>
      <c r="D220" s="73"/>
    </row>
    <row r="221" spans="1:4" x14ac:dyDescent="0.2">
      <c r="A221" s="345">
        <v>34242</v>
      </c>
      <c r="B221" s="73"/>
      <c r="C221" s="25"/>
      <c r="D221" s="73"/>
    </row>
    <row r="222" spans="1:4" x14ac:dyDescent="0.2">
      <c r="A222" s="345">
        <v>34273</v>
      </c>
      <c r="B222" s="73"/>
      <c r="C222" s="25"/>
      <c r="D222" s="73"/>
    </row>
    <row r="223" spans="1:4" x14ac:dyDescent="0.2">
      <c r="A223" s="345">
        <v>34303</v>
      </c>
      <c r="B223" s="73"/>
      <c r="C223" s="25"/>
      <c r="D223" s="73"/>
    </row>
    <row r="224" spans="1:4" x14ac:dyDescent="0.2">
      <c r="A224" s="345">
        <v>34334</v>
      </c>
      <c r="B224" s="73"/>
      <c r="C224" s="25"/>
      <c r="D224" s="73"/>
    </row>
    <row r="225" spans="1:4" x14ac:dyDescent="0.2">
      <c r="A225" s="345">
        <v>34365</v>
      </c>
      <c r="B225" s="73"/>
      <c r="C225" s="25"/>
      <c r="D225" s="73"/>
    </row>
    <row r="226" spans="1:4" x14ac:dyDescent="0.2">
      <c r="A226" s="345">
        <v>34393</v>
      </c>
      <c r="B226" s="73"/>
      <c r="C226" s="25"/>
      <c r="D226" s="73"/>
    </row>
    <row r="227" spans="1:4" x14ac:dyDescent="0.2">
      <c r="A227" s="345">
        <v>34424</v>
      </c>
      <c r="B227" s="73"/>
      <c r="C227" s="25"/>
      <c r="D227" s="73"/>
    </row>
    <row r="228" spans="1:4" x14ac:dyDescent="0.2">
      <c r="A228" s="345">
        <v>34454</v>
      </c>
      <c r="B228" s="73"/>
      <c r="C228" s="25"/>
      <c r="D228" s="73"/>
    </row>
    <row r="229" spans="1:4" x14ac:dyDescent="0.2">
      <c r="A229" s="345">
        <v>34485</v>
      </c>
      <c r="B229" s="73"/>
      <c r="C229" s="25"/>
      <c r="D229" s="73"/>
    </row>
    <row r="230" spans="1:4" x14ac:dyDescent="0.2">
      <c r="A230" s="345">
        <v>34515</v>
      </c>
      <c r="B230" s="73"/>
      <c r="C230" s="25"/>
      <c r="D230" s="73"/>
    </row>
    <row r="231" spans="1:4" x14ac:dyDescent="0.2">
      <c r="A231" s="345">
        <v>34546</v>
      </c>
      <c r="B231" s="73"/>
      <c r="C231" s="25"/>
      <c r="D231" s="73"/>
    </row>
    <row r="232" spans="1:4" x14ac:dyDescent="0.2">
      <c r="A232" s="345">
        <v>34577</v>
      </c>
      <c r="B232" s="73"/>
      <c r="C232" s="25"/>
      <c r="D232" s="73"/>
    </row>
    <row r="233" spans="1:4" x14ac:dyDescent="0.2">
      <c r="A233" s="345">
        <v>34607</v>
      </c>
      <c r="B233" s="73"/>
      <c r="C233" s="25"/>
      <c r="D233" s="73"/>
    </row>
    <row r="234" spans="1:4" x14ac:dyDescent="0.2">
      <c r="A234" s="345">
        <v>34638</v>
      </c>
      <c r="B234" s="73"/>
      <c r="C234" s="25"/>
      <c r="D234" s="73"/>
    </row>
    <row r="235" spans="1:4" x14ac:dyDescent="0.2">
      <c r="A235" s="345">
        <v>34668</v>
      </c>
      <c r="B235" s="73"/>
      <c r="C235" s="25"/>
      <c r="D235" s="73"/>
    </row>
    <row r="236" spans="1:4" x14ac:dyDescent="0.2">
      <c r="A236" s="345">
        <v>34699</v>
      </c>
      <c r="B236" s="73"/>
      <c r="C236" s="25"/>
      <c r="D236" s="73"/>
    </row>
    <row r="237" spans="1:4" x14ac:dyDescent="0.2">
      <c r="A237" s="345">
        <v>34730</v>
      </c>
      <c r="B237" s="73"/>
      <c r="C237" s="25"/>
      <c r="D237" s="73"/>
    </row>
    <row r="238" spans="1:4" x14ac:dyDescent="0.2">
      <c r="A238" s="345">
        <v>34758</v>
      </c>
      <c r="B238" s="73"/>
      <c r="C238" s="25"/>
      <c r="D238" s="73"/>
    </row>
    <row r="239" spans="1:4" x14ac:dyDescent="0.2">
      <c r="A239" s="345">
        <v>34789</v>
      </c>
      <c r="B239" s="73"/>
      <c r="C239" s="25"/>
      <c r="D239" s="73"/>
    </row>
    <row r="240" spans="1:4" x14ac:dyDescent="0.2">
      <c r="A240" s="345">
        <v>34819</v>
      </c>
      <c r="B240" s="73"/>
      <c r="C240" s="25"/>
      <c r="D240" s="73"/>
    </row>
    <row r="241" spans="1:4" x14ac:dyDescent="0.2">
      <c r="A241" s="345">
        <v>34850</v>
      </c>
      <c r="B241" s="73"/>
      <c r="C241" s="25"/>
      <c r="D241" s="73"/>
    </row>
    <row r="242" spans="1:4" x14ac:dyDescent="0.2">
      <c r="A242" s="345">
        <v>34880</v>
      </c>
      <c r="B242" s="73"/>
      <c r="C242" s="25"/>
      <c r="D242" s="73"/>
    </row>
    <row r="243" spans="1:4" x14ac:dyDescent="0.2">
      <c r="A243" s="345">
        <v>34911</v>
      </c>
      <c r="B243" s="73"/>
      <c r="C243" s="25"/>
      <c r="D243" s="73"/>
    </row>
    <row r="244" spans="1:4" x14ac:dyDescent="0.2">
      <c r="A244" s="345">
        <v>34942</v>
      </c>
      <c r="B244" s="73"/>
      <c r="C244" s="25"/>
      <c r="D244" s="73"/>
    </row>
    <row r="245" spans="1:4" x14ac:dyDescent="0.2">
      <c r="A245" s="345">
        <v>34972</v>
      </c>
      <c r="B245" s="73"/>
      <c r="C245" s="25"/>
      <c r="D245" s="73"/>
    </row>
    <row r="246" spans="1:4" x14ac:dyDescent="0.2">
      <c r="A246" s="345">
        <v>35003</v>
      </c>
      <c r="B246" s="73"/>
      <c r="C246" s="25"/>
      <c r="D246" s="73"/>
    </row>
    <row r="247" spans="1:4" x14ac:dyDescent="0.2">
      <c r="A247" s="345">
        <v>35033</v>
      </c>
      <c r="B247" s="73"/>
      <c r="C247" s="25"/>
      <c r="D247" s="73"/>
    </row>
    <row r="248" spans="1:4" x14ac:dyDescent="0.2">
      <c r="A248" s="345">
        <v>35064</v>
      </c>
      <c r="B248" s="73"/>
      <c r="C248" s="25"/>
      <c r="D248" s="73"/>
    </row>
    <row r="249" spans="1:4" x14ac:dyDescent="0.2">
      <c r="A249" s="345">
        <v>35095</v>
      </c>
      <c r="B249" s="73"/>
      <c r="C249" s="25"/>
      <c r="D249" s="73"/>
    </row>
    <row r="250" spans="1:4" x14ac:dyDescent="0.2">
      <c r="A250" s="345">
        <v>35124</v>
      </c>
      <c r="B250" s="73"/>
      <c r="C250" s="25"/>
      <c r="D250" s="73"/>
    </row>
    <row r="251" spans="1:4" x14ac:dyDescent="0.2">
      <c r="A251" s="345">
        <v>35155</v>
      </c>
      <c r="B251" s="73"/>
      <c r="C251" s="25"/>
      <c r="D251" s="73"/>
    </row>
    <row r="252" spans="1:4" x14ac:dyDescent="0.2">
      <c r="A252" s="345">
        <v>35185</v>
      </c>
      <c r="B252" s="73"/>
      <c r="C252" s="25"/>
      <c r="D252" s="73"/>
    </row>
    <row r="253" spans="1:4" x14ac:dyDescent="0.2">
      <c r="A253" s="345">
        <v>35216</v>
      </c>
      <c r="B253" s="73"/>
      <c r="C253" s="25"/>
      <c r="D253" s="73"/>
    </row>
    <row r="254" spans="1:4" x14ac:dyDescent="0.2">
      <c r="A254" s="345">
        <v>35246</v>
      </c>
      <c r="B254" s="73"/>
      <c r="C254" s="25"/>
      <c r="D254" s="73"/>
    </row>
    <row r="255" spans="1:4" x14ac:dyDescent="0.2">
      <c r="A255" s="345">
        <v>35277</v>
      </c>
      <c r="B255" s="73"/>
      <c r="C255" s="25"/>
      <c r="D255" s="73"/>
    </row>
    <row r="256" spans="1:4" x14ac:dyDescent="0.2">
      <c r="A256" s="345">
        <v>35308</v>
      </c>
      <c r="B256" s="73"/>
      <c r="C256" s="25"/>
      <c r="D256" s="73"/>
    </row>
    <row r="257" spans="1:4" x14ac:dyDescent="0.2">
      <c r="A257" s="345">
        <v>35338</v>
      </c>
      <c r="B257" s="73"/>
      <c r="C257" s="25"/>
      <c r="D257" s="73"/>
    </row>
    <row r="258" spans="1:4" x14ac:dyDescent="0.2">
      <c r="A258" s="345">
        <v>35369</v>
      </c>
      <c r="B258" s="73"/>
      <c r="C258" s="25"/>
      <c r="D258" s="73"/>
    </row>
    <row r="259" spans="1:4" x14ac:dyDescent="0.2">
      <c r="A259" s="345">
        <v>35399</v>
      </c>
      <c r="B259" s="73"/>
      <c r="C259" s="25"/>
      <c r="D259" s="73"/>
    </row>
    <row r="260" spans="1:4" x14ac:dyDescent="0.2">
      <c r="A260" s="345">
        <v>35430</v>
      </c>
      <c r="B260" s="73"/>
      <c r="C260" s="25"/>
      <c r="D260" s="73"/>
    </row>
    <row r="261" spans="1:4" x14ac:dyDescent="0.2">
      <c r="A261" s="345">
        <v>35461</v>
      </c>
      <c r="B261" s="73"/>
      <c r="C261" s="25"/>
      <c r="D261" s="73"/>
    </row>
    <row r="262" spans="1:4" x14ac:dyDescent="0.2">
      <c r="A262" s="345">
        <v>35489</v>
      </c>
      <c r="B262" s="73"/>
      <c r="C262" s="25"/>
      <c r="D262" s="73"/>
    </row>
    <row r="263" spans="1:4" x14ac:dyDescent="0.2">
      <c r="A263" s="345">
        <v>35520</v>
      </c>
      <c r="B263" s="73"/>
      <c r="C263" s="25"/>
      <c r="D263" s="73"/>
    </row>
    <row r="264" spans="1:4" x14ac:dyDescent="0.2">
      <c r="A264" s="345">
        <v>35550</v>
      </c>
      <c r="B264" s="73"/>
      <c r="C264" s="25"/>
      <c r="D264" s="73"/>
    </row>
    <row r="265" spans="1:4" x14ac:dyDescent="0.2">
      <c r="A265" s="345">
        <v>35581</v>
      </c>
      <c r="B265" s="73"/>
      <c r="C265" s="25"/>
      <c r="D265" s="73"/>
    </row>
    <row r="266" spans="1:4" x14ac:dyDescent="0.2">
      <c r="A266" s="345">
        <v>35611</v>
      </c>
      <c r="B266" s="73"/>
      <c r="C266" s="25"/>
      <c r="D266" s="73"/>
    </row>
    <row r="267" spans="1:4" x14ac:dyDescent="0.2">
      <c r="A267" s="345">
        <v>35642</v>
      </c>
      <c r="B267" s="73"/>
      <c r="C267" s="25"/>
      <c r="D267" s="73"/>
    </row>
    <row r="268" spans="1:4" x14ac:dyDescent="0.2">
      <c r="A268" s="345">
        <v>35673</v>
      </c>
      <c r="B268" s="73"/>
      <c r="C268" s="25"/>
      <c r="D268" s="73"/>
    </row>
    <row r="269" spans="1:4" x14ac:dyDescent="0.2">
      <c r="A269" s="345">
        <v>35703</v>
      </c>
      <c r="B269" s="73"/>
      <c r="C269" s="25"/>
      <c r="D269" s="73"/>
    </row>
    <row r="270" spans="1:4" x14ac:dyDescent="0.2">
      <c r="A270" s="345">
        <v>35734</v>
      </c>
      <c r="B270" s="73"/>
      <c r="C270" s="25"/>
      <c r="D270" s="73"/>
    </row>
    <row r="271" spans="1:4" x14ac:dyDescent="0.2">
      <c r="A271" s="345">
        <v>35764</v>
      </c>
      <c r="B271" s="73"/>
      <c r="C271" s="25"/>
      <c r="D271" s="73"/>
    </row>
    <row r="272" spans="1:4" x14ac:dyDescent="0.2">
      <c r="A272" s="345">
        <v>35795</v>
      </c>
      <c r="B272" s="73"/>
      <c r="C272" s="25"/>
      <c r="D272" s="73"/>
    </row>
    <row r="273" spans="1:4" x14ac:dyDescent="0.2">
      <c r="A273" s="345">
        <v>35826</v>
      </c>
      <c r="B273" s="73"/>
      <c r="C273" s="25"/>
      <c r="D273" s="73"/>
    </row>
    <row r="274" spans="1:4" x14ac:dyDescent="0.2">
      <c r="A274" s="345">
        <v>35854</v>
      </c>
      <c r="B274" s="73"/>
      <c r="C274" s="32"/>
      <c r="D274" s="73"/>
    </row>
    <row r="275" spans="1:4" x14ac:dyDescent="0.2">
      <c r="A275" s="345">
        <v>35885</v>
      </c>
      <c r="B275" s="73"/>
      <c r="C275" s="32"/>
      <c r="D275" s="73"/>
    </row>
    <row r="276" spans="1:4" x14ac:dyDescent="0.2">
      <c r="A276" s="345">
        <v>35915</v>
      </c>
      <c r="B276" s="73"/>
      <c r="C276" s="32"/>
      <c r="D276" s="73"/>
    </row>
    <row r="277" spans="1:4" x14ac:dyDescent="0.2">
      <c r="A277" s="345">
        <v>35946</v>
      </c>
      <c r="B277" s="73"/>
      <c r="C277" s="32"/>
      <c r="D277" s="73"/>
    </row>
    <row r="278" spans="1:4" x14ac:dyDescent="0.2">
      <c r="A278" s="345">
        <v>35976</v>
      </c>
      <c r="B278" s="73"/>
      <c r="C278" s="32"/>
      <c r="D278" s="73"/>
    </row>
    <row r="279" spans="1:4" x14ac:dyDescent="0.2">
      <c r="A279" s="345">
        <v>36007</v>
      </c>
      <c r="B279" s="73"/>
      <c r="C279" s="32"/>
      <c r="D279" s="73"/>
    </row>
    <row r="280" spans="1:4" x14ac:dyDescent="0.2">
      <c r="A280" s="345">
        <v>36038</v>
      </c>
      <c r="B280" s="73"/>
      <c r="C280" s="32"/>
      <c r="D280" s="73"/>
    </row>
    <row r="281" spans="1:4" x14ac:dyDescent="0.2">
      <c r="A281" s="345">
        <v>36068</v>
      </c>
      <c r="B281" s="73"/>
      <c r="C281" s="32"/>
      <c r="D281" s="73"/>
    </row>
    <row r="282" spans="1:4" x14ac:dyDescent="0.2">
      <c r="A282" s="345">
        <v>36099</v>
      </c>
      <c r="B282" s="73"/>
      <c r="C282" s="32"/>
      <c r="D282" s="73"/>
    </row>
    <row r="283" spans="1:4" x14ac:dyDescent="0.2">
      <c r="A283" s="345">
        <v>36129</v>
      </c>
      <c r="B283" s="73"/>
      <c r="C283" s="32"/>
      <c r="D283" s="73"/>
    </row>
    <row r="284" spans="1:4" x14ac:dyDescent="0.2">
      <c r="A284" s="345">
        <v>36160</v>
      </c>
      <c r="B284" s="73"/>
      <c r="C284" s="32"/>
      <c r="D284" s="73"/>
    </row>
    <row r="285" spans="1:4" x14ac:dyDescent="0.2">
      <c r="A285" s="345">
        <v>36191</v>
      </c>
      <c r="B285" s="73"/>
      <c r="C285" s="32"/>
      <c r="D285" s="73"/>
    </row>
    <row r="286" spans="1:4" x14ac:dyDescent="0.2">
      <c r="A286" s="345">
        <v>36219</v>
      </c>
      <c r="B286" s="73"/>
      <c r="C286" s="32"/>
      <c r="D286" s="73"/>
    </row>
    <row r="287" spans="1:4" x14ac:dyDescent="0.2">
      <c r="A287" s="345">
        <v>36250</v>
      </c>
      <c r="B287" s="73"/>
      <c r="C287" s="32"/>
      <c r="D287" s="73"/>
    </row>
    <row r="288" spans="1:4" x14ac:dyDescent="0.2">
      <c r="A288" s="345">
        <v>36280</v>
      </c>
      <c r="B288" s="73"/>
      <c r="C288" s="32"/>
      <c r="D288" s="73"/>
    </row>
    <row r="289" spans="1:9" x14ac:dyDescent="0.2">
      <c r="A289" s="345">
        <v>36311</v>
      </c>
      <c r="B289" s="73"/>
      <c r="C289" s="32"/>
      <c r="D289" s="73"/>
    </row>
    <row r="290" spans="1:9" x14ac:dyDescent="0.2">
      <c r="A290" s="345">
        <v>36341</v>
      </c>
      <c r="B290" s="73"/>
      <c r="C290" s="32"/>
      <c r="D290" s="73"/>
    </row>
    <row r="291" spans="1:9" x14ac:dyDescent="0.2">
      <c r="A291" s="345">
        <v>36372</v>
      </c>
      <c r="B291" s="73"/>
      <c r="C291" s="32"/>
      <c r="D291" s="73"/>
    </row>
    <row r="292" spans="1:9" x14ac:dyDescent="0.2">
      <c r="A292" s="345">
        <v>36403</v>
      </c>
      <c r="B292" s="73"/>
      <c r="C292" s="32"/>
      <c r="D292" s="73"/>
    </row>
    <row r="293" spans="1:9" x14ac:dyDescent="0.2">
      <c r="A293" s="345">
        <v>36433</v>
      </c>
      <c r="B293" s="73"/>
      <c r="C293" s="32"/>
      <c r="D293" s="73"/>
    </row>
    <row r="294" spans="1:9" x14ac:dyDescent="0.2">
      <c r="A294" s="345">
        <v>36464</v>
      </c>
      <c r="B294" s="73"/>
      <c r="C294" s="32"/>
      <c r="D294" s="73"/>
    </row>
    <row r="295" spans="1:9" x14ac:dyDescent="0.2">
      <c r="A295" s="345">
        <v>36494</v>
      </c>
      <c r="B295" s="73"/>
      <c r="C295" s="32"/>
      <c r="D295" s="73"/>
    </row>
    <row r="296" spans="1:9" x14ac:dyDescent="0.2">
      <c r="A296" s="345">
        <v>36525</v>
      </c>
      <c r="B296" s="73"/>
      <c r="C296" s="32"/>
      <c r="D296" s="73"/>
    </row>
    <row r="297" spans="1:9" x14ac:dyDescent="0.2">
      <c r="A297" s="345">
        <v>36556</v>
      </c>
      <c r="B297" s="73"/>
      <c r="C297" s="32"/>
      <c r="D297" s="73"/>
    </row>
    <row r="298" spans="1:9" x14ac:dyDescent="0.2">
      <c r="A298" s="345">
        <v>36585</v>
      </c>
      <c r="B298" s="1279">
        <v>7.5</v>
      </c>
      <c r="C298" s="33">
        <v>354755364.31</v>
      </c>
      <c r="D298" s="255"/>
      <c r="E298" s="14">
        <f>B298-Index_Returns!E298</f>
        <v>0.50150000000000006</v>
      </c>
      <c r="F298" s="352"/>
      <c r="G298" s="779"/>
      <c r="I298" s="352"/>
    </row>
    <row r="299" spans="1:9" x14ac:dyDescent="0.2">
      <c r="A299" s="345">
        <v>36616</v>
      </c>
      <c r="B299" s="1279">
        <v>8.35</v>
      </c>
      <c r="C299" s="33">
        <v>384461387.05000001</v>
      </c>
      <c r="D299" s="255"/>
      <c r="E299" s="14">
        <f>B299-Index_Returns!E299</f>
        <v>-1.9199999999999662E-2</v>
      </c>
      <c r="F299" s="352"/>
      <c r="I299" s="352"/>
    </row>
    <row r="300" spans="1:9" x14ac:dyDescent="0.2">
      <c r="A300" s="345">
        <v>36646</v>
      </c>
      <c r="B300" s="1279">
        <v>-3.48</v>
      </c>
      <c r="C300" s="33">
        <v>371048476.56999999</v>
      </c>
      <c r="D300" s="255"/>
      <c r="E300" s="14">
        <f>B300-Index_Returns!E300</f>
        <v>1.1800000000000033E-2</v>
      </c>
      <c r="F300" s="352"/>
      <c r="I300" s="352"/>
    </row>
    <row r="301" spans="1:9" x14ac:dyDescent="0.2">
      <c r="A301" s="345">
        <v>36677</v>
      </c>
      <c r="B301" s="1279">
        <v>-1.23</v>
      </c>
      <c r="C301" s="33">
        <v>366474731.87</v>
      </c>
      <c r="D301" s="255"/>
      <c r="E301" s="14">
        <f>B301-Index_Returns!E301</f>
        <v>1.7800000000000038E-2</v>
      </c>
      <c r="F301" s="352"/>
      <c r="I301" s="352"/>
    </row>
    <row r="302" spans="1:9" x14ac:dyDescent="0.2">
      <c r="A302" s="345">
        <v>36707</v>
      </c>
      <c r="B302" s="1279">
        <v>1.55</v>
      </c>
      <c r="C302" s="33">
        <v>372141723.81999999</v>
      </c>
      <c r="D302" s="255"/>
      <c r="E302" s="14">
        <f>B302-Index_Returns!E302</f>
        <v>8.130000000000015E-2</v>
      </c>
      <c r="F302" s="352"/>
      <c r="I302" s="352"/>
    </row>
    <row r="303" spans="1:9" x14ac:dyDescent="0.2">
      <c r="A303" s="345">
        <v>36738</v>
      </c>
      <c r="B303" s="1279">
        <v>1.59</v>
      </c>
      <c r="C303" s="33">
        <v>378075009.26999998</v>
      </c>
      <c r="D303" s="255"/>
      <c r="E303" s="14">
        <f>B303-Index_Returns!E303</f>
        <v>1.0299999999999976E-2</v>
      </c>
      <c r="F303" s="352"/>
      <c r="I303" s="352"/>
    </row>
    <row r="304" spans="1:9" x14ac:dyDescent="0.2">
      <c r="A304" s="345">
        <v>36769</v>
      </c>
      <c r="B304" s="1279">
        <v>11.1</v>
      </c>
      <c r="C304" s="33">
        <v>420045670.82999998</v>
      </c>
      <c r="D304" s="255"/>
      <c r="E304" s="14">
        <f>B304-Index_Returns!E304</f>
        <v>-6.5200000000000813E-2</v>
      </c>
      <c r="F304" s="352"/>
      <c r="I304" s="352"/>
    </row>
    <row r="305" spans="1:9" x14ac:dyDescent="0.2">
      <c r="A305" s="345">
        <v>36799</v>
      </c>
      <c r="B305" s="1279">
        <v>-0.68</v>
      </c>
      <c r="C305" s="33">
        <v>417209437.26999998</v>
      </c>
      <c r="D305" s="255"/>
      <c r="E305" s="14">
        <f>B305-Index_Returns!E305</f>
        <v>4.5999999999999375E-3</v>
      </c>
      <c r="F305" s="352"/>
      <c r="I305" s="352"/>
    </row>
    <row r="306" spans="1:9" x14ac:dyDescent="0.2">
      <c r="A306" s="345">
        <v>36830</v>
      </c>
      <c r="B306" s="1279">
        <v>-3.39</v>
      </c>
      <c r="C306" s="33">
        <v>403051835.69</v>
      </c>
      <c r="D306" s="255"/>
      <c r="E306" s="14">
        <f>B306-Index_Returns!E306</f>
        <v>1.0999999999996568E-3</v>
      </c>
      <c r="F306" s="352"/>
      <c r="I306" s="352"/>
    </row>
    <row r="307" spans="1:9" x14ac:dyDescent="0.2">
      <c r="A307" s="345">
        <v>36860</v>
      </c>
      <c r="B307" s="1279">
        <v>-7.51</v>
      </c>
      <c r="C307" s="33">
        <v>372753035.79000002</v>
      </c>
      <c r="D307" s="255"/>
      <c r="E307" s="14">
        <f>B307-Index_Returns!E307</f>
        <v>3.8300000000000445E-2</v>
      </c>
      <c r="F307" s="352"/>
      <c r="I307" s="352"/>
    </row>
    <row r="308" spans="1:9" x14ac:dyDescent="0.2">
      <c r="A308" s="345">
        <v>36891</v>
      </c>
      <c r="B308" s="1279">
        <v>7.69</v>
      </c>
      <c r="C308" s="33">
        <v>401439270.56</v>
      </c>
      <c r="D308" s="255"/>
      <c r="E308" s="14">
        <f>B308-Index_Returns!E308</f>
        <v>3.9800000000000502E-2</v>
      </c>
      <c r="F308" s="352"/>
      <c r="I308" s="352"/>
    </row>
    <row r="309" spans="1:9" x14ac:dyDescent="0.2">
      <c r="A309" s="345">
        <v>36922</v>
      </c>
      <c r="B309" s="1279">
        <v>2.23</v>
      </c>
      <c r="C309" s="33">
        <v>410403368.07999998</v>
      </c>
      <c r="D309" s="255"/>
      <c r="E309" s="14">
        <f>B309-Index_Returns!E309</f>
        <v>2.8999999999999027E-3</v>
      </c>
      <c r="F309" s="352"/>
      <c r="I309" s="352"/>
    </row>
    <row r="310" spans="1:9" x14ac:dyDescent="0.2">
      <c r="A310" s="345">
        <v>36950</v>
      </c>
      <c r="B310" s="1279">
        <v>-5.7</v>
      </c>
      <c r="C310" s="33">
        <v>387005872.32999998</v>
      </c>
      <c r="D310" s="255"/>
      <c r="E310" s="14">
        <f>B310-Index_Returns!E310</f>
        <v>6.8000000000001393E-3</v>
      </c>
      <c r="F310" s="352"/>
      <c r="I310" s="352"/>
    </row>
    <row r="311" spans="1:9" x14ac:dyDescent="0.2">
      <c r="A311" s="345">
        <v>36981</v>
      </c>
      <c r="B311" s="1279">
        <v>-7.42</v>
      </c>
      <c r="C311" s="33">
        <v>358300908.48000002</v>
      </c>
      <c r="D311" s="255"/>
      <c r="E311" s="14">
        <f>B311-Index_Returns!E311</f>
        <v>1.4800000000000146E-2</v>
      </c>
      <c r="F311" s="352"/>
      <c r="I311" s="352"/>
    </row>
    <row r="312" spans="1:9" x14ac:dyDescent="0.2">
      <c r="A312" s="345">
        <v>37011</v>
      </c>
      <c r="B312" s="1279">
        <v>11.05</v>
      </c>
      <c r="C312" s="33">
        <v>397921131.01999998</v>
      </c>
      <c r="D312" s="255"/>
      <c r="E312" s="14">
        <f>B312-Index_Returns!E312</f>
        <v>1.8400000000001526E-2</v>
      </c>
      <c r="F312" s="352"/>
      <c r="I312" s="352"/>
    </row>
    <row r="313" spans="1:9" x14ac:dyDescent="0.2">
      <c r="A313" s="345">
        <v>37042</v>
      </c>
      <c r="B313" s="1279">
        <v>2.23</v>
      </c>
      <c r="C313" s="33">
        <v>407158940.74000001</v>
      </c>
      <c r="D313" s="255"/>
      <c r="E313" s="14">
        <f>B313-Index_Returns!E313</f>
        <v>-9.8899999999999988E-2</v>
      </c>
      <c r="F313" s="352"/>
      <c r="I313" s="352"/>
    </row>
    <row r="314" spans="1:9" x14ac:dyDescent="0.2">
      <c r="A314" s="345">
        <v>37072</v>
      </c>
      <c r="B314" s="1279">
        <v>-0.36</v>
      </c>
      <c r="C314" s="33">
        <v>405720782.67000002</v>
      </c>
      <c r="D314" s="255"/>
      <c r="E314" s="14">
        <f>B314-Index_Returns!E314</f>
        <v>4.3700000000000017E-2</v>
      </c>
      <c r="F314" s="352"/>
      <c r="I314" s="352"/>
    </row>
    <row r="315" spans="1:9" x14ac:dyDescent="0.2">
      <c r="A315" s="345">
        <v>37103</v>
      </c>
      <c r="B315" s="1279">
        <v>-1.5</v>
      </c>
      <c r="C315" s="33">
        <v>399654389.49000001</v>
      </c>
      <c r="D315" s="255"/>
      <c r="E315" s="14">
        <f>B315-Index_Returns!E315</f>
        <v>-1.0299999999999976E-2</v>
      </c>
      <c r="F315" s="352"/>
      <c r="I315" s="352"/>
    </row>
    <row r="316" spans="1:9" x14ac:dyDescent="0.2">
      <c r="A316" s="345">
        <v>37134</v>
      </c>
      <c r="B316" s="1279">
        <v>-3.22</v>
      </c>
      <c r="C316" s="33">
        <v>386786028.16000003</v>
      </c>
      <c r="D316" s="255"/>
      <c r="E316" s="14">
        <f>B316-Index_Returns!E316</f>
        <v>5.0799999999999734E-2</v>
      </c>
      <c r="F316" s="352"/>
      <c r="I316" s="352"/>
    </row>
    <row r="317" spans="1:9" x14ac:dyDescent="0.2">
      <c r="A317" s="345">
        <v>37164</v>
      </c>
      <c r="B317" s="1279">
        <v>-12.44</v>
      </c>
      <c r="C317" s="33">
        <v>338687325.20999998</v>
      </c>
      <c r="D317" s="255"/>
      <c r="E317" s="14">
        <f>B317-Index_Returns!E317</f>
        <v>-1.2999999999987466E-3</v>
      </c>
      <c r="F317" s="352"/>
      <c r="I317" s="352"/>
    </row>
    <row r="318" spans="1:9" x14ac:dyDescent="0.2">
      <c r="A318" s="345">
        <v>37195</v>
      </c>
      <c r="B318" s="1279">
        <v>4.4400000000000004</v>
      </c>
      <c r="C318" s="33">
        <v>353738286.17000002</v>
      </c>
      <c r="D318" s="255"/>
      <c r="E318" s="14">
        <f>B318-Index_Returns!E318</f>
        <v>1.6500000000000625E-2</v>
      </c>
      <c r="F318" s="352"/>
      <c r="I318" s="352"/>
    </row>
    <row r="319" spans="1:9" x14ac:dyDescent="0.2">
      <c r="A319" s="345">
        <v>37225</v>
      </c>
      <c r="B319" s="1279">
        <v>7.43</v>
      </c>
      <c r="C319" s="33">
        <v>380041108.23000002</v>
      </c>
      <c r="D319" s="255"/>
      <c r="E319" s="14">
        <f>B319-Index_Returns!E319</f>
        <v>-9.0000000000003411E-3</v>
      </c>
      <c r="F319" s="352"/>
      <c r="I319" s="352"/>
    </row>
    <row r="320" spans="1:9" x14ac:dyDescent="0.2">
      <c r="A320" s="345">
        <v>37256</v>
      </c>
      <c r="B320" s="1279">
        <v>5.16</v>
      </c>
      <c r="C320" s="33">
        <v>399668412.38</v>
      </c>
      <c r="D320" s="255"/>
      <c r="E320" s="14">
        <f>B320-Index_Returns!E320</f>
        <v>-5.8999999999995723E-3</v>
      </c>
      <c r="F320" s="352"/>
      <c r="I320" s="352"/>
    </row>
    <row r="321" spans="1:9" x14ac:dyDescent="0.2">
      <c r="A321" s="345">
        <v>37287</v>
      </c>
      <c r="B321" s="1279">
        <v>-0.5</v>
      </c>
      <c r="C321" s="33">
        <v>397695001.69</v>
      </c>
      <c r="D321" s="255"/>
      <c r="E321" s="14">
        <f>B321-Index_Returns!E321</f>
        <v>1.9399999999999973E-2</v>
      </c>
      <c r="F321" s="352"/>
      <c r="I321" s="352"/>
    </row>
    <row r="322" spans="1:9" x14ac:dyDescent="0.2">
      <c r="A322" s="345">
        <v>37315</v>
      </c>
      <c r="B322" s="1279">
        <v>0.13</v>
      </c>
      <c r="C322" s="33">
        <v>398236954.69999999</v>
      </c>
      <c r="D322" s="255"/>
      <c r="E322" s="14">
        <f>B322-Index_Returns!E322</f>
        <v>6.9000000000000034E-3</v>
      </c>
      <c r="F322" s="352"/>
      <c r="I322" s="352"/>
    </row>
    <row r="323" spans="1:9" x14ac:dyDescent="0.2">
      <c r="A323" s="345">
        <v>37346</v>
      </c>
      <c r="B323" s="1279">
        <v>7.16</v>
      </c>
      <c r="C323" s="33">
        <v>426767987.74000001</v>
      </c>
      <c r="D323" s="255"/>
      <c r="E323" s="14">
        <f>B323-Index_Returns!E323</f>
        <v>1.1600000000000499E-2</v>
      </c>
      <c r="F323" s="352"/>
      <c r="I323" s="352"/>
    </row>
    <row r="324" spans="1:9" x14ac:dyDescent="0.2">
      <c r="A324" s="345">
        <v>37376</v>
      </c>
      <c r="B324" s="1279">
        <v>-0.46</v>
      </c>
      <c r="C324" s="33">
        <v>424794945.5</v>
      </c>
      <c r="D324" s="255"/>
      <c r="E324" s="14">
        <f>B324-Index_Returns!E324</f>
        <v>7.5000000000000067E-3</v>
      </c>
      <c r="F324" s="352"/>
      <c r="I324" s="352"/>
    </row>
    <row r="325" spans="1:9" x14ac:dyDescent="0.2">
      <c r="A325" s="345">
        <v>37407</v>
      </c>
      <c r="B325" s="1279">
        <v>-1.68</v>
      </c>
      <c r="C325" s="33">
        <v>417665743.85000002</v>
      </c>
      <c r="D325" s="255"/>
      <c r="E325" s="14">
        <f>B325-Index_Returns!E325</f>
        <v>6.6000000000001613E-3</v>
      </c>
      <c r="F325" s="352"/>
      <c r="I325" s="352"/>
    </row>
    <row r="326" spans="1:9" x14ac:dyDescent="0.2">
      <c r="A326" s="345">
        <v>37437</v>
      </c>
      <c r="B326" s="1279">
        <v>-7.4</v>
      </c>
      <c r="C326" s="33">
        <v>108010864.79000001</v>
      </c>
      <c r="D326" s="255"/>
      <c r="E326" s="14">
        <f>B326-Index_Returns!E326</f>
        <v>-8.0900000000000638E-2</v>
      </c>
      <c r="F326" s="352"/>
      <c r="I326" s="352"/>
    </row>
    <row r="327" spans="1:9" x14ac:dyDescent="0.2">
      <c r="A327" s="345">
        <v>37468</v>
      </c>
      <c r="B327" s="1279">
        <v>-9.69</v>
      </c>
      <c r="C327" s="33">
        <v>97544674.150000006</v>
      </c>
      <c r="D327" s="255"/>
      <c r="E327" s="14">
        <f>B327-Index_Returns!E327</f>
        <v>-3.3999999999991815E-3</v>
      </c>
      <c r="F327" s="352"/>
      <c r="I327" s="352"/>
    </row>
    <row r="328" spans="1:9" x14ac:dyDescent="0.2">
      <c r="A328" s="345">
        <v>37499</v>
      </c>
      <c r="B328" s="1279">
        <v>0.51</v>
      </c>
      <c r="C328" s="33">
        <v>98040221.450000003</v>
      </c>
      <c r="D328" s="255"/>
      <c r="E328" s="14">
        <f>B328-Index_Returns!E328</f>
        <v>6.9000000000000172E-3</v>
      </c>
      <c r="F328" s="352"/>
      <c r="I328" s="352"/>
    </row>
    <row r="329" spans="1:9" x14ac:dyDescent="0.2">
      <c r="A329" s="345">
        <v>37529</v>
      </c>
      <c r="B329" s="1279">
        <v>-8.0500000000000007</v>
      </c>
      <c r="C329" s="33">
        <v>90159535.230000004</v>
      </c>
      <c r="D329" s="255"/>
      <c r="E329" s="14">
        <f>B329-Index_Returns!E329</f>
        <v>6.4999999999990621E-3</v>
      </c>
      <c r="F329" s="352"/>
      <c r="I329" s="352"/>
    </row>
    <row r="330" spans="1:9" x14ac:dyDescent="0.2">
      <c r="A330" s="345">
        <v>37560</v>
      </c>
      <c r="B330" s="1279">
        <v>4.32</v>
      </c>
      <c r="C330" s="33">
        <v>94054670.540000007</v>
      </c>
      <c r="D330" s="255"/>
      <c r="E330" s="14">
        <f>B330-Index_Returns!E330</f>
        <v>-1.3099999999999667E-2</v>
      </c>
      <c r="F330" s="352"/>
      <c r="I330" s="352"/>
    </row>
    <row r="331" spans="1:9" x14ac:dyDescent="0.2">
      <c r="A331" s="345">
        <v>37590</v>
      </c>
      <c r="B331" s="1279">
        <v>5.77</v>
      </c>
      <c r="C331" s="33">
        <v>99486132.390000001</v>
      </c>
      <c r="D331" s="255"/>
      <c r="E331" s="14">
        <f>B331-Index_Returns!E331</f>
        <v>-1.5500000000000291E-2</v>
      </c>
      <c r="F331" s="352"/>
      <c r="I331" s="352"/>
    </row>
    <row r="332" spans="1:9" x14ac:dyDescent="0.2">
      <c r="A332" s="345">
        <v>37621</v>
      </c>
      <c r="B332" s="1279">
        <v>-4.12</v>
      </c>
      <c r="C332" s="33">
        <v>95397271.959999993</v>
      </c>
      <c r="D332" s="255"/>
      <c r="E332" s="14">
        <f>B332-Index_Returns!E332</f>
        <v>-1.0600000000000165E-2</v>
      </c>
      <c r="F332" s="352"/>
      <c r="I332" s="352"/>
    </row>
    <row r="333" spans="1:9" x14ac:dyDescent="0.2">
      <c r="A333" s="345">
        <v>37652</v>
      </c>
      <c r="B333" s="1279">
        <v>-2.91</v>
      </c>
      <c r="C333" s="33">
        <v>92621060.780000001</v>
      </c>
      <c r="D333" s="255"/>
      <c r="E333" s="14">
        <f>B333-Index_Returns!E333</f>
        <v>1.2399999999999967E-2</v>
      </c>
      <c r="F333" s="352"/>
      <c r="I333" s="352"/>
    </row>
    <row r="334" spans="1:9" x14ac:dyDescent="0.2">
      <c r="A334" s="345">
        <v>37680</v>
      </c>
      <c r="B334" s="1279">
        <v>-2.39</v>
      </c>
      <c r="C334" s="33">
        <v>90411307.739999995</v>
      </c>
      <c r="D334" s="255"/>
      <c r="E334" s="14">
        <f>B334-Index_Returns!E334</f>
        <v>-8.599999999999941E-3</v>
      </c>
      <c r="F334" s="352"/>
      <c r="I334" s="352"/>
    </row>
    <row r="335" spans="1:9" x14ac:dyDescent="0.2">
      <c r="A335" s="345">
        <v>37711</v>
      </c>
      <c r="B335" s="1279">
        <v>0.83</v>
      </c>
      <c r="C335" s="33">
        <v>91170474.609999999</v>
      </c>
      <c r="D335" s="255"/>
      <c r="E335" s="14">
        <f>B335-Index_Returns!E335</f>
        <v>-1.2900000000000023E-2</v>
      </c>
      <c r="F335" s="352"/>
      <c r="I335" s="352"/>
    </row>
    <row r="336" spans="1:9" x14ac:dyDescent="0.2">
      <c r="A336" s="345">
        <v>37741</v>
      </c>
      <c r="B336" s="1279">
        <v>7.24</v>
      </c>
      <c r="C336" s="33">
        <v>97772958.790000007</v>
      </c>
      <c r="D336" s="255"/>
      <c r="E336" s="14">
        <f>B336-Index_Returns!E336</f>
        <v>-2.0299999999999763E-2</v>
      </c>
      <c r="F336" s="352"/>
      <c r="I336" s="352"/>
    </row>
    <row r="337" spans="1:9" x14ac:dyDescent="0.2">
      <c r="A337" s="345">
        <v>37772</v>
      </c>
      <c r="B337" s="1279">
        <v>8.2799999999999994</v>
      </c>
      <c r="C337" s="33">
        <v>97774610.140000001</v>
      </c>
      <c r="D337" s="255"/>
      <c r="E337" s="14">
        <f>B337-Index_Returns!E337</f>
        <v>-7.4000000000005173E-3</v>
      </c>
      <c r="F337" s="352"/>
      <c r="I337" s="352"/>
    </row>
    <row r="338" spans="1:9" x14ac:dyDescent="0.2">
      <c r="A338" s="345">
        <v>37802</v>
      </c>
      <c r="B338" s="1279">
        <v>1.28</v>
      </c>
      <c r="C338" s="33">
        <v>107239218.27</v>
      </c>
      <c r="D338" s="255"/>
      <c r="E338" s="14">
        <f>B338-Index_Returns!E338</f>
        <v>5.4000000000000714E-3</v>
      </c>
      <c r="F338" s="352"/>
      <c r="I338" s="352"/>
    </row>
    <row r="339" spans="1:9" x14ac:dyDescent="0.2">
      <c r="A339" s="345">
        <v>37833</v>
      </c>
      <c r="B339" s="1279">
        <v>3.55</v>
      </c>
      <c r="C339" s="33">
        <v>111044500.94</v>
      </c>
      <c r="D339" s="255"/>
      <c r="E339" s="14">
        <f>B339-Index_Returns!E339</f>
        <v>1.7999999999998018E-3</v>
      </c>
      <c r="F339" s="352"/>
      <c r="I339" s="352"/>
    </row>
    <row r="340" spans="1:9" x14ac:dyDescent="0.2">
      <c r="A340" s="345">
        <v>37864</v>
      </c>
      <c r="B340" s="1279">
        <v>4.5199999999999996</v>
      </c>
      <c r="C340" s="33">
        <v>116062214.7</v>
      </c>
      <c r="D340" s="255"/>
      <c r="E340" s="14">
        <f>B340-Index_Returns!E340</f>
        <v>-1.6100000000000669E-2</v>
      </c>
      <c r="F340" s="352"/>
      <c r="I340" s="352"/>
    </row>
    <row r="341" spans="1:9" x14ac:dyDescent="0.2">
      <c r="A341" s="345">
        <v>37894</v>
      </c>
      <c r="B341" s="1279">
        <v>-1.54</v>
      </c>
      <c r="C341" s="34">
        <v>114278779.92</v>
      </c>
      <c r="D341" s="255"/>
      <c r="E341" s="14">
        <f>B341-Index_Returns!E341</f>
        <v>-9.000000000000119E-3</v>
      </c>
      <c r="F341" s="352"/>
      <c r="I341" s="352"/>
    </row>
    <row r="342" spans="1:9" x14ac:dyDescent="0.2">
      <c r="A342" s="345">
        <v>37925</v>
      </c>
      <c r="B342" s="1279">
        <v>7.56</v>
      </c>
      <c r="C342" s="34">
        <v>122916092.68000001</v>
      </c>
      <c r="D342" s="255"/>
      <c r="E342" s="14">
        <f>B342-Index_Returns!E342</f>
        <v>-1.300000000000523E-3</v>
      </c>
      <c r="F342" s="352"/>
      <c r="I342" s="352"/>
    </row>
    <row r="343" spans="1:9" x14ac:dyDescent="0.2">
      <c r="A343" s="345">
        <v>37955</v>
      </c>
      <c r="B343" s="1279">
        <v>3.51</v>
      </c>
      <c r="C343" s="34">
        <v>127233163.78</v>
      </c>
      <c r="D343" s="255"/>
      <c r="E343" s="14">
        <f>B343-Index_Returns!E343</f>
        <v>2.6099999999999568E-2</v>
      </c>
      <c r="F343" s="352"/>
      <c r="I343" s="352"/>
    </row>
    <row r="344" spans="1:9" x14ac:dyDescent="0.2">
      <c r="A344" s="345">
        <v>37986</v>
      </c>
      <c r="B344" s="1279">
        <v>1.68</v>
      </c>
      <c r="C344" s="34">
        <v>129377049.98999999</v>
      </c>
      <c r="D344" s="255"/>
      <c r="E344" s="14">
        <f>B344-Index_Returns!E344</f>
        <v>-7.4000000000000732E-3</v>
      </c>
      <c r="F344" s="352"/>
      <c r="I344" s="352"/>
    </row>
    <row r="345" spans="1:9" x14ac:dyDescent="0.2">
      <c r="A345" s="345">
        <v>38017</v>
      </c>
      <c r="B345" s="1279">
        <v>2.17</v>
      </c>
      <c r="C345" s="34">
        <v>132178957.01000001</v>
      </c>
      <c r="D345" s="255"/>
      <c r="E345" s="14">
        <f>B345-Index_Returns!E345</f>
        <v>2.8999999999999027E-3</v>
      </c>
      <c r="F345" s="352"/>
      <c r="I345" s="352"/>
    </row>
    <row r="346" spans="1:9" x14ac:dyDescent="0.2">
      <c r="A346" s="345">
        <v>38046</v>
      </c>
      <c r="B346" s="1279">
        <v>2.42</v>
      </c>
      <c r="C346" s="34">
        <v>135382497.49000001</v>
      </c>
      <c r="D346" s="255"/>
      <c r="E346" s="14">
        <f>B346-Index_Returns!E346</f>
        <v>1.8699999999999939E-2</v>
      </c>
      <c r="F346" s="352"/>
      <c r="I346" s="352"/>
    </row>
    <row r="347" spans="1:9" x14ac:dyDescent="0.2">
      <c r="A347" s="345">
        <v>38077</v>
      </c>
      <c r="B347" s="1279">
        <v>0.42</v>
      </c>
      <c r="C347" s="34">
        <v>135963856.21000001</v>
      </c>
      <c r="D347" s="255"/>
      <c r="E347" s="14">
        <f>B347-Index_Returns!E347</f>
        <v>-4.599999999999993E-3</v>
      </c>
      <c r="F347" s="352"/>
      <c r="I347" s="352"/>
    </row>
    <row r="348" spans="1:9" x14ac:dyDescent="0.2">
      <c r="A348" s="345">
        <v>38107</v>
      </c>
      <c r="B348" s="1279">
        <v>-3.28</v>
      </c>
      <c r="C348" s="34">
        <v>131501771.52</v>
      </c>
      <c r="D348" s="253"/>
      <c r="E348" s="14">
        <f>B348-Index_Returns!E348</f>
        <v>2.4000000000001798E-3</v>
      </c>
      <c r="F348" s="352"/>
      <c r="I348" s="352"/>
    </row>
    <row r="349" spans="1:9" x14ac:dyDescent="0.2">
      <c r="A349" s="345">
        <v>38138</v>
      </c>
      <c r="B349" s="1279">
        <v>2.08</v>
      </c>
      <c r="C349" s="34">
        <v>134241336.22</v>
      </c>
      <c r="D349" s="253"/>
      <c r="E349" s="14">
        <f>B349-Index_Returns!E349</f>
        <v>5.7000000000000384E-3</v>
      </c>
      <c r="F349" s="352"/>
      <c r="I349" s="352"/>
    </row>
    <row r="350" spans="1:9" x14ac:dyDescent="0.2">
      <c r="A350" s="345">
        <v>38168</v>
      </c>
      <c r="B350" s="1279">
        <v>2.2599999999999998</v>
      </c>
      <c r="C350" s="34">
        <v>137292452.97</v>
      </c>
      <c r="D350" s="253"/>
      <c r="E350" s="14">
        <f>B350-Index_Returns!E350</f>
        <v>-1.6000000000000014E-2</v>
      </c>
      <c r="F350" s="352"/>
      <c r="I350" s="352"/>
    </row>
    <row r="351" spans="1:9" x14ac:dyDescent="0.2">
      <c r="A351" s="345">
        <v>38199</v>
      </c>
      <c r="B351" s="1279">
        <v>-4.6500000000000004</v>
      </c>
      <c r="C351" s="34">
        <v>130903281.29000001</v>
      </c>
      <c r="D351" s="253"/>
      <c r="E351" s="14">
        <f>B351-Index_Returns!E351</f>
        <v>1.6299999999999315E-2</v>
      </c>
      <c r="F351" s="352"/>
      <c r="I351" s="352"/>
    </row>
    <row r="352" spans="1:9" x14ac:dyDescent="0.2">
      <c r="A352" s="345">
        <v>38230</v>
      </c>
      <c r="B352" s="1279">
        <v>-0.26</v>
      </c>
      <c r="C352" s="34">
        <v>130564298.37</v>
      </c>
      <c r="D352" s="253"/>
      <c r="E352" s="14">
        <f>B352-Index_Returns!E352</f>
        <v>1.7999999999999683E-3</v>
      </c>
      <c r="F352" s="352"/>
      <c r="I352" s="352"/>
    </row>
    <row r="353" spans="1:9" x14ac:dyDescent="0.2">
      <c r="A353" s="345">
        <v>38260</v>
      </c>
      <c r="B353" s="1279">
        <v>2.96</v>
      </c>
      <c r="C353" s="34">
        <v>134434943.06</v>
      </c>
      <c r="D353" s="253"/>
      <c r="E353" s="14">
        <f>B353-Index_Returns!E353</f>
        <v>-1.5000000000000568E-3</v>
      </c>
      <c r="F353" s="352"/>
      <c r="I353" s="352"/>
    </row>
    <row r="354" spans="1:9" x14ac:dyDescent="0.2">
      <c r="A354" s="345">
        <v>38291</v>
      </c>
      <c r="B354" s="1279">
        <v>1.61</v>
      </c>
      <c r="C354" s="34">
        <v>136592702.19</v>
      </c>
      <c r="D354" s="253"/>
      <c r="E354" s="14">
        <f>B354-Index_Returns!E354</f>
        <v>1.0300000000000198E-2</v>
      </c>
      <c r="F354" s="352"/>
      <c r="I354" s="352"/>
    </row>
    <row r="355" spans="1:9" x14ac:dyDescent="0.2">
      <c r="A355" s="345">
        <v>38321</v>
      </c>
      <c r="B355" s="1279">
        <v>5.95</v>
      </c>
      <c r="C355" s="34">
        <v>144718810.78</v>
      </c>
      <c r="D355" s="253"/>
      <c r="E355" s="14">
        <f>B355-Index_Returns!E355</f>
        <v>-5.0999999999996604E-3</v>
      </c>
      <c r="F355" s="352"/>
      <c r="I355" s="352"/>
    </row>
    <row r="356" spans="1:9" x14ac:dyDescent="0.2">
      <c r="A356" s="345">
        <v>38352</v>
      </c>
      <c r="B356" s="1279">
        <v>4.18</v>
      </c>
      <c r="C356" s="256">
        <v>150784763.61000001</v>
      </c>
      <c r="D356" s="253"/>
      <c r="E356" s="14">
        <f>B356-Index_Returns!E356</f>
        <v>-7.2000000000000952E-3</v>
      </c>
      <c r="F356" s="352"/>
      <c r="I356" s="352"/>
    </row>
    <row r="357" spans="1:9" x14ac:dyDescent="0.2">
      <c r="A357" s="345">
        <v>38383</v>
      </c>
      <c r="B357" s="1279">
        <v>-2.5499999999999998</v>
      </c>
      <c r="C357" s="34">
        <v>146937338.74000001</v>
      </c>
      <c r="D357" s="253"/>
      <c r="E357" s="14">
        <f>B357-Index_Returns!E357</f>
        <v>2.4000000000001798E-3</v>
      </c>
      <c r="F357" s="352"/>
      <c r="I357" s="352"/>
    </row>
    <row r="358" spans="1:9" x14ac:dyDescent="0.2">
      <c r="A358" s="345">
        <v>38411</v>
      </c>
      <c r="B358" s="1279">
        <v>3.34</v>
      </c>
      <c r="C358" s="34">
        <v>151847202.50999999</v>
      </c>
      <c r="D358" s="253"/>
      <c r="E358" s="14">
        <f>B358-Index_Returns!E358</f>
        <v>-1.4600000000000168E-2</v>
      </c>
      <c r="F358" s="352"/>
      <c r="I358" s="352"/>
    </row>
    <row r="359" spans="1:9" x14ac:dyDescent="0.2">
      <c r="A359" s="345">
        <v>38442</v>
      </c>
      <c r="B359" s="1279">
        <v>-1.1200000000000001</v>
      </c>
      <c r="C359" s="256">
        <v>150164783.28</v>
      </c>
      <c r="D359" s="253"/>
      <c r="E359" s="14">
        <f>B359-Index_Returns!E359</f>
        <v>-1.3000000000000123E-2</v>
      </c>
      <c r="F359" s="352"/>
      <c r="I359" s="352"/>
    </row>
    <row r="360" spans="1:9" x14ac:dyDescent="0.2">
      <c r="A360" s="345">
        <v>38472</v>
      </c>
      <c r="B360" s="1279">
        <v>-3.89</v>
      </c>
      <c r="C360" s="256">
        <v>144328419.41</v>
      </c>
      <c r="D360" s="253"/>
      <c r="E360" s="14">
        <f>B360-Index_Returns!E360</f>
        <v>-3.5000000000002807E-3</v>
      </c>
      <c r="F360" s="352"/>
      <c r="I360" s="352"/>
    </row>
    <row r="361" spans="1:9" x14ac:dyDescent="0.2">
      <c r="A361" s="345">
        <v>38503</v>
      </c>
      <c r="B361" s="1279">
        <v>6.02</v>
      </c>
      <c r="C361" s="256">
        <v>153017381.53</v>
      </c>
      <c r="D361" s="253"/>
      <c r="E361" s="14">
        <f>B361-Index_Returns!E361</f>
        <v>-2.3000000000008569E-3</v>
      </c>
      <c r="F361" s="352"/>
      <c r="I361" s="352"/>
    </row>
    <row r="362" spans="1:9" x14ac:dyDescent="0.2">
      <c r="A362" s="345">
        <v>38533</v>
      </c>
      <c r="B362" s="1279">
        <v>2.4300000000000002</v>
      </c>
      <c r="C362" s="256">
        <v>156746928.22</v>
      </c>
      <c r="D362" s="253"/>
      <c r="E362" s="14">
        <f>B362-Index_Returns!E362</f>
        <v>0.11160000000000014</v>
      </c>
      <c r="F362" s="352"/>
      <c r="I362" s="352"/>
    </row>
    <row r="363" spans="1:9" x14ac:dyDescent="0.2">
      <c r="A363" s="345">
        <v>38564</v>
      </c>
      <c r="B363" s="1279">
        <v>5.25</v>
      </c>
      <c r="C363" s="256">
        <v>164976909.91</v>
      </c>
      <c r="D363" s="253"/>
      <c r="E363" s="14">
        <f>B363-Index_Returns!E363</f>
        <v>-2.3999999999997357E-3</v>
      </c>
      <c r="F363" s="352"/>
      <c r="I363" s="352"/>
    </row>
    <row r="364" spans="1:9" x14ac:dyDescent="0.2">
      <c r="A364" s="345">
        <v>38595</v>
      </c>
      <c r="B364" s="1279">
        <v>-1.1100000000000001</v>
      </c>
      <c r="C364" s="256">
        <v>163152796.47</v>
      </c>
      <c r="D364" s="253"/>
      <c r="E364" s="14">
        <f>B364-Index_Returns!E364</f>
        <v>4.5999999999999375E-3</v>
      </c>
      <c r="F364" s="352"/>
      <c r="I364" s="352"/>
    </row>
    <row r="365" spans="1:9" x14ac:dyDescent="0.2">
      <c r="A365" s="345">
        <v>38625</v>
      </c>
      <c r="B365" s="1279">
        <v>0.74</v>
      </c>
      <c r="C365" s="256">
        <v>164373712.97</v>
      </c>
      <c r="D365" s="253"/>
      <c r="E365" s="14">
        <f>B365-Index_Returns!E365</f>
        <v>-2.8800000000000048E-2</v>
      </c>
      <c r="F365" s="352"/>
      <c r="I365" s="352"/>
    </row>
    <row r="366" spans="1:9" x14ac:dyDescent="0.2">
      <c r="A366" s="345">
        <v>38656</v>
      </c>
      <c r="B366" s="1279">
        <v>-2.14</v>
      </c>
      <c r="C366" s="256">
        <v>160861119.88</v>
      </c>
      <c r="D366" s="253"/>
      <c r="E366" s="14">
        <f>B366-Index_Returns!E366</f>
        <v>8.799999999999919E-3</v>
      </c>
      <c r="F366" s="352"/>
      <c r="I366" s="352"/>
    </row>
    <row r="367" spans="1:9" x14ac:dyDescent="0.2">
      <c r="A367" s="345">
        <v>38686</v>
      </c>
      <c r="B367" s="1279">
        <v>4.8899999999999997</v>
      </c>
      <c r="C367" s="256">
        <v>168723077.69</v>
      </c>
      <c r="D367" s="253"/>
      <c r="E367" s="14">
        <f>B367-Index_Returns!E367</f>
        <v>3.5999999999996035E-3</v>
      </c>
      <c r="F367" s="352"/>
      <c r="I367" s="352"/>
    </row>
    <row r="368" spans="1:9" x14ac:dyDescent="0.2">
      <c r="A368" s="345">
        <v>38717</v>
      </c>
      <c r="B368" s="1279">
        <v>0.69</v>
      </c>
      <c r="C368" s="256">
        <v>169891838.66999999</v>
      </c>
      <c r="D368" s="253"/>
      <c r="E368" s="14">
        <f>B368-Index_Returns!E368</f>
        <v>-1.1000000000001009E-3</v>
      </c>
      <c r="F368" s="352"/>
      <c r="I368" s="352"/>
    </row>
    <row r="369" spans="1:9" x14ac:dyDescent="0.2">
      <c r="A369" s="345">
        <v>38748</v>
      </c>
      <c r="B369" s="1279">
        <v>5.98</v>
      </c>
      <c r="C369" s="256">
        <v>180059514.03999999</v>
      </c>
      <c r="D369" s="253"/>
      <c r="E369" s="14">
        <f>B369-Index_Returns!E369</f>
        <v>8.8100000000000733E-2</v>
      </c>
      <c r="F369" s="352"/>
      <c r="I369" s="352"/>
    </row>
    <row r="370" spans="1:9" x14ac:dyDescent="0.2">
      <c r="A370" s="345">
        <v>38776</v>
      </c>
      <c r="B370" s="1279">
        <v>-0.85</v>
      </c>
      <c r="C370" s="256">
        <v>178529366.78</v>
      </c>
      <c r="D370" s="253"/>
      <c r="E370" s="14">
        <f>B370-Index_Returns!E370</f>
        <v>-1.1699999999999933E-2</v>
      </c>
      <c r="F370" s="352"/>
      <c r="I370" s="352"/>
    </row>
    <row r="371" spans="1:9" x14ac:dyDescent="0.2">
      <c r="A371" s="345">
        <v>38807</v>
      </c>
      <c r="B371" s="1279">
        <v>2.48</v>
      </c>
      <c r="C371" s="367">
        <v>182965636.28</v>
      </c>
      <c r="D371" s="253"/>
      <c r="E371" s="14">
        <f>B371-Index_Returns!E371</f>
        <v>-1.7100000000000115E-2</v>
      </c>
      <c r="F371" s="352"/>
      <c r="I371" s="352"/>
    </row>
    <row r="372" spans="1:9" x14ac:dyDescent="0.2">
      <c r="A372" s="345">
        <v>38837</v>
      </c>
      <c r="B372" s="1279">
        <v>1.4</v>
      </c>
      <c r="C372" s="367">
        <v>185521843.72</v>
      </c>
      <c r="D372" s="253"/>
      <c r="E372" s="14">
        <f>B372-Index_Returns!E372</f>
        <v>-7.2000000000000952E-3</v>
      </c>
      <c r="F372" s="352"/>
      <c r="I372" s="352"/>
    </row>
    <row r="373" spans="1:9" x14ac:dyDescent="0.2">
      <c r="A373" s="345">
        <v>38868</v>
      </c>
      <c r="B373" s="1279">
        <v>-4.5199999999999996</v>
      </c>
      <c r="C373" s="367">
        <v>177143606.00999999</v>
      </c>
      <c r="D373" s="253"/>
      <c r="E373" s="14">
        <f>B373-Index_Returns!E373</f>
        <v>-9.6999999999995978E-3</v>
      </c>
      <c r="F373" s="352"/>
      <c r="I373" s="352"/>
    </row>
    <row r="374" spans="1:9" x14ac:dyDescent="0.2">
      <c r="A374" s="345">
        <v>38898</v>
      </c>
      <c r="B374" s="1279">
        <v>-0.01</v>
      </c>
      <c r="C374" s="612">
        <v>177147054.96000001</v>
      </c>
      <c r="D374" s="253"/>
      <c r="E374" s="14">
        <f>B374-Index_Returns!E374</f>
        <v>-3.2599999999999997E-2</v>
      </c>
      <c r="F374" s="352"/>
      <c r="I374" s="352"/>
    </row>
    <row r="375" spans="1:9" x14ac:dyDescent="0.2">
      <c r="A375" s="345">
        <v>38929</v>
      </c>
      <c r="B375" s="1279">
        <v>-2.84</v>
      </c>
      <c r="C375" s="34">
        <v>172123202.61000001</v>
      </c>
      <c r="D375" s="253"/>
      <c r="E375" s="14">
        <f>B375-Index_Returns!E375</f>
        <v>1.1900000000000244E-2</v>
      </c>
      <c r="F375" s="352"/>
      <c r="I375" s="352"/>
    </row>
    <row r="376" spans="1:9" x14ac:dyDescent="0.2">
      <c r="A376" s="345">
        <v>38960</v>
      </c>
      <c r="B376" s="1279">
        <v>1.1499999999999999</v>
      </c>
      <c r="C376" s="34">
        <v>174111131.16</v>
      </c>
      <c r="D376" s="253"/>
      <c r="E376" s="14">
        <f>B376-Index_Returns!E376</f>
        <v>7.0999999999998842E-3</v>
      </c>
      <c r="F376" s="352"/>
      <c r="I376" s="352"/>
    </row>
    <row r="377" spans="1:9" x14ac:dyDescent="0.2">
      <c r="A377" s="345">
        <v>38990</v>
      </c>
      <c r="B377" s="1279">
        <v>0.66</v>
      </c>
      <c r="C377" s="34">
        <v>175277389.03999999</v>
      </c>
      <c r="D377" s="253"/>
      <c r="E377" s="14">
        <f>B377-Index_Returns!E377</f>
        <v>-1.2900000000000023E-2</v>
      </c>
      <c r="F377" s="352"/>
      <c r="I377" s="352"/>
    </row>
    <row r="378" spans="1:9" x14ac:dyDescent="0.2">
      <c r="A378" s="345">
        <v>39021</v>
      </c>
      <c r="B378" s="1279">
        <v>4.16</v>
      </c>
      <c r="C378" s="34">
        <v>182564302.06999999</v>
      </c>
      <c r="D378" s="253"/>
      <c r="E378" s="14">
        <f>B378-Index_Returns!E378</f>
        <v>3.0000000000001137E-3</v>
      </c>
      <c r="F378" s="352"/>
      <c r="I378" s="352"/>
    </row>
    <row r="379" spans="1:9" x14ac:dyDescent="0.2">
      <c r="A379" s="345">
        <v>39051</v>
      </c>
      <c r="B379" s="1279">
        <v>3.21</v>
      </c>
      <c r="C379" s="34">
        <v>188440999.88999999</v>
      </c>
      <c r="D379" s="253"/>
      <c r="E379" s="14">
        <f>B379-Index_Returns!E379</f>
        <v>-7.4999999999998401E-3</v>
      </c>
      <c r="F379" s="352"/>
      <c r="I379" s="352"/>
    </row>
    <row r="380" spans="1:9" x14ac:dyDescent="0.2">
      <c r="A380" s="345">
        <v>39082</v>
      </c>
      <c r="B380" s="1279">
        <v>-0.5</v>
      </c>
      <c r="C380" s="703">
        <v>187528823.90000001</v>
      </c>
      <c r="D380" s="253"/>
      <c r="E380" s="14">
        <f>B380-Index_Returns!E380</f>
        <v>-1.3500000000000012E-2</v>
      </c>
      <c r="F380" s="352"/>
      <c r="I380" s="352"/>
    </row>
    <row r="381" spans="1:9" x14ac:dyDescent="0.2">
      <c r="A381" s="345">
        <v>39113</v>
      </c>
      <c r="B381" s="1279">
        <v>3.64</v>
      </c>
      <c r="C381" s="770">
        <v>276714720.62</v>
      </c>
      <c r="E381" s="14">
        <f>B381-Index_Returns!E381</f>
        <v>6.4000000000001833E-3</v>
      </c>
      <c r="F381" s="352"/>
      <c r="I381" s="352"/>
    </row>
    <row r="382" spans="1:9" x14ac:dyDescent="0.2">
      <c r="A382" s="345">
        <v>39141</v>
      </c>
      <c r="B382" s="1279">
        <v>0.72</v>
      </c>
      <c r="C382" s="770">
        <v>278729587.79000002</v>
      </c>
      <c r="E382" s="14">
        <f>B382-Index_Returns!E382</f>
        <v>-1.3100000000000001E-2</v>
      </c>
      <c r="F382" s="352"/>
      <c r="I382" s="352"/>
    </row>
    <row r="383" spans="1:9" x14ac:dyDescent="0.2">
      <c r="A383" s="345">
        <v>39172</v>
      </c>
      <c r="B383" s="1279">
        <v>1.34</v>
      </c>
      <c r="C383" s="770">
        <v>282473049.50999999</v>
      </c>
      <c r="E383" s="14">
        <f>B383-Index_Returns!E383</f>
        <v>-6.0000000000000053E-3</v>
      </c>
      <c r="F383" s="352"/>
      <c r="I383" s="352"/>
    </row>
    <row r="384" spans="1:9" x14ac:dyDescent="0.2">
      <c r="A384" s="345">
        <v>39202</v>
      </c>
      <c r="B384" s="1279">
        <v>3.04</v>
      </c>
      <c r="C384" s="770">
        <v>291080311.49000001</v>
      </c>
      <c r="E384" s="14">
        <f>B384-Index_Returns!E384</f>
        <v>-1.7999999999998018E-3</v>
      </c>
      <c r="F384" s="352"/>
      <c r="I384" s="352"/>
    </row>
    <row r="385" spans="1:9" x14ac:dyDescent="0.2">
      <c r="A385" s="345">
        <v>39233</v>
      </c>
      <c r="B385" s="1279">
        <v>5</v>
      </c>
      <c r="C385" s="770">
        <v>305660544.61000001</v>
      </c>
      <c r="E385" s="14">
        <f>B385-Index_Returns!E385</f>
        <v>-1.1099999999999888E-2</v>
      </c>
      <c r="F385" s="352"/>
      <c r="I385" s="352"/>
    </row>
    <row r="386" spans="1:9" x14ac:dyDescent="0.2">
      <c r="A386" s="345">
        <v>39263</v>
      </c>
      <c r="B386" s="1279">
        <v>-2.1800000000000002</v>
      </c>
      <c r="C386" s="770">
        <v>299007454.14999998</v>
      </c>
      <c r="E386" s="14">
        <f>B386-Index_Returns!E386</f>
        <v>4.2999999999997485E-3</v>
      </c>
      <c r="F386" s="352"/>
      <c r="I386" s="352"/>
    </row>
    <row r="387" spans="1:9" x14ac:dyDescent="0.2">
      <c r="A387" s="345">
        <v>39294</v>
      </c>
      <c r="B387" s="1279">
        <v>-4.3</v>
      </c>
      <c r="C387" s="770">
        <v>286158972.61000001</v>
      </c>
      <c r="E387" s="14">
        <f>B387-Index_Returns!E387</f>
        <v>5.9000000000004604E-3</v>
      </c>
      <c r="F387" s="352"/>
      <c r="I387" s="352"/>
    </row>
    <row r="388" spans="1:9" x14ac:dyDescent="0.2">
      <c r="A388" s="345">
        <v>39325</v>
      </c>
      <c r="B388" s="1279">
        <v>0.93</v>
      </c>
      <c r="C388" s="346">
        <v>288825015.13</v>
      </c>
      <c r="E388" s="14">
        <f>B388-Index_Returns!E388</f>
        <v>8.80000000000003E-3</v>
      </c>
      <c r="F388" s="352"/>
      <c r="I388" s="352"/>
    </row>
    <row r="389" spans="1:9" x14ac:dyDescent="0.2">
      <c r="A389" s="345">
        <v>39355</v>
      </c>
      <c r="B389" s="1279">
        <v>2.65</v>
      </c>
      <c r="C389" s="346">
        <v>296496190.06999999</v>
      </c>
      <c r="E389" s="14">
        <f>B389-Index_Returns!E389</f>
        <v>4.6999999999997044E-3</v>
      </c>
      <c r="F389" s="352"/>
      <c r="I389" s="352"/>
    </row>
    <row r="390" spans="1:9" x14ac:dyDescent="0.2">
      <c r="A390" s="345">
        <v>39386</v>
      </c>
      <c r="B390" s="1279">
        <v>2.63</v>
      </c>
      <c r="C390" s="346">
        <v>304315960.38999999</v>
      </c>
      <c r="E390" s="14">
        <f>B390-Index_Returns!E390</f>
        <v>-1.4000000000002899E-3</v>
      </c>
      <c r="F390" s="352"/>
      <c r="I390" s="352"/>
    </row>
    <row r="391" spans="1:9" x14ac:dyDescent="0.2">
      <c r="A391" s="345">
        <v>39416</v>
      </c>
      <c r="B391" s="1279">
        <v>-4.9800000000000004</v>
      </c>
      <c r="C391" s="346">
        <v>289185677.77999997</v>
      </c>
      <c r="E391" s="14">
        <f>B391-Index_Returns!E391</f>
        <v>5.7799999999999407E-2</v>
      </c>
      <c r="F391" s="352"/>
      <c r="I391" s="352"/>
    </row>
    <row r="392" spans="1:9" x14ac:dyDescent="0.2">
      <c r="A392" s="345">
        <v>39447</v>
      </c>
      <c r="B392" s="1279">
        <v>-0.22</v>
      </c>
      <c r="C392" s="346">
        <v>288541089.63999999</v>
      </c>
      <c r="E392" s="14">
        <f>B392-Index_Returns!E392</f>
        <v>-2.8100000000000014E-2</v>
      </c>
      <c r="F392" s="352"/>
      <c r="I392" s="352"/>
    </row>
    <row r="393" spans="1:9" x14ac:dyDescent="0.2">
      <c r="A393" s="345">
        <v>39478</v>
      </c>
      <c r="B393" s="1279">
        <v>-6.14</v>
      </c>
      <c r="C393" s="346">
        <v>539986797.16999996</v>
      </c>
      <c r="E393" s="14">
        <f>B393-Index_Returns!E393</f>
        <v>2.0800000000000374E-2</v>
      </c>
      <c r="F393" s="352"/>
      <c r="I393" s="352"/>
    </row>
    <row r="394" spans="1:9" x14ac:dyDescent="0.2">
      <c r="A394" s="345">
        <v>39507</v>
      </c>
      <c r="B394" s="1279">
        <v>-1.86</v>
      </c>
      <c r="C394" s="346">
        <v>529960755.38999999</v>
      </c>
      <c r="E394" s="14">
        <f>B394-Index_Returns!E394</f>
        <v>0</v>
      </c>
      <c r="F394" s="352"/>
      <c r="I394" s="352"/>
    </row>
    <row r="395" spans="1:9" x14ac:dyDescent="0.2">
      <c r="A395" s="345">
        <v>39538</v>
      </c>
      <c r="B395" s="1279">
        <v>-1.03</v>
      </c>
      <c r="C395" s="346">
        <v>524608014.38999999</v>
      </c>
      <c r="E395" s="14">
        <f>B395-Index_Returns!E395</f>
        <v>-5.6000000000000494E-3</v>
      </c>
      <c r="F395" s="352"/>
      <c r="I395" s="352"/>
    </row>
    <row r="396" spans="1:9" x14ac:dyDescent="0.2">
      <c r="A396" s="345">
        <v>39568</v>
      </c>
      <c r="B396" s="1279">
        <v>7.71</v>
      </c>
      <c r="C396" s="346">
        <v>565151839.75999999</v>
      </c>
      <c r="E396" s="14">
        <f>B396-Index_Returns!E396</f>
        <v>3.8999999999997925E-3</v>
      </c>
      <c r="F396" s="352"/>
      <c r="I396" s="352"/>
    </row>
    <row r="397" spans="1:9" x14ac:dyDescent="0.2">
      <c r="A397" s="345">
        <v>39599</v>
      </c>
      <c r="B397" s="1279">
        <v>5.28</v>
      </c>
      <c r="C397" s="346">
        <v>595012677.65999997</v>
      </c>
      <c r="E397" s="14">
        <f>B397-Index_Returns!E397</f>
        <v>-1.0799999999999699E-2</v>
      </c>
      <c r="F397" s="352"/>
      <c r="I397" s="352"/>
    </row>
    <row r="398" spans="1:9" x14ac:dyDescent="0.2">
      <c r="A398" s="345">
        <v>39629</v>
      </c>
      <c r="B398" s="1279">
        <v>-7.02</v>
      </c>
      <c r="C398" s="346">
        <v>553346473.24000001</v>
      </c>
      <c r="E398" s="14">
        <f>B398-Index_Returns!E398</f>
        <v>1.4200000000000657E-2</v>
      </c>
      <c r="F398" s="352"/>
      <c r="I398" s="352"/>
    </row>
    <row r="399" spans="1:9" x14ac:dyDescent="0.2">
      <c r="A399" s="345">
        <v>39660</v>
      </c>
      <c r="B399" s="1279">
        <v>-1.85</v>
      </c>
      <c r="C399" s="367">
        <v>543326551.70000005</v>
      </c>
      <c r="E399" s="14">
        <f>B399-Index_Returns!E399</f>
        <v>4.2999999999999705E-3</v>
      </c>
      <c r="F399" s="352"/>
      <c r="G399" s="1206">
        <v>-1.8108</v>
      </c>
      <c r="H399" s="1206">
        <v>543326551.70000005</v>
      </c>
      <c r="I399" s="352"/>
    </row>
    <row r="400" spans="1:9" x14ac:dyDescent="0.2">
      <c r="A400" s="345">
        <v>39691</v>
      </c>
      <c r="B400" s="1279">
        <v>1.7</v>
      </c>
      <c r="C400" s="367">
        <v>552666420.54999995</v>
      </c>
      <c r="E400" s="14">
        <f>B400-Index_Returns!E400</f>
        <v>-1.2299999999999978E-2</v>
      </c>
      <c r="F400" s="352"/>
      <c r="G400" s="1206">
        <v>1.7190000000000001</v>
      </c>
      <c r="H400" s="1206">
        <v>552666420.54999995</v>
      </c>
      <c r="I400" s="352"/>
    </row>
    <row r="401" spans="1:9" x14ac:dyDescent="0.2">
      <c r="A401" s="345">
        <v>39721</v>
      </c>
      <c r="B401" s="1279">
        <v>-10.63</v>
      </c>
      <c r="C401" s="367">
        <v>493988070.32999998</v>
      </c>
      <c r="E401" s="14">
        <f>B401-Index_Returns!E401</f>
        <v>8.089999999999975E-2</v>
      </c>
      <c r="F401" s="352"/>
      <c r="G401" s="1206">
        <v>-10.6227</v>
      </c>
      <c r="H401" s="1206">
        <v>493988070.32999998</v>
      </c>
      <c r="I401" s="352"/>
    </row>
    <row r="402" spans="1:9" x14ac:dyDescent="0.2">
      <c r="A402" s="345">
        <v>39752</v>
      </c>
      <c r="B402" s="1279">
        <v>-21.73</v>
      </c>
      <c r="C402" s="346">
        <v>386735052</v>
      </c>
      <c r="E402" s="14">
        <f>B402-Index_Returns!E402</f>
        <v>8.9000000000005741E-3</v>
      </c>
      <c r="F402" s="352"/>
      <c r="H402" s="116"/>
      <c r="I402" s="352"/>
    </row>
    <row r="403" spans="1:9" x14ac:dyDescent="0.2">
      <c r="A403" s="345">
        <v>39782</v>
      </c>
      <c r="B403" s="1279">
        <v>-9.24</v>
      </c>
      <c r="C403" s="346">
        <v>350991679</v>
      </c>
      <c r="E403" s="14">
        <f>B403-Index_Returns!E403</f>
        <v>2.9600000000000293E-2</v>
      </c>
      <c r="F403" s="352"/>
      <c r="I403" s="352"/>
    </row>
    <row r="404" spans="1:9" x14ac:dyDescent="0.2">
      <c r="A404" s="345">
        <v>39813</v>
      </c>
      <c r="B404" s="1279">
        <v>4.82</v>
      </c>
      <c r="C404" s="346">
        <v>368084464</v>
      </c>
      <c r="E404" s="14">
        <f>B404-Index_Returns!E404</f>
        <v>-2.7400000000000091E-2</v>
      </c>
      <c r="F404" s="352"/>
      <c r="I404" s="352"/>
    </row>
    <row r="405" spans="1:9" x14ac:dyDescent="0.2">
      <c r="A405" s="345">
        <v>39844</v>
      </c>
      <c r="B405" s="1279">
        <v>-7.26</v>
      </c>
      <c r="C405" s="346">
        <v>341569908.33999997</v>
      </c>
      <c r="D405" s="258">
        <v>-7.2034000000000002</v>
      </c>
      <c r="E405" s="14">
        <f>B405-Index_Returns!E405</f>
        <v>-6.2999999999995282E-3</v>
      </c>
      <c r="F405" s="352"/>
      <c r="I405" s="352"/>
    </row>
    <row r="406" spans="1:9" x14ac:dyDescent="0.2">
      <c r="A406" s="345">
        <v>39872</v>
      </c>
      <c r="B406" s="1279">
        <v>-9.68</v>
      </c>
      <c r="C406" s="346">
        <v>308618185.22000003</v>
      </c>
      <c r="D406" s="258">
        <v>-9.6829000000000001</v>
      </c>
      <c r="E406" s="14">
        <f>B406-Index_Returns!E406</f>
        <v>2.9000000000003467E-3</v>
      </c>
      <c r="F406" s="352"/>
      <c r="I406" s="352"/>
    </row>
    <row r="407" spans="1:9" x14ac:dyDescent="0.2">
      <c r="A407" s="345">
        <v>39903</v>
      </c>
      <c r="B407" s="1279">
        <v>9</v>
      </c>
      <c r="C407" s="346">
        <v>336484190.44999999</v>
      </c>
      <c r="D407" s="258">
        <v>9.0478000000000005</v>
      </c>
      <c r="E407" s="14">
        <f>B407-Index_Returns!E407</f>
        <v>-4.7800000000000509E-2</v>
      </c>
      <c r="F407" s="352"/>
      <c r="I407" s="352"/>
    </row>
    <row r="408" spans="1:9" x14ac:dyDescent="0.2">
      <c r="A408" s="345">
        <v>39933</v>
      </c>
      <c r="B408" s="1279">
        <v>14.84</v>
      </c>
      <c r="C408" s="346">
        <v>386487839.89999998</v>
      </c>
      <c r="E408" s="14">
        <f>B408-Index_Returns!E408</f>
        <v>-2.9600000000000293E-2</v>
      </c>
      <c r="F408" s="352"/>
      <c r="I408" s="352"/>
    </row>
    <row r="409" spans="1:9" x14ac:dyDescent="0.2">
      <c r="A409" s="345">
        <v>39964</v>
      </c>
      <c r="B409" s="1279">
        <v>2.74</v>
      </c>
      <c r="C409" s="346">
        <v>397178720.74000001</v>
      </c>
      <c r="E409" s="14">
        <f>B409-Index_Returns!E409</f>
        <v>3.7000000000002586E-3</v>
      </c>
      <c r="F409" s="352"/>
      <c r="I409" s="352"/>
    </row>
    <row r="410" spans="1:9" x14ac:dyDescent="0.2">
      <c r="A410" s="345">
        <v>39994</v>
      </c>
      <c r="B410" s="1279">
        <v>0.63</v>
      </c>
      <c r="C410" s="346">
        <v>399758718.39999998</v>
      </c>
      <c r="E410" s="14">
        <f>B410-Index_Returns!E410</f>
        <v>8.1999999999999851E-3</v>
      </c>
      <c r="F410" s="352"/>
      <c r="I410" s="352"/>
    </row>
    <row r="411" spans="1:9" x14ac:dyDescent="0.2">
      <c r="A411" s="345">
        <v>40025</v>
      </c>
      <c r="B411" s="1279">
        <v>8.73</v>
      </c>
      <c r="C411" s="346">
        <v>434785200.61000001</v>
      </c>
      <c r="D411" s="258">
        <v>8.7392000000000003</v>
      </c>
      <c r="E411" s="14">
        <f>B411-Index_Returns!E411</f>
        <v>-9.1999999999998749E-3</v>
      </c>
      <c r="F411" s="352"/>
      <c r="I411" s="352"/>
    </row>
    <row r="412" spans="1:9" x14ac:dyDescent="0.2">
      <c r="A412" s="345">
        <v>40056</v>
      </c>
      <c r="B412" s="1279">
        <v>4.38</v>
      </c>
      <c r="C412" s="346">
        <v>453894158.88999999</v>
      </c>
      <c r="D412" s="258">
        <v>4.3673999999999999</v>
      </c>
      <c r="E412" s="14">
        <f>B412-Index_Returns!E412</f>
        <v>1.2599999999999945E-2</v>
      </c>
      <c r="F412" s="352"/>
      <c r="I412" s="352"/>
    </row>
    <row r="413" spans="1:9" x14ac:dyDescent="0.2">
      <c r="A413" s="345">
        <v>40086</v>
      </c>
      <c r="B413" s="1279">
        <v>5.73</v>
      </c>
      <c r="C413" s="346">
        <v>479971807.47000003</v>
      </c>
      <c r="D413" s="258">
        <v>5.7453000000000003</v>
      </c>
      <c r="E413" s="14">
        <f>B413-Index_Returns!E413</f>
        <v>8.2000000000004292E-3</v>
      </c>
      <c r="F413" s="352"/>
      <c r="I413" s="352"/>
    </row>
    <row r="414" spans="1:9" x14ac:dyDescent="0.2">
      <c r="A414" s="345">
        <v>40117</v>
      </c>
      <c r="B414" s="1279">
        <v>-4.53</v>
      </c>
      <c r="C414" s="346">
        <v>308651556</v>
      </c>
      <c r="D414" s="258">
        <v>-4.53</v>
      </c>
      <c r="E414" s="14">
        <f>B414-Index_Returns!E414</f>
        <v>9.9999999999997868E-3</v>
      </c>
      <c r="F414" s="352"/>
      <c r="I414" s="352"/>
    </row>
    <row r="415" spans="1:9" x14ac:dyDescent="0.2">
      <c r="A415" s="345">
        <v>40147</v>
      </c>
      <c r="B415" s="1279">
        <v>4.07</v>
      </c>
      <c r="C415" s="1278">
        <v>321221442</v>
      </c>
      <c r="D415" s="1279">
        <v>4.0519999999999996</v>
      </c>
      <c r="E415" s="14">
        <f>B415-Index_Returns!E415</f>
        <v>1.8000000000000682E-2</v>
      </c>
      <c r="F415" s="352"/>
      <c r="I415" s="352"/>
    </row>
    <row r="416" spans="1:9" x14ac:dyDescent="0.2">
      <c r="A416" s="345">
        <v>40178</v>
      </c>
      <c r="B416" s="1279">
        <v>6.3</v>
      </c>
      <c r="C416" s="346">
        <v>341457334.25</v>
      </c>
      <c r="D416" s="258">
        <v>6.2750700000000004</v>
      </c>
      <c r="E416" s="14">
        <f>B416-Index_Returns!E416</f>
        <v>2.4929999999999453E-2</v>
      </c>
      <c r="F416" s="352"/>
      <c r="I416" s="352"/>
    </row>
    <row r="417" spans="1:9" x14ac:dyDescent="0.2">
      <c r="A417" s="345">
        <v>40209</v>
      </c>
      <c r="B417" s="253">
        <v>-3.22</v>
      </c>
      <c r="C417" s="346">
        <v>29102540.670000002</v>
      </c>
      <c r="D417" s="258">
        <v>-2.8097300000000001</v>
      </c>
      <c r="E417" s="14">
        <f>B417-Index_Returns!E417</f>
        <v>-4.8000000000003595E-3</v>
      </c>
      <c r="F417" s="352"/>
      <c r="I417" s="352"/>
    </row>
    <row r="418" spans="1:9" x14ac:dyDescent="0.2">
      <c r="A418" s="345">
        <v>40237</v>
      </c>
      <c r="B418" s="253">
        <v>5.21</v>
      </c>
      <c r="C418" s="346">
        <v>294223978.85000002</v>
      </c>
      <c r="D418" s="258">
        <v>5.1700900000000001</v>
      </c>
      <c r="E418" s="14">
        <f>B418-Index_Returns!E418</f>
        <v>-6.3000000000013046E-4</v>
      </c>
      <c r="F418" s="352"/>
      <c r="I418" s="352"/>
    </row>
    <row r="419" spans="1:9" x14ac:dyDescent="0.2">
      <c r="A419" s="345">
        <v>40268</v>
      </c>
      <c r="B419" s="253">
        <v>7.12</v>
      </c>
      <c r="C419" s="1287">
        <v>302814389.18000001</v>
      </c>
      <c r="D419" s="1286">
        <v>7.1890799999999997</v>
      </c>
      <c r="E419" s="14">
        <f>B419-Index_Returns!E419</f>
        <v>-1.501000000000019E-2</v>
      </c>
      <c r="F419" s="352"/>
      <c r="I419" s="352"/>
    </row>
    <row r="420" spans="1:9" x14ac:dyDescent="0.2">
      <c r="A420" s="345">
        <v>40298</v>
      </c>
      <c r="B420" s="253">
        <v>4.26</v>
      </c>
      <c r="C420" s="346">
        <v>303329039.27999997</v>
      </c>
      <c r="D420" s="258">
        <v>4.1854199999999997</v>
      </c>
      <c r="E420" s="14">
        <f>B420-Index_Returns!E420</f>
        <v>-2.2999999999999687E-3</v>
      </c>
      <c r="F420" s="352"/>
      <c r="I420" s="352"/>
    </row>
    <row r="421" spans="1:9" x14ac:dyDescent="0.2">
      <c r="A421" s="345">
        <v>40329</v>
      </c>
      <c r="B421" s="253">
        <v>-7.21</v>
      </c>
      <c r="C421" s="346">
        <v>281463886.33999997</v>
      </c>
      <c r="D421" s="258">
        <v>-7.2083899999999996</v>
      </c>
      <c r="E421" s="14">
        <f>B421-Index_Returns!E421</f>
        <v>-1.0569999999999524E-2</v>
      </c>
      <c r="F421" s="352"/>
      <c r="I421" s="352"/>
    </row>
    <row r="422" spans="1:9" x14ac:dyDescent="0.2">
      <c r="A422" s="345">
        <v>40359</v>
      </c>
      <c r="B422" s="253">
        <v>-6.57</v>
      </c>
      <c r="C422" s="346">
        <v>262972420.00999999</v>
      </c>
      <c r="D422" s="258">
        <v>-6.56975</v>
      </c>
      <c r="E422" s="14">
        <f>B422-Index_Returns!E422</f>
        <v>-1.6350000000000087E-2</v>
      </c>
      <c r="F422" s="352"/>
      <c r="I422" s="352"/>
    </row>
    <row r="423" spans="1:9" x14ac:dyDescent="0.2">
      <c r="A423" s="345">
        <v>40390</v>
      </c>
      <c r="B423" s="253">
        <v>6.9142599999999996</v>
      </c>
      <c r="C423" s="346">
        <v>247433219.97999999</v>
      </c>
      <c r="D423" s="258">
        <v>6.9142599999999996</v>
      </c>
      <c r="E423" s="14">
        <f>B423-Index_Returns!E423</f>
        <v>5.9999999999993392E-3</v>
      </c>
      <c r="F423" s="352"/>
      <c r="I423" s="352"/>
    </row>
    <row r="424" spans="1:9" x14ac:dyDescent="0.2">
      <c r="A424" s="345">
        <v>40421</v>
      </c>
      <c r="B424" s="253">
        <v>-4.9447599999999996</v>
      </c>
      <c r="C424" s="346">
        <v>174938376.34</v>
      </c>
      <c r="D424" s="258">
        <v>-4.9447599999999996</v>
      </c>
      <c r="E424" s="14">
        <f>B424-Index_Returns!E424</f>
        <v>-4.7799999999993403E-3</v>
      </c>
      <c r="F424" s="352"/>
      <c r="I424" s="352"/>
    </row>
    <row r="425" spans="1:9" x14ac:dyDescent="0.2">
      <c r="A425" s="345">
        <v>40451</v>
      </c>
      <c r="B425" s="253"/>
      <c r="C425" s="346">
        <v>60701587.520000003</v>
      </c>
      <c r="D425" s="258" t="s">
        <v>643</v>
      </c>
      <c r="E425" s="14">
        <f>B425-Index_Returns!E425</f>
        <v>-11.30566</v>
      </c>
    </row>
    <row r="426" spans="1:9" x14ac:dyDescent="0.2">
      <c r="A426" s="345">
        <v>40482</v>
      </c>
      <c r="B426" s="253"/>
      <c r="C426" s="346"/>
      <c r="E426" s="14">
        <f>B426-Index_Returns!E426</f>
        <v>-3.4494400000000001</v>
      </c>
    </row>
    <row r="427" spans="1:9" x14ac:dyDescent="0.2">
      <c r="A427" s="345">
        <v>40512</v>
      </c>
      <c r="B427" s="253"/>
      <c r="C427" s="346"/>
      <c r="E427" s="14">
        <f>B427-Index_Returns!E427</f>
        <v>-2.9697499999999999</v>
      </c>
    </row>
    <row r="428" spans="1:9" x14ac:dyDescent="0.2">
      <c r="A428" s="345">
        <v>40543</v>
      </c>
      <c r="B428" s="253"/>
      <c r="C428" s="346"/>
      <c r="E428" s="14">
        <f>B428-Index_Returns!E428</f>
        <v>-6.5536300000000001</v>
      </c>
    </row>
  </sheetData>
  <phoneticPr fontId="3" type="noConversion"/>
  <printOptions headings="1" gridLines="1"/>
  <pageMargins left="0.75" right="0.75" top="1" bottom="1" header="0.5" footer="0.5"/>
  <pageSetup scale="12" orientation="portrait" r:id="rId1"/>
  <headerFooter alignWithMargins="0">
    <oddHeader>&amp;L&amp;A</oddHeader>
  </headerFooter>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G720"/>
  <sheetViews>
    <sheetView topLeftCell="A397" workbookViewId="0">
      <selection activeCell="D434" sqref="D434"/>
    </sheetView>
  </sheetViews>
  <sheetFormatPr defaultRowHeight="12.75" x14ac:dyDescent="0.2"/>
  <cols>
    <col min="1" max="5" width="18" customWidth="1"/>
    <col min="7" max="7" width="14" bestFit="1" customWidth="1"/>
  </cols>
  <sheetData>
    <row r="1" spans="1:5" x14ac:dyDescent="0.2">
      <c r="A1" s="265" t="s">
        <v>350</v>
      </c>
      <c r="B1" s="321" t="s">
        <v>482</v>
      </c>
      <c r="C1" s="20" t="s">
        <v>351</v>
      </c>
      <c r="D1" s="252" t="e">
        <f>Fees!F156</f>
        <v>#REF!</v>
      </c>
      <c r="E1" s="74" t="s">
        <v>81</v>
      </c>
    </row>
    <row r="2" spans="1:5" x14ac:dyDescent="0.2">
      <c r="A2" s="3" t="s">
        <v>27</v>
      </c>
      <c r="B2" s="71" t="s">
        <v>91</v>
      </c>
      <c r="C2" s="3" t="s">
        <v>92</v>
      </c>
      <c r="D2" s="71" t="s">
        <v>90</v>
      </c>
      <c r="E2" s="71" t="s">
        <v>80</v>
      </c>
    </row>
    <row r="3" spans="1:5" x14ac:dyDescent="0.2">
      <c r="A3" s="345">
        <v>27606</v>
      </c>
    </row>
    <row r="4" spans="1:5" x14ac:dyDescent="0.2">
      <c r="A4" s="345">
        <v>27637</v>
      </c>
    </row>
    <row r="5" spans="1:5" x14ac:dyDescent="0.2">
      <c r="A5" s="345">
        <v>27667</v>
      </c>
    </row>
    <row r="6" spans="1:5" x14ac:dyDescent="0.2">
      <c r="A6" s="345">
        <v>27698</v>
      </c>
    </row>
    <row r="7" spans="1:5" x14ac:dyDescent="0.2">
      <c r="A7" s="345">
        <v>27728</v>
      </c>
    </row>
    <row r="8" spans="1:5" x14ac:dyDescent="0.2">
      <c r="A8" s="345">
        <v>27759</v>
      </c>
    </row>
    <row r="9" spans="1:5" x14ac:dyDescent="0.2">
      <c r="A9" s="345">
        <v>27790</v>
      </c>
    </row>
    <row r="10" spans="1:5" x14ac:dyDescent="0.2">
      <c r="A10" s="345">
        <v>27819</v>
      </c>
    </row>
    <row r="11" spans="1:5" x14ac:dyDescent="0.2">
      <c r="A11" s="345">
        <v>27850</v>
      </c>
    </row>
    <row r="12" spans="1:5" x14ac:dyDescent="0.2">
      <c r="A12" s="345">
        <v>27880</v>
      </c>
    </row>
    <row r="13" spans="1:5" x14ac:dyDescent="0.2">
      <c r="A13" s="345">
        <v>27911</v>
      </c>
    </row>
    <row r="14" spans="1:5" x14ac:dyDescent="0.2">
      <c r="A14" s="345">
        <v>27941</v>
      </c>
    </row>
    <row r="15" spans="1:5" x14ac:dyDescent="0.2">
      <c r="A15" s="345">
        <v>27972</v>
      </c>
    </row>
    <row r="16" spans="1:5" x14ac:dyDescent="0.2">
      <c r="A16" s="345">
        <v>28003</v>
      </c>
    </row>
    <row r="17" spans="1:1" x14ac:dyDescent="0.2">
      <c r="A17" s="345">
        <v>28033</v>
      </c>
    </row>
    <row r="18" spans="1:1" x14ac:dyDescent="0.2">
      <c r="A18" s="345">
        <v>28064</v>
      </c>
    </row>
    <row r="19" spans="1:1" x14ac:dyDescent="0.2">
      <c r="A19" s="345">
        <v>28094</v>
      </c>
    </row>
    <row r="20" spans="1:1" x14ac:dyDescent="0.2">
      <c r="A20" s="345">
        <v>28125</v>
      </c>
    </row>
    <row r="21" spans="1:1" x14ac:dyDescent="0.2">
      <c r="A21" s="345">
        <v>28156</v>
      </c>
    </row>
    <row r="22" spans="1:1" x14ac:dyDescent="0.2">
      <c r="A22" s="345">
        <v>28184</v>
      </c>
    </row>
    <row r="23" spans="1:1" x14ac:dyDescent="0.2">
      <c r="A23" s="345">
        <v>28215</v>
      </c>
    </row>
    <row r="24" spans="1:1" x14ac:dyDescent="0.2">
      <c r="A24" s="345">
        <v>28245</v>
      </c>
    </row>
    <row r="25" spans="1:1" x14ac:dyDescent="0.2">
      <c r="A25" s="345">
        <v>28276</v>
      </c>
    </row>
    <row r="26" spans="1:1" x14ac:dyDescent="0.2">
      <c r="A26" s="345">
        <v>28306</v>
      </c>
    </row>
    <row r="27" spans="1:1" x14ac:dyDescent="0.2">
      <c r="A27" s="345">
        <v>28337</v>
      </c>
    </row>
    <row r="28" spans="1:1" x14ac:dyDescent="0.2">
      <c r="A28" s="345">
        <v>28368</v>
      </c>
    </row>
    <row r="29" spans="1:1" x14ac:dyDescent="0.2">
      <c r="A29" s="345">
        <v>28398</v>
      </c>
    </row>
    <row r="30" spans="1:1" x14ac:dyDescent="0.2">
      <c r="A30" s="345">
        <v>28429</v>
      </c>
    </row>
    <row r="31" spans="1:1" x14ac:dyDescent="0.2">
      <c r="A31" s="345">
        <v>28459</v>
      </c>
    </row>
    <row r="32" spans="1:1" x14ac:dyDescent="0.2">
      <c r="A32" s="345">
        <v>28490</v>
      </c>
    </row>
    <row r="33" spans="1:1" x14ac:dyDescent="0.2">
      <c r="A33" s="345">
        <v>28521</v>
      </c>
    </row>
    <row r="34" spans="1:1" x14ac:dyDescent="0.2">
      <c r="A34" s="345">
        <v>28549</v>
      </c>
    </row>
    <row r="35" spans="1:1" x14ac:dyDescent="0.2">
      <c r="A35" s="345">
        <v>28580</v>
      </c>
    </row>
    <row r="36" spans="1:1" x14ac:dyDescent="0.2">
      <c r="A36" s="345">
        <v>28610</v>
      </c>
    </row>
    <row r="37" spans="1:1" x14ac:dyDescent="0.2">
      <c r="A37" s="345">
        <v>28641</v>
      </c>
    </row>
    <row r="38" spans="1:1" x14ac:dyDescent="0.2">
      <c r="A38" s="345">
        <v>28671</v>
      </c>
    </row>
    <row r="39" spans="1:1" x14ac:dyDescent="0.2">
      <c r="A39" s="345">
        <v>28702</v>
      </c>
    </row>
    <row r="40" spans="1:1" x14ac:dyDescent="0.2">
      <c r="A40" s="345">
        <v>28733</v>
      </c>
    </row>
    <row r="41" spans="1:1" x14ac:dyDescent="0.2">
      <c r="A41" s="345">
        <v>28763</v>
      </c>
    </row>
    <row r="42" spans="1:1" x14ac:dyDescent="0.2">
      <c r="A42" s="345">
        <v>28794</v>
      </c>
    </row>
    <row r="43" spans="1:1" x14ac:dyDescent="0.2">
      <c r="A43" s="345">
        <v>28824</v>
      </c>
    </row>
    <row r="44" spans="1:1" x14ac:dyDescent="0.2">
      <c r="A44" s="345">
        <v>28855</v>
      </c>
    </row>
    <row r="45" spans="1:1" x14ac:dyDescent="0.2">
      <c r="A45" s="345">
        <v>28886</v>
      </c>
    </row>
    <row r="46" spans="1:1" x14ac:dyDescent="0.2">
      <c r="A46" s="345">
        <v>28914</v>
      </c>
    </row>
    <row r="47" spans="1:1" x14ac:dyDescent="0.2">
      <c r="A47" s="345">
        <v>28945</v>
      </c>
    </row>
    <row r="48" spans="1:1" x14ac:dyDescent="0.2">
      <c r="A48" s="345">
        <v>28975</v>
      </c>
    </row>
    <row r="49" spans="1:1" x14ac:dyDescent="0.2">
      <c r="A49" s="345">
        <v>29006</v>
      </c>
    </row>
    <row r="50" spans="1:1" x14ac:dyDescent="0.2">
      <c r="A50" s="345">
        <v>29036</v>
      </c>
    </row>
    <row r="51" spans="1:1" x14ac:dyDescent="0.2">
      <c r="A51" s="345">
        <v>29067</v>
      </c>
    </row>
    <row r="52" spans="1:1" x14ac:dyDescent="0.2">
      <c r="A52" s="345">
        <v>29098</v>
      </c>
    </row>
    <row r="53" spans="1:1" x14ac:dyDescent="0.2">
      <c r="A53" s="345">
        <v>29128</v>
      </c>
    </row>
    <row r="54" spans="1:1" x14ac:dyDescent="0.2">
      <c r="A54" s="345">
        <v>29159</v>
      </c>
    </row>
    <row r="55" spans="1:1" x14ac:dyDescent="0.2">
      <c r="A55" s="345">
        <v>29189</v>
      </c>
    </row>
    <row r="56" spans="1:1" x14ac:dyDescent="0.2">
      <c r="A56" s="345">
        <v>29220</v>
      </c>
    </row>
    <row r="57" spans="1:1" x14ac:dyDescent="0.2">
      <c r="A57" s="345">
        <v>29251</v>
      </c>
    </row>
    <row r="58" spans="1:1" x14ac:dyDescent="0.2">
      <c r="A58" s="345">
        <v>29280</v>
      </c>
    </row>
    <row r="59" spans="1:1" x14ac:dyDescent="0.2">
      <c r="A59" s="345">
        <v>29311</v>
      </c>
    </row>
    <row r="60" spans="1:1" x14ac:dyDescent="0.2">
      <c r="A60" s="345">
        <v>29341</v>
      </c>
    </row>
    <row r="61" spans="1:1" x14ac:dyDescent="0.2">
      <c r="A61" s="345">
        <v>29372</v>
      </c>
    </row>
    <row r="62" spans="1:1" x14ac:dyDescent="0.2">
      <c r="A62" s="345">
        <v>29402</v>
      </c>
    </row>
    <row r="63" spans="1:1" x14ac:dyDescent="0.2">
      <c r="A63" s="345">
        <v>29433</v>
      </c>
    </row>
    <row r="64" spans="1:1" x14ac:dyDescent="0.2">
      <c r="A64" s="345">
        <v>29464</v>
      </c>
    </row>
    <row r="65" spans="1:1" x14ac:dyDescent="0.2">
      <c r="A65" s="345">
        <v>29494</v>
      </c>
    </row>
    <row r="66" spans="1:1" x14ac:dyDescent="0.2">
      <c r="A66" s="345">
        <v>29525</v>
      </c>
    </row>
    <row r="67" spans="1:1" x14ac:dyDescent="0.2">
      <c r="A67" s="345">
        <v>29555</v>
      </c>
    </row>
    <row r="68" spans="1:1" x14ac:dyDescent="0.2">
      <c r="A68" s="345">
        <v>29586</v>
      </c>
    </row>
    <row r="69" spans="1:1" x14ac:dyDescent="0.2">
      <c r="A69" s="345">
        <v>29617</v>
      </c>
    </row>
    <row r="70" spans="1:1" x14ac:dyDescent="0.2">
      <c r="A70" s="345">
        <v>29645</v>
      </c>
    </row>
    <row r="71" spans="1:1" x14ac:dyDescent="0.2">
      <c r="A71" s="345">
        <v>29676</v>
      </c>
    </row>
    <row r="72" spans="1:1" x14ac:dyDescent="0.2">
      <c r="A72" s="345">
        <v>29706</v>
      </c>
    </row>
    <row r="73" spans="1:1" x14ac:dyDescent="0.2">
      <c r="A73" s="345">
        <v>29737</v>
      </c>
    </row>
    <row r="74" spans="1:1" x14ac:dyDescent="0.2">
      <c r="A74" s="345">
        <v>29767</v>
      </c>
    </row>
    <row r="75" spans="1:1" x14ac:dyDescent="0.2">
      <c r="A75" s="345">
        <v>29798</v>
      </c>
    </row>
    <row r="76" spans="1:1" x14ac:dyDescent="0.2">
      <c r="A76" s="345">
        <v>29829</v>
      </c>
    </row>
    <row r="77" spans="1:1" x14ac:dyDescent="0.2">
      <c r="A77" s="345">
        <v>29859</v>
      </c>
    </row>
    <row r="78" spans="1:1" x14ac:dyDescent="0.2">
      <c r="A78" s="345">
        <v>29890</v>
      </c>
    </row>
    <row r="79" spans="1:1" x14ac:dyDescent="0.2">
      <c r="A79" s="345">
        <v>29920</v>
      </c>
    </row>
    <row r="80" spans="1:1" x14ac:dyDescent="0.2">
      <c r="A80" s="345">
        <v>29951</v>
      </c>
    </row>
    <row r="81" spans="1:1" x14ac:dyDescent="0.2">
      <c r="A81" s="345">
        <v>29982</v>
      </c>
    </row>
    <row r="82" spans="1:1" x14ac:dyDescent="0.2">
      <c r="A82" s="345">
        <v>30010</v>
      </c>
    </row>
    <row r="83" spans="1:1" x14ac:dyDescent="0.2">
      <c r="A83" s="345">
        <v>30041</v>
      </c>
    </row>
    <row r="84" spans="1:1" x14ac:dyDescent="0.2">
      <c r="A84" s="345">
        <v>30071</v>
      </c>
    </row>
    <row r="85" spans="1:1" x14ac:dyDescent="0.2">
      <c r="A85" s="345">
        <v>30102</v>
      </c>
    </row>
    <row r="86" spans="1:1" x14ac:dyDescent="0.2">
      <c r="A86" s="345">
        <v>30132</v>
      </c>
    </row>
    <row r="87" spans="1:1" x14ac:dyDescent="0.2">
      <c r="A87" s="345">
        <v>30163</v>
      </c>
    </row>
    <row r="88" spans="1:1" x14ac:dyDescent="0.2">
      <c r="A88" s="345">
        <v>30194</v>
      </c>
    </row>
    <row r="89" spans="1:1" x14ac:dyDescent="0.2">
      <c r="A89" s="345">
        <v>30224</v>
      </c>
    </row>
    <row r="90" spans="1:1" x14ac:dyDescent="0.2">
      <c r="A90" s="345">
        <v>30255</v>
      </c>
    </row>
    <row r="91" spans="1:1" x14ac:dyDescent="0.2">
      <c r="A91" s="345">
        <v>30285</v>
      </c>
    </row>
    <row r="92" spans="1:1" x14ac:dyDescent="0.2">
      <c r="A92" s="345">
        <v>30316</v>
      </c>
    </row>
    <row r="93" spans="1:1" x14ac:dyDescent="0.2">
      <c r="A93" s="345">
        <v>30347</v>
      </c>
    </row>
    <row r="94" spans="1:1" x14ac:dyDescent="0.2">
      <c r="A94" s="345">
        <v>30375</v>
      </c>
    </row>
    <row r="95" spans="1:1" x14ac:dyDescent="0.2">
      <c r="A95" s="345">
        <v>30406</v>
      </c>
    </row>
    <row r="96" spans="1:1" x14ac:dyDescent="0.2">
      <c r="A96" s="345">
        <v>30436</v>
      </c>
    </row>
    <row r="97" spans="1:1" x14ac:dyDescent="0.2">
      <c r="A97" s="345">
        <v>30467</v>
      </c>
    </row>
    <row r="98" spans="1:1" x14ac:dyDescent="0.2">
      <c r="A98" s="345">
        <v>30497</v>
      </c>
    </row>
    <row r="99" spans="1:1" x14ac:dyDescent="0.2">
      <c r="A99" s="345">
        <v>30528</v>
      </c>
    </row>
    <row r="100" spans="1:1" x14ac:dyDescent="0.2">
      <c r="A100" s="345">
        <v>30559</v>
      </c>
    </row>
    <row r="101" spans="1:1" x14ac:dyDescent="0.2">
      <c r="A101" s="345">
        <v>30589</v>
      </c>
    </row>
    <row r="102" spans="1:1" x14ac:dyDescent="0.2">
      <c r="A102" s="345">
        <v>30620</v>
      </c>
    </row>
    <row r="103" spans="1:1" x14ac:dyDescent="0.2">
      <c r="A103" s="345">
        <v>30650</v>
      </c>
    </row>
    <row r="104" spans="1:1" x14ac:dyDescent="0.2">
      <c r="A104" s="345">
        <v>30681</v>
      </c>
    </row>
    <row r="105" spans="1:1" x14ac:dyDescent="0.2">
      <c r="A105" s="345">
        <v>30712</v>
      </c>
    </row>
    <row r="106" spans="1:1" x14ac:dyDescent="0.2">
      <c r="A106" s="345">
        <v>30741</v>
      </c>
    </row>
    <row r="107" spans="1:1" x14ac:dyDescent="0.2">
      <c r="A107" s="345">
        <v>30772</v>
      </c>
    </row>
    <row r="108" spans="1:1" x14ac:dyDescent="0.2">
      <c r="A108" s="345">
        <v>30802</v>
      </c>
    </row>
    <row r="109" spans="1:1" x14ac:dyDescent="0.2">
      <c r="A109" s="345">
        <v>30833</v>
      </c>
    </row>
    <row r="110" spans="1:1" x14ac:dyDescent="0.2">
      <c r="A110" s="345">
        <v>30863</v>
      </c>
    </row>
    <row r="111" spans="1:1" x14ac:dyDescent="0.2">
      <c r="A111" s="345">
        <v>30894</v>
      </c>
    </row>
    <row r="112" spans="1:1" x14ac:dyDescent="0.2">
      <c r="A112" s="345">
        <v>30925</v>
      </c>
    </row>
    <row r="113" spans="1:1" x14ac:dyDescent="0.2">
      <c r="A113" s="345">
        <v>30955</v>
      </c>
    </row>
    <row r="114" spans="1:1" x14ac:dyDescent="0.2">
      <c r="A114" s="345">
        <v>30986</v>
      </c>
    </row>
    <row r="115" spans="1:1" x14ac:dyDescent="0.2">
      <c r="A115" s="345">
        <v>31016</v>
      </c>
    </row>
    <row r="116" spans="1:1" x14ac:dyDescent="0.2">
      <c r="A116" s="345">
        <v>31047</v>
      </c>
    </row>
    <row r="117" spans="1:1" x14ac:dyDescent="0.2">
      <c r="A117" s="345">
        <v>31078</v>
      </c>
    </row>
    <row r="118" spans="1:1" x14ac:dyDescent="0.2">
      <c r="A118" s="345">
        <v>31106</v>
      </c>
    </row>
    <row r="119" spans="1:1" x14ac:dyDescent="0.2">
      <c r="A119" s="345">
        <v>31137</v>
      </c>
    </row>
    <row r="120" spans="1:1" x14ac:dyDescent="0.2">
      <c r="A120" s="345">
        <v>31167</v>
      </c>
    </row>
    <row r="121" spans="1:1" x14ac:dyDescent="0.2">
      <c r="A121" s="345">
        <v>31198</v>
      </c>
    </row>
    <row r="122" spans="1:1" x14ac:dyDescent="0.2">
      <c r="A122" s="345">
        <v>31228</v>
      </c>
    </row>
    <row r="123" spans="1:1" x14ac:dyDescent="0.2">
      <c r="A123" s="345">
        <v>31259</v>
      </c>
    </row>
    <row r="124" spans="1:1" x14ac:dyDescent="0.2">
      <c r="A124" s="345">
        <v>31290</v>
      </c>
    </row>
    <row r="125" spans="1:1" x14ac:dyDescent="0.2">
      <c r="A125" s="345">
        <v>31320</v>
      </c>
    </row>
    <row r="126" spans="1:1" x14ac:dyDescent="0.2">
      <c r="A126" s="345">
        <v>31351</v>
      </c>
    </row>
    <row r="127" spans="1:1" x14ac:dyDescent="0.2">
      <c r="A127" s="345">
        <v>31381</v>
      </c>
    </row>
    <row r="128" spans="1:1" x14ac:dyDescent="0.2">
      <c r="A128" s="345">
        <v>31412</v>
      </c>
    </row>
    <row r="129" spans="1:1" x14ac:dyDescent="0.2">
      <c r="A129" s="345">
        <v>31443</v>
      </c>
    </row>
    <row r="130" spans="1:1" x14ac:dyDescent="0.2">
      <c r="A130" s="345">
        <v>31471</v>
      </c>
    </row>
    <row r="131" spans="1:1" x14ac:dyDescent="0.2">
      <c r="A131" s="345">
        <v>31502</v>
      </c>
    </row>
    <row r="132" spans="1:1" x14ac:dyDescent="0.2">
      <c r="A132" s="345">
        <v>31532</v>
      </c>
    </row>
    <row r="133" spans="1:1" x14ac:dyDescent="0.2">
      <c r="A133" s="345">
        <v>31563</v>
      </c>
    </row>
    <row r="134" spans="1:1" x14ac:dyDescent="0.2">
      <c r="A134" s="345">
        <v>31593</v>
      </c>
    </row>
    <row r="135" spans="1:1" x14ac:dyDescent="0.2">
      <c r="A135" s="345">
        <v>31624</v>
      </c>
    </row>
    <row r="136" spans="1:1" x14ac:dyDescent="0.2">
      <c r="A136" s="345">
        <v>31655</v>
      </c>
    </row>
    <row r="137" spans="1:1" x14ac:dyDescent="0.2">
      <c r="A137" s="345">
        <v>31685</v>
      </c>
    </row>
    <row r="138" spans="1:1" x14ac:dyDescent="0.2">
      <c r="A138" s="345">
        <v>31716</v>
      </c>
    </row>
    <row r="139" spans="1:1" x14ac:dyDescent="0.2">
      <c r="A139" s="345">
        <v>31746</v>
      </c>
    </row>
    <row r="140" spans="1:1" x14ac:dyDescent="0.2">
      <c r="A140" s="345">
        <v>31777</v>
      </c>
    </row>
    <row r="141" spans="1:1" x14ac:dyDescent="0.2">
      <c r="A141" s="345">
        <v>31808</v>
      </c>
    </row>
    <row r="142" spans="1:1" x14ac:dyDescent="0.2">
      <c r="A142" s="345">
        <v>31836</v>
      </c>
    </row>
    <row r="143" spans="1:1" x14ac:dyDescent="0.2">
      <c r="A143" s="345">
        <v>31867</v>
      </c>
    </row>
    <row r="144" spans="1:1" x14ac:dyDescent="0.2">
      <c r="A144" s="345">
        <v>31897</v>
      </c>
    </row>
    <row r="145" spans="1:1" x14ac:dyDescent="0.2">
      <c r="A145" s="345">
        <v>31928</v>
      </c>
    </row>
    <row r="146" spans="1:1" x14ac:dyDescent="0.2">
      <c r="A146" s="345">
        <v>31958</v>
      </c>
    </row>
    <row r="147" spans="1:1" x14ac:dyDescent="0.2">
      <c r="A147" s="345">
        <v>31989</v>
      </c>
    </row>
    <row r="148" spans="1:1" x14ac:dyDescent="0.2">
      <c r="A148" s="345">
        <v>32020</v>
      </c>
    </row>
    <row r="149" spans="1:1" x14ac:dyDescent="0.2">
      <c r="A149" s="345">
        <v>32050</v>
      </c>
    </row>
    <row r="150" spans="1:1" x14ac:dyDescent="0.2">
      <c r="A150" s="345">
        <v>32081</v>
      </c>
    </row>
    <row r="151" spans="1:1" x14ac:dyDescent="0.2">
      <c r="A151" s="345">
        <v>32111</v>
      </c>
    </row>
    <row r="152" spans="1:1" x14ac:dyDescent="0.2">
      <c r="A152" s="345">
        <v>32142</v>
      </c>
    </row>
    <row r="153" spans="1:1" x14ac:dyDescent="0.2">
      <c r="A153" s="345">
        <v>32173</v>
      </c>
    </row>
    <row r="154" spans="1:1" x14ac:dyDescent="0.2">
      <c r="A154" s="345">
        <v>32202</v>
      </c>
    </row>
    <row r="155" spans="1:1" x14ac:dyDescent="0.2">
      <c r="A155" s="345">
        <v>32233</v>
      </c>
    </row>
    <row r="156" spans="1:1" x14ac:dyDescent="0.2">
      <c r="A156" s="345">
        <v>32263</v>
      </c>
    </row>
    <row r="157" spans="1:1" x14ac:dyDescent="0.2">
      <c r="A157" s="345">
        <v>32294</v>
      </c>
    </row>
    <row r="158" spans="1:1" x14ac:dyDescent="0.2">
      <c r="A158" s="345">
        <v>32324</v>
      </c>
    </row>
    <row r="159" spans="1:1" x14ac:dyDescent="0.2">
      <c r="A159" s="345">
        <v>32355</v>
      </c>
    </row>
    <row r="160" spans="1:1" x14ac:dyDescent="0.2">
      <c r="A160" s="345">
        <v>32386</v>
      </c>
    </row>
    <row r="161" spans="1:1" x14ac:dyDescent="0.2">
      <c r="A161" s="345">
        <v>32416</v>
      </c>
    </row>
    <row r="162" spans="1:1" x14ac:dyDescent="0.2">
      <c r="A162" s="345">
        <v>32447</v>
      </c>
    </row>
    <row r="163" spans="1:1" x14ac:dyDescent="0.2">
      <c r="A163" s="345">
        <v>32477</v>
      </c>
    </row>
    <row r="164" spans="1:1" x14ac:dyDescent="0.2">
      <c r="A164" s="345">
        <v>32508</v>
      </c>
    </row>
    <row r="165" spans="1:1" x14ac:dyDescent="0.2">
      <c r="A165" s="345">
        <v>32539</v>
      </c>
    </row>
    <row r="166" spans="1:1" x14ac:dyDescent="0.2">
      <c r="A166" s="345">
        <v>32567</v>
      </c>
    </row>
    <row r="167" spans="1:1" x14ac:dyDescent="0.2">
      <c r="A167" s="345">
        <v>32598</v>
      </c>
    </row>
    <row r="168" spans="1:1" x14ac:dyDescent="0.2">
      <c r="A168" s="345">
        <v>32628</v>
      </c>
    </row>
    <row r="169" spans="1:1" x14ac:dyDescent="0.2">
      <c r="A169" s="345">
        <v>32659</v>
      </c>
    </row>
    <row r="170" spans="1:1" x14ac:dyDescent="0.2">
      <c r="A170" s="345">
        <v>32689</v>
      </c>
    </row>
    <row r="171" spans="1:1" x14ac:dyDescent="0.2">
      <c r="A171" s="345">
        <v>32720</v>
      </c>
    </row>
    <row r="172" spans="1:1" x14ac:dyDescent="0.2">
      <c r="A172" s="345">
        <v>32751</v>
      </c>
    </row>
    <row r="173" spans="1:1" x14ac:dyDescent="0.2">
      <c r="A173" s="345">
        <v>32781</v>
      </c>
    </row>
    <row r="174" spans="1:1" x14ac:dyDescent="0.2">
      <c r="A174" s="345">
        <v>32812</v>
      </c>
    </row>
    <row r="175" spans="1:1" x14ac:dyDescent="0.2">
      <c r="A175" s="345">
        <v>32842</v>
      </c>
    </row>
    <row r="176" spans="1:1" x14ac:dyDescent="0.2">
      <c r="A176" s="345">
        <v>32873</v>
      </c>
    </row>
    <row r="177" spans="1:1" x14ac:dyDescent="0.2">
      <c r="A177" s="345">
        <v>32904</v>
      </c>
    </row>
    <row r="178" spans="1:1" x14ac:dyDescent="0.2">
      <c r="A178" s="345">
        <v>32932</v>
      </c>
    </row>
    <row r="179" spans="1:1" x14ac:dyDescent="0.2">
      <c r="A179" s="345">
        <v>32963</v>
      </c>
    </row>
    <row r="180" spans="1:1" x14ac:dyDescent="0.2">
      <c r="A180" s="345">
        <v>32993</v>
      </c>
    </row>
    <row r="181" spans="1:1" x14ac:dyDescent="0.2">
      <c r="A181" s="345">
        <v>33024</v>
      </c>
    </row>
    <row r="182" spans="1:1" x14ac:dyDescent="0.2">
      <c r="A182" s="345">
        <v>33054</v>
      </c>
    </row>
    <row r="183" spans="1:1" x14ac:dyDescent="0.2">
      <c r="A183" s="345">
        <v>33085</v>
      </c>
    </row>
    <row r="184" spans="1:1" x14ac:dyDescent="0.2">
      <c r="A184" s="345">
        <v>33116</v>
      </c>
    </row>
    <row r="185" spans="1:1" x14ac:dyDescent="0.2">
      <c r="A185" s="345">
        <v>33146</v>
      </c>
    </row>
    <row r="186" spans="1:1" x14ac:dyDescent="0.2">
      <c r="A186" s="345">
        <v>33177</v>
      </c>
    </row>
    <row r="187" spans="1:1" x14ac:dyDescent="0.2">
      <c r="A187" s="345">
        <v>33207</v>
      </c>
    </row>
    <row r="188" spans="1:1" x14ac:dyDescent="0.2">
      <c r="A188" s="345">
        <v>33238</v>
      </c>
    </row>
    <row r="189" spans="1:1" x14ac:dyDescent="0.2">
      <c r="A189" s="345">
        <v>33269</v>
      </c>
    </row>
    <row r="190" spans="1:1" x14ac:dyDescent="0.2">
      <c r="A190" s="345">
        <v>33297</v>
      </c>
    </row>
    <row r="191" spans="1:1" x14ac:dyDescent="0.2">
      <c r="A191" s="345">
        <v>33328</v>
      </c>
    </row>
    <row r="192" spans="1:1" x14ac:dyDescent="0.2">
      <c r="A192" s="345">
        <v>33358</v>
      </c>
    </row>
    <row r="193" spans="1:1" x14ac:dyDescent="0.2">
      <c r="A193" s="345">
        <v>33389</v>
      </c>
    </row>
    <row r="194" spans="1:1" x14ac:dyDescent="0.2">
      <c r="A194" s="345">
        <v>33419</v>
      </c>
    </row>
    <row r="195" spans="1:1" x14ac:dyDescent="0.2">
      <c r="A195" s="345">
        <v>33450</v>
      </c>
    </row>
    <row r="196" spans="1:1" x14ac:dyDescent="0.2">
      <c r="A196" s="345">
        <v>33481</v>
      </c>
    </row>
    <row r="197" spans="1:1" x14ac:dyDescent="0.2">
      <c r="A197" s="345">
        <v>33511</v>
      </c>
    </row>
    <row r="198" spans="1:1" x14ac:dyDescent="0.2">
      <c r="A198" s="345">
        <v>33542</v>
      </c>
    </row>
    <row r="199" spans="1:1" x14ac:dyDescent="0.2">
      <c r="A199" s="345">
        <v>33572</v>
      </c>
    </row>
    <row r="200" spans="1:1" x14ac:dyDescent="0.2">
      <c r="A200" s="345">
        <v>33603</v>
      </c>
    </row>
    <row r="201" spans="1:1" x14ac:dyDescent="0.2">
      <c r="A201" s="345">
        <v>33634</v>
      </c>
    </row>
    <row r="202" spans="1:1" x14ac:dyDescent="0.2">
      <c r="A202" s="345">
        <v>33663</v>
      </c>
    </row>
    <row r="203" spans="1:1" x14ac:dyDescent="0.2">
      <c r="A203" s="345">
        <v>33694</v>
      </c>
    </row>
    <row r="204" spans="1:1" x14ac:dyDescent="0.2">
      <c r="A204" s="345">
        <v>33724</v>
      </c>
    </row>
    <row r="205" spans="1:1" x14ac:dyDescent="0.2">
      <c r="A205" s="345">
        <v>33755</v>
      </c>
    </row>
    <row r="206" spans="1:1" x14ac:dyDescent="0.2">
      <c r="A206" s="345">
        <v>33785</v>
      </c>
    </row>
    <row r="207" spans="1:1" x14ac:dyDescent="0.2">
      <c r="A207" s="345">
        <v>33816</v>
      </c>
    </row>
    <row r="208" spans="1:1" x14ac:dyDescent="0.2">
      <c r="A208" s="345">
        <v>33847</v>
      </c>
    </row>
    <row r="209" spans="1:1" x14ac:dyDescent="0.2">
      <c r="A209" s="345">
        <v>33877</v>
      </c>
    </row>
    <row r="210" spans="1:1" x14ac:dyDescent="0.2">
      <c r="A210" s="345">
        <v>33908</v>
      </c>
    </row>
    <row r="211" spans="1:1" x14ac:dyDescent="0.2">
      <c r="A211" s="345">
        <v>33938</v>
      </c>
    </row>
    <row r="212" spans="1:1" x14ac:dyDescent="0.2">
      <c r="A212" s="345">
        <v>33969</v>
      </c>
    </row>
    <row r="213" spans="1:1" x14ac:dyDescent="0.2">
      <c r="A213" s="345">
        <v>34000</v>
      </c>
    </row>
    <row r="214" spans="1:1" x14ac:dyDescent="0.2">
      <c r="A214" s="345">
        <v>34028</v>
      </c>
    </row>
    <row r="215" spans="1:1" x14ac:dyDescent="0.2">
      <c r="A215" s="345">
        <v>34059</v>
      </c>
    </row>
    <row r="216" spans="1:1" x14ac:dyDescent="0.2">
      <c r="A216" s="345">
        <v>34089</v>
      </c>
    </row>
    <row r="217" spans="1:1" x14ac:dyDescent="0.2">
      <c r="A217" s="345">
        <v>34120</v>
      </c>
    </row>
    <row r="218" spans="1:1" x14ac:dyDescent="0.2">
      <c r="A218" s="345">
        <v>34150</v>
      </c>
    </row>
    <row r="219" spans="1:1" x14ac:dyDescent="0.2">
      <c r="A219" s="345">
        <v>34181</v>
      </c>
    </row>
    <row r="220" spans="1:1" x14ac:dyDescent="0.2">
      <c r="A220" s="345">
        <v>34212</v>
      </c>
    </row>
    <row r="221" spans="1:1" x14ac:dyDescent="0.2">
      <c r="A221" s="345">
        <v>34242</v>
      </c>
    </row>
    <row r="222" spans="1:1" x14ac:dyDescent="0.2">
      <c r="A222" s="345">
        <v>34273</v>
      </c>
    </row>
    <row r="223" spans="1:1" x14ac:dyDescent="0.2">
      <c r="A223" s="345">
        <v>34303</v>
      </c>
    </row>
    <row r="224" spans="1:1" x14ac:dyDescent="0.2">
      <c r="A224" s="345">
        <v>34334</v>
      </c>
    </row>
    <row r="225" spans="1:1" x14ac:dyDescent="0.2">
      <c r="A225" s="345">
        <v>34365</v>
      </c>
    </row>
    <row r="226" spans="1:1" x14ac:dyDescent="0.2">
      <c r="A226" s="345">
        <v>34393</v>
      </c>
    </row>
    <row r="227" spans="1:1" x14ac:dyDescent="0.2">
      <c r="A227" s="345">
        <v>34424</v>
      </c>
    </row>
    <row r="228" spans="1:1" x14ac:dyDescent="0.2">
      <c r="A228" s="345">
        <v>34454</v>
      </c>
    </row>
    <row r="229" spans="1:1" x14ac:dyDescent="0.2">
      <c r="A229" s="345">
        <v>34485</v>
      </c>
    </row>
    <row r="230" spans="1:1" x14ac:dyDescent="0.2">
      <c r="A230" s="345">
        <v>34515</v>
      </c>
    </row>
    <row r="231" spans="1:1" x14ac:dyDescent="0.2">
      <c r="A231" s="345">
        <v>34546</v>
      </c>
    </row>
    <row r="232" spans="1:1" x14ac:dyDescent="0.2">
      <c r="A232" s="345">
        <v>34577</v>
      </c>
    </row>
    <row r="233" spans="1:1" x14ac:dyDescent="0.2">
      <c r="A233" s="345">
        <v>34607</v>
      </c>
    </row>
    <row r="234" spans="1:1" x14ac:dyDescent="0.2">
      <c r="A234" s="345">
        <v>34638</v>
      </c>
    </row>
    <row r="235" spans="1:1" x14ac:dyDescent="0.2">
      <c r="A235" s="345">
        <v>34668</v>
      </c>
    </row>
    <row r="236" spans="1:1" x14ac:dyDescent="0.2">
      <c r="A236" s="345">
        <v>34699</v>
      </c>
    </row>
    <row r="237" spans="1:1" x14ac:dyDescent="0.2">
      <c r="A237" s="345">
        <v>34730</v>
      </c>
    </row>
    <row r="238" spans="1:1" x14ac:dyDescent="0.2">
      <c r="A238" s="345">
        <v>34758</v>
      </c>
    </row>
    <row r="239" spans="1:1" x14ac:dyDescent="0.2">
      <c r="A239" s="345">
        <v>34789</v>
      </c>
    </row>
    <row r="240" spans="1:1" x14ac:dyDescent="0.2">
      <c r="A240" s="345">
        <v>34819</v>
      </c>
    </row>
    <row r="241" spans="1:1" x14ac:dyDescent="0.2">
      <c r="A241" s="345">
        <v>34850</v>
      </c>
    </row>
    <row r="242" spans="1:1" x14ac:dyDescent="0.2">
      <c r="A242" s="345">
        <v>34880</v>
      </c>
    </row>
    <row r="243" spans="1:1" x14ac:dyDescent="0.2">
      <c r="A243" s="345">
        <v>34911</v>
      </c>
    </row>
    <row r="244" spans="1:1" x14ac:dyDescent="0.2">
      <c r="A244" s="345">
        <v>34942</v>
      </c>
    </row>
    <row r="245" spans="1:1" x14ac:dyDescent="0.2">
      <c r="A245" s="345">
        <v>34972</v>
      </c>
    </row>
    <row r="246" spans="1:1" x14ac:dyDescent="0.2">
      <c r="A246" s="345">
        <v>35003</v>
      </c>
    </row>
    <row r="247" spans="1:1" x14ac:dyDescent="0.2">
      <c r="A247" s="345">
        <v>35033</v>
      </c>
    </row>
    <row r="248" spans="1:1" x14ac:dyDescent="0.2">
      <c r="A248" s="345">
        <v>35064</v>
      </c>
    </row>
    <row r="249" spans="1:1" x14ac:dyDescent="0.2">
      <c r="A249" s="345">
        <v>35095</v>
      </c>
    </row>
    <row r="250" spans="1:1" x14ac:dyDescent="0.2">
      <c r="A250" s="345">
        <v>35124</v>
      </c>
    </row>
    <row r="251" spans="1:1" x14ac:dyDescent="0.2">
      <c r="A251" s="345">
        <v>35155</v>
      </c>
    </row>
    <row r="252" spans="1:1" x14ac:dyDescent="0.2">
      <c r="A252" s="345">
        <v>35185</v>
      </c>
    </row>
    <row r="253" spans="1:1" x14ac:dyDescent="0.2">
      <c r="A253" s="345">
        <v>35216</v>
      </c>
    </row>
    <row r="254" spans="1:1" x14ac:dyDescent="0.2">
      <c r="A254" s="345">
        <v>35246</v>
      </c>
    </row>
    <row r="255" spans="1:1" x14ac:dyDescent="0.2">
      <c r="A255" s="345">
        <v>35277</v>
      </c>
    </row>
    <row r="256" spans="1:1" x14ac:dyDescent="0.2">
      <c r="A256" s="345">
        <v>35308</v>
      </c>
    </row>
    <row r="257" spans="1:1" x14ac:dyDescent="0.2">
      <c r="A257" s="345">
        <v>35338</v>
      </c>
    </row>
    <row r="258" spans="1:1" x14ac:dyDescent="0.2">
      <c r="A258" s="345">
        <v>35369</v>
      </c>
    </row>
    <row r="259" spans="1:1" x14ac:dyDescent="0.2">
      <c r="A259" s="345">
        <v>35399</v>
      </c>
    </row>
    <row r="260" spans="1:1" x14ac:dyDescent="0.2">
      <c r="A260" s="345">
        <v>35430</v>
      </c>
    </row>
    <row r="261" spans="1:1" x14ac:dyDescent="0.2">
      <c r="A261" s="345">
        <v>35461</v>
      </c>
    </row>
    <row r="262" spans="1:1" x14ac:dyDescent="0.2">
      <c r="A262" s="345">
        <v>35489</v>
      </c>
    </row>
    <row r="263" spans="1:1" x14ac:dyDescent="0.2">
      <c r="A263" s="345">
        <v>35520</v>
      </c>
    </row>
    <row r="264" spans="1:1" x14ac:dyDescent="0.2">
      <c r="A264" s="345">
        <v>35550</v>
      </c>
    </row>
    <row r="265" spans="1:1" x14ac:dyDescent="0.2">
      <c r="A265" s="345">
        <v>35581</v>
      </c>
    </row>
    <row r="266" spans="1:1" x14ac:dyDescent="0.2">
      <c r="A266" s="345">
        <v>35611</v>
      </c>
    </row>
    <row r="267" spans="1:1" x14ac:dyDescent="0.2">
      <c r="A267" s="345">
        <v>35642</v>
      </c>
    </row>
    <row r="268" spans="1:1" x14ac:dyDescent="0.2">
      <c r="A268" s="345">
        <v>35673</v>
      </c>
    </row>
    <row r="269" spans="1:1" x14ac:dyDescent="0.2">
      <c r="A269" s="345">
        <v>35703</v>
      </c>
    </row>
    <row r="270" spans="1:1" x14ac:dyDescent="0.2">
      <c r="A270" s="345">
        <v>35734</v>
      </c>
    </row>
    <row r="271" spans="1:1" x14ac:dyDescent="0.2">
      <c r="A271" s="345">
        <v>35764</v>
      </c>
    </row>
    <row r="272" spans="1:1" x14ac:dyDescent="0.2">
      <c r="A272" s="345">
        <v>35795</v>
      </c>
    </row>
    <row r="273" spans="1:1" x14ac:dyDescent="0.2">
      <c r="A273" s="345">
        <v>35826</v>
      </c>
    </row>
    <row r="274" spans="1:1" x14ac:dyDescent="0.2">
      <c r="A274" s="345">
        <v>35854</v>
      </c>
    </row>
    <row r="275" spans="1:1" x14ac:dyDescent="0.2">
      <c r="A275" s="345">
        <v>35885</v>
      </c>
    </row>
    <row r="276" spans="1:1" x14ac:dyDescent="0.2">
      <c r="A276" s="345">
        <v>35915</v>
      </c>
    </row>
    <row r="277" spans="1:1" x14ac:dyDescent="0.2">
      <c r="A277" s="345">
        <v>35946</v>
      </c>
    </row>
    <row r="278" spans="1:1" x14ac:dyDescent="0.2">
      <c r="A278" s="345">
        <v>35976</v>
      </c>
    </row>
    <row r="279" spans="1:1" x14ac:dyDescent="0.2">
      <c r="A279" s="345">
        <v>36007</v>
      </c>
    </row>
    <row r="280" spans="1:1" x14ac:dyDescent="0.2">
      <c r="A280" s="345">
        <v>36038</v>
      </c>
    </row>
    <row r="281" spans="1:1" x14ac:dyDescent="0.2">
      <c r="A281" s="345">
        <v>36068</v>
      </c>
    </row>
    <row r="282" spans="1:1" x14ac:dyDescent="0.2">
      <c r="A282" s="345">
        <v>36099</v>
      </c>
    </row>
    <row r="283" spans="1:1" x14ac:dyDescent="0.2">
      <c r="A283" s="345">
        <v>36129</v>
      </c>
    </row>
    <row r="284" spans="1:1" x14ac:dyDescent="0.2">
      <c r="A284" s="345">
        <v>36160</v>
      </c>
    </row>
    <row r="285" spans="1:1" x14ac:dyDescent="0.2">
      <c r="A285" s="345">
        <v>36191</v>
      </c>
    </row>
    <row r="286" spans="1:1" x14ac:dyDescent="0.2">
      <c r="A286" s="345">
        <v>36219</v>
      </c>
    </row>
    <row r="287" spans="1:1" x14ac:dyDescent="0.2">
      <c r="A287" s="345">
        <v>36250</v>
      </c>
    </row>
    <row r="288" spans="1:1" x14ac:dyDescent="0.2">
      <c r="A288" s="345">
        <v>36280</v>
      </c>
    </row>
    <row r="289" spans="1:1" x14ac:dyDescent="0.2">
      <c r="A289" s="345">
        <v>36311</v>
      </c>
    </row>
    <row r="290" spans="1:1" x14ac:dyDescent="0.2">
      <c r="A290" s="345">
        <v>36341</v>
      </c>
    </row>
    <row r="291" spans="1:1" x14ac:dyDescent="0.2">
      <c r="A291" s="345">
        <v>36372</v>
      </c>
    </row>
    <row r="292" spans="1:1" x14ac:dyDescent="0.2">
      <c r="A292" s="345">
        <v>36403</v>
      </c>
    </row>
    <row r="293" spans="1:1" x14ac:dyDescent="0.2">
      <c r="A293" s="345">
        <v>36433</v>
      </c>
    </row>
    <row r="294" spans="1:1" x14ac:dyDescent="0.2">
      <c r="A294" s="345">
        <v>36464</v>
      </c>
    </row>
    <row r="295" spans="1:1" x14ac:dyDescent="0.2">
      <c r="A295" s="345">
        <v>36494</v>
      </c>
    </row>
    <row r="296" spans="1:1" x14ac:dyDescent="0.2">
      <c r="A296" s="345">
        <v>36525</v>
      </c>
    </row>
    <row r="297" spans="1:1" x14ac:dyDescent="0.2">
      <c r="A297" s="345">
        <v>36556</v>
      </c>
    </row>
    <row r="298" spans="1:1" x14ac:dyDescent="0.2">
      <c r="A298" s="345">
        <v>36585</v>
      </c>
    </row>
    <row r="299" spans="1:1" x14ac:dyDescent="0.2">
      <c r="A299" s="345">
        <v>36616</v>
      </c>
    </row>
    <row r="300" spans="1:1" x14ac:dyDescent="0.2">
      <c r="A300" s="345">
        <v>36646</v>
      </c>
    </row>
    <row r="301" spans="1:1" x14ac:dyDescent="0.2">
      <c r="A301" s="345">
        <v>36677</v>
      </c>
    </row>
    <row r="302" spans="1:1" x14ac:dyDescent="0.2">
      <c r="A302" s="345">
        <v>36707</v>
      </c>
    </row>
    <row r="303" spans="1:1" x14ac:dyDescent="0.2">
      <c r="A303" s="345">
        <v>36738</v>
      </c>
    </row>
    <row r="304" spans="1:1" x14ac:dyDescent="0.2">
      <c r="A304" s="345">
        <v>36769</v>
      </c>
    </row>
    <row r="305" spans="1:1" x14ac:dyDescent="0.2">
      <c r="A305" s="345">
        <v>36799</v>
      </c>
    </row>
    <row r="306" spans="1:1" x14ac:dyDescent="0.2">
      <c r="A306" s="345">
        <v>36830</v>
      </c>
    </row>
    <row r="307" spans="1:1" x14ac:dyDescent="0.2">
      <c r="A307" s="345">
        <v>36860</v>
      </c>
    </row>
    <row r="308" spans="1:1" x14ac:dyDescent="0.2">
      <c r="A308" s="345">
        <v>36891</v>
      </c>
    </row>
    <row r="309" spans="1:1" x14ac:dyDescent="0.2">
      <c r="A309" s="345">
        <v>36922</v>
      </c>
    </row>
    <row r="310" spans="1:1" x14ac:dyDescent="0.2">
      <c r="A310" s="345">
        <v>36950</v>
      </c>
    </row>
    <row r="311" spans="1:1" x14ac:dyDescent="0.2">
      <c r="A311" s="345">
        <v>36981</v>
      </c>
    </row>
    <row r="312" spans="1:1" x14ac:dyDescent="0.2">
      <c r="A312" s="345">
        <v>37011</v>
      </c>
    </row>
    <row r="313" spans="1:1" x14ac:dyDescent="0.2">
      <c r="A313" s="345">
        <v>37042</v>
      </c>
    </row>
    <row r="314" spans="1:1" x14ac:dyDescent="0.2">
      <c r="A314" s="345">
        <v>37072</v>
      </c>
    </row>
    <row r="315" spans="1:1" x14ac:dyDescent="0.2">
      <c r="A315" s="345">
        <v>37103</v>
      </c>
    </row>
    <row r="316" spans="1:1" x14ac:dyDescent="0.2">
      <c r="A316" s="345">
        <v>37134</v>
      </c>
    </row>
    <row r="317" spans="1:1" x14ac:dyDescent="0.2">
      <c r="A317" s="345">
        <v>37164</v>
      </c>
    </row>
    <row r="318" spans="1:1" x14ac:dyDescent="0.2">
      <c r="A318" s="345">
        <v>37195</v>
      </c>
    </row>
    <row r="319" spans="1:1" x14ac:dyDescent="0.2">
      <c r="A319" s="345">
        <v>37225</v>
      </c>
    </row>
    <row r="320" spans="1:1" x14ac:dyDescent="0.2">
      <c r="A320" s="345">
        <v>37256</v>
      </c>
    </row>
    <row r="321" spans="1:1" x14ac:dyDescent="0.2">
      <c r="A321" s="345">
        <v>37287</v>
      </c>
    </row>
    <row r="322" spans="1:1" x14ac:dyDescent="0.2">
      <c r="A322" s="345">
        <v>37315</v>
      </c>
    </row>
    <row r="323" spans="1:1" x14ac:dyDescent="0.2">
      <c r="A323" s="345">
        <v>37346</v>
      </c>
    </row>
    <row r="324" spans="1:1" x14ac:dyDescent="0.2">
      <c r="A324" s="345">
        <v>37376</v>
      </c>
    </row>
    <row r="325" spans="1:1" x14ac:dyDescent="0.2">
      <c r="A325" s="345">
        <v>37407</v>
      </c>
    </row>
    <row r="326" spans="1:1" x14ac:dyDescent="0.2">
      <c r="A326" s="345">
        <v>37437</v>
      </c>
    </row>
    <row r="327" spans="1:1" x14ac:dyDescent="0.2">
      <c r="A327" s="345">
        <v>37468</v>
      </c>
    </row>
    <row r="328" spans="1:1" x14ac:dyDescent="0.2">
      <c r="A328" s="345">
        <v>37499</v>
      </c>
    </row>
    <row r="329" spans="1:1" x14ac:dyDescent="0.2">
      <c r="A329" s="345">
        <v>37529</v>
      </c>
    </row>
    <row r="330" spans="1:1" x14ac:dyDescent="0.2">
      <c r="A330" s="345">
        <v>37560</v>
      </c>
    </row>
    <row r="331" spans="1:1" x14ac:dyDescent="0.2">
      <c r="A331" s="345">
        <v>37590</v>
      </c>
    </row>
    <row r="332" spans="1:1" x14ac:dyDescent="0.2">
      <c r="A332" s="345">
        <v>37621</v>
      </c>
    </row>
    <row r="333" spans="1:1" x14ac:dyDescent="0.2">
      <c r="A333" s="345">
        <v>37652</v>
      </c>
    </row>
    <row r="334" spans="1:1" x14ac:dyDescent="0.2">
      <c r="A334" s="345">
        <v>37680</v>
      </c>
    </row>
    <row r="335" spans="1:1" x14ac:dyDescent="0.2">
      <c r="A335" s="345">
        <v>37711</v>
      </c>
    </row>
    <row r="336" spans="1:1" x14ac:dyDescent="0.2">
      <c r="A336" s="345">
        <v>37741</v>
      </c>
    </row>
    <row r="337" spans="1:1" x14ac:dyDescent="0.2">
      <c r="A337" s="345">
        <v>37772</v>
      </c>
    </row>
    <row r="338" spans="1:1" x14ac:dyDescent="0.2">
      <c r="A338" s="345">
        <v>37802</v>
      </c>
    </row>
    <row r="339" spans="1:1" x14ac:dyDescent="0.2">
      <c r="A339" s="345">
        <v>37833</v>
      </c>
    </row>
    <row r="340" spans="1:1" x14ac:dyDescent="0.2">
      <c r="A340" s="345">
        <v>37864</v>
      </c>
    </row>
    <row r="341" spans="1:1" x14ac:dyDescent="0.2">
      <c r="A341" s="345">
        <v>37894</v>
      </c>
    </row>
    <row r="342" spans="1:1" x14ac:dyDescent="0.2">
      <c r="A342" s="345">
        <v>37925</v>
      </c>
    </row>
    <row r="343" spans="1:1" x14ac:dyDescent="0.2">
      <c r="A343" s="345">
        <v>37955</v>
      </c>
    </row>
    <row r="344" spans="1:1" x14ac:dyDescent="0.2">
      <c r="A344" s="345">
        <v>37986</v>
      </c>
    </row>
    <row r="345" spans="1:1" x14ac:dyDescent="0.2">
      <c r="A345" s="345">
        <v>38017</v>
      </c>
    </row>
    <row r="346" spans="1:1" x14ac:dyDescent="0.2">
      <c r="A346" s="345">
        <v>38046</v>
      </c>
    </row>
    <row r="347" spans="1:1" x14ac:dyDescent="0.2">
      <c r="A347" s="345">
        <v>38077</v>
      </c>
    </row>
    <row r="348" spans="1:1" x14ac:dyDescent="0.2">
      <c r="A348" s="345">
        <v>38107</v>
      </c>
    </row>
    <row r="349" spans="1:1" x14ac:dyDescent="0.2">
      <c r="A349" s="345">
        <v>38138</v>
      </c>
    </row>
    <row r="350" spans="1:1" x14ac:dyDescent="0.2">
      <c r="A350" s="345">
        <v>38168</v>
      </c>
    </row>
    <row r="351" spans="1:1" x14ac:dyDescent="0.2">
      <c r="A351" s="345">
        <v>38199</v>
      </c>
    </row>
    <row r="352" spans="1:1" x14ac:dyDescent="0.2">
      <c r="A352" s="345">
        <v>38230</v>
      </c>
    </row>
    <row r="353" spans="1:1" x14ac:dyDescent="0.2">
      <c r="A353" s="345">
        <v>38260</v>
      </c>
    </row>
    <row r="354" spans="1:1" x14ac:dyDescent="0.2">
      <c r="A354" s="345">
        <v>38291</v>
      </c>
    </row>
    <row r="355" spans="1:1" x14ac:dyDescent="0.2">
      <c r="A355" s="345">
        <v>38321</v>
      </c>
    </row>
    <row r="356" spans="1:1" x14ac:dyDescent="0.2">
      <c r="A356" s="345">
        <v>38352</v>
      </c>
    </row>
    <row r="357" spans="1:1" x14ac:dyDescent="0.2">
      <c r="A357" s="345">
        <v>38383</v>
      </c>
    </row>
    <row r="358" spans="1:1" x14ac:dyDescent="0.2">
      <c r="A358" s="345">
        <v>38411</v>
      </c>
    </row>
    <row r="359" spans="1:1" x14ac:dyDescent="0.2">
      <c r="A359" s="345">
        <v>38442</v>
      </c>
    </row>
    <row r="360" spans="1:1" x14ac:dyDescent="0.2">
      <c r="A360" s="345">
        <v>38472</v>
      </c>
    </row>
    <row r="361" spans="1:1" x14ac:dyDescent="0.2">
      <c r="A361" s="345">
        <v>38503</v>
      </c>
    </row>
    <row r="362" spans="1:1" x14ac:dyDescent="0.2">
      <c r="A362" s="345">
        <v>38533</v>
      </c>
    </row>
    <row r="363" spans="1:1" x14ac:dyDescent="0.2">
      <c r="A363" s="345">
        <v>38564</v>
      </c>
    </row>
    <row r="364" spans="1:1" x14ac:dyDescent="0.2">
      <c r="A364" s="345">
        <v>38595</v>
      </c>
    </row>
    <row r="365" spans="1:1" x14ac:dyDescent="0.2">
      <c r="A365" s="345">
        <v>38625</v>
      </c>
    </row>
    <row r="366" spans="1:1" x14ac:dyDescent="0.2">
      <c r="A366" s="345">
        <v>38656</v>
      </c>
    </row>
    <row r="367" spans="1:1" x14ac:dyDescent="0.2">
      <c r="A367" s="345">
        <v>38686</v>
      </c>
    </row>
    <row r="368" spans="1:1" x14ac:dyDescent="0.2">
      <c r="A368" s="345">
        <v>38717</v>
      </c>
    </row>
    <row r="369" spans="1:4" x14ac:dyDescent="0.2">
      <c r="A369" s="345">
        <v>38748</v>
      </c>
    </row>
    <row r="370" spans="1:4" x14ac:dyDescent="0.2">
      <c r="A370" s="345">
        <v>38776</v>
      </c>
    </row>
    <row r="371" spans="1:4" x14ac:dyDescent="0.2">
      <c r="A371" s="345">
        <v>38807</v>
      </c>
    </row>
    <row r="372" spans="1:4" x14ac:dyDescent="0.2">
      <c r="A372" s="345">
        <v>38837</v>
      </c>
    </row>
    <row r="373" spans="1:4" x14ac:dyDescent="0.2">
      <c r="A373" s="345">
        <v>38868</v>
      </c>
    </row>
    <row r="374" spans="1:4" x14ac:dyDescent="0.2">
      <c r="A374" s="345">
        <v>38898</v>
      </c>
    </row>
    <row r="375" spans="1:4" x14ac:dyDescent="0.2">
      <c r="A375" s="345">
        <v>38929</v>
      </c>
    </row>
    <row r="376" spans="1:4" x14ac:dyDescent="0.2">
      <c r="A376" s="345">
        <v>38960</v>
      </c>
    </row>
    <row r="377" spans="1:4" x14ac:dyDescent="0.2">
      <c r="A377" s="345">
        <v>38990</v>
      </c>
    </row>
    <row r="378" spans="1:4" x14ac:dyDescent="0.2">
      <c r="A378" s="345">
        <v>39021</v>
      </c>
    </row>
    <row r="379" spans="1:4" x14ac:dyDescent="0.2">
      <c r="A379" s="345">
        <v>39051</v>
      </c>
    </row>
    <row r="380" spans="1:4" x14ac:dyDescent="0.2">
      <c r="A380" s="345">
        <v>39082</v>
      </c>
      <c r="C380" s="703"/>
      <c r="D380" s="253"/>
    </row>
    <row r="381" spans="1:4" x14ac:dyDescent="0.2">
      <c r="A381" s="345">
        <v>39113</v>
      </c>
      <c r="C381" s="770"/>
      <c r="D381" s="258"/>
    </row>
    <row r="382" spans="1:4" x14ac:dyDescent="0.2">
      <c r="A382" s="345">
        <v>39141</v>
      </c>
      <c r="C382" s="770"/>
      <c r="D382" s="258"/>
    </row>
    <row r="383" spans="1:4" x14ac:dyDescent="0.2">
      <c r="A383" s="345">
        <v>39172</v>
      </c>
      <c r="C383" s="770"/>
      <c r="D383" s="258"/>
    </row>
    <row r="384" spans="1:4" x14ac:dyDescent="0.2">
      <c r="A384" s="345">
        <v>39202</v>
      </c>
      <c r="B384" s="14"/>
      <c r="C384" s="770"/>
      <c r="D384" s="258"/>
    </row>
    <row r="385" spans="1:7" x14ac:dyDescent="0.2">
      <c r="A385" s="345">
        <v>39233</v>
      </c>
      <c r="B385" s="14"/>
      <c r="C385" s="770"/>
      <c r="D385" s="258"/>
    </row>
    <row r="386" spans="1:7" x14ac:dyDescent="0.2">
      <c r="A386" s="345">
        <v>39263</v>
      </c>
      <c r="C386" s="770"/>
      <c r="D386" s="258"/>
    </row>
    <row r="387" spans="1:7" x14ac:dyDescent="0.2">
      <c r="A387" s="345">
        <v>39294</v>
      </c>
      <c r="C387" s="770"/>
      <c r="D387" s="258"/>
    </row>
    <row r="388" spans="1:7" x14ac:dyDescent="0.2">
      <c r="A388" s="345">
        <v>39325</v>
      </c>
      <c r="C388" s="346"/>
      <c r="D388" s="258"/>
    </row>
    <row r="389" spans="1:7" x14ac:dyDescent="0.2">
      <c r="A389" s="345">
        <v>39355</v>
      </c>
      <c r="C389" s="346"/>
      <c r="D389" s="258"/>
    </row>
    <row r="390" spans="1:7" x14ac:dyDescent="0.2">
      <c r="A390" s="345">
        <v>39386</v>
      </c>
      <c r="C390" s="346"/>
      <c r="D390" s="258"/>
    </row>
    <row r="391" spans="1:7" x14ac:dyDescent="0.2">
      <c r="A391" s="345">
        <v>39416</v>
      </c>
      <c r="C391" s="346"/>
      <c r="D391" s="258"/>
    </row>
    <row r="392" spans="1:7" x14ac:dyDescent="0.2">
      <c r="A392" s="345">
        <v>39447</v>
      </c>
      <c r="C392" s="346"/>
      <c r="D392" s="258"/>
    </row>
    <row r="393" spans="1:7" x14ac:dyDescent="0.2">
      <c r="A393" s="345">
        <v>39478</v>
      </c>
      <c r="B393" s="1279">
        <v>-12.7</v>
      </c>
      <c r="C393" s="346">
        <v>88497903.150000006</v>
      </c>
      <c r="D393" s="258"/>
      <c r="E393">
        <f>B393-Index_Returns!Q393</f>
        <v>-4.5522299999999998</v>
      </c>
      <c r="F393" s="352"/>
      <c r="G393" s="779"/>
    </row>
    <row r="394" spans="1:7" x14ac:dyDescent="0.2">
      <c r="A394" s="345">
        <v>39507</v>
      </c>
      <c r="B394" s="1279">
        <v>-6.86</v>
      </c>
      <c r="C394" s="346">
        <v>82426543.760000005</v>
      </c>
      <c r="D394" s="258"/>
      <c r="E394">
        <f>B394-Index_Returns!Q394</f>
        <v>-4.8501200000000004</v>
      </c>
      <c r="F394" s="352"/>
      <c r="G394" s="779"/>
    </row>
    <row r="395" spans="1:7" x14ac:dyDescent="0.2">
      <c r="A395" s="345">
        <v>39538</v>
      </c>
      <c r="B395" s="1279">
        <v>-2.0499999999999998</v>
      </c>
      <c r="C395" s="346">
        <v>80738939.200000003</v>
      </c>
      <c r="D395" s="258"/>
      <c r="E395">
        <f>B395-Index_Returns!Q395</f>
        <v>-0.83792999999999984</v>
      </c>
      <c r="F395" s="352"/>
      <c r="G395" s="779"/>
    </row>
    <row r="396" spans="1:7" x14ac:dyDescent="0.2">
      <c r="A396" s="345">
        <v>39568</v>
      </c>
      <c r="B396" s="1279">
        <v>8.18</v>
      </c>
      <c r="C396" s="346">
        <v>87342210.290000007</v>
      </c>
      <c r="D396" s="258"/>
      <c r="E396">
        <f>B396-Index_Returns!Q396</f>
        <v>2.15273</v>
      </c>
      <c r="F396" s="352"/>
      <c r="G396" s="779"/>
    </row>
    <row r="397" spans="1:7" x14ac:dyDescent="0.2">
      <c r="A397" s="345">
        <v>39599</v>
      </c>
      <c r="B397" s="1279">
        <v>4.51</v>
      </c>
      <c r="C397" s="346">
        <v>91279484.989999995</v>
      </c>
      <c r="D397" s="258"/>
      <c r="E397">
        <f>B397-Index_Returns!Q397</f>
        <v>-0.75706000000000007</v>
      </c>
      <c r="F397" s="352"/>
      <c r="G397" s="779"/>
    </row>
    <row r="398" spans="1:7" x14ac:dyDescent="0.2">
      <c r="A398" s="345">
        <v>39629</v>
      </c>
      <c r="B398" s="1279">
        <v>-4.37</v>
      </c>
      <c r="C398" s="346">
        <v>87392748.780000001</v>
      </c>
      <c r="D398" s="258"/>
      <c r="E398">
        <f>B398-Index_Returns!Q398</f>
        <v>2.7885200000000001</v>
      </c>
      <c r="F398" s="352"/>
      <c r="G398" s="779"/>
    </row>
    <row r="399" spans="1:7" x14ac:dyDescent="0.2">
      <c r="A399" s="345">
        <v>39660</v>
      </c>
      <c r="B399" s="1279">
        <v>-4.2699999999999996</v>
      </c>
      <c r="C399" s="1332">
        <v>83662150.549999997</v>
      </c>
      <c r="D399" s="258"/>
      <c r="E399">
        <f>B399-Index_Returns!Q399</f>
        <v>-3.9150799999999997</v>
      </c>
      <c r="F399" s="352"/>
      <c r="G399" s="779"/>
    </row>
    <row r="400" spans="1:7" x14ac:dyDescent="0.2">
      <c r="A400" s="345">
        <v>39691</v>
      </c>
      <c r="B400" s="1279">
        <v>-0.15</v>
      </c>
      <c r="C400" s="1332">
        <v>83533100.069999993</v>
      </c>
      <c r="D400" s="258"/>
      <c r="E400">
        <f>B400-Index_Returns!Q400</f>
        <v>-1.82643</v>
      </c>
      <c r="F400" s="352"/>
      <c r="G400" s="779"/>
    </row>
    <row r="401" spans="1:7" x14ac:dyDescent="0.2">
      <c r="A401" s="345">
        <v>39721</v>
      </c>
      <c r="B401" s="1279">
        <v>-11.58</v>
      </c>
      <c r="C401" s="1332">
        <v>73959978.430000007</v>
      </c>
      <c r="D401" s="258"/>
      <c r="E401">
        <f>B401-Index_Returns!Q401</f>
        <v>1.6560799999999993</v>
      </c>
      <c r="F401" s="352"/>
      <c r="G401" s="779"/>
    </row>
    <row r="402" spans="1:7" x14ac:dyDescent="0.2">
      <c r="A402" s="345">
        <v>39752</v>
      </c>
      <c r="B402" s="1279">
        <v>-20.09</v>
      </c>
      <c r="C402" s="346">
        <v>59104058</v>
      </c>
      <c r="D402" s="258"/>
      <c r="E402">
        <f>B402-Index_Returns!Q402</f>
        <v>2.4309100000000008</v>
      </c>
      <c r="F402" s="352"/>
      <c r="G402" s="779"/>
    </row>
    <row r="403" spans="1:7" x14ac:dyDescent="0.2">
      <c r="A403" s="345">
        <v>39782</v>
      </c>
      <c r="B403" s="1279">
        <v>-10.79</v>
      </c>
      <c r="C403" s="346">
        <v>52727796</v>
      </c>
      <c r="D403" s="258"/>
      <c r="E403">
        <f>B403-Index_Returns!Q403</f>
        <v>0.48594000000000115</v>
      </c>
      <c r="F403" s="352"/>
      <c r="G403" s="779"/>
    </row>
    <row r="404" spans="1:7" x14ac:dyDescent="0.2">
      <c r="A404" s="345">
        <v>39813</v>
      </c>
      <c r="B404" s="1279">
        <v>3.95</v>
      </c>
      <c r="C404" s="346">
        <v>54912477</v>
      </c>
      <c r="D404" s="258"/>
      <c r="E404">
        <f>B404-Index_Returns!Q404</f>
        <v>-1.1191199999999997</v>
      </c>
      <c r="F404" s="352"/>
      <c r="G404" s="779"/>
    </row>
    <row r="405" spans="1:7" x14ac:dyDescent="0.2">
      <c r="A405" s="345">
        <v>39844</v>
      </c>
      <c r="B405" s="1279">
        <v>-5.95</v>
      </c>
      <c r="C405" s="346">
        <v>51643541.909999996</v>
      </c>
      <c r="D405" s="258">
        <v>-5.9530000000000003</v>
      </c>
      <c r="E405">
        <f>B405-Index_Returns!Q405</f>
        <v>6.6089999999999982E-2</v>
      </c>
      <c r="F405" s="352"/>
      <c r="G405" s="779"/>
    </row>
    <row r="406" spans="1:7" x14ac:dyDescent="0.2">
      <c r="A406" s="345">
        <v>39872</v>
      </c>
      <c r="B406" s="1279">
        <v>-7.84</v>
      </c>
      <c r="C406" s="346">
        <v>47596781.850000001</v>
      </c>
      <c r="D406" s="258">
        <v>-7.8358999999999996</v>
      </c>
      <c r="E406">
        <f>B406-Index_Returns!Q406</f>
        <v>0.81558000000000064</v>
      </c>
      <c r="F406" s="352"/>
      <c r="G406" s="779"/>
    </row>
    <row r="407" spans="1:7" x14ac:dyDescent="0.2">
      <c r="A407" s="345">
        <v>39903</v>
      </c>
      <c r="B407" s="1279">
        <v>8.16</v>
      </c>
      <c r="C407" s="346">
        <v>51534311.840000004</v>
      </c>
      <c r="D407" s="258">
        <v>8.2727000000000004</v>
      </c>
      <c r="E407">
        <f>B407-Index_Returns!Q407</f>
        <v>-1.3676200000000005</v>
      </c>
      <c r="F407" s="352"/>
      <c r="G407" s="779"/>
    </row>
    <row r="408" spans="1:7" x14ac:dyDescent="0.2">
      <c r="A408" s="345">
        <v>39933</v>
      </c>
      <c r="B408" s="1279">
        <v>13.54</v>
      </c>
      <c r="C408" s="346">
        <v>58511588.109999999</v>
      </c>
      <c r="D408" s="258"/>
      <c r="E408">
        <f>B408-Index_Returns!Q408</f>
        <v>-1.3351000000000006</v>
      </c>
      <c r="F408" s="352"/>
      <c r="G408" s="779"/>
    </row>
    <row r="409" spans="1:7" x14ac:dyDescent="0.2">
      <c r="A409" s="345">
        <v>39964</v>
      </c>
      <c r="B409" s="1279">
        <v>3.38</v>
      </c>
      <c r="C409" s="346">
        <v>60491786.100000001</v>
      </c>
      <c r="D409" s="258"/>
      <c r="E409">
        <f>B409-Index_Returns!Q409</f>
        <v>-0.21492000000000022</v>
      </c>
      <c r="F409" s="352"/>
      <c r="G409" s="779"/>
    </row>
    <row r="410" spans="1:7" x14ac:dyDescent="0.2">
      <c r="A410" s="345">
        <v>39994</v>
      </c>
      <c r="B410" s="1279">
        <v>0.64</v>
      </c>
      <c r="C410" s="346">
        <v>60811878.200000003</v>
      </c>
      <c r="D410" s="258"/>
      <c r="E410">
        <f>B410-Index_Returns!Q410</f>
        <v>-1.70241</v>
      </c>
      <c r="F410" s="352"/>
      <c r="G410" s="779"/>
    </row>
    <row r="411" spans="1:7" x14ac:dyDescent="0.2">
      <c r="A411" s="345">
        <v>40025</v>
      </c>
      <c r="B411" s="1279">
        <v>6.2</v>
      </c>
      <c r="C411" s="346">
        <v>64767681.579999998</v>
      </c>
      <c r="D411" s="258">
        <v>6.2023000000000001</v>
      </c>
      <c r="E411">
        <f>B411-Index_Returns!Q411</f>
        <v>-1.5691299999999995</v>
      </c>
      <c r="F411" s="352"/>
      <c r="G411" s="779"/>
    </row>
    <row r="412" spans="1:7" x14ac:dyDescent="0.2">
      <c r="A412" s="345">
        <v>40056</v>
      </c>
      <c r="B412" s="1279">
        <v>0.71</v>
      </c>
      <c r="C412" s="346">
        <v>65226669.060000002</v>
      </c>
      <c r="D412" s="258">
        <v>0.7087</v>
      </c>
      <c r="E412">
        <f>B412-Index_Returns!Q412</f>
        <v>-1.3277999999999999</v>
      </c>
      <c r="F412" s="352"/>
      <c r="G412" s="779"/>
    </row>
    <row r="413" spans="1:7" x14ac:dyDescent="0.2">
      <c r="A413" s="345">
        <v>40086</v>
      </c>
      <c r="B413" s="1279">
        <v>6.5</v>
      </c>
      <c r="C413" s="346">
        <v>69591474.650000006</v>
      </c>
      <c r="D413" s="258">
        <v>6.6917</v>
      </c>
      <c r="E413">
        <f>B413-Index_Returns!Q413</f>
        <v>-5.2039999999999864E-2</v>
      </c>
      <c r="F413" s="352"/>
      <c r="G413" s="779"/>
    </row>
    <row r="414" spans="1:7" x14ac:dyDescent="0.2">
      <c r="A414" s="345">
        <v>40117</v>
      </c>
      <c r="B414" s="1279">
        <v>-6.51</v>
      </c>
      <c r="C414" s="1280">
        <v>65058505</v>
      </c>
      <c r="D414" s="258">
        <v>-6.51</v>
      </c>
      <c r="E414">
        <f>B414-Index_Returns!Q414</f>
        <v>-1.0138400000000001</v>
      </c>
      <c r="F414" s="352"/>
      <c r="G414" s="779"/>
    </row>
    <row r="415" spans="1:7" x14ac:dyDescent="0.2">
      <c r="A415" s="345">
        <v>40147</v>
      </c>
      <c r="B415" s="1279">
        <v>4.62</v>
      </c>
      <c r="C415" s="1333">
        <v>68062793</v>
      </c>
      <c r="D415" s="1279">
        <v>4.6180000000000003</v>
      </c>
      <c r="E415">
        <f>B415-Index_Returns!Q415</f>
        <v>0.91017999999999999</v>
      </c>
      <c r="F415" s="352"/>
      <c r="G415" s="779"/>
    </row>
    <row r="416" spans="1:7" x14ac:dyDescent="0.2">
      <c r="A416" s="345">
        <v>40178</v>
      </c>
      <c r="B416" s="1279">
        <v>7.36</v>
      </c>
      <c r="C416" s="8">
        <v>73069066.319999993</v>
      </c>
      <c r="D416">
        <v>7.3553800000000003</v>
      </c>
      <c r="E416">
        <f>B416-Index_Returns!Q416</f>
        <v>-0.35250999999999966</v>
      </c>
      <c r="F416" s="352"/>
      <c r="G416" s="779"/>
    </row>
    <row r="417" spans="1:7" x14ac:dyDescent="0.2">
      <c r="A417" s="345">
        <v>40209</v>
      </c>
      <c r="B417">
        <v>-3.42</v>
      </c>
      <c r="C417" s="1280">
        <v>70566296.430000007</v>
      </c>
      <c r="D417" s="258">
        <v>-3.4252099999999999</v>
      </c>
      <c r="E417">
        <f>B417-Index_Returns!Q417</f>
        <v>0.70117999999999991</v>
      </c>
      <c r="F417" s="352"/>
      <c r="G417" s="779"/>
    </row>
    <row r="418" spans="1:7" x14ac:dyDescent="0.2">
      <c r="A418" s="345">
        <v>40237</v>
      </c>
      <c r="B418">
        <v>3.37</v>
      </c>
      <c r="C418" s="8">
        <v>72951644.959999993</v>
      </c>
      <c r="D418">
        <v>3.3715799999999998</v>
      </c>
      <c r="E418">
        <f>B418-Index_Returns!Q418</f>
        <v>-1.7222799999999996</v>
      </c>
      <c r="F418" s="352"/>
      <c r="G418" s="779"/>
    </row>
    <row r="419" spans="1:7" x14ac:dyDescent="0.2">
      <c r="A419" s="345">
        <v>40268</v>
      </c>
      <c r="B419">
        <v>8.36</v>
      </c>
      <c r="C419" s="1334">
        <v>79051094.239999995</v>
      </c>
      <c r="D419" s="1286">
        <v>8.3609500000000008</v>
      </c>
      <c r="E419">
        <f>B419-Index_Returns!Q419</f>
        <v>0.37384999999999913</v>
      </c>
      <c r="F419" s="352"/>
      <c r="G419" s="779"/>
    </row>
    <row r="420" spans="1:7" x14ac:dyDescent="0.2">
      <c r="A420" s="345">
        <v>40298</v>
      </c>
      <c r="B420">
        <v>2.84</v>
      </c>
      <c r="C420" s="8">
        <v>81295816.540000007</v>
      </c>
      <c r="D420">
        <v>2.8395800000000002</v>
      </c>
      <c r="E420">
        <f>B420-Index_Returns!Q420</f>
        <v>-0.66244000000000014</v>
      </c>
      <c r="F420" s="352"/>
      <c r="G420" s="779"/>
    </row>
    <row r="421" spans="1:7" x14ac:dyDescent="0.2">
      <c r="A421" s="345">
        <v>40329</v>
      </c>
      <c r="B421">
        <v>-7.61</v>
      </c>
      <c r="C421" s="8">
        <v>75105227.099999994</v>
      </c>
      <c r="D421">
        <v>-7.6148899999999999</v>
      </c>
      <c r="E421">
        <f>B421-Index_Returns!Q421</f>
        <v>-0.81733000000000011</v>
      </c>
      <c r="F421" s="352"/>
      <c r="G421" s="779"/>
    </row>
    <row r="422" spans="1:7" x14ac:dyDescent="0.2">
      <c r="A422" s="345">
        <v>40359</v>
      </c>
      <c r="B422">
        <v>-6.04</v>
      </c>
      <c r="C422" s="8">
        <v>70567081.579999998</v>
      </c>
      <c r="D422">
        <v>-6.0423799999999996</v>
      </c>
      <c r="E422">
        <f>B422-Index_Returns!Q422</f>
        <v>0.42915999999999954</v>
      </c>
      <c r="F422" s="352"/>
      <c r="G422" s="779"/>
    </row>
    <row r="423" spans="1:7" x14ac:dyDescent="0.2">
      <c r="A423" s="345">
        <v>40390</v>
      </c>
      <c r="B423">
        <v>3.8415599999999999</v>
      </c>
      <c r="C423" s="8">
        <v>73277959.859999999</v>
      </c>
      <c r="D423">
        <v>3.8415599999999999</v>
      </c>
      <c r="E423">
        <f>B423-Index_Returns!Q423</f>
        <v>-2.8320099999999999</v>
      </c>
      <c r="F423" s="352"/>
      <c r="G423" s="779"/>
    </row>
    <row r="424" spans="1:7" x14ac:dyDescent="0.2">
      <c r="A424" s="345">
        <v>40421</v>
      </c>
      <c r="B424">
        <v>-6.9547600000000003</v>
      </c>
      <c r="C424" s="8">
        <v>68181651.569999993</v>
      </c>
      <c r="D424">
        <v>-6.9547600000000003</v>
      </c>
      <c r="E424">
        <f>B424-Index_Returns!Q424</f>
        <v>-0.61810000000000009</v>
      </c>
      <c r="F424" s="352"/>
      <c r="G424" s="779"/>
    </row>
    <row r="425" spans="1:7" x14ac:dyDescent="0.2">
      <c r="A425" s="345">
        <v>40451</v>
      </c>
      <c r="B425">
        <v>13.806430000000001</v>
      </c>
      <c r="C425" s="8">
        <v>77595104.920000002</v>
      </c>
      <c r="D425">
        <v>13.806430000000001</v>
      </c>
      <c r="E425">
        <f>B425-Index_Returns!Q425</f>
        <v>0.5612900000000014</v>
      </c>
      <c r="F425" s="352"/>
      <c r="G425" s="779"/>
    </row>
    <row r="426" spans="1:7" x14ac:dyDescent="0.2">
      <c r="A426" s="345">
        <v>40482</v>
      </c>
      <c r="B426">
        <v>5.3062500000000004</v>
      </c>
      <c r="C426" s="8">
        <v>81712495.980000004</v>
      </c>
      <c r="D426">
        <v>5.3062500000000004</v>
      </c>
      <c r="E426">
        <f>B426-Index_Returns!Q426</f>
        <v>1.5457800000000002</v>
      </c>
    </row>
    <row r="427" spans="1:7" x14ac:dyDescent="0.2">
      <c r="A427" s="345">
        <v>40512</v>
      </c>
      <c r="B427">
        <f>D427</f>
        <v>7.4926500000000003</v>
      </c>
      <c r="C427" s="8">
        <v>87834924.629999995</v>
      </c>
      <c r="D427">
        <v>7.4926500000000003</v>
      </c>
      <c r="E427">
        <f>B427-Index_Returns!Q427</f>
        <v>3.4631600000000002</v>
      </c>
    </row>
    <row r="428" spans="1:7" x14ac:dyDescent="0.2">
      <c r="A428" s="345">
        <v>40543</v>
      </c>
      <c r="B428">
        <v>5.73278</v>
      </c>
      <c r="C428" s="8">
        <v>92870305.040000007</v>
      </c>
      <c r="D428">
        <v>5.73278</v>
      </c>
      <c r="E428">
        <f>B428-Index_Returns!Q428</f>
        <v>-1.7334100000000001</v>
      </c>
    </row>
    <row r="429" spans="1:7" x14ac:dyDescent="0.2">
      <c r="A429" s="345">
        <v>40574</v>
      </c>
      <c r="B429">
        <f>D429</f>
        <v>0.89866999999999997</v>
      </c>
      <c r="C429" s="8">
        <v>93704902.150000006</v>
      </c>
      <c r="D429">
        <v>0.89866999999999997</v>
      </c>
      <c r="E429">
        <f>B429-Index_Returns!Q429</f>
        <v>-0.23353000000000013</v>
      </c>
    </row>
    <row r="430" spans="1:7" x14ac:dyDescent="0.2">
      <c r="A430" s="345">
        <v>40602</v>
      </c>
      <c r="B430">
        <v>7.3765900000000002</v>
      </c>
      <c r="C430" s="8">
        <v>100617127.45999999</v>
      </c>
      <c r="D430">
        <v>7.3765900000000002</v>
      </c>
      <c r="E430">
        <f>B430-Index_Returns!Q430</f>
        <v>1.8972899999999999</v>
      </c>
    </row>
    <row r="431" spans="1:7" x14ac:dyDescent="0.2">
      <c r="A431" s="345">
        <v>40633</v>
      </c>
      <c r="B431">
        <f>D431</f>
        <v>4.4775400000000003</v>
      </c>
      <c r="C431" s="8">
        <v>105122297.36</v>
      </c>
      <c r="D431">
        <v>4.4775400000000003</v>
      </c>
      <c r="E431">
        <f>B431-Index_Returns!Q431</f>
        <v>1.5143800000000005</v>
      </c>
    </row>
    <row r="432" spans="1:7" x14ac:dyDescent="0.2">
      <c r="A432" s="345">
        <v>40663</v>
      </c>
      <c r="B432">
        <f t="shared" ref="B432:B440" si="0">D432</f>
        <v>2.14453</v>
      </c>
      <c r="C432" s="8">
        <v>107376675.84</v>
      </c>
      <c r="D432">
        <v>2.14453</v>
      </c>
      <c r="E432">
        <f>B432-Index_Returns!Q432</f>
        <v>-1.3490899999999999</v>
      </c>
    </row>
    <row r="433" spans="1:5" x14ac:dyDescent="0.2">
      <c r="A433" s="345">
        <v>40694</v>
      </c>
      <c r="B433">
        <f t="shared" si="0"/>
        <v>0</v>
      </c>
      <c r="C433" s="8">
        <v>465.28</v>
      </c>
      <c r="D433">
        <v>0</v>
      </c>
      <c r="E433">
        <f>B433-Index_Returns!Q433</f>
        <v>1.23159</v>
      </c>
    </row>
    <row r="434" spans="1:5" x14ac:dyDescent="0.2">
      <c r="A434" s="345">
        <v>40724</v>
      </c>
      <c r="B434">
        <f t="shared" si="0"/>
        <v>0</v>
      </c>
      <c r="C434" s="8"/>
      <c r="E434">
        <f>B434-Index_Returns!Q434</f>
        <v>1.79945</v>
      </c>
    </row>
    <row r="435" spans="1:5" x14ac:dyDescent="0.2">
      <c r="A435" s="345">
        <v>40755</v>
      </c>
      <c r="B435">
        <f t="shared" si="0"/>
        <v>0</v>
      </c>
      <c r="C435" s="8"/>
      <c r="E435">
        <f>B435-Index_Returns!Q435</f>
        <v>3.8809900000000002</v>
      </c>
    </row>
    <row r="436" spans="1:5" x14ac:dyDescent="0.2">
      <c r="A436" s="345">
        <v>40786</v>
      </c>
      <c r="B436">
        <f t="shared" si="0"/>
        <v>0</v>
      </c>
      <c r="C436" s="8"/>
      <c r="E436">
        <f>B436-Index_Returns!Q436</f>
        <v>8.1859400000000004</v>
      </c>
    </row>
    <row r="437" spans="1:5" x14ac:dyDescent="0.2">
      <c r="A437" s="345">
        <v>40816</v>
      </c>
      <c r="B437">
        <f t="shared" si="0"/>
        <v>0</v>
      </c>
      <c r="C437" s="8"/>
      <c r="E437">
        <f>B437-Index_Returns!Q437</f>
        <v>10.87928</v>
      </c>
    </row>
    <row r="438" spans="1:5" x14ac:dyDescent="0.2">
      <c r="A438" s="345">
        <v>40847</v>
      </c>
      <c r="B438">
        <f t="shared" si="0"/>
        <v>0</v>
      </c>
      <c r="E438">
        <f>B438-Index_Returns!Q438</f>
        <v>-15.444739999999999</v>
      </c>
    </row>
    <row r="439" spans="1:5" x14ac:dyDescent="0.2">
      <c r="A439" s="345">
        <v>40877</v>
      </c>
      <c r="B439">
        <f t="shared" si="0"/>
        <v>0</v>
      </c>
      <c r="E439">
        <f>B439-Index_Returns!Q439</f>
        <v>0.47767999999999999</v>
      </c>
    </row>
    <row r="440" spans="1:5" x14ac:dyDescent="0.2">
      <c r="A440" s="345">
        <v>40908</v>
      </c>
      <c r="B440">
        <f t="shared" si="0"/>
        <v>0</v>
      </c>
      <c r="E440">
        <f>B440-Index_Returns!Q440</f>
        <v>1.20302</v>
      </c>
    </row>
    <row r="441" spans="1:5" x14ac:dyDescent="0.2">
      <c r="A441" s="21"/>
    </row>
    <row r="442" spans="1:5" x14ac:dyDescent="0.2">
      <c r="A442" s="21"/>
    </row>
    <row r="443" spans="1:5" x14ac:dyDescent="0.2">
      <c r="A443" s="21"/>
    </row>
    <row r="444" spans="1:5" x14ac:dyDescent="0.2">
      <c r="A444" s="21"/>
    </row>
    <row r="445" spans="1:5" x14ac:dyDescent="0.2">
      <c r="A445" s="21"/>
    </row>
    <row r="446" spans="1:5" x14ac:dyDescent="0.2">
      <c r="A446" s="21"/>
    </row>
    <row r="447" spans="1:5" x14ac:dyDescent="0.2">
      <c r="A447" s="21"/>
    </row>
    <row r="448" spans="1:5" x14ac:dyDescent="0.2">
      <c r="A448" s="21"/>
    </row>
    <row r="449" spans="1:1" x14ac:dyDescent="0.2">
      <c r="A449" s="21"/>
    </row>
    <row r="450" spans="1:1" x14ac:dyDescent="0.2">
      <c r="A450" s="21"/>
    </row>
    <row r="451" spans="1:1" x14ac:dyDescent="0.2">
      <c r="A451" s="21"/>
    </row>
    <row r="452" spans="1:1" x14ac:dyDescent="0.2">
      <c r="A452" s="21"/>
    </row>
    <row r="453" spans="1:1" x14ac:dyDescent="0.2">
      <c r="A453" s="21"/>
    </row>
    <row r="454" spans="1:1" x14ac:dyDescent="0.2">
      <c r="A454" s="21"/>
    </row>
    <row r="455" spans="1:1" x14ac:dyDescent="0.2">
      <c r="A455" s="21"/>
    </row>
    <row r="456" spans="1:1" x14ac:dyDescent="0.2">
      <c r="A456" s="21"/>
    </row>
    <row r="457" spans="1:1" x14ac:dyDescent="0.2">
      <c r="A457" s="21"/>
    </row>
    <row r="458" spans="1:1" x14ac:dyDescent="0.2">
      <c r="A458" s="21"/>
    </row>
    <row r="459" spans="1:1" x14ac:dyDescent="0.2">
      <c r="A459" s="21"/>
    </row>
    <row r="460" spans="1:1" x14ac:dyDescent="0.2">
      <c r="A460" s="21"/>
    </row>
    <row r="461" spans="1:1" x14ac:dyDescent="0.2">
      <c r="A461" s="21"/>
    </row>
    <row r="462" spans="1:1" x14ac:dyDescent="0.2">
      <c r="A462" s="21"/>
    </row>
    <row r="463" spans="1:1" x14ac:dyDescent="0.2">
      <c r="A463" s="21"/>
    </row>
    <row r="464" spans="1:1" x14ac:dyDescent="0.2">
      <c r="A464" s="21"/>
    </row>
    <row r="465" spans="1:1" x14ac:dyDescent="0.2">
      <c r="A465" s="21"/>
    </row>
    <row r="466" spans="1:1" x14ac:dyDescent="0.2">
      <c r="A466" s="21"/>
    </row>
    <row r="467" spans="1:1" x14ac:dyDescent="0.2">
      <c r="A467" s="21"/>
    </row>
    <row r="468" spans="1:1" x14ac:dyDescent="0.2">
      <c r="A468" s="21"/>
    </row>
    <row r="469" spans="1:1" x14ac:dyDescent="0.2">
      <c r="A469" s="21"/>
    </row>
    <row r="470" spans="1:1" x14ac:dyDescent="0.2">
      <c r="A470" s="21"/>
    </row>
    <row r="471" spans="1:1" x14ac:dyDescent="0.2">
      <c r="A471" s="21"/>
    </row>
    <row r="472" spans="1:1" x14ac:dyDescent="0.2">
      <c r="A472" s="21"/>
    </row>
    <row r="473" spans="1:1" x14ac:dyDescent="0.2">
      <c r="A473" s="21"/>
    </row>
    <row r="474" spans="1:1" x14ac:dyDescent="0.2">
      <c r="A474" s="21"/>
    </row>
    <row r="475" spans="1:1" x14ac:dyDescent="0.2">
      <c r="A475" s="21"/>
    </row>
    <row r="476" spans="1:1" x14ac:dyDescent="0.2">
      <c r="A476" s="21"/>
    </row>
    <row r="477" spans="1:1" x14ac:dyDescent="0.2">
      <c r="A477" s="21"/>
    </row>
    <row r="478" spans="1:1" x14ac:dyDescent="0.2">
      <c r="A478" s="21"/>
    </row>
    <row r="479" spans="1:1" x14ac:dyDescent="0.2">
      <c r="A479" s="21"/>
    </row>
    <row r="480" spans="1:1" x14ac:dyDescent="0.2">
      <c r="A480" s="21"/>
    </row>
    <row r="481" spans="1:1" x14ac:dyDescent="0.2">
      <c r="A481" s="21"/>
    </row>
    <row r="482" spans="1:1" x14ac:dyDescent="0.2">
      <c r="A482" s="21"/>
    </row>
    <row r="483" spans="1:1" x14ac:dyDescent="0.2">
      <c r="A483" s="21"/>
    </row>
    <row r="484" spans="1:1" x14ac:dyDescent="0.2">
      <c r="A484" s="21"/>
    </row>
    <row r="485" spans="1:1" x14ac:dyDescent="0.2">
      <c r="A485" s="21"/>
    </row>
    <row r="486" spans="1:1" x14ac:dyDescent="0.2">
      <c r="A486" s="21"/>
    </row>
    <row r="487" spans="1:1" x14ac:dyDescent="0.2">
      <c r="A487" s="21"/>
    </row>
    <row r="488" spans="1:1" x14ac:dyDescent="0.2">
      <c r="A488" s="21"/>
    </row>
    <row r="489" spans="1:1" x14ac:dyDescent="0.2">
      <c r="A489" s="21"/>
    </row>
    <row r="490" spans="1:1" x14ac:dyDescent="0.2">
      <c r="A490" s="21"/>
    </row>
    <row r="491" spans="1:1" x14ac:dyDescent="0.2">
      <c r="A491" s="21"/>
    </row>
    <row r="492" spans="1:1" x14ac:dyDescent="0.2">
      <c r="A492" s="21"/>
    </row>
    <row r="493" spans="1:1" x14ac:dyDescent="0.2">
      <c r="A493" s="21"/>
    </row>
    <row r="494" spans="1:1" x14ac:dyDescent="0.2">
      <c r="A494" s="21"/>
    </row>
    <row r="495" spans="1:1" x14ac:dyDescent="0.2">
      <c r="A495" s="21"/>
    </row>
    <row r="496" spans="1:1" x14ac:dyDescent="0.2">
      <c r="A496" s="21"/>
    </row>
    <row r="497" spans="1:1" x14ac:dyDescent="0.2">
      <c r="A497" s="21"/>
    </row>
    <row r="498" spans="1:1" x14ac:dyDescent="0.2">
      <c r="A498" s="21"/>
    </row>
    <row r="499" spans="1:1" x14ac:dyDescent="0.2">
      <c r="A499" s="21"/>
    </row>
    <row r="500" spans="1:1" x14ac:dyDescent="0.2">
      <c r="A500" s="21"/>
    </row>
    <row r="501" spans="1:1" x14ac:dyDescent="0.2">
      <c r="A501" s="21"/>
    </row>
    <row r="502" spans="1:1" x14ac:dyDescent="0.2">
      <c r="A502" s="21"/>
    </row>
    <row r="503" spans="1:1" x14ac:dyDescent="0.2">
      <c r="A503" s="21"/>
    </row>
    <row r="504" spans="1:1" x14ac:dyDescent="0.2">
      <c r="A504" s="21"/>
    </row>
    <row r="505" spans="1:1" x14ac:dyDescent="0.2">
      <c r="A505" s="21"/>
    </row>
    <row r="506" spans="1:1" x14ac:dyDescent="0.2">
      <c r="A506" s="21"/>
    </row>
    <row r="507" spans="1:1" x14ac:dyDescent="0.2">
      <c r="A507" s="21"/>
    </row>
    <row r="508" spans="1:1" x14ac:dyDescent="0.2">
      <c r="A508" s="21"/>
    </row>
    <row r="509" spans="1:1" x14ac:dyDescent="0.2">
      <c r="A509" s="21"/>
    </row>
    <row r="510" spans="1:1" x14ac:dyDescent="0.2">
      <c r="A510" s="21"/>
    </row>
    <row r="511" spans="1:1" x14ac:dyDescent="0.2">
      <c r="A511" s="21"/>
    </row>
    <row r="512" spans="1:1" x14ac:dyDescent="0.2">
      <c r="A512" s="21"/>
    </row>
    <row r="513" spans="1:1" x14ac:dyDescent="0.2">
      <c r="A513" s="21"/>
    </row>
    <row r="514" spans="1:1" x14ac:dyDescent="0.2">
      <c r="A514" s="21"/>
    </row>
    <row r="515" spans="1:1" x14ac:dyDescent="0.2">
      <c r="A515" s="21"/>
    </row>
    <row r="516" spans="1:1" x14ac:dyDescent="0.2">
      <c r="A516" s="21"/>
    </row>
    <row r="517" spans="1:1" x14ac:dyDescent="0.2">
      <c r="A517" s="21"/>
    </row>
    <row r="518" spans="1:1" x14ac:dyDescent="0.2">
      <c r="A518" s="21"/>
    </row>
    <row r="519" spans="1:1" x14ac:dyDescent="0.2">
      <c r="A519" s="21"/>
    </row>
    <row r="520" spans="1:1" x14ac:dyDescent="0.2">
      <c r="A520" s="21"/>
    </row>
    <row r="521" spans="1:1" x14ac:dyDescent="0.2">
      <c r="A521" s="21"/>
    </row>
    <row r="522" spans="1:1" x14ac:dyDescent="0.2">
      <c r="A522" s="21"/>
    </row>
    <row r="523" spans="1:1" x14ac:dyDescent="0.2">
      <c r="A523" s="21"/>
    </row>
    <row r="524" spans="1:1" x14ac:dyDescent="0.2">
      <c r="A524" s="21"/>
    </row>
    <row r="525" spans="1:1" x14ac:dyDescent="0.2">
      <c r="A525" s="21"/>
    </row>
    <row r="526" spans="1:1" x14ac:dyDescent="0.2">
      <c r="A526" s="21"/>
    </row>
    <row r="527" spans="1:1" x14ac:dyDescent="0.2">
      <c r="A527" s="21"/>
    </row>
    <row r="528" spans="1:1" x14ac:dyDescent="0.2">
      <c r="A528" s="21"/>
    </row>
    <row r="529" spans="1:1" x14ac:dyDescent="0.2">
      <c r="A529" s="21"/>
    </row>
    <row r="530" spans="1:1" x14ac:dyDescent="0.2">
      <c r="A530" s="21"/>
    </row>
    <row r="531" spans="1:1" x14ac:dyDescent="0.2">
      <c r="A531" s="21"/>
    </row>
    <row r="532" spans="1:1" x14ac:dyDescent="0.2">
      <c r="A532" s="21"/>
    </row>
    <row r="533" spans="1:1" x14ac:dyDescent="0.2">
      <c r="A533" s="21"/>
    </row>
    <row r="534" spans="1:1" x14ac:dyDescent="0.2">
      <c r="A534" s="21"/>
    </row>
    <row r="535" spans="1:1" x14ac:dyDescent="0.2">
      <c r="A535" s="21"/>
    </row>
    <row r="536" spans="1:1" x14ac:dyDescent="0.2">
      <c r="A536" s="21"/>
    </row>
    <row r="537" spans="1:1" x14ac:dyDescent="0.2">
      <c r="A537" s="21"/>
    </row>
    <row r="538" spans="1:1" x14ac:dyDescent="0.2">
      <c r="A538" s="21"/>
    </row>
    <row r="539" spans="1:1" x14ac:dyDescent="0.2">
      <c r="A539" s="21"/>
    </row>
    <row r="540" spans="1:1" x14ac:dyDescent="0.2">
      <c r="A540" s="21"/>
    </row>
    <row r="541" spans="1:1" x14ac:dyDescent="0.2">
      <c r="A541" s="21"/>
    </row>
    <row r="542" spans="1:1" x14ac:dyDescent="0.2">
      <c r="A542" s="21"/>
    </row>
    <row r="543" spans="1:1" x14ac:dyDescent="0.2">
      <c r="A543" s="21"/>
    </row>
    <row r="544" spans="1:1" x14ac:dyDescent="0.2">
      <c r="A544" s="21"/>
    </row>
    <row r="545" spans="1:1" x14ac:dyDescent="0.2">
      <c r="A545" s="21"/>
    </row>
    <row r="546" spans="1:1" x14ac:dyDescent="0.2">
      <c r="A546" s="21"/>
    </row>
    <row r="547" spans="1:1" x14ac:dyDescent="0.2">
      <c r="A547" s="21"/>
    </row>
    <row r="548" spans="1:1" x14ac:dyDescent="0.2">
      <c r="A548" s="21"/>
    </row>
    <row r="549" spans="1:1" x14ac:dyDescent="0.2">
      <c r="A549" s="21"/>
    </row>
    <row r="550" spans="1:1" x14ac:dyDescent="0.2">
      <c r="A550" s="21"/>
    </row>
    <row r="551" spans="1:1" x14ac:dyDescent="0.2">
      <c r="A551" s="21"/>
    </row>
    <row r="552" spans="1:1" x14ac:dyDescent="0.2">
      <c r="A552" s="21"/>
    </row>
    <row r="553" spans="1:1" x14ac:dyDescent="0.2">
      <c r="A553" s="21"/>
    </row>
    <row r="554" spans="1:1" x14ac:dyDescent="0.2">
      <c r="A554" s="21"/>
    </row>
    <row r="555" spans="1:1" x14ac:dyDescent="0.2">
      <c r="A555" s="21"/>
    </row>
    <row r="556" spans="1:1" x14ac:dyDescent="0.2">
      <c r="A556" s="21"/>
    </row>
    <row r="557" spans="1:1" x14ac:dyDescent="0.2">
      <c r="A557" s="21"/>
    </row>
    <row r="558" spans="1:1" x14ac:dyDescent="0.2">
      <c r="A558" s="21"/>
    </row>
    <row r="559" spans="1:1" x14ac:dyDescent="0.2">
      <c r="A559" s="21"/>
    </row>
    <row r="560" spans="1:1" x14ac:dyDescent="0.2">
      <c r="A560" s="21"/>
    </row>
    <row r="561" spans="1:1" x14ac:dyDescent="0.2">
      <c r="A561" s="21"/>
    </row>
    <row r="562" spans="1:1" x14ac:dyDescent="0.2">
      <c r="A562" s="21"/>
    </row>
    <row r="563" spans="1:1" x14ac:dyDescent="0.2">
      <c r="A563" s="21"/>
    </row>
    <row r="564" spans="1:1" x14ac:dyDescent="0.2">
      <c r="A564" s="21"/>
    </row>
    <row r="565" spans="1:1" x14ac:dyDescent="0.2">
      <c r="A565" s="21"/>
    </row>
    <row r="566" spans="1:1" x14ac:dyDescent="0.2">
      <c r="A566" s="21"/>
    </row>
    <row r="567" spans="1:1" x14ac:dyDescent="0.2">
      <c r="A567" s="21"/>
    </row>
    <row r="568" spans="1:1" x14ac:dyDescent="0.2">
      <c r="A568" s="21"/>
    </row>
    <row r="569" spans="1:1" x14ac:dyDescent="0.2">
      <c r="A569" s="21"/>
    </row>
    <row r="570" spans="1:1" x14ac:dyDescent="0.2">
      <c r="A570" s="21"/>
    </row>
    <row r="571" spans="1:1" x14ac:dyDescent="0.2">
      <c r="A571" s="21"/>
    </row>
    <row r="572" spans="1:1" x14ac:dyDescent="0.2">
      <c r="A572" s="21"/>
    </row>
    <row r="573" spans="1:1" x14ac:dyDescent="0.2">
      <c r="A573" s="21"/>
    </row>
    <row r="574" spans="1:1" x14ac:dyDescent="0.2">
      <c r="A574" s="21"/>
    </row>
    <row r="575" spans="1:1" x14ac:dyDescent="0.2">
      <c r="A575" s="21"/>
    </row>
    <row r="576" spans="1:1" x14ac:dyDescent="0.2">
      <c r="A576" s="21"/>
    </row>
    <row r="577" spans="1:1" x14ac:dyDescent="0.2">
      <c r="A577" s="21"/>
    </row>
    <row r="578" spans="1:1" x14ac:dyDescent="0.2">
      <c r="A578" s="21"/>
    </row>
    <row r="579" spans="1:1" x14ac:dyDescent="0.2">
      <c r="A579" s="21"/>
    </row>
    <row r="580" spans="1:1" x14ac:dyDescent="0.2">
      <c r="A580" s="21"/>
    </row>
    <row r="581" spans="1:1" x14ac:dyDescent="0.2">
      <c r="A581" s="21"/>
    </row>
    <row r="582" spans="1:1" x14ac:dyDescent="0.2">
      <c r="A582" s="21"/>
    </row>
    <row r="583" spans="1:1" x14ac:dyDescent="0.2">
      <c r="A583" s="21"/>
    </row>
    <row r="584" spans="1:1" x14ac:dyDescent="0.2">
      <c r="A584" s="21"/>
    </row>
    <row r="585" spans="1:1" x14ac:dyDescent="0.2">
      <c r="A585" s="21"/>
    </row>
    <row r="586" spans="1:1" x14ac:dyDescent="0.2">
      <c r="A586" s="21"/>
    </row>
    <row r="587" spans="1:1" x14ac:dyDescent="0.2">
      <c r="A587" s="21"/>
    </row>
    <row r="588" spans="1:1" x14ac:dyDescent="0.2">
      <c r="A588" s="21"/>
    </row>
    <row r="589" spans="1:1" x14ac:dyDescent="0.2">
      <c r="A589" s="21"/>
    </row>
    <row r="590" spans="1:1" x14ac:dyDescent="0.2">
      <c r="A590" s="21"/>
    </row>
    <row r="591" spans="1:1" x14ac:dyDescent="0.2">
      <c r="A591" s="21"/>
    </row>
    <row r="592" spans="1:1" x14ac:dyDescent="0.2">
      <c r="A592" s="21"/>
    </row>
    <row r="593" spans="1:1" x14ac:dyDescent="0.2">
      <c r="A593" s="21"/>
    </row>
    <row r="594" spans="1:1" x14ac:dyDescent="0.2">
      <c r="A594" s="21"/>
    </row>
    <row r="595" spans="1:1" x14ac:dyDescent="0.2">
      <c r="A595" s="21"/>
    </row>
    <row r="596" spans="1:1" x14ac:dyDescent="0.2">
      <c r="A596" s="21"/>
    </row>
    <row r="597" spans="1:1" x14ac:dyDescent="0.2">
      <c r="A597" s="21"/>
    </row>
    <row r="598" spans="1:1" x14ac:dyDescent="0.2">
      <c r="A598" s="21"/>
    </row>
    <row r="599" spans="1:1" x14ac:dyDescent="0.2">
      <c r="A599" s="21"/>
    </row>
    <row r="600" spans="1:1" x14ac:dyDescent="0.2">
      <c r="A600" s="21"/>
    </row>
    <row r="601" spans="1:1" x14ac:dyDescent="0.2">
      <c r="A601" s="21"/>
    </row>
    <row r="602" spans="1:1" x14ac:dyDescent="0.2">
      <c r="A602" s="21"/>
    </row>
    <row r="603" spans="1:1" x14ac:dyDescent="0.2">
      <c r="A603" s="21"/>
    </row>
    <row r="604" spans="1:1" x14ac:dyDescent="0.2">
      <c r="A604" s="21"/>
    </row>
    <row r="605" spans="1:1" x14ac:dyDescent="0.2">
      <c r="A605" s="21"/>
    </row>
    <row r="606" spans="1:1" x14ac:dyDescent="0.2">
      <c r="A606" s="21"/>
    </row>
    <row r="607" spans="1:1" x14ac:dyDescent="0.2">
      <c r="A607" s="21"/>
    </row>
    <row r="608" spans="1:1" x14ac:dyDescent="0.2">
      <c r="A608" s="21"/>
    </row>
    <row r="609" spans="1:1" x14ac:dyDescent="0.2">
      <c r="A609" s="21"/>
    </row>
    <row r="610" spans="1:1" x14ac:dyDescent="0.2">
      <c r="A610" s="21"/>
    </row>
    <row r="611" spans="1:1" x14ac:dyDescent="0.2">
      <c r="A611" s="21"/>
    </row>
    <row r="612" spans="1:1" x14ac:dyDescent="0.2">
      <c r="A612" s="21"/>
    </row>
    <row r="613" spans="1:1" x14ac:dyDescent="0.2">
      <c r="A613" s="21"/>
    </row>
    <row r="614" spans="1:1" x14ac:dyDescent="0.2">
      <c r="A614" s="21"/>
    </row>
    <row r="615" spans="1:1" x14ac:dyDescent="0.2">
      <c r="A615" s="21"/>
    </row>
    <row r="616" spans="1:1" x14ac:dyDescent="0.2">
      <c r="A616" s="21"/>
    </row>
    <row r="617" spans="1:1" x14ac:dyDescent="0.2">
      <c r="A617" s="21"/>
    </row>
    <row r="618" spans="1:1" x14ac:dyDescent="0.2">
      <c r="A618" s="21"/>
    </row>
    <row r="619" spans="1:1" x14ac:dyDescent="0.2">
      <c r="A619" s="21"/>
    </row>
    <row r="620" spans="1:1" x14ac:dyDescent="0.2">
      <c r="A620" s="21"/>
    </row>
    <row r="621" spans="1:1" x14ac:dyDescent="0.2">
      <c r="A621" s="21"/>
    </row>
    <row r="622" spans="1:1" x14ac:dyDescent="0.2">
      <c r="A622" s="21"/>
    </row>
    <row r="623" spans="1:1" x14ac:dyDescent="0.2">
      <c r="A623" s="21"/>
    </row>
    <row r="624" spans="1:1" x14ac:dyDescent="0.2">
      <c r="A624" s="21"/>
    </row>
    <row r="625" spans="1:1" x14ac:dyDescent="0.2">
      <c r="A625" s="21"/>
    </row>
    <row r="626" spans="1:1" x14ac:dyDescent="0.2">
      <c r="A626" s="21"/>
    </row>
    <row r="627" spans="1:1" x14ac:dyDescent="0.2">
      <c r="A627" s="21"/>
    </row>
    <row r="628" spans="1:1" x14ac:dyDescent="0.2">
      <c r="A628" s="21"/>
    </row>
    <row r="629" spans="1:1" x14ac:dyDescent="0.2">
      <c r="A629" s="21"/>
    </row>
    <row r="630" spans="1:1" x14ac:dyDescent="0.2">
      <c r="A630" s="21"/>
    </row>
    <row r="631" spans="1:1" x14ac:dyDescent="0.2">
      <c r="A631" s="21"/>
    </row>
    <row r="632" spans="1:1" x14ac:dyDescent="0.2">
      <c r="A632" s="21"/>
    </row>
    <row r="633" spans="1:1" x14ac:dyDescent="0.2">
      <c r="A633" s="21"/>
    </row>
    <row r="634" spans="1:1" x14ac:dyDescent="0.2">
      <c r="A634" s="21"/>
    </row>
    <row r="635" spans="1:1" x14ac:dyDescent="0.2">
      <c r="A635" s="21"/>
    </row>
    <row r="636" spans="1:1" x14ac:dyDescent="0.2">
      <c r="A636" s="21"/>
    </row>
    <row r="637" spans="1:1" x14ac:dyDescent="0.2">
      <c r="A637" s="21"/>
    </row>
    <row r="638" spans="1:1" x14ac:dyDescent="0.2">
      <c r="A638" s="21"/>
    </row>
    <row r="639" spans="1:1" x14ac:dyDescent="0.2">
      <c r="A639" s="21"/>
    </row>
    <row r="640" spans="1:1" x14ac:dyDescent="0.2">
      <c r="A640" s="21"/>
    </row>
    <row r="641" spans="1:1" x14ac:dyDescent="0.2">
      <c r="A641" s="21"/>
    </row>
    <row r="642" spans="1:1" x14ac:dyDescent="0.2">
      <c r="A642" s="21"/>
    </row>
    <row r="643" spans="1:1" x14ac:dyDescent="0.2">
      <c r="A643" s="21"/>
    </row>
    <row r="644" spans="1:1" x14ac:dyDescent="0.2">
      <c r="A644" s="21"/>
    </row>
    <row r="645" spans="1:1" x14ac:dyDescent="0.2">
      <c r="A645" s="21"/>
    </row>
    <row r="646" spans="1:1" x14ac:dyDescent="0.2">
      <c r="A646" s="21"/>
    </row>
    <row r="647" spans="1:1" x14ac:dyDescent="0.2">
      <c r="A647" s="21"/>
    </row>
    <row r="648" spans="1:1" x14ac:dyDescent="0.2">
      <c r="A648" s="21"/>
    </row>
    <row r="649" spans="1:1" x14ac:dyDescent="0.2">
      <c r="A649" s="21"/>
    </row>
    <row r="650" spans="1:1" x14ac:dyDescent="0.2">
      <c r="A650" s="21"/>
    </row>
    <row r="651" spans="1:1" x14ac:dyDescent="0.2">
      <c r="A651" s="21"/>
    </row>
    <row r="652" spans="1:1" x14ac:dyDescent="0.2">
      <c r="A652" s="21"/>
    </row>
    <row r="653" spans="1:1" x14ac:dyDescent="0.2">
      <c r="A653" s="21"/>
    </row>
    <row r="654" spans="1:1" x14ac:dyDescent="0.2">
      <c r="A654" s="21"/>
    </row>
    <row r="655" spans="1:1" x14ac:dyDescent="0.2">
      <c r="A655" s="21"/>
    </row>
    <row r="656" spans="1:1" x14ac:dyDescent="0.2">
      <c r="A656" s="21"/>
    </row>
    <row r="657" spans="1:1" x14ac:dyDescent="0.2">
      <c r="A657" s="21"/>
    </row>
    <row r="658" spans="1:1" x14ac:dyDescent="0.2">
      <c r="A658" s="21"/>
    </row>
    <row r="659" spans="1:1" x14ac:dyDescent="0.2">
      <c r="A659" s="21"/>
    </row>
    <row r="660" spans="1:1" x14ac:dyDescent="0.2">
      <c r="A660" s="21"/>
    </row>
    <row r="661" spans="1:1" x14ac:dyDescent="0.2">
      <c r="A661" s="21"/>
    </row>
    <row r="662" spans="1:1" x14ac:dyDescent="0.2">
      <c r="A662" s="21"/>
    </row>
    <row r="663" spans="1:1" x14ac:dyDescent="0.2">
      <c r="A663" s="21"/>
    </row>
    <row r="664" spans="1:1" x14ac:dyDescent="0.2">
      <c r="A664" s="21"/>
    </row>
    <row r="665" spans="1:1" x14ac:dyDescent="0.2">
      <c r="A665" s="21"/>
    </row>
    <row r="666" spans="1:1" x14ac:dyDescent="0.2">
      <c r="A666" s="21"/>
    </row>
    <row r="667" spans="1:1" x14ac:dyDescent="0.2">
      <c r="A667" s="21"/>
    </row>
    <row r="668" spans="1:1" x14ac:dyDescent="0.2">
      <c r="A668" s="21"/>
    </row>
    <row r="669" spans="1:1" x14ac:dyDescent="0.2">
      <c r="A669" s="21"/>
    </row>
    <row r="670" spans="1:1" x14ac:dyDescent="0.2">
      <c r="A670" s="21"/>
    </row>
    <row r="671" spans="1:1" x14ac:dyDescent="0.2">
      <c r="A671" s="21"/>
    </row>
    <row r="672" spans="1:1" x14ac:dyDescent="0.2">
      <c r="A672" s="21"/>
    </row>
    <row r="673" spans="1:1" x14ac:dyDescent="0.2">
      <c r="A673" s="21"/>
    </row>
    <row r="674" spans="1:1" x14ac:dyDescent="0.2">
      <c r="A674" s="21"/>
    </row>
    <row r="675" spans="1:1" x14ac:dyDescent="0.2">
      <c r="A675" s="21"/>
    </row>
    <row r="676" spans="1:1" x14ac:dyDescent="0.2">
      <c r="A676" s="21"/>
    </row>
    <row r="677" spans="1:1" x14ac:dyDescent="0.2">
      <c r="A677" s="21"/>
    </row>
    <row r="678" spans="1:1" x14ac:dyDescent="0.2">
      <c r="A678" s="21"/>
    </row>
    <row r="679" spans="1:1" x14ac:dyDescent="0.2">
      <c r="A679" s="21"/>
    </row>
    <row r="680" spans="1:1" x14ac:dyDescent="0.2">
      <c r="A680" s="21"/>
    </row>
    <row r="681" spans="1:1" x14ac:dyDescent="0.2">
      <c r="A681" s="21"/>
    </row>
    <row r="682" spans="1:1" x14ac:dyDescent="0.2">
      <c r="A682" s="21"/>
    </row>
    <row r="683" spans="1:1" x14ac:dyDescent="0.2">
      <c r="A683" s="21"/>
    </row>
    <row r="684" spans="1:1" x14ac:dyDescent="0.2">
      <c r="A684" s="21"/>
    </row>
    <row r="685" spans="1:1" x14ac:dyDescent="0.2">
      <c r="A685" s="21"/>
    </row>
    <row r="686" spans="1:1" x14ac:dyDescent="0.2">
      <c r="A686" s="21"/>
    </row>
    <row r="687" spans="1:1" x14ac:dyDescent="0.2">
      <c r="A687" s="21"/>
    </row>
    <row r="688" spans="1:1" x14ac:dyDescent="0.2">
      <c r="A688" s="21"/>
    </row>
    <row r="689" spans="1:1" x14ac:dyDescent="0.2">
      <c r="A689" s="21"/>
    </row>
    <row r="690" spans="1:1" x14ac:dyDescent="0.2">
      <c r="A690" s="21"/>
    </row>
    <row r="691" spans="1:1" x14ac:dyDescent="0.2">
      <c r="A691" s="21"/>
    </row>
    <row r="692" spans="1:1" x14ac:dyDescent="0.2">
      <c r="A692" s="21"/>
    </row>
    <row r="693" spans="1:1" x14ac:dyDescent="0.2">
      <c r="A693" s="21"/>
    </row>
    <row r="694" spans="1:1" x14ac:dyDescent="0.2">
      <c r="A694" s="21"/>
    </row>
    <row r="695" spans="1:1" x14ac:dyDescent="0.2">
      <c r="A695" s="21"/>
    </row>
    <row r="696" spans="1:1" x14ac:dyDescent="0.2">
      <c r="A696" s="21"/>
    </row>
    <row r="697" spans="1:1" x14ac:dyDescent="0.2">
      <c r="A697" s="21"/>
    </row>
    <row r="698" spans="1:1" x14ac:dyDescent="0.2">
      <c r="A698" s="21"/>
    </row>
    <row r="699" spans="1:1" x14ac:dyDescent="0.2">
      <c r="A699" s="21"/>
    </row>
    <row r="700" spans="1:1" x14ac:dyDescent="0.2">
      <c r="A700" s="21"/>
    </row>
    <row r="701" spans="1:1" x14ac:dyDescent="0.2">
      <c r="A701" s="21"/>
    </row>
    <row r="702" spans="1:1" x14ac:dyDescent="0.2">
      <c r="A702" s="21"/>
    </row>
    <row r="703" spans="1:1" x14ac:dyDescent="0.2">
      <c r="A703" s="21"/>
    </row>
    <row r="704" spans="1:1" x14ac:dyDescent="0.2">
      <c r="A704" s="21"/>
    </row>
    <row r="705" spans="1:1" x14ac:dyDescent="0.2">
      <c r="A705" s="21"/>
    </row>
    <row r="706" spans="1:1" x14ac:dyDescent="0.2">
      <c r="A706" s="21"/>
    </row>
    <row r="707" spans="1:1" x14ac:dyDescent="0.2">
      <c r="A707" s="21"/>
    </row>
    <row r="708" spans="1:1" x14ac:dyDescent="0.2">
      <c r="A708" s="21"/>
    </row>
    <row r="709" spans="1:1" x14ac:dyDescent="0.2">
      <c r="A709" s="21"/>
    </row>
    <row r="710" spans="1:1" x14ac:dyDescent="0.2">
      <c r="A710" s="21"/>
    </row>
    <row r="711" spans="1:1" x14ac:dyDescent="0.2">
      <c r="A711" s="21"/>
    </row>
    <row r="712" spans="1:1" x14ac:dyDescent="0.2">
      <c r="A712" s="21"/>
    </row>
    <row r="713" spans="1:1" x14ac:dyDescent="0.2">
      <c r="A713" s="21"/>
    </row>
    <row r="714" spans="1:1" x14ac:dyDescent="0.2">
      <c r="A714" s="21"/>
    </row>
    <row r="715" spans="1:1" x14ac:dyDescent="0.2">
      <c r="A715" s="21"/>
    </row>
    <row r="716" spans="1:1" x14ac:dyDescent="0.2">
      <c r="A716" s="21"/>
    </row>
    <row r="717" spans="1:1" x14ac:dyDescent="0.2">
      <c r="A717" s="21"/>
    </row>
    <row r="718" spans="1:1" x14ac:dyDescent="0.2">
      <c r="A718" s="21"/>
    </row>
    <row r="719" spans="1:1" x14ac:dyDescent="0.2">
      <c r="A719" s="21"/>
    </row>
    <row r="720" spans="1:1" x14ac:dyDescent="0.2">
      <c r="A720" s="21"/>
    </row>
  </sheetData>
  <phoneticPr fontId="3" type="noConversion"/>
  <pageMargins left="0.75" right="0.75" top="1" bottom="1" header="0.5" footer="0.5"/>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E720"/>
  <sheetViews>
    <sheetView topLeftCell="A410" workbookViewId="0">
      <selection activeCell="C432" sqref="C432:D432"/>
    </sheetView>
  </sheetViews>
  <sheetFormatPr defaultRowHeight="12.75" x14ac:dyDescent="0.2"/>
  <cols>
    <col min="1" max="5" width="18" customWidth="1"/>
  </cols>
  <sheetData>
    <row r="1" spans="1:5" x14ac:dyDescent="0.2">
      <c r="A1" s="265" t="s">
        <v>353</v>
      </c>
      <c r="B1" s="321" t="s">
        <v>486</v>
      </c>
      <c r="C1" s="20" t="s">
        <v>349</v>
      </c>
      <c r="D1" s="252" t="e">
        <f>Fees!F166</f>
        <v>#REF!</v>
      </c>
      <c r="E1" s="74" t="s">
        <v>81</v>
      </c>
    </row>
    <row r="2" spans="1:5" x14ac:dyDescent="0.2">
      <c r="A2" s="3" t="s">
        <v>27</v>
      </c>
      <c r="B2" s="71" t="s">
        <v>91</v>
      </c>
      <c r="C2" s="3" t="s">
        <v>92</v>
      </c>
      <c r="D2" s="71" t="s">
        <v>90</v>
      </c>
      <c r="E2" s="71" t="s">
        <v>80</v>
      </c>
    </row>
    <row r="3" spans="1:5" x14ac:dyDescent="0.2">
      <c r="A3" s="345">
        <v>27606</v>
      </c>
    </row>
    <row r="4" spans="1:5" x14ac:dyDescent="0.2">
      <c r="A4" s="345">
        <v>27637</v>
      </c>
    </row>
    <row r="5" spans="1:5" x14ac:dyDescent="0.2">
      <c r="A5" s="345">
        <v>27667</v>
      </c>
    </row>
    <row r="6" spans="1:5" x14ac:dyDescent="0.2">
      <c r="A6" s="345">
        <v>27698</v>
      </c>
    </row>
    <row r="7" spans="1:5" x14ac:dyDescent="0.2">
      <c r="A7" s="345">
        <v>27728</v>
      </c>
    </row>
    <row r="8" spans="1:5" x14ac:dyDescent="0.2">
      <c r="A8" s="345">
        <v>27759</v>
      </c>
    </row>
    <row r="9" spans="1:5" x14ac:dyDescent="0.2">
      <c r="A9" s="345">
        <v>27790</v>
      </c>
    </row>
    <row r="10" spans="1:5" x14ac:dyDescent="0.2">
      <c r="A10" s="345">
        <v>27819</v>
      </c>
    </row>
    <row r="11" spans="1:5" x14ac:dyDescent="0.2">
      <c r="A11" s="345">
        <v>27850</v>
      </c>
    </row>
    <row r="12" spans="1:5" x14ac:dyDescent="0.2">
      <c r="A12" s="345">
        <v>27880</v>
      </c>
    </row>
    <row r="13" spans="1:5" x14ac:dyDescent="0.2">
      <c r="A13" s="345">
        <v>27911</v>
      </c>
    </row>
    <row r="14" spans="1:5" x14ac:dyDescent="0.2">
      <c r="A14" s="345">
        <v>27941</v>
      </c>
    </row>
    <row r="15" spans="1:5" x14ac:dyDescent="0.2">
      <c r="A15" s="345">
        <v>27972</v>
      </c>
    </row>
    <row r="16" spans="1:5" x14ac:dyDescent="0.2">
      <c r="A16" s="345">
        <v>28003</v>
      </c>
    </row>
    <row r="17" spans="1:1" x14ac:dyDescent="0.2">
      <c r="A17" s="345">
        <v>28033</v>
      </c>
    </row>
    <row r="18" spans="1:1" x14ac:dyDescent="0.2">
      <c r="A18" s="345">
        <v>28064</v>
      </c>
    </row>
    <row r="19" spans="1:1" x14ac:dyDescent="0.2">
      <c r="A19" s="345">
        <v>28094</v>
      </c>
    </row>
    <row r="20" spans="1:1" x14ac:dyDescent="0.2">
      <c r="A20" s="345">
        <v>28125</v>
      </c>
    </row>
    <row r="21" spans="1:1" x14ac:dyDescent="0.2">
      <c r="A21" s="345">
        <v>28156</v>
      </c>
    </row>
    <row r="22" spans="1:1" x14ac:dyDescent="0.2">
      <c r="A22" s="345">
        <v>28184</v>
      </c>
    </row>
    <row r="23" spans="1:1" x14ac:dyDescent="0.2">
      <c r="A23" s="345">
        <v>28215</v>
      </c>
    </row>
    <row r="24" spans="1:1" x14ac:dyDescent="0.2">
      <c r="A24" s="345">
        <v>28245</v>
      </c>
    </row>
    <row r="25" spans="1:1" x14ac:dyDescent="0.2">
      <c r="A25" s="345">
        <v>28276</v>
      </c>
    </row>
    <row r="26" spans="1:1" x14ac:dyDescent="0.2">
      <c r="A26" s="345">
        <v>28306</v>
      </c>
    </row>
    <row r="27" spans="1:1" x14ac:dyDescent="0.2">
      <c r="A27" s="345">
        <v>28337</v>
      </c>
    </row>
    <row r="28" spans="1:1" x14ac:dyDescent="0.2">
      <c r="A28" s="345">
        <v>28368</v>
      </c>
    </row>
    <row r="29" spans="1:1" x14ac:dyDescent="0.2">
      <c r="A29" s="345">
        <v>28398</v>
      </c>
    </row>
    <row r="30" spans="1:1" x14ac:dyDescent="0.2">
      <c r="A30" s="345">
        <v>28429</v>
      </c>
    </row>
    <row r="31" spans="1:1" x14ac:dyDescent="0.2">
      <c r="A31" s="345">
        <v>28459</v>
      </c>
    </row>
    <row r="32" spans="1:1" x14ac:dyDescent="0.2">
      <c r="A32" s="345">
        <v>28490</v>
      </c>
    </row>
    <row r="33" spans="1:1" x14ac:dyDescent="0.2">
      <c r="A33" s="345">
        <v>28521</v>
      </c>
    </row>
    <row r="34" spans="1:1" x14ac:dyDescent="0.2">
      <c r="A34" s="345">
        <v>28549</v>
      </c>
    </row>
    <row r="35" spans="1:1" x14ac:dyDescent="0.2">
      <c r="A35" s="345">
        <v>28580</v>
      </c>
    </row>
    <row r="36" spans="1:1" x14ac:dyDescent="0.2">
      <c r="A36" s="345">
        <v>28610</v>
      </c>
    </row>
    <row r="37" spans="1:1" x14ac:dyDescent="0.2">
      <c r="A37" s="345">
        <v>28641</v>
      </c>
    </row>
    <row r="38" spans="1:1" x14ac:dyDescent="0.2">
      <c r="A38" s="345">
        <v>28671</v>
      </c>
    </row>
    <row r="39" spans="1:1" x14ac:dyDescent="0.2">
      <c r="A39" s="345">
        <v>28702</v>
      </c>
    </row>
    <row r="40" spans="1:1" x14ac:dyDescent="0.2">
      <c r="A40" s="345">
        <v>28733</v>
      </c>
    </row>
    <row r="41" spans="1:1" x14ac:dyDescent="0.2">
      <c r="A41" s="345">
        <v>28763</v>
      </c>
    </row>
    <row r="42" spans="1:1" x14ac:dyDescent="0.2">
      <c r="A42" s="345">
        <v>28794</v>
      </c>
    </row>
    <row r="43" spans="1:1" x14ac:dyDescent="0.2">
      <c r="A43" s="345">
        <v>28824</v>
      </c>
    </row>
    <row r="44" spans="1:1" x14ac:dyDescent="0.2">
      <c r="A44" s="345">
        <v>28855</v>
      </c>
    </row>
    <row r="45" spans="1:1" x14ac:dyDescent="0.2">
      <c r="A45" s="345">
        <v>28886</v>
      </c>
    </row>
    <row r="46" spans="1:1" x14ac:dyDescent="0.2">
      <c r="A46" s="345">
        <v>28914</v>
      </c>
    </row>
    <row r="47" spans="1:1" x14ac:dyDescent="0.2">
      <c r="A47" s="345">
        <v>28945</v>
      </c>
    </row>
    <row r="48" spans="1:1" x14ac:dyDescent="0.2">
      <c r="A48" s="345">
        <v>28975</v>
      </c>
    </row>
    <row r="49" spans="1:1" x14ac:dyDescent="0.2">
      <c r="A49" s="345">
        <v>29006</v>
      </c>
    </row>
    <row r="50" spans="1:1" x14ac:dyDescent="0.2">
      <c r="A50" s="345">
        <v>29036</v>
      </c>
    </row>
    <row r="51" spans="1:1" x14ac:dyDescent="0.2">
      <c r="A51" s="345">
        <v>29067</v>
      </c>
    </row>
    <row r="52" spans="1:1" x14ac:dyDescent="0.2">
      <c r="A52" s="345">
        <v>29098</v>
      </c>
    </row>
    <row r="53" spans="1:1" x14ac:dyDescent="0.2">
      <c r="A53" s="345">
        <v>29128</v>
      </c>
    </row>
    <row r="54" spans="1:1" x14ac:dyDescent="0.2">
      <c r="A54" s="345">
        <v>29159</v>
      </c>
    </row>
    <row r="55" spans="1:1" x14ac:dyDescent="0.2">
      <c r="A55" s="345">
        <v>29189</v>
      </c>
    </row>
    <row r="56" spans="1:1" x14ac:dyDescent="0.2">
      <c r="A56" s="345">
        <v>29220</v>
      </c>
    </row>
    <row r="57" spans="1:1" x14ac:dyDescent="0.2">
      <c r="A57" s="345">
        <v>29251</v>
      </c>
    </row>
    <row r="58" spans="1:1" x14ac:dyDescent="0.2">
      <c r="A58" s="345">
        <v>29280</v>
      </c>
    </row>
    <row r="59" spans="1:1" x14ac:dyDescent="0.2">
      <c r="A59" s="345">
        <v>29311</v>
      </c>
    </row>
    <row r="60" spans="1:1" x14ac:dyDescent="0.2">
      <c r="A60" s="345">
        <v>29341</v>
      </c>
    </row>
    <row r="61" spans="1:1" x14ac:dyDescent="0.2">
      <c r="A61" s="345">
        <v>29372</v>
      </c>
    </row>
    <row r="62" spans="1:1" x14ac:dyDescent="0.2">
      <c r="A62" s="345">
        <v>29402</v>
      </c>
    </row>
    <row r="63" spans="1:1" x14ac:dyDescent="0.2">
      <c r="A63" s="345">
        <v>29433</v>
      </c>
    </row>
    <row r="64" spans="1:1" x14ac:dyDescent="0.2">
      <c r="A64" s="345">
        <v>29464</v>
      </c>
    </row>
    <row r="65" spans="1:1" x14ac:dyDescent="0.2">
      <c r="A65" s="345">
        <v>29494</v>
      </c>
    </row>
    <row r="66" spans="1:1" x14ac:dyDescent="0.2">
      <c r="A66" s="345">
        <v>29525</v>
      </c>
    </row>
    <row r="67" spans="1:1" x14ac:dyDescent="0.2">
      <c r="A67" s="345">
        <v>29555</v>
      </c>
    </row>
    <row r="68" spans="1:1" x14ac:dyDescent="0.2">
      <c r="A68" s="345">
        <v>29586</v>
      </c>
    </row>
    <row r="69" spans="1:1" x14ac:dyDescent="0.2">
      <c r="A69" s="345">
        <v>29617</v>
      </c>
    </row>
    <row r="70" spans="1:1" x14ac:dyDescent="0.2">
      <c r="A70" s="345">
        <v>29645</v>
      </c>
    </row>
    <row r="71" spans="1:1" x14ac:dyDescent="0.2">
      <c r="A71" s="345">
        <v>29676</v>
      </c>
    </row>
    <row r="72" spans="1:1" x14ac:dyDescent="0.2">
      <c r="A72" s="345">
        <v>29706</v>
      </c>
    </row>
    <row r="73" spans="1:1" x14ac:dyDescent="0.2">
      <c r="A73" s="345">
        <v>29737</v>
      </c>
    </row>
    <row r="74" spans="1:1" x14ac:dyDescent="0.2">
      <c r="A74" s="345">
        <v>29767</v>
      </c>
    </row>
    <row r="75" spans="1:1" x14ac:dyDescent="0.2">
      <c r="A75" s="345">
        <v>29798</v>
      </c>
    </row>
    <row r="76" spans="1:1" x14ac:dyDescent="0.2">
      <c r="A76" s="345">
        <v>29829</v>
      </c>
    </row>
    <row r="77" spans="1:1" x14ac:dyDescent="0.2">
      <c r="A77" s="345">
        <v>29859</v>
      </c>
    </row>
    <row r="78" spans="1:1" x14ac:dyDescent="0.2">
      <c r="A78" s="345">
        <v>29890</v>
      </c>
    </row>
    <row r="79" spans="1:1" x14ac:dyDescent="0.2">
      <c r="A79" s="345">
        <v>29920</v>
      </c>
    </row>
    <row r="80" spans="1:1" x14ac:dyDescent="0.2">
      <c r="A80" s="345">
        <v>29951</v>
      </c>
    </row>
    <row r="81" spans="1:1" x14ac:dyDescent="0.2">
      <c r="A81" s="345">
        <v>29982</v>
      </c>
    </row>
    <row r="82" spans="1:1" x14ac:dyDescent="0.2">
      <c r="A82" s="345">
        <v>30010</v>
      </c>
    </row>
    <row r="83" spans="1:1" x14ac:dyDescent="0.2">
      <c r="A83" s="345">
        <v>30041</v>
      </c>
    </row>
    <row r="84" spans="1:1" x14ac:dyDescent="0.2">
      <c r="A84" s="345">
        <v>30071</v>
      </c>
    </row>
    <row r="85" spans="1:1" x14ac:dyDescent="0.2">
      <c r="A85" s="345">
        <v>30102</v>
      </c>
    </row>
    <row r="86" spans="1:1" x14ac:dyDescent="0.2">
      <c r="A86" s="345">
        <v>30132</v>
      </c>
    </row>
    <row r="87" spans="1:1" x14ac:dyDescent="0.2">
      <c r="A87" s="345">
        <v>30163</v>
      </c>
    </row>
    <row r="88" spans="1:1" x14ac:dyDescent="0.2">
      <c r="A88" s="345">
        <v>30194</v>
      </c>
    </row>
    <row r="89" spans="1:1" x14ac:dyDescent="0.2">
      <c r="A89" s="345">
        <v>30224</v>
      </c>
    </row>
    <row r="90" spans="1:1" x14ac:dyDescent="0.2">
      <c r="A90" s="345">
        <v>30255</v>
      </c>
    </row>
    <row r="91" spans="1:1" x14ac:dyDescent="0.2">
      <c r="A91" s="345">
        <v>30285</v>
      </c>
    </row>
    <row r="92" spans="1:1" x14ac:dyDescent="0.2">
      <c r="A92" s="345">
        <v>30316</v>
      </c>
    </row>
    <row r="93" spans="1:1" x14ac:dyDescent="0.2">
      <c r="A93" s="345">
        <v>30347</v>
      </c>
    </row>
    <row r="94" spans="1:1" x14ac:dyDescent="0.2">
      <c r="A94" s="345">
        <v>30375</v>
      </c>
    </row>
    <row r="95" spans="1:1" x14ac:dyDescent="0.2">
      <c r="A95" s="345">
        <v>30406</v>
      </c>
    </row>
    <row r="96" spans="1:1" x14ac:dyDescent="0.2">
      <c r="A96" s="345">
        <v>30436</v>
      </c>
    </row>
    <row r="97" spans="1:1" x14ac:dyDescent="0.2">
      <c r="A97" s="345">
        <v>30467</v>
      </c>
    </row>
    <row r="98" spans="1:1" x14ac:dyDescent="0.2">
      <c r="A98" s="345">
        <v>30497</v>
      </c>
    </row>
    <row r="99" spans="1:1" x14ac:dyDescent="0.2">
      <c r="A99" s="345">
        <v>30528</v>
      </c>
    </row>
    <row r="100" spans="1:1" x14ac:dyDescent="0.2">
      <c r="A100" s="345">
        <v>30559</v>
      </c>
    </row>
    <row r="101" spans="1:1" x14ac:dyDescent="0.2">
      <c r="A101" s="345">
        <v>30589</v>
      </c>
    </row>
    <row r="102" spans="1:1" x14ac:dyDescent="0.2">
      <c r="A102" s="345">
        <v>30620</v>
      </c>
    </row>
    <row r="103" spans="1:1" x14ac:dyDescent="0.2">
      <c r="A103" s="345">
        <v>30650</v>
      </c>
    </row>
    <row r="104" spans="1:1" x14ac:dyDescent="0.2">
      <c r="A104" s="345">
        <v>30681</v>
      </c>
    </row>
    <row r="105" spans="1:1" x14ac:dyDescent="0.2">
      <c r="A105" s="345">
        <v>30712</v>
      </c>
    </row>
    <row r="106" spans="1:1" x14ac:dyDescent="0.2">
      <c r="A106" s="345">
        <v>30741</v>
      </c>
    </row>
    <row r="107" spans="1:1" x14ac:dyDescent="0.2">
      <c r="A107" s="345">
        <v>30772</v>
      </c>
    </row>
    <row r="108" spans="1:1" x14ac:dyDescent="0.2">
      <c r="A108" s="345">
        <v>30802</v>
      </c>
    </row>
    <row r="109" spans="1:1" x14ac:dyDescent="0.2">
      <c r="A109" s="345">
        <v>30833</v>
      </c>
    </row>
    <row r="110" spans="1:1" x14ac:dyDescent="0.2">
      <c r="A110" s="345">
        <v>30863</v>
      </c>
    </row>
    <row r="111" spans="1:1" x14ac:dyDescent="0.2">
      <c r="A111" s="345">
        <v>30894</v>
      </c>
    </row>
    <row r="112" spans="1:1" x14ac:dyDescent="0.2">
      <c r="A112" s="345">
        <v>30925</v>
      </c>
    </row>
    <row r="113" spans="1:1" x14ac:dyDescent="0.2">
      <c r="A113" s="345">
        <v>30955</v>
      </c>
    </row>
    <row r="114" spans="1:1" x14ac:dyDescent="0.2">
      <c r="A114" s="345">
        <v>30986</v>
      </c>
    </row>
    <row r="115" spans="1:1" x14ac:dyDescent="0.2">
      <c r="A115" s="345">
        <v>31016</v>
      </c>
    </row>
    <row r="116" spans="1:1" x14ac:dyDescent="0.2">
      <c r="A116" s="345">
        <v>31047</v>
      </c>
    </row>
    <row r="117" spans="1:1" x14ac:dyDescent="0.2">
      <c r="A117" s="345">
        <v>31078</v>
      </c>
    </row>
    <row r="118" spans="1:1" x14ac:dyDescent="0.2">
      <c r="A118" s="345">
        <v>31106</v>
      </c>
    </row>
    <row r="119" spans="1:1" x14ac:dyDescent="0.2">
      <c r="A119" s="345">
        <v>31137</v>
      </c>
    </row>
    <row r="120" spans="1:1" x14ac:dyDescent="0.2">
      <c r="A120" s="345">
        <v>31167</v>
      </c>
    </row>
    <row r="121" spans="1:1" x14ac:dyDescent="0.2">
      <c r="A121" s="345">
        <v>31198</v>
      </c>
    </row>
    <row r="122" spans="1:1" x14ac:dyDescent="0.2">
      <c r="A122" s="345">
        <v>31228</v>
      </c>
    </row>
    <row r="123" spans="1:1" x14ac:dyDescent="0.2">
      <c r="A123" s="345">
        <v>31259</v>
      </c>
    </row>
    <row r="124" spans="1:1" x14ac:dyDescent="0.2">
      <c r="A124" s="345">
        <v>31290</v>
      </c>
    </row>
    <row r="125" spans="1:1" x14ac:dyDescent="0.2">
      <c r="A125" s="345">
        <v>31320</v>
      </c>
    </row>
    <row r="126" spans="1:1" x14ac:dyDescent="0.2">
      <c r="A126" s="345">
        <v>31351</v>
      </c>
    </row>
    <row r="127" spans="1:1" x14ac:dyDescent="0.2">
      <c r="A127" s="345">
        <v>31381</v>
      </c>
    </row>
    <row r="128" spans="1:1" x14ac:dyDescent="0.2">
      <c r="A128" s="345">
        <v>31412</v>
      </c>
    </row>
    <row r="129" spans="1:1" x14ac:dyDescent="0.2">
      <c r="A129" s="345">
        <v>31443</v>
      </c>
    </row>
    <row r="130" spans="1:1" x14ac:dyDescent="0.2">
      <c r="A130" s="345">
        <v>31471</v>
      </c>
    </row>
    <row r="131" spans="1:1" x14ac:dyDescent="0.2">
      <c r="A131" s="345">
        <v>31502</v>
      </c>
    </row>
    <row r="132" spans="1:1" x14ac:dyDescent="0.2">
      <c r="A132" s="345">
        <v>31532</v>
      </c>
    </row>
    <row r="133" spans="1:1" x14ac:dyDescent="0.2">
      <c r="A133" s="345">
        <v>31563</v>
      </c>
    </row>
    <row r="134" spans="1:1" x14ac:dyDescent="0.2">
      <c r="A134" s="345">
        <v>31593</v>
      </c>
    </row>
    <row r="135" spans="1:1" x14ac:dyDescent="0.2">
      <c r="A135" s="345">
        <v>31624</v>
      </c>
    </row>
    <row r="136" spans="1:1" x14ac:dyDescent="0.2">
      <c r="A136" s="345">
        <v>31655</v>
      </c>
    </row>
    <row r="137" spans="1:1" x14ac:dyDescent="0.2">
      <c r="A137" s="345">
        <v>31685</v>
      </c>
    </row>
    <row r="138" spans="1:1" x14ac:dyDescent="0.2">
      <c r="A138" s="345">
        <v>31716</v>
      </c>
    </row>
    <row r="139" spans="1:1" x14ac:dyDescent="0.2">
      <c r="A139" s="345">
        <v>31746</v>
      </c>
    </row>
    <row r="140" spans="1:1" x14ac:dyDescent="0.2">
      <c r="A140" s="345">
        <v>31777</v>
      </c>
    </row>
    <row r="141" spans="1:1" x14ac:dyDescent="0.2">
      <c r="A141" s="345">
        <v>31808</v>
      </c>
    </row>
    <row r="142" spans="1:1" x14ac:dyDescent="0.2">
      <c r="A142" s="345">
        <v>31836</v>
      </c>
    </row>
    <row r="143" spans="1:1" x14ac:dyDescent="0.2">
      <c r="A143" s="345">
        <v>31867</v>
      </c>
    </row>
    <row r="144" spans="1:1" x14ac:dyDescent="0.2">
      <c r="A144" s="345">
        <v>31897</v>
      </c>
    </row>
    <row r="145" spans="1:1" x14ac:dyDescent="0.2">
      <c r="A145" s="345">
        <v>31928</v>
      </c>
    </row>
    <row r="146" spans="1:1" x14ac:dyDescent="0.2">
      <c r="A146" s="345">
        <v>31958</v>
      </c>
    </row>
    <row r="147" spans="1:1" x14ac:dyDescent="0.2">
      <c r="A147" s="345">
        <v>31989</v>
      </c>
    </row>
    <row r="148" spans="1:1" x14ac:dyDescent="0.2">
      <c r="A148" s="345">
        <v>32020</v>
      </c>
    </row>
    <row r="149" spans="1:1" x14ac:dyDescent="0.2">
      <c r="A149" s="345">
        <v>32050</v>
      </c>
    </row>
    <row r="150" spans="1:1" x14ac:dyDescent="0.2">
      <c r="A150" s="345">
        <v>32081</v>
      </c>
    </row>
    <row r="151" spans="1:1" x14ac:dyDescent="0.2">
      <c r="A151" s="345">
        <v>32111</v>
      </c>
    </row>
    <row r="152" spans="1:1" x14ac:dyDescent="0.2">
      <c r="A152" s="345">
        <v>32142</v>
      </c>
    </row>
    <row r="153" spans="1:1" x14ac:dyDescent="0.2">
      <c r="A153" s="345">
        <v>32173</v>
      </c>
    </row>
    <row r="154" spans="1:1" x14ac:dyDescent="0.2">
      <c r="A154" s="345">
        <v>32202</v>
      </c>
    </row>
    <row r="155" spans="1:1" x14ac:dyDescent="0.2">
      <c r="A155" s="345">
        <v>32233</v>
      </c>
    </row>
    <row r="156" spans="1:1" x14ac:dyDescent="0.2">
      <c r="A156" s="345">
        <v>32263</v>
      </c>
    </row>
    <row r="157" spans="1:1" x14ac:dyDescent="0.2">
      <c r="A157" s="345">
        <v>32294</v>
      </c>
    </row>
    <row r="158" spans="1:1" x14ac:dyDescent="0.2">
      <c r="A158" s="345">
        <v>32324</v>
      </c>
    </row>
    <row r="159" spans="1:1" x14ac:dyDescent="0.2">
      <c r="A159" s="345">
        <v>32355</v>
      </c>
    </row>
    <row r="160" spans="1:1" x14ac:dyDescent="0.2">
      <c r="A160" s="345">
        <v>32386</v>
      </c>
    </row>
    <row r="161" spans="1:1" x14ac:dyDescent="0.2">
      <c r="A161" s="345">
        <v>32416</v>
      </c>
    </row>
    <row r="162" spans="1:1" x14ac:dyDescent="0.2">
      <c r="A162" s="345">
        <v>32447</v>
      </c>
    </row>
    <row r="163" spans="1:1" x14ac:dyDescent="0.2">
      <c r="A163" s="345">
        <v>32477</v>
      </c>
    </row>
    <row r="164" spans="1:1" x14ac:dyDescent="0.2">
      <c r="A164" s="345">
        <v>32508</v>
      </c>
    </row>
    <row r="165" spans="1:1" x14ac:dyDescent="0.2">
      <c r="A165" s="345">
        <v>32539</v>
      </c>
    </row>
    <row r="166" spans="1:1" x14ac:dyDescent="0.2">
      <c r="A166" s="345">
        <v>32567</v>
      </c>
    </row>
    <row r="167" spans="1:1" x14ac:dyDescent="0.2">
      <c r="A167" s="345">
        <v>32598</v>
      </c>
    </row>
    <row r="168" spans="1:1" x14ac:dyDescent="0.2">
      <c r="A168" s="345">
        <v>32628</v>
      </c>
    </row>
    <row r="169" spans="1:1" x14ac:dyDescent="0.2">
      <c r="A169" s="345">
        <v>32659</v>
      </c>
    </row>
    <row r="170" spans="1:1" x14ac:dyDescent="0.2">
      <c r="A170" s="345">
        <v>32689</v>
      </c>
    </row>
    <row r="171" spans="1:1" x14ac:dyDescent="0.2">
      <c r="A171" s="345">
        <v>32720</v>
      </c>
    </row>
    <row r="172" spans="1:1" x14ac:dyDescent="0.2">
      <c r="A172" s="345">
        <v>32751</v>
      </c>
    </row>
    <row r="173" spans="1:1" x14ac:dyDescent="0.2">
      <c r="A173" s="345">
        <v>32781</v>
      </c>
    </row>
    <row r="174" spans="1:1" x14ac:dyDescent="0.2">
      <c r="A174" s="345">
        <v>32812</v>
      </c>
    </row>
    <row r="175" spans="1:1" x14ac:dyDescent="0.2">
      <c r="A175" s="345">
        <v>32842</v>
      </c>
    </row>
    <row r="176" spans="1:1" x14ac:dyDescent="0.2">
      <c r="A176" s="345">
        <v>32873</v>
      </c>
    </row>
    <row r="177" spans="1:1" x14ac:dyDescent="0.2">
      <c r="A177" s="345">
        <v>32904</v>
      </c>
    </row>
    <row r="178" spans="1:1" x14ac:dyDescent="0.2">
      <c r="A178" s="345">
        <v>32932</v>
      </c>
    </row>
    <row r="179" spans="1:1" x14ac:dyDescent="0.2">
      <c r="A179" s="345">
        <v>32963</v>
      </c>
    </row>
    <row r="180" spans="1:1" x14ac:dyDescent="0.2">
      <c r="A180" s="345">
        <v>32993</v>
      </c>
    </row>
    <row r="181" spans="1:1" x14ac:dyDescent="0.2">
      <c r="A181" s="345">
        <v>33024</v>
      </c>
    </row>
    <row r="182" spans="1:1" x14ac:dyDescent="0.2">
      <c r="A182" s="345">
        <v>33054</v>
      </c>
    </row>
    <row r="183" spans="1:1" x14ac:dyDescent="0.2">
      <c r="A183" s="345">
        <v>33085</v>
      </c>
    </row>
    <row r="184" spans="1:1" x14ac:dyDescent="0.2">
      <c r="A184" s="345">
        <v>33116</v>
      </c>
    </row>
    <row r="185" spans="1:1" x14ac:dyDescent="0.2">
      <c r="A185" s="345">
        <v>33146</v>
      </c>
    </row>
    <row r="186" spans="1:1" x14ac:dyDescent="0.2">
      <c r="A186" s="345">
        <v>33177</v>
      </c>
    </row>
    <row r="187" spans="1:1" x14ac:dyDescent="0.2">
      <c r="A187" s="345">
        <v>33207</v>
      </c>
    </row>
    <row r="188" spans="1:1" x14ac:dyDescent="0.2">
      <c r="A188" s="345">
        <v>33238</v>
      </c>
    </row>
    <row r="189" spans="1:1" x14ac:dyDescent="0.2">
      <c r="A189" s="345">
        <v>33269</v>
      </c>
    </row>
    <row r="190" spans="1:1" x14ac:dyDescent="0.2">
      <c r="A190" s="345">
        <v>33297</v>
      </c>
    </row>
    <row r="191" spans="1:1" x14ac:dyDescent="0.2">
      <c r="A191" s="345">
        <v>33328</v>
      </c>
    </row>
    <row r="192" spans="1:1" x14ac:dyDescent="0.2">
      <c r="A192" s="345">
        <v>33358</v>
      </c>
    </row>
    <row r="193" spans="1:1" x14ac:dyDescent="0.2">
      <c r="A193" s="345">
        <v>33389</v>
      </c>
    </row>
    <row r="194" spans="1:1" x14ac:dyDescent="0.2">
      <c r="A194" s="345">
        <v>33419</v>
      </c>
    </row>
    <row r="195" spans="1:1" x14ac:dyDescent="0.2">
      <c r="A195" s="345">
        <v>33450</v>
      </c>
    </row>
    <row r="196" spans="1:1" x14ac:dyDescent="0.2">
      <c r="A196" s="345">
        <v>33481</v>
      </c>
    </row>
    <row r="197" spans="1:1" x14ac:dyDescent="0.2">
      <c r="A197" s="345">
        <v>33511</v>
      </c>
    </row>
    <row r="198" spans="1:1" x14ac:dyDescent="0.2">
      <c r="A198" s="345">
        <v>33542</v>
      </c>
    </row>
    <row r="199" spans="1:1" x14ac:dyDescent="0.2">
      <c r="A199" s="345">
        <v>33572</v>
      </c>
    </row>
    <row r="200" spans="1:1" x14ac:dyDescent="0.2">
      <c r="A200" s="345">
        <v>33603</v>
      </c>
    </row>
    <row r="201" spans="1:1" x14ac:dyDescent="0.2">
      <c r="A201" s="345">
        <v>33634</v>
      </c>
    </row>
    <row r="202" spans="1:1" x14ac:dyDescent="0.2">
      <c r="A202" s="345">
        <v>33663</v>
      </c>
    </row>
    <row r="203" spans="1:1" x14ac:dyDescent="0.2">
      <c r="A203" s="345">
        <v>33694</v>
      </c>
    </row>
    <row r="204" spans="1:1" x14ac:dyDescent="0.2">
      <c r="A204" s="345">
        <v>33724</v>
      </c>
    </row>
    <row r="205" spans="1:1" x14ac:dyDescent="0.2">
      <c r="A205" s="345">
        <v>33755</v>
      </c>
    </row>
    <row r="206" spans="1:1" x14ac:dyDescent="0.2">
      <c r="A206" s="345">
        <v>33785</v>
      </c>
    </row>
    <row r="207" spans="1:1" x14ac:dyDescent="0.2">
      <c r="A207" s="345">
        <v>33816</v>
      </c>
    </row>
    <row r="208" spans="1:1" x14ac:dyDescent="0.2">
      <c r="A208" s="345">
        <v>33847</v>
      </c>
    </row>
    <row r="209" spans="1:1" x14ac:dyDescent="0.2">
      <c r="A209" s="345">
        <v>33877</v>
      </c>
    </row>
    <row r="210" spans="1:1" x14ac:dyDescent="0.2">
      <c r="A210" s="345">
        <v>33908</v>
      </c>
    </row>
    <row r="211" spans="1:1" x14ac:dyDescent="0.2">
      <c r="A211" s="345">
        <v>33938</v>
      </c>
    </row>
    <row r="212" spans="1:1" x14ac:dyDescent="0.2">
      <c r="A212" s="345">
        <v>33969</v>
      </c>
    </row>
    <row r="213" spans="1:1" x14ac:dyDescent="0.2">
      <c r="A213" s="345">
        <v>34000</v>
      </c>
    </row>
    <row r="214" spans="1:1" x14ac:dyDescent="0.2">
      <c r="A214" s="345">
        <v>34028</v>
      </c>
    </row>
    <row r="215" spans="1:1" x14ac:dyDescent="0.2">
      <c r="A215" s="345">
        <v>34059</v>
      </c>
    </row>
    <row r="216" spans="1:1" x14ac:dyDescent="0.2">
      <c r="A216" s="345">
        <v>34089</v>
      </c>
    </row>
    <row r="217" spans="1:1" x14ac:dyDescent="0.2">
      <c r="A217" s="345">
        <v>34120</v>
      </c>
    </row>
    <row r="218" spans="1:1" x14ac:dyDescent="0.2">
      <c r="A218" s="345">
        <v>34150</v>
      </c>
    </row>
    <row r="219" spans="1:1" x14ac:dyDescent="0.2">
      <c r="A219" s="345">
        <v>34181</v>
      </c>
    </row>
    <row r="220" spans="1:1" x14ac:dyDescent="0.2">
      <c r="A220" s="345">
        <v>34212</v>
      </c>
    </row>
    <row r="221" spans="1:1" x14ac:dyDescent="0.2">
      <c r="A221" s="345">
        <v>34242</v>
      </c>
    </row>
    <row r="222" spans="1:1" x14ac:dyDescent="0.2">
      <c r="A222" s="345">
        <v>34273</v>
      </c>
    </row>
    <row r="223" spans="1:1" x14ac:dyDescent="0.2">
      <c r="A223" s="345">
        <v>34303</v>
      </c>
    </row>
    <row r="224" spans="1:1" x14ac:dyDescent="0.2">
      <c r="A224" s="345">
        <v>34334</v>
      </c>
    </row>
    <row r="225" spans="1:1" x14ac:dyDescent="0.2">
      <c r="A225" s="345">
        <v>34365</v>
      </c>
    </row>
    <row r="226" spans="1:1" x14ac:dyDescent="0.2">
      <c r="A226" s="345">
        <v>34393</v>
      </c>
    </row>
    <row r="227" spans="1:1" x14ac:dyDescent="0.2">
      <c r="A227" s="345">
        <v>34424</v>
      </c>
    </row>
    <row r="228" spans="1:1" x14ac:dyDescent="0.2">
      <c r="A228" s="345">
        <v>34454</v>
      </c>
    </row>
    <row r="229" spans="1:1" x14ac:dyDescent="0.2">
      <c r="A229" s="345">
        <v>34485</v>
      </c>
    </row>
    <row r="230" spans="1:1" x14ac:dyDescent="0.2">
      <c r="A230" s="345">
        <v>34515</v>
      </c>
    </row>
    <row r="231" spans="1:1" x14ac:dyDescent="0.2">
      <c r="A231" s="345">
        <v>34546</v>
      </c>
    </row>
    <row r="232" spans="1:1" x14ac:dyDescent="0.2">
      <c r="A232" s="345">
        <v>34577</v>
      </c>
    </row>
    <row r="233" spans="1:1" x14ac:dyDescent="0.2">
      <c r="A233" s="345">
        <v>34607</v>
      </c>
    </row>
    <row r="234" spans="1:1" x14ac:dyDescent="0.2">
      <c r="A234" s="345">
        <v>34638</v>
      </c>
    </row>
    <row r="235" spans="1:1" x14ac:dyDescent="0.2">
      <c r="A235" s="345">
        <v>34668</v>
      </c>
    </row>
    <row r="236" spans="1:1" x14ac:dyDescent="0.2">
      <c r="A236" s="345">
        <v>34699</v>
      </c>
    </row>
    <row r="237" spans="1:1" x14ac:dyDescent="0.2">
      <c r="A237" s="345">
        <v>34730</v>
      </c>
    </row>
    <row r="238" spans="1:1" x14ac:dyDescent="0.2">
      <c r="A238" s="345">
        <v>34758</v>
      </c>
    </row>
    <row r="239" spans="1:1" x14ac:dyDescent="0.2">
      <c r="A239" s="345">
        <v>34789</v>
      </c>
    </row>
    <row r="240" spans="1:1" x14ac:dyDescent="0.2">
      <c r="A240" s="345">
        <v>34819</v>
      </c>
    </row>
    <row r="241" spans="1:1" x14ac:dyDescent="0.2">
      <c r="A241" s="345">
        <v>34850</v>
      </c>
    </row>
    <row r="242" spans="1:1" x14ac:dyDescent="0.2">
      <c r="A242" s="345">
        <v>34880</v>
      </c>
    </row>
    <row r="243" spans="1:1" x14ac:dyDescent="0.2">
      <c r="A243" s="345">
        <v>34911</v>
      </c>
    </row>
    <row r="244" spans="1:1" x14ac:dyDescent="0.2">
      <c r="A244" s="345">
        <v>34942</v>
      </c>
    </row>
    <row r="245" spans="1:1" x14ac:dyDescent="0.2">
      <c r="A245" s="345">
        <v>34972</v>
      </c>
    </row>
    <row r="246" spans="1:1" x14ac:dyDescent="0.2">
      <c r="A246" s="345">
        <v>35003</v>
      </c>
    </row>
    <row r="247" spans="1:1" x14ac:dyDescent="0.2">
      <c r="A247" s="345">
        <v>35033</v>
      </c>
    </row>
    <row r="248" spans="1:1" x14ac:dyDescent="0.2">
      <c r="A248" s="345">
        <v>35064</v>
      </c>
    </row>
    <row r="249" spans="1:1" x14ac:dyDescent="0.2">
      <c r="A249" s="345">
        <v>35095</v>
      </c>
    </row>
    <row r="250" spans="1:1" x14ac:dyDescent="0.2">
      <c r="A250" s="345">
        <v>35124</v>
      </c>
    </row>
    <row r="251" spans="1:1" x14ac:dyDescent="0.2">
      <c r="A251" s="345">
        <v>35155</v>
      </c>
    </row>
    <row r="252" spans="1:1" x14ac:dyDescent="0.2">
      <c r="A252" s="345">
        <v>35185</v>
      </c>
    </row>
    <row r="253" spans="1:1" x14ac:dyDescent="0.2">
      <c r="A253" s="345">
        <v>35216</v>
      </c>
    </row>
    <row r="254" spans="1:1" x14ac:dyDescent="0.2">
      <c r="A254" s="345">
        <v>35246</v>
      </c>
    </row>
    <row r="255" spans="1:1" x14ac:dyDescent="0.2">
      <c r="A255" s="345">
        <v>35277</v>
      </c>
    </row>
    <row r="256" spans="1:1" x14ac:dyDescent="0.2">
      <c r="A256" s="345">
        <v>35308</v>
      </c>
    </row>
    <row r="257" spans="1:1" x14ac:dyDescent="0.2">
      <c r="A257" s="345">
        <v>35338</v>
      </c>
    </row>
    <row r="258" spans="1:1" x14ac:dyDescent="0.2">
      <c r="A258" s="345">
        <v>35369</v>
      </c>
    </row>
    <row r="259" spans="1:1" x14ac:dyDescent="0.2">
      <c r="A259" s="345">
        <v>35399</v>
      </c>
    </row>
    <row r="260" spans="1:1" x14ac:dyDescent="0.2">
      <c r="A260" s="345">
        <v>35430</v>
      </c>
    </row>
    <row r="261" spans="1:1" x14ac:dyDescent="0.2">
      <c r="A261" s="345">
        <v>35461</v>
      </c>
    </row>
    <row r="262" spans="1:1" x14ac:dyDescent="0.2">
      <c r="A262" s="345">
        <v>35489</v>
      </c>
    </row>
    <row r="263" spans="1:1" x14ac:dyDescent="0.2">
      <c r="A263" s="345">
        <v>35520</v>
      </c>
    </row>
    <row r="264" spans="1:1" x14ac:dyDescent="0.2">
      <c r="A264" s="345">
        <v>35550</v>
      </c>
    </row>
    <row r="265" spans="1:1" x14ac:dyDescent="0.2">
      <c r="A265" s="345">
        <v>35581</v>
      </c>
    </row>
    <row r="266" spans="1:1" x14ac:dyDescent="0.2">
      <c r="A266" s="345">
        <v>35611</v>
      </c>
    </row>
    <row r="267" spans="1:1" x14ac:dyDescent="0.2">
      <c r="A267" s="345">
        <v>35642</v>
      </c>
    </row>
    <row r="268" spans="1:1" x14ac:dyDescent="0.2">
      <c r="A268" s="345">
        <v>35673</v>
      </c>
    </row>
    <row r="269" spans="1:1" x14ac:dyDescent="0.2">
      <c r="A269" s="345">
        <v>35703</v>
      </c>
    </row>
    <row r="270" spans="1:1" x14ac:dyDescent="0.2">
      <c r="A270" s="345">
        <v>35734</v>
      </c>
    </row>
    <row r="271" spans="1:1" x14ac:dyDescent="0.2">
      <c r="A271" s="345">
        <v>35764</v>
      </c>
    </row>
    <row r="272" spans="1:1" x14ac:dyDescent="0.2">
      <c r="A272" s="345">
        <v>35795</v>
      </c>
    </row>
    <row r="273" spans="1:1" x14ac:dyDescent="0.2">
      <c r="A273" s="345">
        <v>35826</v>
      </c>
    </row>
    <row r="274" spans="1:1" x14ac:dyDescent="0.2">
      <c r="A274" s="345">
        <v>35854</v>
      </c>
    </row>
    <row r="275" spans="1:1" x14ac:dyDescent="0.2">
      <c r="A275" s="345">
        <v>35885</v>
      </c>
    </row>
    <row r="276" spans="1:1" x14ac:dyDescent="0.2">
      <c r="A276" s="345">
        <v>35915</v>
      </c>
    </row>
    <row r="277" spans="1:1" x14ac:dyDescent="0.2">
      <c r="A277" s="345">
        <v>35946</v>
      </c>
    </row>
    <row r="278" spans="1:1" x14ac:dyDescent="0.2">
      <c r="A278" s="345">
        <v>35976</v>
      </c>
    </row>
    <row r="279" spans="1:1" x14ac:dyDescent="0.2">
      <c r="A279" s="345">
        <v>36007</v>
      </c>
    </row>
    <row r="280" spans="1:1" x14ac:dyDescent="0.2">
      <c r="A280" s="345">
        <v>36038</v>
      </c>
    </row>
    <row r="281" spans="1:1" x14ac:dyDescent="0.2">
      <c r="A281" s="345">
        <v>36068</v>
      </c>
    </row>
    <row r="282" spans="1:1" x14ac:dyDescent="0.2">
      <c r="A282" s="345">
        <v>36099</v>
      </c>
    </row>
    <row r="283" spans="1:1" x14ac:dyDescent="0.2">
      <c r="A283" s="345">
        <v>36129</v>
      </c>
    </row>
    <row r="284" spans="1:1" x14ac:dyDescent="0.2">
      <c r="A284" s="345">
        <v>36160</v>
      </c>
    </row>
    <row r="285" spans="1:1" x14ac:dyDescent="0.2">
      <c r="A285" s="345">
        <v>36191</v>
      </c>
    </row>
    <row r="286" spans="1:1" x14ac:dyDescent="0.2">
      <c r="A286" s="345">
        <v>36219</v>
      </c>
    </row>
    <row r="287" spans="1:1" x14ac:dyDescent="0.2">
      <c r="A287" s="345">
        <v>36250</v>
      </c>
    </row>
    <row r="288" spans="1:1" x14ac:dyDescent="0.2">
      <c r="A288" s="345">
        <v>36280</v>
      </c>
    </row>
    <row r="289" spans="1:1" x14ac:dyDescent="0.2">
      <c r="A289" s="345">
        <v>36311</v>
      </c>
    </row>
    <row r="290" spans="1:1" x14ac:dyDescent="0.2">
      <c r="A290" s="345">
        <v>36341</v>
      </c>
    </row>
    <row r="291" spans="1:1" x14ac:dyDescent="0.2">
      <c r="A291" s="345">
        <v>36372</v>
      </c>
    </row>
    <row r="292" spans="1:1" x14ac:dyDescent="0.2">
      <c r="A292" s="345">
        <v>36403</v>
      </c>
    </row>
    <row r="293" spans="1:1" x14ac:dyDescent="0.2">
      <c r="A293" s="345">
        <v>36433</v>
      </c>
    </row>
    <row r="294" spans="1:1" x14ac:dyDescent="0.2">
      <c r="A294" s="345">
        <v>36464</v>
      </c>
    </row>
    <row r="295" spans="1:1" x14ac:dyDescent="0.2">
      <c r="A295" s="345">
        <v>36494</v>
      </c>
    </row>
    <row r="296" spans="1:1" x14ac:dyDescent="0.2">
      <c r="A296" s="345">
        <v>36525</v>
      </c>
    </row>
    <row r="297" spans="1:1" x14ac:dyDescent="0.2">
      <c r="A297" s="345">
        <v>36556</v>
      </c>
    </row>
    <row r="298" spans="1:1" x14ac:dyDescent="0.2">
      <c r="A298" s="345">
        <v>36585</v>
      </c>
    </row>
    <row r="299" spans="1:1" x14ac:dyDescent="0.2">
      <c r="A299" s="345">
        <v>36616</v>
      </c>
    </row>
    <row r="300" spans="1:1" x14ac:dyDescent="0.2">
      <c r="A300" s="345">
        <v>36646</v>
      </c>
    </row>
    <row r="301" spans="1:1" x14ac:dyDescent="0.2">
      <c r="A301" s="345">
        <v>36677</v>
      </c>
    </row>
    <row r="302" spans="1:1" x14ac:dyDescent="0.2">
      <c r="A302" s="345">
        <v>36707</v>
      </c>
    </row>
    <row r="303" spans="1:1" x14ac:dyDescent="0.2">
      <c r="A303" s="345">
        <v>36738</v>
      </c>
    </row>
    <row r="304" spans="1:1" x14ac:dyDescent="0.2">
      <c r="A304" s="345">
        <v>36769</v>
      </c>
    </row>
    <row r="305" spans="1:1" x14ac:dyDescent="0.2">
      <c r="A305" s="345">
        <v>36799</v>
      </c>
    </row>
    <row r="306" spans="1:1" x14ac:dyDescent="0.2">
      <c r="A306" s="345">
        <v>36830</v>
      </c>
    </row>
    <row r="307" spans="1:1" x14ac:dyDescent="0.2">
      <c r="A307" s="345">
        <v>36860</v>
      </c>
    </row>
    <row r="308" spans="1:1" x14ac:dyDescent="0.2">
      <c r="A308" s="345">
        <v>36891</v>
      </c>
    </row>
    <row r="309" spans="1:1" x14ac:dyDescent="0.2">
      <c r="A309" s="345">
        <v>36922</v>
      </c>
    </row>
    <row r="310" spans="1:1" x14ac:dyDescent="0.2">
      <c r="A310" s="345">
        <v>36950</v>
      </c>
    </row>
    <row r="311" spans="1:1" x14ac:dyDescent="0.2">
      <c r="A311" s="345">
        <v>36981</v>
      </c>
    </row>
    <row r="312" spans="1:1" x14ac:dyDescent="0.2">
      <c r="A312" s="345">
        <v>37011</v>
      </c>
    </row>
    <row r="313" spans="1:1" x14ac:dyDescent="0.2">
      <c r="A313" s="345">
        <v>37042</v>
      </c>
    </row>
    <row r="314" spans="1:1" x14ac:dyDescent="0.2">
      <c r="A314" s="345">
        <v>37072</v>
      </c>
    </row>
    <row r="315" spans="1:1" x14ac:dyDescent="0.2">
      <c r="A315" s="345">
        <v>37103</v>
      </c>
    </row>
    <row r="316" spans="1:1" x14ac:dyDescent="0.2">
      <c r="A316" s="345">
        <v>37134</v>
      </c>
    </row>
    <row r="317" spans="1:1" x14ac:dyDescent="0.2">
      <c r="A317" s="345">
        <v>37164</v>
      </c>
    </row>
    <row r="318" spans="1:1" x14ac:dyDescent="0.2">
      <c r="A318" s="345">
        <v>37195</v>
      </c>
    </row>
    <row r="319" spans="1:1" x14ac:dyDescent="0.2">
      <c r="A319" s="345">
        <v>37225</v>
      </c>
    </row>
    <row r="320" spans="1:1" x14ac:dyDescent="0.2">
      <c r="A320" s="345">
        <v>37256</v>
      </c>
    </row>
    <row r="321" spans="1:1" x14ac:dyDescent="0.2">
      <c r="A321" s="345">
        <v>37287</v>
      </c>
    </row>
    <row r="322" spans="1:1" x14ac:dyDescent="0.2">
      <c r="A322" s="345">
        <v>37315</v>
      </c>
    </row>
    <row r="323" spans="1:1" x14ac:dyDescent="0.2">
      <c r="A323" s="345">
        <v>37346</v>
      </c>
    </row>
    <row r="324" spans="1:1" x14ac:dyDescent="0.2">
      <c r="A324" s="345">
        <v>37376</v>
      </c>
    </row>
    <row r="325" spans="1:1" x14ac:dyDescent="0.2">
      <c r="A325" s="345">
        <v>37407</v>
      </c>
    </row>
    <row r="326" spans="1:1" x14ac:dyDescent="0.2">
      <c r="A326" s="345">
        <v>37437</v>
      </c>
    </row>
    <row r="327" spans="1:1" x14ac:dyDescent="0.2">
      <c r="A327" s="345">
        <v>37468</v>
      </c>
    </row>
    <row r="328" spans="1:1" x14ac:dyDescent="0.2">
      <c r="A328" s="345">
        <v>37499</v>
      </c>
    </row>
    <row r="329" spans="1:1" x14ac:dyDescent="0.2">
      <c r="A329" s="345">
        <v>37529</v>
      </c>
    </row>
    <row r="330" spans="1:1" x14ac:dyDescent="0.2">
      <c r="A330" s="345">
        <v>37560</v>
      </c>
    </row>
    <row r="331" spans="1:1" x14ac:dyDescent="0.2">
      <c r="A331" s="345">
        <v>37590</v>
      </c>
    </row>
    <row r="332" spans="1:1" x14ac:dyDescent="0.2">
      <c r="A332" s="345">
        <v>37621</v>
      </c>
    </row>
    <row r="333" spans="1:1" x14ac:dyDescent="0.2">
      <c r="A333" s="345">
        <v>37652</v>
      </c>
    </row>
    <row r="334" spans="1:1" x14ac:dyDescent="0.2">
      <c r="A334" s="345">
        <v>37680</v>
      </c>
    </row>
    <row r="335" spans="1:1" x14ac:dyDescent="0.2">
      <c r="A335" s="345">
        <v>37711</v>
      </c>
    </row>
    <row r="336" spans="1:1" x14ac:dyDescent="0.2">
      <c r="A336" s="345">
        <v>37741</v>
      </c>
    </row>
    <row r="337" spans="1:1" x14ac:dyDescent="0.2">
      <c r="A337" s="345">
        <v>37772</v>
      </c>
    </row>
    <row r="338" spans="1:1" x14ac:dyDescent="0.2">
      <c r="A338" s="345">
        <v>37802</v>
      </c>
    </row>
    <row r="339" spans="1:1" x14ac:dyDescent="0.2">
      <c r="A339" s="345">
        <v>37833</v>
      </c>
    </row>
    <row r="340" spans="1:1" x14ac:dyDescent="0.2">
      <c r="A340" s="345">
        <v>37864</v>
      </c>
    </row>
    <row r="341" spans="1:1" x14ac:dyDescent="0.2">
      <c r="A341" s="345">
        <v>37894</v>
      </c>
    </row>
    <row r="342" spans="1:1" x14ac:dyDescent="0.2">
      <c r="A342" s="345">
        <v>37925</v>
      </c>
    </row>
    <row r="343" spans="1:1" x14ac:dyDescent="0.2">
      <c r="A343" s="345">
        <v>37955</v>
      </c>
    </row>
    <row r="344" spans="1:1" x14ac:dyDescent="0.2">
      <c r="A344" s="345">
        <v>37986</v>
      </c>
    </row>
    <row r="345" spans="1:1" x14ac:dyDescent="0.2">
      <c r="A345" s="345">
        <v>38017</v>
      </c>
    </row>
    <row r="346" spans="1:1" x14ac:dyDescent="0.2">
      <c r="A346" s="345">
        <v>38046</v>
      </c>
    </row>
    <row r="347" spans="1:1" x14ac:dyDescent="0.2">
      <c r="A347" s="345">
        <v>38077</v>
      </c>
    </row>
    <row r="348" spans="1:1" x14ac:dyDescent="0.2">
      <c r="A348" s="345">
        <v>38107</v>
      </c>
    </row>
    <row r="349" spans="1:1" x14ac:dyDescent="0.2">
      <c r="A349" s="345">
        <v>38138</v>
      </c>
    </row>
    <row r="350" spans="1:1" x14ac:dyDescent="0.2">
      <c r="A350" s="345">
        <v>38168</v>
      </c>
    </row>
    <row r="351" spans="1:1" x14ac:dyDescent="0.2">
      <c r="A351" s="345">
        <v>38199</v>
      </c>
    </row>
    <row r="352" spans="1:1" x14ac:dyDescent="0.2">
      <c r="A352" s="345">
        <v>38230</v>
      </c>
    </row>
    <row r="353" spans="1:1" x14ac:dyDescent="0.2">
      <c r="A353" s="345">
        <v>38260</v>
      </c>
    </row>
    <row r="354" spans="1:1" x14ac:dyDescent="0.2">
      <c r="A354" s="345">
        <v>38291</v>
      </c>
    </row>
    <row r="355" spans="1:1" x14ac:dyDescent="0.2">
      <c r="A355" s="345">
        <v>38321</v>
      </c>
    </row>
    <row r="356" spans="1:1" x14ac:dyDescent="0.2">
      <c r="A356" s="345">
        <v>38352</v>
      </c>
    </row>
    <row r="357" spans="1:1" x14ac:dyDescent="0.2">
      <c r="A357" s="345">
        <v>38383</v>
      </c>
    </row>
    <row r="358" spans="1:1" x14ac:dyDescent="0.2">
      <c r="A358" s="345">
        <v>38411</v>
      </c>
    </row>
    <row r="359" spans="1:1" x14ac:dyDescent="0.2">
      <c r="A359" s="345">
        <v>38442</v>
      </c>
    </row>
    <row r="360" spans="1:1" x14ac:dyDescent="0.2">
      <c r="A360" s="345">
        <v>38472</v>
      </c>
    </row>
    <row r="361" spans="1:1" x14ac:dyDescent="0.2">
      <c r="A361" s="345">
        <v>38503</v>
      </c>
    </row>
    <row r="362" spans="1:1" x14ac:dyDescent="0.2">
      <c r="A362" s="345">
        <v>38533</v>
      </c>
    </row>
    <row r="363" spans="1:1" x14ac:dyDescent="0.2">
      <c r="A363" s="345">
        <v>38564</v>
      </c>
    </row>
    <row r="364" spans="1:1" x14ac:dyDescent="0.2">
      <c r="A364" s="345">
        <v>38595</v>
      </c>
    </row>
    <row r="365" spans="1:1" x14ac:dyDescent="0.2">
      <c r="A365" s="345">
        <v>38625</v>
      </c>
    </row>
    <row r="366" spans="1:1" x14ac:dyDescent="0.2">
      <c r="A366" s="345">
        <v>38656</v>
      </c>
    </row>
    <row r="367" spans="1:1" x14ac:dyDescent="0.2">
      <c r="A367" s="345">
        <v>38686</v>
      </c>
    </row>
    <row r="368" spans="1:1" x14ac:dyDescent="0.2">
      <c r="A368" s="345">
        <v>38717</v>
      </c>
    </row>
    <row r="369" spans="1:4" x14ac:dyDescent="0.2">
      <c r="A369" s="345">
        <v>38748</v>
      </c>
    </row>
    <row r="370" spans="1:4" x14ac:dyDescent="0.2">
      <c r="A370" s="345">
        <v>38776</v>
      </c>
    </row>
    <row r="371" spans="1:4" x14ac:dyDescent="0.2">
      <c r="A371" s="345">
        <v>38807</v>
      </c>
    </row>
    <row r="372" spans="1:4" x14ac:dyDescent="0.2">
      <c r="A372" s="345">
        <v>38837</v>
      </c>
    </row>
    <row r="373" spans="1:4" x14ac:dyDescent="0.2">
      <c r="A373" s="345">
        <v>38868</v>
      </c>
    </row>
    <row r="374" spans="1:4" x14ac:dyDescent="0.2">
      <c r="A374" s="345">
        <v>38898</v>
      </c>
    </row>
    <row r="375" spans="1:4" x14ac:dyDescent="0.2">
      <c r="A375" s="345">
        <v>38929</v>
      </c>
    </row>
    <row r="376" spans="1:4" x14ac:dyDescent="0.2">
      <c r="A376" s="345">
        <v>38960</v>
      </c>
    </row>
    <row r="377" spans="1:4" x14ac:dyDescent="0.2">
      <c r="A377" s="345">
        <v>38990</v>
      </c>
    </row>
    <row r="378" spans="1:4" x14ac:dyDescent="0.2">
      <c r="A378" s="345">
        <v>39021</v>
      </c>
    </row>
    <row r="379" spans="1:4" x14ac:dyDescent="0.2">
      <c r="A379" s="345">
        <v>39051</v>
      </c>
    </row>
    <row r="380" spans="1:4" x14ac:dyDescent="0.2">
      <c r="A380" s="345">
        <v>39082</v>
      </c>
      <c r="C380" s="703"/>
      <c r="D380" s="253"/>
    </row>
    <row r="381" spans="1:4" x14ac:dyDescent="0.2">
      <c r="A381" s="345">
        <v>39113</v>
      </c>
      <c r="C381" s="770"/>
      <c r="D381" s="258"/>
    </row>
    <row r="382" spans="1:4" x14ac:dyDescent="0.2">
      <c r="A382" s="345">
        <v>39141</v>
      </c>
      <c r="C382" s="770"/>
      <c r="D382" s="258"/>
    </row>
    <row r="383" spans="1:4" x14ac:dyDescent="0.2">
      <c r="A383" s="345">
        <v>39172</v>
      </c>
      <c r="C383" s="770"/>
      <c r="D383" s="258"/>
    </row>
    <row r="384" spans="1:4" x14ac:dyDescent="0.2">
      <c r="A384" s="345">
        <v>39202</v>
      </c>
      <c r="B384" s="14"/>
      <c r="C384" s="770"/>
      <c r="D384" s="258"/>
    </row>
    <row r="385" spans="1:5" x14ac:dyDescent="0.2">
      <c r="A385" s="345">
        <v>39233</v>
      </c>
      <c r="B385" s="14"/>
      <c r="C385" s="770"/>
      <c r="D385" s="258"/>
    </row>
    <row r="386" spans="1:5" x14ac:dyDescent="0.2">
      <c r="A386" s="345">
        <v>39263</v>
      </c>
      <c r="C386" s="770"/>
      <c r="D386" s="258"/>
    </row>
    <row r="387" spans="1:5" x14ac:dyDescent="0.2">
      <c r="A387" s="345">
        <v>39294</v>
      </c>
      <c r="C387" s="770"/>
      <c r="D387" s="258"/>
    </row>
    <row r="388" spans="1:5" x14ac:dyDescent="0.2">
      <c r="A388" s="345">
        <v>39325</v>
      </c>
      <c r="C388" s="346"/>
      <c r="D388" s="258"/>
    </row>
    <row r="389" spans="1:5" x14ac:dyDescent="0.2">
      <c r="A389" s="345">
        <v>39355</v>
      </c>
      <c r="C389" s="346"/>
      <c r="D389" s="258"/>
    </row>
    <row r="390" spans="1:5" x14ac:dyDescent="0.2">
      <c r="A390" s="345">
        <v>39386</v>
      </c>
      <c r="C390" s="346"/>
      <c r="D390" s="258"/>
    </row>
    <row r="391" spans="1:5" x14ac:dyDescent="0.2">
      <c r="A391" s="345">
        <v>39416</v>
      </c>
      <c r="C391" s="346"/>
      <c r="D391" s="258"/>
    </row>
    <row r="392" spans="1:5" x14ac:dyDescent="0.2">
      <c r="A392" s="345">
        <v>39447</v>
      </c>
      <c r="C392" s="346"/>
      <c r="D392" s="258"/>
    </row>
    <row r="393" spans="1:5" x14ac:dyDescent="0.2">
      <c r="A393" s="345">
        <v>39478</v>
      </c>
      <c r="B393" s="1279">
        <v>-7.81</v>
      </c>
      <c r="C393" s="346">
        <v>147700032</v>
      </c>
      <c r="D393" s="258"/>
      <c r="E393">
        <f>B393-Index_Returns!R393</f>
        <v>-1.7016999999999998</v>
      </c>
    </row>
    <row r="394" spans="1:5" x14ac:dyDescent="0.2">
      <c r="A394" s="345">
        <v>39507</v>
      </c>
      <c r="B394" s="1279">
        <v>-1.0900000000000001</v>
      </c>
      <c r="C394" s="346">
        <v>146087657</v>
      </c>
      <c r="D394" s="258"/>
      <c r="E394">
        <f>B394-Index_Returns!R394</f>
        <v>1.6571</v>
      </c>
    </row>
    <row r="395" spans="1:5" x14ac:dyDescent="0.2">
      <c r="A395" s="345">
        <v>39538</v>
      </c>
      <c r="B395" s="1279">
        <v>-0.63</v>
      </c>
      <c r="C395" s="346">
        <v>145414279</v>
      </c>
      <c r="D395" s="258"/>
      <c r="E395">
        <f>B395-Index_Returns!R395</f>
        <v>0.11360000000000003</v>
      </c>
    </row>
    <row r="396" spans="1:5" x14ac:dyDescent="0.2">
      <c r="A396" s="345">
        <v>39568</v>
      </c>
      <c r="B396" s="1279">
        <v>9.17</v>
      </c>
      <c r="C396" s="346">
        <v>158746451</v>
      </c>
      <c r="D396" s="258"/>
      <c r="E396">
        <f>B396-Index_Returns!R396</f>
        <v>3.7862</v>
      </c>
    </row>
    <row r="397" spans="1:5" x14ac:dyDescent="0.2">
      <c r="A397" s="345">
        <v>39599</v>
      </c>
      <c r="B397" s="1279">
        <v>4.82</v>
      </c>
      <c r="C397" s="346">
        <v>166394902</v>
      </c>
      <c r="D397" s="258"/>
      <c r="E397">
        <f>B397-Index_Returns!R397</f>
        <v>7.1400000000000574E-2</v>
      </c>
    </row>
    <row r="398" spans="1:5" x14ac:dyDescent="0.2">
      <c r="A398" s="345">
        <v>39629</v>
      </c>
      <c r="B398" s="1279">
        <v>-7.06</v>
      </c>
      <c r="C398" s="346">
        <v>154873402</v>
      </c>
      <c r="D398" s="258"/>
      <c r="E398">
        <f>B398-Index_Returns!R398</f>
        <v>1.0949</v>
      </c>
    </row>
    <row r="399" spans="1:5" x14ac:dyDescent="0.2">
      <c r="A399" s="345">
        <v>39660</v>
      </c>
      <c r="B399" s="1279">
        <v>0</v>
      </c>
      <c r="C399" s="1332">
        <v>154870665</v>
      </c>
      <c r="D399" s="258"/>
      <c r="E399">
        <f>B399-Index_Returns!R399</f>
        <v>-0.69369999999999998</v>
      </c>
    </row>
    <row r="400" spans="1:5" x14ac:dyDescent="0.2">
      <c r="A400" s="345">
        <v>39691</v>
      </c>
      <c r="B400" s="1279">
        <v>1.64</v>
      </c>
      <c r="C400" s="1332">
        <v>157405330</v>
      </c>
      <c r="D400" s="258"/>
      <c r="E400">
        <f>B400-Index_Returns!R400</f>
        <v>-1.2172000000000003</v>
      </c>
    </row>
    <row r="401" spans="1:5" x14ac:dyDescent="0.2">
      <c r="A401" s="345">
        <v>39721</v>
      </c>
      <c r="B401" s="1279">
        <v>-9.5</v>
      </c>
      <c r="C401" s="1332">
        <v>142684575</v>
      </c>
      <c r="D401" s="258"/>
      <c r="E401">
        <f>B401-Index_Returns!R401</f>
        <v>0.43699999999999939</v>
      </c>
    </row>
    <row r="402" spans="1:5" x14ac:dyDescent="0.2">
      <c r="A402" s="345">
        <v>39752</v>
      </c>
      <c r="B402" s="1279">
        <v>-19.86</v>
      </c>
      <c r="C402" s="346">
        <v>114347541</v>
      </c>
      <c r="D402" s="258"/>
      <c r="E402">
        <f>B402-Index_Returns!R402</f>
        <v>1.6826000000000008</v>
      </c>
    </row>
    <row r="403" spans="1:5" x14ac:dyDescent="0.2">
      <c r="A403" s="345">
        <v>39782</v>
      </c>
      <c r="B403" s="1279">
        <v>-7.62</v>
      </c>
      <c r="C403" s="346">
        <v>105628706</v>
      </c>
      <c r="D403" s="258"/>
      <c r="E403">
        <f>B403-Index_Returns!R403</f>
        <v>3.2239999999999993</v>
      </c>
    </row>
    <row r="404" spans="1:5" x14ac:dyDescent="0.2">
      <c r="A404" s="345">
        <v>39813</v>
      </c>
      <c r="B404" s="1279">
        <v>1.93</v>
      </c>
      <c r="C404" s="346">
        <v>107909125</v>
      </c>
      <c r="D404" s="258"/>
      <c r="E404">
        <f>B404-Index_Returns!R404</f>
        <v>-3.4994000000000005</v>
      </c>
    </row>
    <row r="405" spans="1:5" x14ac:dyDescent="0.2">
      <c r="A405" s="345">
        <v>39844</v>
      </c>
      <c r="B405" s="1279">
        <v>-7.09</v>
      </c>
      <c r="C405" s="346">
        <v>100256616</v>
      </c>
      <c r="D405" s="258">
        <v>-7.0915999999999997</v>
      </c>
      <c r="E405">
        <f>B405-Index_Returns!R405</f>
        <v>1.9109999999999996</v>
      </c>
    </row>
    <row r="406" spans="1:5" x14ac:dyDescent="0.2">
      <c r="A406" s="345">
        <v>39872</v>
      </c>
      <c r="B406" s="1279">
        <v>-9.33</v>
      </c>
      <c r="C406" s="346">
        <v>90900188</v>
      </c>
      <c r="D406" s="258">
        <v>-9.3324999999999996</v>
      </c>
      <c r="E406">
        <f>B406-Index_Returns!R406</f>
        <v>1.4819999999999993</v>
      </c>
    </row>
    <row r="407" spans="1:5" x14ac:dyDescent="0.2">
      <c r="A407" s="345">
        <v>39903</v>
      </c>
      <c r="B407" s="1279">
        <v>7.48</v>
      </c>
      <c r="C407" s="346">
        <v>97935601</v>
      </c>
      <c r="D407" s="258">
        <v>7.7397</v>
      </c>
      <c r="E407">
        <f>B407-Index_Returns!R407</f>
        <v>-1.6480999999999995</v>
      </c>
    </row>
    <row r="408" spans="1:5" x14ac:dyDescent="0.2">
      <c r="A408" s="345">
        <v>39933</v>
      </c>
      <c r="B408" s="1279">
        <v>14.08</v>
      </c>
      <c r="C408" s="346">
        <v>111724342</v>
      </c>
      <c r="D408" s="258"/>
      <c r="E408">
        <f>B408-Index_Returns!R408</f>
        <v>-1.3300999999999998</v>
      </c>
    </row>
    <row r="409" spans="1:5" x14ac:dyDescent="0.2">
      <c r="A409" s="345">
        <v>39964</v>
      </c>
      <c r="B409" s="1279">
        <v>3.03</v>
      </c>
      <c r="C409" s="346">
        <v>115112979</v>
      </c>
      <c r="D409" s="258"/>
      <c r="E409">
        <f>B409-Index_Returns!R409</f>
        <v>-1.6100000000000225E-2</v>
      </c>
    </row>
    <row r="410" spans="1:5" x14ac:dyDescent="0.2">
      <c r="A410" s="345">
        <v>39994</v>
      </c>
      <c r="B410" s="1279">
        <v>0.85</v>
      </c>
      <c r="C410" s="346">
        <v>116319852</v>
      </c>
      <c r="D410" s="258"/>
      <c r="E410">
        <f>B410-Index_Returns!R410</f>
        <v>-0.28320000000000001</v>
      </c>
    </row>
    <row r="411" spans="1:5" x14ac:dyDescent="0.2">
      <c r="A411" s="345">
        <v>40025</v>
      </c>
      <c r="B411" s="1279">
        <v>7.41</v>
      </c>
      <c r="C411" s="346">
        <v>124939898</v>
      </c>
      <c r="D411" s="258">
        <v>7.4105999999999996</v>
      </c>
      <c r="E411">
        <f>B411-Index_Returns!R411</f>
        <v>-1.6123999999999992</v>
      </c>
    </row>
    <row r="412" spans="1:5" x14ac:dyDescent="0.2">
      <c r="A412" s="345">
        <v>40056</v>
      </c>
      <c r="B412" s="1279">
        <v>2.0699999999999998</v>
      </c>
      <c r="C412" s="346">
        <v>127530066</v>
      </c>
      <c r="D412" s="258">
        <v>2.0731000000000002</v>
      </c>
      <c r="E412">
        <f>B412-Index_Returns!R412</f>
        <v>-2.0154000000000001</v>
      </c>
    </row>
    <row r="413" spans="1:5" x14ac:dyDescent="0.2">
      <c r="A413" s="345">
        <v>40086</v>
      </c>
      <c r="B413" s="1279">
        <v>4.88</v>
      </c>
      <c r="C413" s="346">
        <v>133983067</v>
      </c>
      <c r="D413" s="258">
        <v>5.0599999999999996</v>
      </c>
      <c r="E413">
        <f>B413-Index_Returns!R413</f>
        <v>-0.92199999999999971</v>
      </c>
    </row>
    <row r="414" spans="1:5" x14ac:dyDescent="0.2">
      <c r="A414" s="345">
        <v>40117</v>
      </c>
      <c r="B414" s="1279">
        <v>-3.7970000000000002</v>
      </c>
      <c r="C414" s="1280">
        <v>128895926.91</v>
      </c>
      <c r="D414" s="258">
        <v>-3.8</v>
      </c>
      <c r="E414">
        <f>B414-Index_Returns!R414</f>
        <v>1.9929999999999999</v>
      </c>
    </row>
    <row r="415" spans="1:5" x14ac:dyDescent="0.2">
      <c r="A415" s="345">
        <v>40147</v>
      </c>
      <c r="B415" s="1279">
        <v>1.712</v>
      </c>
      <c r="C415" s="1333">
        <v>131102733.98</v>
      </c>
      <c r="D415" s="1279">
        <v>1.881</v>
      </c>
      <c r="E415">
        <f>B415-Index_Returns!R415</f>
        <v>-2.3210000000000006</v>
      </c>
    </row>
    <row r="416" spans="1:5" x14ac:dyDescent="0.2">
      <c r="A416" s="345">
        <v>40178</v>
      </c>
      <c r="B416" s="1279">
        <v>5.8849999999999998</v>
      </c>
      <c r="C416" s="8">
        <v>138817706.05000001</v>
      </c>
      <c r="D416">
        <v>5.8846800000000004</v>
      </c>
      <c r="E416">
        <f>B416-Index_Returns!R416</f>
        <v>-1.3252800000000002</v>
      </c>
    </row>
    <row r="417" spans="1:5" x14ac:dyDescent="0.2">
      <c r="A417" s="345">
        <v>40209</v>
      </c>
      <c r="B417">
        <v>-3.403</v>
      </c>
      <c r="C417" s="1280">
        <v>134093481.62</v>
      </c>
      <c r="D417" s="258">
        <v>-3.4079000000000002</v>
      </c>
      <c r="E417">
        <f>B417-Index_Returns!R417</f>
        <v>-5.5400000000000116E-2</v>
      </c>
    </row>
    <row r="418" spans="1:5" x14ac:dyDescent="0.2">
      <c r="A418" s="345">
        <v>40237</v>
      </c>
      <c r="B418">
        <v>4.4720000000000004</v>
      </c>
      <c r="C418" s="8">
        <v>140089678.72999999</v>
      </c>
      <c r="D418">
        <v>4.4716500000000003</v>
      </c>
      <c r="E418">
        <f>B418-Index_Returns!R418</f>
        <v>-0.49983999999999984</v>
      </c>
    </row>
    <row r="419" spans="1:5" x14ac:dyDescent="0.2">
      <c r="A419" s="345">
        <v>40268</v>
      </c>
      <c r="B419">
        <v>6.29</v>
      </c>
      <c r="C419" s="1334">
        <v>148901787.05000001</v>
      </c>
      <c r="D419" s="1286">
        <v>6.29033</v>
      </c>
      <c r="E419">
        <f>B419-Index_Returns!R419</f>
        <v>-1.3528399999999996</v>
      </c>
    </row>
    <row r="420" spans="1:5" x14ac:dyDescent="0.2">
      <c r="A420" s="345">
        <v>40298</v>
      </c>
      <c r="B420">
        <v>4.6749999999999998</v>
      </c>
      <c r="C420" s="8">
        <v>155863549.88999999</v>
      </c>
      <c r="D420">
        <v>4.6754100000000003</v>
      </c>
      <c r="E420">
        <f>B420-Index_Returns!R420</f>
        <v>-6.1770000000000103E-2</v>
      </c>
    </row>
    <row r="421" spans="1:5" x14ac:dyDescent="0.2">
      <c r="A421" s="345">
        <v>40329</v>
      </c>
      <c r="B421">
        <v>-6.9660000000000002</v>
      </c>
      <c r="C421" s="8">
        <v>145005560.44999999</v>
      </c>
      <c r="D421">
        <v>-6.9663399999999998</v>
      </c>
      <c r="E421">
        <f>B421-Index_Returns!R421</f>
        <v>0.48191999999999968</v>
      </c>
    </row>
    <row r="422" spans="1:5" x14ac:dyDescent="0.2">
      <c r="A422" s="345">
        <v>40359</v>
      </c>
      <c r="B422">
        <v>-6.0049999999999999</v>
      </c>
      <c r="C422" s="8">
        <v>136297563.31</v>
      </c>
      <c r="D422">
        <v>-6.0052899999999996</v>
      </c>
      <c r="E422">
        <f>B422-Index_Returns!R422</f>
        <v>1.1316699999999997</v>
      </c>
    </row>
    <row r="423" spans="1:5" x14ac:dyDescent="0.2">
      <c r="A423" s="345">
        <v>40390</v>
      </c>
      <c r="B423">
        <v>6.9960000000000004</v>
      </c>
      <c r="C423" s="8">
        <v>145833066.74000001</v>
      </c>
      <c r="D423">
        <v>6.9960899999999997</v>
      </c>
      <c r="E423">
        <f>B423-Index_Returns!R423</f>
        <v>-4.0159999999999307E-2</v>
      </c>
    </row>
    <row r="424" spans="1:5" x14ac:dyDescent="0.2">
      <c r="A424" s="345">
        <v>40421</v>
      </c>
      <c r="B424">
        <v>-4.5529999999999999</v>
      </c>
      <c r="C424" s="8">
        <v>139192652.59999999</v>
      </c>
      <c r="D424">
        <v>-4.5534400000000002</v>
      </c>
      <c r="E424">
        <f>B424-Index_Returns!R424</f>
        <v>1.3675100000000002</v>
      </c>
    </row>
    <row r="425" spans="1:5" x14ac:dyDescent="0.2">
      <c r="A425" s="345">
        <v>40451</v>
      </c>
      <c r="B425">
        <v>10.891</v>
      </c>
      <c r="C425" s="8">
        <v>154352510.13</v>
      </c>
      <c r="D425">
        <v>10.89128</v>
      </c>
      <c r="E425">
        <f>B425-Index_Returns!R425</f>
        <v>-0.54468999999999923</v>
      </c>
    </row>
    <row r="426" spans="1:5" x14ac:dyDescent="0.2">
      <c r="A426" s="345">
        <v>40482</v>
      </c>
      <c r="B426">
        <v>3.2512300000000001</v>
      </c>
      <c r="C426" s="8">
        <v>159370857.72</v>
      </c>
      <c r="D426">
        <v>3.2512300000000001</v>
      </c>
      <c r="E426">
        <f>B426-Index_Returns!R426</f>
        <v>-0.58366000000000007</v>
      </c>
    </row>
    <row r="427" spans="1:5" x14ac:dyDescent="0.2">
      <c r="A427" s="345">
        <v>40512</v>
      </c>
      <c r="B427">
        <f>D427</f>
        <v>2.8696600000000001</v>
      </c>
      <c r="C427" s="8">
        <v>163944261.38</v>
      </c>
      <c r="D427">
        <v>2.8696600000000001</v>
      </c>
      <c r="E427">
        <f>B427-Index_Returns!R427</f>
        <v>5.6270000000000042E-2</v>
      </c>
    </row>
    <row r="428" spans="1:5" x14ac:dyDescent="0.2">
      <c r="A428" s="345">
        <v>40543</v>
      </c>
      <c r="B428">
        <v>6.5293599999999996</v>
      </c>
      <c r="C428">
        <v>174666946.19999999</v>
      </c>
      <c r="D428">
        <v>6.5293599999999996</v>
      </c>
      <c r="E428">
        <f>B428-Index_Returns!R428</f>
        <v>-1.0586700000000002</v>
      </c>
    </row>
    <row r="429" spans="1:5" x14ac:dyDescent="0.2">
      <c r="A429" s="345">
        <v>40574</v>
      </c>
      <c r="B429">
        <f>D429</f>
        <v>2.08304</v>
      </c>
      <c r="C429">
        <v>178286770.75</v>
      </c>
      <c r="D429">
        <v>2.08304</v>
      </c>
      <c r="E429">
        <f>B429-Index_Returns!R429</f>
        <v>0.74235000000000007</v>
      </c>
    </row>
    <row r="430" spans="1:5" x14ac:dyDescent="0.2">
      <c r="A430" s="345">
        <v>40602</v>
      </c>
      <c r="B430">
        <v>4.76281</v>
      </c>
      <c r="C430">
        <v>186778227.59</v>
      </c>
      <c r="D430">
        <v>4.76281</v>
      </c>
      <c r="E430">
        <f>B430-Index_Returns!R430</f>
        <v>-0.11674999999999969</v>
      </c>
    </row>
    <row r="431" spans="1:5" x14ac:dyDescent="0.2">
      <c r="A431" s="345">
        <v>40633</v>
      </c>
      <c r="B431">
        <f>D431</f>
        <v>2.49221</v>
      </c>
      <c r="C431">
        <v>191433414.93000001</v>
      </c>
      <c r="D431">
        <v>2.49221</v>
      </c>
      <c r="E431">
        <f>B431-Index_Returns!R431</f>
        <v>0.22014000000000022</v>
      </c>
    </row>
    <row r="432" spans="1:5" x14ac:dyDescent="0.2">
      <c r="A432" s="345">
        <v>40663</v>
      </c>
      <c r="B432" t="str">
        <f t="shared" ref="B432:B440" si="0">D432</f>
        <v xml:space="preserve"> </v>
      </c>
      <c r="C432">
        <v>47787.25</v>
      </c>
      <c r="D432" t="s">
        <v>643</v>
      </c>
      <c r="E432" t="e">
        <f>B432-Index_Returns!R432</f>
        <v>#VALUE!</v>
      </c>
    </row>
    <row r="433" spans="1:5" x14ac:dyDescent="0.2">
      <c r="A433" s="345">
        <v>40694</v>
      </c>
      <c r="B433">
        <f t="shared" si="0"/>
        <v>0</v>
      </c>
      <c r="E433">
        <f>B433-Index_Returns!R433</f>
        <v>1.1987300000000001</v>
      </c>
    </row>
    <row r="434" spans="1:5" x14ac:dyDescent="0.2">
      <c r="A434" s="345">
        <v>40724</v>
      </c>
      <c r="B434">
        <f t="shared" si="0"/>
        <v>0</v>
      </c>
      <c r="E434">
        <f>B434-Index_Returns!R434</f>
        <v>2.2031000000000001</v>
      </c>
    </row>
    <row r="435" spans="1:5" x14ac:dyDescent="0.2">
      <c r="A435" s="345">
        <v>40755</v>
      </c>
      <c r="B435">
        <f t="shared" si="0"/>
        <v>0</v>
      </c>
      <c r="E435">
        <f>B435-Index_Returns!R435</f>
        <v>3.80653</v>
      </c>
    </row>
    <row r="436" spans="1:5" x14ac:dyDescent="0.2">
      <c r="A436" s="345">
        <v>40786</v>
      </c>
      <c r="B436">
        <f t="shared" si="0"/>
        <v>0</v>
      </c>
      <c r="E436">
        <f>B436-Index_Returns!R436</f>
        <v>8.1860499999999998</v>
      </c>
    </row>
    <row r="437" spans="1:5" x14ac:dyDescent="0.2">
      <c r="A437" s="345">
        <v>40816</v>
      </c>
      <c r="B437">
        <f t="shared" si="0"/>
        <v>0</v>
      </c>
      <c r="E437">
        <f>B437-Index_Returns!R437</f>
        <v>10.801959999999999</v>
      </c>
    </row>
    <row r="438" spans="1:5" x14ac:dyDescent="0.2">
      <c r="A438" s="345">
        <v>40847</v>
      </c>
      <c r="B438">
        <f t="shared" si="0"/>
        <v>0</v>
      </c>
      <c r="E438">
        <f>B438-Index_Returns!R438</f>
        <v>-14.6579</v>
      </c>
    </row>
    <row r="439" spans="1:5" x14ac:dyDescent="0.2">
      <c r="A439" s="345">
        <v>40877</v>
      </c>
      <c r="B439">
        <f t="shared" si="0"/>
        <v>0</v>
      </c>
      <c r="E439">
        <f>B439-Index_Returns!R439</f>
        <v>0.34747</v>
      </c>
    </row>
    <row r="440" spans="1:5" x14ac:dyDescent="0.2">
      <c r="A440" s="345">
        <v>40908</v>
      </c>
      <c r="B440">
        <f t="shared" si="0"/>
        <v>0</v>
      </c>
      <c r="E440">
        <f>B440-Index_Returns!R440</f>
        <v>-0.22636000000000001</v>
      </c>
    </row>
    <row r="441" spans="1:5" x14ac:dyDescent="0.2">
      <c r="A441" s="21"/>
    </row>
    <row r="442" spans="1:5" x14ac:dyDescent="0.2">
      <c r="A442" s="21"/>
    </row>
    <row r="443" spans="1:5" x14ac:dyDescent="0.2">
      <c r="A443" s="21"/>
    </row>
    <row r="444" spans="1:5" x14ac:dyDescent="0.2">
      <c r="A444" s="21"/>
    </row>
    <row r="445" spans="1:5" x14ac:dyDescent="0.2">
      <c r="A445" s="21"/>
    </row>
    <row r="446" spans="1:5" x14ac:dyDescent="0.2">
      <c r="A446" s="21"/>
    </row>
    <row r="447" spans="1:5" x14ac:dyDescent="0.2">
      <c r="A447" s="21"/>
    </row>
    <row r="448" spans="1:5" x14ac:dyDescent="0.2">
      <c r="A448" s="21"/>
    </row>
    <row r="449" spans="1:1" x14ac:dyDescent="0.2">
      <c r="A449" s="21"/>
    </row>
    <row r="450" spans="1:1" x14ac:dyDescent="0.2">
      <c r="A450" s="21"/>
    </row>
    <row r="451" spans="1:1" x14ac:dyDescent="0.2">
      <c r="A451" s="21"/>
    </row>
    <row r="452" spans="1:1" x14ac:dyDescent="0.2">
      <c r="A452" s="21"/>
    </row>
    <row r="453" spans="1:1" x14ac:dyDescent="0.2">
      <c r="A453" s="21"/>
    </row>
    <row r="454" spans="1:1" x14ac:dyDescent="0.2">
      <c r="A454" s="21"/>
    </row>
    <row r="455" spans="1:1" x14ac:dyDescent="0.2">
      <c r="A455" s="21"/>
    </row>
    <row r="456" spans="1:1" x14ac:dyDescent="0.2">
      <c r="A456" s="21"/>
    </row>
    <row r="457" spans="1:1" x14ac:dyDescent="0.2">
      <c r="A457" s="21"/>
    </row>
    <row r="458" spans="1:1" x14ac:dyDescent="0.2">
      <c r="A458" s="21"/>
    </row>
    <row r="459" spans="1:1" x14ac:dyDescent="0.2">
      <c r="A459" s="21"/>
    </row>
    <row r="460" spans="1:1" x14ac:dyDescent="0.2">
      <c r="A460" s="21"/>
    </row>
    <row r="461" spans="1:1" x14ac:dyDescent="0.2">
      <c r="A461" s="21"/>
    </row>
    <row r="462" spans="1:1" x14ac:dyDescent="0.2">
      <c r="A462" s="21"/>
    </row>
    <row r="463" spans="1:1" x14ac:dyDescent="0.2">
      <c r="A463" s="21"/>
    </row>
    <row r="464" spans="1:1" x14ac:dyDescent="0.2">
      <c r="A464" s="21"/>
    </row>
    <row r="465" spans="1:1" x14ac:dyDescent="0.2">
      <c r="A465" s="21"/>
    </row>
    <row r="466" spans="1:1" x14ac:dyDescent="0.2">
      <c r="A466" s="21"/>
    </row>
    <row r="467" spans="1:1" x14ac:dyDescent="0.2">
      <c r="A467" s="21"/>
    </row>
    <row r="468" spans="1:1" x14ac:dyDescent="0.2">
      <c r="A468" s="21"/>
    </row>
    <row r="469" spans="1:1" x14ac:dyDescent="0.2">
      <c r="A469" s="21"/>
    </row>
    <row r="470" spans="1:1" x14ac:dyDescent="0.2">
      <c r="A470" s="21"/>
    </row>
    <row r="471" spans="1:1" x14ac:dyDescent="0.2">
      <c r="A471" s="21"/>
    </row>
    <row r="472" spans="1:1" x14ac:dyDescent="0.2">
      <c r="A472" s="21"/>
    </row>
    <row r="473" spans="1:1" x14ac:dyDescent="0.2">
      <c r="A473" s="21"/>
    </row>
    <row r="474" spans="1:1" x14ac:dyDescent="0.2">
      <c r="A474" s="21"/>
    </row>
    <row r="475" spans="1:1" x14ac:dyDescent="0.2">
      <c r="A475" s="21"/>
    </row>
    <row r="476" spans="1:1" x14ac:dyDescent="0.2">
      <c r="A476" s="21"/>
    </row>
    <row r="477" spans="1:1" x14ac:dyDescent="0.2">
      <c r="A477" s="21"/>
    </row>
    <row r="478" spans="1:1" x14ac:dyDescent="0.2">
      <c r="A478" s="21"/>
    </row>
    <row r="479" spans="1:1" x14ac:dyDescent="0.2">
      <c r="A479" s="21"/>
    </row>
    <row r="480" spans="1:1" x14ac:dyDescent="0.2">
      <c r="A480" s="21"/>
    </row>
    <row r="481" spans="1:1" x14ac:dyDescent="0.2">
      <c r="A481" s="21"/>
    </row>
    <row r="482" spans="1:1" x14ac:dyDescent="0.2">
      <c r="A482" s="21"/>
    </row>
    <row r="483" spans="1:1" x14ac:dyDescent="0.2">
      <c r="A483" s="21"/>
    </row>
    <row r="484" spans="1:1" x14ac:dyDescent="0.2">
      <c r="A484" s="21"/>
    </row>
    <row r="485" spans="1:1" x14ac:dyDescent="0.2">
      <c r="A485" s="21"/>
    </row>
    <row r="486" spans="1:1" x14ac:dyDescent="0.2">
      <c r="A486" s="21"/>
    </row>
    <row r="487" spans="1:1" x14ac:dyDescent="0.2">
      <c r="A487" s="21"/>
    </row>
    <row r="488" spans="1:1" x14ac:dyDescent="0.2">
      <c r="A488" s="21"/>
    </row>
    <row r="489" spans="1:1" x14ac:dyDescent="0.2">
      <c r="A489" s="21"/>
    </row>
    <row r="490" spans="1:1" x14ac:dyDescent="0.2">
      <c r="A490" s="21"/>
    </row>
    <row r="491" spans="1:1" x14ac:dyDescent="0.2">
      <c r="A491" s="21"/>
    </row>
    <row r="492" spans="1:1" x14ac:dyDescent="0.2">
      <c r="A492" s="21"/>
    </row>
    <row r="493" spans="1:1" x14ac:dyDescent="0.2">
      <c r="A493" s="21"/>
    </row>
    <row r="494" spans="1:1" x14ac:dyDescent="0.2">
      <c r="A494" s="21"/>
    </row>
    <row r="495" spans="1:1" x14ac:dyDescent="0.2">
      <c r="A495" s="21"/>
    </row>
    <row r="496" spans="1:1" x14ac:dyDescent="0.2">
      <c r="A496" s="21"/>
    </row>
    <row r="497" spans="1:1" x14ac:dyDescent="0.2">
      <c r="A497" s="21"/>
    </row>
    <row r="498" spans="1:1" x14ac:dyDescent="0.2">
      <c r="A498" s="21"/>
    </row>
    <row r="499" spans="1:1" x14ac:dyDescent="0.2">
      <c r="A499" s="21"/>
    </row>
    <row r="500" spans="1:1" x14ac:dyDescent="0.2">
      <c r="A500" s="21"/>
    </row>
    <row r="501" spans="1:1" x14ac:dyDescent="0.2">
      <c r="A501" s="21"/>
    </row>
    <row r="502" spans="1:1" x14ac:dyDescent="0.2">
      <c r="A502" s="21"/>
    </row>
    <row r="503" spans="1:1" x14ac:dyDescent="0.2">
      <c r="A503" s="21"/>
    </row>
    <row r="504" spans="1:1" x14ac:dyDescent="0.2">
      <c r="A504" s="21"/>
    </row>
    <row r="505" spans="1:1" x14ac:dyDescent="0.2">
      <c r="A505" s="21"/>
    </row>
    <row r="506" spans="1:1" x14ac:dyDescent="0.2">
      <c r="A506" s="21"/>
    </row>
    <row r="507" spans="1:1" x14ac:dyDescent="0.2">
      <c r="A507" s="21"/>
    </row>
    <row r="508" spans="1:1" x14ac:dyDescent="0.2">
      <c r="A508" s="21"/>
    </row>
    <row r="509" spans="1:1" x14ac:dyDescent="0.2">
      <c r="A509" s="21"/>
    </row>
    <row r="510" spans="1:1" x14ac:dyDescent="0.2">
      <c r="A510" s="21"/>
    </row>
    <row r="511" spans="1:1" x14ac:dyDescent="0.2">
      <c r="A511" s="21"/>
    </row>
    <row r="512" spans="1:1" x14ac:dyDescent="0.2">
      <c r="A512" s="21"/>
    </row>
    <row r="513" spans="1:1" x14ac:dyDescent="0.2">
      <c r="A513" s="21"/>
    </row>
    <row r="514" spans="1:1" x14ac:dyDescent="0.2">
      <c r="A514" s="21"/>
    </row>
    <row r="515" spans="1:1" x14ac:dyDescent="0.2">
      <c r="A515" s="21"/>
    </row>
    <row r="516" spans="1:1" x14ac:dyDescent="0.2">
      <c r="A516" s="21"/>
    </row>
    <row r="517" spans="1:1" x14ac:dyDescent="0.2">
      <c r="A517" s="21"/>
    </row>
    <row r="518" spans="1:1" x14ac:dyDescent="0.2">
      <c r="A518" s="21"/>
    </row>
    <row r="519" spans="1:1" x14ac:dyDescent="0.2">
      <c r="A519" s="21"/>
    </row>
    <row r="520" spans="1:1" x14ac:dyDescent="0.2">
      <c r="A520" s="21"/>
    </row>
    <row r="521" spans="1:1" x14ac:dyDescent="0.2">
      <c r="A521" s="21"/>
    </row>
    <row r="522" spans="1:1" x14ac:dyDescent="0.2">
      <c r="A522" s="21"/>
    </row>
    <row r="523" spans="1:1" x14ac:dyDescent="0.2">
      <c r="A523" s="21"/>
    </row>
    <row r="524" spans="1:1" x14ac:dyDescent="0.2">
      <c r="A524" s="21"/>
    </row>
    <row r="525" spans="1:1" x14ac:dyDescent="0.2">
      <c r="A525" s="21"/>
    </row>
    <row r="526" spans="1:1" x14ac:dyDescent="0.2">
      <c r="A526" s="21"/>
    </row>
    <row r="527" spans="1:1" x14ac:dyDescent="0.2">
      <c r="A527" s="21"/>
    </row>
    <row r="528" spans="1:1" x14ac:dyDescent="0.2">
      <c r="A528" s="21"/>
    </row>
    <row r="529" spans="1:1" x14ac:dyDescent="0.2">
      <c r="A529" s="21"/>
    </row>
    <row r="530" spans="1:1" x14ac:dyDescent="0.2">
      <c r="A530" s="21"/>
    </row>
    <row r="531" spans="1:1" x14ac:dyDescent="0.2">
      <c r="A531" s="21"/>
    </row>
    <row r="532" spans="1:1" x14ac:dyDescent="0.2">
      <c r="A532" s="21"/>
    </row>
    <row r="533" spans="1:1" x14ac:dyDescent="0.2">
      <c r="A533" s="21"/>
    </row>
    <row r="534" spans="1:1" x14ac:dyDescent="0.2">
      <c r="A534" s="21"/>
    </row>
    <row r="535" spans="1:1" x14ac:dyDescent="0.2">
      <c r="A535" s="21"/>
    </row>
    <row r="536" spans="1:1" x14ac:dyDescent="0.2">
      <c r="A536" s="21"/>
    </row>
    <row r="537" spans="1:1" x14ac:dyDescent="0.2">
      <c r="A537" s="21"/>
    </row>
    <row r="538" spans="1:1" x14ac:dyDescent="0.2">
      <c r="A538" s="21"/>
    </row>
    <row r="539" spans="1:1" x14ac:dyDescent="0.2">
      <c r="A539" s="21"/>
    </row>
    <row r="540" spans="1:1" x14ac:dyDescent="0.2">
      <c r="A540" s="21"/>
    </row>
    <row r="541" spans="1:1" x14ac:dyDescent="0.2">
      <c r="A541" s="21"/>
    </row>
    <row r="542" spans="1:1" x14ac:dyDescent="0.2">
      <c r="A542" s="21"/>
    </row>
    <row r="543" spans="1:1" x14ac:dyDescent="0.2">
      <c r="A543" s="21"/>
    </row>
    <row r="544" spans="1:1" x14ac:dyDescent="0.2">
      <c r="A544" s="21"/>
    </row>
    <row r="545" spans="1:1" x14ac:dyDescent="0.2">
      <c r="A545" s="21"/>
    </row>
    <row r="546" spans="1:1" x14ac:dyDescent="0.2">
      <c r="A546" s="21"/>
    </row>
    <row r="547" spans="1:1" x14ac:dyDescent="0.2">
      <c r="A547" s="21"/>
    </row>
    <row r="548" spans="1:1" x14ac:dyDescent="0.2">
      <c r="A548" s="21"/>
    </row>
    <row r="549" spans="1:1" x14ac:dyDescent="0.2">
      <c r="A549" s="21"/>
    </row>
    <row r="550" spans="1:1" x14ac:dyDescent="0.2">
      <c r="A550" s="21"/>
    </row>
    <row r="551" spans="1:1" x14ac:dyDescent="0.2">
      <c r="A551" s="21"/>
    </row>
    <row r="552" spans="1:1" x14ac:dyDescent="0.2">
      <c r="A552" s="21"/>
    </row>
    <row r="553" spans="1:1" x14ac:dyDescent="0.2">
      <c r="A553" s="21"/>
    </row>
    <row r="554" spans="1:1" x14ac:dyDescent="0.2">
      <c r="A554" s="21"/>
    </row>
    <row r="555" spans="1:1" x14ac:dyDescent="0.2">
      <c r="A555" s="21"/>
    </row>
    <row r="556" spans="1:1" x14ac:dyDescent="0.2">
      <c r="A556" s="21"/>
    </row>
    <row r="557" spans="1:1" x14ac:dyDescent="0.2">
      <c r="A557" s="21"/>
    </row>
    <row r="558" spans="1:1" x14ac:dyDescent="0.2">
      <c r="A558" s="21"/>
    </row>
    <row r="559" spans="1:1" x14ac:dyDescent="0.2">
      <c r="A559" s="21"/>
    </row>
    <row r="560" spans="1:1" x14ac:dyDescent="0.2">
      <c r="A560" s="21"/>
    </row>
    <row r="561" spans="1:1" x14ac:dyDescent="0.2">
      <c r="A561" s="21"/>
    </row>
    <row r="562" spans="1:1" x14ac:dyDescent="0.2">
      <c r="A562" s="21"/>
    </row>
    <row r="563" spans="1:1" x14ac:dyDescent="0.2">
      <c r="A563" s="21"/>
    </row>
    <row r="564" spans="1:1" x14ac:dyDescent="0.2">
      <c r="A564" s="21"/>
    </row>
    <row r="565" spans="1:1" x14ac:dyDescent="0.2">
      <c r="A565" s="21"/>
    </row>
    <row r="566" spans="1:1" x14ac:dyDescent="0.2">
      <c r="A566" s="21"/>
    </row>
    <row r="567" spans="1:1" x14ac:dyDescent="0.2">
      <c r="A567" s="21"/>
    </row>
    <row r="568" spans="1:1" x14ac:dyDescent="0.2">
      <c r="A568" s="21"/>
    </row>
    <row r="569" spans="1:1" x14ac:dyDescent="0.2">
      <c r="A569" s="21"/>
    </row>
    <row r="570" spans="1:1" x14ac:dyDescent="0.2">
      <c r="A570" s="21"/>
    </row>
    <row r="571" spans="1:1" x14ac:dyDescent="0.2">
      <c r="A571" s="21"/>
    </row>
    <row r="572" spans="1:1" x14ac:dyDescent="0.2">
      <c r="A572" s="21"/>
    </row>
    <row r="573" spans="1:1" x14ac:dyDescent="0.2">
      <c r="A573" s="21"/>
    </row>
    <row r="574" spans="1:1" x14ac:dyDescent="0.2">
      <c r="A574" s="21"/>
    </row>
    <row r="575" spans="1:1" x14ac:dyDescent="0.2">
      <c r="A575" s="21"/>
    </row>
    <row r="576" spans="1:1" x14ac:dyDescent="0.2">
      <c r="A576" s="21"/>
    </row>
    <row r="577" spans="1:1" x14ac:dyDescent="0.2">
      <c r="A577" s="21"/>
    </row>
    <row r="578" spans="1:1" x14ac:dyDescent="0.2">
      <c r="A578" s="21"/>
    </row>
    <row r="579" spans="1:1" x14ac:dyDescent="0.2">
      <c r="A579" s="21"/>
    </row>
    <row r="580" spans="1:1" x14ac:dyDescent="0.2">
      <c r="A580" s="21"/>
    </row>
    <row r="581" spans="1:1" x14ac:dyDescent="0.2">
      <c r="A581" s="21"/>
    </row>
    <row r="582" spans="1:1" x14ac:dyDescent="0.2">
      <c r="A582" s="21"/>
    </row>
    <row r="583" spans="1:1" x14ac:dyDescent="0.2">
      <c r="A583" s="21"/>
    </row>
    <row r="584" spans="1:1" x14ac:dyDescent="0.2">
      <c r="A584" s="21"/>
    </row>
    <row r="585" spans="1:1" x14ac:dyDescent="0.2">
      <c r="A585" s="21"/>
    </row>
    <row r="586" spans="1:1" x14ac:dyDescent="0.2">
      <c r="A586" s="21"/>
    </row>
    <row r="587" spans="1:1" x14ac:dyDescent="0.2">
      <c r="A587" s="21"/>
    </row>
    <row r="588" spans="1:1" x14ac:dyDescent="0.2">
      <c r="A588" s="21"/>
    </row>
    <row r="589" spans="1:1" x14ac:dyDescent="0.2">
      <c r="A589" s="21"/>
    </row>
    <row r="590" spans="1:1" x14ac:dyDescent="0.2">
      <c r="A590" s="21"/>
    </row>
    <row r="591" spans="1:1" x14ac:dyDescent="0.2">
      <c r="A591" s="21"/>
    </row>
    <row r="592" spans="1:1" x14ac:dyDescent="0.2">
      <c r="A592" s="21"/>
    </row>
    <row r="593" spans="1:1" x14ac:dyDescent="0.2">
      <c r="A593" s="21"/>
    </row>
    <row r="594" spans="1:1" x14ac:dyDescent="0.2">
      <c r="A594" s="21"/>
    </row>
    <row r="595" spans="1:1" x14ac:dyDescent="0.2">
      <c r="A595" s="21"/>
    </row>
    <row r="596" spans="1:1" x14ac:dyDescent="0.2">
      <c r="A596" s="21"/>
    </row>
    <row r="597" spans="1:1" x14ac:dyDescent="0.2">
      <c r="A597" s="21"/>
    </row>
    <row r="598" spans="1:1" x14ac:dyDescent="0.2">
      <c r="A598" s="21"/>
    </row>
    <row r="599" spans="1:1" x14ac:dyDescent="0.2">
      <c r="A599" s="21"/>
    </row>
    <row r="600" spans="1:1" x14ac:dyDescent="0.2">
      <c r="A600" s="21"/>
    </row>
    <row r="601" spans="1:1" x14ac:dyDescent="0.2">
      <c r="A601" s="21"/>
    </row>
    <row r="602" spans="1:1" x14ac:dyDescent="0.2">
      <c r="A602" s="21"/>
    </row>
    <row r="603" spans="1:1" x14ac:dyDescent="0.2">
      <c r="A603" s="21"/>
    </row>
    <row r="604" spans="1:1" x14ac:dyDescent="0.2">
      <c r="A604" s="21"/>
    </row>
    <row r="605" spans="1:1" x14ac:dyDescent="0.2">
      <c r="A605" s="21"/>
    </row>
    <row r="606" spans="1:1" x14ac:dyDescent="0.2">
      <c r="A606" s="21"/>
    </row>
    <row r="607" spans="1:1" x14ac:dyDescent="0.2">
      <c r="A607" s="21"/>
    </row>
    <row r="608" spans="1:1" x14ac:dyDescent="0.2">
      <c r="A608" s="21"/>
    </row>
    <row r="609" spans="1:1" x14ac:dyDescent="0.2">
      <c r="A609" s="21"/>
    </row>
    <row r="610" spans="1:1" x14ac:dyDescent="0.2">
      <c r="A610" s="21"/>
    </row>
    <row r="611" spans="1:1" x14ac:dyDescent="0.2">
      <c r="A611" s="21"/>
    </row>
    <row r="612" spans="1:1" x14ac:dyDescent="0.2">
      <c r="A612" s="21"/>
    </row>
    <row r="613" spans="1:1" x14ac:dyDescent="0.2">
      <c r="A613" s="21"/>
    </row>
    <row r="614" spans="1:1" x14ac:dyDescent="0.2">
      <c r="A614" s="21"/>
    </row>
    <row r="615" spans="1:1" x14ac:dyDescent="0.2">
      <c r="A615" s="21"/>
    </row>
    <row r="616" spans="1:1" x14ac:dyDescent="0.2">
      <c r="A616" s="21"/>
    </row>
    <row r="617" spans="1:1" x14ac:dyDescent="0.2">
      <c r="A617" s="21"/>
    </row>
    <row r="618" spans="1:1" x14ac:dyDescent="0.2">
      <c r="A618" s="21"/>
    </row>
    <row r="619" spans="1:1" x14ac:dyDescent="0.2">
      <c r="A619" s="21"/>
    </row>
    <row r="620" spans="1:1" x14ac:dyDescent="0.2">
      <c r="A620" s="21"/>
    </row>
    <row r="621" spans="1:1" x14ac:dyDescent="0.2">
      <c r="A621" s="21"/>
    </row>
    <row r="622" spans="1:1" x14ac:dyDescent="0.2">
      <c r="A622" s="21"/>
    </row>
    <row r="623" spans="1:1" x14ac:dyDescent="0.2">
      <c r="A623" s="21"/>
    </row>
    <row r="624" spans="1:1" x14ac:dyDescent="0.2">
      <c r="A624" s="21"/>
    </row>
    <row r="625" spans="1:1" x14ac:dyDescent="0.2">
      <c r="A625" s="21"/>
    </row>
    <row r="626" spans="1:1" x14ac:dyDescent="0.2">
      <c r="A626" s="21"/>
    </row>
    <row r="627" spans="1:1" x14ac:dyDescent="0.2">
      <c r="A627" s="21"/>
    </row>
    <row r="628" spans="1:1" x14ac:dyDescent="0.2">
      <c r="A628" s="21"/>
    </row>
    <row r="629" spans="1:1" x14ac:dyDescent="0.2">
      <c r="A629" s="21"/>
    </row>
    <row r="630" spans="1:1" x14ac:dyDescent="0.2">
      <c r="A630" s="21"/>
    </row>
    <row r="631" spans="1:1" x14ac:dyDescent="0.2">
      <c r="A631" s="21"/>
    </row>
    <row r="632" spans="1:1" x14ac:dyDescent="0.2">
      <c r="A632" s="21"/>
    </row>
    <row r="633" spans="1:1" x14ac:dyDescent="0.2">
      <c r="A633" s="21"/>
    </row>
    <row r="634" spans="1:1" x14ac:dyDescent="0.2">
      <c r="A634" s="21"/>
    </row>
    <row r="635" spans="1:1" x14ac:dyDescent="0.2">
      <c r="A635" s="21"/>
    </row>
    <row r="636" spans="1:1" x14ac:dyDescent="0.2">
      <c r="A636" s="21"/>
    </row>
    <row r="637" spans="1:1" x14ac:dyDescent="0.2">
      <c r="A637" s="21"/>
    </row>
    <row r="638" spans="1:1" x14ac:dyDescent="0.2">
      <c r="A638" s="21"/>
    </row>
    <row r="639" spans="1:1" x14ac:dyDescent="0.2">
      <c r="A639" s="21"/>
    </row>
    <row r="640" spans="1:1" x14ac:dyDescent="0.2">
      <c r="A640" s="21"/>
    </row>
    <row r="641" spans="1:1" x14ac:dyDescent="0.2">
      <c r="A641" s="21"/>
    </row>
    <row r="642" spans="1:1" x14ac:dyDescent="0.2">
      <c r="A642" s="21"/>
    </row>
    <row r="643" spans="1:1" x14ac:dyDescent="0.2">
      <c r="A643" s="21"/>
    </row>
    <row r="644" spans="1:1" x14ac:dyDescent="0.2">
      <c r="A644" s="21"/>
    </row>
    <row r="645" spans="1:1" x14ac:dyDescent="0.2">
      <c r="A645" s="21"/>
    </row>
    <row r="646" spans="1:1" x14ac:dyDescent="0.2">
      <c r="A646" s="21"/>
    </row>
    <row r="647" spans="1:1" x14ac:dyDescent="0.2">
      <c r="A647" s="21"/>
    </row>
    <row r="648" spans="1:1" x14ac:dyDescent="0.2">
      <c r="A648" s="21"/>
    </row>
    <row r="649" spans="1:1" x14ac:dyDescent="0.2">
      <c r="A649" s="21"/>
    </row>
    <row r="650" spans="1:1" x14ac:dyDescent="0.2">
      <c r="A650" s="21"/>
    </row>
    <row r="651" spans="1:1" x14ac:dyDescent="0.2">
      <c r="A651" s="21"/>
    </row>
    <row r="652" spans="1:1" x14ac:dyDescent="0.2">
      <c r="A652" s="21"/>
    </row>
    <row r="653" spans="1:1" x14ac:dyDescent="0.2">
      <c r="A653" s="21"/>
    </row>
    <row r="654" spans="1:1" x14ac:dyDescent="0.2">
      <c r="A654" s="21"/>
    </row>
    <row r="655" spans="1:1" x14ac:dyDescent="0.2">
      <c r="A655" s="21"/>
    </row>
    <row r="656" spans="1:1" x14ac:dyDescent="0.2">
      <c r="A656" s="21"/>
    </row>
    <row r="657" spans="1:1" x14ac:dyDescent="0.2">
      <c r="A657" s="21"/>
    </row>
    <row r="658" spans="1:1" x14ac:dyDescent="0.2">
      <c r="A658" s="21"/>
    </row>
    <row r="659" spans="1:1" x14ac:dyDescent="0.2">
      <c r="A659" s="21"/>
    </row>
    <row r="660" spans="1:1" x14ac:dyDescent="0.2">
      <c r="A660" s="21"/>
    </row>
    <row r="661" spans="1:1" x14ac:dyDescent="0.2">
      <c r="A661" s="21"/>
    </row>
    <row r="662" spans="1:1" x14ac:dyDescent="0.2">
      <c r="A662" s="21"/>
    </row>
    <row r="663" spans="1:1" x14ac:dyDescent="0.2">
      <c r="A663" s="21"/>
    </row>
    <row r="664" spans="1:1" x14ac:dyDescent="0.2">
      <c r="A664" s="21"/>
    </row>
    <row r="665" spans="1:1" x14ac:dyDescent="0.2">
      <c r="A665" s="21"/>
    </row>
    <row r="666" spans="1:1" x14ac:dyDescent="0.2">
      <c r="A666" s="21"/>
    </row>
    <row r="667" spans="1:1" x14ac:dyDescent="0.2">
      <c r="A667" s="21"/>
    </row>
    <row r="668" spans="1:1" x14ac:dyDescent="0.2">
      <c r="A668" s="21"/>
    </row>
    <row r="669" spans="1:1" x14ac:dyDescent="0.2">
      <c r="A669" s="21"/>
    </row>
    <row r="670" spans="1:1" x14ac:dyDescent="0.2">
      <c r="A670" s="21"/>
    </row>
    <row r="671" spans="1:1" x14ac:dyDescent="0.2">
      <c r="A671" s="21"/>
    </row>
    <row r="672" spans="1:1" x14ac:dyDescent="0.2">
      <c r="A672" s="21"/>
    </row>
    <row r="673" spans="1:1" x14ac:dyDescent="0.2">
      <c r="A673" s="21"/>
    </row>
    <row r="674" spans="1:1" x14ac:dyDescent="0.2">
      <c r="A674" s="21"/>
    </row>
    <row r="675" spans="1:1" x14ac:dyDescent="0.2">
      <c r="A675" s="21"/>
    </row>
    <row r="676" spans="1:1" x14ac:dyDescent="0.2">
      <c r="A676" s="21"/>
    </row>
    <row r="677" spans="1:1" x14ac:dyDescent="0.2">
      <c r="A677" s="21"/>
    </row>
    <row r="678" spans="1:1" x14ac:dyDescent="0.2">
      <c r="A678" s="21"/>
    </row>
    <row r="679" spans="1:1" x14ac:dyDescent="0.2">
      <c r="A679" s="21"/>
    </row>
    <row r="680" spans="1:1" x14ac:dyDescent="0.2">
      <c r="A680" s="21"/>
    </row>
    <row r="681" spans="1:1" x14ac:dyDescent="0.2">
      <c r="A681" s="21"/>
    </row>
    <row r="682" spans="1:1" x14ac:dyDescent="0.2">
      <c r="A682" s="21"/>
    </row>
    <row r="683" spans="1:1" x14ac:dyDescent="0.2">
      <c r="A683" s="21"/>
    </row>
    <row r="684" spans="1:1" x14ac:dyDescent="0.2">
      <c r="A684" s="21"/>
    </row>
    <row r="685" spans="1:1" x14ac:dyDescent="0.2">
      <c r="A685" s="21"/>
    </row>
    <row r="686" spans="1:1" x14ac:dyDescent="0.2">
      <c r="A686" s="21"/>
    </row>
    <row r="687" spans="1:1" x14ac:dyDescent="0.2">
      <c r="A687" s="21"/>
    </row>
    <row r="688" spans="1:1" x14ac:dyDescent="0.2">
      <c r="A688" s="21"/>
    </row>
    <row r="689" spans="1:1" x14ac:dyDescent="0.2">
      <c r="A689" s="21"/>
    </row>
    <row r="690" spans="1:1" x14ac:dyDescent="0.2">
      <c r="A690" s="21"/>
    </row>
    <row r="691" spans="1:1" x14ac:dyDescent="0.2">
      <c r="A691" s="21"/>
    </row>
    <row r="692" spans="1:1" x14ac:dyDescent="0.2">
      <c r="A692" s="21"/>
    </row>
    <row r="693" spans="1:1" x14ac:dyDescent="0.2">
      <c r="A693" s="21"/>
    </row>
    <row r="694" spans="1:1" x14ac:dyDescent="0.2">
      <c r="A694" s="21"/>
    </row>
    <row r="695" spans="1:1" x14ac:dyDescent="0.2">
      <c r="A695" s="21"/>
    </row>
    <row r="696" spans="1:1" x14ac:dyDescent="0.2">
      <c r="A696" s="21"/>
    </row>
    <row r="697" spans="1:1" x14ac:dyDescent="0.2">
      <c r="A697" s="21"/>
    </row>
    <row r="698" spans="1:1" x14ac:dyDescent="0.2">
      <c r="A698" s="21"/>
    </row>
    <row r="699" spans="1:1" x14ac:dyDescent="0.2">
      <c r="A699" s="21"/>
    </row>
    <row r="700" spans="1:1" x14ac:dyDescent="0.2">
      <c r="A700" s="21"/>
    </row>
    <row r="701" spans="1:1" x14ac:dyDescent="0.2">
      <c r="A701" s="21"/>
    </row>
    <row r="702" spans="1:1" x14ac:dyDescent="0.2">
      <c r="A702" s="21"/>
    </row>
    <row r="703" spans="1:1" x14ac:dyDescent="0.2">
      <c r="A703" s="21"/>
    </row>
    <row r="704" spans="1:1" x14ac:dyDescent="0.2">
      <c r="A704" s="21"/>
    </row>
    <row r="705" spans="1:1" x14ac:dyDescent="0.2">
      <c r="A705" s="21"/>
    </row>
    <row r="706" spans="1:1" x14ac:dyDescent="0.2">
      <c r="A706" s="21"/>
    </row>
    <row r="707" spans="1:1" x14ac:dyDescent="0.2">
      <c r="A707" s="21"/>
    </row>
    <row r="708" spans="1:1" x14ac:dyDescent="0.2">
      <c r="A708" s="21"/>
    </row>
    <row r="709" spans="1:1" x14ac:dyDescent="0.2">
      <c r="A709" s="21"/>
    </row>
    <row r="710" spans="1:1" x14ac:dyDescent="0.2">
      <c r="A710" s="21"/>
    </row>
    <row r="711" spans="1:1" x14ac:dyDescent="0.2">
      <c r="A711" s="21"/>
    </row>
    <row r="712" spans="1:1" x14ac:dyDescent="0.2">
      <c r="A712" s="21"/>
    </row>
    <row r="713" spans="1:1" x14ac:dyDescent="0.2">
      <c r="A713" s="21"/>
    </row>
    <row r="714" spans="1:1" x14ac:dyDescent="0.2">
      <c r="A714" s="21"/>
    </row>
    <row r="715" spans="1:1" x14ac:dyDescent="0.2">
      <c r="A715" s="21"/>
    </row>
    <row r="716" spans="1:1" x14ac:dyDescent="0.2">
      <c r="A716" s="21"/>
    </row>
    <row r="717" spans="1:1" x14ac:dyDescent="0.2">
      <c r="A717" s="21"/>
    </row>
    <row r="718" spans="1:1" x14ac:dyDescent="0.2">
      <c r="A718" s="21"/>
    </row>
    <row r="719" spans="1:1" x14ac:dyDescent="0.2">
      <c r="A719" s="21"/>
    </row>
    <row r="720" spans="1:1" x14ac:dyDescent="0.2">
      <c r="A720" s="21"/>
    </row>
  </sheetData>
  <phoneticPr fontId="3" type="noConversion"/>
  <pageMargins left="0.75" right="0.75" top="1" bottom="1" header="0.5" footer="0.5"/>
  <headerFooter alignWithMargins="0"/>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0000"/>
    <pageSetUpPr fitToPage="1"/>
  </sheetPr>
  <dimension ref="A1:H428"/>
  <sheetViews>
    <sheetView workbookViewId="0">
      <pane xSplit="1" ySplit="2" topLeftCell="B405" activePane="bottomRight" state="frozen"/>
      <selection pane="topRight"/>
      <selection pane="bottomLeft"/>
      <selection pane="bottomRight" activeCell="C428" sqref="C428"/>
    </sheetView>
  </sheetViews>
  <sheetFormatPr defaultRowHeight="12.75" x14ac:dyDescent="0.2"/>
  <cols>
    <col min="1" max="1" width="18.7109375" style="21" customWidth="1"/>
    <col min="2" max="2" width="18.7109375" style="257" customWidth="1"/>
    <col min="3" max="3" width="18.7109375" style="5" customWidth="1"/>
    <col min="4" max="4" width="18.7109375" style="258" customWidth="1"/>
    <col min="5" max="5" width="18.7109375" style="21" customWidth="1"/>
    <col min="6" max="6" width="12.42578125" bestFit="1" customWidth="1"/>
    <col min="7" max="8" width="9.140625" style="352"/>
  </cols>
  <sheetData>
    <row r="1" spans="1:5" x14ac:dyDescent="0.2">
      <c r="A1" s="265" t="s">
        <v>176</v>
      </c>
      <c r="B1" s="1273" t="s">
        <v>497</v>
      </c>
      <c r="C1" s="20" t="s">
        <v>178</v>
      </c>
      <c r="D1" s="252" t="e">
        <f>Fees!F196</f>
        <v>#REF!</v>
      </c>
      <c r="E1" s="74" t="s">
        <v>81</v>
      </c>
    </row>
    <row r="2" spans="1:5" x14ac:dyDescent="0.2">
      <c r="A2" s="3" t="s">
        <v>27</v>
      </c>
      <c r="B2" s="71" t="s">
        <v>91</v>
      </c>
      <c r="C2" s="3" t="s">
        <v>92</v>
      </c>
      <c r="D2" s="71" t="s">
        <v>90</v>
      </c>
      <c r="E2" s="71" t="s">
        <v>80</v>
      </c>
    </row>
    <row r="3" spans="1:5" x14ac:dyDescent="0.2">
      <c r="A3" s="345">
        <v>27606</v>
      </c>
      <c r="B3" s="71"/>
      <c r="C3" s="226"/>
      <c r="D3" s="71"/>
      <c r="E3" s="71"/>
    </row>
    <row r="4" spans="1:5" x14ac:dyDescent="0.2">
      <c r="A4" s="345">
        <v>27637</v>
      </c>
      <c r="B4" s="71"/>
      <c r="C4" s="226"/>
      <c r="D4" s="71"/>
      <c r="E4" s="71"/>
    </row>
    <row r="5" spans="1:5" x14ac:dyDescent="0.2">
      <c r="A5" s="345">
        <v>27667</v>
      </c>
      <c r="B5" s="71"/>
      <c r="C5" s="226"/>
      <c r="D5" s="71"/>
      <c r="E5" s="71"/>
    </row>
    <row r="6" spans="1:5" x14ac:dyDescent="0.2">
      <c r="A6" s="345">
        <v>27698</v>
      </c>
      <c r="B6" s="71"/>
      <c r="C6" s="226"/>
      <c r="D6" s="71"/>
      <c r="E6" s="71"/>
    </row>
    <row r="7" spans="1:5" x14ac:dyDescent="0.2">
      <c r="A7" s="345">
        <v>27728</v>
      </c>
      <c r="B7" s="71"/>
      <c r="C7" s="226"/>
      <c r="D7" s="71"/>
      <c r="E7" s="71"/>
    </row>
    <row r="8" spans="1:5" x14ac:dyDescent="0.2">
      <c r="A8" s="345">
        <v>27759</v>
      </c>
      <c r="B8" s="71"/>
      <c r="C8" s="226"/>
      <c r="D8" s="71"/>
      <c r="E8" s="71"/>
    </row>
    <row r="9" spans="1:5" x14ac:dyDescent="0.2">
      <c r="A9" s="345">
        <v>27790</v>
      </c>
      <c r="B9" s="71"/>
      <c r="C9" s="226"/>
      <c r="D9" s="71"/>
      <c r="E9" s="71"/>
    </row>
    <row r="10" spans="1:5" x14ac:dyDescent="0.2">
      <c r="A10" s="345">
        <v>27819</v>
      </c>
      <c r="B10" s="71"/>
      <c r="C10" s="226"/>
      <c r="D10" s="71"/>
      <c r="E10" s="71"/>
    </row>
    <row r="11" spans="1:5" x14ac:dyDescent="0.2">
      <c r="A11" s="345">
        <v>27850</v>
      </c>
      <c r="B11" s="71"/>
      <c r="C11" s="226"/>
      <c r="D11" s="71"/>
      <c r="E11" s="71"/>
    </row>
    <row r="12" spans="1:5" x14ac:dyDescent="0.2">
      <c r="A12" s="345">
        <v>27880</v>
      </c>
      <c r="B12" s="71"/>
      <c r="C12" s="226"/>
      <c r="D12" s="71"/>
      <c r="E12" s="71"/>
    </row>
    <row r="13" spans="1:5" x14ac:dyDescent="0.2">
      <c r="A13" s="345">
        <v>27911</v>
      </c>
      <c r="B13" s="71"/>
      <c r="C13" s="226"/>
      <c r="D13" s="71"/>
      <c r="E13" s="71"/>
    </row>
    <row r="14" spans="1:5" x14ac:dyDescent="0.2">
      <c r="A14" s="345">
        <v>27941</v>
      </c>
      <c r="B14" s="71"/>
      <c r="C14" s="226"/>
      <c r="D14" s="71"/>
      <c r="E14" s="71"/>
    </row>
    <row r="15" spans="1:5" x14ac:dyDescent="0.2">
      <c r="A15" s="345">
        <v>27972</v>
      </c>
      <c r="B15" s="71"/>
      <c r="C15" s="226"/>
      <c r="D15" s="71"/>
      <c r="E15" s="71"/>
    </row>
    <row r="16" spans="1:5"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row>
    <row r="142" spans="1:5" x14ac:dyDescent="0.2">
      <c r="A142" s="345">
        <v>31836</v>
      </c>
      <c r="B142" s="73"/>
      <c r="C142" s="25"/>
      <c r="D142" s="73"/>
    </row>
    <row r="143" spans="1:5" x14ac:dyDescent="0.2">
      <c r="A143" s="345">
        <v>31867</v>
      </c>
      <c r="B143" s="73"/>
      <c r="C143" s="25"/>
      <c r="D143" s="73"/>
    </row>
    <row r="144" spans="1:5" x14ac:dyDescent="0.2">
      <c r="A144" s="345">
        <v>31897</v>
      </c>
      <c r="B144" s="73"/>
      <c r="C144" s="25"/>
      <c r="D144" s="73"/>
    </row>
    <row r="145" spans="1:4" x14ac:dyDescent="0.2">
      <c r="A145" s="345">
        <v>31928</v>
      </c>
      <c r="B145" s="73"/>
      <c r="C145" s="25"/>
      <c r="D145" s="73"/>
    </row>
    <row r="146" spans="1:4" x14ac:dyDescent="0.2">
      <c r="A146" s="345">
        <v>31958</v>
      </c>
      <c r="B146" s="73"/>
      <c r="C146" s="25"/>
      <c r="D146" s="73"/>
    </row>
    <row r="147" spans="1:4" x14ac:dyDescent="0.2">
      <c r="A147" s="345">
        <v>31989</v>
      </c>
      <c r="B147" s="73"/>
      <c r="C147" s="25"/>
      <c r="D147" s="73"/>
    </row>
    <row r="148" spans="1:4" x14ac:dyDescent="0.2">
      <c r="A148" s="345">
        <v>32020</v>
      </c>
      <c r="B148" s="73"/>
      <c r="C148" s="25"/>
      <c r="D148" s="73"/>
    </row>
    <row r="149" spans="1:4" x14ac:dyDescent="0.2">
      <c r="A149" s="345">
        <v>32050</v>
      </c>
      <c r="B149" s="73"/>
      <c r="C149" s="25"/>
      <c r="D149" s="73"/>
    </row>
    <row r="150" spans="1:4" x14ac:dyDescent="0.2">
      <c r="A150" s="345">
        <v>32081</v>
      </c>
      <c r="B150" s="73"/>
      <c r="C150" s="25"/>
      <c r="D150" s="73"/>
    </row>
    <row r="151" spans="1:4" x14ac:dyDescent="0.2">
      <c r="A151" s="345">
        <v>32111</v>
      </c>
      <c r="B151" s="73"/>
      <c r="C151" s="25"/>
      <c r="D151" s="73"/>
    </row>
    <row r="152" spans="1:4" x14ac:dyDescent="0.2">
      <c r="A152" s="345">
        <v>32142</v>
      </c>
      <c r="B152" s="73"/>
      <c r="C152" s="25"/>
      <c r="D152" s="73"/>
    </row>
    <row r="153" spans="1:4" x14ac:dyDescent="0.2">
      <c r="A153" s="345">
        <v>32173</v>
      </c>
      <c r="B153" s="73"/>
      <c r="C153" s="25"/>
      <c r="D153" s="73"/>
    </row>
    <row r="154" spans="1:4" x14ac:dyDescent="0.2">
      <c r="A154" s="345">
        <v>32202</v>
      </c>
      <c r="B154" s="73"/>
      <c r="C154" s="25"/>
      <c r="D154" s="73"/>
    </row>
    <row r="155" spans="1:4" x14ac:dyDescent="0.2">
      <c r="A155" s="345">
        <v>32233</v>
      </c>
      <c r="B155" s="73"/>
      <c r="C155" s="25"/>
      <c r="D155" s="73"/>
    </row>
    <row r="156" spans="1:4" x14ac:dyDescent="0.2">
      <c r="A156" s="345">
        <v>32263</v>
      </c>
      <c r="B156" s="73"/>
      <c r="C156" s="25"/>
      <c r="D156" s="73"/>
    </row>
    <row r="157" spans="1:4" x14ac:dyDescent="0.2">
      <c r="A157" s="345">
        <v>32294</v>
      </c>
      <c r="B157" s="73"/>
      <c r="C157" s="25"/>
      <c r="D157" s="73"/>
    </row>
    <row r="158" spans="1:4" x14ac:dyDescent="0.2">
      <c r="A158" s="345">
        <v>32324</v>
      </c>
      <c r="B158" s="73"/>
      <c r="C158" s="25"/>
      <c r="D158" s="73"/>
    </row>
    <row r="159" spans="1:4" x14ac:dyDescent="0.2">
      <c r="A159" s="345">
        <v>32355</v>
      </c>
      <c r="B159" s="73"/>
      <c r="C159" s="25"/>
      <c r="D159" s="73"/>
    </row>
    <row r="160" spans="1:4" x14ac:dyDescent="0.2">
      <c r="A160" s="345">
        <v>32386</v>
      </c>
      <c r="B160" s="73"/>
      <c r="C160" s="25"/>
      <c r="D160" s="73"/>
    </row>
    <row r="161" spans="1:4" x14ac:dyDescent="0.2">
      <c r="A161" s="345">
        <v>32416</v>
      </c>
      <c r="B161" s="73"/>
      <c r="C161" s="25"/>
      <c r="D161" s="73"/>
    </row>
    <row r="162" spans="1:4" x14ac:dyDescent="0.2">
      <c r="A162" s="345">
        <v>32447</v>
      </c>
      <c r="B162" s="73"/>
      <c r="C162" s="25"/>
      <c r="D162" s="73"/>
    </row>
    <row r="163" spans="1:4" x14ac:dyDescent="0.2">
      <c r="A163" s="345">
        <v>32477</v>
      </c>
      <c r="B163" s="73"/>
      <c r="C163" s="25"/>
      <c r="D163" s="73"/>
    </row>
    <row r="164" spans="1:4" x14ac:dyDescent="0.2">
      <c r="A164" s="345">
        <v>32508</v>
      </c>
      <c r="B164" s="73"/>
      <c r="C164" s="25"/>
      <c r="D164" s="73"/>
    </row>
    <row r="165" spans="1:4" x14ac:dyDescent="0.2">
      <c r="A165" s="345">
        <v>32539</v>
      </c>
      <c r="B165" s="73"/>
      <c r="C165" s="25"/>
      <c r="D165" s="73"/>
    </row>
    <row r="166" spans="1:4" x14ac:dyDescent="0.2">
      <c r="A166" s="345">
        <v>32567</v>
      </c>
      <c r="B166" s="73"/>
      <c r="C166" s="25"/>
      <c r="D166" s="73"/>
    </row>
    <row r="167" spans="1:4" x14ac:dyDescent="0.2">
      <c r="A167" s="345">
        <v>32598</v>
      </c>
      <c r="B167" s="73"/>
      <c r="C167" s="25"/>
      <c r="D167" s="73"/>
    </row>
    <row r="168" spans="1:4" x14ac:dyDescent="0.2">
      <c r="A168" s="345">
        <v>32628</v>
      </c>
      <c r="B168" s="73"/>
      <c r="C168" s="25"/>
      <c r="D168" s="73"/>
    </row>
    <row r="169" spans="1:4" x14ac:dyDescent="0.2">
      <c r="A169" s="345">
        <v>32659</v>
      </c>
      <c r="B169" s="73"/>
      <c r="C169" s="25"/>
      <c r="D169" s="73"/>
    </row>
    <row r="170" spans="1:4" x14ac:dyDescent="0.2">
      <c r="A170" s="345">
        <v>32689</v>
      </c>
      <c r="B170" s="73"/>
      <c r="C170" s="25"/>
      <c r="D170" s="73"/>
    </row>
    <row r="171" spans="1:4" x14ac:dyDescent="0.2">
      <c r="A171" s="345">
        <v>32720</v>
      </c>
      <c r="B171" s="73"/>
      <c r="C171" s="25"/>
      <c r="D171" s="73"/>
    </row>
    <row r="172" spans="1:4" x14ac:dyDescent="0.2">
      <c r="A172" s="345">
        <v>32751</v>
      </c>
      <c r="B172" s="73"/>
      <c r="C172" s="25"/>
      <c r="D172" s="73"/>
    </row>
    <row r="173" spans="1:4" x14ac:dyDescent="0.2">
      <c r="A173" s="345">
        <v>32781</v>
      </c>
      <c r="B173" s="73"/>
      <c r="C173" s="25"/>
      <c r="D173" s="73"/>
    </row>
    <row r="174" spans="1:4" x14ac:dyDescent="0.2">
      <c r="A174" s="345">
        <v>32812</v>
      </c>
      <c r="B174" s="73"/>
      <c r="C174" s="25"/>
      <c r="D174" s="73"/>
    </row>
    <row r="175" spans="1:4" x14ac:dyDescent="0.2">
      <c r="A175" s="345">
        <v>32842</v>
      </c>
      <c r="B175" s="73"/>
      <c r="C175" s="25"/>
      <c r="D175" s="73"/>
    </row>
    <row r="176" spans="1:4" x14ac:dyDescent="0.2">
      <c r="A176" s="345">
        <v>32873</v>
      </c>
      <c r="B176" s="73"/>
      <c r="C176" s="25"/>
      <c r="D176" s="73"/>
    </row>
    <row r="177" spans="1:4" x14ac:dyDescent="0.2">
      <c r="A177" s="345">
        <v>32904</v>
      </c>
      <c r="B177" s="73"/>
      <c r="C177" s="25"/>
      <c r="D177" s="73"/>
    </row>
    <row r="178" spans="1:4" x14ac:dyDescent="0.2">
      <c r="A178" s="345">
        <v>32932</v>
      </c>
      <c r="B178" s="73"/>
      <c r="C178" s="25"/>
      <c r="D178" s="73"/>
    </row>
    <row r="179" spans="1:4" x14ac:dyDescent="0.2">
      <c r="A179" s="345">
        <v>32963</v>
      </c>
      <c r="B179" s="73"/>
      <c r="C179" s="25"/>
      <c r="D179" s="73"/>
    </row>
    <row r="180" spans="1:4" x14ac:dyDescent="0.2">
      <c r="A180" s="345">
        <v>32993</v>
      </c>
      <c r="B180" s="73"/>
      <c r="C180" s="25"/>
      <c r="D180" s="73"/>
    </row>
    <row r="181" spans="1:4" x14ac:dyDescent="0.2">
      <c r="A181" s="345">
        <v>33024</v>
      </c>
      <c r="B181" s="73"/>
      <c r="C181" s="25"/>
      <c r="D181" s="73"/>
    </row>
    <row r="182" spans="1:4" x14ac:dyDescent="0.2">
      <c r="A182" s="345">
        <v>33054</v>
      </c>
      <c r="B182" s="73"/>
      <c r="C182" s="25"/>
      <c r="D182" s="73"/>
    </row>
    <row r="183" spans="1:4" x14ac:dyDescent="0.2">
      <c r="A183" s="345">
        <v>33085</v>
      </c>
      <c r="B183" s="73"/>
      <c r="C183" s="25"/>
      <c r="D183" s="73"/>
    </row>
    <row r="184" spans="1:4" x14ac:dyDescent="0.2">
      <c r="A184" s="345">
        <v>33116</v>
      </c>
      <c r="B184" s="73"/>
      <c r="C184" s="25"/>
      <c r="D184" s="73"/>
    </row>
    <row r="185" spans="1:4" x14ac:dyDescent="0.2">
      <c r="A185" s="345">
        <v>33146</v>
      </c>
      <c r="B185" s="73"/>
      <c r="C185" s="25"/>
      <c r="D185" s="73"/>
    </row>
    <row r="186" spans="1:4" x14ac:dyDescent="0.2">
      <c r="A186" s="345">
        <v>33177</v>
      </c>
      <c r="B186" s="73"/>
      <c r="C186" s="25"/>
      <c r="D186" s="73"/>
    </row>
    <row r="187" spans="1:4" x14ac:dyDescent="0.2">
      <c r="A187" s="345">
        <v>33207</v>
      </c>
      <c r="B187" s="73"/>
      <c r="C187" s="25"/>
      <c r="D187" s="73"/>
    </row>
    <row r="188" spans="1:4" x14ac:dyDescent="0.2">
      <c r="A188" s="345">
        <v>33238</v>
      </c>
      <c r="B188" s="73"/>
      <c r="C188" s="25"/>
      <c r="D188" s="73"/>
    </row>
    <row r="189" spans="1:4" x14ac:dyDescent="0.2">
      <c r="A189" s="345">
        <v>33269</v>
      </c>
      <c r="B189" s="73"/>
      <c r="C189" s="25"/>
      <c r="D189" s="73"/>
    </row>
    <row r="190" spans="1:4" x14ac:dyDescent="0.2">
      <c r="A190" s="345">
        <v>33297</v>
      </c>
      <c r="B190" s="73"/>
      <c r="C190" s="25"/>
      <c r="D190" s="73"/>
    </row>
    <row r="191" spans="1:4" x14ac:dyDescent="0.2">
      <c r="A191" s="345">
        <v>33328</v>
      </c>
      <c r="B191" s="73"/>
      <c r="C191" s="25"/>
      <c r="D191" s="73"/>
    </row>
    <row r="192" spans="1:4" x14ac:dyDescent="0.2">
      <c r="A192" s="345">
        <v>33358</v>
      </c>
      <c r="B192" s="73"/>
      <c r="C192" s="25"/>
      <c r="D192" s="73"/>
    </row>
    <row r="193" spans="1:4" x14ac:dyDescent="0.2">
      <c r="A193" s="345">
        <v>33389</v>
      </c>
      <c r="B193" s="73"/>
      <c r="C193" s="25"/>
      <c r="D193" s="73"/>
    </row>
    <row r="194" spans="1:4" x14ac:dyDescent="0.2">
      <c r="A194" s="345">
        <v>33419</v>
      </c>
      <c r="B194" s="73"/>
      <c r="C194" s="25"/>
      <c r="D194" s="73"/>
    </row>
    <row r="195" spans="1:4" x14ac:dyDescent="0.2">
      <c r="A195" s="345">
        <v>33450</v>
      </c>
      <c r="B195" s="73"/>
      <c r="C195" s="25"/>
      <c r="D195" s="73"/>
    </row>
    <row r="196" spans="1:4" x14ac:dyDescent="0.2">
      <c r="A196" s="345">
        <v>33481</v>
      </c>
      <c r="B196" s="73"/>
      <c r="C196" s="25"/>
      <c r="D196" s="73"/>
    </row>
    <row r="197" spans="1:4" x14ac:dyDescent="0.2">
      <c r="A197" s="345">
        <v>33511</v>
      </c>
      <c r="B197" s="73"/>
      <c r="C197" s="25"/>
      <c r="D197" s="73"/>
    </row>
    <row r="198" spans="1:4" x14ac:dyDescent="0.2">
      <c r="A198" s="345">
        <v>33542</v>
      </c>
      <c r="B198" s="73"/>
      <c r="C198" s="25"/>
      <c r="D198" s="73"/>
    </row>
    <row r="199" spans="1:4" x14ac:dyDescent="0.2">
      <c r="A199" s="345">
        <v>33572</v>
      </c>
      <c r="B199" s="73"/>
      <c r="C199" s="25"/>
      <c r="D199" s="73"/>
    </row>
    <row r="200" spans="1:4" x14ac:dyDescent="0.2">
      <c r="A200" s="345">
        <v>33603</v>
      </c>
      <c r="B200" s="73"/>
      <c r="C200" s="25"/>
      <c r="D200" s="73"/>
    </row>
    <row r="201" spans="1:4" x14ac:dyDescent="0.2">
      <c r="A201" s="345">
        <v>33634</v>
      </c>
      <c r="B201" s="73"/>
      <c r="C201" s="25"/>
      <c r="D201" s="73"/>
    </row>
    <row r="202" spans="1:4" x14ac:dyDescent="0.2">
      <c r="A202" s="345">
        <v>33663</v>
      </c>
      <c r="B202" s="73"/>
      <c r="C202" s="25"/>
      <c r="D202" s="73"/>
    </row>
    <row r="203" spans="1:4" x14ac:dyDescent="0.2">
      <c r="A203" s="345">
        <v>33694</v>
      </c>
      <c r="B203" s="73"/>
      <c r="C203" s="25"/>
      <c r="D203" s="73"/>
    </row>
    <row r="204" spans="1:4" x14ac:dyDescent="0.2">
      <c r="A204" s="345">
        <v>33724</v>
      </c>
      <c r="B204" s="73"/>
      <c r="C204" s="25"/>
      <c r="D204" s="73"/>
    </row>
    <row r="205" spans="1:4" x14ac:dyDescent="0.2">
      <c r="A205" s="345">
        <v>33755</v>
      </c>
      <c r="B205" s="73"/>
      <c r="C205" s="25"/>
      <c r="D205" s="73"/>
    </row>
    <row r="206" spans="1:4" x14ac:dyDescent="0.2">
      <c r="A206" s="345">
        <v>33785</v>
      </c>
      <c r="B206" s="73"/>
      <c r="C206" s="25"/>
      <c r="D206" s="73"/>
    </row>
    <row r="207" spans="1:4" x14ac:dyDescent="0.2">
      <c r="A207" s="345">
        <v>33816</v>
      </c>
      <c r="B207" s="73"/>
      <c r="C207" s="25"/>
      <c r="D207" s="73"/>
    </row>
    <row r="208" spans="1:4" x14ac:dyDescent="0.2">
      <c r="A208" s="345">
        <v>33847</v>
      </c>
      <c r="B208" s="73"/>
      <c r="C208" s="25"/>
      <c r="D208" s="73"/>
    </row>
    <row r="209" spans="1:4" x14ac:dyDescent="0.2">
      <c r="A209" s="345">
        <v>33877</v>
      </c>
      <c r="B209" s="73"/>
      <c r="C209" s="25"/>
      <c r="D209" s="73"/>
    </row>
    <row r="210" spans="1:4" x14ac:dyDescent="0.2">
      <c r="A210" s="345">
        <v>33908</v>
      </c>
      <c r="B210" s="73"/>
      <c r="C210" s="25"/>
      <c r="D210" s="73"/>
    </row>
    <row r="211" spans="1:4" x14ac:dyDescent="0.2">
      <c r="A211" s="345">
        <v>33938</v>
      </c>
      <c r="B211" s="73"/>
      <c r="C211" s="25"/>
      <c r="D211" s="73"/>
    </row>
    <row r="212" spans="1:4" x14ac:dyDescent="0.2">
      <c r="A212" s="345">
        <v>33969</v>
      </c>
      <c r="B212" s="73"/>
      <c r="C212" s="25"/>
      <c r="D212" s="73"/>
    </row>
    <row r="213" spans="1:4" x14ac:dyDescent="0.2">
      <c r="A213" s="345">
        <v>34000</v>
      </c>
      <c r="B213" s="73"/>
      <c r="C213" s="25"/>
      <c r="D213" s="73"/>
    </row>
    <row r="214" spans="1:4" x14ac:dyDescent="0.2">
      <c r="A214" s="345">
        <v>34028</v>
      </c>
      <c r="B214" s="73"/>
      <c r="C214" s="25"/>
      <c r="D214" s="73"/>
    </row>
    <row r="215" spans="1:4" x14ac:dyDescent="0.2">
      <c r="A215" s="345">
        <v>34059</v>
      </c>
      <c r="B215" s="73"/>
      <c r="C215" s="25"/>
      <c r="D215" s="73"/>
    </row>
    <row r="216" spans="1:4" x14ac:dyDescent="0.2">
      <c r="A216" s="345">
        <v>34089</v>
      </c>
      <c r="B216" s="73"/>
      <c r="C216" s="25"/>
      <c r="D216" s="73"/>
    </row>
    <row r="217" spans="1:4" x14ac:dyDescent="0.2">
      <c r="A217" s="345">
        <v>34120</v>
      </c>
      <c r="B217" s="73"/>
      <c r="C217" s="25"/>
      <c r="D217" s="73"/>
    </row>
    <row r="218" spans="1:4" x14ac:dyDescent="0.2">
      <c r="A218" s="345">
        <v>34150</v>
      </c>
      <c r="B218" s="73"/>
      <c r="C218" s="25"/>
      <c r="D218" s="73"/>
    </row>
    <row r="219" spans="1:4" x14ac:dyDescent="0.2">
      <c r="A219" s="345">
        <v>34181</v>
      </c>
      <c r="B219" s="73"/>
      <c r="C219" s="25"/>
      <c r="D219" s="73"/>
    </row>
    <row r="220" spans="1:4" x14ac:dyDescent="0.2">
      <c r="A220" s="345">
        <v>34212</v>
      </c>
      <c r="B220" s="73"/>
      <c r="C220" s="25"/>
      <c r="D220" s="73"/>
    </row>
    <row r="221" spans="1:4" x14ac:dyDescent="0.2">
      <c r="A221" s="345">
        <v>34242</v>
      </c>
      <c r="B221" s="73"/>
      <c r="C221" s="25"/>
      <c r="D221" s="73"/>
    </row>
    <row r="222" spans="1:4" x14ac:dyDescent="0.2">
      <c r="A222" s="345">
        <v>34273</v>
      </c>
      <c r="B222" s="73"/>
      <c r="C222" s="25"/>
      <c r="D222" s="73"/>
    </row>
    <row r="223" spans="1:4" x14ac:dyDescent="0.2">
      <c r="A223" s="345">
        <v>34303</v>
      </c>
      <c r="B223" s="73"/>
      <c r="C223" s="25"/>
      <c r="D223" s="73"/>
    </row>
    <row r="224" spans="1:4" x14ac:dyDescent="0.2">
      <c r="A224" s="345">
        <v>34334</v>
      </c>
      <c r="B224" s="73"/>
      <c r="C224" s="25"/>
      <c r="D224" s="73"/>
    </row>
    <row r="225" spans="1:4" x14ac:dyDescent="0.2">
      <c r="A225" s="345">
        <v>34365</v>
      </c>
      <c r="B225" s="73"/>
      <c r="C225" s="25"/>
      <c r="D225" s="73"/>
    </row>
    <row r="226" spans="1:4" x14ac:dyDescent="0.2">
      <c r="A226" s="345">
        <v>34393</v>
      </c>
      <c r="B226" s="73"/>
      <c r="C226" s="25"/>
      <c r="D226" s="73"/>
    </row>
    <row r="227" spans="1:4" x14ac:dyDescent="0.2">
      <c r="A227" s="345">
        <v>34424</v>
      </c>
      <c r="B227" s="73"/>
      <c r="C227" s="25"/>
      <c r="D227" s="73"/>
    </row>
    <row r="228" spans="1:4" x14ac:dyDescent="0.2">
      <c r="A228" s="345">
        <v>34454</v>
      </c>
      <c r="B228" s="73"/>
      <c r="C228" s="25"/>
      <c r="D228" s="73"/>
    </row>
    <row r="229" spans="1:4" x14ac:dyDescent="0.2">
      <c r="A229" s="345">
        <v>34485</v>
      </c>
      <c r="B229" s="73"/>
      <c r="C229" s="25"/>
      <c r="D229" s="73"/>
    </row>
    <row r="230" spans="1:4" x14ac:dyDescent="0.2">
      <c r="A230" s="345">
        <v>34515</v>
      </c>
      <c r="B230" s="73"/>
      <c r="C230" s="25"/>
      <c r="D230" s="73"/>
    </row>
    <row r="231" spans="1:4" x14ac:dyDescent="0.2">
      <c r="A231" s="345">
        <v>34546</v>
      </c>
      <c r="B231" s="73"/>
      <c r="C231" s="25"/>
      <c r="D231" s="73"/>
    </row>
    <row r="232" spans="1:4" x14ac:dyDescent="0.2">
      <c r="A232" s="345">
        <v>34577</v>
      </c>
      <c r="B232" s="73"/>
      <c r="C232" s="25"/>
      <c r="D232" s="73"/>
    </row>
    <row r="233" spans="1:4" x14ac:dyDescent="0.2">
      <c r="A233" s="345">
        <v>34607</v>
      </c>
      <c r="B233" s="73"/>
      <c r="C233" s="25"/>
      <c r="D233" s="73"/>
    </row>
    <row r="234" spans="1:4" x14ac:dyDescent="0.2">
      <c r="A234" s="345">
        <v>34638</v>
      </c>
      <c r="B234" s="73"/>
      <c r="C234" s="25"/>
      <c r="D234" s="73"/>
    </row>
    <row r="235" spans="1:4" x14ac:dyDescent="0.2">
      <c r="A235" s="345">
        <v>34668</v>
      </c>
      <c r="B235" s="73"/>
      <c r="C235" s="25"/>
      <c r="D235" s="73"/>
    </row>
    <row r="236" spans="1:4" x14ac:dyDescent="0.2">
      <c r="A236" s="345">
        <v>34699</v>
      </c>
      <c r="B236" s="73"/>
      <c r="C236" s="25"/>
      <c r="D236" s="73"/>
    </row>
    <row r="237" spans="1:4" x14ac:dyDescent="0.2">
      <c r="A237" s="345">
        <v>34730</v>
      </c>
      <c r="B237" s="73"/>
      <c r="C237" s="25"/>
      <c r="D237" s="73"/>
    </row>
    <row r="238" spans="1:4" x14ac:dyDescent="0.2">
      <c r="A238" s="345">
        <v>34758</v>
      </c>
      <c r="B238" s="73"/>
      <c r="C238" s="25"/>
      <c r="D238" s="73"/>
    </row>
    <row r="239" spans="1:4" x14ac:dyDescent="0.2">
      <c r="A239" s="345">
        <v>34789</v>
      </c>
      <c r="B239" s="73"/>
      <c r="C239" s="25"/>
      <c r="D239" s="73"/>
    </row>
    <row r="240" spans="1:4" x14ac:dyDescent="0.2">
      <c r="A240" s="345">
        <v>34819</v>
      </c>
      <c r="B240" s="73"/>
      <c r="C240" s="25"/>
      <c r="D240" s="73"/>
    </row>
    <row r="241" spans="1:4" x14ac:dyDescent="0.2">
      <c r="A241" s="345">
        <v>34850</v>
      </c>
      <c r="B241" s="73"/>
      <c r="C241" s="25"/>
      <c r="D241" s="73"/>
    </row>
    <row r="242" spans="1:4" x14ac:dyDescent="0.2">
      <c r="A242" s="345">
        <v>34880</v>
      </c>
      <c r="B242" s="73"/>
      <c r="C242" s="25"/>
      <c r="D242" s="73"/>
    </row>
    <row r="243" spans="1:4" x14ac:dyDescent="0.2">
      <c r="A243" s="345">
        <v>34911</v>
      </c>
      <c r="B243" s="73"/>
      <c r="C243" s="25"/>
      <c r="D243" s="73"/>
    </row>
    <row r="244" spans="1:4" x14ac:dyDescent="0.2">
      <c r="A244" s="345">
        <v>34942</v>
      </c>
      <c r="B244" s="73"/>
      <c r="C244" s="25"/>
      <c r="D244" s="73"/>
    </row>
    <row r="245" spans="1:4" x14ac:dyDescent="0.2">
      <c r="A245" s="345">
        <v>34972</v>
      </c>
      <c r="B245" s="73"/>
      <c r="C245" s="25"/>
      <c r="D245" s="73"/>
    </row>
    <row r="246" spans="1:4" x14ac:dyDescent="0.2">
      <c r="A246" s="345">
        <v>35003</v>
      </c>
      <c r="B246" s="73"/>
      <c r="C246" s="25"/>
      <c r="D246" s="73"/>
    </row>
    <row r="247" spans="1:4" x14ac:dyDescent="0.2">
      <c r="A247" s="345">
        <v>35033</v>
      </c>
      <c r="B247" s="73"/>
      <c r="C247" s="25"/>
      <c r="D247" s="73"/>
    </row>
    <row r="248" spans="1:4" x14ac:dyDescent="0.2">
      <c r="A248" s="345">
        <v>35064</v>
      </c>
      <c r="B248" s="73"/>
      <c r="C248" s="25"/>
      <c r="D248" s="73"/>
    </row>
    <row r="249" spans="1:4" x14ac:dyDescent="0.2">
      <c r="A249" s="345">
        <v>35095</v>
      </c>
      <c r="B249" s="73"/>
      <c r="C249" s="25"/>
      <c r="D249" s="73"/>
    </row>
    <row r="250" spans="1:4" x14ac:dyDescent="0.2">
      <c r="A250" s="345">
        <v>35124</v>
      </c>
      <c r="B250" s="73"/>
      <c r="C250" s="25"/>
      <c r="D250" s="73"/>
    </row>
    <row r="251" spans="1:4" x14ac:dyDescent="0.2">
      <c r="A251" s="345">
        <v>35155</v>
      </c>
      <c r="B251" s="73"/>
      <c r="C251" s="25"/>
      <c r="D251" s="73"/>
    </row>
    <row r="252" spans="1:4" x14ac:dyDescent="0.2">
      <c r="A252" s="345">
        <v>35185</v>
      </c>
      <c r="B252" s="73"/>
      <c r="C252" s="25"/>
      <c r="D252" s="73"/>
    </row>
    <row r="253" spans="1:4" x14ac:dyDescent="0.2">
      <c r="A253" s="345">
        <v>35216</v>
      </c>
      <c r="B253" s="73"/>
      <c r="C253" s="25"/>
      <c r="D253" s="73"/>
    </row>
    <row r="254" spans="1:4" x14ac:dyDescent="0.2">
      <c r="A254" s="345">
        <v>35246</v>
      </c>
      <c r="B254" s="73"/>
      <c r="C254" s="25"/>
      <c r="D254" s="73"/>
    </row>
    <row r="255" spans="1:4" x14ac:dyDescent="0.2">
      <c r="A255" s="345">
        <v>35277</v>
      </c>
      <c r="B255" s="73"/>
      <c r="C255" s="25"/>
      <c r="D255" s="73"/>
    </row>
    <row r="256" spans="1:4" x14ac:dyDescent="0.2">
      <c r="A256" s="345">
        <v>35308</v>
      </c>
      <c r="B256" s="73"/>
      <c r="C256" s="25"/>
      <c r="D256" s="73"/>
    </row>
    <row r="257" spans="1:4" x14ac:dyDescent="0.2">
      <c r="A257" s="345">
        <v>35338</v>
      </c>
      <c r="B257" s="73"/>
      <c r="C257" s="25"/>
      <c r="D257" s="73"/>
    </row>
    <row r="258" spans="1:4" x14ac:dyDescent="0.2">
      <c r="A258" s="345">
        <v>35369</v>
      </c>
      <c r="B258" s="73"/>
      <c r="C258" s="25"/>
      <c r="D258" s="73"/>
    </row>
    <row r="259" spans="1:4" x14ac:dyDescent="0.2">
      <c r="A259" s="345">
        <v>35399</v>
      </c>
      <c r="B259" s="73"/>
      <c r="C259" s="25"/>
      <c r="D259" s="73"/>
    </row>
    <row r="260" spans="1:4" x14ac:dyDescent="0.2">
      <c r="A260" s="345">
        <v>35430</v>
      </c>
      <c r="B260" s="73"/>
      <c r="C260" s="25"/>
      <c r="D260" s="73"/>
    </row>
    <row r="261" spans="1:4" x14ac:dyDescent="0.2">
      <c r="A261" s="345">
        <v>35461</v>
      </c>
      <c r="B261" s="73"/>
      <c r="C261" s="25"/>
      <c r="D261" s="73"/>
    </row>
    <row r="262" spans="1:4" x14ac:dyDescent="0.2">
      <c r="A262" s="345">
        <v>35489</v>
      </c>
      <c r="B262" s="73"/>
      <c r="C262" s="25"/>
      <c r="D262" s="73"/>
    </row>
    <row r="263" spans="1:4" x14ac:dyDescent="0.2">
      <c r="A263" s="345">
        <v>35520</v>
      </c>
      <c r="B263" s="73"/>
      <c r="C263" s="25"/>
      <c r="D263" s="73"/>
    </row>
    <row r="264" spans="1:4" x14ac:dyDescent="0.2">
      <c r="A264" s="345">
        <v>35550</v>
      </c>
      <c r="B264" s="73"/>
      <c r="C264" s="25"/>
      <c r="D264" s="73"/>
    </row>
    <row r="265" spans="1:4" x14ac:dyDescent="0.2">
      <c r="A265" s="345">
        <v>35581</v>
      </c>
      <c r="B265" s="73"/>
      <c r="C265" s="25"/>
      <c r="D265" s="73"/>
    </row>
    <row r="266" spans="1:4" x14ac:dyDescent="0.2">
      <c r="A266" s="345">
        <v>35611</v>
      </c>
      <c r="B266" s="73"/>
      <c r="C266" s="25"/>
      <c r="D266" s="73"/>
    </row>
    <row r="267" spans="1:4" x14ac:dyDescent="0.2">
      <c r="A267" s="345">
        <v>35642</v>
      </c>
      <c r="B267" s="73"/>
      <c r="C267" s="25"/>
      <c r="D267" s="73"/>
    </row>
    <row r="268" spans="1:4" x14ac:dyDescent="0.2">
      <c r="A268" s="345">
        <v>35673</v>
      </c>
      <c r="B268" s="73"/>
      <c r="C268" s="25"/>
      <c r="D268" s="73"/>
    </row>
    <row r="269" spans="1:4" x14ac:dyDescent="0.2">
      <c r="A269" s="345">
        <v>35703</v>
      </c>
      <c r="B269" s="73"/>
      <c r="C269" s="25"/>
      <c r="D269" s="73"/>
    </row>
    <row r="270" spans="1:4" x14ac:dyDescent="0.2">
      <c r="A270" s="345">
        <v>35734</v>
      </c>
      <c r="B270" s="73"/>
      <c r="C270" s="25"/>
      <c r="D270" s="73"/>
    </row>
    <row r="271" spans="1:4" x14ac:dyDescent="0.2">
      <c r="A271" s="345">
        <v>35764</v>
      </c>
      <c r="B271" s="73"/>
      <c r="C271" s="25"/>
      <c r="D271" s="73"/>
    </row>
    <row r="272" spans="1:4" x14ac:dyDescent="0.2">
      <c r="A272" s="345">
        <v>35795</v>
      </c>
      <c r="B272" s="73"/>
      <c r="C272" s="25"/>
      <c r="D272" s="73"/>
    </row>
    <row r="273" spans="1:4" x14ac:dyDescent="0.2">
      <c r="A273" s="345">
        <v>35826</v>
      </c>
      <c r="B273" s="73"/>
      <c r="C273" s="25"/>
      <c r="D273" s="73"/>
    </row>
    <row r="274" spans="1:4" x14ac:dyDescent="0.2">
      <c r="A274" s="345">
        <v>35854</v>
      </c>
      <c r="B274" s="73"/>
      <c r="C274" s="32"/>
      <c r="D274" s="73"/>
    </row>
    <row r="275" spans="1:4" x14ac:dyDescent="0.2">
      <c r="A275" s="345">
        <v>35885</v>
      </c>
      <c r="B275" s="73"/>
      <c r="C275" s="32"/>
      <c r="D275" s="73"/>
    </row>
    <row r="276" spans="1:4" x14ac:dyDescent="0.2">
      <c r="A276" s="345">
        <v>35915</v>
      </c>
      <c r="B276" s="73"/>
      <c r="C276" s="32"/>
      <c r="D276" s="73"/>
    </row>
    <row r="277" spans="1:4" x14ac:dyDescent="0.2">
      <c r="A277" s="345">
        <v>35946</v>
      </c>
      <c r="B277" s="73"/>
      <c r="C277" s="32"/>
      <c r="D277" s="73"/>
    </row>
    <row r="278" spans="1:4" x14ac:dyDescent="0.2">
      <c r="A278" s="345">
        <v>35976</v>
      </c>
      <c r="B278" s="73"/>
      <c r="C278" s="32"/>
      <c r="D278" s="73"/>
    </row>
    <row r="279" spans="1:4" x14ac:dyDescent="0.2">
      <c r="A279" s="345">
        <v>36007</v>
      </c>
      <c r="B279" s="73"/>
      <c r="C279" s="32"/>
      <c r="D279" s="73"/>
    </row>
    <row r="280" spans="1:4" x14ac:dyDescent="0.2">
      <c r="A280" s="345">
        <v>36038</v>
      </c>
      <c r="B280" s="73"/>
      <c r="C280" s="32"/>
      <c r="D280" s="73"/>
    </row>
    <row r="281" spans="1:4" x14ac:dyDescent="0.2">
      <c r="A281" s="345">
        <v>36068</v>
      </c>
      <c r="B281" s="77"/>
      <c r="C281" s="32"/>
      <c r="D281" s="73"/>
    </row>
    <row r="282" spans="1:4" x14ac:dyDescent="0.2">
      <c r="A282" s="345">
        <v>36099</v>
      </c>
      <c r="B282" s="253"/>
      <c r="C282" s="33"/>
      <c r="D282" s="253"/>
    </row>
    <row r="283" spans="1:4" x14ac:dyDescent="0.2">
      <c r="A283" s="345">
        <v>36129</v>
      </c>
      <c r="B283" s="253"/>
      <c r="C283" s="33"/>
      <c r="D283" s="253"/>
    </row>
    <row r="284" spans="1:4" x14ac:dyDescent="0.2">
      <c r="A284" s="345">
        <v>36160</v>
      </c>
      <c r="B284" s="253"/>
      <c r="C284" s="33"/>
      <c r="D284" s="253"/>
    </row>
    <row r="285" spans="1:4" x14ac:dyDescent="0.2">
      <c r="A285" s="345">
        <v>36191</v>
      </c>
      <c r="B285" s="253"/>
      <c r="C285" s="33"/>
      <c r="D285" s="253"/>
    </row>
    <row r="286" spans="1:4" x14ac:dyDescent="0.2">
      <c r="A286" s="345">
        <v>36219</v>
      </c>
      <c r="B286" s="253"/>
      <c r="C286" s="33"/>
      <c r="D286" s="253"/>
    </row>
    <row r="287" spans="1:4" x14ac:dyDescent="0.2">
      <c r="A287" s="345">
        <v>36250</v>
      </c>
      <c r="B287" s="253"/>
      <c r="C287" s="33"/>
      <c r="D287" s="253"/>
    </row>
    <row r="288" spans="1:4" x14ac:dyDescent="0.2">
      <c r="A288" s="345">
        <v>36280</v>
      </c>
      <c r="B288" s="253"/>
      <c r="C288" s="33"/>
      <c r="D288" s="253"/>
    </row>
    <row r="289" spans="1:4" x14ac:dyDescent="0.2">
      <c r="A289" s="345">
        <v>36311</v>
      </c>
      <c r="B289" s="253"/>
      <c r="C289" s="33"/>
      <c r="D289" s="253"/>
    </row>
    <row r="290" spans="1:4" x14ac:dyDescent="0.2">
      <c r="A290" s="345">
        <v>36341</v>
      </c>
      <c r="B290" s="253"/>
      <c r="C290" s="33"/>
      <c r="D290" s="253"/>
    </row>
    <row r="291" spans="1:4" x14ac:dyDescent="0.2">
      <c r="A291" s="345">
        <v>36372</v>
      </c>
      <c r="B291" s="253"/>
      <c r="C291" s="33"/>
      <c r="D291" s="253"/>
    </row>
    <row r="292" spans="1:4" x14ac:dyDescent="0.2">
      <c r="A292" s="345">
        <v>36403</v>
      </c>
      <c r="B292" s="253"/>
      <c r="C292" s="33"/>
      <c r="D292" s="253"/>
    </row>
    <row r="293" spans="1:4" x14ac:dyDescent="0.2">
      <c r="A293" s="345">
        <v>36433</v>
      </c>
      <c r="B293" s="253"/>
      <c r="C293" s="33"/>
      <c r="D293" s="253"/>
    </row>
    <row r="294" spans="1:4" x14ac:dyDescent="0.2">
      <c r="A294" s="345">
        <v>36464</v>
      </c>
      <c r="B294" s="253"/>
      <c r="C294" s="33"/>
      <c r="D294" s="253"/>
    </row>
    <row r="295" spans="1:4" x14ac:dyDescent="0.2">
      <c r="A295" s="345">
        <v>36494</v>
      </c>
      <c r="B295" s="253"/>
      <c r="C295" s="33"/>
      <c r="D295" s="253"/>
    </row>
    <row r="296" spans="1:4" x14ac:dyDescent="0.2">
      <c r="A296" s="345">
        <v>36525</v>
      </c>
      <c r="B296" s="253"/>
      <c r="C296" s="33"/>
      <c r="D296" s="253"/>
    </row>
    <row r="297" spans="1:4" x14ac:dyDescent="0.2">
      <c r="A297" s="345">
        <v>36556</v>
      </c>
      <c r="B297" s="253"/>
      <c r="C297" s="33"/>
      <c r="D297" s="253"/>
    </row>
    <row r="298" spans="1:4" x14ac:dyDescent="0.2">
      <c r="A298" s="345">
        <v>36585</v>
      </c>
      <c r="B298" s="253"/>
      <c r="C298" s="33"/>
      <c r="D298" s="253"/>
    </row>
    <row r="299" spans="1:4" x14ac:dyDescent="0.2">
      <c r="A299" s="345">
        <v>36616</v>
      </c>
      <c r="B299" s="253"/>
      <c r="C299" s="33"/>
      <c r="D299" s="253"/>
    </row>
    <row r="300" spans="1:4" x14ac:dyDescent="0.2">
      <c r="A300" s="345">
        <v>36646</v>
      </c>
      <c r="B300" s="253"/>
      <c r="C300" s="33"/>
      <c r="D300" s="253"/>
    </row>
    <row r="301" spans="1:4" x14ac:dyDescent="0.2">
      <c r="A301" s="345">
        <v>36677</v>
      </c>
      <c r="B301" s="253"/>
      <c r="C301" s="33"/>
      <c r="D301" s="253"/>
    </row>
    <row r="302" spans="1:4" x14ac:dyDescent="0.2">
      <c r="A302" s="345">
        <v>36707</v>
      </c>
      <c r="B302" s="253"/>
      <c r="C302" s="33"/>
      <c r="D302" s="253"/>
    </row>
    <row r="303" spans="1:4" x14ac:dyDescent="0.2">
      <c r="A303" s="345">
        <v>36738</v>
      </c>
      <c r="B303" s="253"/>
      <c r="C303" s="33"/>
      <c r="D303" s="253"/>
    </row>
    <row r="304" spans="1:4" x14ac:dyDescent="0.2">
      <c r="A304" s="345">
        <v>36769</v>
      </c>
      <c r="B304" s="253"/>
      <c r="C304" s="33"/>
      <c r="D304" s="253"/>
    </row>
    <row r="305" spans="1:4" x14ac:dyDescent="0.2">
      <c r="A305" s="345">
        <v>36799</v>
      </c>
      <c r="B305" s="253"/>
      <c r="C305" s="33"/>
      <c r="D305" s="253"/>
    </row>
    <row r="306" spans="1:4" x14ac:dyDescent="0.2">
      <c r="A306" s="345">
        <v>36830</v>
      </c>
      <c r="B306" s="253"/>
      <c r="C306" s="33"/>
      <c r="D306" s="253"/>
    </row>
    <row r="307" spans="1:4" x14ac:dyDescent="0.2">
      <c r="A307" s="345">
        <v>36860</v>
      </c>
      <c r="B307" s="253"/>
      <c r="C307" s="33"/>
      <c r="D307" s="253"/>
    </row>
    <row r="308" spans="1:4" x14ac:dyDescent="0.2">
      <c r="A308" s="345">
        <v>36891</v>
      </c>
      <c r="B308" s="253"/>
      <c r="C308" s="33"/>
      <c r="D308" s="253"/>
    </row>
    <row r="309" spans="1:4" x14ac:dyDescent="0.2">
      <c r="A309" s="345">
        <v>36922</v>
      </c>
      <c r="B309" s="253"/>
      <c r="C309" s="33"/>
      <c r="D309" s="253"/>
    </row>
    <row r="310" spans="1:4" x14ac:dyDescent="0.2">
      <c r="A310" s="345">
        <v>36950</v>
      </c>
      <c r="B310" s="253"/>
      <c r="C310" s="33"/>
      <c r="D310" s="253"/>
    </row>
    <row r="311" spans="1:4" x14ac:dyDescent="0.2">
      <c r="A311" s="345">
        <v>36981</v>
      </c>
      <c r="B311" s="253"/>
      <c r="C311" s="33"/>
      <c r="D311" s="253"/>
    </row>
    <row r="312" spans="1:4" x14ac:dyDescent="0.2">
      <c r="A312" s="345">
        <v>37011</v>
      </c>
      <c r="B312" s="253"/>
      <c r="C312" s="33"/>
      <c r="D312" s="253"/>
    </row>
    <row r="313" spans="1:4" x14ac:dyDescent="0.2">
      <c r="A313" s="345">
        <v>37042</v>
      </c>
      <c r="B313" s="253"/>
      <c r="C313" s="33"/>
      <c r="D313" s="253"/>
    </row>
    <row r="314" spans="1:4" x14ac:dyDescent="0.2">
      <c r="A314" s="345">
        <v>37072</v>
      </c>
      <c r="B314" s="253"/>
      <c r="C314" s="33"/>
      <c r="D314" s="253"/>
    </row>
    <row r="315" spans="1:4" x14ac:dyDescent="0.2">
      <c r="A315" s="345">
        <v>37103</v>
      </c>
      <c r="B315" s="253"/>
      <c r="C315" s="33"/>
      <c r="D315" s="253"/>
    </row>
    <row r="316" spans="1:4" x14ac:dyDescent="0.2">
      <c r="A316" s="345">
        <v>37134</v>
      </c>
      <c r="B316" s="253"/>
      <c r="C316" s="33"/>
      <c r="D316" s="253"/>
    </row>
    <row r="317" spans="1:4" x14ac:dyDescent="0.2">
      <c r="A317" s="345">
        <v>37164</v>
      </c>
      <c r="B317" s="253"/>
      <c r="C317" s="33"/>
      <c r="D317" s="253"/>
    </row>
    <row r="318" spans="1:4" x14ac:dyDescent="0.2">
      <c r="A318" s="345">
        <v>37195</v>
      </c>
      <c r="B318" s="253"/>
      <c r="C318" s="33"/>
      <c r="D318" s="253"/>
    </row>
    <row r="319" spans="1:4" x14ac:dyDescent="0.2">
      <c r="A319" s="345">
        <v>37225</v>
      </c>
      <c r="B319" s="253"/>
      <c r="C319" s="33"/>
      <c r="D319" s="253"/>
    </row>
    <row r="320" spans="1:4" x14ac:dyDescent="0.2">
      <c r="A320" s="345">
        <v>37256</v>
      </c>
      <c r="B320" s="253"/>
      <c r="C320" s="33"/>
      <c r="D320" s="253"/>
    </row>
    <row r="321" spans="1:4" x14ac:dyDescent="0.2">
      <c r="A321" s="345">
        <v>37287</v>
      </c>
      <c r="B321" s="253"/>
      <c r="C321" s="33"/>
      <c r="D321" s="253"/>
    </row>
    <row r="322" spans="1:4" x14ac:dyDescent="0.2">
      <c r="A322" s="345">
        <v>37315</v>
      </c>
      <c r="B322" s="253"/>
      <c r="C322" s="33"/>
      <c r="D322" s="253"/>
    </row>
    <row r="323" spans="1:4" x14ac:dyDescent="0.2">
      <c r="A323" s="345">
        <v>37346</v>
      </c>
      <c r="B323" s="253"/>
      <c r="C323" s="33"/>
      <c r="D323" s="253"/>
    </row>
    <row r="324" spans="1:4" x14ac:dyDescent="0.2">
      <c r="A324" s="345">
        <v>37376</v>
      </c>
      <c r="B324" s="253"/>
      <c r="C324" s="33"/>
      <c r="D324" s="253"/>
    </row>
    <row r="325" spans="1:4" x14ac:dyDescent="0.2">
      <c r="A325" s="345">
        <v>37407</v>
      </c>
      <c r="B325" s="253"/>
      <c r="C325" s="33"/>
      <c r="D325" s="253"/>
    </row>
    <row r="326" spans="1:4" x14ac:dyDescent="0.2">
      <c r="A326" s="345">
        <v>37437</v>
      </c>
      <c r="B326" s="253"/>
      <c r="C326" s="33"/>
      <c r="D326" s="253"/>
    </row>
    <row r="327" spans="1:4" x14ac:dyDescent="0.2">
      <c r="A327" s="345">
        <v>37468</v>
      </c>
      <c r="B327" s="253"/>
      <c r="C327" s="33"/>
      <c r="D327" s="253"/>
    </row>
    <row r="328" spans="1:4" x14ac:dyDescent="0.2">
      <c r="A328" s="345">
        <v>37499</v>
      </c>
      <c r="B328" s="253"/>
      <c r="C328" s="33"/>
      <c r="D328" s="253"/>
    </row>
    <row r="329" spans="1:4" x14ac:dyDescent="0.2">
      <c r="A329" s="345">
        <v>37529</v>
      </c>
      <c r="B329" s="253"/>
      <c r="C329" s="33"/>
      <c r="D329" s="253"/>
    </row>
    <row r="330" spans="1:4" x14ac:dyDescent="0.2">
      <c r="A330" s="345">
        <v>37560</v>
      </c>
      <c r="B330" s="253"/>
      <c r="C330" s="33"/>
      <c r="D330" s="253"/>
    </row>
    <row r="331" spans="1:4" x14ac:dyDescent="0.2">
      <c r="A331" s="345">
        <v>37590</v>
      </c>
      <c r="B331" s="253"/>
      <c r="C331" s="33"/>
      <c r="D331" s="253"/>
    </row>
    <row r="332" spans="1:4" x14ac:dyDescent="0.2">
      <c r="A332" s="345">
        <v>37621</v>
      </c>
      <c r="B332" s="253"/>
      <c r="C332" s="33"/>
      <c r="D332" s="253"/>
    </row>
    <row r="333" spans="1:4" x14ac:dyDescent="0.2">
      <c r="A333" s="345">
        <v>37652</v>
      </c>
      <c r="B333" s="253"/>
      <c r="C333" s="33"/>
      <c r="D333" s="253"/>
    </row>
    <row r="334" spans="1:4" x14ac:dyDescent="0.2">
      <c r="A334" s="345">
        <v>37680</v>
      </c>
      <c r="B334" s="253"/>
      <c r="C334" s="33"/>
      <c r="D334" s="253"/>
    </row>
    <row r="335" spans="1:4" x14ac:dyDescent="0.2">
      <c r="A335" s="345">
        <v>37711</v>
      </c>
      <c r="B335" s="253"/>
      <c r="C335" s="33"/>
      <c r="D335" s="253"/>
    </row>
    <row r="336" spans="1:4" x14ac:dyDescent="0.2">
      <c r="A336" s="345">
        <v>37741</v>
      </c>
      <c r="B336" s="253"/>
      <c r="C336" s="33"/>
      <c r="D336" s="253"/>
    </row>
    <row r="337" spans="1:4" x14ac:dyDescent="0.2">
      <c r="A337" s="345">
        <v>37772</v>
      </c>
      <c r="B337" s="253"/>
      <c r="C337" s="33"/>
      <c r="D337" s="253"/>
    </row>
    <row r="338" spans="1:4" x14ac:dyDescent="0.2">
      <c r="A338" s="345">
        <v>37802</v>
      </c>
      <c r="B338" s="253"/>
      <c r="C338" s="33"/>
      <c r="D338" s="253"/>
    </row>
    <row r="339" spans="1:4" x14ac:dyDescent="0.2">
      <c r="A339" s="345">
        <v>37833</v>
      </c>
      <c r="B339" s="253"/>
      <c r="C339" s="33"/>
      <c r="D339" s="253"/>
    </row>
    <row r="340" spans="1:4" x14ac:dyDescent="0.2">
      <c r="A340" s="345">
        <v>37864</v>
      </c>
      <c r="B340" s="253"/>
      <c r="C340" s="33"/>
      <c r="D340" s="253"/>
    </row>
    <row r="341" spans="1:4" x14ac:dyDescent="0.2">
      <c r="A341" s="345">
        <v>37894</v>
      </c>
      <c r="B341" s="253"/>
      <c r="C341" s="34"/>
      <c r="D341" s="253"/>
    </row>
    <row r="342" spans="1:4" x14ac:dyDescent="0.2">
      <c r="A342" s="345">
        <v>37925</v>
      </c>
      <c r="B342" s="253"/>
      <c r="C342" s="34"/>
      <c r="D342" s="253"/>
    </row>
    <row r="343" spans="1:4" x14ac:dyDescent="0.2">
      <c r="A343" s="345">
        <v>37955</v>
      </c>
      <c r="B343" s="253"/>
      <c r="C343" s="34"/>
      <c r="D343" s="253"/>
    </row>
    <row r="344" spans="1:4" x14ac:dyDescent="0.2">
      <c r="A344" s="345">
        <v>37986</v>
      </c>
      <c r="B344" s="253"/>
      <c r="C344" s="34"/>
      <c r="D344" s="253"/>
    </row>
    <row r="345" spans="1:4" x14ac:dyDescent="0.2">
      <c r="A345" s="345">
        <v>38017</v>
      </c>
      <c r="B345" s="253"/>
      <c r="C345" s="34"/>
      <c r="D345" s="253"/>
    </row>
    <row r="346" spans="1:4" x14ac:dyDescent="0.2">
      <c r="A346" s="345">
        <v>38046</v>
      </c>
      <c r="B346" s="253"/>
      <c r="C346" s="34"/>
      <c r="D346" s="253"/>
    </row>
    <row r="347" spans="1:4" x14ac:dyDescent="0.2">
      <c r="A347" s="345">
        <v>38077</v>
      </c>
      <c r="B347" s="253"/>
      <c r="C347" s="34"/>
      <c r="D347" s="255"/>
    </row>
    <row r="348" spans="1:4" x14ac:dyDescent="0.2">
      <c r="A348" s="345">
        <v>38107</v>
      </c>
      <c r="B348" s="253"/>
      <c r="C348" s="34"/>
      <c r="D348" s="253"/>
    </row>
    <row r="349" spans="1:4" x14ac:dyDescent="0.2">
      <c r="A349" s="345">
        <v>38138</v>
      </c>
      <c r="B349" s="253"/>
      <c r="C349" s="34"/>
      <c r="D349" s="253"/>
    </row>
    <row r="350" spans="1:4" x14ac:dyDescent="0.2">
      <c r="A350" s="345">
        <v>38168</v>
      </c>
      <c r="B350" s="253"/>
      <c r="C350" s="34"/>
      <c r="D350" s="253"/>
    </row>
    <row r="351" spans="1:4" x14ac:dyDescent="0.2">
      <c r="A351" s="345">
        <v>38199</v>
      </c>
      <c r="B351" s="253"/>
      <c r="C351" s="34"/>
      <c r="D351" s="253"/>
    </row>
    <row r="352" spans="1:4" x14ac:dyDescent="0.2">
      <c r="A352" s="345">
        <v>38230</v>
      </c>
      <c r="B352" s="253"/>
      <c r="C352" s="34"/>
      <c r="D352" s="253"/>
    </row>
    <row r="353" spans="1:5" x14ac:dyDescent="0.2">
      <c r="A353" s="345">
        <v>38260</v>
      </c>
      <c r="B353" s="253"/>
      <c r="C353" s="34"/>
      <c r="D353" s="253"/>
    </row>
    <row r="354" spans="1:5" x14ac:dyDescent="0.2">
      <c r="A354" s="345">
        <v>38291</v>
      </c>
      <c r="B354" s="253"/>
      <c r="C354" s="34"/>
      <c r="D354" s="253"/>
    </row>
    <row r="355" spans="1:5" x14ac:dyDescent="0.2">
      <c r="A355" s="345">
        <v>38321</v>
      </c>
      <c r="B355" s="253"/>
      <c r="C355" s="34"/>
      <c r="D355" s="253"/>
    </row>
    <row r="356" spans="1:5" x14ac:dyDescent="0.2">
      <c r="A356" s="345">
        <v>38352</v>
      </c>
      <c r="B356" s="253"/>
      <c r="C356" s="256"/>
      <c r="D356" s="253"/>
    </row>
    <row r="357" spans="1:5" x14ac:dyDescent="0.2">
      <c r="A357" s="345">
        <v>38383</v>
      </c>
      <c r="B357" s="253"/>
      <c r="C357" s="34"/>
      <c r="D357" s="253"/>
    </row>
    <row r="358" spans="1:5" x14ac:dyDescent="0.2">
      <c r="A358" s="345">
        <v>38411</v>
      </c>
      <c r="B358" s="253"/>
      <c r="C358" s="34"/>
      <c r="D358" s="253"/>
    </row>
    <row r="359" spans="1:5" x14ac:dyDescent="0.2">
      <c r="A359" s="345">
        <v>38442</v>
      </c>
      <c r="B359" s="253"/>
      <c r="C359" s="256"/>
      <c r="D359" s="253"/>
    </row>
    <row r="360" spans="1:5" x14ac:dyDescent="0.2">
      <c r="A360" s="345">
        <v>38472</v>
      </c>
      <c r="B360" s="253"/>
      <c r="C360" s="256"/>
      <c r="D360" s="253"/>
    </row>
    <row r="361" spans="1:5" x14ac:dyDescent="0.2">
      <c r="A361" s="345">
        <v>38503</v>
      </c>
      <c r="B361" s="253"/>
      <c r="C361" s="256"/>
      <c r="D361" s="253"/>
    </row>
    <row r="362" spans="1:5" x14ac:dyDescent="0.2">
      <c r="A362" s="345">
        <v>38533</v>
      </c>
      <c r="B362" s="253"/>
      <c r="C362" s="256"/>
      <c r="D362" s="253"/>
    </row>
    <row r="363" spans="1:5" x14ac:dyDescent="0.2">
      <c r="A363" s="345">
        <v>38564</v>
      </c>
      <c r="B363" s="253"/>
      <c r="C363" s="34"/>
      <c r="D363" s="253"/>
    </row>
    <row r="364" spans="1:5" x14ac:dyDescent="0.2">
      <c r="A364" s="345">
        <v>38595</v>
      </c>
      <c r="B364" s="1279">
        <v>2.13</v>
      </c>
      <c r="C364" s="34">
        <v>522338331.56999999</v>
      </c>
      <c r="D364" s="253"/>
      <c r="E364" s="258">
        <f>B364-Index_Returns!AF364</f>
        <v>-0.42574000000000023</v>
      </c>
    </row>
    <row r="365" spans="1:5" x14ac:dyDescent="0.2">
      <c r="A365" s="345">
        <v>38625</v>
      </c>
      <c r="B365" s="1279">
        <v>4.0199999999999996</v>
      </c>
      <c r="C365" s="256">
        <v>543343206.23000002</v>
      </c>
      <c r="D365" s="253"/>
      <c r="E365" s="258">
        <f>B365-Index_Returns!AF365</f>
        <v>-0.45402000000000076</v>
      </c>
    </row>
    <row r="366" spans="1:5" x14ac:dyDescent="0.2">
      <c r="A366" s="345">
        <v>38656</v>
      </c>
      <c r="B366" s="1279">
        <v>-2.57</v>
      </c>
      <c r="C366" s="256">
        <v>529390910.20999998</v>
      </c>
      <c r="D366" s="253"/>
      <c r="E366" s="258">
        <f>B366-Index_Returns!AF366</f>
        <v>1.0700000000000003</v>
      </c>
    </row>
    <row r="367" spans="1:5" x14ac:dyDescent="0.2">
      <c r="A367" s="345">
        <v>38686</v>
      </c>
      <c r="B367" s="1279">
        <v>2.35</v>
      </c>
      <c r="C367" s="256">
        <v>541835248.86000001</v>
      </c>
      <c r="D367" s="253"/>
      <c r="E367" s="258">
        <f>B367-Index_Returns!AF367</f>
        <v>-1.012</v>
      </c>
    </row>
    <row r="368" spans="1:5" x14ac:dyDescent="0.2">
      <c r="A368" s="345">
        <v>38717</v>
      </c>
      <c r="B368" s="1279">
        <v>3.97</v>
      </c>
      <c r="C368" s="256">
        <v>563846396.60000002</v>
      </c>
      <c r="D368" s="253"/>
      <c r="E368" s="258">
        <f>B368-Index_Returns!AF368</f>
        <v>-0.84099999999999975</v>
      </c>
    </row>
    <row r="369" spans="1:7" x14ac:dyDescent="0.2">
      <c r="A369" s="345">
        <v>38748</v>
      </c>
      <c r="B369" s="1279">
        <v>7.2</v>
      </c>
      <c r="C369" s="256">
        <v>604464074.00999999</v>
      </c>
      <c r="D369" s="253"/>
      <c r="E369" s="258">
        <f>B369-Index_Returns!AF369</f>
        <v>0.22799999999999976</v>
      </c>
    </row>
    <row r="370" spans="1:7" x14ac:dyDescent="0.2">
      <c r="A370" s="345">
        <v>38776</v>
      </c>
      <c r="B370" s="1279">
        <v>0.09</v>
      </c>
      <c r="C370" s="256">
        <v>605023225.60000002</v>
      </c>
      <c r="D370" s="253"/>
      <c r="E370" s="258">
        <f>B370-Index_Returns!AF370</f>
        <v>0.379</v>
      </c>
    </row>
    <row r="371" spans="1:7" x14ac:dyDescent="0.2">
      <c r="A371" s="345">
        <v>38807</v>
      </c>
      <c r="B371" s="1279">
        <v>2.75</v>
      </c>
      <c r="C371" s="367">
        <v>622132791.25999999</v>
      </c>
      <c r="D371" s="253"/>
      <c r="E371" s="258">
        <f>B371-Index_Returns!AF371</f>
        <v>-0.1549999999999998</v>
      </c>
      <c r="G371" s="702"/>
    </row>
    <row r="372" spans="1:7" x14ac:dyDescent="0.2">
      <c r="A372" s="345">
        <v>38837</v>
      </c>
      <c r="B372" s="1279">
        <v>4.47</v>
      </c>
      <c r="C372" s="367">
        <v>649922772.72000003</v>
      </c>
      <c r="D372" s="253"/>
      <c r="E372" s="258">
        <f>B372-Index_Returns!AF372</f>
        <v>-0.68599999999999994</v>
      </c>
      <c r="G372" s="702"/>
    </row>
    <row r="373" spans="1:7" x14ac:dyDescent="0.2">
      <c r="A373" s="345">
        <v>38868</v>
      </c>
      <c r="B373" s="1279">
        <v>-3.03</v>
      </c>
      <c r="C373" s="367">
        <v>712585826.80999994</v>
      </c>
      <c r="D373" s="253"/>
      <c r="E373" s="258">
        <f>B373-Index_Returns!AF373</f>
        <v>1.5800000000000005</v>
      </c>
      <c r="G373" s="702"/>
    </row>
    <row r="374" spans="1:7" x14ac:dyDescent="0.2">
      <c r="A374" s="345">
        <v>38898</v>
      </c>
      <c r="B374" s="1279">
        <v>0.39</v>
      </c>
      <c r="C374" s="612">
        <v>715902633.75</v>
      </c>
      <c r="D374" s="253"/>
      <c r="E374" s="258">
        <f>B374-Index_Returns!AF374</f>
        <v>0.49</v>
      </c>
      <c r="G374" s="702"/>
    </row>
    <row r="375" spans="1:7" x14ac:dyDescent="0.2">
      <c r="A375" s="345">
        <v>38929</v>
      </c>
      <c r="B375" s="1279">
        <v>2.27</v>
      </c>
      <c r="C375" s="34">
        <v>790252013.39999998</v>
      </c>
      <c r="D375" s="253"/>
      <c r="E375" s="258">
        <f>B375-Index_Returns!AF375</f>
        <v>1.2470000000000001</v>
      </c>
    </row>
    <row r="376" spans="1:7" x14ac:dyDescent="0.2">
      <c r="A376" s="345">
        <v>38960</v>
      </c>
      <c r="B376" s="1279">
        <v>3.56</v>
      </c>
      <c r="C376" s="34">
        <v>818421022.64999998</v>
      </c>
      <c r="D376" s="253"/>
      <c r="E376" s="258">
        <f>B376-Index_Returns!AF376</f>
        <v>0.72599999999999998</v>
      </c>
    </row>
    <row r="377" spans="1:7" x14ac:dyDescent="0.2">
      <c r="A377" s="345">
        <v>38990</v>
      </c>
      <c r="B377" s="1279">
        <v>0.12</v>
      </c>
      <c r="C377" s="34">
        <v>819975832.85000002</v>
      </c>
      <c r="D377" s="253"/>
      <c r="E377" s="258">
        <f>B377-Index_Returns!AF377</f>
        <v>5.4999999999999993E-2</v>
      </c>
    </row>
    <row r="378" spans="1:7" x14ac:dyDescent="0.2">
      <c r="A378" s="345">
        <v>39021</v>
      </c>
      <c r="B378" s="1279">
        <v>2.2200000000000002</v>
      </c>
      <c r="C378" s="34">
        <v>838202283.80999994</v>
      </c>
      <c r="D378" s="253"/>
      <c r="E378" s="258">
        <f>B378-Index_Returns!AF378</f>
        <v>-1.8519999999999999</v>
      </c>
      <c r="F378" s="352"/>
    </row>
    <row r="379" spans="1:7" x14ac:dyDescent="0.2">
      <c r="A379" s="345">
        <v>39051</v>
      </c>
      <c r="B379" s="1279">
        <v>3.11</v>
      </c>
      <c r="C379" s="34">
        <v>864236215.84000003</v>
      </c>
      <c r="D379" s="253"/>
      <c r="E379" s="258">
        <f>B379-Index_Returns!AF379</f>
        <v>-0.52099999999999991</v>
      </c>
      <c r="F379" s="352"/>
    </row>
    <row r="380" spans="1:7" x14ac:dyDescent="0.2">
      <c r="A380" s="345">
        <v>39082</v>
      </c>
      <c r="B380" s="1279">
        <v>2.73</v>
      </c>
      <c r="C380" s="703">
        <v>888487508.15999997</v>
      </c>
      <c r="D380" s="253"/>
      <c r="E380" s="258">
        <f>B380-Index_Returns!AF380</f>
        <v>-0.38600000000000012</v>
      </c>
      <c r="F380" s="352"/>
    </row>
    <row r="381" spans="1:7" x14ac:dyDescent="0.2">
      <c r="A381" s="345">
        <v>39113</v>
      </c>
      <c r="B381" s="1279">
        <v>1.65</v>
      </c>
      <c r="C381" s="770">
        <v>903137546.57000005</v>
      </c>
      <c r="E381" s="258">
        <f>B381-Index_Returns!AF381</f>
        <v>1.2769999999999999</v>
      </c>
      <c r="F381" s="352"/>
    </row>
    <row r="382" spans="1:7" x14ac:dyDescent="0.2">
      <c r="A382" s="345">
        <v>39141</v>
      </c>
      <c r="B382" s="1279">
        <v>0.03</v>
      </c>
      <c r="C382" s="770">
        <v>903413921.46000004</v>
      </c>
      <c r="E382" s="258">
        <f>B382-Index_Returns!AF382</f>
        <v>-0.57999999999999996</v>
      </c>
      <c r="F382" s="352"/>
    </row>
    <row r="383" spans="1:7" x14ac:dyDescent="0.2">
      <c r="A383" s="345">
        <v>39172</v>
      </c>
      <c r="B383" s="1279">
        <v>1.76</v>
      </c>
      <c r="C383" s="770">
        <v>920003802.79999995</v>
      </c>
      <c r="E383" s="258">
        <f>B383-Index_Returns!AF383</f>
        <v>-1.0570000000000002</v>
      </c>
    </row>
    <row r="384" spans="1:7" x14ac:dyDescent="0.2">
      <c r="A384" s="345">
        <v>39202</v>
      </c>
      <c r="B384" s="1279">
        <v>4.57</v>
      </c>
      <c r="C384" s="770">
        <v>962060607.75999999</v>
      </c>
      <c r="E384" s="258">
        <f>B384-Index_Returns!AF384</f>
        <v>-6.6999999999999282E-2</v>
      </c>
    </row>
    <row r="385" spans="1:5" x14ac:dyDescent="0.2">
      <c r="A385" s="345">
        <v>39233</v>
      </c>
      <c r="B385" s="1279">
        <v>0.91</v>
      </c>
      <c r="C385" s="770">
        <v>970795116.54999995</v>
      </c>
      <c r="E385" s="258">
        <f>B385-Index_Returns!AF385</f>
        <v>-1.831</v>
      </c>
    </row>
    <row r="386" spans="1:5" x14ac:dyDescent="0.2">
      <c r="A386" s="345">
        <v>39263</v>
      </c>
      <c r="B386" s="1279">
        <v>0.3</v>
      </c>
      <c r="C386" s="770">
        <v>974373446.24000001</v>
      </c>
      <c r="E386" s="258">
        <f>B386-Index_Returns!AF386</f>
        <v>-0.55099999999999993</v>
      </c>
    </row>
    <row r="387" spans="1:5" x14ac:dyDescent="0.2">
      <c r="A387" s="345">
        <v>39294</v>
      </c>
      <c r="B387" s="1279">
        <v>-1.58</v>
      </c>
      <c r="C387" s="770">
        <v>958921037.12</v>
      </c>
      <c r="E387" s="258">
        <f>B387-Index_Returns!AF387</f>
        <v>-1.2950000000000002</v>
      </c>
    </row>
    <row r="388" spans="1:5" x14ac:dyDescent="0.2">
      <c r="A388" s="345">
        <v>39325</v>
      </c>
      <c r="B388" s="1279">
        <v>-0.22</v>
      </c>
      <c r="C388" s="346">
        <v>956812965.22000003</v>
      </c>
      <c r="E388" s="258">
        <f>B388-Index_Returns!AF388</f>
        <v>1.3149999999999999</v>
      </c>
    </row>
    <row r="389" spans="1:5" x14ac:dyDescent="0.2">
      <c r="A389" s="345">
        <v>39355</v>
      </c>
      <c r="B389" s="1279">
        <v>3.5</v>
      </c>
      <c r="C389" s="346">
        <v>991100634.61000001</v>
      </c>
      <c r="E389" s="258">
        <f>B389-Index_Returns!AF389</f>
        <v>-3.1219999999999999</v>
      </c>
    </row>
    <row r="390" spans="1:5" x14ac:dyDescent="0.2">
      <c r="A390" s="345">
        <v>39386</v>
      </c>
      <c r="B390" s="1279">
        <v>2.72</v>
      </c>
      <c r="C390" s="346">
        <v>1018103719.28</v>
      </c>
      <c r="E390" s="258">
        <f>B390-Index_Returns!AF390</f>
        <v>-2.8619999999999997</v>
      </c>
    </row>
    <row r="391" spans="1:5" x14ac:dyDescent="0.2">
      <c r="A391" s="345">
        <v>39416</v>
      </c>
      <c r="B391" s="1279">
        <v>-1.97</v>
      </c>
      <c r="C391" s="346">
        <v>998067331.28999996</v>
      </c>
      <c r="E391" s="258">
        <f>B391-Index_Returns!AF391</f>
        <v>2.5230000000000006</v>
      </c>
    </row>
    <row r="392" spans="1:5" x14ac:dyDescent="0.2">
      <c r="A392" s="345">
        <v>39447</v>
      </c>
      <c r="B392" s="1279">
        <v>-1.7</v>
      </c>
      <c r="C392" s="346">
        <v>981878011.89999998</v>
      </c>
      <c r="E392" s="258">
        <f>B392-Index_Returns!AF392</f>
        <v>-0.25499999999999989</v>
      </c>
    </row>
    <row r="393" spans="1:5" x14ac:dyDescent="0.2">
      <c r="A393" s="345">
        <v>39478</v>
      </c>
      <c r="B393" s="1279">
        <v>-8.17</v>
      </c>
      <c r="C393" s="346">
        <v>901644370.55999994</v>
      </c>
      <c r="E393" s="258">
        <f>B393-Index_Returns!AF393</f>
        <v>1.5060000000000002</v>
      </c>
    </row>
    <row r="394" spans="1:5" x14ac:dyDescent="0.2">
      <c r="A394" s="345">
        <v>39507</v>
      </c>
      <c r="B394" s="1279">
        <v>2.74</v>
      </c>
      <c r="C394" s="346">
        <v>926387998.57000005</v>
      </c>
      <c r="E394" s="258">
        <f>B394-Index_Returns!AF394</f>
        <v>-0.15799999999999992</v>
      </c>
    </row>
    <row r="395" spans="1:5" x14ac:dyDescent="0.2">
      <c r="A395" s="345">
        <v>39538</v>
      </c>
      <c r="B395" s="1279">
        <v>0.53</v>
      </c>
      <c r="C395" s="346">
        <v>932095079.14999998</v>
      </c>
      <c r="E395" s="258">
        <f>B395-Index_Returns!AF395</f>
        <v>2.6859999999999999</v>
      </c>
    </row>
    <row r="396" spans="1:5" x14ac:dyDescent="0.2">
      <c r="A396" s="345">
        <v>39568</v>
      </c>
      <c r="B396" s="1279">
        <v>4.1500000000000004</v>
      </c>
      <c r="C396" s="346">
        <v>970736657.72000003</v>
      </c>
      <c r="E396" s="258">
        <f>B396-Index_Returns!AF396</f>
        <v>-2.0039999999999996</v>
      </c>
    </row>
    <row r="397" spans="1:5" x14ac:dyDescent="0.2">
      <c r="A397" s="345">
        <v>39599</v>
      </c>
      <c r="B397" s="1279">
        <v>2.2200000000000002</v>
      </c>
      <c r="C397" s="346">
        <v>992251357.33000004</v>
      </c>
      <c r="E397" s="258">
        <f>B397-Index_Returns!AF397</f>
        <v>0.4870000000000001</v>
      </c>
    </row>
    <row r="398" spans="1:5" x14ac:dyDescent="0.2">
      <c r="A398" s="345">
        <v>39629</v>
      </c>
      <c r="B398" s="1279">
        <v>-8.1999999999999993</v>
      </c>
      <c r="C398" s="346">
        <v>911589550.83000004</v>
      </c>
      <c r="E398" s="258">
        <f>B398-Index_Returns!AF398</f>
        <v>-3.0000000000001137E-3</v>
      </c>
    </row>
    <row r="399" spans="1:5" x14ac:dyDescent="0.2">
      <c r="A399" s="345">
        <v>39660</v>
      </c>
      <c r="B399" s="1279">
        <v>-2.78</v>
      </c>
      <c r="C399" s="367">
        <v>886252767.80999994</v>
      </c>
      <c r="E399" s="258">
        <f>B399-Index_Returns!AF399</f>
        <v>0.79600000000000026</v>
      </c>
    </row>
    <row r="400" spans="1:5" x14ac:dyDescent="0.2">
      <c r="A400" s="345">
        <v>39691</v>
      </c>
      <c r="B400" s="1279">
        <v>-2.69</v>
      </c>
      <c r="C400" s="367">
        <v>862430924.07000005</v>
      </c>
      <c r="E400" s="258">
        <f>B400-Index_Returns!AF400</f>
        <v>1.9609999999999999</v>
      </c>
    </row>
    <row r="401" spans="1:5" x14ac:dyDescent="0.2">
      <c r="A401" s="345">
        <v>39721</v>
      </c>
      <c r="B401" s="1279">
        <v>-11.98</v>
      </c>
      <c r="C401" s="367">
        <v>759773042.96000004</v>
      </c>
      <c r="E401" s="258">
        <f>B401-Index_Returns!AF401</f>
        <v>3.01</v>
      </c>
    </row>
    <row r="402" spans="1:5" x14ac:dyDescent="0.2">
      <c r="A402" s="345">
        <v>39752</v>
      </c>
      <c r="B402" s="1279">
        <v>-17.09</v>
      </c>
      <c r="C402" s="346">
        <v>629942753</v>
      </c>
      <c r="E402" s="258">
        <f>B402-Index_Returns!AF402</f>
        <v>4.9190000000000005</v>
      </c>
    </row>
    <row r="403" spans="1:5" x14ac:dyDescent="0.2">
      <c r="A403" s="345">
        <v>39782</v>
      </c>
      <c r="B403" s="1279">
        <v>-7.03</v>
      </c>
      <c r="C403" s="346">
        <v>585685125</v>
      </c>
      <c r="E403" s="258">
        <f>B403-Index_Returns!AF403</f>
        <v>-1.2860000000000005</v>
      </c>
    </row>
    <row r="404" spans="1:5" x14ac:dyDescent="0.2">
      <c r="A404" s="345">
        <v>39813</v>
      </c>
      <c r="B404" s="1279">
        <v>7.94</v>
      </c>
      <c r="C404" s="346">
        <v>632801004</v>
      </c>
      <c r="E404" s="258">
        <f>B404-Index_Returns!AF404</f>
        <v>2.2230000000000008</v>
      </c>
    </row>
    <row r="405" spans="1:5" x14ac:dyDescent="0.2">
      <c r="A405" s="345">
        <v>39844</v>
      </c>
      <c r="B405" s="1279">
        <v>-9.5399999999999991</v>
      </c>
      <c r="C405" s="346">
        <v>572400210.29999995</v>
      </c>
      <c r="D405" s="258">
        <v>-9.5449999999999999</v>
      </c>
      <c r="E405" s="258">
        <f>B405-Index_Returns!AF405</f>
        <v>-0.72599999999999909</v>
      </c>
    </row>
    <row r="406" spans="1:5" x14ac:dyDescent="0.2">
      <c r="A406" s="345">
        <v>39872</v>
      </c>
      <c r="B406" s="1279">
        <v>-9.42</v>
      </c>
      <c r="C406" s="346">
        <v>518468565.48000002</v>
      </c>
      <c r="D406" s="258">
        <v>-9.4220000000000006</v>
      </c>
      <c r="E406" s="258">
        <f>B406-Index_Returns!AF406</f>
        <v>-0.11800000000000033</v>
      </c>
    </row>
    <row r="407" spans="1:5" x14ac:dyDescent="0.2">
      <c r="A407" s="345">
        <v>39903</v>
      </c>
      <c r="B407" s="1279">
        <v>7.48</v>
      </c>
      <c r="C407" s="346">
        <v>557794363.16999996</v>
      </c>
      <c r="D407" s="258">
        <v>7.585</v>
      </c>
      <c r="E407" s="258">
        <f>B407-Index_Returns!AF407</f>
        <v>-0.59299999999999997</v>
      </c>
    </row>
    <row r="408" spans="1:5" x14ac:dyDescent="0.2">
      <c r="A408" s="345">
        <v>39933</v>
      </c>
      <c r="B408" s="1279">
        <v>9.65</v>
      </c>
      <c r="C408" s="346">
        <v>611621737.49000001</v>
      </c>
      <c r="E408" s="258">
        <f>B408-Index_Returns!AF408</f>
        <v>-4.1029999999999998</v>
      </c>
    </row>
    <row r="409" spans="1:5" x14ac:dyDescent="0.2">
      <c r="A409" s="345">
        <v>39964</v>
      </c>
      <c r="B409" s="1279">
        <v>10.89</v>
      </c>
      <c r="C409" s="346">
        <v>678255368.64999998</v>
      </c>
      <c r="E409" s="258">
        <f>B409-Index_Returns!AF409</f>
        <v>-2.798</v>
      </c>
    </row>
    <row r="410" spans="1:5" x14ac:dyDescent="0.2">
      <c r="A410" s="345">
        <v>39994</v>
      </c>
      <c r="B410" s="1279">
        <v>-1.24</v>
      </c>
      <c r="C410" s="346">
        <v>670310232.16999996</v>
      </c>
      <c r="E410" s="258">
        <f>B410-Index_Returns!AF410</f>
        <v>-0.16799999999999993</v>
      </c>
    </row>
    <row r="411" spans="1:5" x14ac:dyDescent="0.2">
      <c r="A411" s="345">
        <v>40025</v>
      </c>
      <c r="B411" s="1279">
        <v>10.73</v>
      </c>
      <c r="C411" s="346">
        <v>742242386.84000003</v>
      </c>
      <c r="D411" s="258">
        <v>10.731199999999999</v>
      </c>
      <c r="E411" s="258">
        <f>B411-Index_Returns!AF411</f>
        <v>0.92300000000000004</v>
      </c>
    </row>
    <row r="412" spans="1:5" x14ac:dyDescent="0.2">
      <c r="A412" s="345">
        <v>40056</v>
      </c>
      <c r="B412" s="1279">
        <v>4.22</v>
      </c>
      <c r="C412" s="346">
        <v>773588049.26999998</v>
      </c>
      <c r="D412" s="258">
        <v>4.2230999999999996</v>
      </c>
      <c r="E412" s="258">
        <f>B412-Index_Returns!AF412</f>
        <v>0.49899999999999967</v>
      </c>
    </row>
    <row r="413" spans="1:5" x14ac:dyDescent="0.2">
      <c r="A413" s="345">
        <v>40086</v>
      </c>
      <c r="B413" s="1279">
        <v>5.18</v>
      </c>
      <c r="C413" s="346">
        <v>814164824.89999998</v>
      </c>
      <c r="D413" s="258">
        <v>5.2453000000000003</v>
      </c>
      <c r="E413" s="258">
        <f>B413-Index_Returns!AF413</f>
        <v>2.1999999999999353E-2</v>
      </c>
    </row>
    <row r="414" spans="1:5" x14ac:dyDescent="0.2">
      <c r="A414" s="345">
        <v>40117</v>
      </c>
      <c r="B414" s="1279">
        <v>-0.91</v>
      </c>
      <c r="C414" s="346">
        <v>802219470</v>
      </c>
      <c r="D414" s="258">
        <v>-0.91</v>
      </c>
      <c r="E414" s="258">
        <f>B414-Index_Returns!AF414</f>
        <v>0.31999999999999995</v>
      </c>
    </row>
    <row r="415" spans="1:5" x14ac:dyDescent="0.2">
      <c r="A415" s="345">
        <v>40147</v>
      </c>
      <c r="B415" s="1279">
        <v>3.7</v>
      </c>
      <c r="C415" s="1278">
        <v>831921759</v>
      </c>
      <c r="D415" s="1279">
        <v>3.7669999999999999</v>
      </c>
      <c r="E415" s="258">
        <f>B415-Index_Returns!AF415</f>
        <v>0.81100000000000039</v>
      </c>
    </row>
    <row r="416" spans="1:5" x14ac:dyDescent="0.2">
      <c r="A416" s="345">
        <v>40178</v>
      </c>
      <c r="B416" s="1279">
        <v>3.08</v>
      </c>
      <c r="C416" s="346">
        <v>857561606.70000005</v>
      </c>
      <c r="D416" s="258">
        <v>3.0819999999999999</v>
      </c>
      <c r="E416" s="258">
        <f>B416-Index_Returns!AF416</f>
        <v>0.95100000000000007</v>
      </c>
    </row>
    <row r="417" spans="1:5" x14ac:dyDescent="0.2">
      <c r="A417" s="345">
        <v>40209</v>
      </c>
      <c r="B417" s="253">
        <v>-4.5999999999999996</v>
      </c>
      <c r="C417" s="346">
        <v>818152576.54999995</v>
      </c>
      <c r="D417" s="258">
        <v>-4.5954699999999997</v>
      </c>
      <c r="E417" s="258">
        <f>B417-Index_Returns!AF417</f>
        <v>0.27500000000000036</v>
      </c>
    </row>
    <row r="418" spans="1:5" x14ac:dyDescent="0.2">
      <c r="A418" s="345">
        <v>40237</v>
      </c>
      <c r="B418" s="253">
        <v>-0.68</v>
      </c>
      <c r="C418" s="346">
        <v>812624816.79999995</v>
      </c>
      <c r="D418" s="258">
        <v>-0.67564000000000002</v>
      </c>
      <c r="E418" s="258">
        <f>B418-Index_Returns!AF418</f>
        <v>-0.69400000000000006</v>
      </c>
    </row>
    <row r="419" spans="1:5" x14ac:dyDescent="0.2">
      <c r="A419" s="345">
        <v>40268</v>
      </c>
      <c r="B419" s="253">
        <v>6.6</v>
      </c>
      <c r="C419" s="1287">
        <v>866253543.84000003</v>
      </c>
      <c r="D419" s="1286">
        <v>6.59945</v>
      </c>
      <c r="E419" s="258">
        <f>B419-Index_Returns!AF419</f>
        <v>-0.25400000000000045</v>
      </c>
    </row>
    <row r="420" spans="1:5" x14ac:dyDescent="0.2">
      <c r="A420" s="345">
        <v>40298</v>
      </c>
      <c r="B420" s="253">
        <v>-1.41</v>
      </c>
      <c r="C420" s="346">
        <v>854044933.25</v>
      </c>
      <c r="D420" s="258">
        <v>-1.4093599999999999</v>
      </c>
      <c r="E420" s="258">
        <f>B420-Index_Returns!AF420</f>
        <v>-0.59699999999999998</v>
      </c>
    </row>
    <row r="421" spans="1:5" x14ac:dyDescent="0.2">
      <c r="A421" s="345">
        <v>40329</v>
      </c>
      <c r="B421" s="253">
        <v>-10.85</v>
      </c>
      <c r="C421" s="346">
        <v>761343601.99000001</v>
      </c>
      <c r="D421" s="258">
        <v>-10.85439</v>
      </c>
      <c r="E421" s="258">
        <f>B421-Index_Returns!AF421</f>
        <v>-0.43599999999999994</v>
      </c>
    </row>
    <row r="422" spans="1:5" x14ac:dyDescent="0.2">
      <c r="A422" s="345">
        <v>40359</v>
      </c>
      <c r="B422" s="253">
        <v>0.71</v>
      </c>
      <c r="C422" s="346">
        <v>766714652.46000004</v>
      </c>
      <c r="D422" s="258">
        <v>0.70547000000000004</v>
      </c>
      <c r="E422" s="258">
        <f>B422-Index_Returns!AF422</f>
        <v>1.9669999999999999</v>
      </c>
    </row>
    <row r="423" spans="1:5" x14ac:dyDescent="0.2">
      <c r="A423" s="345">
        <v>40390</v>
      </c>
      <c r="B423" s="253">
        <v>8.43858</v>
      </c>
      <c r="C423" s="346">
        <v>831414483.99000001</v>
      </c>
      <c r="D423" s="258">
        <v>8.43858</v>
      </c>
      <c r="E423" s="258">
        <f>B423-Index_Returns!AF423</f>
        <v>-0.61941999999999986</v>
      </c>
    </row>
    <row r="424" spans="1:5" x14ac:dyDescent="0.2">
      <c r="A424" s="345">
        <v>40421</v>
      </c>
      <c r="B424" s="253">
        <v>-3.18154</v>
      </c>
      <c r="C424" s="346">
        <v>804962677.25</v>
      </c>
      <c r="D424" s="258">
        <v>-3.18154</v>
      </c>
      <c r="E424" s="258">
        <f>B424-Index_Returns!AF424</f>
        <v>-0.45454000000000017</v>
      </c>
    </row>
    <row r="425" spans="1:5" x14ac:dyDescent="0.2">
      <c r="A425" s="345">
        <v>40451</v>
      </c>
      <c r="B425" s="253">
        <v>10.367470000000001</v>
      </c>
      <c r="C425" s="346">
        <v>888416913.88</v>
      </c>
      <c r="D425" s="258">
        <v>10.367470000000001</v>
      </c>
      <c r="E425" s="258">
        <f>B425-Index_Returns!AF425</f>
        <v>0.39547000000000132</v>
      </c>
    </row>
    <row r="426" spans="1:5" x14ac:dyDescent="0.2">
      <c r="A426" s="345">
        <v>40482</v>
      </c>
      <c r="B426" s="258">
        <v>4.0735299999999999</v>
      </c>
      <c r="C426" s="346">
        <v>924606843.57000005</v>
      </c>
      <c r="D426" s="258">
        <v>4.0735299999999999</v>
      </c>
      <c r="E426" s="258">
        <f>B426-Index_Returns!AF426</f>
        <v>0.65724999999999989</v>
      </c>
    </row>
    <row r="427" spans="1:5" x14ac:dyDescent="0.2">
      <c r="A427" s="345">
        <v>40512</v>
      </c>
      <c r="B427" s="253"/>
      <c r="C427" s="346">
        <v>4253324.75</v>
      </c>
      <c r="E427" s="258">
        <f>B427-Index_Returns!AF427</f>
        <v>3.8372799999999998</v>
      </c>
    </row>
    <row r="428" spans="1:5" x14ac:dyDescent="0.2">
      <c r="A428" s="345">
        <v>40543</v>
      </c>
      <c r="B428" s="253"/>
      <c r="C428" s="346">
        <v>2483193.7599999998</v>
      </c>
      <c r="E428" s="258">
        <f>B428-Index_Returns!AF428</f>
        <v>-7.8455700000000004</v>
      </c>
    </row>
  </sheetData>
  <phoneticPr fontId="3" type="noConversion"/>
  <printOptions headings="1" gridLines="1"/>
  <pageMargins left="0.78740157480314965" right="0.78740157480314965" top="0.78740157480314965" bottom="0.78740157480314965" header="0.39370078740157483" footer="0.39370078740157483"/>
  <pageSetup scale="13" orientation="portrait" r:id="rId1"/>
  <headerFooter alignWithMargins="0">
    <oddHeader>&amp;L&amp;A</oddHeader>
  </headerFooter>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rgb="FFFF0000"/>
    <pageSetUpPr fitToPage="1"/>
  </sheetPr>
  <dimension ref="A1:H428"/>
  <sheetViews>
    <sheetView workbookViewId="0">
      <pane xSplit="1" ySplit="2" topLeftCell="B391" activePane="bottomRight" state="frozen"/>
      <selection pane="topRight"/>
      <selection pane="bottomLeft"/>
      <selection pane="bottomRight" activeCell="B421" sqref="B421:B428"/>
    </sheetView>
  </sheetViews>
  <sheetFormatPr defaultRowHeight="12.75" x14ac:dyDescent="0.2"/>
  <cols>
    <col min="1" max="1" width="18.7109375" style="21" customWidth="1"/>
    <col min="2" max="2" width="18.7109375" style="257" customWidth="1"/>
    <col min="3" max="3" width="18.7109375" style="5" customWidth="1"/>
    <col min="4" max="4" width="18.7109375" style="258" customWidth="1"/>
    <col min="5" max="5" width="18.7109375" style="21" customWidth="1"/>
    <col min="6" max="6" width="12.42578125" bestFit="1" customWidth="1"/>
    <col min="7" max="8" width="9.140625" style="352"/>
  </cols>
  <sheetData>
    <row r="1" spans="1:5" x14ac:dyDescent="0.2">
      <c r="A1" s="265" t="s">
        <v>182</v>
      </c>
      <c r="B1" s="1273" t="s">
        <v>499</v>
      </c>
      <c r="C1" s="20" t="s">
        <v>181</v>
      </c>
      <c r="D1" s="252">
        <f>Fees!F216</f>
        <v>65.913881810032521</v>
      </c>
      <c r="E1" s="74" t="s">
        <v>81</v>
      </c>
    </row>
    <row r="2" spans="1:5" x14ac:dyDescent="0.2">
      <c r="A2" s="3" t="s">
        <v>27</v>
      </c>
      <c r="B2" s="71" t="s">
        <v>91</v>
      </c>
      <c r="C2" s="3" t="s">
        <v>92</v>
      </c>
      <c r="D2" s="71" t="s">
        <v>90</v>
      </c>
      <c r="E2" s="71" t="s">
        <v>80</v>
      </c>
    </row>
    <row r="3" spans="1:5" x14ac:dyDescent="0.2">
      <c r="A3" s="345">
        <v>27606</v>
      </c>
      <c r="B3" s="71"/>
      <c r="C3" s="226"/>
      <c r="D3" s="71"/>
      <c r="E3" s="71"/>
    </row>
    <row r="4" spans="1:5" x14ac:dyDescent="0.2">
      <c r="A4" s="345">
        <v>27637</v>
      </c>
      <c r="B4" s="71"/>
      <c r="C4" s="226"/>
      <c r="D4" s="71"/>
      <c r="E4" s="71"/>
    </row>
    <row r="5" spans="1:5" x14ac:dyDescent="0.2">
      <c r="A5" s="345">
        <v>27667</v>
      </c>
      <c r="B5" s="71"/>
      <c r="C5" s="226"/>
      <c r="D5" s="71"/>
      <c r="E5" s="71"/>
    </row>
    <row r="6" spans="1:5" x14ac:dyDescent="0.2">
      <c r="A6" s="345">
        <v>27698</v>
      </c>
      <c r="B6" s="71"/>
      <c r="C6" s="226"/>
      <c r="D6" s="71"/>
      <c r="E6" s="71"/>
    </row>
    <row r="7" spans="1:5" x14ac:dyDescent="0.2">
      <c r="A7" s="345">
        <v>27728</v>
      </c>
      <c r="B7" s="71"/>
      <c r="C7" s="226"/>
      <c r="D7" s="71"/>
      <c r="E7" s="71"/>
    </row>
    <row r="8" spans="1:5" x14ac:dyDescent="0.2">
      <c r="A8" s="345">
        <v>27759</v>
      </c>
      <c r="B8" s="71"/>
      <c r="C8" s="226"/>
      <c r="D8" s="71"/>
      <c r="E8" s="71"/>
    </row>
    <row r="9" spans="1:5" x14ac:dyDescent="0.2">
      <c r="A9" s="345">
        <v>27790</v>
      </c>
      <c r="B9" s="71"/>
      <c r="C9" s="226"/>
      <c r="D9" s="71"/>
      <c r="E9" s="71"/>
    </row>
    <row r="10" spans="1:5" x14ac:dyDescent="0.2">
      <c r="A10" s="345">
        <v>27819</v>
      </c>
      <c r="B10" s="71"/>
      <c r="C10" s="226"/>
      <c r="D10" s="71"/>
      <c r="E10" s="71"/>
    </row>
    <row r="11" spans="1:5" x14ac:dyDescent="0.2">
      <c r="A11" s="345">
        <v>27850</v>
      </c>
      <c r="B11" s="71"/>
      <c r="C11" s="226"/>
      <c r="D11" s="71"/>
      <c r="E11" s="71"/>
    </row>
    <row r="12" spans="1:5" x14ac:dyDescent="0.2">
      <c r="A12" s="345">
        <v>27880</v>
      </c>
      <c r="B12" s="71"/>
      <c r="C12" s="226"/>
      <c r="D12" s="71"/>
      <c r="E12" s="71"/>
    </row>
    <row r="13" spans="1:5" x14ac:dyDescent="0.2">
      <c r="A13" s="345">
        <v>27911</v>
      </c>
      <c r="B13" s="71"/>
      <c r="C13" s="226"/>
      <c r="D13" s="71"/>
      <c r="E13" s="71"/>
    </row>
    <row r="14" spans="1:5" x14ac:dyDescent="0.2">
      <c r="A14" s="345">
        <v>27941</v>
      </c>
      <c r="B14" s="71"/>
      <c r="C14" s="226"/>
      <c r="D14" s="71"/>
      <c r="E14" s="71"/>
    </row>
    <row r="15" spans="1:5" x14ac:dyDescent="0.2">
      <c r="A15" s="345">
        <v>27972</v>
      </c>
      <c r="B15" s="71"/>
      <c r="C15" s="226"/>
      <c r="D15" s="71"/>
      <c r="E15" s="71"/>
    </row>
    <row r="16" spans="1:5"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row>
    <row r="142" spans="1:5" x14ac:dyDescent="0.2">
      <c r="A142" s="345">
        <v>31836</v>
      </c>
      <c r="B142" s="73"/>
      <c r="C142" s="25"/>
      <c r="D142" s="73"/>
    </row>
    <row r="143" spans="1:5" x14ac:dyDescent="0.2">
      <c r="A143" s="345">
        <v>31867</v>
      </c>
      <c r="B143" s="73"/>
      <c r="C143" s="25"/>
      <c r="D143" s="73"/>
    </row>
    <row r="144" spans="1:5" x14ac:dyDescent="0.2">
      <c r="A144" s="345">
        <v>31897</v>
      </c>
      <c r="B144" s="73"/>
      <c r="C144" s="25"/>
      <c r="D144" s="73"/>
    </row>
    <row r="145" spans="1:4" x14ac:dyDescent="0.2">
      <c r="A145" s="345">
        <v>31928</v>
      </c>
      <c r="B145" s="73"/>
      <c r="C145" s="25"/>
      <c r="D145" s="73"/>
    </row>
    <row r="146" spans="1:4" x14ac:dyDescent="0.2">
      <c r="A146" s="345">
        <v>31958</v>
      </c>
      <c r="B146" s="73"/>
      <c r="C146" s="25"/>
      <c r="D146" s="73"/>
    </row>
    <row r="147" spans="1:4" x14ac:dyDescent="0.2">
      <c r="A147" s="345">
        <v>31989</v>
      </c>
      <c r="B147" s="73"/>
      <c r="C147" s="25"/>
      <c r="D147" s="73"/>
    </row>
    <row r="148" spans="1:4" x14ac:dyDescent="0.2">
      <c r="A148" s="345">
        <v>32020</v>
      </c>
      <c r="B148" s="73"/>
      <c r="C148" s="25"/>
      <c r="D148" s="73"/>
    </row>
    <row r="149" spans="1:4" x14ac:dyDescent="0.2">
      <c r="A149" s="345">
        <v>32050</v>
      </c>
      <c r="B149" s="73"/>
      <c r="C149" s="25"/>
      <c r="D149" s="73"/>
    </row>
    <row r="150" spans="1:4" x14ac:dyDescent="0.2">
      <c r="A150" s="345">
        <v>32081</v>
      </c>
      <c r="B150" s="73"/>
      <c r="C150" s="25"/>
      <c r="D150" s="73"/>
    </row>
    <row r="151" spans="1:4" x14ac:dyDescent="0.2">
      <c r="A151" s="345">
        <v>32111</v>
      </c>
      <c r="B151" s="73"/>
      <c r="C151" s="25"/>
      <c r="D151" s="73"/>
    </row>
    <row r="152" spans="1:4" x14ac:dyDescent="0.2">
      <c r="A152" s="345">
        <v>32142</v>
      </c>
      <c r="B152" s="73"/>
      <c r="C152" s="25"/>
      <c r="D152" s="73"/>
    </row>
    <row r="153" spans="1:4" x14ac:dyDescent="0.2">
      <c r="A153" s="345">
        <v>32173</v>
      </c>
      <c r="B153" s="73"/>
      <c r="C153" s="25"/>
      <c r="D153" s="73"/>
    </row>
    <row r="154" spans="1:4" x14ac:dyDescent="0.2">
      <c r="A154" s="345">
        <v>32202</v>
      </c>
      <c r="B154" s="73"/>
      <c r="C154" s="25"/>
      <c r="D154" s="73"/>
    </row>
    <row r="155" spans="1:4" x14ac:dyDescent="0.2">
      <c r="A155" s="345">
        <v>32233</v>
      </c>
      <c r="B155" s="73"/>
      <c r="C155" s="25"/>
      <c r="D155" s="73"/>
    </row>
    <row r="156" spans="1:4" x14ac:dyDescent="0.2">
      <c r="A156" s="345">
        <v>32263</v>
      </c>
      <c r="B156" s="73"/>
      <c r="C156" s="25"/>
      <c r="D156" s="73"/>
    </row>
    <row r="157" spans="1:4" x14ac:dyDescent="0.2">
      <c r="A157" s="345">
        <v>32294</v>
      </c>
      <c r="B157" s="73"/>
      <c r="C157" s="25"/>
      <c r="D157" s="73"/>
    </row>
    <row r="158" spans="1:4" x14ac:dyDescent="0.2">
      <c r="A158" s="345">
        <v>32324</v>
      </c>
      <c r="B158" s="73"/>
      <c r="C158" s="25"/>
      <c r="D158" s="73"/>
    </row>
    <row r="159" spans="1:4" x14ac:dyDescent="0.2">
      <c r="A159" s="345">
        <v>32355</v>
      </c>
      <c r="B159" s="73"/>
      <c r="C159" s="25"/>
      <c r="D159" s="73"/>
    </row>
    <row r="160" spans="1:4" x14ac:dyDescent="0.2">
      <c r="A160" s="345">
        <v>32386</v>
      </c>
      <c r="B160" s="73"/>
      <c r="C160" s="25"/>
      <c r="D160" s="73"/>
    </row>
    <row r="161" spans="1:4" x14ac:dyDescent="0.2">
      <c r="A161" s="345">
        <v>32416</v>
      </c>
      <c r="B161" s="73"/>
      <c r="C161" s="25"/>
      <c r="D161" s="73"/>
    </row>
    <row r="162" spans="1:4" x14ac:dyDescent="0.2">
      <c r="A162" s="345">
        <v>32447</v>
      </c>
      <c r="B162" s="73"/>
      <c r="C162" s="25"/>
      <c r="D162" s="73"/>
    </row>
    <row r="163" spans="1:4" x14ac:dyDescent="0.2">
      <c r="A163" s="345">
        <v>32477</v>
      </c>
      <c r="B163" s="73"/>
      <c r="C163" s="25"/>
      <c r="D163" s="73"/>
    </row>
    <row r="164" spans="1:4" x14ac:dyDescent="0.2">
      <c r="A164" s="345">
        <v>32508</v>
      </c>
      <c r="B164" s="73"/>
      <c r="C164" s="25"/>
      <c r="D164" s="73"/>
    </row>
    <row r="165" spans="1:4" x14ac:dyDescent="0.2">
      <c r="A165" s="345">
        <v>32539</v>
      </c>
      <c r="B165" s="73"/>
      <c r="C165" s="25"/>
      <c r="D165" s="73"/>
    </row>
    <row r="166" spans="1:4" x14ac:dyDescent="0.2">
      <c r="A166" s="345">
        <v>32567</v>
      </c>
      <c r="B166" s="73"/>
      <c r="C166" s="25"/>
      <c r="D166" s="73"/>
    </row>
    <row r="167" spans="1:4" x14ac:dyDescent="0.2">
      <c r="A167" s="345">
        <v>32598</v>
      </c>
      <c r="B167" s="73"/>
      <c r="C167" s="25"/>
      <c r="D167" s="73"/>
    </row>
    <row r="168" spans="1:4" x14ac:dyDescent="0.2">
      <c r="A168" s="345">
        <v>32628</v>
      </c>
      <c r="B168" s="73"/>
      <c r="C168" s="25"/>
      <c r="D168" s="73"/>
    </row>
    <row r="169" spans="1:4" x14ac:dyDescent="0.2">
      <c r="A169" s="345">
        <v>32659</v>
      </c>
      <c r="B169" s="73"/>
      <c r="C169" s="25"/>
      <c r="D169" s="73"/>
    </row>
    <row r="170" spans="1:4" x14ac:dyDescent="0.2">
      <c r="A170" s="345">
        <v>32689</v>
      </c>
      <c r="B170" s="73"/>
      <c r="C170" s="25"/>
      <c r="D170" s="73"/>
    </row>
    <row r="171" spans="1:4" x14ac:dyDescent="0.2">
      <c r="A171" s="345">
        <v>32720</v>
      </c>
      <c r="B171" s="73"/>
      <c r="C171" s="25"/>
      <c r="D171" s="73"/>
    </row>
    <row r="172" spans="1:4" x14ac:dyDescent="0.2">
      <c r="A172" s="345">
        <v>32751</v>
      </c>
      <c r="B172" s="73"/>
      <c r="C172" s="25"/>
      <c r="D172" s="73"/>
    </row>
    <row r="173" spans="1:4" x14ac:dyDescent="0.2">
      <c r="A173" s="345">
        <v>32781</v>
      </c>
      <c r="B173" s="73"/>
      <c r="C173" s="25"/>
      <c r="D173" s="73"/>
    </row>
    <row r="174" spans="1:4" x14ac:dyDescent="0.2">
      <c r="A174" s="345">
        <v>32812</v>
      </c>
      <c r="B174" s="73"/>
      <c r="C174" s="25"/>
      <c r="D174" s="73"/>
    </row>
    <row r="175" spans="1:4" x14ac:dyDescent="0.2">
      <c r="A175" s="345">
        <v>32842</v>
      </c>
      <c r="B175" s="73"/>
      <c r="C175" s="25"/>
      <c r="D175" s="73"/>
    </row>
    <row r="176" spans="1:4" x14ac:dyDescent="0.2">
      <c r="A176" s="345">
        <v>32873</v>
      </c>
      <c r="B176" s="73"/>
      <c r="C176" s="25"/>
      <c r="D176" s="73"/>
    </row>
    <row r="177" spans="1:4" x14ac:dyDescent="0.2">
      <c r="A177" s="345">
        <v>32904</v>
      </c>
      <c r="B177" s="73"/>
      <c r="C177" s="25"/>
      <c r="D177" s="73"/>
    </row>
    <row r="178" spans="1:4" x14ac:dyDescent="0.2">
      <c r="A178" s="345">
        <v>32932</v>
      </c>
      <c r="B178" s="73"/>
      <c r="C178" s="25"/>
      <c r="D178" s="73"/>
    </row>
    <row r="179" spans="1:4" x14ac:dyDescent="0.2">
      <c r="A179" s="345">
        <v>32963</v>
      </c>
      <c r="B179" s="73"/>
      <c r="C179" s="25"/>
      <c r="D179" s="73"/>
    </row>
    <row r="180" spans="1:4" x14ac:dyDescent="0.2">
      <c r="A180" s="345">
        <v>32993</v>
      </c>
      <c r="B180" s="73"/>
      <c r="C180" s="25"/>
      <c r="D180" s="73"/>
    </row>
    <row r="181" spans="1:4" x14ac:dyDescent="0.2">
      <c r="A181" s="345">
        <v>33024</v>
      </c>
      <c r="B181" s="73"/>
      <c r="C181" s="25"/>
      <c r="D181" s="73"/>
    </row>
    <row r="182" spans="1:4" x14ac:dyDescent="0.2">
      <c r="A182" s="345">
        <v>33054</v>
      </c>
      <c r="B182" s="73"/>
      <c r="C182" s="25"/>
      <c r="D182" s="73"/>
    </row>
    <row r="183" spans="1:4" x14ac:dyDescent="0.2">
      <c r="A183" s="345">
        <v>33085</v>
      </c>
      <c r="B183" s="73"/>
      <c r="C183" s="25"/>
      <c r="D183" s="73"/>
    </row>
    <row r="184" spans="1:4" x14ac:dyDescent="0.2">
      <c r="A184" s="345">
        <v>33116</v>
      </c>
      <c r="B184" s="73"/>
      <c r="C184" s="25"/>
      <c r="D184" s="73"/>
    </row>
    <row r="185" spans="1:4" x14ac:dyDescent="0.2">
      <c r="A185" s="345">
        <v>33146</v>
      </c>
      <c r="B185" s="73"/>
      <c r="C185" s="25"/>
      <c r="D185" s="73"/>
    </row>
    <row r="186" spans="1:4" x14ac:dyDescent="0.2">
      <c r="A186" s="345">
        <v>33177</v>
      </c>
      <c r="B186" s="73"/>
      <c r="C186" s="25"/>
      <c r="D186" s="73"/>
    </row>
    <row r="187" spans="1:4" x14ac:dyDescent="0.2">
      <c r="A187" s="345">
        <v>33207</v>
      </c>
      <c r="B187" s="73"/>
      <c r="C187" s="25"/>
      <c r="D187" s="73"/>
    </row>
    <row r="188" spans="1:4" x14ac:dyDescent="0.2">
      <c r="A188" s="345">
        <v>33238</v>
      </c>
      <c r="B188" s="73"/>
      <c r="C188" s="25"/>
      <c r="D188" s="73"/>
    </row>
    <row r="189" spans="1:4" x14ac:dyDescent="0.2">
      <c r="A189" s="345">
        <v>33269</v>
      </c>
      <c r="B189" s="73"/>
      <c r="C189" s="25"/>
      <c r="D189" s="73"/>
    </row>
    <row r="190" spans="1:4" x14ac:dyDescent="0.2">
      <c r="A190" s="345">
        <v>33297</v>
      </c>
      <c r="B190" s="73"/>
      <c r="C190" s="25"/>
      <c r="D190" s="73"/>
    </row>
    <row r="191" spans="1:4" x14ac:dyDescent="0.2">
      <c r="A191" s="345">
        <v>33328</v>
      </c>
      <c r="B191" s="73"/>
      <c r="C191" s="25"/>
      <c r="D191" s="73"/>
    </row>
    <row r="192" spans="1:4" x14ac:dyDescent="0.2">
      <c r="A192" s="345">
        <v>33358</v>
      </c>
      <c r="B192" s="73"/>
      <c r="C192" s="25"/>
      <c r="D192" s="73"/>
    </row>
    <row r="193" spans="1:4" x14ac:dyDescent="0.2">
      <c r="A193" s="345">
        <v>33389</v>
      </c>
      <c r="B193" s="73"/>
      <c r="C193" s="25"/>
      <c r="D193" s="73"/>
    </row>
    <row r="194" spans="1:4" x14ac:dyDescent="0.2">
      <c r="A194" s="345">
        <v>33419</v>
      </c>
      <c r="B194" s="73"/>
      <c r="C194" s="25"/>
      <c r="D194" s="73"/>
    </row>
    <row r="195" spans="1:4" x14ac:dyDescent="0.2">
      <c r="A195" s="345">
        <v>33450</v>
      </c>
      <c r="B195" s="73"/>
      <c r="C195" s="25"/>
      <c r="D195" s="73"/>
    </row>
    <row r="196" spans="1:4" x14ac:dyDescent="0.2">
      <c r="A196" s="345">
        <v>33481</v>
      </c>
      <c r="B196" s="73"/>
      <c r="C196" s="25"/>
      <c r="D196" s="73"/>
    </row>
    <row r="197" spans="1:4" x14ac:dyDescent="0.2">
      <c r="A197" s="345">
        <v>33511</v>
      </c>
      <c r="B197" s="73"/>
      <c r="C197" s="25"/>
      <c r="D197" s="73"/>
    </row>
    <row r="198" spans="1:4" x14ac:dyDescent="0.2">
      <c r="A198" s="345">
        <v>33542</v>
      </c>
      <c r="B198" s="73"/>
      <c r="C198" s="25"/>
      <c r="D198" s="73"/>
    </row>
    <row r="199" spans="1:4" x14ac:dyDescent="0.2">
      <c r="A199" s="345">
        <v>33572</v>
      </c>
      <c r="B199" s="73"/>
      <c r="C199" s="25"/>
      <c r="D199" s="73"/>
    </row>
    <row r="200" spans="1:4" x14ac:dyDescent="0.2">
      <c r="A200" s="345">
        <v>33603</v>
      </c>
      <c r="B200" s="73"/>
      <c r="C200" s="25"/>
      <c r="D200" s="73"/>
    </row>
    <row r="201" spans="1:4" x14ac:dyDescent="0.2">
      <c r="A201" s="345">
        <v>33634</v>
      </c>
      <c r="B201" s="73"/>
      <c r="C201" s="25"/>
      <c r="D201" s="73"/>
    </row>
    <row r="202" spans="1:4" x14ac:dyDescent="0.2">
      <c r="A202" s="345">
        <v>33663</v>
      </c>
      <c r="B202" s="73"/>
      <c r="C202" s="25"/>
      <c r="D202" s="73"/>
    </row>
    <row r="203" spans="1:4" x14ac:dyDescent="0.2">
      <c r="A203" s="345">
        <v>33694</v>
      </c>
      <c r="B203" s="73"/>
      <c r="C203" s="25"/>
      <c r="D203" s="73"/>
    </row>
    <row r="204" spans="1:4" x14ac:dyDescent="0.2">
      <c r="A204" s="345">
        <v>33724</v>
      </c>
      <c r="B204" s="73"/>
      <c r="C204" s="25"/>
      <c r="D204" s="73"/>
    </row>
    <row r="205" spans="1:4" x14ac:dyDescent="0.2">
      <c r="A205" s="345">
        <v>33755</v>
      </c>
      <c r="B205" s="73"/>
      <c r="C205" s="25"/>
      <c r="D205" s="73"/>
    </row>
    <row r="206" spans="1:4" x14ac:dyDescent="0.2">
      <c r="A206" s="345">
        <v>33785</v>
      </c>
      <c r="B206" s="73"/>
      <c r="C206" s="25"/>
      <c r="D206" s="73"/>
    </row>
    <row r="207" spans="1:4" x14ac:dyDescent="0.2">
      <c r="A207" s="345">
        <v>33816</v>
      </c>
      <c r="B207" s="73"/>
      <c r="C207" s="25"/>
      <c r="D207" s="73"/>
    </row>
    <row r="208" spans="1:4" x14ac:dyDescent="0.2">
      <c r="A208" s="345">
        <v>33847</v>
      </c>
      <c r="B208" s="73"/>
      <c r="C208" s="25"/>
      <c r="D208" s="73"/>
    </row>
    <row r="209" spans="1:4" x14ac:dyDescent="0.2">
      <c r="A209" s="345">
        <v>33877</v>
      </c>
      <c r="B209" s="73"/>
      <c r="C209" s="25"/>
      <c r="D209" s="73"/>
    </row>
    <row r="210" spans="1:4" x14ac:dyDescent="0.2">
      <c r="A210" s="345">
        <v>33908</v>
      </c>
      <c r="B210" s="73"/>
      <c r="C210" s="25"/>
      <c r="D210" s="73"/>
    </row>
    <row r="211" spans="1:4" x14ac:dyDescent="0.2">
      <c r="A211" s="345">
        <v>33938</v>
      </c>
      <c r="B211" s="73"/>
      <c r="C211" s="25"/>
      <c r="D211" s="73"/>
    </row>
    <row r="212" spans="1:4" x14ac:dyDescent="0.2">
      <c r="A212" s="345">
        <v>33969</v>
      </c>
      <c r="B212" s="73"/>
      <c r="C212" s="25"/>
      <c r="D212" s="73"/>
    </row>
    <row r="213" spans="1:4" x14ac:dyDescent="0.2">
      <c r="A213" s="345">
        <v>34000</v>
      </c>
      <c r="B213" s="73"/>
      <c r="C213" s="25"/>
      <c r="D213" s="73"/>
    </row>
    <row r="214" spans="1:4" x14ac:dyDescent="0.2">
      <c r="A214" s="345">
        <v>34028</v>
      </c>
      <c r="B214" s="73"/>
      <c r="C214" s="25"/>
      <c r="D214" s="73"/>
    </row>
    <row r="215" spans="1:4" x14ac:dyDescent="0.2">
      <c r="A215" s="345">
        <v>34059</v>
      </c>
      <c r="B215" s="73"/>
      <c r="C215" s="25"/>
      <c r="D215" s="73"/>
    </row>
    <row r="216" spans="1:4" x14ac:dyDescent="0.2">
      <c r="A216" s="345">
        <v>34089</v>
      </c>
      <c r="B216" s="73"/>
      <c r="C216" s="25"/>
      <c r="D216" s="73"/>
    </row>
    <row r="217" spans="1:4" x14ac:dyDescent="0.2">
      <c r="A217" s="345">
        <v>34120</v>
      </c>
      <c r="B217" s="73"/>
      <c r="C217" s="25"/>
      <c r="D217" s="73"/>
    </row>
    <row r="218" spans="1:4" x14ac:dyDescent="0.2">
      <c r="A218" s="345">
        <v>34150</v>
      </c>
      <c r="B218" s="73"/>
      <c r="C218" s="25"/>
      <c r="D218" s="73"/>
    </row>
    <row r="219" spans="1:4" x14ac:dyDescent="0.2">
      <c r="A219" s="345">
        <v>34181</v>
      </c>
      <c r="B219" s="73"/>
      <c r="C219" s="25"/>
      <c r="D219" s="73"/>
    </row>
    <row r="220" spans="1:4" x14ac:dyDescent="0.2">
      <c r="A220" s="345">
        <v>34212</v>
      </c>
      <c r="B220" s="73"/>
      <c r="C220" s="25"/>
      <c r="D220" s="73"/>
    </row>
    <row r="221" spans="1:4" x14ac:dyDescent="0.2">
      <c r="A221" s="345">
        <v>34242</v>
      </c>
      <c r="B221" s="73"/>
      <c r="C221" s="25"/>
      <c r="D221" s="73"/>
    </row>
    <row r="222" spans="1:4" x14ac:dyDescent="0.2">
      <c r="A222" s="345">
        <v>34273</v>
      </c>
      <c r="B222" s="73"/>
      <c r="C222" s="25"/>
      <c r="D222" s="73"/>
    </row>
    <row r="223" spans="1:4" x14ac:dyDescent="0.2">
      <c r="A223" s="345">
        <v>34303</v>
      </c>
      <c r="B223" s="73"/>
      <c r="C223" s="25"/>
      <c r="D223" s="73"/>
    </row>
    <row r="224" spans="1:4" x14ac:dyDescent="0.2">
      <c r="A224" s="345">
        <v>34334</v>
      </c>
      <c r="B224" s="73"/>
      <c r="C224" s="25"/>
      <c r="D224" s="73"/>
    </row>
    <row r="225" spans="1:4" x14ac:dyDescent="0.2">
      <c r="A225" s="345">
        <v>34365</v>
      </c>
      <c r="B225" s="73"/>
      <c r="C225" s="25"/>
      <c r="D225" s="73"/>
    </row>
    <row r="226" spans="1:4" x14ac:dyDescent="0.2">
      <c r="A226" s="345">
        <v>34393</v>
      </c>
      <c r="B226" s="73"/>
      <c r="C226" s="25"/>
      <c r="D226" s="73"/>
    </row>
    <row r="227" spans="1:4" x14ac:dyDescent="0.2">
      <c r="A227" s="345">
        <v>34424</v>
      </c>
      <c r="B227" s="73"/>
      <c r="C227" s="25"/>
      <c r="D227" s="73"/>
    </row>
    <row r="228" spans="1:4" x14ac:dyDescent="0.2">
      <c r="A228" s="345">
        <v>34454</v>
      </c>
      <c r="B228" s="73"/>
      <c r="C228" s="25"/>
      <c r="D228" s="73"/>
    </row>
    <row r="229" spans="1:4" x14ac:dyDescent="0.2">
      <c r="A229" s="345">
        <v>34485</v>
      </c>
      <c r="B229" s="73"/>
      <c r="C229" s="25"/>
      <c r="D229" s="73"/>
    </row>
    <row r="230" spans="1:4" x14ac:dyDescent="0.2">
      <c r="A230" s="345">
        <v>34515</v>
      </c>
      <c r="B230" s="73"/>
      <c r="C230" s="25"/>
      <c r="D230" s="73"/>
    </row>
    <row r="231" spans="1:4" x14ac:dyDescent="0.2">
      <c r="A231" s="345">
        <v>34546</v>
      </c>
      <c r="B231" s="73"/>
      <c r="C231" s="25"/>
      <c r="D231" s="73"/>
    </row>
    <row r="232" spans="1:4" x14ac:dyDescent="0.2">
      <c r="A232" s="345">
        <v>34577</v>
      </c>
      <c r="B232" s="73"/>
      <c r="C232" s="25"/>
      <c r="D232" s="73"/>
    </row>
    <row r="233" spans="1:4" x14ac:dyDescent="0.2">
      <c r="A233" s="345">
        <v>34607</v>
      </c>
      <c r="B233" s="73"/>
      <c r="C233" s="25"/>
      <c r="D233" s="73"/>
    </row>
    <row r="234" spans="1:4" x14ac:dyDescent="0.2">
      <c r="A234" s="345">
        <v>34638</v>
      </c>
      <c r="B234" s="73"/>
      <c r="C234" s="25"/>
      <c r="D234" s="73"/>
    </row>
    <row r="235" spans="1:4" x14ac:dyDescent="0.2">
      <c r="A235" s="345">
        <v>34668</v>
      </c>
      <c r="B235" s="73"/>
      <c r="C235" s="25"/>
      <c r="D235" s="73"/>
    </row>
    <row r="236" spans="1:4" x14ac:dyDescent="0.2">
      <c r="A236" s="345">
        <v>34699</v>
      </c>
      <c r="B236" s="73"/>
      <c r="C236" s="25"/>
      <c r="D236" s="73"/>
    </row>
    <row r="237" spans="1:4" x14ac:dyDescent="0.2">
      <c r="A237" s="345">
        <v>34730</v>
      </c>
      <c r="B237" s="73"/>
      <c r="C237" s="25"/>
      <c r="D237" s="73"/>
    </row>
    <row r="238" spans="1:4" x14ac:dyDescent="0.2">
      <c r="A238" s="345">
        <v>34758</v>
      </c>
      <c r="B238" s="73"/>
      <c r="C238" s="25"/>
      <c r="D238" s="73"/>
    </row>
    <row r="239" spans="1:4" x14ac:dyDescent="0.2">
      <c r="A239" s="345">
        <v>34789</v>
      </c>
      <c r="B239" s="73"/>
      <c r="C239" s="25"/>
      <c r="D239" s="73"/>
    </row>
    <row r="240" spans="1:4" x14ac:dyDescent="0.2">
      <c r="A240" s="345">
        <v>34819</v>
      </c>
      <c r="B240" s="73"/>
      <c r="C240" s="25"/>
      <c r="D240" s="73"/>
    </row>
    <row r="241" spans="1:4" x14ac:dyDescent="0.2">
      <c r="A241" s="345">
        <v>34850</v>
      </c>
      <c r="B241" s="73"/>
      <c r="C241" s="25"/>
      <c r="D241" s="73"/>
    </row>
    <row r="242" spans="1:4" x14ac:dyDescent="0.2">
      <c r="A242" s="345">
        <v>34880</v>
      </c>
      <c r="B242" s="73"/>
      <c r="C242" s="25"/>
      <c r="D242" s="73"/>
    </row>
    <row r="243" spans="1:4" x14ac:dyDescent="0.2">
      <c r="A243" s="345">
        <v>34911</v>
      </c>
      <c r="B243" s="73"/>
      <c r="C243" s="25"/>
      <c r="D243" s="73"/>
    </row>
    <row r="244" spans="1:4" x14ac:dyDescent="0.2">
      <c r="A244" s="345">
        <v>34942</v>
      </c>
      <c r="B244" s="73"/>
      <c r="C244" s="25"/>
      <c r="D244" s="73"/>
    </row>
    <row r="245" spans="1:4" x14ac:dyDescent="0.2">
      <c r="A245" s="345">
        <v>34972</v>
      </c>
      <c r="B245" s="73"/>
      <c r="C245" s="25"/>
      <c r="D245" s="73"/>
    </row>
    <row r="246" spans="1:4" x14ac:dyDescent="0.2">
      <c r="A246" s="345">
        <v>35003</v>
      </c>
      <c r="B246" s="73"/>
      <c r="C246" s="25"/>
      <c r="D246" s="73"/>
    </row>
    <row r="247" spans="1:4" x14ac:dyDescent="0.2">
      <c r="A247" s="345">
        <v>35033</v>
      </c>
      <c r="B247" s="73"/>
      <c r="C247" s="25"/>
      <c r="D247" s="73"/>
    </row>
    <row r="248" spans="1:4" x14ac:dyDescent="0.2">
      <c r="A248" s="345">
        <v>35064</v>
      </c>
      <c r="B248" s="73"/>
      <c r="C248" s="25"/>
      <c r="D248" s="73"/>
    </row>
    <row r="249" spans="1:4" x14ac:dyDescent="0.2">
      <c r="A249" s="345">
        <v>35095</v>
      </c>
      <c r="B249" s="73"/>
      <c r="C249" s="25"/>
      <c r="D249" s="73"/>
    </row>
    <row r="250" spans="1:4" x14ac:dyDescent="0.2">
      <c r="A250" s="345">
        <v>35124</v>
      </c>
      <c r="B250" s="73"/>
      <c r="C250" s="25"/>
      <c r="D250" s="73"/>
    </row>
    <row r="251" spans="1:4" x14ac:dyDescent="0.2">
      <c r="A251" s="345">
        <v>35155</v>
      </c>
      <c r="B251" s="73"/>
      <c r="C251" s="25"/>
      <c r="D251" s="73"/>
    </row>
    <row r="252" spans="1:4" x14ac:dyDescent="0.2">
      <c r="A252" s="345">
        <v>35185</v>
      </c>
      <c r="B252" s="73"/>
      <c r="C252" s="25"/>
      <c r="D252" s="73"/>
    </row>
    <row r="253" spans="1:4" x14ac:dyDescent="0.2">
      <c r="A253" s="345">
        <v>35216</v>
      </c>
      <c r="B253" s="73"/>
      <c r="C253" s="25"/>
      <c r="D253" s="73"/>
    </row>
    <row r="254" spans="1:4" x14ac:dyDescent="0.2">
      <c r="A254" s="345">
        <v>35246</v>
      </c>
      <c r="B254" s="73"/>
      <c r="C254" s="25"/>
      <c r="D254" s="73"/>
    </row>
    <row r="255" spans="1:4" x14ac:dyDescent="0.2">
      <c r="A255" s="345">
        <v>35277</v>
      </c>
      <c r="B255" s="73"/>
      <c r="C255" s="25"/>
      <c r="D255" s="73"/>
    </row>
    <row r="256" spans="1:4" x14ac:dyDescent="0.2">
      <c r="A256" s="345">
        <v>35308</v>
      </c>
      <c r="B256" s="73"/>
      <c r="C256" s="25"/>
      <c r="D256" s="73"/>
    </row>
    <row r="257" spans="1:4" x14ac:dyDescent="0.2">
      <c r="A257" s="345">
        <v>35338</v>
      </c>
      <c r="B257" s="73"/>
      <c r="C257" s="25"/>
      <c r="D257" s="73"/>
    </row>
    <row r="258" spans="1:4" x14ac:dyDescent="0.2">
      <c r="A258" s="345">
        <v>35369</v>
      </c>
      <c r="B258" s="73"/>
      <c r="C258" s="25"/>
      <c r="D258" s="73"/>
    </row>
    <row r="259" spans="1:4" x14ac:dyDescent="0.2">
      <c r="A259" s="345">
        <v>35399</v>
      </c>
      <c r="B259" s="73"/>
      <c r="C259" s="25"/>
      <c r="D259" s="73"/>
    </row>
    <row r="260" spans="1:4" x14ac:dyDescent="0.2">
      <c r="A260" s="345">
        <v>35430</v>
      </c>
      <c r="B260" s="73"/>
      <c r="C260" s="25"/>
      <c r="D260" s="73"/>
    </row>
    <row r="261" spans="1:4" x14ac:dyDescent="0.2">
      <c r="A261" s="345">
        <v>35461</v>
      </c>
      <c r="B261" s="73"/>
      <c r="C261" s="25"/>
      <c r="D261" s="73"/>
    </row>
    <row r="262" spans="1:4" x14ac:dyDescent="0.2">
      <c r="A262" s="345">
        <v>35489</v>
      </c>
      <c r="B262" s="73"/>
      <c r="C262" s="25"/>
      <c r="D262" s="73"/>
    </row>
    <row r="263" spans="1:4" x14ac:dyDescent="0.2">
      <c r="A263" s="345">
        <v>35520</v>
      </c>
      <c r="B263" s="73"/>
      <c r="C263" s="25"/>
      <c r="D263" s="73"/>
    </row>
    <row r="264" spans="1:4" x14ac:dyDescent="0.2">
      <c r="A264" s="345">
        <v>35550</v>
      </c>
      <c r="B264" s="73"/>
      <c r="C264" s="25"/>
      <c r="D264" s="73"/>
    </row>
    <row r="265" spans="1:4" x14ac:dyDescent="0.2">
      <c r="A265" s="345">
        <v>35581</v>
      </c>
      <c r="B265" s="73"/>
      <c r="C265" s="25"/>
      <c r="D265" s="73"/>
    </row>
    <row r="266" spans="1:4" x14ac:dyDescent="0.2">
      <c r="A266" s="345">
        <v>35611</v>
      </c>
      <c r="B266" s="73"/>
      <c r="C266" s="25"/>
      <c r="D266" s="73"/>
    </row>
    <row r="267" spans="1:4" x14ac:dyDescent="0.2">
      <c r="A267" s="345">
        <v>35642</v>
      </c>
      <c r="B267" s="73"/>
      <c r="C267" s="25"/>
      <c r="D267" s="73"/>
    </row>
    <row r="268" spans="1:4" x14ac:dyDescent="0.2">
      <c r="A268" s="345">
        <v>35673</v>
      </c>
      <c r="B268" s="73"/>
      <c r="C268" s="25"/>
      <c r="D268" s="73"/>
    </row>
    <row r="269" spans="1:4" x14ac:dyDescent="0.2">
      <c r="A269" s="345">
        <v>35703</v>
      </c>
      <c r="B269" s="73"/>
      <c r="C269" s="25"/>
      <c r="D269" s="73"/>
    </row>
    <row r="270" spans="1:4" x14ac:dyDescent="0.2">
      <c r="A270" s="345">
        <v>35734</v>
      </c>
      <c r="B270" s="73"/>
      <c r="C270" s="25"/>
      <c r="D270" s="73"/>
    </row>
    <row r="271" spans="1:4" x14ac:dyDescent="0.2">
      <c r="A271" s="345">
        <v>35764</v>
      </c>
      <c r="B271" s="73"/>
      <c r="C271" s="25"/>
      <c r="D271" s="73"/>
    </row>
    <row r="272" spans="1:4" x14ac:dyDescent="0.2">
      <c r="A272" s="345">
        <v>35795</v>
      </c>
      <c r="B272" s="73"/>
      <c r="C272" s="25"/>
      <c r="D272" s="73"/>
    </row>
    <row r="273" spans="1:4" x14ac:dyDescent="0.2">
      <c r="A273" s="345">
        <v>35826</v>
      </c>
      <c r="B273" s="73"/>
      <c r="C273" s="25"/>
      <c r="D273" s="73"/>
    </row>
    <row r="274" spans="1:4" x14ac:dyDescent="0.2">
      <c r="A274" s="345">
        <v>35854</v>
      </c>
      <c r="B274" s="73"/>
      <c r="C274" s="32"/>
      <c r="D274" s="73"/>
    </row>
    <row r="275" spans="1:4" x14ac:dyDescent="0.2">
      <c r="A275" s="345">
        <v>35885</v>
      </c>
      <c r="B275" s="73"/>
      <c r="C275" s="32"/>
      <c r="D275" s="73"/>
    </row>
    <row r="276" spans="1:4" x14ac:dyDescent="0.2">
      <c r="A276" s="345">
        <v>35915</v>
      </c>
      <c r="B276" s="73"/>
      <c r="C276" s="32"/>
      <c r="D276" s="73"/>
    </row>
    <row r="277" spans="1:4" x14ac:dyDescent="0.2">
      <c r="A277" s="345">
        <v>35946</v>
      </c>
      <c r="B277" s="73"/>
      <c r="C277" s="32"/>
      <c r="D277" s="73"/>
    </row>
    <row r="278" spans="1:4" x14ac:dyDescent="0.2">
      <c r="A278" s="345">
        <v>35976</v>
      </c>
      <c r="B278" s="73"/>
      <c r="C278" s="32"/>
      <c r="D278" s="73"/>
    </row>
    <row r="279" spans="1:4" x14ac:dyDescent="0.2">
      <c r="A279" s="345">
        <v>36007</v>
      </c>
      <c r="B279" s="73"/>
      <c r="C279" s="32"/>
      <c r="D279" s="73"/>
    </row>
    <row r="280" spans="1:4" x14ac:dyDescent="0.2">
      <c r="A280" s="345">
        <v>36038</v>
      </c>
      <c r="B280" s="73"/>
      <c r="C280" s="32"/>
      <c r="D280" s="73"/>
    </row>
    <row r="281" spans="1:4" x14ac:dyDescent="0.2">
      <c r="A281" s="345">
        <v>36068</v>
      </c>
      <c r="B281" s="77"/>
      <c r="C281" s="32"/>
      <c r="D281" s="73"/>
    </row>
    <row r="282" spans="1:4" x14ac:dyDescent="0.2">
      <c r="A282" s="345">
        <v>36099</v>
      </c>
      <c r="B282" s="253"/>
      <c r="C282" s="33"/>
      <c r="D282" s="253"/>
    </row>
    <row r="283" spans="1:4" x14ac:dyDescent="0.2">
      <c r="A283" s="345">
        <v>36129</v>
      </c>
      <c r="B283" s="253"/>
      <c r="C283" s="33"/>
      <c r="D283" s="253"/>
    </row>
    <row r="284" spans="1:4" x14ac:dyDescent="0.2">
      <c r="A284" s="345">
        <v>36160</v>
      </c>
      <c r="B284" s="253"/>
      <c r="C284" s="33"/>
      <c r="D284" s="253"/>
    </row>
    <row r="285" spans="1:4" x14ac:dyDescent="0.2">
      <c r="A285" s="345">
        <v>36191</v>
      </c>
      <c r="B285" s="253"/>
      <c r="C285" s="33"/>
      <c r="D285" s="253"/>
    </row>
    <row r="286" spans="1:4" x14ac:dyDescent="0.2">
      <c r="A286" s="345">
        <v>36219</v>
      </c>
      <c r="B286" s="253"/>
      <c r="C286" s="33"/>
      <c r="D286" s="253"/>
    </row>
    <row r="287" spans="1:4" x14ac:dyDescent="0.2">
      <c r="A287" s="345">
        <v>36250</v>
      </c>
      <c r="B287" s="253"/>
      <c r="C287" s="33"/>
      <c r="D287" s="253"/>
    </row>
    <row r="288" spans="1:4" x14ac:dyDescent="0.2">
      <c r="A288" s="345">
        <v>36280</v>
      </c>
      <c r="B288" s="253"/>
      <c r="C288" s="33"/>
      <c r="D288" s="253"/>
    </row>
    <row r="289" spans="1:4" x14ac:dyDescent="0.2">
      <c r="A289" s="345">
        <v>36311</v>
      </c>
      <c r="B289" s="253"/>
      <c r="C289" s="33"/>
      <c r="D289" s="253"/>
    </row>
    <row r="290" spans="1:4" x14ac:dyDescent="0.2">
      <c r="A290" s="345">
        <v>36341</v>
      </c>
      <c r="B290" s="253"/>
      <c r="C290" s="33"/>
      <c r="D290" s="253"/>
    </row>
    <row r="291" spans="1:4" x14ac:dyDescent="0.2">
      <c r="A291" s="345">
        <v>36372</v>
      </c>
      <c r="B291" s="253"/>
      <c r="C291" s="33"/>
      <c r="D291" s="253"/>
    </row>
    <row r="292" spans="1:4" x14ac:dyDescent="0.2">
      <c r="A292" s="345">
        <v>36403</v>
      </c>
      <c r="B292" s="253"/>
      <c r="C292" s="33"/>
      <c r="D292" s="253"/>
    </row>
    <row r="293" spans="1:4" x14ac:dyDescent="0.2">
      <c r="A293" s="345">
        <v>36433</v>
      </c>
      <c r="B293" s="253"/>
      <c r="C293" s="33"/>
      <c r="D293" s="253"/>
    </row>
    <row r="294" spans="1:4" x14ac:dyDescent="0.2">
      <c r="A294" s="345">
        <v>36464</v>
      </c>
      <c r="B294" s="253"/>
      <c r="C294" s="33"/>
      <c r="D294" s="253"/>
    </row>
    <row r="295" spans="1:4" x14ac:dyDescent="0.2">
      <c r="A295" s="345">
        <v>36494</v>
      </c>
      <c r="B295" s="253"/>
      <c r="C295" s="33"/>
      <c r="D295" s="253"/>
    </row>
    <row r="296" spans="1:4" x14ac:dyDescent="0.2">
      <c r="A296" s="345">
        <v>36525</v>
      </c>
      <c r="B296" s="253"/>
      <c r="C296" s="33"/>
      <c r="D296" s="253"/>
    </row>
    <row r="297" spans="1:4" x14ac:dyDescent="0.2">
      <c r="A297" s="345">
        <v>36556</v>
      </c>
      <c r="B297" s="253"/>
      <c r="C297" s="33"/>
      <c r="D297" s="253"/>
    </row>
    <row r="298" spans="1:4" x14ac:dyDescent="0.2">
      <c r="A298" s="345">
        <v>36585</v>
      </c>
      <c r="B298" s="253"/>
      <c r="C298" s="33"/>
      <c r="D298" s="253"/>
    </row>
    <row r="299" spans="1:4" x14ac:dyDescent="0.2">
      <c r="A299" s="345">
        <v>36616</v>
      </c>
      <c r="B299" s="253"/>
      <c r="C299" s="33"/>
      <c r="D299" s="253"/>
    </row>
    <row r="300" spans="1:4" x14ac:dyDescent="0.2">
      <c r="A300" s="345">
        <v>36646</v>
      </c>
      <c r="B300" s="253"/>
      <c r="C300" s="33"/>
      <c r="D300" s="253"/>
    </row>
    <row r="301" spans="1:4" x14ac:dyDescent="0.2">
      <c r="A301" s="345">
        <v>36677</v>
      </c>
      <c r="B301" s="253"/>
      <c r="C301" s="33"/>
      <c r="D301" s="253"/>
    </row>
    <row r="302" spans="1:4" x14ac:dyDescent="0.2">
      <c r="A302" s="345">
        <v>36707</v>
      </c>
      <c r="B302" s="253"/>
      <c r="C302" s="33"/>
      <c r="D302" s="253"/>
    </row>
    <row r="303" spans="1:4" x14ac:dyDescent="0.2">
      <c r="A303" s="345">
        <v>36738</v>
      </c>
      <c r="B303" s="253"/>
      <c r="C303" s="33"/>
      <c r="D303" s="253"/>
    </row>
    <row r="304" spans="1:4" x14ac:dyDescent="0.2">
      <c r="A304" s="345">
        <v>36769</v>
      </c>
      <c r="B304" s="253"/>
      <c r="C304" s="33"/>
      <c r="D304" s="253"/>
    </row>
    <row r="305" spans="1:4" x14ac:dyDescent="0.2">
      <c r="A305" s="345">
        <v>36799</v>
      </c>
      <c r="B305" s="253"/>
      <c r="C305" s="33"/>
      <c r="D305" s="253"/>
    </row>
    <row r="306" spans="1:4" x14ac:dyDescent="0.2">
      <c r="A306" s="345">
        <v>36830</v>
      </c>
      <c r="B306" s="253"/>
      <c r="C306" s="33"/>
      <c r="D306" s="253"/>
    </row>
    <row r="307" spans="1:4" x14ac:dyDescent="0.2">
      <c r="A307" s="345">
        <v>36860</v>
      </c>
      <c r="B307" s="253"/>
      <c r="C307" s="33"/>
      <c r="D307" s="253"/>
    </row>
    <row r="308" spans="1:4" x14ac:dyDescent="0.2">
      <c r="A308" s="345">
        <v>36891</v>
      </c>
      <c r="B308" s="253"/>
      <c r="C308" s="33"/>
      <c r="D308" s="253"/>
    </row>
    <row r="309" spans="1:4" x14ac:dyDescent="0.2">
      <c r="A309" s="345">
        <v>36922</v>
      </c>
      <c r="B309" s="253"/>
      <c r="C309" s="33"/>
      <c r="D309" s="253"/>
    </row>
    <row r="310" spans="1:4" x14ac:dyDescent="0.2">
      <c r="A310" s="345">
        <v>36950</v>
      </c>
      <c r="B310" s="253"/>
      <c r="C310" s="33"/>
      <c r="D310" s="253"/>
    </row>
    <row r="311" spans="1:4" x14ac:dyDescent="0.2">
      <c r="A311" s="345">
        <v>36981</v>
      </c>
      <c r="B311" s="253"/>
      <c r="C311" s="33"/>
      <c r="D311" s="253"/>
    </row>
    <row r="312" spans="1:4" x14ac:dyDescent="0.2">
      <c r="A312" s="345">
        <v>37011</v>
      </c>
      <c r="B312" s="253"/>
      <c r="C312" s="33"/>
      <c r="D312" s="253"/>
    </row>
    <row r="313" spans="1:4" x14ac:dyDescent="0.2">
      <c r="A313" s="345">
        <v>37042</v>
      </c>
      <c r="B313" s="253"/>
      <c r="C313" s="33"/>
      <c r="D313" s="253"/>
    </row>
    <row r="314" spans="1:4" x14ac:dyDescent="0.2">
      <c r="A314" s="345">
        <v>37072</v>
      </c>
      <c r="B314" s="253"/>
      <c r="C314" s="33"/>
      <c r="D314" s="253"/>
    </row>
    <row r="315" spans="1:4" x14ac:dyDescent="0.2">
      <c r="A315" s="345">
        <v>37103</v>
      </c>
      <c r="B315" s="253"/>
      <c r="C315" s="33"/>
      <c r="D315" s="253"/>
    </row>
    <row r="316" spans="1:4" x14ac:dyDescent="0.2">
      <c r="A316" s="345">
        <v>37134</v>
      </c>
      <c r="B316" s="253"/>
      <c r="C316" s="33"/>
      <c r="D316" s="253"/>
    </row>
    <row r="317" spans="1:4" x14ac:dyDescent="0.2">
      <c r="A317" s="345">
        <v>37164</v>
      </c>
      <c r="B317" s="253"/>
      <c r="C317" s="33"/>
      <c r="D317" s="253"/>
    </row>
    <row r="318" spans="1:4" x14ac:dyDescent="0.2">
      <c r="A318" s="345">
        <v>37195</v>
      </c>
      <c r="B318" s="253"/>
      <c r="C318" s="33"/>
      <c r="D318" s="253"/>
    </row>
    <row r="319" spans="1:4" x14ac:dyDescent="0.2">
      <c r="A319" s="345">
        <v>37225</v>
      </c>
      <c r="B319" s="253"/>
      <c r="C319" s="33"/>
      <c r="D319" s="253"/>
    </row>
    <row r="320" spans="1:4" x14ac:dyDescent="0.2">
      <c r="A320" s="345">
        <v>37256</v>
      </c>
      <c r="B320" s="253"/>
      <c r="C320" s="33"/>
      <c r="D320" s="253"/>
    </row>
    <row r="321" spans="1:4" x14ac:dyDescent="0.2">
      <c r="A321" s="345">
        <v>37287</v>
      </c>
      <c r="B321" s="253"/>
      <c r="C321" s="33"/>
      <c r="D321" s="253"/>
    </row>
    <row r="322" spans="1:4" x14ac:dyDescent="0.2">
      <c r="A322" s="345">
        <v>37315</v>
      </c>
      <c r="B322" s="253"/>
      <c r="C322" s="33"/>
      <c r="D322" s="253"/>
    </row>
    <row r="323" spans="1:4" x14ac:dyDescent="0.2">
      <c r="A323" s="345">
        <v>37346</v>
      </c>
      <c r="B323" s="253"/>
      <c r="C323" s="33"/>
      <c r="D323" s="253"/>
    </row>
    <row r="324" spans="1:4" x14ac:dyDescent="0.2">
      <c r="A324" s="345">
        <v>37376</v>
      </c>
      <c r="B324" s="253"/>
      <c r="C324" s="33"/>
      <c r="D324" s="253"/>
    </row>
    <row r="325" spans="1:4" x14ac:dyDescent="0.2">
      <c r="A325" s="345">
        <v>37407</v>
      </c>
      <c r="B325" s="253"/>
      <c r="C325" s="33"/>
      <c r="D325" s="253"/>
    </row>
    <row r="326" spans="1:4" x14ac:dyDescent="0.2">
      <c r="A326" s="345">
        <v>37437</v>
      </c>
      <c r="B326" s="253"/>
      <c r="C326" s="33"/>
      <c r="D326" s="253"/>
    </row>
    <row r="327" spans="1:4" x14ac:dyDescent="0.2">
      <c r="A327" s="345">
        <v>37468</v>
      </c>
      <c r="B327" s="253"/>
      <c r="C327" s="33"/>
      <c r="D327" s="253"/>
    </row>
    <row r="328" spans="1:4" x14ac:dyDescent="0.2">
      <c r="A328" s="345">
        <v>37499</v>
      </c>
      <c r="B328" s="253"/>
      <c r="C328" s="33"/>
      <c r="D328" s="253"/>
    </row>
    <row r="329" spans="1:4" x14ac:dyDescent="0.2">
      <c r="A329" s="345">
        <v>37529</v>
      </c>
      <c r="B329" s="253"/>
      <c r="C329" s="33"/>
      <c r="D329" s="253"/>
    </row>
    <row r="330" spans="1:4" x14ac:dyDescent="0.2">
      <c r="A330" s="345">
        <v>37560</v>
      </c>
      <c r="B330" s="253"/>
      <c r="C330" s="33"/>
      <c r="D330" s="253"/>
    </row>
    <row r="331" spans="1:4" x14ac:dyDescent="0.2">
      <c r="A331" s="345">
        <v>37590</v>
      </c>
      <c r="B331" s="253"/>
      <c r="C331" s="33"/>
      <c r="D331" s="253"/>
    </row>
    <row r="332" spans="1:4" x14ac:dyDescent="0.2">
      <c r="A332" s="345">
        <v>37621</v>
      </c>
      <c r="B332" s="253"/>
      <c r="C332" s="33"/>
      <c r="D332" s="253"/>
    </row>
    <row r="333" spans="1:4" x14ac:dyDescent="0.2">
      <c r="A333" s="345">
        <v>37652</v>
      </c>
      <c r="B333" s="253"/>
      <c r="C333" s="33"/>
      <c r="D333" s="253"/>
    </row>
    <row r="334" spans="1:4" x14ac:dyDescent="0.2">
      <c r="A334" s="345">
        <v>37680</v>
      </c>
      <c r="B334" s="253"/>
      <c r="C334" s="33"/>
      <c r="D334" s="253"/>
    </row>
    <row r="335" spans="1:4" x14ac:dyDescent="0.2">
      <c r="A335" s="345">
        <v>37711</v>
      </c>
      <c r="B335" s="253"/>
      <c r="C335" s="33"/>
      <c r="D335" s="253"/>
    </row>
    <row r="336" spans="1:4" x14ac:dyDescent="0.2">
      <c r="A336" s="345">
        <v>37741</v>
      </c>
      <c r="B336" s="253"/>
      <c r="C336" s="33"/>
      <c r="D336" s="253"/>
    </row>
    <row r="337" spans="1:4" x14ac:dyDescent="0.2">
      <c r="A337" s="345">
        <v>37772</v>
      </c>
      <c r="B337" s="253"/>
      <c r="C337" s="33"/>
      <c r="D337" s="253"/>
    </row>
    <row r="338" spans="1:4" x14ac:dyDescent="0.2">
      <c r="A338" s="345">
        <v>37802</v>
      </c>
      <c r="B338" s="253"/>
      <c r="C338" s="33"/>
      <c r="D338" s="253"/>
    </row>
    <row r="339" spans="1:4" x14ac:dyDescent="0.2">
      <c r="A339" s="345">
        <v>37833</v>
      </c>
      <c r="B339" s="253"/>
      <c r="C339" s="33"/>
      <c r="D339" s="253"/>
    </row>
    <row r="340" spans="1:4" x14ac:dyDescent="0.2">
      <c r="A340" s="345">
        <v>37864</v>
      </c>
      <c r="B340" s="253"/>
      <c r="C340" s="33"/>
      <c r="D340" s="253"/>
    </row>
    <row r="341" spans="1:4" x14ac:dyDescent="0.2">
      <c r="A341" s="345">
        <v>37894</v>
      </c>
      <c r="B341" s="253"/>
      <c r="C341" s="34"/>
      <c r="D341" s="253"/>
    </row>
    <row r="342" spans="1:4" x14ac:dyDescent="0.2">
      <c r="A342" s="345">
        <v>37925</v>
      </c>
      <c r="B342" s="253"/>
      <c r="C342" s="34"/>
      <c r="D342" s="253"/>
    </row>
    <row r="343" spans="1:4" x14ac:dyDescent="0.2">
      <c r="A343" s="345">
        <v>37955</v>
      </c>
      <c r="B343" s="253"/>
      <c r="C343" s="34"/>
      <c r="D343" s="253"/>
    </row>
    <row r="344" spans="1:4" x14ac:dyDescent="0.2">
      <c r="A344" s="345">
        <v>37986</v>
      </c>
      <c r="B344" s="253"/>
      <c r="C344" s="34"/>
      <c r="D344" s="253"/>
    </row>
    <row r="345" spans="1:4" x14ac:dyDescent="0.2">
      <c r="A345" s="345">
        <v>38017</v>
      </c>
      <c r="B345" s="253"/>
      <c r="C345" s="34"/>
      <c r="D345" s="253"/>
    </row>
    <row r="346" spans="1:4" x14ac:dyDescent="0.2">
      <c r="A346" s="345">
        <v>38046</v>
      </c>
      <c r="B346" s="253"/>
      <c r="C346" s="34"/>
      <c r="D346" s="253"/>
    </row>
    <row r="347" spans="1:4" x14ac:dyDescent="0.2">
      <c r="A347" s="345">
        <v>38077</v>
      </c>
      <c r="B347" s="253"/>
      <c r="C347" s="34"/>
      <c r="D347" s="255"/>
    </row>
    <row r="348" spans="1:4" x14ac:dyDescent="0.2">
      <c r="A348" s="345">
        <v>38107</v>
      </c>
      <c r="B348" s="253"/>
      <c r="C348" s="34"/>
      <c r="D348" s="253"/>
    </row>
    <row r="349" spans="1:4" x14ac:dyDescent="0.2">
      <c r="A349" s="345">
        <v>38138</v>
      </c>
      <c r="B349" s="253"/>
      <c r="C349" s="34"/>
      <c r="D349" s="253"/>
    </row>
    <row r="350" spans="1:4" x14ac:dyDescent="0.2">
      <c r="A350" s="345">
        <v>38168</v>
      </c>
      <c r="B350" s="253"/>
      <c r="C350" s="34"/>
      <c r="D350" s="253"/>
    </row>
    <row r="351" spans="1:4" x14ac:dyDescent="0.2">
      <c r="A351" s="345">
        <v>38199</v>
      </c>
      <c r="B351" s="253"/>
      <c r="C351" s="34"/>
      <c r="D351" s="253"/>
    </row>
    <row r="352" spans="1:4" x14ac:dyDescent="0.2">
      <c r="A352" s="345">
        <v>38230</v>
      </c>
      <c r="B352" s="253"/>
      <c r="C352" s="34"/>
      <c r="D352" s="253"/>
    </row>
    <row r="353" spans="1:5" x14ac:dyDescent="0.2">
      <c r="A353" s="345">
        <v>38260</v>
      </c>
      <c r="B353" s="253"/>
      <c r="C353" s="34"/>
      <c r="D353" s="253"/>
    </row>
    <row r="354" spans="1:5" x14ac:dyDescent="0.2">
      <c r="A354" s="345">
        <v>38291</v>
      </c>
      <c r="B354" s="253"/>
      <c r="C354" s="34"/>
      <c r="D354" s="253"/>
    </row>
    <row r="355" spans="1:5" x14ac:dyDescent="0.2">
      <c r="A355" s="345">
        <v>38321</v>
      </c>
      <c r="B355" s="253"/>
      <c r="C355" s="34"/>
      <c r="D355" s="253"/>
    </row>
    <row r="356" spans="1:5" x14ac:dyDescent="0.2">
      <c r="A356" s="345">
        <v>38352</v>
      </c>
      <c r="B356" s="253"/>
      <c r="C356" s="256"/>
      <c r="D356" s="253"/>
    </row>
    <row r="357" spans="1:5" x14ac:dyDescent="0.2">
      <c r="A357" s="345">
        <v>38383</v>
      </c>
      <c r="B357" s="253"/>
      <c r="C357" s="34"/>
      <c r="D357" s="253"/>
    </row>
    <row r="358" spans="1:5" x14ac:dyDescent="0.2">
      <c r="A358" s="345">
        <v>38411</v>
      </c>
      <c r="B358" s="253"/>
      <c r="C358" s="34"/>
      <c r="D358" s="253"/>
    </row>
    <row r="359" spans="1:5" x14ac:dyDescent="0.2">
      <c r="A359" s="345">
        <v>38442</v>
      </c>
      <c r="B359" s="253"/>
      <c r="C359" s="256"/>
      <c r="D359" s="253"/>
    </row>
    <row r="360" spans="1:5" x14ac:dyDescent="0.2">
      <c r="A360" s="345">
        <v>38472</v>
      </c>
      <c r="B360" s="253"/>
      <c r="C360" s="256"/>
      <c r="D360" s="253"/>
    </row>
    <row r="361" spans="1:5" x14ac:dyDescent="0.2">
      <c r="A361" s="345">
        <v>38503</v>
      </c>
      <c r="B361" s="253"/>
      <c r="C361" s="256"/>
      <c r="D361" s="253"/>
    </row>
    <row r="362" spans="1:5" x14ac:dyDescent="0.2">
      <c r="A362" s="345">
        <v>38533</v>
      </c>
      <c r="B362" s="253"/>
      <c r="C362" s="256"/>
      <c r="D362" s="253"/>
    </row>
    <row r="363" spans="1:5" x14ac:dyDescent="0.2">
      <c r="A363" s="345">
        <v>38564</v>
      </c>
      <c r="B363" s="253"/>
      <c r="C363" s="34"/>
      <c r="D363" s="253"/>
    </row>
    <row r="364" spans="1:5" x14ac:dyDescent="0.2">
      <c r="A364" s="345">
        <v>38595</v>
      </c>
      <c r="B364" s="253"/>
      <c r="C364" s="34"/>
      <c r="D364" s="253"/>
      <c r="E364" s="258"/>
    </row>
    <row r="365" spans="1:5" x14ac:dyDescent="0.2">
      <c r="A365" s="345">
        <v>38625</v>
      </c>
      <c r="B365" s="1279">
        <v>4.51</v>
      </c>
      <c r="C365" s="256">
        <v>252405046.30000001</v>
      </c>
      <c r="D365" s="253"/>
      <c r="E365" s="258">
        <f>B365-Index_Returns!V365</f>
        <v>0.37709999999999955</v>
      </c>
    </row>
    <row r="366" spans="1:5" x14ac:dyDescent="0.2">
      <c r="A366" s="345">
        <v>38656</v>
      </c>
      <c r="B366" s="1279">
        <v>-3.01</v>
      </c>
      <c r="C366" s="256">
        <v>244796560.30000001</v>
      </c>
      <c r="D366" s="253"/>
      <c r="E366" s="258">
        <f>B366-Index_Returns!V366</f>
        <v>0.25260000000000016</v>
      </c>
    </row>
    <row r="367" spans="1:5" x14ac:dyDescent="0.2">
      <c r="A367" s="345">
        <v>38686</v>
      </c>
      <c r="B367" s="1279">
        <v>2.27</v>
      </c>
      <c r="C367" s="256">
        <v>250348725.19999999</v>
      </c>
      <c r="D367" s="253"/>
      <c r="E367" s="258">
        <f>B367-Index_Returns!V367</f>
        <v>-0.95929999999999982</v>
      </c>
    </row>
    <row r="368" spans="1:5" x14ac:dyDescent="0.2">
      <c r="A368" s="345">
        <v>38717</v>
      </c>
      <c r="B368" s="1279">
        <v>6.24</v>
      </c>
      <c r="C368" s="256">
        <v>266430476.31</v>
      </c>
      <c r="D368" s="253"/>
      <c r="E368" s="258">
        <f>B368-Index_Returns!V368</f>
        <v>-1.7644000000000002</v>
      </c>
    </row>
    <row r="369" spans="1:6" x14ac:dyDescent="0.2">
      <c r="A369" s="345">
        <v>38748</v>
      </c>
      <c r="B369" s="1279">
        <v>6.71</v>
      </c>
      <c r="C369" s="256">
        <v>284295473.10000002</v>
      </c>
      <c r="D369" s="253"/>
      <c r="E369" s="258">
        <f>B369-Index_Returns!V369</f>
        <v>-0.12019999999999964</v>
      </c>
    </row>
    <row r="370" spans="1:6" x14ac:dyDescent="0.2">
      <c r="A370" s="345">
        <v>38776</v>
      </c>
      <c r="B370" s="1279">
        <v>-0.04</v>
      </c>
      <c r="C370" s="256">
        <v>284186754.22000003</v>
      </c>
      <c r="D370" s="253"/>
      <c r="E370" s="258">
        <f>B370-Index_Returns!V370</f>
        <v>1.1732</v>
      </c>
    </row>
    <row r="371" spans="1:6" x14ac:dyDescent="0.2">
      <c r="A371" s="345">
        <v>38807</v>
      </c>
      <c r="B371" s="1279">
        <v>4.9400000000000004</v>
      </c>
      <c r="C371" s="367">
        <v>298698071.06999999</v>
      </c>
      <c r="D371" s="253"/>
      <c r="E371" s="258">
        <f>B371-Index_Returns!V371</f>
        <v>7.5400000000000134E-2</v>
      </c>
    </row>
    <row r="372" spans="1:6" x14ac:dyDescent="0.2">
      <c r="A372" s="345">
        <v>38837</v>
      </c>
      <c r="B372" s="1279">
        <v>4.4400000000000004</v>
      </c>
      <c r="C372" s="367">
        <v>311973510.51999998</v>
      </c>
      <c r="D372" s="253"/>
      <c r="E372" s="258">
        <f>B372-Index_Returns!V372</f>
        <v>5.1500000000000767E-2</v>
      </c>
    </row>
    <row r="373" spans="1:6" x14ac:dyDescent="0.2">
      <c r="A373" s="345">
        <v>38868</v>
      </c>
      <c r="B373" s="1279">
        <v>-5.83</v>
      </c>
      <c r="C373" s="367">
        <v>293782690.54000002</v>
      </c>
      <c r="D373" s="253"/>
      <c r="E373" s="258">
        <f>B373-Index_Returns!V373</f>
        <v>-0.14440000000000008</v>
      </c>
    </row>
    <row r="374" spans="1:6" x14ac:dyDescent="0.2">
      <c r="A374" s="345">
        <v>38898</v>
      </c>
      <c r="B374" s="1279">
        <v>-2.64</v>
      </c>
      <c r="C374" s="612">
        <v>286536057.85000002</v>
      </c>
      <c r="D374" s="253"/>
      <c r="E374" s="258">
        <f>B374-Index_Returns!V374</f>
        <v>-0.47900000000000009</v>
      </c>
    </row>
    <row r="375" spans="1:6" x14ac:dyDescent="0.2">
      <c r="A375" s="345">
        <v>38929</v>
      </c>
      <c r="B375" s="1279">
        <v>-1.73</v>
      </c>
      <c r="C375" s="34">
        <v>281590725.44999999</v>
      </c>
      <c r="D375" s="253"/>
      <c r="E375" s="258">
        <f>B375-Index_Returns!V375</f>
        <v>0.96580000000000021</v>
      </c>
    </row>
    <row r="376" spans="1:6" x14ac:dyDescent="0.2">
      <c r="A376" s="345">
        <v>38960</v>
      </c>
      <c r="B376" s="1279">
        <v>1.72</v>
      </c>
      <c r="C376" s="34">
        <v>286439591.82999998</v>
      </c>
      <c r="D376" s="253"/>
      <c r="E376" s="258">
        <f>B376-Index_Returns!V376</f>
        <v>-1.0911000000000002</v>
      </c>
    </row>
    <row r="377" spans="1:6" x14ac:dyDescent="0.2">
      <c r="A377" s="345">
        <v>38990</v>
      </c>
      <c r="B377" s="1279">
        <v>-0.47</v>
      </c>
      <c r="C377" s="34">
        <v>285596764.87</v>
      </c>
      <c r="D377" s="253"/>
      <c r="E377" s="258">
        <f>B377-Index_Returns!V377</f>
        <v>-0.88989999999999991</v>
      </c>
    </row>
    <row r="378" spans="1:6" x14ac:dyDescent="0.2">
      <c r="A378" s="345">
        <v>39021</v>
      </c>
      <c r="B378" s="1279">
        <v>3.1</v>
      </c>
      <c r="C378" s="34">
        <v>294436431.91000003</v>
      </c>
      <c r="D378" s="253"/>
      <c r="E378" s="258">
        <f>B378-Index_Returns!V378</f>
        <v>-0.57269999999999976</v>
      </c>
      <c r="F378" s="352"/>
    </row>
    <row r="379" spans="1:6" x14ac:dyDescent="0.2">
      <c r="A379" s="345">
        <v>39051</v>
      </c>
      <c r="B379" s="1279">
        <v>3.99</v>
      </c>
      <c r="C379" s="34">
        <v>306192917.35000002</v>
      </c>
      <c r="D379" s="253"/>
      <c r="E379" s="258">
        <f>B379-Index_Returns!V379</f>
        <v>-0.30940000000000012</v>
      </c>
      <c r="F379" s="352"/>
    </row>
    <row r="380" spans="1:6" x14ac:dyDescent="0.2">
      <c r="A380" s="345">
        <v>39082</v>
      </c>
      <c r="B380" s="1279">
        <v>2.56</v>
      </c>
      <c r="C380" s="703">
        <v>314538918.56</v>
      </c>
      <c r="D380" s="253"/>
      <c r="E380" s="258">
        <f>B380-Index_Returns!V380</f>
        <v>-0.78310000000000013</v>
      </c>
      <c r="F380" s="352"/>
    </row>
    <row r="381" spans="1:6" x14ac:dyDescent="0.2">
      <c r="A381" s="345">
        <v>39113</v>
      </c>
      <c r="B381" s="1279">
        <v>2.5299999999999998</v>
      </c>
      <c r="C381" s="770">
        <v>322508366.31999999</v>
      </c>
      <c r="E381" s="258">
        <f>B381-Index_Returns!V381</f>
        <v>0.43599999999999994</v>
      </c>
      <c r="F381" s="352"/>
    </row>
    <row r="382" spans="1:6" x14ac:dyDescent="0.2">
      <c r="A382" s="345">
        <v>39141</v>
      </c>
      <c r="B382" s="1279">
        <v>1.99</v>
      </c>
      <c r="C382" s="770">
        <v>328918455.42000002</v>
      </c>
      <c r="E382" s="258">
        <f>B382-Index_Returns!V382</f>
        <v>0.30810000000000004</v>
      </c>
      <c r="F382" s="352"/>
    </row>
    <row r="383" spans="1:6" x14ac:dyDescent="0.2">
      <c r="A383" s="345">
        <v>39172</v>
      </c>
      <c r="B383" s="1279">
        <v>2.65</v>
      </c>
      <c r="C383" s="770">
        <v>338187301.5</v>
      </c>
      <c r="E383" s="258">
        <f>B383-Index_Returns!V383</f>
        <v>-0.60640000000000027</v>
      </c>
    </row>
    <row r="384" spans="1:6" x14ac:dyDescent="0.2">
      <c r="A384" s="345">
        <v>39202</v>
      </c>
      <c r="B384" s="1279">
        <v>4.05</v>
      </c>
      <c r="C384" s="770">
        <v>351878411.89999998</v>
      </c>
      <c r="E384" s="258">
        <f>B384-Index_Returns!V384</f>
        <v>0.28029999999999999</v>
      </c>
    </row>
    <row r="385" spans="1:5" x14ac:dyDescent="0.2">
      <c r="A385" s="345">
        <v>39233</v>
      </c>
      <c r="B385" s="1279">
        <v>0.16</v>
      </c>
      <c r="C385" s="770">
        <v>352451709.87</v>
      </c>
      <c r="E385" s="258">
        <f>B385-Index_Returns!V385</f>
        <v>-0.60549999999999993</v>
      </c>
    </row>
    <row r="386" spans="1:5" x14ac:dyDescent="0.2">
      <c r="A386" s="345">
        <v>39263</v>
      </c>
      <c r="B386" s="1279">
        <v>0.28999999999999998</v>
      </c>
      <c r="C386" s="770">
        <v>354064901.92000002</v>
      </c>
      <c r="E386" s="258">
        <f>B386-Index_Returns!V386</f>
        <v>0.47449999999999998</v>
      </c>
    </row>
    <row r="387" spans="1:5" x14ac:dyDescent="0.2">
      <c r="A387" s="345">
        <v>39294</v>
      </c>
      <c r="B387" s="1279">
        <v>-0.73</v>
      </c>
      <c r="C387" s="770">
        <v>351490793.07999998</v>
      </c>
      <c r="E387" s="258">
        <f>B387-Index_Returns!V387</f>
        <v>-0.35039999999999999</v>
      </c>
    </row>
    <row r="388" spans="1:5" x14ac:dyDescent="0.2">
      <c r="A388" s="345">
        <v>39325</v>
      </c>
      <c r="B388" s="1279">
        <v>-5.27</v>
      </c>
      <c r="C388" s="346">
        <v>332968113.20999998</v>
      </c>
      <c r="E388" s="258">
        <f>B388-Index_Returns!V388</f>
        <v>-0.12649999999999917</v>
      </c>
    </row>
    <row r="389" spans="1:5" x14ac:dyDescent="0.2">
      <c r="A389" s="345">
        <v>39355</v>
      </c>
      <c r="B389" s="1279">
        <v>1.31</v>
      </c>
      <c r="C389" s="346">
        <v>337917850.91000003</v>
      </c>
      <c r="E389" s="258">
        <f>B389-Index_Returns!V389</f>
        <v>0.1745000000000001</v>
      </c>
    </row>
    <row r="390" spans="1:5" x14ac:dyDescent="0.2">
      <c r="A390" s="345">
        <v>39386</v>
      </c>
      <c r="B390" s="1279">
        <v>4.92</v>
      </c>
      <c r="C390" s="346">
        <v>354555607.19999999</v>
      </c>
      <c r="E390" s="258">
        <f>B390-Index_Returns!V390</f>
        <v>-1.3226000000000004</v>
      </c>
    </row>
    <row r="391" spans="1:5" x14ac:dyDescent="0.2">
      <c r="A391" s="345">
        <v>39416</v>
      </c>
      <c r="B391" s="1279">
        <v>-8.85</v>
      </c>
      <c r="C391" s="346">
        <v>323164710.23000002</v>
      </c>
      <c r="E391" s="258">
        <f>B391-Index_Returns!V391</f>
        <v>-1.6635999999999997</v>
      </c>
    </row>
    <row r="392" spans="1:5" x14ac:dyDescent="0.2">
      <c r="A392" s="345">
        <v>39447</v>
      </c>
      <c r="B392" s="1279">
        <v>-4.03</v>
      </c>
      <c r="C392" s="346">
        <v>310701714.00999999</v>
      </c>
      <c r="E392" s="258">
        <f>B392-Index_Returns!V392</f>
        <v>-0.57230000000000025</v>
      </c>
    </row>
    <row r="393" spans="1:5" x14ac:dyDescent="0.2">
      <c r="A393" s="345">
        <v>39478</v>
      </c>
      <c r="B393" s="1279">
        <v>-9.7100000000000009</v>
      </c>
      <c r="C393" s="346">
        <v>280518862.19</v>
      </c>
      <c r="E393" s="258">
        <f>B393-Index_Returns!V393</f>
        <v>4.5799999999999841E-2</v>
      </c>
    </row>
    <row r="394" spans="1:5" x14ac:dyDescent="0.2">
      <c r="A394" s="345">
        <v>39507</v>
      </c>
      <c r="B394" s="1279">
        <v>5.74</v>
      </c>
      <c r="C394" s="346">
        <v>296630046.36000001</v>
      </c>
      <c r="E394" s="258">
        <f>B394-Index_Returns!V394</f>
        <v>1.4782000000000002</v>
      </c>
    </row>
    <row r="395" spans="1:5" x14ac:dyDescent="0.2">
      <c r="A395" s="345">
        <v>39538</v>
      </c>
      <c r="B395" s="1279">
        <v>-1.02</v>
      </c>
      <c r="C395" s="346">
        <v>294149039.32999998</v>
      </c>
      <c r="E395" s="258">
        <f>B395-Index_Returns!V395</f>
        <v>-0.75459999999999994</v>
      </c>
    </row>
    <row r="396" spans="1:5" x14ac:dyDescent="0.2">
      <c r="A396" s="345">
        <v>39568</v>
      </c>
      <c r="B396" s="1279">
        <v>4.6900000000000004</v>
      </c>
      <c r="C396" s="346">
        <v>307949704.18000001</v>
      </c>
      <c r="E396" s="258">
        <f>B396-Index_Returns!V396</f>
        <v>2.2734000000000005</v>
      </c>
    </row>
    <row r="397" spans="1:5" x14ac:dyDescent="0.2">
      <c r="A397" s="345">
        <v>39599</v>
      </c>
      <c r="B397" s="1279">
        <v>3.28</v>
      </c>
      <c r="C397" s="346">
        <v>318063201.99000001</v>
      </c>
      <c r="E397" s="258">
        <f>B397-Index_Returns!V397</f>
        <v>1.5155999999999998</v>
      </c>
    </row>
    <row r="398" spans="1:5" x14ac:dyDescent="0.2">
      <c r="A398" s="345">
        <v>39629</v>
      </c>
      <c r="B398" s="1279">
        <v>-5.89</v>
      </c>
      <c r="C398" s="346">
        <v>299837803.63</v>
      </c>
      <c r="E398" s="258">
        <f>B398-Index_Returns!V398</f>
        <v>2.2844000000000007</v>
      </c>
    </row>
    <row r="399" spans="1:5" x14ac:dyDescent="0.2">
      <c r="A399" s="345">
        <v>39660</v>
      </c>
      <c r="B399" s="1279">
        <v>-5.43</v>
      </c>
      <c r="C399" s="367">
        <v>283570440.98000002</v>
      </c>
      <c r="E399" s="258">
        <f>B399-Index_Returns!V399</f>
        <v>-0.87080000000000002</v>
      </c>
    </row>
    <row r="400" spans="1:5" x14ac:dyDescent="0.2">
      <c r="A400" s="345">
        <v>39691</v>
      </c>
      <c r="B400" s="1279">
        <v>-4.8</v>
      </c>
      <c r="C400" s="367">
        <v>269949370.37</v>
      </c>
      <c r="E400" s="258">
        <f>B400-Index_Returns!V400</f>
        <v>-0.97309999999999963</v>
      </c>
    </row>
    <row r="401" spans="1:5" x14ac:dyDescent="0.2">
      <c r="A401" s="345">
        <v>39721</v>
      </c>
      <c r="B401" s="1279">
        <v>-17.48</v>
      </c>
      <c r="C401" s="367">
        <v>223224829.94</v>
      </c>
      <c r="E401" s="258">
        <f>B401-Index_Returns!V401</f>
        <v>-0.36400000000000077</v>
      </c>
    </row>
    <row r="402" spans="1:5" x14ac:dyDescent="0.2">
      <c r="A402" s="345">
        <v>39752</v>
      </c>
      <c r="B402" s="1279">
        <v>-22.66</v>
      </c>
      <c r="C402" s="346">
        <v>172637752</v>
      </c>
      <c r="E402" s="258">
        <f>B402-Index_Returns!V402</f>
        <v>1.0738999999999983</v>
      </c>
    </row>
    <row r="403" spans="1:5" x14ac:dyDescent="0.2">
      <c r="A403" s="345">
        <v>39782</v>
      </c>
      <c r="B403" s="1279">
        <v>-5.49</v>
      </c>
      <c r="C403" s="346">
        <v>163165336</v>
      </c>
      <c r="E403" s="258">
        <f>B403-Index_Returns!V403</f>
        <v>-1.0761000000000003</v>
      </c>
    </row>
    <row r="404" spans="1:5" x14ac:dyDescent="0.2">
      <c r="A404" s="345">
        <v>39813</v>
      </c>
      <c r="B404" s="1279">
        <v>6.33</v>
      </c>
      <c r="C404" s="346">
        <v>173898075</v>
      </c>
      <c r="E404" s="258">
        <f>B404-Index_Returns!V404</f>
        <v>-0.51609999999999978</v>
      </c>
    </row>
    <row r="405" spans="1:5" x14ac:dyDescent="0.2">
      <c r="A405" s="345">
        <v>39844</v>
      </c>
      <c r="B405" s="1279">
        <v>-7.33</v>
      </c>
      <c r="C405" s="346">
        <v>161152944.38999999</v>
      </c>
      <c r="D405" s="258">
        <v>-7.3291000000000004</v>
      </c>
      <c r="E405" s="258">
        <f>B405-Index_Returns!V405</f>
        <v>-0.93480000000000008</v>
      </c>
    </row>
    <row r="406" spans="1:5" x14ac:dyDescent="0.2">
      <c r="A406" s="345">
        <v>39872</v>
      </c>
      <c r="B406" s="1279">
        <v>-11.31</v>
      </c>
      <c r="C406" s="346">
        <v>142928939.50999999</v>
      </c>
      <c r="D406" s="258">
        <v>-11.3085</v>
      </c>
      <c r="E406" s="258">
        <f>B406-Index_Returns!V406</f>
        <v>-2.0638000000000005</v>
      </c>
    </row>
    <row r="407" spans="1:5" x14ac:dyDescent="0.2">
      <c r="A407" s="345">
        <v>39903</v>
      </c>
      <c r="B407" s="1279">
        <v>2.1800000000000002</v>
      </c>
      <c r="C407" s="346">
        <v>146374030.97999999</v>
      </c>
      <c r="D407" s="258">
        <v>2.4104000000000001</v>
      </c>
      <c r="E407" s="258">
        <f>B407-Index_Returns!V407</f>
        <v>-4.3846000000000007</v>
      </c>
    </row>
    <row r="408" spans="1:5" x14ac:dyDescent="0.2">
      <c r="A408" s="345">
        <v>39933</v>
      </c>
      <c r="B408" s="1279">
        <v>12.45</v>
      </c>
      <c r="C408" s="346">
        <v>164601332.05000001</v>
      </c>
      <c r="E408" s="258">
        <f>B408-Index_Returns!V408</f>
        <v>-2.9887000000000015</v>
      </c>
    </row>
    <row r="409" spans="1:5" x14ac:dyDescent="0.2">
      <c r="A409" s="345">
        <v>39964</v>
      </c>
      <c r="B409" s="1279">
        <v>12.6</v>
      </c>
      <c r="C409" s="346">
        <v>185342887.84999999</v>
      </c>
      <c r="E409" s="258">
        <f>B409-Index_Returns!V409</f>
        <v>-1.6898</v>
      </c>
    </row>
    <row r="410" spans="1:5" x14ac:dyDescent="0.2">
      <c r="A410" s="345">
        <v>39994</v>
      </c>
      <c r="B410" s="1279">
        <v>1.06</v>
      </c>
      <c r="C410" s="346">
        <v>187577324.5</v>
      </c>
      <c r="E410" s="258">
        <f>B410-Index_Returns!V410</f>
        <v>-0.91500000000000004</v>
      </c>
    </row>
    <row r="411" spans="1:5" x14ac:dyDescent="0.2">
      <c r="A411" s="345">
        <v>40025</v>
      </c>
      <c r="B411" s="1279">
        <v>7.57</v>
      </c>
      <c r="C411" s="346">
        <v>201778651.16999999</v>
      </c>
      <c r="D411" s="258">
        <v>7.5709</v>
      </c>
      <c r="E411" s="258">
        <f>B411-Index_Returns!V411</f>
        <v>-7.1799999999999642E-2</v>
      </c>
    </row>
    <row r="412" spans="1:5" x14ac:dyDescent="0.2">
      <c r="A412" s="345">
        <v>40056</v>
      </c>
      <c r="B412" s="1279">
        <v>7.57</v>
      </c>
      <c r="C412" s="346">
        <v>217046149.40000001</v>
      </c>
      <c r="D412" s="258">
        <v>7.5664999999999996</v>
      </c>
      <c r="E412" s="258">
        <f>B412-Index_Returns!V412</f>
        <v>-0.52490000000000059</v>
      </c>
    </row>
    <row r="413" spans="1:5" x14ac:dyDescent="0.2">
      <c r="A413" s="345">
        <v>40086</v>
      </c>
      <c r="B413" s="1279">
        <v>3.3</v>
      </c>
      <c r="C413" s="346">
        <v>224567807.13</v>
      </c>
      <c r="D413" s="258">
        <v>3.4655</v>
      </c>
      <c r="E413" s="258">
        <f>B413-Index_Returns!V413</f>
        <v>-1.7058999999999997</v>
      </c>
    </row>
    <row r="414" spans="1:5" x14ac:dyDescent="0.2">
      <c r="A414" s="345">
        <v>40117</v>
      </c>
      <c r="B414" s="1279">
        <v>-1.56</v>
      </c>
      <c r="C414" s="346">
        <v>221066097</v>
      </c>
      <c r="D414" s="258">
        <v>-1.56</v>
      </c>
      <c r="E414" s="258">
        <f>B414-Index_Returns!V414</f>
        <v>0.20999999999999996</v>
      </c>
    </row>
    <row r="415" spans="1:5" x14ac:dyDescent="0.2">
      <c r="A415" s="345">
        <v>40147</v>
      </c>
      <c r="B415" s="1279">
        <v>-0.79</v>
      </c>
      <c r="C415" s="1278">
        <v>219323758</v>
      </c>
      <c r="D415" s="1279">
        <v>-0.63800000000000001</v>
      </c>
      <c r="E415" s="258">
        <f>B415-Index_Returns!V415</f>
        <v>-0.80300000000000005</v>
      </c>
    </row>
    <row r="416" spans="1:5" x14ac:dyDescent="0.2">
      <c r="A416" s="345">
        <v>40178</v>
      </c>
      <c r="B416" s="1279">
        <v>0.36</v>
      </c>
      <c r="C416" s="346">
        <v>220105881.63</v>
      </c>
      <c r="D416" s="258">
        <v>0.35660999999999998</v>
      </c>
      <c r="E416" s="258">
        <f>B416-Index_Returns!V416</f>
        <v>-0.4</v>
      </c>
    </row>
    <row r="417" spans="1:5" x14ac:dyDescent="0.2">
      <c r="A417" s="345">
        <v>40209</v>
      </c>
      <c r="B417" s="253">
        <v>-1.19</v>
      </c>
      <c r="C417" s="346">
        <v>217489965.41</v>
      </c>
      <c r="D417" s="258">
        <v>-1.18849</v>
      </c>
      <c r="E417" s="258">
        <f>B417-Index_Returns!V417</f>
        <v>-0.20999999999999996</v>
      </c>
    </row>
    <row r="418" spans="1:5" x14ac:dyDescent="0.2">
      <c r="A418" s="345">
        <v>40237</v>
      </c>
      <c r="B418" s="253">
        <v>-1.97</v>
      </c>
      <c r="C418" s="346">
        <v>211892515.25</v>
      </c>
      <c r="D418" s="258">
        <v>-1.9657899999999999</v>
      </c>
      <c r="E418" s="258">
        <f>B418-Index_Returns!V418</f>
        <v>-0.58000000000000007</v>
      </c>
    </row>
    <row r="419" spans="1:5" x14ac:dyDescent="0.2">
      <c r="A419" s="345">
        <v>40268</v>
      </c>
      <c r="B419" s="253">
        <v>7.53</v>
      </c>
      <c r="C419" s="1287">
        <v>229281733.06</v>
      </c>
      <c r="D419" s="1286">
        <v>7.5338500000000002</v>
      </c>
      <c r="E419" s="258">
        <f>B419-Index_Returns!V419</f>
        <v>0.1800000000000006</v>
      </c>
    </row>
    <row r="420" spans="1:5" x14ac:dyDescent="0.2">
      <c r="A420" s="345">
        <v>40298</v>
      </c>
      <c r="B420" s="253">
        <v>0.41</v>
      </c>
      <c r="C420" s="346">
        <v>231207699.61972001</v>
      </c>
      <c r="D420" s="258">
        <v>0.84</v>
      </c>
      <c r="E420" s="258">
        <f>B420-Index_Returns!V420</f>
        <v>-1.34</v>
      </c>
    </row>
    <row r="421" spans="1:5" x14ac:dyDescent="0.2">
      <c r="A421" s="345">
        <v>40329</v>
      </c>
      <c r="B421" s="253"/>
      <c r="C421" s="346">
        <v>2235136.17</v>
      </c>
      <c r="D421" s="258">
        <v>0</v>
      </c>
      <c r="E421" s="258">
        <f>B421-Index_Returns!V421</f>
        <v>12.37</v>
      </c>
    </row>
    <row r="422" spans="1:5" x14ac:dyDescent="0.2">
      <c r="A422" s="345">
        <v>40359</v>
      </c>
      <c r="B422" s="253"/>
      <c r="C422" s="346">
        <v>1173445.1200000001</v>
      </c>
      <c r="D422" s="258">
        <v>0</v>
      </c>
      <c r="E422" s="258">
        <f>B422-Index_Returns!V422</f>
        <v>0.39402999999999999</v>
      </c>
    </row>
    <row r="423" spans="1:5" x14ac:dyDescent="0.2">
      <c r="A423" s="345">
        <v>40390</v>
      </c>
      <c r="B423" s="253"/>
      <c r="C423" s="346">
        <v>311265.93</v>
      </c>
      <c r="D423" s="258">
        <v>0</v>
      </c>
      <c r="E423" s="258">
        <f>B423-Index_Returns!V423</f>
        <v>-8.6400699999999997</v>
      </c>
    </row>
    <row r="424" spans="1:5" x14ac:dyDescent="0.2">
      <c r="A424" s="345">
        <v>40421</v>
      </c>
      <c r="B424" s="253"/>
      <c r="C424" s="346">
        <v>314245.57</v>
      </c>
      <c r="D424" s="258">
        <v>0</v>
      </c>
      <c r="E424" s="258">
        <f>B424-Index_Returns!V424</f>
        <v>2.8831500000000001</v>
      </c>
    </row>
    <row r="425" spans="1:5" x14ac:dyDescent="0.2">
      <c r="A425" s="345">
        <v>40451</v>
      </c>
      <c r="B425" s="253"/>
      <c r="C425" s="346"/>
      <c r="E425" s="258">
        <f>B425-Index_Returns!V425</f>
        <v>-11.423959999999999</v>
      </c>
    </row>
    <row r="426" spans="1:5" x14ac:dyDescent="0.2">
      <c r="A426" s="345">
        <v>40482</v>
      </c>
      <c r="B426" s="253"/>
      <c r="C426" s="346"/>
      <c r="E426" s="258">
        <f>B426-Index_Returns!V426</f>
        <v>-3.8665799999999999</v>
      </c>
    </row>
    <row r="427" spans="1:5" x14ac:dyDescent="0.2">
      <c r="A427" s="345">
        <v>40512</v>
      </c>
      <c r="B427" s="253"/>
      <c r="C427" s="346"/>
      <c r="E427" s="258">
        <f>B427-Index_Returns!V427</f>
        <v>3.5663299999999998</v>
      </c>
    </row>
    <row r="428" spans="1:5" x14ac:dyDescent="0.2">
      <c r="A428" s="345">
        <v>40543</v>
      </c>
      <c r="B428" s="253"/>
      <c r="C428" s="346"/>
      <c r="E428" s="258">
        <f>B428-Index_Returns!V428</f>
        <v>-11.653829999999999</v>
      </c>
    </row>
  </sheetData>
  <phoneticPr fontId="3" type="noConversion"/>
  <printOptions headings="1" gridLines="1"/>
  <pageMargins left="0.78740157480314965" right="0.78740157480314965" top="0.78740157480314965" bottom="0.78740157480314965" header="0.39370078740157483" footer="0.39370078740157483"/>
  <pageSetup scale="13" orientation="portrait" r:id="rId1"/>
  <headerFooter alignWithMargins="0">
    <oddHeader>&amp;L&amp;A</oddHeader>
  </headerFooter>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FF0000"/>
    <pageSetUpPr fitToPage="1"/>
  </sheetPr>
  <dimension ref="A1:H428"/>
  <sheetViews>
    <sheetView workbookViewId="0">
      <pane xSplit="1" ySplit="2" topLeftCell="B399" activePane="bottomRight" state="frozen"/>
      <selection pane="topRight"/>
      <selection pane="bottomLeft"/>
      <selection pane="bottomRight" activeCell="C426" sqref="C426"/>
    </sheetView>
  </sheetViews>
  <sheetFormatPr defaultRowHeight="12.75" x14ac:dyDescent="0.2"/>
  <cols>
    <col min="1" max="1" width="18.7109375" style="21" customWidth="1"/>
    <col min="2" max="2" width="18.7109375" style="257" customWidth="1"/>
    <col min="3" max="3" width="18.7109375" style="5" customWidth="1"/>
    <col min="4" max="4" width="18.7109375" style="258" customWidth="1"/>
    <col min="5" max="5" width="18.7109375" style="21" customWidth="1"/>
    <col min="6" max="6" width="12.42578125" bestFit="1" customWidth="1"/>
    <col min="7" max="8" width="9.140625" style="352"/>
  </cols>
  <sheetData>
    <row r="1" spans="1:5" x14ac:dyDescent="0.2">
      <c r="A1" s="265" t="s">
        <v>221</v>
      </c>
      <c r="B1" s="1274" t="s">
        <v>501</v>
      </c>
      <c r="C1" s="21" t="s">
        <v>258</v>
      </c>
      <c r="D1" s="252">
        <v>35</v>
      </c>
      <c r="E1" s="74" t="s">
        <v>81</v>
      </c>
    </row>
    <row r="2" spans="1:5" x14ac:dyDescent="0.2">
      <c r="A2" s="3" t="s">
        <v>27</v>
      </c>
      <c r="B2" s="71" t="s">
        <v>91</v>
      </c>
      <c r="C2" s="6" t="s">
        <v>92</v>
      </c>
      <c r="D2" s="71" t="s">
        <v>90</v>
      </c>
      <c r="E2" s="71" t="s">
        <v>80</v>
      </c>
    </row>
    <row r="3" spans="1:5" x14ac:dyDescent="0.2">
      <c r="A3" s="345">
        <v>27606</v>
      </c>
      <c r="B3" s="71"/>
      <c r="C3" s="347"/>
      <c r="D3" s="71"/>
      <c r="E3" s="71"/>
    </row>
    <row r="4" spans="1:5" x14ac:dyDescent="0.2">
      <c r="A4" s="345">
        <v>27637</v>
      </c>
      <c r="B4" s="71"/>
      <c r="C4" s="347"/>
      <c r="D4" s="71"/>
      <c r="E4" s="71"/>
    </row>
    <row r="5" spans="1:5" x14ac:dyDescent="0.2">
      <c r="A5" s="345">
        <v>27667</v>
      </c>
      <c r="B5" s="71"/>
      <c r="C5" s="347"/>
      <c r="D5" s="71"/>
      <c r="E5" s="71"/>
    </row>
    <row r="6" spans="1:5" x14ac:dyDescent="0.2">
      <c r="A6" s="345">
        <v>27698</v>
      </c>
      <c r="B6" s="71"/>
      <c r="C6" s="347"/>
      <c r="D6" s="71"/>
      <c r="E6" s="71"/>
    </row>
    <row r="7" spans="1:5" x14ac:dyDescent="0.2">
      <c r="A7" s="345">
        <v>27728</v>
      </c>
      <c r="B7" s="71"/>
      <c r="C7" s="347"/>
      <c r="D7" s="71"/>
      <c r="E7" s="71"/>
    </row>
    <row r="8" spans="1:5" x14ac:dyDescent="0.2">
      <c r="A8" s="345">
        <v>27759</v>
      </c>
      <c r="B8" s="71"/>
      <c r="C8" s="347"/>
      <c r="D8" s="71"/>
      <c r="E8" s="71"/>
    </row>
    <row r="9" spans="1:5" x14ac:dyDescent="0.2">
      <c r="A9" s="345">
        <v>27790</v>
      </c>
      <c r="B9" s="71"/>
      <c r="C9" s="347"/>
      <c r="D9" s="71"/>
      <c r="E9" s="71"/>
    </row>
    <row r="10" spans="1:5" x14ac:dyDescent="0.2">
      <c r="A10" s="345">
        <v>27819</v>
      </c>
      <c r="B10" s="71"/>
      <c r="C10" s="347"/>
      <c r="D10" s="71"/>
      <c r="E10" s="71"/>
    </row>
    <row r="11" spans="1:5" x14ac:dyDescent="0.2">
      <c r="A11" s="345">
        <v>27850</v>
      </c>
      <c r="B11" s="71"/>
      <c r="C11" s="347"/>
      <c r="D11" s="71"/>
      <c r="E11" s="71"/>
    </row>
    <row r="12" spans="1:5" x14ac:dyDescent="0.2">
      <c r="A12" s="345">
        <v>27880</v>
      </c>
      <c r="B12" s="71"/>
      <c r="C12" s="347"/>
      <c r="D12" s="71"/>
      <c r="E12" s="71"/>
    </row>
    <row r="13" spans="1:5" x14ac:dyDescent="0.2">
      <c r="A13" s="345">
        <v>27911</v>
      </c>
      <c r="B13" s="71"/>
      <c r="C13" s="347"/>
      <c r="D13" s="71"/>
      <c r="E13" s="71"/>
    </row>
    <row r="14" spans="1:5" x14ac:dyDescent="0.2">
      <c r="A14" s="345">
        <v>27941</v>
      </c>
      <c r="B14" s="71"/>
      <c r="C14" s="347"/>
      <c r="D14" s="71"/>
      <c r="E14" s="71"/>
    </row>
    <row r="15" spans="1:5" x14ac:dyDescent="0.2">
      <c r="A15" s="345">
        <v>27972</v>
      </c>
      <c r="B15" s="71"/>
      <c r="C15" s="347"/>
      <c r="D15" s="71"/>
      <c r="E15" s="71"/>
    </row>
    <row r="16" spans="1:5" x14ac:dyDescent="0.2">
      <c r="A16" s="345">
        <v>28003</v>
      </c>
      <c r="B16" s="71"/>
      <c r="C16" s="347"/>
      <c r="D16" s="71"/>
      <c r="E16" s="71"/>
    </row>
    <row r="17" spans="1:5" x14ac:dyDescent="0.2">
      <c r="A17" s="345">
        <v>28033</v>
      </c>
      <c r="B17" s="71"/>
      <c r="C17" s="347"/>
      <c r="D17" s="71"/>
      <c r="E17" s="71"/>
    </row>
    <row r="18" spans="1:5" x14ac:dyDescent="0.2">
      <c r="A18" s="345">
        <v>28064</v>
      </c>
      <c r="B18" s="71"/>
      <c r="C18" s="347"/>
      <c r="D18" s="71"/>
      <c r="E18" s="71"/>
    </row>
    <row r="19" spans="1:5" x14ac:dyDescent="0.2">
      <c r="A19" s="345">
        <v>28094</v>
      </c>
      <c r="B19" s="71"/>
      <c r="C19" s="347"/>
      <c r="D19" s="71"/>
      <c r="E19" s="71"/>
    </row>
    <row r="20" spans="1:5" x14ac:dyDescent="0.2">
      <c r="A20" s="345">
        <v>28125</v>
      </c>
      <c r="B20" s="71"/>
      <c r="C20" s="347"/>
      <c r="D20" s="71"/>
      <c r="E20" s="71"/>
    </row>
    <row r="21" spans="1:5" x14ac:dyDescent="0.2">
      <c r="A21" s="345">
        <v>28156</v>
      </c>
      <c r="B21" s="71"/>
      <c r="C21" s="347"/>
      <c r="D21" s="71"/>
      <c r="E21" s="71"/>
    </row>
    <row r="22" spans="1:5" x14ac:dyDescent="0.2">
      <c r="A22" s="345">
        <v>28184</v>
      </c>
      <c r="B22" s="71"/>
      <c r="C22" s="347"/>
      <c r="D22" s="71"/>
      <c r="E22" s="71"/>
    </row>
    <row r="23" spans="1:5" x14ac:dyDescent="0.2">
      <c r="A23" s="345">
        <v>28215</v>
      </c>
      <c r="B23" s="71"/>
      <c r="C23" s="347"/>
      <c r="D23" s="71"/>
      <c r="E23" s="71"/>
    </row>
    <row r="24" spans="1:5" x14ac:dyDescent="0.2">
      <c r="A24" s="345">
        <v>28245</v>
      </c>
      <c r="B24" s="71"/>
      <c r="C24" s="347"/>
      <c r="D24" s="71"/>
      <c r="E24" s="71"/>
    </row>
    <row r="25" spans="1:5" x14ac:dyDescent="0.2">
      <c r="A25" s="345">
        <v>28276</v>
      </c>
      <c r="B25" s="71"/>
      <c r="C25" s="347"/>
      <c r="D25" s="71"/>
      <c r="E25" s="71"/>
    </row>
    <row r="26" spans="1:5" x14ac:dyDescent="0.2">
      <c r="A26" s="345">
        <v>28306</v>
      </c>
      <c r="B26" s="71"/>
      <c r="C26" s="347"/>
      <c r="D26" s="71"/>
      <c r="E26" s="71"/>
    </row>
    <row r="27" spans="1:5" x14ac:dyDescent="0.2">
      <c r="A27" s="345">
        <v>28337</v>
      </c>
      <c r="B27" s="71"/>
      <c r="C27" s="347"/>
      <c r="D27" s="71"/>
      <c r="E27" s="71"/>
    </row>
    <row r="28" spans="1:5" x14ac:dyDescent="0.2">
      <c r="A28" s="345">
        <v>28368</v>
      </c>
      <c r="B28" s="71"/>
      <c r="C28" s="347"/>
      <c r="D28" s="71"/>
      <c r="E28" s="71"/>
    </row>
    <row r="29" spans="1:5" x14ac:dyDescent="0.2">
      <c r="A29" s="345">
        <v>28398</v>
      </c>
      <c r="B29" s="71"/>
      <c r="C29" s="347"/>
      <c r="D29" s="71"/>
      <c r="E29" s="71"/>
    </row>
    <row r="30" spans="1:5" x14ac:dyDescent="0.2">
      <c r="A30" s="345">
        <v>28429</v>
      </c>
      <c r="B30" s="71"/>
      <c r="C30" s="347"/>
      <c r="D30" s="71"/>
      <c r="E30" s="71"/>
    </row>
    <row r="31" spans="1:5" x14ac:dyDescent="0.2">
      <c r="A31" s="345">
        <v>28459</v>
      </c>
      <c r="B31" s="71"/>
      <c r="C31" s="347"/>
      <c r="D31" s="71"/>
      <c r="E31" s="71"/>
    </row>
    <row r="32" spans="1:5" x14ac:dyDescent="0.2">
      <c r="A32" s="345">
        <v>28490</v>
      </c>
      <c r="B32" s="71"/>
      <c r="C32" s="347"/>
      <c r="D32" s="71"/>
      <c r="E32" s="71"/>
    </row>
    <row r="33" spans="1:5" x14ac:dyDescent="0.2">
      <c r="A33" s="345">
        <v>28521</v>
      </c>
      <c r="B33" s="71"/>
      <c r="C33" s="347"/>
      <c r="D33" s="71"/>
      <c r="E33" s="71"/>
    </row>
    <row r="34" spans="1:5" x14ac:dyDescent="0.2">
      <c r="A34" s="345">
        <v>28549</v>
      </c>
      <c r="B34" s="71"/>
      <c r="C34" s="347"/>
      <c r="D34" s="71"/>
      <c r="E34" s="71"/>
    </row>
    <row r="35" spans="1:5" x14ac:dyDescent="0.2">
      <c r="A35" s="345">
        <v>28580</v>
      </c>
      <c r="B35" s="71"/>
      <c r="C35" s="347"/>
      <c r="D35" s="71"/>
      <c r="E35" s="71"/>
    </row>
    <row r="36" spans="1:5" x14ac:dyDescent="0.2">
      <c r="A36" s="345">
        <v>28610</v>
      </c>
      <c r="B36" s="71"/>
      <c r="C36" s="347"/>
      <c r="D36" s="71"/>
      <c r="E36" s="71"/>
    </row>
    <row r="37" spans="1:5" x14ac:dyDescent="0.2">
      <c r="A37" s="345">
        <v>28641</v>
      </c>
      <c r="B37" s="71"/>
      <c r="C37" s="347"/>
      <c r="D37" s="71"/>
      <c r="E37" s="71"/>
    </row>
    <row r="38" spans="1:5" x14ac:dyDescent="0.2">
      <c r="A38" s="345">
        <v>28671</v>
      </c>
      <c r="B38" s="71"/>
      <c r="C38" s="347"/>
      <c r="D38" s="71"/>
      <c r="E38" s="71"/>
    </row>
    <row r="39" spans="1:5" x14ac:dyDescent="0.2">
      <c r="A39" s="345">
        <v>28702</v>
      </c>
      <c r="B39" s="71"/>
      <c r="C39" s="347"/>
      <c r="D39" s="71"/>
      <c r="E39" s="71"/>
    </row>
    <row r="40" spans="1:5" x14ac:dyDescent="0.2">
      <c r="A40" s="345">
        <v>28733</v>
      </c>
      <c r="B40" s="71"/>
      <c r="C40" s="347"/>
      <c r="D40" s="71"/>
      <c r="E40" s="71"/>
    </row>
    <row r="41" spans="1:5" x14ac:dyDescent="0.2">
      <c r="A41" s="345">
        <v>28763</v>
      </c>
      <c r="B41" s="71"/>
      <c r="C41" s="347"/>
      <c r="D41" s="71"/>
      <c r="E41" s="71"/>
    </row>
    <row r="42" spans="1:5" x14ac:dyDescent="0.2">
      <c r="A42" s="345">
        <v>28794</v>
      </c>
      <c r="B42" s="71"/>
      <c r="C42" s="347"/>
      <c r="D42" s="71"/>
      <c r="E42" s="71"/>
    </row>
    <row r="43" spans="1:5" x14ac:dyDescent="0.2">
      <c r="A43" s="345">
        <v>28824</v>
      </c>
      <c r="B43" s="71"/>
      <c r="C43" s="347"/>
      <c r="D43" s="71"/>
      <c r="E43" s="71"/>
    </row>
    <row r="44" spans="1:5" x14ac:dyDescent="0.2">
      <c r="A44" s="345">
        <v>28855</v>
      </c>
      <c r="B44" s="71"/>
      <c r="C44" s="347"/>
      <c r="D44" s="71"/>
      <c r="E44" s="71"/>
    </row>
    <row r="45" spans="1:5" x14ac:dyDescent="0.2">
      <c r="A45" s="345">
        <v>28886</v>
      </c>
      <c r="B45" s="71"/>
      <c r="C45" s="347"/>
      <c r="D45" s="71"/>
      <c r="E45" s="71"/>
    </row>
    <row r="46" spans="1:5" x14ac:dyDescent="0.2">
      <c r="A46" s="345">
        <v>28914</v>
      </c>
      <c r="B46" s="71"/>
      <c r="C46" s="347"/>
      <c r="D46" s="71"/>
      <c r="E46" s="71"/>
    </row>
    <row r="47" spans="1:5" x14ac:dyDescent="0.2">
      <c r="A47" s="345">
        <v>28945</v>
      </c>
      <c r="B47" s="71"/>
      <c r="C47" s="347"/>
      <c r="D47" s="71"/>
      <c r="E47" s="71"/>
    </row>
    <row r="48" spans="1:5" x14ac:dyDescent="0.2">
      <c r="A48" s="345">
        <v>28975</v>
      </c>
      <c r="B48" s="71"/>
      <c r="C48" s="347"/>
      <c r="D48" s="71"/>
      <c r="E48" s="71"/>
    </row>
    <row r="49" spans="1:5" x14ac:dyDescent="0.2">
      <c r="A49" s="345">
        <v>29006</v>
      </c>
      <c r="B49" s="71"/>
      <c r="C49" s="347"/>
      <c r="D49" s="71"/>
      <c r="E49" s="71"/>
    </row>
    <row r="50" spans="1:5" x14ac:dyDescent="0.2">
      <c r="A50" s="345">
        <v>29036</v>
      </c>
      <c r="B50" s="71"/>
      <c r="C50" s="347"/>
      <c r="D50" s="71"/>
      <c r="E50" s="71"/>
    </row>
    <row r="51" spans="1:5" x14ac:dyDescent="0.2">
      <c r="A51" s="345">
        <v>29067</v>
      </c>
      <c r="B51" s="71"/>
      <c r="C51" s="347"/>
      <c r="D51" s="71"/>
      <c r="E51" s="71"/>
    </row>
    <row r="52" spans="1:5" x14ac:dyDescent="0.2">
      <c r="A52" s="345">
        <v>29098</v>
      </c>
      <c r="B52" s="71"/>
      <c r="C52" s="347"/>
      <c r="D52" s="71"/>
      <c r="E52" s="71"/>
    </row>
    <row r="53" spans="1:5" x14ac:dyDescent="0.2">
      <c r="A53" s="345">
        <v>29128</v>
      </c>
      <c r="B53" s="71"/>
      <c r="C53" s="347"/>
      <c r="D53" s="71"/>
      <c r="E53" s="71"/>
    </row>
    <row r="54" spans="1:5" x14ac:dyDescent="0.2">
      <c r="A54" s="345">
        <v>29159</v>
      </c>
      <c r="B54" s="71"/>
      <c r="C54" s="347"/>
      <c r="D54" s="71"/>
      <c r="E54" s="71"/>
    </row>
    <row r="55" spans="1:5" x14ac:dyDescent="0.2">
      <c r="A55" s="345">
        <v>29189</v>
      </c>
      <c r="B55" s="71"/>
      <c r="C55" s="347"/>
      <c r="D55" s="71"/>
      <c r="E55" s="71"/>
    </row>
    <row r="56" spans="1:5" x14ac:dyDescent="0.2">
      <c r="A56" s="345">
        <v>29220</v>
      </c>
      <c r="B56" s="71"/>
      <c r="C56" s="347"/>
      <c r="D56" s="71"/>
      <c r="E56" s="71"/>
    </row>
    <row r="57" spans="1:5" x14ac:dyDescent="0.2">
      <c r="A57" s="345">
        <v>29251</v>
      </c>
      <c r="B57" s="71"/>
      <c r="C57" s="347"/>
      <c r="D57" s="71"/>
      <c r="E57" s="71"/>
    </row>
    <row r="58" spans="1:5" x14ac:dyDescent="0.2">
      <c r="A58" s="345">
        <v>29280</v>
      </c>
      <c r="B58" s="71"/>
      <c r="C58" s="347"/>
      <c r="D58" s="71"/>
      <c r="E58" s="71"/>
    </row>
    <row r="59" spans="1:5" x14ac:dyDescent="0.2">
      <c r="A59" s="345">
        <v>29311</v>
      </c>
      <c r="B59" s="71"/>
      <c r="C59" s="347"/>
      <c r="D59" s="71"/>
      <c r="E59" s="71"/>
    </row>
    <row r="60" spans="1:5" x14ac:dyDescent="0.2">
      <c r="A60" s="345">
        <v>29341</v>
      </c>
      <c r="B60" s="71"/>
      <c r="C60" s="347"/>
      <c r="D60" s="71"/>
      <c r="E60" s="71"/>
    </row>
    <row r="61" spans="1:5" x14ac:dyDescent="0.2">
      <c r="A61" s="345">
        <v>29372</v>
      </c>
      <c r="B61" s="71"/>
      <c r="C61" s="347"/>
      <c r="D61" s="71"/>
      <c r="E61" s="71"/>
    </row>
    <row r="62" spans="1:5" x14ac:dyDescent="0.2">
      <c r="A62" s="345">
        <v>29402</v>
      </c>
      <c r="B62" s="71"/>
      <c r="C62" s="347"/>
      <c r="D62" s="71"/>
      <c r="E62" s="71"/>
    </row>
    <row r="63" spans="1:5" x14ac:dyDescent="0.2">
      <c r="A63" s="345">
        <v>29433</v>
      </c>
      <c r="B63" s="71"/>
      <c r="C63" s="347"/>
      <c r="D63" s="71"/>
      <c r="E63" s="71"/>
    </row>
    <row r="64" spans="1:5" x14ac:dyDescent="0.2">
      <c r="A64" s="345">
        <v>29464</v>
      </c>
      <c r="B64" s="71"/>
      <c r="C64" s="347"/>
      <c r="D64" s="71"/>
      <c r="E64" s="71"/>
    </row>
    <row r="65" spans="1:5" x14ac:dyDescent="0.2">
      <c r="A65" s="345">
        <v>29494</v>
      </c>
      <c r="B65" s="71"/>
      <c r="C65" s="347"/>
      <c r="D65" s="71"/>
      <c r="E65" s="71"/>
    </row>
    <row r="66" spans="1:5" x14ac:dyDescent="0.2">
      <c r="A66" s="345">
        <v>29525</v>
      </c>
      <c r="B66" s="71"/>
      <c r="C66" s="347"/>
      <c r="D66" s="71"/>
      <c r="E66" s="71"/>
    </row>
    <row r="67" spans="1:5" x14ac:dyDescent="0.2">
      <c r="A67" s="345">
        <v>29555</v>
      </c>
      <c r="B67" s="71"/>
      <c r="C67" s="347"/>
      <c r="D67" s="71"/>
      <c r="E67" s="71"/>
    </row>
    <row r="68" spans="1:5" x14ac:dyDescent="0.2">
      <c r="A68" s="345">
        <v>29586</v>
      </c>
      <c r="B68" s="71"/>
      <c r="C68" s="347"/>
      <c r="D68" s="71"/>
      <c r="E68" s="71"/>
    </row>
    <row r="69" spans="1:5" x14ac:dyDescent="0.2">
      <c r="A69" s="345">
        <v>29617</v>
      </c>
      <c r="B69" s="71"/>
      <c r="C69" s="347"/>
      <c r="D69" s="71"/>
      <c r="E69" s="71"/>
    </row>
    <row r="70" spans="1:5" x14ac:dyDescent="0.2">
      <c r="A70" s="345">
        <v>29645</v>
      </c>
      <c r="B70" s="71"/>
      <c r="C70" s="347"/>
      <c r="D70" s="71"/>
      <c r="E70" s="71"/>
    </row>
    <row r="71" spans="1:5" x14ac:dyDescent="0.2">
      <c r="A71" s="345">
        <v>29676</v>
      </c>
      <c r="B71" s="71"/>
      <c r="C71" s="347"/>
      <c r="D71" s="71"/>
      <c r="E71" s="71"/>
    </row>
    <row r="72" spans="1:5" x14ac:dyDescent="0.2">
      <c r="A72" s="345">
        <v>29706</v>
      </c>
      <c r="B72" s="71"/>
      <c r="C72" s="347"/>
      <c r="D72" s="71"/>
      <c r="E72" s="71"/>
    </row>
    <row r="73" spans="1:5" x14ac:dyDescent="0.2">
      <c r="A73" s="345">
        <v>29737</v>
      </c>
      <c r="B73" s="71"/>
      <c r="C73" s="347"/>
      <c r="D73" s="71"/>
      <c r="E73" s="71"/>
    </row>
    <row r="74" spans="1:5" x14ac:dyDescent="0.2">
      <c r="A74" s="345">
        <v>29767</v>
      </c>
      <c r="B74" s="71"/>
      <c r="C74" s="347"/>
      <c r="D74" s="71"/>
      <c r="E74" s="71"/>
    </row>
    <row r="75" spans="1:5" x14ac:dyDescent="0.2">
      <c r="A75" s="345">
        <v>29798</v>
      </c>
      <c r="B75" s="71"/>
      <c r="C75" s="347"/>
      <c r="D75" s="71"/>
      <c r="E75" s="71"/>
    </row>
    <row r="76" spans="1:5" x14ac:dyDescent="0.2">
      <c r="A76" s="345">
        <v>29829</v>
      </c>
      <c r="B76" s="71"/>
      <c r="C76" s="347"/>
      <c r="D76" s="71"/>
      <c r="E76" s="71"/>
    </row>
    <row r="77" spans="1:5" x14ac:dyDescent="0.2">
      <c r="A77" s="345">
        <v>29859</v>
      </c>
      <c r="B77" s="71"/>
      <c r="C77" s="347"/>
      <c r="D77" s="71"/>
      <c r="E77" s="71"/>
    </row>
    <row r="78" spans="1:5" x14ac:dyDescent="0.2">
      <c r="A78" s="345">
        <v>29890</v>
      </c>
      <c r="B78" s="71"/>
      <c r="C78" s="347"/>
      <c r="D78" s="71"/>
      <c r="E78" s="71"/>
    </row>
    <row r="79" spans="1:5" x14ac:dyDescent="0.2">
      <c r="A79" s="345">
        <v>29920</v>
      </c>
      <c r="B79" s="71"/>
      <c r="C79" s="347"/>
      <c r="D79" s="71"/>
      <c r="E79" s="71"/>
    </row>
    <row r="80" spans="1:5" x14ac:dyDescent="0.2">
      <c r="A80" s="345">
        <v>29951</v>
      </c>
      <c r="B80" s="71"/>
      <c r="C80" s="347"/>
      <c r="D80" s="71"/>
      <c r="E80" s="71"/>
    </row>
    <row r="81" spans="1:5" x14ac:dyDescent="0.2">
      <c r="A81" s="345">
        <v>29982</v>
      </c>
      <c r="B81" s="71"/>
      <c r="C81" s="347"/>
      <c r="D81" s="71"/>
      <c r="E81" s="71"/>
    </row>
    <row r="82" spans="1:5" x14ac:dyDescent="0.2">
      <c r="A82" s="345">
        <v>30010</v>
      </c>
      <c r="B82" s="71"/>
      <c r="C82" s="347"/>
      <c r="D82" s="71"/>
      <c r="E82" s="71"/>
    </row>
    <row r="83" spans="1:5" x14ac:dyDescent="0.2">
      <c r="A83" s="345">
        <v>30041</v>
      </c>
      <c r="B83" s="71"/>
      <c r="C83" s="347"/>
      <c r="D83" s="71"/>
      <c r="E83" s="71"/>
    </row>
    <row r="84" spans="1:5" x14ac:dyDescent="0.2">
      <c r="A84" s="345">
        <v>30071</v>
      </c>
      <c r="B84" s="71"/>
      <c r="C84" s="347"/>
      <c r="D84" s="71"/>
      <c r="E84" s="71"/>
    </row>
    <row r="85" spans="1:5" x14ac:dyDescent="0.2">
      <c r="A85" s="345">
        <v>30102</v>
      </c>
      <c r="B85" s="71"/>
      <c r="C85" s="347"/>
      <c r="D85" s="71"/>
      <c r="E85" s="71"/>
    </row>
    <row r="86" spans="1:5" x14ac:dyDescent="0.2">
      <c r="A86" s="345">
        <v>30132</v>
      </c>
      <c r="B86" s="71"/>
      <c r="C86" s="347"/>
      <c r="D86" s="71"/>
      <c r="E86" s="71"/>
    </row>
    <row r="87" spans="1:5" x14ac:dyDescent="0.2">
      <c r="A87" s="345">
        <v>30163</v>
      </c>
      <c r="B87" s="71"/>
      <c r="C87" s="347"/>
      <c r="D87" s="71"/>
      <c r="E87" s="71"/>
    </row>
    <row r="88" spans="1:5" x14ac:dyDescent="0.2">
      <c r="A88" s="345">
        <v>30194</v>
      </c>
      <c r="B88" s="71"/>
      <c r="C88" s="347"/>
      <c r="D88" s="71"/>
      <c r="E88" s="71"/>
    </row>
    <row r="89" spans="1:5" x14ac:dyDescent="0.2">
      <c r="A89" s="345">
        <v>30224</v>
      </c>
      <c r="B89" s="71"/>
      <c r="C89" s="347"/>
      <c r="D89" s="71"/>
      <c r="E89" s="71"/>
    </row>
    <row r="90" spans="1:5" x14ac:dyDescent="0.2">
      <c r="A90" s="345">
        <v>30255</v>
      </c>
      <c r="B90" s="71"/>
      <c r="C90" s="347"/>
      <c r="D90" s="71"/>
      <c r="E90" s="71"/>
    </row>
    <row r="91" spans="1:5" x14ac:dyDescent="0.2">
      <c r="A91" s="345">
        <v>30285</v>
      </c>
      <c r="B91" s="71"/>
      <c r="C91" s="347"/>
      <c r="D91" s="71"/>
      <c r="E91" s="71"/>
    </row>
    <row r="92" spans="1:5" x14ac:dyDescent="0.2">
      <c r="A92" s="345">
        <v>30316</v>
      </c>
      <c r="B92" s="71"/>
      <c r="C92" s="347"/>
      <c r="D92" s="71"/>
      <c r="E92" s="71"/>
    </row>
    <row r="93" spans="1:5" x14ac:dyDescent="0.2">
      <c r="A93" s="345">
        <v>30347</v>
      </c>
      <c r="B93" s="71"/>
      <c r="C93" s="347"/>
      <c r="D93" s="71"/>
      <c r="E93" s="71"/>
    </row>
    <row r="94" spans="1:5" x14ac:dyDescent="0.2">
      <c r="A94" s="345">
        <v>30375</v>
      </c>
      <c r="B94" s="71"/>
      <c r="C94" s="347"/>
      <c r="D94" s="71"/>
      <c r="E94" s="71"/>
    </row>
    <row r="95" spans="1:5" x14ac:dyDescent="0.2">
      <c r="A95" s="345">
        <v>30406</v>
      </c>
      <c r="B95" s="71"/>
      <c r="C95" s="347"/>
      <c r="D95" s="71"/>
      <c r="E95" s="71"/>
    </row>
    <row r="96" spans="1:5" x14ac:dyDescent="0.2">
      <c r="A96" s="345">
        <v>30436</v>
      </c>
      <c r="B96" s="71"/>
      <c r="C96" s="347"/>
      <c r="D96" s="71"/>
      <c r="E96" s="71"/>
    </row>
    <row r="97" spans="1:5" x14ac:dyDescent="0.2">
      <c r="A97" s="345">
        <v>30467</v>
      </c>
      <c r="B97" s="71"/>
      <c r="C97" s="347"/>
      <c r="D97" s="71"/>
      <c r="E97" s="71"/>
    </row>
    <row r="98" spans="1:5" x14ac:dyDescent="0.2">
      <c r="A98" s="345">
        <v>30497</v>
      </c>
      <c r="B98" s="71"/>
      <c r="C98" s="347"/>
      <c r="D98" s="71"/>
      <c r="E98" s="71"/>
    </row>
    <row r="99" spans="1:5" x14ac:dyDescent="0.2">
      <c r="A99" s="345">
        <v>30528</v>
      </c>
      <c r="B99" s="71"/>
      <c r="C99" s="347"/>
      <c r="D99" s="71"/>
      <c r="E99" s="71"/>
    </row>
    <row r="100" spans="1:5" x14ac:dyDescent="0.2">
      <c r="A100" s="345">
        <v>30559</v>
      </c>
      <c r="B100" s="71"/>
      <c r="C100" s="347"/>
      <c r="D100" s="71"/>
      <c r="E100" s="71"/>
    </row>
    <row r="101" spans="1:5" x14ac:dyDescent="0.2">
      <c r="A101" s="345">
        <v>30589</v>
      </c>
      <c r="B101" s="71"/>
      <c r="C101" s="347"/>
      <c r="D101" s="71"/>
      <c r="E101" s="71"/>
    </row>
    <row r="102" spans="1:5" x14ac:dyDescent="0.2">
      <c r="A102" s="345">
        <v>30620</v>
      </c>
      <c r="B102" s="71"/>
      <c r="C102" s="347"/>
      <c r="D102" s="71"/>
      <c r="E102" s="71"/>
    </row>
    <row r="103" spans="1:5" x14ac:dyDescent="0.2">
      <c r="A103" s="345">
        <v>30650</v>
      </c>
      <c r="B103" s="71"/>
      <c r="C103" s="347"/>
      <c r="D103" s="71"/>
      <c r="E103" s="71"/>
    </row>
    <row r="104" spans="1:5" x14ac:dyDescent="0.2">
      <c r="A104" s="345">
        <v>30681</v>
      </c>
      <c r="B104" s="71"/>
      <c r="C104" s="347"/>
      <c r="D104" s="71"/>
      <c r="E104" s="71"/>
    </row>
    <row r="105" spans="1:5" x14ac:dyDescent="0.2">
      <c r="A105" s="345">
        <v>30712</v>
      </c>
      <c r="B105" s="71"/>
      <c r="C105" s="347"/>
      <c r="D105" s="71"/>
      <c r="E105" s="71"/>
    </row>
    <row r="106" spans="1:5" x14ac:dyDescent="0.2">
      <c r="A106" s="345">
        <v>30741</v>
      </c>
      <c r="B106" s="71"/>
      <c r="C106" s="347"/>
      <c r="D106" s="71"/>
      <c r="E106" s="71"/>
    </row>
    <row r="107" spans="1:5" x14ac:dyDescent="0.2">
      <c r="A107" s="345">
        <v>30772</v>
      </c>
      <c r="B107" s="71"/>
      <c r="C107" s="347"/>
      <c r="D107" s="71"/>
      <c r="E107" s="71"/>
    </row>
    <row r="108" spans="1:5" x14ac:dyDescent="0.2">
      <c r="A108" s="345">
        <v>30802</v>
      </c>
      <c r="B108" s="71"/>
      <c r="C108" s="347"/>
      <c r="D108" s="71"/>
      <c r="E108" s="71"/>
    </row>
    <row r="109" spans="1:5" x14ac:dyDescent="0.2">
      <c r="A109" s="345">
        <v>30833</v>
      </c>
      <c r="B109" s="71"/>
      <c r="C109" s="347"/>
      <c r="D109" s="71"/>
      <c r="E109" s="71"/>
    </row>
    <row r="110" spans="1:5" x14ac:dyDescent="0.2">
      <c r="A110" s="345">
        <v>30863</v>
      </c>
      <c r="B110" s="71"/>
      <c r="C110" s="347"/>
      <c r="D110" s="71"/>
      <c r="E110" s="71"/>
    </row>
    <row r="111" spans="1:5" x14ac:dyDescent="0.2">
      <c r="A111" s="345">
        <v>30894</v>
      </c>
      <c r="B111" s="71"/>
      <c r="C111" s="347"/>
      <c r="D111" s="71"/>
      <c r="E111" s="71"/>
    </row>
    <row r="112" spans="1:5" x14ac:dyDescent="0.2">
      <c r="A112" s="345">
        <v>30925</v>
      </c>
      <c r="B112" s="71"/>
      <c r="C112" s="347"/>
      <c r="D112" s="71"/>
      <c r="E112" s="71"/>
    </row>
    <row r="113" spans="1:5" x14ac:dyDescent="0.2">
      <c r="A113" s="345">
        <v>30955</v>
      </c>
      <c r="B113" s="71"/>
      <c r="C113" s="347"/>
      <c r="D113" s="71"/>
      <c r="E113" s="71"/>
    </row>
    <row r="114" spans="1:5" x14ac:dyDescent="0.2">
      <c r="A114" s="345">
        <v>30986</v>
      </c>
      <c r="B114" s="71"/>
      <c r="C114" s="347"/>
      <c r="D114" s="71"/>
      <c r="E114" s="71"/>
    </row>
    <row r="115" spans="1:5" x14ac:dyDescent="0.2">
      <c r="A115" s="345">
        <v>31016</v>
      </c>
      <c r="B115" s="71"/>
      <c r="C115" s="347"/>
      <c r="D115" s="71"/>
      <c r="E115" s="71"/>
    </row>
    <row r="116" spans="1:5" x14ac:dyDescent="0.2">
      <c r="A116" s="345">
        <v>31047</v>
      </c>
      <c r="B116" s="71"/>
      <c r="C116" s="347"/>
      <c r="D116" s="71"/>
      <c r="E116" s="71"/>
    </row>
    <row r="117" spans="1:5" x14ac:dyDescent="0.2">
      <c r="A117" s="345">
        <v>31078</v>
      </c>
      <c r="B117" s="71"/>
      <c r="C117" s="347"/>
      <c r="D117" s="71"/>
      <c r="E117" s="71"/>
    </row>
    <row r="118" spans="1:5" x14ac:dyDescent="0.2">
      <c r="A118" s="345">
        <v>31106</v>
      </c>
      <c r="B118" s="71"/>
      <c r="C118" s="347"/>
      <c r="D118" s="71"/>
      <c r="E118" s="71"/>
    </row>
    <row r="119" spans="1:5" x14ac:dyDescent="0.2">
      <c r="A119" s="345">
        <v>31137</v>
      </c>
      <c r="B119" s="71"/>
      <c r="C119" s="347"/>
      <c r="D119" s="71"/>
      <c r="E119" s="71"/>
    </row>
    <row r="120" spans="1:5" x14ac:dyDescent="0.2">
      <c r="A120" s="345">
        <v>31167</v>
      </c>
      <c r="B120" s="71"/>
      <c r="C120" s="347"/>
      <c r="D120" s="71"/>
      <c r="E120" s="71"/>
    </row>
    <row r="121" spans="1:5" x14ac:dyDescent="0.2">
      <c r="A121" s="345">
        <v>31198</v>
      </c>
      <c r="B121" s="71"/>
      <c r="C121" s="347"/>
      <c r="D121" s="71"/>
      <c r="E121" s="71"/>
    </row>
    <row r="122" spans="1:5" x14ac:dyDescent="0.2">
      <c r="A122" s="345">
        <v>31228</v>
      </c>
      <c r="B122" s="71"/>
      <c r="C122" s="347"/>
      <c r="D122" s="71"/>
      <c r="E122" s="71"/>
    </row>
    <row r="123" spans="1:5" x14ac:dyDescent="0.2">
      <c r="A123" s="345">
        <v>31259</v>
      </c>
      <c r="B123" s="71"/>
      <c r="C123" s="347"/>
      <c r="D123" s="71"/>
      <c r="E123" s="71"/>
    </row>
    <row r="124" spans="1:5" x14ac:dyDescent="0.2">
      <c r="A124" s="345">
        <v>31290</v>
      </c>
      <c r="B124" s="71"/>
      <c r="C124" s="347"/>
      <c r="D124" s="71"/>
      <c r="E124" s="71"/>
    </row>
    <row r="125" spans="1:5" x14ac:dyDescent="0.2">
      <c r="A125" s="345">
        <v>31320</v>
      </c>
      <c r="B125" s="71"/>
      <c r="C125" s="347"/>
      <c r="D125" s="71"/>
      <c r="E125" s="71"/>
    </row>
    <row r="126" spans="1:5" x14ac:dyDescent="0.2">
      <c r="A126" s="345">
        <v>31351</v>
      </c>
      <c r="B126" s="71"/>
      <c r="C126" s="347"/>
      <c r="D126" s="71"/>
      <c r="E126" s="71"/>
    </row>
    <row r="127" spans="1:5" x14ac:dyDescent="0.2">
      <c r="A127" s="345">
        <v>31381</v>
      </c>
      <c r="B127" s="71"/>
      <c r="C127" s="347"/>
      <c r="D127" s="71"/>
      <c r="E127" s="71"/>
    </row>
    <row r="128" spans="1:5" x14ac:dyDescent="0.2">
      <c r="A128" s="345">
        <v>31412</v>
      </c>
      <c r="B128" s="71"/>
      <c r="C128" s="347"/>
      <c r="D128" s="71"/>
      <c r="E128" s="71"/>
    </row>
    <row r="129" spans="1:5" x14ac:dyDescent="0.2">
      <c r="A129" s="345">
        <v>31443</v>
      </c>
      <c r="B129" s="71"/>
      <c r="C129" s="347"/>
      <c r="D129" s="71"/>
      <c r="E129" s="71"/>
    </row>
    <row r="130" spans="1:5" x14ac:dyDescent="0.2">
      <c r="A130" s="345">
        <v>31471</v>
      </c>
      <c r="B130" s="71"/>
      <c r="C130" s="347"/>
      <c r="D130" s="71"/>
      <c r="E130" s="71"/>
    </row>
    <row r="131" spans="1:5" x14ac:dyDescent="0.2">
      <c r="A131" s="345">
        <v>31502</v>
      </c>
      <c r="B131" s="71"/>
      <c r="C131" s="347"/>
      <c r="D131" s="71"/>
      <c r="E131" s="71"/>
    </row>
    <row r="132" spans="1:5" x14ac:dyDescent="0.2">
      <c r="A132" s="345">
        <v>31532</v>
      </c>
      <c r="B132" s="71"/>
      <c r="C132" s="347"/>
      <c r="D132" s="71"/>
      <c r="E132" s="71"/>
    </row>
    <row r="133" spans="1:5" x14ac:dyDescent="0.2">
      <c r="A133" s="345">
        <v>31563</v>
      </c>
      <c r="B133" s="71"/>
      <c r="C133" s="347"/>
      <c r="D133" s="71"/>
      <c r="E133" s="71"/>
    </row>
    <row r="134" spans="1:5" x14ac:dyDescent="0.2">
      <c r="A134" s="345">
        <v>31593</v>
      </c>
      <c r="B134" s="71"/>
      <c r="C134" s="347"/>
      <c r="D134" s="71"/>
      <c r="E134" s="71"/>
    </row>
    <row r="135" spans="1:5" x14ac:dyDescent="0.2">
      <c r="A135" s="345">
        <v>31624</v>
      </c>
      <c r="B135" s="71"/>
      <c r="C135" s="347"/>
      <c r="D135" s="71"/>
      <c r="E135" s="71"/>
    </row>
    <row r="136" spans="1:5" x14ac:dyDescent="0.2">
      <c r="A136" s="345">
        <v>31655</v>
      </c>
      <c r="B136" s="71"/>
      <c r="C136" s="347"/>
      <c r="D136" s="71"/>
      <c r="E136" s="71"/>
    </row>
    <row r="137" spans="1:5" x14ac:dyDescent="0.2">
      <c r="A137" s="345">
        <v>31685</v>
      </c>
      <c r="B137" s="71"/>
      <c r="C137" s="347"/>
      <c r="D137" s="71"/>
      <c r="E137" s="71"/>
    </row>
    <row r="138" spans="1:5" x14ac:dyDescent="0.2">
      <c r="A138" s="345">
        <v>31716</v>
      </c>
      <c r="B138" s="71"/>
      <c r="C138" s="347"/>
      <c r="D138" s="71"/>
      <c r="E138" s="71"/>
    </row>
    <row r="139" spans="1:5" x14ac:dyDescent="0.2">
      <c r="A139" s="345">
        <v>31746</v>
      </c>
      <c r="B139" s="71"/>
      <c r="C139" s="347"/>
      <c r="D139" s="71"/>
      <c r="E139" s="71"/>
    </row>
    <row r="140" spans="1:5" x14ac:dyDescent="0.2">
      <c r="A140" s="345">
        <v>31777</v>
      </c>
      <c r="B140" s="71"/>
      <c r="C140" s="347"/>
      <c r="D140" s="71"/>
      <c r="E140" s="71"/>
    </row>
    <row r="141" spans="1:5" x14ac:dyDescent="0.2">
      <c r="A141" s="345">
        <v>31808</v>
      </c>
      <c r="B141" s="73"/>
      <c r="C141" s="30"/>
      <c r="D141" s="73"/>
    </row>
    <row r="142" spans="1:5" x14ac:dyDescent="0.2">
      <c r="A142" s="345">
        <v>31836</v>
      </c>
      <c r="B142" s="73"/>
      <c r="C142" s="30"/>
      <c r="D142" s="73"/>
    </row>
    <row r="143" spans="1:5" x14ac:dyDescent="0.2">
      <c r="A143" s="345">
        <v>31867</v>
      </c>
      <c r="B143" s="73"/>
      <c r="C143" s="30"/>
      <c r="D143" s="73"/>
    </row>
    <row r="144" spans="1:5" x14ac:dyDescent="0.2">
      <c r="A144" s="345">
        <v>31897</v>
      </c>
      <c r="B144" s="73"/>
      <c r="C144" s="30"/>
      <c r="D144" s="73"/>
    </row>
    <row r="145" spans="1:4" x14ac:dyDescent="0.2">
      <c r="A145" s="345">
        <v>31928</v>
      </c>
      <c r="B145" s="73"/>
      <c r="C145" s="30"/>
      <c r="D145" s="73"/>
    </row>
    <row r="146" spans="1:4" x14ac:dyDescent="0.2">
      <c r="A146" s="345">
        <v>31958</v>
      </c>
      <c r="B146" s="73"/>
      <c r="C146" s="30"/>
      <c r="D146" s="73"/>
    </row>
    <row r="147" spans="1:4" x14ac:dyDescent="0.2">
      <c r="A147" s="345">
        <v>31989</v>
      </c>
      <c r="B147" s="73"/>
      <c r="C147" s="30"/>
      <c r="D147" s="73"/>
    </row>
    <row r="148" spans="1:4" x14ac:dyDescent="0.2">
      <c r="A148" s="345">
        <v>32020</v>
      </c>
      <c r="B148" s="73"/>
      <c r="C148" s="30"/>
      <c r="D148" s="73"/>
    </row>
    <row r="149" spans="1:4" x14ac:dyDescent="0.2">
      <c r="A149" s="345">
        <v>32050</v>
      </c>
      <c r="B149" s="73"/>
      <c r="C149" s="30"/>
      <c r="D149" s="73"/>
    </row>
    <row r="150" spans="1:4" x14ac:dyDescent="0.2">
      <c r="A150" s="345">
        <v>32081</v>
      </c>
      <c r="B150" s="73"/>
      <c r="C150" s="30"/>
      <c r="D150" s="73"/>
    </row>
    <row r="151" spans="1:4" x14ac:dyDescent="0.2">
      <c r="A151" s="345">
        <v>32111</v>
      </c>
      <c r="B151" s="73"/>
      <c r="C151" s="30"/>
      <c r="D151" s="73"/>
    </row>
    <row r="152" spans="1:4" x14ac:dyDescent="0.2">
      <c r="A152" s="345">
        <v>32142</v>
      </c>
      <c r="B152" s="73"/>
      <c r="C152" s="30"/>
      <c r="D152" s="73"/>
    </row>
    <row r="153" spans="1:4" x14ac:dyDescent="0.2">
      <c r="A153" s="345">
        <v>32173</v>
      </c>
      <c r="B153" s="73"/>
      <c r="C153" s="30"/>
      <c r="D153" s="73"/>
    </row>
    <row r="154" spans="1:4" x14ac:dyDescent="0.2">
      <c r="A154" s="345">
        <v>32202</v>
      </c>
      <c r="B154" s="73"/>
      <c r="C154" s="30"/>
      <c r="D154" s="73"/>
    </row>
    <row r="155" spans="1:4" x14ac:dyDescent="0.2">
      <c r="A155" s="345">
        <v>32233</v>
      </c>
      <c r="B155" s="73"/>
      <c r="C155" s="30"/>
      <c r="D155" s="73"/>
    </row>
    <row r="156" spans="1:4" x14ac:dyDescent="0.2">
      <c r="A156" s="345">
        <v>32263</v>
      </c>
      <c r="B156" s="73"/>
      <c r="C156" s="30"/>
      <c r="D156" s="73"/>
    </row>
    <row r="157" spans="1:4" x14ac:dyDescent="0.2">
      <c r="A157" s="345">
        <v>32294</v>
      </c>
      <c r="B157" s="73"/>
      <c r="C157" s="30"/>
      <c r="D157" s="73"/>
    </row>
    <row r="158" spans="1:4" x14ac:dyDescent="0.2">
      <c r="A158" s="345">
        <v>32324</v>
      </c>
      <c r="B158" s="73"/>
      <c r="C158" s="30"/>
      <c r="D158" s="73"/>
    </row>
    <row r="159" spans="1:4" x14ac:dyDescent="0.2">
      <c r="A159" s="345">
        <v>32355</v>
      </c>
      <c r="B159" s="73"/>
      <c r="C159" s="30"/>
      <c r="D159" s="73"/>
    </row>
    <row r="160" spans="1:4" x14ac:dyDescent="0.2">
      <c r="A160" s="345">
        <v>32386</v>
      </c>
      <c r="B160" s="73"/>
      <c r="C160" s="30"/>
      <c r="D160" s="73"/>
    </row>
    <row r="161" spans="1:4" x14ac:dyDescent="0.2">
      <c r="A161" s="345">
        <v>32416</v>
      </c>
      <c r="B161" s="73"/>
      <c r="C161" s="30"/>
      <c r="D161" s="73"/>
    </row>
    <row r="162" spans="1:4" x14ac:dyDescent="0.2">
      <c r="A162" s="345">
        <v>32447</v>
      </c>
      <c r="B162" s="73"/>
      <c r="C162" s="30"/>
      <c r="D162" s="73"/>
    </row>
    <row r="163" spans="1:4" x14ac:dyDescent="0.2">
      <c r="A163" s="345">
        <v>32477</v>
      </c>
      <c r="B163" s="73"/>
      <c r="C163" s="30"/>
      <c r="D163" s="73"/>
    </row>
    <row r="164" spans="1:4" x14ac:dyDescent="0.2">
      <c r="A164" s="345">
        <v>32508</v>
      </c>
      <c r="B164" s="73"/>
      <c r="C164" s="30"/>
      <c r="D164" s="73"/>
    </row>
    <row r="165" spans="1:4" x14ac:dyDescent="0.2">
      <c r="A165" s="345">
        <v>32539</v>
      </c>
      <c r="B165" s="73"/>
      <c r="C165" s="30"/>
      <c r="D165" s="73"/>
    </row>
    <row r="166" spans="1:4" x14ac:dyDescent="0.2">
      <c r="A166" s="345">
        <v>32567</v>
      </c>
      <c r="B166" s="73"/>
      <c r="C166" s="30"/>
      <c r="D166" s="73"/>
    </row>
    <row r="167" spans="1:4" x14ac:dyDescent="0.2">
      <c r="A167" s="345">
        <v>32598</v>
      </c>
      <c r="B167" s="73"/>
      <c r="C167" s="30"/>
      <c r="D167" s="73"/>
    </row>
    <row r="168" spans="1:4" x14ac:dyDescent="0.2">
      <c r="A168" s="345">
        <v>32628</v>
      </c>
      <c r="B168" s="73"/>
      <c r="C168" s="30"/>
      <c r="D168" s="73"/>
    </row>
    <row r="169" spans="1:4" x14ac:dyDescent="0.2">
      <c r="A169" s="345">
        <v>32659</v>
      </c>
      <c r="B169" s="73"/>
      <c r="C169" s="30"/>
      <c r="D169" s="73"/>
    </row>
    <row r="170" spans="1:4" x14ac:dyDescent="0.2">
      <c r="A170" s="345">
        <v>32689</v>
      </c>
      <c r="B170" s="73"/>
      <c r="C170" s="30"/>
      <c r="D170" s="73"/>
    </row>
    <row r="171" spans="1:4" x14ac:dyDescent="0.2">
      <c r="A171" s="345">
        <v>32720</v>
      </c>
      <c r="B171" s="73"/>
      <c r="C171" s="30"/>
      <c r="D171" s="73"/>
    </row>
    <row r="172" spans="1:4" x14ac:dyDescent="0.2">
      <c r="A172" s="345">
        <v>32751</v>
      </c>
      <c r="B172" s="73"/>
      <c r="C172" s="30"/>
      <c r="D172" s="73"/>
    </row>
    <row r="173" spans="1:4" x14ac:dyDescent="0.2">
      <c r="A173" s="345">
        <v>32781</v>
      </c>
      <c r="B173" s="73"/>
      <c r="C173" s="30"/>
      <c r="D173" s="73"/>
    </row>
    <row r="174" spans="1:4" x14ac:dyDescent="0.2">
      <c r="A174" s="345">
        <v>32812</v>
      </c>
      <c r="B174" s="73"/>
      <c r="C174" s="30"/>
      <c r="D174" s="73"/>
    </row>
    <row r="175" spans="1:4" x14ac:dyDescent="0.2">
      <c r="A175" s="345">
        <v>32842</v>
      </c>
      <c r="B175" s="73"/>
      <c r="C175" s="30"/>
      <c r="D175" s="73"/>
    </row>
    <row r="176" spans="1:4" x14ac:dyDescent="0.2">
      <c r="A176" s="345">
        <v>32873</v>
      </c>
      <c r="B176" s="73"/>
      <c r="C176" s="30"/>
      <c r="D176" s="73"/>
    </row>
    <row r="177" spans="1:4" x14ac:dyDescent="0.2">
      <c r="A177" s="345">
        <v>32904</v>
      </c>
      <c r="B177" s="73"/>
      <c r="C177" s="30"/>
      <c r="D177" s="73"/>
    </row>
    <row r="178" spans="1:4" x14ac:dyDescent="0.2">
      <c r="A178" s="345">
        <v>32932</v>
      </c>
      <c r="B178" s="73"/>
      <c r="C178" s="30"/>
      <c r="D178" s="73"/>
    </row>
    <row r="179" spans="1:4" x14ac:dyDescent="0.2">
      <c r="A179" s="345">
        <v>32963</v>
      </c>
      <c r="B179" s="73"/>
      <c r="C179" s="30"/>
      <c r="D179" s="73"/>
    </row>
    <row r="180" spans="1:4" x14ac:dyDescent="0.2">
      <c r="A180" s="345">
        <v>32993</v>
      </c>
      <c r="B180" s="73"/>
      <c r="C180" s="30"/>
      <c r="D180" s="73"/>
    </row>
    <row r="181" spans="1:4" x14ac:dyDescent="0.2">
      <c r="A181" s="345">
        <v>33024</v>
      </c>
      <c r="B181" s="73"/>
      <c r="C181" s="30"/>
      <c r="D181" s="73"/>
    </row>
    <row r="182" spans="1:4" x14ac:dyDescent="0.2">
      <c r="A182" s="345">
        <v>33054</v>
      </c>
      <c r="B182" s="73"/>
      <c r="C182" s="30"/>
      <c r="D182" s="73"/>
    </row>
    <row r="183" spans="1:4" x14ac:dyDescent="0.2">
      <c r="A183" s="345">
        <v>33085</v>
      </c>
      <c r="B183" s="73"/>
      <c r="C183" s="30"/>
      <c r="D183" s="73"/>
    </row>
    <row r="184" spans="1:4" x14ac:dyDescent="0.2">
      <c r="A184" s="345">
        <v>33116</v>
      </c>
      <c r="B184" s="73"/>
      <c r="C184" s="30"/>
      <c r="D184" s="73"/>
    </row>
    <row r="185" spans="1:4" x14ac:dyDescent="0.2">
      <c r="A185" s="345">
        <v>33146</v>
      </c>
      <c r="B185" s="73"/>
      <c r="C185" s="30"/>
      <c r="D185" s="73"/>
    </row>
    <row r="186" spans="1:4" x14ac:dyDescent="0.2">
      <c r="A186" s="345">
        <v>33177</v>
      </c>
      <c r="B186" s="73"/>
      <c r="C186" s="30"/>
      <c r="D186" s="73"/>
    </row>
    <row r="187" spans="1:4" x14ac:dyDescent="0.2">
      <c r="A187" s="345">
        <v>33207</v>
      </c>
      <c r="B187" s="73"/>
      <c r="C187" s="30"/>
      <c r="D187" s="73"/>
    </row>
    <row r="188" spans="1:4" x14ac:dyDescent="0.2">
      <c r="A188" s="345">
        <v>33238</v>
      </c>
      <c r="B188" s="73"/>
      <c r="C188" s="30"/>
      <c r="D188" s="73"/>
    </row>
    <row r="189" spans="1:4" x14ac:dyDescent="0.2">
      <c r="A189" s="345">
        <v>33269</v>
      </c>
      <c r="B189" s="73"/>
      <c r="C189" s="30"/>
      <c r="D189" s="73"/>
    </row>
    <row r="190" spans="1:4" x14ac:dyDescent="0.2">
      <c r="A190" s="345">
        <v>33297</v>
      </c>
      <c r="B190" s="73"/>
      <c r="C190" s="30"/>
      <c r="D190" s="73"/>
    </row>
    <row r="191" spans="1:4" x14ac:dyDescent="0.2">
      <c r="A191" s="345">
        <v>33328</v>
      </c>
      <c r="B191" s="73"/>
      <c r="C191" s="30"/>
      <c r="D191" s="73"/>
    </row>
    <row r="192" spans="1:4" x14ac:dyDescent="0.2">
      <c r="A192" s="345">
        <v>33358</v>
      </c>
      <c r="B192" s="73"/>
      <c r="C192" s="30"/>
      <c r="D192" s="73"/>
    </row>
    <row r="193" spans="1:4" x14ac:dyDescent="0.2">
      <c r="A193" s="345">
        <v>33389</v>
      </c>
      <c r="B193" s="73"/>
      <c r="C193" s="30"/>
      <c r="D193" s="73"/>
    </row>
    <row r="194" spans="1:4" x14ac:dyDescent="0.2">
      <c r="A194" s="345">
        <v>33419</v>
      </c>
      <c r="B194" s="73"/>
      <c r="C194" s="30"/>
      <c r="D194" s="73"/>
    </row>
    <row r="195" spans="1:4" x14ac:dyDescent="0.2">
      <c r="A195" s="345">
        <v>33450</v>
      </c>
      <c r="B195" s="73"/>
      <c r="C195" s="30"/>
      <c r="D195" s="73"/>
    </row>
    <row r="196" spans="1:4" x14ac:dyDescent="0.2">
      <c r="A196" s="345">
        <v>33481</v>
      </c>
      <c r="B196" s="73"/>
      <c r="C196" s="30"/>
      <c r="D196" s="73"/>
    </row>
    <row r="197" spans="1:4" x14ac:dyDescent="0.2">
      <c r="A197" s="345">
        <v>33511</v>
      </c>
      <c r="B197" s="73"/>
      <c r="C197" s="30"/>
      <c r="D197" s="73"/>
    </row>
    <row r="198" spans="1:4" x14ac:dyDescent="0.2">
      <c r="A198" s="345">
        <v>33542</v>
      </c>
      <c r="B198" s="73"/>
      <c r="C198" s="30"/>
      <c r="D198" s="73"/>
    </row>
    <row r="199" spans="1:4" x14ac:dyDescent="0.2">
      <c r="A199" s="345">
        <v>33572</v>
      </c>
      <c r="B199" s="73"/>
      <c r="C199" s="30"/>
      <c r="D199" s="73"/>
    </row>
    <row r="200" spans="1:4" x14ac:dyDescent="0.2">
      <c r="A200" s="345">
        <v>33603</v>
      </c>
      <c r="B200" s="73"/>
      <c r="C200" s="30"/>
      <c r="D200" s="73"/>
    </row>
    <row r="201" spans="1:4" x14ac:dyDescent="0.2">
      <c r="A201" s="345">
        <v>33634</v>
      </c>
      <c r="B201" s="73"/>
      <c r="C201" s="30"/>
      <c r="D201" s="73"/>
    </row>
    <row r="202" spans="1:4" x14ac:dyDescent="0.2">
      <c r="A202" s="345">
        <v>33663</v>
      </c>
      <c r="B202" s="73"/>
      <c r="C202" s="30"/>
      <c r="D202" s="73"/>
    </row>
    <row r="203" spans="1:4" x14ac:dyDescent="0.2">
      <c r="A203" s="345">
        <v>33694</v>
      </c>
      <c r="B203" s="73"/>
      <c r="C203" s="30"/>
      <c r="D203" s="73"/>
    </row>
    <row r="204" spans="1:4" x14ac:dyDescent="0.2">
      <c r="A204" s="345">
        <v>33724</v>
      </c>
      <c r="B204" s="73"/>
      <c r="C204" s="30"/>
      <c r="D204" s="73"/>
    </row>
    <row r="205" spans="1:4" x14ac:dyDescent="0.2">
      <c r="A205" s="345">
        <v>33755</v>
      </c>
      <c r="B205" s="73"/>
      <c r="C205" s="30"/>
      <c r="D205" s="73"/>
    </row>
    <row r="206" spans="1:4" x14ac:dyDescent="0.2">
      <c r="A206" s="345">
        <v>33785</v>
      </c>
      <c r="B206" s="73"/>
      <c r="C206" s="30"/>
      <c r="D206" s="73"/>
    </row>
    <row r="207" spans="1:4" x14ac:dyDescent="0.2">
      <c r="A207" s="345">
        <v>33816</v>
      </c>
      <c r="B207" s="73"/>
      <c r="C207" s="30"/>
      <c r="D207" s="73"/>
    </row>
    <row r="208" spans="1:4" x14ac:dyDescent="0.2">
      <c r="A208" s="345">
        <v>33847</v>
      </c>
      <c r="B208" s="73"/>
      <c r="C208" s="30"/>
      <c r="D208" s="73"/>
    </row>
    <row r="209" spans="1:4" x14ac:dyDescent="0.2">
      <c r="A209" s="345">
        <v>33877</v>
      </c>
      <c r="B209" s="73"/>
      <c r="C209" s="30"/>
      <c r="D209" s="77"/>
    </row>
    <row r="210" spans="1:4" x14ac:dyDescent="0.2">
      <c r="A210" s="345">
        <v>33908</v>
      </c>
      <c r="B210" s="73"/>
      <c r="C210" s="30"/>
      <c r="D210" s="77"/>
    </row>
    <row r="211" spans="1:4" x14ac:dyDescent="0.2">
      <c r="A211" s="345">
        <v>33938</v>
      </c>
      <c r="B211" s="73"/>
      <c r="C211" s="30"/>
      <c r="D211" s="77"/>
    </row>
    <row r="212" spans="1:4" x14ac:dyDescent="0.2">
      <c r="A212" s="345">
        <v>33969</v>
      </c>
      <c r="B212" s="73"/>
      <c r="C212" s="30"/>
      <c r="D212" s="77"/>
    </row>
    <row r="213" spans="1:4" x14ac:dyDescent="0.2">
      <c r="A213" s="345">
        <v>34000</v>
      </c>
      <c r="B213" s="73"/>
      <c r="C213" s="30"/>
      <c r="D213" s="77"/>
    </row>
    <row r="214" spans="1:4" x14ac:dyDescent="0.2">
      <c r="A214" s="345">
        <v>34028</v>
      </c>
      <c r="B214" s="73"/>
      <c r="C214" s="30"/>
      <c r="D214" s="77"/>
    </row>
    <row r="215" spans="1:4" x14ac:dyDescent="0.2">
      <c r="A215" s="345">
        <v>34059</v>
      </c>
      <c r="B215" s="73"/>
      <c r="C215" s="30"/>
      <c r="D215" s="77"/>
    </row>
    <row r="216" spans="1:4" x14ac:dyDescent="0.2">
      <c r="A216" s="345">
        <v>34089</v>
      </c>
      <c r="B216" s="73"/>
      <c r="C216" s="30"/>
      <c r="D216" s="77"/>
    </row>
    <row r="217" spans="1:4" x14ac:dyDescent="0.2">
      <c r="A217" s="345">
        <v>34120</v>
      </c>
      <c r="B217" s="73"/>
      <c r="C217" s="30"/>
      <c r="D217" s="77"/>
    </row>
    <row r="218" spans="1:4" x14ac:dyDescent="0.2">
      <c r="A218" s="345">
        <v>34150</v>
      </c>
      <c r="B218" s="73"/>
      <c r="C218" s="30"/>
      <c r="D218" s="77"/>
    </row>
    <row r="219" spans="1:4" x14ac:dyDescent="0.2">
      <c r="A219" s="345">
        <v>34181</v>
      </c>
      <c r="B219" s="77"/>
      <c r="C219" s="30"/>
      <c r="D219" s="77"/>
    </row>
    <row r="220" spans="1:4" x14ac:dyDescent="0.2">
      <c r="A220" s="345">
        <v>34212</v>
      </c>
      <c r="B220" s="77"/>
      <c r="C220" s="30"/>
      <c r="D220" s="77"/>
    </row>
    <row r="221" spans="1:4" x14ac:dyDescent="0.2">
      <c r="A221" s="345">
        <v>34242</v>
      </c>
      <c r="B221" s="77"/>
      <c r="C221" s="30"/>
      <c r="D221" s="77"/>
    </row>
    <row r="222" spans="1:4" x14ac:dyDescent="0.2">
      <c r="A222" s="345">
        <v>34273</v>
      </c>
      <c r="B222" s="77"/>
      <c r="C222" s="30"/>
      <c r="D222" s="77"/>
    </row>
    <row r="223" spans="1:4" x14ac:dyDescent="0.2">
      <c r="A223" s="345">
        <v>34303</v>
      </c>
      <c r="B223" s="77"/>
      <c r="C223" s="30"/>
      <c r="D223" s="77"/>
    </row>
    <row r="224" spans="1:4" x14ac:dyDescent="0.2">
      <c r="A224" s="345">
        <v>34334</v>
      </c>
      <c r="B224" s="77"/>
      <c r="C224" s="30"/>
      <c r="D224" s="77"/>
    </row>
    <row r="225" spans="1:4" x14ac:dyDescent="0.2">
      <c r="A225" s="345">
        <v>34365</v>
      </c>
      <c r="B225" s="77"/>
      <c r="C225" s="30"/>
      <c r="D225" s="77"/>
    </row>
    <row r="226" spans="1:4" x14ac:dyDescent="0.2">
      <c r="A226" s="345">
        <v>34393</v>
      </c>
      <c r="B226" s="77"/>
      <c r="C226" s="30"/>
      <c r="D226" s="77"/>
    </row>
    <row r="227" spans="1:4" x14ac:dyDescent="0.2">
      <c r="A227" s="345">
        <v>34424</v>
      </c>
      <c r="B227" s="77"/>
      <c r="C227" s="30"/>
      <c r="D227" s="77"/>
    </row>
    <row r="228" spans="1:4" x14ac:dyDescent="0.2">
      <c r="A228" s="345">
        <v>34454</v>
      </c>
      <c r="B228" s="77"/>
      <c r="C228" s="30"/>
      <c r="D228" s="77"/>
    </row>
    <row r="229" spans="1:4" x14ac:dyDescent="0.2">
      <c r="A229" s="345">
        <v>34485</v>
      </c>
      <c r="B229" s="77"/>
      <c r="C229" s="30"/>
      <c r="D229" s="77"/>
    </row>
    <row r="230" spans="1:4" x14ac:dyDescent="0.2">
      <c r="A230" s="345">
        <v>34515</v>
      </c>
      <c r="B230" s="77"/>
      <c r="C230" s="30"/>
      <c r="D230" s="77"/>
    </row>
    <row r="231" spans="1:4" x14ac:dyDescent="0.2">
      <c r="A231" s="345">
        <v>34546</v>
      </c>
      <c r="B231" s="77"/>
      <c r="C231" s="30"/>
      <c r="D231" s="77"/>
    </row>
    <row r="232" spans="1:4" x14ac:dyDescent="0.2">
      <c r="A232" s="345">
        <v>34577</v>
      </c>
      <c r="B232" s="77"/>
      <c r="C232" s="30"/>
      <c r="D232" s="77"/>
    </row>
    <row r="233" spans="1:4" x14ac:dyDescent="0.2">
      <c r="A233" s="345">
        <v>34607</v>
      </c>
      <c r="B233" s="77"/>
      <c r="C233" s="30"/>
      <c r="D233" s="77"/>
    </row>
    <row r="234" spans="1:4" x14ac:dyDescent="0.2">
      <c r="A234" s="345">
        <v>34638</v>
      </c>
      <c r="B234" s="77"/>
      <c r="C234" s="30"/>
      <c r="D234" s="77"/>
    </row>
    <row r="235" spans="1:4" x14ac:dyDescent="0.2">
      <c r="A235" s="345">
        <v>34668</v>
      </c>
      <c r="B235" s="77"/>
      <c r="C235" s="30"/>
      <c r="D235" s="77"/>
    </row>
    <row r="236" spans="1:4" x14ac:dyDescent="0.2">
      <c r="A236" s="345">
        <v>34699</v>
      </c>
      <c r="B236" s="77"/>
      <c r="C236" s="30"/>
      <c r="D236" s="77"/>
    </row>
    <row r="237" spans="1:4" x14ac:dyDescent="0.2">
      <c r="A237" s="345">
        <v>34730</v>
      </c>
      <c r="B237" s="77"/>
      <c r="C237" s="30"/>
      <c r="D237" s="77"/>
    </row>
    <row r="238" spans="1:4" x14ac:dyDescent="0.2">
      <c r="A238" s="345">
        <v>34758</v>
      </c>
      <c r="B238" s="77"/>
      <c r="C238" s="30"/>
      <c r="D238" s="77"/>
    </row>
    <row r="239" spans="1:4" x14ac:dyDescent="0.2">
      <c r="A239" s="345">
        <v>34789</v>
      </c>
      <c r="B239" s="77"/>
      <c r="C239" s="30"/>
      <c r="D239" s="77"/>
    </row>
    <row r="240" spans="1:4" x14ac:dyDescent="0.2">
      <c r="A240" s="345">
        <v>34819</v>
      </c>
      <c r="B240" s="77"/>
      <c r="C240" s="30"/>
      <c r="D240" s="77"/>
    </row>
    <row r="241" spans="1:4" x14ac:dyDescent="0.2">
      <c r="A241" s="345">
        <v>34850</v>
      </c>
      <c r="B241" s="77"/>
      <c r="C241" s="30"/>
      <c r="D241" s="77"/>
    </row>
    <row r="242" spans="1:4" x14ac:dyDescent="0.2">
      <c r="A242" s="345">
        <v>34880</v>
      </c>
      <c r="B242" s="77"/>
      <c r="C242" s="30"/>
      <c r="D242" s="77"/>
    </row>
    <row r="243" spans="1:4" x14ac:dyDescent="0.2">
      <c r="A243" s="345">
        <v>34911</v>
      </c>
      <c r="B243" s="77"/>
      <c r="C243" s="30"/>
      <c r="D243" s="77"/>
    </row>
    <row r="244" spans="1:4" x14ac:dyDescent="0.2">
      <c r="A244" s="345">
        <v>34942</v>
      </c>
      <c r="B244" s="77"/>
      <c r="C244" s="30"/>
      <c r="D244" s="77"/>
    </row>
    <row r="245" spans="1:4" x14ac:dyDescent="0.2">
      <c r="A245" s="345">
        <v>34972</v>
      </c>
      <c r="B245" s="77"/>
      <c r="C245" s="30"/>
      <c r="D245" s="77"/>
    </row>
    <row r="246" spans="1:4" x14ac:dyDescent="0.2">
      <c r="A246" s="345">
        <v>35003</v>
      </c>
      <c r="B246" s="77"/>
      <c r="C246" s="30"/>
      <c r="D246" s="77"/>
    </row>
    <row r="247" spans="1:4" x14ac:dyDescent="0.2">
      <c r="A247" s="345">
        <v>35033</v>
      </c>
      <c r="B247" s="77"/>
      <c r="C247" s="30"/>
      <c r="D247" s="77"/>
    </row>
    <row r="248" spans="1:4" x14ac:dyDescent="0.2">
      <c r="A248" s="345">
        <v>35064</v>
      </c>
      <c r="B248" s="77"/>
      <c r="C248" s="30"/>
      <c r="D248" s="77"/>
    </row>
    <row r="249" spans="1:4" x14ac:dyDescent="0.2">
      <c r="A249" s="345">
        <v>35095</v>
      </c>
      <c r="B249" s="77"/>
      <c r="C249" s="30"/>
      <c r="D249" s="77"/>
    </row>
    <row r="250" spans="1:4" x14ac:dyDescent="0.2">
      <c r="A250" s="345">
        <v>35124</v>
      </c>
      <c r="B250" s="77"/>
      <c r="C250" s="30"/>
      <c r="D250" s="77"/>
    </row>
    <row r="251" spans="1:4" x14ac:dyDescent="0.2">
      <c r="A251" s="345">
        <v>35155</v>
      </c>
      <c r="B251" s="77"/>
      <c r="C251" s="30"/>
      <c r="D251" s="77"/>
    </row>
    <row r="252" spans="1:4" x14ac:dyDescent="0.2">
      <c r="A252" s="345">
        <v>35185</v>
      </c>
      <c r="B252" s="77"/>
      <c r="C252" s="30"/>
      <c r="D252" s="77"/>
    </row>
    <row r="253" spans="1:4" x14ac:dyDescent="0.2">
      <c r="A253" s="345">
        <v>35216</v>
      </c>
      <c r="B253" s="77"/>
      <c r="C253" s="30"/>
      <c r="D253" s="77"/>
    </row>
    <row r="254" spans="1:4" x14ac:dyDescent="0.2">
      <c r="A254" s="345">
        <v>35246</v>
      </c>
      <c r="B254" s="78"/>
      <c r="C254" s="31"/>
      <c r="D254" s="78"/>
    </row>
    <row r="255" spans="1:4" x14ac:dyDescent="0.2">
      <c r="A255" s="345">
        <v>35277</v>
      </c>
      <c r="B255" s="78"/>
      <c r="C255" s="31"/>
      <c r="D255" s="78"/>
    </row>
    <row r="256" spans="1:4" x14ac:dyDescent="0.2">
      <c r="A256" s="345">
        <v>35308</v>
      </c>
      <c r="B256" s="78"/>
      <c r="C256" s="31"/>
      <c r="D256" s="78"/>
    </row>
    <row r="257" spans="1:4" x14ac:dyDescent="0.2">
      <c r="A257" s="345">
        <v>35338</v>
      </c>
      <c r="B257" s="78"/>
      <c r="C257" s="31"/>
      <c r="D257" s="78"/>
    </row>
    <row r="258" spans="1:4" x14ac:dyDescent="0.2">
      <c r="A258" s="345">
        <v>35369</v>
      </c>
      <c r="B258" s="78"/>
      <c r="C258" s="31"/>
      <c r="D258" s="78"/>
    </row>
    <row r="259" spans="1:4" x14ac:dyDescent="0.2">
      <c r="A259" s="345">
        <v>35399</v>
      </c>
      <c r="B259" s="78"/>
      <c r="C259" s="31"/>
      <c r="D259" s="78"/>
    </row>
    <row r="260" spans="1:4" x14ac:dyDescent="0.2">
      <c r="A260" s="345">
        <v>35430</v>
      </c>
      <c r="B260" s="78"/>
      <c r="C260" s="31"/>
      <c r="D260" s="78"/>
    </row>
    <row r="261" spans="1:4" x14ac:dyDescent="0.2">
      <c r="A261" s="345">
        <v>35461</v>
      </c>
      <c r="B261" s="78"/>
      <c r="C261" s="31"/>
      <c r="D261" s="78"/>
    </row>
    <row r="262" spans="1:4" x14ac:dyDescent="0.2">
      <c r="A262" s="345">
        <v>35489</v>
      </c>
      <c r="B262" s="78"/>
      <c r="C262" s="31"/>
      <c r="D262" s="78"/>
    </row>
    <row r="263" spans="1:4" x14ac:dyDescent="0.2">
      <c r="A263" s="345">
        <v>35520</v>
      </c>
      <c r="B263" s="78"/>
      <c r="C263" s="31"/>
      <c r="D263" s="78"/>
    </row>
    <row r="264" spans="1:4" x14ac:dyDescent="0.2">
      <c r="A264" s="345">
        <v>35550</v>
      </c>
      <c r="B264" s="78"/>
      <c r="C264" s="31"/>
      <c r="D264" s="78"/>
    </row>
    <row r="265" spans="1:4" x14ac:dyDescent="0.2">
      <c r="A265" s="345">
        <v>35581</v>
      </c>
      <c r="B265" s="78"/>
      <c r="C265" s="31"/>
      <c r="D265" s="78"/>
    </row>
    <row r="266" spans="1:4" x14ac:dyDescent="0.2">
      <c r="A266" s="345">
        <v>35611</v>
      </c>
      <c r="B266" s="78"/>
      <c r="C266" s="31"/>
      <c r="D266" s="78"/>
    </row>
    <row r="267" spans="1:4" x14ac:dyDescent="0.2">
      <c r="A267" s="345">
        <v>35642</v>
      </c>
      <c r="B267" s="78"/>
      <c r="C267" s="31"/>
      <c r="D267" s="78"/>
    </row>
    <row r="268" spans="1:4" x14ac:dyDescent="0.2">
      <c r="A268" s="345">
        <v>35673</v>
      </c>
      <c r="B268" s="78"/>
      <c r="C268" s="31"/>
      <c r="D268" s="78"/>
    </row>
    <row r="269" spans="1:4" x14ac:dyDescent="0.2">
      <c r="A269" s="345">
        <v>35703</v>
      </c>
      <c r="B269" s="78"/>
      <c r="C269" s="31"/>
      <c r="D269" s="78"/>
    </row>
    <row r="270" spans="1:4" x14ac:dyDescent="0.2">
      <c r="A270" s="345">
        <v>35734</v>
      </c>
      <c r="B270" s="78"/>
      <c r="C270" s="31"/>
      <c r="D270" s="78"/>
    </row>
    <row r="271" spans="1:4" x14ac:dyDescent="0.2">
      <c r="A271" s="345">
        <v>35764</v>
      </c>
      <c r="B271" s="78"/>
      <c r="C271" s="31"/>
      <c r="D271" s="78"/>
    </row>
    <row r="272" spans="1:4" x14ac:dyDescent="0.2">
      <c r="A272" s="345">
        <v>35795</v>
      </c>
      <c r="B272" s="78"/>
      <c r="C272" s="31"/>
      <c r="D272" s="78"/>
    </row>
    <row r="273" spans="1:4" x14ac:dyDescent="0.2">
      <c r="A273" s="345">
        <v>35826</v>
      </c>
      <c r="B273" s="78"/>
      <c r="C273" s="31"/>
      <c r="D273" s="78"/>
    </row>
    <row r="274" spans="1:4" x14ac:dyDescent="0.2">
      <c r="A274" s="345">
        <v>35854</v>
      </c>
      <c r="B274" s="78"/>
      <c r="C274" s="31"/>
      <c r="D274" s="78"/>
    </row>
    <row r="275" spans="1:4" x14ac:dyDescent="0.2">
      <c r="A275" s="345">
        <v>35885</v>
      </c>
      <c r="B275" s="78"/>
      <c r="C275" s="31"/>
      <c r="D275" s="78"/>
    </row>
    <row r="276" spans="1:4" x14ac:dyDescent="0.2">
      <c r="A276" s="345">
        <v>35915</v>
      </c>
      <c r="B276" s="78"/>
      <c r="C276" s="31"/>
      <c r="D276" s="78"/>
    </row>
    <row r="277" spans="1:4" x14ac:dyDescent="0.2">
      <c r="A277" s="345">
        <v>35946</v>
      </c>
      <c r="B277" s="78"/>
      <c r="C277" s="31"/>
      <c r="D277" s="78"/>
    </row>
    <row r="278" spans="1:4" x14ac:dyDescent="0.2">
      <c r="A278" s="345">
        <v>35976</v>
      </c>
      <c r="B278" s="78"/>
      <c r="C278" s="31"/>
      <c r="D278" s="78"/>
    </row>
    <row r="279" spans="1:4" x14ac:dyDescent="0.2">
      <c r="A279" s="345">
        <v>36007</v>
      </c>
      <c r="B279" s="78"/>
      <c r="C279" s="31"/>
      <c r="D279" s="78"/>
    </row>
    <row r="280" spans="1:4" x14ac:dyDescent="0.2">
      <c r="A280" s="345">
        <v>36038</v>
      </c>
      <c r="B280" s="78"/>
      <c r="C280" s="31"/>
      <c r="D280" s="78"/>
    </row>
    <row r="281" spans="1:4" x14ac:dyDescent="0.2">
      <c r="A281" s="345">
        <v>36068</v>
      </c>
      <c r="B281" s="78"/>
      <c r="C281" s="31"/>
      <c r="D281" s="78"/>
    </row>
    <row r="282" spans="1:4" x14ac:dyDescent="0.2">
      <c r="A282" s="345">
        <v>36099</v>
      </c>
      <c r="B282" s="78"/>
      <c r="C282" s="31"/>
      <c r="D282" s="78"/>
    </row>
    <row r="283" spans="1:4" x14ac:dyDescent="0.2">
      <c r="A283" s="345">
        <v>36129</v>
      </c>
      <c r="B283" s="78"/>
      <c r="C283" s="31"/>
      <c r="D283" s="78"/>
    </row>
    <row r="284" spans="1:4" x14ac:dyDescent="0.2">
      <c r="A284" s="345">
        <v>36160</v>
      </c>
      <c r="B284" s="78"/>
      <c r="C284" s="31"/>
      <c r="D284" s="78"/>
    </row>
    <row r="285" spans="1:4" x14ac:dyDescent="0.2">
      <c r="A285" s="345">
        <v>36191</v>
      </c>
      <c r="B285" s="78"/>
      <c r="C285" s="31"/>
      <c r="D285" s="78"/>
    </row>
    <row r="286" spans="1:4" x14ac:dyDescent="0.2">
      <c r="A286" s="345">
        <v>36219</v>
      </c>
      <c r="B286" s="78"/>
      <c r="C286" s="31"/>
      <c r="D286" s="78"/>
    </row>
    <row r="287" spans="1:4" x14ac:dyDescent="0.2">
      <c r="A287" s="345">
        <v>36250</v>
      </c>
      <c r="B287" s="78"/>
      <c r="C287" s="31"/>
      <c r="D287" s="78"/>
    </row>
    <row r="288" spans="1:4" x14ac:dyDescent="0.2">
      <c r="A288" s="345">
        <v>36280</v>
      </c>
      <c r="B288" s="78"/>
      <c r="C288" s="31"/>
      <c r="D288" s="78"/>
    </row>
    <row r="289" spans="1:4" x14ac:dyDescent="0.2">
      <c r="A289" s="345">
        <v>36311</v>
      </c>
      <c r="B289" s="78"/>
      <c r="C289" s="31"/>
      <c r="D289" s="78"/>
    </row>
    <row r="290" spans="1:4" x14ac:dyDescent="0.2">
      <c r="A290" s="345">
        <v>36341</v>
      </c>
      <c r="B290" s="78"/>
      <c r="C290" s="31"/>
      <c r="D290" s="78"/>
    </row>
    <row r="291" spans="1:4" x14ac:dyDescent="0.2">
      <c r="A291" s="345">
        <v>36372</v>
      </c>
      <c r="B291" s="78"/>
      <c r="C291" s="31"/>
      <c r="D291" s="78"/>
    </row>
    <row r="292" spans="1:4" x14ac:dyDescent="0.2">
      <c r="A292" s="345">
        <v>36403</v>
      </c>
      <c r="B292" s="78"/>
      <c r="C292" s="31"/>
      <c r="D292" s="78"/>
    </row>
    <row r="293" spans="1:4" x14ac:dyDescent="0.2">
      <c r="A293" s="345">
        <v>36433</v>
      </c>
      <c r="B293" s="78"/>
      <c r="C293" s="31"/>
      <c r="D293" s="78"/>
    </row>
    <row r="294" spans="1:4" x14ac:dyDescent="0.2">
      <c r="A294" s="345">
        <v>36464</v>
      </c>
      <c r="B294" s="78"/>
      <c r="C294" s="31"/>
      <c r="D294" s="78"/>
    </row>
    <row r="295" spans="1:4" x14ac:dyDescent="0.2">
      <c r="A295" s="345">
        <v>36494</v>
      </c>
      <c r="B295" s="78"/>
      <c r="C295" s="31"/>
      <c r="D295" s="78"/>
    </row>
    <row r="296" spans="1:4" x14ac:dyDescent="0.2">
      <c r="A296" s="345">
        <v>36525</v>
      </c>
      <c r="B296" s="78"/>
      <c r="C296" s="31"/>
      <c r="D296" s="78"/>
    </row>
    <row r="297" spans="1:4" x14ac:dyDescent="0.2">
      <c r="A297" s="345">
        <v>36556</v>
      </c>
      <c r="B297" s="78"/>
      <c r="C297" s="31"/>
      <c r="D297" s="78"/>
    </row>
    <row r="298" spans="1:4" x14ac:dyDescent="0.2">
      <c r="A298" s="345">
        <v>36585</v>
      </c>
      <c r="B298" s="78"/>
      <c r="C298" s="31"/>
      <c r="D298" s="78"/>
    </row>
    <row r="299" spans="1:4" x14ac:dyDescent="0.2">
      <c r="A299" s="345">
        <v>36616</v>
      </c>
      <c r="B299" s="78"/>
      <c r="C299" s="31"/>
      <c r="D299" s="78"/>
    </row>
    <row r="300" spans="1:4" x14ac:dyDescent="0.2">
      <c r="A300" s="345">
        <v>36646</v>
      </c>
      <c r="B300" s="78"/>
      <c r="C300" s="31"/>
      <c r="D300" s="78"/>
    </row>
    <row r="301" spans="1:4" x14ac:dyDescent="0.2">
      <c r="A301" s="345">
        <v>36677</v>
      </c>
      <c r="B301" s="78"/>
      <c r="C301" s="31"/>
      <c r="D301" s="78"/>
    </row>
    <row r="302" spans="1:4" x14ac:dyDescent="0.2">
      <c r="A302" s="345">
        <v>36707</v>
      </c>
      <c r="B302" s="78"/>
      <c r="C302" s="31"/>
      <c r="D302" s="78"/>
    </row>
    <row r="303" spans="1:4" x14ac:dyDescent="0.2">
      <c r="A303" s="345">
        <v>36738</v>
      </c>
      <c r="B303" s="78"/>
      <c r="C303" s="31"/>
      <c r="D303" s="78"/>
    </row>
    <row r="304" spans="1:4" x14ac:dyDescent="0.2">
      <c r="A304" s="345">
        <v>36769</v>
      </c>
      <c r="B304" s="78"/>
      <c r="C304" s="31"/>
      <c r="D304" s="78"/>
    </row>
    <row r="305" spans="1:4" x14ac:dyDescent="0.2">
      <c r="A305" s="345">
        <v>36799</v>
      </c>
      <c r="B305" s="78"/>
      <c r="C305" s="31"/>
      <c r="D305" s="78"/>
    </row>
    <row r="306" spans="1:4" x14ac:dyDescent="0.2">
      <c r="A306" s="345">
        <v>36830</v>
      </c>
      <c r="B306" s="78"/>
      <c r="C306" s="31"/>
      <c r="D306" s="78"/>
    </row>
    <row r="307" spans="1:4" x14ac:dyDescent="0.2">
      <c r="A307" s="345">
        <v>36860</v>
      </c>
      <c r="B307" s="78"/>
      <c r="C307" s="31"/>
      <c r="D307" s="78"/>
    </row>
    <row r="308" spans="1:4" x14ac:dyDescent="0.2">
      <c r="A308" s="345">
        <v>36891</v>
      </c>
      <c r="B308" s="78"/>
      <c r="C308" s="31"/>
      <c r="D308" s="78"/>
    </row>
    <row r="309" spans="1:4" x14ac:dyDescent="0.2">
      <c r="A309" s="345">
        <v>36922</v>
      </c>
      <c r="B309" s="78"/>
      <c r="C309" s="31"/>
      <c r="D309" s="78"/>
    </row>
    <row r="310" spans="1:4" x14ac:dyDescent="0.2">
      <c r="A310" s="345">
        <v>36950</v>
      </c>
      <c r="B310" s="78"/>
      <c r="C310" s="31"/>
      <c r="D310" s="78"/>
    </row>
    <row r="311" spans="1:4" x14ac:dyDescent="0.2">
      <c r="A311" s="345">
        <v>36981</v>
      </c>
      <c r="B311" s="78"/>
      <c r="C311" s="31"/>
      <c r="D311" s="78"/>
    </row>
    <row r="312" spans="1:4" x14ac:dyDescent="0.2">
      <c r="A312" s="345">
        <v>37011</v>
      </c>
      <c r="B312" s="78"/>
      <c r="C312" s="31"/>
      <c r="D312" s="78"/>
    </row>
    <row r="313" spans="1:4" x14ac:dyDescent="0.2">
      <c r="A313" s="345">
        <v>37042</v>
      </c>
      <c r="B313" s="78"/>
      <c r="C313" s="31"/>
      <c r="D313" s="78"/>
    </row>
    <row r="314" spans="1:4" x14ac:dyDescent="0.2">
      <c r="A314" s="345">
        <v>37072</v>
      </c>
      <c r="B314" s="78"/>
      <c r="C314" s="31"/>
      <c r="D314" s="78"/>
    </row>
    <row r="315" spans="1:4" x14ac:dyDescent="0.2">
      <c r="A315" s="345">
        <v>37103</v>
      </c>
      <c r="B315" s="78"/>
      <c r="C315" s="31"/>
      <c r="D315" s="78"/>
    </row>
    <row r="316" spans="1:4" x14ac:dyDescent="0.2">
      <c r="A316" s="345">
        <v>37134</v>
      </c>
      <c r="B316" s="78"/>
      <c r="C316" s="31"/>
      <c r="D316" s="78"/>
    </row>
    <row r="317" spans="1:4" x14ac:dyDescent="0.2">
      <c r="A317" s="345">
        <v>37164</v>
      </c>
      <c r="B317" s="78"/>
      <c r="C317" s="31"/>
      <c r="D317" s="78"/>
    </row>
    <row r="318" spans="1:4" x14ac:dyDescent="0.2">
      <c r="A318" s="345">
        <v>37195</v>
      </c>
      <c r="B318" s="78"/>
      <c r="C318" s="31"/>
      <c r="D318" s="78"/>
    </row>
    <row r="319" spans="1:4" x14ac:dyDescent="0.2">
      <c r="A319" s="345">
        <v>37225</v>
      </c>
      <c r="B319" s="78"/>
      <c r="C319" s="31"/>
      <c r="D319" s="78"/>
    </row>
    <row r="320" spans="1:4" x14ac:dyDescent="0.2">
      <c r="A320" s="345">
        <v>37256</v>
      </c>
      <c r="B320" s="78"/>
      <c r="C320" s="31"/>
      <c r="D320" s="78"/>
    </row>
    <row r="321" spans="1:4" x14ac:dyDescent="0.2">
      <c r="A321" s="345">
        <v>37287</v>
      </c>
      <c r="B321" s="78"/>
      <c r="C321" s="31"/>
      <c r="D321" s="78"/>
    </row>
    <row r="322" spans="1:4" x14ac:dyDescent="0.2">
      <c r="A322" s="345">
        <v>37315</v>
      </c>
      <c r="B322" s="78"/>
      <c r="C322" s="31"/>
      <c r="D322" s="78"/>
    </row>
    <row r="323" spans="1:4" x14ac:dyDescent="0.2">
      <c r="A323" s="345">
        <v>37346</v>
      </c>
      <c r="B323" s="78"/>
      <c r="C323" s="31"/>
      <c r="D323" s="78"/>
    </row>
    <row r="324" spans="1:4" x14ac:dyDescent="0.2">
      <c r="A324" s="345">
        <v>37376</v>
      </c>
      <c r="B324" s="78"/>
      <c r="C324" s="31"/>
      <c r="D324" s="78"/>
    </row>
    <row r="325" spans="1:4" x14ac:dyDescent="0.2">
      <c r="A325" s="345">
        <v>37407</v>
      </c>
      <c r="B325" s="78"/>
      <c r="C325" s="31"/>
      <c r="D325" s="78"/>
    </row>
    <row r="326" spans="1:4" x14ac:dyDescent="0.2">
      <c r="A326" s="345">
        <v>37437</v>
      </c>
      <c r="B326" s="78"/>
      <c r="C326" s="31"/>
      <c r="D326" s="78"/>
    </row>
    <row r="327" spans="1:4" x14ac:dyDescent="0.2">
      <c r="A327" s="345">
        <v>37468</v>
      </c>
      <c r="B327" s="78"/>
      <c r="C327" s="31"/>
      <c r="D327" s="78"/>
    </row>
    <row r="328" spans="1:4" x14ac:dyDescent="0.2">
      <c r="A328" s="345">
        <v>37499</v>
      </c>
      <c r="B328" s="78"/>
      <c r="C328" s="31"/>
      <c r="D328" s="78"/>
    </row>
    <row r="329" spans="1:4" x14ac:dyDescent="0.2">
      <c r="A329" s="345">
        <v>37529</v>
      </c>
      <c r="B329" s="78"/>
      <c r="C329" s="31"/>
      <c r="D329" s="78"/>
    </row>
    <row r="330" spans="1:4" x14ac:dyDescent="0.2">
      <c r="A330" s="345">
        <v>37560</v>
      </c>
      <c r="B330" s="78"/>
      <c r="C330" s="31"/>
      <c r="D330" s="78"/>
    </row>
    <row r="331" spans="1:4" x14ac:dyDescent="0.2">
      <c r="A331" s="345">
        <v>37590</v>
      </c>
      <c r="B331" s="78"/>
      <c r="C331" s="31"/>
      <c r="D331" s="78"/>
    </row>
    <row r="332" spans="1:4" x14ac:dyDescent="0.2">
      <c r="A332" s="345">
        <v>37621</v>
      </c>
      <c r="B332" s="78"/>
      <c r="C332" s="31"/>
      <c r="D332" s="78"/>
    </row>
    <row r="333" spans="1:4" x14ac:dyDescent="0.2">
      <c r="A333" s="345">
        <v>37652</v>
      </c>
      <c r="B333" s="78"/>
      <c r="C333" s="260"/>
      <c r="D333" s="78"/>
    </row>
    <row r="334" spans="1:4" x14ac:dyDescent="0.2">
      <c r="A334" s="345">
        <v>37680</v>
      </c>
      <c r="B334" s="78"/>
      <c r="C334" s="260"/>
      <c r="D334" s="78"/>
    </row>
    <row r="335" spans="1:4" x14ac:dyDescent="0.2">
      <c r="A335" s="345">
        <v>37711</v>
      </c>
      <c r="B335" s="78"/>
      <c r="C335" s="33"/>
      <c r="D335" s="78"/>
    </row>
    <row r="336" spans="1:4" x14ac:dyDescent="0.2">
      <c r="A336" s="345">
        <v>37741</v>
      </c>
      <c r="B336" s="78"/>
      <c r="C336" s="33"/>
      <c r="D336" s="78"/>
    </row>
    <row r="337" spans="1:4" x14ac:dyDescent="0.2">
      <c r="A337" s="345">
        <v>37772</v>
      </c>
      <c r="B337" s="78"/>
      <c r="C337" s="33"/>
      <c r="D337" s="78"/>
    </row>
    <row r="338" spans="1:4" x14ac:dyDescent="0.2">
      <c r="A338" s="345">
        <v>37802</v>
      </c>
      <c r="B338" s="78"/>
      <c r="C338" s="33"/>
      <c r="D338" s="78"/>
    </row>
    <row r="339" spans="1:4" x14ac:dyDescent="0.2">
      <c r="A339" s="345">
        <v>37833</v>
      </c>
      <c r="B339" s="78"/>
      <c r="C339" s="33"/>
      <c r="D339" s="78"/>
    </row>
    <row r="340" spans="1:4" x14ac:dyDescent="0.2">
      <c r="A340" s="345">
        <v>37864</v>
      </c>
      <c r="B340" s="78"/>
      <c r="C340" s="33"/>
      <c r="D340" s="78"/>
    </row>
    <row r="341" spans="1:4" x14ac:dyDescent="0.2">
      <c r="A341" s="345">
        <v>37894</v>
      </c>
      <c r="B341" s="78"/>
      <c r="C341" s="34"/>
      <c r="D341" s="78"/>
    </row>
    <row r="342" spans="1:4" x14ac:dyDescent="0.2">
      <c r="A342" s="345">
        <v>37925</v>
      </c>
      <c r="B342" s="78"/>
      <c r="C342" s="34"/>
      <c r="D342" s="78"/>
    </row>
    <row r="343" spans="1:4" x14ac:dyDescent="0.2">
      <c r="A343" s="345">
        <v>37955</v>
      </c>
      <c r="B343" s="78"/>
      <c r="C343" s="34"/>
      <c r="D343" s="78"/>
    </row>
    <row r="344" spans="1:4" x14ac:dyDescent="0.2">
      <c r="A344" s="345">
        <v>37986</v>
      </c>
      <c r="B344" s="78"/>
      <c r="C344" s="34"/>
      <c r="D344" s="78"/>
    </row>
    <row r="345" spans="1:4" x14ac:dyDescent="0.2">
      <c r="A345" s="345">
        <v>38017</v>
      </c>
      <c r="B345" s="78"/>
      <c r="C345" s="34"/>
      <c r="D345" s="78"/>
    </row>
    <row r="346" spans="1:4" x14ac:dyDescent="0.2">
      <c r="A346" s="345">
        <v>38046</v>
      </c>
      <c r="B346" s="78"/>
      <c r="C346" s="34"/>
      <c r="D346" s="78"/>
    </row>
    <row r="347" spans="1:4" x14ac:dyDescent="0.2">
      <c r="A347" s="345">
        <v>38077</v>
      </c>
      <c r="B347" s="253"/>
      <c r="C347" s="34"/>
      <c r="D347" s="255"/>
    </row>
    <row r="348" spans="1:4" x14ac:dyDescent="0.2">
      <c r="A348" s="345">
        <v>38107</v>
      </c>
      <c r="B348" s="253"/>
      <c r="C348" s="34"/>
      <c r="D348" s="253"/>
    </row>
    <row r="349" spans="1:4" x14ac:dyDescent="0.2">
      <c r="A349" s="345">
        <v>38138</v>
      </c>
      <c r="B349" s="253"/>
      <c r="C349" s="34"/>
      <c r="D349" s="253"/>
    </row>
    <row r="350" spans="1:4" x14ac:dyDescent="0.2">
      <c r="A350" s="345">
        <v>38168</v>
      </c>
      <c r="B350" s="253"/>
      <c r="C350" s="34"/>
      <c r="D350" s="253"/>
    </row>
    <row r="351" spans="1:4" x14ac:dyDescent="0.2">
      <c r="A351" s="345">
        <v>38199</v>
      </c>
      <c r="B351" s="253"/>
      <c r="C351" s="34"/>
      <c r="D351" s="253"/>
    </row>
    <row r="352" spans="1:4" x14ac:dyDescent="0.2">
      <c r="A352" s="345">
        <v>38230</v>
      </c>
      <c r="B352" s="253"/>
      <c r="C352" s="34"/>
      <c r="D352" s="253"/>
    </row>
    <row r="353" spans="1:6" x14ac:dyDescent="0.2">
      <c r="A353" s="345">
        <v>38260</v>
      </c>
      <c r="B353" s="253"/>
      <c r="C353" s="34"/>
      <c r="D353" s="253"/>
    </row>
    <row r="354" spans="1:6" x14ac:dyDescent="0.2">
      <c r="A354" s="345">
        <v>38291</v>
      </c>
      <c r="B354" s="253"/>
      <c r="C354" s="34"/>
      <c r="D354" s="253"/>
    </row>
    <row r="355" spans="1:6" x14ac:dyDescent="0.2">
      <c r="A355" s="345">
        <v>38321</v>
      </c>
      <c r="B355" s="253"/>
      <c r="C355" s="34"/>
      <c r="D355" s="253"/>
    </row>
    <row r="356" spans="1:6" x14ac:dyDescent="0.2">
      <c r="A356" s="345">
        <v>38352</v>
      </c>
      <c r="B356" s="253"/>
      <c r="C356" s="256"/>
      <c r="D356" s="253"/>
    </row>
    <row r="357" spans="1:6" x14ac:dyDescent="0.2">
      <c r="A357" s="345">
        <v>38383</v>
      </c>
      <c r="B357" s="253"/>
      <c r="C357" s="34"/>
      <c r="D357" s="253"/>
    </row>
    <row r="358" spans="1:6" x14ac:dyDescent="0.2">
      <c r="A358" s="345">
        <v>38411</v>
      </c>
      <c r="B358" s="253"/>
      <c r="C358" s="34"/>
      <c r="D358" s="253"/>
    </row>
    <row r="359" spans="1:6" x14ac:dyDescent="0.2">
      <c r="A359" s="345">
        <v>38442</v>
      </c>
      <c r="B359" s="253"/>
      <c r="C359" s="256"/>
      <c r="D359" s="253"/>
    </row>
    <row r="360" spans="1:6" x14ac:dyDescent="0.2">
      <c r="A360" s="345">
        <v>38472</v>
      </c>
      <c r="B360" s="253"/>
      <c r="C360" s="256"/>
      <c r="D360" s="253"/>
    </row>
    <row r="361" spans="1:6" x14ac:dyDescent="0.2">
      <c r="A361" s="345">
        <v>38503</v>
      </c>
      <c r="B361" s="253"/>
      <c r="C361" s="256"/>
      <c r="D361" s="253"/>
    </row>
    <row r="362" spans="1:6" x14ac:dyDescent="0.2">
      <c r="A362" s="345">
        <v>38533</v>
      </c>
      <c r="B362" s="253"/>
      <c r="C362" s="256"/>
      <c r="D362" s="253"/>
    </row>
    <row r="363" spans="1:6" x14ac:dyDescent="0.2">
      <c r="A363" s="345">
        <v>38564</v>
      </c>
      <c r="B363" s="253"/>
      <c r="C363" s="256"/>
      <c r="D363" s="253"/>
    </row>
    <row r="364" spans="1:6" x14ac:dyDescent="0.2">
      <c r="A364" s="345">
        <v>38595</v>
      </c>
      <c r="B364" s="253"/>
      <c r="C364" s="256"/>
      <c r="D364" s="253"/>
    </row>
    <row r="365" spans="1:6" x14ac:dyDescent="0.2">
      <c r="A365" s="345">
        <v>38625</v>
      </c>
      <c r="B365" s="253"/>
      <c r="C365" s="256"/>
      <c r="D365" s="253"/>
    </row>
    <row r="366" spans="1:6" x14ac:dyDescent="0.2">
      <c r="A366" s="345">
        <v>38656</v>
      </c>
      <c r="B366" s="1279">
        <v>-3.65</v>
      </c>
      <c r="C366" s="256">
        <v>662363124.12</v>
      </c>
      <c r="D366" s="256"/>
      <c r="E366" s="126">
        <f>B366-Index_Returns!U366</f>
        <v>-9.9999999999997868E-3</v>
      </c>
      <c r="F366" s="352"/>
    </row>
    <row r="367" spans="1:6" x14ac:dyDescent="0.2">
      <c r="A367" s="345">
        <v>38686</v>
      </c>
      <c r="B367" s="1279">
        <v>3.34</v>
      </c>
      <c r="C367" s="256">
        <v>684663922.08000004</v>
      </c>
      <c r="D367" s="256"/>
      <c r="E367" s="126">
        <f>B367-Index_Returns!U367</f>
        <v>-2.2000000000000242E-2</v>
      </c>
      <c r="F367" s="352"/>
    </row>
    <row r="368" spans="1:6" x14ac:dyDescent="0.2">
      <c r="A368" s="345">
        <v>38717</v>
      </c>
      <c r="B368" s="1279">
        <v>4.49</v>
      </c>
      <c r="C368" s="256">
        <v>715619646.86000001</v>
      </c>
      <c r="D368" s="256"/>
      <c r="E368" s="126">
        <f>B368-Index_Returns!U368</f>
        <v>-0.32099999999999973</v>
      </c>
      <c r="F368" s="352"/>
    </row>
    <row r="369" spans="1:6" x14ac:dyDescent="0.2">
      <c r="A369" s="345">
        <v>38748</v>
      </c>
      <c r="B369" s="1279">
        <v>7.12</v>
      </c>
      <c r="C369" s="256">
        <v>766539811.00999999</v>
      </c>
      <c r="D369" s="34"/>
      <c r="E369" s="126">
        <f>B369-Index_Returns!U369</f>
        <v>0.14799999999999969</v>
      </c>
      <c r="F369" s="352"/>
    </row>
    <row r="370" spans="1:6" x14ac:dyDescent="0.2">
      <c r="A370" s="345">
        <v>38776</v>
      </c>
      <c r="B370" s="1279">
        <v>-0.28000000000000003</v>
      </c>
      <c r="C370" s="256">
        <v>764389452.15999997</v>
      </c>
      <c r="D370" s="34"/>
      <c r="E370" s="126">
        <f>B370-Index_Returns!U370</f>
        <v>8.9999999999999525E-3</v>
      </c>
      <c r="F370" s="352"/>
    </row>
    <row r="371" spans="1:6" x14ac:dyDescent="0.2">
      <c r="A371" s="345">
        <v>38807</v>
      </c>
      <c r="B371" s="1279">
        <v>2.91</v>
      </c>
      <c r="C371" s="367">
        <v>787335223.55999994</v>
      </c>
      <c r="D371" s="253"/>
      <c r="E371" s="126">
        <f>B371-Index_Returns!U371</f>
        <v>5.0000000000003375E-3</v>
      </c>
      <c r="F371" s="352"/>
    </row>
    <row r="372" spans="1:6" x14ac:dyDescent="0.2">
      <c r="A372" s="345">
        <v>38837</v>
      </c>
      <c r="B372" s="1279">
        <v>5.38</v>
      </c>
      <c r="C372" s="367">
        <v>829682390.57000005</v>
      </c>
      <c r="D372" s="253"/>
      <c r="E372" s="126">
        <f>B372-Index_Returns!U372</f>
        <v>0.2240000000000002</v>
      </c>
      <c r="F372" s="352"/>
    </row>
    <row r="373" spans="1:6" x14ac:dyDescent="0.2">
      <c r="A373" s="345">
        <v>38868</v>
      </c>
      <c r="B373" s="1279">
        <v>-4.49</v>
      </c>
      <c r="C373" s="367">
        <v>792436994.03999996</v>
      </c>
      <c r="D373" s="253"/>
      <c r="E373" s="126">
        <f>B373-Index_Returns!U373</f>
        <v>0.12000000000000011</v>
      </c>
      <c r="F373" s="352"/>
    </row>
    <row r="374" spans="1:6" x14ac:dyDescent="0.2">
      <c r="A374" s="345">
        <v>38898</v>
      </c>
      <c r="B374" s="1279">
        <v>-0.15</v>
      </c>
      <c r="C374" s="612">
        <v>644226885.88999999</v>
      </c>
      <c r="D374" s="253"/>
      <c r="E374" s="126">
        <f>B374-Index_Returns!U374</f>
        <v>-4.9999999999999989E-2</v>
      </c>
      <c r="F374" s="352"/>
    </row>
    <row r="375" spans="1:6" x14ac:dyDescent="0.2">
      <c r="A375" s="345">
        <v>38929</v>
      </c>
      <c r="B375" s="1279">
        <v>1.18</v>
      </c>
      <c r="C375" s="34">
        <v>651806604.54999995</v>
      </c>
      <c r="D375" s="253"/>
      <c r="E375" s="126">
        <f>B375-Index_Returns!U375</f>
        <v>0.15700000000000003</v>
      </c>
      <c r="F375" s="352"/>
    </row>
    <row r="376" spans="1:6" x14ac:dyDescent="0.2">
      <c r="A376" s="345">
        <v>38960</v>
      </c>
      <c r="B376" s="1279">
        <v>2.7</v>
      </c>
      <c r="C376" s="34">
        <v>669384263.39999998</v>
      </c>
      <c r="D376" s="253"/>
      <c r="E376" s="126">
        <f>B376-Index_Returns!U376</f>
        <v>-0.1339999999999999</v>
      </c>
      <c r="F376" s="352"/>
    </row>
    <row r="377" spans="1:6" x14ac:dyDescent="0.2">
      <c r="A377" s="345">
        <v>38990</v>
      </c>
      <c r="B377" s="1279">
        <v>0.11</v>
      </c>
      <c r="C377" s="34">
        <v>670709825.35000002</v>
      </c>
      <c r="D377" s="253"/>
      <c r="E377" s="126">
        <f>B377-Index_Returns!U377</f>
        <v>4.4999999999999998E-2</v>
      </c>
      <c r="F377" s="352"/>
    </row>
    <row r="378" spans="1:6" x14ac:dyDescent="0.2">
      <c r="A378" s="345">
        <v>39021</v>
      </c>
      <c r="B378" s="1279">
        <v>3.99</v>
      </c>
      <c r="C378" s="34">
        <v>658377798.29999995</v>
      </c>
      <c r="D378" s="253"/>
      <c r="E378" s="126">
        <f>B378-Index_Returns!U378</f>
        <v>-8.1999999999999851E-2</v>
      </c>
      <c r="F378" s="352"/>
    </row>
    <row r="379" spans="1:6" x14ac:dyDescent="0.2">
      <c r="A379" s="345">
        <v>39051</v>
      </c>
      <c r="B379" s="1279">
        <v>1.4</v>
      </c>
      <c r="C379" s="34">
        <v>667595341.20000005</v>
      </c>
      <c r="D379" s="253"/>
      <c r="E379" s="126">
        <f>B379-Index_Returns!U379</f>
        <v>-2.2309999999999999</v>
      </c>
      <c r="F379" s="352"/>
    </row>
    <row r="380" spans="1:6" x14ac:dyDescent="0.2">
      <c r="A380" s="345">
        <v>39082</v>
      </c>
      <c r="B380" s="1279">
        <v>5.01</v>
      </c>
      <c r="C380" s="703">
        <v>701657841.66999996</v>
      </c>
      <c r="D380" s="253"/>
      <c r="E380" s="126">
        <f>B380-Index_Returns!U380</f>
        <v>1.8939999999999997</v>
      </c>
      <c r="F380" s="352"/>
    </row>
    <row r="381" spans="1:6" x14ac:dyDescent="0.2">
      <c r="A381" s="345">
        <v>39113</v>
      </c>
      <c r="B381" s="1279">
        <v>0.44</v>
      </c>
      <c r="C381" s="770">
        <v>704722368.35000002</v>
      </c>
      <c r="E381" s="126">
        <f>B381-Index_Returns!U381</f>
        <v>6.7000000000000004E-2</v>
      </c>
      <c r="F381" s="352"/>
    </row>
    <row r="382" spans="1:6" x14ac:dyDescent="0.2">
      <c r="A382" s="345">
        <v>39141</v>
      </c>
      <c r="B382" s="1279">
        <v>0.59</v>
      </c>
      <c r="C382" s="770">
        <v>708910286.52999997</v>
      </c>
      <c r="E382" s="126">
        <f>B382-Index_Returns!U382</f>
        <v>-2.0000000000000018E-2</v>
      </c>
      <c r="F382" s="352"/>
    </row>
    <row r="383" spans="1:6" x14ac:dyDescent="0.2">
      <c r="A383" s="345">
        <v>39172</v>
      </c>
      <c r="B383" s="1279">
        <v>2.4900000000000002</v>
      </c>
      <c r="C383" s="770">
        <v>727209261.97000003</v>
      </c>
      <c r="E383" s="126">
        <f>B383-Index_Returns!U383</f>
        <v>-0.32699999999999996</v>
      </c>
      <c r="F383" s="352"/>
    </row>
    <row r="384" spans="1:6" x14ac:dyDescent="0.2">
      <c r="A384" s="345">
        <v>39202</v>
      </c>
      <c r="B384" s="1279">
        <v>4.79</v>
      </c>
      <c r="C384" s="770">
        <v>762029064.60000002</v>
      </c>
      <c r="E384" s="126">
        <f>B384-Index_Returns!U384</f>
        <v>0.15300000000000047</v>
      </c>
      <c r="F384" s="352"/>
    </row>
    <row r="385" spans="1:6" x14ac:dyDescent="0.2">
      <c r="A385" s="345">
        <v>39233</v>
      </c>
      <c r="B385" s="1279">
        <v>2.88</v>
      </c>
      <c r="C385" s="770">
        <v>783988945.20000005</v>
      </c>
      <c r="E385" s="126">
        <f>B385-Index_Returns!U385</f>
        <v>0.13899999999999979</v>
      </c>
      <c r="F385" s="352"/>
    </row>
    <row r="386" spans="1:6" x14ac:dyDescent="0.2">
      <c r="A386" s="345">
        <v>39263</v>
      </c>
      <c r="B386" s="1279">
        <v>0.77</v>
      </c>
      <c r="C386" s="770">
        <v>790728684.00999999</v>
      </c>
      <c r="E386" s="126">
        <f>B386-Index_Returns!U386</f>
        <v>-8.0999999999999961E-2</v>
      </c>
      <c r="F386" s="352"/>
    </row>
    <row r="387" spans="1:6" x14ac:dyDescent="0.2">
      <c r="A387" s="345">
        <v>39294</v>
      </c>
      <c r="B387" s="1279">
        <v>-0.26</v>
      </c>
      <c r="C387" s="770">
        <v>788670770.41999996</v>
      </c>
      <c r="E387" s="126">
        <f>B387-Index_Returns!U387</f>
        <v>2.4999999999999967E-2</v>
      </c>
      <c r="F387" s="352"/>
    </row>
    <row r="388" spans="1:6" x14ac:dyDescent="0.2">
      <c r="A388" s="345">
        <v>39325</v>
      </c>
      <c r="B388" s="1279">
        <v>-1.89</v>
      </c>
      <c r="C388" s="346">
        <v>773748679.58000004</v>
      </c>
      <c r="E388" s="126">
        <f>B388-Index_Returns!U388</f>
        <v>-0.35499999999999998</v>
      </c>
      <c r="F388" s="352"/>
    </row>
    <row r="389" spans="1:6" x14ac:dyDescent="0.2">
      <c r="A389" s="345">
        <v>39355</v>
      </c>
      <c r="B389" s="1279">
        <v>5.84</v>
      </c>
      <c r="C389" s="346">
        <v>819685140.13</v>
      </c>
      <c r="E389" s="126">
        <f>B389-Index_Returns!U389</f>
        <v>-0.78200000000000003</v>
      </c>
      <c r="F389" s="352"/>
    </row>
    <row r="390" spans="1:6" x14ac:dyDescent="0.2">
      <c r="A390" s="345">
        <v>39386</v>
      </c>
      <c r="B390" s="1279">
        <v>5.74</v>
      </c>
      <c r="C390" s="346">
        <v>866766727.22000003</v>
      </c>
      <c r="E390" s="126">
        <f>B390-Index_Returns!U390</f>
        <v>0.15800000000000036</v>
      </c>
      <c r="F390" s="352"/>
    </row>
    <row r="391" spans="1:6" x14ac:dyDescent="0.2">
      <c r="A391" s="345">
        <v>39416</v>
      </c>
      <c r="B391" s="1279">
        <v>-5.69</v>
      </c>
      <c r="C391" s="346">
        <v>817432826.48000002</v>
      </c>
      <c r="E391" s="126">
        <f>B391-Index_Returns!U391</f>
        <v>-1.1970000000000001</v>
      </c>
      <c r="F391" s="352"/>
    </row>
    <row r="392" spans="1:6" x14ac:dyDescent="0.2">
      <c r="A392" s="345">
        <v>39447</v>
      </c>
      <c r="B392" s="1279">
        <v>-1.89</v>
      </c>
      <c r="C392" s="346">
        <v>802679222</v>
      </c>
      <c r="E392" s="126">
        <f>B392-Index_Returns!U392</f>
        <v>-0.44499999999999984</v>
      </c>
      <c r="F392" s="352"/>
    </row>
    <row r="393" spans="1:6" x14ac:dyDescent="0.2">
      <c r="A393" s="345">
        <v>39478</v>
      </c>
      <c r="B393" s="1279">
        <v>-9.4499999999999993</v>
      </c>
      <c r="C393" s="346">
        <v>726853664.77999997</v>
      </c>
      <c r="E393" s="126">
        <f>B393-Index_Returns!U393</f>
        <v>0.22600000000000087</v>
      </c>
      <c r="F393" s="352"/>
    </row>
    <row r="394" spans="1:6" x14ac:dyDescent="0.2">
      <c r="A394" s="345">
        <v>39507</v>
      </c>
      <c r="B394" s="1279">
        <v>3.63</v>
      </c>
      <c r="C394" s="346">
        <v>753233586.20000005</v>
      </c>
      <c r="E394" s="126">
        <f>B394-Index_Returns!U394</f>
        <v>0.73199999999999976</v>
      </c>
      <c r="F394" s="352"/>
    </row>
    <row r="395" spans="1:6" x14ac:dyDescent="0.2">
      <c r="A395" s="345">
        <v>39538</v>
      </c>
      <c r="B395" s="1279">
        <v>-2.44</v>
      </c>
      <c r="C395" s="346">
        <v>735517235.10000002</v>
      </c>
      <c r="E395" s="126">
        <f>B395-Index_Returns!U395</f>
        <v>-0.28399999999999981</v>
      </c>
      <c r="F395" s="352"/>
    </row>
    <row r="396" spans="1:6" x14ac:dyDescent="0.2">
      <c r="A396" s="345">
        <v>39568</v>
      </c>
      <c r="B396" s="1279">
        <v>5.67</v>
      </c>
      <c r="C396" s="346">
        <v>777226449.05999994</v>
      </c>
      <c r="E396" s="126">
        <f>B396-Index_Returns!U396</f>
        <v>-0.48399999999999999</v>
      </c>
      <c r="F396" s="352"/>
    </row>
    <row r="397" spans="1:6" x14ac:dyDescent="0.2">
      <c r="A397" s="345">
        <v>39599</v>
      </c>
      <c r="B397" s="1279">
        <v>1.79</v>
      </c>
      <c r="C397" s="346">
        <v>791130267.38999999</v>
      </c>
      <c r="E397" s="126">
        <f>B397-Index_Returns!U397</f>
        <v>5.699999999999994E-2</v>
      </c>
      <c r="F397" s="352"/>
    </row>
    <row r="398" spans="1:6" x14ac:dyDescent="0.2">
      <c r="A398" s="345">
        <v>39629</v>
      </c>
      <c r="B398" s="1279">
        <v>-7.55</v>
      </c>
      <c r="C398" s="346">
        <v>732052722.32000005</v>
      </c>
      <c r="E398" s="126">
        <f>B398-Index_Returns!U398</f>
        <v>0.64699999999999935</v>
      </c>
      <c r="F398" s="352"/>
    </row>
    <row r="399" spans="1:6" x14ac:dyDescent="0.2">
      <c r="A399" s="345">
        <v>39660</v>
      </c>
      <c r="B399" s="1279">
        <v>-3.69</v>
      </c>
      <c r="C399" s="367">
        <v>705019308.62</v>
      </c>
      <c r="E399" s="126">
        <f>B399-Index_Returns!U399</f>
        <v>-0.11399999999999988</v>
      </c>
      <c r="F399" s="352"/>
    </row>
    <row r="400" spans="1:6" x14ac:dyDescent="0.2">
      <c r="A400" s="345">
        <v>39691</v>
      </c>
      <c r="B400" s="1279">
        <v>-5.23</v>
      </c>
      <c r="C400" s="367">
        <v>668139732.11000001</v>
      </c>
      <c r="E400" s="126">
        <f>B400-Index_Returns!U400</f>
        <v>-0.57900000000000063</v>
      </c>
      <c r="F400" s="352"/>
    </row>
    <row r="401" spans="1:6" x14ac:dyDescent="0.2">
      <c r="A401" s="345">
        <v>39721</v>
      </c>
      <c r="B401" s="1279">
        <v>-15.69</v>
      </c>
      <c r="C401" s="367">
        <v>563830036.12</v>
      </c>
      <c r="E401" s="126">
        <f>B401-Index_Returns!U401</f>
        <v>-0.69999999999999929</v>
      </c>
      <c r="F401" s="352"/>
    </row>
    <row r="402" spans="1:6" x14ac:dyDescent="0.2">
      <c r="A402" s="345">
        <v>39752</v>
      </c>
      <c r="B402" s="1279">
        <v>-21.96</v>
      </c>
      <c r="C402" s="346">
        <v>440007201</v>
      </c>
      <c r="E402" s="126">
        <f>B402-Index_Returns!U402</f>
        <v>4.8999999999999488E-2</v>
      </c>
      <c r="F402" s="352"/>
    </row>
    <row r="403" spans="1:6" x14ac:dyDescent="0.2">
      <c r="A403" s="345">
        <v>39782</v>
      </c>
      <c r="B403" s="1279">
        <v>-5.26</v>
      </c>
      <c r="C403" s="346">
        <v>416870184</v>
      </c>
      <c r="E403" s="126">
        <f>B403-Index_Returns!U403</f>
        <v>0.48399999999999999</v>
      </c>
      <c r="F403" s="352"/>
    </row>
    <row r="404" spans="1:6" x14ac:dyDescent="0.2">
      <c r="A404" s="345">
        <v>39813</v>
      </c>
      <c r="B404" s="1279">
        <v>5.33</v>
      </c>
      <c r="C404" s="346">
        <v>439474944</v>
      </c>
      <c r="E404" s="126">
        <f>B404-Index_Returns!U404</f>
        <v>-0.38699999999999957</v>
      </c>
      <c r="F404" s="352"/>
    </row>
    <row r="405" spans="1:6" x14ac:dyDescent="0.2">
      <c r="A405" s="345">
        <v>39844</v>
      </c>
      <c r="B405" s="1279">
        <v>-8.94</v>
      </c>
      <c r="C405" s="346">
        <v>400180091.42000002</v>
      </c>
      <c r="D405" s="258">
        <v>-8.9413</v>
      </c>
      <c r="E405" s="126">
        <f>B405-Index_Returns!U405</f>
        <v>-0.12599999999999945</v>
      </c>
      <c r="F405" s="352"/>
    </row>
    <row r="406" spans="1:6" x14ac:dyDescent="0.2">
      <c r="A406" s="345">
        <v>39872</v>
      </c>
      <c r="B406" s="1279">
        <v>-9.2100000000000009</v>
      </c>
      <c r="C406" s="346">
        <v>363309905.16000003</v>
      </c>
      <c r="D406" s="258">
        <v>-9.2100000000000009</v>
      </c>
      <c r="E406" s="126">
        <f>B406-Index_Returns!U406</f>
        <v>9.1999999999998749E-2</v>
      </c>
      <c r="F406" s="352"/>
    </row>
    <row r="407" spans="1:6" x14ac:dyDescent="0.2">
      <c r="A407" s="345">
        <v>39903</v>
      </c>
      <c r="B407" s="1279">
        <v>7.68</v>
      </c>
      <c r="C407" s="346">
        <v>391554823.63</v>
      </c>
      <c r="D407" s="258">
        <v>7.77</v>
      </c>
      <c r="E407" s="126">
        <f>B407-Index_Returns!U407</f>
        <v>-0.39300000000000068</v>
      </c>
      <c r="F407" s="352"/>
    </row>
    <row r="408" spans="1:6" x14ac:dyDescent="0.2">
      <c r="A408" s="345">
        <v>39933</v>
      </c>
      <c r="B408" s="1279">
        <v>13.58</v>
      </c>
      <c r="C408" s="346">
        <v>296997052.95999998</v>
      </c>
      <c r="E408" s="126">
        <f>B408-Index_Returns!U408</f>
        <v>-0.17300000000000004</v>
      </c>
      <c r="F408" s="352"/>
    </row>
    <row r="409" spans="1:6" x14ac:dyDescent="0.2">
      <c r="A409" s="345">
        <v>39964</v>
      </c>
      <c r="B409" s="1279">
        <v>13.22</v>
      </c>
      <c r="C409" s="346">
        <v>336262964.19999999</v>
      </c>
      <c r="E409" s="126">
        <f>B409-Index_Returns!U409</f>
        <v>-0.46799999999999997</v>
      </c>
      <c r="F409" s="352"/>
    </row>
    <row r="410" spans="1:6" x14ac:dyDescent="0.2">
      <c r="A410" s="345">
        <v>39994</v>
      </c>
      <c r="B410" s="1279">
        <v>-0.99</v>
      </c>
      <c r="C410" s="346">
        <v>333221296.97000003</v>
      </c>
      <c r="E410" s="126">
        <f>B410-Index_Returns!U410</f>
        <v>8.2000000000000073E-2</v>
      </c>
      <c r="F410" s="352"/>
    </row>
    <row r="411" spans="1:6" x14ac:dyDescent="0.2">
      <c r="A411" s="345">
        <v>40025</v>
      </c>
      <c r="B411" s="1279">
        <v>9.6</v>
      </c>
      <c r="C411" s="346">
        <v>365215231.18000001</v>
      </c>
      <c r="D411" s="258">
        <v>9.6013999999999999</v>
      </c>
      <c r="E411" s="126">
        <f>B411-Index_Returns!U411</f>
        <v>-0.20700000000000074</v>
      </c>
      <c r="F411" s="352"/>
    </row>
    <row r="412" spans="1:6" x14ac:dyDescent="0.2">
      <c r="A412" s="345">
        <v>40056</v>
      </c>
      <c r="B412" s="1279">
        <v>3.55</v>
      </c>
      <c r="C412" s="346">
        <v>378164345.52999997</v>
      </c>
      <c r="D412" s="258">
        <v>3.5455999999999999</v>
      </c>
      <c r="E412" s="126">
        <f>B412-Index_Returns!U412</f>
        <v>-0.17100000000000026</v>
      </c>
      <c r="F412" s="352"/>
    </row>
    <row r="413" spans="1:6" x14ac:dyDescent="0.2">
      <c r="A413" s="345">
        <v>40086</v>
      </c>
      <c r="B413" s="1279">
        <v>4.91</v>
      </c>
      <c r="C413" s="346">
        <v>396932221</v>
      </c>
      <c r="D413" s="258">
        <v>4.96</v>
      </c>
      <c r="E413" s="126">
        <f>B413-Index_Returns!U413</f>
        <v>-0.24800000000000022</v>
      </c>
      <c r="F413" s="352"/>
    </row>
    <row r="414" spans="1:6" x14ac:dyDescent="0.2">
      <c r="A414" s="345">
        <v>40117</v>
      </c>
      <c r="B414" s="1279">
        <v>-1.02</v>
      </c>
      <c r="C414" s="346">
        <v>582458750</v>
      </c>
      <c r="D414" s="258">
        <v>-0.7</v>
      </c>
      <c r="E414" s="126">
        <f>B414-Index_Returns!U414</f>
        <v>0.20999999999999996</v>
      </c>
      <c r="F414" s="352"/>
    </row>
    <row r="415" spans="1:6" x14ac:dyDescent="0.2">
      <c r="A415" s="345">
        <v>40147</v>
      </c>
      <c r="B415" s="1279">
        <v>2.72</v>
      </c>
      <c r="C415" s="346">
        <v>598293191</v>
      </c>
      <c r="D415" s="258">
        <v>2.7189999999999999</v>
      </c>
      <c r="E415" s="126">
        <f>B415-Index_Returns!U415</f>
        <v>-0.16899999999999959</v>
      </c>
      <c r="F415" s="352"/>
    </row>
    <row r="416" spans="1:6" x14ac:dyDescent="0.2">
      <c r="A416" s="345">
        <v>40178</v>
      </c>
      <c r="B416" s="1279">
        <v>2.27</v>
      </c>
      <c r="C416" s="346">
        <v>611898886.11000001</v>
      </c>
      <c r="D416" s="258">
        <v>2.2740900000000002</v>
      </c>
      <c r="E416" s="126">
        <f>B416-Index_Returns!U416</f>
        <v>0.14100000000000001</v>
      </c>
      <c r="F416" s="352"/>
    </row>
    <row r="417" spans="1:6" x14ac:dyDescent="0.2">
      <c r="A417" s="345">
        <v>40209</v>
      </c>
      <c r="B417" s="253">
        <v>-4.9800000000000004</v>
      </c>
      <c r="C417" s="346">
        <v>581440832.19000006</v>
      </c>
      <c r="D417" s="258">
        <v>-4.9776300000000004</v>
      </c>
      <c r="E417" s="126">
        <f>B417-Index_Returns!U417</f>
        <v>-0.10500000000000043</v>
      </c>
      <c r="F417" s="352"/>
    </row>
    <row r="418" spans="1:6" x14ac:dyDescent="0.2">
      <c r="A418" s="345">
        <v>40237</v>
      </c>
      <c r="B418" s="253">
        <v>-0.14000000000000001</v>
      </c>
      <c r="C418" s="346">
        <v>580630158.08000004</v>
      </c>
      <c r="D418" s="258">
        <v>-0.13943</v>
      </c>
      <c r="E418" s="126">
        <f>B418-Index_Returns!U418</f>
        <v>-0.15400000000000003</v>
      </c>
      <c r="F418" s="352"/>
    </row>
    <row r="419" spans="1:6" x14ac:dyDescent="0.2">
      <c r="A419" s="345">
        <v>40268</v>
      </c>
      <c r="B419" s="253">
        <v>7.17</v>
      </c>
      <c r="C419" s="1287">
        <v>622243294.57000005</v>
      </c>
      <c r="D419" s="1286">
        <v>7.1668900000000004</v>
      </c>
      <c r="E419" s="126">
        <f>B419-Index_Returns!U419</f>
        <v>0.31599999999999984</v>
      </c>
      <c r="F419" s="352"/>
    </row>
    <row r="420" spans="1:6" x14ac:dyDescent="0.2">
      <c r="A420" s="345">
        <v>40298</v>
      </c>
      <c r="B420" s="253">
        <v>-0.72</v>
      </c>
      <c r="C420" s="346">
        <v>617745658.29999995</v>
      </c>
      <c r="D420" s="258">
        <v>-0.58409999999999995</v>
      </c>
      <c r="E420" s="126">
        <f>B420-Index_Returns!U420</f>
        <v>9.2999999999999972E-2</v>
      </c>
      <c r="F420" s="352"/>
    </row>
    <row r="421" spans="1:6" x14ac:dyDescent="0.2">
      <c r="A421" s="345">
        <v>40329</v>
      </c>
      <c r="B421" s="253">
        <v>-10.71</v>
      </c>
      <c r="C421" s="346">
        <v>551557397.79999995</v>
      </c>
      <c r="D421" s="258">
        <v>-10.71448</v>
      </c>
      <c r="E421" s="126">
        <f>B421-Index_Returns!U421</f>
        <v>-0.29600000000000115</v>
      </c>
      <c r="F421" s="352"/>
    </row>
    <row r="422" spans="1:6" x14ac:dyDescent="0.2">
      <c r="A422" s="345">
        <v>40359</v>
      </c>
      <c r="B422" s="253">
        <v>-0.86</v>
      </c>
      <c r="C422" s="346">
        <v>546823292.50999999</v>
      </c>
      <c r="D422" s="258">
        <v>-0.85831999999999997</v>
      </c>
      <c r="E422" s="126">
        <f>B422-Index_Returns!U422</f>
        <v>0.39699999999999991</v>
      </c>
      <c r="F422" s="352"/>
    </row>
    <row r="423" spans="1:6" x14ac:dyDescent="0.2">
      <c r="A423" s="345">
        <v>40390</v>
      </c>
      <c r="B423" s="253">
        <v>8.99</v>
      </c>
      <c r="C423" s="346">
        <v>595400646.10000002</v>
      </c>
      <c r="D423" s="258">
        <v>8.8835599999999992</v>
      </c>
      <c r="E423" s="126">
        <f>B423-Index_Returns!U423</f>
        <v>-6.7999999999999616E-2</v>
      </c>
      <c r="F423" s="352"/>
    </row>
    <row r="424" spans="1:6" x14ac:dyDescent="0.2">
      <c r="A424" s="345">
        <v>40421</v>
      </c>
      <c r="B424" s="253">
        <v>-3.3408799999999998</v>
      </c>
      <c r="C424" s="346">
        <v>575509012.45000005</v>
      </c>
      <c r="D424" s="258">
        <v>-3.3408799999999998</v>
      </c>
      <c r="E424" s="126">
        <f>B424-Index_Returns!U424</f>
        <v>-0.61387999999999998</v>
      </c>
      <c r="F424" s="352"/>
    </row>
    <row r="425" spans="1:6" x14ac:dyDescent="0.2">
      <c r="A425" s="345">
        <v>40451</v>
      </c>
      <c r="B425" s="253"/>
      <c r="C425" s="346">
        <v>1221442.22</v>
      </c>
      <c r="E425" s="126">
        <f>B425-Index_Returns!U425</f>
        <v>-9.9719999999999995</v>
      </c>
    </row>
    <row r="426" spans="1:6" x14ac:dyDescent="0.2">
      <c r="A426" s="345">
        <v>40482</v>
      </c>
      <c r="B426" s="253"/>
      <c r="C426" s="346">
        <v>33410.089999999997</v>
      </c>
      <c r="E426" s="126">
        <f>B426-Index_Returns!U426</f>
        <v>-3.41628</v>
      </c>
    </row>
    <row r="427" spans="1:6" x14ac:dyDescent="0.2">
      <c r="A427" s="345">
        <v>40512</v>
      </c>
      <c r="B427" s="253"/>
      <c r="C427" s="346"/>
      <c r="E427" s="126">
        <f>B427-Index_Returns!U427</f>
        <v>3.8372799999999998</v>
      </c>
    </row>
    <row r="428" spans="1:6" x14ac:dyDescent="0.2">
      <c r="A428" s="345">
        <v>40543</v>
      </c>
      <c r="B428" s="253"/>
      <c r="C428" s="346"/>
      <c r="E428" s="126">
        <f>B428-Index_Returns!U428</f>
        <v>-7.8455700000000004</v>
      </c>
    </row>
  </sheetData>
  <phoneticPr fontId="3" type="noConversion"/>
  <printOptions headings="1" gridLines="1"/>
  <pageMargins left="0.75" right="0.75" top="1" bottom="1" header="0.5" footer="0.5"/>
  <pageSetup scale="12" orientation="portrait" r:id="rId1"/>
  <headerFooter alignWithMargins="0">
    <oddHeader>&amp;L&amp;A</oddHeader>
  </headerFooter>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rgb="FFFF0000"/>
    <pageSetUpPr fitToPage="1"/>
  </sheetPr>
  <dimension ref="A1:I428"/>
  <sheetViews>
    <sheetView workbookViewId="0">
      <pane xSplit="1" ySplit="2" topLeftCell="B393" activePane="bottomRight" state="frozen"/>
      <selection activeCell="D423" sqref="D423"/>
      <selection pane="topRight" activeCell="D423" sqref="D423"/>
      <selection pane="bottomLeft" activeCell="D423" sqref="D423"/>
      <selection pane="bottomRight" activeCell="B420" sqref="B420:B428"/>
    </sheetView>
  </sheetViews>
  <sheetFormatPr defaultRowHeight="12.75" x14ac:dyDescent="0.2"/>
  <cols>
    <col min="1" max="1" width="18.7109375" style="21" customWidth="1"/>
    <col min="2" max="2" width="18.7109375" style="257" customWidth="1"/>
    <col min="3" max="3" width="18.7109375" style="5" customWidth="1"/>
    <col min="4" max="5" width="18.7109375" style="258" customWidth="1"/>
    <col min="6" max="6" width="12.85546875" bestFit="1" customWidth="1"/>
    <col min="7" max="8" width="9.140625" style="352"/>
  </cols>
  <sheetData>
    <row r="1" spans="1:5" x14ac:dyDescent="0.2">
      <c r="A1" s="265" t="s">
        <v>63</v>
      </c>
      <c r="B1" s="321" t="s">
        <v>505</v>
      </c>
      <c r="C1" s="20" t="s">
        <v>64</v>
      </c>
      <c r="D1" s="252" t="e">
        <f>Fees!F241</f>
        <v>#REF!</v>
      </c>
      <c r="E1" s="74" t="s">
        <v>81</v>
      </c>
    </row>
    <row r="2" spans="1:5" x14ac:dyDescent="0.2">
      <c r="A2" s="3" t="s">
        <v>27</v>
      </c>
      <c r="B2" s="71" t="s">
        <v>91</v>
      </c>
      <c r="C2" s="3" t="s">
        <v>92</v>
      </c>
      <c r="D2" s="71" t="s">
        <v>90</v>
      </c>
      <c r="E2" s="71" t="s">
        <v>80</v>
      </c>
    </row>
    <row r="3" spans="1:5" x14ac:dyDescent="0.2">
      <c r="A3" s="345">
        <v>27606</v>
      </c>
      <c r="B3" s="71"/>
      <c r="C3" s="226"/>
      <c r="D3" s="71"/>
      <c r="E3" s="71"/>
    </row>
    <row r="4" spans="1:5" x14ac:dyDescent="0.2">
      <c r="A4" s="345">
        <v>27637</v>
      </c>
      <c r="B4" s="71"/>
      <c r="C4" s="226"/>
      <c r="D4" s="71"/>
      <c r="E4" s="71"/>
    </row>
    <row r="5" spans="1:5" x14ac:dyDescent="0.2">
      <c r="A5" s="345">
        <v>27667</v>
      </c>
      <c r="B5" s="71"/>
      <c r="C5" s="226"/>
      <c r="D5" s="71"/>
      <c r="E5" s="71"/>
    </row>
    <row r="6" spans="1:5" x14ac:dyDescent="0.2">
      <c r="A6" s="345">
        <v>27698</v>
      </c>
      <c r="B6" s="71"/>
      <c r="C6" s="226"/>
      <c r="D6" s="71"/>
      <c r="E6" s="71"/>
    </row>
    <row r="7" spans="1:5" x14ac:dyDescent="0.2">
      <c r="A7" s="345">
        <v>27728</v>
      </c>
      <c r="B7" s="71"/>
      <c r="C7" s="226"/>
      <c r="D7" s="71"/>
      <c r="E7" s="71"/>
    </row>
    <row r="8" spans="1:5" x14ac:dyDescent="0.2">
      <c r="A8" s="345">
        <v>27759</v>
      </c>
      <c r="B8" s="71"/>
      <c r="C8" s="226"/>
      <c r="D8" s="71"/>
      <c r="E8" s="71"/>
    </row>
    <row r="9" spans="1:5" x14ac:dyDescent="0.2">
      <c r="A9" s="345">
        <v>27790</v>
      </c>
      <c r="B9" s="71"/>
      <c r="C9" s="226"/>
      <c r="D9" s="71"/>
      <c r="E9" s="71"/>
    </row>
    <row r="10" spans="1:5" x14ac:dyDescent="0.2">
      <c r="A10" s="345">
        <v>27819</v>
      </c>
      <c r="B10" s="71"/>
      <c r="C10" s="226"/>
      <c r="D10" s="71"/>
      <c r="E10" s="71"/>
    </row>
    <row r="11" spans="1:5" x14ac:dyDescent="0.2">
      <c r="A11" s="345">
        <v>27850</v>
      </c>
      <c r="B11" s="71"/>
      <c r="C11" s="226"/>
      <c r="D11" s="71"/>
      <c r="E11" s="71"/>
    </row>
    <row r="12" spans="1:5" x14ac:dyDescent="0.2">
      <c r="A12" s="345">
        <v>27880</v>
      </c>
      <c r="B12" s="71"/>
      <c r="C12" s="226"/>
      <c r="D12" s="71"/>
      <c r="E12" s="71"/>
    </row>
    <row r="13" spans="1:5" x14ac:dyDescent="0.2">
      <c r="A13" s="345">
        <v>27911</v>
      </c>
      <c r="B13" s="71"/>
      <c r="C13" s="226"/>
      <c r="D13" s="71"/>
      <c r="E13" s="71"/>
    </row>
    <row r="14" spans="1:5" x14ac:dyDescent="0.2">
      <c r="A14" s="345">
        <v>27941</v>
      </c>
      <c r="B14" s="71"/>
      <c r="C14" s="226"/>
      <c r="D14" s="71"/>
      <c r="E14" s="71"/>
    </row>
    <row r="15" spans="1:5" x14ac:dyDescent="0.2">
      <c r="A15" s="345">
        <v>27972</v>
      </c>
      <c r="B15" s="71"/>
      <c r="C15" s="226"/>
      <c r="D15" s="71"/>
      <c r="E15" s="71"/>
    </row>
    <row r="16" spans="1:5"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3"/>
      <c r="C147" s="25"/>
      <c r="D147" s="73"/>
      <c r="E147" s="73"/>
    </row>
    <row r="148" spans="1:5" x14ac:dyDescent="0.2">
      <c r="A148" s="345">
        <v>32020</v>
      </c>
      <c r="B148" s="73"/>
      <c r="C148" s="25"/>
      <c r="D148" s="73"/>
      <c r="E148" s="73"/>
    </row>
    <row r="149" spans="1:5" x14ac:dyDescent="0.2">
      <c r="A149" s="345">
        <v>32050</v>
      </c>
      <c r="B149" s="73"/>
      <c r="C149" s="25"/>
      <c r="D149" s="73"/>
      <c r="E149" s="73"/>
    </row>
    <row r="150" spans="1:5" x14ac:dyDescent="0.2">
      <c r="A150" s="345">
        <v>32081</v>
      </c>
      <c r="B150" s="73"/>
      <c r="C150" s="25"/>
      <c r="D150" s="73"/>
      <c r="E150" s="73"/>
    </row>
    <row r="151" spans="1:5" x14ac:dyDescent="0.2">
      <c r="A151" s="345">
        <v>32111</v>
      </c>
      <c r="B151" s="73"/>
      <c r="C151" s="25"/>
      <c r="D151" s="73"/>
      <c r="E151" s="73"/>
    </row>
    <row r="152" spans="1:5" x14ac:dyDescent="0.2">
      <c r="A152" s="345">
        <v>32142</v>
      </c>
      <c r="B152" s="73"/>
      <c r="C152" s="25"/>
      <c r="D152" s="73"/>
      <c r="E152" s="73"/>
    </row>
    <row r="153" spans="1:5" x14ac:dyDescent="0.2">
      <c r="A153" s="345">
        <v>32173</v>
      </c>
      <c r="B153" s="73"/>
      <c r="C153" s="25"/>
      <c r="D153" s="73"/>
      <c r="E153" s="73"/>
    </row>
    <row r="154" spans="1:5" x14ac:dyDescent="0.2">
      <c r="A154" s="345">
        <v>32202</v>
      </c>
      <c r="B154" s="73"/>
      <c r="C154" s="25"/>
      <c r="D154" s="73"/>
      <c r="E154" s="73"/>
    </row>
    <row r="155" spans="1:5" x14ac:dyDescent="0.2">
      <c r="A155" s="345">
        <v>32233</v>
      </c>
      <c r="B155" s="73"/>
      <c r="C155" s="25"/>
      <c r="D155" s="73"/>
      <c r="E155" s="73"/>
    </row>
    <row r="156" spans="1:5" x14ac:dyDescent="0.2">
      <c r="A156" s="345">
        <v>32263</v>
      </c>
      <c r="B156" s="73"/>
      <c r="C156" s="25"/>
      <c r="D156" s="73"/>
      <c r="E156" s="73"/>
    </row>
    <row r="157" spans="1:5" x14ac:dyDescent="0.2">
      <c r="A157" s="345">
        <v>32294</v>
      </c>
      <c r="B157" s="73"/>
      <c r="C157" s="25"/>
      <c r="D157" s="73"/>
      <c r="E157" s="73"/>
    </row>
    <row r="158" spans="1:5" x14ac:dyDescent="0.2">
      <c r="A158" s="345">
        <v>32324</v>
      </c>
      <c r="B158" s="73"/>
      <c r="C158" s="25"/>
      <c r="D158" s="73"/>
      <c r="E158" s="73"/>
    </row>
    <row r="159" spans="1:5" x14ac:dyDescent="0.2">
      <c r="A159" s="345">
        <v>32355</v>
      </c>
      <c r="B159" s="73"/>
      <c r="C159" s="25"/>
      <c r="D159" s="73"/>
      <c r="E159" s="73"/>
    </row>
    <row r="160" spans="1:5" x14ac:dyDescent="0.2">
      <c r="A160" s="345">
        <v>32386</v>
      </c>
      <c r="B160" s="73"/>
      <c r="C160" s="25"/>
      <c r="D160" s="73"/>
      <c r="E160" s="73"/>
    </row>
    <row r="161" spans="1:5" x14ac:dyDescent="0.2">
      <c r="A161" s="345">
        <v>32416</v>
      </c>
      <c r="B161" s="73"/>
      <c r="C161" s="25"/>
      <c r="D161" s="73"/>
      <c r="E161" s="73"/>
    </row>
    <row r="162" spans="1:5" x14ac:dyDescent="0.2">
      <c r="A162" s="345">
        <v>32447</v>
      </c>
      <c r="B162" s="73"/>
      <c r="C162" s="25"/>
      <c r="D162" s="73"/>
      <c r="E162" s="73"/>
    </row>
    <row r="163" spans="1:5" x14ac:dyDescent="0.2">
      <c r="A163" s="345">
        <v>32477</v>
      </c>
      <c r="B163" s="73"/>
      <c r="C163" s="25"/>
      <c r="D163" s="73"/>
      <c r="E163" s="73"/>
    </row>
    <row r="164" spans="1:5" x14ac:dyDescent="0.2">
      <c r="A164" s="345">
        <v>32508</v>
      </c>
      <c r="B164" s="73"/>
      <c r="C164" s="25"/>
      <c r="D164" s="73"/>
      <c r="E164" s="73"/>
    </row>
    <row r="165" spans="1:5" x14ac:dyDescent="0.2">
      <c r="A165" s="345">
        <v>32539</v>
      </c>
      <c r="B165" s="73"/>
      <c r="C165" s="25"/>
      <c r="D165" s="73"/>
      <c r="E165" s="73"/>
    </row>
    <row r="166" spans="1:5" x14ac:dyDescent="0.2">
      <c r="A166" s="345">
        <v>32567</v>
      </c>
      <c r="B166" s="73"/>
      <c r="C166" s="25"/>
      <c r="D166" s="73"/>
      <c r="E166" s="73"/>
    </row>
    <row r="167" spans="1:5" x14ac:dyDescent="0.2">
      <c r="A167" s="345">
        <v>32598</v>
      </c>
      <c r="B167" s="73"/>
      <c r="C167" s="25"/>
      <c r="D167" s="73"/>
      <c r="E167" s="73"/>
    </row>
    <row r="168" spans="1:5" x14ac:dyDescent="0.2">
      <c r="A168" s="345">
        <v>32628</v>
      </c>
      <c r="B168" s="73"/>
      <c r="C168" s="25"/>
      <c r="D168" s="73"/>
      <c r="E168" s="73"/>
    </row>
    <row r="169" spans="1:5" x14ac:dyDescent="0.2">
      <c r="A169" s="345">
        <v>32659</v>
      </c>
      <c r="B169" s="73"/>
      <c r="C169" s="25"/>
      <c r="D169" s="73"/>
      <c r="E169" s="73"/>
    </row>
    <row r="170" spans="1:5" x14ac:dyDescent="0.2">
      <c r="A170" s="345">
        <v>32689</v>
      </c>
      <c r="B170" s="73"/>
      <c r="C170" s="25"/>
      <c r="D170" s="73"/>
      <c r="E170" s="73"/>
    </row>
    <row r="171" spans="1:5" x14ac:dyDescent="0.2">
      <c r="A171" s="345">
        <v>32720</v>
      </c>
      <c r="B171" s="73"/>
      <c r="C171" s="25"/>
      <c r="D171" s="73"/>
      <c r="E171" s="73"/>
    </row>
    <row r="172" spans="1:5" x14ac:dyDescent="0.2">
      <c r="A172" s="345">
        <v>32751</v>
      </c>
      <c r="B172" s="73"/>
      <c r="C172" s="25"/>
      <c r="D172" s="73"/>
      <c r="E172" s="73"/>
    </row>
    <row r="173" spans="1:5" x14ac:dyDescent="0.2">
      <c r="A173" s="345">
        <v>32781</v>
      </c>
      <c r="B173" s="73"/>
      <c r="C173" s="25"/>
      <c r="D173" s="73"/>
      <c r="E173" s="73"/>
    </row>
    <row r="174" spans="1:5" x14ac:dyDescent="0.2">
      <c r="A174" s="345">
        <v>32812</v>
      </c>
      <c r="B174" s="73"/>
      <c r="C174" s="25"/>
      <c r="D174" s="73"/>
      <c r="E174" s="73"/>
    </row>
    <row r="175" spans="1:5" x14ac:dyDescent="0.2">
      <c r="A175" s="345">
        <v>32842</v>
      </c>
      <c r="B175" s="73"/>
      <c r="C175" s="25"/>
      <c r="D175" s="73"/>
      <c r="E175" s="73"/>
    </row>
    <row r="176" spans="1:5" x14ac:dyDescent="0.2">
      <c r="A176" s="345">
        <v>32873</v>
      </c>
      <c r="B176" s="73"/>
      <c r="C176" s="25"/>
      <c r="D176" s="73"/>
      <c r="E176" s="73"/>
    </row>
    <row r="177" spans="1:5" x14ac:dyDescent="0.2">
      <c r="A177" s="345">
        <v>32904</v>
      </c>
      <c r="B177" s="255"/>
      <c r="C177" s="259"/>
      <c r="D177" s="73"/>
      <c r="E177" s="73"/>
    </row>
    <row r="178" spans="1:5" x14ac:dyDescent="0.2">
      <c r="A178" s="345">
        <v>32932</v>
      </c>
      <c r="B178" s="255"/>
      <c r="C178" s="259"/>
      <c r="D178" s="73"/>
      <c r="E178" s="73"/>
    </row>
    <row r="179" spans="1:5" x14ac:dyDescent="0.2">
      <c r="A179" s="345">
        <v>32963</v>
      </c>
      <c r="B179" s="255"/>
      <c r="C179" s="259"/>
      <c r="D179" s="73"/>
      <c r="E179" s="73"/>
    </row>
    <row r="180" spans="1:5" x14ac:dyDescent="0.2">
      <c r="A180" s="345">
        <v>32993</v>
      </c>
      <c r="B180" s="255"/>
      <c r="C180" s="259"/>
      <c r="D180" s="73"/>
      <c r="E180" s="73"/>
    </row>
    <row r="181" spans="1:5" x14ac:dyDescent="0.2">
      <c r="A181" s="345">
        <v>33024</v>
      </c>
      <c r="B181" s="255"/>
      <c r="C181" s="259"/>
      <c r="D181" s="73"/>
      <c r="E181" s="73"/>
    </row>
    <row r="182" spans="1:5" x14ac:dyDescent="0.2">
      <c r="A182" s="345">
        <v>33054</v>
      </c>
      <c r="B182" s="255"/>
      <c r="C182" s="259"/>
      <c r="D182" s="73"/>
      <c r="E182" s="73"/>
    </row>
    <row r="183" spans="1:5" x14ac:dyDescent="0.2">
      <c r="A183" s="345">
        <v>33085</v>
      </c>
      <c r="B183" s="255"/>
      <c r="C183" s="259"/>
      <c r="D183" s="73"/>
      <c r="E183" s="73"/>
    </row>
    <row r="184" spans="1:5" x14ac:dyDescent="0.2">
      <c r="A184" s="345">
        <v>33116</v>
      </c>
      <c r="B184" s="255"/>
      <c r="C184" s="259"/>
      <c r="D184" s="73"/>
      <c r="E184" s="73"/>
    </row>
    <row r="185" spans="1:5" x14ac:dyDescent="0.2">
      <c r="A185" s="345">
        <v>33146</v>
      </c>
      <c r="B185" s="255"/>
      <c r="C185" s="259"/>
      <c r="D185" s="73"/>
      <c r="E185" s="73"/>
    </row>
    <row r="186" spans="1:5" x14ac:dyDescent="0.2">
      <c r="A186" s="345">
        <v>33177</v>
      </c>
      <c r="B186" s="255"/>
      <c r="C186" s="259"/>
      <c r="D186" s="73"/>
      <c r="E186" s="73"/>
    </row>
    <row r="187" spans="1:5" x14ac:dyDescent="0.2">
      <c r="A187" s="345">
        <v>33207</v>
      </c>
      <c r="B187" s="255"/>
      <c r="C187" s="259"/>
      <c r="D187" s="73"/>
      <c r="E187" s="73"/>
    </row>
    <row r="188" spans="1:5" x14ac:dyDescent="0.2">
      <c r="A188" s="345">
        <v>33238</v>
      </c>
      <c r="B188" s="255"/>
      <c r="C188" s="259"/>
      <c r="D188" s="73"/>
      <c r="E188" s="73"/>
    </row>
    <row r="189" spans="1:5" x14ac:dyDescent="0.2">
      <c r="A189" s="345">
        <v>33269</v>
      </c>
      <c r="B189" s="255"/>
      <c r="C189" s="259"/>
      <c r="D189" s="73"/>
      <c r="E189" s="73"/>
    </row>
    <row r="190" spans="1:5" x14ac:dyDescent="0.2">
      <c r="A190" s="345">
        <v>33297</v>
      </c>
      <c r="B190" s="255"/>
      <c r="C190" s="259"/>
      <c r="D190" s="73"/>
      <c r="E190" s="73"/>
    </row>
    <row r="191" spans="1:5" x14ac:dyDescent="0.2">
      <c r="A191" s="345">
        <v>33328</v>
      </c>
      <c r="B191" s="255"/>
      <c r="C191" s="259"/>
      <c r="D191" s="73"/>
      <c r="E191" s="73"/>
    </row>
    <row r="192" spans="1:5" x14ac:dyDescent="0.2">
      <c r="A192" s="345">
        <v>33358</v>
      </c>
      <c r="B192" s="255"/>
      <c r="C192" s="259"/>
      <c r="D192" s="73"/>
      <c r="E192" s="73"/>
    </row>
    <row r="193" spans="1:5" x14ac:dyDescent="0.2">
      <c r="A193" s="345">
        <v>33389</v>
      </c>
      <c r="B193" s="255"/>
      <c r="C193" s="259"/>
      <c r="D193" s="73"/>
      <c r="E193" s="73"/>
    </row>
    <row r="194" spans="1:5" x14ac:dyDescent="0.2">
      <c r="A194" s="345">
        <v>33419</v>
      </c>
      <c r="B194" s="255"/>
      <c r="C194" s="259"/>
      <c r="D194" s="73"/>
      <c r="E194" s="73"/>
    </row>
    <row r="195" spans="1:5" x14ac:dyDescent="0.2">
      <c r="A195" s="345">
        <v>33450</v>
      </c>
      <c r="B195" s="255"/>
      <c r="C195" s="259"/>
      <c r="D195" s="73"/>
      <c r="E195" s="73"/>
    </row>
    <row r="196" spans="1:5" x14ac:dyDescent="0.2">
      <c r="A196" s="345">
        <v>33481</v>
      </c>
      <c r="B196" s="255"/>
      <c r="C196" s="259"/>
      <c r="D196" s="73"/>
      <c r="E196" s="73"/>
    </row>
    <row r="197" spans="1:5" x14ac:dyDescent="0.2">
      <c r="A197" s="345">
        <v>33511</v>
      </c>
      <c r="B197" s="255"/>
      <c r="C197" s="259"/>
      <c r="D197" s="73"/>
      <c r="E197" s="73"/>
    </row>
    <row r="198" spans="1:5" x14ac:dyDescent="0.2">
      <c r="A198" s="345">
        <v>33542</v>
      </c>
      <c r="B198" s="255"/>
      <c r="C198" s="259"/>
      <c r="D198" s="73"/>
      <c r="E198" s="73"/>
    </row>
    <row r="199" spans="1:5" x14ac:dyDescent="0.2">
      <c r="A199" s="345">
        <v>33572</v>
      </c>
      <c r="B199" s="255"/>
      <c r="C199" s="259"/>
      <c r="D199" s="73"/>
      <c r="E199" s="73"/>
    </row>
    <row r="200" spans="1:5" x14ac:dyDescent="0.2">
      <c r="A200" s="345">
        <v>33603</v>
      </c>
      <c r="B200" s="255"/>
      <c r="C200" s="259"/>
      <c r="D200" s="73"/>
      <c r="E200" s="73"/>
    </row>
    <row r="201" spans="1:5" x14ac:dyDescent="0.2">
      <c r="A201" s="345">
        <v>33634</v>
      </c>
      <c r="B201" s="255"/>
      <c r="C201" s="259"/>
      <c r="D201" s="73"/>
      <c r="E201" s="73"/>
    </row>
    <row r="202" spans="1:5" x14ac:dyDescent="0.2">
      <c r="A202" s="345">
        <v>33663</v>
      </c>
      <c r="B202" s="255"/>
      <c r="C202" s="259"/>
      <c r="D202" s="73"/>
      <c r="E202" s="73"/>
    </row>
    <row r="203" spans="1:5" x14ac:dyDescent="0.2">
      <c r="A203" s="345">
        <v>33694</v>
      </c>
      <c r="B203" s="255"/>
      <c r="C203" s="259"/>
      <c r="D203" s="73"/>
      <c r="E203" s="73"/>
    </row>
    <row r="204" spans="1:5" x14ac:dyDescent="0.2">
      <c r="A204" s="345">
        <v>33724</v>
      </c>
      <c r="B204" s="255"/>
      <c r="C204" s="259"/>
      <c r="D204" s="73"/>
      <c r="E204" s="73"/>
    </row>
    <row r="205" spans="1:5" x14ac:dyDescent="0.2">
      <c r="A205" s="345">
        <v>33755</v>
      </c>
      <c r="B205" s="255"/>
      <c r="C205" s="259"/>
      <c r="D205" s="73"/>
      <c r="E205" s="73"/>
    </row>
    <row r="206" spans="1:5" x14ac:dyDescent="0.2">
      <c r="A206" s="345">
        <v>33785</v>
      </c>
      <c r="B206" s="255"/>
      <c r="C206" s="259"/>
      <c r="D206" s="73"/>
      <c r="E206" s="73"/>
    </row>
    <row r="207" spans="1:5" x14ac:dyDescent="0.2">
      <c r="A207" s="345">
        <v>33816</v>
      </c>
      <c r="B207" s="255"/>
      <c r="C207" s="259"/>
      <c r="D207" s="73"/>
      <c r="E207" s="73"/>
    </row>
    <row r="208" spans="1:5" x14ac:dyDescent="0.2">
      <c r="A208" s="345">
        <v>33847</v>
      </c>
      <c r="B208" s="255"/>
      <c r="C208" s="259"/>
      <c r="D208" s="73"/>
      <c r="E208" s="73"/>
    </row>
    <row r="209" spans="1:5" x14ac:dyDescent="0.2">
      <c r="A209" s="345">
        <v>33877</v>
      </c>
      <c r="B209" s="255"/>
      <c r="C209" s="259"/>
      <c r="D209" s="73"/>
      <c r="E209" s="73"/>
    </row>
    <row r="210" spans="1:5" x14ac:dyDescent="0.2">
      <c r="A210" s="345">
        <v>33908</v>
      </c>
      <c r="B210" s="255"/>
      <c r="C210" s="259"/>
      <c r="D210" s="73"/>
      <c r="E210" s="73"/>
    </row>
    <row r="211" spans="1:5" x14ac:dyDescent="0.2">
      <c r="A211" s="345">
        <v>33938</v>
      </c>
      <c r="B211" s="255"/>
      <c r="C211" s="259"/>
      <c r="D211" s="73"/>
      <c r="E211" s="73"/>
    </row>
    <row r="212" spans="1:5" x14ac:dyDescent="0.2">
      <c r="A212" s="345">
        <v>33969</v>
      </c>
      <c r="B212" s="255"/>
      <c r="C212" s="259"/>
      <c r="D212" s="73"/>
      <c r="E212" s="73"/>
    </row>
    <row r="213" spans="1:5" x14ac:dyDescent="0.2">
      <c r="A213" s="345">
        <v>34000</v>
      </c>
      <c r="B213" s="255"/>
      <c r="C213" s="259"/>
      <c r="D213" s="73"/>
      <c r="E213" s="73"/>
    </row>
    <row r="214" spans="1:5" x14ac:dyDescent="0.2">
      <c r="A214" s="345">
        <v>34028</v>
      </c>
      <c r="B214" s="255"/>
      <c r="C214" s="259"/>
      <c r="D214" s="73"/>
      <c r="E214" s="73"/>
    </row>
    <row r="215" spans="1:5" x14ac:dyDescent="0.2">
      <c r="A215" s="345">
        <v>34059</v>
      </c>
      <c r="B215" s="255"/>
      <c r="C215" s="259"/>
      <c r="D215" s="73"/>
      <c r="E215" s="73"/>
    </row>
    <row r="216" spans="1:5" x14ac:dyDescent="0.2">
      <c r="A216" s="345">
        <v>34089</v>
      </c>
      <c r="B216" s="255"/>
      <c r="C216" s="259"/>
      <c r="D216" s="73"/>
      <c r="E216" s="73"/>
    </row>
    <row r="217" spans="1:5" x14ac:dyDescent="0.2">
      <c r="A217" s="345">
        <v>34120</v>
      </c>
      <c r="B217" s="255"/>
      <c r="C217" s="259"/>
      <c r="D217" s="73"/>
      <c r="E217" s="73"/>
    </row>
    <row r="218" spans="1:5" x14ac:dyDescent="0.2">
      <c r="A218" s="345">
        <v>34150</v>
      </c>
      <c r="B218" s="255"/>
      <c r="C218" s="259"/>
      <c r="D218" s="73"/>
      <c r="E218" s="73"/>
    </row>
    <row r="219" spans="1:5" x14ac:dyDescent="0.2">
      <c r="A219" s="345">
        <v>34181</v>
      </c>
      <c r="B219" s="255"/>
      <c r="C219" s="259"/>
      <c r="D219" s="73"/>
      <c r="E219" s="73"/>
    </row>
    <row r="220" spans="1:5" x14ac:dyDescent="0.2">
      <c r="A220" s="345">
        <v>34212</v>
      </c>
      <c r="B220" s="255"/>
      <c r="C220" s="259"/>
      <c r="D220" s="73"/>
      <c r="E220" s="73"/>
    </row>
    <row r="221" spans="1:5" x14ac:dyDescent="0.2">
      <c r="A221" s="345">
        <v>34242</v>
      </c>
      <c r="B221" s="255"/>
      <c r="C221" s="259"/>
      <c r="D221" s="73"/>
      <c r="E221" s="73"/>
    </row>
    <row r="222" spans="1:5" x14ac:dyDescent="0.2">
      <c r="A222" s="345">
        <v>34273</v>
      </c>
      <c r="B222" s="255"/>
      <c r="C222" s="259"/>
      <c r="D222" s="73"/>
      <c r="E222" s="73"/>
    </row>
    <row r="223" spans="1:5" x14ac:dyDescent="0.2">
      <c r="A223" s="345">
        <v>34303</v>
      </c>
      <c r="B223" s="255"/>
      <c r="C223" s="259"/>
      <c r="D223" s="73"/>
      <c r="E223" s="73"/>
    </row>
    <row r="224" spans="1:5" x14ac:dyDescent="0.2">
      <c r="A224" s="345">
        <v>34334</v>
      </c>
      <c r="B224" s="255"/>
      <c r="C224" s="259"/>
      <c r="D224" s="73"/>
      <c r="E224" s="73"/>
    </row>
    <row r="225" spans="1:5" x14ac:dyDescent="0.2">
      <c r="A225" s="345">
        <v>34365</v>
      </c>
      <c r="B225" s="255"/>
      <c r="C225" s="259"/>
      <c r="D225" s="73"/>
      <c r="E225" s="73"/>
    </row>
    <row r="226" spans="1:5" x14ac:dyDescent="0.2">
      <c r="A226" s="345">
        <v>34393</v>
      </c>
      <c r="B226" s="255"/>
      <c r="C226" s="259"/>
      <c r="D226" s="73"/>
      <c r="E226" s="73"/>
    </row>
    <row r="227" spans="1:5" x14ac:dyDescent="0.2">
      <c r="A227" s="345">
        <v>34424</v>
      </c>
      <c r="B227" s="255"/>
      <c r="C227" s="259"/>
      <c r="D227" s="73"/>
      <c r="E227" s="73"/>
    </row>
    <row r="228" spans="1:5" x14ac:dyDescent="0.2">
      <c r="A228" s="345">
        <v>34454</v>
      </c>
      <c r="B228" s="255"/>
      <c r="C228" s="259"/>
      <c r="D228" s="73"/>
      <c r="E228" s="73"/>
    </row>
    <row r="229" spans="1:5" x14ac:dyDescent="0.2">
      <c r="A229" s="345">
        <v>34485</v>
      </c>
      <c r="B229" s="255"/>
      <c r="C229" s="259"/>
      <c r="D229" s="73"/>
      <c r="E229" s="73"/>
    </row>
    <row r="230" spans="1:5" x14ac:dyDescent="0.2">
      <c r="A230" s="345">
        <v>34515</v>
      </c>
      <c r="B230" s="255"/>
      <c r="C230" s="259"/>
      <c r="D230" s="73"/>
      <c r="E230" s="73"/>
    </row>
    <row r="231" spans="1:5" x14ac:dyDescent="0.2">
      <c r="A231" s="345">
        <v>34546</v>
      </c>
      <c r="B231" s="255"/>
      <c r="C231" s="259"/>
      <c r="D231" s="73"/>
      <c r="E231" s="73"/>
    </row>
    <row r="232" spans="1:5" x14ac:dyDescent="0.2">
      <c r="A232" s="345">
        <v>34577</v>
      </c>
      <c r="B232" s="255"/>
      <c r="C232" s="259"/>
      <c r="D232" s="73"/>
      <c r="E232" s="73"/>
    </row>
    <row r="233" spans="1:5" x14ac:dyDescent="0.2">
      <c r="A233" s="345">
        <v>34607</v>
      </c>
      <c r="B233" s="255"/>
      <c r="C233" s="259"/>
      <c r="D233" s="73"/>
      <c r="E233" s="73"/>
    </row>
    <row r="234" spans="1:5" x14ac:dyDescent="0.2">
      <c r="A234" s="345">
        <v>34638</v>
      </c>
      <c r="B234" s="255"/>
      <c r="C234" s="259"/>
      <c r="D234" s="73"/>
      <c r="E234" s="73"/>
    </row>
    <row r="235" spans="1:5" x14ac:dyDescent="0.2">
      <c r="A235" s="345">
        <v>34668</v>
      </c>
      <c r="B235" s="255"/>
      <c r="C235" s="259"/>
      <c r="D235" s="73"/>
      <c r="E235" s="73"/>
    </row>
    <row r="236" spans="1:5" x14ac:dyDescent="0.2">
      <c r="A236" s="345">
        <v>34699</v>
      </c>
      <c r="B236" s="255"/>
      <c r="C236" s="259"/>
      <c r="D236" s="73"/>
      <c r="E236" s="73"/>
    </row>
    <row r="237" spans="1:5" x14ac:dyDescent="0.2">
      <c r="A237" s="345">
        <v>34730</v>
      </c>
      <c r="B237" s="255"/>
      <c r="C237" s="259"/>
      <c r="D237" s="73"/>
      <c r="E237" s="73"/>
    </row>
    <row r="238" spans="1:5" x14ac:dyDescent="0.2">
      <c r="A238" s="345">
        <v>34758</v>
      </c>
      <c r="B238" s="255"/>
      <c r="C238" s="259"/>
      <c r="D238" s="73"/>
      <c r="E238" s="73"/>
    </row>
    <row r="239" spans="1:5" x14ac:dyDescent="0.2">
      <c r="A239" s="345">
        <v>34789</v>
      </c>
      <c r="B239" s="255"/>
      <c r="C239" s="259"/>
      <c r="D239" s="73"/>
      <c r="E239" s="73"/>
    </row>
    <row r="240" spans="1:5" x14ac:dyDescent="0.2">
      <c r="A240" s="345">
        <v>34819</v>
      </c>
      <c r="B240" s="255"/>
      <c r="C240" s="259"/>
      <c r="D240" s="73"/>
      <c r="E240" s="73"/>
    </row>
    <row r="241" spans="1:5" x14ac:dyDescent="0.2">
      <c r="A241" s="345">
        <v>34850</v>
      </c>
      <c r="B241" s="255"/>
      <c r="C241" s="259"/>
      <c r="D241" s="73"/>
      <c r="E241" s="73"/>
    </row>
    <row r="242" spans="1:5" x14ac:dyDescent="0.2">
      <c r="A242" s="345">
        <v>34880</v>
      </c>
      <c r="B242" s="255"/>
      <c r="C242" s="259"/>
      <c r="D242" s="77"/>
      <c r="E242" s="77"/>
    </row>
    <row r="243" spans="1:5" x14ac:dyDescent="0.2">
      <c r="A243" s="345">
        <v>34911</v>
      </c>
      <c r="B243" s="255"/>
      <c r="C243" s="259"/>
      <c r="D243" s="77"/>
      <c r="E243" s="77"/>
    </row>
    <row r="244" spans="1:5" x14ac:dyDescent="0.2">
      <c r="A244" s="345">
        <v>34942</v>
      </c>
      <c r="B244" s="255"/>
      <c r="C244" s="259"/>
      <c r="D244" s="77"/>
      <c r="E244" s="77"/>
    </row>
    <row r="245" spans="1:5" x14ac:dyDescent="0.2">
      <c r="A245" s="345">
        <v>34972</v>
      </c>
      <c r="B245" s="255"/>
      <c r="C245" s="259"/>
      <c r="D245" s="77"/>
      <c r="E245" s="77"/>
    </row>
    <row r="246" spans="1:5" x14ac:dyDescent="0.2">
      <c r="A246" s="345">
        <v>35003</v>
      </c>
      <c r="B246" s="255"/>
      <c r="C246" s="259"/>
      <c r="D246" s="77"/>
      <c r="E246" s="77"/>
    </row>
    <row r="247" spans="1:5" x14ac:dyDescent="0.2">
      <c r="A247" s="345">
        <v>35033</v>
      </c>
      <c r="B247" s="255"/>
      <c r="C247" s="259"/>
      <c r="D247" s="77"/>
      <c r="E247" s="77"/>
    </row>
    <row r="248" spans="1:5" x14ac:dyDescent="0.2">
      <c r="A248" s="345">
        <v>35064</v>
      </c>
      <c r="B248" s="255"/>
      <c r="C248" s="259"/>
      <c r="D248" s="77"/>
      <c r="E248" s="77"/>
    </row>
    <row r="249" spans="1:5" x14ac:dyDescent="0.2">
      <c r="A249" s="345">
        <v>35095</v>
      </c>
      <c r="B249" s="255"/>
      <c r="C249" s="259"/>
      <c r="D249" s="77"/>
      <c r="E249" s="77"/>
    </row>
    <row r="250" spans="1:5" x14ac:dyDescent="0.2">
      <c r="A250" s="345">
        <v>35124</v>
      </c>
      <c r="B250" s="255"/>
      <c r="C250" s="259"/>
      <c r="D250" s="77"/>
      <c r="E250" s="77"/>
    </row>
    <row r="251" spans="1:5" x14ac:dyDescent="0.2">
      <c r="A251" s="345">
        <v>35155</v>
      </c>
      <c r="B251" s="255"/>
      <c r="C251" s="259"/>
      <c r="D251" s="77"/>
      <c r="E251" s="77"/>
    </row>
    <row r="252" spans="1:5" x14ac:dyDescent="0.2">
      <c r="A252" s="345">
        <v>35185</v>
      </c>
      <c r="B252" s="253"/>
      <c r="C252" s="259"/>
      <c r="D252" s="77"/>
      <c r="E252" s="77"/>
    </row>
    <row r="253" spans="1:5" x14ac:dyDescent="0.2">
      <c r="A253" s="345">
        <v>35216</v>
      </c>
      <c r="B253" s="253"/>
      <c r="C253" s="259"/>
      <c r="D253" s="77"/>
      <c r="E253" s="77"/>
    </row>
    <row r="254" spans="1:5" x14ac:dyDescent="0.2">
      <c r="A254" s="345">
        <v>35246</v>
      </c>
      <c r="B254" s="253"/>
      <c r="C254" s="259"/>
      <c r="D254" s="77"/>
      <c r="E254" s="77"/>
    </row>
    <row r="255" spans="1:5" x14ac:dyDescent="0.2">
      <c r="A255" s="345">
        <v>35277</v>
      </c>
      <c r="B255" s="253"/>
      <c r="C255" s="259"/>
      <c r="D255" s="77"/>
      <c r="E255" s="77"/>
    </row>
    <row r="256" spans="1:5" x14ac:dyDescent="0.2">
      <c r="A256" s="345">
        <v>35308</v>
      </c>
      <c r="B256" s="253"/>
      <c r="C256" s="259"/>
      <c r="D256" s="77"/>
      <c r="E256" s="77"/>
    </row>
    <row r="257" spans="1:5" x14ac:dyDescent="0.2">
      <c r="A257" s="345">
        <v>35338</v>
      </c>
      <c r="B257" s="253"/>
      <c r="C257" s="259"/>
      <c r="D257" s="77"/>
      <c r="E257" s="77"/>
    </row>
    <row r="258" spans="1:5" x14ac:dyDescent="0.2">
      <c r="A258" s="345">
        <v>35369</v>
      </c>
      <c r="B258" s="253"/>
      <c r="C258" s="259"/>
      <c r="D258" s="77"/>
      <c r="E258" s="77"/>
    </row>
    <row r="259" spans="1:5" x14ac:dyDescent="0.2">
      <c r="A259" s="345">
        <v>35399</v>
      </c>
      <c r="B259" s="253"/>
      <c r="C259" s="259"/>
      <c r="D259" s="77"/>
      <c r="E259" s="77"/>
    </row>
    <row r="260" spans="1:5" x14ac:dyDescent="0.2">
      <c r="A260" s="345">
        <v>35430</v>
      </c>
      <c r="B260" s="253"/>
      <c r="C260" s="259"/>
      <c r="D260" s="77"/>
      <c r="E260" s="77"/>
    </row>
    <row r="261" spans="1:5" x14ac:dyDescent="0.2">
      <c r="A261" s="345">
        <v>35461</v>
      </c>
      <c r="B261" s="253"/>
      <c r="C261" s="259"/>
      <c r="D261" s="77"/>
      <c r="E261" s="77"/>
    </row>
    <row r="262" spans="1:5" x14ac:dyDescent="0.2">
      <c r="A262" s="345">
        <v>35489</v>
      </c>
      <c r="B262" s="253"/>
      <c r="C262" s="259"/>
      <c r="D262" s="77"/>
      <c r="E262" s="77"/>
    </row>
    <row r="263" spans="1:5" x14ac:dyDescent="0.2">
      <c r="A263" s="345">
        <v>35520</v>
      </c>
      <c r="B263" s="253"/>
      <c r="C263" s="259"/>
      <c r="D263" s="77"/>
      <c r="E263" s="77"/>
    </row>
    <row r="264" spans="1:5" x14ac:dyDescent="0.2">
      <c r="A264" s="345">
        <v>35550</v>
      </c>
      <c r="B264" s="253"/>
      <c r="C264" s="259"/>
      <c r="D264" s="77"/>
      <c r="E264" s="77"/>
    </row>
    <row r="265" spans="1:5" x14ac:dyDescent="0.2">
      <c r="A265" s="345">
        <v>35581</v>
      </c>
      <c r="B265" s="253"/>
      <c r="C265" s="259"/>
      <c r="D265" s="77"/>
      <c r="E265" s="77"/>
    </row>
    <row r="266" spans="1:5" x14ac:dyDescent="0.2">
      <c r="A266" s="345">
        <v>35611</v>
      </c>
      <c r="B266" s="253"/>
      <c r="C266" s="259"/>
      <c r="D266" s="77"/>
      <c r="E266" s="77"/>
    </row>
    <row r="267" spans="1:5" x14ac:dyDescent="0.2">
      <c r="A267" s="345">
        <v>35642</v>
      </c>
      <c r="B267" s="253"/>
      <c r="C267" s="259"/>
      <c r="D267" s="77"/>
      <c r="E267" s="77"/>
    </row>
    <row r="268" spans="1:5" x14ac:dyDescent="0.2">
      <c r="A268" s="345">
        <v>35673</v>
      </c>
      <c r="B268" s="253"/>
      <c r="C268" s="259"/>
      <c r="D268" s="77"/>
      <c r="E268" s="77"/>
    </row>
    <row r="269" spans="1:5" x14ac:dyDescent="0.2">
      <c r="A269" s="345">
        <v>35703</v>
      </c>
      <c r="B269" s="253"/>
      <c r="C269" s="259"/>
      <c r="D269" s="77"/>
      <c r="E269" s="77"/>
    </row>
    <row r="270" spans="1:5" x14ac:dyDescent="0.2">
      <c r="A270" s="345">
        <v>35734</v>
      </c>
      <c r="B270" s="253"/>
      <c r="C270" s="259"/>
      <c r="D270" s="77"/>
      <c r="E270" s="77"/>
    </row>
    <row r="271" spans="1:5" x14ac:dyDescent="0.2">
      <c r="A271" s="345">
        <v>35764</v>
      </c>
      <c r="B271" s="253"/>
      <c r="C271" s="259"/>
      <c r="D271" s="77"/>
      <c r="E271" s="77"/>
    </row>
    <row r="272" spans="1:5" x14ac:dyDescent="0.2">
      <c r="A272" s="345">
        <v>35795</v>
      </c>
      <c r="B272" s="253"/>
      <c r="C272" s="259"/>
      <c r="D272" s="77"/>
      <c r="E272" s="77"/>
    </row>
    <row r="273" spans="1:5" x14ac:dyDescent="0.2">
      <c r="A273" s="345">
        <v>35826</v>
      </c>
      <c r="B273" s="253"/>
      <c r="C273" s="259"/>
      <c r="D273" s="77"/>
      <c r="E273" s="77"/>
    </row>
    <row r="274" spans="1:5" x14ac:dyDescent="0.2">
      <c r="A274" s="345">
        <v>35854</v>
      </c>
      <c r="B274" s="253"/>
      <c r="C274" s="259"/>
      <c r="D274" s="77"/>
      <c r="E274" s="77"/>
    </row>
    <row r="275" spans="1:5" x14ac:dyDescent="0.2">
      <c r="A275" s="345">
        <v>35885</v>
      </c>
      <c r="B275" s="253"/>
      <c r="C275" s="259"/>
      <c r="D275" s="77"/>
      <c r="E275" s="77"/>
    </row>
    <row r="276" spans="1:5" x14ac:dyDescent="0.2">
      <c r="A276" s="345">
        <v>35915</v>
      </c>
      <c r="B276" s="253"/>
      <c r="C276" s="259"/>
      <c r="D276" s="77"/>
      <c r="E276" s="77"/>
    </row>
    <row r="277" spans="1:5" x14ac:dyDescent="0.2">
      <c r="A277" s="345">
        <v>35946</v>
      </c>
      <c r="B277" s="253"/>
      <c r="C277" s="259"/>
      <c r="D277" s="77"/>
      <c r="E277" s="77"/>
    </row>
    <row r="278" spans="1:5" x14ac:dyDescent="0.2">
      <c r="A278" s="345">
        <v>35976</v>
      </c>
      <c r="B278" s="253"/>
      <c r="C278" s="259"/>
      <c r="D278" s="77"/>
      <c r="E278" s="77"/>
    </row>
    <row r="279" spans="1:5" x14ac:dyDescent="0.2">
      <c r="A279" s="345">
        <v>36007</v>
      </c>
      <c r="B279" s="253"/>
      <c r="C279" s="259"/>
      <c r="D279" s="77"/>
      <c r="E279" s="77"/>
    </row>
    <row r="280" spans="1:5" x14ac:dyDescent="0.2">
      <c r="A280" s="345">
        <v>36038</v>
      </c>
      <c r="B280" s="253"/>
      <c r="C280" s="259"/>
      <c r="D280" s="77"/>
      <c r="E280" s="77"/>
    </row>
    <row r="281" spans="1:5" x14ac:dyDescent="0.2">
      <c r="A281" s="345">
        <v>36068</v>
      </c>
      <c r="B281" s="253"/>
      <c r="C281" s="259"/>
      <c r="D281" s="77"/>
      <c r="E281" s="77"/>
    </row>
    <row r="282" spans="1:5" x14ac:dyDescent="0.2">
      <c r="A282" s="345">
        <v>36099</v>
      </c>
      <c r="B282" s="253"/>
      <c r="C282" s="259"/>
      <c r="D282" s="77"/>
      <c r="E282" s="77"/>
    </row>
    <row r="283" spans="1:5" x14ac:dyDescent="0.2">
      <c r="A283" s="345">
        <v>36129</v>
      </c>
      <c r="B283" s="253"/>
      <c r="C283" s="259"/>
      <c r="D283" s="77"/>
      <c r="E283" s="77"/>
    </row>
    <row r="284" spans="1:5" x14ac:dyDescent="0.2">
      <c r="A284" s="345">
        <v>36160</v>
      </c>
      <c r="B284" s="253"/>
      <c r="C284" s="33"/>
      <c r="D284" s="253"/>
      <c r="E284" s="253"/>
    </row>
    <row r="285" spans="1:5" x14ac:dyDescent="0.2">
      <c r="A285" s="345">
        <v>36191</v>
      </c>
      <c r="B285" s="253"/>
      <c r="C285" s="33"/>
      <c r="D285" s="253"/>
      <c r="E285" s="253"/>
    </row>
    <row r="286" spans="1:5" x14ac:dyDescent="0.2">
      <c r="A286" s="345">
        <v>36219</v>
      </c>
      <c r="B286" s="253"/>
      <c r="C286" s="33"/>
      <c r="D286" s="253"/>
      <c r="E286" s="253"/>
    </row>
    <row r="287" spans="1:5" x14ac:dyDescent="0.2">
      <c r="A287" s="345">
        <v>36250</v>
      </c>
      <c r="B287" s="253"/>
      <c r="C287" s="33"/>
      <c r="D287" s="253"/>
      <c r="E287" s="253"/>
    </row>
    <row r="288" spans="1:5" x14ac:dyDescent="0.2">
      <c r="A288" s="345">
        <v>36280</v>
      </c>
      <c r="B288" s="253"/>
      <c r="C288" s="33"/>
      <c r="D288" s="253"/>
      <c r="E288" s="253"/>
    </row>
    <row r="289" spans="1:5" x14ac:dyDescent="0.2">
      <c r="A289" s="345">
        <v>36311</v>
      </c>
      <c r="B289" s="253"/>
      <c r="C289" s="33"/>
      <c r="D289" s="253"/>
      <c r="E289" s="253"/>
    </row>
    <row r="290" spans="1:5" x14ac:dyDescent="0.2">
      <c r="A290" s="345">
        <v>36341</v>
      </c>
      <c r="B290" s="253"/>
      <c r="C290" s="33"/>
      <c r="D290" s="253"/>
      <c r="E290" s="253"/>
    </row>
    <row r="291" spans="1:5" x14ac:dyDescent="0.2">
      <c r="A291" s="345">
        <v>36372</v>
      </c>
      <c r="B291" s="253"/>
      <c r="C291" s="33"/>
      <c r="D291" s="253"/>
      <c r="E291" s="253"/>
    </row>
    <row r="292" spans="1:5" x14ac:dyDescent="0.2">
      <c r="A292" s="345">
        <v>36403</v>
      </c>
      <c r="B292" s="253"/>
      <c r="C292" s="33"/>
      <c r="D292" s="253"/>
      <c r="E292" s="253"/>
    </row>
    <row r="293" spans="1:5" x14ac:dyDescent="0.2">
      <c r="A293" s="345">
        <v>36433</v>
      </c>
      <c r="B293" s="253"/>
      <c r="C293" s="33"/>
      <c r="D293" s="253"/>
      <c r="E293" s="253"/>
    </row>
    <row r="294" spans="1:5" x14ac:dyDescent="0.2">
      <c r="A294" s="345">
        <v>36464</v>
      </c>
      <c r="B294" s="253"/>
      <c r="C294" s="33"/>
      <c r="D294" s="253"/>
      <c r="E294" s="253"/>
    </row>
    <row r="295" spans="1:5" x14ac:dyDescent="0.2">
      <c r="A295" s="345">
        <v>36494</v>
      </c>
      <c r="B295" s="253"/>
      <c r="C295" s="33"/>
      <c r="D295" s="253"/>
      <c r="E295" s="253"/>
    </row>
    <row r="296" spans="1:5" x14ac:dyDescent="0.2">
      <c r="A296" s="345">
        <v>36525</v>
      </c>
      <c r="B296" s="253"/>
      <c r="C296" s="33"/>
      <c r="D296" s="253"/>
      <c r="E296" s="253"/>
    </row>
    <row r="297" spans="1:5" x14ac:dyDescent="0.2">
      <c r="A297" s="345">
        <v>36556</v>
      </c>
      <c r="B297" s="253"/>
      <c r="C297" s="33"/>
      <c r="D297" s="253"/>
      <c r="E297" s="253"/>
    </row>
    <row r="298" spans="1:5" x14ac:dyDescent="0.2">
      <c r="A298" s="345">
        <v>36585</v>
      </c>
      <c r="B298" s="253"/>
      <c r="C298" s="33"/>
      <c r="D298" s="253"/>
      <c r="E298" s="253"/>
    </row>
    <row r="299" spans="1:5" x14ac:dyDescent="0.2">
      <c r="A299" s="345">
        <v>36616</v>
      </c>
      <c r="B299" s="253"/>
      <c r="C299" s="33"/>
      <c r="D299" s="253"/>
      <c r="E299" s="253"/>
    </row>
    <row r="300" spans="1:5" x14ac:dyDescent="0.2">
      <c r="A300" s="345">
        <v>36646</v>
      </c>
      <c r="B300" s="253"/>
      <c r="C300" s="33"/>
      <c r="D300" s="253"/>
      <c r="E300" s="253"/>
    </row>
    <row r="301" spans="1:5" x14ac:dyDescent="0.2">
      <c r="A301" s="345">
        <v>36677</v>
      </c>
      <c r="B301" s="253"/>
      <c r="C301" s="33"/>
      <c r="D301" s="253"/>
      <c r="E301" s="253"/>
    </row>
    <row r="302" spans="1:5" x14ac:dyDescent="0.2">
      <c r="A302" s="345">
        <v>36707</v>
      </c>
      <c r="B302" s="253"/>
      <c r="C302" s="33"/>
      <c r="D302" s="253"/>
      <c r="E302" s="253"/>
    </row>
    <row r="303" spans="1:5" x14ac:dyDescent="0.2">
      <c r="A303" s="345">
        <v>36738</v>
      </c>
      <c r="B303" s="253"/>
      <c r="C303" s="33"/>
      <c r="D303" s="253"/>
      <c r="E303" s="253"/>
    </row>
    <row r="304" spans="1:5" x14ac:dyDescent="0.2">
      <c r="A304" s="345">
        <v>36769</v>
      </c>
      <c r="B304" s="253"/>
      <c r="C304" s="33"/>
      <c r="D304" s="253"/>
      <c r="E304" s="253"/>
    </row>
    <row r="305" spans="1:5" x14ac:dyDescent="0.2">
      <c r="A305" s="345">
        <v>36799</v>
      </c>
      <c r="B305" s="253"/>
      <c r="C305" s="33"/>
      <c r="D305" s="253"/>
      <c r="E305" s="253"/>
    </row>
    <row r="306" spans="1:5" x14ac:dyDescent="0.2">
      <c r="A306" s="345">
        <v>36830</v>
      </c>
      <c r="B306" s="253"/>
      <c r="C306" s="33"/>
      <c r="D306" s="253"/>
      <c r="E306" s="253"/>
    </row>
    <row r="307" spans="1:5" x14ac:dyDescent="0.2">
      <c r="A307" s="345">
        <v>36860</v>
      </c>
      <c r="B307" s="253"/>
      <c r="C307" s="33"/>
      <c r="D307" s="253"/>
      <c r="E307" s="253"/>
    </row>
    <row r="308" spans="1:5" x14ac:dyDescent="0.2">
      <c r="A308" s="345">
        <v>36891</v>
      </c>
      <c r="B308" s="253"/>
      <c r="C308" s="33"/>
      <c r="D308" s="253"/>
      <c r="E308" s="253"/>
    </row>
    <row r="309" spans="1:5" x14ac:dyDescent="0.2">
      <c r="A309" s="345">
        <v>36922</v>
      </c>
      <c r="B309" s="253"/>
      <c r="C309" s="33"/>
      <c r="D309" s="253"/>
      <c r="E309" s="253"/>
    </row>
    <row r="310" spans="1:5" x14ac:dyDescent="0.2">
      <c r="A310" s="345">
        <v>36950</v>
      </c>
      <c r="B310" s="253"/>
      <c r="C310" s="33"/>
      <c r="D310" s="253"/>
      <c r="E310" s="253"/>
    </row>
    <row r="311" spans="1:5" x14ac:dyDescent="0.2">
      <c r="A311" s="345">
        <v>36981</v>
      </c>
      <c r="B311" s="253"/>
      <c r="C311" s="33"/>
      <c r="D311" s="253"/>
      <c r="E311" s="253"/>
    </row>
    <row r="312" spans="1:5" x14ac:dyDescent="0.2">
      <c r="A312" s="345">
        <v>37011</v>
      </c>
      <c r="B312" s="253"/>
      <c r="C312" s="33"/>
      <c r="D312" s="253"/>
      <c r="E312" s="253"/>
    </row>
    <row r="313" spans="1:5" x14ac:dyDescent="0.2">
      <c r="A313" s="345">
        <v>37042</v>
      </c>
      <c r="B313" s="253"/>
      <c r="C313" s="33"/>
      <c r="D313" s="253"/>
      <c r="E313" s="253"/>
    </row>
    <row r="314" spans="1:5" x14ac:dyDescent="0.2">
      <c r="A314" s="345">
        <v>37072</v>
      </c>
      <c r="B314" s="253"/>
      <c r="C314" s="33"/>
      <c r="D314" s="253"/>
      <c r="E314" s="253"/>
    </row>
    <row r="315" spans="1:5" x14ac:dyDescent="0.2">
      <c r="A315" s="345">
        <v>37103</v>
      </c>
      <c r="B315" s="253"/>
      <c r="C315" s="33"/>
      <c r="D315" s="253"/>
      <c r="E315" s="253"/>
    </row>
    <row r="316" spans="1:5" x14ac:dyDescent="0.2">
      <c r="A316" s="345">
        <v>37134</v>
      </c>
      <c r="B316" s="253"/>
      <c r="C316" s="33"/>
      <c r="D316" s="253"/>
      <c r="E316" s="253"/>
    </row>
    <row r="317" spans="1:5" x14ac:dyDescent="0.2">
      <c r="A317" s="345">
        <v>37164</v>
      </c>
      <c r="B317" s="253"/>
      <c r="C317" s="33"/>
      <c r="D317" s="253"/>
      <c r="E317" s="253"/>
    </row>
    <row r="318" spans="1:5" x14ac:dyDescent="0.2">
      <c r="A318" s="345">
        <v>37195</v>
      </c>
      <c r="B318" s="253"/>
      <c r="C318" s="33"/>
      <c r="D318" s="253"/>
      <c r="E318" s="253"/>
    </row>
    <row r="319" spans="1:5" x14ac:dyDescent="0.2">
      <c r="A319" s="345">
        <v>37225</v>
      </c>
      <c r="B319" s="253"/>
      <c r="C319" s="33"/>
      <c r="D319" s="253"/>
      <c r="E319" s="253"/>
    </row>
    <row r="320" spans="1:5" x14ac:dyDescent="0.2">
      <c r="A320" s="345">
        <v>37256</v>
      </c>
      <c r="B320" s="253"/>
      <c r="C320" s="33"/>
      <c r="D320" s="253"/>
      <c r="E320" s="253"/>
    </row>
    <row r="321" spans="1:5" x14ac:dyDescent="0.2">
      <c r="A321" s="345">
        <v>37287</v>
      </c>
      <c r="B321" s="253"/>
      <c r="C321" s="33"/>
      <c r="D321" s="253"/>
      <c r="E321" s="253"/>
    </row>
    <row r="322" spans="1:5" x14ac:dyDescent="0.2">
      <c r="A322" s="345">
        <v>37315</v>
      </c>
      <c r="B322" s="253"/>
      <c r="C322" s="33"/>
      <c r="D322" s="253"/>
      <c r="E322" s="253"/>
    </row>
    <row r="323" spans="1:5" x14ac:dyDescent="0.2">
      <c r="A323" s="345">
        <v>37346</v>
      </c>
      <c r="B323" s="253"/>
      <c r="C323" s="33"/>
      <c r="D323" s="253"/>
      <c r="E323" s="253"/>
    </row>
    <row r="324" spans="1:5" x14ac:dyDescent="0.2">
      <c r="A324" s="345">
        <v>37376</v>
      </c>
      <c r="B324" s="253"/>
      <c r="C324" s="33"/>
      <c r="D324" s="253"/>
      <c r="E324" s="253"/>
    </row>
    <row r="325" spans="1:5" x14ac:dyDescent="0.2">
      <c r="A325" s="345">
        <v>37407</v>
      </c>
      <c r="B325" s="253"/>
      <c r="C325" s="33"/>
      <c r="D325" s="253"/>
      <c r="E325" s="253"/>
    </row>
    <row r="326" spans="1:5" x14ac:dyDescent="0.2">
      <c r="A326" s="345">
        <v>37437</v>
      </c>
      <c r="B326" s="253"/>
      <c r="C326" s="33"/>
      <c r="D326" s="253"/>
      <c r="E326" s="253"/>
    </row>
    <row r="327" spans="1:5" x14ac:dyDescent="0.2">
      <c r="A327" s="345">
        <v>37468</v>
      </c>
      <c r="B327" s="253"/>
      <c r="C327" s="33"/>
      <c r="D327" s="253"/>
      <c r="E327" s="253"/>
    </row>
    <row r="328" spans="1:5" x14ac:dyDescent="0.2">
      <c r="A328" s="345">
        <v>37499</v>
      </c>
      <c r="B328" s="253"/>
      <c r="C328" s="33"/>
      <c r="D328" s="253"/>
      <c r="E328" s="253"/>
    </row>
    <row r="329" spans="1:5" x14ac:dyDescent="0.2">
      <c r="A329" s="345">
        <v>37529</v>
      </c>
      <c r="B329" s="253"/>
      <c r="C329" s="33"/>
      <c r="D329" s="253"/>
      <c r="E329" s="253"/>
    </row>
    <row r="330" spans="1:5" x14ac:dyDescent="0.2">
      <c r="A330" s="345">
        <v>37560</v>
      </c>
      <c r="B330" s="253"/>
      <c r="C330" s="33"/>
      <c r="D330" s="253"/>
      <c r="E330" s="253"/>
    </row>
    <row r="331" spans="1:5" x14ac:dyDescent="0.2">
      <c r="A331" s="345">
        <v>37590</v>
      </c>
      <c r="B331" s="253"/>
      <c r="C331" s="33"/>
      <c r="D331" s="253"/>
      <c r="E331" s="253"/>
    </row>
    <row r="332" spans="1:5" x14ac:dyDescent="0.2">
      <c r="A332" s="345">
        <v>37621</v>
      </c>
      <c r="B332" s="253"/>
      <c r="C332" s="33"/>
      <c r="D332" s="253"/>
      <c r="E332" s="253"/>
    </row>
    <row r="333" spans="1:5" x14ac:dyDescent="0.2">
      <c r="A333" s="345">
        <v>37652</v>
      </c>
      <c r="B333" s="253"/>
      <c r="C333" s="33"/>
      <c r="D333" s="253"/>
      <c r="E333" s="253"/>
    </row>
    <row r="334" spans="1:5" x14ac:dyDescent="0.2">
      <c r="A334" s="345">
        <v>37680</v>
      </c>
      <c r="B334" s="253"/>
      <c r="C334" s="33"/>
      <c r="D334" s="253"/>
      <c r="E334" s="253"/>
    </row>
    <row r="335" spans="1:5" x14ac:dyDescent="0.2">
      <c r="A335" s="345">
        <v>37711</v>
      </c>
      <c r="B335" s="253"/>
      <c r="C335" s="33"/>
      <c r="D335" s="253"/>
      <c r="E335" s="253"/>
    </row>
    <row r="336" spans="1:5" x14ac:dyDescent="0.2">
      <c r="A336" s="345">
        <v>37741</v>
      </c>
      <c r="B336" s="253"/>
      <c r="C336" s="33"/>
      <c r="D336" s="253"/>
      <c r="E336" s="253"/>
    </row>
    <row r="337" spans="1:9" x14ac:dyDescent="0.2">
      <c r="A337" s="345">
        <v>37772</v>
      </c>
      <c r="B337" s="253"/>
      <c r="C337" s="33"/>
      <c r="D337" s="253"/>
      <c r="E337" s="253"/>
    </row>
    <row r="338" spans="1:9" x14ac:dyDescent="0.2">
      <c r="A338" s="345">
        <v>37802</v>
      </c>
      <c r="B338" s="253"/>
      <c r="C338" s="33"/>
      <c r="D338" s="253"/>
      <c r="E338" s="253"/>
    </row>
    <row r="339" spans="1:9" x14ac:dyDescent="0.2">
      <c r="A339" s="345">
        <v>37833</v>
      </c>
      <c r="B339" s="253"/>
      <c r="C339" s="33"/>
      <c r="D339" s="253"/>
      <c r="E339" s="253"/>
    </row>
    <row r="340" spans="1:9" x14ac:dyDescent="0.2">
      <c r="A340" s="345">
        <v>37864</v>
      </c>
      <c r="B340" s="253"/>
      <c r="C340" s="33"/>
      <c r="D340" s="253"/>
      <c r="E340" s="253"/>
    </row>
    <row r="341" spans="1:9" x14ac:dyDescent="0.2">
      <c r="A341" s="345">
        <v>37894</v>
      </c>
      <c r="B341" s="253"/>
      <c r="C341" s="34"/>
      <c r="D341" s="253"/>
      <c r="E341" s="253"/>
    </row>
    <row r="342" spans="1:9" x14ac:dyDescent="0.2">
      <c r="A342" s="345">
        <v>37925</v>
      </c>
      <c r="B342" s="253"/>
      <c r="C342" s="34"/>
      <c r="D342" s="253"/>
      <c r="E342" s="253"/>
    </row>
    <row r="343" spans="1:9" x14ac:dyDescent="0.2">
      <c r="A343" s="345">
        <v>37955</v>
      </c>
      <c r="B343" s="253"/>
      <c r="C343" s="34"/>
      <c r="D343" s="253"/>
      <c r="E343" s="253"/>
    </row>
    <row r="344" spans="1:9" x14ac:dyDescent="0.2">
      <c r="A344" s="345">
        <v>37986</v>
      </c>
      <c r="B344" s="253"/>
      <c r="C344" s="34"/>
      <c r="D344" s="253"/>
      <c r="E344" s="253"/>
    </row>
    <row r="345" spans="1:9" x14ac:dyDescent="0.2">
      <c r="A345" s="345">
        <v>38017</v>
      </c>
      <c r="B345" s="1279">
        <v>0.67</v>
      </c>
      <c r="C345" s="34">
        <v>401757663.56999999</v>
      </c>
      <c r="D345" s="253"/>
      <c r="E345" s="253">
        <f>B345-Index_Returns!W345</f>
        <v>-0.13469999999999993</v>
      </c>
      <c r="F345" s="779"/>
    </row>
    <row r="346" spans="1:9" x14ac:dyDescent="0.2">
      <c r="A346" s="345">
        <v>38046</v>
      </c>
      <c r="B346" s="1279">
        <v>1.05</v>
      </c>
      <c r="C346" s="34">
        <v>405989278.47000003</v>
      </c>
      <c r="D346" s="253"/>
      <c r="E346" s="253">
        <f>B346-Index_Returns!W346</f>
        <v>-3.2000000000000028E-2</v>
      </c>
    </row>
    <row r="347" spans="1:9" x14ac:dyDescent="0.2">
      <c r="A347" s="345">
        <v>38077</v>
      </c>
      <c r="B347" s="1279">
        <v>0.76</v>
      </c>
      <c r="C347" s="34">
        <v>407100612.31999999</v>
      </c>
      <c r="D347" s="255"/>
      <c r="E347" s="253">
        <f>B347-Index_Returns!W347</f>
        <v>1.0399999999999965E-2</v>
      </c>
    </row>
    <row r="348" spans="1:9" x14ac:dyDescent="0.2">
      <c r="A348" s="345">
        <v>38107</v>
      </c>
      <c r="B348" s="1279">
        <v>-2.4</v>
      </c>
      <c r="C348" s="34">
        <v>399242298.44999999</v>
      </c>
      <c r="D348" s="253"/>
      <c r="E348" s="253">
        <f>B348-Index_Returns!W348</f>
        <v>0.20219999999999994</v>
      </c>
      <c r="I348" s="14"/>
    </row>
    <row r="349" spans="1:9" x14ac:dyDescent="0.2">
      <c r="A349" s="345">
        <v>38138</v>
      </c>
      <c r="B349" s="1279">
        <v>-0.61</v>
      </c>
      <c r="C349" s="34">
        <v>396926996.30000001</v>
      </c>
      <c r="D349" s="253"/>
      <c r="E349" s="253">
        <f>B349-Index_Returns!W349</f>
        <v>-0.2097</v>
      </c>
      <c r="I349" s="14"/>
    </row>
    <row r="350" spans="1:9" x14ac:dyDescent="0.2">
      <c r="A350" s="345">
        <v>38168</v>
      </c>
      <c r="B350" s="1279">
        <v>0.62</v>
      </c>
      <c r="C350" s="34">
        <v>399589770.91000003</v>
      </c>
      <c r="D350" s="253"/>
      <c r="E350" s="253">
        <f>B350-Index_Returns!W350</f>
        <v>5.479999999999996E-2</v>
      </c>
      <c r="I350" s="14"/>
    </row>
    <row r="351" spans="1:9" x14ac:dyDescent="0.2">
      <c r="A351" s="345">
        <v>38199</v>
      </c>
      <c r="B351" s="1279">
        <v>1.07</v>
      </c>
      <c r="C351" s="34">
        <v>403853782.06999999</v>
      </c>
      <c r="D351" s="253"/>
      <c r="E351" s="253">
        <f>B351-Index_Returns!W351</f>
        <v>7.8800000000000092E-2</v>
      </c>
    </row>
    <row r="352" spans="1:9" x14ac:dyDescent="0.2">
      <c r="A352" s="345">
        <v>38230</v>
      </c>
      <c r="B352" s="1279">
        <v>1.97</v>
      </c>
      <c r="C352" s="34">
        <v>411792170.94</v>
      </c>
      <c r="D352" s="253"/>
      <c r="E352" s="253">
        <f>B352-Index_Returns!W352</f>
        <v>6.25E-2</v>
      </c>
    </row>
    <row r="353" spans="1:5" x14ac:dyDescent="0.2">
      <c r="A353" s="345">
        <v>38260</v>
      </c>
      <c r="B353" s="1279">
        <v>0.38</v>
      </c>
      <c r="C353" s="34">
        <v>413552792.41000003</v>
      </c>
      <c r="D353" s="253"/>
      <c r="E353" s="253">
        <f>B353-Index_Returns!W353</f>
        <v>0.10870000000000002</v>
      </c>
    </row>
    <row r="354" spans="1:5" x14ac:dyDescent="0.2">
      <c r="A354" s="345">
        <v>38291</v>
      </c>
      <c r="B354" s="1279">
        <v>1</v>
      </c>
      <c r="C354" s="34">
        <v>417677043.60000002</v>
      </c>
      <c r="D354" s="253"/>
      <c r="E354" s="253">
        <f>B354-Index_Returns!W354</f>
        <v>0.16139999999999999</v>
      </c>
    </row>
    <row r="355" spans="1:5" x14ac:dyDescent="0.2">
      <c r="A355" s="345">
        <v>38321</v>
      </c>
      <c r="B355" s="1279">
        <v>-0.49</v>
      </c>
      <c r="C355" s="34">
        <v>415623891.16000003</v>
      </c>
      <c r="D355" s="253"/>
      <c r="E355" s="253">
        <f>B355-Index_Returns!W355</f>
        <v>0.30759999999999998</v>
      </c>
    </row>
    <row r="356" spans="1:5" x14ac:dyDescent="0.2">
      <c r="A356" s="345">
        <v>38352</v>
      </c>
      <c r="B356" s="1279">
        <v>0.97</v>
      </c>
      <c r="C356" s="256">
        <v>419842142.94999999</v>
      </c>
      <c r="D356" s="253"/>
      <c r="E356" s="253">
        <f>B356-Index_Returns!W356</f>
        <v>4.9899999999999944E-2</v>
      </c>
    </row>
    <row r="357" spans="1:5" x14ac:dyDescent="0.2">
      <c r="A357" s="345">
        <v>38383</v>
      </c>
      <c r="B357" s="1279">
        <v>0.54</v>
      </c>
      <c r="C357" s="34">
        <v>422100971.56999999</v>
      </c>
      <c r="D357" s="253"/>
      <c r="E357" s="253">
        <f>B357-Index_Returns!W357</f>
        <v>-8.7899999999999978E-2</v>
      </c>
    </row>
    <row r="358" spans="1:5" x14ac:dyDescent="0.2">
      <c r="A358" s="345">
        <v>38411</v>
      </c>
      <c r="B358" s="1279">
        <v>-0.24</v>
      </c>
      <c r="C358" s="34">
        <v>421094039.20999998</v>
      </c>
      <c r="D358" s="253"/>
      <c r="E358" s="253">
        <f>B358-Index_Returns!W358</f>
        <v>0.35030000000000006</v>
      </c>
    </row>
    <row r="359" spans="1:5" x14ac:dyDescent="0.2">
      <c r="A359" s="345">
        <v>38442</v>
      </c>
      <c r="B359" s="1279">
        <v>-0.83</v>
      </c>
      <c r="C359" s="256">
        <v>417780982.26999998</v>
      </c>
      <c r="D359" s="253"/>
      <c r="E359" s="253">
        <f>B359-Index_Returns!W359</f>
        <v>-0.31640000000000001</v>
      </c>
    </row>
    <row r="360" spans="1:5" x14ac:dyDescent="0.2">
      <c r="A360" s="345">
        <v>38472</v>
      </c>
      <c r="B360" s="1279">
        <v>1</v>
      </c>
      <c r="C360" s="256">
        <v>421963131.01999998</v>
      </c>
      <c r="D360" s="253"/>
      <c r="E360" s="253">
        <f>B360-Index_Returns!W360</f>
        <v>-0.35339999999999994</v>
      </c>
    </row>
    <row r="361" spans="1:5" x14ac:dyDescent="0.2">
      <c r="A361" s="345">
        <v>38503</v>
      </c>
      <c r="B361" s="1279">
        <v>1.18</v>
      </c>
      <c r="C361" s="256">
        <v>426932625.24000001</v>
      </c>
      <c r="D361" s="253"/>
      <c r="E361" s="253">
        <f>B361-Index_Returns!W361</f>
        <v>9.8099999999999854E-2</v>
      </c>
    </row>
    <row r="362" spans="1:5" x14ac:dyDescent="0.2">
      <c r="A362" s="345">
        <v>38533</v>
      </c>
      <c r="B362" s="1279">
        <v>0.62</v>
      </c>
      <c r="C362" s="256">
        <v>429786478.18000001</v>
      </c>
      <c r="D362" s="253"/>
      <c r="E362" s="253">
        <f>B362-Index_Returns!W362</f>
        <v>7.4699999999999989E-2</v>
      </c>
    </row>
    <row r="363" spans="1:5" x14ac:dyDescent="0.2">
      <c r="A363" s="345">
        <v>38564</v>
      </c>
      <c r="B363" s="1279">
        <v>-0.46</v>
      </c>
      <c r="C363" s="256">
        <v>427821031.63999999</v>
      </c>
      <c r="D363" s="253"/>
      <c r="E363" s="253">
        <f>B363-Index_Returns!W363</f>
        <v>0.45029999999999998</v>
      </c>
    </row>
    <row r="364" spans="1:5" x14ac:dyDescent="0.2">
      <c r="A364" s="345">
        <v>38595</v>
      </c>
      <c r="B364" s="1279">
        <v>0.86</v>
      </c>
      <c r="C364" s="256">
        <v>431491506.11000001</v>
      </c>
      <c r="D364" s="253"/>
      <c r="E364" s="253">
        <f>B364-Index_Returns!W364</f>
        <v>-0.42200000000000004</v>
      </c>
    </row>
    <row r="365" spans="1:5" x14ac:dyDescent="0.2">
      <c r="A365" s="345">
        <v>38625</v>
      </c>
      <c r="B365" s="1279">
        <v>-0.62</v>
      </c>
      <c r="C365" s="256">
        <v>429014090.66000003</v>
      </c>
      <c r="D365" s="253"/>
      <c r="E365" s="253">
        <f>B365-Index_Returns!W365</f>
        <v>0.41010000000000002</v>
      </c>
    </row>
    <row r="366" spans="1:5" x14ac:dyDescent="0.2">
      <c r="A366" s="345">
        <v>38656</v>
      </c>
      <c r="B366" s="1279">
        <v>-0.69</v>
      </c>
      <c r="C366" s="256">
        <v>426055606.98000002</v>
      </c>
      <c r="D366" s="253"/>
      <c r="E366" s="253">
        <f>B366-Index_Returns!W366</f>
        <v>0.10140000000000005</v>
      </c>
    </row>
    <row r="367" spans="1:5" x14ac:dyDescent="0.2">
      <c r="A367" s="345">
        <v>38686</v>
      </c>
      <c r="B367" s="1279">
        <v>0.5</v>
      </c>
      <c r="C367" s="256">
        <v>428201538.50999999</v>
      </c>
      <c r="D367" s="253"/>
      <c r="E367" s="253">
        <f>B367-Index_Returns!W367</f>
        <v>5.7699999999999974E-2</v>
      </c>
    </row>
    <row r="368" spans="1:5" x14ac:dyDescent="0.2">
      <c r="A368" s="345">
        <v>38717</v>
      </c>
      <c r="B368" s="1279">
        <v>0.86</v>
      </c>
      <c r="C368" s="256">
        <v>432070826.75999999</v>
      </c>
      <c r="D368" s="253"/>
      <c r="E368" s="253">
        <f>B368-Index_Returns!W368</f>
        <v>-9.0799999999999992E-2</v>
      </c>
    </row>
    <row r="369" spans="1:6" x14ac:dyDescent="0.2">
      <c r="A369" s="345">
        <v>38748</v>
      </c>
      <c r="B369" s="1279">
        <v>0.21</v>
      </c>
      <c r="C369" s="256">
        <v>432984507.35000002</v>
      </c>
      <c r="D369" s="253"/>
      <c r="E369" s="253">
        <f>B369-Index_Returns!W369</f>
        <v>0.20429999999999998</v>
      </c>
    </row>
    <row r="370" spans="1:6" x14ac:dyDescent="0.2">
      <c r="A370" s="345">
        <v>38776</v>
      </c>
      <c r="B370" s="1279">
        <v>0.37</v>
      </c>
      <c r="C370" s="256">
        <v>434576063.06999999</v>
      </c>
      <c r="D370" s="253"/>
      <c r="E370" s="253">
        <f>B370-Index_Returns!W370</f>
        <v>3.7999999999999978E-2</v>
      </c>
    </row>
    <row r="371" spans="1:6" x14ac:dyDescent="0.2">
      <c r="A371" s="345">
        <v>38807</v>
      </c>
      <c r="B371" s="1279">
        <v>-0.85</v>
      </c>
      <c r="C371" s="367">
        <v>431088846.13</v>
      </c>
      <c r="D371" s="253"/>
      <c r="E371" s="253">
        <f>B371-Index_Returns!W371</f>
        <v>0.13129999999999997</v>
      </c>
    </row>
    <row r="372" spans="1:6" x14ac:dyDescent="0.2">
      <c r="A372" s="345">
        <v>38837</v>
      </c>
      <c r="B372" s="1279">
        <v>0.03</v>
      </c>
      <c r="C372" s="367">
        <v>431210261.85000002</v>
      </c>
      <c r="D372" s="253"/>
      <c r="E372" s="253">
        <f>B372-Index_Returns!W372</f>
        <v>0.21129999999999999</v>
      </c>
    </row>
    <row r="373" spans="1:6" x14ac:dyDescent="0.2">
      <c r="A373" s="345">
        <v>38868</v>
      </c>
      <c r="B373" s="1279">
        <v>-0.14000000000000001</v>
      </c>
      <c r="C373" s="367">
        <v>430610132.93000001</v>
      </c>
      <c r="D373" s="253"/>
      <c r="E373" s="253">
        <f>B373-Index_Returns!W373</f>
        <v>-3.330000000000001E-2</v>
      </c>
    </row>
    <row r="374" spans="1:6" x14ac:dyDescent="0.2">
      <c r="A374" s="345">
        <v>38898</v>
      </c>
      <c r="B374" s="1279">
        <v>0.17</v>
      </c>
      <c r="C374" s="612">
        <v>431543139.19999999</v>
      </c>
      <c r="D374" s="253"/>
      <c r="E374" s="253">
        <f>B374-Index_Returns!W374</f>
        <v>-4.1999999999999982E-2</v>
      </c>
    </row>
    <row r="375" spans="1:6" x14ac:dyDescent="0.2">
      <c r="A375" s="345">
        <v>38929</v>
      </c>
      <c r="B375" s="1279">
        <v>1.37</v>
      </c>
      <c r="C375" s="34">
        <v>437461921.79000002</v>
      </c>
      <c r="D375" s="253"/>
      <c r="E375" s="253">
        <f>B375-Index_Returns!W375</f>
        <v>1.7800000000000038E-2</v>
      </c>
    </row>
    <row r="376" spans="1:6" x14ac:dyDescent="0.2">
      <c r="A376" s="345">
        <v>38960</v>
      </c>
      <c r="B376" s="1279">
        <v>1.54</v>
      </c>
      <c r="C376" s="34">
        <v>444185090.62</v>
      </c>
      <c r="D376" s="253"/>
      <c r="E376" s="253">
        <f>B376-Index_Returns!W376</f>
        <v>9.200000000000097E-3</v>
      </c>
    </row>
    <row r="377" spans="1:6" x14ac:dyDescent="0.2">
      <c r="A377" s="345">
        <v>38990</v>
      </c>
      <c r="B377" s="1279">
        <v>0.83</v>
      </c>
      <c r="C377" s="34">
        <v>448061307.38</v>
      </c>
      <c r="D377" s="253"/>
      <c r="E377" s="253">
        <f>B377-Index_Returns!W377</f>
        <v>-4.8399999999999999E-2</v>
      </c>
    </row>
    <row r="378" spans="1:6" x14ac:dyDescent="0.2">
      <c r="A378" s="345">
        <v>39021</v>
      </c>
      <c r="B378" s="1279">
        <v>0.71</v>
      </c>
      <c r="C378" s="34">
        <v>451263360.08999997</v>
      </c>
      <c r="D378" s="253"/>
      <c r="E378" s="253">
        <f>B378-Index_Returns!W378</f>
        <v>4.8499999999999988E-2</v>
      </c>
      <c r="F378" s="352"/>
    </row>
    <row r="379" spans="1:6" x14ac:dyDescent="0.2">
      <c r="A379" s="345">
        <v>39051</v>
      </c>
      <c r="B379" s="1279">
        <v>1.23</v>
      </c>
      <c r="C379" s="34">
        <v>456816144.47000003</v>
      </c>
      <c r="D379" s="253"/>
      <c r="E379" s="253">
        <f>B379-Index_Returns!W379</f>
        <v>6.9900000000000073E-2</v>
      </c>
      <c r="F379" s="352"/>
    </row>
    <row r="380" spans="1:6" x14ac:dyDescent="0.2">
      <c r="A380" s="345">
        <v>39082</v>
      </c>
      <c r="B380" s="1279">
        <v>-0.54</v>
      </c>
      <c r="C380" s="703">
        <v>454559981.94999999</v>
      </c>
      <c r="D380" s="253"/>
      <c r="E380" s="253">
        <f>B380-Index_Returns!W380</f>
        <v>4.0300000000000002E-2</v>
      </c>
      <c r="F380" s="352"/>
    </row>
    <row r="381" spans="1:6" x14ac:dyDescent="0.2">
      <c r="A381" s="345">
        <v>39113</v>
      </c>
      <c r="B381" s="1279">
        <v>0.13</v>
      </c>
      <c r="C381" s="770">
        <v>455136857.22000003</v>
      </c>
      <c r="E381" s="253">
        <f>B381-Index_Returns!W381</f>
        <v>0.17100000000000001</v>
      </c>
      <c r="F381" s="352"/>
    </row>
    <row r="382" spans="1:6" x14ac:dyDescent="0.2">
      <c r="A382" s="345">
        <v>39141</v>
      </c>
      <c r="B382" s="1279">
        <v>1.59</v>
      </c>
      <c r="C382" s="770">
        <v>462369508.45999998</v>
      </c>
      <c r="E382" s="253">
        <f>B382-Index_Returns!W382</f>
        <v>4.8000000000000043E-2</v>
      </c>
      <c r="F382" s="352"/>
    </row>
    <row r="383" spans="1:6" x14ac:dyDescent="0.2">
      <c r="A383" s="345">
        <v>39172</v>
      </c>
      <c r="B383" s="1279">
        <v>0.02</v>
      </c>
      <c r="C383" s="770">
        <v>462693840.63999999</v>
      </c>
      <c r="E383" s="253">
        <f>B383-Index_Returns!W383</f>
        <v>1.6900000000000002E-2</v>
      </c>
    </row>
    <row r="384" spans="1:6" x14ac:dyDescent="0.2">
      <c r="A384" s="345">
        <v>39202</v>
      </c>
      <c r="B384" s="1279">
        <v>0.67</v>
      </c>
      <c r="C384" s="770">
        <v>465807464</v>
      </c>
      <c r="E384" s="253">
        <f>B384-Index_Returns!W384</f>
        <v>0.13080000000000003</v>
      </c>
    </row>
    <row r="385" spans="1:5" x14ac:dyDescent="0.2">
      <c r="A385" s="345">
        <v>39233</v>
      </c>
      <c r="B385" s="1279">
        <v>-0.67</v>
      </c>
      <c r="C385" s="770">
        <v>462692298.23000002</v>
      </c>
      <c r="E385" s="253">
        <f>B385-Index_Returns!W385</f>
        <v>8.7899999999999978E-2</v>
      </c>
    </row>
    <row r="386" spans="1:5" x14ac:dyDescent="0.2">
      <c r="A386" s="345">
        <v>39263</v>
      </c>
      <c r="B386" s="1279">
        <v>-0.31</v>
      </c>
      <c r="C386" s="770">
        <v>461494996.16000003</v>
      </c>
      <c r="E386" s="253">
        <f>B386-Index_Returns!W386</f>
        <v>-1.419999999999999E-2</v>
      </c>
    </row>
    <row r="387" spans="1:5" x14ac:dyDescent="0.2">
      <c r="A387" s="345">
        <v>39294</v>
      </c>
      <c r="B387" s="1279">
        <v>0.59</v>
      </c>
      <c r="C387" s="770">
        <v>464239150.51999998</v>
      </c>
      <c r="E387" s="253">
        <f>B387-Index_Returns!W387</f>
        <v>-0.24409999999999998</v>
      </c>
    </row>
    <row r="388" spans="1:5" x14ac:dyDescent="0.2">
      <c r="A388" s="345">
        <v>39325</v>
      </c>
      <c r="B388" s="1279">
        <v>0.89</v>
      </c>
      <c r="C388" s="346">
        <v>468382350.07999998</v>
      </c>
      <c r="E388" s="253">
        <f>B388-Index_Returns!W388</f>
        <v>-0.3357</v>
      </c>
    </row>
    <row r="389" spans="1:5" x14ac:dyDescent="0.2">
      <c r="A389" s="345">
        <v>39355</v>
      </c>
      <c r="B389" s="1279">
        <v>0.92</v>
      </c>
      <c r="C389" s="346">
        <v>472915378.87</v>
      </c>
      <c r="E389" s="253">
        <f>B389-Index_Returns!W389</f>
        <v>0.16139999999999999</v>
      </c>
    </row>
    <row r="390" spans="1:5" x14ac:dyDescent="0.2">
      <c r="A390" s="345">
        <v>39386</v>
      </c>
      <c r="B390" s="1279">
        <v>0.84</v>
      </c>
      <c r="C390" s="346">
        <v>476864940.43000001</v>
      </c>
      <c r="E390" s="253">
        <f>B390-Index_Returns!W390</f>
        <v>-5.8300000000000018E-2</v>
      </c>
    </row>
    <row r="391" spans="1:5" x14ac:dyDescent="0.2">
      <c r="A391" s="345">
        <v>39416</v>
      </c>
      <c r="B391" s="1279">
        <v>1.1100000000000001</v>
      </c>
      <c r="C391" s="346">
        <v>482134622.27999997</v>
      </c>
      <c r="E391" s="253">
        <f>B391-Index_Returns!W391</f>
        <v>-0.68829999999999991</v>
      </c>
    </row>
    <row r="392" spans="1:5" x14ac:dyDescent="0.2">
      <c r="A392" s="345">
        <v>39447</v>
      </c>
      <c r="B392" s="1279">
        <v>0.2</v>
      </c>
      <c r="C392" s="346">
        <v>483356499.80000001</v>
      </c>
      <c r="E392" s="253">
        <f>B392-Index_Returns!W392</f>
        <v>-8.0899999999999972E-2</v>
      </c>
    </row>
    <row r="393" spans="1:5" x14ac:dyDescent="0.2">
      <c r="A393" s="345">
        <v>39478</v>
      </c>
      <c r="B393" s="1279">
        <v>1.26</v>
      </c>
      <c r="C393" s="346">
        <v>489446558.79000002</v>
      </c>
      <c r="E393" s="253">
        <f>B393-Index_Returns!W393</f>
        <v>-0.41979999999999995</v>
      </c>
    </row>
    <row r="394" spans="1:5" x14ac:dyDescent="0.2">
      <c r="A394" s="345">
        <v>39507</v>
      </c>
      <c r="B394" s="1279">
        <v>-0.22</v>
      </c>
      <c r="C394" s="346">
        <v>488392256.60000002</v>
      </c>
      <c r="E394" s="253">
        <f>B394-Index_Returns!W394</f>
        <v>-0.35880000000000001</v>
      </c>
    </row>
    <row r="395" spans="1:5" x14ac:dyDescent="0.2">
      <c r="A395" s="345">
        <v>39538</v>
      </c>
      <c r="B395" s="1279">
        <v>-0.34</v>
      </c>
      <c r="C395" s="346">
        <v>486981888.06</v>
      </c>
      <c r="E395" s="253">
        <f>B395-Index_Returns!W395</f>
        <v>-0.68120000000000003</v>
      </c>
    </row>
    <row r="396" spans="1:5" x14ac:dyDescent="0.2">
      <c r="A396" s="345">
        <v>39568</v>
      </c>
      <c r="B396" s="1279">
        <v>0.36</v>
      </c>
      <c r="C396" s="346">
        <v>488727354.37</v>
      </c>
      <c r="E396" s="253">
        <f>B396-Index_Returns!W396</f>
        <v>0.56899999999999995</v>
      </c>
    </row>
    <row r="397" spans="1:5" x14ac:dyDescent="0.2">
      <c r="A397" s="345">
        <v>39599</v>
      </c>
      <c r="B397" s="1279">
        <v>-0.48</v>
      </c>
      <c r="C397" s="346">
        <v>486357595.94</v>
      </c>
      <c r="E397" s="253">
        <f>B397-Index_Returns!W397</f>
        <v>0.25329999999999997</v>
      </c>
    </row>
    <row r="398" spans="1:5" x14ac:dyDescent="0.2">
      <c r="A398" s="345">
        <v>39629</v>
      </c>
      <c r="B398" s="1279">
        <v>0</v>
      </c>
      <c r="C398" s="346">
        <v>486598278.61000001</v>
      </c>
      <c r="E398" s="253">
        <f>B398-Index_Returns!W398</f>
        <v>8.0799999999999997E-2</v>
      </c>
    </row>
    <row r="399" spans="1:5" x14ac:dyDescent="0.2">
      <c r="A399" s="345">
        <v>39660</v>
      </c>
      <c r="B399" s="1279">
        <v>-0.27</v>
      </c>
      <c r="C399" s="367">
        <v>485280587.38</v>
      </c>
      <c r="E399" s="253">
        <f>B399-Index_Returns!W399</f>
        <v>-0.18840000000000001</v>
      </c>
    </row>
    <row r="400" spans="1:5" x14ac:dyDescent="0.2">
      <c r="A400" s="345">
        <v>39691</v>
      </c>
      <c r="B400" s="1279">
        <v>1.22</v>
      </c>
      <c r="C400" s="367">
        <v>491215689.51999998</v>
      </c>
      <c r="E400" s="253">
        <f>B400-Index_Returns!W400</f>
        <v>0.27089999999999992</v>
      </c>
    </row>
    <row r="401" spans="1:5" x14ac:dyDescent="0.2">
      <c r="A401" s="345">
        <v>39721</v>
      </c>
      <c r="B401" s="1279">
        <v>-2.09</v>
      </c>
      <c r="C401" s="367">
        <v>481170507.67000002</v>
      </c>
      <c r="E401" s="253">
        <f>B401-Index_Returns!W401</f>
        <v>-0.74679999999999991</v>
      </c>
    </row>
    <row r="402" spans="1:5" x14ac:dyDescent="0.2">
      <c r="A402" s="345">
        <v>39752</v>
      </c>
      <c r="B402" s="1279">
        <v>-5.36</v>
      </c>
      <c r="C402" s="346">
        <v>455983036</v>
      </c>
      <c r="E402" s="253">
        <f>B402-Index_Returns!W402</f>
        <v>-2.9996000000000005</v>
      </c>
    </row>
    <row r="403" spans="1:5" x14ac:dyDescent="0.2">
      <c r="A403" s="345">
        <v>39782</v>
      </c>
      <c r="B403" s="1279">
        <v>0.27</v>
      </c>
      <c r="C403" s="346">
        <v>457224763</v>
      </c>
      <c r="E403" s="253">
        <f>B403-Index_Returns!W403</f>
        <v>-2.9849999999999999</v>
      </c>
    </row>
    <row r="404" spans="1:5" x14ac:dyDescent="0.2">
      <c r="A404" s="345">
        <v>39813</v>
      </c>
      <c r="B404" s="1279">
        <v>3.06</v>
      </c>
      <c r="C404" s="346">
        <v>471424789</v>
      </c>
      <c r="E404" s="253">
        <f>B404-Index_Returns!W404</f>
        <v>-0.67090000000000005</v>
      </c>
    </row>
    <row r="405" spans="1:5" x14ac:dyDescent="0.2">
      <c r="A405" s="345">
        <v>39844</v>
      </c>
      <c r="B405" s="1279">
        <v>0.98</v>
      </c>
      <c r="C405" s="346">
        <v>476044367.88</v>
      </c>
      <c r="D405" s="258">
        <v>0.97989999999999999</v>
      </c>
      <c r="E405" s="253">
        <f>B405-Index_Returns!W405</f>
        <v>1.8622999999999998</v>
      </c>
    </row>
    <row r="406" spans="1:5" x14ac:dyDescent="0.2">
      <c r="A406" s="345">
        <v>39872</v>
      </c>
      <c r="B406" s="1279">
        <v>-0.69</v>
      </c>
      <c r="C406" s="346">
        <v>472769657.80000001</v>
      </c>
      <c r="D406" s="258">
        <v>-0.68789999999999996</v>
      </c>
      <c r="E406" s="253">
        <f>B406-Index_Returns!W406</f>
        <v>-0.31239999999999996</v>
      </c>
    </row>
    <row r="407" spans="1:5" x14ac:dyDescent="0.2">
      <c r="A407" s="345">
        <v>39903</v>
      </c>
      <c r="B407" s="1279">
        <v>1.65</v>
      </c>
      <c r="C407" s="346">
        <v>480785433.88999999</v>
      </c>
      <c r="D407" s="258">
        <v>1.6955</v>
      </c>
      <c r="E407" s="253">
        <f>B407-Index_Returns!W407</f>
        <v>0.25979999999999981</v>
      </c>
    </row>
    <row r="408" spans="1:5" x14ac:dyDescent="0.2">
      <c r="A408" s="345">
        <v>39933</v>
      </c>
      <c r="B408" s="1279">
        <v>2.65</v>
      </c>
      <c r="C408" s="346">
        <v>493546564.13999999</v>
      </c>
      <c r="E408" s="253">
        <f>B408-Index_Returns!W408</f>
        <v>2.1713999999999998</v>
      </c>
    </row>
    <row r="409" spans="1:5" x14ac:dyDescent="0.2">
      <c r="A409" s="345">
        <v>39964</v>
      </c>
      <c r="B409" s="1279">
        <v>1.87</v>
      </c>
      <c r="C409" s="346">
        <v>502768195.87</v>
      </c>
      <c r="E409" s="253">
        <f>B409-Index_Returns!W409</f>
        <v>1.1449000000000003</v>
      </c>
    </row>
    <row r="410" spans="1:5" x14ac:dyDescent="0.2">
      <c r="A410" s="345">
        <v>39994</v>
      </c>
      <c r="B410" s="1279">
        <v>1.3</v>
      </c>
      <c r="C410" s="346">
        <v>509544882.23000002</v>
      </c>
      <c r="E410" s="253">
        <f>B410-Index_Returns!W410</f>
        <v>0.73160000000000003</v>
      </c>
    </row>
    <row r="411" spans="1:5" x14ac:dyDescent="0.2">
      <c r="A411" s="345">
        <v>40025</v>
      </c>
      <c r="B411" s="1279">
        <v>3.34</v>
      </c>
      <c r="C411" s="346">
        <v>526584918.64999998</v>
      </c>
      <c r="D411" s="258">
        <v>3.3441999999999998</v>
      </c>
      <c r="E411" s="253">
        <f>B411-Index_Returns!W411</f>
        <v>1.7266999999999999</v>
      </c>
    </row>
    <row r="412" spans="1:5" x14ac:dyDescent="0.2">
      <c r="A412" s="345">
        <v>40056</v>
      </c>
      <c r="B412" s="1279">
        <v>1.25</v>
      </c>
      <c r="C412" s="346">
        <v>530126741.49000001</v>
      </c>
      <c r="D412" s="258">
        <v>1.2484999999999999</v>
      </c>
      <c r="E412" s="253">
        <f>B412-Index_Returns!W412</f>
        <v>0.2145999999999999</v>
      </c>
    </row>
    <row r="413" spans="1:5" x14ac:dyDescent="0.2">
      <c r="A413" s="345">
        <v>40086</v>
      </c>
      <c r="B413" s="1279">
        <v>1.64</v>
      </c>
      <c r="C413" s="346">
        <v>539052984.89999998</v>
      </c>
      <c r="D413" s="258">
        <v>1.6838</v>
      </c>
      <c r="E413" s="253">
        <f>B413-Index_Returns!W413</f>
        <v>0.58929999999999993</v>
      </c>
    </row>
    <row r="414" spans="1:5" x14ac:dyDescent="0.2">
      <c r="A414" s="345">
        <v>40117</v>
      </c>
      <c r="B414" s="1279">
        <v>0.62</v>
      </c>
      <c r="C414" s="346">
        <v>542414631</v>
      </c>
      <c r="D414" s="258">
        <v>0.62</v>
      </c>
      <c r="E414" s="253">
        <f>B414-Index_Returns!W414</f>
        <v>0.13</v>
      </c>
    </row>
    <row r="415" spans="1:5" x14ac:dyDescent="0.2">
      <c r="A415" s="345">
        <v>40147</v>
      </c>
      <c r="B415" s="1279">
        <v>1.19</v>
      </c>
      <c r="C415" s="346">
        <v>548836744</v>
      </c>
      <c r="D415" s="258">
        <v>1.1839999999999999</v>
      </c>
      <c r="E415" s="253">
        <f>B415-Index_Returns!W415</f>
        <v>-0.10400000000000009</v>
      </c>
    </row>
    <row r="416" spans="1:5" x14ac:dyDescent="0.2">
      <c r="A416" s="345">
        <v>40178</v>
      </c>
      <c r="B416" s="1279">
        <v>-0.6</v>
      </c>
      <c r="C416" s="346">
        <v>545564088.91999996</v>
      </c>
      <c r="D416" s="258">
        <v>-0.60516999999999999</v>
      </c>
      <c r="E416" s="253">
        <f>B416-Index_Returns!W416</f>
        <v>0.96350999999999998</v>
      </c>
    </row>
    <row r="417" spans="1:5" x14ac:dyDescent="0.2">
      <c r="A417" s="345">
        <v>40209</v>
      </c>
      <c r="B417" s="253">
        <v>1.96</v>
      </c>
      <c r="C417" s="346">
        <v>235623774.97</v>
      </c>
      <c r="D417" s="258">
        <v>1.9515499999999999</v>
      </c>
      <c r="E417" s="253">
        <f>B417-Index_Returns!W417</f>
        <v>0.43222000000000005</v>
      </c>
    </row>
    <row r="418" spans="1:5" x14ac:dyDescent="0.2">
      <c r="A418" s="345">
        <v>40237</v>
      </c>
      <c r="B418" s="253">
        <v>-0.48</v>
      </c>
      <c r="C418" s="346">
        <v>236383121</v>
      </c>
      <c r="D418" s="258">
        <v>-0.47717999999999999</v>
      </c>
      <c r="E418" s="253">
        <f>B418-Index_Returns!W418</f>
        <v>-0.85331999999999997</v>
      </c>
    </row>
    <row r="419" spans="1:5" x14ac:dyDescent="0.2">
      <c r="A419" s="345">
        <v>40268</v>
      </c>
      <c r="B419" s="253">
        <v>0.89</v>
      </c>
      <c r="C419" s="1287">
        <v>100726675.77</v>
      </c>
      <c r="D419" s="1286">
        <v>0.88937999999999995</v>
      </c>
      <c r="E419" s="253">
        <f>B419-Index_Returns!W419</f>
        <v>1.0126200000000001</v>
      </c>
    </row>
    <row r="420" spans="1:5" x14ac:dyDescent="0.2">
      <c r="A420" s="345">
        <v>40298</v>
      </c>
      <c r="B420" s="253"/>
      <c r="C420" s="346">
        <v>1075950.55</v>
      </c>
      <c r="D420" s="258">
        <v>0</v>
      </c>
      <c r="E420" s="253">
        <f>B420-Index_Returns!W420</f>
        <v>-1.04098</v>
      </c>
    </row>
    <row r="421" spans="1:5" x14ac:dyDescent="0.2">
      <c r="A421" s="345">
        <v>40329</v>
      </c>
      <c r="B421" s="253"/>
      <c r="C421" s="346">
        <v>1044952.48</v>
      </c>
      <c r="D421" s="258">
        <v>0</v>
      </c>
      <c r="E421" s="253">
        <f>B421-Index_Returns!W421</f>
        <v>-0.84108000000000005</v>
      </c>
    </row>
    <row r="422" spans="1:5" x14ac:dyDescent="0.2">
      <c r="A422" s="345">
        <v>40359</v>
      </c>
      <c r="B422" s="253"/>
      <c r="C422" s="346">
        <v>262.2</v>
      </c>
      <c r="D422" s="258">
        <v>0</v>
      </c>
      <c r="E422" s="253">
        <f>B422-Index_Returns!W422</f>
        <v>-1.56816</v>
      </c>
    </row>
    <row r="423" spans="1:5" x14ac:dyDescent="0.2">
      <c r="A423" s="345">
        <v>40390</v>
      </c>
      <c r="B423" s="253"/>
      <c r="C423" s="346"/>
      <c r="E423" s="253">
        <f>B423-Index_Returns!W423</f>
        <v>-1.06738</v>
      </c>
    </row>
    <row r="424" spans="1:5" x14ac:dyDescent="0.2">
      <c r="A424" s="345">
        <v>40421</v>
      </c>
      <c r="B424" s="253"/>
      <c r="C424" s="346"/>
      <c r="E424" s="253">
        <f>B424-Index_Returns!W424</f>
        <v>-1.2865500000000001</v>
      </c>
    </row>
    <row r="425" spans="1:5" x14ac:dyDescent="0.2">
      <c r="A425" s="345">
        <v>40451</v>
      </c>
      <c r="B425" s="253"/>
      <c r="C425" s="346"/>
      <c r="E425" s="253">
        <f>B425-Index_Returns!W425</f>
        <v>-0.10672</v>
      </c>
    </row>
    <row r="426" spans="1:5" x14ac:dyDescent="0.2">
      <c r="A426" s="345">
        <v>40482</v>
      </c>
      <c r="B426" s="253"/>
      <c r="C426" s="346"/>
      <c r="E426" s="253">
        <f>B426-Index_Returns!W426</f>
        <v>-0.35583999999999999</v>
      </c>
    </row>
    <row r="427" spans="1:5" x14ac:dyDescent="0.2">
      <c r="A427" s="345">
        <v>40512</v>
      </c>
      <c r="B427" s="253"/>
      <c r="C427" s="346"/>
      <c r="E427" s="253">
        <f>B427-Index_Returns!W427</f>
        <v>0.57477999999999996</v>
      </c>
    </row>
    <row r="428" spans="1:5" x14ac:dyDescent="0.2">
      <c r="A428" s="345">
        <v>40543</v>
      </c>
      <c r="B428" s="253"/>
      <c r="C428" s="346"/>
      <c r="E428" s="253">
        <f>B428-Index_Returns!W428</f>
        <v>1.0783199999999999</v>
      </c>
    </row>
  </sheetData>
  <phoneticPr fontId="3" type="noConversion"/>
  <printOptions headings="1" gridLines="1"/>
  <pageMargins left="0.78740157480314965" right="0.78740157480314965" top="0.78740157480314965" bottom="0.78740157480314965" header="0.39370078740157483" footer="0.39370078740157483"/>
  <pageSetup scale="13" orientation="portrait" r:id="rId1"/>
  <headerFooter alignWithMargins="0">
    <oddHeader>&amp;L&amp;A</oddHead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rgb="FFFF0000"/>
    <pageSetUpPr fitToPage="1"/>
  </sheetPr>
  <dimension ref="A1:I428"/>
  <sheetViews>
    <sheetView workbookViewId="0">
      <pane xSplit="1" ySplit="2" topLeftCell="B386" activePane="bottomRight" state="frozen"/>
      <selection activeCell="D423" sqref="D423"/>
      <selection pane="topRight" activeCell="D423" sqref="D423"/>
      <selection pane="bottomLeft" activeCell="D423" sqref="D423"/>
      <selection pane="bottomRight" activeCell="D423" sqref="D423"/>
    </sheetView>
  </sheetViews>
  <sheetFormatPr defaultRowHeight="12.75" x14ac:dyDescent="0.2"/>
  <cols>
    <col min="1" max="1" width="18.7109375" style="21" customWidth="1"/>
    <col min="2" max="2" width="18.7109375" style="257" customWidth="1"/>
    <col min="3" max="3" width="18.7109375" style="5" customWidth="1"/>
    <col min="4" max="5" width="18.7109375" style="258" customWidth="1"/>
    <col min="6" max="6" width="15" bestFit="1" customWidth="1"/>
    <col min="7" max="8" width="9.140625" style="352"/>
  </cols>
  <sheetData>
    <row r="1" spans="1:5" x14ac:dyDescent="0.2">
      <c r="A1" s="265" t="s">
        <v>2</v>
      </c>
      <c r="B1" s="321" t="s">
        <v>503</v>
      </c>
      <c r="C1" s="20" t="s">
        <v>25</v>
      </c>
      <c r="D1" s="252">
        <v>16</v>
      </c>
      <c r="E1" s="74" t="s">
        <v>81</v>
      </c>
    </row>
    <row r="2" spans="1:5" x14ac:dyDescent="0.2">
      <c r="A2" s="3" t="s">
        <v>27</v>
      </c>
      <c r="B2" s="71" t="s">
        <v>91</v>
      </c>
      <c r="C2" s="3" t="s">
        <v>92</v>
      </c>
      <c r="D2" s="71" t="s">
        <v>90</v>
      </c>
      <c r="E2" s="71" t="s">
        <v>80</v>
      </c>
    </row>
    <row r="3" spans="1:5" x14ac:dyDescent="0.2">
      <c r="A3" s="345">
        <v>27606</v>
      </c>
      <c r="B3" s="71"/>
      <c r="C3" s="226"/>
      <c r="D3" s="71"/>
      <c r="E3" s="71"/>
    </row>
    <row r="4" spans="1:5" x14ac:dyDescent="0.2">
      <c r="A4" s="345">
        <v>27637</v>
      </c>
      <c r="B4" s="71"/>
      <c r="C4" s="226"/>
      <c r="D4" s="71"/>
      <c r="E4" s="71"/>
    </row>
    <row r="5" spans="1:5" x14ac:dyDescent="0.2">
      <c r="A5" s="345">
        <v>27667</v>
      </c>
      <c r="B5" s="71"/>
      <c r="C5" s="226"/>
      <c r="D5" s="71"/>
      <c r="E5" s="71"/>
    </row>
    <row r="6" spans="1:5" x14ac:dyDescent="0.2">
      <c r="A6" s="345">
        <v>27698</v>
      </c>
      <c r="B6" s="71"/>
      <c r="C6" s="226"/>
      <c r="D6" s="71"/>
      <c r="E6" s="71"/>
    </row>
    <row r="7" spans="1:5" x14ac:dyDescent="0.2">
      <c r="A7" s="345">
        <v>27728</v>
      </c>
      <c r="B7" s="71"/>
      <c r="C7" s="226"/>
      <c r="D7" s="71"/>
      <c r="E7" s="71"/>
    </row>
    <row r="8" spans="1:5" x14ac:dyDescent="0.2">
      <c r="A8" s="345">
        <v>27759</v>
      </c>
      <c r="B8" s="71"/>
      <c r="C8" s="226"/>
      <c r="D8" s="71"/>
      <c r="E8" s="71"/>
    </row>
    <row r="9" spans="1:5" x14ac:dyDescent="0.2">
      <c r="A9" s="345">
        <v>27790</v>
      </c>
      <c r="B9" s="71"/>
      <c r="C9" s="226"/>
      <c r="D9" s="71"/>
      <c r="E9" s="71"/>
    </row>
    <row r="10" spans="1:5" x14ac:dyDescent="0.2">
      <c r="A10" s="345">
        <v>27819</v>
      </c>
      <c r="B10" s="71"/>
      <c r="C10" s="226"/>
      <c r="D10" s="71"/>
      <c r="E10" s="71"/>
    </row>
    <row r="11" spans="1:5" x14ac:dyDescent="0.2">
      <c r="A11" s="345">
        <v>27850</v>
      </c>
      <c r="B11" s="71"/>
      <c r="C11" s="226"/>
      <c r="D11" s="71"/>
      <c r="E11" s="71"/>
    </row>
    <row r="12" spans="1:5" x14ac:dyDescent="0.2">
      <c r="A12" s="345">
        <v>27880</v>
      </c>
      <c r="B12" s="71"/>
      <c r="C12" s="226"/>
      <c r="D12" s="71"/>
      <c r="E12" s="71"/>
    </row>
    <row r="13" spans="1:5" x14ac:dyDescent="0.2">
      <c r="A13" s="345">
        <v>27911</v>
      </c>
      <c r="B13" s="71"/>
      <c r="C13" s="226"/>
      <c r="D13" s="71"/>
      <c r="E13" s="71"/>
    </row>
    <row r="14" spans="1:5" x14ac:dyDescent="0.2">
      <c r="A14" s="345">
        <v>27941</v>
      </c>
      <c r="B14" s="71"/>
      <c r="C14" s="226"/>
      <c r="D14" s="71"/>
      <c r="E14" s="71"/>
    </row>
    <row r="15" spans="1:5" x14ac:dyDescent="0.2">
      <c r="A15" s="345">
        <v>27972</v>
      </c>
      <c r="B15" s="71"/>
      <c r="C15" s="226"/>
      <c r="D15" s="71"/>
      <c r="E15" s="71"/>
    </row>
    <row r="16" spans="1:5"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3"/>
      <c r="C147" s="25"/>
      <c r="D147" s="73"/>
      <c r="E147" s="73"/>
    </row>
    <row r="148" spans="1:5" x14ac:dyDescent="0.2">
      <c r="A148" s="345">
        <v>32020</v>
      </c>
      <c r="B148" s="73"/>
      <c r="C148" s="25"/>
      <c r="D148" s="73"/>
      <c r="E148" s="73"/>
    </row>
    <row r="149" spans="1:5" x14ac:dyDescent="0.2">
      <c r="A149" s="345">
        <v>32050</v>
      </c>
      <c r="B149" s="73"/>
      <c r="C149" s="25"/>
      <c r="D149" s="73"/>
      <c r="E149" s="73"/>
    </row>
    <row r="150" spans="1:5" x14ac:dyDescent="0.2">
      <c r="A150" s="345">
        <v>32081</v>
      </c>
      <c r="B150" s="73"/>
      <c r="C150" s="25"/>
      <c r="D150" s="73"/>
      <c r="E150" s="73"/>
    </row>
    <row r="151" spans="1:5" x14ac:dyDescent="0.2">
      <c r="A151" s="345">
        <v>32111</v>
      </c>
      <c r="B151" s="73"/>
      <c r="C151" s="25"/>
      <c r="D151" s="73"/>
      <c r="E151" s="73"/>
    </row>
    <row r="152" spans="1:5" x14ac:dyDescent="0.2">
      <c r="A152" s="345">
        <v>32142</v>
      </c>
      <c r="B152" s="73"/>
      <c r="C152" s="25"/>
      <c r="D152" s="73"/>
      <c r="E152" s="73"/>
    </row>
    <row r="153" spans="1:5" x14ac:dyDescent="0.2">
      <c r="A153" s="345">
        <v>32173</v>
      </c>
      <c r="B153" s="73"/>
      <c r="C153" s="25"/>
      <c r="D153" s="73"/>
      <c r="E153" s="73"/>
    </row>
    <row r="154" spans="1:5" x14ac:dyDescent="0.2">
      <c r="A154" s="345">
        <v>32202</v>
      </c>
      <c r="B154" s="73"/>
      <c r="C154" s="25"/>
      <c r="D154" s="73"/>
      <c r="E154" s="73"/>
    </row>
    <row r="155" spans="1:5" x14ac:dyDescent="0.2">
      <c r="A155" s="345">
        <v>32233</v>
      </c>
      <c r="B155" s="73"/>
      <c r="C155" s="25"/>
      <c r="D155" s="73"/>
      <c r="E155" s="73"/>
    </row>
    <row r="156" spans="1:5" x14ac:dyDescent="0.2">
      <c r="A156" s="345">
        <v>32263</v>
      </c>
      <c r="B156" s="73"/>
      <c r="C156" s="25"/>
      <c r="D156" s="73"/>
      <c r="E156" s="73"/>
    </row>
    <row r="157" spans="1:5" x14ac:dyDescent="0.2">
      <c r="A157" s="345">
        <v>32294</v>
      </c>
      <c r="B157" s="73"/>
      <c r="C157" s="25"/>
      <c r="D157" s="73"/>
      <c r="E157" s="73"/>
    </row>
    <row r="158" spans="1:5" x14ac:dyDescent="0.2">
      <c r="A158" s="345">
        <v>32324</v>
      </c>
      <c r="B158" s="73"/>
      <c r="C158" s="25"/>
      <c r="D158" s="73"/>
      <c r="E158" s="73"/>
    </row>
    <row r="159" spans="1:5" x14ac:dyDescent="0.2">
      <c r="A159" s="345">
        <v>32355</v>
      </c>
      <c r="B159" s="73"/>
      <c r="C159" s="25"/>
      <c r="D159" s="73"/>
      <c r="E159" s="73"/>
    </row>
    <row r="160" spans="1:5" x14ac:dyDescent="0.2">
      <c r="A160" s="345">
        <v>32386</v>
      </c>
      <c r="B160" s="73"/>
      <c r="C160" s="25"/>
      <c r="D160" s="73"/>
      <c r="E160" s="73"/>
    </row>
    <row r="161" spans="1:5" x14ac:dyDescent="0.2">
      <c r="A161" s="345">
        <v>32416</v>
      </c>
      <c r="B161" s="73"/>
      <c r="C161" s="25"/>
      <c r="D161" s="73"/>
      <c r="E161" s="73"/>
    </row>
    <row r="162" spans="1:5" x14ac:dyDescent="0.2">
      <c r="A162" s="345">
        <v>32447</v>
      </c>
      <c r="B162" s="73"/>
      <c r="C162" s="25"/>
      <c r="D162" s="73"/>
      <c r="E162" s="73"/>
    </row>
    <row r="163" spans="1:5" x14ac:dyDescent="0.2">
      <c r="A163" s="345">
        <v>32477</v>
      </c>
      <c r="B163" s="73"/>
      <c r="C163" s="25"/>
      <c r="D163" s="73"/>
      <c r="E163" s="73"/>
    </row>
    <row r="164" spans="1:5" x14ac:dyDescent="0.2">
      <c r="A164" s="345">
        <v>32508</v>
      </c>
      <c r="B164" s="73"/>
      <c r="C164" s="25"/>
      <c r="D164" s="73"/>
      <c r="E164" s="73"/>
    </row>
    <row r="165" spans="1:5" x14ac:dyDescent="0.2">
      <c r="A165" s="345">
        <v>32539</v>
      </c>
      <c r="B165" s="73"/>
      <c r="C165" s="25"/>
      <c r="D165" s="73"/>
      <c r="E165" s="73"/>
    </row>
    <row r="166" spans="1:5" x14ac:dyDescent="0.2">
      <c r="A166" s="345">
        <v>32567</v>
      </c>
      <c r="B166" s="73"/>
      <c r="C166" s="25"/>
      <c r="D166" s="73"/>
      <c r="E166" s="73"/>
    </row>
    <row r="167" spans="1:5" x14ac:dyDescent="0.2">
      <c r="A167" s="345">
        <v>32598</v>
      </c>
      <c r="B167" s="73"/>
      <c r="C167" s="25"/>
      <c r="D167" s="73"/>
      <c r="E167" s="73"/>
    </row>
    <row r="168" spans="1:5" x14ac:dyDescent="0.2">
      <c r="A168" s="345">
        <v>32628</v>
      </c>
      <c r="B168" s="73"/>
      <c r="C168" s="25"/>
      <c r="D168" s="73"/>
      <c r="E168" s="73"/>
    </row>
    <row r="169" spans="1:5" x14ac:dyDescent="0.2">
      <c r="A169" s="345">
        <v>32659</v>
      </c>
      <c r="B169" s="73"/>
      <c r="C169" s="25"/>
      <c r="D169" s="73"/>
      <c r="E169" s="73"/>
    </row>
    <row r="170" spans="1:5" x14ac:dyDescent="0.2">
      <c r="A170" s="345">
        <v>32689</v>
      </c>
      <c r="B170" s="73"/>
      <c r="C170" s="25"/>
      <c r="D170" s="73"/>
      <c r="E170" s="73"/>
    </row>
    <row r="171" spans="1:5" x14ac:dyDescent="0.2">
      <c r="A171" s="345">
        <v>32720</v>
      </c>
      <c r="B171" s="73"/>
      <c r="C171" s="25"/>
      <c r="D171" s="73"/>
      <c r="E171" s="73"/>
    </row>
    <row r="172" spans="1:5" x14ac:dyDescent="0.2">
      <c r="A172" s="345">
        <v>32751</v>
      </c>
      <c r="B172" s="73"/>
      <c r="C172" s="25"/>
      <c r="D172" s="73"/>
      <c r="E172" s="73"/>
    </row>
    <row r="173" spans="1:5" x14ac:dyDescent="0.2">
      <c r="A173" s="345">
        <v>32781</v>
      </c>
      <c r="B173" s="73"/>
      <c r="C173" s="25"/>
      <c r="D173" s="73"/>
      <c r="E173" s="73"/>
    </row>
    <row r="174" spans="1:5" x14ac:dyDescent="0.2">
      <c r="A174" s="345">
        <v>32812</v>
      </c>
      <c r="B174" s="73"/>
      <c r="C174" s="25"/>
      <c r="D174" s="73"/>
      <c r="E174" s="73"/>
    </row>
    <row r="175" spans="1:5" x14ac:dyDescent="0.2">
      <c r="A175" s="345">
        <v>32842</v>
      </c>
      <c r="B175" s="73"/>
      <c r="C175" s="25"/>
      <c r="D175" s="73"/>
      <c r="E175" s="73"/>
    </row>
    <row r="176" spans="1:5" x14ac:dyDescent="0.2">
      <c r="A176" s="345">
        <v>32873</v>
      </c>
      <c r="B176" s="73"/>
      <c r="C176" s="25"/>
      <c r="D176" s="73"/>
      <c r="E176" s="73"/>
    </row>
    <row r="177" spans="1:5" x14ac:dyDescent="0.2">
      <c r="A177" s="345">
        <v>32904</v>
      </c>
      <c r="B177" s="255"/>
      <c r="C177" s="259"/>
      <c r="D177" s="73"/>
      <c r="E177" s="73"/>
    </row>
    <row r="178" spans="1:5" x14ac:dyDescent="0.2">
      <c r="A178" s="345">
        <v>32932</v>
      </c>
      <c r="B178" s="255"/>
      <c r="C178" s="259"/>
      <c r="D178" s="73"/>
      <c r="E178" s="73"/>
    </row>
    <row r="179" spans="1:5" x14ac:dyDescent="0.2">
      <c r="A179" s="345">
        <v>32963</v>
      </c>
      <c r="B179" s="255"/>
      <c r="C179" s="259"/>
      <c r="D179" s="73"/>
      <c r="E179" s="73"/>
    </row>
    <row r="180" spans="1:5" x14ac:dyDescent="0.2">
      <c r="A180" s="345">
        <v>32993</v>
      </c>
      <c r="B180" s="255"/>
      <c r="C180" s="259"/>
      <c r="D180" s="73"/>
      <c r="E180" s="73"/>
    </row>
    <row r="181" spans="1:5" x14ac:dyDescent="0.2">
      <c r="A181" s="345">
        <v>33024</v>
      </c>
      <c r="B181" s="255"/>
      <c r="C181" s="259"/>
      <c r="D181" s="73"/>
      <c r="E181" s="73"/>
    </row>
    <row r="182" spans="1:5" x14ac:dyDescent="0.2">
      <c r="A182" s="345">
        <v>33054</v>
      </c>
      <c r="B182" s="255"/>
      <c r="C182" s="259"/>
      <c r="D182" s="73"/>
      <c r="E182" s="73"/>
    </row>
    <row r="183" spans="1:5" x14ac:dyDescent="0.2">
      <c r="A183" s="345">
        <v>33085</v>
      </c>
      <c r="B183" s="255"/>
      <c r="C183" s="259"/>
      <c r="D183" s="73"/>
      <c r="E183" s="73"/>
    </row>
    <row r="184" spans="1:5" x14ac:dyDescent="0.2">
      <c r="A184" s="345">
        <v>33116</v>
      </c>
      <c r="B184" s="255"/>
      <c r="C184" s="259"/>
      <c r="D184" s="73"/>
      <c r="E184" s="73"/>
    </row>
    <row r="185" spans="1:5" x14ac:dyDescent="0.2">
      <c r="A185" s="345">
        <v>33146</v>
      </c>
      <c r="B185" s="255"/>
      <c r="C185" s="259"/>
      <c r="D185" s="73"/>
      <c r="E185" s="73"/>
    </row>
    <row r="186" spans="1:5" x14ac:dyDescent="0.2">
      <c r="A186" s="345">
        <v>33177</v>
      </c>
      <c r="B186" s="255"/>
      <c r="C186" s="259"/>
      <c r="D186" s="73"/>
      <c r="E186" s="73"/>
    </row>
    <row r="187" spans="1:5" x14ac:dyDescent="0.2">
      <c r="A187" s="345">
        <v>33207</v>
      </c>
      <c r="B187" s="255"/>
      <c r="C187" s="259"/>
      <c r="D187" s="73"/>
      <c r="E187" s="73"/>
    </row>
    <row r="188" spans="1:5" x14ac:dyDescent="0.2">
      <c r="A188" s="345">
        <v>33238</v>
      </c>
      <c r="B188" s="255"/>
      <c r="C188" s="259"/>
      <c r="D188" s="73"/>
      <c r="E188" s="73"/>
    </row>
    <row r="189" spans="1:5" x14ac:dyDescent="0.2">
      <c r="A189" s="345">
        <v>33269</v>
      </c>
      <c r="B189" s="255"/>
      <c r="C189" s="259"/>
      <c r="D189" s="73"/>
      <c r="E189" s="73"/>
    </row>
    <row r="190" spans="1:5" x14ac:dyDescent="0.2">
      <c r="A190" s="345">
        <v>33297</v>
      </c>
      <c r="B190" s="255"/>
      <c r="C190" s="259"/>
      <c r="D190" s="73"/>
      <c r="E190" s="73"/>
    </row>
    <row r="191" spans="1:5" x14ac:dyDescent="0.2">
      <c r="A191" s="345">
        <v>33328</v>
      </c>
      <c r="B191" s="255"/>
      <c r="C191" s="259"/>
      <c r="D191" s="73"/>
      <c r="E191" s="73"/>
    </row>
    <row r="192" spans="1:5" x14ac:dyDescent="0.2">
      <c r="A192" s="345">
        <v>33358</v>
      </c>
      <c r="B192" s="255"/>
      <c r="C192" s="259"/>
      <c r="D192" s="73"/>
      <c r="E192" s="73"/>
    </row>
    <row r="193" spans="1:5" x14ac:dyDescent="0.2">
      <c r="A193" s="345">
        <v>33389</v>
      </c>
      <c r="B193" s="255"/>
      <c r="C193" s="259"/>
      <c r="D193" s="73"/>
      <c r="E193" s="73"/>
    </row>
    <row r="194" spans="1:5" x14ac:dyDescent="0.2">
      <c r="A194" s="345">
        <v>33419</v>
      </c>
      <c r="B194" s="255"/>
      <c r="C194" s="259"/>
      <c r="D194" s="73"/>
      <c r="E194" s="73"/>
    </row>
    <row r="195" spans="1:5" x14ac:dyDescent="0.2">
      <c r="A195" s="345">
        <v>33450</v>
      </c>
      <c r="B195" s="255"/>
      <c r="C195" s="259"/>
      <c r="D195" s="73"/>
      <c r="E195" s="73"/>
    </row>
    <row r="196" spans="1:5" x14ac:dyDescent="0.2">
      <c r="A196" s="345">
        <v>33481</v>
      </c>
      <c r="B196" s="255"/>
      <c r="C196" s="259"/>
      <c r="D196" s="73"/>
      <c r="E196" s="73"/>
    </row>
    <row r="197" spans="1:5" x14ac:dyDescent="0.2">
      <c r="A197" s="345">
        <v>33511</v>
      </c>
      <c r="B197" s="255"/>
      <c r="C197" s="259"/>
      <c r="D197" s="73"/>
      <c r="E197" s="73"/>
    </row>
    <row r="198" spans="1:5" x14ac:dyDescent="0.2">
      <c r="A198" s="345">
        <v>33542</v>
      </c>
      <c r="B198" s="255"/>
      <c r="C198" s="259"/>
      <c r="D198" s="73"/>
      <c r="E198" s="73"/>
    </row>
    <row r="199" spans="1:5" x14ac:dyDescent="0.2">
      <c r="A199" s="345">
        <v>33572</v>
      </c>
      <c r="B199" s="255"/>
      <c r="C199" s="259"/>
      <c r="D199" s="73"/>
      <c r="E199" s="73"/>
    </row>
    <row r="200" spans="1:5" x14ac:dyDescent="0.2">
      <c r="A200" s="345">
        <v>33603</v>
      </c>
      <c r="B200" s="255"/>
      <c r="C200" s="259"/>
      <c r="D200" s="73"/>
      <c r="E200" s="73"/>
    </row>
    <row r="201" spans="1:5" x14ac:dyDescent="0.2">
      <c r="A201" s="345">
        <v>33634</v>
      </c>
      <c r="B201" s="255"/>
      <c r="C201" s="259"/>
      <c r="D201" s="73"/>
      <c r="E201" s="73"/>
    </row>
    <row r="202" spans="1:5" x14ac:dyDescent="0.2">
      <c r="A202" s="345">
        <v>33663</v>
      </c>
      <c r="B202" s="255"/>
      <c r="C202" s="259"/>
      <c r="D202" s="73"/>
      <c r="E202" s="73"/>
    </row>
    <row r="203" spans="1:5" x14ac:dyDescent="0.2">
      <c r="A203" s="345">
        <v>33694</v>
      </c>
      <c r="B203" s="255"/>
      <c r="C203" s="259"/>
      <c r="D203" s="73"/>
      <c r="E203" s="73"/>
    </row>
    <row r="204" spans="1:5" x14ac:dyDescent="0.2">
      <c r="A204" s="345">
        <v>33724</v>
      </c>
      <c r="B204" s="255"/>
      <c r="C204" s="259"/>
      <c r="D204" s="73"/>
      <c r="E204" s="73"/>
    </row>
    <row r="205" spans="1:5" x14ac:dyDescent="0.2">
      <c r="A205" s="345">
        <v>33755</v>
      </c>
      <c r="B205" s="255"/>
      <c r="C205" s="259"/>
      <c r="D205" s="73"/>
      <c r="E205" s="73"/>
    </row>
    <row r="206" spans="1:5" x14ac:dyDescent="0.2">
      <c r="A206" s="345">
        <v>33785</v>
      </c>
      <c r="B206" s="255"/>
      <c r="C206" s="259"/>
      <c r="D206" s="73"/>
      <c r="E206" s="73"/>
    </row>
    <row r="207" spans="1:5" x14ac:dyDescent="0.2">
      <c r="A207" s="345">
        <v>33816</v>
      </c>
      <c r="B207" s="255"/>
      <c r="C207" s="259"/>
      <c r="D207" s="73"/>
      <c r="E207" s="73"/>
    </row>
    <row r="208" spans="1:5" x14ac:dyDescent="0.2">
      <c r="A208" s="345">
        <v>33847</v>
      </c>
      <c r="B208" s="255"/>
      <c r="C208" s="259"/>
      <c r="D208" s="73"/>
      <c r="E208" s="73"/>
    </row>
    <row r="209" spans="1:5" x14ac:dyDescent="0.2">
      <c r="A209" s="345">
        <v>33877</v>
      </c>
      <c r="B209" s="255"/>
      <c r="C209" s="259"/>
      <c r="D209" s="73"/>
      <c r="E209" s="73"/>
    </row>
    <row r="210" spans="1:5" x14ac:dyDescent="0.2">
      <c r="A210" s="345">
        <v>33908</v>
      </c>
      <c r="B210" s="255"/>
      <c r="C210" s="259"/>
      <c r="D210" s="73"/>
      <c r="E210" s="73"/>
    </row>
    <row r="211" spans="1:5" x14ac:dyDescent="0.2">
      <c r="A211" s="345">
        <v>33938</v>
      </c>
      <c r="B211" s="255"/>
      <c r="C211" s="259"/>
      <c r="D211" s="73"/>
      <c r="E211" s="73"/>
    </row>
    <row r="212" spans="1:5" x14ac:dyDescent="0.2">
      <c r="A212" s="345">
        <v>33969</v>
      </c>
      <c r="B212" s="255"/>
      <c r="C212" s="259"/>
      <c r="D212" s="73"/>
      <c r="E212" s="73"/>
    </row>
    <row r="213" spans="1:5" x14ac:dyDescent="0.2">
      <c r="A213" s="345">
        <v>34000</v>
      </c>
      <c r="B213" s="255"/>
      <c r="C213" s="259"/>
      <c r="D213" s="73"/>
      <c r="E213" s="73"/>
    </row>
    <row r="214" spans="1:5" x14ac:dyDescent="0.2">
      <c r="A214" s="345">
        <v>34028</v>
      </c>
      <c r="B214" s="255"/>
      <c r="C214" s="259"/>
      <c r="D214" s="73"/>
      <c r="E214" s="73"/>
    </row>
    <row r="215" spans="1:5" x14ac:dyDescent="0.2">
      <c r="A215" s="345">
        <v>34059</v>
      </c>
      <c r="B215" s="255"/>
      <c r="C215" s="259"/>
      <c r="D215" s="73"/>
      <c r="E215" s="73"/>
    </row>
    <row r="216" spans="1:5" x14ac:dyDescent="0.2">
      <c r="A216" s="345">
        <v>34089</v>
      </c>
      <c r="B216" s="255"/>
      <c r="C216" s="259"/>
      <c r="D216" s="73"/>
      <c r="E216" s="73"/>
    </row>
    <row r="217" spans="1:5" x14ac:dyDescent="0.2">
      <c r="A217" s="345">
        <v>34120</v>
      </c>
      <c r="B217" s="255"/>
      <c r="C217" s="259"/>
      <c r="D217" s="73"/>
      <c r="E217" s="73"/>
    </row>
    <row r="218" spans="1:5" x14ac:dyDescent="0.2">
      <c r="A218" s="345">
        <v>34150</v>
      </c>
      <c r="B218" s="255"/>
      <c r="C218" s="259"/>
      <c r="D218" s="73"/>
      <c r="E218" s="73"/>
    </row>
    <row r="219" spans="1:5" x14ac:dyDescent="0.2">
      <c r="A219" s="345">
        <v>34181</v>
      </c>
      <c r="B219" s="255"/>
      <c r="C219" s="259"/>
      <c r="D219" s="73"/>
      <c r="E219" s="73"/>
    </row>
    <row r="220" spans="1:5" x14ac:dyDescent="0.2">
      <c r="A220" s="345">
        <v>34212</v>
      </c>
      <c r="B220" s="255"/>
      <c r="C220" s="259"/>
      <c r="D220" s="73"/>
      <c r="E220" s="73"/>
    </row>
    <row r="221" spans="1:5" x14ac:dyDescent="0.2">
      <c r="A221" s="345">
        <v>34242</v>
      </c>
      <c r="B221" s="255"/>
      <c r="C221" s="259"/>
      <c r="D221" s="73"/>
      <c r="E221" s="73"/>
    </row>
    <row r="222" spans="1:5" x14ac:dyDescent="0.2">
      <c r="A222" s="345">
        <v>34273</v>
      </c>
      <c r="B222" s="255"/>
      <c r="C222" s="259"/>
      <c r="D222" s="73"/>
      <c r="E222" s="73"/>
    </row>
    <row r="223" spans="1:5" x14ac:dyDescent="0.2">
      <c r="A223" s="345">
        <v>34303</v>
      </c>
      <c r="B223" s="255"/>
      <c r="C223" s="259"/>
      <c r="D223" s="73"/>
      <c r="E223" s="73"/>
    </row>
    <row r="224" spans="1:5" x14ac:dyDescent="0.2">
      <c r="A224" s="345">
        <v>34334</v>
      </c>
      <c r="B224" s="255"/>
      <c r="C224" s="259"/>
      <c r="D224" s="73"/>
      <c r="E224" s="73"/>
    </row>
    <row r="225" spans="1:5" x14ac:dyDescent="0.2">
      <c r="A225" s="345">
        <v>34365</v>
      </c>
      <c r="B225" s="255"/>
      <c r="C225" s="259"/>
      <c r="D225" s="73"/>
      <c r="E225" s="73"/>
    </row>
    <row r="226" spans="1:5" x14ac:dyDescent="0.2">
      <c r="A226" s="345">
        <v>34393</v>
      </c>
      <c r="B226" s="255"/>
      <c r="C226" s="259"/>
      <c r="D226" s="73"/>
      <c r="E226" s="73"/>
    </row>
    <row r="227" spans="1:5" x14ac:dyDescent="0.2">
      <c r="A227" s="345">
        <v>34424</v>
      </c>
      <c r="B227" s="255"/>
      <c r="C227" s="259"/>
      <c r="D227" s="73"/>
      <c r="E227" s="73"/>
    </row>
    <row r="228" spans="1:5" x14ac:dyDescent="0.2">
      <c r="A228" s="345">
        <v>34454</v>
      </c>
      <c r="B228" s="255"/>
      <c r="C228" s="259"/>
      <c r="D228" s="73"/>
      <c r="E228" s="73"/>
    </row>
    <row r="229" spans="1:5" x14ac:dyDescent="0.2">
      <c r="A229" s="345">
        <v>34485</v>
      </c>
      <c r="B229" s="255"/>
      <c r="C229" s="259"/>
      <c r="D229" s="73"/>
      <c r="E229" s="73"/>
    </row>
    <row r="230" spans="1:5" x14ac:dyDescent="0.2">
      <c r="A230" s="345">
        <v>34515</v>
      </c>
      <c r="B230" s="255"/>
      <c r="C230" s="259"/>
      <c r="D230" s="73"/>
      <c r="E230" s="73"/>
    </row>
    <row r="231" spans="1:5" x14ac:dyDescent="0.2">
      <c r="A231" s="345">
        <v>34546</v>
      </c>
      <c r="B231" s="255"/>
      <c r="C231" s="259"/>
      <c r="D231" s="73"/>
      <c r="E231" s="73"/>
    </row>
    <row r="232" spans="1:5" x14ac:dyDescent="0.2">
      <c r="A232" s="345">
        <v>34577</v>
      </c>
      <c r="B232" s="255"/>
      <c r="C232" s="259"/>
      <c r="D232" s="73"/>
      <c r="E232" s="73"/>
    </row>
    <row r="233" spans="1:5" x14ac:dyDescent="0.2">
      <c r="A233" s="345">
        <v>34607</v>
      </c>
      <c r="B233" s="255"/>
      <c r="C233" s="259"/>
      <c r="D233" s="73"/>
      <c r="E233" s="73"/>
    </row>
    <row r="234" spans="1:5" x14ac:dyDescent="0.2">
      <c r="A234" s="345">
        <v>34638</v>
      </c>
      <c r="B234" s="255"/>
      <c r="C234" s="259"/>
      <c r="D234" s="73"/>
      <c r="E234" s="73"/>
    </row>
    <row r="235" spans="1:5" x14ac:dyDescent="0.2">
      <c r="A235" s="345">
        <v>34668</v>
      </c>
      <c r="B235" s="255"/>
      <c r="C235" s="259"/>
      <c r="D235" s="73"/>
      <c r="E235" s="73"/>
    </row>
    <row r="236" spans="1:5" x14ac:dyDescent="0.2">
      <c r="A236" s="345">
        <v>34699</v>
      </c>
      <c r="B236" s="255"/>
      <c r="C236" s="259"/>
      <c r="D236" s="73"/>
      <c r="E236" s="73"/>
    </row>
    <row r="237" spans="1:5" x14ac:dyDescent="0.2">
      <c r="A237" s="345">
        <v>34730</v>
      </c>
      <c r="B237" s="255"/>
      <c r="C237" s="259"/>
      <c r="D237" s="73"/>
      <c r="E237" s="73"/>
    </row>
    <row r="238" spans="1:5" x14ac:dyDescent="0.2">
      <c r="A238" s="345">
        <v>34758</v>
      </c>
      <c r="B238" s="255"/>
      <c r="C238" s="259"/>
      <c r="D238" s="73"/>
      <c r="E238" s="73"/>
    </row>
    <row r="239" spans="1:5" x14ac:dyDescent="0.2">
      <c r="A239" s="345">
        <v>34789</v>
      </c>
      <c r="B239" s="255"/>
      <c r="C239" s="259"/>
      <c r="D239" s="73"/>
      <c r="E239" s="73"/>
    </row>
    <row r="240" spans="1:5" x14ac:dyDescent="0.2">
      <c r="A240" s="345">
        <v>34819</v>
      </c>
      <c r="B240" s="255"/>
      <c r="C240" s="259"/>
      <c r="D240" s="73"/>
      <c r="E240" s="73"/>
    </row>
    <row r="241" spans="1:5" x14ac:dyDescent="0.2">
      <c r="A241" s="345">
        <v>34850</v>
      </c>
      <c r="B241" s="255"/>
      <c r="C241" s="259"/>
      <c r="D241" s="73"/>
      <c r="E241" s="73"/>
    </row>
    <row r="242" spans="1:5" x14ac:dyDescent="0.2">
      <c r="A242" s="345">
        <v>34880</v>
      </c>
      <c r="B242" s="255"/>
      <c r="C242" s="259"/>
      <c r="D242" s="77"/>
      <c r="E242" s="77"/>
    </row>
    <row r="243" spans="1:5" x14ac:dyDescent="0.2">
      <c r="A243" s="345">
        <v>34911</v>
      </c>
      <c r="B243" s="255"/>
      <c r="C243" s="259"/>
      <c r="D243" s="77"/>
      <c r="E243" s="77"/>
    </row>
    <row r="244" spans="1:5" x14ac:dyDescent="0.2">
      <c r="A244" s="345">
        <v>34942</v>
      </c>
      <c r="B244" s="255"/>
      <c r="C244" s="259"/>
      <c r="D244" s="77"/>
      <c r="E244" s="77"/>
    </row>
    <row r="245" spans="1:5" x14ac:dyDescent="0.2">
      <c r="A245" s="345">
        <v>34972</v>
      </c>
      <c r="B245" s="255"/>
      <c r="C245" s="259"/>
      <c r="D245" s="77"/>
      <c r="E245" s="77"/>
    </row>
    <row r="246" spans="1:5" x14ac:dyDescent="0.2">
      <c r="A246" s="345">
        <v>35003</v>
      </c>
      <c r="B246" s="255"/>
      <c r="C246" s="259"/>
      <c r="D246" s="77"/>
      <c r="E246" s="77"/>
    </row>
    <row r="247" spans="1:5" x14ac:dyDescent="0.2">
      <c r="A247" s="345">
        <v>35033</v>
      </c>
      <c r="B247" s="255"/>
      <c r="C247" s="259"/>
      <c r="D247" s="77"/>
      <c r="E247" s="77"/>
    </row>
    <row r="248" spans="1:5" x14ac:dyDescent="0.2">
      <c r="A248" s="345">
        <v>35064</v>
      </c>
      <c r="B248" s="255"/>
      <c r="C248" s="259"/>
      <c r="D248" s="77"/>
      <c r="E248" s="77"/>
    </row>
    <row r="249" spans="1:5" x14ac:dyDescent="0.2">
      <c r="A249" s="345">
        <v>35095</v>
      </c>
      <c r="B249" s="255"/>
      <c r="C249" s="259"/>
      <c r="D249" s="77"/>
      <c r="E249" s="77"/>
    </row>
    <row r="250" spans="1:5" x14ac:dyDescent="0.2">
      <c r="A250" s="345">
        <v>35124</v>
      </c>
      <c r="B250" s="255"/>
      <c r="C250" s="259"/>
      <c r="D250" s="77"/>
      <c r="E250" s="77"/>
    </row>
    <row r="251" spans="1:5" x14ac:dyDescent="0.2">
      <c r="A251" s="345">
        <v>35155</v>
      </c>
      <c r="B251" s="255"/>
      <c r="C251" s="259"/>
      <c r="D251" s="77"/>
      <c r="E251" s="77"/>
    </row>
    <row r="252" spans="1:5" x14ac:dyDescent="0.2">
      <c r="A252" s="345">
        <v>35185</v>
      </c>
      <c r="B252" s="253"/>
      <c r="C252" s="259"/>
      <c r="D252" s="77"/>
      <c r="E252" s="77"/>
    </row>
    <row r="253" spans="1:5" x14ac:dyDescent="0.2">
      <c r="A253" s="345">
        <v>35216</v>
      </c>
      <c r="B253" s="253"/>
      <c r="C253" s="259"/>
      <c r="D253" s="77"/>
      <c r="E253" s="77"/>
    </row>
    <row r="254" spans="1:5" x14ac:dyDescent="0.2">
      <c r="A254" s="345">
        <v>35246</v>
      </c>
      <c r="B254" s="253"/>
      <c r="C254" s="259"/>
      <c r="D254" s="77"/>
      <c r="E254" s="77"/>
    </row>
    <row r="255" spans="1:5" x14ac:dyDescent="0.2">
      <c r="A255" s="345">
        <v>35277</v>
      </c>
      <c r="B255" s="253"/>
      <c r="C255" s="259"/>
      <c r="D255" s="77"/>
      <c r="E255" s="77"/>
    </row>
    <row r="256" spans="1:5" x14ac:dyDescent="0.2">
      <c r="A256" s="345">
        <v>35308</v>
      </c>
      <c r="B256" s="253"/>
      <c r="C256" s="259"/>
      <c r="D256" s="77"/>
      <c r="E256" s="77"/>
    </row>
    <row r="257" spans="1:5" x14ac:dyDescent="0.2">
      <c r="A257" s="345">
        <v>35338</v>
      </c>
      <c r="B257" s="253"/>
      <c r="C257" s="259"/>
      <c r="D257" s="77"/>
      <c r="E257" s="77"/>
    </row>
    <row r="258" spans="1:5" x14ac:dyDescent="0.2">
      <c r="A258" s="345">
        <v>35369</v>
      </c>
      <c r="B258" s="253"/>
      <c r="C258" s="259"/>
      <c r="D258" s="77"/>
      <c r="E258" s="77"/>
    </row>
    <row r="259" spans="1:5" x14ac:dyDescent="0.2">
      <c r="A259" s="345">
        <v>35399</v>
      </c>
      <c r="B259" s="253"/>
      <c r="C259" s="259"/>
      <c r="D259" s="77"/>
      <c r="E259" s="77"/>
    </row>
    <row r="260" spans="1:5" x14ac:dyDescent="0.2">
      <c r="A260" s="345">
        <v>35430</v>
      </c>
      <c r="B260" s="253"/>
      <c r="C260" s="259"/>
      <c r="D260" s="77"/>
      <c r="E260" s="77"/>
    </row>
    <row r="261" spans="1:5" x14ac:dyDescent="0.2">
      <c r="A261" s="345">
        <v>35461</v>
      </c>
      <c r="B261" s="253"/>
      <c r="C261" s="259"/>
      <c r="D261" s="77"/>
      <c r="E261" s="77"/>
    </row>
    <row r="262" spans="1:5" x14ac:dyDescent="0.2">
      <c r="A262" s="345">
        <v>35489</v>
      </c>
      <c r="B262" s="253"/>
      <c r="C262" s="259"/>
      <c r="D262" s="77"/>
      <c r="E262" s="77"/>
    </row>
    <row r="263" spans="1:5" x14ac:dyDescent="0.2">
      <c r="A263" s="345">
        <v>35520</v>
      </c>
      <c r="B263" s="253"/>
      <c r="C263" s="259"/>
      <c r="D263" s="77"/>
      <c r="E263" s="77"/>
    </row>
    <row r="264" spans="1:5" x14ac:dyDescent="0.2">
      <c r="A264" s="345">
        <v>35550</v>
      </c>
      <c r="B264" s="253"/>
      <c r="C264" s="259"/>
      <c r="D264" s="77"/>
      <c r="E264" s="77"/>
    </row>
    <row r="265" spans="1:5" x14ac:dyDescent="0.2">
      <c r="A265" s="345">
        <v>35581</v>
      </c>
      <c r="B265" s="253"/>
      <c r="C265" s="259"/>
      <c r="D265" s="77"/>
      <c r="E265" s="77"/>
    </row>
    <row r="266" spans="1:5" x14ac:dyDescent="0.2">
      <c r="A266" s="345">
        <v>35611</v>
      </c>
      <c r="B266" s="253"/>
      <c r="C266" s="259"/>
      <c r="D266" s="77"/>
      <c r="E266" s="77"/>
    </row>
    <row r="267" spans="1:5" x14ac:dyDescent="0.2">
      <c r="A267" s="345">
        <v>35642</v>
      </c>
      <c r="B267" s="253"/>
      <c r="C267" s="259"/>
      <c r="D267" s="77"/>
      <c r="E267" s="77"/>
    </row>
    <row r="268" spans="1:5" x14ac:dyDescent="0.2">
      <c r="A268" s="345">
        <v>35673</v>
      </c>
      <c r="B268" s="253"/>
      <c r="C268" s="259"/>
      <c r="D268" s="77"/>
      <c r="E268" s="77"/>
    </row>
    <row r="269" spans="1:5" x14ac:dyDescent="0.2">
      <c r="A269" s="345">
        <v>35703</v>
      </c>
      <c r="B269" s="253"/>
      <c r="C269" s="259"/>
      <c r="D269" s="77"/>
      <c r="E269" s="77"/>
    </row>
    <row r="270" spans="1:5" x14ac:dyDescent="0.2">
      <c r="A270" s="345">
        <v>35734</v>
      </c>
      <c r="B270" s="253"/>
      <c r="C270" s="259"/>
      <c r="D270" s="77"/>
      <c r="E270" s="77"/>
    </row>
    <row r="271" spans="1:5" x14ac:dyDescent="0.2">
      <c r="A271" s="345">
        <v>35764</v>
      </c>
      <c r="B271" s="253"/>
      <c r="C271" s="259"/>
      <c r="D271" s="77"/>
      <c r="E271" s="77"/>
    </row>
    <row r="272" spans="1:5" x14ac:dyDescent="0.2">
      <c r="A272" s="345">
        <v>35795</v>
      </c>
      <c r="B272" s="253"/>
      <c r="C272" s="259"/>
      <c r="D272" s="77"/>
      <c r="E272" s="77"/>
    </row>
    <row r="273" spans="1:5" x14ac:dyDescent="0.2">
      <c r="A273" s="345">
        <v>35826</v>
      </c>
      <c r="B273" s="253"/>
      <c r="C273" s="259"/>
      <c r="D273" s="77"/>
      <c r="E273" s="77"/>
    </row>
    <row r="274" spans="1:5" x14ac:dyDescent="0.2">
      <c r="A274" s="345">
        <v>35854</v>
      </c>
      <c r="B274" s="253"/>
      <c r="C274" s="259"/>
      <c r="D274" s="77"/>
      <c r="E274" s="77"/>
    </row>
    <row r="275" spans="1:5" x14ac:dyDescent="0.2">
      <c r="A275" s="345">
        <v>35885</v>
      </c>
      <c r="B275" s="253"/>
      <c r="C275" s="259"/>
      <c r="D275" s="77"/>
      <c r="E275" s="77"/>
    </row>
    <row r="276" spans="1:5" x14ac:dyDescent="0.2">
      <c r="A276" s="345">
        <v>35915</v>
      </c>
      <c r="B276" s="253"/>
      <c r="C276" s="259"/>
      <c r="D276" s="77"/>
      <c r="E276" s="77"/>
    </row>
    <row r="277" spans="1:5" x14ac:dyDescent="0.2">
      <c r="A277" s="345">
        <v>35946</v>
      </c>
      <c r="B277" s="253"/>
      <c r="C277" s="259"/>
      <c r="D277" s="77"/>
      <c r="E277" s="77"/>
    </row>
    <row r="278" spans="1:5" x14ac:dyDescent="0.2">
      <c r="A278" s="345">
        <v>35976</v>
      </c>
      <c r="B278" s="253"/>
      <c r="C278" s="259"/>
      <c r="D278" s="77"/>
      <c r="E278" s="77"/>
    </row>
    <row r="279" spans="1:5" x14ac:dyDescent="0.2">
      <c r="A279" s="345">
        <v>36007</v>
      </c>
      <c r="B279" s="253"/>
      <c r="C279" s="259"/>
      <c r="D279" s="77"/>
      <c r="E279" s="77"/>
    </row>
    <row r="280" spans="1:5" x14ac:dyDescent="0.2">
      <c r="A280" s="345">
        <v>36038</v>
      </c>
      <c r="B280" s="253"/>
      <c r="C280" s="259"/>
      <c r="D280" s="77"/>
      <c r="E280" s="77"/>
    </row>
    <row r="281" spans="1:5" x14ac:dyDescent="0.2">
      <c r="A281" s="345">
        <v>36068</v>
      </c>
      <c r="B281" s="253"/>
      <c r="C281" s="259"/>
      <c r="D281" s="77"/>
      <c r="E281" s="77"/>
    </row>
    <row r="282" spans="1:5" x14ac:dyDescent="0.2">
      <c r="A282" s="345">
        <v>36099</v>
      </c>
      <c r="B282" s="253"/>
      <c r="C282" s="259"/>
      <c r="D282" s="77"/>
      <c r="E282" s="77"/>
    </row>
    <row r="283" spans="1:5" x14ac:dyDescent="0.2">
      <c r="A283" s="345">
        <v>36129</v>
      </c>
      <c r="B283" s="253"/>
      <c r="C283" s="259"/>
      <c r="D283" s="77"/>
      <c r="E283" s="77"/>
    </row>
    <row r="284" spans="1:5" x14ac:dyDescent="0.2">
      <c r="A284" s="345">
        <v>36160</v>
      </c>
      <c r="B284" s="1279">
        <v>0.47</v>
      </c>
      <c r="C284" s="33">
        <v>504545370.11000001</v>
      </c>
      <c r="D284" s="253"/>
      <c r="E284" s="253">
        <f>B284-Index_Returns!W284</f>
        <v>0.16929999999999995</v>
      </c>
    </row>
    <row r="285" spans="1:5" x14ac:dyDescent="0.2">
      <c r="A285" s="345">
        <v>36191</v>
      </c>
      <c r="B285" s="1279">
        <v>0.75</v>
      </c>
      <c r="C285" s="33">
        <v>508379155.39999998</v>
      </c>
      <c r="D285" s="253"/>
      <c r="E285" s="253">
        <f>B285-Index_Returns!W285</f>
        <v>3.5699999999999954E-2</v>
      </c>
    </row>
    <row r="286" spans="1:5" x14ac:dyDescent="0.2">
      <c r="A286" s="345">
        <v>36219</v>
      </c>
      <c r="B286" s="1279">
        <v>-1.65</v>
      </c>
      <c r="C286" s="33">
        <v>500011740.68000001</v>
      </c>
      <c r="D286" s="253"/>
      <c r="E286" s="253">
        <f>B286-Index_Returns!W286</f>
        <v>9.6000000000000085E-2</v>
      </c>
    </row>
    <row r="287" spans="1:5" x14ac:dyDescent="0.2">
      <c r="A287" s="345">
        <v>36250</v>
      </c>
      <c r="B287" s="1279">
        <v>0.56000000000000005</v>
      </c>
      <c r="C287" s="33">
        <v>502854569.57999998</v>
      </c>
      <c r="D287" s="253"/>
      <c r="E287" s="253">
        <f>B287-Index_Returns!W287</f>
        <v>5.2000000000000934E-3</v>
      </c>
    </row>
    <row r="288" spans="1:5" x14ac:dyDescent="0.2">
      <c r="A288" s="345">
        <v>36280</v>
      </c>
      <c r="B288" s="1279">
        <v>0.24</v>
      </c>
      <c r="C288" s="33">
        <v>657423897.85000002</v>
      </c>
      <c r="D288" s="253"/>
      <c r="E288" s="253">
        <f>B288-Index_Returns!W288</f>
        <v>-7.7000000000000013E-2</v>
      </c>
    </row>
    <row r="289" spans="1:5" x14ac:dyDescent="0.2">
      <c r="A289" s="345">
        <v>36311</v>
      </c>
      <c r="B289" s="1279">
        <v>-0.92</v>
      </c>
      <c r="C289" s="33">
        <v>651420156.33000004</v>
      </c>
      <c r="D289" s="253"/>
      <c r="E289" s="253">
        <f>B289-Index_Returns!W289</f>
        <v>-4.3700000000000072E-2</v>
      </c>
    </row>
    <row r="290" spans="1:5" x14ac:dyDescent="0.2">
      <c r="A290" s="345">
        <v>36341</v>
      </c>
      <c r="B290" s="1279">
        <v>-0.39</v>
      </c>
      <c r="C290" s="33">
        <v>648920485.25</v>
      </c>
      <c r="D290" s="253"/>
      <c r="E290" s="253">
        <f>B290-Index_Returns!W290</f>
        <v>-7.0599999999999996E-2</v>
      </c>
    </row>
    <row r="291" spans="1:5" x14ac:dyDescent="0.2">
      <c r="A291" s="345">
        <v>36372</v>
      </c>
      <c r="B291" s="1279">
        <v>-0.56999999999999995</v>
      </c>
      <c r="C291" s="33">
        <v>645313297.64999998</v>
      </c>
      <c r="D291" s="253"/>
      <c r="E291" s="253">
        <f>B291-Index_Returns!W291</f>
        <v>-0.14519999999999994</v>
      </c>
    </row>
    <row r="292" spans="1:5" x14ac:dyDescent="0.2">
      <c r="A292" s="345">
        <v>36403</v>
      </c>
      <c r="B292" s="1279">
        <v>-0.03</v>
      </c>
      <c r="C292" s="33">
        <v>645160982.64999998</v>
      </c>
      <c r="D292" s="253"/>
      <c r="E292" s="253">
        <f>B292-Index_Returns!W292</f>
        <v>2.0799999999999999E-2</v>
      </c>
    </row>
    <row r="293" spans="1:5" x14ac:dyDescent="0.2">
      <c r="A293" s="345">
        <v>36433</v>
      </c>
      <c r="B293" s="1279">
        <v>1.32</v>
      </c>
      <c r="C293" s="33">
        <v>653693076.66999996</v>
      </c>
      <c r="D293" s="253"/>
      <c r="E293" s="253">
        <f>B293-Index_Returns!W293</f>
        <v>0.15959999999999996</v>
      </c>
    </row>
    <row r="294" spans="1:5" x14ac:dyDescent="0.2">
      <c r="A294" s="345">
        <v>36464</v>
      </c>
      <c r="B294" s="1279">
        <v>0.34</v>
      </c>
      <c r="C294" s="33">
        <v>655952228.65999997</v>
      </c>
      <c r="D294" s="253"/>
      <c r="E294" s="253">
        <f>B294-Index_Returns!W294</f>
        <v>-2.8899999999999981E-2</v>
      </c>
    </row>
    <row r="295" spans="1:5" x14ac:dyDescent="0.2">
      <c r="A295" s="345">
        <v>36494</v>
      </c>
      <c r="B295" s="1279">
        <v>0.12</v>
      </c>
      <c r="C295" s="33">
        <v>656773882.75999999</v>
      </c>
      <c r="D295" s="253"/>
      <c r="E295" s="253">
        <f>B295-Index_Returns!W295</f>
        <v>0.12689999999999999</v>
      </c>
    </row>
    <row r="296" spans="1:5" x14ac:dyDescent="0.2">
      <c r="A296" s="345">
        <v>36525</v>
      </c>
      <c r="B296" s="1279">
        <v>-0.57999999999999996</v>
      </c>
      <c r="C296" s="33">
        <v>652993915.13999999</v>
      </c>
      <c r="D296" s="253"/>
      <c r="E296" s="253">
        <f>B296-Index_Returns!W296</f>
        <v>-9.7799999999999943E-2</v>
      </c>
    </row>
    <row r="297" spans="1:5" x14ac:dyDescent="0.2">
      <c r="A297" s="345">
        <v>36556</v>
      </c>
      <c r="B297" s="1279">
        <v>-0.16</v>
      </c>
      <c r="C297" s="33">
        <v>651998097.46000004</v>
      </c>
      <c r="D297" s="253"/>
      <c r="E297" s="253">
        <f>B297-Index_Returns!W297</f>
        <v>0.16719999999999999</v>
      </c>
    </row>
    <row r="298" spans="1:5" x14ac:dyDescent="0.2">
      <c r="A298" s="345">
        <v>36585</v>
      </c>
      <c r="B298" s="1279">
        <v>1.01</v>
      </c>
      <c r="C298" s="33">
        <v>658647671.49000001</v>
      </c>
      <c r="D298" s="253"/>
      <c r="E298" s="253">
        <f>B298-Index_Returns!W298</f>
        <v>-0.19920000000000004</v>
      </c>
    </row>
    <row r="299" spans="1:5" x14ac:dyDescent="0.2">
      <c r="A299" s="345">
        <v>36616</v>
      </c>
      <c r="B299" s="1279">
        <v>1.31</v>
      </c>
      <c r="C299" s="33">
        <v>667343031.51999998</v>
      </c>
      <c r="D299" s="253"/>
      <c r="E299" s="253">
        <f>B299-Index_Returns!W299</f>
        <v>-6.5999999999999392E-3</v>
      </c>
    </row>
    <row r="300" spans="1:5" x14ac:dyDescent="0.2">
      <c r="A300" s="345">
        <v>36646</v>
      </c>
      <c r="B300" s="1279">
        <v>-0.1</v>
      </c>
      <c r="C300" s="33">
        <v>666746574.66999996</v>
      </c>
      <c r="D300" s="253"/>
      <c r="E300" s="253">
        <f>B300-Index_Returns!W300</f>
        <v>0.18539999999999998</v>
      </c>
    </row>
    <row r="301" spans="1:5" x14ac:dyDescent="0.2">
      <c r="A301" s="345">
        <v>36677</v>
      </c>
      <c r="B301" s="1279">
        <v>-0.16</v>
      </c>
      <c r="C301" s="33">
        <v>665765572.27999997</v>
      </c>
      <c r="D301" s="253"/>
      <c r="E301" s="253">
        <f>B301-Index_Returns!W301</f>
        <v>-0.11410000000000001</v>
      </c>
    </row>
    <row r="302" spans="1:5" x14ac:dyDescent="0.2">
      <c r="A302" s="345">
        <v>36707</v>
      </c>
      <c r="B302" s="1279">
        <v>2.1800000000000002</v>
      </c>
      <c r="C302" s="33">
        <v>680323849.60000002</v>
      </c>
      <c r="D302" s="253"/>
      <c r="E302" s="253">
        <f>B302-Index_Returns!W302</f>
        <v>9.9700000000000344E-2</v>
      </c>
    </row>
    <row r="303" spans="1:5" x14ac:dyDescent="0.2">
      <c r="A303" s="345">
        <v>36738</v>
      </c>
      <c r="B303" s="1279">
        <v>0.89</v>
      </c>
      <c r="C303" s="33">
        <v>686462583.30999994</v>
      </c>
      <c r="D303" s="253"/>
      <c r="E303" s="253">
        <f>B303-Index_Returns!W303</f>
        <v>-1.7699999999999938E-2</v>
      </c>
    </row>
    <row r="304" spans="1:5" x14ac:dyDescent="0.2">
      <c r="A304" s="345">
        <v>36769</v>
      </c>
      <c r="B304" s="1279">
        <v>1.44</v>
      </c>
      <c r="C304" s="33">
        <v>696409115.66999996</v>
      </c>
      <c r="D304" s="253"/>
      <c r="E304" s="253">
        <f>B304-Index_Returns!W304</f>
        <v>-9.7000000000000419E-3</v>
      </c>
    </row>
    <row r="305" spans="1:5" x14ac:dyDescent="0.2">
      <c r="A305" s="345">
        <v>36799</v>
      </c>
      <c r="B305" s="1279">
        <v>0.75</v>
      </c>
      <c r="C305" s="33">
        <v>701646355.38999999</v>
      </c>
      <c r="D305" s="253"/>
      <c r="E305" s="253">
        <f>B305-Index_Returns!W305</f>
        <v>0.12139999999999995</v>
      </c>
    </row>
    <row r="306" spans="1:5" x14ac:dyDescent="0.2">
      <c r="A306" s="345">
        <v>36830</v>
      </c>
      <c r="B306" s="1279">
        <v>0.7</v>
      </c>
      <c r="C306" s="33">
        <v>706600585</v>
      </c>
      <c r="D306" s="253"/>
      <c r="E306" s="253">
        <f>B306-Index_Returns!W306</f>
        <v>3.9199999999999902E-2</v>
      </c>
    </row>
    <row r="307" spans="1:5" x14ac:dyDescent="0.2">
      <c r="A307" s="345">
        <v>36860</v>
      </c>
      <c r="B307" s="1279">
        <v>1.72</v>
      </c>
      <c r="C307" s="33">
        <v>718790365.15999997</v>
      </c>
      <c r="D307" s="253"/>
      <c r="E307" s="253">
        <f>B307-Index_Returns!W307</f>
        <v>8.450000000000002E-2</v>
      </c>
    </row>
    <row r="308" spans="1:5" x14ac:dyDescent="0.2">
      <c r="A308" s="345">
        <v>36891</v>
      </c>
      <c r="B308" s="1279">
        <v>1.73</v>
      </c>
      <c r="C308" s="33">
        <v>731327491.75999999</v>
      </c>
      <c r="D308" s="253"/>
      <c r="E308" s="253">
        <f>B308-Index_Returns!W308</f>
        <v>-0.12539999999999996</v>
      </c>
    </row>
    <row r="309" spans="1:5" x14ac:dyDescent="0.2">
      <c r="A309" s="345">
        <v>36922</v>
      </c>
      <c r="B309" s="1279">
        <v>1.76</v>
      </c>
      <c r="C309" s="33">
        <v>744303613</v>
      </c>
      <c r="D309" s="253"/>
      <c r="E309" s="253">
        <f>B309-Index_Returns!W309</f>
        <v>0.12539999999999996</v>
      </c>
    </row>
    <row r="310" spans="1:5" x14ac:dyDescent="0.2">
      <c r="A310" s="345">
        <v>36950</v>
      </c>
      <c r="B310" s="1279">
        <v>1.1000000000000001</v>
      </c>
      <c r="C310" s="33">
        <v>752611270.51999998</v>
      </c>
      <c r="D310" s="253"/>
      <c r="E310" s="253">
        <f>B310-Index_Returns!W310</f>
        <v>0.22870000000000013</v>
      </c>
    </row>
    <row r="311" spans="1:5" x14ac:dyDescent="0.2">
      <c r="A311" s="345">
        <v>36981</v>
      </c>
      <c r="B311" s="1279">
        <v>0.35</v>
      </c>
      <c r="C311" s="33">
        <v>755391267</v>
      </c>
      <c r="D311" s="253"/>
      <c r="E311" s="253">
        <f>B311-Index_Returns!W311</f>
        <v>-0.15180000000000005</v>
      </c>
    </row>
    <row r="312" spans="1:5" x14ac:dyDescent="0.2">
      <c r="A312" s="345">
        <v>37011</v>
      </c>
      <c r="B312" s="1279">
        <v>-0.56000000000000005</v>
      </c>
      <c r="C312" s="33">
        <v>751225688.77999997</v>
      </c>
      <c r="D312" s="253"/>
      <c r="E312" s="253">
        <f>B312-Index_Returns!W312</f>
        <v>-0.14490000000000003</v>
      </c>
    </row>
    <row r="313" spans="1:5" x14ac:dyDescent="0.2">
      <c r="A313" s="345">
        <v>37042</v>
      </c>
      <c r="B313" s="1279">
        <v>0.66</v>
      </c>
      <c r="C313" s="33">
        <v>756313443.20000005</v>
      </c>
      <c r="D313" s="253"/>
      <c r="E313" s="253">
        <f>B313-Index_Returns!W313</f>
        <v>5.5900000000000061E-2</v>
      </c>
    </row>
    <row r="314" spans="1:5" x14ac:dyDescent="0.2">
      <c r="A314" s="345">
        <v>37072</v>
      </c>
      <c r="B314" s="1279">
        <v>0.43</v>
      </c>
      <c r="C314" s="33">
        <v>759692691.08000004</v>
      </c>
      <c r="D314" s="253"/>
      <c r="E314" s="253">
        <f>B314-Index_Returns!W314</f>
        <v>5.2699999999999969E-2</v>
      </c>
    </row>
    <row r="315" spans="1:5" x14ac:dyDescent="0.2">
      <c r="A315" s="345">
        <v>37103</v>
      </c>
      <c r="B315" s="1279">
        <v>2.56</v>
      </c>
      <c r="C315" s="33">
        <v>779219380.96000004</v>
      </c>
      <c r="D315" s="253"/>
      <c r="E315" s="253">
        <f>B315-Index_Returns!W315</f>
        <v>0.32430000000000003</v>
      </c>
    </row>
    <row r="316" spans="1:5" x14ac:dyDescent="0.2">
      <c r="A316" s="345">
        <v>37134</v>
      </c>
      <c r="B316" s="1279">
        <v>1.25</v>
      </c>
      <c r="C316" s="33">
        <v>789047873.44000006</v>
      </c>
      <c r="D316" s="253"/>
      <c r="E316" s="253">
        <f>B316-Index_Returns!W316</f>
        <v>0.10420000000000007</v>
      </c>
    </row>
    <row r="317" spans="1:5" x14ac:dyDescent="0.2">
      <c r="A317" s="345">
        <v>37164</v>
      </c>
      <c r="B317" s="1279">
        <v>1.2</v>
      </c>
      <c r="C317" s="33">
        <v>798587558.94000006</v>
      </c>
      <c r="D317" s="253"/>
      <c r="E317" s="253">
        <f>B317-Index_Returns!W317</f>
        <v>3.5299999999999887E-2</v>
      </c>
    </row>
    <row r="318" spans="1:5" x14ac:dyDescent="0.2">
      <c r="A318" s="345">
        <v>37195</v>
      </c>
      <c r="B318" s="1279">
        <v>1.96</v>
      </c>
      <c r="C318" s="33">
        <v>814482921.88999999</v>
      </c>
      <c r="D318" s="253"/>
      <c r="E318" s="253">
        <f>B318-Index_Returns!W318</f>
        <v>-0.13300000000000001</v>
      </c>
    </row>
    <row r="319" spans="1:5" x14ac:dyDescent="0.2">
      <c r="A319" s="345">
        <v>37225</v>
      </c>
      <c r="B319" s="1279">
        <v>-1.57</v>
      </c>
      <c r="C319" s="33">
        <v>801736224.73000002</v>
      </c>
      <c r="D319" s="253"/>
      <c r="E319" s="253">
        <f>B319-Index_Returns!W319</f>
        <v>-0.19110000000000005</v>
      </c>
    </row>
    <row r="320" spans="1:5" x14ac:dyDescent="0.2">
      <c r="A320" s="345">
        <v>37256</v>
      </c>
      <c r="B320" s="1279">
        <v>-0.63</v>
      </c>
      <c r="C320" s="33">
        <v>796769304.02999997</v>
      </c>
      <c r="D320" s="253"/>
      <c r="E320" s="253">
        <f>B320-Index_Returns!W320</f>
        <v>5.7000000000000384E-3</v>
      </c>
    </row>
    <row r="321" spans="1:5" x14ac:dyDescent="0.2">
      <c r="A321" s="345">
        <v>37287</v>
      </c>
      <c r="B321" s="1279">
        <v>1.05</v>
      </c>
      <c r="C321" s="33">
        <v>805255084.79999995</v>
      </c>
      <c r="D321" s="253"/>
      <c r="E321" s="253">
        <f>B321-Index_Returns!W321</f>
        <v>0.24040000000000006</v>
      </c>
    </row>
    <row r="322" spans="1:5" x14ac:dyDescent="0.2">
      <c r="A322" s="345">
        <v>37315</v>
      </c>
      <c r="B322" s="1279">
        <v>1.17</v>
      </c>
      <c r="C322" s="33">
        <v>814769262.92999995</v>
      </c>
      <c r="D322" s="253"/>
      <c r="E322" s="253">
        <f>B322-Index_Returns!W322</f>
        <v>0.20099999999999996</v>
      </c>
    </row>
    <row r="323" spans="1:5" x14ac:dyDescent="0.2">
      <c r="A323" s="345">
        <v>37346</v>
      </c>
      <c r="B323" s="1279">
        <v>-2.13</v>
      </c>
      <c r="C323" s="33">
        <v>797511200.38</v>
      </c>
      <c r="D323" s="253"/>
      <c r="E323" s="253">
        <f>B323-Index_Returns!W323</f>
        <v>-0.46679999999999988</v>
      </c>
    </row>
    <row r="324" spans="1:5" x14ac:dyDescent="0.2">
      <c r="A324" s="345">
        <v>37376</v>
      </c>
      <c r="B324" s="1279">
        <v>2.14</v>
      </c>
      <c r="C324" s="33">
        <v>814646035.71000004</v>
      </c>
      <c r="D324" s="253"/>
      <c r="E324" s="253">
        <f>B324-Index_Returns!W324</f>
        <v>0.2007000000000001</v>
      </c>
    </row>
    <row r="325" spans="1:5" x14ac:dyDescent="0.2">
      <c r="A325" s="345">
        <v>37407</v>
      </c>
      <c r="B325" s="1279">
        <v>0.79</v>
      </c>
      <c r="C325" s="33">
        <v>821164142.21000004</v>
      </c>
      <c r="D325" s="253"/>
      <c r="E325" s="253">
        <f>B325-Index_Returns!W325</f>
        <v>-5.9499999999999997E-2</v>
      </c>
    </row>
    <row r="326" spans="1:5" x14ac:dyDescent="0.2">
      <c r="A326" s="345">
        <v>37437</v>
      </c>
      <c r="B326" s="1279">
        <v>0.45</v>
      </c>
      <c r="C326" s="33">
        <v>824975803.30999994</v>
      </c>
      <c r="D326" s="253"/>
      <c r="E326" s="253">
        <f>B326-Index_Returns!W326</f>
        <v>-0.41509999999999997</v>
      </c>
    </row>
    <row r="327" spans="1:5" x14ac:dyDescent="0.2">
      <c r="A327" s="345">
        <v>37468</v>
      </c>
      <c r="B327" s="1279">
        <v>1.08</v>
      </c>
      <c r="C327" s="33">
        <v>833852356.08000004</v>
      </c>
      <c r="D327" s="253"/>
      <c r="E327" s="253">
        <f>B327-Index_Returns!W327</f>
        <v>-0.12619999999999987</v>
      </c>
    </row>
    <row r="328" spans="1:5" x14ac:dyDescent="0.2">
      <c r="A328" s="345">
        <v>37499</v>
      </c>
      <c r="B328" s="1279">
        <v>2.04</v>
      </c>
      <c r="C328" s="33">
        <v>850860865.28999996</v>
      </c>
      <c r="D328" s="253"/>
      <c r="E328" s="253">
        <f>B328-Index_Returns!W328</f>
        <v>0.35180000000000011</v>
      </c>
    </row>
    <row r="329" spans="1:5" x14ac:dyDescent="0.2">
      <c r="A329" s="345">
        <v>37529</v>
      </c>
      <c r="B329" s="1279">
        <v>1.49</v>
      </c>
      <c r="C329" s="33">
        <v>863847921.59000003</v>
      </c>
      <c r="D329" s="253"/>
      <c r="E329" s="253">
        <f>B329-Index_Returns!W329</f>
        <v>-0.1298999999999999</v>
      </c>
    </row>
    <row r="330" spans="1:5" x14ac:dyDescent="0.2">
      <c r="A330" s="345">
        <v>37560</v>
      </c>
      <c r="B330" s="1279">
        <v>-0.32</v>
      </c>
      <c r="C330" s="33">
        <v>861097428.08000004</v>
      </c>
      <c r="D330" s="253"/>
      <c r="E330" s="253">
        <f>B330-Index_Returns!W330</f>
        <v>0.13590000000000002</v>
      </c>
    </row>
    <row r="331" spans="1:5" x14ac:dyDescent="0.2">
      <c r="A331" s="345">
        <v>37590</v>
      </c>
      <c r="B331" s="1279">
        <v>0.34</v>
      </c>
      <c r="C331" s="33">
        <v>863982293.07000005</v>
      </c>
      <c r="D331" s="253"/>
      <c r="E331" s="253">
        <f>B331-Index_Returns!W331</f>
        <v>0.3664</v>
      </c>
    </row>
    <row r="332" spans="1:5" x14ac:dyDescent="0.2">
      <c r="A332" s="345">
        <v>37621</v>
      </c>
      <c r="B332" s="1279">
        <v>1.79</v>
      </c>
      <c r="C332" s="33">
        <v>879810871.96000004</v>
      </c>
      <c r="D332" s="253"/>
      <c r="E332" s="253">
        <f>B332-Index_Returns!W332</f>
        <v>-0.27539999999999987</v>
      </c>
    </row>
    <row r="333" spans="1:5" x14ac:dyDescent="0.2">
      <c r="A333" s="345">
        <v>37652</v>
      </c>
      <c r="B333" s="1279">
        <v>0.2</v>
      </c>
      <c r="C333" s="33">
        <v>881576076.72000003</v>
      </c>
      <c r="D333" s="253"/>
      <c r="E333" s="253">
        <f>B333-Index_Returns!W333</f>
        <v>0.1145</v>
      </c>
    </row>
    <row r="334" spans="1:5" x14ac:dyDescent="0.2">
      <c r="A334" s="345">
        <v>37680</v>
      </c>
      <c r="B334" s="1279">
        <v>1.46</v>
      </c>
      <c r="C334" s="33">
        <v>819341237.23000002</v>
      </c>
      <c r="D334" s="253"/>
      <c r="E334" s="253">
        <f>B334-Index_Returns!W334</f>
        <v>7.5699999999999878E-2</v>
      </c>
    </row>
    <row r="335" spans="1:5" x14ac:dyDescent="0.2">
      <c r="A335" s="345">
        <v>37711</v>
      </c>
      <c r="B335" s="1279">
        <v>-0.23</v>
      </c>
      <c r="C335" s="33">
        <v>817761221.17999995</v>
      </c>
      <c r="D335" s="253"/>
      <c r="E335" s="253">
        <f>B335-Index_Returns!W335</f>
        <v>-0.1527</v>
      </c>
    </row>
    <row r="336" spans="1:5" x14ac:dyDescent="0.2">
      <c r="A336" s="345">
        <v>37741</v>
      </c>
      <c r="B336" s="1279">
        <v>1</v>
      </c>
      <c r="C336" s="33">
        <v>825953744.70000005</v>
      </c>
      <c r="D336" s="253"/>
      <c r="E336" s="253">
        <f>B336-Index_Returns!W336</f>
        <v>0.17459999999999998</v>
      </c>
    </row>
    <row r="337" spans="1:9" x14ac:dyDescent="0.2">
      <c r="A337" s="345">
        <v>37772</v>
      </c>
      <c r="B337" s="1279">
        <v>1.82</v>
      </c>
      <c r="C337" s="33">
        <v>840237162.00999999</v>
      </c>
      <c r="D337" s="253"/>
      <c r="E337" s="253">
        <f>B337-Index_Returns!W337</f>
        <v>-4.4499999999999984E-2</v>
      </c>
    </row>
    <row r="338" spans="1:9" x14ac:dyDescent="0.2">
      <c r="A338" s="345">
        <v>37802</v>
      </c>
      <c r="B338" s="1279">
        <v>-0.15</v>
      </c>
      <c r="C338" s="33">
        <v>840025465.78999996</v>
      </c>
      <c r="D338" s="253"/>
      <c r="E338" s="253">
        <f>B338-Index_Returns!W338</f>
        <v>4.8600000000000004E-2</v>
      </c>
    </row>
    <row r="339" spans="1:9" x14ac:dyDescent="0.2">
      <c r="A339" s="345">
        <v>37833</v>
      </c>
      <c r="B339" s="1279">
        <v>-3.63</v>
      </c>
      <c r="C339" s="33">
        <v>809549353.47000003</v>
      </c>
      <c r="D339" s="253"/>
      <c r="E339" s="253">
        <f>B339-Index_Returns!W339</f>
        <v>-0.26799999999999979</v>
      </c>
    </row>
    <row r="340" spans="1:9" x14ac:dyDescent="0.2">
      <c r="A340" s="345">
        <v>37864</v>
      </c>
      <c r="B340" s="1279">
        <v>1.26</v>
      </c>
      <c r="C340" s="33">
        <v>819759979.88</v>
      </c>
      <c r="D340" s="253"/>
      <c r="E340" s="253">
        <f>B340-Index_Returns!W340</f>
        <v>0.59630000000000005</v>
      </c>
    </row>
    <row r="341" spans="1:9" x14ac:dyDescent="0.2">
      <c r="A341" s="345">
        <v>37894</v>
      </c>
      <c r="B341" s="1279">
        <v>2.5499999999999998</v>
      </c>
      <c r="C341" s="34">
        <v>841007501.05999994</v>
      </c>
      <c r="D341" s="253"/>
      <c r="E341" s="253">
        <f>B341-Index_Returns!W341</f>
        <v>-9.6900000000000208E-2</v>
      </c>
    </row>
    <row r="342" spans="1:9" x14ac:dyDescent="0.2">
      <c r="A342" s="345">
        <v>37925</v>
      </c>
      <c r="B342" s="1279">
        <v>-0.92</v>
      </c>
      <c r="C342" s="34">
        <v>833241564.98000002</v>
      </c>
      <c r="D342" s="253"/>
      <c r="E342" s="253">
        <f>B342-Index_Returns!W342</f>
        <v>1.2000000000000011E-2</v>
      </c>
    </row>
    <row r="343" spans="1:9" x14ac:dyDescent="0.2">
      <c r="A343" s="345">
        <v>37955</v>
      </c>
      <c r="B343" s="1279">
        <v>0.17</v>
      </c>
      <c r="C343" s="34">
        <v>834632285.24000001</v>
      </c>
      <c r="D343" s="253"/>
      <c r="E343" s="253">
        <f>B343-Index_Returns!W343</f>
        <v>-6.9099999999999995E-2</v>
      </c>
    </row>
    <row r="344" spans="1:9" x14ac:dyDescent="0.2">
      <c r="A344" s="345">
        <v>37986</v>
      </c>
      <c r="B344" s="1279">
        <v>0.84</v>
      </c>
      <c r="C344" s="34">
        <v>841986063.77999997</v>
      </c>
      <c r="D344" s="253"/>
      <c r="E344" s="253">
        <f>B344-Index_Returns!W344</f>
        <v>-0.17760000000000009</v>
      </c>
    </row>
    <row r="345" spans="1:9" x14ac:dyDescent="0.2">
      <c r="A345" s="345">
        <v>38017</v>
      </c>
      <c r="B345" s="1279">
        <v>0.67</v>
      </c>
      <c r="C345" s="34">
        <v>847628294.37</v>
      </c>
      <c r="D345" s="253"/>
      <c r="E345" s="253">
        <f>B345-Index_Returns!W345</f>
        <v>-0.13469999999999993</v>
      </c>
    </row>
    <row r="346" spans="1:9" x14ac:dyDescent="0.2">
      <c r="A346" s="345">
        <v>38046</v>
      </c>
      <c r="B346" s="1279">
        <v>0.78</v>
      </c>
      <c r="C346" s="34">
        <v>854242451.26999998</v>
      </c>
      <c r="D346" s="253"/>
      <c r="E346" s="253">
        <f>B346-Index_Returns!W346</f>
        <v>-0.30200000000000005</v>
      </c>
    </row>
    <row r="347" spans="1:9" x14ac:dyDescent="0.2">
      <c r="A347" s="345">
        <v>38077</v>
      </c>
      <c r="B347" s="1279">
        <v>0.66</v>
      </c>
      <c r="C347" s="34">
        <v>860186174.37</v>
      </c>
      <c r="D347" s="255"/>
      <c r="E347" s="253">
        <f>B347-Index_Returns!W347</f>
        <v>-8.9600000000000013E-2</v>
      </c>
    </row>
    <row r="348" spans="1:9" x14ac:dyDescent="0.2">
      <c r="A348" s="345">
        <v>38107</v>
      </c>
      <c r="B348" s="1279">
        <v>-2.2000000000000002</v>
      </c>
      <c r="C348" s="34">
        <v>841293617.25999999</v>
      </c>
      <c r="D348" s="253"/>
      <c r="E348" s="253">
        <f>B348-Index_Returns!W348</f>
        <v>0.40219999999999967</v>
      </c>
      <c r="I348" s="14"/>
    </row>
    <row r="349" spans="1:9" x14ac:dyDescent="0.2">
      <c r="A349" s="345">
        <v>38138</v>
      </c>
      <c r="B349" s="1279">
        <v>-0.11</v>
      </c>
      <c r="C349" s="34">
        <v>840385195.25</v>
      </c>
      <c r="D349" s="253"/>
      <c r="E349" s="253">
        <f>B349-Index_Returns!W349</f>
        <v>0.2903</v>
      </c>
      <c r="I349" s="14"/>
    </row>
    <row r="350" spans="1:9" x14ac:dyDescent="0.2">
      <c r="A350" s="345">
        <v>38168</v>
      </c>
      <c r="B350" s="1279">
        <v>0.69</v>
      </c>
      <c r="C350" s="34">
        <v>846524638.90999997</v>
      </c>
      <c r="D350" s="253"/>
      <c r="E350" s="253">
        <f>B350-Index_Returns!W350</f>
        <v>0.12479999999999991</v>
      </c>
      <c r="I350" s="14"/>
    </row>
    <row r="351" spans="1:9" x14ac:dyDescent="0.2">
      <c r="A351" s="345">
        <v>38199</v>
      </c>
      <c r="B351" s="1279">
        <v>1.03</v>
      </c>
      <c r="C351" s="34">
        <v>855216412.77999997</v>
      </c>
      <c r="D351" s="253"/>
      <c r="E351" s="253">
        <f>B351-Index_Returns!W351</f>
        <v>3.8800000000000057E-2</v>
      </c>
    </row>
    <row r="352" spans="1:9" x14ac:dyDescent="0.2">
      <c r="A352" s="345">
        <v>38230</v>
      </c>
      <c r="B352" s="1279">
        <v>1.84</v>
      </c>
      <c r="C352" s="34">
        <v>870934607.40999997</v>
      </c>
      <c r="D352" s="253"/>
      <c r="E352" s="253">
        <f>B352-Index_Returns!W352</f>
        <v>-6.7499999999999893E-2</v>
      </c>
    </row>
    <row r="353" spans="1:6" x14ac:dyDescent="0.2">
      <c r="A353" s="345">
        <v>38260</v>
      </c>
      <c r="B353" s="1279">
        <v>0.24</v>
      </c>
      <c r="C353" s="34">
        <v>873449740.72000003</v>
      </c>
      <c r="D353" s="253"/>
      <c r="E353" s="253">
        <f>B353-Index_Returns!W353</f>
        <v>-3.1299999999999994E-2</v>
      </c>
    </row>
    <row r="354" spans="1:6" x14ac:dyDescent="0.2">
      <c r="A354" s="345">
        <v>38291</v>
      </c>
      <c r="B354" s="1279">
        <v>0.85</v>
      </c>
      <c r="C354" s="34">
        <v>880894925.90999997</v>
      </c>
      <c r="D354" s="253"/>
      <c r="E354" s="253">
        <f>B354-Index_Returns!W354</f>
        <v>1.1399999999999966E-2</v>
      </c>
    </row>
    <row r="355" spans="1:6" x14ac:dyDescent="0.2">
      <c r="A355" s="345">
        <v>38321</v>
      </c>
      <c r="B355" s="1279">
        <v>-0.54</v>
      </c>
      <c r="C355" s="34">
        <v>876128513.60000002</v>
      </c>
      <c r="D355" s="253"/>
      <c r="E355" s="253">
        <f>B355-Index_Returns!W355</f>
        <v>0.25759999999999994</v>
      </c>
    </row>
    <row r="356" spans="1:6" x14ac:dyDescent="0.2">
      <c r="A356" s="345">
        <v>38352</v>
      </c>
      <c r="B356" s="1279">
        <v>0.82</v>
      </c>
      <c r="C356" s="256">
        <v>883682125.73000002</v>
      </c>
      <c r="D356" s="253"/>
      <c r="E356" s="253">
        <f>B356-Index_Returns!W356</f>
        <v>-0.10010000000000008</v>
      </c>
    </row>
    <row r="357" spans="1:6" x14ac:dyDescent="0.2">
      <c r="A357" s="345">
        <v>38383</v>
      </c>
      <c r="B357" s="1279">
        <v>0.6</v>
      </c>
      <c r="C357" s="34">
        <v>888999351.99000001</v>
      </c>
      <c r="D357" s="253"/>
      <c r="E357" s="253">
        <f>B357-Index_Returns!W357</f>
        <v>-2.7900000000000036E-2</v>
      </c>
    </row>
    <row r="358" spans="1:6" x14ac:dyDescent="0.2">
      <c r="A358" s="345">
        <v>38411</v>
      </c>
      <c r="B358" s="1279">
        <v>-0.56000000000000005</v>
      </c>
      <c r="C358" s="34">
        <v>884005172.76999998</v>
      </c>
      <c r="D358" s="253"/>
      <c r="E358" s="253">
        <f>B358-Index_Returns!W358</f>
        <v>3.0299999999999994E-2</v>
      </c>
    </row>
    <row r="359" spans="1:6" x14ac:dyDescent="0.2">
      <c r="A359" s="345">
        <v>38442</v>
      </c>
      <c r="B359" s="1279">
        <v>-0.31</v>
      </c>
      <c r="C359" s="256">
        <v>881618807.47000003</v>
      </c>
      <c r="D359" s="253"/>
      <c r="E359" s="253">
        <f>B359-Index_Returns!W359</f>
        <v>0.20359999999999995</v>
      </c>
    </row>
    <row r="360" spans="1:6" x14ac:dyDescent="0.2">
      <c r="A360" s="345">
        <v>38472</v>
      </c>
      <c r="B360" s="1279">
        <v>1.24</v>
      </c>
      <c r="C360" s="256">
        <v>892545230.98000002</v>
      </c>
      <c r="D360" s="253"/>
      <c r="E360" s="253">
        <f>B360-Index_Returns!W360</f>
        <v>-0.11339999999999995</v>
      </c>
    </row>
    <row r="361" spans="1:6" x14ac:dyDescent="0.2">
      <c r="A361" s="345">
        <v>38503</v>
      </c>
      <c r="B361" s="1279">
        <v>0.9</v>
      </c>
      <c r="C361" s="256">
        <v>900616688.88999999</v>
      </c>
      <c r="D361" s="253"/>
      <c r="E361" s="253">
        <f>B361-Index_Returns!W361</f>
        <v>-0.18190000000000006</v>
      </c>
      <c r="F361" s="779"/>
    </row>
    <row r="362" spans="1:6" x14ac:dyDescent="0.2">
      <c r="A362" s="345">
        <v>38533</v>
      </c>
      <c r="B362" s="1279">
        <v>0.46</v>
      </c>
      <c r="C362" s="256">
        <v>905138176.33000004</v>
      </c>
      <c r="D362" s="253"/>
      <c r="E362" s="253">
        <f>B362-Index_Returns!W362</f>
        <v>-8.5299999999999987E-2</v>
      </c>
    </row>
    <row r="363" spans="1:6" x14ac:dyDescent="0.2">
      <c r="A363" s="345">
        <v>38564</v>
      </c>
      <c r="B363" s="1279">
        <v>-0.64</v>
      </c>
      <c r="C363" s="256">
        <v>899350358.58000004</v>
      </c>
      <c r="D363" s="253"/>
      <c r="E363" s="253">
        <f>B363-Index_Returns!W363</f>
        <v>0.27029999999999998</v>
      </c>
    </row>
    <row r="364" spans="1:6" x14ac:dyDescent="0.2">
      <c r="A364" s="345">
        <v>38595</v>
      </c>
      <c r="B364" s="1279">
        <v>1.1200000000000001</v>
      </c>
      <c r="C364" s="256">
        <v>909462464.77999997</v>
      </c>
      <c r="D364" s="253"/>
      <c r="E364" s="253">
        <f>B364-Index_Returns!W364</f>
        <v>-0.16199999999999992</v>
      </c>
    </row>
    <row r="365" spans="1:6" x14ac:dyDescent="0.2">
      <c r="A365" s="345">
        <v>38625</v>
      </c>
      <c r="B365" s="1279">
        <v>-0.86</v>
      </c>
      <c r="C365" s="256">
        <v>902027639.63999999</v>
      </c>
      <c r="D365" s="253"/>
      <c r="E365" s="253">
        <f>B365-Index_Returns!W365</f>
        <v>0.17010000000000003</v>
      </c>
    </row>
    <row r="366" spans="1:6" x14ac:dyDescent="0.2">
      <c r="A366" s="345">
        <v>38656</v>
      </c>
      <c r="B366" s="1279">
        <v>-0.56999999999999995</v>
      </c>
      <c r="C366" s="256">
        <v>896844532.21000004</v>
      </c>
      <c r="D366" s="253"/>
      <c r="E366" s="253">
        <f>B366-Index_Returns!W366</f>
        <v>0.22140000000000004</v>
      </c>
    </row>
    <row r="367" spans="1:6" x14ac:dyDescent="0.2">
      <c r="A367" s="345">
        <v>38686</v>
      </c>
      <c r="B367" s="1279">
        <v>0.51</v>
      </c>
      <c r="C367" s="256">
        <v>901457517.77999997</v>
      </c>
      <c r="D367" s="253"/>
      <c r="E367" s="253">
        <f>B367-Index_Returns!W367</f>
        <v>6.7699999999999982E-2</v>
      </c>
    </row>
    <row r="368" spans="1:6" x14ac:dyDescent="0.2">
      <c r="A368" s="345">
        <v>38717</v>
      </c>
      <c r="B368" s="1279">
        <v>0.9</v>
      </c>
      <c r="C368" s="256">
        <v>909923787.14999998</v>
      </c>
      <c r="D368" s="253"/>
      <c r="E368" s="253">
        <f>B368-Index_Returns!W368</f>
        <v>-5.0799999999999956E-2</v>
      </c>
    </row>
    <row r="369" spans="1:6" x14ac:dyDescent="0.2">
      <c r="A369" s="345">
        <v>38748</v>
      </c>
      <c r="B369" s="1279">
        <v>-0.06</v>
      </c>
      <c r="C369" s="256">
        <v>909412532.79999995</v>
      </c>
      <c r="D369" s="253"/>
      <c r="E369" s="253">
        <f>B369-Index_Returns!W369</f>
        <v>-6.5699999999999995E-2</v>
      </c>
    </row>
    <row r="370" spans="1:6" x14ac:dyDescent="0.2">
      <c r="A370" s="345">
        <v>38776</v>
      </c>
      <c r="B370" s="1279">
        <v>0.4</v>
      </c>
      <c r="C370" s="256">
        <v>913072304.20000005</v>
      </c>
      <c r="D370" s="253"/>
      <c r="E370" s="253">
        <f>B370-Index_Returns!W370</f>
        <v>6.8000000000000005E-2</v>
      </c>
    </row>
    <row r="371" spans="1:6" x14ac:dyDescent="0.2">
      <c r="A371" s="345">
        <v>38807</v>
      </c>
      <c r="B371" s="1279">
        <v>-0.93</v>
      </c>
      <c r="C371" s="367">
        <v>904934502.46000004</v>
      </c>
      <c r="D371" s="253"/>
      <c r="E371" s="253">
        <f>B371-Index_Returns!W371</f>
        <v>5.1299999999999901E-2</v>
      </c>
    </row>
    <row r="372" spans="1:6" x14ac:dyDescent="0.2">
      <c r="A372" s="345">
        <v>38837</v>
      </c>
      <c r="B372" s="1279">
        <v>-0.06</v>
      </c>
      <c r="C372" s="367">
        <v>904407069.69000006</v>
      </c>
      <c r="D372" s="253"/>
      <c r="E372" s="253">
        <f>B372-Index_Returns!W372</f>
        <v>0.12129999999999999</v>
      </c>
    </row>
    <row r="373" spans="1:6" x14ac:dyDescent="0.2">
      <c r="A373" s="345">
        <v>38868</v>
      </c>
      <c r="B373" s="1279">
        <v>0.1</v>
      </c>
      <c r="C373" s="367">
        <v>905310252.54999995</v>
      </c>
      <c r="D373" s="253"/>
      <c r="E373" s="253">
        <f>B373-Index_Returns!W373</f>
        <v>0.20669999999999999</v>
      </c>
    </row>
    <row r="374" spans="1:6" x14ac:dyDescent="0.2">
      <c r="A374" s="345">
        <v>38898</v>
      </c>
      <c r="B374" s="1279">
        <v>0.2</v>
      </c>
      <c r="C374" s="612">
        <v>907456651.39999998</v>
      </c>
      <c r="D374" s="253"/>
      <c r="E374" s="253">
        <f>B374-Index_Returns!W374</f>
        <v>-1.1999999999999983E-2</v>
      </c>
    </row>
    <row r="375" spans="1:6" x14ac:dyDescent="0.2">
      <c r="A375" s="345">
        <v>38929</v>
      </c>
      <c r="B375" s="1279">
        <v>1.43</v>
      </c>
      <c r="C375" s="34">
        <v>920394025.32000005</v>
      </c>
      <c r="D375" s="253"/>
      <c r="E375" s="253">
        <f>B375-Index_Returns!W375</f>
        <v>7.7799999999999869E-2</v>
      </c>
    </row>
    <row r="376" spans="1:6" x14ac:dyDescent="0.2">
      <c r="A376" s="345">
        <v>38960</v>
      </c>
      <c r="B376" s="1279">
        <v>1.27</v>
      </c>
      <c r="C376" s="34">
        <v>932060706.37</v>
      </c>
      <c r="D376" s="253"/>
      <c r="E376" s="253">
        <f>B376-Index_Returns!W376</f>
        <v>-0.26079999999999992</v>
      </c>
    </row>
    <row r="377" spans="1:6" x14ac:dyDescent="0.2">
      <c r="A377" s="345">
        <v>38990</v>
      </c>
      <c r="B377" s="1279">
        <v>0.72</v>
      </c>
      <c r="C377" s="34">
        <v>939180542.19000006</v>
      </c>
      <c r="D377" s="253"/>
      <c r="E377" s="253">
        <f>B377-Index_Returns!W377</f>
        <v>-0.15839999999999999</v>
      </c>
    </row>
    <row r="378" spans="1:6" x14ac:dyDescent="0.2">
      <c r="A378" s="345">
        <v>39021</v>
      </c>
      <c r="B378" s="1279">
        <v>0.65</v>
      </c>
      <c r="C378" s="34">
        <v>945263443.76999998</v>
      </c>
      <c r="D378" s="253"/>
      <c r="E378" s="253">
        <f>B378-Index_Returns!W378</f>
        <v>-1.1499999999999955E-2</v>
      </c>
      <c r="F378" s="352"/>
    </row>
    <row r="379" spans="1:6" x14ac:dyDescent="0.2">
      <c r="A379" s="345">
        <v>39051</v>
      </c>
      <c r="B379" s="1279">
        <v>0.94</v>
      </c>
      <c r="C379" s="34">
        <v>954132410.25999999</v>
      </c>
      <c r="D379" s="253"/>
      <c r="E379" s="253">
        <f>B379-Index_Returns!W379</f>
        <v>-0.22009999999999996</v>
      </c>
      <c r="F379" s="352"/>
    </row>
    <row r="380" spans="1:6" x14ac:dyDescent="0.2">
      <c r="A380" s="345">
        <v>39082</v>
      </c>
      <c r="B380" s="1279">
        <v>-0.63</v>
      </c>
      <c r="C380" s="703">
        <v>948451579.15999997</v>
      </c>
      <c r="D380" s="253"/>
      <c r="E380" s="253">
        <f>B380-Index_Returns!W380</f>
        <v>-4.9699999999999966E-2</v>
      </c>
      <c r="F380" s="352"/>
    </row>
    <row r="381" spans="1:6" x14ac:dyDescent="0.2">
      <c r="A381" s="345">
        <v>39113</v>
      </c>
      <c r="B381" s="1279">
        <v>0.1</v>
      </c>
      <c r="C381" s="770">
        <v>949389418.53999996</v>
      </c>
      <c r="E381" s="253">
        <f>B381-Index_Returns!W381</f>
        <v>0.14100000000000001</v>
      </c>
      <c r="F381" s="352"/>
    </row>
    <row r="382" spans="1:6" x14ac:dyDescent="0.2">
      <c r="A382" s="345">
        <v>39141</v>
      </c>
      <c r="B382" s="1279">
        <v>1.44</v>
      </c>
      <c r="C382" s="770">
        <v>963028381.90999997</v>
      </c>
      <c r="E382" s="253">
        <f>B382-Index_Returns!W382</f>
        <v>-0.10200000000000009</v>
      </c>
      <c r="F382" s="352"/>
    </row>
    <row r="383" spans="1:6" x14ac:dyDescent="0.2">
      <c r="A383" s="345">
        <v>39172</v>
      </c>
      <c r="B383" s="1279">
        <v>-0.05</v>
      </c>
      <c r="C383" s="770">
        <v>962887975.05999994</v>
      </c>
      <c r="E383" s="253">
        <f>B383-Index_Returns!W383</f>
        <v>-5.3100000000000001E-2</v>
      </c>
    </row>
    <row r="384" spans="1:6" x14ac:dyDescent="0.2">
      <c r="A384" s="345">
        <v>39202</v>
      </c>
      <c r="B384" s="1279">
        <v>0.52</v>
      </c>
      <c r="C384" s="770">
        <v>967936910.88</v>
      </c>
      <c r="E384" s="253">
        <f>B384-Index_Returns!W384</f>
        <v>-1.9199999999999995E-2</v>
      </c>
    </row>
    <row r="385" spans="1:5" x14ac:dyDescent="0.2">
      <c r="A385" s="345">
        <v>39233</v>
      </c>
      <c r="B385" s="1279">
        <v>-0.97</v>
      </c>
      <c r="C385" s="770">
        <v>958530088.17999995</v>
      </c>
      <c r="E385" s="253">
        <f>B385-Index_Returns!W385</f>
        <v>-0.21209999999999996</v>
      </c>
    </row>
    <row r="386" spans="1:5" x14ac:dyDescent="0.2">
      <c r="A386" s="345">
        <v>39263</v>
      </c>
      <c r="B386" s="1279">
        <v>-0.45</v>
      </c>
      <c r="C386" s="770">
        <v>954626537.71000004</v>
      </c>
      <c r="E386" s="253">
        <f>B386-Index_Returns!W386</f>
        <v>-0.1542</v>
      </c>
    </row>
    <row r="387" spans="1:5" x14ac:dyDescent="0.2">
      <c r="A387" s="345">
        <v>39294</v>
      </c>
      <c r="B387" s="1279">
        <v>0.99</v>
      </c>
      <c r="C387" s="770">
        <v>964116710.51999998</v>
      </c>
      <c r="E387" s="253">
        <f>B387-Index_Returns!W387</f>
        <v>0.15590000000000004</v>
      </c>
    </row>
    <row r="388" spans="1:5" x14ac:dyDescent="0.2">
      <c r="A388" s="345">
        <v>39325</v>
      </c>
      <c r="B388" s="1279">
        <v>1.55</v>
      </c>
      <c r="C388" s="346">
        <v>979035781.05999994</v>
      </c>
      <c r="E388" s="253">
        <f>B388-Index_Returns!W388</f>
        <v>0.32430000000000003</v>
      </c>
    </row>
    <row r="389" spans="1:5" x14ac:dyDescent="0.2">
      <c r="A389" s="345">
        <v>39355</v>
      </c>
      <c r="B389" s="1279">
        <v>0.5</v>
      </c>
      <c r="C389" s="346">
        <v>984340466.58000004</v>
      </c>
      <c r="E389" s="253">
        <f>B389-Index_Returns!W389</f>
        <v>-0.25860000000000005</v>
      </c>
    </row>
    <row r="390" spans="1:5" x14ac:dyDescent="0.2">
      <c r="A390" s="345">
        <v>39386</v>
      </c>
      <c r="B390" s="1279">
        <v>1.1399999999999999</v>
      </c>
      <c r="C390" s="346">
        <v>995564159.75999999</v>
      </c>
      <c r="E390" s="253">
        <f>B390-Index_Returns!W390</f>
        <v>0.24169999999999991</v>
      </c>
    </row>
    <row r="391" spans="1:5" x14ac:dyDescent="0.2">
      <c r="A391" s="345">
        <v>39416</v>
      </c>
      <c r="B391" s="1279">
        <v>1.83</v>
      </c>
      <c r="C391" s="346">
        <v>1013795080.51</v>
      </c>
      <c r="E391" s="253">
        <f>B391-Index_Returns!W391</f>
        <v>3.1700000000000061E-2</v>
      </c>
    </row>
    <row r="392" spans="1:5" x14ac:dyDescent="0.2">
      <c r="A392" s="345">
        <v>39447</v>
      </c>
      <c r="B392" s="1279">
        <v>0.02</v>
      </c>
      <c r="C392" s="346">
        <v>1014376660.58</v>
      </c>
      <c r="E392" s="253">
        <f>B392-Index_Returns!W392</f>
        <v>-0.26089999999999997</v>
      </c>
    </row>
    <row r="393" spans="1:5" x14ac:dyDescent="0.2">
      <c r="A393" s="345">
        <v>39478</v>
      </c>
      <c r="B393" s="1279">
        <v>1.52</v>
      </c>
      <c r="C393" s="346">
        <v>1029749499.72</v>
      </c>
      <c r="E393" s="253">
        <f>B393-Index_Returns!W393</f>
        <v>-0.15979999999999994</v>
      </c>
    </row>
    <row r="394" spans="1:5" x14ac:dyDescent="0.2">
      <c r="A394" s="345">
        <v>39507</v>
      </c>
      <c r="B394" s="1279">
        <v>-0.21</v>
      </c>
      <c r="C394" s="346">
        <v>1027635535.85</v>
      </c>
      <c r="E394" s="253">
        <f>B394-Index_Returns!W394</f>
        <v>-0.3488</v>
      </c>
    </row>
    <row r="395" spans="1:5" x14ac:dyDescent="0.2">
      <c r="A395" s="345">
        <v>39538</v>
      </c>
      <c r="B395" s="1279">
        <v>0.09</v>
      </c>
      <c r="C395" s="346">
        <v>1029006200.99</v>
      </c>
      <c r="E395" s="253">
        <f>B395-Index_Returns!W395</f>
        <v>-0.25119999999999998</v>
      </c>
    </row>
    <row r="396" spans="1:5" x14ac:dyDescent="0.2">
      <c r="A396" s="345">
        <v>39568</v>
      </c>
      <c r="B396" s="1279">
        <v>0.28999999999999998</v>
      </c>
      <c r="C396" s="346">
        <v>1032031135.38</v>
      </c>
      <c r="E396" s="253">
        <f>B396-Index_Returns!W396</f>
        <v>0.499</v>
      </c>
    </row>
    <row r="397" spans="1:5" x14ac:dyDescent="0.2">
      <c r="A397" s="345">
        <v>39599</v>
      </c>
      <c r="B397" s="1279">
        <v>-0.71</v>
      </c>
      <c r="C397" s="346">
        <v>1024702158.64</v>
      </c>
      <c r="E397" s="253">
        <f>B397-Index_Returns!W397</f>
        <v>2.3299999999999987E-2</v>
      </c>
    </row>
    <row r="398" spans="1:5" x14ac:dyDescent="0.2">
      <c r="A398" s="345">
        <v>39629</v>
      </c>
      <c r="B398" s="1279">
        <v>-0.25</v>
      </c>
      <c r="C398" s="346">
        <v>1022590375.1799999</v>
      </c>
      <c r="E398" s="253">
        <f>B398-Index_Returns!W398</f>
        <v>-0.16920000000000002</v>
      </c>
    </row>
    <row r="399" spans="1:5" x14ac:dyDescent="0.2">
      <c r="A399" s="345">
        <v>39660</v>
      </c>
      <c r="B399" s="1279">
        <v>-0.73</v>
      </c>
      <c r="C399" s="367">
        <v>1015079918.67</v>
      </c>
      <c r="E399" s="253">
        <f>B399-Index_Returns!W399</f>
        <v>-0.64839999999999998</v>
      </c>
    </row>
    <row r="400" spans="1:5" x14ac:dyDescent="0.2">
      <c r="A400" s="345">
        <v>39691</v>
      </c>
      <c r="B400" s="1279">
        <v>0.27</v>
      </c>
      <c r="C400" s="367">
        <v>1005377842.39</v>
      </c>
      <c r="E400" s="253">
        <f>B400-Index_Returns!W400</f>
        <v>-0.67910000000000004</v>
      </c>
    </row>
    <row r="401" spans="1:5" x14ac:dyDescent="0.2">
      <c r="A401" s="345">
        <v>39721</v>
      </c>
      <c r="B401" s="1279">
        <v>-1.83</v>
      </c>
      <c r="C401" s="367">
        <v>987359112.89999998</v>
      </c>
      <c r="E401" s="253">
        <f>B401-Index_Returns!W401</f>
        <v>-0.48680000000000012</v>
      </c>
    </row>
    <row r="402" spans="1:5" x14ac:dyDescent="0.2">
      <c r="A402" s="345">
        <v>39752</v>
      </c>
      <c r="B402" s="1279">
        <v>-2.86</v>
      </c>
      <c r="C402" s="346">
        <v>959338919</v>
      </c>
      <c r="E402" s="253">
        <f>B402-Index_Returns!W402</f>
        <v>-0.49960000000000004</v>
      </c>
    </row>
    <row r="403" spans="1:5" x14ac:dyDescent="0.2">
      <c r="A403" s="345">
        <v>39782</v>
      </c>
      <c r="B403" s="1279">
        <v>0.06</v>
      </c>
      <c r="C403" s="346">
        <v>959674512</v>
      </c>
      <c r="E403" s="253">
        <f>B403-Index_Returns!W403</f>
        <v>-3.1949999999999998</v>
      </c>
    </row>
    <row r="404" spans="1:5" x14ac:dyDescent="0.2">
      <c r="A404" s="345">
        <v>39813</v>
      </c>
      <c r="B404" s="1279">
        <v>4.58</v>
      </c>
      <c r="C404" s="346">
        <v>1004173752</v>
      </c>
      <c r="E404" s="253">
        <f>B404-Index_Returns!W404</f>
        <v>0.84909999999999997</v>
      </c>
    </row>
    <row r="405" spans="1:5" x14ac:dyDescent="0.2">
      <c r="A405" s="345">
        <v>39844</v>
      </c>
      <c r="B405" s="1279">
        <v>-0.26</v>
      </c>
      <c r="C405" s="346">
        <v>1001673800</v>
      </c>
      <c r="D405" s="258">
        <v>-0.24759999999999999</v>
      </c>
      <c r="E405" s="253">
        <f>B405-Index_Returns!W405</f>
        <v>0.62229999999999996</v>
      </c>
    </row>
    <row r="406" spans="1:5" x14ac:dyDescent="0.2">
      <c r="A406" s="345">
        <v>39872</v>
      </c>
      <c r="B406" s="1279">
        <v>-0.98</v>
      </c>
      <c r="C406" s="346">
        <v>991739069.80999994</v>
      </c>
      <c r="D406" s="258">
        <v>-0.97899999999999998</v>
      </c>
      <c r="E406" s="253">
        <f>B406-Index_Returns!W406</f>
        <v>-0.60240000000000005</v>
      </c>
    </row>
    <row r="407" spans="1:5" x14ac:dyDescent="0.2">
      <c r="A407" s="345">
        <v>39903</v>
      </c>
      <c r="B407" s="1279">
        <v>1.82</v>
      </c>
      <c r="C407" s="346">
        <v>1010177536.04</v>
      </c>
      <c r="D407" s="258">
        <v>1.8592</v>
      </c>
      <c r="E407" s="253">
        <f>B407-Index_Returns!W407</f>
        <v>0.42979999999999996</v>
      </c>
    </row>
    <row r="408" spans="1:5" x14ac:dyDescent="0.2">
      <c r="A408" s="345">
        <v>39933</v>
      </c>
      <c r="B408" s="1279">
        <v>1.51</v>
      </c>
      <c r="C408" s="346">
        <v>1025458115.27</v>
      </c>
      <c r="E408" s="253">
        <f>B408-Index_Returns!W408</f>
        <v>1.0314000000000001</v>
      </c>
    </row>
    <row r="409" spans="1:5" x14ac:dyDescent="0.2">
      <c r="A409" s="345">
        <v>39964</v>
      </c>
      <c r="B409" s="1279">
        <v>1.63</v>
      </c>
      <c r="C409" s="346">
        <v>1042144220.52</v>
      </c>
      <c r="E409" s="253">
        <f>B409-Index_Returns!W409</f>
        <v>0.90489999999999993</v>
      </c>
    </row>
    <row r="410" spans="1:5" x14ac:dyDescent="0.2">
      <c r="A410" s="345">
        <v>39994</v>
      </c>
      <c r="B410" s="1279">
        <v>0.81</v>
      </c>
      <c r="C410" s="346">
        <v>1050999827.99</v>
      </c>
      <c r="E410" s="253">
        <f>B410-Index_Returns!W410</f>
        <v>0.24160000000000004</v>
      </c>
    </row>
    <row r="411" spans="1:5" x14ac:dyDescent="0.2">
      <c r="A411" s="345">
        <v>40025</v>
      </c>
      <c r="B411" s="1279">
        <v>2.4300000000000002</v>
      </c>
      <c r="C411" s="346">
        <v>1045853001.03</v>
      </c>
      <c r="D411" s="258">
        <v>2.4342000000000001</v>
      </c>
      <c r="E411" s="253">
        <f>B411-Index_Returns!W411</f>
        <v>0.8167000000000002</v>
      </c>
    </row>
    <row r="412" spans="1:5" x14ac:dyDescent="0.2">
      <c r="A412" s="345">
        <v>40056</v>
      </c>
      <c r="B412" s="1279">
        <v>1.38</v>
      </c>
      <c r="C412" s="346">
        <v>1060291655.05</v>
      </c>
      <c r="D412" s="258">
        <v>1.3806</v>
      </c>
      <c r="E412" s="253">
        <f>B412-Index_Returns!W412</f>
        <v>0.3445999999999998</v>
      </c>
    </row>
    <row r="413" spans="1:5" x14ac:dyDescent="0.2">
      <c r="A413" s="345">
        <v>40086</v>
      </c>
      <c r="B413" s="1279">
        <v>1.0900000000000001</v>
      </c>
      <c r="C413" s="346">
        <v>1072252341.67</v>
      </c>
      <c r="D413" s="258">
        <v>1.1281000000000001</v>
      </c>
      <c r="E413" s="253">
        <f>B413-Index_Returns!W413</f>
        <v>3.9300000000000113E-2</v>
      </c>
    </row>
    <row r="414" spans="1:5" x14ac:dyDescent="0.2">
      <c r="A414" s="345">
        <v>40117</v>
      </c>
      <c r="B414" s="1279">
        <v>0.91</v>
      </c>
      <c r="C414" s="346">
        <v>966825645</v>
      </c>
      <c r="D414" s="258">
        <v>0.91</v>
      </c>
      <c r="E414" s="253">
        <f>B414-Index_Returns!W414</f>
        <v>0.42000000000000004</v>
      </c>
    </row>
    <row r="415" spans="1:5" x14ac:dyDescent="0.2">
      <c r="A415" s="345">
        <v>40147</v>
      </c>
      <c r="B415" s="1279">
        <v>1.08</v>
      </c>
      <c r="C415" s="346">
        <v>845713613</v>
      </c>
      <c r="D415" s="258">
        <v>1.82</v>
      </c>
      <c r="E415" s="253">
        <f>B415-Index_Returns!W415</f>
        <v>-0.21399999999999997</v>
      </c>
    </row>
    <row r="416" spans="1:5" x14ac:dyDescent="0.2">
      <c r="A416" s="345">
        <v>40178</v>
      </c>
      <c r="B416" s="1279">
        <v>-0.96</v>
      </c>
      <c r="C416" s="346">
        <v>672994698.13999999</v>
      </c>
      <c r="D416" s="258">
        <v>-0.96509999999999996</v>
      </c>
      <c r="E416" s="253">
        <f>B416-Index_Returns!W416</f>
        <v>0.60350999999999999</v>
      </c>
    </row>
    <row r="417" spans="1:5" x14ac:dyDescent="0.2">
      <c r="A417" s="345">
        <v>40209</v>
      </c>
      <c r="B417" s="253">
        <f t="shared" ref="B417:B428" si="0">D417-((D$1/12)/100)</f>
        <v>-1.3333333333333332E-2</v>
      </c>
      <c r="C417" s="346">
        <v>0</v>
      </c>
      <c r="D417" s="258">
        <v>0</v>
      </c>
      <c r="E417" s="253">
        <f>B417-Index_Returns!W417</f>
        <v>-1.5411133333333333</v>
      </c>
    </row>
    <row r="418" spans="1:5" x14ac:dyDescent="0.2">
      <c r="A418" s="345">
        <v>40237</v>
      </c>
      <c r="B418" s="253">
        <f t="shared" si="0"/>
        <v>-1.3333333333333332E-2</v>
      </c>
      <c r="C418" s="346"/>
      <c r="E418" s="253">
        <f>B418-Index_Returns!W418</f>
        <v>-0.38665333333333329</v>
      </c>
    </row>
    <row r="419" spans="1:5" x14ac:dyDescent="0.2">
      <c r="A419" s="345">
        <v>40268</v>
      </c>
      <c r="B419" s="253">
        <f t="shared" si="0"/>
        <v>-1.3333333333333332E-2</v>
      </c>
      <c r="C419" s="346"/>
      <c r="E419" s="253">
        <f>B419-Index_Returns!W419</f>
        <v>0.10928666666666667</v>
      </c>
    </row>
    <row r="420" spans="1:5" x14ac:dyDescent="0.2">
      <c r="A420" s="345">
        <v>40298</v>
      </c>
      <c r="B420" s="253">
        <f t="shared" si="0"/>
        <v>-1.3333333333333332E-2</v>
      </c>
      <c r="C420" s="346"/>
      <c r="E420" s="253">
        <f>B420-Index_Returns!W420</f>
        <v>-1.0543133333333334</v>
      </c>
    </row>
    <row r="421" spans="1:5" x14ac:dyDescent="0.2">
      <c r="A421" s="345">
        <v>40329</v>
      </c>
      <c r="B421" s="253">
        <f t="shared" si="0"/>
        <v>-1.3333333333333332E-2</v>
      </c>
      <c r="C421" s="346"/>
      <c r="E421" s="253">
        <f>B421-Index_Returns!W421</f>
        <v>-0.85441333333333336</v>
      </c>
    </row>
    <row r="422" spans="1:5" x14ac:dyDescent="0.2">
      <c r="A422" s="345">
        <v>40359</v>
      </c>
      <c r="B422" s="253">
        <f t="shared" si="0"/>
        <v>-1.3333333333333332E-2</v>
      </c>
      <c r="C422" s="346"/>
      <c r="E422" s="253">
        <f>B422-Index_Returns!W422</f>
        <v>-1.5814933333333334</v>
      </c>
    </row>
    <row r="423" spans="1:5" x14ac:dyDescent="0.2">
      <c r="A423" s="345">
        <v>40390</v>
      </c>
      <c r="B423" s="253">
        <f t="shared" si="0"/>
        <v>-1.3333333333333332E-2</v>
      </c>
      <c r="C423" s="346"/>
      <c r="E423" s="253">
        <f>B423-Index_Returns!W423</f>
        <v>-1.0807133333333334</v>
      </c>
    </row>
    <row r="424" spans="1:5" x14ac:dyDescent="0.2">
      <c r="A424" s="345">
        <v>40421</v>
      </c>
      <c r="B424" s="253">
        <f t="shared" si="0"/>
        <v>-1.3333333333333332E-2</v>
      </c>
      <c r="C424" s="346"/>
      <c r="E424" s="253">
        <f>B424-Index_Returns!W424</f>
        <v>-1.2998833333333335</v>
      </c>
    </row>
    <row r="425" spans="1:5" x14ac:dyDescent="0.2">
      <c r="A425" s="345">
        <v>40451</v>
      </c>
      <c r="B425" s="253">
        <f t="shared" si="0"/>
        <v>-1.3333333333333332E-2</v>
      </c>
      <c r="C425" s="346"/>
      <c r="E425" s="253">
        <f>B425-Index_Returns!W425</f>
        <v>-0.12005333333333333</v>
      </c>
    </row>
    <row r="426" spans="1:5" x14ac:dyDescent="0.2">
      <c r="A426" s="345">
        <v>40482</v>
      </c>
      <c r="B426" s="253">
        <f t="shared" si="0"/>
        <v>-1.3333333333333332E-2</v>
      </c>
      <c r="C426" s="346"/>
      <c r="E426" s="253">
        <f>B426-Index_Returns!W426</f>
        <v>-0.3691733333333333</v>
      </c>
    </row>
    <row r="427" spans="1:5" x14ac:dyDescent="0.2">
      <c r="A427" s="345">
        <v>40512</v>
      </c>
      <c r="B427" s="253">
        <f t="shared" si="0"/>
        <v>-1.3333333333333332E-2</v>
      </c>
      <c r="C427" s="346"/>
      <c r="E427" s="253">
        <f>B427-Index_Returns!W427</f>
        <v>0.56144666666666665</v>
      </c>
    </row>
    <row r="428" spans="1:5" x14ac:dyDescent="0.2">
      <c r="A428" s="345">
        <v>40543</v>
      </c>
      <c r="B428" s="253">
        <f t="shared" si="0"/>
        <v>-1.3333333333333332E-2</v>
      </c>
      <c r="C428" s="346"/>
      <c r="E428" s="253">
        <f>B428-Index_Returns!W428</f>
        <v>1.0649866666666665</v>
      </c>
    </row>
  </sheetData>
  <phoneticPr fontId="3" type="noConversion"/>
  <printOptions headings="1" gridLines="1"/>
  <pageMargins left="0.78740157480314965" right="0.78740157480314965" top="0.78740157480314965" bottom="0.78740157480314965" header="0.39370078740157483" footer="0.39370078740157483"/>
  <pageSetup scale="13" orientation="portrait" r:id="rId1"/>
  <headerFooter alignWithMargins="0">
    <oddHeader>&amp;L&amp;A</oddHeader>
  </headerFooter>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FF0000"/>
    <pageSetUpPr fitToPage="1"/>
  </sheetPr>
  <dimension ref="A1:I428"/>
  <sheetViews>
    <sheetView workbookViewId="0">
      <pane xSplit="1" ySplit="2" topLeftCell="B380" activePane="bottomRight" state="frozen"/>
      <selection activeCell="D423" sqref="D423"/>
      <selection pane="topRight" activeCell="D423" sqref="D423"/>
      <selection pane="bottomLeft" activeCell="D423" sqref="D423"/>
      <selection pane="bottomRight" activeCell="D423" sqref="D423"/>
    </sheetView>
  </sheetViews>
  <sheetFormatPr defaultRowHeight="12.75" x14ac:dyDescent="0.2"/>
  <cols>
    <col min="1" max="1" width="18.7109375" style="21" customWidth="1"/>
    <col min="2" max="2" width="18.7109375" style="257" customWidth="1"/>
    <col min="3" max="3" width="18.7109375" style="5" customWidth="1"/>
    <col min="4" max="5" width="18.7109375" style="258" customWidth="1"/>
    <col min="6" max="6" width="12.85546875" bestFit="1" customWidth="1"/>
    <col min="7" max="8" width="9.140625" style="352"/>
  </cols>
  <sheetData>
    <row r="1" spans="1:5" x14ac:dyDescent="0.2">
      <c r="A1" s="265" t="s">
        <v>44</v>
      </c>
      <c r="B1" s="321" t="s">
        <v>507</v>
      </c>
      <c r="C1" s="964" t="s">
        <v>396</v>
      </c>
      <c r="D1" s="252">
        <v>12</v>
      </c>
      <c r="E1" s="74" t="s">
        <v>81</v>
      </c>
    </row>
    <row r="2" spans="1:5" x14ac:dyDescent="0.2">
      <c r="A2" s="3" t="s">
        <v>27</v>
      </c>
      <c r="B2" s="71" t="s">
        <v>91</v>
      </c>
      <c r="C2" s="3" t="s">
        <v>92</v>
      </c>
      <c r="D2" s="71" t="s">
        <v>90</v>
      </c>
      <c r="E2" s="71" t="s">
        <v>80</v>
      </c>
    </row>
    <row r="3" spans="1:5" x14ac:dyDescent="0.2">
      <c r="A3" s="345">
        <v>27606</v>
      </c>
      <c r="B3" s="71"/>
      <c r="C3" s="226"/>
      <c r="D3" s="71"/>
      <c r="E3" s="71"/>
    </row>
    <row r="4" spans="1:5" x14ac:dyDescent="0.2">
      <c r="A4" s="345">
        <v>27637</v>
      </c>
      <c r="B4" s="71"/>
      <c r="C4" s="226"/>
      <c r="D4" s="71"/>
      <c r="E4" s="71"/>
    </row>
    <row r="5" spans="1:5" x14ac:dyDescent="0.2">
      <c r="A5" s="345">
        <v>27667</v>
      </c>
      <c r="B5" s="71"/>
      <c r="C5" s="226"/>
      <c r="D5" s="71"/>
      <c r="E5" s="71"/>
    </row>
    <row r="6" spans="1:5" x14ac:dyDescent="0.2">
      <c r="A6" s="345">
        <v>27698</v>
      </c>
      <c r="B6" s="71"/>
      <c r="C6" s="226"/>
      <c r="D6" s="71"/>
      <c r="E6" s="71"/>
    </row>
    <row r="7" spans="1:5" x14ac:dyDescent="0.2">
      <c r="A7" s="345">
        <v>27728</v>
      </c>
      <c r="B7" s="71"/>
      <c r="C7" s="226"/>
      <c r="D7" s="71"/>
      <c r="E7" s="71"/>
    </row>
    <row r="8" spans="1:5" x14ac:dyDescent="0.2">
      <c r="A8" s="345">
        <v>27759</v>
      </c>
      <c r="B8" s="71"/>
      <c r="C8" s="226"/>
      <c r="D8" s="71"/>
      <c r="E8" s="71"/>
    </row>
    <row r="9" spans="1:5" x14ac:dyDescent="0.2">
      <c r="A9" s="345">
        <v>27790</v>
      </c>
      <c r="B9" s="71"/>
      <c r="C9" s="226"/>
      <c r="D9" s="71"/>
      <c r="E9" s="71"/>
    </row>
    <row r="10" spans="1:5" x14ac:dyDescent="0.2">
      <c r="A10" s="345">
        <v>27819</v>
      </c>
      <c r="B10" s="71"/>
      <c r="C10" s="226"/>
      <c r="D10" s="71"/>
      <c r="E10" s="71"/>
    </row>
    <row r="11" spans="1:5" x14ac:dyDescent="0.2">
      <c r="A11" s="345">
        <v>27850</v>
      </c>
      <c r="B11" s="71"/>
      <c r="C11" s="226"/>
      <c r="D11" s="71"/>
      <c r="E11" s="71"/>
    </row>
    <row r="12" spans="1:5" x14ac:dyDescent="0.2">
      <c r="A12" s="345">
        <v>27880</v>
      </c>
      <c r="B12" s="71"/>
      <c r="C12" s="226"/>
      <c r="D12" s="71"/>
      <c r="E12" s="71"/>
    </row>
    <row r="13" spans="1:5" x14ac:dyDescent="0.2">
      <c r="A13" s="345">
        <v>27911</v>
      </c>
      <c r="B13" s="71"/>
      <c r="C13" s="226"/>
      <c r="D13" s="71"/>
      <c r="E13" s="71"/>
    </row>
    <row r="14" spans="1:5" x14ac:dyDescent="0.2">
      <c r="A14" s="345">
        <v>27941</v>
      </c>
      <c r="B14" s="71"/>
      <c r="C14" s="226"/>
      <c r="D14" s="71"/>
      <c r="E14" s="71"/>
    </row>
    <row r="15" spans="1:5" x14ac:dyDescent="0.2">
      <c r="A15" s="345">
        <v>27972</v>
      </c>
      <c r="B15" s="71"/>
      <c r="C15" s="226"/>
      <c r="D15" s="71"/>
      <c r="E15" s="71"/>
    </row>
    <row r="16" spans="1:5"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8">
        <v>-1.67</v>
      </c>
      <c r="C147" s="29">
        <v>280015428.58999997</v>
      </c>
      <c r="D147" s="78"/>
      <c r="E147" s="78"/>
    </row>
    <row r="148" spans="1:5" x14ac:dyDescent="0.2">
      <c r="A148" s="345">
        <v>32020</v>
      </c>
      <c r="B148" s="78">
        <v>-1.67</v>
      </c>
      <c r="C148" s="29">
        <v>286244722.70999998</v>
      </c>
      <c r="D148" s="78"/>
      <c r="E148" s="78"/>
    </row>
    <row r="149" spans="1:5" x14ac:dyDescent="0.2">
      <c r="A149" s="345">
        <v>32050</v>
      </c>
      <c r="B149" s="78">
        <v>-1.67</v>
      </c>
      <c r="C149" s="29">
        <v>279891073.31</v>
      </c>
      <c r="D149" s="78"/>
      <c r="E149" s="78"/>
    </row>
    <row r="150" spans="1:5" x14ac:dyDescent="0.2">
      <c r="A150" s="345">
        <v>32081</v>
      </c>
      <c r="B150" s="78">
        <v>2.0699999999999998</v>
      </c>
      <c r="C150" s="29">
        <v>247892779.27000001</v>
      </c>
      <c r="D150" s="78"/>
      <c r="E150" s="78"/>
    </row>
    <row r="151" spans="1:5" x14ac:dyDescent="0.2">
      <c r="A151" s="345">
        <v>32111</v>
      </c>
      <c r="B151" s="78">
        <v>2.0699999999999998</v>
      </c>
      <c r="C151" s="29">
        <v>238935995.49000001</v>
      </c>
      <c r="D151" s="78"/>
      <c r="E151" s="78"/>
    </row>
    <row r="152" spans="1:5" x14ac:dyDescent="0.2">
      <c r="A152" s="345">
        <v>32142</v>
      </c>
      <c r="B152" s="78">
        <v>2.0699999999999998</v>
      </c>
      <c r="C152" s="29">
        <v>253588067.84999999</v>
      </c>
      <c r="D152" s="78"/>
      <c r="E152" s="78"/>
    </row>
    <row r="153" spans="1:5" x14ac:dyDescent="0.2">
      <c r="A153" s="345">
        <v>32173</v>
      </c>
      <c r="B153" s="78">
        <v>1.56</v>
      </c>
      <c r="C153" s="29">
        <v>261003028.77000001</v>
      </c>
      <c r="D153" s="78"/>
      <c r="E153" s="78"/>
    </row>
    <row r="154" spans="1:5" x14ac:dyDescent="0.2">
      <c r="A154" s="345">
        <v>32202</v>
      </c>
      <c r="B154" s="78">
        <v>1.56</v>
      </c>
      <c r="C154" s="29">
        <v>271481307.30000001</v>
      </c>
      <c r="D154" s="78"/>
      <c r="E154" s="78"/>
    </row>
    <row r="155" spans="1:5" x14ac:dyDescent="0.2">
      <c r="A155" s="345">
        <v>32233</v>
      </c>
      <c r="B155" s="78">
        <v>1.56</v>
      </c>
      <c r="C155" s="29">
        <v>270041909.57999998</v>
      </c>
      <c r="D155" s="78"/>
      <c r="E155" s="78"/>
    </row>
    <row r="156" spans="1:5" x14ac:dyDescent="0.2">
      <c r="A156" s="345">
        <v>32263</v>
      </c>
      <c r="B156" s="78">
        <v>0.26</v>
      </c>
      <c r="C156" s="29">
        <v>271134757.64999998</v>
      </c>
      <c r="D156" s="78"/>
      <c r="E156" s="78"/>
    </row>
    <row r="157" spans="1:5" x14ac:dyDescent="0.2">
      <c r="A157" s="345">
        <v>32294</v>
      </c>
      <c r="B157" s="78">
        <v>0.26</v>
      </c>
      <c r="C157" s="29">
        <v>271142329.67000002</v>
      </c>
      <c r="D157" s="78"/>
      <c r="E157" s="78"/>
    </row>
    <row r="158" spans="1:5" x14ac:dyDescent="0.2">
      <c r="A158" s="345">
        <v>32324</v>
      </c>
      <c r="B158" s="78">
        <v>0.26</v>
      </c>
      <c r="C158" s="29">
        <v>280789488.39999998</v>
      </c>
      <c r="D158" s="78"/>
      <c r="E158" s="78"/>
    </row>
    <row r="159" spans="1:5" x14ac:dyDescent="0.2">
      <c r="A159" s="345">
        <v>32355</v>
      </c>
      <c r="B159" s="78">
        <v>0.62</v>
      </c>
      <c r="C159" s="29">
        <v>278466130.38999999</v>
      </c>
      <c r="D159" s="78"/>
      <c r="E159" s="78"/>
    </row>
    <row r="160" spans="1:5" x14ac:dyDescent="0.2">
      <c r="A160" s="345">
        <v>32386</v>
      </c>
      <c r="B160" s="78">
        <v>0.62</v>
      </c>
      <c r="C160" s="29">
        <v>275052529.80000001</v>
      </c>
      <c r="D160" s="78"/>
      <c r="E160" s="78"/>
    </row>
    <row r="161" spans="1:5" x14ac:dyDescent="0.2">
      <c r="A161" s="345">
        <v>32416</v>
      </c>
      <c r="B161" s="78">
        <v>0.62</v>
      </c>
      <c r="C161" s="29">
        <v>282513703.81</v>
      </c>
      <c r="D161" s="78"/>
      <c r="E161" s="78"/>
    </row>
    <row r="162" spans="1:5" x14ac:dyDescent="0.2">
      <c r="A162" s="345">
        <v>32447</v>
      </c>
      <c r="B162" s="78">
        <v>0.31</v>
      </c>
      <c r="C162" s="29">
        <v>287530256.60000002</v>
      </c>
      <c r="D162" s="78"/>
      <c r="E162" s="78"/>
    </row>
    <row r="163" spans="1:5" x14ac:dyDescent="0.2">
      <c r="A163" s="345">
        <v>32477</v>
      </c>
      <c r="B163" s="78">
        <v>0.31</v>
      </c>
      <c r="C163" s="29">
        <v>284499649.00999999</v>
      </c>
      <c r="D163" s="78"/>
      <c r="E163" s="78"/>
    </row>
    <row r="164" spans="1:5" x14ac:dyDescent="0.2">
      <c r="A164" s="345">
        <v>32508</v>
      </c>
      <c r="B164" s="78">
        <v>0.31</v>
      </c>
      <c r="C164" s="29">
        <v>289262858.69999999</v>
      </c>
      <c r="D164" s="78"/>
      <c r="E164" s="78"/>
    </row>
    <row r="165" spans="1:5" x14ac:dyDescent="0.2">
      <c r="A165" s="345">
        <v>32539</v>
      </c>
      <c r="B165" s="78">
        <v>0.42</v>
      </c>
      <c r="C165" s="29">
        <v>299719819.73000002</v>
      </c>
      <c r="D165" s="78"/>
      <c r="E165" s="78"/>
    </row>
    <row r="166" spans="1:5" x14ac:dyDescent="0.2">
      <c r="A166" s="345">
        <v>32567</v>
      </c>
      <c r="B166" s="78">
        <v>0.42</v>
      </c>
      <c r="C166" s="29">
        <v>297625657.12</v>
      </c>
      <c r="D166" s="78"/>
      <c r="E166" s="78"/>
    </row>
    <row r="167" spans="1:5" x14ac:dyDescent="0.2">
      <c r="A167" s="345">
        <v>32598</v>
      </c>
      <c r="B167" s="78">
        <v>0.42</v>
      </c>
      <c r="C167" s="29">
        <v>301428300.91000003</v>
      </c>
      <c r="D167" s="78"/>
      <c r="E167" s="78"/>
    </row>
    <row r="168" spans="1:5" x14ac:dyDescent="0.2">
      <c r="A168" s="345">
        <v>32628</v>
      </c>
      <c r="B168" s="78">
        <v>2.61</v>
      </c>
      <c r="C168" s="29">
        <v>319403557.69</v>
      </c>
      <c r="D168" s="78"/>
      <c r="E168" s="78"/>
    </row>
    <row r="169" spans="1:5" x14ac:dyDescent="0.2">
      <c r="A169" s="345">
        <v>32659</v>
      </c>
      <c r="B169" s="78">
        <v>2.61</v>
      </c>
      <c r="C169" s="29">
        <v>447161110.26999998</v>
      </c>
      <c r="D169" s="78"/>
      <c r="E169" s="78"/>
    </row>
    <row r="170" spans="1:5" x14ac:dyDescent="0.2">
      <c r="A170" s="345">
        <v>32689</v>
      </c>
      <c r="B170" s="78">
        <v>2.61</v>
      </c>
      <c r="C170" s="29">
        <v>453812420.43000001</v>
      </c>
      <c r="D170" s="78"/>
      <c r="E170" s="78"/>
    </row>
    <row r="171" spans="1:5" x14ac:dyDescent="0.2">
      <c r="A171" s="345">
        <v>32720</v>
      </c>
      <c r="B171" s="78">
        <v>0.25</v>
      </c>
      <c r="C171" s="29">
        <v>477691622.87</v>
      </c>
      <c r="D171" s="78"/>
      <c r="E171" s="78"/>
    </row>
    <row r="172" spans="1:5" x14ac:dyDescent="0.2">
      <c r="A172" s="345">
        <v>32751</v>
      </c>
      <c r="B172" s="78">
        <v>0.25</v>
      </c>
      <c r="C172" s="29">
        <v>476434867.69</v>
      </c>
      <c r="D172" s="78"/>
      <c r="E172" s="78"/>
    </row>
    <row r="173" spans="1:5" x14ac:dyDescent="0.2">
      <c r="A173" s="345">
        <v>32781</v>
      </c>
      <c r="B173" s="78">
        <v>0.25</v>
      </c>
      <c r="C173" s="29">
        <v>478017400.91000003</v>
      </c>
      <c r="D173" s="78"/>
      <c r="E173" s="78"/>
    </row>
    <row r="174" spans="1:5" x14ac:dyDescent="0.2">
      <c r="A174" s="345">
        <v>32812</v>
      </c>
      <c r="B174" s="78">
        <v>1.24</v>
      </c>
      <c r="C174" s="29">
        <v>478231105.44999999</v>
      </c>
      <c r="D174" s="78"/>
      <c r="E174" s="78"/>
    </row>
    <row r="175" spans="1:5" x14ac:dyDescent="0.2">
      <c r="A175" s="345">
        <v>32842</v>
      </c>
      <c r="B175" s="78">
        <v>1.24</v>
      </c>
      <c r="C175" s="29">
        <v>486903253.56</v>
      </c>
      <c r="D175" s="78"/>
      <c r="E175" s="78"/>
    </row>
    <row r="176" spans="1:5" x14ac:dyDescent="0.2">
      <c r="A176" s="345">
        <v>32873</v>
      </c>
      <c r="B176" s="78">
        <v>1.24</v>
      </c>
      <c r="C176" s="29">
        <v>493816074.68000001</v>
      </c>
      <c r="D176" s="78"/>
      <c r="E176" s="78"/>
    </row>
    <row r="177" spans="1:5" x14ac:dyDescent="0.2">
      <c r="A177" s="345">
        <v>32904</v>
      </c>
      <c r="B177" s="78">
        <v>-0.16489999999999999</v>
      </c>
      <c r="C177" s="29">
        <v>211401329.03</v>
      </c>
      <c r="D177" s="78"/>
      <c r="E177" s="78"/>
    </row>
    <row r="178" spans="1:5" x14ac:dyDescent="0.2">
      <c r="A178" s="345">
        <v>32932</v>
      </c>
      <c r="B178" s="78">
        <v>-0.16489999999999999</v>
      </c>
      <c r="C178" s="29">
        <v>207529312.28999999</v>
      </c>
      <c r="D178" s="78"/>
      <c r="E178" s="78"/>
    </row>
    <row r="179" spans="1:5" x14ac:dyDescent="0.2">
      <c r="A179" s="345">
        <v>32963</v>
      </c>
      <c r="B179" s="78">
        <v>-0.16689999999999999</v>
      </c>
      <c r="C179" s="29">
        <v>205986980.96000001</v>
      </c>
      <c r="D179" s="78"/>
      <c r="E179" s="78"/>
    </row>
    <row r="180" spans="1:5" x14ac:dyDescent="0.2">
      <c r="A180" s="345">
        <v>32993</v>
      </c>
      <c r="B180" s="78">
        <v>1.2081999999999999</v>
      </c>
      <c r="C180" s="29">
        <v>208713438.34</v>
      </c>
      <c r="D180" s="78"/>
      <c r="E180" s="78"/>
    </row>
    <row r="181" spans="1:5" x14ac:dyDescent="0.2">
      <c r="A181" s="345">
        <v>33024</v>
      </c>
      <c r="B181" s="78">
        <v>1.2081999999999999</v>
      </c>
      <c r="C181" s="29">
        <v>208713438.34</v>
      </c>
      <c r="D181" s="78"/>
      <c r="E181" s="78"/>
    </row>
    <row r="182" spans="1:5" x14ac:dyDescent="0.2">
      <c r="A182" s="345">
        <v>33054</v>
      </c>
      <c r="B182" s="78">
        <v>1.2081999999999999</v>
      </c>
      <c r="C182" s="29">
        <v>208713438.34</v>
      </c>
      <c r="D182" s="78"/>
      <c r="E182" s="78"/>
    </row>
    <row r="183" spans="1:5" x14ac:dyDescent="0.2">
      <c r="A183" s="345">
        <v>33085</v>
      </c>
      <c r="B183" s="78">
        <v>0.32300000000000001</v>
      </c>
      <c r="C183" s="29">
        <v>209173122.21000001</v>
      </c>
      <c r="D183" s="78"/>
      <c r="E183" s="78"/>
    </row>
    <row r="184" spans="1:5" x14ac:dyDescent="0.2">
      <c r="A184" s="345">
        <v>33116</v>
      </c>
      <c r="B184" s="78">
        <v>0.32300000000000001</v>
      </c>
      <c r="C184" s="29">
        <v>209173122.21000001</v>
      </c>
      <c r="D184" s="78"/>
      <c r="E184" s="78"/>
    </row>
    <row r="185" spans="1:5" x14ac:dyDescent="0.2">
      <c r="A185" s="345">
        <v>33146</v>
      </c>
      <c r="B185" s="78">
        <v>0.32300000000000001</v>
      </c>
      <c r="C185" s="29">
        <v>209173122.21000001</v>
      </c>
      <c r="D185" s="78"/>
      <c r="E185" s="78"/>
    </row>
    <row r="186" spans="1:5" x14ac:dyDescent="0.2">
      <c r="A186" s="345">
        <v>33177</v>
      </c>
      <c r="B186" s="78">
        <v>1.7621000000000002</v>
      </c>
      <c r="C186" s="29">
        <v>220456866.13999999</v>
      </c>
      <c r="D186" s="78"/>
      <c r="E186" s="78"/>
    </row>
    <row r="187" spans="1:5" x14ac:dyDescent="0.2">
      <c r="A187" s="345">
        <v>33207</v>
      </c>
      <c r="B187" s="78">
        <v>1.7621000000000002</v>
      </c>
      <c r="C187" s="29">
        <v>220456866.13999999</v>
      </c>
      <c r="D187" s="78"/>
      <c r="E187" s="78"/>
    </row>
    <row r="188" spans="1:5" x14ac:dyDescent="0.2">
      <c r="A188" s="345">
        <v>33238</v>
      </c>
      <c r="B188" s="78">
        <v>1.7621000000000002</v>
      </c>
      <c r="C188" s="29">
        <v>220456866.13999999</v>
      </c>
      <c r="D188" s="78"/>
      <c r="E188" s="78"/>
    </row>
    <row r="189" spans="1:5" x14ac:dyDescent="0.2">
      <c r="A189" s="345">
        <v>33269</v>
      </c>
      <c r="B189" s="78">
        <v>0.76980000000000004</v>
      </c>
      <c r="C189" s="29">
        <v>225665384.12</v>
      </c>
      <c r="D189" s="78"/>
      <c r="E189" s="78"/>
    </row>
    <row r="190" spans="1:5" x14ac:dyDescent="0.2">
      <c r="A190" s="345">
        <v>33297</v>
      </c>
      <c r="B190" s="78">
        <v>0.76980000000000004</v>
      </c>
      <c r="C190" s="29">
        <v>225665384.12</v>
      </c>
      <c r="D190" s="78"/>
      <c r="E190" s="78"/>
    </row>
    <row r="191" spans="1:5" x14ac:dyDescent="0.2">
      <c r="A191" s="345">
        <v>33328</v>
      </c>
      <c r="B191" s="78">
        <v>0.76980000000000004</v>
      </c>
      <c r="C191" s="29">
        <v>225665384.12</v>
      </c>
      <c r="D191" s="78"/>
      <c r="E191" s="78"/>
    </row>
    <row r="192" spans="1:5" x14ac:dyDescent="0.2">
      <c r="A192" s="345">
        <v>33358</v>
      </c>
      <c r="B192" s="78">
        <v>0.46029999999999993</v>
      </c>
      <c r="C192" s="29">
        <v>228876126.13</v>
      </c>
      <c r="D192" s="78"/>
      <c r="E192" s="78"/>
    </row>
    <row r="193" spans="1:5" x14ac:dyDescent="0.2">
      <c r="A193" s="345">
        <v>33389</v>
      </c>
      <c r="B193" s="78">
        <v>0.46029999999999993</v>
      </c>
      <c r="C193" s="29">
        <v>228876126.13</v>
      </c>
      <c r="D193" s="78"/>
      <c r="E193" s="78"/>
    </row>
    <row r="194" spans="1:5" x14ac:dyDescent="0.2">
      <c r="A194" s="345">
        <v>33419</v>
      </c>
      <c r="B194" s="78">
        <v>0.46029999999999993</v>
      </c>
      <c r="C194" s="29">
        <v>228876126.13</v>
      </c>
      <c r="D194" s="78"/>
      <c r="E194" s="78"/>
    </row>
    <row r="195" spans="1:5" x14ac:dyDescent="0.2">
      <c r="A195" s="345">
        <v>33450</v>
      </c>
      <c r="B195" s="78">
        <v>1.9018999999999997</v>
      </c>
      <c r="C195" s="29">
        <v>284584733.55000001</v>
      </c>
      <c r="D195" s="78"/>
      <c r="E195" s="78"/>
    </row>
    <row r="196" spans="1:5" x14ac:dyDescent="0.2">
      <c r="A196" s="345">
        <v>33481</v>
      </c>
      <c r="B196" s="78">
        <v>1.9018999999999997</v>
      </c>
      <c r="C196" s="29">
        <v>284584733.55000001</v>
      </c>
      <c r="D196" s="78"/>
      <c r="E196" s="78"/>
    </row>
    <row r="197" spans="1:5" x14ac:dyDescent="0.2">
      <c r="A197" s="345">
        <v>33511</v>
      </c>
      <c r="B197" s="78">
        <v>1.9018999999999997</v>
      </c>
      <c r="C197" s="29">
        <v>284584733.55000001</v>
      </c>
      <c r="D197" s="78"/>
      <c r="E197" s="78"/>
    </row>
    <row r="198" spans="1:5" x14ac:dyDescent="0.2">
      <c r="A198" s="345">
        <v>33542</v>
      </c>
      <c r="B198" s="78">
        <v>1.9469000000000001</v>
      </c>
      <c r="C198" s="29">
        <v>301641275.67000002</v>
      </c>
      <c r="D198" s="78"/>
      <c r="E198" s="78"/>
    </row>
    <row r="199" spans="1:5" x14ac:dyDescent="0.2">
      <c r="A199" s="345">
        <v>33572</v>
      </c>
      <c r="B199" s="78">
        <v>1.9469000000000001</v>
      </c>
      <c r="C199" s="29">
        <v>301641275.67000002</v>
      </c>
      <c r="D199" s="78"/>
      <c r="E199" s="78"/>
    </row>
    <row r="200" spans="1:5" x14ac:dyDescent="0.2">
      <c r="A200" s="345">
        <v>33603</v>
      </c>
      <c r="B200" s="78">
        <v>1.9469000000000001</v>
      </c>
      <c r="C200" s="29">
        <v>301641275.67000002</v>
      </c>
      <c r="D200" s="78"/>
      <c r="E200" s="78"/>
    </row>
    <row r="201" spans="1:5" x14ac:dyDescent="0.2">
      <c r="A201" s="345">
        <v>33634</v>
      </c>
      <c r="B201" s="78">
        <v>-0.74390000000000001</v>
      </c>
      <c r="C201" s="29">
        <v>295075280.47000003</v>
      </c>
      <c r="D201" s="78"/>
      <c r="E201" s="78"/>
    </row>
    <row r="202" spans="1:5" x14ac:dyDescent="0.2">
      <c r="A202" s="345">
        <v>33663</v>
      </c>
      <c r="B202" s="78">
        <v>-0.74390000000000001</v>
      </c>
      <c r="C202" s="29">
        <v>295075280.47000003</v>
      </c>
      <c r="D202" s="78"/>
      <c r="E202" s="78"/>
    </row>
    <row r="203" spans="1:5" x14ac:dyDescent="0.2">
      <c r="A203" s="345">
        <v>33694</v>
      </c>
      <c r="B203" s="78">
        <v>-0.74390000000000001</v>
      </c>
      <c r="C203" s="29">
        <v>295075280.47000003</v>
      </c>
      <c r="D203" s="78"/>
      <c r="E203" s="78"/>
    </row>
    <row r="204" spans="1:5" x14ac:dyDescent="0.2">
      <c r="A204" s="345">
        <v>33724</v>
      </c>
      <c r="B204" s="78">
        <v>1.4635</v>
      </c>
      <c r="C204" s="29">
        <v>308303949.85000002</v>
      </c>
      <c r="D204" s="78"/>
      <c r="E204" s="78"/>
    </row>
    <row r="205" spans="1:5" x14ac:dyDescent="0.2">
      <c r="A205" s="345">
        <v>33755</v>
      </c>
      <c r="B205" s="78">
        <v>1.4635</v>
      </c>
      <c r="C205" s="29">
        <v>308303949.85000002</v>
      </c>
      <c r="D205" s="78"/>
      <c r="E205" s="78"/>
    </row>
    <row r="206" spans="1:5" x14ac:dyDescent="0.2">
      <c r="A206" s="345">
        <v>33785</v>
      </c>
      <c r="B206" s="78">
        <v>1.4635</v>
      </c>
      <c r="C206" s="29">
        <v>308303949.85000002</v>
      </c>
      <c r="D206" s="78"/>
      <c r="E206" s="78"/>
    </row>
    <row r="207" spans="1:5" x14ac:dyDescent="0.2">
      <c r="A207" s="345">
        <v>33816</v>
      </c>
      <c r="B207" s="78">
        <v>1.5282</v>
      </c>
      <c r="C207" s="29">
        <v>314228338.19</v>
      </c>
      <c r="D207" s="78"/>
      <c r="E207" s="78"/>
    </row>
    <row r="208" spans="1:5" x14ac:dyDescent="0.2">
      <c r="A208" s="345">
        <v>33847</v>
      </c>
      <c r="B208" s="78">
        <v>1.5282</v>
      </c>
      <c r="C208" s="29">
        <v>319059612.08999997</v>
      </c>
      <c r="D208" s="78"/>
      <c r="E208" s="78"/>
    </row>
    <row r="209" spans="1:5" x14ac:dyDescent="0.2">
      <c r="A209" s="345">
        <v>33877</v>
      </c>
      <c r="B209" s="78">
        <v>1.5282</v>
      </c>
      <c r="C209" s="29">
        <v>323905394.31999999</v>
      </c>
      <c r="D209" s="78"/>
      <c r="E209" s="78"/>
    </row>
    <row r="210" spans="1:5" x14ac:dyDescent="0.2">
      <c r="A210" s="345">
        <v>33908</v>
      </c>
      <c r="B210" s="78">
        <v>-9.1800000000000007E-2</v>
      </c>
      <c r="C210" s="29">
        <v>319572842.02999997</v>
      </c>
      <c r="D210" s="78"/>
      <c r="E210" s="78"/>
    </row>
    <row r="211" spans="1:5" x14ac:dyDescent="0.2">
      <c r="A211" s="345">
        <v>33938</v>
      </c>
      <c r="B211" s="78">
        <v>-9.1800000000000007E-2</v>
      </c>
      <c r="C211" s="29">
        <v>294353701.69</v>
      </c>
      <c r="D211" s="78"/>
      <c r="E211" s="78"/>
    </row>
    <row r="212" spans="1:5" x14ac:dyDescent="0.2">
      <c r="A212" s="345">
        <v>33969</v>
      </c>
      <c r="B212" s="78">
        <v>-9.1800000000000007E-2</v>
      </c>
      <c r="C212" s="29">
        <v>323109322.52999997</v>
      </c>
      <c r="D212" s="78"/>
      <c r="E212" s="78"/>
    </row>
    <row r="213" spans="1:5" x14ac:dyDescent="0.2">
      <c r="A213" s="345">
        <v>34000</v>
      </c>
      <c r="B213" s="78">
        <v>1.3759999999999999</v>
      </c>
      <c r="C213" s="29">
        <v>327908189.12</v>
      </c>
      <c r="D213" s="78"/>
      <c r="E213" s="78"/>
    </row>
    <row r="214" spans="1:5" x14ac:dyDescent="0.2">
      <c r="A214" s="345">
        <v>34028</v>
      </c>
      <c r="B214" s="78">
        <v>1.3759999999999999</v>
      </c>
      <c r="C214" s="29">
        <v>332707055.70999998</v>
      </c>
      <c r="D214" s="78"/>
      <c r="E214" s="78"/>
    </row>
    <row r="215" spans="1:5" x14ac:dyDescent="0.2">
      <c r="A215" s="345">
        <v>34059</v>
      </c>
      <c r="B215" s="78">
        <v>1.3759999999999999</v>
      </c>
      <c r="C215" s="29">
        <v>337520333.31999999</v>
      </c>
      <c r="D215" s="78"/>
      <c r="E215" s="78"/>
    </row>
    <row r="216" spans="1:5" x14ac:dyDescent="0.2">
      <c r="A216" s="345">
        <v>34089</v>
      </c>
      <c r="B216" s="78">
        <v>0.91660000000000008</v>
      </c>
      <c r="C216" s="29">
        <v>339962825.44</v>
      </c>
      <c r="D216" s="78"/>
      <c r="E216" s="78"/>
    </row>
    <row r="217" spans="1:5" x14ac:dyDescent="0.2">
      <c r="A217" s="345">
        <v>34120</v>
      </c>
      <c r="B217" s="78">
        <v>0.91660000000000008</v>
      </c>
      <c r="C217" s="29">
        <v>343110145.31999999</v>
      </c>
      <c r="D217" s="78"/>
      <c r="E217" s="78"/>
    </row>
    <row r="218" spans="1:5" x14ac:dyDescent="0.2">
      <c r="A218" s="345">
        <v>34150</v>
      </c>
      <c r="B218" s="78">
        <v>0.91660000000000008</v>
      </c>
      <c r="C218" s="29">
        <v>346266916.61000001</v>
      </c>
      <c r="D218" s="78"/>
      <c r="E218" s="78"/>
    </row>
    <row r="219" spans="1:5" x14ac:dyDescent="0.2">
      <c r="A219" s="345">
        <v>34181</v>
      </c>
      <c r="B219" s="78">
        <v>0.96240000000000003</v>
      </c>
      <c r="C219" s="29">
        <v>348640068.13</v>
      </c>
      <c r="D219" s="78"/>
      <c r="E219" s="78"/>
    </row>
    <row r="220" spans="1:5" x14ac:dyDescent="0.2">
      <c r="A220" s="345">
        <v>34212</v>
      </c>
      <c r="B220" s="78">
        <v>0.96240000000000003</v>
      </c>
      <c r="C220" s="29">
        <v>355202836.25999999</v>
      </c>
      <c r="D220" s="78"/>
      <c r="E220" s="78"/>
    </row>
    <row r="221" spans="1:5" x14ac:dyDescent="0.2">
      <c r="A221" s="345">
        <v>34242</v>
      </c>
      <c r="B221" s="78">
        <v>0.96240000000000003</v>
      </c>
      <c r="C221" s="29">
        <v>357182354.49000001</v>
      </c>
      <c r="D221" s="78"/>
      <c r="E221" s="78"/>
    </row>
    <row r="222" spans="1:5" x14ac:dyDescent="0.2">
      <c r="A222" s="345">
        <v>34273</v>
      </c>
      <c r="B222" s="78">
        <v>3.8300000000000001E-2</v>
      </c>
      <c r="C222" s="29">
        <v>357116229.81</v>
      </c>
      <c r="D222" s="78"/>
      <c r="E222" s="78"/>
    </row>
    <row r="223" spans="1:5" x14ac:dyDescent="0.2">
      <c r="A223" s="345">
        <v>34303</v>
      </c>
      <c r="B223" s="78">
        <v>3.8300000000000001E-2</v>
      </c>
      <c r="C223" s="29">
        <v>355604504.94999999</v>
      </c>
      <c r="D223" s="78"/>
      <c r="E223" s="78"/>
    </row>
    <row r="224" spans="1:5" x14ac:dyDescent="0.2">
      <c r="A224" s="345">
        <v>34334</v>
      </c>
      <c r="B224" s="78">
        <v>3.8300000000000001E-2</v>
      </c>
      <c r="C224" s="29">
        <v>357477334.86000001</v>
      </c>
      <c r="D224" s="78"/>
      <c r="E224" s="78"/>
    </row>
    <row r="225" spans="1:5" x14ac:dyDescent="0.2">
      <c r="A225" s="345">
        <v>34365</v>
      </c>
      <c r="B225" s="78">
        <v>-0.65600000000000003</v>
      </c>
      <c r="C225" s="29">
        <v>363440174.98000002</v>
      </c>
      <c r="D225" s="78"/>
      <c r="E225" s="78"/>
    </row>
    <row r="226" spans="1:5" x14ac:dyDescent="0.2">
      <c r="A226" s="345">
        <v>34393</v>
      </c>
      <c r="B226" s="78">
        <v>-0.65600000000000003</v>
      </c>
      <c r="C226" s="29">
        <v>399831051.49000001</v>
      </c>
      <c r="D226" s="78"/>
      <c r="E226" s="78"/>
    </row>
    <row r="227" spans="1:5" x14ac:dyDescent="0.2">
      <c r="A227" s="345">
        <v>34424</v>
      </c>
      <c r="B227" s="78">
        <v>-0.65600000000000003</v>
      </c>
      <c r="C227" s="29">
        <v>390700901.80000001</v>
      </c>
      <c r="D227" s="78"/>
      <c r="E227" s="78"/>
    </row>
    <row r="228" spans="1:5" x14ac:dyDescent="0.2">
      <c r="A228" s="345">
        <v>34454</v>
      </c>
      <c r="B228" s="78">
        <v>-0.11509999999999999</v>
      </c>
      <c r="C228" s="29">
        <v>388581691.50999999</v>
      </c>
      <c r="D228" s="78"/>
      <c r="E228" s="78"/>
    </row>
    <row r="229" spans="1:5" x14ac:dyDescent="0.2">
      <c r="A229" s="345">
        <v>34485</v>
      </c>
      <c r="B229" s="78">
        <v>-0.11509999999999999</v>
      </c>
      <c r="C229" s="29">
        <v>389160519.19</v>
      </c>
      <c r="D229" s="78"/>
      <c r="E229" s="78"/>
    </row>
    <row r="230" spans="1:5" x14ac:dyDescent="0.2">
      <c r="A230" s="345">
        <v>34515</v>
      </c>
      <c r="B230" s="78">
        <v>-0.11509999999999999</v>
      </c>
      <c r="C230" s="29">
        <v>389759399.62</v>
      </c>
      <c r="D230" s="78"/>
      <c r="E230" s="78"/>
    </row>
    <row r="231" spans="1:5" x14ac:dyDescent="0.2">
      <c r="A231" s="345">
        <v>34546</v>
      </c>
      <c r="B231" s="78">
        <v>5.5E-2</v>
      </c>
      <c r="C231" s="29">
        <v>394570343.41000003</v>
      </c>
      <c r="D231" s="78"/>
      <c r="E231" s="78"/>
    </row>
    <row r="232" spans="1:5" x14ac:dyDescent="0.2">
      <c r="A232" s="345">
        <v>34577</v>
      </c>
      <c r="B232" s="78">
        <v>5.5E-2</v>
      </c>
      <c r="C232" s="29">
        <v>394949708.98000002</v>
      </c>
      <c r="D232" s="78"/>
      <c r="E232" s="78"/>
    </row>
    <row r="233" spans="1:5" x14ac:dyDescent="0.2">
      <c r="A233" s="345">
        <v>34607</v>
      </c>
      <c r="B233" s="78">
        <v>5.5E-2</v>
      </c>
      <c r="C233" s="29">
        <v>390538721.20999998</v>
      </c>
      <c r="D233" s="78"/>
      <c r="E233" s="78"/>
    </row>
    <row r="234" spans="1:5" x14ac:dyDescent="0.2">
      <c r="A234" s="345">
        <v>34638</v>
      </c>
      <c r="B234" s="78">
        <v>0.22450000000000001</v>
      </c>
      <c r="C234" s="29">
        <v>390750743.88</v>
      </c>
      <c r="D234" s="78"/>
      <c r="E234" s="78"/>
    </row>
    <row r="235" spans="1:5" x14ac:dyDescent="0.2">
      <c r="A235" s="345">
        <v>34668</v>
      </c>
      <c r="B235" s="78">
        <v>0.22450000000000001</v>
      </c>
      <c r="C235" s="29">
        <v>390357171.70999998</v>
      </c>
      <c r="D235" s="78"/>
      <c r="E235" s="78"/>
    </row>
    <row r="236" spans="1:5" x14ac:dyDescent="0.2">
      <c r="A236" s="345">
        <v>34699</v>
      </c>
      <c r="B236" s="78">
        <v>0.22450000000000001</v>
      </c>
      <c r="C236" s="29">
        <v>393204504.32999998</v>
      </c>
      <c r="D236" s="78"/>
      <c r="E236" s="78"/>
    </row>
    <row r="237" spans="1:5" x14ac:dyDescent="0.2">
      <c r="A237" s="345">
        <v>34730</v>
      </c>
      <c r="B237" s="78">
        <v>1.4829000000000001</v>
      </c>
      <c r="C237" s="29">
        <v>399998813.80000001</v>
      </c>
      <c r="D237" s="78"/>
      <c r="E237" s="78"/>
    </row>
    <row r="238" spans="1:5" x14ac:dyDescent="0.2">
      <c r="A238" s="345">
        <v>34758</v>
      </c>
      <c r="B238" s="78">
        <v>1.4829000000000001</v>
      </c>
      <c r="C238" s="29">
        <v>408086606.13999999</v>
      </c>
      <c r="D238" s="78"/>
      <c r="E238" s="78"/>
    </row>
    <row r="239" spans="1:5" x14ac:dyDescent="0.2">
      <c r="A239" s="345">
        <v>34789</v>
      </c>
      <c r="B239" s="78">
        <v>1.4829000000000001</v>
      </c>
      <c r="C239" s="29">
        <v>411034780.25999999</v>
      </c>
      <c r="D239" s="78"/>
      <c r="E239" s="78"/>
    </row>
    <row r="240" spans="1:5" x14ac:dyDescent="0.2">
      <c r="A240" s="345">
        <v>34819</v>
      </c>
      <c r="B240" s="78">
        <v>2.0238</v>
      </c>
      <c r="C240" s="29">
        <v>416764071.31</v>
      </c>
      <c r="D240" s="78"/>
      <c r="E240" s="78"/>
    </row>
    <row r="241" spans="1:5" x14ac:dyDescent="0.2">
      <c r="A241" s="345">
        <v>34850</v>
      </c>
      <c r="B241" s="78">
        <v>2.0238</v>
      </c>
      <c r="C241" s="29">
        <v>433244339.52999997</v>
      </c>
      <c r="D241" s="78"/>
      <c r="E241" s="78"/>
    </row>
    <row r="242" spans="1:5" x14ac:dyDescent="0.2">
      <c r="A242" s="345">
        <v>34880</v>
      </c>
      <c r="B242" s="78">
        <v>2.0238</v>
      </c>
      <c r="C242" s="29">
        <v>436599576.31999999</v>
      </c>
      <c r="D242" s="78"/>
      <c r="E242" s="78"/>
    </row>
    <row r="243" spans="1:5" x14ac:dyDescent="0.2">
      <c r="A243" s="345">
        <v>34911</v>
      </c>
      <c r="B243" s="78">
        <v>0.48929999999999996</v>
      </c>
      <c r="C243" s="29">
        <v>435493463.38999999</v>
      </c>
      <c r="D243" s="78"/>
      <c r="E243" s="78"/>
    </row>
    <row r="244" spans="1:5" x14ac:dyDescent="0.2">
      <c r="A244" s="345">
        <v>34942</v>
      </c>
      <c r="B244" s="78">
        <v>0.48929999999999996</v>
      </c>
      <c r="C244" s="29">
        <v>441409094.63</v>
      </c>
      <c r="D244" s="78"/>
      <c r="E244" s="78"/>
    </row>
    <row r="245" spans="1:5" x14ac:dyDescent="0.2">
      <c r="A245" s="345">
        <v>34972</v>
      </c>
      <c r="B245" s="78">
        <v>0.48929999999999996</v>
      </c>
      <c r="C245" s="29">
        <v>443145853.02999997</v>
      </c>
      <c r="D245" s="78"/>
      <c r="E245" s="78"/>
    </row>
    <row r="246" spans="1:5" x14ac:dyDescent="0.2">
      <c r="A246" s="345">
        <v>35003</v>
      </c>
      <c r="B246" s="78">
        <v>1.6445000000000001</v>
      </c>
      <c r="C246" s="29">
        <v>451641431.12</v>
      </c>
      <c r="D246" s="78"/>
      <c r="E246" s="78"/>
    </row>
    <row r="247" spans="1:5" x14ac:dyDescent="0.2">
      <c r="A247" s="345">
        <v>35033</v>
      </c>
      <c r="B247" s="78">
        <v>1.6445000000000001</v>
      </c>
      <c r="C247" s="29">
        <v>458741861.89999998</v>
      </c>
      <c r="D247" s="78"/>
      <c r="E247" s="78"/>
    </row>
    <row r="248" spans="1:5" x14ac:dyDescent="0.2">
      <c r="A248" s="345">
        <v>35064</v>
      </c>
      <c r="B248" s="78">
        <v>1.6445000000000001</v>
      </c>
      <c r="C248" s="29">
        <v>465488751.49000001</v>
      </c>
      <c r="D248" s="78"/>
      <c r="E248" s="78"/>
    </row>
    <row r="249" spans="1:5" x14ac:dyDescent="0.2">
      <c r="A249" s="345">
        <v>35095</v>
      </c>
      <c r="B249" s="78">
        <v>-0.73029999999999995</v>
      </c>
      <c r="C249" s="29">
        <v>468046631.16000003</v>
      </c>
      <c r="D249" s="78"/>
      <c r="E249" s="78"/>
    </row>
    <row r="250" spans="1:5" x14ac:dyDescent="0.2">
      <c r="A250" s="345">
        <v>35124</v>
      </c>
      <c r="B250" s="78">
        <v>-0.73029999999999995</v>
      </c>
      <c r="C250" s="29">
        <v>458662980.67000002</v>
      </c>
      <c r="D250" s="78"/>
      <c r="E250" s="78"/>
    </row>
    <row r="251" spans="1:5" x14ac:dyDescent="0.2">
      <c r="A251" s="345">
        <v>35155</v>
      </c>
      <c r="B251" s="78">
        <v>-0.73029999999999995</v>
      </c>
      <c r="C251" s="29">
        <v>455415579.02999997</v>
      </c>
      <c r="D251" s="78"/>
      <c r="E251" s="78"/>
    </row>
    <row r="252" spans="1:5" x14ac:dyDescent="0.2">
      <c r="A252" s="345">
        <v>35185</v>
      </c>
      <c r="B252" s="78">
        <v>0.2676</v>
      </c>
      <c r="C252" s="29">
        <v>452887697.43000001</v>
      </c>
      <c r="D252" s="78"/>
      <c r="E252" s="78"/>
    </row>
    <row r="253" spans="1:5" x14ac:dyDescent="0.2">
      <c r="A253" s="345">
        <v>35216</v>
      </c>
      <c r="B253" s="78">
        <v>0.2676</v>
      </c>
      <c r="C253" s="29">
        <v>452995156.75999999</v>
      </c>
      <c r="D253" s="78"/>
      <c r="E253" s="78"/>
    </row>
    <row r="254" spans="1:5" x14ac:dyDescent="0.2">
      <c r="A254" s="345">
        <v>35246</v>
      </c>
      <c r="B254" s="78">
        <v>0.2676</v>
      </c>
      <c r="C254" s="29">
        <v>459166819.31999999</v>
      </c>
      <c r="D254" s="78"/>
      <c r="E254" s="78"/>
    </row>
    <row r="255" spans="1:5" x14ac:dyDescent="0.2">
      <c r="A255" s="345">
        <v>35277</v>
      </c>
      <c r="B255" s="78">
        <v>0.54869999999999997</v>
      </c>
      <c r="C255" s="29">
        <v>460168653.07999998</v>
      </c>
      <c r="D255" s="78"/>
      <c r="E255" s="78"/>
    </row>
    <row r="256" spans="1:5" x14ac:dyDescent="0.2">
      <c r="A256" s="345">
        <v>35308</v>
      </c>
      <c r="B256" s="78">
        <v>0.54869999999999997</v>
      </c>
      <c r="C256" s="29">
        <v>459603852.83999997</v>
      </c>
      <c r="D256" s="78"/>
      <c r="E256" s="78"/>
    </row>
    <row r="257" spans="1:5" x14ac:dyDescent="0.2">
      <c r="A257" s="345">
        <v>35338</v>
      </c>
      <c r="B257" s="78">
        <v>0.54869999999999997</v>
      </c>
      <c r="C257" s="29">
        <v>466814251.25</v>
      </c>
      <c r="D257" s="78"/>
      <c r="E257" s="78"/>
    </row>
    <row r="258" spans="1:5" x14ac:dyDescent="0.2">
      <c r="A258" s="345">
        <v>35369</v>
      </c>
      <c r="B258" s="78">
        <v>0.95580000000000009</v>
      </c>
      <c r="C258" s="29">
        <v>476924075.76999998</v>
      </c>
      <c r="D258" s="78"/>
      <c r="E258" s="78"/>
    </row>
    <row r="259" spans="1:5" x14ac:dyDescent="0.2">
      <c r="A259" s="345">
        <v>35399</v>
      </c>
      <c r="B259" s="78">
        <v>0.95580000000000009</v>
      </c>
      <c r="C259" s="29">
        <v>484858625.80000001</v>
      </c>
      <c r="D259" s="78"/>
      <c r="E259" s="78"/>
    </row>
    <row r="260" spans="1:5" x14ac:dyDescent="0.2">
      <c r="A260" s="345">
        <v>35430</v>
      </c>
      <c r="B260" s="78">
        <v>0.95580000000000009</v>
      </c>
      <c r="C260" s="29">
        <v>480522556.73000002</v>
      </c>
      <c r="D260" s="78"/>
      <c r="E260" s="78"/>
    </row>
    <row r="261" spans="1:5" x14ac:dyDescent="0.2">
      <c r="A261" s="345">
        <v>35461</v>
      </c>
      <c r="B261" s="78">
        <v>0.2883</v>
      </c>
      <c r="C261" s="29">
        <v>482008104.43000001</v>
      </c>
      <c r="D261" s="78"/>
      <c r="E261" s="78">
        <f>B261-Index_Returns!W261</f>
        <v>-1.7900000000000027E-2</v>
      </c>
    </row>
    <row r="262" spans="1:5" x14ac:dyDescent="0.2">
      <c r="A262" s="345">
        <v>35489</v>
      </c>
      <c r="B262" s="78">
        <v>0.27829999999999999</v>
      </c>
      <c r="C262" s="29">
        <v>483353564.85000002</v>
      </c>
      <c r="D262" s="78"/>
      <c r="E262" s="78">
        <f>B262-Index_Returns!W262</f>
        <v>2.9499999999999998E-2</v>
      </c>
    </row>
    <row r="263" spans="1:5" x14ac:dyDescent="0.2">
      <c r="A263" s="345">
        <v>35520</v>
      </c>
      <c r="B263" s="78">
        <v>-0.94169999999999998</v>
      </c>
      <c r="C263" s="29">
        <v>478844522.92000002</v>
      </c>
      <c r="D263" s="78"/>
      <c r="E263" s="78">
        <f>B263-Index_Returns!W263</f>
        <v>0.16650000000000009</v>
      </c>
    </row>
    <row r="264" spans="1:5" x14ac:dyDescent="0.2">
      <c r="A264" s="345">
        <v>35550</v>
      </c>
      <c r="B264" s="78">
        <v>1.2383</v>
      </c>
      <c r="C264" s="29">
        <v>484801108</v>
      </c>
      <c r="D264" s="78"/>
      <c r="E264" s="78">
        <f>B264-Index_Returns!W264</f>
        <v>-0.25859999999999994</v>
      </c>
    </row>
    <row r="265" spans="1:5" x14ac:dyDescent="0.2">
      <c r="A265" s="345">
        <v>35581</v>
      </c>
      <c r="B265" s="78">
        <v>0.87829999999999986</v>
      </c>
      <c r="C265" s="29">
        <v>489082204.89999998</v>
      </c>
      <c r="D265" s="78"/>
      <c r="E265" s="78">
        <f>B265-Index_Returns!W265</f>
        <v>-6.7000000000000171E-2</v>
      </c>
    </row>
    <row r="266" spans="1:5" x14ac:dyDescent="0.2">
      <c r="A266" s="345">
        <v>35611</v>
      </c>
      <c r="B266" s="78">
        <v>1.1982999999999999</v>
      </c>
      <c r="C266" s="29">
        <v>495021534.56999999</v>
      </c>
      <c r="D266" s="78"/>
      <c r="E266" s="78">
        <f>B266-Index_Returns!W266</f>
        <v>1.1399999999999855E-2</v>
      </c>
    </row>
    <row r="267" spans="1:5" x14ac:dyDescent="0.2">
      <c r="A267" s="345">
        <v>35642</v>
      </c>
      <c r="B267" s="78">
        <v>2.7583000000000002</v>
      </c>
      <c r="C267" s="29">
        <v>508784156.14999998</v>
      </c>
      <c r="D267" s="78"/>
      <c r="E267" s="78">
        <f>B267-Index_Returns!W267</f>
        <v>6.1600000000000321E-2</v>
      </c>
    </row>
    <row r="268" spans="1:5" x14ac:dyDescent="0.2">
      <c r="A268" s="345">
        <v>35673</v>
      </c>
      <c r="B268" s="78">
        <v>-0.86169999999999991</v>
      </c>
      <c r="C268" s="29">
        <v>504505346.38</v>
      </c>
      <c r="D268" s="78"/>
      <c r="E268" s="78">
        <f>B268-Index_Returns!W268</f>
        <v>-8.69999999999993E-3</v>
      </c>
    </row>
    <row r="269" spans="1:5" x14ac:dyDescent="0.2">
      <c r="A269" s="345">
        <v>35703</v>
      </c>
      <c r="B269" s="78">
        <v>1.5283</v>
      </c>
      <c r="C269" s="29">
        <v>512238205.57999998</v>
      </c>
      <c r="D269" s="78"/>
      <c r="E269" s="78">
        <f>B269-Index_Returns!W269</f>
        <v>5.3499999999999881E-2</v>
      </c>
    </row>
    <row r="270" spans="1:5" x14ac:dyDescent="0.2">
      <c r="A270" s="345">
        <v>35734</v>
      </c>
      <c r="B270" s="78">
        <v>1.3683000000000001</v>
      </c>
      <c r="C270" s="29">
        <v>519317371.14999998</v>
      </c>
      <c r="D270" s="78"/>
      <c r="E270" s="78">
        <f>B270-Index_Returns!W270</f>
        <v>-8.2400000000000029E-2</v>
      </c>
    </row>
    <row r="271" spans="1:5" x14ac:dyDescent="0.2">
      <c r="A271" s="345">
        <v>35764</v>
      </c>
      <c r="B271" s="78">
        <v>0.36830000000000002</v>
      </c>
      <c r="C271" s="29">
        <v>521280448.83999997</v>
      </c>
      <c r="D271" s="78"/>
      <c r="E271" s="78">
        <f>B271-Index_Returns!W271</f>
        <v>-9.2200000000000004E-2</v>
      </c>
    </row>
    <row r="272" spans="1:5" x14ac:dyDescent="0.2">
      <c r="A272" s="345">
        <v>35795</v>
      </c>
      <c r="B272" s="78">
        <v>1.0083</v>
      </c>
      <c r="C272" s="29">
        <v>526611657.49000001</v>
      </c>
      <c r="D272" s="78"/>
      <c r="E272" s="78">
        <f>B272-Index_Returns!W272</f>
        <v>1.5000000000000568E-3</v>
      </c>
    </row>
    <row r="273" spans="1:5" x14ac:dyDescent="0.2">
      <c r="A273" s="345">
        <v>35826</v>
      </c>
      <c r="B273" s="78">
        <v>1.3983000000000001</v>
      </c>
      <c r="C273" s="29">
        <v>534041223.55000001</v>
      </c>
      <c r="D273" s="78"/>
      <c r="E273" s="78">
        <f>B273-Index_Returns!W273</f>
        <v>0.11450000000000005</v>
      </c>
    </row>
    <row r="274" spans="1:5" x14ac:dyDescent="0.2">
      <c r="A274" s="345">
        <v>35854</v>
      </c>
      <c r="B274" s="78">
        <v>-0.1217</v>
      </c>
      <c r="C274" s="29">
        <v>533459892.13</v>
      </c>
      <c r="D274" s="78"/>
      <c r="E274" s="78">
        <f>B274-Index_Returns!W274</f>
        <v>-4.6399999999999997E-2</v>
      </c>
    </row>
    <row r="275" spans="1:5" x14ac:dyDescent="0.2">
      <c r="A275" s="345">
        <v>35885</v>
      </c>
      <c r="B275" s="78">
        <v>0.33829999999999999</v>
      </c>
      <c r="C275" s="33">
        <v>535299320.17000002</v>
      </c>
      <c r="D275" s="78"/>
      <c r="E275" s="78">
        <f>B275-Index_Returns!W275</f>
        <v>-5.8000000000000274E-3</v>
      </c>
    </row>
    <row r="276" spans="1:5" x14ac:dyDescent="0.2">
      <c r="A276" s="345">
        <v>35915</v>
      </c>
      <c r="B276" s="78">
        <v>0.52829999999999999</v>
      </c>
      <c r="C276" s="33">
        <v>538207437.54999995</v>
      </c>
      <c r="D276" s="78"/>
      <c r="E276" s="78">
        <f>B276-Index_Returns!W276</f>
        <v>6.0000000000000053E-3</v>
      </c>
    </row>
    <row r="277" spans="1:5" x14ac:dyDescent="0.2">
      <c r="A277" s="345">
        <v>35946</v>
      </c>
      <c r="B277" s="78">
        <v>1.0283</v>
      </c>
      <c r="C277" s="33">
        <v>543820651.27999997</v>
      </c>
      <c r="D277" s="78"/>
      <c r="E277" s="78">
        <f>B277-Index_Returns!W277</f>
        <v>8.0199999999999938E-2</v>
      </c>
    </row>
    <row r="278" spans="1:5" x14ac:dyDescent="0.2">
      <c r="A278" s="345">
        <v>35976</v>
      </c>
      <c r="B278" s="78">
        <v>0.98829999999999996</v>
      </c>
      <c r="C278" s="33">
        <v>549270417.25</v>
      </c>
      <c r="D278" s="78"/>
      <c r="E278" s="78">
        <f>B278-Index_Returns!W278</f>
        <v>0.1399999999999999</v>
      </c>
    </row>
    <row r="279" spans="1:5" x14ac:dyDescent="0.2">
      <c r="A279" s="345">
        <v>36007</v>
      </c>
      <c r="B279" s="78">
        <v>0.1283</v>
      </c>
      <c r="C279" s="33">
        <v>550045090.45000005</v>
      </c>
      <c r="D279" s="78"/>
      <c r="E279" s="78">
        <f>B279-Index_Returns!W279</f>
        <v>-8.3900000000000002E-2</v>
      </c>
    </row>
    <row r="280" spans="1:5" x14ac:dyDescent="0.2">
      <c r="A280" s="345">
        <v>36038</v>
      </c>
      <c r="B280" s="78">
        <v>1.6583000000000001</v>
      </c>
      <c r="C280" s="33">
        <v>559203600.74000001</v>
      </c>
      <c r="D280" s="78"/>
      <c r="E280" s="78">
        <f>B280-Index_Returns!W280</f>
        <v>3.0600000000000183E-2</v>
      </c>
    </row>
    <row r="281" spans="1:5" x14ac:dyDescent="0.2">
      <c r="A281" s="345">
        <v>36068</v>
      </c>
      <c r="B281" s="78">
        <v>2.9382999999999999</v>
      </c>
      <c r="C281" s="33">
        <v>575698185.88</v>
      </c>
      <c r="D281" s="78"/>
      <c r="E281" s="78">
        <f>B281-Index_Returns!W281</f>
        <v>0.59709999999999974</v>
      </c>
    </row>
    <row r="282" spans="1:5" x14ac:dyDescent="0.2">
      <c r="A282" s="345">
        <v>36099</v>
      </c>
      <c r="B282" s="78">
        <v>-0.83279999999999998</v>
      </c>
      <c r="C282" s="33">
        <v>570965354.52999997</v>
      </c>
      <c r="D282" s="78"/>
      <c r="E282" s="78">
        <f>B282-Index_Returns!W282</f>
        <v>-0.30520000000000003</v>
      </c>
    </row>
    <row r="283" spans="1:5" x14ac:dyDescent="0.2">
      <c r="A283" s="345">
        <v>36129</v>
      </c>
      <c r="B283" s="78">
        <v>0.67930000000000001</v>
      </c>
      <c r="C283" s="33">
        <v>574906664.92999995</v>
      </c>
      <c r="D283" s="78"/>
      <c r="E283" s="78">
        <f>B283-Index_Returns!W283</f>
        <v>0.1129</v>
      </c>
    </row>
    <row r="284" spans="1:5" x14ac:dyDescent="0.2">
      <c r="A284" s="345">
        <v>36160</v>
      </c>
      <c r="B284" s="78">
        <v>0.21829999999999999</v>
      </c>
      <c r="C284" s="33">
        <v>508588528.95999998</v>
      </c>
      <c r="D284" s="78"/>
      <c r="E284" s="78">
        <f>B284-Index_Returns!W284</f>
        <v>-8.2400000000000029E-2</v>
      </c>
    </row>
    <row r="285" spans="1:5" x14ac:dyDescent="0.2">
      <c r="A285" s="345">
        <v>36191</v>
      </c>
      <c r="B285" s="78">
        <v>0.52829999999999999</v>
      </c>
      <c r="C285" s="33">
        <v>511345247.63999999</v>
      </c>
      <c r="D285" s="78"/>
      <c r="E285" s="78">
        <f>B285-Index_Returns!W285</f>
        <v>-0.18600000000000005</v>
      </c>
    </row>
    <row r="286" spans="1:5" x14ac:dyDescent="0.2">
      <c r="A286" s="345">
        <v>36219</v>
      </c>
      <c r="B286" s="78">
        <v>-1.9817</v>
      </c>
      <c r="C286" s="33">
        <v>501203451.50999999</v>
      </c>
      <c r="D286" s="78"/>
      <c r="E286" s="78">
        <f>B286-Index_Returns!W286</f>
        <v>-0.23570000000000002</v>
      </c>
    </row>
    <row r="287" spans="1:5" x14ac:dyDescent="0.2">
      <c r="A287" s="345">
        <v>36250</v>
      </c>
      <c r="B287" s="78">
        <v>0.55830000000000002</v>
      </c>
      <c r="C287" s="33">
        <v>504060338.31</v>
      </c>
      <c r="D287" s="78"/>
      <c r="E287" s="78">
        <f>B287-Index_Returns!W287</f>
        <v>3.5000000000000586E-3</v>
      </c>
    </row>
    <row r="288" spans="1:5" x14ac:dyDescent="0.2">
      <c r="A288" s="345">
        <v>36280</v>
      </c>
      <c r="B288" s="78">
        <v>0.1983</v>
      </c>
      <c r="C288" s="33">
        <v>505111778.77999997</v>
      </c>
      <c r="D288" s="78"/>
      <c r="E288" s="78">
        <f>B288-Index_Returns!W288</f>
        <v>-0.1187</v>
      </c>
    </row>
    <row r="289" spans="1:5" x14ac:dyDescent="0.2">
      <c r="A289" s="345">
        <v>36311</v>
      </c>
      <c r="B289" s="78">
        <v>-1.0217000000000001</v>
      </c>
      <c r="C289" s="33">
        <v>500018853.12</v>
      </c>
      <c r="D289" s="78"/>
      <c r="E289" s="78">
        <f>B289-Index_Returns!W289</f>
        <v>-0.14540000000000008</v>
      </c>
    </row>
    <row r="290" spans="1:5" x14ac:dyDescent="0.2">
      <c r="A290" s="345">
        <v>36341</v>
      </c>
      <c r="B290" s="78">
        <v>-0.2717</v>
      </c>
      <c r="C290" s="33">
        <v>498704970.50999999</v>
      </c>
      <c r="D290" s="78"/>
      <c r="E290" s="78">
        <f>B290-Index_Returns!W290</f>
        <v>4.770000000000002E-2</v>
      </c>
    </row>
    <row r="291" spans="1:5" x14ac:dyDescent="0.2">
      <c r="A291" s="345">
        <v>36372</v>
      </c>
      <c r="B291" s="78">
        <v>-0.52170000000000005</v>
      </c>
      <c r="C291" s="33">
        <v>496133011.55000001</v>
      </c>
      <c r="D291" s="78"/>
      <c r="E291" s="78">
        <f>B291-Index_Returns!W291</f>
        <v>-9.6900000000000042E-2</v>
      </c>
    </row>
    <row r="292" spans="1:5" x14ac:dyDescent="0.2">
      <c r="A292" s="345">
        <v>36403</v>
      </c>
      <c r="B292" s="78">
        <v>-6.1699999999999991E-2</v>
      </c>
      <c r="C292" s="33">
        <v>495906077.98000002</v>
      </c>
      <c r="D292" s="78"/>
      <c r="E292" s="78">
        <f>B292-Index_Returns!W292</f>
        <v>-1.0899999999999993E-2</v>
      </c>
    </row>
    <row r="293" spans="1:5" x14ac:dyDescent="0.2">
      <c r="A293" s="345">
        <v>36433</v>
      </c>
      <c r="B293" s="78">
        <v>1.3183</v>
      </c>
      <c r="C293" s="33">
        <v>502476997.32999998</v>
      </c>
      <c r="D293" s="78"/>
      <c r="E293" s="78">
        <f>B293-Index_Returns!W293</f>
        <v>0.15789999999999993</v>
      </c>
    </row>
    <row r="294" spans="1:5" x14ac:dyDescent="0.2">
      <c r="A294" s="345">
        <v>36464</v>
      </c>
      <c r="B294" s="78">
        <v>0.33829999999999999</v>
      </c>
      <c r="C294" s="33">
        <v>504249811.88999999</v>
      </c>
      <c r="D294" s="78"/>
      <c r="E294" s="78">
        <f>B294-Index_Returns!W294</f>
        <v>-3.0600000000000016E-2</v>
      </c>
    </row>
    <row r="295" spans="1:5" x14ac:dyDescent="0.2">
      <c r="A295" s="345">
        <v>36494</v>
      </c>
      <c r="B295" s="78">
        <v>0.1183</v>
      </c>
      <c r="C295" s="33">
        <v>504911928.36000001</v>
      </c>
      <c r="D295" s="78"/>
      <c r="E295" s="78">
        <f>B295-Index_Returns!W295</f>
        <v>0.12520000000000001</v>
      </c>
    </row>
    <row r="296" spans="1:5" x14ac:dyDescent="0.2">
      <c r="A296" s="345">
        <v>36525</v>
      </c>
      <c r="B296" s="78">
        <v>-0.42170000000000002</v>
      </c>
      <c r="C296" s="33">
        <v>502861400.43000001</v>
      </c>
      <c r="D296" s="78"/>
      <c r="E296" s="78">
        <f>B296-Index_Returns!W296</f>
        <v>6.0499999999999998E-2</v>
      </c>
    </row>
    <row r="297" spans="1:5" x14ac:dyDescent="0.2">
      <c r="A297" s="345">
        <v>36556</v>
      </c>
      <c r="B297" s="78">
        <v>-0.26169999999999999</v>
      </c>
      <c r="C297" s="33">
        <v>501580050.51999998</v>
      </c>
      <c r="D297" s="78"/>
      <c r="E297" s="78">
        <f>B297-Index_Returns!W297</f>
        <v>6.5500000000000003E-2</v>
      </c>
    </row>
    <row r="298" spans="1:5" x14ac:dyDescent="0.2">
      <c r="A298" s="345">
        <v>36585</v>
      </c>
      <c r="B298" s="78">
        <v>1.3383</v>
      </c>
      <c r="C298" s="33">
        <v>508324378.95999998</v>
      </c>
      <c r="D298" s="78"/>
      <c r="E298" s="78">
        <f>B298-Index_Returns!W298</f>
        <v>0.12909999999999999</v>
      </c>
    </row>
    <row r="299" spans="1:5" x14ac:dyDescent="0.2">
      <c r="A299" s="345">
        <v>36616</v>
      </c>
      <c r="B299" s="78">
        <v>1.5483</v>
      </c>
      <c r="C299" s="33">
        <v>516273769.35000002</v>
      </c>
      <c r="D299" s="78"/>
      <c r="E299" s="78">
        <f>B299-Index_Returns!W299</f>
        <v>0.23170000000000002</v>
      </c>
    </row>
    <row r="300" spans="1:5" x14ac:dyDescent="0.2">
      <c r="A300" s="345">
        <v>36646</v>
      </c>
      <c r="B300" s="78">
        <v>-0.26169999999999999</v>
      </c>
      <c r="C300" s="33">
        <v>515083935.49000001</v>
      </c>
      <c r="D300" s="78"/>
      <c r="E300" s="78">
        <f>B300-Index_Returns!W300</f>
        <v>2.3699999999999999E-2</v>
      </c>
    </row>
    <row r="301" spans="1:5" x14ac:dyDescent="0.2">
      <c r="A301" s="345">
        <v>36677</v>
      </c>
      <c r="B301" s="78">
        <v>-6.1699999999999991E-2</v>
      </c>
      <c r="C301" s="33">
        <v>514841801.47000003</v>
      </c>
      <c r="D301" s="78"/>
      <c r="E301" s="78">
        <f>B301-Index_Returns!W301</f>
        <v>-1.5799999999999988E-2</v>
      </c>
    </row>
    <row r="302" spans="1:5" x14ac:dyDescent="0.2">
      <c r="A302" s="345">
        <v>36707</v>
      </c>
      <c r="B302" s="78">
        <v>1.8982999999999999</v>
      </c>
      <c r="C302" s="33">
        <v>524681198.26999998</v>
      </c>
      <c r="D302" s="78"/>
      <c r="E302" s="78">
        <f>B302-Index_Returns!W302</f>
        <v>-0.18199999999999994</v>
      </c>
    </row>
    <row r="303" spans="1:5" x14ac:dyDescent="0.2">
      <c r="A303" s="345">
        <v>36738</v>
      </c>
      <c r="B303" s="78">
        <v>0.83829999999999993</v>
      </c>
      <c r="C303" s="33">
        <v>529145480.60000002</v>
      </c>
      <c r="D303" s="78"/>
      <c r="E303" s="78">
        <f>B303-Index_Returns!W303</f>
        <v>-6.9400000000000017E-2</v>
      </c>
    </row>
    <row r="304" spans="1:5" x14ac:dyDescent="0.2">
      <c r="A304" s="345">
        <v>36769</v>
      </c>
      <c r="B304" s="78">
        <v>1.6383000000000001</v>
      </c>
      <c r="C304" s="33">
        <v>537897255.01999998</v>
      </c>
      <c r="D304" s="78"/>
      <c r="E304" s="78">
        <f>B304-Index_Returns!W304</f>
        <v>0.1886000000000001</v>
      </c>
    </row>
    <row r="305" spans="1:5" x14ac:dyDescent="0.2">
      <c r="A305" s="345">
        <v>36799</v>
      </c>
      <c r="B305" s="78">
        <v>0.60829999999999995</v>
      </c>
      <c r="C305" s="33">
        <v>541213393.83000004</v>
      </c>
      <c r="D305" s="78"/>
      <c r="E305" s="78">
        <f>B305-Index_Returns!W305</f>
        <v>-2.0300000000000096E-2</v>
      </c>
    </row>
    <row r="306" spans="1:5" x14ac:dyDescent="0.2">
      <c r="A306" s="345">
        <v>36830</v>
      </c>
      <c r="B306" s="78">
        <v>0.89829999999999999</v>
      </c>
      <c r="C306" s="33">
        <v>546154433.25999999</v>
      </c>
      <c r="D306" s="78"/>
      <c r="E306" s="78">
        <f>B306-Index_Returns!W306</f>
        <v>0.23749999999999993</v>
      </c>
    </row>
    <row r="307" spans="1:5" x14ac:dyDescent="0.2">
      <c r="A307" s="345">
        <v>36860</v>
      </c>
      <c r="B307" s="78">
        <v>1.9382999999999997</v>
      </c>
      <c r="C307" s="33">
        <v>556783374.30999994</v>
      </c>
      <c r="D307" s="78"/>
      <c r="E307" s="78">
        <f>B307-Index_Returns!W307</f>
        <v>0.30279999999999974</v>
      </c>
    </row>
    <row r="308" spans="1:5" x14ac:dyDescent="0.2">
      <c r="A308" s="345">
        <v>36891</v>
      </c>
      <c r="B308" s="78">
        <v>2.0682999999999998</v>
      </c>
      <c r="C308" s="33">
        <v>568345472.80999994</v>
      </c>
      <c r="D308" s="78"/>
      <c r="E308" s="78">
        <f>B308-Index_Returns!W308</f>
        <v>0.21289999999999987</v>
      </c>
    </row>
    <row r="309" spans="1:5" x14ac:dyDescent="0.2">
      <c r="A309" s="345">
        <v>36922</v>
      </c>
      <c r="B309" s="78">
        <v>1.6623000000000003</v>
      </c>
      <c r="C309" s="33">
        <v>577853922.73000002</v>
      </c>
      <c r="D309" s="78"/>
      <c r="E309" s="78">
        <f>B309-Index_Returns!W309</f>
        <v>2.770000000000028E-2</v>
      </c>
    </row>
    <row r="310" spans="1:5" x14ac:dyDescent="0.2">
      <c r="A310" s="345">
        <v>36950</v>
      </c>
      <c r="B310" s="78">
        <v>0.94529999999999992</v>
      </c>
      <c r="C310" s="33">
        <v>583378419.11000001</v>
      </c>
      <c r="D310" s="78"/>
      <c r="E310" s="78">
        <f>B310-Index_Returns!W310</f>
        <v>7.3999999999999955E-2</v>
      </c>
    </row>
    <row r="311" spans="1:5" x14ac:dyDescent="0.2">
      <c r="A311" s="345">
        <v>36981</v>
      </c>
      <c r="B311" s="78">
        <v>0.35809999999999997</v>
      </c>
      <c r="C311" s="33">
        <v>585530363.11000001</v>
      </c>
      <c r="D311" s="78"/>
      <c r="E311" s="78">
        <f>B311-Index_Returns!W311</f>
        <v>-0.14370000000000005</v>
      </c>
    </row>
    <row r="312" spans="1:5" x14ac:dyDescent="0.2">
      <c r="A312" s="345">
        <v>37011</v>
      </c>
      <c r="B312" s="78">
        <v>-0.74929999999999997</v>
      </c>
      <c r="C312" s="33">
        <v>581253931.45000005</v>
      </c>
      <c r="D312" s="78"/>
      <c r="E312" s="78">
        <f>B312-Index_Returns!W312</f>
        <v>-0.33419999999999994</v>
      </c>
    </row>
    <row r="313" spans="1:5" x14ac:dyDescent="0.2">
      <c r="A313" s="345">
        <v>37042</v>
      </c>
      <c r="B313" s="78">
        <v>0.58789999999999998</v>
      </c>
      <c r="C313" s="33">
        <v>584690007.60000002</v>
      </c>
      <c r="D313" s="78"/>
      <c r="E313" s="78">
        <f>B313-Index_Returns!W313</f>
        <v>-1.6199999999999992E-2</v>
      </c>
    </row>
    <row r="314" spans="1:5" x14ac:dyDescent="0.2">
      <c r="A314" s="345">
        <v>37072</v>
      </c>
      <c r="B314" s="78">
        <v>0.35599999999999998</v>
      </c>
      <c r="C314" s="33">
        <v>586844265.37</v>
      </c>
      <c r="D314" s="78"/>
      <c r="E314" s="78">
        <f>B314-Index_Returns!W314</f>
        <v>-2.1300000000000041E-2</v>
      </c>
    </row>
    <row r="315" spans="1:5" x14ac:dyDescent="0.2">
      <c r="A315" s="345">
        <v>37103</v>
      </c>
      <c r="B315" s="78">
        <v>2.3132999999999999</v>
      </c>
      <c r="C315" s="33">
        <v>600493066.54999995</v>
      </c>
      <c r="D315" s="78"/>
      <c r="E315" s="78">
        <f>B315-Index_Returns!W315</f>
        <v>7.7599999999999891E-2</v>
      </c>
    </row>
    <row r="316" spans="1:5" x14ac:dyDescent="0.2">
      <c r="A316" s="345">
        <v>37134</v>
      </c>
      <c r="B316" s="78">
        <v>1.1627000000000001</v>
      </c>
      <c r="C316" s="33">
        <v>607540756.19000006</v>
      </c>
      <c r="D316" s="78"/>
      <c r="E316" s="78">
        <f>B316-Index_Returns!W316</f>
        <v>1.6900000000000137E-2</v>
      </c>
    </row>
    <row r="317" spans="1:5" x14ac:dyDescent="0.2">
      <c r="A317" s="345">
        <v>37164</v>
      </c>
      <c r="B317" s="78">
        <v>1.1842999999999999</v>
      </c>
      <c r="C317" s="33">
        <v>614811833.80999994</v>
      </c>
      <c r="D317" s="78"/>
      <c r="E317" s="78">
        <f>B317-Index_Returns!W317</f>
        <v>1.959999999999984E-2</v>
      </c>
    </row>
    <row r="318" spans="1:5" x14ac:dyDescent="0.2">
      <c r="A318" s="345">
        <v>37195</v>
      </c>
      <c r="B318" s="78">
        <v>2.1496</v>
      </c>
      <c r="C318" s="33">
        <v>628094175.78999996</v>
      </c>
      <c r="D318" s="78"/>
      <c r="E318" s="78">
        <f>B318-Index_Returns!W318</f>
        <v>5.6599999999999984E-2</v>
      </c>
    </row>
    <row r="319" spans="1:5" x14ac:dyDescent="0.2">
      <c r="A319" s="345">
        <v>37225</v>
      </c>
      <c r="B319" s="78">
        <v>-1.4078999999999999</v>
      </c>
      <c r="C319" s="33">
        <v>619318597.49000001</v>
      </c>
      <c r="D319" s="78"/>
      <c r="E319" s="78">
        <f>B319-Index_Returns!W319</f>
        <v>-2.8999999999999915E-2</v>
      </c>
    </row>
    <row r="320" spans="1:5" x14ac:dyDescent="0.2">
      <c r="A320" s="345">
        <v>37256</v>
      </c>
      <c r="B320" s="78">
        <v>-0.68669999999999998</v>
      </c>
      <c r="C320" s="33">
        <v>615137597.71000004</v>
      </c>
      <c r="D320" s="78"/>
      <c r="E320" s="78">
        <f>B320-Index_Returns!W320</f>
        <v>-5.0999999999999934E-2</v>
      </c>
    </row>
    <row r="321" spans="1:5" x14ac:dyDescent="0.2">
      <c r="A321" s="345">
        <v>37287</v>
      </c>
      <c r="B321" s="78">
        <v>0.96760000000000002</v>
      </c>
      <c r="C321" s="33">
        <v>621161690.88</v>
      </c>
      <c r="D321" s="78"/>
      <c r="E321" s="78">
        <f>B321-Index_Returns!W321</f>
        <v>0.15800000000000003</v>
      </c>
    </row>
    <row r="322" spans="1:5" x14ac:dyDescent="0.2">
      <c r="A322" s="345">
        <v>37315</v>
      </c>
      <c r="B322" s="78">
        <v>1.1189</v>
      </c>
      <c r="C322" s="33">
        <v>628184549.27999997</v>
      </c>
      <c r="D322" s="78"/>
      <c r="E322" s="78">
        <f>B322-Index_Returns!W322</f>
        <v>0.14990000000000003</v>
      </c>
    </row>
    <row r="323" spans="1:5" x14ac:dyDescent="0.2">
      <c r="A323" s="345">
        <v>37346</v>
      </c>
      <c r="B323" s="78">
        <v>-1.7464999999999997</v>
      </c>
      <c r="C323" s="33">
        <v>617286458.20000005</v>
      </c>
      <c r="D323" s="78"/>
      <c r="E323" s="78">
        <f>B323-Index_Returns!W323</f>
        <v>-8.3299999999999708E-2</v>
      </c>
    </row>
    <row r="324" spans="1:5" x14ac:dyDescent="0.2">
      <c r="A324" s="345">
        <v>37376</v>
      </c>
      <c r="B324" s="78">
        <v>1.8696000000000002</v>
      </c>
      <c r="C324" s="33">
        <v>628904250.5</v>
      </c>
      <c r="D324" s="78"/>
      <c r="E324" s="78">
        <f>B324-Index_Returns!W324</f>
        <v>-6.9699999999999873E-2</v>
      </c>
    </row>
    <row r="325" spans="1:5" x14ac:dyDescent="0.2">
      <c r="A325" s="345">
        <v>37407</v>
      </c>
      <c r="B325" s="78">
        <v>0.7319</v>
      </c>
      <c r="C325" s="33">
        <v>563547415.05999994</v>
      </c>
      <c r="D325" s="78"/>
      <c r="E325" s="78">
        <f>B325-Index_Returns!W325</f>
        <v>-0.11760000000000004</v>
      </c>
    </row>
    <row r="326" spans="1:5" x14ac:dyDescent="0.2">
      <c r="A326" s="345">
        <v>37437</v>
      </c>
      <c r="B326" s="78">
        <v>0.6139</v>
      </c>
      <c r="C326" s="33">
        <v>507021705.06999999</v>
      </c>
      <c r="D326" s="78"/>
      <c r="E326" s="78">
        <f>B326-Index_Returns!W326</f>
        <v>-0.25119999999999998</v>
      </c>
    </row>
    <row r="327" spans="1:5" x14ac:dyDescent="0.2">
      <c r="A327" s="345">
        <v>37468</v>
      </c>
      <c r="B327" s="78">
        <v>1.2267999999999999</v>
      </c>
      <c r="C327" s="33">
        <v>513241710.61000001</v>
      </c>
      <c r="D327" s="78"/>
      <c r="E327" s="78">
        <f>B327-Index_Returns!W327</f>
        <v>2.0599999999999952E-2</v>
      </c>
    </row>
    <row r="328" spans="1:5" x14ac:dyDescent="0.2">
      <c r="A328" s="345">
        <v>37499</v>
      </c>
      <c r="B328" s="78">
        <v>1.9809000000000001</v>
      </c>
      <c r="C328" s="33">
        <v>523408457.56999999</v>
      </c>
      <c r="D328" s="78"/>
      <c r="E328" s="78">
        <f>B328-Index_Returns!W328</f>
        <v>0.29270000000000018</v>
      </c>
    </row>
    <row r="329" spans="1:5" x14ac:dyDescent="0.2">
      <c r="A329" s="345">
        <v>37529</v>
      </c>
      <c r="B329" s="78">
        <v>1.5089999999999999</v>
      </c>
      <c r="C329" s="33">
        <v>531485634.94</v>
      </c>
      <c r="D329" s="78"/>
      <c r="E329" s="78">
        <f>B329-Index_Returns!W329</f>
        <v>-0.1109</v>
      </c>
    </row>
    <row r="330" spans="1:5" x14ac:dyDescent="0.2">
      <c r="A330" s="345">
        <v>37560</v>
      </c>
      <c r="B330" s="78">
        <v>-0.45450000000000002</v>
      </c>
      <c r="C330" s="33">
        <v>529069806.66000003</v>
      </c>
      <c r="D330" s="78"/>
      <c r="E330" s="78">
        <f>B330-Index_Returns!W330</f>
        <v>1.4000000000000123E-3</v>
      </c>
    </row>
    <row r="331" spans="1:5" x14ac:dyDescent="0.2">
      <c r="A331" s="345">
        <v>37590</v>
      </c>
      <c r="B331" s="78">
        <v>9.1499999999999998E-2</v>
      </c>
      <c r="C331" s="33">
        <v>529553698.5</v>
      </c>
      <c r="D331" s="78"/>
      <c r="E331" s="78">
        <f>B331-Index_Returns!W331</f>
        <v>0.1179</v>
      </c>
    </row>
    <row r="332" spans="1:5" x14ac:dyDescent="0.2">
      <c r="A332" s="345">
        <v>37621</v>
      </c>
      <c r="B332" s="78">
        <v>1.9731999999999998</v>
      </c>
      <c r="C332" s="33">
        <v>540191067.29999995</v>
      </c>
      <c r="D332" s="78"/>
      <c r="E332" s="78">
        <f>B332-Index_Returns!W332</f>
        <v>-9.220000000000006E-2</v>
      </c>
    </row>
    <row r="333" spans="1:5" x14ac:dyDescent="0.2">
      <c r="A333" s="345">
        <v>37652</v>
      </c>
      <c r="B333" s="78">
        <v>0.1913</v>
      </c>
      <c r="C333" s="33">
        <v>541224232.38999999</v>
      </c>
      <c r="D333" s="78"/>
      <c r="E333" s="78">
        <f>B333-Index_Returns!W333</f>
        <v>0.10579999999999999</v>
      </c>
    </row>
    <row r="334" spans="1:5" x14ac:dyDescent="0.2">
      <c r="A334" s="345">
        <v>37680</v>
      </c>
      <c r="B334" s="78">
        <v>1.4288000000000001</v>
      </c>
      <c r="C334" s="33">
        <v>548957394.49000001</v>
      </c>
      <c r="D334" s="78"/>
      <c r="E334" s="78">
        <f>B334-Index_Returns!W334</f>
        <v>4.4499999999999984E-2</v>
      </c>
    </row>
    <row r="335" spans="1:5" x14ac:dyDescent="0.2">
      <c r="A335" s="345">
        <v>37711</v>
      </c>
      <c r="B335" s="78">
        <v>-3.8699999999999998E-2</v>
      </c>
      <c r="C335" s="33">
        <v>548936780.66999996</v>
      </c>
      <c r="D335" s="78"/>
      <c r="E335" s="78">
        <f>B335-Index_Returns!W335</f>
        <v>3.8599999999999995E-2</v>
      </c>
    </row>
    <row r="336" spans="1:5" x14ac:dyDescent="0.2">
      <c r="A336" s="345">
        <v>37741</v>
      </c>
      <c r="B336" s="78">
        <v>1.0421</v>
      </c>
      <c r="C336" s="33">
        <v>554657329.86000001</v>
      </c>
      <c r="D336" s="78"/>
      <c r="E336" s="78">
        <f>B336-Index_Returns!W336</f>
        <v>0.2167</v>
      </c>
    </row>
    <row r="337" spans="1:9" x14ac:dyDescent="0.2">
      <c r="A337" s="345">
        <v>37772</v>
      </c>
      <c r="B337" s="78">
        <v>1.9282999999999999</v>
      </c>
      <c r="C337" s="33">
        <v>560414765.85000002</v>
      </c>
      <c r="D337" s="78"/>
      <c r="E337" s="78">
        <f>B337-Index_Returns!W337</f>
        <v>6.3799999999999857E-2</v>
      </c>
    </row>
    <row r="338" spans="1:9" x14ac:dyDescent="0.2">
      <c r="A338" s="345">
        <v>37802</v>
      </c>
      <c r="B338" s="78">
        <v>-0.246</v>
      </c>
      <c r="C338" s="33">
        <v>564154179.00999999</v>
      </c>
      <c r="D338" s="78"/>
      <c r="E338" s="78">
        <f>B338-Index_Returns!W338</f>
        <v>-4.7399999999999998E-2</v>
      </c>
    </row>
    <row r="339" spans="1:9" x14ac:dyDescent="0.2">
      <c r="A339" s="345">
        <v>37833</v>
      </c>
      <c r="B339" s="78">
        <v>-4.1204999999999998</v>
      </c>
      <c r="C339" s="33">
        <v>540907988.67999995</v>
      </c>
      <c r="D339" s="78"/>
      <c r="E339" s="78">
        <f>B339-Index_Returns!W339</f>
        <v>-0.75849999999999973</v>
      </c>
    </row>
    <row r="340" spans="1:9" x14ac:dyDescent="0.2">
      <c r="A340" s="345">
        <v>37864</v>
      </c>
      <c r="B340" s="78">
        <v>0.94900000000000007</v>
      </c>
      <c r="C340" s="33">
        <v>546041414.50999999</v>
      </c>
      <c r="D340" s="78"/>
      <c r="E340" s="78">
        <f>B340-Index_Returns!W340</f>
        <v>0.28530000000000011</v>
      </c>
    </row>
    <row r="341" spans="1:9" x14ac:dyDescent="0.2">
      <c r="A341" s="345">
        <v>37894</v>
      </c>
      <c r="B341" s="253">
        <v>2.9662999999999999</v>
      </c>
      <c r="C341" s="34">
        <v>562439153.01999998</v>
      </c>
      <c r="D341" s="78"/>
      <c r="E341" s="78">
        <f>B341-Index_Returns!W341</f>
        <v>0.31939999999999991</v>
      </c>
    </row>
    <row r="342" spans="1:9" x14ac:dyDescent="0.2">
      <c r="A342" s="345">
        <v>37925</v>
      </c>
      <c r="B342" s="253">
        <v>-0.96319999999999995</v>
      </c>
      <c r="C342" s="34">
        <v>557021824.88</v>
      </c>
      <c r="D342" s="78"/>
      <c r="E342" s="78">
        <f>B342-Index_Returns!W342</f>
        <v>-3.1199999999999894E-2</v>
      </c>
    </row>
    <row r="343" spans="1:9" x14ac:dyDescent="0.2">
      <c r="A343" s="345">
        <v>37955</v>
      </c>
      <c r="B343" s="253">
        <v>0.3054</v>
      </c>
      <c r="C343" s="34">
        <v>558723149.57000005</v>
      </c>
      <c r="D343" s="78"/>
      <c r="E343" s="78">
        <f>B343-Index_Returns!W343</f>
        <v>6.6299999999999998E-2</v>
      </c>
    </row>
    <row r="344" spans="1:9" x14ac:dyDescent="0.2">
      <c r="A344" s="345">
        <v>37986</v>
      </c>
      <c r="B344" s="253">
        <v>1.0111000000000001</v>
      </c>
      <c r="C344" s="34">
        <v>564570266.35000002</v>
      </c>
      <c r="D344" s="78"/>
      <c r="E344" s="78">
        <f>B344-Index_Returns!W344</f>
        <v>-6.4999999999999503E-3</v>
      </c>
    </row>
    <row r="345" spans="1:9" x14ac:dyDescent="0.2">
      <c r="A345" s="345">
        <v>38017</v>
      </c>
      <c r="B345" s="253">
        <v>1.0145999999999999</v>
      </c>
      <c r="C345" s="34">
        <v>570298148.25999999</v>
      </c>
      <c r="D345" s="78"/>
      <c r="E345" s="78">
        <f>B345-Index_Returns!W345</f>
        <v>0.20989999999999998</v>
      </c>
    </row>
    <row r="346" spans="1:9" x14ac:dyDescent="0.2">
      <c r="A346" s="345">
        <v>38046</v>
      </c>
      <c r="B346" s="253">
        <v>1.0794999999999999</v>
      </c>
      <c r="C346" s="34">
        <v>576454647.39999998</v>
      </c>
      <c r="D346" s="78"/>
      <c r="E346" s="78">
        <f>B346-Index_Returns!W346</f>
        <v>-2.5000000000001688E-3</v>
      </c>
    </row>
    <row r="347" spans="1:9" x14ac:dyDescent="0.2">
      <c r="A347" s="345">
        <v>38077</v>
      </c>
      <c r="B347" s="253">
        <v>0.79400000000000004</v>
      </c>
      <c r="C347" s="34">
        <v>581230218.01999998</v>
      </c>
      <c r="D347" s="255"/>
      <c r="E347" s="78">
        <f>B347-Index_Returns!W347</f>
        <v>4.4399999999999995E-2</v>
      </c>
    </row>
    <row r="348" spans="1:9" x14ac:dyDescent="0.2">
      <c r="A348" s="345">
        <v>38107</v>
      </c>
      <c r="B348" s="253">
        <v>-2.5760000000000001</v>
      </c>
      <c r="C348" s="34">
        <v>566257478.51999998</v>
      </c>
      <c r="D348" s="253"/>
      <c r="E348" s="78">
        <f>B348-Index_Returns!W348</f>
        <v>2.6199999999999779E-2</v>
      </c>
      <c r="I348" s="14"/>
    </row>
    <row r="349" spans="1:9" x14ac:dyDescent="0.2">
      <c r="A349" s="345">
        <v>38138</v>
      </c>
      <c r="B349" s="253">
        <v>-0.41</v>
      </c>
      <c r="C349" s="34">
        <v>563935704.54999995</v>
      </c>
      <c r="D349" s="253"/>
      <c r="E349" s="78">
        <f>B349-Index_Returns!W349</f>
        <v>-9.6999999999999864E-3</v>
      </c>
      <c r="I349" s="14"/>
    </row>
    <row r="350" spans="1:9" x14ac:dyDescent="0.2">
      <c r="A350" s="345">
        <v>38168</v>
      </c>
      <c r="B350" s="253">
        <v>0.52700000000000002</v>
      </c>
      <c r="C350" s="34">
        <v>567111532.98000002</v>
      </c>
      <c r="D350" s="253"/>
      <c r="E350" s="78">
        <f>B350-Index_Returns!W350</f>
        <v>-3.8200000000000012E-2</v>
      </c>
      <c r="I350" s="14"/>
    </row>
    <row r="351" spans="1:9" x14ac:dyDescent="0.2">
      <c r="A351" s="345">
        <v>38199</v>
      </c>
      <c r="B351" s="253">
        <v>0.96389999999999998</v>
      </c>
      <c r="C351" s="34">
        <v>572577777.38</v>
      </c>
      <c r="D351" s="253"/>
      <c r="E351" s="78">
        <f>B351-Index_Returns!W351</f>
        <v>-2.7299999999999991E-2</v>
      </c>
    </row>
    <row r="352" spans="1:9" x14ac:dyDescent="0.2">
      <c r="A352" s="345">
        <v>38230</v>
      </c>
      <c r="B352" s="253">
        <v>1.8968</v>
      </c>
      <c r="C352" s="34">
        <v>583438615.88</v>
      </c>
      <c r="D352" s="253"/>
      <c r="E352" s="78">
        <f>B352-Index_Returns!W352</f>
        <v>-1.0699999999999932E-2</v>
      </c>
    </row>
    <row r="353" spans="1:5" x14ac:dyDescent="0.2">
      <c r="A353" s="345">
        <v>38260</v>
      </c>
      <c r="B353" s="253">
        <v>0.31519999999999998</v>
      </c>
      <c r="C353" s="34">
        <v>585476259.90999997</v>
      </c>
      <c r="D353" s="253"/>
      <c r="E353" s="78">
        <f>B353-Index_Returns!W353</f>
        <v>4.3899999999999995E-2</v>
      </c>
    </row>
    <row r="354" spans="1:5" x14ac:dyDescent="0.2">
      <c r="A354" s="345">
        <v>38291</v>
      </c>
      <c r="B354" s="253">
        <v>0.8105</v>
      </c>
      <c r="C354" s="34">
        <v>590221442.50999999</v>
      </c>
      <c r="D354" s="253"/>
      <c r="E354" s="78">
        <f>B354-Index_Returns!W354</f>
        <v>-2.8100000000000014E-2</v>
      </c>
    </row>
    <row r="355" spans="1:5" x14ac:dyDescent="0.2">
      <c r="A355" s="345">
        <v>38321</v>
      </c>
      <c r="B355" s="253">
        <v>-0.73780000000000001</v>
      </c>
      <c r="C355" s="34">
        <v>585866616.19000006</v>
      </c>
      <c r="D355" s="253"/>
      <c r="E355" s="78">
        <f>B355-Index_Returns!W355</f>
        <v>5.9799999999999964E-2</v>
      </c>
    </row>
    <row r="356" spans="1:5" x14ac:dyDescent="0.2">
      <c r="A356" s="345">
        <v>38352</v>
      </c>
      <c r="B356" s="253">
        <v>1.0013000000000001</v>
      </c>
      <c r="C356" s="256">
        <v>591938762.29999995</v>
      </c>
      <c r="D356" s="253"/>
      <c r="E356" s="78">
        <f>B356-Index_Returns!W356</f>
        <v>8.120000000000005E-2</v>
      </c>
    </row>
    <row r="357" spans="1:5" x14ac:dyDescent="0.2">
      <c r="A357" s="345">
        <v>38383</v>
      </c>
      <c r="B357" s="253">
        <v>0.72199999999999998</v>
      </c>
      <c r="C357" s="34">
        <v>596212582.13999999</v>
      </c>
      <c r="D357" s="253"/>
      <c r="E357" s="78">
        <f>B357-Index_Returns!W357</f>
        <v>9.4099999999999961E-2</v>
      </c>
    </row>
    <row r="358" spans="1:5" x14ac:dyDescent="0.2">
      <c r="A358" s="345">
        <v>38411</v>
      </c>
      <c r="B358" s="253">
        <v>-0.37319999999999998</v>
      </c>
      <c r="C358" s="34">
        <v>593987568.92999995</v>
      </c>
      <c r="D358" s="253"/>
      <c r="E358" s="78">
        <f>B358-Index_Returns!W358</f>
        <v>0.21710000000000007</v>
      </c>
    </row>
    <row r="359" spans="1:5" x14ac:dyDescent="0.2">
      <c r="A359" s="345">
        <v>38442</v>
      </c>
      <c r="B359" s="253">
        <v>-0.63500000000000001</v>
      </c>
      <c r="C359" s="256">
        <v>590422028.65999997</v>
      </c>
      <c r="D359" s="253"/>
      <c r="E359" s="78">
        <f>B359-Index_Returns!W359</f>
        <v>-0.12140000000000006</v>
      </c>
    </row>
    <row r="360" spans="1:5" x14ac:dyDescent="0.2">
      <c r="A360" s="345">
        <v>38472</v>
      </c>
      <c r="B360" s="253">
        <v>1.2971999999999999</v>
      </c>
      <c r="C360" s="256">
        <v>598080970.96000004</v>
      </c>
      <c r="D360" s="253"/>
      <c r="E360" s="78">
        <f>B360-Index_Returns!W360</f>
        <v>-5.6200000000000028E-2</v>
      </c>
    </row>
    <row r="361" spans="1:5" x14ac:dyDescent="0.2">
      <c r="A361" s="345">
        <v>38503</v>
      </c>
      <c r="B361" s="253">
        <v>0.93410000000000004</v>
      </c>
      <c r="C361" s="256">
        <v>603667533.84000003</v>
      </c>
      <c r="D361" s="253"/>
      <c r="E361" s="78">
        <f>B361-Index_Returns!W361</f>
        <v>-0.14780000000000004</v>
      </c>
    </row>
    <row r="362" spans="1:5" x14ac:dyDescent="0.2">
      <c r="A362" s="345">
        <v>38533</v>
      </c>
      <c r="B362" s="253">
        <v>0.69330000000000003</v>
      </c>
      <c r="C362" s="256">
        <v>608059935.19000006</v>
      </c>
      <c r="D362" s="253"/>
      <c r="E362" s="78">
        <f>B362-Index_Returns!W362</f>
        <v>0.14800000000000002</v>
      </c>
    </row>
    <row r="363" spans="1:5" x14ac:dyDescent="0.2">
      <c r="A363" s="345">
        <v>38564</v>
      </c>
      <c r="B363" s="253">
        <v>-0.66059999999999997</v>
      </c>
      <c r="C363" s="256">
        <v>604043229.89999998</v>
      </c>
      <c r="D363" s="253"/>
      <c r="E363" s="78">
        <f>B363-Index_Returns!W363</f>
        <v>0.24970000000000003</v>
      </c>
    </row>
    <row r="364" spans="1:5" x14ac:dyDescent="0.2">
      <c r="A364" s="345">
        <v>38595</v>
      </c>
      <c r="B364" s="253">
        <v>1.2011000000000001</v>
      </c>
      <c r="C364" s="256">
        <v>611298513.94000006</v>
      </c>
      <c r="D364" s="253"/>
      <c r="E364" s="78">
        <f>B364-Index_Returns!W364</f>
        <v>-8.0899999999999972E-2</v>
      </c>
    </row>
    <row r="365" spans="1:5" x14ac:dyDescent="0.2">
      <c r="A365" s="345">
        <v>38625</v>
      </c>
      <c r="B365" s="253">
        <v>-1.0656000000000001</v>
      </c>
      <c r="C365" s="256">
        <v>604995924.32000005</v>
      </c>
      <c r="D365" s="253"/>
      <c r="E365" s="78">
        <f>B365-Index_Returns!W365</f>
        <v>-3.5500000000000087E-2</v>
      </c>
    </row>
    <row r="366" spans="1:5" x14ac:dyDescent="0.2">
      <c r="A366" s="345">
        <v>38656</v>
      </c>
      <c r="B366" s="253">
        <v>-0.80759999999999998</v>
      </c>
      <c r="C366" s="256">
        <v>600109802.64999998</v>
      </c>
      <c r="D366" s="253"/>
      <c r="E366" s="78">
        <f>B366-Index_Returns!W366</f>
        <v>-1.6199999999999992E-2</v>
      </c>
    </row>
    <row r="367" spans="1:5" x14ac:dyDescent="0.2">
      <c r="A367" s="345">
        <v>38686</v>
      </c>
      <c r="B367" s="253">
        <v>0.41670000000000001</v>
      </c>
      <c r="C367" s="256">
        <v>602610191.50999999</v>
      </c>
      <c r="D367" s="253"/>
      <c r="E367" s="78">
        <f>B367-Index_Returns!W367</f>
        <v>-2.5600000000000012E-2</v>
      </c>
    </row>
    <row r="368" spans="1:5" x14ac:dyDescent="0.2">
      <c r="A368" s="345">
        <v>38717</v>
      </c>
      <c r="B368" s="253">
        <v>1.0236000000000001</v>
      </c>
      <c r="C368" s="256">
        <v>608991509.52999997</v>
      </c>
      <c r="D368" s="253"/>
      <c r="E368" s="78">
        <f>B368-Index_Returns!W368</f>
        <v>7.2800000000000087E-2</v>
      </c>
    </row>
    <row r="369" spans="1:6" x14ac:dyDescent="0.2">
      <c r="A369" s="345">
        <v>38748</v>
      </c>
      <c r="B369" s="253">
        <v>0.1229</v>
      </c>
      <c r="C369" s="256">
        <v>609740230.02999997</v>
      </c>
      <c r="D369" s="253"/>
      <c r="E369" s="78">
        <f>B369-Index_Returns!W369</f>
        <v>0.1172</v>
      </c>
    </row>
    <row r="370" spans="1:6" x14ac:dyDescent="0.2">
      <c r="A370" s="345">
        <v>38776</v>
      </c>
      <c r="B370" s="253">
        <v>0.44850000000000001</v>
      </c>
      <c r="C370" s="256">
        <v>612474672.01999998</v>
      </c>
      <c r="D370" s="253"/>
      <c r="E370" s="78">
        <f>B370-Index_Returns!W370</f>
        <v>0.11649999999999999</v>
      </c>
    </row>
    <row r="371" spans="1:6" x14ac:dyDescent="0.2">
      <c r="A371" s="345">
        <v>38807</v>
      </c>
      <c r="B371" s="253">
        <v>-0.98939999999999995</v>
      </c>
      <c r="C371" s="367">
        <v>606627028.28999996</v>
      </c>
      <c r="D371" s="253"/>
      <c r="E371" s="78">
        <f>B371-Index_Returns!W371</f>
        <v>-8.0999999999999961E-3</v>
      </c>
    </row>
    <row r="372" spans="1:6" x14ac:dyDescent="0.2">
      <c r="A372" s="345">
        <v>38837</v>
      </c>
      <c r="B372" s="253">
        <v>-8.0299999999999996E-2</v>
      </c>
      <c r="C372" s="367">
        <v>606140049.03999996</v>
      </c>
      <c r="D372" s="253"/>
      <c r="E372" s="78">
        <f>B372-Index_Returns!W372</f>
        <v>0.10099999999999999</v>
      </c>
    </row>
    <row r="373" spans="1:6" x14ac:dyDescent="0.2">
      <c r="A373" s="345">
        <v>38868</v>
      </c>
      <c r="B373" s="253">
        <v>-0.1933</v>
      </c>
      <c r="C373" s="367">
        <v>604968402.62</v>
      </c>
      <c r="D373" s="253"/>
      <c r="E373" s="78">
        <f>B373-Index_Returns!W373</f>
        <v>-8.6599999999999996E-2</v>
      </c>
    </row>
    <row r="374" spans="1:6" x14ac:dyDescent="0.2">
      <c r="A374" s="345">
        <v>38898</v>
      </c>
      <c r="B374" s="128">
        <v>0.14630000000000001</v>
      </c>
      <c r="C374" s="612">
        <v>606065846.32000005</v>
      </c>
      <c r="D374" s="253"/>
      <c r="E374" s="78">
        <f>B374-Index_Returns!W374</f>
        <v>-6.5699999999999981E-2</v>
      </c>
    </row>
    <row r="375" spans="1:6" x14ac:dyDescent="0.2">
      <c r="A375" s="345">
        <v>38929</v>
      </c>
      <c r="B375" s="253">
        <v>1.4066000000000001</v>
      </c>
      <c r="C375" s="34">
        <v>614590579.38999999</v>
      </c>
      <c r="D375" s="253"/>
      <c r="E375" s="78">
        <f>B375-Index_Returns!W375</f>
        <v>5.4400000000000004E-2</v>
      </c>
    </row>
    <row r="376" spans="1:6" x14ac:dyDescent="0.2">
      <c r="A376" s="345">
        <v>38960</v>
      </c>
      <c r="B376" s="253">
        <v>1.4013</v>
      </c>
      <c r="C376" s="34">
        <v>623202571.01999998</v>
      </c>
      <c r="D376" s="253"/>
      <c r="E376" s="78">
        <f>B376-Index_Returns!W376</f>
        <v>-0.12949999999999995</v>
      </c>
    </row>
    <row r="377" spans="1:6" x14ac:dyDescent="0.2">
      <c r="A377" s="345">
        <v>38990</v>
      </c>
      <c r="B377" s="253">
        <v>0.85360000000000003</v>
      </c>
      <c r="C377" s="34">
        <v>628735610.30999994</v>
      </c>
      <c r="D377" s="253"/>
      <c r="E377" s="78">
        <f>B377-Index_Returns!W377</f>
        <v>-2.4799999999999933E-2</v>
      </c>
    </row>
    <row r="378" spans="1:6" x14ac:dyDescent="0.2">
      <c r="A378" s="345">
        <v>39021</v>
      </c>
      <c r="B378" s="253">
        <v>0.79339999999999999</v>
      </c>
      <c r="C378" s="34">
        <v>633724208.35000002</v>
      </c>
      <c r="D378" s="253"/>
      <c r="E378" s="78">
        <f>B378-Index_Returns!W378</f>
        <v>0.13190000000000002</v>
      </c>
      <c r="F378" s="352"/>
    </row>
    <row r="379" spans="1:6" x14ac:dyDescent="0.2">
      <c r="A379" s="345">
        <v>39051</v>
      </c>
      <c r="B379" s="253">
        <v>1.0838000000000001</v>
      </c>
      <c r="C379" s="34">
        <v>640592695.27999997</v>
      </c>
      <c r="D379" s="253"/>
      <c r="E379" s="78">
        <f>B379-Index_Returns!W379</f>
        <v>-7.6299999999999812E-2</v>
      </c>
      <c r="F379" s="352"/>
    </row>
    <row r="380" spans="1:6" x14ac:dyDescent="0.2">
      <c r="A380" s="345">
        <v>39082</v>
      </c>
      <c r="B380" s="253">
        <v>-0.46989999999999998</v>
      </c>
      <c r="C380" s="703">
        <v>637801864.21000004</v>
      </c>
      <c r="D380" s="253"/>
      <c r="E380" s="78">
        <f>B380-Index_Returns!W380</f>
        <v>0.11040000000000005</v>
      </c>
      <c r="F380" s="352"/>
    </row>
    <row r="381" spans="1:6" x14ac:dyDescent="0.2">
      <c r="A381" s="345">
        <v>39113</v>
      </c>
      <c r="B381" s="253">
        <v>0.1321</v>
      </c>
      <c r="C381" s="770">
        <v>638644259.33000004</v>
      </c>
      <c r="E381" s="78">
        <f>B381-Index_Returns!W381</f>
        <v>0.1731</v>
      </c>
      <c r="F381" s="352"/>
    </row>
    <row r="382" spans="1:6" x14ac:dyDescent="0.2">
      <c r="A382" s="345">
        <v>39141</v>
      </c>
      <c r="B382" s="253">
        <v>1.4732000000000001</v>
      </c>
      <c r="C382" s="770">
        <v>648052848.00999999</v>
      </c>
      <c r="E382" s="78">
        <f>B382-Index_Returns!W382</f>
        <v>-6.8799999999999972E-2</v>
      </c>
      <c r="F382" s="352"/>
    </row>
    <row r="383" spans="1:6" x14ac:dyDescent="0.2">
      <c r="A383" s="345">
        <v>39172</v>
      </c>
      <c r="B383" s="253">
        <v>2.3099999999999999E-2</v>
      </c>
      <c r="C383" s="770">
        <v>648425933.28999996</v>
      </c>
      <c r="E383" s="78">
        <f>B383-Index_Returns!W383</f>
        <v>0.02</v>
      </c>
    </row>
    <row r="384" spans="1:6" x14ac:dyDescent="0.2">
      <c r="A384" s="345">
        <v>39202</v>
      </c>
      <c r="B384" s="253">
        <v>0.59899999999999998</v>
      </c>
      <c r="C384" s="770">
        <v>652309855.33000004</v>
      </c>
      <c r="E384" s="78">
        <f>B384-Index_Returns!W384</f>
        <v>5.9799999999999964E-2</v>
      </c>
    </row>
    <row r="385" spans="1:6" x14ac:dyDescent="0.2">
      <c r="A385" s="345">
        <v>39233</v>
      </c>
      <c r="B385" s="253">
        <v>-0.74219999999999997</v>
      </c>
      <c r="C385" s="770">
        <v>647468225.32000005</v>
      </c>
      <c r="E385" s="78">
        <f>B385-Index_Returns!W385</f>
        <v>1.5700000000000047E-2</v>
      </c>
      <c r="F385" s="779"/>
    </row>
    <row r="386" spans="1:6" x14ac:dyDescent="0.2">
      <c r="A386" s="345">
        <v>39263</v>
      </c>
      <c r="B386" s="253">
        <v>-0.4173</v>
      </c>
      <c r="C386" s="770">
        <v>644993045.78999996</v>
      </c>
      <c r="E386" s="78">
        <f>B386-Index_Returns!W386</f>
        <v>-0.1215</v>
      </c>
    </row>
    <row r="387" spans="1:6" x14ac:dyDescent="0.2">
      <c r="A387" s="345">
        <v>39294</v>
      </c>
      <c r="B387" s="253">
        <v>0.3337</v>
      </c>
      <c r="C387" s="770">
        <v>647145196.53999996</v>
      </c>
      <c r="E387" s="78">
        <f>B387-Index_Returns!W387</f>
        <v>-0.50039999999999996</v>
      </c>
    </row>
    <row r="388" spans="1:6" x14ac:dyDescent="0.2">
      <c r="A388" s="345">
        <v>39325</v>
      </c>
      <c r="B388" s="253">
        <v>0.89529999999999998</v>
      </c>
      <c r="C388" s="346">
        <v>652939195.33000004</v>
      </c>
      <c r="E388" s="78">
        <f>B388-Index_Returns!W388</f>
        <v>-0.33040000000000003</v>
      </c>
    </row>
    <row r="389" spans="1:6" x14ac:dyDescent="0.2">
      <c r="A389" s="345">
        <v>39355</v>
      </c>
      <c r="B389" s="253">
        <v>0.84730000000000005</v>
      </c>
      <c r="C389" s="346">
        <v>658698063.66999996</v>
      </c>
      <c r="E389" s="78">
        <f>B389-Index_Returns!W389</f>
        <v>8.8700000000000001E-2</v>
      </c>
    </row>
    <row r="390" spans="1:6" x14ac:dyDescent="0.2">
      <c r="A390" s="345">
        <v>39386</v>
      </c>
      <c r="B390" s="253">
        <v>0.74680000000000002</v>
      </c>
      <c r="C390" s="346">
        <v>663617020.45000005</v>
      </c>
      <c r="E390" s="78">
        <f>B390-Index_Returns!W390</f>
        <v>-0.15149999999999997</v>
      </c>
    </row>
    <row r="391" spans="1:6" x14ac:dyDescent="0.2">
      <c r="A391" s="345">
        <v>39416</v>
      </c>
      <c r="B391" s="253">
        <v>0.95140000000000002</v>
      </c>
      <c r="C391" s="346">
        <v>669930418.16999996</v>
      </c>
      <c r="E391" s="78">
        <f>B391-Index_Returns!W391</f>
        <v>-0.84689999999999999</v>
      </c>
    </row>
    <row r="392" spans="1:6" x14ac:dyDescent="0.2">
      <c r="A392" s="345">
        <v>39447</v>
      </c>
      <c r="B392" s="253">
        <v>0.28420000000000001</v>
      </c>
      <c r="C392" s="346">
        <v>672071954.02999997</v>
      </c>
      <c r="E392" s="78">
        <f>B392-Index_Returns!W392</f>
        <v>3.3000000000000251E-3</v>
      </c>
    </row>
    <row r="393" spans="1:6" x14ac:dyDescent="0.2">
      <c r="A393" s="345">
        <v>39478</v>
      </c>
      <c r="B393" s="253">
        <v>1.1175999999999999</v>
      </c>
      <c r="C393" s="346">
        <v>679583076.28999996</v>
      </c>
      <c r="E393" s="78">
        <f>B393-Index_Returns!W393</f>
        <v>-0.56220000000000003</v>
      </c>
    </row>
    <row r="394" spans="1:6" x14ac:dyDescent="0.2">
      <c r="A394" s="345">
        <v>39507</v>
      </c>
      <c r="B394" s="253">
        <v>6.9099999999999995E-2</v>
      </c>
      <c r="C394" s="346">
        <v>680052771.73000002</v>
      </c>
      <c r="E394" s="78">
        <f>B394-Index_Returns!W394</f>
        <v>-6.9700000000000012E-2</v>
      </c>
    </row>
    <row r="395" spans="1:6" x14ac:dyDescent="0.2">
      <c r="A395" s="345">
        <v>39538</v>
      </c>
      <c r="B395" s="253">
        <v>-0.88649999999999995</v>
      </c>
      <c r="C395" s="346">
        <v>674257792.15999997</v>
      </c>
      <c r="E395" s="78">
        <f>B395-Index_Returns!W395</f>
        <v>-1.2277</v>
      </c>
    </row>
    <row r="396" spans="1:6" x14ac:dyDescent="0.2">
      <c r="A396" s="345">
        <v>39568</v>
      </c>
      <c r="B396" s="253">
        <v>-0.17100000000000001</v>
      </c>
      <c r="C396" s="346">
        <v>673104821.72000003</v>
      </c>
      <c r="E396" s="78">
        <f>B396-Index_Returns!W396</f>
        <v>3.7999999999999978E-2</v>
      </c>
    </row>
    <row r="397" spans="1:6" x14ac:dyDescent="0.2">
      <c r="A397" s="345">
        <v>39599</v>
      </c>
      <c r="B397" s="253">
        <v>-0.60209999999999997</v>
      </c>
      <c r="C397" s="346">
        <v>669051752.87</v>
      </c>
      <c r="E397" s="78">
        <f>B397-Index_Returns!W397</f>
        <v>0.13119999999999998</v>
      </c>
    </row>
    <row r="398" spans="1:6" x14ac:dyDescent="0.2">
      <c r="A398" s="345">
        <v>39629</v>
      </c>
      <c r="B398" s="253">
        <v>-8.4199999999999997E-2</v>
      </c>
      <c r="C398" s="346">
        <v>668724050.71000004</v>
      </c>
      <c r="E398" s="78">
        <f>B398-Index_Returns!W398</f>
        <v>-3.4000000000000002E-3</v>
      </c>
    </row>
    <row r="399" spans="1:6" x14ac:dyDescent="0.2">
      <c r="A399" s="345">
        <v>39660</v>
      </c>
      <c r="B399" s="1177">
        <v>-0.39219999999999999</v>
      </c>
      <c r="C399" s="367">
        <v>666101578.01999998</v>
      </c>
      <c r="E399" s="78">
        <f>B399-Index_Returns!W399</f>
        <v>-0.31059999999999999</v>
      </c>
    </row>
    <row r="400" spans="1:6" x14ac:dyDescent="0.2">
      <c r="A400" s="345">
        <v>39691</v>
      </c>
      <c r="B400" s="1177">
        <v>0.34360000000000002</v>
      </c>
      <c r="C400" s="367">
        <v>668390054.29999995</v>
      </c>
      <c r="E400" s="78">
        <f>B400-Index_Returns!W400</f>
        <v>-0.60550000000000004</v>
      </c>
    </row>
    <row r="401" spans="1:6" x14ac:dyDescent="0.2">
      <c r="A401" s="1204">
        <v>39721</v>
      </c>
      <c r="B401" s="1179">
        <v>-0.73580000000000001</v>
      </c>
      <c r="C401" s="1209">
        <v>551364682</v>
      </c>
      <c r="D401" s="1205"/>
      <c r="E401" s="77">
        <f>B401-Index_Returns!W401</f>
        <v>0.60739999999999994</v>
      </c>
      <c r="F401" s="1" t="s">
        <v>395</v>
      </c>
    </row>
    <row r="402" spans="1:6" x14ac:dyDescent="0.2">
      <c r="A402" s="345">
        <v>39752</v>
      </c>
      <c r="B402" s="253">
        <f t="shared" ref="B402:B428" si="0">D402-((D$1/12)/100)</f>
        <v>-3.7994999999999997</v>
      </c>
      <c r="C402" s="346">
        <v>507192567.83999997</v>
      </c>
      <c r="D402" s="258">
        <v>-3.7894999999999999</v>
      </c>
      <c r="E402" s="78">
        <f>B402-Index_Returns!W402</f>
        <v>-1.4390999999999998</v>
      </c>
    </row>
    <row r="403" spans="1:6" x14ac:dyDescent="0.2">
      <c r="A403" s="345">
        <v>39782</v>
      </c>
      <c r="B403" s="253">
        <f t="shared" si="0"/>
        <v>1.5196000000000001</v>
      </c>
      <c r="C403" s="346">
        <v>413727381.44</v>
      </c>
      <c r="D403" s="258">
        <v>1.5296000000000001</v>
      </c>
      <c r="E403" s="78">
        <f>B403-Index_Returns!W403</f>
        <v>-1.7353999999999998</v>
      </c>
    </row>
    <row r="404" spans="1:6" x14ac:dyDescent="0.2">
      <c r="A404" s="345">
        <v>39813</v>
      </c>
      <c r="B404" s="253">
        <f t="shared" si="0"/>
        <v>3.1626000000000003</v>
      </c>
      <c r="C404" s="346">
        <v>336265260.27999997</v>
      </c>
      <c r="D404" s="258">
        <v>3.1726000000000001</v>
      </c>
      <c r="E404" s="78">
        <f>B404-Index_Returns!W404</f>
        <v>-0.56829999999999981</v>
      </c>
    </row>
    <row r="405" spans="1:6" x14ac:dyDescent="0.2">
      <c r="A405" s="345">
        <v>39844</v>
      </c>
      <c r="B405" s="253">
        <f t="shared" si="0"/>
        <v>-0.33279999999999998</v>
      </c>
      <c r="C405" s="346">
        <v>312528535</v>
      </c>
      <c r="D405" s="258">
        <v>-0.32279999999999998</v>
      </c>
      <c r="E405" s="78">
        <f>B405-Index_Returns!W405</f>
        <v>0.54949999999999999</v>
      </c>
    </row>
    <row r="406" spans="1:6" x14ac:dyDescent="0.2">
      <c r="A406" s="345">
        <v>39872</v>
      </c>
      <c r="B406" s="253">
        <f t="shared" si="0"/>
        <v>-1.1977</v>
      </c>
      <c r="C406" s="346">
        <v>309969398.80000001</v>
      </c>
      <c r="D406" s="258">
        <v>-1.1877</v>
      </c>
      <c r="E406" s="78">
        <f>B406-Index_Returns!W406</f>
        <v>-0.82010000000000005</v>
      </c>
    </row>
    <row r="407" spans="1:6" x14ac:dyDescent="0.2">
      <c r="A407" s="345">
        <v>39903</v>
      </c>
      <c r="B407" s="253">
        <f t="shared" si="0"/>
        <v>1.6284000000000001</v>
      </c>
      <c r="C407" s="346">
        <v>269738786.06999999</v>
      </c>
      <c r="D407" s="258">
        <v>1.6384000000000001</v>
      </c>
      <c r="E407" s="78">
        <f>B407-Index_Returns!W407</f>
        <v>0.23819999999999997</v>
      </c>
    </row>
    <row r="408" spans="1:6" x14ac:dyDescent="0.2">
      <c r="A408" s="345">
        <v>39933</v>
      </c>
      <c r="B408" s="253">
        <v>2.4899999999999922</v>
      </c>
      <c r="C408" s="346">
        <v>251054719.21000001</v>
      </c>
      <c r="E408" s="78">
        <f>B408-Index_Returns!W408</f>
        <v>2.0113999999999921</v>
      </c>
    </row>
    <row r="409" spans="1:6" x14ac:dyDescent="0.2">
      <c r="A409" s="345">
        <v>39964</v>
      </c>
      <c r="B409" s="253">
        <v>2.1600000000000064</v>
      </c>
      <c r="C409" s="346">
        <v>252454521.71000001</v>
      </c>
      <c r="E409" s="78">
        <f>B409-Index_Returns!W409</f>
        <v>1.4349000000000065</v>
      </c>
    </row>
    <row r="410" spans="1:6" x14ac:dyDescent="0.2">
      <c r="A410" s="345">
        <v>39994</v>
      </c>
      <c r="B410" s="253">
        <v>1.7900000000000027</v>
      </c>
      <c r="C410" s="346">
        <v>210337789.91999999</v>
      </c>
      <c r="E410" s="78">
        <f>B410-Index_Returns!W410</f>
        <v>1.2216000000000027</v>
      </c>
    </row>
    <row r="411" spans="1:6" x14ac:dyDescent="0.2">
      <c r="A411" s="345">
        <v>40025</v>
      </c>
      <c r="B411" s="253">
        <f t="shared" si="0"/>
        <v>2.7884000000000002</v>
      </c>
      <c r="C411" s="346">
        <v>166178701.90000001</v>
      </c>
      <c r="D411" s="258">
        <v>2.7984</v>
      </c>
      <c r="E411" s="78">
        <f>B411-Index_Returns!W411</f>
        <v>1.1751000000000003</v>
      </c>
    </row>
    <row r="412" spans="1:6" x14ac:dyDescent="0.2">
      <c r="A412" s="345">
        <v>40056</v>
      </c>
      <c r="B412" s="253">
        <f t="shared" si="0"/>
        <v>1.7803</v>
      </c>
      <c r="C412" s="346">
        <v>169153716.78999999</v>
      </c>
      <c r="D412" s="258">
        <v>1.7903</v>
      </c>
      <c r="E412" s="78">
        <f>B412-Index_Returns!W412</f>
        <v>0.7448999999999999</v>
      </c>
    </row>
    <row r="413" spans="1:6" x14ac:dyDescent="0.2">
      <c r="A413" s="345">
        <v>40086</v>
      </c>
      <c r="B413" s="253">
        <f t="shared" si="0"/>
        <v>-0.11839999999999999</v>
      </c>
      <c r="C413" s="346">
        <v>9051275.3900000006</v>
      </c>
      <c r="D413" s="258">
        <v>-0.1084</v>
      </c>
      <c r="E413" s="78">
        <f>B413-Index_Returns!W413</f>
        <v>-1.1691</v>
      </c>
    </row>
    <row r="414" spans="1:6" x14ac:dyDescent="0.2">
      <c r="A414" s="345">
        <v>40117</v>
      </c>
      <c r="B414" s="253">
        <f t="shared" si="0"/>
        <v>-6.0000000000000005E-2</v>
      </c>
      <c r="C414" s="346">
        <v>709</v>
      </c>
      <c r="D414" s="258">
        <v>-0.05</v>
      </c>
      <c r="E414" s="78">
        <f>B414-Index_Returns!W414</f>
        <v>-0.55000000000000004</v>
      </c>
    </row>
    <row r="415" spans="1:6" x14ac:dyDescent="0.2">
      <c r="A415" s="345">
        <v>40147</v>
      </c>
      <c r="B415" s="253">
        <f t="shared" si="0"/>
        <v>-0.01</v>
      </c>
      <c r="C415" s="346">
        <v>0</v>
      </c>
      <c r="D415" s="258">
        <v>0</v>
      </c>
      <c r="E415" s="78">
        <f>B415-Index_Returns!W415</f>
        <v>-1.304</v>
      </c>
    </row>
    <row r="416" spans="1:6" x14ac:dyDescent="0.2">
      <c r="A416" s="345">
        <v>40178</v>
      </c>
      <c r="B416" s="253">
        <f t="shared" si="0"/>
        <v>-0.01</v>
      </c>
      <c r="C416" s="346"/>
      <c r="E416" s="78">
        <f>B416-Index_Returns!W416</f>
        <v>1.5535099999999999</v>
      </c>
    </row>
    <row r="417" spans="1:5" x14ac:dyDescent="0.2">
      <c r="A417" s="345">
        <v>40209</v>
      </c>
      <c r="B417" s="253">
        <f t="shared" si="0"/>
        <v>-0.01</v>
      </c>
      <c r="C417" s="346"/>
      <c r="E417" s="78">
        <f>B417-Index_Returns!W417</f>
        <v>-1.5377799999999999</v>
      </c>
    </row>
    <row r="418" spans="1:5" x14ac:dyDescent="0.2">
      <c r="A418" s="345">
        <v>40237</v>
      </c>
      <c r="B418" s="253">
        <f t="shared" si="0"/>
        <v>-0.01</v>
      </c>
      <c r="C418" s="346"/>
      <c r="E418" s="78">
        <f>B418-Index_Returns!W418</f>
        <v>-0.38331999999999999</v>
      </c>
    </row>
    <row r="419" spans="1:5" x14ac:dyDescent="0.2">
      <c r="A419" s="345">
        <v>40268</v>
      </c>
      <c r="B419" s="253">
        <f t="shared" si="0"/>
        <v>-0.01</v>
      </c>
      <c r="C419" s="346"/>
      <c r="E419" s="78">
        <f>B419-Index_Returns!W419</f>
        <v>0.11262000000000001</v>
      </c>
    </row>
    <row r="420" spans="1:5" x14ac:dyDescent="0.2">
      <c r="A420" s="345">
        <v>40298</v>
      </c>
      <c r="B420" s="253">
        <f t="shared" si="0"/>
        <v>-0.01</v>
      </c>
      <c r="C420" s="346"/>
      <c r="E420" s="78">
        <f>B420-Index_Returns!W420</f>
        <v>-1.05098</v>
      </c>
    </row>
    <row r="421" spans="1:5" x14ac:dyDescent="0.2">
      <c r="A421" s="345">
        <v>40329</v>
      </c>
      <c r="B421" s="253">
        <f t="shared" si="0"/>
        <v>-0.01</v>
      </c>
      <c r="C421" s="346"/>
      <c r="E421" s="78">
        <f>B421-Index_Returns!W421</f>
        <v>-0.85108000000000006</v>
      </c>
    </row>
    <row r="422" spans="1:5" x14ac:dyDescent="0.2">
      <c r="A422" s="345">
        <v>40359</v>
      </c>
      <c r="B422" s="253">
        <f t="shared" si="0"/>
        <v>-0.01</v>
      </c>
      <c r="C422" s="346"/>
      <c r="E422" s="78">
        <f>B422-Index_Returns!W422</f>
        <v>-1.57816</v>
      </c>
    </row>
    <row r="423" spans="1:5" x14ac:dyDescent="0.2">
      <c r="A423" s="345">
        <v>40390</v>
      </c>
      <c r="B423" s="253">
        <f t="shared" si="0"/>
        <v>-0.01</v>
      </c>
      <c r="C423" s="346"/>
      <c r="E423" s="78">
        <f>B423-Index_Returns!W423</f>
        <v>-1.07738</v>
      </c>
    </row>
    <row r="424" spans="1:5" x14ac:dyDescent="0.2">
      <c r="A424" s="345">
        <v>40421</v>
      </c>
      <c r="B424" s="253">
        <f t="shared" si="0"/>
        <v>-0.01</v>
      </c>
      <c r="C424" s="346"/>
      <c r="E424" s="78">
        <f>B424-Index_Returns!W424</f>
        <v>-1.2965500000000001</v>
      </c>
    </row>
    <row r="425" spans="1:5" x14ac:dyDescent="0.2">
      <c r="A425" s="345">
        <v>40451</v>
      </c>
      <c r="B425" s="253">
        <f t="shared" si="0"/>
        <v>-0.01</v>
      </c>
      <c r="C425" s="346"/>
      <c r="E425" s="78">
        <f>B425-Index_Returns!W425</f>
        <v>-0.11671999999999999</v>
      </c>
    </row>
    <row r="426" spans="1:5" x14ac:dyDescent="0.2">
      <c r="A426" s="345">
        <v>40482</v>
      </c>
      <c r="B426" s="253">
        <f t="shared" si="0"/>
        <v>-0.01</v>
      </c>
      <c r="C426" s="346"/>
      <c r="E426" s="78">
        <f>B426-Index_Returns!W426</f>
        <v>-0.36584</v>
      </c>
    </row>
    <row r="427" spans="1:5" x14ac:dyDescent="0.2">
      <c r="A427" s="345">
        <v>40512</v>
      </c>
      <c r="B427" s="253">
        <f t="shared" si="0"/>
        <v>-0.01</v>
      </c>
      <c r="C427" s="346"/>
      <c r="E427" s="78">
        <f>B427-Index_Returns!W427</f>
        <v>0.56477999999999995</v>
      </c>
    </row>
    <row r="428" spans="1:5" x14ac:dyDescent="0.2">
      <c r="A428" s="345">
        <v>40543</v>
      </c>
      <c r="B428" s="253">
        <f t="shared" si="0"/>
        <v>-0.01</v>
      </c>
      <c r="C428" s="346"/>
      <c r="E428" s="78">
        <f>B428-Index_Returns!W428</f>
        <v>1.0683199999999999</v>
      </c>
    </row>
  </sheetData>
  <phoneticPr fontId="3" type="noConversion"/>
  <printOptions headings="1" gridLines="1"/>
  <pageMargins left="0.78740157480314965" right="0.78740157480314965" top="0.78740157480314965" bottom="0.78740157480314965" header="0.39370078740157483" footer="0.39370078740157483"/>
  <pageSetup scale="13" orientation="portrait" r:id="rId1"/>
  <headerFooter alignWithMargins="0">
    <oddHeader>&amp;L&amp;A</oddHeader>
  </headerFooter>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FF0000"/>
    <pageSetUpPr fitToPage="1"/>
  </sheetPr>
  <dimension ref="A1:H452"/>
  <sheetViews>
    <sheetView workbookViewId="0">
      <pane xSplit="1" ySplit="2" topLeftCell="B415" activePane="bottomRight" state="frozen"/>
      <selection activeCell="D435" sqref="D435"/>
      <selection pane="topRight" activeCell="D435" sqref="D435"/>
      <selection pane="bottomLeft" activeCell="D435" sqref="D435"/>
      <selection pane="bottomRight" activeCell="C448" sqref="C448"/>
    </sheetView>
  </sheetViews>
  <sheetFormatPr defaultRowHeight="12.75" x14ac:dyDescent="0.2"/>
  <cols>
    <col min="1" max="1" width="18.7109375" style="21" customWidth="1"/>
    <col min="2" max="2" width="18.7109375" style="257" customWidth="1"/>
    <col min="3" max="3" width="18.7109375" style="346" customWidth="1"/>
    <col min="4" max="4" width="18.7109375" style="258" customWidth="1"/>
    <col min="5" max="5" width="9.140625" style="14"/>
    <col min="6" max="6" width="12.85546875" bestFit="1" customWidth="1"/>
    <col min="7" max="8" width="9.140625" style="352"/>
  </cols>
  <sheetData>
    <row r="1" spans="1:4" x14ac:dyDescent="0.2">
      <c r="A1" s="266" t="s">
        <v>136</v>
      </c>
      <c r="B1" s="1376" t="s">
        <v>509</v>
      </c>
      <c r="C1" s="1382" t="s">
        <v>120</v>
      </c>
      <c r="D1" s="1370">
        <v>5</v>
      </c>
    </row>
    <row r="2" spans="1:4" x14ac:dyDescent="0.2">
      <c r="A2" s="3" t="s">
        <v>27</v>
      </c>
      <c r="B2" s="71" t="s">
        <v>91</v>
      </c>
      <c r="C2" s="226" t="s">
        <v>92</v>
      </c>
      <c r="D2" s="71" t="s">
        <v>90</v>
      </c>
    </row>
    <row r="3" spans="1:4" x14ac:dyDescent="0.2">
      <c r="A3" s="345">
        <v>27606</v>
      </c>
      <c r="B3" s="71"/>
      <c r="C3" s="226"/>
      <c r="D3" s="71"/>
    </row>
    <row r="4" spans="1:4" x14ac:dyDescent="0.2">
      <c r="A4" s="345">
        <v>27637</v>
      </c>
      <c r="B4" s="71"/>
      <c r="C4" s="226"/>
      <c r="D4" s="71"/>
    </row>
    <row r="5" spans="1:4" x14ac:dyDescent="0.2">
      <c r="A5" s="345">
        <v>27667</v>
      </c>
      <c r="B5" s="71"/>
      <c r="C5" s="226"/>
      <c r="D5" s="71"/>
    </row>
    <row r="6" spans="1:4" x14ac:dyDescent="0.2">
      <c r="A6" s="345">
        <v>27698</v>
      </c>
      <c r="B6" s="71"/>
      <c r="C6" s="226"/>
      <c r="D6" s="71"/>
    </row>
    <row r="7" spans="1:4" x14ac:dyDescent="0.2">
      <c r="A7" s="345">
        <v>27728</v>
      </c>
      <c r="B7" s="71"/>
      <c r="C7" s="226"/>
      <c r="D7" s="71"/>
    </row>
    <row r="8" spans="1:4" x14ac:dyDescent="0.2">
      <c r="A8" s="345">
        <v>27759</v>
      </c>
      <c r="B8" s="71"/>
      <c r="C8" s="226"/>
      <c r="D8" s="71"/>
    </row>
    <row r="9" spans="1:4" x14ac:dyDescent="0.2">
      <c r="A9" s="345">
        <v>27790</v>
      </c>
      <c r="B9" s="71"/>
      <c r="C9" s="226"/>
      <c r="D9" s="71"/>
    </row>
    <row r="10" spans="1:4" x14ac:dyDescent="0.2">
      <c r="A10" s="345">
        <v>27819</v>
      </c>
      <c r="B10" s="71"/>
      <c r="C10" s="226"/>
      <c r="D10" s="71"/>
    </row>
    <row r="11" spans="1:4" x14ac:dyDescent="0.2">
      <c r="A11" s="345">
        <v>27850</v>
      </c>
      <c r="B11" s="71"/>
      <c r="C11" s="226"/>
      <c r="D11" s="71"/>
    </row>
    <row r="12" spans="1:4" x14ac:dyDescent="0.2">
      <c r="A12" s="345">
        <v>27880</v>
      </c>
      <c r="B12" s="71"/>
      <c r="C12" s="226"/>
      <c r="D12" s="71"/>
    </row>
    <row r="13" spans="1:4" x14ac:dyDescent="0.2">
      <c r="A13" s="345">
        <v>27911</v>
      </c>
      <c r="B13" s="71"/>
      <c r="C13" s="226"/>
      <c r="D13" s="71"/>
    </row>
    <row r="14" spans="1:4" x14ac:dyDescent="0.2">
      <c r="A14" s="345">
        <v>27941</v>
      </c>
      <c r="B14" s="71"/>
      <c r="C14" s="226"/>
      <c r="D14" s="71"/>
    </row>
    <row r="15" spans="1:4" x14ac:dyDescent="0.2">
      <c r="A15" s="345">
        <v>27972</v>
      </c>
      <c r="B15" s="71"/>
      <c r="C15" s="226"/>
      <c r="D15" s="71"/>
    </row>
    <row r="16" spans="1:4" x14ac:dyDescent="0.2">
      <c r="A16" s="345">
        <v>28003</v>
      </c>
      <c r="B16" s="71"/>
      <c r="C16" s="226"/>
      <c r="D16" s="71"/>
    </row>
    <row r="17" spans="1:4" x14ac:dyDescent="0.2">
      <c r="A17" s="345">
        <v>28033</v>
      </c>
      <c r="B17" s="71"/>
      <c r="C17" s="226"/>
      <c r="D17" s="71"/>
    </row>
    <row r="18" spans="1:4" x14ac:dyDescent="0.2">
      <c r="A18" s="345">
        <v>28064</v>
      </c>
      <c r="B18" s="71"/>
      <c r="C18" s="226"/>
      <c r="D18" s="71"/>
    </row>
    <row r="19" spans="1:4" x14ac:dyDescent="0.2">
      <c r="A19" s="345">
        <v>28094</v>
      </c>
      <c r="B19" s="71"/>
      <c r="C19" s="226"/>
      <c r="D19" s="71"/>
    </row>
    <row r="20" spans="1:4" x14ac:dyDescent="0.2">
      <c r="A20" s="345">
        <v>28125</v>
      </c>
      <c r="B20" s="71"/>
      <c r="C20" s="226"/>
      <c r="D20" s="71"/>
    </row>
    <row r="21" spans="1:4" x14ac:dyDescent="0.2">
      <c r="A21" s="345">
        <v>28156</v>
      </c>
      <c r="B21" s="71"/>
      <c r="C21" s="226"/>
      <c r="D21" s="71"/>
    </row>
    <row r="22" spans="1:4" x14ac:dyDescent="0.2">
      <c r="A22" s="345">
        <v>28184</v>
      </c>
      <c r="B22" s="71"/>
      <c r="C22" s="226"/>
      <c r="D22" s="71"/>
    </row>
    <row r="23" spans="1:4" x14ac:dyDescent="0.2">
      <c r="A23" s="345">
        <v>28215</v>
      </c>
      <c r="B23" s="71"/>
      <c r="C23" s="226"/>
      <c r="D23" s="71"/>
    </row>
    <row r="24" spans="1:4" x14ac:dyDescent="0.2">
      <c r="A24" s="345">
        <v>28245</v>
      </c>
      <c r="B24" s="71"/>
      <c r="C24" s="226"/>
      <c r="D24" s="71"/>
    </row>
    <row r="25" spans="1:4" x14ac:dyDescent="0.2">
      <c r="A25" s="345">
        <v>28276</v>
      </c>
      <c r="B25" s="71"/>
      <c r="C25" s="226"/>
      <c r="D25" s="71"/>
    </row>
    <row r="26" spans="1:4" x14ac:dyDescent="0.2">
      <c r="A26" s="345">
        <v>28306</v>
      </c>
      <c r="B26" s="71"/>
      <c r="C26" s="226"/>
      <c r="D26" s="71"/>
    </row>
    <row r="27" spans="1:4" x14ac:dyDescent="0.2">
      <c r="A27" s="345">
        <v>28337</v>
      </c>
      <c r="B27" s="71"/>
      <c r="C27" s="226"/>
      <c r="D27" s="71"/>
    </row>
    <row r="28" spans="1:4" x14ac:dyDescent="0.2">
      <c r="A28" s="345">
        <v>28368</v>
      </c>
      <c r="B28" s="71"/>
      <c r="C28" s="226"/>
      <c r="D28" s="71"/>
    </row>
    <row r="29" spans="1:4" x14ac:dyDescent="0.2">
      <c r="A29" s="345">
        <v>28398</v>
      </c>
      <c r="B29" s="71"/>
      <c r="C29" s="226"/>
      <c r="D29" s="71"/>
    </row>
    <row r="30" spans="1:4" x14ac:dyDescent="0.2">
      <c r="A30" s="345">
        <v>28429</v>
      </c>
      <c r="B30" s="71"/>
      <c r="C30" s="226"/>
      <c r="D30" s="71"/>
    </row>
    <row r="31" spans="1:4" x14ac:dyDescent="0.2">
      <c r="A31" s="345">
        <v>28459</v>
      </c>
      <c r="B31" s="71"/>
      <c r="C31" s="226"/>
      <c r="D31" s="71"/>
    </row>
    <row r="32" spans="1:4" x14ac:dyDescent="0.2">
      <c r="A32" s="345">
        <v>28490</v>
      </c>
      <c r="B32" s="71"/>
      <c r="C32" s="226"/>
      <c r="D32" s="71"/>
    </row>
    <row r="33" spans="1:4" x14ac:dyDescent="0.2">
      <c r="A33" s="345">
        <v>28521</v>
      </c>
      <c r="B33" s="71"/>
      <c r="C33" s="226"/>
      <c r="D33" s="71"/>
    </row>
    <row r="34" spans="1:4" x14ac:dyDescent="0.2">
      <c r="A34" s="345">
        <v>28549</v>
      </c>
      <c r="B34" s="71"/>
      <c r="C34" s="226"/>
      <c r="D34" s="71"/>
    </row>
    <row r="35" spans="1:4" x14ac:dyDescent="0.2">
      <c r="A35" s="345">
        <v>28580</v>
      </c>
      <c r="B35" s="71"/>
      <c r="C35" s="226"/>
      <c r="D35" s="71"/>
    </row>
    <row r="36" spans="1:4" x14ac:dyDescent="0.2">
      <c r="A36" s="345">
        <v>28610</v>
      </c>
      <c r="B36" s="71"/>
      <c r="C36" s="226"/>
      <c r="D36" s="71"/>
    </row>
    <row r="37" spans="1:4" x14ac:dyDescent="0.2">
      <c r="A37" s="345">
        <v>28641</v>
      </c>
      <c r="B37" s="71"/>
      <c r="C37" s="226"/>
      <c r="D37" s="71"/>
    </row>
    <row r="38" spans="1:4" x14ac:dyDescent="0.2">
      <c r="A38" s="345">
        <v>28671</v>
      </c>
      <c r="B38" s="71"/>
      <c r="C38" s="226"/>
      <c r="D38" s="71"/>
    </row>
    <row r="39" spans="1:4" x14ac:dyDescent="0.2">
      <c r="A39" s="345">
        <v>28702</v>
      </c>
      <c r="B39" s="71"/>
      <c r="C39" s="226"/>
      <c r="D39" s="71"/>
    </row>
    <row r="40" spans="1:4" x14ac:dyDescent="0.2">
      <c r="A40" s="345">
        <v>28733</v>
      </c>
      <c r="B40" s="71"/>
      <c r="C40" s="226"/>
      <c r="D40" s="71"/>
    </row>
    <row r="41" spans="1:4" x14ac:dyDescent="0.2">
      <c r="A41" s="345">
        <v>28763</v>
      </c>
      <c r="B41" s="71"/>
      <c r="C41" s="226"/>
      <c r="D41" s="71"/>
    </row>
    <row r="42" spans="1:4" x14ac:dyDescent="0.2">
      <c r="A42" s="345">
        <v>28794</v>
      </c>
      <c r="B42" s="71"/>
      <c r="C42" s="226"/>
      <c r="D42" s="71"/>
    </row>
    <row r="43" spans="1:4" x14ac:dyDescent="0.2">
      <c r="A43" s="345">
        <v>28824</v>
      </c>
      <c r="B43" s="71"/>
      <c r="C43" s="226"/>
      <c r="D43" s="71"/>
    </row>
    <row r="44" spans="1:4" x14ac:dyDescent="0.2">
      <c r="A44" s="345">
        <v>28855</v>
      </c>
      <c r="B44" s="71"/>
      <c r="C44" s="226"/>
      <c r="D44" s="71"/>
    </row>
    <row r="45" spans="1:4" x14ac:dyDescent="0.2">
      <c r="A45" s="345">
        <v>28886</v>
      </c>
      <c r="B45" s="71"/>
      <c r="C45" s="226"/>
      <c r="D45" s="71"/>
    </row>
    <row r="46" spans="1:4" x14ac:dyDescent="0.2">
      <c r="A46" s="345">
        <v>28914</v>
      </c>
      <c r="B46" s="71"/>
      <c r="C46" s="226"/>
      <c r="D46" s="71"/>
    </row>
    <row r="47" spans="1:4" x14ac:dyDescent="0.2">
      <c r="A47" s="345">
        <v>28945</v>
      </c>
      <c r="B47" s="71"/>
      <c r="C47" s="226"/>
      <c r="D47" s="71"/>
    </row>
    <row r="48" spans="1:4" x14ac:dyDescent="0.2">
      <c r="A48" s="345">
        <v>28975</v>
      </c>
      <c r="B48" s="71"/>
      <c r="C48" s="226"/>
      <c r="D48" s="71"/>
    </row>
    <row r="49" spans="1:4" x14ac:dyDescent="0.2">
      <c r="A49" s="345">
        <v>29006</v>
      </c>
      <c r="B49" s="71"/>
      <c r="C49" s="226"/>
      <c r="D49" s="71"/>
    </row>
    <row r="50" spans="1:4" x14ac:dyDescent="0.2">
      <c r="A50" s="345">
        <v>29036</v>
      </c>
      <c r="B50" s="71"/>
      <c r="C50" s="226"/>
      <c r="D50" s="71"/>
    </row>
    <row r="51" spans="1:4" x14ac:dyDescent="0.2">
      <c r="A51" s="345">
        <v>29067</v>
      </c>
      <c r="B51" s="71"/>
      <c r="C51" s="226"/>
      <c r="D51" s="71"/>
    </row>
    <row r="52" spans="1:4" x14ac:dyDescent="0.2">
      <c r="A52" s="345">
        <v>29098</v>
      </c>
      <c r="B52" s="71"/>
      <c r="C52" s="226"/>
      <c r="D52" s="71"/>
    </row>
    <row r="53" spans="1:4" x14ac:dyDescent="0.2">
      <c r="A53" s="345">
        <v>29128</v>
      </c>
      <c r="B53" s="71"/>
      <c r="C53" s="226"/>
      <c r="D53" s="71"/>
    </row>
    <row r="54" spans="1:4" x14ac:dyDescent="0.2">
      <c r="A54" s="345">
        <v>29159</v>
      </c>
      <c r="B54" s="71"/>
      <c r="C54" s="226"/>
      <c r="D54" s="71"/>
    </row>
    <row r="55" spans="1:4" x14ac:dyDescent="0.2">
      <c r="A55" s="345">
        <v>29189</v>
      </c>
      <c r="B55" s="71"/>
      <c r="C55" s="226"/>
      <c r="D55" s="71"/>
    </row>
    <row r="56" spans="1:4" x14ac:dyDescent="0.2">
      <c r="A56" s="345">
        <v>29220</v>
      </c>
      <c r="B56" s="71"/>
      <c r="C56" s="226"/>
      <c r="D56" s="71"/>
    </row>
    <row r="57" spans="1:4" x14ac:dyDescent="0.2">
      <c r="A57" s="345">
        <v>29251</v>
      </c>
      <c r="B57" s="71"/>
      <c r="C57" s="226"/>
      <c r="D57" s="71"/>
    </row>
    <row r="58" spans="1:4" x14ac:dyDescent="0.2">
      <c r="A58" s="345">
        <v>29280</v>
      </c>
      <c r="B58" s="71"/>
      <c r="C58" s="226"/>
      <c r="D58" s="71"/>
    </row>
    <row r="59" spans="1:4" x14ac:dyDescent="0.2">
      <c r="A59" s="345">
        <v>29311</v>
      </c>
      <c r="B59" s="71"/>
      <c r="C59" s="226"/>
      <c r="D59" s="71"/>
    </row>
    <row r="60" spans="1:4" x14ac:dyDescent="0.2">
      <c r="A60" s="345">
        <v>29341</v>
      </c>
      <c r="B60" s="71"/>
      <c r="C60" s="226"/>
      <c r="D60" s="71"/>
    </row>
    <row r="61" spans="1:4" x14ac:dyDescent="0.2">
      <c r="A61" s="345">
        <v>29372</v>
      </c>
      <c r="B61" s="71"/>
      <c r="C61" s="226"/>
      <c r="D61" s="71"/>
    </row>
    <row r="62" spans="1:4" x14ac:dyDescent="0.2">
      <c r="A62" s="345">
        <v>29402</v>
      </c>
      <c r="B62" s="71"/>
      <c r="C62" s="226"/>
      <c r="D62" s="71"/>
    </row>
    <row r="63" spans="1:4" x14ac:dyDescent="0.2">
      <c r="A63" s="345">
        <v>29433</v>
      </c>
      <c r="B63" s="71"/>
      <c r="C63" s="226"/>
      <c r="D63" s="71"/>
    </row>
    <row r="64" spans="1:4" x14ac:dyDescent="0.2">
      <c r="A64" s="345">
        <v>29464</v>
      </c>
      <c r="B64" s="71"/>
      <c r="C64" s="226"/>
      <c r="D64" s="71"/>
    </row>
    <row r="65" spans="1:4" x14ac:dyDescent="0.2">
      <c r="A65" s="345">
        <v>29494</v>
      </c>
      <c r="B65" s="71"/>
      <c r="C65" s="226"/>
      <c r="D65" s="71"/>
    </row>
    <row r="66" spans="1:4" x14ac:dyDescent="0.2">
      <c r="A66" s="345">
        <v>29525</v>
      </c>
      <c r="B66" s="71"/>
      <c r="C66" s="226"/>
      <c r="D66" s="71"/>
    </row>
    <row r="67" spans="1:4" x14ac:dyDescent="0.2">
      <c r="A67" s="345">
        <v>29555</v>
      </c>
      <c r="B67" s="71"/>
      <c r="C67" s="226"/>
      <c r="D67" s="71"/>
    </row>
    <row r="68" spans="1:4" x14ac:dyDescent="0.2">
      <c r="A68" s="345">
        <v>29586</v>
      </c>
      <c r="B68" s="71"/>
      <c r="C68" s="226"/>
      <c r="D68" s="71"/>
    </row>
    <row r="69" spans="1:4" x14ac:dyDescent="0.2">
      <c r="A69" s="345">
        <v>29617</v>
      </c>
      <c r="B69" s="71"/>
      <c r="C69" s="226"/>
      <c r="D69" s="71"/>
    </row>
    <row r="70" spans="1:4" x14ac:dyDescent="0.2">
      <c r="A70" s="345">
        <v>29645</v>
      </c>
      <c r="B70" s="71"/>
      <c r="C70" s="226"/>
      <c r="D70" s="71"/>
    </row>
    <row r="71" spans="1:4" x14ac:dyDescent="0.2">
      <c r="A71" s="345">
        <v>29676</v>
      </c>
      <c r="B71" s="71"/>
      <c r="C71" s="226"/>
      <c r="D71" s="71"/>
    </row>
    <row r="72" spans="1:4" x14ac:dyDescent="0.2">
      <c r="A72" s="345">
        <v>29706</v>
      </c>
      <c r="B72" s="71"/>
      <c r="C72" s="226"/>
      <c r="D72" s="71"/>
    </row>
    <row r="73" spans="1:4" x14ac:dyDescent="0.2">
      <c r="A73" s="345">
        <v>29737</v>
      </c>
      <c r="B73" s="71"/>
      <c r="C73" s="226"/>
      <c r="D73" s="71"/>
    </row>
    <row r="74" spans="1:4" x14ac:dyDescent="0.2">
      <c r="A74" s="345">
        <v>29767</v>
      </c>
      <c r="B74" s="71"/>
      <c r="C74" s="226"/>
      <c r="D74" s="71"/>
    </row>
    <row r="75" spans="1:4" x14ac:dyDescent="0.2">
      <c r="A75" s="345">
        <v>29798</v>
      </c>
      <c r="B75" s="71"/>
      <c r="C75" s="226"/>
      <c r="D75" s="71"/>
    </row>
    <row r="76" spans="1:4" x14ac:dyDescent="0.2">
      <c r="A76" s="345">
        <v>29829</v>
      </c>
      <c r="B76" s="71"/>
      <c r="C76" s="226"/>
      <c r="D76" s="71"/>
    </row>
    <row r="77" spans="1:4" x14ac:dyDescent="0.2">
      <c r="A77" s="345">
        <v>29859</v>
      </c>
      <c r="B77" s="71"/>
      <c r="C77" s="226"/>
      <c r="D77" s="71"/>
    </row>
    <row r="78" spans="1:4" x14ac:dyDescent="0.2">
      <c r="A78" s="345">
        <v>29890</v>
      </c>
      <c r="B78" s="71"/>
      <c r="C78" s="226"/>
      <c r="D78" s="71"/>
    </row>
    <row r="79" spans="1:4" x14ac:dyDescent="0.2">
      <c r="A79" s="345">
        <v>29920</v>
      </c>
      <c r="B79" s="71"/>
      <c r="C79" s="226"/>
      <c r="D79" s="71"/>
    </row>
    <row r="80" spans="1:4" x14ac:dyDescent="0.2">
      <c r="A80" s="345">
        <v>29951</v>
      </c>
      <c r="B80" s="71"/>
      <c r="C80" s="226"/>
      <c r="D80" s="71"/>
    </row>
    <row r="81" spans="1:4" x14ac:dyDescent="0.2">
      <c r="A81" s="345">
        <v>29982</v>
      </c>
      <c r="B81" s="71"/>
      <c r="C81" s="226"/>
      <c r="D81" s="71"/>
    </row>
    <row r="82" spans="1:4" x14ac:dyDescent="0.2">
      <c r="A82" s="345">
        <v>30010</v>
      </c>
      <c r="B82" s="71"/>
      <c r="C82" s="226"/>
      <c r="D82" s="71"/>
    </row>
    <row r="83" spans="1:4" x14ac:dyDescent="0.2">
      <c r="A83" s="345">
        <v>30041</v>
      </c>
      <c r="B83" s="71"/>
      <c r="C83" s="226"/>
      <c r="D83" s="71"/>
    </row>
    <row r="84" spans="1:4" x14ac:dyDescent="0.2">
      <c r="A84" s="345">
        <v>30071</v>
      </c>
      <c r="B84" s="71"/>
      <c r="C84" s="226"/>
      <c r="D84" s="71"/>
    </row>
    <row r="85" spans="1:4" x14ac:dyDescent="0.2">
      <c r="A85" s="345">
        <v>30102</v>
      </c>
      <c r="B85" s="71"/>
      <c r="C85" s="226"/>
      <c r="D85" s="71"/>
    </row>
    <row r="86" spans="1:4" x14ac:dyDescent="0.2">
      <c r="A86" s="345">
        <v>30132</v>
      </c>
      <c r="B86" s="71"/>
      <c r="C86" s="226"/>
      <c r="D86" s="71"/>
    </row>
    <row r="87" spans="1:4" x14ac:dyDescent="0.2">
      <c r="A87" s="345">
        <v>30163</v>
      </c>
      <c r="B87" s="71"/>
      <c r="C87" s="226"/>
      <c r="D87" s="71"/>
    </row>
    <row r="88" spans="1:4" x14ac:dyDescent="0.2">
      <c r="A88" s="345">
        <v>30194</v>
      </c>
      <c r="B88" s="71"/>
      <c r="C88" s="226"/>
      <c r="D88" s="71"/>
    </row>
    <row r="89" spans="1:4" x14ac:dyDescent="0.2">
      <c r="A89" s="345">
        <v>30224</v>
      </c>
      <c r="B89" s="71"/>
      <c r="C89" s="226"/>
      <c r="D89" s="71"/>
    </row>
    <row r="90" spans="1:4" x14ac:dyDescent="0.2">
      <c r="A90" s="345">
        <v>30255</v>
      </c>
      <c r="B90" s="71"/>
      <c r="C90" s="226"/>
      <c r="D90" s="71"/>
    </row>
    <row r="91" spans="1:4" x14ac:dyDescent="0.2">
      <c r="A91" s="345">
        <v>30285</v>
      </c>
      <c r="B91" s="71"/>
      <c r="C91" s="226"/>
      <c r="D91" s="71"/>
    </row>
    <row r="92" spans="1:4" x14ac:dyDescent="0.2">
      <c r="A92" s="345">
        <v>30316</v>
      </c>
      <c r="B92" s="71"/>
      <c r="C92" s="226"/>
      <c r="D92" s="71"/>
    </row>
    <row r="93" spans="1:4" x14ac:dyDescent="0.2">
      <c r="A93" s="345">
        <v>30347</v>
      </c>
      <c r="B93" s="71"/>
      <c r="C93" s="226"/>
      <c r="D93" s="71"/>
    </row>
    <row r="94" spans="1:4" x14ac:dyDescent="0.2">
      <c r="A94" s="345">
        <v>30375</v>
      </c>
      <c r="B94" s="71"/>
      <c r="C94" s="226"/>
      <c r="D94" s="71"/>
    </row>
    <row r="95" spans="1:4" x14ac:dyDescent="0.2">
      <c r="A95" s="345">
        <v>30406</v>
      </c>
      <c r="B95" s="71"/>
      <c r="C95" s="226"/>
      <c r="D95" s="71"/>
    </row>
    <row r="96" spans="1:4" x14ac:dyDescent="0.2">
      <c r="A96" s="345">
        <v>30436</v>
      </c>
      <c r="B96" s="71"/>
      <c r="C96" s="226"/>
      <c r="D96" s="71"/>
    </row>
    <row r="97" spans="1:4" x14ac:dyDescent="0.2">
      <c r="A97" s="345">
        <v>30467</v>
      </c>
      <c r="B97" s="71"/>
      <c r="C97" s="226"/>
      <c r="D97" s="71"/>
    </row>
    <row r="98" spans="1:4" x14ac:dyDescent="0.2">
      <c r="A98" s="345">
        <v>30497</v>
      </c>
      <c r="B98" s="71"/>
      <c r="C98" s="226"/>
      <c r="D98" s="71"/>
    </row>
    <row r="99" spans="1:4" x14ac:dyDescent="0.2">
      <c r="A99" s="345">
        <v>30528</v>
      </c>
      <c r="B99" s="71"/>
      <c r="C99" s="226"/>
      <c r="D99" s="71"/>
    </row>
    <row r="100" spans="1:4" x14ac:dyDescent="0.2">
      <c r="A100" s="345">
        <v>30559</v>
      </c>
      <c r="B100" s="71"/>
      <c r="C100" s="226"/>
      <c r="D100" s="71"/>
    </row>
    <row r="101" spans="1:4" x14ac:dyDescent="0.2">
      <c r="A101" s="345">
        <v>30589</v>
      </c>
      <c r="B101" s="71"/>
      <c r="C101" s="226"/>
      <c r="D101" s="71"/>
    </row>
    <row r="102" spans="1:4" x14ac:dyDescent="0.2">
      <c r="A102" s="345">
        <v>30620</v>
      </c>
      <c r="B102" s="71"/>
      <c r="C102" s="226"/>
      <c r="D102" s="71"/>
    </row>
    <row r="103" spans="1:4" x14ac:dyDescent="0.2">
      <c r="A103" s="345">
        <v>30650</v>
      </c>
      <c r="B103" s="71"/>
      <c r="C103" s="226"/>
      <c r="D103" s="71"/>
    </row>
    <row r="104" spans="1:4" x14ac:dyDescent="0.2">
      <c r="A104" s="345">
        <v>30681</v>
      </c>
      <c r="B104" s="71"/>
      <c r="C104" s="226"/>
      <c r="D104" s="71"/>
    </row>
    <row r="105" spans="1:4" x14ac:dyDescent="0.2">
      <c r="A105" s="345">
        <v>30712</v>
      </c>
      <c r="B105" s="71"/>
      <c r="C105" s="226"/>
      <c r="D105" s="71"/>
    </row>
    <row r="106" spans="1:4" x14ac:dyDescent="0.2">
      <c r="A106" s="345">
        <v>30741</v>
      </c>
      <c r="B106" s="71"/>
      <c r="C106" s="226"/>
      <c r="D106" s="71"/>
    </row>
    <row r="107" spans="1:4" x14ac:dyDescent="0.2">
      <c r="A107" s="345">
        <v>30772</v>
      </c>
      <c r="B107" s="71"/>
      <c r="C107" s="226"/>
      <c r="D107" s="71"/>
    </row>
    <row r="108" spans="1:4" x14ac:dyDescent="0.2">
      <c r="A108" s="345">
        <v>30802</v>
      </c>
      <c r="B108" s="71"/>
      <c r="C108" s="226"/>
      <c r="D108" s="71"/>
    </row>
    <row r="109" spans="1:4" x14ac:dyDescent="0.2">
      <c r="A109" s="345">
        <v>30833</v>
      </c>
      <c r="B109" s="71"/>
      <c r="C109" s="226"/>
      <c r="D109" s="71"/>
    </row>
    <row r="110" spans="1:4" x14ac:dyDescent="0.2">
      <c r="A110" s="345">
        <v>30863</v>
      </c>
      <c r="B110" s="71"/>
      <c r="C110" s="226"/>
      <c r="D110" s="71"/>
    </row>
    <row r="111" spans="1:4" x14ac:dyDescent="0.2">
      <c r="A111" s="345">
        <v>30894</v>
      </c>
      <c r="B111" s="71"/>
      <c r="C111" s="226"/>
      <c r="D111" s="71"/>
    </row>
    <row r="112" spans="1:4" x14ac:dyDescent="0.2">
      <c r="A112" s="345">
        <v>30925</v>
      </c>
      <c r="B112" s="71"/>
      <c r="C112" s="226"/>
      <c r="D112" s="71"/>
    </row>
    <row r="113" spans="1:4" x14ac:dyDescent="0.2">
      <c r="A113" s="345">
        <v>30955</v>
      </c>
      <c r="B113" s="71"/>
      <c r="C113" s="226"/>
      <c r="D113" s="71"/>
    </row>
    <row r="114" spans="1:4" x14ac:dyDescent="0.2">
      <c r="A114" s="345">
        <v>30986</v>
      </c>
      <c r="B114" s="71"/>
      <c r="C114" s="226"/>
      <c r="D114" s="71"/>
    </row>
    <row r="115" spans="1:4" x14ac:dyDescent="0.2">
      <c r="A115" s="345">
        <v>31016</v>
      </c>
      <c r="B115" s="71"/>
      <c r="C115" s="226"/>
      <c r="D115" s="71"/>
    </row>
    <row r="116" spans="1:4" x14ac:dyDescent="0.2">
      <c r="A116" s="345">
        <v>31047</v>
      </c>
      <c r="B116" s="71"/>
      <c r="C116" s="226"/>
      <c r="D116" s="71"/>
    </row>
    <row r="117" spans="1:4" x14ac:dyDescent="0.2">
      <c r="A117" s="345">
        <v>31078</v>
      </c>
      <c r="B117" s="71"/>
      <c r="C117" s="226"/>
      <c r="D117" s="71"/>
    </row>
    <row r="118" spans="1:4" x14ac:dyDescent="0.2">
      <c r="A118" s="345">
        <v>31106</v>
      </c>
      <c r="B118" s="71"/>
      <c r="C118" s="226"/>
      <c r="D118" s="71"/>
    </row>
    <row r="119" spans="1:4" x14ac:dyDescent="0.2">
      <c r="A119" s="345">
        <v>31137</v>
      </c>
      <c r="B119" s="71"/>
      <c r="C119" s="226"/>
      <c r="D119" s="71"/>
    </row>
    <row r="120" spans="1:4" x14ac:dyDescent="0.2">
      <c r="A120" s="345">
        <v>31167</v>
      </c>
      <c r="B120" s="71"/>
      <c r="C120" s="226"/>
      <c r="D120" s="71"/>
    </row>
    <row r="121" spans="1:4" x14ac:dyDescent="0.2">
      <c r="A121" s="345">
        <v>31198</v>
      </c>
      <c r="B121" s="71"/>
      <c r="C121" s="226"/>
      <c r="D121" s="71"/>
    </row>
    <row r="122" spans="1:4" x14ac:dyDescent="0.2">
      <c r="A122" s="345">
        <v>31228</v>
      </c>
      <c r="B122" s="71"/>
      <c r="C122" s="226"/>
      <c r="D122" s="71"/>
    </row>
    <row r="123" spans="1:4" x14ac:dyDescent="0.2">
      <c r="A123" s="345">
        <v>31259</v>
      </c>
      <c r="B123" s="71"/>
      <c r="C123" s="226"/>
      <c r="D123" s="71"/>
    </row>
    <row r="124" spans="1:4" x14ac:dyDescent="0.2">
      <c r="A124" s="345">
        <v>31290</v>
      </c>
      <c r="B124" s="71"/>
      <c r="C124" s="226"/>
      <c r="D124" s="71"/>
    </row>
    <row r="125" spans="1:4" x14ac:dyDescent="0.2">
      <c r="A125" s="345">
        <v>31320</v>
      </c>
      <c r="B125" s="71"/>
      <c r="C125" s="226"/>
      <c r="D125" s="71"/>
    </row>
    <row r="126" spans="1:4" x14ac:dyDescent="0.2">
      <c r="A126" s="345">
        <v>31351</v>
      </c>
      <c r="B126" s="71"/>
      <c r="C126" s="226"/>
      <c r="D126" s="71"/>
    </row>
    <row r="127" spans="1:4" x14ac:dyDescent="0.2">
      <c r="A127" s="345">
        <v>31381</v>
      </c>
      <c r="B127" s="71"/>
      <c r="C127" s="226"/>
      <c r="D127" s="71"/>
    </row>
    <row r="128" spans="1:4" x14ac:dyDescent="0.2">
      <c r="A128" s="345">
        <v>31412</v>
      </c>
      <c r="B128" s="71"/>
      <c r="C128" s="226"/>
      <c r="D128" s="71"/>
    </row>
    <row r="129" spans="1:4" x14ac:dyDescent="0.2">
      <c r="A129" s="345">
        <v>31443</v>
      </c>
      <c r="B129" s="71"/>
      <c r="C129" s="226"/>
      <c r="D129" s="71"/>
    </row>
    <row r="130" spans="1:4" x14ac:dyDescent="0.2">
      <c r="A130" s="345">
        <v>31471</v>
      </c>
      <c r="B130" s="71"/>
      <c r="C130" s="226"/>
      <c r="D130" s="71"/>
    </row>
    <row r="131" spans="1:4" x14ac:dyDescent="0.2">
      <c r="A131" s="345">
        <v>31502</v>
      </c>
      <c r="B131" s="71"/>
      <c r="C131" s="226"/>
      <c r="D131" s="71"/>
    </row>
    <row r="132" spans="1:4" x14ac:dyDescent="0.2">
      <c r="A132" s="345">
        <v>31532</v>
      </c>
      <c r="B132" s="71"/>
      <c r="C132" s="226"/>
      <c r="D132" s="71"/>
    </row>
    <row r="133" spans="1:4" x14ac:dyDescent="0.2">
      <c r="A133" s="345">
        <v>31563</v>
      </c>
      <c r="B133" s="71"/>
      <c r="C133" s="226"/>
      <c r="D133" s="71"/>
    </row>
    <row r="134" spans="1:4" x14ac:dyDescent="0.2">
      <c r="A134" s="345">
        <v>31593</v>
      </c>
      <c r="B134" s="71"/>
      <c r="C134" s="226"/>
      <c r="D134" s="71"/>
    </row>
    <row r="135" spans="1:4" x14ac:dyDescent="0.2">
      <c r="A135" s="345">
        <v>31624</v>
      </c>
      <c r="B135" s="71"/>
      <c r="C135" s="226"/>
      <c r="D135" s="71"/>
    </row>
    <row r="136" spans="1:4" x14ac:dyDescent="0.2">
      <c r="A136" s="345">
        <v>31655</v>
      </c>
      <c r="B136" s="71"/>
      <c r="C136" s="226"/>
      <c r="D136" s="71"/>
    </row>
    <row r="137" spans="1:4" x14ac:dyDescent="0.2">
      <c r="A137" s="345">
        <v>31685</v>
      </c>
      <c r="B137" s="71"/>
      <c r="C137" s="226"/>
      <c r="D137" s="71"/>
    </row>
    <row r="138" spans="1:4" x14ac:dyDescent="0.2">
      <c r="A138" s="345">
        <v>31716</v>
      </c>
      <c r="B138" s="71"/>
      <c r="C138" s="226"/>
      <c r="D138" s="71"/>
    </row>
    <row r="139" spans="1:4" x14ac:dyDescent="0.2">
      <c r="A139" s="345">
        <v>31746</v>
      </c>
      <c r="B139" s="71"/>
      <c r="C139" s="226"/>
      <c r="D139" s="71"/>
    </row>
    <row r="140" spans="1:4" x14ac:dyDescent="0.2">
      <c r="A140" s="345">
        <v>31777</v>
      </c>
      <c r="B140" s="71"/>
      <c r="C140" s="226"/>
      <c r="D140" s="71"/>
    </row>
    <row r="141" spans="1:4" x14ac:dyDescent="0.2">
      <c r="A141" s="345">
        <v>31808</v>
      </c>
      <c r="B141" s="73"/>
      <c r="C141" s="25"/>
      <c r="D141" s="73"/>
    </row>
    <row r="142" spans="1:4" x14ac:dyDescent="0.2">
      <c r="A142" s="345">
        <v>31836</v>
      </c>
      <c r="B142" s="73"/>
      <c r="C142" s="25"/>
      <c r="D142" s="73"/>
    </row>
    <row r="143" spans="1:4" x14ac:dyDescent="0.2">
      <c r="A143" s="345">
        <v>31867</v>
      </c>
      <c r="B143" s="73"/>
      <c r="C143" s="25"/>
      <c r="D143" s="73"/>
    </row>
    <row r="144" spans="1:4" x14ac:dyDescent="0.2">
      <c r="A144" s="345">
        <v>31897</v>
      </c>
      <c r="B144" s="73"/>
      <c r="C144" s="25"/>
      <c r="D144" s="73"/>
    </row>
    <row r="145" spans="1:4" x14ac:dyDescent="0.2">
      <c r="A145" s="345">
        <v>31928</v>
      </c>
      <c r="B145" s="73"/>
      <c r="C145" s="25"/>
      <c r="D145" s="73"/>
    </row>
    <row r="146" spans="1:4" x14ac:dyDescent="0.2">
      <c r="A146" s="345">
        <v>31958</v>
      </c>
      <c r="B146" s="73"/>
      <c r="C146" s="25"/>
      <c r="D146" s="73"/>
    </row>
    <row r="147" spans="1:4" x14ac:dyDescent="0.2">
      <c r="A147" s="345">
        <v>31989</v>
      </c>
      <c r="B147" s="73"/>
      <c r="C147" s="25"/>
      <c r="D147" s="73"/>
    </row>
    <row r="148" spans="1:4" x14ac:dyDescent="0.2">
      <c r="A148" s="345">
        <v>32020</v>
      </c>
      <c r="B148" s="73"/>
      <c r="C148" s="25"/>
      <c r="D148" s="73"/>
    </row>
    <row r="149" spans="1:4" x14ac:dyDescent="0.2">
      <c r="A149" s="345">
        <v>32050</v>
      </c>
      <c r="B149" s="73"/>
      <c r="C149" s="25"/>
      <c r="D149" s="73"/>
    </row>
    <row r="150" spans="1:4" x14ac:dyDescent="0.2">
      <c r="A150" s="345">
        <v>32081</v>
      </c>
      <c r="B150" s="73"/>
      <c r="C150" s="25"/>
      <c r="D150" s="73"/>
    </row>
    <row r="151" spans="1:4" x14ac:dyDescent="0.2">
      <c r="A151" s="345">
        <v>32111</v>
      </c>
      <c r="B151" s="73"/>
      <c r="C151" s="25"/>
      <c r="D151" s="73"/>
    </row>
    <row r="152" spans="1:4" x14ac:dyDescent="0.2">
      <c r="A152" s="345">
        <v>32142</v>
      </c>
      <c r="B152" s="73"/>
      <c r="C152" s="25"/>
      <c r="D152" s="73"/>
    </row>
    <row r="153" spans="1:4" x14ac:dyDescent="0.2">
      <c r="A153" s="345">
        <v>32173</v>
      </c>
      <c r="B153" s="73"/>
      <c r="C153" s="25"/>
      <c r="D153" s="73"/>
    </row>
    <row r="154" spans="1:4" x14ac:dyDescent="0.2">
      <c r="A154" s="345">
        <v>32202</v>
      </c>
      <c r="B154" s="73"/>
      <c r="C154" s="25"/>
      <c r="D154" s="73"/>
    </row>
    <row r="155" spans="1:4" x14ac:dyDescent="0.2">
      <c r="A155" s="345">
        <v>32233</v>
      </c>
      <c r="B155" s="73"/>
      <c r="C155" s="25"/>
      <c r="D155" s="73"/>
    </row>
    <row r="156" spans="1:4" x14ac:dyDescent="0.2">
      <c r="A156" s="345">
        <v>32263</v>
      </c>
      <c r="B156" s="73"/>
      <c r="C156" s="25"/>
      <c r="D156" s="73"/>
    </row>
    <row r="157" spans="1:4" x14ac:dyDescent="0.2">
      <c r="A157" s="345">
        <v>32294</v>
      </c>
      <c r="B157" s="73"/>
      <c r="C157" s="25"/>
      <c r="D157" s="73"/>
    </row>
    <row r="158" spans="1:4" x14ac:dyDescent="0.2">
      <c r="A158" s="345">
        <v>32324</v>
      </c>
      <c r="B158" s="73"/>
      <c r="C158" s="25"/>
      <c r="D158" s="73"/>
    </row>
    <row r="159" spans="1:4" x14ac:dyDescent="0.2">
      <c r="A159" s="345">
        <v>32355</v>
      </c>
      <c r="B159" s="73"/>
      <c r="C159" s="25"/>
      <c r="D159" s="73"/>
    </row>
    <row r="160" spans="1:4" x14ac:dyDescent="0.2">
      <c r="A160" s="345">
        <v>32386</v>
      </c>
      <c r="B160" s="73"/>
      <c r="C160" s="25"/>
      <c r="D160" s="73"/>
    </row>
    <row r="161" spans="1:4" x14ac:dyDescent="0.2">
      <c r="A161" s="345">
        <v>32416</v>
      </c>
      <c r="B161" s="73"/>
      <c r="C161" s="25"/>
      <c r="D161" s="73"/>
    </row>
    <row r="162" spans="1:4" x14ac:dyDescent="0.2">
      <c r="A162" s="345">
        <v>32447</v>
      </c>
      <c r="B162" s="73"/>
      <c r="C162" s="25"/>
      <c r="D162" s="73"/>
    </row>
    <row r="163" spans="1:4" x14ac:dyDescent="0.2">
      <c r="A163" s="345">
        <v>32477</v>
      </c>
      <c r="B163" s="73"/>
      <c r="C163" s="25"/>
      <c r="D163" s="73"/>
    </row>
    <row r="164" spans="1:4" x14ac:dyDescent="0.2">
      <c r="A164" s="345">
        <v>32508</v>
      </c>
      <c r="B164" s="73"/>
      <c r="C164" s="25"/>
      <c r="D164" s="73"/>
    </row>
    <row r="165" spans="1:4" x14ac:dyDescent="0.2">
      <c r="A165" s="345">
        <v>32539</v>
      </c>
      <c r="B165" s="73"/>
      <c r="C165" s="25"/>
      <c r="D165" s="73"/>
    </row>
    <row r="166" spans="1:4" x14ac:dyDescent="0.2">
      <c r="A166" s="345">
        <v>32567</v>
      </c>
      <c r="B166" s="73"/>
      <c r="C166" s="25"/>
      <c r="D166" s="73"/>
    </row>
    <row r="167" spans="1:4" x14ac:dyDescent="0.2">
      <c r="A167" s="345">
        <v>32598</v>
      </c>
      <c r="B167" s="73"/>
      <c r="C167" s="25"/>
      <c r="D167" s="73"/>
    </row>
    <row r="168" spans="1:4" x14ac:dyDescent="0.2">
      <c r="A168" s="345">
        <v>32628</v>
      </c>
      <c r="B168" s="73"/>
      <c r="C168" s="25"/>
      <c r="D168" s="73"/>
    </row>
    <row r="169" spans="1:4" x14ac:dyDescent="0.2">
      <c r="A169" s="345">
        <v>32659</v>
      </c>
      <c r="B169" s="73"/>
      <c r="C169" s="25"/>
      <c r="D169" s="73"/>
    </row>
    <row r="170" spans="1:4" x14ac:dyDescent="0.2">
      <c r="A170" s="345">
        <v>32689</v>
      </c>
      <c r="B170" s="73"/>
      <c r="C170" s="25"/>
      <c r="D170" s="73"/>
    </row>
    <row r="171" spans="1:4" x14ac:dyDescent="0.2">
      <c r="A171" s="345">
        <v>32720</v>
      </c>
      <c r="B171" s="73"/>
      <c r="C171" s="25"/>
      <c r="D171" s="73"/>
    </row>
    <row r="172" spans="1:4" x14ac:dyDescent="0.2">
      <c r="A172" s="345">
        <v>32751</v>
      </c>
      <c r="B172" s="73"/>
      <c r="C172" s="25"/>
      <c r="D172" s="73"/>
    </row>
    <row r="173" spans="1:4" x14ac:dyDescent="0.2">
      <c r="A173" s="345">
        <v>32781</v>
      </c>
      <c r="B173" s="73"/>
      <c r="C173" s="25"/>
      <c r="D173" s="73"/>
    </row>
    <row r="174" spans="1:4" x14ac:dyDescent="0.2">
      <c r="A174" s="345">
        <v>32812</v>
      </c>
      <c r="B174" s="73"/>
      <c r="C174" s="25"/>
      <c r="D174" s="73"/>
    </row>
    <row r="175" spans="1:4" x14ac:dyDescent="0.2">
      <c r="A175" s="345">
        <v>32842</v>
      </c>
      <c r="B175" s="73"/>
      <c r="C175" s="25"/>
      <c r="D175" s="73"/>
    </row>
    <row r="176" spans="1:4" x14ac:dyDescent="0.2">
      <c r="A176" s="345">
        <v>32873</v>
      </c>
      <c r="B176" s="73"/>
      <c r="C176" s="25"/>
      <c r="D176" s="73"/>
    </row>
    <row r="177" spans="1:4" x14ac:dyDescent="0.2">
      <c r="A177" s="345">
        <v>32904</v>
      </c>
      <c r="B177" s="73"/>
      <c r="C177" s="25"/>
      <c r="D177" s="73"/>
    </row>
    <row r="178" spans="1:4" x14ac:dyDescent="0.2">
      <c r="A178" s="345">
        <v>32932</v>
      </c>
      <c r="B178" s="73"/>
      <c r="C178" s="25"/>
      <c r="D178" s="73"/>
    </row>
    <row r="179" spans="1:4" x14ac:dyDescent="0.2">
      <c r="A179" s="345">
        <v>32963</v>
      </c>
      <c r="B179" s="73"/>
      <c r="C179" s="25"/>
      <c r="D179" s="73"/>
    </row>
    <row r="180" spans="1:4" x14ac:dyDescent="0.2">
      <c r="A180" s="345">
        <v>32993</v>
      </c>
      <c r="B180" s="73"/>
      <c r="C180" s="25"/>
      <c r="D180" s="73"/>
    </row>
    <row r="181" spans="1:4" x14ac:dyDescent="0.2">
      <c r="A181" s="345">
        <v>33024</v>
      </c>
      <c r="B181" s="73"/>
      <c r="C181" s="25"/>
      <c r="D181" s="73"/>
    </row>
    <row r="182" spans="1:4" x14ac:dyDescent="0.2">
      <c r="A182" s="345">
        <v>33054</v>
      </c>
      <c r="B182" s="73"/>
      <c r="C182" s="25"/>
      <c r="D182" s="77"/>
    </row>
    <row r="183" spans="1:4" x14ac:dyDescent="0.2">
      <c r="A183" s="345">
        <v>33085</v>
      </c>
      <c r="B183" s="73"/>
      <c r="C183" s="25"/>
      <c r="D183" s="77"/>
    </row>
    <row r="184" spans="1:4" x14ac:dyDescent="0.2">
      <c r="A184" s="345">
        <v>33116</v>
      </c>
      <c r="B184" s="73"/>
      <c r="C184" s="25"/>
      <c r="D184" s="77"/>
    </row>
    <row r="185" spans="1:4" x14ac:dyDescent="0.2">
      <c r="A185" s="345">
        <v>33146</v>
      </c>
      <c r="B185" s="73"/>
      <c r="C185" s="25"/>
      <c r="D185" s="77"/>
    </row>
    <row r="186" spans="1:4" x14ac:dyDescent="0.2">
      <c r="A186" s="345">
        <v>33177</v>
      </c>
      <c r="B186" s="73"/>
      <c r="C186" s="25"/>
      <c r="D186" s="77"/>
    </row>
    <row r="187" spans="1:4" x14ac:dyDescent="0.2">
      <c r="A187" s="345">
        <v>33207</v>
      </c>
      <c r="B187" s="73"/>
      <c r="C187" s="25"/>
      <c r="D187" s="77"/>
    </row>
    <row r="188" spans="1:4" x14ac:dyDescent="0.2">
      <c r="A188" s="345">
        <v>33238</v>
      </c>
      <c r="B188" s="73"/>
      <c r="C188" s="25"/>
      <c r="D188" s="77"/>
    </row>
    <row r="189" spans="1:4" x14ac:dyDescent="0.2">
      <c r="A189" s="345">
        <v>33269</v>
      </c>
      <c r="B189" s="73"/>
      <c r="C189" s="25"/>
      <c r="D189" s="77"/>
    </row>
    <row r="190" spans="1:4" x14ac:dyDescent="0.2">
      <c r="A190" s="345">
        <v>33297</v>
      </c>
      <c r="B190" s="73"/>
      <c r="C190" s="25"/>
      <c r="D190" s="77"/>
    </row>
    <row r="191" spans="1:4" x14ac:dyDescent="0.2">
      <c r="A191" s="345">
        <v>33328</v>
      </c>
      <c r="B191" s="73"/>
      <c r="C191" s="25"/>
      <c r="D191" s="77"/>
    </row>
    <row r="192" spans="1:4" x14ac:dyDescent="0.2">
      <c r="A192" s="345">
        <v>33358</v>
      </c>
      <c r="B192" s="73"/>
      <c r="C192" s="25"/>
      <c r="D192" s="77"/>
    </row>
    <row r="193" spans="1:4" x14ac:dyDescent="0.2">
      <c r="A193" s="345">
        <v>33389</v>
      </c>
      <c r="B193" s="73"/>
      <c r="C193" s="25"/>
      <c r="D193" s="77"/>
    </row>
    <row r="194" spans="1:4" x14ac:dyDescent="0.2">
      <c r="A194" s="345">
        <v>33419</v>
      </c>
      <c r="B194" s="73"/>
      <c r="C194" s="25"/>
      <c r="D194" s="77"/>
    </row>
    <row r="195" spans="1:4" x14ac:dyDescent="0.2">
      <c r="A195" s="345">
        <v>33450</v>
      </c>
      <c r="B195" s="73"/>
      <c r="C195" s="25"/>
      <c r="D195" s="77"/>
    </row>
    <row r="196" spans="1:4" x14ac:dyDescent="0.2">
      <c r="A196" s="345">
        <v>33481</v>
      </c>
      <c r="B196" s="73"/>
      <c r="C196" s="25"/>
      <c r="D196" s="77"/>
    </row>
    <row r="197" spans="1:4" x14ac:dyDescent="0.2">
      <c r="A197" s="345">
        <v>33511</v>
      </c>
      <c r="B197" s="73"/>
      <c r="C197" s="25"/>
      <c r="D197" s="77"/>
    </row>
    <row r="198" spans="1:4" x14ac:dyDescent="0.2">
      <c r="A198" s="345">
        <v>33542</v>
      </c>
      <c r="B198" s="73"/>
      <c r="C198" s="25"/>
      <c r="D198" s="77"/>
    </row>
    <row r="199" spans="1:4" x14ac:dyDescent="0.2">
      <c r="A199" s="345">
        <v>33572</v>
      </c>
      <c r="B199" s="73"/>
      <c r="C199" s="25"/>
      <c r="D199" s="77"/>
    </row>
    <row r="200" spans="1:4" x14ac:dyDescent="0.2">
      <c r="A200" s="345">
        <v>33603</v>
      </c>
      <c r="B200" s="73"/>
      <c r="C200" s="25"/>
      <c r="D200" s="77"/>
    </row>
    <row r="201" spans="1:4" x14ac:dyDescent="0.2">
      <c r="A201" s="345">
        <v>33634</v>
      </c>
      <c r="B201" s="73"/>
      <c r="C201" s="25"/>
      <c r="D201" s="77"/>
    </row>
    <row r="202" spans="1:4" x14ac:dyDescent="0.2">
      <c r="A202" s="345">
        <v>33663</v>
      </c>
      <c r="B202" s="73"/>
      <c r="C202" s="25"/>
      <c r="D202" s="77"/>
    </row>
    <row r="203" spans="1:4" x14ac:dyDescent="0.2">
      <c r="A203" s="345">
        <v>33694</v>
      </c>
      <c r="B203" s="73"/>
      <c r="C203" s="25"/>
      <c r="D203" s="77"/>
    </row>
    <row r="204" spans="1:4" x14ac:dyDescent="0.2">
      <c r="A204" s="345">
        <v>33724</v>
      </c>
      <c r="B204" s="73"/>
      <c r="C204" s="25"/>
      <c r="D204" s="77"/>
    </row>
    <row r="205" spans="1:4" x14ac:dyDescent="0.2">
      <c r="A205" s="345">
        <v>33755</v>
      </c>
      <c r="B205" s="73"/>
      <c r="C205" s="25"/>
      <c r="D205" s="77"/>
    </row>
    <row r="206" spans="1:4" x14ac:dyDescent="0.2">
      <c r="A206" s="345">
        <v>33785</v>
      </c>
      <c r="B206" s="73"/>
      <c r="C206" s="25"/>
      <c r="D206" s="77"/>
    </row>
    <row r="207" spans="1:4" x14ac:dyDescent="0.2">
      <c r="A207" s="345">
        <v>33816</v>
      </c>
      <c r="B207" s="73"/>
      <c r="C207" s="25"/>
      <c r="D207" s="77"/>
    </row>
    <row r="208" spans="1:4" x14ac:dyDescent="0.2">
      <c r="A208" s="345">
        <v>33847</v>
      </c>
      <c r="B208" s="77"/>
      <c r="C208" s="25"/>
      <c r="D208" s="77"/>
    </row>
    <row r="209" spans="1:4" x14ac:dyDescent="0.2">
      <c r="A209" s="345">
        <v>33877</v>
      </c>
      <c r="B209" s="77"/>
      <c r="C209" s="25"/>
      <c r="D209" s="77"/>
    </row>
    <row r="210" spans="1:4" x14ac:dyDescent="0.2">
      <c r="A210" s="345">
        <v>33908</v>
      </c>
      <c r="B210" s="77"/>
      <c r="C210" s="25"/>
      <c r="D210" s="77"/>
    </row>
    <row r="211" spans="1:4" x14ac:dyDescent="0.2">
      <c r="A211" s="345">
        <v>33938</v>
      </c>
      <c r="B211" s="77"/>
      <c r="C211" s="25"/>
      <c r="D211" s="77"/>
    </row>
    <row r="212" spans="1:4" x14ac:dyDescent="0.2">
      <c r="A212" s="345">
        <v>33969</v>
      </c>
      <c r="B212" s="77"/>
      <c r="C212" s="25"/>
      <c r="D212" s="77"/>
    </row>
    <row r="213" spans="1:4" x14ac:dyDescent="0.2">
      <c r="A213" s="345">
        <v>34000</v>
      </c>
      <c r="B213" s="77"/>
      <c r="C213" s="25"/>
      <c r="D213" s="77"/>
    </row>
    <row r="214" spans="1:4" x14ac:dyDescent="0.2">
      <c r="A214" s="345">
        <v>34028</v>
      </c>
      <c r="B214" s="77"/>
      <c r="C214" s="25"/>
      <c r="D214" s="77"/>
    </row>
    <row r="215" spans="1:4" x14ac:dyDescent="0.2">
      <c r="A215" s="345">
        <v>34059</v>
      </c>
      <c r="B215" s="77"/>
      <c r="C215" s="25"/>
      <c r="D215" s="77"/>
    </row>
    <row r="216" spans="1:4" x14ac:dyDescent="0.2">
      <c r="A216" s="345">
        <v>34089</v>
      </c>
      <c r="B216" s="77"/>
      <c r="C216" s="25"/>
      <c r="D216" s="77"/>
    </row>
    <row r="217" spans="1:4" x14ac:dyDescent="0.2">
      <c r="A217" s="345">
        <v>34120</v>
      </c>
      <c r="B217" s="77"/>
      <c r="C217" s="25"/>
      <c r="D217" s="77"/>
    </row>
    <row r="218" spans="1:4" x14ac:dyDescent="0.2">
      <c r="A218" s="345">
        <v>34150</v>
      </c>
      <c r="B218" s="77"/>
      <c r="C218" s="25"/>
      <c r="D218" s="77"/>
    </row>
    <row r="219" spans="1:4" x14ac:dyDescent="0.2">
      <c r="A219" s="345">
        <v>34181</v>
      </c>
      <c r="B219" s="77"/>
      <c r="C219" s="25"/>
      <c r="D219" s="77"/>
    </row>
    <row r="220" spans="1:4" x14ac:dyDescent="0.2">
      <c r="A220" s="345">
        <v>34212</v>
      </c>
      <c r="B220" s="77"/>
      <c r="C220" s="25"/>
      <c r="D220" s="77"/>
    </row>
    <row r="221" spans="1:4" x14ac:dyDescent="0.2">
      <c r="A221" s="345">
        <v>34242</v>
      </c>
      <c r="B221" s="77"/>
      <c r="C221" s="25"/>
      <c r="D221" s="77"/>
    </row>
    <row r="222" spans="1:4" x14ac:dyDescent="0.2">
      <c r="A222" s="345">
        <v>34273</v>
      </c>
      <c r="B222" s="77"/>
      <c r="C222" s="25"/>
      <c r="D222" s="77"/>
    </row>
    <row r="223" spans="1:4" x14ac:dyDescent="0.2">
      <c r="A223" s="345">
        <v>34303</v>
      </c>
      <c r="B223" s="77"/>
      <c r="C223" s="25"/>
      <c r="D223" s="77"/>
    </row>
    <row r="224" spans="1:4" x14ac:dyDescent="0.2">
      <c r="A224" s="345">
        <v>34334</v>
      </c>
      <c r="B224" s="77"/>
      <c r="C224" s="25"/>
      <c r="D224" s="77"/>
    </row>
    <row r="225" spans="1:4" x14ac:dyDescent="0.2">
      <c r="A225" s="345">
        <v>34365</v>
      </c>
      <c r="B225" s="77"/>
      <c r="C225" s="25"/>
      <c r="D225" s="77"/>
    </row>
    <row r="226" spans="1:4" x14ac:dyDescent="0.2">
      <c r="A226" s="345">
        <v>34393</v>
      </c>
      <c r="B226" s="77"/>
      <c r="C226" s="25"/>
      <c r="D226" s="77"/>
    </row>
    <row r="227" spans="1:4" x14ac:dyDescent="0.2">
      <c r="A227" s="345">
        <v>34424</v>
      </c>
      <c r="B227" s="77"/>
      <c r="C227" s="25"/>
      <c r="D227" s="77"/>
    </row>
    <row r="228" spans="1:4" x14ac:dyDescent="0.2">
      <c r="A228" s="345">
        <v>34454</v>
      </c>
      <c r="B228" s="77"/>
      <c r="C228" s="25"/>
      <c r="D228" s="77"/>
    </row>
    <row r="229" spans="1:4" x14ac:dyDescent="0.2">
      <c r="A229" s="345">
        <v>34485</v>
      </c>
      <c r="B229" s="77"/>
      <c r="C229" s="25"/>
      <c r="D229" s="77"/>
    </row>
    <row r="230" spans="1:4" x14ac:dyDescent="0.2">
      <c r="A230" s="345">
        <v>34515</v>
      </c>
      <c r="B230" s="77"/>
      <c r="C230" s="25"/>
      <c r="D230" s="77"/>
    </row>
    <row r="231" spans="1:4" x14ac:dyDescent="0.2">
      <c r="A231" s="345">
        <v>34546</v>
      </c>
      <c r="B231" s="77"/>
      <c r="C231" s="25"/>
      <c r="D231" s="77"/>
    </row>
    <row r="232" spans="1:4" x14ac:dyDescent="0.2">
      <c r="A232" s="345">
        <v>34577</v>
      </c>
      <c r="B232" s="77"/>
      <c r="C232" s="25"/>
      <c r="D232" s="77"/>
    </row>
    <row r="233" spans="1:4" x14ac:dyDescent="0.2">
      <c r="A233" s="345">
        <v>34607</v>
      </c>
      <c r="B233" s="77"/>
      <c r="C233" s="25"/>
      <c r="D233" s="77"/>
    </row>
    <row r="234" spans="1:4" x14ac:dyDescent="0.2">
      <c r="A234" s="345">
        <v>34638</v>
      </c>
      <c r="B234" s="77"/>
      <c r="C234" s="25"/>
      <c r="D234" s="77"/>
    </row>
    <row r="235" spans="1:4" x14ac:dyDescent="0.2">
      <c r="A235" s="345">
        <v>34668</v>
      </c>
      <c r="B235" s="77"/>
      <c r="C235" s="25"/>
      <c r="D235" s="77"/>
    </row>
    <row r="236" spans="1:4" x14ac:dyDescent="0.2">
      <c r="A236" s="345">
        <v>34699</v>
      </c>
      <c r="B236" s="77"/>
      <c r="C236" s="25"/>
      <c r="D236" s="77"/>
    </row>
    <row r="237" spans="1:4" x14ac:dyDescent="0.2">
      <c r="A237" s="345">
        <v>34730</v>
      </c>
      <c r="B237" s="77"/>
      <c r="C237" s="25"/>
      <c r="D237" s="77"/>
    </row>
    <row r="238" spans="1:4" x14ac:dyDescent="0.2">
      <c r="A238" s="345">
        <v>34758</v>
      </c>
      <c r="B238" s="77"/>
      <c r="C238" s="25"/>
      <c r="D238" s="77"/>
    </row>
    <row r="239" spans="1:4" x14ac:dyDescent="0.2">
      <c r="A239" s="345">
        <v>34789</v>
      </c>
      <c r="B239" s="77"/>
      <c r="C239" s="25"/>
      <c r="D239" s="77"/>
    </row>
    <row r="240" spans="1:4" x14ac:dyDescent="0.2">
      <c r="A240" s="345">
        <v>34819</v>
      </c>
      <c r="B240" s="77"/>
      <c r="C240" s="25"/>
      <c r="D240" s="77"/>
    </row>
    <row r="241" spans="1:4" x14ac:dyDescent="0.2">
      <c r="A241" s="345">
        <v>34850</v>
      </c>
      <c r="B241" s="77"/>
      <c r="C241" s="25"/>
      <c r="D241" s="77"/>
    </row>
    <row r="242" spans="1:4" x14ac:dyDescent="0.2">
      <c r="A242" s="345">
        <v>34880</v>
      </c>
      <c r="B242" s="77"/>
      <c r="C242" s="25"/>
      <c r="D242" s="77"/>
    </row>
    <row r="243" spans="1:4" x14ac:dyDescent="0.2">
      <c r="A243" s="345">
        <v>34911</v>
      </c>
      <c r="B243" s="77"/>
      <c r="C243" s="25"/>
      <c r="D243" s="77"/>
    </row>
    <row r="244" spans="1:4" x14ac:dyDescent="0.2">
      <c r="A244" s="345">
        <v>34942</v>
      </c>
      <c r="B244" s="77"/>
      <c r="C244" s="25"/>
      <c r="D244" s="77"/>
    </row>
    <row r="245" spans="1:4" x14ac:dyDescent="0.2">
      <c r="A245" s="345">
        <v>34972</v>
      </c>
      <c r="B245" s="77"/>
      <c r="C245" s="25"/>
      <c r="D245" s="77"/>
    </row>
    <row r="246" spans="1:4" x14ac:dyDescent="0.2">
      <c r="A246" s="345">
        <v>35003</v>
      </c>
      <c r="B246" s="77"/>
      <c r="C246" s="25"/>
      <c r="D246" s="77"/>
    </row>
    <row r="247" spans="1:4" x14ac:dyDescent="0.2">
      <c r="A247" s="345">
        <v>35033</v>
      </c>
      <c r="B247" s="77"/>
      <c r="C247" s="25"/>
      <c r="D247" s="77"/>
    </row>
    <row r="248" spans="1:4" x14ac:dyDescent="0.2">
      <c r="A248" s="345">
        <v>35064</v>
      </c>
      <c r="B248" s="77"/>
      <c r="C248" s="25"/>
      <c r="D248" s="77"/>
    </row>
    <row r="249" spans="1:4" x14ac:dyDescent="0.2">
      <c r="A249" s="345">
        <v>35095</v>
      </c>
      <c r="B249" s="77"/>
      <c r="C249" s="25"/>
      <c r="D249" s="77"/>
    </row>
    <row r="250" spans="1:4" x14ac:dyDescent="0.2">
      <c r="A250" s="345">
        <v>35124</v>
      </c>
      <c r="B250" s="77"/>
      <c r="C250" s="25"/>
      <c r="D250" s="77"/>
    </row>
    <row r="251" spans="1:4" x14ac:dyDescent="0.2">
      <c r="A251" s="345">
        <v>35155</v>
      </c>
      <c r="B251" s="77"/>
      <c r="C251" s="25"/>
      <c r="D251" s="77"/>
    </row>
    <row r="252" spans="1:4" x14ac:dyDescent="0.2">
      <c r="A252" s="345">
        <v>35185</v>
      </c>
      <c r="B252" s="77"/>
      <c r="C252" s="25"/>
      <c r="D252" s="77"/>
    </row>
    <row r="253" spans="1:4" x14ac:dyDescent="0.2">
      <c r="A253" s="345">
        <v>35216</v>
      </c>
      <c r="B253" s="77"/>
      <c r="C253" s="25"/>
      <c r="D253" s="77"/>
    </row>
    <row r="254" spans="1:4" x14ac:dyDescent="0.2">
      <c r="A254" s="345">
        <v>35246</v>
      </c>
      <c r="B254" s="77"/>
      <c r="C254" s="25"/>
      <c r="D254" s="77"/>
    </row>
    <row r="255" spans="1:4" x14ac:dyDescent="0.2">
      <c r="A255" s="345">
        <v>35277</v>
      </c>
      <c r="B255" s="77"/>
      <c r="C255" s="25"/>
      <c r="D255" s="77"/>
    </row>
    <row r="256" spans="1:4" x14ac:dyDescent="0.2">
      <c r="A256" s="345">
        <v>35308</v>
      </c>
      <c r="B256" s="77"/>
      <c r="C256" s="25"/>
      <c r="D256" s="77"/>
    </row>
    <row r="257" spans="1:4" x14ac:dyDescent="0.2">
      <c r="A257" s="345">
        <v>35338</v>
      </c>
      <c r="B257" s="77"/>
      <c r="C257" s="25"/>
      <c r="D257" s="77"/>
    </row>
    <row r="258" spans="1:4" x14ac:dyDescent="0.2">
      <c r="A258" s="345">
        <v>35369</v>
      </c>
      <c r="B258" s="77"/>
      <c r="C258" s="25"/>
      <c r="D258" s="77"/>
    </row>
    <row r="259" spans="1:4" x14ac:dyDescent="0.2">
      <c r="A259" s="345">
        <v>35399</v>
      </c>
      <c r="B259" s="77"/>
      <c r="C259" s="25"/>
      <c r="D259" s="77"/>
    </row>
    <row r="260" spans="1:4" x14ac:dyDescent="0.2">
      <c r="A260" s="345">
        <v>35430</v>
      </c>
      <c r="B260" s="77"/>
      <c r="C260" s="25"/>
      <c r="D260" s="77"/>
    </row>
    <row r="261" spans="1:4" x14ac:dyDescent="0.2">
      <c r="A261" s="345">
        <v>35461</v>
      </c>
      <c r="B261" s="77"/>
      <c r="C261" s="25"/>
      <c r="D261" s="77"/>
    </row>
    <row r="262" spans="1:4" x14ac:dyDescent="0.2">
      <c r="A262" s="345">
        <v>35489</v>
      </c>
      <c r="B262" s="77"/>
      <c r="C262" s="25"/>
      <c r="D262" s="77"/>
    </row>
    <row r="263" spans="1:4" x14ac:dyDescent="0.2">
      <c r="A263" s="345">
        <v>35520</v>
      </c>
      <c r="B263" s="77"/>
      <c r="C263" s="25"/>
      <c r="D263" s="77"/>
    </row>
    <row r="264" spans="1:4" x14ac:dyDescent="0.2">
      <c r="A264" s="345">
        <v>35550</v>
      </c>
      <c r="B264" s="77"/>
      <c r="C264" s="25"/>
      <c r="D264" s="77"/>
    </row>
    <row r="265" spans="1:4" x14ac:dyDescent="0.2">
      <c r="A265" s="345">
        <v>35581</v>
      </c>
      <c r="B265" s="77"/>
      <c r="C265" s="25"/>
      <c r="D265" s="77"/>
    </row>
    <row r="266" spans="1:4" x14ac:dyDescent="0.2">
      <c r="A266" s="345">
        <v>35611</v>
      </c>
      <c r="B266" s="77"/>
      <c r="C266" s="25"/>
      <c r="D266" s="77"/>
    </row>
    <row r="267" spans="1:4" x14ac:dyDescent="0.2">
      <c r="A267" s="345">
        <v>35642</v>
      </c>
      <c r="B267" s="77"/>
      <c r="C267" s="25"/>
      <c r="D267" s="77"/>
    </row>
    <row r="268" spans="1:4" x14ac:dyDescent="0.2">
      <c r="A268" s="345">
        <v>35673</v>
      </c>
      <c r="B268" s="77"/>
      <c r="C268" s="25"/>
      <c r="D268" s="77"/>
    </row>
    <row r="269" spans="1:4" x14ac:dyDescent="0.2">
      <c r="A269" s="345">
        <v>35703</v>
      </c>
      <c r="B269" s="77"/>
      <c r="C269" s="25"/>
      <c r="D269" s="77"/>
    </row>
    <row r="270" spans="1:4" x14ac:dyDescent="0.2">
      <c r="A270" s="345">
        <v>35734</v>
      </c>
      <c r="B270" s="77"/>
      <c r="C270" s="25"/>
      <c r="D270" s="77"/>
    </row>
    <row r="271" spans="1:4" x14ac:dyDescent="0.2">
      <c r="A271" s="345">
        <v>35764</v>
      </c>
      <c r="B271" s="77"/>
      <c r="C271" s="25"/>
      <c r="D271" s="77"/>
    </row>
    <row r="272" spans="1:4" x14ac:dyDescent="0.2">
      <c r="A272" s="345">
        <v>35795</v>
      </c>
      <c r="B272" s="77"/>
      <c r="C272" s="25"/>
      <c r="D272" s="77"/>
    </row>
    <row r="273" spans="1:4" x14ac:dyDescent="0.2">
      <c r="A273" s="345">
        <v>35826</v>
      </c>
      <c r="B273" s="77"/>
      <c r="C273" s="25"/>
      <c r="D273" s="77"/>
    </row>
    <row r="274" spans="1:4" x14ac:dyDescent="0.2">
      <c r="A274" s="345">
        <v>35854</v>
      </c>
      <c r="B274" s="77"/>
      <c r="C274" s="32"/>
      <c r="D274" s="77"/>
    </row>
    <row r="275" spans="1:4" x14ac:dyDescent="0.2">
      <c r="A275" s="345">
        <v>35885</v>
      </c>
      <c r="B275" s="77"/>
      <c r="C275" s="32"/>
      <c r="D275" s="77"/>
    </row>
    <row r="276" spans="1:4" x14ac:dyDescent="0.2">
      <c r="A276" s="345">
        <v>35915</v>
      </c>
      <c r="B276" s="253"/>
      <c r="C276" s="33"/>
      <c r="D276" s="253"/>
    </row>
    <row r="277" spans="1:4" x14ac:dyDescent="0.2">
      <c r="A277" s="345">
        <v>35946</v>
      </c>
      <c r="B277" s="253"/>
      <c r="C277" s="33"/>
      <c r="D277" s="253"/>
    </row>
    <row r="278" spans="1:4" x14ac:dyDescent="0.2">
      <c r="A278" s="345">
        <v>35976</v>
      </c>
      <c r="B278" s="253"/>
      <c r="C278" s="33"/>
      <c r="D278" s="253"/>
    </row>
    <row r="279" spans="1:4" x14ac:dyDescent="0.2">
      <c r="A279" s="345">
        <v>36007</v>
      </c>
      <c r="B279" s="253"/>
      <c r="C279" s="33"/>
      <c r="D279" s="253"/>
    </row>
    <row r="280" spans="1:4" x14ac:dyDescent="0.2">
      <c r="A280" s="345">
        <v>36038</v>
      </c>
      <c r="B280" s="253"/>
      <c r="C280" s="33"/>
      <c r="D280" s="253"/>
    </row>
    <row r="281" spans="1:4" x14ac:dyDescent="0.2">
      <c r="A281" s="345">
        <v>36068</v>
      </c>
      <c r="B281" s="253"/>
      <c r="C281" s="33"/>
      <c r="D281" s="253"/>
    </row>
    <row r="282" spans="1:4" x14ac:dyDescent="0.2">
      <c r="A282" s="345">
        <v>36099</v>
      </c>
      <c r="B282" s="253"/>
      <c r="C282" s="33"/>
      <c r="D282" s="253"/>
    </row>
    <row r="283" spans="1:4" x14ac:dyDescent="0.2">
      <c r="A283" s="345">
        <v>36129</v>
      </c>
      <c r="B283" s="253"/>
      <c r="C283" s="33"/>
      <c r="D283" s="253"/>
    </row>
    <row r="284" spans="1:4" x14ac:dyDescent="0.2">
      <c r="A284" s="345">
        <v>36160</v>
      </c>
      <c r="B284" s="253"/>
      <c r="C284" s="33"/>
      <c r="D284" s="253"/>
    </row>
    <row r="285" spans="1:4" x14ac:dyDescent="0.2">
      <c r="A285" s="345">
        <v>36191</v>
      </c>
      <c r="B285" s="253"/>
      <c r="C285" s="33"/>
      <c r="D285" s="253"/>
    </row>
    <row r="286" spans="1:4" x14ac:dyDescent="0.2">
      <c r="A286" s="345">
        <v>36219</v>
      </c>
      <c r="B286" s="253"/>
      <c r="C286" s="33"/>
      <c r="D286" s="253"/>
    </row>
    <row r="287" spans="1:4" x14ac:dyDescent="0.2">
      <c r="A287" s="345">
        <v>36250</v>
      </c>
      <c r="B287" s="253"/>
      <c r="C287" s="33"/>
      <c r="D287" s="253"/>
    </row>
    <row r="288" spans="1:4" x14ac:dyDescent="0.2">
      <c r="A288" s="345">
        <v>36280</v>
      </c>
      <c r="B288" s="253"/>
      <c r="C288" s="33"/>
      <c r="D288" s="253"/>
    </row>
    <row r="289" spans="1:4" x14ac:dyDescent="0.2">
      <c r="A289" s="345">
        <v>36311</v>
      </c>
      <c r="B289" s="253"/>
      <c r="C289" s="33"/>
      <c r="D289" s="253"/>
    </row>
    <row r="290" spans="1:4" x14ac:dyDescent="0.2">
      <c r="A290" s="345">
        <v>36341</v>
      </c>
      <c r="B290" s="253"/>
      <c r="C290" s="33"/>
      <c r="D290" s="253"/>
    </row>
    <row r="291" spans="1:4" x14ac:dyDescent="0.2">
      <c r="A291" s="345">
        <v>36372</v>
      </c>
      <c r="B291" s="253"/>
      <c r="C291" s="33"/>
      <c r="D291" s="253"/>
    </row>
    <row r="292" spans="1:4" x14ac:dyDescent="0.2">
      <c r="A292" s="345">
        <v>36403</v>
      </c>
      <c r="B292" s="253"/>
      <c r="C292" s="33"/>
      <c r="D292" s="253"/>
    </row>
    <row r="293" spans="1:4" x14ac:dyDescent="0.2">
      <c r="A293" s="345">
        <v>36433</v>
      </c>
      <c r="B293" s="253"/>
      <c r="C293" s="33"/>
      <c r="D293" s="253"/>
    </row>
    <row r="294" spans="1:4" x14ac:dyDescent="0.2">
      <c r="A294" s="345">
        <v>36464</v>
      </c>
      <c r="B294" s="253"/>
      <c r="C294" s="33"/>
      <c r="D294" s="253"/>
    </row>
    <row r="295" spans="1:4" x14ac:dyDescent="0.2">
      <c r="A295" s="345">
        <v>36494</v>
      </c>
      <c r="B295" s="253"/>
      <c r="C295" s="33"/>
      <c r="D295" s="253"/>
    </row>
    <row r="296" spans="1:4" x14ac:dyDescent="0.2">
      <c r="A296" s="345">
        <v>36525</v>
      </c>
      <c r="B296" s="253"/>
      <c r="C296" s="33"/>
      <c r="D296" s="253"/>
    </row>
    <row r="297" spans="1:4" x14ac:dyDescent="0.2">
      <c r="A297" s="345">
        <v>36556</v>
      </c>
      <c r="B297" s="253"/>
      <c r="C297" s="33"/>
      <c r="D297" s="253"/>
    </row>
    <row r="298" spans="1:4" x14ac:dyDescent="0.2">
      <c r="A298" s="345">
        <v>36585</v>
      </c>
      <c r="B298" s="253"/>
      <c r="C298" s="33"/>
      <c r="D298" s="253"/>
    </row>
    <row r="299" spans="1:4" x14ac:dyDescent="0.2">
      <c r="A299" s="345">
        <v>36616</v>
      </c>
      <c r="B299" s="253"/>
      <c r="C299" s="33"/>
      <c r="D299" s="253"/>
    </row>
    <row r="300" spans="1:4" x14ac:dyDescent="0.2">
      <c r="A300" s="345">
        <v>36646</v>
      </c>
      <c r="B300" s="253"/>
      <c r="C300" s="33"/>
      <c r="D300" s="253"/>
    </row>
    <row r="301" spans="1:4" x14ac:dyDescent="0.2">
      <c r="A301" s="345">
        <v>36677</v>
      </c>
      <c r="B301" s="253"/>
      <c r="C301" s="33"/>
      <c r="D301" s="253"/>
    </row>
    <row r="302" spans="1:4" x14ac:dyDescent="0.2">
      <c r="A302" s="345">
        <v>36707</v>
      </c>
      <c r="B302" s="253"/>
      <c r="C302" s="33"/>
      <c r="D302" s="253"/>
    </row>
    <row r="303" spans="1:4" x14ac:dyDescent="0.2">
      <c r="A303" s="345">
        <v>36738</v>
      </c>
      <c r="B303" s="253"/>
      <c r="C303" s="33"/>
      <c r="D303" s="253"/>
    </row>
    <row r="304" spans="1:4" x14ac:dyDescent="0.2">
      <c r="A304" s="345">
        <v>36769</v>
      </c>
      <c r="B304" s="253"/>
      <c r="C304" s="33"/>
      <c r="D304" s="253"/>
    </row>
    <row r="305" spans="1:4" x14ac:dyDescent="0.2">
      <c r="A305" s="345">
        <v>36799</v>
      </c>
      <c r="B305" s="253"/>
      <c r="C305" s="33"/>
      <c r="D305" s="253"/>
    </row>
    <row r="306" spans="1:4" x14ac:dyDescent="0.2">
      <c r="A306" s="345">
        <v>36830</v>
      </c>
      <c r="B306" s="253"/>
      <c r="C306" s="33"/>
      <c r="D306" s="253"/>
    </row>
    <row r="307" spans="1:4" x14ac:dyDescent="0.2">
      <c r="A307" s="345">
        <v>36860</v>
      </c>
      <c r="B307" s="253"/>
      <c r="C307" s="33"/>
      <c r="D307" s="253"/>
    </row>
    <row r="308" spans="1:4" x14ac:dyDescent="0.2">
      <c r="A308" s="345">
        <v>36891</v>
      </c>
      <c r="B308" s="253"/>
      <c r="C308" s="33"/>
      <c r="D308" s="253"/>
    </row>
    <row r="309" spans="1:4" x14ac:dyDescent="0.2">
      <c r="A309" s="345">
        <v>36922</v>
      </c>
      <c r="B309" s="253"/>
      <c r="C309" s="33"/>
      <c r="D309" s="253"/>
    </row>
    <row r="310" spans="1:4" x14ac:dyDescent="0.2">
      <c r="A310" s="345">
        <v>36950</v>
      </c>
      <c r="B310" s="253"/>
      <c r="C310" s="33"/>
      <c r="D310" s="253"/>
    </row>
    <row r="311" spans="1:4" x14ac:dyDescent="0.2">
      <c r="A311" s="345">
        <v>36981</v>
      </c>
      <c r="B311" s="253"/>
      <c r="C311" s="33"/>
      <c r="D311" s="253"/>
    </row>
    <row r="312" spans="1:4" x14ac:dyDescent="0.2">
      <c r="A312" s="345">
        <v>37011</v>
      </c>
      <c r="B312" s="253"/>
      <c r="C312" s="33"/>
      <c r="D312" s="253"/>
    </row>
    <row r="313" spans="1:4" x14ac:dyDescent="0.2">
      <c r="A313" s="345">
        <v>37042</v>
      </c>
      <c r="B313" s="253"/>
      <c r="C313" s="33"/>
      <c r="D313" s="253"/>
    </row>
    <row r="314" spans="1:4" x14ac:dyDescent="0.2">
      <c r="A314" s="345">
        <v>37072</v>
      </c>
      <c r="B314" s="253"/>
      <c r="C314" s="33"/>
      <c r="D314" s="253"/>
    </row>
    <row r="315" spans="1:4" x14ac:dyDescent="0.2">
      <c r="A315" s="345">
        <v>37103</v>
      </c>
      <c r="B315" s="253"/>
      <c r="C315" s="33"/>
      <c r="D315" s="253"/>
    </row>
    <row r="316" spans="1:4" x14ac:dyDescent="0.2">
      <c r="A316" s="345">
        <v>37134</v>
      </c>
      <c r="B316" s="253"/>
      <c r="C316" s="33"/>
      <c r="D316" s="253"/>
    </row>
    <row r="317" spans="1:4" x14ac:dyDescent="0.2">
      <c r="A317" s="345">
        <v>37164</v>
      </c>
      <c r="B317" s="253"/>
      <c r="C317" s="33"/>
      <c r="D317" s="253"/>
    </row>
    <row r="318" spans="1:4" x14ac:dyDescent="0.2">
      <c r="A318" s="345">
        <v>37195</v>
      </c>
      <c r="B318" s="253"/>
      <c r="C318" s="33"/>
      <c r="D318" s="253"/>
    </row>
    <row r="319" spans="1:4" x14ac:dyDescent="0.2">
      <c r="A319" s="345">
        <v>37225</v>
      </c>
      <c r="B319" s="253"/>
      <c r="C319" s="33"/>
      <c r="D319" s="253"/>
    </row>
    <row r="320" spans="1:4" x14ac:dyDescent="0.2">
      <c r="A320" s="345">
        <v>37256</v>
      </c>
      <c r="B320" s="253"/>
      <c r="C320" s="33"/>
      <c r="D320" s="253"/>
    </row>
    <row r="321" spans="1:4" x14ac:dyDescent="0.2">
      <c r="A321" s="345">
        <v>37287</v>
      </c>
      <c r="B321" s="253"/>
      <c r="C321" s="33"/>
      <c r="D321" s="253"/>
    </row>
    <row r="322" spans="1:4" x14ac:dyDescent="0.2">
      <c r="A322" s="345">
        <v>37315</v>
      </c>
      <c r="B322" s="253"/>
      <c r="C322" s="33"/>
      <c r="D322" s="253"/>
    </row>
    <row r="323" spans="1:4" x14ac:dyDescent="0.2">
      <c r="A323" s="345">
        <v>37346</v>
      </c>
      <c r="B323" s="253"/>
      <c r="C323" s="33"/>
      <c r="D323" s="253"/>
    </row>
    <row r="324" spans="1:4" x14ac:dyDescent="0.2">
      <c r="A324" s="345">
        <v>37376</v>
      </c>
      <c r="B324" s="253"/>
      <c r="C324" s="33"/>
      <c r="D324" s="253"/>
    </row>
    <row r="325" spans="1:4" x14ac:dyDescent="0.2">
      <c r="A325" s="345">
        <v>37407</v>
      </c>
      <c r="B325" s="253"/>
      <c r="C325" s="33"/>
      <c r="D325" s="253"/>
    </row>
    <row r="326" spans="1:4" x14ac:dyDescent="0.2">
      <c r="A326" s="345">
        <v>37437</v>
      </c>
      <c r="B326" s="253"/>
      <c r="C326" s="33"/>
      <c r="D326" s="253"/>
    </row>
    <row r="327" spans="1:4" x14ac:dyDescent="0.2">
      <c r="A327" s="345">
        <v>37468</v>
      </c>
      <c r="B327" s="253"/>
      <c r="C327" s="33"/>
      <c r="D327" s="253"/>
    </row>
    <row r="328" spans="1:4" x14ac:dyDescent="0.2">
      <c r="A328" s="345">
        <v>37499</v>
      </c>
      <c r="B328" s="253"/>
      <c r="C328" s="33"/>
      <c r="D328" s="253"/>
    </row>
    <row r="329" spans="1:4" x14ac:dyDescent="0.2">
      <c r="A329" s="345">
        <v>37529</v>
      </c>
      <c r="B329" s="253"/>
      <c r="C329" s="33"/>
      <c r="D329" s="253"/>
    </row>
    <row r="330" spans="1:4" x14ac:dyDescent="0.2">
      <c r="A330" s="345">
        <v>37560</v>
      </c>
      <c r="B330" s="253"/>
      <c r="C330" s="33"/>
      <c r="D330" s="253"/>
    </row>
    <row r="331" spans="1:4" x14ac:dyDescent="0.2">
      <c r="A331" s="345">
        <v>37590</v>
      </c>
      <c r="B331" s="253"/>
      <c r="C331" s="33"/>
      <c r="D331" s="253"/>
    </row>
    <row r="332" spans="1:4" x14ac:dyDescent="0.2">
      <c r="A332" s="345">
        <v>37621</v>
      </c>
      <c r="B332" s="253"/>
      <c r="C332" s="33"/>
      <c r="D332" s="253"/>
    </row>
    <row r="333" spans="1:4" x14ac:dyDescent="0.2">
      <c r="A333" s="345">
        <v>37652</v>
      </c>
      <c r="B333" s="253"/>
      <c r="C333" s="33"/>
      <c r="D333" s="253"/>
    </row>
    <row r="334" spans="1:4" x14ac:dyDescent="0.2">
      <c r="A334" s="345">
        <v>37680</v>
      </c>
      <c r="B334" s="253"/>
      <c r="C334" s="33"/>
      <c r="D334" s="253"/>
    </row>
    <row r="335" spans="1:4" x14ac:dyDescent="0.2">
      <c r="A335" s="345">
        <v>37711</v>
      </c>
      <c r="B335" s="253"/>
      <c r="C335" s="33"/>
      <c r="D335" s="253"/>
    </row>
    <row r="336" spans="1:4" x14ac:dyDescent="0.2">
      <c r="A336" s="345">
        <v>37741</v>
      </c>
      <c r="B336" s="253"/>
      <c r="C336" s="33"/>
      <c r="D336" s="253"/>
    </row>
    <row r="337" spans="1:4" x14ac:dyDescent="0.2">
      <c r="A337" s="345">
        <v>37772</v>
      </c>
      <c r="B337" s="253"/>
      <c r="C337" s="33"/>
      <c r="D337" s="253"/>
    </row>
    <row r="338" spans="1:4" x14ac:dyDescent="0.2">
      <c r="A338" s="345">
        <v>37802</v>
      </c>
      <c r="B338" s="253"/>
      <c r="C338" s="33"/>
      <c r="D338" s="253"/>
    </row>
    <row r="339" spans="1:4" x14ac:dyDescent="0.2">
      <c r="A339" s="345">
        <v>37833</v>
      </c>
      <c r="B339" s="253"/>
      <c r="C339" s="33"/>
      <c r="D339" s="253"/>
    </row>
    <row r="340" spans="1:4" x14ac:dyDescent="0.2">
      <c r="A340" s="345">
        <v>37864</v>
      </c>
      <c r="B340" s="253"/>
      <c r="C340" s="33"/>
      <c r="D340" s="253"/>
    </row>
    <row r="341" spans="1:4" x14ac:dyDescent="0.2">
      <c r="A341" s="345">
        <v>37894</v>
      </c>
      <c r="B341" s="253"/>
      <c r="C341" s="34"/>
      <c r="D341" s="253"/>
    </row>
    <row r="342" spans="1:4" x14ac:dyDescent="0.2">
      <c r="A342" s="345">
        <v>37925</v>
      </c>
      <c r="B342" s="253"/>
      <c r="C342" s="34"/>
      <c r="D342" s="253"/>
    </row>
    <row r="343" spans="1:4" x14ac:dyDescent="0.2">
      <c r="A343" s="345">
        <v>37955</v>
      </c>
      <c r="B343" s="253"/>
      <c r="C343" s="34"/>
      <c r="D343" s="253"/>
    </row>
    <row r="344" spans="1:4" x14ac:dyDescent="0.2">
      <c r="A344" s="345">
        <v>37986</v>
      </c>
      <c r="B344" s="253"/>
      <c r="C344" s="34"/>
      <c r="D344" s="253"/>
    </row>
    <row r="345" spans="1:4" x14ac:dyDescent="0.2">
      <c r="A345" s="345">
        <v>38017</v>
      </c>
      <c r="B345" s="253"/>
      <c r="C345" s="34"/>
      <c r="D345" s="253"/>
    </row>
    <row r="346" spans="1:4" x14ac:dyDescent="0.2">
      <c r="A346" s="345">
        <v>38046</v>
      </c>
      <c r="B346" s="253"/>
      <c r="C346" s="34"/>
      <c r="D346" s="253"/>
    </row>
    <row r="347" spans="1:4" x14ac:dyDescent="0.2">
      <c r="A347" s="345">
        <v>38077</v>
      </c>
      <c r="B347" s="253"/>
      <c r="C347" s="34"/>
      <c r="D347" s="255"/>
    </row>
    <row r="348" spans="1:4" x14ac:dyDescent="0.2">
      <c r="A348" s="345">
        <v>38107</v>
      </c>
      <c r="B348" s="253"/>
      <c r="C348" s="34"/>
      <c r="D348" s="253"/>
    </row>
    <row r="349" spans="1:4" x14ac:dyDescent="0.2">
      <c r="A349" s="345">
        <v>38138</v>
      </c>
      <c r="B349" s="253"/>
      <c r="C349" s="34"/>
      <c r="D349" s="253"/>
    </row>
    <row r="350" spans="1:4" x14ac:dyDescent="0.2">
      <c r="A350" s="345">
        <v>38168</v>
      </c>
      <c r="B350" s="253"/>
      <c r="C350" s="34"/>
      <c r="D350" s="253"/>
    </row>
    <row r="351" spans="1:4" x14ac:dyDescent="0.2">
      <c r="A351" s="345">
        <v>38199</v>
      </c>
      <c r="B351" s="253"/>
      <c r="C351" s="34"/>
      <c r="D351" s="253"/>
    </row>
    <row r="352" spans="1:4" x14ac:dyDescent="0.2">
      <c r="A352" s="345">
        <v>38230</v>
      </c>
      <c r="B352" s="253"/>
      <c r="C352" s="34"/>
      <c r="D352" s="253"/>
    </row>
    <row r="353" spans="1:6" x14ac:dyDescent="0.2">
      <c r="A353" s="345">
        <v>38260</v>
      </c>
      <c r="B353" s="253"/>
      <c r="C353" s="34"/>
      <c r="D353" s="253"/>
    </row>
    <row r="354" spans="1:6" x14ac:dyDescent="0.2">
      <c r="A354" s="345">
        <v>38291</v>
      </c>
      <c r="B354" s="1369">
        <v>0.85</v>
      </c>
      <c r="C354" s="34">
        <v>915259087.41999996</v>
      </c>
      <c r="D354" s="253"/>
      <c r="E354" s="14">
        <f>B354-Index_Returns!W354</f>
        <v>1.1399999999999966E-2</v>
      </c>
      <c r="F354" s="779"/>
    </row>
    <row r="355" spans="1:6" x14ac:dyDescent="0.2">
      <c r="A355" s="345">
        <v>38321</v>
      </c>
      <c r="B355" s="1369">
        <v>-0.8</v>
      </c>
      <c r="C355" s="34">
        <v>907931653.74000001</v>
      </c>
      <c r="D355" s="253"/>
      <c r="E355" s="14">
        <f>B355-Index_Returns!W355</f>
        <v>-2.4000000000000687E-3</v>
      </c>
    </row>
    <row r="356" spans="1:6" x14ac:dyDescent="0.2">
      <c r="A356" s="345">
        <v>38352</v>
      </c>
      <c r="B356" s="1369">
        <v>0.92</v>
      </c>
      <c r="C356" s="256">
        <v>916371623.41999996</v>
      </c>
      <c r="D356" s="253"/>
      <c r="E356" s="14">
        <f>B356-Index_Returns!W356</f>
        <v>-9.9999999999988987E-5</v>
      </c>
    </row>
    <row r="357" spans="1:6" x14ac:dyDescent="0.2">
      <c r="A357" s="345">
        <v>38383</v>
      </c>
      <c r="B357" s="1369">
        <v>0.63</v>
      </c>
      <c r="C357" s="34">
        <v>922170847.50999999</v>
      </c>
      <c r="D357" s="253"/>
      <c r="E357" s="14">
        <f>B357-Index_Returns!W357</f>
        <v>2.0999999999999908E-3</v>
      </c>
    </row>
    <row r="358" spans="1:6" x14ac:dyDescent="0.2">
      <c r="A358" s="345">
        <v>38411</v>
      </c>
      <c r="B358" s="1369">
        <v>-0.57999999999999996</v>
      </c>
      <c r="C358" s="34">
        <v>916778830.38</v>
      </c>
      <c r="D358" s="253"/>
      <c r="E358" s="14">
        <f>B358-Index_Returns!W358</f>
        <v>1.0300000000000087E-2</v>
      </c>
    </row>
    <row r="359" spans="1:6" x14ac:dyDescent="0.2">
      <c r="A359" s="345">
        <v>38442</v>
      </c>
      <c r="B359" s="1369">
        <v>-0.53</v>
      </c>
      <c r="C359" s="256">
        <v>911996971.76999998</v>
      </c>
      <c r="D359" s="253"/>
      <c r="E359" s="14">
        <f>B359-Index_Returns!W359</f>
        <v>-1.6400000000000081E-2</v>
      </c>
    </row>
    <row r="360" spans="1:6" x14ac:dyDescent="0.2">
      <c r="A360" s="345">
        <v>38472</v>
      </c>
      <c r="B360" s="1369">
        <v>1.34</v>
      </c>
      <c r="C360" s="256">
        <v>924186517.63</v>
      </c>
      <c r="D360" s="253"/>
      <c r="E360" s="14">
        <f>B360-Index_Returns!W360</f>
        <v>-1.3399999999999856E-2</v>
      </c>
    </row>
    <row r="361" spans="1:6" x14ac:dyDescent="0.2">
      <c r="A361" s="345">
        <v>38503</v>
      </c>
      <c r="B361" s="1369">
        <v>1.07</v>
      </c>
      <c r="C361" s="256">
        <v>934089256.13</v>
      </c>
      <c r="D361" s="253"/>
      <c r="E361" s="14">
        <f>B361-Index_Returns!W361</f>
        <v>-1.1900000000000022E-2</v>
      </c>
    </row>
    <row r="362" spans="1:6" x14ac:dyDescent="0.2">
      <c r="A362" s="345">
        <v>38533</v>
      </c>
      <c r="B362" s="1369">
        <v>0.55000000000000004</v>
      </c>
      <c r="C362" s="256">
        <v>939338671.10000002</v>
      </c>
      <c r="D362" s="253"/>
      <c r="E362" s="14">
        <f>B362-Index_Returns!W362</f>
        <v>4.7000000000000375E-3</v>
      </c>
    </row>
    <row r="363" spans="1:6" x14ac:dyDescent="0.2">
      <c r="A363" s="345">
        <v>38564</v>
      </c>
      <c r="B363" s="1369">
        <v>-0.9</v>
      </c>
      <c r="C363" s="256">
        <v>930874392.61000001</v>
      </c>
      <c r="D363" s="253"/>
      <c r="E363" s="14">
        <f>B363-Index_Returns!W363</f>
        <v>1.0299999999999976E-2</v>
      </c>
    </row>
    <row r="364" spans="1:6" x14ac:dyDescent="0.2">
      <c r="A364" s="345">
        <v>38595</v>
      </c>
      <c r="B364" s="1369">
        <v>1.27</v>
      </c>
      <c r="C364" s="256">
        <v>942691169.83000004</v>
      </c>
      <c r="D364" s="253"/>
      <c r="E364" s="14">
        <f>B364-Index_Returns!W364</f>
        <v>-1.2000000000000011E-2</v>
      </c>
    </row>
    <row r="365" spans="1:6" x14ac:dyDescent="0.2">
      <c r="A365" s="345">
        <v>38625</v>
      </c>
      <c r="B365" s="1369">
        <v>-1.05</v>
      </c>
      <c r="C365" s="256">
        <v>932951031.91999996</v>
      </c>
      <c r="D365" s="253"/>
      <c r="E365" s="14">
        <f>B365-Index_Returns!W365</f>
        <v>-1.9900000000000029E-2</v>
      </c>
    </row>
    <row r="366" spans="1:6" x14ac:dyDescent="0.2">
      <c r="A366" s="345">
        <v>38656</v>
      </c>
      <c r="B366" s="1369">
        <v>-0.78</v>
      </c>
      <c r="C366" s="256">
        <v>925668409.74000001</v>
      </c>
      <c r="D366" s="253"/>
      <c r="E366" s="14">
        <f>B366-Index_Returns!W366</f>
        <v>1.1399999999999966E-2</v>
      </c>
    </row>
    <row r="367" spans="1:6" x14ac:dyDescent="0.2">
      <c r="A367" s="345">
        <v>38686</v>
      </c>
      <c r="B367" s="1369">
        <v>0.44</v>
      </c>
      <c r="C367" s="256">
        <v>929735040.76999998</v>
      </c>
      <c r="D367" s="253"/>
      <c r="E367" s="14">
        <f>B367-Index_Returns!W367</f>
        <v>-2.3000000000000242E-3</v>
      </c>
    </row>
    <row r="368" spans="1:6" x14ac:dyDescent="0.2">
      <c r="A368" s="345">
        <v>38717</v>
      </c>
      <c r="B368" s="1369">
        <v>0.95</v>
      </c>
      <c r="C368" s="256">
        <v>938664479.05999994</v>
      </c>
      <c r="D368" s="253"/>
      <c r="E368" s="14">
        <f>B368-Index_Returns!W368</f>
        <v>-8.0000000000002292E-4</v>
      </c>
    </row>
    <row r="369" spans="1:6" x14ac:dyDescent="0.2">
      <c r="A369" s="345">
        <v>38748</v>
      </c>
      <c r="B369" s="1369">
        <v>0.02</v>
      </c>
      <c r="C369" s="256">
        <v>938843346.27999997</v>
      </c>
      <c r="D369" s="253"/>
      <c r="E369" s="14">
        <f>B369-Index_Returns!W369</f>
        <v>1.43E-2</v>
      </c>
    </row>
    <row r="370" spans="1:6" x14ac:dyDescent="0.2">
      <c r="A370" s="345">
        <v>38776</v>
      </c>
      <c r="B370" s="1369">
        <v>0.33</v>
      </c>
      <c r="C370" s="256">
        <v>941907293.11000001</v>
      </c>
      <c r="D370" s="253"/>
      <c r="E370" s="14">
        <f>B370-Index_Returns!W370</f>
        <v>-2.0000000000000018E-3</v>
      </c>
    </row>
    <row r="371" spans="1:6" x14ac:dyDescent="0.2">
      <c r="A371" s="345">
        <v>38807</v>
      </c>
      <c r="B371" s="1369">
        <v>-0.97</v>
      </c>
      <c r="C371" s="33">
        <v>932889269.89999998</v>
      </c>
      <c r="D371" s="253"/>
      <c r="E371" s="14">
        <f>B371-Index_Returns!W371</f>
        <v>1.1299999999999977E-2</v>
      </c>
    </row>
    <row r="372" spans="1:6" x14ac:dyDescent="0.2">
      <c r="A372" s="345">
        <v>38837</v>
      </c>
      <c r="B372" s="1369">
        <v>-0.18</v>
      </c>
      <c r="C372" s="33">
        <v>931253459.70000005</v>
      </c>
      <c r="D372" s="253"/>
      <c r="E372" s="14">
        <f>B372-Index_Returns!W372</f>
        <v>1.2999999999999956E-3</v>
      </c>
    </row>
    <row r="373" spans="1:6" x14ac:dyDescent="0.2">
      <c r="A373" s="345">
        <v>38868</v>
      </c>
      <c r="B373" s="1369">
        <v>-0.11</v>
      </c>
      <c r="C373" s="33">
        <v>930193962.34000003</v>
      </c>
      <c r="D373" s="253"/>
      <c r="E373" s="14">
        <f>B373-Index_Returns!W373</f>
        <v>-3.2999999999999974E-3</v>
      </c>
    </row>
    <row r="374" spans="1:6" x14ac:dyDescent="0.2">
      <c r="A374" s="345">
        <v>38898</v>
      </c>
      <c r="B374" s="1369">
        <v>0.21</v>
      </c>
      <c r="C374" s="354">
        <v>932264655.03999996</v>
      </c>
      <c r="D374" s="253"/>
      <c r="E374" s="14">
        <f>B374-Index_Returns!W374</f>
        <v>-2.0000000000000018E-3</v>
      </c>
    </row>
    <row r="375" spans="1:6" x14ac:dyDescent="0.2">
      <c r="A375" s="345">
        <v>38929</v>
      </c>
      <c r="B375" s="1369">
        <v>1.36</v>
      </c>
      <c r="C375" s="34">
        <v>944907545.45000005</v>
      </c>
      <c r="D375" s="253"/>
      <c r="E375" s="14">
        <f>B375-Index_Returns!W375</f>
        <v>7.8000000000000291E-3</v>
      </c>
    </row>
    <row r="376" spans="1:6" x14ac:dyDescent="0.2">
      <c r="A376" s="345">
        <v>38960</v>
      </c>
      <c r="B376" s="1369">
        <v>1.57</v>
      </c>
      <c r="C376" s="34">
        <v>1135579619.26</v>
      </c>
      <c r="D376" s="253"/>
      <c r="E376" s="14">
        <f>B376-Index_Returns!W376</f>
        <v>3.9200000000000124E-2</v>
      </c>
    </row>
    <row r="377" spans="1:6" x14ac:dyDescent="0.2">
      <c r="A377" s="345">
        <v>38990</v>
      </c>
      <c r="B377" s="1369">
        <v>0.88</v>
      </c>
      <c r="C377" s="34">
        <v>1145735777.0599999</v>
      </c>
      <c r="D377" s="253"/>
      <c r="E377" s="14">
        <f>B377-Index_Returns!W377</f>
        <v>1.6000000000000458E-3</v>
      </c>
    </row>
    <row r="378" spans="1:6" x14ac:dyDescent="0.2">
      <c r="A378" s="345">
        <v>39021</v>
      </c>
      <c r="B378" s="1369">
        <v>0.67</v>
      </c>
      <c r="C378" s="34">
        <v>1153358646.8199999</v>
      </c>
      <c r="D378" s="253"/>
      <c r="E378" s="14">
        <f>B378-Index_Returns!W378</f>
        <v>8.5000000000000631E-3</v>
      </c>
      <c r="F378" s="352"/>
    </row>
    <row r="379" spans="1:6" x14ac:dyDescent="0.2">
      <c r="A379" s="345">
        <v>39051</v>
      </c>
      <c r="B379" s="1369">
        <v>1.1599999999999999</v>
      </c>
      <c r="C379" s="34">
        <v>1166698052.3399999</v>
      </c>
      <c r="D379" s="253"/>
      <c r="E379" s="14">
        <f>B379-Index_Returns!W379</f>
        <v>-9.9999999999988987E-5</v>
      </c>
      <c r="F379" s="352"/>
    </row>
    <row r="380" spans="1:6" x14ac:dyDescent="0.2">
      <c r="A380" s="345">
        <v>39082</v>
      </c>
      <c r="B380" s="1369">
        <v>-0.57999999999999996</v>
      </c>
      <c r="C380" s="34">
        <v>1160096687.77</v>
      </c>
      <c r="D380" s="253"/>
      <c r="E380" s="14">
        <f>B380-Index_Returns!W380</f>
        <v>3.0000000000007798E-4</v>
      </c>
      <c r="F380" s="333"/>
    </row>
    <row r="381" spans="1:6" x14ac:dyDescent="0.2">
      <c r="A381" s="345">
        <v>39113</v>
      </c>
      <c r="B381" s="1369">
        <v>-0.03</v>
      </c>
      <c r="C381" s="346">
        <v>1159792310.8800001</v>
      </c>
      <c r="E381" s="14">
        <f>B381-Index_Returns!W381</f>
        <v>1.1000000000000003E-2</v>
      </c>
      <c r="F381" s="352"/>
    </row>
    <row r="382" spans="1:6" x14ac:dyDescent="0.2">
      <c r="A382" s="345">
        <v>39141</v>
      </c>
      <c r="B382" s="1369">
        <v>1.55</v>
      </c>
      <c r="C382" s="346">
        <v>1177793013.5699999</v>
      </c>
      <c r="E382" s="14">
        <f>B382-Index_Returns!W382</f>
        <v>8.0000000000000071E-3</v>
      </c>
      <c r="F382" s="352"/>
    </row>
    <row r="383" spans="1:6" x14ac:dyDescent="0.2">
      <c r="A383" s="345">
        <v>39172</v>
      </c>
      <c r="B383" s="1369">
        <v>-0.01</v>
      </c>
      <c r="C383" s="346">
        <v>1177773245</v>
      </c>
      <c r="E383" s="14">
        <f>B383-Index_Returns!W383</f>
        <v>-1.3100000000000001E-2</v>
      </c>
    </row>
    <row r="384" spans="1:6" x14ac:dyDescent="0.2">
      <c r="A384" s="345">
        <v>39202</v>
      </c>
      <c r="B384" s="1369">
        <v>0.54</v>
      </c>
      <c r="C384" s="346">
        <v>1284174337.3599999</v>
      </c>
      <c r="E384" s="14">
        <f>B384-Index_Returns!W384</f>
        <v>8.0000000000002292E-4</v>
      </c>
    </row>
    <row r="385" spans="1:5" x14ac:dyDescent="0.2">
      <c r="A385" s="345">
        <v>39233</v>
      </c>
      <c r="B385" s="1369">
        <v>-0.75</v>
      </c>
      <c r="C385" s="346">
        <v>1274530246.72</v>
      </c>
      <c r="E385" s="14">
        <f>B385-Index_Returns!W385</f>
        <v>7.9000000000000181E-3</v>
      </c>
    </row>
    <row r="386" spans="1:5" x14ac:dyDescent="0.2">
      <c r="A386" s="345">
        <v>39263</v>
      </c>
      <c r="B386" s="1369">
        <v>-0.28999999999999998</v>
      </c>
      <c r="C386" s="346">
        <v>1270930377.3599999</v>
      </c>
      <c r="E386" s="14">
        <f>B386-Index_Returns!W386</f>
        <v>5.8000000000000274E-3</v>
      </c>
    </row>
    <row r="387" spans="1:5" x14ac:dyDescent="0.2">
      <c r="A387" s="345">
        <v>39294</v>
      </c>
      <c r="B387" s="1369">
        <v>0.85</v>
      </c>
      <c r="C387" s="346">
        <v>1281669575.5799999</v>
      </c>
      <c r="E387" s="14">
        <f>B387-Index_Returns!W387</f>
        <v>1.5900000000000025E-2</v>
      </c>
    </row>
    <row r="388" spans="1:5" x14ac:dyDescent="0.2">
      <c r="A388" s="345">
        <v>39325</v>
      </c>
      <c r="B388" s="1369">
        <v>1.2</v>
      </c>
      <c r="C388" s="346">
        <v>1297036170.1300001</v>
      </c>
      <c r="E388" s="14">
        <f>B388-Index_Returns!W388</f>
        <v>-2.5700000000000056E-2</v>
      </c>
    </row>
    <row r="389" spans="1:5" x14ac:dyDescent="0.2">
      <c r="A389" s="345">
        <v>39355</v>
      </c>
      <c r="B389" s="1369">
        <v>0.76</v>
      </c>
      <c r="C389" s="346">
        <v>1306993337.99</v>
      </c>
      <c r="E389" s="14">
        <f>B389-Index_Returns!W389</f>
        <v>1.3999999999999568E-3</v>
      </c>
    </row>
    <row r="390" spans="1:5" x14ac:dyDescent="0.2">
      <c r="A390" s="345">
        <v>39386</v>
      </c>
      <c r="B390" s="1369">
        <v>0.91</v>
      </c>
      <c r="C390" s="346">
        <v>1318835358.53</v>
      </c>
      <c r="E390" s="14">
        <f>B390-Index_Returns!W390</f>
        <v>1.1700000000000044E-2</v>
      </c>
    </row>
    <row r="391" spans="1:5" x14ac:dyDescent="0.2">
      <c r="A391" s="345">
        <v>39416</v>
      </c>
      <c r="B391" s="1369">
        <v>1.88</v>
      </c>
      <c r="C391" s="346">
        <v>1343622257.3800001</v>
      </c>
      <c r="E391" s="14">
        <f>B391-Index_Returns!W391</f>
        <v>8.1699999999999884E-2</v>
      </c>
    </row>
    <row r="392" spans="1:5" x14ac:dyDescent="0.2">
      <c r="A392" s="345">
        <v>39447</v>
      </c>
      <c r="B392" s="1369">
        <v>0.24</v>
      </c>
      <c r="C392" s="346">
        <v>1347078118.01</v>
      </c>
      <c r="E392" s="14">
        <f>B392-Index_Returns!W392</f>
        <v>-4.0899999999999992E-2</v>
      </c>
    </row>
    <row r="393" spans="1:5" x14ac:dyDescent="0.2">
      <c r="A393" s="345">
        <v>39478</v>
      </c>
      <c r="B393" s="1369">
        <v>1.76</v>
      </c>
      <c r="C393" s="346">
        <v>1370841234.54</v>
      </c>
      <c r="E393" s="14">
        <f>B393-Index_Returns!W393</f>
        <v>8.0200000000000049E-2</v>
      </c>
    </row>
    <row r="394" spans="1:5" x14ac:dyDescent="0.2">
      <c r="A394" s="345">
        <v>39507</v>
      </c>
      <c r="B394" s="1369">
        <v>0.22</v>
      </c>
      <c r="C394" s="346">
        <v>1373862955.4400001</v>
      </c>
      <c r="E394" s="14">
        <f>B394-Index_Returns!W394</f>
        <v>8.1199999999999994E-2</v>
      </c>
    </row>
    <row r="395" spans="1:5" x14ac:dyDescent="0.2">
      <c r="A395" s="345">
        <v>39538</v>
      </c>
      <c r="B395" s="1369">
        <v>0.36</v>
      </c>
      <c r="C395" s="346">
        <v>1303877533.76</v>
      </c>
      <c r="E395" s="14">
        <f>B395-Index_Returns!W395</f>
        <v>1.8799999999999983E-2</v>
      </c>
    </row>
    <row r="396" spans="1:5" x14ac:dyDescent="0.2">
      <c r="A396" s="345">
        <v>39568</v>
      </c>
      <c r="B396" s="1369">
        <v>-0.21</v>
      </c>
      <c r="C396" s="346">
        <v>1301194162.01</v>
      </c>
      <c r="E396" s="14">
        <f>B396-Index_Returns!W396</f>
        <v>-1.0000000000000009E-3</v>
      </c>
    </row>
    <row r="397" spans="1:5" x14ac:dyDescent="0.2">
      <c r="A397" s="345">
        <v>39599</v>
      </c>
      <c r="B397" s="1369">
        <v>-0.75</v>
      </c>
      <c r="C397" s="346">
        <v>1291468860.9300001</v>
      </c>
      <c r="E397" s="14">
        <f>B397-Index_Returns!W397</f>
        <v>-1.6700000000000048E-2</v>
      </c>
    </row>
    <row r="398" spans="1:5" x14ac:dyDescent="0.2">
      <c r="A398" s="345">
        <v>39629</v>
      </c>
      <c r="B398" s="1369">
        <v>-0.06</v>
      </c>
      <c r="C398" s="346">
        <v>1290906539.0999999</v>
      </c>
      <c r="E398" s="14">
        <f>B398-Index_Returns!W398</f>
        <v>2.0799999999999999E-2</v>
      </c>
    </row>
    <row r="399" spans="1:5" x14ac:dyDescent="0.2">
      <c r="A399" s="345">
        <v>39660</v>
      </c>
      <c r="B399" s="1369">
        <v>-0.05</v>
      </c>
      <c r="C399" s="33">
        <v>1290290887.8599999</v>
      </c>
      <c r="E399" s="14">
        <f>B399-Index_Returns!W399</f>
        <v>3.1600000000000003E-2</v>
      </c>
    </row>
    <row r="400" spans="1:5" x14ac:dyDescent="0.2">
      <c r="A400" s="345">
        <v>39691</v>
      </c>
      <c r="B400" s="1369">
        <v>0.93</v>
      </c>
      <c r="C400" s="33">
        <v>1302309082.8299999</v>
      </c>
      <c r="E400" s="14">
        <f>B400-Index_Returns!W400</f>
        <v>-1.9100000000000006E-2</v>
      </c>
    </row>
    <row r="401" spans="1:5" x14ac:dyDescent="0.2">
      <c r="A401" s="345">
        <v>39721</v>
      </c>
      <c r="B401" s="1369">
        <v>-1.37</v>
      </c>
      <c r="C401" s="33">
        <v>1284592678.74</v>
      </c>
      <c r="E401" s="14">
        <f>B401-Index_Returns!W401</f>
        <v>-2.6800000000000157E-2</v>
      </c>
    </row>
    <row r="402" spans="1:5" x14ac:dyDescent="0.2">
      <c r="A402" s="345">
        <v>39752</v>
      </c>
      <c r="B402" s="1369">
        <v>-3.24</v>
      </c>
      <c r="C402" s="346">
        <v>859578116</v>
      </c>
      <c r="E402" s="14">
        <f>B402-Index_Returns!W402</f>
        <v>-0.87960000000000038</v>
      </c>
    </row>
    <row r="403" spans="1:5" x14ac:dyDescent="0.2">
      <c r="A403" s="345">
        <v>39782</v>
      </c>
      <c r="B403" s="1369">
        <v>2.52</v>
      </c>
      <c r="C403" s="346">
        <v>790972107</v>
      </c>
      <c r="E403" s="14">
        <f>B403-Index_Returns!W403</f>
        <v>-0.73499999999999988</v>
      </c>
    </row>
    <row r="404" spans="1:5" x14ac:dyDescent="0.2">
      <c r="A404" s="345">
        <v>39813</v>
      </c>
      <c r="B404" s="1369">
        <v>4.46</v>
      </c>
      <c r="C404" s="346">
        <v>826350910</v>
      </c>
      <c r="E404" s="14">
        <f>B404-Index_Returns!W404</f>
        <v>0.72909999999999986</v>
      </c>
    </row>
    <row r="405" spans="1:5" x14ac:dyDescent="0.2">
      <c r="A405" s="345">
        <v>39844</v>
      </c>
      <c r="B405" s="1369">
        <v>0.06</v>
      </c>
      <c r="C405" s="346">
        <v>668154352.08000004</v>
      </c>
      <c r="D405" s="258">
        <v>0.23549999999999999</v>
      </c>
      <c r="E405" s="14">
        <f>B405-Index_Returns!W405</f>
        <v>0.94229999999999992</v>
      </c>
    </row>
    <row r="406" spans="1:5" x14ac:dyDescent="0.2">
      <c r="A406" s="345">
        <v>39872</v>
      </c>
      <c r="B406" s="1369">
        <v>-0.93</v>
      </c>
      <c r="C406" s="346">
        <v>661915210.23000002</v>
      </c>
      <c r="D406" s="258">
        <v>-0.93379999999999996</v>
      </c>
      <c r="E406" s="14">
        <f>B406-Index_Returns!W406</f>
        <v>-0.5524</v>
      </c>
    </row>
    <row r="407" spans="1:5" x14ac:dyDescent="0.2">
      <c r="A407" s="345">
        <v>39903</v>
      </c>
      <c r="B407" s="1369">
        <v>0.95</v>
      </c>
      <c r="C407" s="346">
        <v>668318103.01999998</v>
      </c>
      <c r="D407" s="258">
        <v>0.96730000000000005</v>
      </c>
      <c r="E407" s="14">
        <f>B407-Index_Returns!W407</f>
        <v>-0.44020000000000015</v>
      </c>
    </row>
    <row r="408" spans="1:5" x14ac:dyDescent="0.2">
      <c r="A408" s="345">
        <v>39933</v>
      </c>
      <c r="B408" s="1369">
        <v>2</v>
      </c>
      <c r="C408" s="346">
        <v>681665042.50999999</v>
      </c>
      <c r="E408" s="14">
        <f>B408-Index_Returns!W408</f>
        <v>1.5213999999999999</v>
      </c>
    </row>
    <row r="409" spans="1:5" x14ac:dyDescent="0.2">
      <c r="A409" s="345">
        <v>39964</v>
      </c>
      <c r="B409" s="1369">
        <v>2.1</v>
      </c>
      <c r="C409" s="346">
        <v>695979829.33000004</v>
      </c>
      <c r="E409" s="14">
        <f>B409-Index_Returns!W409</f>
        <v>1.3749000000000002</v>
      </c>
    </row>
    <row r="410" spans="1:5" x14ac:dyDescent="0.2">
      <c r="A410" s="345">
        <v>39994</v>
      </c>
      <c r="B410" s="1369">
        <v>1.45</v>
      </c>
      <c r="C410" s="346">
        <v>479129373.75</v>
      </c>
      <c r="E410" s="14">
        <f>B410-Index_Returns!W410</f>
        <v>0.88159999999999994</v>
      </c>
    </row>
    <row r="411" spans="1:5" x14ac:dyDescent="0.2">
      <c r="A411" s="345">
        <v>40025</v>
      </c>
      <c r="B411" s="1369">
        <v>3.79</v>
      </c>
      <c r="C411" s="346">
        <v>442203006.70999998</v>
      </c>
      <c r="D411" s="258">
        <v>3.7862</v>
      </c>
      <c r="E411" s="14">
        <f>B411-Index_Returns!W411</f>
        <v>2.1767000000000003</v>
      </c>
    </row>
    <row r="412" spans="1:5" x14ac:dyDescent="0.2">
      <c r="A412" s="345">
        <v>40056</v>
      </c>
      <c r="B412" s="1369">
        <v>1.66</v>
      </c>
      <c r="C412" s="346">
        <v>449533701.14999998</v>
      </c>
      <c r="D412" s="258">
        <v>1.6577999999999999</v>
      </c>
      <c r="E412" s="14">
        <f>B412-Index_Returns!W412</f>
        <v>0.62459999999999982</v>
      </c>
    </row>
    <row r="413" spans="1:5" x14ac:dyDescent="0.2">
      <c r="A413" s="345">
        <v>40086</v>
      </c>
      <c r="B413" s="1369">
        <v>1.89</v>
      </c>
      <c r="C413" s="346">
        <v>455902433.99000001</v>
      </c>
      <c r="D413" s="258">
        <v>1.9039999999999999</v>
      </c>
      <c r="E413" s="14">
        <f>B413-Index_Returns!W413</f>
        <v>0.83929999999999993</v>
      </c>
    </row>
    <row r="414" spans="1:5" x14ac:dyDescent="0.2">
      <c r="A414" s="345">
        <v>40117</v>
      </c>
      <c r="B414" s="1369">
        <v>0.88</v>
      </c>
      <c r="C414" s="346">
        <v>460583737</v>
      </c>
      <c r="D414" s="258">
        <v>0.88</v>
      </c>
      <c r="E414" s="14">
        <f>B414-Index_Returns!W414</f>
        <v>0.39</v>
      </c>
    </row>
    <row r="415" spans="1:5" x14ac:dyDescent="0.2">
      <c r="A415" s="345">
        <v>40147</v>
      </c>
      <c r="B415" s="1369">
        <v>1.1599999999999999</v>
      </c>
      <c r="C415" s="346">
        <v>465948009</v>
      </c>
      <c r="D415" s="258">
        <v>1.165</v>
      </c>
      <c r="E415" s="14">
        <f>B415-Index_Returns!W415</f>
        <v>-0.13400000000000012</v>
      </c>
    </row>
    <row r="416" spans="1:5" x14ac:dyDescent="0.2">
      <c r="A416" s="345">
        <v>40178</v>
      </c>
      <c r="B416" s="1369">
        <v>-0.64</v>
      </c>
      <c r="C416" s="346">
        <v>395184322.81</v>
      </c>
      <c r="D416" s="258">
        <v>-0.63815</v>
      </c>
      <c r="E416" s="14">
        <f>B416-Index_Returns!W416</f>
        <v>0.92350999999999994</v>
      </c>
    </row>
    <row r="417" spans="1:5" x14ac:dyDescent="0.2">
      <c r="A417" s="345">
        <v>40209</v>
      </c>
      <c r="B417" s="253">
        <v>1.56</v>
      </c>
      <c r="C417" s="346">
        <v>401346448.75999999</v>
      </c>
      <c r="D417" s="258">
        <v>1.5592999999999999</v>
      </c>
      <c r="E417" s="14">
        <f>B417-Index_Returns!W417</f>
        <v>3.2220000000000137E-2</v>
      </c>
    </row>
    <row r="418" spans="1:5" x14ac:dyDescent="0.2">
      <c r="A418" s="345">
        <v>40237</v>
      </c>
      <c r="B418" s="253">
        <v>0.32</v>
      </c>
      <c r="C418" s="346">
        <v>402644401.87</v>
      </c>
      <c r="D418" s="258">
        <v>0.32340000000000002</v>
      </c>
      <c r="E418" s="14">
        <f>B418-Index_Returns!W418</f>
        <v>-5.3319999999999979E-2</v>
      </c>
    </row>
    <row r="419" spans="1:5" x14ac:dyDescent="0.2">
      <c r="A419" s="345">
        <v>40268</v>
      </c>
      <c r="B419" s="253">
        <v>0.17</v>
      </c>
      <c r="C419" s="1334">
        <v>403333585.87</v>
      </c>
      <c r="D419" s="1311">
        <v>0.17116000000000001</v>
      </c>
      <c r="E419" s="14">
        <f>B419-Index_Returns!W419</f>
        <v>0.29261999999999999</v>
      </c>
    </row>
    <row r="420" spans="1:5" x14ac:dyDescent="0.2">
      <c r="A420" s="345">
        <v>40298</v>
      </c>
      <c r="B420" s="253">
        <v>1.58</v>
      </c>
      <c r="C420" s="346">
        <v>409702203.77999997</v>
      </c>
      <c r="D420" s="258">
        <v>1.579</v>
      </c>
      <c r="E420" s="14">
        <f>B420-Index_Returns!W420</f>
        <v>0.53902000000000005</v>
      </c>
    </row>
    <row r="421" spans="1:5" x14ac:dyDescent="0.2">
      <c r="A421" s="345">
        <v>40329</v>
      </c>
      <c r="B421" s="253">
        <v>-0.54</v>
      </c>
      <c r="C421" s="346">
        <v>407507481.47000003</v>
      </c>
      <c r="D421" s="258">
        <v>-0.53569</v>
      </c>
      <c r="E421" s="14">
        <f>B421-Index_Returns!W421</f>
        <v>-1.3810800000000001</v>
      </c>
    </row>
    <row r="422" spans="1:5" x14ac:dyDescent="0.2">
      <c r="A422" s="345">
        <v>40359</v>
      </c>
      <c r="B422" s="253">
        <v>1.76</v>
      </c>
      <c r="C422" s="346">
        <v>414691684.56999999</v>
      </c>
      <c r="D422" s="258">
        <v>1.7629600000000001</v>
      </c>
      <c r="E422" s="14">
        <f>B422-Index_Returns!W422</f>
        <v>0.19184000000000001</v>
      </c>
    </row>
    <row r="423" spans="1:5" x14ac:dyDescent="0.2">
      <c r="A423" s="345">
        <v>40390</v>
      </c>
      <c r="B423" s="253">
        <v>1.50478</v>
      </c>
      <c r="C423" s="346">
        <v>420931895.07999998</v>
      </c>
      <c r="D423" s="258">
        <v>1.50478</v>
      </c>
      <c r="E423" s="14">
        <f>B423-Index_Returns!W423</f>
        <v>0.43740000000000001</v>
      </c>
    </row>
    <row r="424" spans="1:5" x14ac:dyDescent="0.2">
      <c r="A424" s="345">
        <v>40421</v>
      </c>
      <c r="B424" s="253">
        <v>1.0806800000000001</v>
      </c>
      <c r="C424" s="346">
        <v>465756187.81</v>
      </c>
      <c r="D424" s="258">
        <v>1.0806800000000001</v>
      </c>
      <c r="E424" s="14">
        <f>B424-Index_Returns!W424</f>
        <v>-0.20587</v>
      </c>
    </row>
    <row r="425" spans="1:5" x14ac:dyDescent="0.2">
      <c r="A425" s="345">
        <v>40451</v>
      </c>
      <c r="B425" s="253">
        <v>0.18421000000000001</v>
      </c>
      <c r="C425" s="346">
        <v>466614159.24000001</v>
      </c>
      <c r="D425" s="258">
        <v>0.21187</v>
      </c>
      <c r="E425" s="14">
        <f>B425-Index_Returns!W425</f>
        <v>7.7490000000000017E-2</v>
      </c>
    </row>
    <row r="426" spans="1:5" x14ac:dyDescent="0.2">
      <c r="A426" s="345">
        <v>40482</v>
      </c>
      <c r="B426" s="258">
        <v>0.54549999999999998</v>
      </c>
      <c r="C426" s="346">
        <v>419048717.76999998</v>
      </c>
      <c r="D426" s="258">
        <v>0.54549999999999998</v>
      </c>
      <c r="E426" s="14">
        <f>B426-Index_Returns!W426</f>
        <v>0.18966</v>
      </c>
    </row>
    <row r="427" spans="1:5" x14ac:dyDescent="0.2">
      <c r="A427" s="345">
        <v>40512</v>
      </c>
      <c r="B427" s="253">
        <f>D427</f>
        <v>-0.70774999999999999</v>
      </c>
      <c r="C427" s="346">
        <v>174746368.72999999</v>
      </c>
      <c r="D427" s="258">
        <v>-0.70774999999999999</v>
      </c>
      <c r="E427" s="14">
        <f>B427-Index_Returns!W427</f>
        <v>-0.13297000000000003</v>
      </c>
    </row>
    <row r="428" spans="1:5" x14ac:dyDescent="0.2">
      <c r="A428" s="345">
        <v>40543</v>
      </c>
      <c r="B428" s="253">
        <v>-0.52351999999999999</v>
      </c>
      <c r="C428" s="346">
        <v>148775267.34999999</v>
      </c>
      <c r="D428" s="258">
        <v>-0.52351999999999999</v>
      </c>
      <c r="E428" s="14">
        <f>B428-Index_Returns!W428</f>
        <v>0.55479999999999996</v>
      </c>
    </row>
    <row r="429" spans="1:5" x14ac:dyDescent="0.2">
      <c r="A429" s="345">
        <v>40574</v>
      </c>
      <c r="B429" s="253">
        <f>D429</f>
        <v>5.6669999999999998E-2</v>
      </c>
      <c r="C429" s="346">
        <v>148859572.47999999</v>
      </c>
      <c r="D429" s="258">
        <v>5.6669999999999998E-2</v>
      </c>
      <c r="E429" s="14">
        <f>B429-Index_Returns!W429</f>
        <v>-5.9480000000000005E-2</v>
      </c>
    </row>
    <row r="430" spans="1:5" x14ac:dyDescent="0.2">
      <c r="A430" s="345">
        <v>40602</v>
      </c>
      <c r="B430" s="253">
        <v>0.20871000000000001</v>
      </c>
      <c r="C430" s="346">
        <v>149170263.53999999</v>
      </c>
      <c r="D430" s="258">
        <v>0.20871000000000001</v>
      </c>
      <c r="E430" s="14">
        <f>B430-Index_Returns!W430</f>
        <v>-4.1520000000000001E-2</v>
      </c>
    </row>
    <row r="431" spans="1:5" x14ac:dyDescent="0.2">
      <c r="A431" s="345">
        <v>40633</v>
      </c>
      <c r="B431" s="253">
        <f>D431</f>
        <v>0.29821999999999999</v>
      </c>
      <c r="C431" s="346">
        <v>420301011.19999999</v>
      </c>
      <c r="D431" s="258">
        <v>0.29821999999999999</v>
      </c>
      <c r="E431" s="14">
        <f>B431-Index_Returns!W431</f>
        <v>0.24295999999999998</v>
      </c>
    </row>
    <row r="432" spans="1:5" x14ac:dyDescent="0.2">
      <c r="A432" s="345">
        <v>40663</v>
      </c>
      <c r="B432" s="253">
        <f t="shared" ref="B432:B452" si="0">D432</f>
        <v>0.83233000000000001</v>
      </c>
      <c r="C432" s="346">
        <v>423799293.38</v>
      </c>
      <c r="D432" s="258">
        <v>0.83233000000000001</v>
      </c>
      <c r="E432" s="14">
        <f>B432-Index_Returns!W432</f>
        <v>-0.43724999999999992</v>
      </c>
    </row>
    <row r="433" spans="1:5" x14ac:dyDescent="0.2">
      <c r="A433" s="345">
        <v>40694</v>
      </c>
      <c r="B433" s="253">
        <f t="shared" si="0"/>
        <v>0.64924000000000004</v>
      </c>
      <c r="C433" s="346">
        <v>878011174.29999995</v>
      </c>
      <c r="D433" s="258">
        <v>0.64924000000000004</v>
      </c>
      <c r="E433" s="14">
        <f>B433-Index_Returns!W433</f>
        <v>-0.65595000000000003</v>
      </c>
    </row>
    <row r="434" spans="1:5" x14ac:dyDescent="0.2">
      <c r="A434" s="345">
        <v>40724</v>
      </c>
      <c r="B434" s="253">
        <f t="shared" si="0"/>
        <v>-0.52725</v>
      </c>
      <c r="C434" s="346">
        <v>1070995373.03</v>
      </c>
      <c r="D434" s="258">
        <v>-0.52725</v>
      </c>
      <c r="E434" s="14">
        <f>B434-Index_Returns!W434</f>
        <v>-0.23432999999999998</v>
      </c>
    </row>
    <row r="435" spans="1:5" x14ac:dyDescent="0.2">
      <c r="A435" s="345">
        <v>40755</v>
      </c>
      <c r="B435" s="253">
        <f t="shared" si="0"/>
        <v>1.5611900000000001</v>
      </c>
      <c r="C435" s="346">
        <v>1087715674.8800001</v>
      </c>
      <c r="D435" s="258">
        <v>1.5611900000000001</v>
      </c>
      <c r="E435" s="14">
        <f>B435-Index_Returns!W435</f>
        <v>-2.5689999999999991E-2</v>
      </c>
    </row>
    <row r="436" spans="1:5" x14ac:dyDescent="0.2">
      <c r="A436" s="345">
        <v>40786</v>
      </c>
      <c r="B436" s="253">
        <f t="shared" si="0"/>
        <v>1.478</v>
      </c>
      <c r="C436" s="346">
        <v>908665649.26999998</v>
      </c>
      <c r="D436" s="258">
        <v>1.478</v>
      </c>
      <c r="E436" s="14">
        <f>B436-Index_Returns!W436</f>
        <v>1.692999999999989E-2</v>
      </c>
    </row>
    <row r="437" spans="1:5" x14ac:dyDescent="0.2">
      <c r="A437" s="345">
        <v>40816</v>
      </c>
      <c r="B437" s="253">
        <f t="shared" si="0"/>
        <v>0.78891999999999995</v>
      </c>
      <c r="C437" s="346">
        <v>915834331.38999999</v>
      </c>
      <c r="D437" s="258">
        <v>0.78891999999999995</v>
      </c>
      <c r="E437" s="14">
        <f>B437-Index_Returns!W437</f>
        <v>6.1670000000000003E-2</v>
      </c>
    </row>
    <row r="438" spans="1:5" x14ac:dyDescent="0.2">
      <c r="A438" s="345">
        <v>40847</v>
      </c>
      <c r="B438" s="253">
        <f t="shared" si="0"/>
        <v>4.5690000000000001E-2</v>
      </c>
      <c r="C438" s="346">
        <v>916252731.40999997</v>
      </c>
      <c r="D438" s="258">
        <v>4.5690000000000001E-2</v>
      </c>
      <c r="E438" s="14">
        <f>B438-Index_Returns!W438</f>
        <v>-6.1959999999999994E-2</v>
      </c>
    </row>
    <row r="439" spans="1:5" x14ac:dyDescent="0.2">
      <c r="A439" s="345">
        <v>40877</v>
      </c>
      <c r="B439" s="253">
        <f t="shared" si="0"/>
        <v>9.7629999999999995E-2</v>
      </c>
      <c r="C439" s="346">
        <v>917147232</v>
      </c>
      <c r="D439" s="258">
        <v>9.7629999999999995E-2</v>
      </c>
      <c r="E439" s="14">
        <f>B439-Index_Returns!W439</f>
        <v>0.18453999999999998</v>
      </c>
    </row>
    <row r="440" spans="1:5" x14ac:dyDescent="0.2">
      <c r="A440" s="345">
        <v>40908</v>
      </c>
      <c r="B440" s="253">
        <f t="shared" si="0"/>
        <v>1.0549900000000001</v>
      </c>
      <c r="C440" s="346">
        <v>926823054.84000003</v>
      </c>
      <c r="D440" s="258">
        <v>1.0549900000000001</v>
      </c>
      <c r="E440" s="14">
        <f>B440-Index_Returns!W440</f>
        <v>-4.4130000000000003E-2</v>
      </c>
    </row>
    <row r="441" spans="1:5" x14ac:dyDescent="0.2">
      <c r="A441" s="345">
        <v>40939</v>
      </c>
      <c r="B441" s="253">
        <f t="shared" si="0"/>
        <v>0.83714</v>
      </c>
      <c r="C441" s="346">
        <v>934706494.38999999</v>
      </c>
      <c r="D441" s="258">
        <v>0.83714</v>
      </c>
      <c r="E441" s="14">
        <f>B441-Index_Returns!W441</f>
        <v>-4.049999999999998E-2</v>
      </c>
    </row>
    <row r="442" spans="1:5" x14ac:dyDescent="0.2">
      <c r="A442" s="345">
        <v>40968</v>
      </c>
      <c r="B442" s="253">
        <f t="shared" si="0"/>
        <v>2.477E-2</v>
      </c>
      <c r="C442" s="346">
        <v>935046195.11000001</v>
      </c>
      <c r="D442" s="258">
        <v>2.477E-2</v>
      </c>
      <c r="E442" s="14">
        <f>B442-Index_Returns!W442</f>
        <v>4.7579999999999997E-2</v>
      </c>
    </row>
    <row r="443" spans="1:5" x14ac:dyDescent="0.2">
      <c r="A443" s="345">
        <v>40999</v>
      </c>
      <c r="B443" s="253">
        <f t="shared" si="0"/>
        <v>-0.53305000000000002</v>
      </c>
      <c r="C443" s="346">
        <v>681304217.30999994</v>
      </c>
      <c r="D443" s="258">
        <v>-0.53305000000000002</v>
      </c>
      <c r="E443" s="14">
        <f>B443-Index_Returns!W443</f>
        <v>1.4880000000000004E-2</v>
      </c>
    </row>
    <row r="444" spans="1:5" x14ac:dyDescent="0.2">
      <c r="A444" s="345">
        <v>41029</v>
      </c>
      <c r="B444" s="253">
        <f t="shared" si="0"/>
        <v>1.0789800000000001</v>
      </c>
      <c r="C444" s="346">
        <v>688683147.51999998</v>
      </c>
      <c r="D444" s="258">
        <v>1.0789800000000001</v>
      </c>
      <c r="E444" s="14">
        <f>B444-Index_Returns!W444</f>
        <v>-2.9919999999999947E-2</v>
      </c>
    </row>
    <row r="445" spans="1:5" x14ac:dyDescent="0.2">
      <c r="A445" s="345">
        <v>41060</v>
      </c>
      <c r="B445" s="253">
        <f t="shared" si="0"/>
        <v>0.72670000000000001</v>
      </c>
      <c r="C445" s="346">
        <v>628000024.14999998</v>
      </c>
      <c r="D445" s="258">
        <v>0.72670000000000001</v>
      </c>
      <c r="E445" s="14">
        <f>B445-Index_Returns!W445</f>
        <v>-0.17796000000000001</v>
      </c>
    </row>
    <row r="446" spans="1:5" x14ac:dyDescent="0.2">
      <c r="A446" s="345">
        <v>41090</v>
      </c>
      <c r="B446" s="253">
        <f t="shared" si="0"/>
        <v>1.5679999999999999E-2</v>
      </c>
      <c r="C446" s="346">
        <v>326183402.85000002</v>
      </c>
      <c r="D446" s="258">
        <v>1.5679999999999999E-2</v>
      </c>
      <c r="E446" s="14">
        <f>B446-Index_Returns!W446</f>
        <v>-2.3550000000000001E-2</v>
      </c>
    </row>
    <row r="447" spans="1:5" x14ac:dyDescent="0.2">
      <c r="A447" s="345">
        <v>41121</v>
      </c>
      <c r="B447" s="253">
        <f t="shared" si="0"/>
        <v>0.68820000000000003</v>
      </c>
      <c r="C447" s="346">
        <v>328428193.26999998</v>
      </c>
      <c r="D447" s="258">
        <v>0.68820000000000003</v>
      </c>
      <c r="E447" s="14">
        <f>B447-Index_Returns!W447</f>
        <v>-0.69120999999999999</v>
      </c>
    </row>
    <row r="448" spans="1:5" x14ac:dyDescent="0.2">
      <c r="A448" s="345">
        <v>41152</v>
      </c>
      <c r="B448" s="253">
        <f t="shared" si="0"/>
        <v>0</v>
      </c>
      <c r="E448" s="14">
        <f>B448-Index_Returns!W448</f>
        <v>-6.5460000000000004E-2</v>
      </c>
    </row>
    <row r="449" spans="1:5" x14ac:dyDescent="0.2">
      <c r="A449" s="345">
        <v>41182</v>
      </c>
      <c r="B449" s="253">
        <f t="shared" si="0"/>
        <v>0</v>
      </c>
      <c r="E449" s="14">
        <f>B449-Index_Returns!W449</f>
        <v>-0.13722000000000001</v>
      </c>
    </row>
    <row r="450" spans="1:5" x14ac:dyDescent="0.2">
      <c r="A450" s="345">
        <v>41213</v>
      </c>
      <c r="B450" s="253">
        <f t="shared" si="0"/>
        <v>0</v>
      </c>
      <c r="E450" s="14">
        <f>B450-Index_Returns!W450</f>
        <v>-0.19669</v>
      </c>
    </row>
    <row r="451" spans="1:5" x14ac:dyDescent="0.2">
      <c r="A451" s="345">
        <v>41243</v>
      </c>
      <c r="B451" s="253">
        <f t="shared" si="0"/>
        <v>0</v>
      </c>
      <c r="E451" s="14">
        <f>B451-Index_Returns!W451</f>
        <v>-0.15783</v>
      </c>
    </row>
    <row r="452" spans="1:5" x14ac:dyDescent="0.2">
      <c r="A452" s="345">
        <v>41274</v>
      </c>
      <c r="B452" s="253">
        <f t="shared" si="0"/>
        <v>0</v>
      </c>
      <c r="E452" s="14">
        <f>B452-Index_Returns!W452</f>
        <v>0.14238999999999999</v>
      </c>
    </row>
  </sheetData>
  <phoneticPr fontId="3" type="noConversion"/>
  <printOptions headings="1" gridLines="1"/>
  <pageMargins left="0.75" right="0.75" top="1" bottom="1" header="0.5" footer="0.5"/>
  <pageSetup scale="12" orientation="portrait" r:id="rId1"/>
  <headerFooter alignWithMargins="0">
    <oddHeader>&amp;L&amp;A</oddHeader>
  </headerFooter>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rgb="FFFF0000"/>
  </sheetPr>
  <dimension ref="A1:H428"/>
  <sheetViews>
    <sheetView topLeftCell="A392" workbookViewId="0">
      <selection activeCell="C404" sqref="C404"/>
    </sheetView>
  </sheetViews>
  <sheetFormatPr defaultRowHeight="12.75" x14ac:dyDescent="0.2"/>
  <cols>
    <col min="1" max="1" width="18.7109375" style="21" customWidth="1"/>
    <col min="2" max="2" width="18.7109375" style="257" customWidth="1"/>
    <col min="3" max="3" width="18.7109375" style="5" customWidth="1"/>
    <col min="4" max="4" width="18.7109375" style="258" customWidth="1"/>
    <col min="6" max="6" width="12.42578125" bestFit="1" customWidth="1"/>
    <col min="7" max="8" width="9.140625" style="352"/>
  </cols>
  <sheetData>
    <row r="1" spans="1:5" x14ac:dyDescent="0.2">
      <c r="A1" s="265" t="s">
        <v>378</v>
      </c>
      <c r="B1" s="75" t="s">
        <v>390</v>
      </c>
      <c r="C1" s="964" t="s">
        <v>347</v>
      </c>
      <c r="D1" s="252">
        <v>14</v>
      </c>
    </row>
    <row r="2" spans="1:5" x14ac:dyDescent="0.2">
      <c r="A2" s="3" t="s">
        <v>27</v>
      </c>
      <c r="B2" s="71" t="s">
        <v>91</v>
      </c>
      <c r="C2" s="3" t="s">
        <v>92</v>
      </c>
      <c r="D2" s="71" t="s">
        <v>90</v>
      </c>
      <c r="E2" s="12" t="s">
        <v>80</v>
      </c>
    </row>
    <row r="3" spans="1:5" x14ac:dyDescent="0.2">
      <c r="A3" s="345">
        <v>27606</v>
      </c>
      <c r="B3" s="71"/>
      <c r="C3" s="226"/>
      <c r="D3" s="71"/>
    </row>
    <row r="4" spans="1:5" x14ac:dyDescent="0.2">
      <c r="A4" s="345">
        <v>27637</v>
      </c>
      <c r="B4" s="71"/>
      <c r="C4" s="226"/>
      <c r="D4" s="71"/>
    </row>
    <row r="5" spans="1:5" x14ac:dyDescent="0.2">
      <c r="A5" s="345">
        <v>27667</v>
      </c>
      <c r="B5" s="71"/>
      <c r="C5" s="226"/>
      <c r="D5" s="71"/>
    </row>
    <row r="6" spans="1:5" x14ac:dyDescent="0.2">
      <c r="A6" s="345">
        <v>27698</v>
      </c>
      <c r="B6" s="71"/>
      <c r="C6" s="226"/>
      <c r="D6" s="71"/>
    </row>
    <row r="7" spans="1:5" x14ac:dyDescent="0.2">
      <c r="A7" s="345">
        <v>27728</v>
      </c>
      <c r="B7" s="71"/>
      <c r="C7" s="226"/>
      <c r="D7" s="71"/>
    </row>
    <row r="8" spans="1:5" x14ac:dyDescent="0.2">
      <c r="A8" s="345">
        <v>27759</v>
      </c>
      <c r="B8" s="71"/>
      <c r="C8" s="226"/>
      <c r="D8" s="71"/>
    </row>
    <row r="9" spans="1:5" x14ac:dyDescent="0.2">
      <c r="A9" s="345">
        <v>27790</v>
      </c>
      <c r="B9" s="71"/>
      <c r="C9" s="226"/>
      <c r="D9" s="71"/>
    </row>
    <row r="10" spans="1:5" x14ac:dyDescent="0.2">
      <c r="A10" s="345">
        <v>27819</v>
      </c>
      <c r="B10" s="71"/>
      <c r="C10" s="226"/>
      <c r="D10" s="71"/>
    </row>
    <row r="11" spans="1:5" x14ac:dyDescent="0.2">
      <c r="A11" s="345">
        <v>27850</v>
      </c>
      <c r="B11" s="71"/>
      <c r="C11" s="226"/>
      <c r="D11" s="71"/>
    </row>
    <row r="12" spans="1:5" x14ac:dyDescent="0.2">
      <c r="A12" s="345">
        <v>27880</v>
      </c>
      <c r="B12" s="71"/>
      <c r="C12" s="226"/>
      <c r="D12" s="71"/>
    </row>
    <row r="13" spans="1:5" x14ac:dyDescent="0.2">
      <c r="A13" s="345">
        <v>27911</v>
      </c>
      <c r="B13" s="71"/>
      <c r="C13" s="226"/>
      <c r="D13" s="71"/>
    </row>
    <row r="14" spans="1:5" x14ac:dyDescent="0.2">
      <c r="A14" s="345">
        <v>27941</v>
      </c>
      <c r="B14" s="71"/>
      <c r="C14" s="226"/>
      <c r="D14" s="71"/>
    </row>
    <row r="15" spans="1:5" x14ac:dyDescent="0.2">
      <c r="A15" s="345">
        <v>27972</v>
      </c>
      <c r="B15" s="71"/>
      <c r="C15" s="226"/>
      <c r="D15" s="71"/>
    </row>
    <row r="16" spans="1:5" x14ac:dyDescent="0.2">
      <c r="A16" s="345">
        <v>28003</v>
      </c>
      <c r="B16" s="71"/>
      <c r="C16" s="226"/>
      <c r="D16" s="71"/>
    </row>
    <row r="17" spans="1:4" x14ac:dyDescent="0.2">
      <c r="A17" s="345">
        <v>28033</v>
      </c>
      <c r="B17" s="71"/>
      <c r="C17" s="226"/>
      <c r="D17" s="71"/>
    </row>
    <row r="18" spans="1:4" x14ac:dyDescent="0.2">
      <c r="A18" s="345">
        <v>28064</v>
      </c>
      <c r="B18" s="71"/>
      <c r="C18" s="226"/>
      <c r="D18" s="71"/>
    </row>
    <row r="19" spans="1:4" x14ac:dyDescent="0.2">
      <c r="A19" s="345">
        <v>28094</v>
      </c>
      <c r="B19" s="71"/>
      <c r="C19" s="226"/>
      <c r="D19" s="71"/>
    </row>
    <row r="20" spans="1:4" x14ac:dyDescent="0.2">
      <c r="A20" s="345">
        <v>28125</v>
      </c>
      <c r="B20" s="71"/>
      <c r="C20" s="226"/>
      <c r="D20" s="71"/>
    </row>
    <row r="21" spans="1:4" x14ac:dyDescent="0.2">
      <c r="A21" s="345">
        <v>28156</v>
      </c>
      <c r="B21" s="71"/>
      <c r="C21" s="226"/>
      <c r="D21" s="71"/>
    </row>
    <row r="22" spans="1:4" x14ac:dyDescent="0.2">
      <c r="A22" s="345">
        <v>28184</v>
      </c>
      <c r="B22" s="71"/>
      <c r="C22" s="226"/>
      <c r="D22" s="71"/>
    </row>
    <row r="23" spans="1:4" x14ac:dyDescent="0.2">
      <c r="A23" s="345">
        <v>28215</v>
      </c>
      <c r="B23" s="71"/>
      <c r="C23" s="226"/>
      <c r="D23" s="71"/>
    </row>
    <row r="24" spans="1:4" x14ac:dyDescent="0.2">
      <c r="A24" s="345">
        <v>28245</v>
      </c>
      <c r="B24" s="71"/>
      <c r="C24" s="226"/>
      <c r="D24" s="71"/>
    </row>
    <row r="25" spans="1:4" x14ac:dyDescent="0.2">
      <c r="A25" s="345">
        <v>28276</v>
      </c>
      <c r="B25" s="71"/>
      <c r="C25" s="226"/>
      <c r="D25" s="71"/>
    </row>
    <row r="26" spans="1:4" x14ac:dyDescent="0.2">
      <c r="A26" s="345">
        <v>28306</v>
      </c>
      <c r="B26" s="71"/>
      <c r="C26" s="226"/>
      <c r="D26" s="71"/>
    </row>
    <row r="27" spans="1:4" x14ac:dyDescent="0.2">
      <c r="A27" s="345">
        <v>28337</v>
      </c>
      <c r="B27" s="71"/>
      <c r="C27" s="226"/>
      <c r="D27" s="71"/>
    </row>
    <row r="28" spans="1:4" x14ac:dyDescent="0.2">
      <c r="A28" s="345">
        <v>28368</v>
      </c>
      <c r="B28" s="71"/>
      <c r="C28" s="226"/>
      <c r="D28" s="71"/>
    </row>
    <row r="29" spans="1:4" x14ac:dyDescent="0.2">
      <c r="A29" s="345">
        <v>28398</v>
      </c>
      <c r="B29" s="71"/>
      <c r="C29" s="226"/>
      <c r="D29" s="71"/>
    </row>
    <row r="30" spans="1:4" x14ac:dyDescent="0.2">
      <c r="A30" s="345">
        <v>28429</v>
      </c>
      <c r="B30" s="71"/>
      <c r="C30" s="226"/>
      <c r="D30" s="71"/>
    </row>
    <row r="31" spans="1:4" x14ac:dyDescent="0.2">
      <c r="A31" s="345">
        <v>28459</v>
      </c>
      <c r="B31" s="71"/>
      <c r="C31" s="226"/>
      <c r="D31" s="71"/>
    </row>
    <row r="32" spans="1:4" x14ac:dyDescent="0.2">
      <c r="A32" s="345">
        <v>28490</v>
      </c>
      <c r="B32" s="71"/>
      <c r="C32" s="226"/>
      <c r="D32" s="71"/>
    </row>
    <row r="33" spans="1:4" x14ac:dyDescent="0.2">
      <c r="A33" s="345">
        <v>28521</v>
      </c>
      <c r="B33" s="71"/>
      <c r="C33" s="226"/>
      <c r="D33" s="71"/>
    </row>
    <row r="34" spans="1:4" x14ac:dyDescent="0.2">
      <c r="A34" s="345">
        <v>28549</v>
      </c>
      <c r="B34" s="71"/>
      <c r="C34" s="226"/>
      <c r="D34" s="71"/>
    </row>
    <row r="35" spans="1:4" x14ac:dyDescent="0.2">
      <c r="A35" s="345">
        <v>28580</v>
      </c>
      <c r="B35" s="71"/>
      <c r="C35" s="226"/>
      <c r="D35" s="71"/>
    </row>
    <row r="36" spans="1:4" x14ac:dyDescent="0.2">
      <c r="A36" s="345">
        <v>28610</v>
      </c>
      <c r="B36" s="71"/>
      <c r="C36" s="226"/>
      <c r="D36" s="71"/>
    </row>
    <row r="37" spans="1:4" x14ac:dyDescent="0.2">
      <c r="A37" s="345">
        <v>28641</v>
      </c>
      <c r="B37" s="71"/>
      <c r="C37" s="226"/>
      <c r="D37" s="71"/>
    </row>
    <row r="38" spans="1:4" x14ac:dyDescent="0.2">
      <c r="A38" s="345">
        <v>28671</v>
      </c>
      <c r="B38" s="71"/>
      <c r="C38" s="226"/>
      <c r="D38" s="71"/>
    </row>
    <row r="39" spans="1:4" x14ac:dyDescent="0.2">
      <c r="A39" s="345">
        <v>28702</v>
      </c>
      <c r="B39" s="71"/>
      <c r="C39" s="226"/>
      <c r="D39" s="71"/>
    </row>
    <row r="40" spans="1:4" x14ac:dyDescent="0.2">
      <c r="A40" s="345">
        <v>28733</v>
      </c>
      <c r="B40" s="71"/>
      <c r="C40" s="226"/>
      <c r="D40" s="71"/>
    </row>
    <row r="41" spans="1:4" x14ac:dyDescent="0.2">
      <c r="A41" s="345">
        <v>28763</v>
      </c>
      <c r="B41" s="71"/>
      <c r="C41" s="226"/>
      <c r="D41" s="71"/>
    </row>
    <row r="42" spans="1:4" x14ac:dyDescent="0.2">
      <c r="A42" s="345">
        <v>28794</v>
      </c>
      <c r="B42" s="71"/>
      <c r="C42" s="226"/>
      <c r="D42" s="71"/>
    </row>
    <row r="43" spans="1:4" x14ac:dyDescent="0.2">
      <c r="A43" s="345">
        <v>28824</v>
      </c>
      <c r="B43" s="71"/>
      <c r="C43" s="226"/>
      <c r="D43" s="71"/>
    </row>
    <row r="44" spans="1:4" x14ac:dyDescent="0.2">
      <c r="A44" s="345">
        <v>28855</v>
      </c>
      <c r="B44" s="71"/>
      <c r="C44" s="226"/>
      <c r="D44" s="71"/>
    </row>
    <row r="45" spans="1:4" x14ac:dyDescent="0.2">
      <c r="A45" s="345">
        <v>28886</v>
      </c>
      <c r="B45" s="71"/>
      <c r="C45" s="226"/>
      <c r="D45" s="71"/>
    </row>
    <row r="46" spans="1:4" x14ac:dyDescent="0.2">
      <c r="A46" s="345">
        <v>28914</v>
      </c>
      <c r="B46" s="71"/>
      <c r="C46" s="226"/>
      <c r="D46" s="71"/>
    </row>
    <row r="47" spans="1:4" x14ac:dyDescent="0.2">
      <c r="A47" s="345">
        <v>28945</v>
      </c>
      <c r="B47" s="71"/>
      <c r="C47" s="226"/>
      <c r="D47" s="71"/>
    </row>
    <row r="48" spans="1:4" x14ac:dyDescent="0.2">
      <c r="A48" s="345">
        <v>28975</v>
      </c>
      <c r="B48" s="71"/>
      <c r="C48" s="226"/>
      <c r="D48" s="71"/>
    </row>
    <row r="49" spans="1:4" x14ac:dyDescent="0.2">
      <c r="A49" s="345">
        <v>29006</v>
      </c>
      <c r="B49" s="71"/>
      <c r="C49" s="226"/>
      <c r="D49" s="71"/>
    </row>
    <row r="50" spans="1:4" x14ac:dyDescent="0.2">
      <c r="A50" s="345">
        <v>29036</v>
      </c>
      <c r="B50" s="71"/>
      <c r="C50" s="226"/>
      <c r="D50" s="71"/>
    </row>
    <row r="51" spans="1:4" x14ac:dyDescent="0.2">
      <c r="A51" s="345">
        <v>29067</v>
      </c>
      <c r="B51" s="71"/>
      <c r="C51" s="226"/>
      <c r="D51" s="71"/>
    </row>
    <row r="52" spans="1:4" x14ac:dyDescent="0.2">
      <c r="A52" s="345">
        <v>29098</v>
      </c>
      <c r="B52" s="71"/>
      <c r="C52" s="226"/>
      <c r="D52" s="71"/>
    </row>
    <row r="53" spans="1:4" x14ac:dyDescent="0.2">
      <c r="A53" s="345">
        <v>29128</v>
      </c>
      <c r="B53" s="71"/>
      <c r="C53" s="226"/>
      <c r="D53" s="71"/>
    </row>
    <row r="54" spans="1:4" x14ac:dyDescent="0.2">
      <c r="A54" s="345">
        <v>29159</v>
      </c>
      <c r="B54" s="71"/>
      <c r="C54" s="226"/>
      <c r="D54" s="71"/>
    </row>
    <row r="55" spans="1:4" x14ac:dyDescent="0.2">
      <c r="A55" s="345">
        <v>29189</v>
      </c>
      <c r="B55" s="71"/>
      <c r="C55" s="226"/>
      <c r="D55" s="71"/>
    </row>
    <row r="56" spans="1:4" x14ac:dyDescent="0.2">
      <c r="A56" s="345">
        <v>29220</v>
      </c>
      <c r="B56" s="71"/>
      <c r="C56" s="226"/>
      <c r="D56" s="71"/>
    </row>
    <row r="57" spans="1:4" x14ac:dyDescent="0.2">
      <c r="A57" s="345">
        <v>29251</v>
      </c>
      <c r="B57" s="71"/>
      <c r="C57" s="226"/>
      <c r="D57" s="71"/>
    </row>
    <row r="58" spans="1:4" x14ac:dyDescent="0.2">
      <c r="A58" s="345">
        <v>29280</v>
      </c>
      <c r="B58" s="71"/>
      <c r="C58" s="226"/>
      <c r="D58" s="71"/>
    </row>
    <row r="59" spans="1:4" x14ac:dyDescent="0.2">
      <c r="A59" s="345">
        <v>29311</v>
      </c>
      <c r="B59" s="71"/>
      <c r="C59" s="226"/>
      <c r="D59" s="71"/>
    </row>
    <row r="60" spans="1:4" x14ac:dyDescent="0.2">
      <c r="A60" s="345">
        <v>29341</v>
      </c>
      <c r="B60" s="71"/>
      <c r="C60" s="226"/>
      <c r="D60" s="71"/>
    </row>
    <row r="61" spans="1:4" x14ac:dyDescent="0.2">
      <c r="A61" s="345">
        <v>29372</v>
      </c>
      <c r="B61" s="71"/>
      <c r="C61" s="226"/>
      <c r="D61" s="71"/>
    </row>
    <row r="62" spans="1:4" x14ac:dyDescent="0.2">
      <c r="A62" s="345">
        <v>29402</v>
      </c>
      <c r="B62" s="71"/>
      <c r="C62" s="226"/>
      <c r="D62" s="71"/>
    </row>
    <row r="63" spans="1:4" x14ac:dyDescent="0.2">
      <c r="A63" s="345">
        <v>29433</v>
      </c>
      <c r="B63" s="71"/>
      <c r="C63" s="226"/>
      <c r="D63" s="71"/>
    </row>
    <row r="64" spans="1:4" x14ac:dyDescent="0.2">
      <c r="A64" s="345">
        <v>29464</v>
      </c>
      <c r="B64" s="71"/>
      <c r="C64" s="226"/>
      <c r="D64" s="71"/>
    </row>
    <row r="65" spans="1:4" x14ac:dyDescent="0.2">
      <c r="A65" s="345">
        <v>29494</v>
      </c>
      <c r="B65" s="71"/>
      <c r="C65" s="226"/>
      <c r="D65" s="71"/>
    </row>
    <row r="66" spans="1:4" x14ac:dyDescent="0.2">
      <c r="A66" s="345">
        <v>29525</v>
      </c>
      <c r="B66" s="71"/>
      <c r="C66" s="226"/>
      <c r="D66" s="71"/>
    </row>
    <row r="67" spans="1:4" x14ac:dyDescent="0.2">
      <c r="A67" s="345">
        <v>29555</v>
      </c>
      <c r="B67" s="71"/>
      <c r="C67" s="226"/>
      <c r="D67" s="71"/>
    </row>
    <row r="68" spans="1:4" x14ac:dyDescent="0.2">
      <c r="A68" s="345">
        <v>29586</v>
      </c>
      <c r="B68" s="71"/>
      <c r="C68" s="226"/>
      <c r="D68" s="71"/>
    </row>
    <row r="69" spans="1:4" x14ac:dyDescent="0.2">
      <c r="A69" s="345">
        <v>29617</v>
      </c>
      <c r="B69" s="71"/>
      <c r="C69" s="226"/>
      <c r="D69" s="71"/>
    </row>
    <row r="70" spans="1:4" x14ac:dyDescent="0.2">
      <c r="A70" s="345">
        <v>29645</v>
      </c>
      <c r="B70" s="71"/>
      <c r="C70" s="226"/>
      <c r="D70" s="71"/>
    </row>
    <row r="71" spans="1:4" x14ac:dyDescent="0.2">
      <c r="A71" s="345">
        <v>29676</v>
      </c>
      <c r="B71" s="71"/>
      <c r="C71" s="226"/>
      <c r="D71" s="71"/>
    </row>
    <row r="72" spans="1:4" x14ac:dyDescent="0.2">
      <c r="A72" s="345">
        <v>29706</v>
      </c>
      <c r="B72" s="71"/>
      <c r="C72" s="226"/>
      <c r="D72" s="71"/>
    </row>
    <row r="73" spans="1:4" x14ac:dyDescent="0.2">
      <c r="A73" s="345">
        <v>29737</v>
      </c>
      <c r="B73" s="71"/>
      <c r="C73" s="226"/>
      <c r="D73" s="71"/>
    </row>
    <row r="74" spans="1:4" x14ac:dyDescent="0.2">
      <c r="A74" s="345">
        <v>29767</v>
      </c>
      <c r="B74" s="71"/>
      <c r="C74" s="226"/>
      <c r="D74" s="71"/>
    </row>
    <row r="75" spans="1:4" x14ac:dyDescent="0.2">
      <c r="A75" s="345">
        <v>29798</v>
      </c>
      <c r="B75" s="71"/>
      <c r="C75" s="226"/>
      <c r="D75" s="71"/>
    </row>
    <row r="76" spans="1:4" x14ac:dyDescent="0.2">
      <c r="A76" s="345">
        <v>29829</v>
      </c>
      <c r="B76" s="71"/>
      <c r="C76" s="226"/>
      <c r="D76" s="71"/>
    </row>
    <row r="77" spans="1:4" x14ac:dyDescent="0.2">
      <c r="A77" s="345">
        <v>29859</v>
      </c>
      <c r="B77" s="71"/>
      <c r="C77" s="226"/>
      <c r="D77" s="71"/>
    </row>
    <row r="78" spans="1:4" x14ac:dyDescent="0.2">
      <c r="A78" s="345">
        <v>29890</v>
      </c>
      <c r="B78" s="71"/>
      <c r="C78" s="226"/>
      <c r="D78" s="71"/>
    </row>
    <row r="79" spans="1:4" x14ac:dyDescent="0.2">
      <c r="A79" s="345">
        <v>29920</v>
      </c>
      <c r="B79" s="71"/>
      <c r="C79" s="226"/>
      <c r="D79" s="71"/>
    </row>
    <row r="80" spans="1:4" x14ac:dyDescent="0.2">
      <c r="A80" s="345">
        <v>29951</v>
      </c>
      <c r="B80" s="71"/>
      <c r="C80" s="226"/>
      <c r="D80" s="71"/>
    </row>
    <row r="81" spans="1:4" x14ac:dyDescent="0.2">
      <c r="A81" s="345">
        <v>29982</v>
      </c>
      <c r="B81" s="71"/>
      <c r="C81" s="226"/>
      <c r="D81" s="71"/>
    </row>
    <row r="82" spans="1:4" x14ac:dyDescent="0.2">
      <c r="A82" s="345">
        <v>30010</v>
      </c>
      <c r="B82" s="71"/>
      <c r="C82" s="226"/>
      <c r="D82" s="71"/>
    </row>
    <row r="83" spans="1:4" x14ac:dyDescent="0.2">
      <c r="A83" s="345">
        <v>30041</v>
      </c>
      <c r="B83" s="71"/>
      <c r="C83" s="226"/>
      <c r="D83" s="71"/>
    </row>
    <row r="84" spans="1:4" x14ac:dyDescent="0.2">
      <c r="A84" s="345">
        <v>30071</v>
      </c>
      <c r="B84" s="71"/>
      <c r="C84" s="226"/>
      <c r="D84" s="71"/>
    </row>
    <row r="85" spans="1:4" x14ac:dyDescent="0.2">
      <c r="A85" s="345">
        <v>30102</v>
      </c>
      <c r="B85" s="71"/>
      <c r="C85" s="226"/>
      <c r="D85" s="71"/>
    </row>
    <row r="86" spans="1:4" x14ac:dyDescent="0.2">
      <c r="A86" s="345">
        <v>30132</v>
      </c>
      <c r="B86" s="71"/>
      <c r="C86" s="226"/>
      <c r="D86" s="71"/>
    </row>
    <row r="87" spans="1:4" x14ac:dyDescent="0.2">
      <c r="A87" s="345">
        <v>30163</v>
      </c>
      <c r="B87" s="71"/>
      <c r="C87" s="226"/>
      <c r="D87" s="71"/>
    </row>
    <row r="88" spans="1:4" x14ac:dyDescent="0.2">
      <c r="A88" s="345">
        <v>30194</v>
      </c>
      <c r="B88" s="71"/>
      <c r="C88" s="226"/>
      <c r="D88" s="71"/>
    </row>
    <row r="89" spans="1:4" x14ac:dyDescent="0.2">
      <c r="A89" s="345">
        <v>30224</v>
      </c>
      <c r="B89" s="71"/>
      <c r="C89" s="226"/>
      <c r="D89" s="71"/>
    </row>
    <row r="90" spans="1:4" x14ac:dyDescent="0.2">
      <c r="A90" s="345">
        <v>30255</v>
      </c>
      <c r="B90" s="71"/>
      <c r="C90" s="226"/>
      <c r="D90" s="71"/>
    </row>
    <row r="91" spans="1:4" x14ac:dyDescent="0.2">
      <c r="A91" s="345">
        <v>30285</v>
      </c>
      <c r="B91" s="71"/>
      <c r="C91" s="226"/>
      <c r="D91" s="71"/>
    </row>
    <row r="92" spans="1:4" x14ac:dyDescent="0.2">
      <c r="A92" s="345">
        <v>30316</v>
      </c>
      <c r="B92" s="71"/>
      <c r="C92" s="226"/>
      <c r="D92" s="71"/>
    </row>
    <row r="93" spans="1:4" x14ac:dyDescent="0.2">
      <c r="A93" s="345">
        <v>30347</v>
      </c>
      <c r="B93" s="71"/>
      <c r="C93" s="226"/>
      <c r="D93" s="71"/>
    </row>
    <row r="94" spans="1:4" x14ac:dyDescent="0.2">
      <c r="A94" s="345">
        <v>30375</v>
      </c>
      <c r="B94" s="71"/>
      <c r="C94" s="226"/>
      <c r="D94" s="71"/>
    </row>
    <row r="95" spans="1:4" x14ac:dyDescent="0.2">
      <c r="A95" s="345">
        <v>30406</v>
      </c>
      <c r="B95" s="71"/>
      <c r="C95" s="226"/>
      <c r="D95" s="71"/>
    </row>
    <row r="96" spans="1:4" x14ac:dyDescent="0.2">
      <c r="A96" s="345">
        <v>30436</v>
      </c>
      <c r="B96" s="71"/>
      <c r="C96" s="226"/>
      <c r="D96" s="71"/>
    </row>
    <row r="97" spans="1:4" x14ac:dyDescent="0.2">
      <c r="A97" s="345">
        <v>30467</v>
      </c>
      <c r="B97" s="71"/>
      <c r="C97" s="226"/>
      <c r="D97" s="71"/>
    </row>
    <row r="98" spans="1:4" x14ac:dyDescent="0.2">
      <c r="A98" s="345">
        <v>30497</v>
      </c>
      <c r="B98" s="71"/>
      <c r="C98" s="226"/>
      <c r="D98" s="71"/>
    </row>
    <row r="99" spans="1:4" x14ac:dyDescent="0.2">
      <c r="A99" s="345">
        <v>30528</v>
      </c>
      <c r="B99" s="71"/>
      <c r="C99" s="226"/>
      <c r="D99" s="71"/>
    </row>
    <row r="100" spans="1:4" x14ac:dyDescent="0.2">
      <c r="A100" s="345">
        <v>30559</v>
      </c>
      <c r="B100" s="71"/>
      <c r="C100" s="226"/>
      <c r="D100" s="71"/>
    </row>
    <row r="101" spans="1:4" x14ac:dyDescent="0.2">
      <c r="A101" s="345">
        <v>30589</v>
      </c>
      <c r="B101" s="71"/>
      <c r="C101" s="226"/>
      <c r="D101" s="71"/>
    </row>
    <row r="102" spans="1:4" x14ac:dyDescent="0.2">
      <c r="A102" s="345">
        <v>30620</v>
      </c>
      <c r="B102" s="71"/>
      <c r="C102" s="226"/>
      <c r="D102" s="71"/>
    </row>
    <row r="103" spans="1:4" x14ac:dyDescent="0.2">
      <c r="A103" s="345">
        <v>30650</v>
      </c>
      <c r="B103" s="71"/>
      <c r="C103" s="226"/>
      <c r="D103" s="71"/>
    </row>
    <row r="104" spans="1:4" x14ac:dyDescent="0.2">
      <c r="A104" s="345">
        <v>30681</v>
      </c>
      <c r="B104" s="71"/>
      <c r="C104" s="226"/>
      <c r="D104" s="71"/>
    </row>
    <row r="105" spans="1:4" x14ac:dyDescent="0.2">
      <c r="A105" s="345">
        <v>30712</v>
      </c>
      <c r="B105" s="71"/>
      <c r="C105" s="226"/>
      <c r="D105" s="71"/>
    </row>
    <row r="106" spans="1:4" x14ac:dyDescent="0.2">
      <c r="A106" s="345">
        <v>30741</v>
      </c>
      <c r="B106" s="71"/>
      <c r="C106" s="226"/>
      <c r="D106" s="71"/>
    </row>
    <row r="107" spans="1:4" x14ac:dyDescent="0.2">
      <c r="A107" s="345">
        <v>30772</v>
      </c>
      <c r="B107" s="71"/>
      <c r="C107" s="226"/>
      <c r="D107" s="71"/>
    </row>
    <row r="108" spans="1:4" x14ac:dyDescent="0.2">
      <c r="A108" s="345">
        <v>30802</v>
      </c>
      <c r="B108" s="71"/>
      <c r="C108" s="226"/>
      <c r="D108" s="71"/>
    </row>
    <row r="109" spans="1:4" x14ac:dyDescent="0.2">
      <c r="A109" s="345">
        <v>30833</v>
      </c>
      <c r="B109" s="71"/>
      <c r="C109" s="226"/>
      <c r="D109" s="71"/>
    </row>
    <row r="110" spans="1:4" x14ac:dyDescent="0.2">
      <c r="A110" s="345">
        <v>30863</v>
      </c>
      <c r="B110" s="71"/>
      <c r="C110" s="226"/>
      <c r="D110" s="71"/>
    </row>
    <row r="111" spans="1:4" x14ac:dyDescent="0.2">
      <c r="A111" s="345">
        <v>30894</v>
      </c>
      <c r="B111" s="71"/>
      <c r="C111" s="226"/>
      <c r="D111" s="71"/>
    </row>
    <row r="112" spans="1:4" x14ac:dyDescent="0.2">
      <c r="A112" s="345">
        <v>30925</v>
      </c>
      <c r="B112" s="71"/>
      <c r="C112" s="226"/>
      <c r="D112" s="71"/>
    </row>
    <row r="113" spans="1:4" x14ac:dyDescent="0.2">
      <c r="A113" s="345">
        <v>30955</v>
      </c>
      <c r="B113" s="71"/>
      <c r="C113" s="226"/>
      <c r="D113" s="71"/>
    </row>
    <row r="114" spans="1:4" x14ac:dyDescent="0.2">
      <c r="A114" s="345">
        <v>30986</v>
      </c>
      <c r="B114" s="71"/>
      <c r="C114" s="226"/>
      <c r="D114" s="71"/>
    </row>
    <row r="115" spans="1:4" x14ac:dyDescent="0.2">
      <c r="A115" s="345">
        <v>31016</v>
      </c>
      <c r="B115" s="71"/>
      <c r="C115" s="226"/>
      <c r="D115" s="71"/>
    </row>
    <row r="116" spans="1:4" x14ac:dyDescent="0.2">
      <c r="A116" s="345">
        <v>31047</v>
      </c>
      <c r="B116" s="71"/>
      <c r="C116" s="226"/>
      <c r="D116" s="71"/>
    </row>
    <row r="117" spans="1:4" x14ac:dyDescent="0.2">
      <c r="A117" s="345">
        <v>31078</v>
      </c>
      <c r="B117" s="71"/>
      <c r="C117" s="226"/>
      <c r="D117" s="71"/>
    </row>
    <row r="118" spans="1:4" x14ac:dyDescent="0.2">
      <c r="A118" s="345">
        <v>31106</v>
      </c>
      <c r="B118" s="71"/>
      <c r="C118" s="226"/>
      <c r="D118" s="71"/>
    </row>
    <row r="119" spans="1:4" x14ac:dyDescent="0.2">
      <c r="A119" s="345">
        <v>31137</v>
      </c>
      <c r="B119" s="71"/>
      <c r="C119" s="226"/>
      <c r="D119" s="71"/>
    </row>
    <row r="120" spans="1:4" x14ac:dyDescent="0.2">
      <c r="A120" s="345">
        <v>31167</v>
      </c>
      <c r="B120" s="71"/>
      <c r="C120" s="226"/>
      <c r="D120" s="71"/>
    </row>
    <row r="121" spans="1:4" x14ac:dyDescent="0.2">
      <c r="A121" s="345">
        <v>31198</v>
      </c>
      <c r="B121" s="71"/>
      <c r="C121" s="226"/>
      <c r="D121" s="71"/>
    </row>
    <row r="122" spans="1:4" x14ac:dyDescent="0.2">
      <c r="A122" s="345">
        <v>31228</v>
      </c>
      <c r="B122" s="71"/>
      <c r="C122" s="226"/>
      <c r="D122" s="71"/>
    </row>
    <row r="123" spans="1:4" x14ac:dyDescent="0.2">
      <c r="A123" s="345">
        <v>31259</v>
      </c>
      <c r="B123" s="71"/>
      <c r="C123" s="226"/>
      <c r="D123" s="71"/>
    </row>
    <row r="124" spans="1:4" x14ac:dyDescent="0.2">
      <c r="A124" s="345">
        <v>31290</v>
      </c>
      <c r="B124" s="71"/>
      <c r="C124" s="226"/>
      <c r="D124" s="71"/>
    </row>
    <row r="125" spans="1:4" x14ac:dyDescent="0.2">
      <c r="A125" s="345">
        <v>31320</v>
      </c>
      <c r="B125" s="71"/>
      <c r="C125" s="226"/>
      <c r="D125" s="71"/>
    </row>
    <row r="126" spans="1:4" x14ac:dyDescent="0.2">
      <c r="A126" s="345">
        <v>31351</v>
      </c>
      <c r="B126" s="71"/>
      <c r="C126" s="226"/>
      <c r="D126" s="71"/>
    </row>
    <row r="127" spans="1:4" x14ac:dyDescent="0.2">
      <c r="A127" s="345">
        <v>31381</v>
      </c>
      <c r="B127" s="71"/>
      <c r="C127" s="226"/>
      <c r="D127" s="71"/>
    </row>
    <row r="128" spans="1:4" x14ac:dyDescent="0.2">
      <c r="A128" s="345">
        <v>31412</v>
      </c>
      <c r="B128" s="71"/>
      <c r="C128" s="226"/>
      <c r="D128" s="71"/>
    </row>
    <row r="129" spans="1:4" x14ac:dyDescent="0.2">
      <c r="A129" s="345">
        <v>31443</v>
      </c>
      <c r="B129" s="71"/>
      <c r="C129" s="226"/>
      <c r="D129" s="71"/>
    </row>
    <row r="130" spans="1:4" x14ac:dyDescent="0.2">
      <c r="A130" s="345">
        <v>31471</v>
      </c>
      <c r="B130" s="71"/>
      <c r="C130" s="226"/>
      <c r="D130" s="71"/>
    </row>
    <row r="131" spans="1:4" x14ac:dyDescent="0.2">
      <c r="A131" s="345">
        <v>31502</v>
      </c>
      <c r="B131" s="71"/>
      <c r="C131" s="226"/>
      <c r="D131" s="71"/>
    </row>
    <row r="132" spans="1:4" x14ac:dyDescent="0.2">
      <c r="A132" s="345">
        <v>31532</v>
      </c>
      <c r="B132" s="71"/>
      <c r="C132" s="226"/>
      <c r="D132" s="71"/>
    </row>
    <row r="133" spans="1:4" x14ac:dyDescent="0.2">
      <c r="A133" s="345">
        <v>31563</v>
      </c>
      <c r="B133" s="71"/>
      <c r="C133" s="226"/>
      <c r="D133" s="71"/>
    </row>
    <row r="134" spans="1:4" x14ac:dyDescent="0.2">
      <c r="A134" s="345">
        <v>31593</v>
      </c>
      <c r="B134" s="71"/>
      <c r="C134" s="226"/>
      <c r="D134" s="71"/>
    </row>
    <row r="135" spans="1:4" x14ac:dyDescent="0.2">
      <c r="A135" s="345">
        <v>31624</v>
      </c>
      <c r="B135" s="71"/>
      <c r="C135" s="226"/>
      <c r="D135" s="71"/>
    </row>
    <row r="136" spans="1:4" x14ac:dyDescent="0.2">
      <c r="A136" s="345">
        <v>31655</v>
      </c>
      <c r="B136" s="71"/>
      <c r="C136" s="226"/>
      <c r="D136" s="71"/>
    </row>
    <row r="137" spans="1:4" x14ac:dyDescent="0.2">
      <c r="A137" s="345">
        <v>31685</v>
      </c>
      <c r="B137" s="71"/>
      <c r="C137" s="226"/>
      <c r="D137" s="71"/>
    </row>
    <row r="138" spans="1:4" x14ac:dyDescent="0.2">
      <c r="A138" s="345">
        <v>31716</v>
      </c>
      <c r="B138" s="71"/>
      <c r="C138" s="226"/>
      <c r="D138" s="71"/>
    </row>
    <row r="139" spans="1:4" x14ac:dyDescent="0.2">
      <c r="A139" s="345">
        <v>31746</v>
      </c>
      <c r="B139" s="71"/>
      <c r="C139" s="226"/>
      <c r="D139" s="71"/>
    </row>
    <row r="140" spans="1:4" x14ac:dyDescent="0.2">
      <c r="A140" s="345">
        <v>31777</v>
      </c>
      <c r="B140" s="71"/>
      <c r="C140" s="226"/>
      <c r="D140" s="71"/>
    </row>
    <row r="141" spans="1:4" x14ac:dyDescent="0.2">
      <c r="A141" s="345">
        <v>31808</v>
      </c>
      <c r="B141" s="73"/>
      <c r="C141" s="25"/>
      <c r="D141" s="73"/>
    </row>
    <row r="142" spans="1:4" x14ac:dyDescent="0.2">
      <c r="A142" s="345">
        <v>31836</v>
      </c>
      <c r="B142" s="73"/>
      <c r="C142" s="25"/>
      <c r="D142" s="73"/>
    </row>
    <row r="143" spans="1:4" x14ac:dyDescent="0.2">
      <c r="A143" s="345">
        <v>31867</v>
      </c>
      <c r="B143" s="73"/>
      <c r="C143" s="25"/>
      <c r="D143" s="73"/>
    </row>
    <row r="144" spans="1:4" x14ac:dyDescent="0.2">
      <c r="A144" s="345">
        <v>31897</v>
      </c>
      <c r="B144" s="73"/>
      <c r="C144" s="25"/>
      <c r="D144" s="73"/>
    </row>
    <row r="145" spans="1:4" x14ac:dyDescent="0.2">
      <c r="A145" s="345">
        <v>31928</v>
      </c>
      <c r="B145" s="73"/>
      <c r="C145" s="25"/>
      <c r="D145" s="73"/>
    </row>
    <row r="146" spans="1:4" x14ac:dyDescent="0.2">
      <c r="A146" s="345">
        <v>31958</v>
      </c>
      <c r="B146" s="73"/>
      <c r="C146" s="25"/>
      <c r="D146" s="73"/>
    </row>
    <row r="147" spans="1:4" x14ac:dyDescent="0.2">
      <c r="A147" s="345">
        <v>31989</v>
      </c>
      <c r="B147" s="73"/>
      <c r="C147" s="25"/>
      <c r="D147" s="73"/>
    </row>
    <row r="148" spans="1:4" x14ac:dyDescent="0.2">
      <c r="A148" s="345">
        <v>32020</v>
      </c>
      <c r="B148" s="73"/>
      <c r="C148" s="25"/>
      <c r="D148" s="73"/>
    </row>
    <row r="149" spans="1:4" x14ac:dyDescent="0.2">
      <c r="A149" s="345">
        <v>32050</v>
      </c>
      <c r="B149" s="73"/>
      <c r="C149" s="25"/>
      <c r="D149" s="73"/>
    </row>
    <row r="150" spans="1:4" x14ac:dyDescent="0.2">
      <c r="A150" s="345">
        <v>32081</v>
      </c>
      <c r="B150" s="73"/>
      <c r="C150" s="25"/>
      <c r="D150" s="73"/>
    </row>
    <row r="151" spans="1:4" x14ac:dyDescent="0.2">
      <c r="A151" s="345">
        <v>32111</v>
      </c>
      <c r="B151" s="73"/>
      <c r="C151" s="25"/>
      <c r="D151" s="73"/>
    </row>
    <row r="152" spans="1:4" x14ac:dyDescent="0.2">
      <c r="A152" s="345">
        <v>32142</v>
      </c>
      <c r="B152" s="73"/>
      <c r="C152" s="25"/>
      <c r="D152" s="73"/>
    </row>
    <row r="153" spans="1:4" x14ac:dyDescent="0.2">
      <c r="A153" s="345">
        <v>32173</v>
      </c>
      <c r="B153" s="73"/>
      <c r="C153" s="25"/>
      <c r="D153" s="73"/>
    </row>
    <row r="154" spans="1:4" x14ac:dyDescent="0.2">
      <c r="A154" s="345">
        <v>32202</v>
      </c>
      <c r="B154" s="73"/>
      <c r="C154" s="25"/>
      <c r="D154" s="73"/>
    </row>
    <row r="155" spans="1:4" x14ac:dyDescent="0.2">
      <c r="A155" s="345">
        <v>32233</v>
      </c>
      <c r="B155" s="73"/>
      <c r="C155" s="25"/>
      <c r="D155" s="73"/>
    </row>
    <row r="156" spans="1:4" x14ac:dyDescent="0.2">
      <c r="A156" s="345">
        <v>32263</v>
      </c>
      <c r="B156" s="73"/>
      <c r="C156" s="25"/>
      <c r="D156" s="73"/>
    </row>
    <row r="157" spans="1:4" x14ac:dyDescent="0.2">
      <c r="A157" s="345">
        <v>32294</v>
      </c>
      <c r="B157" s="73"/>
      <c r="C157" s="25"/>
      <c r="D157" s="73"/>
    </row>
    <row r="158" spans="1:4" x14ac:dyDescent="0.2">
      <c r="A158" s="345">
        <v>32324</v>
      </c>
      <c r="B158" s="73"/>
      <c r="C158" s="25"/>
      <c r="D158" s="73"/>
    </row>
    <row r="159" spans="1:4" x14ac:dyDescent="0.2">
      <c r="A159" s="345">
        <v>32355</v>
      </c>
      <c r="B159" s="73"/>
      <c r="C159" s="25"/>
      <c r="D159" s="73"/>
    </row>
    <row r="160" spans="1:4" x14ac:dyDescent="0.2">
      <c r="A160" s="345">
        <v>32386</v>
      </c>
      <c r="B160" s="73"/>
      <c r="C160" s="25"/>
      <c r="D160" s="73"/>
    </row>
    <row r="161" spans="1:4" x14ac:dyDescent="0.2">
      <c r="A161" s="345">
        <v>32416</v>
      </c>
      <c r="B161" s="73"/>
      <c r="C161" s="25"/>
      <c r="D161" s="73"/>
    </row>
    <row r="162" spans="1:4" x14ac:dyDescent="0.2">
      <c r="A162" s="345">
        <v>32447</v>
      </c>
      <c r="B162" s="73"/>
      <c r="C162" s="25"/>
      <c r="D162" s="73"/>
    </row>
    <row r="163" spans="1:4" x14ac:dyDescent="0.2">
      <c r="A163" s="345">
        <v>32477</v>
      </c>
      <c r="B163" s="73"/>
      <c r="C163" s="25"/>
      <c r="D163" s="73"/>
    </row>
    <row r="164" spans="1:4" x14ac:dyDescent="0.2">
      <c r="A164" s="345">
        <v>32508</v>
      </c>
      <c r="B164" s="73"/>
      <c r="C164" s="25"/>
      <c r="D164" s="73"/>
    </row>
    <row r="165" spans="1:4" x14ac:dyDescent="0.2">
      <c r="A165" s="345">
        <v>32539</v>
      </c>
      <c r="B165" s="73"/>
      <c r="C165" s="25"/>
      <c r="D165" s="73"/>
    </row>
    <row r="166" spans="1:4" x14ac:dyDescent="0.2">
      <c r="A166" s="345">
        <v>32567</v>
      </c>
      <c r="B166" s="73"/>
      <c r="C166" s="25"/>
      <c r="D166" s="73"/>
    </row>
    <row r="167" spans="1:4" x14ac:dyDescent="0.2">
      <c r="A167" s="345">
        <v>32598</v>
      </c>
      <c r="B167" s="73"/>
      <c r="C167" s="25"/>
      <c r="D167" s="73"/>
    </row>
    <row r="168" spans="1:4" x14ac:dyDescent="0.2">
      <c r="A168" s="345">
        <v>32628</v>
      </c>
      <c r="B168" s="73"/>
      <c r="C168" s="25"/>
      <c r="D168" s="73"/>
    </row>
    <row r="169" spans="1:4" x14ac:dyDescent="0.2">
      <c r="A169" s="345">
        <v>32659</v>
      </c>
      <c r="B169" s="73"/>
      <c r="C169" s="25"/>
      <c r="D169" s="73"/>
    </row>
    <row r="170" spans="1:4" x14ac:dyDescent="0.2">
      <c r="A170" s="345">
        <v>32689</v>
      </c>
      <c r="B170" s="73"/>
      <c r="C170" s="25"/>
      <c r="D170" s="73"/>
    </row>
    <row r="171" spans="1:4" x14ac:dyDescent="0.2">
      <c r="A171" s="345">
        <v>32720</v>
      </c>
      <c r="B171" s="73"/>
      <c r="C171" s="25"/>
      <c r="D171" s="73"/>
    </row>
    <row r="172" spans="1:4" x14ac:dyDescent="0.2">
      <c r="A172" s="345">
        <v>32751</v>
      </c>
      <c r="B172" s="73"/>
      <c r="C172" s="25"/>
      <c r="D172" s="73"/>
    </row>
    <row r="173" spans="1:4" x14ac:dyDescent="0.2">
      <c r="A173" s="345">
        <v>32781</v>
      </c>
      <c r="B173" s="73"/>
      <c r="C173" s="25"/>
      <c r="D173" s="73"/>
    </row>
    <row r="174" spans="1:4" x14ac:dyDescent="0.2">
      <c r="A174" s="345">
        <v>32812</v>
      </c>
      <c r="B174" s="73"/>
      <c r="C174" s="25"/>
      <c r="D174" s="73"/>
    </row>
    <row r="175" spans="1:4" x14ac:dyDescent="0.2">
      <c r="A175" s="345">
        <v>32842</v>
      </c>
      <c r="B175" s="73"/>
      <c r="C175" s="25"/>
      <c r="D175" s="73"/>
    </row>
    <row r="176" spans="1:4" x14ac:dyDescent="0.2">
      <c r="A176" s="345">
        <v>32873</v>
      </c>
      <c r="B176" s="73"/>
      <c r="C176" s="25"/>
      <c r="D176" s="73"/>
    </row>
    <row r="177" spans="1:4" x14ac:dyDescent="0.2">
      <c r="A177" s="345">
        <v>32904</v>
      </c>
      <c r="B177" s="73"/>
      <c r="C177" s="25"/>
      <c r="D177" s="73"/>
    </row>
    <row r="178" spans="1:4" x14ac:dyDescent="0.2">
      <c r="A178" s="345">
        <v>32932</v>
      </c>
      <c r="B178" s="73"/>
      <c r="C178" s="25"/>
      <c r="D178" s="73"/>
    </row>
    <row r="179" spans="1:4" x14ac:dyDescent="0.2">
      <c r="A179" s="345">
        <v>32963</v>
      </c>
      <c r="B179" s="73"/>
      <c r="C179" s="25"/>
      <c r="D179" s="73"/>
    </row>
    <row r="180" spans="1:4" x14ac:dyDescent="0.2">
      <c r="A180" s="345">
        <v>32993</v>
      </c>
      <c r="B180" s="73"/>
      <c r="C180" s="25"/>
      <c r="D180" s="73"/>
    </row>
    <row r="181" spans="1:4" x14ac:dyDescent="0.2">
      <c r="A181" s="345">
        <v>33024</v>
      </c>
      <c r="B181" s="73"/>
      <c r="C181" s="25"/>
      <c r="D181" s="73"/>
    </row>
    <row r="182" spans="1:4" x14ac:dyDescent="0.2">
      <c r="A182" s="345">
        <v>33054</v>
      </c>
      <c r="B182" s="73"/>
      <c r="C182" s="25"/>
      <c r="D182" s="73"/>
    </row>
    <row r="183" spans="1:4" x14ac:dyDescent="0.2">
      <c r="A183" s="345">
        <v>33085</v>
      </c>
      <c r="B183" s="73"/>
      <c r="C183" s="25"/>
      <c r="D183" s="73"/>
    </row>
    <row r="184" spans="1:4" x14ac:dyDescent="0.2">
      <c r="A184" s="345">
        <v>33116</v>
      </c>
      <c r="B184" s="73"/>
      <c r="C184" s="25"/>
      <c r="D184" s="73"/>
    </row>
    <row r="185" spans="1:4" x14ac:dyDescent="0.2">
      <c r="A185" s="345">
        <v>33146</v>
      </c>
      <c r="B185" s="73"/>
      <c r="C185" s="25"/>
      <c r="D185" s="73"/>
    </row>
    <row r="186" spans="1:4" x14ac:dyDescent="0.2">
      <c r="A186" s="345">
        <v>33177</v>
      </c>
      <c r="B186" s="73"/>
      <c r="C186" s="25"/>
      <c r="D186" s="73"/>
    </row>
    <row r="187" spans="1:4" x14ac:dyDescent="0.2">
      <c r="A187" s="345">
        <v>33207</v>
      </c>
      <c r="B187" s="73"/>
      <c r="C187" s="25"/>
      <c r="D187" s="73"/>
    </row>
    <row r="188" spans="1:4" x14ac:dyDescent="0.2">
      <c r="A188" s="345">
        <v>33238</v>
      </c>
      <c r="B188" s="73"/>
      <c r="C188" s="25"/>
      <c r="D188" s="73"/>
    </row>
    <row r="189" spans="1:4" x14ac:dyDescent="0.2">
      <c r="A189" s="345">
        <v>33269</v>
      </c>
      <c r="B189" s="73"/>
      <c r="C189" s="25"/>
      <c r="D189" s="73"/>
    </row>
    <row r="190" spans="1:4" x14ac:dyDescent="0.2">
      <c r="A190" s="345">
        <v>33297</v>
      </c>
      <c r="B190" s="73"/>
      <c r="C190" s="25"/>
      <c r="D190" s="73"/>
    </row>
    <row r="191" spans="1:4" x14ac:dyDescent="0.2">
      <c r="A191" s="345">
        <v>33328</v>
      </c>
      <c r="B191" s="73"/>
      <c r="C191" s="25"/>
      <c r="D191" s="73"/>
    </row>
    <row r="192" spans="1:4" x14ac:dyDescent="0.2">
      <c r="A192" s="345">
        <v>33358</v>
      </c>
      <c r="B192" s="73"/>
      <c r="C192" s="25"/>
      <c r="D192" s="73"/>
    </row>
    <row r="193" spans="1:4" x14ac:dyDescent="0.2">
      <c r="A193" s="345">
        <v>33389</v>
      </c>
      <c r="B193" s="73"/>
      <c r="C193" s="25"/>
      <c r="D193" s="73"/>
    </row>
    <row r="194" spans="1:4" x14ac:dyDescent="0.2">
      <c r="A194" s="345">
        <v>33419</v>
      </c>
      <c r="B194" s="73"/>
      <c r="C194" s="25"/>
      <c r="D194" s="73"/>
    </row>
    <row r="195" spans="1:4" x14ac:dyDescent="0.2">
      <c r="A195" s="345">
        <v>33450</v>
      </c>
      <c r="B195" s="73"/>
      <c r="C195" s="25"/>
      <c r="D195" s="73"/>
    </row>
    <row r="196" spans="1:4" x14ac:dyDescent="0.2">
      <c r="A196" s="345">
        <v>33481</v>
      </c>
      <c r="B196" s="73"/>
      <c r="C196" s="25"/>
      <c r="D196" s="73"/>
    </row>
    <row r="197" spans="1:4" x14ac:dyDescent="0.2">
      <c r="A197" s="345">
        <v>33511</v>
      </c>
      <c r="B197" s="73"/>
      <c r="C197" s="25"/>
      <c r="D197" s="73"/>
    </row>
    <row r="198" spans="1:4" x14ac:dyDescent="0.2">
      <c r="A198" s="345">
        <v>33542</v>
      </c>
      <c r="B198" s="73"/>
      <c r="C198" s="25"/>
      <c r="D198" s="73"/>
    </row>
    <row r="199" spans="1:4" x14ac:dyDescent="0.2">
      <c r="A199" s="345">
        <v>33572</v>
      </c>
      <c r="B199" s="73"/>
      <c r="C199" s="25"/>
      <c r="D199" s="73"/>
    </row>
    <row r="200" spans="1:4" x14ac:dyDescent="0.2">
      <c r="A200" s="345">
        <v>33603</v>
      </c>
      <c r="B200" s="73"/>
      <c r="C200" s="25"/>
      <c r="D200" s="73"/>
    </row>
    <row r="201" spans="1:4" x14ac:dyDescent="0.2">
      <c r="A201" s="345">
        <v>33634</v>
      </c>
      <c r="B201" s="73"/>
      <c r="C201" s="25"/>
      <c r="D201" s="73"/>
    </row>
    <row r="202" spans="1:4" x14ac:dyDescent="0.2">
      <c r="A202" s="345">
        <v>33663</v>
      </c>
      <c r="B202" s="73"/>
      <c r="C202" s="25"/>
      <c r="D202" s="73"/>
    </row>
    <row r="203" spans="1:4" x14ac:dyDescent="0.2">
      <c r="A203" s="345">
        <v>33694</v>
      </c>
      <c r="B203" s="73"/>
      <c r="C203" s="25"/>
      <c r="D203" s="73"/>
    </row>
    <row r="204" spans="1:4" x14ac:dyDescent="0.2">
      <c r="A204" s="345">
        <v>33724</v>
      </c>
      <c r="B204" s="73"/>
      <c r="C204" s="25"/>
      <c r="D204" s="73"/>
    </row>
    <row r="205" spans="1:4" x14ac:dyDescent="0.2">
      <c r="A205" s="345">
        <v>33755</v>
      </c>
      <c r="B205" s="73"/>
      <c r="C205" s="25"/>
      <c r="D205" s="73"/>
    </row>
    <row r="206" spans="1:4" x14ac:dyDescent="0.2">
      <c r="A206" s="345">
        <v>33785</v>
      </c>
      <c r="B206" s="73"/>
      <c r="C206" s="25"/>
      <c r="D206" s="73"/>
    </row>
    <row r="207" spans="1:4" x14ac:dyDescent="0.2">
      <c r="A207" s="345">
        <v>33816</v>
      </c>
      <c r="B207" s="73"/>
      <c r="C207" s="25"/>
      <c r="D207" s="73"/>
    </row>
    <row r="208" spans="1:4" x14ac:dyDescent="0.2">
      <c r="A208" s="345">
        <v>33847</v>
      </c>
      <c r="B208" s="73"/>
      <c r="C208" s="25"/>
      <c r="D208" s="73"/>
    </row>
    <row r="209" spans="1:4" x14ac:dyDescent="0.2">
      <c r="A209" s="345">
        <v>33877</v>
      </c>
      <c r="B209" s="73"/>
      <c r="C209" s="25"/>
      <c r="D209" s="73"/>
    </row>
    <row r="210" spans="1:4" x14ac:dyDescent="0.2">
      <c r="A210" s="345">
        <v>33908</v>
      </c>
      <c r="B210" s="73"/>
      <c r="C210" s="25"/>
      <c r="D210" s="73"/>
    </row>
    <row r="211" spans="1:4" x14ac:dyDescent="0.2">
      <c r="A211" s="345">
        <v>33938</v>
      </c>
      <c r="B211" s="73"/>
      <c r="C211" s="25"/>
      <c r="D211" s="73"/>
    </row>
    <row r="212" spans="1:4" x14ac:dyDescent="0.2">
      <c r="A212" s="345">
        <v>33969</v>
      </c>
      <c r="B212" s="73"/>
      <c r="C212" s="25"/>
      <c r="D212" s="73"/>
    </row>
    <row r="213" spans="1:4" x14ac:dyDescent="0.2">
      <c r="A213" s="345">
        <v>34000</v>
      </c>
      <c r="B213" s="73"/>
      <c r="C213" s="25"/>
      <c r="D213" s="73"/>
    </row>
    <row r="214" spans="1:4" x14ac:dyDescent="0.2">
      <c r="A214" s="345">
        <v>34028</v>
      </c>
      <c r="B214" s="73"/>
      <c r="C214" s="25"/>
      <c r="D214" s="73"/>
    </row>
    <row r="215" spans="1:4" x14ac:dyDescent="0.2">
      <c r="A215" s="345">
        <v>34059</v>
      </c>
      <c r="B215" s="73"/>
      <c r="C215" s="25"/>
      <c r="D215" s="73"/>
    </row>
    <row r="216" spans="1:4" x14ac:dyDescent="0.2">
      <c r="A216" s="345">
        <v>34089</v>
      </c>
      <c r="B216" s="73"/>
      <c r="C216" s="25"/>
      <c r="D216" s="73"/>
    </row>
    <row r="217" spans="1:4" x14ac:dyDescent="0.2">
      <c r="A217" s="345">
        <v>34120</v>
      </c>
      <c r="B217" s="73"/>
      <c r="C217" s="25"/>
      <c r="D217" s="73"/>
    </row>
    <row r="218" spans="1:4" x14ac:dyDescent="0.2">
      <c r="A218" s="345">
        <v>34150</v>
      </c>
      <c r="B218" s="73"/>
      <c r="C218" s="25"/>
      <c r="D218" s="73"/>
    </row>
    <row r="219" spans="1:4" x14ac:dyDescent="0.2">
      <c r="A219" s="345">
        <v>34181</v>
      </c>
      <c r="B219" s="73"/>
      <c r="C219" s="25"/>
      <c r="D219" s="73"/>
    </row>
    <row r="220" spans="1:4" x14ac:dyDescent="0.2">
      <c r="A220" s="345">
        <v>34212</v>
      </c>
      <c r="B220" s="73"/>
      <c r="C220" s="25"/>
      <c r="D220" s="73"/>
    </row>
    <row r="221" spans="1:4" x14ac:dyDescent="0.2">
      <c r="A221" s="345">
        <v>34242</v>
      </c>
      <c r="B221" s="73"/>
      <c r="C221" s="25"/>
      <c r="D221" s="73"/>
    </row>
    <row r="222" spans="1:4" x14ac:dyDescent="0.2">
      <c r="A222" s="345">
        <v>34273</v>
      </c>
      <c r="B222" s="73"/>
      <c r="C222" s="25"/>
      <c r="D222" s="73"/>
    </row>
    <row r="223" spans="1:4" x14ac:dyDescent="0.2">
      <c r="A223" s="345">
        <v>34303</v>
      </c>
      <c r="B223" s="73"/>
      <c r="C223" s="25"/>
      <c r="D223" s="73"/>
    </row>
    <row r="224" spans="1:4" x14ac:dyDescent="0.2">
      <c r="A224" s="345">
        <v>34334</v>
      </c>
      <c r="B224" s="73"/>
      <c r="C224" s="25"/>
      <c r="D224" s="73"/>
    </row>
    <row r="225" spans="1:4" x14ac:dyDescent="0.2">
      <c r="A225" s="345">
        <v>34365</v>
      </c>
      <c r="B225" s="73"/>
      <c r="C225" s="25"/>
      <c r="D225" s="73"/>
    </row>
    <row r="226" spans="1:4" x14ac:dyDescent="0.2">
      <c r="A226" s="345">
        <v>34393</v>
      </c>
      <c r="B226" s="73"/>
      <c r="C226" s="25"/>
      <c r="D226" s="73"/>
    </row>
    <row r="227" spans="1:4" x14ac:dyDescent="0.2">
      <c r="A227" s="345">
        <v>34424</v>
      </c>
      <c r="B227" s="73"/>
      <c r="C227" s="25"/>
      <c r="D227" s="73"/>
    </row>
    <row r="228" spans="1:4" x14ac:dyDescent="0.2">
      <c r="A228" s="345">
        <v>34454</v>
      </c>
      <c r="B228" s="73"/>
      <c r="C228" s="25"/>
      <c r="D228" s="73"/>
    </row>
    <row r="229" spans="1:4" x14ac:dyDescent="0.2">
      <c r="A229" s="345">
        <v>34485</v>
      </c>
      <c r="B229" s="73"/>
      <c r="C229" s="25"/>
      <c r="D229" s="73"/>
    </row>
    <row r="230" spans="1:4" x14ac:dyDescent="0.2">
      <c r="A230" s="345">
        <v>34515</v>
      </c>
      <c r="B230" s="73"/>
      <c r="C230" s="25"/>
      <c r="D230" s="73"/>
    </row>
    <row r="231" spans="1:4" x14ac:dyDescent="0.2">
      <c r="A231" s="345">
        <v>34546</v>
      </c>
      <c r="B231" s="73"/>
      <c r="C231" s="25"/>
      <c r="D231" s="73"/>
    </row>
    <row r="232" spans="1:4" x14ac:dyDescent="0.2">
      <c r="A232" s="345">
        <v>34577</v>
      </c>
      <c r="B232" s="73"/>
      <c r="C232" s="25"/>
      <c r="D232" s="73"/>
    </row>
    <row r="233" spans="1:4" x14ac:dyDescent="0.2">
      <c r="A233" s="345">
        <v>34607</v>
      </c>
      <c r="B233" s="73"/>
      <c r="C233" s="25"/>
      <c r="D233" s="73"/>
    </row>
    <row r="234" spans="1:4" x14ac:dyDescent="0.2">
      <c r="A234" s="345">
        <v>34638</v>
      </c>
      <c r="B234" s="73"/>
      <c r="C234" s="25"/>
      <c r="D234" s="73"/>
    </row>
    <row r="235" spans="1:4" x14ac:dyDescent="0.2">
      <c r="A235" s="345">
        <v>34668</v>
      </c>
      <c r="B235" s="73"/>
      <c r="C235" s="25"/>
      <c r="D235" s="73"/>
    </row>
    <row r="236" spans="1:4" x14ac:dyDescent="0.2">
      <c r="A236" s="345">
        <v>34699</v>
      </c>
      <c r="B236" s="73"/>
      <c r="C236" s="25"/>
      <c r="D236" s="73"/>
    </row>
    <row r="237" spans="1:4" x14ac:dyDescent="0.2">
      <c r="A237" s="345">
        <v>34730</v>
      </c>
      <c r="B237" s="73"/>
      <c r="C237" s="25"/>
      <c r="D237" s="73"/>
    </row>
    <row r="238" spans="1:4" x14ac:dyDescent="0.2">
      <c r="A238" s="345">
        <v>34758</v>
      </c>
      <c r="B238" s="73"/>
      <c r="C238" s="25"/>
      <c r="D238" s="73"/>
    </row>
    <row r="239" spans="1:4" x14ac:dyDescent="0.2">
      <c r="A239" s="345">
        <v>34789</v>
      </c>
      <c r="B239" s="73"/>
      <c r="C239" s="25"/>
      <c r="D239" s="73"/>
    </row>
    <row r="240" spans="1:4" x14ac:dyDescent="0.2">
      <c r="A240" s="345">
        <v>34819</v>
      </c>
      <c r="B240" s="73"/>
      <c r="C240" s="25"/>
      <c r="D240" s="73"/>
    </row>
    <row r="241" spans="1:4" x14ac:dyDescent="0.2">
      <c r="A241" s="345">
        <v>34850</v>
      </c>
      <c r="B241" s="73"/>
      <c r="C241" s="25"/>
      <c r="D241" s="73"/>
    </row>
    <row r="242" spans="1:4" x14ac:dyDescent="0.2">
      <c r="A242" s="345">
        <v>34880</v>
      </c>
      <c r="B242" s="73"/>
      <c r="C242" s="25"/>
      <c r="D242" s="73"/>
    </row>
    <row r="243" spans="1:4" x14ac:dyDescent="0.2">
      <c r="A243" s="345">
        <v>34911</v>
      </c>
      <c r="B243" s="73"/>
      <c r="C243" s="25"/>
      <c r="D243" s="73"/>
    </row>
    <row r="244" spans="1:4" x14ac:dyDescent="0.2">
      <c r="A244" s="345">
        <v>34942</v>
      </c>
      <c r="B244" s="73"/>
      <c r="C244" s="25"/>
      <c r="D244" s="73"/>
    </row>
    <row r="245" spans="1:4" x14ac:dyDescent="0.2">
      <c r="A245" s="345">
        <v>34972</v>
      </c>
      <c r="B245" s="73"/>
      <c r="C245" s="25"/>
      <c r="D245" s="73"/>
    </row>
    <row r="246" spans="1:4" x14ac:dyDescent="0.2">
      <c r="A246" s="345">
        <v>35003</v>
      </c>
      <c r="B246" s="73"/>
      <c r="C246" s="25"/>
      <c r="D246" s="73"/>
    </row>
    <row r="247" spans="1:4" x14ac:dyDescent="0.2">
      <c r="A247" s="345">
        <v>35033</v>
      </c>
      <c r="B247" s="73"/>
      <c r="C247" s="25"/>
      <c r="D247" s="73"/>
    </row>
    <row r="248" spans="1:4" x14ac:dyDescent="0.2">
      <c r="A248" s="345">
        <v>35064</v>
      </c>
      <c r="B248" s="73"/>
      <c r="C248" s="25"/>
      <c r="D248" s="73"/>
    </row>
    <row r="249" spans="1:4" x14ac:dyDescent="0.2">
      <c r="A249" s="345">
        <v>35095</v>
      </c>
      <c r="B249" s="73"/>
      <c r="C249" s="25"/>
      <c r="D249" s="73"/>
    </row>
    <row r="250" spans="1:4" x14ac:dyDescent="0.2">
      <c r="A250" s="345">
        <v>35124</v>
      </c>
      <c r="B250" s="73"/>
      <c r="C250" s="25"/>
      <c r="D250" s="73"/>
    </row>
    <row r="251" spans="1:4" x14ac:dyDescent="0.2">
      <c r="A251" s="345">
        <v>35155</v>
      </c>
      <c r="B251" s="73"/>
      <c r="C251" s="25"/>
      <c r="D251" s="73"/>
    </row>
    <row r="252" spans="1:4" x14ac:dyDescent="0.2">
      <c r="A252" s="345">
        <v>35185</v>
      </c>
      <c r="B252" s="73"/>
      <c r="C252" s="25"/>
      <c r="D252" s="73"/>
    </row>
    <row r="253" spans="1:4" x14ac:dyDescent="0.2">
      <c r="A253" s="345">
        <v>35216</v>
      </c>
      <c r="B253" s="73"/>
      <c r="C253" s="25"/>
      <c r="D253" s="73"/>
    </row>
    <row r="254" spans="1:4" x14ac:dyDescent="0.2">
      <c r="A254" s="345">
        <v>35246</v>
      </c>
      <c r="B254" s="73"/>
      <c r="C254" s="25"/>
      <c r="D254" s="73"/>
    </row>
    <row r="255" spans="1:4" x14ac:dyDescent="0.2">
      <c r="A255" s="345">
        <v>35277</v>
      </c>
      <c r="B255" s="73"/>
      <c r="C255" s="25"/>
      <c r="D255" s="73"/>
    </row>
    <row r="256" spans="1:4" x14ac:dyDescent="0.2">
      <c r="A256" s="345">
        <v>35308</v>
      </c>
      <c r="B256" s="73"/>
      <c r="C256" s="25"/>
      <c r="D256" s="73"/>
    </row>
    <row r="257" spans="1:4" x14ac:dyDescent="0.2">
      <c r="A257" s="345">
        <v>35338</v>
      </c>
      <c r="B257" s="73"/>
      <c r="C257" s="25"/>
      <c r="D257" s="73"/>
    </row>
    <row r="258" spans="1:4" x14ac:dyDescent="0.2">
      <c r="A258" s="345">
        <v>35369</v>
      </c>
      <c r="B258" s="73"/>
      <c r="C258" s="25"/>
      <c r="D258" s="73"/>
    </row>
    <row r="259" spans="1:4" x14ac:dyDescent="0.2">
      <c r="A259" s="345">
        <v>35399</v>
      </c>
      <c r="B259" s="73"/>
      <c r="C259" s="25"/>
      <c r="D259" s="73"/>
    </row>
    <row r="260" spans="1:4" x14ac:dyDescent="0.2">
      <c r="A260" s="345">
        <v>35430</v>
      </c>
      <c r="B260" s="73"/>
      <c r="C260" s="25"/>
      <c r="D260" s="73"/>
    </row>
    <row r="261" spans="1:4" x14ac:dyDescent="0.2">
      <c r="A261" s="345">
        <v>35461</v>
      </c>
      <c r="B261" s="73"/>
      <c r="C261" s="25"/>
      <c r="D261" s="73"/>
    </row>
    <row r="262" spans="1:4" x14ac:dyDescent="0.2">
      <c r="A262" s="345">
        <v>35489</v>
      </c>
      <c r="B262" s="73"/>
      <c r="C262" s="25"/>
      <c r="D262" s="73"/>
    </row>
    <row r="263" spans="1:4" x14ac:dyDescent="0.2">
      <c r="A263" s="345">
        <v>35520</v>
      </c>
      <c r="B263" s="73"/>
      <c r="C263" s="25"/>
      <c r="D263" s="73"/>
    </row>
    <row r="264" spans="1:4" x14ac:dyDescent="0.2">
      <c r="A264" s="345">
        <v>35550</v>
      </c>
      <c r="B264" s="73"/>
      <c r="C264" s="25"/>
      <c r="D264" s="73"/>
    </row>
    <row r="265" spans="1:4" x14ac:dyDescent="0.2">
      <c r="A265" s="345">
        <v>35581</v>
      </c>
      <c r="B265" s="73"/>
      <c r="C265" s="25"/>
      <c r="D265" s="73"/>
    </row>
    <row r="266" spans="1:4" x14ac:dyDescent="0.2">
      <c r="A266" s="345">
        <v>35611</v>
      </c>
      <c r="B266" s="73"/>
      <c r="C266" s="25"/>
      <c r="D266" s="73"/>
    </row>
    <row r="267" spans="1:4" x14ac:dyDescent="0.2">
      <c r="A267" s="345">
        <v>35642</v>
      </c>
      <c r="B267" s="73"/>
      <c r="C267" s="25"/>
      <c r="D267" s="73"/>
    </row>
    <row r="268" spans="1:4" x14ac:dyDescent="0.2">
      <c r="A268" s="345">
        <v>35673</v>
      </c>
      <c r="B268" s="73"/>
      <c r="C268" s="25"/>
      <c r="D268" s="73"/>
    </row>
    <row r="269" spans="1:4" x14ac:dyDescent="0.2">
      <c r="A269" s="345">
        <v>35703</v>
      </c>
      <c r="B269" s="73"/>
      <c r="C269" s="25"/>
      <c r="D269" s="73"/>
    </row>
    <row r="270" spans="1:4" x14ac:dyDescent="0.2">
      <c r="A270" s="345">
        <v>35734</v>
      </c>
      <c r="B270" s="73"/>
      <c r="C270" s="25"/>
      <c r="D270" s="73"/>
    </row>
    <row r="271" spans="1:4" x14ac:dyDescent="0.2">
      <c r="A271" s="345">
        <v>35764</v>
      </c>
      <c r="B271" s="73"/>
      <c r="C271" s="25"/>
      <c r="D271" s="73"/>
    </row>
    <row r="272" spans="1:4" x14ac:dyDescent="0.2">
      <c r="A272" s="345">
        <v>35795</v>
      </c>
      <c r="B272" s="73"/>
      <c r="C272" s="25"/>
      <c r="D272" s="73"/>
    </row>
    <row r="273" spans="1:4" x14ac:dyDescent="0.2">
      <c r="A273" s="345">
        <v>35826</v>
      </c>
      <c r="B273" s="73"/>
      <c r="C273" s="25"/>
      <c r="D273" s="73"/>
    </row>
    <row r="274" spans="1:4" x14ac:dyDescent="0.2">
      <c r="A274" s="345">
        <v>35854</v>
      </c>
      <c r="B274" s="73"/>
      <c r="C274" s="32"/>
      <c r="D274" s="73"/>
    </row>
    <row r="275" spans="1:4" x14ac:dyDescent="0.2">
      <c r="A275" s="345">
        <v>35885</v>
      </c>
      <c r="B275" s="73"/>
      <c r="C275" s="32"/>
      <c r="D275" s="73"/>
    </row>
    <row r="276" spans="1:4" x14ac:dyDescent="0.2">
      <c r="A276" s="345">
        <v>35915</v>
      </c>
      <c r="B276" s="73"/>
      <c r="C276" s="32"/>
      <c r="D276" s="73"/>
    </row>
    <row r="277" spans="1:4" x14ac:dyDescent="0.2">
      <c r="A277" s="345">
        <v>35946</v>
      </c>
      <c r="B277" s="73"/>
      <c r="C277" s="32"/>
      <c r="D277" s="73"/>
    </row>
    <row r="278" spans="1:4" x14ac:dyDescent="0.2">
      <c r="A278" s="345">
        <v>35976</v>
      </c>
      <c r="B278" s="73"/>
      <c r="C278" s="32"/>
      <c r="D278" s="73"/>
    </row>
    <row r="279" spans="1:4" x14ac:dyDescent="0.2">
      <c r="A279" s="345">
        <v>36007</v>
      </c>
      <c r="B279" s="73"/>
      <c r="C279" s="32"/>
      <c r="D279" s="73"/>
    </row>
    <row r="280" spans="1:4" x14ac:dyDescent="0.2">
      <c r="A280" s="345">
        <v>36038</v>
      </c>
      <c r="B280" s="73"/>
      <c r="C280" s="32"/>
      <c r="D280" s="73"/>
    </row>
    <row r="281" spans="1:4" x14ac:dyDescent="0.2">
      <c r="A281" s="345">
        <v>36068</v>
      </c>
      <c r="B281" s="73"/>
      <c r="C281" s="32"/>
      <c r="D281" s="73"/>
    </row>
    <row r="282" spans="1:4" x14ac:dyDescent="0.2">
      <c r="A282" s="345">
        <v>36099</v>
      </c>
      <c r="B282" s="73"/>
      <c r="C282" s="32"/>
      <c r="D282" s="73"/>
    </row>
    <row r="283" spans="1:4" x14ac:dyDescent="0.2">
      <c r="A283" s="345">
        <v>36129</v>
      </c>
      <c r="B283" s="73"/>
      <c r="C283" s="32"/>
      <c r="D283" s="73"/>
    </row>
    <row r="284" spans="1:4" x14ac:dyDescent="0.2">
      <c r="A284" s="345">
        <v>36160</v>
      </c>
      <c r="B284" s="73"/>
      <c r="C284" s="32"/>
      <c r="D284" s="73"/>
    </row>
    <row r="285" spans="1:4" x14ac:dyDescent="0.2">
      <c r="A285" s="345">
        <v>36191</v>
      </c>
      <c r="B285" s="73"/>
      <c r="C285" s="32"/>
      <c r="D285" s="73"/>
    </row>
    <row r="286" spans="1:4" x14ac:dyDescent="0.2">
      <c r="A286" s="345">
        <v>36219</v>
      </c>
      <c r="B286" s="73"/>
      <c r="C286" s="32"/>
      <c r="D286" s="73"/>
    </row>
    <row r="287" spans="1:4" x14ac:dyDescent="0.2">
      <c r="A287" s="345">
        <v>36250</v>
      </c>
      <c r="B287" s="73"/>
      <c r="C287" s="32"/>
      <c r="D287" s="73"/>
    </row>
    <row r="288" spans="1:4" x14ac:dyDescent="0.2">
      <c r="A288" s="345">
        <v>36280</v>
      </c>
      <c r="B288" s="73"/>
      <c r="C288" s="32"/>
      <c r="D288" s="73"/>
    </row>
    <row r="289" spans="1:4" x14ac:dyDescent="0.2">
      <c r="A289" s="345">
        <v>36311</v>
      </c>
      <c r="B289" s="73"/>
      <c r="C289" s="32"/>
      <c r="D289" s="73"/>
    </row>
    <row r="290" spans="1:4" x14ac:dyDescent="0.2">
      <c r="A290" s="345">
        <v>36341</v>
      </c>
      <c r="B290" s="73"/>
      <c r="C290" s="32"/>
      <c r="D290" s="73"/>
    </row>
    <row r="291" spans="1:4" x14ac:dyDescent="0.2">
      <c r="A291" s="345">
        <v>36372</v>
      </c>
      <c r="B291" s="73"/>
      <c r="C291" s="32"/>
      <c r="D291" s="73"/>
    </row>
    <row r="292" spans="1:4" x14ac:dyDescent="0.2">
      <c r="A292" s="345">
        <v>36403</v>
      </c>
      <c r="B292" s="73"/>
      <c r="C292" s="32"/>
      <c r="D292" s="73"/>
    </row>
    <row r="293" spans="1:4" x14ac:dyDescent="0.2">
      <c r="A293" s="345">
        <v>36433</v>
      </c>
      <c r="B293" s="73"/>
      <c r="C293" s="32"/>
      <c r="D293" s="73"/>
    </row>
    <row r="294" spans="1:4" x14ac:dyDescent="0.2">
      <c r="A294" s="345">
        <v>36464</v>
      </c>
      <c r="B294" s="73"/>
      <c r="C294" s="32"/>
      <c r="D294" s="73"/>
    </row>
    <row r="295" spans="1:4" x14ac:dyDescent="0.2">
      <c r="A295" s="345">
        <v>36494</v>
      </c>
      <c r="B295" s="73"/>
      <c r="C295" s="32"/>
      <c r="D295" s="73"/>
    </row>
    <row r="296" spans="1:4" x14ac:dyDescent="0.2">
      <c r="A296" s="345">
        <v>36525</v>
      </c>
      <c r="B296" s="73"/>
      <c r="C296" s="32"/>
      <c r="D296" s="73"/>
    </row>
    <row r="297" spans="1:4" x14ac:dyDescent="0.2">
      <c r="A297" s="345">
        <v>36556</v>
      </c>
      <c r="B297" s="73"/>
      <c r="C297" s="32"/>
      <c r="D297" s="73"/>
    </row>
    <row r="298" spans="1:4" x14ac:dyDescent="0.2">
      <c r="A298" s="345">
        <v>36585</v>
      </c>
      <c r="B298" s="73"/>
      <c r="C298" s="32"/>
      <c r="D298" s="73"/>
    </row>
    <row r="299" spans="1:4" x14ac:dyDescent="0.2">
      <c r="A299" s="345">
        <v>36616</v>
      </c>
      <c r="B299" s="73"/>
      <c r="C299" s="32"/>
      <c r="D299" s="73"/>
    </row>
    <row r="300" spans="1:4" x14ac:dyDescent="0.2">
      <c r="A300" s="345">
        <v>36646</v>
      </c>
      <c r="B300" s="73"/>
      <c r="C300" s="32"/>
      <c r="D300" s="73"/>
    </row>
    <row r="301" spans="1:4" x14ac:dyDescent="0.2">
      <c r="A301" s="345">
        <v>36677</v>
      </c>
      <c r="B301" s="73"/>
      <c r="C301" s="32"/>
      <c r="D301" s="73"/>
    </row>
    <row r="302" spans="1:4" x14ac:dyDescent="0.2">
      <c r="A302" s="345">
        <v>36707</v>
      </c>
      <c r="B302" s="73"/>
      <c r="C302" s="32"/>
      <c r="D302" s="73"/>
    </row>
    <row r="303" spans="1:4" x14ac:dyDescent="0.2">
      <c r="A303" s="345">
        <v>36738</v>
      </c>
      <c r="B303" s="73"/>
      <c r="C303" s="32"/>
      <c r="D303" s="73"/>
    </row>
    <row r="304" spans="1:4" x14ac:dyDescent="0.2">
      <c r="A304" s="345">
        <v>36769</v>
      </c>
      <c r="B304" s="73"/>
      <c r="C304" s="32"/>
      <c r="D304" s="73"/>
    </row>
    <row r="305" spans="1:5" x14ac:dyDescent="0.2">
      <c r="A305" s="345">
        <v>36799</v>
      </c>
      <c r="B305" s="79"/>
      <c r="C305" s="33"/>
      <c r="D305" s="73"/>
    </row>
    <row r="306" spans="1:5" x14ac:dyDescent="0.2">
      <c r="A306" s="345">
        <v>36830</v>
      </c>
      <c r="B306" s="253"/>
      <c r="C306" s="33"/>
      <c r="D306" s="253"/>
      <c r="E306" s="14"/>
    </row>
    <row r="307" spans="1:5" x14ac:dyDescent="0.2">
      <c r="A307" s="345">
        <v>36860</v>
      </c>
      <c r="B307" s="253"/>
      <c r="C307" s="33"/>
      <c r="D307" s="253"/>
      <c r="E307" s="14"/>
    </row>
    <row r="308" spans="1:5" x14ac:dyDescent="0.2">
      <c r="A308" s="345">
        <v>36891</v>
      </c>
      <c r="B308" s="253"/>
      <c r="C308" s="33"/>
      <c r="D308" s="253"/>
      <c r="E308" s="14"/>
    </row>
    <row r="309" spans="1:5" x14ac:dyDescent="0.2">
      <c r="A309" s="345">
        <v>36922</v>
      </c>
      <c r="B309" s="253"/>
      <c r="C309" s="33"/>
      <c r="D309" s="253"/>
      <c r="E309" s="14"/>
    </row>
    <row r="310" spans="1:5" x14ac:dyDescent="0.2">
      <c r="A310" s="345">
        <v>36950</v>
      </c>
      <c r="B310" s="253"/>
      <c r="C310" s="33"/>
      <c r="D310" s="253"/>
      <c r="E310" s="14"/>
    </row>
    <row r="311" spans="1:5" x14ac:dyDescent="0.2">
      <c r="A311" s="345">
        <v>36981</v>
      </c>
      <c r="B311" s="253"/>
      <c r="C311" s="33"/>
      <c r="D311" s="253"/>
      <c r="E311" s="14"/>
    </row>
    <row r="312" spans="1:5" x14ac:dyDescent="0.2">
      <c r="A312" s="345">
        <v>37011</v>
      </c>
      <c r="B312" s="253"/>
      <c r="C312" s="33"/>
      <c r="D312" s="253"/>
      <c r="E312" s="14"/>
    </row>
    <row r="313" spans="1:5" x14ac:dyDescent="0.2">
      <c r="A313" s="345">
        <v>37042</v>
      </c>
      <c r="B313" s="253"/>
      <c r="C313" s="33"/>
      <c r="D313" s="253"/>
      <c r="E313" s="14"/>
    </row>
    <row r="314" spans="1:5" x14ac:dyDescent="0.2">
      <c r="A314" s="345">
        <v>37072</v>
      </c>
      <c r="B314" s="253"/>
      <c r="C314" s="33"/>
      <c r="D314" s="253"/>
      <c r="E314" s="14"/>
    </row>
    <row r="315" spans="1:5" x14ac:dyDescent="0.2">
      <c r="A315" s="345">
        <v>37103</v>
      </c>
      <c r="B315" s="253"/>
      <c r="C315" s="33"/>
      <c r="D315" s="253"/>
      <c r="E315" s="14"/>
    </row>
    <row r="316" spans="1:5" x14ac:dyDescent="0.2">
      <c r="A316" s="345">
        <v>37134</v>
      </c>
      <c r="B316" s="253"/>
      <c r="C316" s="33"/>
      <c r="D316" s="253"/>
      <c r="E316" s="14"/>
    </row>
    <row r="317" spans="1:5" x14ac:dyDescent="0.2">
      <c r="A317" s="345">
        <v>37164</v>
      </c>
      <c r="B317" s="253"/>
      <c r="C317" s="33"/>
      <c r="D317" s="253"/>
      <c r="E317" s="14"/>
    </row>
    <row r="318" spans="1:5" x14ac:dyDescent="0.2">
      <c r="A318" s="345">
        <v>37195</v>
      </c>
      <c r="B318" s="253"/>
      <c r="C318" s="33"/>
      <c r="D318" s="253"/>
      <c r="E318" s="14"/>
    </row>
    <row r="319" spans="1:5" x14ac:dyDescent="0.2">
      <c r="A319" s="345">
        <v>37225</v>
      </c>
      <c r="B319" s="253"/>
      <c r="C319" s="33"/>
      <c r="D319" s="253"/>
      <c r="E319" s="14"/>
    </row>
    <row r="320" spans="1:5" x14ac:dyDescent="0.2">
      <c r="A320" s="345">
        <v>37256</v>
      </c>
      <c r="B320" s="253"/>
      <c r="C320" s="33"/>
      <c r="D320" s="253"/>
      <c r="E320" s="14"/>
    </row>
    <row r="321" spans="1:5" x14ac:dyDescent="0.2">
      <c r="A321" s="345">
        <v>37287</v>
      </c>
      <c r="B321" s="253"/>
      <c r="C321" s="33"/>
      <c r="D321" s="253"/>
      <c r="E321" s="14"/>
    </row>
    <row r="322" spans="1:5" x14ac:dyDescent="0.2">
      <c r="A322" s="345">
        <v>37315</v>
      </c>
      <c r="B322" s="253"/>
      <c r="C322" s="33"/>
      <c r="D322" s="253"/>
      <c r="E322" s="14"/>
    </row>
    <row r="323" spans="1:5" x14ac:dyDescent="0.2">
      <c r="A323" s="345">
        <v>37346</v>
      </c>
      <c r="B323" s="253"/>
      <c r="C323" s="33"/>
      <c r="D323" s="253"/>
      <c r="E323" s="14"/>
    </row>
    <row r="324" spans="1:5" x14ac:dyDescent="0.2">
      <c r="A324" s="345">
        <v>37376</v>
      </c>
      <c r="B324" s="253"/>
      <c r="C324" s="33"/>
      <c r="D324" s="253"/>
      <c r="E324" s="14"/>
    </row>
    <row r="325" spans="1:5" x14ac:dyDescent="0.2">
      <c r="A325" s="345">
        <v>37407</v>
      </c>
      <c r="B325" s="253"/>
      <c r="C325" s="33"/>
      <c r="D325" s="253"/>
      <c r="E325" s="14"/>
    </row>
    <row r="326" spans="1:5" x14ac:dyDescent="0.2">
      <c r="A326" s="345">
        <v>37437</v>
      </c>
      <c r="B326" s="253"/>
      <c r="C326" s="33"/>
      <c r="D326" s="253"/>
      <c r="E326" s="14"/>
    </row>
    <row r="327" spans="1:5" x14ac:dyDescent="0.2">
      <c r="A327" s="345">
        <v>37468</v>
      </c>
      <c r="B327" s="253"/>
      <c r="C327" s="33"/>
      <c r="D327" s="253"/>
      <c r="E327" s="14"/>
    </row>
    <row r="328" spans="1:5" x14ac:dyDescent="0.2">
      <c r="A328" s="345">
        <v>37499</v>
      </c>
      <c r="B328" s="253"/>
      <c r="C328" s="33"/>
      <c r="D328" s="253"/>
      <c r="E328" s="14"/>
    </row>
    <row r="329" spans="1:5" x14ac:dyDescent="0.2">
      <c r="A329" s="345">
        <v>37529</v>
      </c>
      <c r="B329" s="253"/>
      <c r="C329" s="33"/>
      <c r="D329" s="253"/>
      <c r="E329" s="14"/>
    </row>
    <row r="330" spans="1:5" x14ac:dyDescent="0.2">
      <c r="A330" s="345">
        <v>37560</v>
      </c>
      <c r="B330" s="253"/>
      <c r="C330" s="33"/>
      <c r="D330" s="253"/>
      <c r="E330" s="14"/>
    </row>
    <row r="331" spans="1:5" x14ac:dyDescent="0.2">
      <c r="A331" s="345">
        <v>37590</v>
      </c>
      <c r="B331" s="253"/>
      <c r="C331" s="33"/>
      <c r="D331" s="253"/>
      <c r="E331" s="14"/>
    </row>
    <row r="332" spans="1:5" x14ac:dyDescent="0.2">
      <c r="A332" s="345">
        <v>37621</v>
      </c>
      <c r="B332" s="253"/>
      <c r="C332" s="33"/>
      <c r="D332" s="253"/>
      <c r="E332" s="14"/>
    </row>
    <row r="333" spans="1:5" x14ac:dyDescent="0.2">
      <c r="A333" s="345">
        <v>37652</v>
      </c>
      <c r="B333" s="253"/>
      <c r="C333" s="33"/>
      <c r="D333" s="253"/>
      <c r="E333" s="14"/>
    </row>
    <row r="334" spans="1:5" x14ac:dyDescent="0.2">
      <c r="A334" s="345">
        <v>37680</v>
      </c>
      <c r="B334" s="253"/>
      <c r="C334" s="33"/>
      <c r="D334" s="253"/>
      <c r="E334" s="14"/>
    </row>
    <row r="335" spans="1:5" x14ac:dyDescent="0.2">
      <c r="A335" s="345">
        <v>37711</v>
      </c>
      <c r="B335" s="253"/>
      <c r="C335" s="33"/>
      <c r="D335" s="253"/>
      <c r="E335" s="14"/>
    </row>
    <row r="336" spans="1:5" x14ac:dyDescent="0.2">
      <c r="A336" s="345">
        <v>37741</v>
      </c>
      <c r="B336" s="253"/>
      <c r="C336" s="33"/>
      <c r="D336" s="253"/>
      <c r="E336" s="14"/>
    </row>
    <row r="337" spans="1:5" x14ac:dyDescent="0.2">
      <c r="A337" s="345">
        <v>37772</v>
      </c>
      <c r="B337" s="253"/>
      <c r="C337" s="33"/>
      <c r="D337" s="253"/>
      <c r="E337" s="14"/>
    </row>
    <row r="338" spans="1:5" x14ac:dyDescent="0.2">
      <c r="A338" s="345">
        <v>37802</v>
      </c>
      <c r="B338" s="253"/>
      <c r="C338" s="33"/>
      <c r="D338" s="253"/>
      <c r="E338" s="14"/>
    </row>
    <row r="339" spans="1:5" x14ac:dyDescent="0.2">
      <c r="A339" s="345">
        <v>37833</v>
      </c>
      <c r="B339" s="253"/>
      <c r="C339" s="33"/>
      <c r="D339" s="253"/>
      <c r="E339" s="14"/>
    </row>
    <row r="340" spans="1:5" x14ac:dyDescent="0.2">
      <c r="A340" s="345">
        <v>37864</v>
      </c>
      <c r="B340" s="253"/>
      <c r="C340" s="33"/>
      <c r="D340" s="253"/>
      <c r="E340" s="14"/>
    </row>
    <row r="341" spans="1:5" x14ac:dyDescent="0.2">
      <c r="A341" s="345">
        <v>37894</v>
      </c>
      <c r="B341" s="253"/>
      <c r="C341" s="34"/>
      <c r="D341" s="253"/>
      <c r="E341" s="14"/>
    </row>
    <row r="342" spans="1:5" x14ac:dyDescent="0.2">
      <c r="A342" s="345">
        <v>37925</v>
      </c>
      <c r="B342" s="253"/>
      <c r="C342" s="34"/>
      <c r="D342" s="253"/>
      <c r="E342" s="14"/>
    </row>
    <row r="343" spans="1:5" x14ac:dyDescent="0.2">
      <c r="A343" s="345">
        <v>37955</v>
      </c>
      <c r="B343" s="253"/>
      <c r="C343" s="34"/>
      <c r="D343" s="253"/>
      <c r="E343" s="14"/>
    </row>
    <row r="344" spans="1:5" x14ac:dyDescent="0.2">
      <c r="A344" s="345">
        <v>37986</v>
      </c>
      <c r="B344" s="253"/>
      <c r="C344" s="34"/>
      <c r="D344" s="253"/>
      <c r="E344" s="14"/>
    </row>
    <row r="345" spans="1:5" x14ac:dyDescent="0.2">
      <c r="A345" s="345">
        <v>38017</v>
      </c>
      <c r="B345" s="253"/>
      <c r="C345" s="34"/>
      <c r="D345" s="253"/>
      <c r="E345" s="14"/>
    </row>
    <row r="346" spans="1:5" x14ac:dyDescent="0.2">
      <c r="A346" s="345">
        <v>38046</v>
      </c>
      <c r="B346" s="253"/>
      <c r="C346" s="34"/>
      <c r="D346" s="253"/>
      <c r="E346" s="14"/>
    </row>
    <row r="347" spans="1:5" x14ac:dyDescent="0.2">
      <c r="A347" s="345">
        <v>38077</v>
      </c>
      <c r="B347" s="253"/>
      <c r="C347" s="34"/>
      <c r="D347" s="255"/>
      <c r="E347" s="14"/>
    </row>
    <row r="348" spans="1:5" x14ac:dyDescent="0.2">
      <c r="A348" s="345">
        <v>38107</v>
      </c>
      <c r="B348" s="253"/>
      <c r="C348" s="34"/>
      <c r="D348" s="253"/>
      <c r="E348" s="14"/>
    </row>
    <row r="349" spans="1:5" x14ac:dyDescent="0.2">
      <c r="A349" s="345">
        <v>38138</v>
      </c>
      <c r="B349" s="253"/>
      <c r="C349" s="34"/>
      <c r="D349" s="253"/>
      <c r="E349" s="14"/>
    </row>
    <row r="350" spans="1:5" x14ac:dyDescent="0.2">
      <c r="A350" s="345">
        <v>38168</v>
      </c>
      <c r="B350" s="253"/>
      <c r="C350" s="34"/>
      <c r="D350" s="253"/>
      <c r="E350" s="14"/>
    </row>
    <row r="351" spans="1:5" x14ac:dyDescent="0.2">
      <c r="A351" s="345">
        <v>38199</v>
      </c>
      <c r="B351" s="253"/>
      <c r="C351" s="34"/>
      <c r="D351" s="253"/>
      <c r="E351" s="14"/>
    </row>
    <row r="352" spans="1:5" x14ac:dyDescent="0.2">
      <c r="A352" s="345">
        <v>38230</v>
      </c>
      <c r="B352" s="253"/>
      <c r="C352" s="34"/>
      <c r="D352" s="253"/>
      <c r="E352" s="14"/>
    </row>
    <row r="353" spans="1:5" x14ac:dyDescent="0.2">
      <c r="A353" s="345">
        <v>38260</v>
      </c>
      <c r="B353" s="253"/>
      <c r="C353" s="34"/>
      <c r="D353" s="253"/>
      <c r="E353" s="14"/>
    </row>
    <row r="354" spans="1:5" x14ac:dyDescent="0.2">
      <c r="A354" s="345">
        <v>38291</v>
      </c>
      <c r="B354" s="253"/>
      <c r="C354" s="34"/>
      <c r="D354" s="253"/>
      <c r="E354" s="14"/>
    </row>
    <row r="355" spans="1:5" x14ac:dyDescent="0.2">
      <c r="A355" s="345">
        <v>38321</v>
      </c>
      <c r="B355" s="253"/>
      <c r="C355" s="34"/>
      <c r="D355" s="253"/>
      <c r="E355" s="14"/>
    </row>
    <row r="356" spans="1:5" x14ac:dyDescent="0.2">
      <c r="A356" s="345">
        <v>38352</v>
      </c>
      <c r="B356" s="253"/>
      <c r="C356" s="256"/>
      <c r="D356" s="253"/>
      <c r="E356" s="14"/>
    </row>
    <row r="357" spans="1:5" x14ac:dyDescent="0.2">
      <c r="A357" s="345">
        <v>38383</v>
      </c>
      <c r="B357" s="253"/>
      <c r="C357" s="34"/>
      <c r="D357" s="253"/>
      <c r="E357" s="14"/>
    </row>
    <row r="358" spans="1:5" x14ac:dyDescent="0.2">
      <c r="A358" s="345">
        <v>38411</v>
      </c>
      <c r="B358" s="253"/>
      <c r="C358" s="34"/>
      <c r="D358" s="253"/>
      <c r="E358" s="14"/>
    </row>
    <row r="359" spans="1:5" x14ac:dyDescent="0.2">
      <c r="A359" s="345">
        <v>38442</v>
      </c>
      <c r="B359" s="253"/>
      <c r="C359" s="256"/>
      <c r="D359" s="253"/>
      <c r="E359" s="14"/>
    </row>
    <row r="360" spans="1:5" x14ac:dyDescent="0.2">
      <c r="A360" s="345">
        <v>38472</v>
      </c>
      <c r="B360" s="253"/>
      <c r="C360" s="256"/>
      <c r="D360" s="253"/>
      <c r="E360" s="14"/>
    </row>
    <row r="361" spans="1:5" x14ac:dyDescent="0.2">
      <c r="A361" s="345">
        <v>38503</v>
      </c>
      <c r="B361" s="253"/>
      <c r="C361" s="256"/>
      <c r="D361" s="253"/>
      <c r="E361" s="14"/>
    </row>
    <row r="362" spans="1:5" x14ac:dyDescent="0.2">
      <c r="A362" s="345">
        <v>38533</v>
      </c>
      <c r="B362" s="253"/>
      <c r="C362" s="256"/>
      <c r="D362" s="253"/>
      <c r="E362" s="14"/>
    </row>
    <row r="363" spans="1:5" x14ac:dyDescent="0.2">
      <c r="A363" s="345">
        <v>38564</v>
      </c>
      <c r="B363" s="253"/>
      <c r="C363" s="256"/>
      <c r="D363" s="253"/>
      <c r="E363" s="14"/>
    </row>
    <row r="364" spans="1:5" x14ac:dyDescent="0.2">
      <c r="A364" s="345">
        <v>38595</v>
      </c>
      <c r="B364" s="253"/>
      <c r="C364" s="256"/>
      <c r="D364" s="253"/>
      <c r="E364" s="14"/>
    </row>
    <row r="365" spans="1:5" x14ac:dyDescent="0.2">
      <c r="A365" s="345">
        <v>38625</v>
      </c>
      <c r="B365" s="253"/>
      <c r="C365" s="256"/>
      <c r="D365" s="253"/>
      <c r="E365" s="14"/>
    </row>
    <row r="366" spans="1:5" x14ac:dyDescent="0.2">
      <c r="A366" s="345">
        <v>38656</v>
      </c>
      <c r="B366" s="253"/>
      <c r="C366" s="256"/>
      <c r="D366" s="253"/>
      <c r="E366" s="14"/>
    </row>
    <row r="367" spans="1:5" x14ac:dyDescent="0.2">
      <c r="A367" s="345">
        <v>38686</v>
      </c>
      <c r="B367" s="253"/>
      <c r="C367" s="256"/>
      <c r="D367" s="253"/>
      <c r="E367" s="14"/>
    </row>
    <row r="368" spans="1:5" x14ac:dyDescent="0.2">
      <c r="A368" s="345">
        <v>38717</v>
      </c>
      <c r="B368" s="253"/>
      <c r="C368" s="256"/>
      <c r="D368" s="253"/>
      <c r="E368" s="14"/>
    </row>
    <row r="369" spans="1:6" x14ac:dyDescent="0.2">
      <c r="A369" s="345">
        <v>38748</v>
      </c>
      <c r="B369" s="253"/>
      <c r="C369" s="256"/>
      <c r="D369" s="253"/>
      <c r="E369" s="14"/>
    </row>
    <row r="370" spans="1:6" x14ac:dyDescent="0.2">
      <c r="A370" s="345">
        <v>38776</v>
      </c>
      <c r="B370" s="253"/>
      <c r="C370" s="256"/>
      <c r="D370" s="253"/>
      <c r="E370" s="14"/>
    </row>
    <row r="371" spans="1:6" x14ac:dyDescent="0.2">
      <c r="A371" s="345">
        <v>38807</v>
      </c>
      <c r="B371" s="253"/>
      <c r="C371" s="367"/>
      <c r="D371" s="253"/>
      <c r="E371" s="14"/>
    </row>
    <row r="372" spans="1:6" x14ac:dyDescent="0.2">
      <c r="A372" s="345">
        <v>38837</v>
      </c>
      <c r="B372" s="253"/>
      <c r="C372" s="367"/>
      <c r="D372" s="253"/>
      <c r="E372" s="14"/>
    </row>
    <row r="373" spans="1:6" x14ac:dyDescent="0.2">
      <c r="A373" s="345">
        <v>38868</v>
      </c>
      <c r="B373" s="253"/>
      <c r="C373" s="367"/>
      <c r="D373" s="253"/>
      <c r="E373" s="14"/>
    </row>
    <row r="374" spans="1:6" x14ac:dyDescent="0.2">
      <c r="A374" s="345">
        <v>38898</v>
      </c>
      <c r="B374" s="128"/>
      <c r="C374" s="612"/>
      <c r="D374" s="253"/>
      <c r="E374" s="14"/>
    </row>
    <row r="375" spans="1:6" x14ac:dyDescent="0.2">
      <c r="A375" s="345">
        <v>38929</v>
      </c>
      <c r="B375" s="253"/>
      <c r="C375" s="34"/>
      <c r="D375" s="253"/>
      <c r="E375" s="14"/>
    </row>
    <row r="376" spans="1:6" x14ac:dyDescent="0.2">
      <c r="A376" s="345">
        <v>38960</v>
      </c>
      <c r="B376" s="253"/>
      <c r="C376" s="34"/>
      <c r="D376" s="253"/>
      <c r="E376" s="14"/>
    </row>
    <row r="377" spans="1:6" x14ac:dyDescent="0.2">
      <c r="A377" s="345">
        <v>38990</v>
      </c>
      <c r="B377" s="253"/>
      <c r="C377" s="34"/>
      <c r="D377" s="253"/>
      <c r="E377" s="14"/>
    </row>
    <row r="378" spans="1:6" x14ac:dyDescent="0.2">
      <c r="A378" s="345">
        <v>39021</v>
      </c>
      <c r="B378" s="253"/>
      <c r="C378" s="34"/>
      <c r="D378" s="253"/>
      <c r="E378" s="14"/>
      <c r="F378" s="352"/>
    </row>
    <row r="379" spans="1:6" x14ac:dyDescent="0.2">
      <c r="A379" s="345">
        <v>39051</v>
      </c>
      <c r="B379" s="253"/>
      <c r="C379" s="34"/>
      <c r="D379" s="253"/>
      <c r="E379" s="14"/>
      <c r="F379" s="352"/>
    </row>
    <row r="380" spans="1:6" x14ac:dyDescent="0.2">
      <c r="A380" s="345">
        <v>39082</v>
      </c>
      <c r="B380" s="253"/>
      <c r="C380" s="703"/>
      <c r="D380" s="253"/>
      <c r="E380" s="14"/>
      <c r="F380" s="352"/>
    </row>
    <row r="381" spans="1:6" x14ac:dyDescent="0.2">
      <c r="A381" s="345">
        <v>39113</v>
      </c>
      <c r="B381" s="253"/>
      <c r="C381" s="770"/>
      <c r="E381" s="14"/>
      <c r="F381" s="352"/>
    </row>
    <row r="382" spans="1:6" x14ac:dyDescent="0.2">
      <c r="A382" s="345">
        <v>39141</v>
      </c>
      <c r="B382" s="253"/>
      <c r="C382" s="770"/>
      <c r="E382" s="14"/>
      <c r="F382" s="352"/>
    </row>
    <row r="383" spans="1:6" x14ac:dyDescent="0.2">
      <c r="A383" s="345">
        <v>39172</v>
      </c>
      <c r="B383" s="253"/>
      <c r="C383" s="770"/>
      <c r="E383" s="14"/>
    </row>
    <row r="384" spans="1:6" x14ac:dyDescent="0.2">
      <c r="A384" s="345">
        <v>39202</v>
      </c>
      <c r="B384" s="253"/>
      <c r="C384" s="770"/>
      <c r="E384" s="14"/>
    </row>
    <row r="385" spans="1:5" x14ac:dyDescent="0.2">
      <c r="A385" s="345">
        <v>39233</v>
      </c>
      <c r="B385" s="253"/>
      <c r="C385" s="770"/>
      <c r="E385" s="14"/>
    </row>
    <row r="386" spans="1:5" x14ac:dyDescent="0.2">
      <c r="A386" s="345">
        <v>39263</v>
      </c>
      <c r="B386" s="253"/>
      <c r="C386" s="770"/>
      <c r="E386" s="14"/>
    </row>
    <row r="387" spans="1:5" x14ac:dyDescent="0.2">
      <c r="A387" s="345">
        <v>39294</v>
      </c>
      <c r="B387" s="253"/>
      <c r="C387" s="770"/>
      <c r="E387" s="14"/>
    </row>
    <row r="388" spans="1:5" x14ac:dyDescent="0.2">
      <c r="A388" s="345">
        <v>39325</v>
      </c>
      <c r="B388" s="253"/>
      <c r="C388" s="346"/>
      <c r="E388" s="14"/>
    </row>
    <row r="389" spans="1:5" x14ac:dyDescent="0.2">
      <c r="A389" s="345">
        <v>39355</v>
      </c>
      <c r="B389" s="253"/>
      <c r="C389" s="346"/>
      <c r="E389" s="14"/>
    </row>
    <row r="390" spans="1:5" x14ac:dyDescent="0.2">
      <c r="A390" s="345">
        <v>39386</v>
      </c>
      <c r="B390" s="253"/>
      <c r="C390" s="346"/>
      <c r="E390" s="14"/>
    </row>
    <row r="391" spans="1:5" x14ac:dyDescent="0.2">
      <c r="A391" s="345">
        <v>39416</v>
      </c>
      <c r="B391" s="253"/>
      <c r="C391" s="346"/>
      <c r="E391" s="14"/>
    </row>
    <row r="392" spans="1:5" x14ac:dyDescent="0.2">
      <c r="A392" s="345">
        <v>39447</v>
      </c>
      <c r="B392" s="253">
        <v>0.74160000000000004</v>
      </c>
      <c r="C392" s="346">
        <v>26668533.010000002</v>
      </c>
      <c r="E392" s="14">
        <f>B392-Index_Returns!W392</f>
        <v>0.46070000000000005</v>
      </c>
    </row>
    <row r="393" spans="1:5" x14ac:dyDescent="0.2">
      <c r="A393" s="345">
        <v>39478</v>
      </c>
      <c r="B393" s="253">
        <v>1.6978</v>
      </c>
      <c r="C393" s="346">
        <v>27121309.460000001</v>
      </c>
      <c r="E393" s="14">
        <f>B393-Index_Returns!W393</f>
        <v>1.8000000000000016E-2</v>
      </c>
    </row>
    <row r="394" spans="1:5" x14ac:dyDescent="0.2">
      <c r="A394" s="345">
        <v>39507</v>
      </c>
      <c r="B394" s="253">
        <v>0</v>
      </c>
      <c r="C394" s="346">
        <v>27121309.460000001</v>
      </c>
      <c r="E394" s="14">
        <f>B394-Index_Returns!W394</f>
        <v>-0.13880000000000001</v>
      </c>
    </row>
    <row r="395" spans="1:5" x14ac:dyDescent="0.2">
      <c r="A395" s="345">
        <v>39538</v>
      </c>
      <c r="B395" s="253">
        <v>-1.8871</v>
      </c>
      <c r="C395" s="346">
        <v>26623255.73</v>
      </c>
      <c r="E395" s="14">
        <f>B395-Index_Returns!W395</f>
        <v>-2.2282999999999999</v>
      </c>
    </row>
    <row r="396" spans="1:5" x14ac:dyDescent="0.2">
      <c r="A396" s="345">
        <v>39568</v>
      </c>
      <c r="B396" s="253">
        <v>-0.34010000000000001</v>
      </c>
      <c r="C396" s="346">
        <v>26532700.079999998</v>
      </c>
      <c r="E396" s="14">
        <f>B396-Index_Returns!W396</f>
        <v>-0.13110000000000002</v>
      </c>
    </row>
    <row r="397" spans="1:5" x14ac:dyDescent="0.2">
      <c r="A397" s="345">
        <v>39599</v>
      </c>
      <c r="B397" s="253">
        <v>-0.34129999999999999</v>
      </c>
      <c r="C397" s="346">
        <v>26442144.789999999</v>
      </c>
      <c r="E397" s="14">
        <f>B397-Index_Returns!W397</f>
        <v>0.39199999999999996</v>
      </c>
    </row>
    <row r="398" spans="1:5" x14ac:dyDescent="0.2">
      <c r="A398" s="345">
        <v>39629</v>
      </c>
      <c r="B398" s="253">
        <v>-0.39479999999999998</v>
      </c>
      <c r="C398" s="346">
        <v>26351589.489999998</v>
      </c>
      <c r="E398" s="14">
        <f>B398-Index_Returns!W398</f>
        <v>-0.314</v>
      </c>
    </row>
    <row r="399" spans="1:5" x14ac:dyDescent="0.2">
      <c r="A399" s="345">
        <v>39660</v>
      </c>
      <c r="B399" s="253">
        <v>-1.1168</v>
      </c>
      <c r="C399" s="367">
        <v>26057284.800000001</v>
      </c>
      <c r="E399" s="14">
        <f>B399-Index_Returns!W399</f>
        <v>-1.0352000000000001</v>
      </c>
    </row>
    <row r="400" spans="1:5" x14ac:dyDescent="0.2">
      <c r="A400" s="345">
        <v>39691</v>
      </c>
      <c r="B400" s="253">
        <v>0.34749999999999998</v>
      </c>
      <c r="C400" s="367">
        <v>26147840.09</v>
      </c>
      <c r="E400" s="14">
        <f>B400-Index_Returns!W400</f>
        <v>-0.60160000000000013</v>
      </c>
    </row>
    <row r="401" spans="1:5" x14ac:dyDescent="0.2">
      <c r="A401" s="345">
        <v>39721</v>
      </c>
      <c r="B401" s="253">
        <v>-1.1778999999999999</v>
      </c>
      <c r="C401" s="367">
        <v>25853535.399999999</v>
      </c>
      <c r="E401" s="14">
        <f>B401-Index_Returns!W401</f>
        <v>0.1653</v>
      </c>
    </row>
    <row r="402" spans="1:5" x14ac:dyDescent="0.2">
      <c r="A402" s="345">
        <v>39752</v>
      </c>
      <c r="B402" s="253" t="e">
        <v>#N/A</v>
      </c>
      <c r="C402" s="346" t="e">
        <v>#N/A</v>
      </c>
      <c r="E402" s="14" t="e">
        <f>B402-Index_Returns!W402</f>
        <v>#N/A</v>
      </c>
    </row>
    <row r="403" spans="1:5" x14ac:dyDescent="0.2">
      <c r="A403" s="345">
        <v>39782</v>
      </c>
      <c r="B403" s="253" t="e">
        <v>#N/A</v>
      </c>
      <c r="C403" s="346" t="e">
        <v>#N/A</v>
      </c>
      <c r="E403" s="14" t="e">
        <f>B403-Index_Returns!W403</f>
        <v>#N/A</v>
      </c>
    </row>
    <row r="404" spans="1:5" x14ac:dyDescent="0.2">
      <c r="A404" s="345">
        <v>39813</v>
      </c>
      <c r="B404" s="253" t="e">
        <v>#N/A</v>
      </c>
      <c r="C404" s="346" t="e">
        <v>#N/A</v>
      </c>
      <c r="E404" s="14" t="e">
        <f>B404-Index_Returns!W404</f>
        <v>#N/A</v>
      </c>
    </row>
    <row r="405" spans="1:5" x14ac:dyDescent="0.2">
      <c r="A405" s="345">
        <v>39844</v>
      </c>
      <c r="B405" s="253">
        <f t="shared" ref="B405:B428" si="0">D405-((D$1/12)/100)</f>
        <v>-1.1666666666666667E-2</v>
      </c>
      <c r="C405" s="346"/>
      <c r="E405" s="14">
        <f>B405-Index_Returns!W405</f>
        <v>0.87063333333333326</v>
      </c>
    </row>
    <row r="406" spans="1:5" x14ac:dyDescent="0.2">
      <c r="A406" s="345">
        <v>39872</v>
      </c>
      <c r="B406" s="253">
        <f t="shared" si="0"/>
        <v>-1.1666666666666667E-2</v>
      </c>
      <c r="C406" s="346"/>
      <c r="E406" s="14">
        <f>B406-Index_Returns!W406</f>
        <v>0.36593333333333333</v>
      </c>
    </row>
    <row r="407" spans="1:5" x14ac:dyDescent="0.2">
      <c r="A407" s="345">
        <v>39903</v>
      </c>
      <c r="B407" s="253">
        <f t="shared" si="0"/>
        <v>-1.1666666666666667E-2</v>
      </c>
      <c r="C407" s="346"/>
      <c r="E407" s="14">
        <f>B407-Index_Returns!W407</f>
        <v>-1.4018666666666668</v>
      </c>
    </row>
    <row r="408" spans="1:5" x14ac:dyDescent="0.2">
      <c r="A408" s="345">
        <v>39933</v>
      </c>
      <c r="B408" s="253">
        <f t="shared" si="0"/>
        <v>-1.1666666666666667E-2</v>
      </c>
      <c r="C408" s="346"/>
      <c r="E408" s="14">
        <f>B408-Index_Returns!W408</f>
        <v>-0.49026666666666668</v>
      </c>
    </row>
    <row r="409" spans="1:5" x14ac:dyDescent="0.2">
      <c r="A409" s="345">
        <v>39964</v>
      </c>
      <c r="B409" s="253">
        <f t="shared" si="0"/>
        <v>-1.1666666666666667E-2</v>
      </c>
      <c r="C409" s="346"/>
      <c r="E409" s="14">
        <f>B409-Index_Returns!W409</f>
        <v>-0.73676666666666668</v>
      </c>
    </row>
    <row r="410" spans="1:5" x14ac:dyDescent="0.2">
      <c r="A410" s="345">
        <v>39994</v>
      </c>
      <c r="B410" s="253">
        <f t="shared" si="0"/>
        <v>-1.1666666666666667E-2</v>
      </c>
      <c r="C410" s="346"/>
      <c r="E410" s="14">
        <f>B410-Index_Returns!W410</f>
        <v>-0.58006666666666673</v>
      </c>
    </row>
    <row r="411" spans="1:5" x14ac:dyDescent="0.2">
      <c r="A411" s="345">
        <v>40025</v>
      </c>
      <c r="B411" s="253">
        <f t="shared" si="0"/>
        <v>-1.1666666666666667E-2</v>
      </c>
      <c r="C411" s="346"/>
      <c r="E411" s="14">
        <f>B411-Index_Returns!W411</f>
        <v>-1.6249666666666667</v>
      </c>
    </row>
    <row r="412" spans="1:5" x14ac:dyDescent="0.2">
      <c r="A412" s="345">
        <v>40056</v>
      </c>
      <c r="B412" s="253">
        <f t="shared" si="0"/>
        <v>-1.1666666666666667E-2</v>
      </c>
      <c r="C412" s="346"/>
      <c r="E412" s="14">
        <f>B412-Index_Returns!W412</f>
        <v>-1.0470666666666668</v>
      </c>
    </row>
    <row r="413" spans="1:5" x14ac:dyDescent="0.2">
      <c r="A413" s="345">
        <v>40086</v>
      </c>
      <c r="B413" s="253">
        <f t="shared" si="0"/>
        <v>-1.1666666666666667E-2</v>
      </c>
      <c r="C413" s="346"/>
      <c r="E413" s="14">
        <f>B413-Index_Returns!W413</f>
        <v>-1.0623666666666667</v>
      </c>
    </row>
    <row r="414" spans="1:5" x14ac:dyDescent="0.2">
      <c r="A414" s="345">
        <v>40117</v>
      </c>
      <c r="B414" s="253">
        <f t="shared" si="0"/>
        <v>-1.1666666666666667E-2</v>
      </c>
      <c r="C414" s="346"/>
      <c r="E414" s="14">
        <f>B414-Index_Returns!W414</f>
        <v>-0.50166666666666671</v>
      </c>
    </row>
    <row r="415" spans="1:5" x14ac:dyDescent="0.2">
      <c r="A415" s="345">
        <v>40147</v>
      </c>
      <c r="B415" s="253">
        <f t="shared" si="0"/>
        <v>-1.1666666666666667E-2</v>
      </c>
      <c r="C415" s="346"/>
      <c r="E415" s="14">
        <f>B415-Index_Returns!W415</f>
        <v>-1.3056666666666668</v>
      </c>
    </row>
    <row r="416" spans="1:5" x14ac:dyDescent="0.2">
      <c r="A416" s="345">
        <v>40178</v>
      </c>
      <c r="B416" s="253">
        <f t="shared" si="0"/>
        <v>-1.1666666666666667E-2</v>
      </c>
      <c r="C416" s="346"/>
      <c r="E416" s="14">
        <f>B416-Index_Returns!W416</f>
        <v>1.5518433333333332</v>
      </c>
    </row>
    <row r="417" spans="1:5" x14ac:dyDescent="0.2">
      <c r="A417" s="345">
        <v>40209</v>
      </c>
      <c r="B417" s="253">
        <f t="shared" si="0"/>
        <v>-1.1666666666666667E-2</v>
      </c>
      <c r="C417" s="346"/>
      <c r="E417" s="14">
        <f>B417-Index_Returns!W417</f>
        <v>-1.5394466666666666</v>
      </c>
    </row>
    <row r="418" spans="1:5" x14ac:dyDescent="0.2">
      <c r="A418" s="345">
        <v>40237</v>
      </c>
      <c r="B418" s="253">
        <f t="shared" si="0"/>
        <v>-1.1666666666666667E-2</v>
      </c>
      <c r="C418" s="346"/>
      <c r="E418" s="14">
        <f>B418-Index_Returns!W418</f>
        <v>-0.38498666666666664</v>
      </c>
    </row>
    <row r="419" spans="1:5" x14ac:dyDescent="0.2">
      <c r="A419" s="345">
        <v>40268</v>
      </c>
      <c r="B419" s="253">
        <f t="shared" si="0"/>
        <v>-1.1666666666666667E-2</v>
      </c>
      <c r="C419" s="346"/>
      <c r="E419" s="14">
        <f>B419-Index_Returns!W419</f>
        <v>0.11095333333333333</v>
      </c>
    </row>
    <row r="420" spans="1:5" x14ac:dyDescent="0.2">
      <c r="A420" s="345">
        <v>40298</v>
      </c>
      <c r="B420" s="253">
        <f t="shared" si="0"/>
        <v>-1.1666666666666667E-2</v>
      </c>
      <c r="C420" s="346"/>
      <c r="E420" s="14">
        <f>B420-Index_Returns!W420</f>
        <v>-1.0526466666666667</v>
      </c>
    </row>
    <row r="421" spans="1:5" x14ac:dyDescent="0.2">
      <c r="A421" s="345">
        <v>40329</v>
      </c>
      <c r="B421" s="253">
        <f t="shared" si="0"/>
        <v>-1.1666666666666667E-2</v>
      </c>
      <c r="C421" s="346"/>
      <c r="E421" s="14">
        <f>B421-Index_Returns!W421</f>
        <v>-0.85274666666666676</v>
      </c>
    </row>
    <row r="422" spans="1:5" x14ac:dyDescent="0.2">
      <c r="A422" s="345">
        <v>40359</v>
      </c>
      <c r="B422" s="253">
        <f t="shared" si="0"/>
        <v>-1.1666666666666667E-2</v>
      </c>
      <c r="C422" s="346"/>
      <c r="E422" s="14">
        <f>B422-Index_Returns!W422</f>
        <v>-1.5798266666666667</v>
      </c>
    </row>
    <row r="423" spans="1:5" x14ac:dyDescent="0.2">
      <c r="A423" s="345">
        <v>40390</v>
      </c>
      <c r="B423" s="253">
        <f t="shared" si="0"/>
        <v>-1.1666666666666667E-2</v>
      </c>
      <c r="C423" s="346"/>
      <c r="E423" s="14">
        <f>B423-Index_Returns!W423</f>
        <v>-1.0790466666666667</v>
      </c>
    </row>
    <row r="424" spans="1:5" x14ac:dyDescent="0.2">
      <c r="A424" s="345">
        <v>40421</v>
      </c>
      <c r="B424" s="253">
        <f t="shared" si="0"/>
        <v>-1.1666666666666667E-2</v>
      </c>
      <c r="C424" s="346"/>
      <c r="E424" s="14">
        <f>B424-Index_Returns!W424</f>
        <v>-1.2982166666666668</v>
      </c>
    </row>
    <row r="425" spans="1:5" x14ac:dyDescent="0.2">
      <c r="A425" s="345">
        <v>40451</v>
      </c>
      <c r="B425" s="253">
        <f t="shared" si="0"/>
        <v>-1.1666666666666667E-2</v>
      </c>
      <c r="C425" s="346"/>
      <c r="E425" s="14">
        <f>B425-Index_Returns!W425</f>
        <v>-0.11838666666666667</v>
      </c>
    </row>
    <row r="426" spans="1:5" x14ac:dyDescent="0.2">
      <c r="A426" s="345">
        <v>40482</v>
      </c>
      <c r="B426" s="253">
        <f t="shared" si="0"/>
        <v>-1.1666666666666667E-2</v>
      </c>
      <c r="C426" s="346"/>
      <c r="E426" s="14">
        <f>B426-Index_Returns!W426</f>
        <v>-0.36750666666666665</v>
      </c>
    </row>
    <row r="427" spans="1:5" x14ac:dyDescent="0.2">
      <c r="A427" s="345">
        <v>40512</v>
      </c>
      <c r="B427" s="253">
        <f t="shared" si="0"/>
        <v>-1.1666666666666667E-2</v>
      </c>
      <c r="C427" s="346"/>
      <c r="E427" s="14">
        <f>B427-Index_Returns!W427</f>
        <v>0.56311333333333324</v>
      </c>
    </row>
    <row r="428" spans="1:5" x14ac:dyDescent="0.2">
      <c r="A428" s="345">
        <v>40543</v>
      </c>
      <c r="B428" s="253">
        <f t="shared" si="0"/>
        <v>-1.1666666666666667E-2</v>
      </c>
      <c r="C428" s="346"/>
      <c r="E428" s="14">
        <f>B428-Index_Returns!W428</f>
        <v>1.0666533333333332</v>
      </c>
    </row>
  </sheetData>
  <phoneticPr fontId="3" type="noConversion"/>
  <pageMargins left="0.75" right="0.75" top="1" bottom="1" header="0.5" footer="0.5"/>
  <headerFooter alignWithMargins="0"/>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tabColor rgb="FFFF0000"/>
  </sheetPr>
  <dimension ref="A1:H440"/>
  <sheetViews>
    <sheetView topLeftCell="A399" workbookViewId="0">
      <selection activeCell="O437" sqref="O437"/>
    </sheetView>
  </sheetViews>
  <sheetFormatPr defaultRowHeight="12.75" x14ac:dyDescent="0.2"/>
  <cols>
    <col min="1" max="1" width="18.7109375" style="1308" customWidth="1"/>
    <col min="2" max="2" width="18.7109375" style="1309" customWidth="1"/>
    <col min="3" max="3" width="18.7109375" style="1307" customWidth="1"/>
    <col min="4" max="4" width="18.7109375" style="1306" customWidth="1"/>
    <col min="5" max="5" width="9.140625" style="1301"/>
    <col min="6" max="6" width="12.42578125" style="1266" bestFit="1" customWidth="1"/>
    <col min="7" max="8" width="9.140625" style="1305"/>
    <col min="9" max="16384" width="9.140625" style="1266"/>
  </cols>
  <sheetData>
    <row r="1" spans="1:5" x14ac:dyDescent="0.2">
      <c r="A1" s="1289" t="s">
        <v>652</v>
      </c>
      <c r="B1" s="1290"/>
      <c r="C1" s="1386" t="s">
        <v>666</v>
      </c>
      <c r="D1" s="1373">
        <v>16</v>
      </c>
    </row>
    <row r="2" spans="1:5" x14ac:dyDescent="0.2">
      <c r="A2" s="1291" t="s">
        <v>27</v>
      </c>
      <c r="B2" s="1292" t="s">
        <v>91</v>
      </c>
      <c r="C2" s="1294" t="s">
        <v>92</v>
      </c>
      <c r="D2" s="1292" t="s">
        <v>90</v>
      </c>
      <c r="E2" s="1374" t="s">
        <v>80</v>
      </c>
    </row>
    <row r="3" spans="1:5" x14ac:dyDescent="0.2">
      <c r="A3" s="1293">
        <v>27606</v>
      </c>
      <c r="B3" s="1292"/>
      <c r="C3" s="1294"/>
      <c r="D3" s="1292"/>
    </row>
    <row r="4" spans="1:5" x14ac:dyDescent="0.2">
      <c r="A4" s="1293">
        <v>27637</v>
      </c>
      <c r="B4" s="1292"/>
      <c r="C4" s="1294"/>
      <c r="D4" s="1292"/>
    </row>
    <row r="5" spans="1:5" x14ac:dyDescent="0.2">
      <c r="A5" s="1293">
        <v>27667</v>
      </c>
      <c r="B5" s="1292"/>
      <c r="C5" s="1294"/>
      <c r="D5" s="1292"/>
    </row>
    <row r="6" spans="1:5" x14ac:dyDescent="0.2">
      <c r="A6" s="1293">
        <v>27698</v>
      </c>
      <c r="B6" s="1292"/>
      <c r="C6" s="1294"/>
      <c r="D6" s="1292"/>
    </row>
    <row r="7" spans="1:5" x14ac:dyDescent="0.2">
      <c r="A7" s="1293">
        <v>27728</v>
      </c>
      <c r="B7" s="1292"/>
      <c r="C7" s="1294"/>
      <c r="D7" s="1292"/>
    </row>
    <row r="8" spans="1:5" x14ac:dyDescent="0.2">
      <c r="A8" s="1293">
        <v>27759</v>
      </c>
      <c r="B8" s="1292"/>
      <c r="C8" s="1294"/>
      <c r="D8" s="1292"/>
    </row>
    <row r="9" spans="1:5" x14ac:dyDescent="0.2">
      <c r="A9" s="1293">
        <v>27790</v>
      </c>
      <c r="B9" s="1292"/>
      <c r="C9" s="1294"/>
      <c r="D9" s="1292"/>
    </row>
    <row r="10" spans="1:5" x14ac:dyDescent="0.2">
      <c r="A10" s="1293">
        <v>27819</v>
      </c>
      <c r="B10" s="1292"/>
      <c r="C10" s="1294"/>
      <c r="D10" s="1292"/>
    </row>
    <row r="11" spans="1:5" x14ac:dyDescent="0.2">
      <c r="A11" s="1293">
        <v>27850</v>
      </c>
      <c r="B11" s="1292"/>
      <c r="C11" s="1294"/>
      <c r="D11" s="1292"/>
    </row>
    <row r="12" spans="1:5" x14ac:dyDescent="0.2">
      <c r="A12" s="1293">
        <v>27880</v>
      </c>
      <c r="B12" s="1292"/>
      <c r="C12" s="1294"/>
      <c r="D12" s="1292"/>
    </row>
    <row r="13" spans="1:5" x14ac:dyDescent="0.2">
      <c r="A13" s="1293">
        <v>27911</v>
      </c>
      <c r="B13" s="1292"/>
      <c r="C13" s="1294"/>
      <c r="D13" s="1292"/>
    </row>
    <row r="14" spans="1:5" x14ac:dyDescent="0.2">
      <c r="A14" s="1293">
        <v>27941</v>
      </c>
      <c r="B14" s="1292"/>
      <c r="C14" s="1294"/>
      <c r="D14" s="1292"/>
    </row>
    <row r="15" spans="1:5" x14ac:dyDescent="0.2">
      <c r="A15" s="1293">
        <v>27972</v>
      </c>
      <c r="B15" s="1292"/>
      <c r="C15" s="1294"/>
      <c r="D15" s="1292"/>
    </row>
    <row r="16" spans="1:5" x14ac:dyDescent="0.2">
      <c r="A16" s="1293">
        <v>28003</v>
      </c>
      <c r="B16" s="1292"/>
      <c r="C16" s="1294"/>
      <c r="D16" s="1292"/>
    </row>
    <row r="17" spans="1:4" x14ac:dyDescent="0.2">
      <c r="A17" s="1293">
        <v>28033</v>
      </c>
      <c r="B17" s="1292"/>
      <c r="C17" s="1294"/>
      <c r="D17" s="1292"/>
    </row>
    <row r="18" spans="1:4" x14ac:dyDescent="0.2">
      <c r="A18" s="1293">
        <v>28064</v>
      </c>
      <c r="B18" s="1292"/>
      <c r="C18" s="1294"/>
      <c r="D18" s="1292"/>
    </row>
    <row r="19" spans="1:4" x14ac:dyDescent="0.2">
      <c r="A19" s="1293">
        <v>28094</v>
      </c>
      <c r="B19" s="1292"/>
      <c r="C19" s="1294"/>
      <c r="D19" s="1292"/>
    </row>
    <row r="20" spans="1:4" x14ac:dyDescent="0.2">
      <c r="A20" s="1293">
        <v>28125</v>
      </c>
      <c r="B20" s="1292"/>
      <c r="C20" s="1294"/>
      <c r="D20" s="1292"/>
    </row>
    <row r="21" spans="1:4" x14ac:dyDescent="0.2">
      <c r="A21" s="1293">
        <v>28156</v>
      </c>
      <c r="B21" s="1292"/>
      <c r="C21" s="1294"/>
      <c r="D21" s="1292"/>
    </row>
    <row r="22" spans="1:4" x14ac:dyDescent="0.2">
      <c r="A22" s="1293">
        <v>28184</v>
      </c>
      <c r="B22" s="1292"/>
      <c r="C22" s="1294"/>
      <c r="D22" s="1292"/>
    </row>
    <row r="23" spans="1:4" x14ac:dyDescent="0.2">
      <c r="A23" s="1293">
        <v>28215</v>
      </c>
      <c r="B23" s="1292"/>
      <c r="C23" s="1294"/>
      <c r="D23" s="1292"/>
    </row>
    <row r="24" spans="1:4" x14ac:dyDescent="0.2">
      <c r="A24" s="1293">
        <v>28245</v>
      </c>
      <c r="B24" s="1292"/>
      <c r="C24" s="1294"/>
      <c r="D24" s="1292"/>
    </row>
    <row r="25" spans="1:4" x14ac:dyDescent="0.2">
      <c r="A25" s="1293">
        <v>28276</v>
      </c>
      <c r="B25" s="1292"/>
      <c r="C25" s="1294"/>
      <c r="D25" s="1292"/>
    </row>
    <row r="26" spans="1:4" x14ac:dyDescent="0.2">
      <c r="A26" s="1293">
        <v>28306</v>
      </c>
      <c r="B26" s="1292"/>
      <c r="C26" s="1294"/>
      <c r="D26" s="1292"/>
    </row>
    <row r="27" spans="1:4" x14ac:dyDescent="0.2">
      <c r="A27" s="1293">
        <v>28337</v>
      </c>
      <c r="B27" s="1292"/>
      <c r="C27" s="1294"/>
      <c r="D27" s="1292"/>
    </row>
    <row r="28" spans="1:4" x14ac:dyDescent="0.2">
      <c r="A28" s="1293">
        <v>28368</v>
      </c>
      <c r="B28" s="1292"/>
      <c r="C28" s="1294"/>
      <c r="D28" s="1292"/>
    </row>
    <row r="29" spans="1:4" x14ac:dyDescent="0.2">
      <c r="A29" s="1293">
        <v>28398</v>
      </c>
      <c r="B29" s="1292"/>
      <c r="C29" s="1294"/>
      <c r="D29" s="1292"/>
    </row>
    <row r="30" spans="1:4" x14ac:dyDescent="0.2">
      <c r="A30" s="1293">
        <v>28429</v>
      </c>
      <c r="B30" s="1292"/>
      <c r="C30" s="1294"/>
      <c r="D30" s="1292"/>
    </row>
    <row r="31" spans="1:4" x14ac:dyDescent="0.2">
      <c r="A31" s="1293">
        <v>28459</v>
      </c>
      <c r="B31" s="1292"/>
      <c r="C31" s="1294"/>
      <c r="D31" s="1292"/>
    </row>
    <row r="32" spans="1:4" x14ac:dyDescent="0.2">
      <c r="A32" s="1293">
        <v>28490</v>
      </c>
      <c r="B32" s="1292"/>
      <c r="C32" s="1294"/>
      <c r="D32" s="1292"/>
    </row>
    <row r="33" spans="1:4" x14ac:dyDescent="0.2">
      <c r="A33" s="1293">
        <v>28521</v>
      </c>
      <c r="B33" s="1292"/>
      <c r="C33" s="1294"/>
      <c r="D33" s="1292"/>
    </row>
    <row r="34" spans="1:4" x14ac:dyDescent="0.2">
      <c r="A34" s="1293">
        <v>28549</v>
      </c>
      <c r="B34" s="1292"/>
      <c r="C34" s="1294"/>
      <c r="D34" s="1292"/>
    </row>
    <row r="35" spans="1:4" x14ac:dyDescent="0.2">
      <c r="A35" s="1293">
        <v>28580</v>
      </c>
      <c r="B35" s="1292"/>
      <c r="C35" s="1294"/>
      <c r="D35" s="1292"/>
    </row>
    <row r="36" spans="1:4" x14ac:dyDescent="0.2">
      <c r="A36" s="1293">
        <v>28610</v>
      </c>
      <c r="B36" s="1292"/>
      <c r="C36" s="1294"/>
      <c r="D36" s="1292"/>
    </row>
    <row r="37" spans="1:4" x14ac:dyDescent="0.2">
      <c r="A37" s="1293">
        <v>28641</v>
      </c>
      <c r="B37" s="1292"/>
      <c r="C37" s="1294"/>
      <c r="D37" s="1292"/>
    </row>
    <row r="38" spans="1:4" x14ac:dyDescent="0.2">
      <c r="A38" s="1293">
        <v>28671</v>
      </c>
      <c r="B38" s="1292"/>
      <c r="C38" s="1294"/>
      <c r="D38" s="1292"/>
    </row>
    <row r="39" spans="1:4" x14ac:dyDescent="0.2">
      <c r="A39" s="1293">
        <v>28702</v>
      </c>
      <c r="B39" s="1292"/>
      <c r="C39" s="1294"/>
      <c r="D39" s="1292"/>
    </row>
    <row r="40" spans="1:4" x14ac:dyDescent="0.2">
      <c r="A40" s="1293">
        <v>28733</v>
      </c>
      <c r="B40" s="1292"/>
      <c r="C40" s="1294"/>
      <c r="D40" s="1292"/>
    </row>
    <row r="41" spans="1:4" x14ac:dyDescent="0.2">
      <c r="A41" s="1293">
        <v>28763</v>
      </c>
      <c r="B41" s="1292"/>
      <c r="C41" s="1294"/>
      <c r="D41" s="1292"/>
    </row>
    <row r="42" spans="1:4" x14ac:dyDescent="0.2">
      <c r="A42" s="1293">
        <v>28794</v>
      </c>
      <c r="B42" s="1292"/>
      <c r="C42" s="1294"/>
      <c r="D42" s="1292"/>
    </row>
    <row r="43" spans="1:4" x14ac:dyDescent="0.2">
      <c r="A43" s="1293">
        <v>28824</v>
      </c>
      <c r="B43" s="1292"/>
      <c r="C43" s="1294"/>
      <c r="D43" s="1292"/>
    </row>
    <row r="44" spans="1:4" x14ac:dyDescent="0.2">
      <c r="A44" s="1293">
        <v>28855</v>
      </c>
      <c r="B44" s="1292"/>
      <c r="C44" s="1294"/>
      <c r="D44" s="1292"/>
    </row>
    <row r="45" spans="1:4" x14ac:dyDescent="0.2">
      <c r="A45" s="1293">
        <v>28886</v>
      </c>
      <c r="B45" s="1292"/>
      <c r="C45" s="1294"/>
      <c r="D45" s="1292"/>
    </row>
    <row r="46" spans="1:4" x14ac:dyDescent="0.2">
      <c r="A46" s="1293">
        <v>28914</v>
      </c>
      <c r="B46" s="1292"/>
      <c r="C46" s="1294"/>
      <c r="D46" s="1292"/>
    </row>
    <row r="47" spans="1:4" x14ac:dyDescent="0.2">
      <c r="A47" s="1293">
        <v>28945</v>
      </c>
      <c r="B47" s="1292"/>
      <c r="C47" s="1294"/>
      <c r="D47" s="1292"/>
    </row>
    <row r="48" spans="1:4" x14ac:dyDescent="0.2">
      <c r="A48" s="1293">
        <v>28975</v>
      </c>
      <c r="B48" s="1292"/>
      <c r="C48" s="1294"/>
      <c r="D48" s="1292"/>
    </row>
    <row r="49" spans="1:4" x14ac:dyDescent="0.2">
      <c r="A49" s="1293">
        <v>29006</v>
      </c>
      <c r="B49" s="1292"/>
      <c r="C49" s="1294"/>
      <c r="D49" s="1292"/>
    </row>
    <row r="50" spans="1:4" x14ac:dyDescent="0.2">
      <c r="A50" s="1293">
        <v>29036</v>
      </c>
      <c r="B50" s="1292"/>
      <c r="C50" s="1294"/>
      <c r="D50" s="1292"/>
    </row>
    <row r="51" spans="1:4" x14ac:dyDescent="0.2">
      <c r="A51" s="1293">
        <v>29067</v>
      </c>
      <c r="B51" s="1292"/>
      <c r="C51" s="1294"/>
      <c r="D51" s="1292"/>
    </row>
    <row r="52" spans="1:4" x14ac:dyDescent="0.2">
      <c r="A52" s="1293">
        <v>29098</v>
      </c>
      <c r="B52" s="1292"/>
      <c r="C52" s="1294"/>
      <c r="D52" s="1292"/>
    </row>
    <row r="53" spans="1:4" x14ac:dyDescent="0.2">
      <c r="A53" s="1293">
        <v>29128</v>
      </c>
      <c r="B53" s="1292"/>
      <c r="C53" s="1294"/>
      <c r="D53" s="1292"/>
    </row>
    <row r="54" spans="1:4" x14ac:dyDescent="0.2">
      <c r="A54" s="1293">
        <v>29159</v>
      </c>
      <c r="B54" s="1292"/>
      <c r="C54" s="1294"/>
      <c r="D54" s="1292"/>
    </row>
    <row r="55" spans="1:4" x14ac:dyDescent="0.2">
      <c r="A55" s="1293">
        <v>29189</v>
      </c>
      <c r="B55" s="1292"/>
      <c r="C55" s="1294"/>
      <c r="D55" s="1292"/>
    </row>
    <row r="56" spans="1:4" x14ac:dyDescent="0.2">
      <c r="A56" s="1293">
        <v>29220</v>
      </c>
      <c r="B56" s="1292"/>
      <c r="C56" s="1294"/>
      <c r="D56" s="1292"/>
    </row>
    <row r="57" spans="1:4" x14ac:dyDescent="0.2">
      <c r="A57" s="1293">
        <v>29251</v>
      </c>
      <c r="B57" s="1292"/>
      <c r="C57" s="1294"/>
      <c r="D57" s="1292"/>
    </row>
    <row r="58" spans="1:4" x14ac:dyDescent="0.2">
      <c r="A58" s="1293">
        <v>29280</v>
      </c>
      <c r="B58" s="1292"/>
      <c r="C58" s="1294"/>
      <c r="D58" s="1292"/>
    </row>
    <row r="59" spans="1:4" x14ac:dyDescent="0.2">
      <c r="A59" s="1293">
        <v>29311</v>
      </c>
      <c r="B59" s="1292"/>
      <c r="C59" s="1294"/>
      <c r="D59" s="1292"/>
    </row>
    <row r="60" spans="1:4" x14ac:dyDescent="0.2">
      <c r="A60" s="1293">
        <v>29341</v>
      </c>
      <c r="B60" s="1292"/>
      <c r="C60" s="1294"/>
      <c r="D60" s="1292"/>
    </row>
    <row r="61" spans="1:4" x14ac:dyDescent="0.2">
      <c r="A61" s="1293">
        <v>29372</v>
      </c>
      <c r="B61" s="1292"/>
      <c r="C61" s="1294"/>
      <c r="D61" s="1292"/>
    </row>
    <row r="62" spans="1:4" x14ac:dyDescent="0.2">
      <c r="A62" s="1293">
        <v>29402</v>
      </c>
      <c r="B62" s="1292"/>
      <c r="C62" s="1294"/>
      <c r="D62" s="1292"/>
    </row>
    <row r="63" spans="1:4" x14ac:dyDescent="0.2">
      <c r="A63" s="1293">
        <v>29433</v>
      </c>
      <c r="B63" s="1292"/>
      <c r="C63" s="1294"/>
      <c r="D63" s="1292"/>
    </row>
    <row r="64" spans="1:4" x14ac:dyDescent="0.2">
      <c r="A64" s="1293">
        <v>29464</v>
      </c>
      <c r="B64" s="1292"/>
      <c r="C64" s="1294"/>
      <c r="D64" s="1292"/>
    </row>
    <row r="65" spans="1:4" x14ac:dyDescent="0.2">
      <c r="A65" s="1293">
        <v>29494</v>
      </c>
      <c r="B65" s="1292"/>
      <c r="C65" s="1294"/>
      <c r="D65" s="1292"/>
    </row>
    <row r="66" spans="1:4" x14ac:dyDescent="0.2">
      <c r="A66" s="1293">
        <v>29525</v>
      </c>
      <c r="B66" s="1292"/>
      <c r="C66" s="1294"/>
      <c r="D66" s="1292"/>
    </row>
    <row r="67" spans="1:4" x14ac:dyDescent="0.2">
      <c r="A67" s="1293">
        <v>29555</v>
      </c>
      <c r="B67" s="1292"/>
      <c r="C67" s="1294"/>
      <c r="D67" s="1292"/>
    </row>
    <row r="68" spans="1:4" x14ac:dyDescent="0.2">
      <c r="A68" s="1293">
        <v>29586</v>
      </c>
      <c r="B68" s="1292"/>
      <c r="C68" s="1294"/>
      <c r="D68" s="1292"/>
    </row>
    <row r="69" spans="1:4" x14ac:dyDescent="0.2">
      <c r="A69" s="1293">
        <v>29617</v>
      </c>
      <c r="B69" s="1292"/>
      <c r="C69" s="1294"/>
      <c r="D69" s="1292"/>
    </row>
    <row r="70" spans="1:4" x14ac:dyDescent="0.2">
      <c r="A70" s="1293">
        <v>29645</v>
      </c>
      <c r="B70" s="1292"/>
      <c r="C70" s="1294"/>
      <c r="D70" s="1292"/>
    </row>
    <row r="71" spans="1:4" x14ac:dyDescent="0.2">
      <c r="A71" s="1293">
        <v>29676</v>
      </c>
      <c r="B71" s="1292"/>
      <c r="C71" s="1294"/>
      <c r="D71" s="1292"/>
    </row>
    <row r="72" spans="1:4" x14ac:dyDescent="0.2">
      <c r="A72" s="1293">
        <v>29706</v>
      </c>
      <c r="B72" s="1292"/>
      <c r="C72" s="1294"/>
      <c r="D72" s="1292"/>
    </row>
    <row r="73" spans="1:4" x14ac:dyDescent="0.2">
      <c r="A73" s="1293">
        <v>29737</v>
      </c>
      <c r="B73" s="1292"/>
      <c r="C73" s="1294"/>
      <c r="D73" s="1292"/>
    </row>
    <row r="74" spans="1:4" x14ac:dyDescent="0.2">
      <c r="A74" s="1293">
        <v>29767</v>
      </c>
      <c r="B74" s="1292"/>
      <c r="C74" s="1294"/>
      <c r="D74" s="1292"/>
    </row>
    <row r="75" spans="1:4" x14ac:dyDescent="0.2">
      <c r="A75" s="1293">
        <v>29798</v>
      </c>
      <c r="B75" s="1292"/>
      <c r="C75" s="1294"/>
      <c r="D75" s="1292"/>
    </row>
    <row r="76" spans="1:4" x14ac:dyDescent="0.2">
      <c r="A76" s="1293">
        <v>29829</v>
      </c>
      <c r="B76" s="1292"/>
      <c r="C76" s="1294"/>
      <c r="D76" s="1292"/>
    </row>
    <row r="77" spans="1:4" x14ac:dyDescent="0.2">
      <c r="A77" s="1293">
        <v>29859</v>
      </c>
      <c r="B77" s="1292"/>
      <c r="C77" s="1294"/>
      <c r="D77" s="1292"/>
    </row>
    <row r="78" spans="1:4" x14ac:dyDescent="0.2">
      <c r="A78" s="1293">
        <v>29890</v>
      </c>
      <c r="B78" s="1292"/>
      <c r="C78" s="1294"/>
      <c r="D78" s="1292"/>
    </row>
    <row r="79" spans="1:4" x14ac:dyDescent="0.2">
      <c r="A79" s="1293">
        <v>29920</v>
      </c>
      <c r="B79" s="1292"/>
      <c r="C79" s="1294"/>
      <c r="D79" s="1292"/>
    </row>
    <row r="80" spans="1:4" x14ac:dyDescent="0.2">
      <c r="A80" s="1293">
        <v>29951</v>
      </c>
      <c r="B80" s="1292"/>
      <c r="C80" s="1294"/>
      <c r="D80" s="1292"/>
    </row>
    <row r="81" spans="1:4" x14ac:dyDescent="0.2">
      <c r="A81" s="1293">
        <v>29982</v>
      </c>
      <c r="B81" s="1292"/>
      <c r="C81" s="1294"/>
      <c r="D81" s="1292"/>
    </row>
    <row r="82" spans="1:4" x14ac:dyDescent="0.2">
      <c r="A82" s="1293">
        <v>30010</v>
      </c>
      <c r="B82" s="1292"/>
      <c r="C82" s="1294"/>
      <c r="D82" s="1292"/>
    </row>
    <row r="83" spans="1:4" x14ac:dyDescent="0.2">
      <c r="A83" s="1293">
        <v>30041</v>
      </c>
      <c r="B83" s="1292"/>
      <c r="C83" s="1294"/>
      <c r="D83" s="1292"/>
    </row>
    <row r="84" spans="1:4" x14ac:dyDescent="0.2">
      <c r="A84" s="1293">
        <v>30071</v>
      </c>
      <c r="B84" s="1292"/>
      <c r="C84" s="1294"/>
      <c r="D84" s="1292"/>
    </row>
    <row r="85" spans="1:4" x14ac:dyDescent="0.2">
      <c r="A85" s="1293">
        <v>30102</v>
      </c>
      <c r="B85" s="1292"/>
      <c r="C85" s="1294"/>
      <c r="D85" s="1292"/>
    </row>
    <row r="86" spans="1:4" x14ac:dyDescent="0.2">
      <c r="A86" s="1293">
        <v>30132</v>
      </c>
      <c r="B86" s="1292"/>
      <c r="C86" s="1294"/>
      <c r="D86" s="1292"/>
    </row>
    <row r="87" spans="1:4" x14ac:dyDescent="0.2">
      <c r="A87" s="1293">
        <v>30163</v>
      </c>
      <c r="B87" s="1292"/>
      <c r="C87" s="1294"/>
      <c r="D87" s="1292"/>
    </row>
    <row r="88" spans="1:4" x14ac:dyDescent="0.2">
      <c r="A88" s="1293">
        <v>30194</v>
      </c>
      <c r="B88" s="1292"/>
      <c r="C88" s="1294"/>
      <c r="D88" s="1292"/>
    </row>
    <row r="89" spans="1:4" x14ac:dyDescent="0.2">
      <c r="A89" s="1293">
        <v>30224</v>
      </c>
      <c r="B89" s="1292"/>
      <c r="C89" s="1294"/>
      <c r="D89" s="1292"/>
    </row>
    <row r="90" spans="1:4" x14ac:dyDescent="0.2">
      <c r="A90" s="1293">
        <v>30255</v>
      </c>
      <c r="B90" s="1292"/>
      <c r="C90" s="1294"/>
      <c r="D90" s="1292"/>
    </row>
    <row r="91" spans="1:4" x14ac:dyDescent="0.2">
      <c r="A91" s="1293">
        <v>30285</v>
      </c>
      <c r="B91" s="1292"/>
      <c r="C91" s="1294"/>
      <c r="D91" s="1292"/>
    </row>
    <row r="92" spans="1:4" x14ac:dyDescent="0.2">
      <c r="A92" s="1293">
        <v>30316</v>
      </c>
      <c r="B92" s="1292"/>
      <c r="C92" s="1294"/>
      <c r="D92" s="1292"/>
    </row>
    <row r="93" spans="1:4" x14ac:dyDescent="0.2">
      <c r="A93" s="1293">
        <v>30347</v>
      </c>
      <c r="B93" s="1292"/>
      <c r="C93" s="1294"/>
      <c r="D93" s="1292"/>
    </row>
    <row r="94" spans="1:4" x14ac:dyDescent="0.2">
      <c r="A94" s="1293">
        <v>30375</v>
      </c>
      <c r="B94" s="1292"/>
      <c r="C94" s="1294"/>
      <c r="D94" s="1292"/>
    </row>
    <row r="95" spans="1:4" x14ac:dyDescent="0.2">
      <c r="A95" s="1293">
        <v>30406</v>
      </c>
      <c r="B95" s="1292"/>
      <c r="C95" s="1294"/>
      <c r="D95" s="1292"/>
    </row>
    <row r="96" spans="1:4" x14ac:dyDescent="0.2">
      <c r="A96" s="1293">
        <v>30436</v>
      </c>
      <c r="B96" s="1292"/>
      <c r="C96" s="1294"/>
      <c r="D96" s="1292"/>
    </row>
    <row r="97" spans="1:4" x14ac:dyDescent="0.2">
      <c r="A97" s="1293">
        <v>30467</v>
      </c>
      <c r="B97" s="1292"/>
      <c r="C97" s="1294"/>
      <c r="D97" s="1292"/>
    </row>
    <row r="98" spans="1:4" x14ac:dyDescent="0.2">
      <c r="A98" s="1293">
        <v>30497</v>
      </c>
      <c r="B98" s="1292"/>
      <c r="C98" s="1294"/>
      <c r="D98" s="1292"/>
    </row>
    <row r="99" spans="1:4" x14ac:dyDescent="0.2">
      <c r="A99" s="1293">
        <v>30528</v>
      </c>
      <c r="B99" s="1292"/>
      <c r="C99" s="1294"/>
      <c r="D99" s="1292"/>
    </row>
    <row r="100" spans="1:4" x14ac:dyDescent="0.2">
      <c r="A100" s="1293">
        <v>30559</v>
      </c>
      <c r="B100" s="1292"/>
      <c r="C100" s="1294"/>
      <c r="D100" s="1292"/>
    </row>
    <row r="101" spans="1:4" x14ac:dyDescent="0.2">
      <c r="A101" s="1293">
        <v>30589</v>
      </c>
      <c r="B101" s="1292"/>
      <c r="C101" s="1294"/>
      <c r="D101" s="1292"/>
    </row>
    <row r="102" spans="1:4" x14ac:dyDescent="0.2">
      <c r="A102" s="1293">
        <v>30620</v>
      </c>
      <c r="B102" s="1292"/>
      <c r="C102" s="1294"/>
      <c r="D102" s="1292"/>
    </row>
    <row r="103" spans="1:4" x14ac:dyDescent="0.2">
      <c r="A103" s="1293">
        <v>30650</v>
      </c>
      <c r="B103" s="1292"/>
      <c r="C103" s="1294"/>
      <c r="D103" s="1292"/>
    </row>
    <row r="104" spans="1:4" x14ac:dyDescent="0.2">
      <c r="A104" s="1293">
        <v>30681</v>
      </c>
      <c r="B104" s="1292"/>
      <c r="C104" s="1294"/>
      <c r="D104" s="1292"/>
    </row>
    <row r="105" spans="1:4" x14ac:dyDescent="0.2">
      <c r="A105" s="1293">
        <v>30712</v>
      </c>
      <c r="B105" s="1292"/>
      <c r="C105" s="1294"/>
      <c r="D105" s="1292"/>
    </row>
    <row r="106" spans="1:4" x14ac:dyDescent="0.2">
      <c r="A106" s="1293">
        <v>30741</v>
      </c>
      <c r="B106" s="1292"/>
      <c r="C106" s="1294"/>
      <c r="D106" s="1292"/>
    </row>
    <row r="107" spans="1:4" x14ac:dyDescent="0.2">
      <c r="A107" s="1293">
        <v>30772</v>
      </c>
      <c r="B107" s="1292"/>
      <c r="C107" s="1294"/>
      <c r="D107" s="1292"/>
    </row>
    <row r="108" spans="1:4" x14ac:dyDescent="0.2">
      <c r="A108" s="1293">
        <v>30802</v>
      </c>
      <c r="B108" s="1292"/>
      <c r="C108" s="1294"/>
      <c r="D108" s="1292"/>
    </row>
    <row r="109" spans="1:4" x14ac:dyDescent="0.2">
      <c r="A109" s="1293">
        <v>30833</v>
      </c>
      <c r="B109" s="1292"/>
      <c r="C109" s="1294"/>
      <c r="D109" s="1292"/>
    </row>
    <row r="110" spans="1:4" x14ac:dyDescent="0.2">
      <c r="A110" s="1293">
        <v>30863</v>
      </c>
      <c r="B110" s="1292"/>
      <c r="C110" s="1294"/>
      <c r="D110" s="1292"/>
    </row>
    <row r="111" spans="1:4" x14ac:dyDescent="0.2">
      <c r="A111" s="1293">
        <v>30894</v>
      </c>
      <c r="B111" s="1292"/>
      <c r="C111" s="1294"/>
      <c r="D111" s="1292"/>
    </row>
    <row r="112" spans="1:4" x14ac:dyDescent="0.2">
      <c r="A112" s="1293">
        <v>30925</v>
      </c>
      <c r="B112" s="1292"/>
      <c r="C112" s="1294"/>
      <c r="D112" s="1292"/>
    </row>
    <row r="113" spans="1:4" x14ac:dyDescent="0.2">
      <c r="A113" s="1293">
        <v>30955</v>
      </c>
      <c r="B113" s="1292"/>
      <c r="C113" s="1294"/>
      <c r="D113" s="1292"/>
    </row>
    <row r="114" spans="1:4" x14ac:dyDescent="0.2">
      <c r="A114" s="1293">
        <v>30986</v>
      </c>
      <c r="B114" s="1292"/>
      <c r="C114" s="1294"/>
      <c r="D114" s="1292"/>
    </row>
    <row r="115" spans="1:4" x14ac:dyDescent="0.2">
      <c r="A115" s="1293">
        <v>31016</v>
      </c>
      <c r="B115" s="1292"/>
      <c r="C115" s="1294"/>
      <c r="D115" s="1292"/>
    </row>
    <row r="116" spans="1:4" x14ac:dyDescent="0.2">
      <c r="A116" s="1293">
        <v>31047</v>
      </c>
      <c r="B116" s="1292"/>
      <c r="C116" s="1294"/>
      <c r="D116" s="1292"/>
    </row>
    <row r="117" spans="1:4" x14ac:dyDescent="0.2">
      <c r="A117" s="1293">
        <v>31078</v>
      </c>
      <c r="B117" s="1292"/>
      <c r="C117" s="1294"/>
      <c r="D117" s="1292"/>
    </row>
    <row r="118" spans="1:4" x14ac:dyDescent="0.2">
      <c r="A118" s="1293">
        <v>31106</v>
      </c>
      <c r="B118" s="1292"/>
      <c r="C118" s="1294"/>
      <c r="D118" s="1292"/>
    </row>
    <row r="119" spans="1:4" x14ac:dyDescent="0.2">
      <c r="A119" s="1293">
        <v>31137</v>
      </c>
      <c r="B119" s="1292"/>
      <c r="C119" s="1294"/>
      <c r="D119" s="1292"/>
    </row>
    <row r="120" spans="1:4" x14ac:dyDescent="0.2">
      <c r="A120" s="1293">
        <v>31167</v>
      </c>
      <c r="B120" s="1292"/>
      <c r="C120" s="1294"/>
      <c r="D120" s="1292"/>
    </row>
    <row r="121" spans="1:4" x14ac:dyDescent="0.2">
      <c r="A121" s="1293">
        <v>31198</v>
      </c>
      <c r="B121" s="1292"/>
      <c r="C121" s="1294"/>
      <c r="D121" s="1292"/>
    </row>
    <row r="122" spans="1:4" x14ac:dyDescent="0.2">
      <c r="A122" s="1293">
        <v>31228</v>
      </c>
      <c r="B122" s="1292"/>
      <c r="C122" s="1294"/>
      <c r="D122" s="1292"/>
    </row>
    <row r="123" spans="1:4" x14ac:dyDescent="0.2">
      <c r="A123" s="1293">
        <v>31259</v>
      </c>
      <c r="B123" s="1292"/>
      <c r="C123" s="1294"/>
      <c r="D123" s="1292"/>
    </row>
    <row r="124" spans="1:4" x14ac:dyDescent="0.2">
      <c r="A124" s="1293">
        <v>31290</v>
      </c>
      <c r="B124" s="1292"/>
      <c r="C124" s="1294"/>
      <c r="D124" s="1292"/>
    </row>
    <row r="125" spans="1:4" x14ac:dyDescent="0.2">
      <c r="A125" s="1293">
        <v>31320</v>
      </c>
      <c r="B125" s="1292"/>
      <c r="C125" s="1294"/>
      <c r="D125" s="1292"/>
    </row>
    <row r="126" spans="1:4" x14ac:dyDescent="0.2">
      <c r="A126" s="1293">
        <v>31351</v>
      </c>
      <c r="B126" s="1292"/>
      <c r="C126" s="1294"/>
      <c r="D126" s="1292"/>
    </row>
    <row r="127" spans="1:4" x14ac:dyDescent="0.2">
      <c r="A127" s="1293">
        <v>31381</v>
      </c>
      <c r="B127" s="1292"/>
      <c r="C127" s="1294"/>
      <c r="D127" s="1292"/>
    </row>
    <row r="128" spans="1:4" x14ac:dyDescent="0.2">
      <c r="A128" s="1293">
        <v>31412</v>
      </c>
      <c r="B128" s="1292"/>
      <c r="C128" s="1294"/>
      <c r="D128" s="1292"/>
    </row>
    <row r="129" spans="1:4" x14ac:dyDescent="0.2">
      <c r="A129" s="1293">
        <v>31443</v>
      </c>
      <c r="B129" s="1292"/>
      <c r="C129" s="1294"/>
      <c r="D129" s="1292"/>
    </row>
    <row r="130" spans="1:4" x14ac:dyDescent="0.2">
      <c r="A130" s="1293">
        <v>31471</v>
      </c>
      <c r="B130" s="1292"/>
      <c r="C130" s="1294"/>
      <c r="D130" s="1292"/>
    </row>
    <row r="131" spans="1:4" x14ac:dyDescent="0.2">
      <c r="A131" s="1293">
        <v>31502</v>
      </c>
      <c r="B131" s="1292"/>
      <c r="C131" s="1294"/>
      <c r="D131" s="1292"/>
    </row>
    <row r="132" spans="1:4" x14ac:dyDescent="0.2">
      <c r="A132" s="1293">
        <v>31532</v>
      </c>
      <c r="B132" s="1292"/>
      <c r="C132" s="1294"/>
      <c r="D132" s="1292"/>
    </row>
    <row r="133" spans="1:4" x14ac:dyDescent="0.2">
      <c r="A133" s="1293">
        <v>31563</v>
      </c>
      <c r="B133" s="1292"/>
      <c r="C133" s="1294"/>
      <c r="D133" s="1292"/>
    </row>
    <row r="134" spans="1:4" x14ac:dyDescent="0.2">
      <c r="A134" s="1293">
        <v>31593</v>
      </c>
      <c r="B134" s="1292"/>
      <c r="C134" s="1294"/>
      <c r="D134" s="1292"/>
    </row>
    <row r="135" spans="1:4" x14ac:dyDescent="0.2">
      <c r="A135" s="1293">
        <v>31624</v>
      </c>
      <c r="B135" s="1292"/>
      <c r="C135" s="1294"/>
      <c r="D135" s="1292"/>
    </row>
    <row r="136" spans="1:4" x14ac:dyDescent="0.2">
      <c r="A136" s="1293">
        <v>31655</v>
      </c>
      <c r="B136" s="1292"/>
      <c r="C136" s="1294"/>
      <c r="D136" s="1292"/>
    </row>
    <row r="137" spans="1:4" x14ac:dyDescent="0.2">
      <c r="A137" s="1293">
        <v>31685</v>
      </c>
      <c r="B137" s="1292"/>
      <c r="C137" s="1294"/>
      <c r="D137" s="1292"/>
    </row>
    <row r="138" spans="1:4" x14ac:dyDescent="0.2">
      <c r="A138" s="1293">
        <v>31716</v>
      </c>
      <c r="B138" s="1292"/>
      <c r="C138" s="1294"/>
      <c r="D138" s="1292"/>
    </row>
    <row r="139" spans="1:4" x14ac:dyDescent="0.2">
      <c r="A139" s="1293">
        <v>31746</v>
      </c>
      <c r="B139" s="1292"/>
      <c r="C139" s="1294"/>
      <c r="D139" s="1292"/>
    </row>
    <row r="140" spans="1:4" x14ac:dyDescent="0.2">
      <c r="A140" s="1293">
        <v>31777</v>
      </c>
      <c r="B140" s="1292"/>
      <c r="C140" s="1294"/>
      <c r="D140" s="1292"/>
    </row>
    <row r="141" spans="1:4" x14ac:dyDescent="0.2">
      <c r="A141" s="1293">
        <v>31808</v>
      </c>
      <c r="B141" s="1295"/>
      <c r="C141" s="1296"/>
      <c r="D141" s="1295"/>
    </row>
    <row r="142" spans="1:4" x14ac:dyDescent="0.2">
      <c r="A142" s="1293">
        <v>31836</v>
      </c>
      <c r="B142" s="1295"/>
      <c r="C142" s="1296"/>
      <c r="D142" s="1295"/>
    </row>
    <row r="143" spans="1:4" x14ac:dyDescent="0.2">
      <c r="A143" s="1293">
        <v>31867</v>
      </c>
      <c r="B143" s="1295"/>
      <c r="C143" s="1296"/>
      <c r="D143" s="1295"/>
    </row>
    <row r="144" spans="1:4" x14ac:dyDescent="0.2">
      <c r="A144" s="1293">
        <v>31897</v>
      </c>
      <c r="B144" s="1295"/>
      <c r="C144" s="1296"/>
      <c r="D144" s="1295"/>
    </row>
    <row r="145" spans="1:4" x14ac:dyDescent="0.2">
      <c r="A145" s="1293">
        <v>31928</v>
      </c>
      <c r="B145" s="1295"/>
      <c r="C145" s="1296"/>
      <c r="D145" s="1295"/>
    </row>
    <row r="146" spans="1:4" x14ac:dyDescent="0.2">
      <c r="A146" s="1293">
        <v>31958</v>
      </c>
      <c r="B146" s="1295"/>
      <c r="C146" s="1296"/>
      <c r="D146" s="1295"/>
    </row>
    <row r="147" spans="1:4" x14ac:dyDescent="0.2">
      <c r="A147" s="1293">
        <v>31989</v>
      </c>
      <c r="B147" s="1295"/>
      <c r="C147" s="1296"/>
      <c r="D147" s="1295"/>
    </row>
    <row r="148" spans="1:4" x14ac:dyDescent="0.2">
      <c r="A148" s="1293">
        <v>32020</v>
      </c>
      <c r="B148" s="1295"/>
      <c r="C148" s="1296"/>
      <c r="D148" s="1295"/>
    </row>
    <row r="149" spans="1:4" x14ac:dyDescent="0.2">
      <c r="A149" s="1293">
        <v>32050</v>
      </c>
      <c r="B149" s="1295"/>
      <c r="C149" s="1296"/>
      <c r="D149" s="1295"/>
    </row>
    <row r="150" spans="1:4" x14ac:dyDescent="0.2">
      <c r="A150" s="1293">
        <v>32081</v>
      </c>
      <c r="B150" s="1295"/>
      <c r="C150" s="1296"/>
      <c r="D150" s="1295"/>
    </row>
    <row r="151" spans="1:4" x14ac:dyDescent="0.2">
      <c r="A151" s="1293">
        <v>32111</v>
      </c>
      <c r="B151" s="1295"/>
      <c r="C151" s="1296"/>
      <c r="D151" s="1295"/>
    </row>
    <row r="152" spans="1:4" x14ac:dyDescent="0.2">
      <c r="A152" s="1293">
        <v>32142</v>
      </c>
      <c r="B152" s="1295"/>
      <c r="C152" s="1296"/>
      <c r="D152" s="1295"/>
    </row>
    <row r="153" spans="1:4" x14ac:dyDescent="0.2">
      <c r="A153" s="1293">
        <v>32173</v>
      </c>
      <c r="B153" s="1295"/>
      <c r="C153" s="1296"/>
      <c r="D153" s="1295"/>
    </row>
    <row r="154" spans="1:4" x14ac:dyDescent="0.2">
      <c r="A154" s="1293">
        <v>32202</v>
      </c>
      <c r="B154" s="1295"/>
      <c r="C154" s="1296"/>
      <c r="D154" s="1295"/>
    </row>
    <row r="155" spans="1:4" x14ac:dyDescent="0.2">
      <c r="A155" s="1293">
        <v>32233</v>
      </c>
      <c r="B155" s="1295"/>
      <c r="C155" s="1296"/>
      <c r="D155" s="1295"/>
    </row>
    <row r="156" spans="1:4" x14ac:dyDescent="0.2">
      <c r="A156" s="1293">
        <v>32263</v>
      </c>
      <c r="B156" s="1295"/>
      <c r="C156" s="1296"/>
      <c r="D156" s="1295"/>
    </row>
    <row r="157" spans="1:4" x14ac:dyDescent="0.2">
      <c r="A157" s="1293">
        <v>32294</v>
      </c>
      <c r="B157" s="1295"/>
      <c r="C157" s="1296"/>
      <c r="D157" s="1295"/>
    </row>
    <row r="158" spans="1:4" x14ac:dyDescent="0.2">
      <c r="A158" s="1293">
        <v>32324</v>
      </c>
      <c r="B158" s="1295"/>
      <c r="C158" s="1296"/>
      <c r="D158" s="1295"/>
    </row>
    <row r="159" spans="1:4" x14ac:dyDescent="0.2">
      <c r="A159" s="1293">
        <v>32355</v>
      </c>
      <c r="B159" s="1295"/>
      <c r="C159" s="1296"/>
      <c r="D159" s="1295"/>
    </row>
    <row r="160" spans="1:4" x14ac:dyDescent="0.2">
      <c r="A160" s="1293">
        <v>32386</v>
      </c>
      <c r="B160" s="1295"/>
      <c r="C160" s="1296"/>
      <c r="D160" s="1295"/>
    </row>
    <row r="161" spans="1:4" x14ac:dyDescent="0.2">
      <c r="A161" s="1293">
        <v>32416</v>
      </c>
      <c r="B161" s="1295"/>
      <c r="C161" s="1296"/>
      <c r="D161" s="1295"/>
    </row>
    <row r="162" spans="1:4" x14ac:dyDescent="0.2">
      <c r="A162" s="1293">
        <v>32447</v>
      </c>
      <c r="B162" s="1295"/>
      <c r="C162" s="1296"/>
      <c r="D162" s="1295"/>
    </row>
    <row r="163" spans="1:4" x14ac:dyDescent="0.2">
      <c r="A163" s="1293">
        <v>32477</v>
      </c>
      <c r="B163" s="1295"/>
      <c r="C163" s="1296"/>
      <c r="D163" s="1295"/>
    </row>
    <row r="164" spans="1:4" x14ac:dyDescent="0.2">
      <c r="A164" s="1293">
        <v>32508</v>
      </c>
      <c r="B164" s="1295"/>
      <c r="C164" s="1296"/>
      <c r="D164" s="1295"/>
    </row>
    <row r="165" spans="1:4" x14ac:dyDescent="0.2">
      <c r="A165" s="1293">
        <v>32539</v>
      </c>
      <c r="B165" s="1295"/>
      <c r="C165" s="1296"/>
      <c r="D165" s="1295"/>
    </row>
    <row r="166" spans="1:4" x14ac:dyDescent="0.2">
      <c r="A166" s="1293">
        <v>32567</v>
      </c>
      <c r="B166" s="1295"/>
      <c r="C166" s="1296"/>
      <c r="D166" s="1295"/>
    </row>
    <row r="167" spans="1:4" x14ac:dyDescent="0.2">
      <c r="A167" s="1293">
        <v>32598</v>
      </c>
      <c r="B167" s="1295"/>
      <c r="C167" s="1296"/>
      <c r="D167" s="1295"/>
    </row>
    <row r="168" spans="1:4" x14ac:dyDescent="0.2">
      <c r="A168" s="1293">
        <v>32628</v>
      </c>
      <c r="B168" s="1295"/>
      <c r="C168" s="1296"/>
      <c r="D168" s="1295"/>
    </row>
    <row r="169" spans="1:4" x14ac:dyDescent="0.2">
      <c r="A169" s="1293">
        <v>32659</v>
      </c>
      <c r="B169" s="1295"/>
      <c r="C169" s="1296"/>
      <c r="D169" s="1295"/>
    </row>
    <row r="170" spans="1:4" x14ac:dyDescent="0.2">
      <c r="A170" s="1293">
        <v>32689</v>
      </c>
      <c r="B170" s="1295"/>
      <c r="C170" s="1296"/>
      <c r="D170" s="1295"/>
    </row>
    <row r="171" spans="1:4" x14ac:dyDescent="0.2">
      <c r="A171" s="1293">
        <v>32720</v>
      </c>
      <c r="B171" s="1295"/>
      <c r="C171" s="1296"/>
      <c r="D171" s="1295"/>
    </row>
    <row r="172" spans="1:4" x14ac:dyDescent="0.2">
      <c r="A172" s="1293">
        <v>32751</v>
      </c>
      <c r="B172" s="1295"/>
      <c r="C172" s="1296"/>
      <c r="D172" s="1295"/>
    </row>
    <row r="173" spans="1:4" x14ac:dyDescent="0.2">
      <c r="A173" s="1293">
        <v>32781</v>
      </c>
      <c r="B173" s="1295"/>
      <c r="C173" s="1296"/>
      <c r="D173" s="1295"/>
    </row>
    <row r="174" spans="1:4" x14ac:dyDescent="0.2">
      <c r="A174" s="1293">
        <v>32812</v>
      </c>
      <c r="B174" s="1295"/>
      <c r="C174" s="1296"/>
      <c r="D174" s="1295"/>
    </row>
    <row r="175" spans="1:4" x14ac:dyDescent="0.2">
      <c r="A175" s="1293">
        <v>32842</v>
      </c>
      <c r="B175" s="1295"/>
      <c r="C175" s="1296"/>
      <c r="D175" s="1295"/>
    </row>
    <row r="176" spans="1:4" x14ac:dyDescent="0.2">
      <c r="A176" s="1293">
        <v>32873</v>
      </c>
      <c r="B176" s="1295"/>
      <c r="C176" s="1296"/>
      <c r="D176" s="1295"/>
    </row>
    <row r="177" spans="1:4" x14ac:dyDescent="0.2">
      <c r="A177" s="1293">
        <v>32904</v>
      </c>
      <c r="B177" s="1295"/>
      <c r="C177" s="1296"/>
      <c r="D177" s="1295"/>
    </row>
    <row r="178" spans="1:4" x14ac:dyDescent="0.2">
      <c r="A178" s="1293">
        <v>32932</v>
      </c>
      <c r="B178" s="1295"/>
      <c r="C178" s="1296"/>
      <c r="D178" s="1295"/>
    </row>
    <row r="179" spans="1:4" x14ac:dyDescent="0.2">
      <c r="A179" s="1293">
        <v>32963</v>
      </c>
      <c r="B179" s="1295"/>
      <c r="C179" s="1296"/>
      <c r="D179" s="1295"/>
    </row>
    <row r="180" spans="1:4" x14ac:dyDescent="0.2">
      <c r="A180" s="1293">
        <v>32993</v>
      </c>
      <c r="B180" s="1295"/>
      <c r="C180" s="1296"/>
      <c r="D180" s="1295"/>
    </row>
    <row r="181" spans="1:4" x14ac:dyDescent="0.2">
      <c r="A181" s="1293">
        <v>33024</v>
      </c>
      <c r="B181" s="1295"/>
      <c r="C181" s="1296"/>
      <c r="D181" s="1295"/>
    </row>
    <row r="182" spans="1:4" x14ac:dyDescent="0.2">
      <c r="A182" s="1293">
        <v>33054</v>
      </c>
      <c r="B182" s="1295"/>
      <c r="C182" s="1296"/>
      <c r="D182" s="1295"/>
    </row>
    <row r="183" spans="1:4" x14ac:dyDescent="0.2">
      <c r="A183" s="1293">
        <v>33085</v>
      </c>
      <c r="B183" s="1295"/>
      <c r="C183" s="1296"/>
      <c r="D183" s="1295"/>
    </row>
    <row r="184" spans="1:4" x14ac:dyDescent="0.2">
      <c r="A184" s="1293">
        <v>33116</v>
      </c>
      <c r="B184" s="1295"/>
      <c r="C184" s="1296"/>
      <c r="D184" s="1295"/>
    </row>
    <row r="185" spans="1:4" x14ac:dyDescent="0.2">
      <c r="A185" s="1293">
        <v>33146</v>
      </c>
      <c r="B185" s="1295"/>
      <c r="C185" s="1296"/>
      <c r="D185" s="1295"/>
    </row>
    <row r="186" spans="1:4" x14ac:dyDescent="0.2">
      <c r="A186" s="1293">
        <v>33177</v>
      </c>
      <c r="B186" s="1295"/>
      <c r="C186" s="1296"/>
      <c r="D186" s="1295"/>
    </row>
    <row r="187" spans="1:4" x14ac:dyDescent="0.2">
      <c r="A187" s="1293">
        <v>33207</v>
      </c>
      <c r="B187" s="1295"/>
      <c r="C187" s="1296"/>
      <c r="D187" s="1295"/>
    </row>
    <row r="188" spans="1:4" x14ac:dyDescent="0.2">
      <c r="A188" s="1293">
        <v>33238</v>
      </c>
      <c r="B188" s="1295"/>
      <c r="C188" s="1296"/>
      <c r="D188" s="1295"/>
    </row>
    <row r="189" spans="1:4" x14ac:dyDescent="0.2">
      <c r="A189" s="1293">
        <v>33269</v>
      </c>
      <c r="B189" s="1295"/>
      <c r="C189" s="1296"/>
      <c r="D189" s="1295"/>
    </row>
    <row r="190" spans="1:4" x14ac:dyDescent="0.2">
      <c r="A190" s="1293">
        <v>33297</v>
      </c>
      <c r="B190" s="1295"/>
      <c r="C190" s="1296"/>
      <c r="D190" s="1295"/>
    </row>
    <row r="191" spans="1:4" x14ac:dyDescent="0.2">
      <c r="A191" s="1293">
        <v>33328</v>
      </c>
      <c r="B191" s="1295"/>
      <c r="C191" s="1296"/>
      <c r="D191" s="1295"/>
    </row>
    <row r="192" spans="1:4" x14ac:dyDescent="0.2">
      <c r="A192" s="1293">
        <v>33358</v>
      </c>
      <c r="B192" s="1295"/>
      <c r="C192" s="1296"/>
      <c r="D192" s="1295"/>
    </row>
    <row r="193" spans="1:4" x14ac:dyDescent="0.2">
      <c r="A193" s="1293">
        <v>33389</v>
      </c>
      <c r="B193" s="1295"/>
      <c r="C193" s="1296"/>
      <c r="D193" s="1295"/>
    </row>
    <row r="194" spans="1:4" x14ac:dyDescent="0.2">
      <c r="A194" s="1293">
        <v>33419</v>
      </c>
      <c r="B194" s="1295"/>
      <c r="C194" s="1296"/>
      <c r="D194" s="1295"/>
    </row>
    <row r="195" spans="1:4" x14ac:dyDescent="0.2">
      <c r="A195" s="1293">
        <v>33450</v>
      </c>
      <c r="B195" s="1295"/>
      <c r="C195" s="1296"/>
      <c r="D195" s="1295"/>
    </row>
    <row r="196" spans="1:4" x14ac:dyDescent="0.2">
      <c r="A196" s="1293">
        <v>33481</v>
      </c>
      <c r="B196" s="1295"/>
      <c r="C196" s="1296"/>
      <c r="D196" s="1295"/>
    </row>
    <row r="197" spans="1:4" x14ac:dyDescent="0.2">
      <c r="A197" s="1293">
        <v>33511</v>
      </c>
      <c r="B197" s="1295"/>
      <c r="C197" s="1296"/>
      <c r="D197" s="1295"/>
    </row>
    <row r="198" spans="1:4" x14ac:dyDescent="0.2">
      <c r="A198" s="1293">
        <v>33542</v>
      </c>
      <c r="B198" s="1295"/>
      <c r="C198" s="1296"/>
      <c r="D198" s="1295"/>
    </row>
    <row r="199" spans="1:4" x14ac:dyDescent="0.2">
      <c r="A199" s="1293">
        <v>33572</v>
      </c>
      <c r="B199" s="1295"/>
      <c r="C199" s="1296"/>
      <c r="D199" s="1295"/>
    </row>
    <row r="200" spans="1:4" x14ac:dyDescent="0.2">
      <c r="A200" s="1293">
        <v>33603</v>
      </c>
      <c r="B200" s="1295"/>
      <c r="C200" s="1296"/>
      <c r="D200" s="1295"/>
    </row>
    <row r="201" spans="1:4" x14ac:dyDescent="0.2">
      <c r="A201" s="1293">
        <v>33634</v>
      </c>
      <c r="B201" s="1295"/>
      <c r="C201" s="1296"/>
      <c r="D201" s="1295"/>
    </row>
    <row r="202" spans="1:4" x14ac:dyDescent="0.2">
      <c r="A202" s="1293">
        <v>33663</v>
      </c>
      <c r="B202" s="1295"/>
      <c r="C202" s="1296"/>
      <c r="D202" s="1295"/>
    </row>
    <row r="203" spans="1:4" x14ac:dyDescent="0.2">
      <c r="A203" s="1293">
        <v>33694</v>
      </c>
      <c r="B203" s="1295"/>
      <c r="C203" s="1296"/>
      <c r="D203" s="1295"/>
    </row>
    <row r="204" spans="1:4" x14ac:dyDescent="0.2">
      <c r="A204" s="1293">
        <v>33724</v>
      </c>
      <c r="B204" s="1295"/>
      <c r="C204" s="1296"/>
      <c r="D204" s="1295"/>
    </row>
    <row r="205" spans="1:4" x14ac:dyDescent="0.2">
      <c r="A205" s="1293">
        <v>33755</v>
      </c>
      <c r="B205" s="1295"/>
      <c r="C205" s="1296"/>
      <c r="D205" s="1295"/>
    </row>
    <row r="206" spans="1:4" x14ac:dyDescent="0.2">
      <c r="A206" s="1293">
        <v>33785</v>
      </c>
      <c r="B206" s="1295"/>
      <c r="C206" s="1296"/>
      <c r="D206" s="1295"/>
    </row>
    <row r="207" spans="1:4" x14ac:dyDescent="0.2">
      <c r="A207" s="1293">
        <v>33816</v>
      </c>
      <c r="B207" s="1295"/>
      <c r="C207" s="1296"/>
      <c r="D207" s="1295"/>
    </row>
    <row r="208" spans="1:4" x14ac:dyDescent="0.2">
      <c r="A208" s="1293">
        <v>33847</v>
      </c>
      <c r="B208" s="1295"/>
      <c r="C208" s="1296"/>
      <c r="D208" s="1295"/>
    </row>
    <row r="209" spans="1:4" x14ac:dyDescent="0.2">
      <c r="A209" s="1293">
        <v>33877</v>
      </c>
      <c r="B209" s="1295"/>
      <c r="C209" s="1296"/>
      <c r="D209" s="1295"/>
    </row>
    <row r="210" spans="1:4" x14ac:dyDescent="0.2">
      <c r="A210" s="1293">
        <v>33908</v>
      </c>
      <c r="B210" s="1295"/>
      <c r="C210" s="1296"/>
      <c r="D210" s="1295"/>
    </row>
    <row r="211" spans="1:4" x14ac:dyDescent="0.2">
      <c r="A211" s="1293">
        <v>33938</v>
      </c>
      <c r="B211" s="1295"/>
      <c r="C211" s="1296"/>
      <c r="D211" s="1295"/>
    </row>
    <row r="212" spans="1:4" x14ac:dyDescent="0.2">
      <c r="A212" s="1293">
        <v>33969</v>
      </c>
      <c r="B212" s="1295"/>
      <c r="C212" s="1296"/>
      <c r="D212" s="1295"/>
    </row>
    <row r="213" spans="1:4" x14ac:dyDescent="0.2">
      <c r="A213" s="1293">
        <v>34000</v>
      </c>
      <c r="B213" s="1295"/>
      <c r="C213" s="1296"/>
      <c r="D213" s="1295"/>
    </row>
    <row r="214" spans="1:4" x14ac:dyDescent="0.2">
      <c r="A214" s="1293">
        <v>34028</v>
      </c>
      <c r="B214" s="1295"/>
      <c r="C214" s="1296"/>
      <c r="D214" s="1295"/>
    </row>
    <row r="215" spans="1:4" x14ac:dyDescent="0.2">
      <c r="A215" s="1293">
        <v>34059</v>
      </c>
      <c r="B215" s="1295"/>
      <c r="C215" s="1296"/>
      <c r="D215" s="1295"/>
    </row>
    <row r="216" spans="1:4" x14ac:dyDescent="0.2">
      <c r="A216" s="1293">
        <v>34089</v>
      </c>
      <c r="B216" s="1295"/>
      <c r="C216" s="1296"/>
      <c r="D216" s="1295"/>
    </row>
    <row r="217" spans="1:4" x14ac:dyDescent="0.2">
      <c r="A217" s="1293">
        <v>34120</v>
      </c>
      <c r="B217" s="1295"/>
      <c r="C217" s="1296"/>
      <c r="D217" s="1295"/>
    </row>
    <row r="218" spans="1:4" x14ac:dyDescent="0.2">
      <c r="A218" s="1293">
        <v>34150</v>
      </c>
      <c r="B218" s="1295"/>
      <c r="C218" s="1296"/>
      <c r="D218" s="1295"/>
    </row>
    <row r="219" spans="1:4" x14ac:dyDescent="0.2">
      <c r="A219" s="1293">
        <v>34181</v>
      </c>
      <c r="B219" s="1295"/>
      <c r="C219" s="1296"/>
      <c r="D219" s="1295"/>
    </row>
    <row r="220" spans="1:4" x14ac:dyDescent="0.2">
      <c r="A220" s="1293">
        <v>34212</v>
      </c>
      <c r="B220" s="1295"/>
      <c r="C220" s="1296"/>
      <c r="D220" s="1295"/>
    </row>
    <row r="221" spans="1:4" x14ac:dyDescent="0.2">
      <c r="A221" s="1293">
        <v>34242</v>
      </c>
      <c r="B221" s="1295"/>
      <c r="C221" s="1296"/>
      <c r="D221" s="1295"/>
    </row>
    <row r="222" spans="1:4" x14ac:dyDescent="0.2">
      <c r="A222" s="1293">
        <v>34273</v>
      </c>
      <c r="B222" s="1295"/>
      <c r="C222" s="1296"/>
      <c r="D222" s="1295"/>
    </row>
    <row r="223" spans="1:4" x14ac:dyDescent="0.2">
      <c r="A223" s="1293">
        <v>34303</v>
      </c>
      <c r="B223" s="1295"/>
      <c r="C223" s="1296"/>
      <c r="D223" s="1295"/>
    </row>
    <row r="224" spans="1:4" x14ac:dyDescent="0.2">
      <c r="A224" s="1293">
        <v>34334</v>
      </c>
      <c r="B224" s="1295"/>
      <c r="C224" s="1296"/>
      <c r="D224" s="1295"/>
    </row>
    <row r="225" spans="1:4" x14ac:dyDescent="0.2">
      <c r="A225" s="1293">
        <v>34365</v>
      </c>
      <c r="B225" s="1295"/>
      <c r="C225" s="1296"/>
      <c r="D225" s="1295"/>
    </row>
    <row r="226" spans="1:4" x14ac:dyDescent="0.2">
      <c r="A226" s="1293">
        <v>34393</v>
      </c>
      <c r="B226" s="1295"/>
      <c r="C226" s="1296"/>
      <c r="D226" s="1295"/>
    </row>
    <row r="227" spans="1:4" x14ac:dyDescent="0.2">
      <c r="A227" s="1293">
        <v>34424</v>
      </c>
      <c r="B227" s="1295"/>
      <c r="C227" s="1296"/>
      <c r="D227" s="1295"/>
    </row>
    <row r="228" spans="1:4" x14ac:dyDescent="0.2">
      <c r="A228" s="1293">
        <v>34454</v>
      </c>
      <c r="B228" s="1295"/>
      <c r="C228" s="1296"/>
      <c r="D228" s="1295"/>
    </row>
    <row r="229" spans="1:4" x14ac:dyDescent="0.2">
      <c r="A229" s="1293">
        <v>34485</v>
      </c>
      <c r="B229" s="1295"/>
      <c r="C229" s="1296"/>
      <c r="D229" s="1295"/>
    </row>
    <row r="230" spans="1:4" x14ac:dyDescent="0.2">
      <c r="A230" s="1293">
        <v>34515</v>
      </c>
      <c r="B230" s="1295"/>
      <c r="C230" s="1296"/>
      <c r="D230" s="1295"/>
    </row>
    <row r="231" spans="1:4" x14ac:dyDescent="0.2">
      <c r="A231" s="1293">
        <v>34546</v>
      </c>
      <c r="B231" s="1295"/>
      <c r="C231" s="1296"/>
      <c r="D231" s="1295"/>
    </row>
    <row r="232" spans="1:4" x14ac:dyDescent="0.2">
      <c r="A232" s="1293">
        <v>34577</v>
      </c>
      <c r="B232" s="1295"/>
      <c r="C232" s="1296"/>
      <c r="D232" s="1295"/>
    </row>
    <row r="233" spans="1:4" x14ac:dyDescent="0.2">
      <c r="A233" s="1293">
        <v>34607</v>
      </c>
      <c r="B233" s="1295"/>
      <c r="C233" s="1296"/>
      <c r="D233" s="1295"/>
    </row>
    <row r="234" spans="1:4" x14ac:dyDescent="0.2">
      <c r="A234" s="1293">
        <v>34638</v>
      </c>
      <c r="B234" s="1295"/>
      <c r="C234" s="1296"/>
      <c r="D234" s="1295"/>
    </row>
    <row r="235" spans="1:4" x14ac:dyDescent="0.2">
      <c r="A235" s="1293">
        <v>34668</v>
      </c>
      <c r="B235" s="1295"/>
      <c r="C235" s="1296"/>
      <c r="D235" s="1295"/>
    </row>
    <row r="236" spans="1:4" x14ac:dyDescent="0.2">
      <c r="A236" s="1293">
        <v>34699</v>
      </c>
      <c r="B236" s="1295"/>
      <c r="C236" s="1296"/>
      <c r="D236" s="1295"/>
    </row>
    <row r="237" spans="1:4" x14ac:dyDescent="0.2">
      <c r="A237" s="1293">
        <v>34730</v>
      </c>
      <c r="B237" s="1295"/>
      <c r="C237" s="1296"/>
      <c r="D237" s="1295"/>
    </row>
    <row r="238" spans="1:4" x14ac:dyDescent="0.2">
      <c r="A238" s="1293">
        <v>34758</v>
      </c>
      <c r="B238" s="1295"/>
      <c r="C238" s="1296"/>
      <c r="D238" s="1295"/>
    </row>
    <row r="239" spans="1:4" x14ac:dyDescent="0.2">
      <c r="A239" s="1293">
        <v>34789</v>
      </c>
      <c r="B239" s="1295"/>
      <c r="C239" s="1296"/>
      <c r="D239" s="1295"/>
    </row>
    <row r="240" spans="1:4" x14ac:dyDescent="0.2">
      <c r="A240" s="1293">
        <v>34819</v>
      </c>
      <c r="B240" s="1295"/>
      <c r="C240" s="1296"/>
      <c r="D240" s="1295"/>
    </row>
    <row r="241" spans="1:4" x14ac:dyDescent="0.2">
      <c r="A241" s="1293">
        <v>34850</v>
      </c>
      <c r="B241" s="1295"/>
      <c r="C241" s="1296"/>
      <c r="D241" s="1295"/>
    </row>
    <row r="242" spans="1:4" x14ac:dyDescent="0.2">
      <c r="A242" s="1293">
        <v>34880</v>
      </c>
      <c r="B242" s="1295"/>
      <c r="C242" s="1296"/>
      <c r="D242" s="1295"/>
    </row>
    <row r="243" spans="1:4" x14ac:dyDescent="0.2">
      <c r="A243" s="1293">
        <v>34911</v>
      </c>
      <c r="B243" s="1295"/>
      <c r="C243" s="1296"/>
      <c r="D243" s="1295"/>
    </row>
    <row r="244" spans="1:4" x14ac:dyDescent="0.2">
      <c r="A244" s="1293">
        <v>34942</v>
      </c>
      <c r="B244" s="1295"/>
      <c r="C244" s="1296"/>
      <c r="D244" s="1295"/>
    </row>
    <row r="245" spans="1:4" x14ac:dyDescent="0.2">
      <c r="A245" s="1293">
        <v>34972</v>
      </c>
      <c r="B245" s="1295"/>
      <c r="C245" s="1296"/>
      <c r="D245" s="1295"/>
    </row>
    <row r="246" spans="1:4" x14ac:dyDescent="0.2">
      <c r="A246" s="1293">
        <v>35003</v>
      </c>
      <c r="B246" s="1295"/>
      <c r="C246" s="1296"/>
      <c r="D246" s="1295"/>
    </row>
    <row r="247" spans="1:4" x14ac:dyDescent="0.2">
      <c r="A247" s="1293">
        <v>35033</v>
      </c>
      <c r="B247" s="1295"/>
      <c r="C247" s="1296"/>
      <c r="D247" s="1295"/>
    </row>
    <row r="248" spans="1:4" x14ac:dyDescent="0.2">
      <c r="A248" s="1293">
        <v>35064</v>
      </c>
      <c r="B248" s="1295"/>
      <c r="C248" s="1296"/>
      <c r="D248" s="1295"/>
    </row>
    <row r="249" spans="1:4" x14ac:dyDescent="0.2">
      <c r="A249" s="1293">
        <v>35095</v>
      </c>
      <c r="B249" s="1295"/>
      <c r="C249" s="1296"/>
      <c r="D249" s="1295"/>
    </row>
    <row r="250" spans="1:4" x14ac:dyDescent="0.2">
      <c r="A250" s="1293">
        <v>35124</v>
      </c>
      <c r="B250" s="1295"/>
      <c r="C250" s="1296"/>
      <c r="D250" s="1295"/>
    </row>
    <row r="251" spans="1:4" x14ac:dyDescent="0.2">
      <c r="A251" s="1293">
        <v>35155</v>
      </c>
      <c r="B251" s="1295"/>
      <c r="C251" s="1296"/>
      <c r="D251" s="1295"/>
    </row>
    <row r="252" spans="1:4" x14ac:dyDescent="0.2">
      <c r="A252" s="1293">
        <v>35185</v>
      </c>
      <c r="B252" s="1295"/>
      <c r="C252" s="1296"/>
      <c r="D252" s="1295"/>
    </row>
    <row r="253" spans="1:4" x14ac:dyDescent="0.2">
      <c r="A253" s="1293">
        <v>35216</v>
      </c>
      <c r="B253" s="1295"/>
      <c r="C253" s="1296"/>
      <c r="D253" s="1295"/>
    </row>
    <row r="254" spans="1:4" x14ac:dyDescent="0.2">
      <c r="A254" s="1293">
        <v>35246</v>
      </c>
      <c r="B254" s="1295"/>
      <c r="C254" s="1296"/>
      <c r="D254" s="1295"/>
    </row>
    <row r="255" spans="1:4" x14ac:dyDescent="0.2">
      <c r="A255" s="1293">
        <v>35277</v>
      </c>
      <c r="B255" s="1295"/>
      <c r="C255" s="1296"/>
      <c r="D255" s="1295"/>
    </row>
    <row r="256" spans="1:4" x14ac:dyDescent="0.2">
      <c r="A256" s="1293">
        <v>35308</v>
      </c>
      <c r="B256" s="1295"/>
      <c r="C256" s="1296"/>
      <c r="D256" s="1295"/>
    </row>
    <row r="257" spans="1:4" x14ac:dyDescent="0.2">
      <c r="A257" s="1293">
        <v>35338</v>
      </c>
      <c r="B257" s="1295"/>
      <c r="C257" s="1296"/>
      <c r="D257" s="1295"/>
    </row>
    <row r="258" spans="1:4" x14ac:dyDescent="0.2">
      <c r="A258" s="1293">
        <v>35369</v>
      </c>
      <c r="B258" s="1295"/>
      <c r="C258" s="1296"/>
      <c r="D258" s="1295"/>
    </row>
    <row r="259" spans="1:4" x14ac:dyDescent="0.2">
      <c r="A259" s="1293">
        <v>35399</v>
      </c>
      <c r="B259" s="1295"/>
      <c r="C259" s="1296"/>
      <c r="D259" s="1295"/>
    </row>
    <row r="260" spans="1:4" x14ac:dyDescent="0.2">
      <c r="A260" s="1293">
        <v>35430</v>
      </c>
      <c r="B260" s="1295"/>
      <c r="C260" s="1296"/>
      <c r="D260" s="1295"/>
    </row>
    <row r="261" spans="1:4" x14ac:dyDescent="0.2">
      <c r="A261" s="1293">
        <v>35461</v>
      </c>
      <c r="B261" s="1295"/>
      <c r="C261" s="1296"/>
      <c r="D261" s="1295"/>
    </row>
    <row r="262" spans="1:4" x14ac:dyDescent="0.2">
      <c r="A262" s="1293">
        <v>35489</v>
      </c>
      <c r="B262" s="1295"/>
      <c r="C262" s="1296"/>
      <c r="D262" s="1295"/>
    </row>
    <row r="263" spans="1:4" x14ac:dyDescent="0.2">
      <c r="A263" s="1293">
        <v>35520</v>
      </c>
      <c r="B263" s="1295"/>
      <c r="C263" s="1296"/>
      <c r="D263" s="1295"/>
    </row>
    <row r="264" spans="1:4" x14ac:dyDescent="0.2">
      <c r="A264" s="1293">
        <v>35550</v>
      </c>
      <c r="B264" s="1295"/>
      <c r="C264" s="1296"/>
      <c r="D264" s="1295"/>
    </row>
    <row r="265" spans="1:4" x14ac:dyDescent="0.2">
      <c r="A265" s="1293">
        <v>35581</v>
      </c>
      <c r="B265" s="1295"/>
      <c r="C265" s="1296"/>
      <c r="D265" s="1295"/>
    </row>
    <row r="266" spans="1:4" x14ac:dyDescent="0.2">
      <c r="A266" s="1293">
        <v>35611</v>
      </c>
      <c r="B266" s="1295"/>
      <c r="C266" s="1296"/>
      <c r="D266" s="1295"/>
    </row>
    <row r="267" spans="1:4" x14ac:dyDescent="0.2">
      <c r="A267" s="1293">
        <v>35642</v>
      </c>
      <c r="B267" s="1295"/>
      <c r="C267" s="1296"/>
      <c r="D267" s="1295"/>
    </row>
    <row r="268" spans="1:4" x14ac:dyDescent="0.2">
      <c r="A268" s="1293">
        <v>35673</v>
      </c>
      <c r="B268" s="1295"/>
      <c r="C268" s="1296"/>
      <c r="D268" s="1295"/>
    </row>
    <row r="269" spans="1:4" x14ac:dyDescent="0.2">
      <c r="A269" s="1293">
        <v>35703</v>
      </c>
      <c r="B269" s="1295"/>
      <c r="C269" s="1296"/>
      <c r="D269" s="1295"/>
    </row>
    <row r="270" spans="1:4" x14ac:dyDescent="0.2">
      <c r="A270" s="1293">
        <v>35734</v>
      </c>
      <c r="B270" s="1295"/>
      <c r="C270" s="1296"/>
      <c r="D270" s="1295"/>
    </row>
    <row r="271" spans="1:4" x14ac:dyDescent="0.2">
      <c r="A271" s="1293">
        <v>35764</v>
      </c>
      <c r="B271" s="1295"/>
      <c r="C271" s="1296"/>
      <c r="D271" s="1295"/>
    </row>
    <row r="272" spans="1:4" x14ac:dyDescent="0.2">
      <c r="A272" s="1293">
        <v>35795</v>
      </c>
      <c r="B272" s="1295"/>
      <c r="C272" s="1296"/>
      <c r="D272" s="1295"/>
    </row>
    <row r="273" spans="1:4" x14ac:dyDescent="0.2">
      <c r="A273" s="1293">
        <v>35826</v>
      </c>
      <c r="B273" s="1295"/>
      <c r="C273" s="1296"/>
      <c r="D273" s="1295"/>
    </row>
    <row r="274" spans="1:4" x14ac:dyDescent="0.2">
      <c r="A274" s="1293">
        <v>35854</v>
      </c>
      <c r="B274" s="1295"/>
      <c r="C274" s="1297"/>
      <c r="D274" s="1295"/>
    </row>
    <row r="275" spans="1:4" x14ac:dyDescent="0.2">
      <c r="A275" s="1293">
        <v>35885</v>
      </c>
      <c r="B275" s="1295"/>
      <c r="C275" s="1297"/>
      <c r="D275" s="1295"/>
    </row>
    <row r="276" spans="1:4" x14ac:dyDescent="0.2">
      <c r="A276" s="1293">
        <v>35915</v>
      </c>
      <c r="B276" s="1295"/>
      <c r="C276" s="1297"/>
      <c r="D276" s="1295"/>
    </row>
    <row r="277" spans="1:4" x14ac:dyDescent="0.2">
      <c r="A277" s="1293">
        <v>35946</v>
      </c>
      <c r="B277" s="1295"/>
      <c r="C277" s="1297"/>
      <c r="D277" s="1295"/>
    </row>
    <row r="278" spans="1:4" x14ac:dyDescent="0.2">
      <c r="A278" s="1293">
        <v>35976</v>
      </c>
      <c r="B278" s="1295"/>
      <c r="C278" s="1297"/>
      <c r="D278" s="1295"/>
    </row>
    <row r="279" spans="1:4" x14ac:dyDescent="0.2">
      <c r="A279" s="1293">
        <v>36007</v>
      </c>
      <c r="B279" s="1295"/>
      <c r="C279" s="1297"/>
      <c r="D279" s="1295"/>
    </row>
    <row r="280" spans="1:4" x14ac:dyDescent="0.2">
      <c r="A280" s="1293">
        <v>36038</v>
      </c>
      <c r="B280" s="1295"/>
      <c r="C280" s="1297"/>
      <c r="D280" s="1295"/>
    </row>
    <row r="281" spans="1:4" x14ac:dyDescent="0.2">
      <c r="A281" s="1293">
        <v>36068</v>
      </c>
      <c r="B281" s="1295"/>
      <c r="C281" s="1297"/>
      <c r="D281" s="1295"/>
    </row>
    <row r="282" spans="1:4" x14ac:dyDescent="0.2">
      <c r="A282" s="1293">
        <v>36099</v>
      </c>
      <c r="B282" s="1295"/>
      <c r="C282" s="1297"/>
      <c r="D282" s="1295"/>
    </row>
    <row r="283" spans="1:4" x14ac:dyDescent="0.2">
      <c r="A283" s="1293">
        <v>36129</v>
      </c>
      <c r="B283" s="1295"/>
      <c r="C283" s="1297"/>
      <c r="D283" s="1295"/>
    </row>
    <row r="284" spans="1:4" x14ac:dyDescent="0.2">
      <c r="A284" s="1293">
        <v>36160</v>
      </c>
      <c r="B284" s="1295"/>
      <c r="C284" s="1297"/>
      <c r="D284" s="1295"/>
    </row>
    <row r="285" spans="1:4" x14ac:dyDescent="0.2">
      <c r="A285" s="1293">
        <v>36191</v>
      </c>
      <c r="B285" s="1295"/>
      <c r="C285" s="1297"/>
      <c r="D285" s="1295"/>
    </row>
    <row r="286" spans="1:4" x14ac:dyDescent="0.2">
      <c r="A286" s="1293">
        <v>36219</v>
      </c>
      <c r="B286" s="1295"/>
      <c r="C286" s="1297"/>
      <c r="D286" s="1295"/>
    </row>
    <row r="287" spans="1:4" x14ac:dyDescent="0.2">
      <c r="A287" s="1293">
        <v>36250</v>
      </c>
      <c r="B287" s="1295"/>
      <c r="C287" s="1297"/>
      <c r="D287" s="1295"/>
    </row>
    <row r="288" spans="1:4" x14ac:dyDescent="0.2">
      <c r="A288" s="1293">
        <v>36280</v>
      </c>
      <c r="B288" s="1295"/>
      <c r="C288" s="1297"/>
      <c r="D288" s="1295"/>
    </row>
    <row r="289" spans="1:4" x14ac:dyDescent="0.2">
      <c r="A289" s="1293">
        <v>36311</v>
      </c>
      <c r="B289" s="1295"/>
      <c r="C289" s="1297"/>
      <c r="D289" s="1295"/>
    </row>
    <row r="290" spans="1:4" x14ac:dyDescent="0.2">
      <c r="A290" s="1293">
        <v>36341</v>
      </c>
      <c r="B290" s="1295"/>
      <c r="C290" s="1297"/>
      <c r="D290" s="1295"/>
    </row>
    <row r="291" spans="1:4" x14ac:dyDescent="0.2">
      <c r="A291" s="1293">
        <v>36372</v>
      </c>
      <c r="B291" s="1295"/>
      <c r="C291" s="1297"/>
      <c r="D291" s="1295"/>
    </row>
    <row r="292" spans="1:4" x14ac:dyDescent="0.2">
      <c r="A292" s="1293">
        <v>36403</v>
      </c>
      <c r="B292" s="1295"/>
      <c r="C292" s="1297"/>
      <c r="D292" s="1295"/>
    </row>
    <row r="293" spans="1:4" x14ac:dyDescent="0.2">
      <c r="A293" s="1293">
        <v>36433</v>
      </c>
      <c r="B293" s="1295"/>
      <c r="C293" s="1297"/>
      <c r="D293" s="1295"/>
    </row>
    <row r="294" spans="1:4" x14ac:dyDescent="0.2">
      <c r="A294" s="1293">
        <v>36464</v>
      </c>
      <c r="B294" s="1295"/>
      <c r="C294" s="1297"/>
      <c r="D294" s="1295"/>
    </row>
    <row r="295" spans="1:4" x14ac:dyDescent="0.2">
      <c r="A295" s="1293">
        <v>36494</v>
      </c>
      <c r="B295" s="1295"/>
      <c r="C295" s="1297"/>
      <c r="D295" s="1295"/>
    </row>
    <row r="296" spans="1:4" x14ac:dyDescent="0.2">
      <c r="A296" s="1293">
        <v>36525</v>
      </c>
      <c r="B296" s="1295"/>
      <c r="C296" s="1297"/>
      <c r="D296" s="1295"/>
    </row>
    <row r="297" spans="1:4" x14ac:dyDescent="0.2">
      <c r="A297" s="1293">
        <v>36556</v>
      </c>
      <c r="B297" s="1295"/>
      <c r="C297" s="1297"/>
      <c r="D297" s="1295"/>
    </row>
    <row r="298" spans="1:4" x14ac:dyDescent="0.2">
      <c r="A298" s="1293">
        <v>36585</v>
      </c>
      <c r="B298" s="1295"/>
      <c r="C298" s="1297"/>
      <c r="D298" s="1295"/>
    </row>
    <row r="299" spans="1:4" x14ac:dyDescent="0.2">
      <c r="A299" s="1293">
        <v>36616</v>
      </c>
      <c r="B299" s="1295"/>
      <c r="C299" s="1297"/>
      <c r="D299" s="1295"/>
    </row>
    <row r="300" spans="1:4" x14ac:dyDescent="0.2">
      <c r="A300" s="1293">
        <v>36646</v>
      </c>
      <c r="B300" s="1295"/>
      <c r="C300" s="1297"/>
      <c r="D300" s="1295"/>
    </row>
    <row r="301" spans="1:4" x14ac:dyDescent="0.2">
      <c r="A301" s="1293">
        <v>36677</v>
      </c>
      <c r="B301" s="1295"/>
      <c r="C301" s="1297"/>
      <c r="D301" s="1295"/>
    </row>
    <row r="302" spans="1:4" x14ac:dyDescent="0.2">
      <c r="A302" s="1293">
        <v>36707</v>
      </c>
      <c r="B302" s="1295"/>
      <c r="C302" s="1297"/>
      <c r="D302" s="1295"/>
    </row>
    <row r="303" spans="1:4" x14ac:dyDescent="0.2">
      <c r="A303" s="1293">
        <v>36738</v>
      </c>
      <c r="B303" s="1295"/>
      <c r="C303" s="1297"/>
      <c r="D303" s="1295"/>
    </row>
    <row r="304" spans="1:4" x14ac:dyDescent="0.2">
      <c r="A304" s="1293">
        <v>36769</v>
      </c>
      <c r="B304" s="1295"/>
      <c r="C304" s="1297"/>
      <c r="D304" s="1295"/>
    </row>
    <row r="305" spans="1:4" x14ac:dyDescent="0.2">
      <c r="A305" s="1293">
        <v>36799</v>
      </c>
      <c r="B305" s="1298"/>
      <c r="C305" s="1299"/>
      <c r="D305" s="1295"/>
    </row>
    <row r="306" spans="1:4" x14ac:dyDescent="0.2">
      <c r="A306" s="1293">
        <v>36830</v>
      </c>
      <c r="B306" s="1300"/>
      <c r="C306" s="1299"/>
      <c r="D306" s="1300"/>
    </row>
    <row r="307" spans="1:4" x14ac:dyDescent="0.2">
      <c r="A307" s="1293">
        <v>36860</v>
      </c>
      <c r="B307" s="1300"/>
      <c r="C307" s="1299"/>
      <c r="D307" s="1300"/>
    </row>
    <row r="308" spans="1:4" x14ac:dyDescent="0.2">
      <c r="A308" s="1293">
        <v>36891</v>
      </c>
      <c r="B308" s="1300"/>
      <c r="C308" s="1299"/>
      <c r="D308" s="1300"/>
    </row>
    <row r="309" spans="1:4" x14ac:dyDescent="0.2">
      <c r="A309" s="1293">
        <v>36922</v>
      </c>
      <c r="B309" s="1300"/>
      <c r="C309" s="1299"/>
      <c r="D309" s="1300"/>
    </row>
    <row r="310" spans="1:4" x14ac:dyDescent="0.2">
      <c r="A310" s="1293">
        <v>36950</v>
      </c>
      <c r="B310" s="1300"/>
      <c r="C310" s="1299"/>
      <c r="D310" s="1300"/>
    </row>
    <row r="311" spans="1:4" x14ac:dyDescent="0.2">
      <c r="A311" s="1293">
        <v>36981</v>
      </c>
      <c r="B311" s="1300"/>
      <c r="C311" s="1299"/>
      <c r="D311" s="1300"/>
    </row>
    <row r="312" spans="1:4" x14ac:dyDescent="0.2">
      <c r="A312" s="1293">
        <v>37011</v>
      </c>
      <c r="B312" s="1300"/>
      <c r="C312" s="1299"/>
      <c r="D312" s="1300"/>
    </row>
    <row r="313" spans="1:4" x14ac:dyDescent="0.2">
      <c r="A313" s="1293">
        <v>37042</v>
      </c>
      <c r="B313" s="1300"/>
      <c r="C313" s="1299"/>
      <c r="D313" s="1300"/>
    </row>
    <row r="314" spans="1:4" x14ac:dyDescent="0.2">
      <c r="A314" s="1293">
        <v>37072</v>
      </c>
      <c r="B314" s="1300"/>
      <c r="C314" s="1299"/>
      <c r="D314" s="1300"/>
    </row>
    <row r="315" spans="1:4" x14ac:dyDescent="0.2">
      <c r="A315" s="1293">
        <v>37103</v>
      </c>
      <c r="B315" s="1300"/>
      <c r="C315" s="1299"/>
      <c r="D315" s="1300"/>
    </row>
    <row r="316" spans="1:4" x14ac:dyDescent="0.2">
      <c r="A316" s="1293">
        <v>37134</v>
      </c>
      <c r="B316" s="1300"/>
      <c r="C316" s="1299"/>
      <c r="D316" s="1300"/>
    </row>
    <row r="317" spans="1:4" x14ac:dyDescent="0.2">
      <c r="A317" s="1293">
        <v>37164</v>
      </c>
      <c r="B317" s="1300"/>
      <c r="C317" s="1299"/>
      <c r="D317" s="1300"/>
    </row>
    <row r="318" spans="1:4" x14ac:dyDescent="0.2">
      <c r="A318" s="1293">
        <v>37195</v>
      </c>
      <c r="B318" s="1300"/>
      <c r="C318" s="1299"/>
      <c r="D318" s="1300"/>
    </row>
    <row r="319" spans="1:4" x14ac:dyDescent="0.2">
      <c r="A319" s="1293">
        <v>37225</v>
      </c>
      <c r="B319" s="1300"/>
      <c r="C319" s="1299"/>
      <c r="D319" s="1300"/>
    </row>
    <row r="320" spans="1:4" x14ac:dyDescent="0.2">
      <c r="A320" s="1293">
        <v>37256</v>
      </c>
      <c r="B320" s="1300"/>
      <c r="C320" s="1299"/>
      <c r="D320" s="1300"/>
    </row>
    <row r="321" spans="1:4" x14ac:dyDescent="0.2">
      <c r="A321" s="1293">
        <v>37287</v>
      </c>
      <c r="B321" s="1300"/>
      <c r="C321" s="1299"/>
      <c r="D321" s="1300"/>
    </row>
    <row r="322" spans="1:4" x14ac:dyDescent="0.2">
      <c r="A322" s="1293">
        <v>37315</v>
      </c>
      <c r="B322" s="1300"/>
      <c r="C322" s="1299"/>
      <c r="D322" s="1300"/>
    </row>
    <row r="323" spans="1:4" x14ac:dyDescent="0.2">
      <c r="A323" s="1293">
        <v>37346</v>
      </c>
      <c r="B323" s="1300"/>
      <c r="C323" s="1299"/>
      <c r="D323" s="1300"/>
    </row>
    <row r="324" spans="1:4" x14ac:dyDescent="0.2">
      <c r="A324" s="1293">
        <v>37376</v>
      </c>
      <c r="B324" s="1300"/>
      <c r="C324" s="1299"/>
      <c r="D324" s="1300"/>
    </row>
    <row r="325" spans="1:4" x14ac:dyDescent="0.2">
      <c r="A325" s="1293">
        <v>37407</v>
      </c>
      <c r="B325" s="1300"/>
      <c r="C325" s="1299"/>
      <c r="D325" s="1300"/>
    </row>
    <row r="326" spans="1:4" x14ac:dyDescent="0.2">
      <c r="A326" s="1293">
        <v>37437</v>
      </c>
      <c r="B326" s="1300"/>
      <c r="C326" s="1299"/>
      <c r="D326" s="1300"/>
    </row>
    <row r="327" spans="1:4" x14ac:dyDescent="0.2">
      <c r="A327" s="1293">
        <v>37468</v>
      </c>
      <c r="B327" s="1300"/>
      <c r="C327" s="1299"/>
      <c r="D327" s="1300"/>
    </row>
    <row r="328" spans="1:4" x14ac:dyDescent="0.2">
      <c r="A328" s="1293">
        <v>37499</v>
      </c>
      <c r="B328" s="1300"/>
      <c r="C328" s="1299"/>
      <c r="D328" s="1300"/>
    </row>
    <row r="329" spans="1:4" x14ac:dyDescent="0.2">
      <c r="A329" s="1293">
        <v>37529</v>
      </c>
      <c r="B329" s="1300"/>
      <c r="C329" s="1299"/>
      <c r="D329" s="1300"/>
    </row>
    <row r="330" spans="1:4" x14ac:dyDescent="0.2">
      <c r="A330" s="1293">
        <v>37560</v>
      </c>
      <c r="B330" s="1300"/>
      <c r="C330" s="1299"/>
      <c r="D330" s="1300"/>
    </row>
    <row r="331" spans="1:4" x14ac:dyDescent="0.2">
      <c r="A331" s="1293">
        <v>37590</v>
      </c>
      <c r="B331" s="1300"/>
      <c r="C331" s="1299"/>
      <c r="D331" s="1300"/>
    </row>
    <row r="332" spans="1:4" x14ac:dyDescent="0.2">
      <c r="A332" s="1293">
        <v>37621</v>
      </c>
      <c r="B332" s="1300"/>
      <c r="C332" s="1299"/>
      <c r="D332" s="1300"/>
    </row>
    <row r="333" spans="1:4" x14ac:dyDescent="0.2">
      <c r="A333" s="1293">
        <v>37652</v>
      </c>
      <c r="B333" s="1300"/>
      <c r="C333" s="1299"/>
      <c r="D333" s="1300"/>
    </row>
    <row r="334" spans="1:4" x14ac:dyDescent="0.2">
      <c r="A334" s="1293">
        <v>37680</v>
      </c>
      <c r="B334" s="1300"/>
      <c r="C334" s="1299"/>
      <c r="D334" s="1300"/>
    </row>
    <row r="335" spans="1:4" x14ac:dyDescent="0.2">
      <c r="A335" s="1293">
        <v>37711</v>
      </c>
      <c r="B335" s="1300"/>
      <c r="C335" s="1299"/>
      <c r="D335" s="1300"/>
    </row>
    <row r="336" spans="1:4" x14ac:dyDescent="0.2">
      <c r="A336" s="1293">
        <v>37741</v>
      </c>
      <c r="B336" s="1300"/>
      <c r="C336" s="1299"/>
      <c r="D336" s="1300"/>
    </row>
    <row r="337" spans="1:4" x14ac:dyDescent="0.2">
      <c r="A337" s="1293">
        <v>37772</v>
      </c>
      <c r="B337" s="1300"/>
      <c r="C337" s="1299"/>
      <c r="D337" s="1300"/>
    </row>
    <row r="338" spans="1:4" x14ac:dyDescent="0.2">
      <c r="A338" s="1293">
        <v>37802</v>
      </c>
      <c r="B338" s="1300"/>
      <c r="C338" s="1299"/>
      <c r="D338" s="1300"/>
    </row>
    <row r="339" spans="1:4" x14ac:dyDescent="0.2">
      <c r="A339" s="1293">
        <v>37833</v>
      </c>
      <c r="B339" s="1300"/>
      <c r="C339" s="1299"/>
      <c r="D339" s="1300"/>
    </row>
    <row r="340" spans="1:4" x14ac:dyDescent="0.2">
      <c r="A340" s="1293">
        <v>37864</v>
      </c>
      <c r="B340" s="1300"/>
      <c r="C340" s="1299"/>
      <c r="D340" s="1300"/>
    </row>
    <row r="341" spans="1:4" x14ac:dyDescent="0.2">
      <c r="A341" s="1293">
        <v>37894</v>
      </c>
      <c r="B341" s="1300"/>
      <c r="C341" s="1302"/>
      <c r="D341" s="1300"/>
    </row>
    <row r="342" spans="1:4" x14ac:dyDescent="0.2">
      <c r="A342" s="1293">
        <v>37925</v>
      </c>
      <c r="B342" s="1300"/>
      <c r="C342" s="1302"/>
      <c r="D342" s="1300"/>
    </row>
    <row r="343" spans="1:4" x14ac:dyDescent="0.2">
      <c r="A343" s="1293">
        <v>37955</v>
      </c>
      <c r="B343" s="1300"/>
      <c r="C343" s="1302"/>
      <c r="D343" s="1300"/>
    </row>
    <row r="344" spans="1:4" x14ac:dyDescent="0.2">
      <c r="A344" s="1293">
        <v>37986</v>
      </c>
      <c r="B344" s="1300"/>
      <c r="C344" s="1302"/>
      <c r="D344" s="1300"/>
    </row>
    <row r="345" spans="1:4" x14ac:dyDescent="0.2">
      <c r="A345" s="1293">
        <v>38017</v>
      </c>
      <c r="B345" s="1300"/>
      <c r="C345" s="1302"/>
      <c r="D345" s="1300"/>
    </row>
    <row r="346" spans="1:4" x14ac:dyDescent="0.2">
      <c r="A346" s="1293">
        <v>38046</v>
      </c>
      <c r="B346" s="1300"/>
      <c r="C346" s="1302"/>
      <c r="D346" s="1300"/>
    </row>
    <row r="347" spans="1:4" x14ac:dyDescent="0.2">
      <c r="A347" s="1293">
        <v>38077</v>
      </c>
      <c r="B347" s="1300"/>
      <c r="C347" s="1302"/>
      <c r="D347" s="1303"/>
    </row>
    <row r="348" spans="1:4" x14ac:dyDescent="0.2">
      <c r="A348" s="1293">
        <v>38107</v>
      </c>
      <c r="B348" s="1300"/>
      <c r="C348" s="1302"/>
      <c r="D348" s="1300"/>
    </row>
    <row r="349" spans="1:4" x14ac:dyDescent="0.2">
      <c r="A349" s="1293">
        <v>38138</v>
      </c>
      <c r="B349" s="1300"/>
      <c r="C349" s="1302"/>
      <c r="D349" s="1300"/>
    </row>
    <row r="350" spans="1:4" x14ac:dyDescent="0.2">
      <c r="A350" s="1293">
        <v>38168</v>
      </c>
      <c r="B350" s="1300"/>
      <c r="C350" s="1302"/>
      <c r="D350" s="1300"/>
    </row>
    <row r="351" spans="1:4" x14ac:dyDescent="0.2">
      <c r="A351" s="1293">
        <v>38199</v>
      </c>
      <c r="B351" s="1300"/>
      <c r="C351" s="1302"/>
      <c r="D351" s="1300"/>
    </row>
    <row r="352" spans="1:4" x14ac:dyDescent="0.2">
      <c r="A352" s="1293">
        <v>38230</v>
      </c>
      <c r="B352" s="1300"/>
      <c r="C352" s="1302"/>
      <c r="D352" s="1300"/>
    </row>
    <row r="353" spans="1:4" x14ac:dyDescent="0.2">
      <c r="A353" s="1293">
        <v>38260</v>
      </c>
      <c r="B353" s="1300"/>
      <c r="C353" s="1302"/>
      <c r="D353" s="1300"/>
    </row>
    <row r="354" spans="1:4" x14ac:dyDescent="0.2">
      <c r="A354" s="1293">
        <v>38291</v>
      </c>
      <c r="B354" s="1300"/>
      <c r="C354" s="1302"/>
      <c r="D354" s="1300"/>
    </row>
    <row r="355" spans="1:4" x14ac:dyDescent="0.2">
      <c r="A355" s="1293">
        <v>38321</v>
      </c>
      <c r="B355" s="1300"/>
      <c r="C355" s="1302"/>
      <c r="D355" s="1300"/>
    </row>
    <row r="356" spans="1:4" x14ac:dyDescent="0.2">
      <c r="A356" s="1293">
        <v>38352</v>
      </c>
      <c r="B356" s="1300"/>
      <c r="C356" s="1304"/>
      <c r="D356" s="1300"/>
    </row>
    <row r="357" spans="1:4" x14ac:dyDescent="0.2">
      <c r="A357" s="1293">
        <v>38383</v>
      </c>
      <c r="B357" s="1300"/>
      <c r="C357" s="1302"/>
      <c r="D357" s="1300"/>
    </row>
    <row r="358" spans="1:4" x14ac:dyDescent="0.2">
      <c r="A358" s="1293">
        <v>38411</v>
      </c>
      <c r="B358" s="1300"/>
      <c r="C358" s="1302"/>
      <c r="D358" s="1300"/>
    </row>
    <row r="359" spans="1:4" x14ac:dyDescent="0.2">
      <c r="A359" s="1293">
        <v>38442</v>
      </c>
      <c r="B359" s="1300"/>
      <c r="C359" s="1304"/>
      <c r="D359" s="1300"/>
    </row>
    <row r="360" spans="1:4" x14ac:dyDescent="0.2">
      <c r="A360" s="1293">
        <v>38472</v>
      </c>
      <c r="B360" s="1300"/>
      <c r="C360" s="1304"/>
      <c r="D360" s="1300"/>
    </row>
    <row r="361" spans="1:4" x14ac:dyDescent="0.2">
      <c r="A361" s="1293">
        <v>38503</v>
      </c>
      <c r="B361" s="1300"/>
      <c r="C361" s="1304"/>
      <c r="D361" s="1300"/>
    </row>
    <row r="362" spans="1:4" x14ac:dyDescent="0.2">
      <c r="A362" s="1293">
        <v>38533</v>
      </c>
      <c r="B362" s="1300"/>
      <c r="C362" s="1304"/>
      <c r="D362" s="1300"/>
    </row>
    <row r="363" spans="1:4" x14ac:dyDescent="0.2">
      <c r="A363" s="1293">
        <v>38564</v>
      </c>
      <c r="B363" s="1300"/>
      <c r="C363" s="1304"/>
      <c r="D363" s="1300"/>
    </row>
    <row r="364" spans="1:4" x14ac:dyDescent="0.2">
      <c r="A364" s="1293">
        <v>38595</v>
      </c>
      <c r="B364" s="1300"/>
      <c r="C364" s="1304"/>
      <c r="D364" s="1300"/>
    </row>
    <row r="365" spans="1:4" x14ac:dyDescent="0.2">
      <c r="A365" s="1293">
        <v>38625</v>
      </c>
      <c r="B365" s="1300"/>
      <c r="C365" s="1304"/>
      <c r="D365" s="1300"/>
    </row>
    <row r="366" spans="1:4" x14ac:dyDescent="0.2">
      <c r="A366" s="1293">
        <v>38656</v>
      </c>
      <c r="B366" s="1300"/>
      <c r="C366" s="1304"/>
      <c r="D366" s="1300"/>
    </row>
    <row r="367" spans="1:4" x14ac:dyDescent="0.2">
      <c r="A367" s="1293">
        <v>38686</v>
      </c>
      <c r="B367" s="1300"/>
      <c r="C367" s="1304"/>
      <c r="D367" s="1300"/>
    </row>
    <row r="368" spans="1:4" x14ac:dyDescent="0.2">
      <c r="A368" s="1293">
        <v>38717</v>
      </c>
      <c r="B368" s="1300"/>
      <c r="C368" s="1304"/>
      <c r="D368" s="1300"/>
    </row>
    <row r="369" spans="1:6" x14ac:dyDescent="0.2">
      <c r="A369" s="1293">
        <v>38748</v>
      </c>
      <c r="B369" s="1300"/>
      <c r="C369" s="1304"/>
      <c r="D369" s="1300"/>
    </row>
    <row r="370" spans="1:6" x14ac:dyDescent="0.2">
      <c r="A370" s="1293">
        <v>38776</v>
      </c>
      <c r="B370" s="1300"/>
      <c r="C370" s="1304"/>
      <c r="D370" s="1300"/>
    </row>
    <row r="371" spans="1:6" x14ac:dyDescent="0.2">
      <c r="A371" s="1293">
        <v>38807</v>
      </c>
      <c r="B371" s="1300"/>
      <c r="C371" s="1299"/>
      <c r="D371" s="1300"/>
    </row>
    <row r="372" spans="1:6" x14ac:dyDescent="0.2">
      <c r="A372" s="1293">
        <v>38837</v>
      </c>
      <c r="B372" s="1300"/>
      <c r="C372" s="1299"/>
      <c r="D372" s="1300"/>
    </row>
    <row r="373" spans="1:6" x14ac:dyDescent="0.2">
      <c r="A373" s="1293">
        <v>38868</v>
      </c>
      <c r="B373" s="1300"/>
      <c r="C373" s="1299"/>
      <c r="D373" s="1300"/>
    </row>
    <row r="374" spans="1:6" x14ac:dyDescent="0.2">
      <c r="A374" s="1293">
        <v>38898</v>
      </c>
      <c r="B374" s="1372"/>
      <c r="C374" s="1387"/>
      <c r="D374" s="1300"/>
    </row>
    <row r="375" spans="1:6" x14ac:dyDescent="0.2">
      <c r="A375" s="1293">
        <v>38929</v>
      </c>
      <c r="B375" s="1300"/>
      <c r="C375" s="1302"/>
      <c r="D375" s="1300"/>
    </row>
    <row r="376" spans="1:6" x14ac:dyDescent="0.2">
      <c r="A376" s="1293">
        <v>38960</v>
      </c>
      <c r="B376" s="1300"/>
      <c r="C376" s="1302"/>
      <c r="D376" s="1300"/>
    </row>
    <row r="377" spans="1:6" x14ac:dyDescent="0.2">
      <c r="A377" s="1293">
        <v>38990</v>
      </c>
      <c r="B377" s="1300"/>
      <c r="C377" s="1302"/>
      <c r="D377" s="1300"/>
    </row>
    <row r="378" spans="1:6" x14ac:dyDescent="0.2">
      <c r="A378" s="1293">
        <v>39021</v>
      </c>
      <c r="B378" s="1300"/>
      <c r="C378" s="1302"/>
      <c r="D378" s="1300"/>
      <c r="F378" s="1305"/>
    </row>
    <row r="379" spans="1:6" x14ac:dyDescent="0.2">
      <c r="A379" s="1293">
        <v>39051</v>
      </c>
      <c r="B379" s="1300"/>
      <c r="C379" s="1302"/>
      <c r="D379" s="1300"/>
      <c r="F379" s="1305"/>
    </row>
    <row r="380" spans="1:6" x14ac:dyDescent="0.2">
      <c r="A380" s="1293">
        <v>39082</v>
      </c>
      <c r="B380" s="1300"/>
      <c r="C380" s="1302"/>
      <c r="D380" s="1300"/>
      <c r="F380" s="1305"/>
    </row>
    <row r="381" spans="1:6" x14ac:dyDescent="0.2">
      <c r="A381" s="1293">
        <v>39113</v>
      </c>
      <c r="B381" s="1300"/>
      <c r="F381" s="1305"/>
    </row>
    <row r="382" spans="1:6" x14ac:dyDescent="0.2">
      <c r="A382" s="1293">
        <v>39141</v>
      </c>
      <c r="B382" s="1300"/>
      <c r="F382" s="1305"/>
    </row>
    <row r="383" spans="1:6" x14ac:dyDescent="0.2">
      <c r="A383" s="1293">
        <v>39172</v>
      </c>
      <c r="B383" s="1300"/>
    </row>
    <row r="384" spans="1:6" x14ac:dyDescent="0.2">
      <c r="A384" s="1293">
        <v>39202</v>
      </c>
      <c r="B384" s="1300"/>
    </row>
    <row r="385" spans="1:3" x14ac:dyDescent="0.2">
      <c r="A385" s="1293">
        <v>39233</v>
      </c>
      <c r="B385" s="1300"/>
    </row>
    <row r="386" spans="1:3" x14ac:dyDescent="0.2">
      <c r="A386" s="1293">
        <v>39263</v>
      </c>
      <c r="B386" s="1300"/>
    </row>
    <row r="387" spans="1:3" x14ac:dyDescent="0.2">
      <c r="A387" s="1293">
        <v>39294</v>
      </c>
      <c r="B387" s="1300"/>
    </row>
    <row r="388" spans="1:3" x14ac:dyDescent="0.2">
      <c r="A388" s="1293">
        <v>39325</v>
      </c>
      <c r="B388" s="1300"/>
    </row>
    <row r="389" spans="1:3" x14ac:dyDescent="0.2">
      <c r="A389" s="1293">
        <v>39355</v>
      </c>
      <c r="B389" s="1300"/>
    </row>
    <row r="390" spans="1:3" x14ac:dyDescent="0.2">
      <c r="A390" s="1293">
        <v>39386</v>
      </c>
      <c r="B390" s="1300"/>
    </row>
    <row r="391" spans="1:3" x14ac:dyDescent="0.2">
      <c r="A391" s="1293">
        <v>39416</v>
      </c>
      <c r="B391" s="1300"/>
    </row>
    <row r="392" spans="1:3" x14ac:dyDescent="0.2">
      <c r="A392" s="1293">
        <v>39447</v>
      </c>
      <c r="B392" s="1300"/>
    </row>
    <row r="393" spans="1:3" x14ac:dyDescent="0.2">
      <c r="A393" s="1293">
        <v>39478</v>
      </c>
      <c r="B393" s="1300"/>
    </row>
    <row r="394" spans="1:3" x14ac:dyDescent="0.2">
      <c r="A394" s="1293">
        <v>39507</v>
      </c>
      <c r="B394" s="1300"/>
    </row>
    <row r="395" spans="1:3" x14ac:dyDescent="0.2">
      <c r="A395" s="1293">
        <v>39538</v>
      </c>
      <c r="B395" s="1300"/>
    </row>
    <row r="396" spans="1:3" x14ac:dyDescent="0.2">
      <c r="A396" s="1293">
        <v>39568</v>
      </c>
      <c r="B396" s="1300"/>
    </row>
    <row r="397" spans="1:3" x14ac:dyDescent="0.2">
      <c r="A397" s="1293">
        <v>39599</v>
      </c>
      <c r="B397" s="1300"/>
    </row>
    <row r="398" spans="1:3" x14ac:dyDescent="0.2">
      <c r="A398" s="1293">
        <v>39629</v>
      </c>
      <c r="B398" s="1300"/>
    </row>
    <row r="399" spans="1:3" x14ac:dyDescent="0.2">
      <c r="A399" s="1293">
        <v>39660</v>
      </c>
      <c r="B399" s="1300"/>
      <c r="C399" s="1299"/>
    </row>
    <row r="400" spans="1:3" x14ac:dyDescent="0.2">
      <c r="A400" s="1293">
        <v>39691</v>
      </c>
      <c r="B400" s="1300"/>
      <c r="C400" s="1299"/>
    </row>
    <row r="401" spans="1:7" x14ac:dyDescent="0.2">
      <c r="A401" s="1293">
        <v>39721</v>
      </c>
      <c r="B401" s="1300"/>
      <c r="C401" s="1299"/>
    </row>
    <row r="402" spans="1:7" x14ac:dyDescent="0.2">
      <c r="A402" s="1293">
        <v>39752</v>
      </c>
      <c r="B402" s="1300"/>
    </row>
    <row r="403" spans="1:7" x14ac:dyDescent="0.2">
      <c r="A403" s="1293">
        <v>39782</v>
      </c>
      <c r="B403" s="1300"/>
      <c r="G403" s="1301"/>
    </row>
    <row r="404" spans="1:7" x14ac:dyDescent="0.2">
      <c r="A404" s="1293">
        <v>39813</v>
      </c>
      <c r="B404" s="1300"/>
    </row>
    <row r="405" spans="1:7" x14ac:dyDescent="0.2">
      <c r="A405" s="1293">
        <v>39844</v>
      </c>
      <c r="B405" s="1300"/>
    </row>
    <row r="406" spans="1:7" x14ac:dyDescent="0.2">
      <c r="A406" s="1293">
        <v>39872</v>
      </c>
      <c r="B406" s="1300"/>
    </row>
    <row r="407" spans="1:7" x14ac:dyDescent="0.2">
      <c r="A407" s="1293">
        <v>39903</v>
      </c>
      <c r="B407" s="1300"/>
    </row>
    <row r="408" spans="1:7" x14ac:dyDescent="0.2">
      <c r="A408" s="1293">
        <v>39933</v>
      </c>
      <c r="B408" s="1300"/>
    </row>
    <row r="409" spans="1:7" x14ac:dyDescent="0.2">
      <c r="A409" s="1293">
        <v>39964</v>
      </c>
      <c r="B409" s="1300"/>
    </row>
    <row r="410" spans="1:7" x14ac:dyDescent="0.2">
      <c r="A410" s="1293">
        <v>39994</v>
      </c>
      <c r="B410" s="1300"/>
    </row>
    <row r="411" spans="1:7" x14ac:dyDescent="0.2">
      <c r="A411" s="1293">
        <v>40025</v>
      </c>
      <c r="B411" s="1300"/>
    </row>
    <row r="412" spans="1:7" x14ac:dyDescent="0.2">
      <c r="A412" s="1293">
        <v>40056</v>
      </c>
      <c r="B412" s="1300"/>
    </row>
    <row r="413" spans="1:7" x14ac:dyDescent="0.2">
      <c r="A413" s="1293">
        <v>40086</v>
      </c>
      <c r="B413" s="1300"/>
    </row>
    <row r="414" spans="1:7" x14ac:dyDescent="0.2">
      <c r="A414" s="1293">
        <v>40117</v>
      </c>
      <c r="B414" s="1300"/>
    </row>
    <row r="415" spans="1:7" x14ac:dyDescent="0.2">
      <c r="A415" s="1293">
        <v>40147</v>
      </c>
      <c r="B415" s="1300"/>
    </row>
    <row r="416" spans="1:7" x14ac:dyDescent="0.2">
      <c r="A416" s="1293">
        <v>40178</v>
      </c>
      <c r="B416" s="1300"/>
    </row>
    <row r="417" spans="1:5" x14ac:dyDescent="0.2">
      <c r="A417" s="1293">
        <v>40209</v>
      </c>
      <c r="B417" s="1300">
        <v>1.34</v>
      </c>
      <c r="C417" s="1307">
        <v>201146176.50999999</v>
      </c>
      <c r="D417" s="1306">
        <v>1.33829</v>
      </c>
      <c r="E417" s="1301">
        <f>B417-Index_Returns!W417</f>
        <v>-0.18777999999999984</v>
      </c>
    </row>
    <row r="418" spans="1:5" x14ac:dyDescent="0.2">
      <c r="A418" s="1293">
        <v>40237</v>
      </c>
      <c r="B418" s="1300">
        <v>0.33</v>
      </c>
      <c r="C418" s="1307">
        <v>201810892.72</v>
      </c>
      <c r="D418" s="1306">
        <v>0.33045999999999998</v>
      </c>
      <c r="E418" s="1301">
        <f>B418-Index_Returns!W418</f>
        <v>-4.331999999999997E-2</v>
      </c>
    </row>
    <row r="419" spans="1:5" x14ac:dyDescent="0.2">
      <c r="A419" s="1293">
        <v>40268</v>
      </c>
      <c r="B419" s="1300">
        <v>-0.2</v>
      </c>
      <c r="C419" s="1334">
        <v>201412767.41999999</v>
      </c>
      <c r="D419" s="1311">
        <v>-0.19728000000000001</v>
      </c>
      <c r="E419" s="1301">
        <f>B419-Index_Returns!W419</f>
        <v>-7.7380000000000004E-2</v>
      </c>
    </row>
    <row r="420" spans="1:5" x14ac:dyDescent="0.2">
      <c r="A420" s="1293">
        <v>40298</v>
      </c>
      <c r="B420" s="1300">
        <v>1.1599999999999999</v>
      </c>
      <c r="C420" s="1307">
        <v>203742918.47999999</v>
      </c>
      <c r="D420" s="1306">
        <v>1.15859</v>
      </c>
      <c r="E420" s="1301">
        <f>B420-Index_Returns!W420</f>
        <v>0.1190199999999999</v>
      </c>
    </row>
    <row r="421" spans="1:5" x14ac:dyDescent="0.2">
      <c r="A421" s="1293">
        <v>40329</v>
      </c>
      <c r="B421" s="1300">
        <v>0.96</v>
      </c>
      <c r="C421" s="1307">
        <v>205689455.34999999</v>
      </c>
      <c r="D421" s="1306">
        <v>0.95538999999999996</v>
      </c>
      <c r="E421" s="1301">
        <f>B421-Index_Returns!W421</f>
        <v>0.11891999999999991</v>
      </c>
    </row>
    <row r="422" spans="1:5" x14ac:dyDescent="0.2">
      <c r="A422" s="1293">
        <v>40359</v>
      </c>
      <c r="B422" s="1300">
        <v>1.44</v>
      </c>
      <c r="C422" s="1307">
        <v>208653081.86000001</v>
      </c>
      <c r="D422" s="1306">
        <v>1.4408300000000001</v>
      </c>
      <c r="E422" s="1301">
        <f>B422-Index_Returns!W422</f>
        <v>-0.12816000000000005</v>
      </c>
    </row>
    <row r="423" spans="1:5" x14ac:dyDescent="0.2">
      <c r="A423" s="1293">
        <v>40390</v>
      </c>
      <c r="B423" s="1300">
        <v>0.75575000000000003</v>
      </c>
      <c r="C423" s="1307">
        <v>210229966.44</v>
      </c>
      <c r="D423" s="1306">
        <v>0.75575000000000003</v>
      </c>
      <c r="E423" s="1301">
        <f>B423-Index_Returns!W423</f>
        <v>-0.31162999999999996</v>
      </c>
    </row>
    <row r="424" spans="1:5" x14ac:dyDescent="0.2">
      <c r="A424" s="1293">
        <v>40421</v>
      </c>
      <c r="B424" s="1300">
        <v>1.44319</v>
      </c>
      <c r="C424" s="1307">
        <v>213263976.25</v>
      </c>
      <c r="D424" s="1306">
        <v>1.44319</v>
      </c>
      <c r="E424" s="1301">
        <f>B424-Index_Returns!W424</f>
        <v>0.15663999999999989</v>
      </c>
    </row>
    <row r="425" spans="1:5" x14ac:dyDescent="0.2">
      <c r="A425" s="1293">
        <v>40451</v>
      </c>
      <c r="B425" s="1300">
        <v>7.392E-2</v>
      </c>
      <c r="C425" s="1307">
        <v>213421613.49000001</v>
      </c>
      <c r="D425" s="1306">
        <v>7.392E-2</v>
      </c>
      <c r="E425" s="1301">
        <f>B425-Index_Returns!W425</f>
        <v>-3.2799999999999996E-2</v>
      </c>
    </row>
    <row r="426" spans="1:5" x14ac:dyDescent="0.2">
      <c r="A426" s="1293">
        <v>40482</v>
      </c>
      <c r="B426" s="1306">
        <v>0.19706000000000001</v>
      </c>
      <c r="C426" s="1307">
        <v>213842170.72</v>
      </c>
      <c r="D426" s="1306">
        <v>0.19706000000000001</v>
      </c>
      <c r="E426" s="1301">
        <f>B426-Index_Returns!W426</f>
        <v>-0.15877999999999998</v>
      </c>
    </row>
    <row r="427" spans="1:5" x14ac:dyDescent="0.2">
      <c r="A427" s="1293">
        <v>40512</v>
      </c>
      <c r="B427" s="1300">
        <f>D427</f>
        <v>-0.63848000000000005</v>
      </c>
      <c r="C427" s="1307">
        <v>212476833.47</v>
      </c>
      <c r="D427" s="1306">
        <v>-0.63848000000000005</v>
      </c>
      <c r="E427" s="1301">
        <f>B427-Index_Returns!W427</f>
        <v>-6.370000000000009E-2</v>
      </c>
    </row>
    <row r="428" spans="1:5" x14ac:dyDescent="0.2">
      <c r="A428" s="1293">
        <v>40543</v>
      </c>
      <c r="B428" s="1300">
        <v>-1.25116</v>
      </c>
      <c r="C428" s="1307">
        <v>209818412.34</v>
      </c>
      <c r="D428" s="1306">
        <v>-1.25116</v>
      </c>
      <c r="E428" s="1301">
        <f>B428-Index_Returns!W428</f>
        <v>-0.1728400000000001</v>
      </c>
    </row>
    <row r="429" spans="1:5" x14ac:dyDescent="0.2">
      <c r="A429" s="1293">
        <v>40574</v>
      </c>
      <c r="B429" s="1300">
        <f>D429</f>
        <v>0.12540999999999999</v>
      </c>
      <c r="C429" s="1307">
        <v>210081551.59</v>
      </c>
      <c r="D429" s="1306">
        <v>0.12540999999999999</v>
      </c>
      <c r="E429" s="1301">
        <f>B429-Index_Returns!W429</f>
        <v>9.2599999999999905E-3</v>
      </c>
    </row>
    <row r="430" spans="1:5" x14ac:dyDescent="0.2">
      <c r="A430" s="1293">
        <v>40602</v>
      </c>
      <c r="B430" s="1300">
        <v>0.25478000000000001</v>
      </c>
      <c r="C430" s="1307">
        <v>210616789.69999999</v>
      </c>
      <c r="D430" s="1306">
        <v>0.25478000000000001</v>
      </c>
      <c r="E430" s="1301">
        <f>B430-Index_Returns!W430</f>
        <v>4.5499999999999985E-3</v>
      </c>
    </row>
    <row r="431" spans="1:5" x14ac:dyDescent="0.2">
      <c r="A431" s="1293">
        <v>40633</v>
      </c>
      <c r="B431" s="1300">
        <f>D431</f>
        <v>0.33976000000000001</v>
      </c>
      <c r="C431" s="1307">
        <v>211327827.56999999</v>
      </c>
      <c r="D431" s="1306">
        <v>0.33976000000000001</v>
      </c>
      <c r="E431" s="1301">
        <f>B431-Index_Returns!W431</f>
        <v>0.28450000000000003</v>
      </c>
    </row>
    <row r="432" spans="1:5" x14ac:dyDescent="0.2">
      <c r="A432" s="1293">
        <v>40663</v>
      </c>
      <c r="B432" s="1300">
        <f t="shared" ref="B432:B440" si="0">D432</f>
        <v>1.2037</v>
      </c>
      <c r="C432" s="1307">
        <v>213871586.28999999</v>
      </c>
      <c r="D432" s="1306">
        <v>1.2037</v>
      </c>
      <c r="E432" s="1301">
        <f>B432-Index_Returns!W432</f>
        <v>-6.5879999999999939E-2</v>
      </c>
    </row>
    <row r="433" spans="1:5" x14ac:dyDescent="0.2">
      <c r="A433" s="1293">
        <v>40694</v>
      </c>
      <c r="B433" s="1300">
        <f t="shared" si="0"/>
        <v>1.2494099999999999</v>
      </c>
      <c r="C433" s="1307">
        <v>216627960.91999999</v>
      </c>
      <c r="D433" s="1306">
        <v>1.2494099999999999</v>
      </c>
      <c r="E433" s="1301">
        <f>B433-Index_Returns!W433</f>
        <v>-5.5780000000000163E-2</v>
      </c>
    </row>
    <row r="434" spans="1:5" x14ac:dyDescent="0.2">
      <c r="A434" s="1293">
        <v>40724</v>
      </c>
      <c r="B434" s="1300" t="str">
        <f t="shared" si="0"/>
        <v xml:space="preserve"> </v>
      </c>
      <c r="C434" s="1307">
        <v>348.13</v>
      </c>
      <c r="D434" s="1306" t="s">
        <v>643</v>
      </c>
      <c r="E434" s="1301" t="e">
        <f>B434-Index_Returns!W434</f>
        <v>#VALUE!</v>
      </c>
    </row>
    <row r="435" spans="1:5" x14ac:dyDescent="0.2">
      <c r="A435" s="1293">
        <v>40755</v>
      </c>
      <c r="B435" s="1300">
        <f t="shared" si="0"/>
        <v>0</v>
      </c>
      <c r="E435" s="1301">
        <f>B435-Index_Returns!W435</f>
        <v>-1.5868800000000001</v>
      </c>
    </row>
    <row r="436" spans="1:5" x14ac:dyDescent="0.2">
      <c r="A436" s="1293">
        <v>40786</v>
      </c>
      <c r="B436" s="1300">
        <f t="shared" si="0"/>
        <v>0</v>
      </c>
      <c r="E436" s="1301">
        <f>B436-Index_Returns!W436</f>
        <v>-1.4610700000000001</v>
      </c>
    </row>
    <row r="437" spans="1:5" x14ac:dyDescent="0.2">
      <c r="A437" s="1293">
        <v>40816</v>
      </c>
      <c r="B437" s="1300">
        <f t="shared" si="0"/>
        <v>0</v>
      </c>
      <c r="E437" s="1301">
        <f>B437-Index_Returns!W437</f>
        <v>-0.72724999999999995</v>
      </c>
    </row>
    <row r="438" spans="1:5" x14ac:dyDescent="0.2">
      <c r="A438" s="1293">
        <v>40847</v>
      </c>
      <c r="B438" s="1300">
        <f t="shared" si="0"/>
        <v>0</v>
      </c>
      <c r="E438" s="1301">
        <f>B438-Index_Returns!W438</f>
        <v>-0.10765</v>
      </c>
    </row>
    <row r="439" spans="1:5" x14ac:dyDescent="0.2">
      <c r="A439" s="1293">
        <v>40877</v>
      </c>
      <c r="B439" s="1300">
        <f t="shared" si="0"/>
        <v>0</v>
      </c>
      <c r="E439" s="1301">
        <f>B439-Index_Returns!W439</f>
        <v>8.6910000000000001E-2</v>
      </c>
    </row>
    <row r="440" spans="1:5" x14ac:dyDescent="0.2">
      <c r="A440" s="1293">
        <v>40908</v>
      </c>
      <c r="B440" s="1300">
        <f t="shared" si="0"/>
        <v>0</v>
      </c>
      <c r="E440" s="1301">
        <f>B440-Index_Returns!W440</f>
        <v>-1.0991200000000001</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tabColor rgb="FFFF0000"/>
  </sheetPr>
  <dimension ref="A1:H440"/>
  <sheetViews>
    <sheetView topLeftCell="A406" workbookViewId="0">
      <selection activeCell="D435" sqref="D435"/>
    </sheetView>
  </sheetViews>
  <sheetFormatPr defaultRowHeight="12.75" x14ac:dyDescent="0.2"/>
  <cols>
    <col min="1" max="1" width="18.7109375" style="1308" customWidth="1"/>
    <col min="2" max="2" width="18.7109375" style="1309" customWidth="1"/>
    <col min="3" max="3" width="18.7109375" style="1307" customWidth="1"/>
    <col min="4" max="4" width="18.7109375" style="1306" customWidth="1"/>
    <col min="5" max="5" width="9.140625" style="1301"/>
    <col min="6" max="6" width="12.42578125" style="1266" bestFit="1" customWidth="1"/>
    <col min="7" max="8" width="9.140625" style="1305"/>
    <col min="9" max="16384" width="9.140625" style="1266"/>
  </cols>
  <sheetData>
    <row r="1" spans="1:5" x14ac:dyDescent="0.2">
      <c r="A1" s="1289"/>
      <c r="B1" s="1290"/>
      <c r="C1" s="1386" t="s">
        <v>666</v>
      </c>
      <c r="D1" s="1373">
        <v>2</v>
      </c>
    </row>
    <row r="2" spans="1:5" x14ac:dyDescent="0.2">
      <c r="A2" s="1291" t="s">
        <v>27</v>
      </c>
      <c r="B2" s="1292" t="s">
        <v>91</v>
      </c>
      <c r="C2" s="1294" t="s">
        <v>92</v>
      </c>
      <c r="D2" s="1292" t="s">
        <v>90</v>
      </c>
      <c r="E2" s="1374" t="s">
        <v>80</v>
      </c>
    </row>
    <row r="3" spans="1:5" x14ac:dyDescent="0.2">
      <c r="A3" s="1293">
        <v>27606</v>
      </c>
      <c r="B3" s="1292"/>
      <c r="C3" s="1294"/>
      <c r="D3" s="1292"/>
    </row>
    <row r="4" spans="1:5" x14ac:dyDescent="0.2">
      <c r="A4" s="1293">
        <v>27637</v>
      </c>
      <c r="B4" s="1292"/>
      <c r="C4" s="1294"/>
      <c r="D4" s="1292"/>
    </row>
    <row r="5" spans="1:5" x14ac:dyDescent="0.2">
      <c r="A5" s="1293">
        <v>27667</v>
      </c>
      <c r="B5" s="1292"/>
      <c r="C5" s="1294"/>
      <c r="D5" s="1292"/>
    </row>
    <row r="6" spans="1:5" x14ac:dyDescent="0.2">
      <c r="A6" s="1293">
        <v>27698</v>
      </c>
      <c r="B6" s="1292"/>
      <c r="C6" s="1294"/>
      <c r="D6" s="1292"/>
    </row>
    <row r="7" spans="1:5" x14ac:dyDescent="0.2">
      <c r="A7" s="1293">
        <v>27728</v>
      </c>
      <c r="B7" s="1292"/>
      <c r="C7" s="1294"/>
      <c r="D7" s="1292"/>
    </row>
    <row r="8" spans="1:5" x14ac:dyDescent="0.2">
      <c r="A8" s="1293">
        <v>27759</v>
      </c>
      <c r="B8" s="1292"/>
      <c r="C8" s="1294"/>
      <c r="D8" s="1292"/>
    </row>
    <row r="9" spans="1:5" x14ac:dyDescent="0.2">
      <c r="A9" s="1293">
        <v>27790</v>
      </c>
      <c r="B9" s="1292"/>
      <c r="C9" s="1294"/>
      <c r="D9" s="1292"/>
    </row>
    <row r="10" spans="1:5" x14ac:dyDescent="0.2">
      <c r="A10" s="1293">
        <v>27819</v>
      </c>
      <c r="B10" s="1292"/>
      <c r="C10" s="1294"/>
      <c r="D10" s="1292"/>
    </row>
    <row r="11" spans="1:5" x14ac:dyDescent="0.2">
      <c r="A11" s="1293">
        <v>27850</v>
      </c>
      <c r="B11" s="1292"/>
      <c r="C11" s="1294"/>
      <c r="D11" s="1292"/>
    </row>
    <row r="12" spans="1:5" x14ac:dyDescent="0.2">
      <c r="A12" s="1293">
        <v>27880</v>
      </c>
      <c r="B12" s="1292"/>
      <c r="C12" s="1294"/>
      <c r="D12" s="1292"/>
    </row>
    <row r="13" spans="1:5" x14ac:dyDescent="0.2">
      <c r="A13" s="1293">
        <v>27911</v>
      </c>
      <c r="B13" s="1292"/>
      <c r="C13" s="1294"/>
      <c r="D13" s="1292"/>
    </row>
    <row r="14" spans="1:5" x14ac:dyDescent="0.2">
      <c r="A14" s="1293">
        <v>27941</v>
      </c>
      <c r="B14" s="1292"/>
      <c r="C14" s="1294"/>
      <c r="D14" s="1292"/>
    </row>
    <row r="15" spans="1:5" x14ac:dyDescent="0.2">
      <c r="A15" s="1293">
        <v>27972</v>
      </c>
      <c r="B15" s="1292"/>
      <c r="C15" s="1294"/>
      <c r="D15" s="1292"/>
    </row>
    <row r="16" spans="1:5" x14ac:dyDescent="0.2">
      <c r="A16" s="1293">
        <v>28003</v>
      </c>
      <c r="B16" s="1292"/>
      <c r="C16" s="1294"/>
      <c r="D16" s="1292"/>
    </row>
    <row r="17" spans="1:4" x14ac:dyDescent="0.2">
      <c r="A17" s="1293">
        <v>28033</v>
      </c>
      <c r="B17" s="1292"/>
      <c r="C17" s="1294"/>
      <c r="D17" s="1292"/>
    </row>
    <row r="18" spans="1:4" x14ac:dyDescent="0.2">
      <c r="A18" s="1293">
        <v>28064</v>
      </c>
      <c r="B18" s="1292"/>
      <c r="C18" s="1294"/>
      <c r="D18" s="1292"/>
    </row>
    <row r="19" spans="1:4" x14ac:dyDescent="0.2">
      <c r="A19" s="1293">
        <v>28094</v>
      </c>
      <c r="B19" s="1292"/>
      <c r="C19" s="1294"/>
      <c r="D19" s="1292"/>
    </row>
    <row r="20" spans="1:4" x14ac:dyDescent="0.2">
      <c r="A20" s="1293">
        <v>28125</v>
      </c>
      <c r="B20" s="1292"/>
      <c r="C20" s="1294"/>
      <c r="D20" s="1292"/>
    </row>
    <row r="21" spans="1:4" x14ac:dyDescent="0.2">
      <c r="A21" s="1293">
        <v>28156</v>
      </c>
      <c r="B21" s="1292"/>
      <c r="C21" s="1294"/>
      <c r="D21" s="1292"/>
    </row>
    <row r="22" spans="1:4" x14ac:dyDescent="0.2">
      <c r="A22" s="1293">
        <v>28184</v>
      </c>
      <c r="B22" s="1292"/>
      <c r="C22" s="1294"/>
      <c r="D22" s="1292"/>
    </row>
    <row r="23" spans="1:4" x14ac:dyDescent="0.2">
      <c r="A23" s="1293">
        <v>28215</v>
      </c>
      <c r="B23" s="1292"/>
      <c r="C23" s="1294"/>
      <c r="D23" s="1292"/>
    </row>
    <row r="24" spans="1:4" x14ac:dyDescent="0.2">
      <c r="A24" s="1293">
        <v>28245</v>
      </c>
      <c r="B24" s="1292"/>
      <c r="C24" s="1294"/>
      <c r="D24" s="1292"/>
    </row>
    <row r="25" spans="1:4" x14ac:dyDescent="0.2">
      <c r="A25" s="1293">
        <v>28276</v>
      </c>
      <c r="B25" s="1292"/>
      <c r="C25" s="1294"/>
      <c r="D25" s="1292"/>
    </row>
    <row r="26" spans="1:4" x14ac:dyDescent="0.2">
      <c r="A26" s="1293">
        <v>28306</v>
      </c>
      <c r="B26" s="1292"/>
      <c r="C26" s="1294"/>
      <c r="D26" s="1292"/>
    </row>
    <row r="27" spans="1:4" x14ac:dyDescent="0.2">
      <c r="A27" s="1293">
        <v>28337</v>
      </c>
      <c r="B27" s="1292"/>
      <c r="C27" s="1294"/>
      <c r="D27" s="1292"/>
    </row>
    <row r="28" spans="1:4" x14ac:dyDescent="0.2">
      <c r="A28" s="1293">
        <v>28368</v>
      </c>
      <c r="B28" s="1292"/>
      <c r="C28" s="1294"/>
      <c r="D28" s="1292"/>
    </row>
    <row r="29" spans="1:4" x14ac:dyDescent="0.2">
      <c r="A29" s="1293">
        <v>28398</v>
      </c>
      <c r="B29" s="1292"/>
      <c r="C29" s="1294"/>
      <c r="D29" s="1292"/>
    </row>
    <row r="30" spans="1:4" x14ac:dyDescent="0.2">
      <c r="A30" s="1293">
        <v>28429</v>
      </c>
      <c r="B30" s="1292"/>
      <c r="C30" s="1294"/>
      <c r="D30" s="1292"/>
    </row>
    <row r="31" spans="1:4" x14ac:dyDescent="0.2">
      <c r="A31" s="1293">
        <v>28459</v>
      </c>
      <c r="B31" s="1292"/>
      <c r="C31" s="1294"/>
      <c r="D31" s="1292"/>
    </row>
    <row r="32" spans="1:4" x14ac:dyDescent="0.2">
      <c r="A32" s="1293">
        <v>28490</v>
      </c>
      <c r="B32" s="1292"/>
      <c r="C32" s="1294"/>
      <c r="D32" s="1292"/>
    </row>
    <row r="33" spans="1:4" x14ac:dyDescent="0.2">
      <c r="A33" s="1293">
        <v>28521</v>
      </c>
      <c r="B33" s="1292"/>
      <c r="C33" s="1294"/>
      <c r="D33" s="1292"/>
    </row>
    <row r="34" spans="1:4" x14ac:dyDescent="0.2">
      <c r="A34" s="1293">
        <v>28549</v>
      </c>
      <c r="B34" s="1292"/>
      <c r="C34" s="1294"/>
      <c r="D34" s="1292"/>
    </row>
    <row r="35" spans="1:4" x14ac:dyDescent="0.2">
      <c r="A35" s="1293">
        <v>28580</v>
      </c>
      <c r="B35" s="1292"/>
      <c r="C35" s="1294"/>
      <c r="D35" s="1292"/>
    </row>
    <row r="36" spans="1:4" x14ac:dyDescent="0.2">
      <c r="A36" s="1293">
        <v>28610</v>
      </c>
      <c r="B36" s="1292"/>
      <c r="C36" s="1294"/>
      <c r="D36" s="1292"/>
    </row>
    <row r="37" spans="1:4" x14ac:dyDescent="0.2">
      <c r="A37" s="1293">
        <v>28641</v>
      </c>
      <c r="B37" s="1292"/>
      <c r="C37" s="1294"/>
      <c r="D37" s="1292"/>
    </row>
    <row r="38" spans="1:4" x14ac:dyDescent="0.2">
      <c r="A38" s="1293">
        <v>28671</v>
      </c>
      <c r="B38" s="1292"/>
      <c r="C38" s="1294"/>
      <c r="D38" s="1292"/>
    </row>
    <row r="39" spans="1:4" x14ac:dyDescent="0.2">
      <c r="A39" s="1293">
        <v>28702</v>
      </c>
      <c r="B39" s="1292"/>
      <c r="C39" s="1294"/>
      <c r="D39" s="1292"/>
    </row>
    <row r="40" spans="1:4" x14ac:dyDescent="0.2">
      <c r="A40" s="1293">
        <v>28733</v>
      </c>
      <c r="B40" s="1292"/>
      <c r="C40" s="1294"/>
      <c r="D40" s="1292"/>
    </row>
    <row r="41" spans="1:4" x14ac:dyDescent="0.2">
      <c r="A41" s="1293">
        <v>28763</v>
      </c>
      <c r="B41" s="1292"/>
      <c r="C41" s="1294"/>
      <c r="D41" s="1292"/>
    </row>
    <row r="42" spans="1:4" x14ac:dyDescent="0.2">
      <c r="A42" s="1293">
        <v>28794</v>
      </c>
      <c r="B42" s="1292"/>
      <c r="C42" s="1294"/>
      <c r="D42" s="1292"/>
    </row>
    <row r="43" spans="1:4" x14ac:dyDescent="0.2">
      <c r="A43" s="1293">
        <v>28824</v>
      </c>
      <c r="B43" s="1292"/>
      <c r="C43" s="1294"/>
      <c r="D43" s="1292"/>
    </row>
    <row r="44" spans="1:4" x14ac:dyDescent="0.2">
      <c r="A44" s="1293">
        <v>28855</v>
      </c>
      <c r="B44" s="1292"/>
      <c r="C44" s="1294"/>
      <c r="D44" s="1292"/>
    </row>
    <row r="45" spans="1:4" x14ac:dyDescent="0.2">
      <c r="A45" s="1293">
        <v>28886</v>
      </c>
      <c r="B45" s="1292"/>
      <c r="C45" s="1294"/>
      <c r="D45" s="1292"/>
    </row>
    <row r="46" spans="1:4" x14ac:dyDescent="0.2">
      <c r="A46" s="1293">
        <v>28914</v>
      </c>
      <c r="B46" s="1292"/>
      <c r="C46" s="1294"/>
      <c r="D46" s="1292"/>
    </row>
    <row r="47" spans="1:4" x14ac:dyDescent="0.2">
      <c r="A47" s="1293">
        <v>28945</v>
      </c>
      <c r="B47" s="1292"/>
      <c r="C47" s="1294"/>
      <c r="D47" s="1292"/>
    </row>
    <row r="48" spans="1:4" x14ac:dyDescent="0.2">
      <c r="A48" s="1293">
        <v>28975</v>
      </c>
      <c r="B48" s="1292"/>
      <c r="C48" s="1294"/>
      <c r="D48" s="1292"/>
    </row>
    <row r="49" spans="1:4" x14ac:dyDescent="0.2">
      <c r="A49" s="1293">
        <v>29006</v>
      </c>
      <c r="B49" s="1292"/>
      <c r="C49" s="1294"/>
      <c r="D49" s="1292"/>
    </row>
    <row r="50" spans="1:4" x14ac:dyDescent="0.2">
      <c r="A50" s="1293">
        <v>29036</v>
      </c>
      <c r="B50" s="1292"/>
      <c r="C50" s="1294"/>
      <c r="D50" s="1292"/>
    </row>
    <row r="51" spans="1:4" x14ac:dyDescent="0.2">
      <c r="A51" s="1293">
        <v>29067</v>
      </c>
      <c r="B51" s="1292"/>
      <c r="C51" s="1294"/>
      <c r="D51" s="1292"/>
    </row>
    <row r="52" spans="1:4" x14ac:dyDescent="0.2">
      <c r="A52" s="1293">
        <v>29098</v>
      </c>
      <c r="B52" s="1292"/>
      <c r="C52" s="1294"/>
      <c r="D52" s="1292"/>
    </row>
    <row r="53" spans="1:4" x14ac:dyDescent="0.2">
      <c r="A53" s="1293">
        <v>29128</v>
      </c>
      <c r="B53" s="1292"/>
      <c r="C53" s="1294"/>
      <c r="D53" s="1292"/>
    </row>
    <row r="54" spans="1:4" x14ac:dyDescent="0.2">
      <c r="A54" s="1293">
        <v>29159</v>
      </c>
      <c r="B54" s="1292"/>
      <c r="C54" s="1294"/>
      <c r="D54" s="1292"/>
    </row>
    <row r="55" spans="1:4" x14ac:dyDescent="0.2">
      <c r="A55" s="1293">
        <v>29189</v>
      </c>
      <c r="B55" s="1292"/>
      <c r="C55" s="1294"/>
      <c r="D55" s="1292"/>
    </row>
    <row r="56" spans="1:4" x14ac:dyDescent="0.2">
      <c r="A56" s="1293">
        <v>29220</v>
      </c>
      <c r="B56" s="1292"/>
      <c r="C56" s="1294"/>
      <c r="D56" s="1292"/>
    </row>
    <row r="57" spans="1:4" x14ac:dyDescent="0.2">
      <c r="A57" s="1293">
        <v>29251</v>
      </c>
      <c r="B57" s="1292"/>
      <c r="C57" s="1294"/>
      <c r="D57" s="1292"/>
    </row>
    <row r="58" spans="1:4" x14ac:dyDescent="0.2">
      <c r="A58" s="1293">
        <v>29280</v>
      </c>
      <c r="B58" s="1292"/>
      <c r="C58" s="1294"/>
      <c r="D58" s="1292"/>
    </row>
    <row r="59" spans="1:4" x14ac:dyDescent="0.2">
      <c r="A59" s="1293">
        <v>29311</v>
      </c>
      <c r="B59" s="1292"/>
      <c r="C59" s="1294"/>
      <c r="D59" s="1292"/>
    </row>
    <row r="60" spans="1:4" x14ac:dyDescent="0.2">
      <c r="A60" s="1293">
        <v>29341</v>
      </c>
      <c r="B60" s="1292"/>
      <c r="C60" s="1294"/>
      <c r="D60" s="1292"/>
    </row>
    <row r="61" spans="1:4" x14ac:dyDescent="0.2">
      <c r="A61" s="1293">
        <v>29372</v>
      </c>
      <c r="B61" s="1292"/>
      <c r="C61" s="1294"/>
      <c r="D61" s="1292"/>
    </row>
    <row r="62" spans="1:4" x14ac:dyDescent="0.2">
      <c r="A62" s="1293">
        <v>29402</v>
      </c>
      <c r="B62" s="1292"/>
      <c r="C62" s="1294"/>
      <c r="D62" s="1292"/>
    </row>
    <row r="63" spans="1:4" x14ac:dyDescent="0.2">
      <c r="A63" s="1293">
        <v>29433</v>
      </c>
      <c r="B63" s="1292"/>
      <c r="C63" s="1294"/>
      <c r="D63" s="1292"/>
    </row>
    <row r="64" spans="1:4" x14ac:dyDescent="0.2">
      <c r="A64" s="1293">
        <v>29464</v>
      </c>
      <c r="B64" s="1292"/>
      <c r="C64" s="1294"/>
      <c r="D64" s="1292"/>
    </row>
    <row r="65" spans="1:4" x14ac:dyDescent="0.2">
      <c r="A65" s="1293">
        <v>29494</v>
      </c>
      <c r="B65" s="1292"/>
      <c r="C65" s="1294"/>
      <c r="D65" s="1292"/>
    </row>
    <row r="66" spans="1:4" x14ac:dyDescent="0.2">
      <c r="A66" s="1293">
        <v>29525</v>
      </c>
      <c r="B66" s="1292"/>
      <c r="C66" s="1294"/>
      <c r="D66" s="1292"/>
    </row>
    <row r="67" spans="1:4" x14ac:dyDescent="0.2">
      <c r="A67" s="1293">
        <v>29555</v>
      </c>
      <c r="B67" s="1292"/>
      <c r="C67" s="1294"/>
      <c r="D67" s="1292"/>
    </row>
    <row r="68" spans="1:4" x14ac:dyDescent="0.2">
      <c r="A68" s="1293">
        <v>29586</v>
      </c>
      <c r="B68" s="1292"/>
      <c r="C68" s="1294"/>
      <c r="D68" s="1292"/>
    </row>
    <row r="69" spans="1:4" x14ac:dyDescent="0.2">
      <c r="A69" s="1293">
        <v>29617</v>
      </c>
      <c r="B69" s="1292"/>
      <c r="C69" s="1294"/>
      <c r="D69" s="1292"/>
    </row>
    <row r="70" spans="1:4" x14ac:dyDescent="0.2">
      <c r="A70" s="1293">
        <v>29645</v>
      </c>
      <c r="B70" s="1292"/>
      <c r="C70" s="1294"/>
      <c r="D70" s="1292"/>
    </row>
    <row r="71" spans="1:4" x14ac:dyDescent="0.2">
      <c r="A71" s="1293">
        <v>29676</v>
      </c>
      <c r="B71" s="1292"/>
      <c r="C71" s="1294"/>
      <c r="D71" s="1292"/>
    </row>
    <row r="72" spans="1:4" x14ac:dyDescent="0.2">
      <c r="A72" s="1293">
        <v>29706</v>
      </c>
      <c r="B72" s="1292"/>
      <c r="C72" s="1294"/>
      <c r="D72" s="1292"/>
    </row>
    <row r="73" spans="1:4" x14ac:dyDescent="0.2">
      <c r="A73" s="1293">
        <v>29737</v>
      </c>
      <c r="B73" s="1292"/>
      <c r="C73" s="1294"/>
      <c r="D73" s="1292"/>
    </row>
    <row r="74" spans="1:4" x14ac:dyDescent="0.2">
      <c r="A74" s="1293">
        <v>29767</v>
      </c>
      <c r="B74" s="1292"/>
      <c r="C74" s="1294"/>
      <c r="D74" s="1292"/>
    </row>
    <row r="75" spans="1:4" x14ac:dyDescent="0.2">
      <c r="A75" s="1293">
        <v>29798</v>
      </c>
      <c r="B75" s="1292"/>
      <c r="C75" s="1294"/>
      <c r="D75" s="1292"/>
    </row>
    <row r="76" spans="1:4" x14ac:dyDescent="0.2">
      <c r="A76" s="1293">
        <v>29829</v>
      </c>
      <c r="B76" s="1292"/>
      <c r="C76" s="1294"/>
      <c r="D76" s="1292"/>
    </row>
    <row r="77" spans="1:4" x14ac:dyDescent="0.2">
      <c r="A77" s="1293">
        <v>29859</v>
      </c>
      <c r="B77" s="1292"/>
      <c r="C77" s="1294"/>
      <c r="D77" s="1292"/>
    </row>
    <row r="78" spans="1:4" x14ac:dyDescent="0.2">
      <c r="A78" s="1293">
        <v>29890</v>
      </c>
      <c r="B78" s="1292"/>
      <c r="C78" s="1294"/>
      <c r="D78" s="1292"/>
    </row>
    <row r="79" spans="1:4" x14ac:dyDescent="0.2">
      <c r="A79" s="1293">
        <v>29920</v>
      </c>
      <c r="B79" s="1292"/>
      <c r="C79" s="1294"/>
      <c r="D79" s="1292"/>
    </row>
    <row r="80" spans="1:4" x14ac:dyDescent="0.2">
      <c r="A80" s="1293">
        <v>29951</v>
      </c>
      <c r="B80" s="1292"/>
      <c r="C80" s="1294"/>
      <c r="D80" s="1292"/>
    </row>
    <row r="81" spans="1:4" x14ac:dyDescent="0.2">
      <c r="A81" s="1293">
        <v>29982</v>
      </c>
      <c r="B81" s="1292"/>
      <c r="C81" s="1294"/>
      <c r="D81" s="1292"/>
    </row>
    <row r="82" spans="1:4" x14ac:dyDescent="0.2">
      <c r="A82" s="1293">
        <v>30010</v>
      </c>
      <c r="B82" s="1292"/>
      <c r="C82" s="1294"/>
      <c r="D82" s="1292"/>
    </row>
    <row r="83" spans="1:4" x14ac:dyDescent="0.2">
      <c r="A83" s="1293">
        <v>30041</v>
      </c>
      <c r="B83" s="1292"/>
      <c r="C83" s="1294"/>
      <c r="D83" s="1292"/>
    </row>
    <row r="84" spans="1:4" x14ac:dyDescent="0.2">
      <c r="A84" s="1293">
        <v>30071</v>
      </c>
      <c r="B84" s="1292"/>
      <c r="C84" s="1294"/>
      <c r="D84" s="1292"/>
    </row>
    <row r="85" spans="1:4" x14ac:dyDescent="0.2">
      <c r="A85" s="1293">
        <v>30102</v>
      </c>
      <c r="B85" s="1292"/>
      <c r="C85" s="1294"/>
      <c r="D85" s="1292"/>
    </row>
    <row r="86" spans="1:4" x14ac:dyDescent="0.2">
      <c r="A86" s="1293">
        <v>30132</v>
      </c>
      <c r="B86" s="1292"/>
      <c r="C86" s="1294"/>
      <c r="D86" s="1292"/>
    </row>
    <row r="87" spans="1:4" x14ac:dyDescent="0.2">
      <c r="A87" s="1293">
        <v>30163</v>
      </c>
      <c r="B87" s="1292"/>
      <c r="C87" s="1294"/>
      <c r="D87" s="1292"/>
    </row>
    <row r="88" spans="1:4" x14ac:dyDescent="0.2">
      <c r="A88" s="1293">
        <v>30194</v>
      </c>
      <c r="B88" s="1292"/>
      <c r="C88" s="1294"/>
      <c r="D88" s="1292"/>
    </row>
    <row r="89" spans="1:4" x14ac:dyDescent="0.2">
      <c r="A89" s="1293">
        <v>30224</v>
      </c>
      <c r="B89" s="1292"/>
      <c r="C89" s="1294"/>
      <c r="D89" s="1292"/>
    </row>
    <row r="90" spans="1:4" x14ac:dyDescent="0.2">
      <c r="A90" s="1293">
        <v>30255</v>
      </c>
      <c r="B90" s="1292"/>
      <c r="C90" s="1294"/>
      <c r="D90" s="1292"/>
    </row>
    <row r="91" spans="1:4" x14ac:dyDescent="0.2">
      <c r="A91" s="1293">
        <v>30285</v>
      </c>
      <c r="B91" s="1292"/>
      <c r="C91" s="1294"/>
      <c r="D91" s="1292"/>
    </row>
    <row r="92" spans="1:4" x14ac:dyDescent="0.2">
      <c r="A92" s="1293">
        <v>30316</v>
      </c>
      <c r="B92" s="1292"/>
      <c r="C92" s="1294"/>
      <c r="D92" s="1292"/>
    </row>
    <row r="93" spans="1:4" x14ac:dyDescent="0.2">
      <c r="A93" s="1293">
        <v>30347</v>
      </c>
      <c r="B93" s="1292"/>
      <c r="C93" s="1294"/>
      <c r="D93" s="1292"/>
    </row>
    <row r="94" spans="1:4" x14ac:dyDescent="0.2">
      <c r="A94" s="1293">
        <v>30375</v>
      </c>
      <c r="B94" s="1292"/>
      <c r="C94" s="1294"/>
      <c r="D94" s="1292"/>
    </row>
    <row r="95" spans="1:4" x14ac:dyDescent="0.2">
      <c r="A95" s="1293">
        <v>30406</v>
      </c>
      <c r="B95" s="1292"/>
      <c r="C95" s="1294"/>
      <c r="D95" s="1292"/>
    </row>
    <row r="96" spans="1:4" x14ac:dyDescent="0.2">
      <c r="A96" s="1293">
        <v>30436</v>
      </c>
      <c r="B96" s="1292"/>
      <c r="C96" s="1294"/>
      <c r="D96" s="1292"/>
    </row>
    <row r="97" spans="1:4" x14ac:dyDescent="0.2">
      <c r="A97" s="1293">
        <v>30467</v>
      </c>
      <c r="B97" s="1292"/>
      <c r="C97" s="1294"/>
      <c r="D97" s="1292"/>
    </row>
    <row r="98" spans="1:4" x14ac:dyDescent="0.2">
      <c r="A98" s="1293">
        <v>30497</v>
      </c>
      <c r="B98" s="1292"/>
      <c r="C98" s="1294"/>
      <c r="D98" s="1292"/>
    </row>
    <row r="99" spans="1:4" x14ac:dyDescent="0.2">
      <c r="A99" s="1293">
        <v>30528</v>
      </c>
      <c r="B99" s="1292"/>
      <c r="C99" s="1294"/>
      <c r="D99" s="1292"/>
    </row>
    <row r="100" spans="1:4" x14ac:dyDescent="0.2">
      <c r="A100" s="1293">
        <v>30559</v>
      </c>
      <c r="B100" s="1292"/>
      <c r="C100" s="1294"/>
      <c r="D100" s="1292"/>
    </row>
    <row r="101" spans="1:4" x14ac:dyDescent="0.2">
      <c r="A101" s="1293">
        <v>30589</v>
      </c>
      <c r="B101" s="1292"/>
      <c r="C101" s="1294"/>
      <c r="D101" s="1292"/>
    </row>
    <row r="102" spans="1:4" x14ac:dyDescent="0.2">
      <c r="A102" s="1293">
        <v>30620</v>
      </c>
      <c r="B102" s="1292"/>
      <c r="C102" s="1294"/>
      <c r="D102" s="1292"/>
    </row>
    <row r="103" spans="1:4" x14ac:dyDescent="0.2">
      <c r="A103" s="1293">
        <v>30650</v>
      </c>
      <c r="B103" s="1292"/>
      <c r="C103" s="1294"/>
      <c r="D103" s="1292"/>
    </row>
    <row r="104" spans="1:4" x14ac:dyDescent="0.2">
      <c r="A104" s="1293">
        <v>30681</v>
      </c>
      <c r="B104" s="1292"/>
      <c r="C104" s="1294"/>
      <c r="D104" s="1292"/>
    </row>
    <row r="105" spans="1:4" x14ac:dyDescent="0.2">
      <c r="A105" s="1293">
        <v>30712</v>
      </c>
      <c r="B105" s="1292"/>
      <c r="C105" s="1294"/>
      <c r="D105" s="1292"/>
    </row>
    <row r="106" spans="1:4" x14ac:dyDescent="0.2">
      <c r="A106" s="1293">
        <v>30741</v>
      </c>
      <c r="B106" s="1292"/>
      <c r="C106" s="1294"/>
      <c r="D106" s="1292"/>
    </row>
    <row r="107" spans="1:4" x14ac:dyDescent="0.2">
      <c r="A107" s="1293">
        <v>30772</v>
      </c>
      <c r="B107" s="1292"/>
      <c r="C107" s="1294"/>
      <c r="D107" s="1292"/>
    </row>
    <row r="108" spans="1:4" x14ac:dyDescent="0.2">
      <c r="A108" s="1293">
        <v>30802</v>
      </c>
      <c r="B108" s="1292"/>
      <c r="C108" s="1294"/>
      <c r="D108" s="1292"/>
    </row>
    <row r="109" spans="1:4" x14ac:dyDescent="0.2">
      <c r="A109" s="1293">
        <v>30833</v>
      </c>
      <c r="B109" s="1292"/>
      <c r="C109" s="1294"/>
      <c r="D109" s="1292"/>
    </row>
    <row r="110" spans="1:4" x14ac:dyDescent="0.2">
      <c r="A110" s="1293">
        <v>30863</v>
      </c>
      <c r="B110" s="1292"/>
      <c r="C110" s="1294"/>
      <c r="D110" s="1292"/>
    </row>
    <row r="111" spans="1:4" x14ac:dyDescent="0.2">
      <c r="A111" s="1293">
        <v>30894</v>
      </c>
      <c r="B111" s="1292"/>
      <c r="C111" s="1294"/>
      <c r="D111" s="1292"/>
    </row>
    <row r="112" spans="1:4" x14ac:dyDescent="0.2">
      <c r="A112" s="1293">
        <v>30925</v>
      </c>
      <c r="B112" s="1292"/>
      <c r="C112" s="1294"/>
      <c r="D112" s="1292"/>
    </row>
    <row r="113" spans="1:4" x14ac:dyDescent="0.2">
      <c r="A113" s="1293">
        <v>30955</v>
      </c>
      <c r="B113" s="1292"/>
      <c r="C113" s="1294"/>
      <c r="D113" s="1292"/>
    </row>
    <row r="114" spans="1:4" x14ac:dyDescent="0.2">
      <c r="A114" s="1293">
        <v>30986</v>
      </c>
      <c r="B114" s="1292"/>
      <c r="C114" s="1294"/>
      <c r="D114" s="1292"/>
    </row>
    <row r="115" spans="1:4" x14ac:dyDescent="0.2">
      <c r="A115" s="1293">
        <v>31016</v>
      </c>
      <c r="B115" s="1292"/>
      <c r="C115" s="1294"/>
      <c r="D115" s="1292"/>
    </row>
    <row r="116" spans="1:4" x14ac:dyDescent="0.2">
      <c r="A116" s="1293">
        <v>31047</v>
      </c>
      <c r="B116" s="1292"/>
      <c r="C116" s="1294"/>
      <c r="D116" s="1292"/>
    </row>
    <row r="117" spans="1:4" x14ac:dyDescent="0.2">
      <c r="A117" s="1293">
        <v>31078</v>
      </c>
      <c r="B117" s="1292"/>
      <c r="C117" s="1294"/>
      <c r="D117" s="1292"/>
    </row>
    <row r="118" spans="1:4" x14ac:dyDescent="0.2">
      <c r="A118" s="1293">
        <v>31106</v>
      </c>
      <c r="B118" s="1292"/>
      <c r="C118" s="1294"/>
      <c r="D118" s="1292"/>
    </row>
    <row r="119" spans="1:4" x14ac:dyDescent="0.2">
      <c r="A119" s="1293">
        <v>31137</v>
      </c>
      <c r="B119" s="1292"/>
      <c r="C119" s="1294"/>
      <c r="D119" s="1292"/>
    </row>
    <row r="120" spans="1:4" x14ac:dyDescent="0.2">
      <c r="A120" s="1293">
        <v>31167</v>
      </c>
      <c r="B120" s="1292"/>
      <c r="C120" s="1294"/>
      <c r="D120" s="1292"/>
    </row>
    <row r="121" spans="1:4" x14ac:dyDescent="0.2">
      <c r="A121" s="1293">
        <v>31198</v>
      </c>
      <c r="B121" s="1292"/>
      <c r="C121" s="1294"/>
      <c r="D121" s="1292"/>
    </row>
    <row r="122" spans="1:4" x14ac:dyDescent="0.2">
      <c r="A122" s="1293">
        <v>31228</v>
      </c>
      <c r="B122" s="1292"/>
      <c r="C122" s="1294"/>
      <c r="D122" s="1292"/>
    </row>
    <row r="123" spans="1:4" x14ac:dyDescent="0.2">
      <c r="A123" s="1293">
        <v>31259</v>
      </c>
      <c r="B123" s="1292"/>
      <c r="C123" s="1294"/>
      <c r="D123" s="1292"/>
    </row>
    <row r="124" spans="1:4" x14ac:dyDescent="0.2">
      <c r="A124" s="1293">
        <v>31290</v>
      </c>
      <c r="B124" s="1292"/>
      <c r="C124" s="1294"/>
      <c r="D124" s="1292"/>
    </row>
    <row r="125" spans="1:4" x14ac:dyDescent="0.2">
      <c r="A125" s="1293">
        <v>31320</v>
      </c>
      <c r="B125" s="1292"/>
      <c r="C125" s="1294"/>
      <c r="D125" s="1292"/>
    </row>
    <row r="126" spans="1:4" x14ac:dyDescent="0.2">
      <c r="A126" s="1293">
        <v>31351</v>
      </c>
      <c r="B126" s="1292"/>
      <c r="C126" s="1294"/>
      <c r="D126" s="1292"/>
    </row>
    <row r="127" spans="1:4" x14ac:dyDescent="0.2">
      <c r="A127" s="1293">
        <v>31381</v>
      </c>
      <c r="B127" s="1292"/>
      <c r="C127" s="1294"/>
      <c r="D127" s="1292"/>
    </row>
    <row r="128" spans="1:4" x14ac:dyDescent="0.2">
      <c r="A128" s="1293">
        <v>31412</v>
      </c>
      <c r="B128" s="1292"/>
      <c r="C128" s="1294"/>
      <c r="D128" s="1292"/>
    </row>
    <row r="129" spans="1:4" x14ac:dyDescent="0.2">
      <c r="A129" s="1293">
        <v>31443</v>
      </c>
      <c r="B129" s="1292"/>
      <c r="C129" s="1294"/>
      <c r="D129" s="1292"/>
    </row>
    <row r="130" spans="1:4" x14ac:dyDescent="0.2">
      <c r="A130" s="1293">
        <v>31471</v>
      </c>
      <c r="B130" s="1292"/>
      <c r="C130" s="1294"/>
      <c r="D130" s="1292"/>
    </row>
    <row r="131" spans="1:4" x14ac:dyDescent="0.2">
      <c r="A131" s="1293">
        <v>31502</v>
      </c>
      <c r="B131" s="1292"/>
      <c r="C131" s="1294"/>
      <c r="D131" s="1292"/>
    </row>
    <row r="132" spans="1:4" x14ac:dyDescent="0.2">
      <c r="A132" s="1293">
        <v>31532</v>
      </c>
      <c r="B132" s="1292"/>
      <c r="C132" s="1294"/>
      <c r="D132" s="1292"/>
    </row>
    <row r="133" spans="1:4" x14ac:dyDescent="0.2">
      <c r="A133" s="1293">
        <v>31563</v>
      </c>
      <c r="B133" s="1292"/>
      <c r="C133" s="1294"/>
      <c r="D133" s="1292"/>
    </row>
    <row r="134" spans="1:4" x14ac:dyDescent="0.2">
      <c r="A134" s="1293">
        <v>31593</v>
      </c>
      <c r="B134" s="1292"/>
      <c r="C134" s="1294"/>
      <c r="D134" s="1292"/>
    </row>
    <row r="135" spans="1:4" x14ac:dyDescent="0.2">
      <c r="A135" s="1293">
        <v>31624</v>
      </c>
      <c r="B135" s="1292"/>
      <c r="C135" s="1294"/>
      <c r="D135" s="1292"/>
    </row>
    <row r="136" spans="1:4" x14ac:dyDescent="0.2">
      <c r="A136" s="1293">
        <v>31655</v>
      </c>
      <c r="B136" s="1292"/>
      <c r="C136" s="1294"/>
      <c r="D136" s="1292"/>
    </row>
    <row r="137" spans="1:4" x14ac:dyDescent="0.2">
      <c r="A137" s="1293">
        <v>31685</v>
      </c>
      <c r="B137" s="1292"/>
      <c r="C137" s="1294"/>
      <c r="D137" s="1292"/>
    </row>
    <row r="138" spans="1:4" x14ac:dyDescent="0.2">
      <c r="A138" s="1293">
        <v>31716</v>
      </c>
      <c r="B138" s="1292"/>
      <c r="C138" s="1294"/>
      <c r="D138" s="1292"/>
    </row>
    <row r="139" spans="1:4" x14ac:dyDescent="0.2">
      <c r="A139" s="1293">
        <v>31746</v>
      </c>
      <c r="B139" s="1292"/>
      <c r="C139" s="1294"/>
      <c r="D139" s="1292"/>
    </row>
    <row r="140" spans="1:4" x14ac:dyDescent="0.2">
      <c r="A140" s="1293">
        <v>31777</v>
      </c>
      <c r="B140" s="1292"/>
      <c r="C140" s="1294"/>
      <c r="D140" s="1292"/>
    </row>
    <row r="141" spans="1:4" x14ac:dyDescent="0.2">
      <c r="A141" s="1293">
        <v>31808</v>
      </c>
      <c r="B141" s="1295"/>
      <c r="C141" s="1296"/>
      <c r="D141" s="1295"/>
    </row>
    <row r="142" spans="1:4" x14ac:dyDescent="0.2">
      <c r="A142" s="1293">
        <v>31836</v>
      </c>
      <c r="B142" s="1295"/>
      <c r="C142" s="1296"/>
      <c r="D142" s="1295"/>
    </row>
    <row r="143" spans="1:4" x14ac:dyDescent="0.2">
      <c r="A143" s="1293">
        <v>31867</v>
      </c>
      <c r="B143" s="1295"/>
      <c r="C143" s="1296"/>
      <c r="D143" s="1295"/>
    </row>
    <row r="144" spans="1:4" x14ac:dyDescent="0.2">
      <c r="A144" s="1293">
        <v>31897</v>
      </c>
      <c r="B144" s="1295"/>
      <c r="C144" s="1296"/>
      <c r="D144" s="1295"/>
    </row>
    <row r="145" spans="1:4" x14ac:dyDescent="0.2">
      <c r="A145" s="1293">
        <v>31928</v>
      </c>
      <c r="B145" s="1295"/>
      <c r="C145" s="1296"/>
      <c r="D145" s="1295"/>
    </row>
    <row r="146" spans="1:4" x14ac:dyDescent="0.2">
      <c r="A146" s="1293">
        <v>31958</v>
      </c>
      <c r="B146" s="1295"/>
      <c r="C146" s="1296"/>
      <c r="D146" s="1295"/>
    </row>
    <row r="147" spans="1:4" x14ac:dyDescent="0.2">
      <c r="A147" s="1293">
        <v>31989</v>
      </c>
      <c r="B147" s="1295"/>
      <c r="C147" s="1296"/>
      <c r="D147" s="1295"/>
    </row>
    <row r="148" spans="1:4" x14ac:dyDescent="0.2">
      <c r="A148" s="1293">
        <v>32020</v>
      </c>
      <c r="B148" s="1295"/>
      <c r="C148" s="1296"/>
      <c r="D148" s="1295"/>
    </row>
    <row r="149" spans="1:4" x14ac:dyDescent="0.2">
      <c r="A149" s="1293">
        <v>32050</v>
      </c>
      <c r="B149" s="1295"/>
      <c r="C149" s="1296"/>
      <c r="D149" s="1295"/>
    </row>
    <row r="150" spans="1:4" x14ac:dyDescent="0.2">
      <c r="A150" s="1293">
        <v>32081</v>
      </c>
      <c r="B150" s="1295"/>
      <c r="C150" s="1296"/>
      <c r="D150" s="1295"/>
    </row>
    <row r="151" spans="1:4" x14ac:dyDescent="0.2">
      <c r="A151" s="1293">
        <v>32111</v>
      </c>
      <c r="B151" s="1295"/>
      <c r="C151" s="1296"/>
      <c r="D151" s="1295"/>
    </row>
    <row r="152" spans="1:4" x14ac:dyDescent="0.2">
      <c r="A152" s="1293">
        <v>32142</v>
      </c>
      <c r="B152" s="1295"/>
      <c r="C152" s="1296"/>
      <c r="D152" s="1295"/>
    </row>
    <row r="153" spans="1:4" x14ac:dyDescent="0.2">
      <c r="A153" s="1293">
        <v>32173</v>
      </c>
      <c r="B153" s="1295"/>
      <c r="C153" s="1296"/>
      <c r="D153" s="1295"/>
    </row>
    <row r="154" spans="1:4" x14ac:dyDescent="0.2">
      <c r="A154" s="1293">
        <v>32202</v>
      </c>
      <c r="B154" s="1295"/>
      <c r="C154" s="1296"/>
      <c r="D154" s="1295"/>
    </row>
    <row r="155" spans="1:4" x14ac:dyDescent="0.2">
      <c r="A155" s="1293">
        <v>32233</v>
      </c>
      <c r="B155" s="1295"/>
      <c r="C155" s="1296"/>
      <c r="D155" s="1295"/>
    </row>
    <row r="156" spans="1:4" x14ac:dyDescent="0.2">
      <c r="A156" s="1293">
        <v>32263</v>
      </c>
      <c r="B156" s="1295"/>
      <c r="C156" s="1296"/>
      <c r="D156" s="1295"/>
    </row>
    <row r="157" spans="1:4" x14ac:dyDescent="0.2">
      <c r="A157" s="1293">
        <v>32294</v>
      </c>
      <c r="B157" s="1295"/>
      <c r="C157" s="1296"/>
      <c r="D157" s="1295"/>
    </row>
    <row r="158" spans="1:4" x14ac:dyDescent="0.2">
      <c r="A158" s="1293">
        <v>32324</v>
      </c>
      <c r="B158" s="1295"/>
      <c r="C158" s="1296"/>
      <c r="D158" s="1295"/>
    </row>
    <row r="159" spans="1:4" x14ac:dyDescent="0.2">
      <c r="A159" s="1293">
        <v>32355</v>
      </c>
      <c r="B159" s="1295"/>
      <c r="C159" s="1296"/>
      <c r="D159" s="1295"/>
    </row>
    <row r="160" spans="1:4" x14ac:dyDescent="0.2">
      <c r="A160" s="1293">
        <v>32386</v>
      </c>
      <c r="B160" s="1295"/>
      <c r="C160" s="1296"/>
      <c r="D160" s="1295"/>
    </row>
    <row r="161" spans="1:4" x14ac:dyDescent="0.2">
      <c r="A161" s="1293">
        <v>32416</v>
      </c>
      <c r="B161" s="1295"/>
      <c r="C161" s="1296"/>
      <c r="D161" s="1295"/>
    </row>
    <row r="162" spans="1:4" x14ac:dyDescent="0.2">
      <c r="A162" s="1293">
        <v>32447</v>
      </c>
      <c r="B162" s="1295"/>
      <c r="C162" s="1296"/>
      <c r="D162" s="1295"/>
    </row>
    <row r="163" spans="1:4" x14ac:dyDescent="0.2">
      <c r="A163" s="1293">
        <v>32477</v>
      </c>
      <c r="B163" s="1295"/>
      <c r="C163" s="1296"/>
      <c r="D163" s="1295"/>
    </row>
    <row r="164" spans="1:4" x14ac:dyDescent="0.2">
      <c r="A164" s="1293">
        <v>32508</v>
      </c>
      <c r="B164" s="1295"/>
      <c r="C164" s="1296"/>
      <c r="D164" s="1295"/>
    </row>
    <row r="165" spans="1:4" x14ac:dyDescent="0.2">
      <c r="A165" s="1293">
        <v>32539</v>
      </c>
      <c r="B165" s="1295"/>
      <c r="C165" s="1296"/>
      <c r="D165" s="1295"/>
    </row>
    <row r="166" spans="1:4" x14ac:dyDescent="0.2">
      <c r="A166" s="1293">
        <v>32567</v>
      </c>
      <c r="B166" s="1295"/>
      <c r="C166" s="1296"/>
      <c r="D166" s="1295"/>
    </row>
    <row r="167" spans="1:4" x14ac:dyDescent="0.2">
      <c r="A167" s="1293">
        <v>32598</v>
      </c>
      <c r="B167" s="1295"/>
      <c r="C167" s="1296"/>
      <c r="D167" s="1295"/>
    </row>
    <row r="168" spans="1:4" x14ac:dyDescent="0.2">
      <c r="A168" s="1293">
        <v>32628</v>
      </c>
      <c r="B168" s="1295"/>
      <c r="C168" s="1296"/>
      <c r="D168" s="1295"/>
    </row>
    <row r="169" spans="1:4" x14ac:dyDescent="0.2">
      <c r="A169" s="1293">
        <v>32659</v>
      </c>
      <c r="B169" s="1295"/>
      <c r="C169" s="1296"/>
      <c r="D169" s="1295"/>
    </row>
    <row r="170" spans="1:4" x14ac:dyDescent="0.2">
      <c r="A170" s="1293">
        <v>32689</v>
      </c>
      <c r="B170" s="1295"/>
      <c r="C170" s="1296"/>
      <c r="D170" s="1295"/>
    </row>
    <row r="171" spans="1:4" x14ac:dyDescent="0.2">
      <c r="A171" s="1293">
        <v>32720</v>
      </c>
      <c r="B171" s="1295"/>
      <c r="C171" s="1296"/>
      <c r="D171" s="1295"/>
    </row>
    <row r="172" spans="1:4" x14ac:dyDescent="0.2">
      <c r="A172" s="1293">
        <v>32751</v>
      </c>
      <c r="B172" s="1295"/>
      <c r="C172" s="1296"/>
      <c r="D172" s="1295"/>
    </row>
    <row r="173" spans="1:4" x14ac:dyDescent="0.2">
      <c r="A173" s="1293">
        <v>32781</v>
      </c>
      <c r="B173" s="1295"/>
      <c r="C173" s="1296"/>
      <c r="D173" s="1295"/>
    </row>
    <row r="174" spans="1:4" x14ac:dyDescent="0.2">
      <c r="A174" s="1293">
        <v>32812</v>
      </c>
      <c r="B174" s="1295"/>
      <c r="C174" s="1296"/>
      <c r="D174" s="1295"/>
    </row>
    <row r="175" spans="1:4" x14ac:dyDescent="0.2">
      <c r="A175" s="1293">
        <v>32842</v>
      </c>
      <c r="B175" s="1295"/>
      <c r="C175" s="1296"/>
      <c r="D175" s="1295"/>
    </row>
    <row r="176" spans="1:4" x14ac:dyDescent="0.2">
      <c r="A176" s="1293">
        <v>32873</v>
      </c>
      <c r="B176" s="1295"/>
      <c r="C176" s="1296"/>
      <c r="D176" s="1295"/>
    </row>
    <row r="177" spans="1:4" x14ac:dyDescent="0.2">
      <c r="A177" s="1293">
        <v>32904</v>
      </c>
      <c r="B177" s="1295"/>
      <c r="C177" s="1296"/>
      <c r="D177" s="1295"/>
    </row>
    <row r="178" spans="1:4" x14ac:dyDescent="0.2">
      <c r="A178" s="1293">
        <v>32932</v>
      </c>
      <c r="B178" s="1295"/>
      <c r="C178" s="1296"/>
      <c r="D178" s="1295"/>
    </row>
    <row r="179" spans="1:4" x14ac:dyDescent="0.2">
      <c r="A179" s="1293">
        <v>32963</v>
      </c>
      <c r="B179" s="1295"/>
      <c r="C179" s="1296"/>
      <c r="D179" s="1295"/>
    </row>
    <row r="180" spans="1:4" x14ac:dyDescent="0.2">
      <c r="A180" s="1293">
        <v>32993</v>
      </c>
      <c r="B180" s="1295"/>
      <c r="C180" s="1296"/>
      <c r="D180" s="1295"/>
    </row>
    <row r="181" spans="1:4" x14ac:dyDescent="0.2">
      <c r="A181" s="1293">
        <v>33024</v>
      </c>
      <c r="B181" s="1295"/>
      <c r="C181" s="1296"/>
      <c r="D181" s="1295"/>
    </row>
    <row r="182" spans="1:4" x14ac:dyDescent="0.2">
      <c r="A182" s="1293">
        <v>33054</v>
      </c>
      <c r="B182" s="1295"/>
      <c r="C182" s="1296"/>
      <c r="D182" s="1295"/>
    </row>
    <row r="183" spans="1:4" x14ac:dyDescent="0.2">
      <c r="A183" s="1293">
        <v>33085</v>
      </c>
      <c r="B183" s="1295"/>
      <c r="C183" s="1296"/>
      <c r="D183" s="1295"/>
    </row>
    <row r="184" spans="1:4" x14ac:dyDescent="0.2">
      <c r="A184" s="1293">
        <v>33116</v>
      </c>
      <c r="B184" s="1295"/>
      <c r="C184" s="1296"/>
      <c r="D184" s="1295"/>
    </row>
    <row r="185" spans="1:4" x14ac:dyDescent="0.2">
      <c r="A185" s="1293">
        <v>33146</v>
      </c>
      <c r="B185" s="1295"/>
      <c r="C185" s="1296"/>
      <c r="D185" s="1295"/>
    </row>
    <row r="186" spans="1:4" x14ac:dyDescent="0.2">
      <c r="A186" s="1293">
        <v>33177</v>
      </c>
      <c r="B186" s="1295"/>
      <c r="C186" s="1296"/>
      <c r="D186" s="1295"/>
    </row>
    <row r="187" spans="1:4" x14ac:dyDescent="0.2">
      <c r="A187" s="1293">
        <v>33207</v>
      </c>
      <c r="B187" s="1295"/>
      <c r="C187" s="1296"/>
      <c r="D187" s="1295"/>
    </row>
    <row r="188" spans="1:4" x14ac:dyDescent="0.2">
      <c r="A188" s="1293">
        <v>33238</v>
      </c>
      <c r="B188" s="1295"/>
      <c r="C188" s="1296"/>
      <c r="D188" s="1295"/>
    </row>
    <row r="189" spans="1:4" x14ac:dyDescent="0.2">
      <c r="A189" s="1293">
        <v>33269</v>
      </c>
      <c r="B189" s="1295"/>
      <c r="C189" s="1296"/>
      <c r="D189" s="1295"/>
    </row>
    <row r="190" spans="1:4" x14ac:dyDescent="0.2">
      <c r="A190" s="1293">
        <v>33297</v>
      </c>
      <c r="B190" s="1295"/>
      <c r="C190" s="1296"/>
      <c r="D190" s="1295"/>
    </row>
    <row r="191" spans="1:4" x14ac:dyDescent="0.2">
      <c r="A191" s="1293">
        <v>33328</v>
      </c>
      <c r="B191" s="1295"/>
      <c r="C191" s="1296"/>
      <c r="D191" s="1295"/>
    </row>
    <row r="192" spans="1:4" x14ac:dyDescent="0.2">
      <c r="A192" s="1293">
        <v>33358</v>
      </c>
      <c r="B192" s="1295"/>
      <c r="C192" s="1296"/>
      <c r="D192" s="1295"/>
    </row>
    <row r="193" spans="1:4" x14ac:dyDescent="0.2">
      <c r="A193" s="1293">
        <v>33389</v>
      </c>
      <c r="B193" s="1295"/>
      <c r="C193" s="1296"/>
      <c r="D193" s="1295"/>
    </row>
    <row r="194" spans="1:4" x14ac:dyDescent="0.2">
      <c r="A194" s="1293">
        <v>33419</v>
      </c>
      <c r="B194" s="1295"/>
      <c r="C194" s="1296"/>
      <c r="D194" s="1295"/>
    </row>
    <row r="195" spans="1:4" x14ac:dyDescent="0.2">
      <c r="A195" s="1293">
        <v>33450</v>
      </c>
      <c r="B195" s="1295"/>
      <c r="C195" s="1296"/>
      <c r="D195" s="1295"/>
    </row>
    <row r="196" spans="1:4" x14ac:dyDescent="0.2">
      <c r="A196" s="1293">
        <v>33481</v>
      </c>
      <c r="B196" s="1295"/>
      <c r="C196" s="1296"/>
      <c r="D196" s="1295"/>
    </row>
    <row r="197" spans="1:4" x14ac:dyDescent="0.2">
      <c r="A197" s="1293">
        <v>33511</v>
      </c>
      <c r="B197" s="1295"/>
      <c r="C197" s="1296"/>
      <c r="D197" s="1295"/>
    </row>
    <row r="198" spans="1:4" x14ac:dyDescent="0.2">
      <c r="A198" s="1293">
        <v>33542</v>
      </c>
      <c r="B198" s="1295"/>
      <c r="C198" s="1296"/>
      <c r="D198" s="1295"/>
    </row>
    <row r="199" spans="1:4" x14ac:dyDescent="0.2">
      <c r="A199" s="1293">
        <v>33572</v>
      </c>
      <c r="B199" s="1295"/>
      <c r="C199" s="1296"/>
      <c r="D199" s="1295"/>
    </row>
    <row r="200" spans="1:4" x14ac:dyDescent="0.2">
      <c r="A200" s="1293">
        <v>33603</v>
      </c>
      <c r="B200" s="1295"/>
      <c r="C200" s="1296"/>
      <c r="D200" s="1295"/>
    </row>
    <row r="201" spans="1:4" x14ac:dyDescent="0.2">
      <c r="A201" s="1293">
        <v>33634</v>
      </c>
      <c r="B201" s="1295"/>
      <c r="C201" s="1296"/>
      <c r="D201" s="1295"/>
    </row>
    <row r="202" spans="1:4" x14ac:dyDescent="0.2">
      <c r="A202" s="1293">
        <v>33663</v>
      </c>
      <c r="B202" s="1295"/>
      <c r="C202" s="1296"/>
      <c r="D202" s="1295"/>
    </row>
    <row r="203" spans="1:4" x14ac:dyDescent="0.2">
      <c r="A203" s="1293">
        <v>33694</v>
      </c>
      <c r="B203" s="1295"/>
      <c r="C203" s="1296"/>
      <c r="D203" s="1295"/>
    </row>
    <row r="204" spans="1:4" x14ac:dyDescent="0.2">
      <c r="A204" s="1293">
        <v>33724</v>
      </c>
      <c r="B204" s="1295"/>
      <c r="C204" s="1296"/>
      <c r="D204" s="1295"/>
    </row>
    <row r="205" spans="1:4" x14ac:dyDescent="0.2">
      <c r="A205" s="1293">
        <v>33755</v>
      </c>
      <c r="B205" s="1295"/>
      <c r="C205" s="1296"/>
      <c r="D205" s="1295"/>
    </row>
    <row r="206" spans="1:4" x14ac:dyDescent="0.2">
      <c r="A206" s="1293">
        <v>33785</v>
      </c>
      <c r="B206" s="1295"/>
      <c r="C206" s="1296"/>
      <c r="D206" s="1295"/>
    </row>
    <row r="207" spans="1:4" x14ac:dyDescent="0.2">
      <c r="A207" s="1293">
        <v>33816</v>
      </c>
      <c r="B207" s="1295"/>
      <c r="C207" s="1296"/>
      <c r="D207" s="1295"/>
    </row>
    <row r="208" spans="1:4" x14ac:dyDescent="0.2">
      <c r="A208" s="1293">
        <v>33847</v>
      </c>
      <c r="B208" s="1295"/>
      <c r="C208" s="1296"/>
      <c r="D208" s="1295"/>
    </row>
    <row r="209" spans="1:4" x14ac:dyDescent="0.2">
      <c r="A209" s="1293">
        <v>33877</v>
      </c>
      <c r="B209" s="1295"/>
      <c r="C209" s="1296"/>
      <c r="D209" s="1295"/>
    </row>
    <row r="210" spans="1:4" x14ac:dyDescent="0.2">
      <c r="A210" s="1293">
        <v>33908</v>
      </c>
      <c r="B210" s="1295"/>
      <c r="C210" s="1296"/>
      <c r="D210" s="1295"/>
    </row>
    <row r="211" spans="1:4" x14ac:dyDescent="0.2">
      <c r="A211" s="1293">
        <v>33938</v>
      </c>
      <c r="B211" s="1295"/>
      <c r="C211" s="1296"/>
      <c r="D211" s="1295"/>
    </row>
    <row r="212" spans="1:4" x14ac:dyDescent="0.2">
      <c r="A212" s="1293">
        <v>33969</v>
      </c>
      <c r="B212" s="1295"/>
      <c r="C212" s="1296"/>
      <c r="D212" s="1295"/>
    </row>
    <row r="213" spans="1:4" x14ac:dyDescent="0.2">
      <c r="A213" s="1293">
        <v>34000</v>
      </c>
      <c r="B213" s="1295"/>
      <c r="C213" s="1296"/>
      <c r="D213" s="1295"/>
    </row>
    <row r="214" spans="1:4" x14ac:dyDescent="0.2">
      <c r="A214" s="1293">
        <v>34028</v>
      </c>
      <c r="B214" s="1295"/>
      <c r="C214" s="1296"/>
      <c r="D214" s="1295"/>
    </row>
    <row r="215" spans="1:4" x14ac:dyDescent="0.2">
      <c r="A215" s="1293">
        <v>34059</v>
      </c>
      <c r="B215" s="1295"/>
      <c r="C215" s="1296"/>
      <c r="D215" s="1295"/>
    </row>
    <row r="216" spans="1:4" x14ac:dyDescent="0.2">
      <c r="A216" s="1293">
        <v>34089</v>
      </c>
      <c r="B216" s="1295"/>
      <c r="C216" s="1296"/>
      <c r="D216" s="1295"/>
    </row>
    <row r="217" spans="1:4" x14ac:dyDescent="0.2">
      <c r="A217" s="1293">
        <v>34120</v>
      </c>
      <c r="B217" s="1295"/>
      <c r="C217" s="1296"/>
      <c r="D217" s="1295"/>
    </row>
    <row r="218" spans="1:4" x14ac:dyDescent="0.2">
      <c r="A218" s="1293">
        <v>34150</v>
      </c>
      <c r="B218" s="1295"/>
      <c r="C218" s="1296"/>
      <c r="D218" s="1295"/>
    </row>
    <row r="219" spans="1:4" x14ac:dyDescent="0.2">
      <c r="A219" s="1293">
        <v>34181</v>
      </c>
      <c r="B219" s="1295"/>
      <c r="C219" s="1296"/>
      <c r="D219" s="1295"/>
    </row>
    <row r="220" spans="1:4" x14ac:dyDescent="0.2">
      <c r="A220" s="1293">
        <v>34212</v>
      </c>
      <c r="B220" s="1295"/>
      <c r="C220" s="1296"/>
      <c r="D220" s="1295"/>
    </row>
    <row r="221" spans="1:4" x14ac:dyDescent="0.2">
      <c r="A221" s="1293">
        <v>34242</v>
      </c>
      <c r="B221" s="1295"/>
      <c r="C221" s="1296"/>
      <c r="D221" s="1295"/>
    </row>
    <row r="222" spans="1:4" x14ac:dyDescent="0.2">
      <c r="A222" s="1293">
        <v>34273</v>
      </c>
      <c r="B222" s="1295"/>
      <c r="C222" s="1296"/>
      <c r="D222" s="1295"/>
    </row>
    <row r="223" spans="1:4" x14ac:dyDescent="0.2">
      <c r="A223" s="1293">
        <v>34303</v>
      </c>
      <c r="B223" s="1295"/>
      <c r="C223" s="1296"/>
      <c r="D223" s="1295"/>
    </row>
    <row r="224" spans="1:4" x14ac:dyDescent="0.2">
      <c r="A224" s="1293">
        <v>34334</v>
      </c>
      <c r="B224" s="1295"/>
      <c r="C224" s="1296"/>
      <c r="D224" s="1295"/>
    </row>
    <row r="225" spans="1:4" x14ac:dyDescent="0.2">
      <c r="A225" s="1293">
        <v>34365</v>
      </c>
      <c r="B225" s="1295"/>
      <c r="C225" s="1296"/>
      <c r="D225" s="1295"/>
    </row>
    <row r="226" spans="1:4" x14ac:dyDescent="0.2">
      <c r="A226" s="1293">
        <v>34393</v>
      </c>
      <c r="B226" s="1295"/>
      <c r="C226" s="1296"/>
      <c r="D226" s="1295"/>
    </row>
    <row r="227" spans="1:4" x14ac:dyDescent="0.2">
      <c r="A227" s="1293">
        <v>34424</v>
      </c>
      <c r="B227" s="1295"/>
      <c r="C227" s="1296"/>
      <c r="D227" s="1295"/>
    </row>
    <row r="228" spans="1:4" x14ac:dyDescent="0.2">
      <c r="A228" s="1293">
        <v>34454</v>
      </c>
      <c r="B228" s="1295"/>
      <c r="C228" s="1296"/>
      <c r="D228" s="1295"/>
    </row>
    <row r="229" spans="1:4" x14ac:dyDescent="0.2">
      <c r="A229" s="1293">
        <v>34485</v>
      </c>
      <c r="B229" s="1295"/>
      <c r="C229" s="1296"/>
      <c r="D229" s="1295"/>
    </row>
    <row r="230" spans="1:4" x14ac:dyDescent="0.2">
      <c r="A230" s="1293">
        <v>34515</v>
      </c>
      <c r="B230" s="1295"/>
      <c r="C230" s="1296"/>
      <c r="D230" s="1295"/>
    </row>
    <row r="231" spans="1:4" x14ac:dyDescent="0.2">
      <c r="A231" s="1293">
        <v>34546</v>
      </c>
      <c r="B231" s="1295"/>
      <c r="C231" s="1296"/>
      <c r="D231" s="1295"/>
    </row>
    <row r="232" spans="1:4" x14ac:dyDescent="0.2">
      <c r="A232" s="1293">
        <v>34577</v>
      </c>
      <c r="B232" s="1295"/>
      <c r="C232" s="1296"/>
      <c r="D232" s="1295"/>
    </row>
    <row r="233" spans="1:4" x14ac:dyDescent="0.2">
      <c r="A233" s="1293">
        <v>34607</v>
      </c>
      <c r="B233" s="1295"/>
      <c r="C233" s="1296"/>
      <c r="D233" s="1295"/>
    </row>
    <row r="234" spans="1:4" x14ac:dyDescent="0.2">
      <c r="A234" s="1293">
        <v>34638</v>
      </c>
      <c r="B234" s="1295"/>
      <c r="C234" s="1296"/>
      <c r="D234" s="1295"/>
    </row>
    <row r="235" spans="1:4" x14ac:dyDescent="0.2">
      <c r="A235" s="1293">
        <v>34668</v>
      </c>
      <c r="B235" s="1295"/>
      <c r="C235" s="1296"/>
      <c r="D235" s="1295"/>
    </row>
    <row r="236" spans="1:4" x14ac:dyDescent="0.2">
      <c r="A236" s="1293">
        <v>34699</v>
      </c>
      <c r="B236" s="1295"/>
      <c r="C236" s="1296"/>
      <c r="D236" s="1295"/>
    </row>
    <row r="237" spans="1:4" x14ac:dyDescent="0.2">
      <c r="A237" s="1293">
        <v>34730</v>
      </c>
      <c r="B237" s="1295"/>
      <c r="C237" s="1296"/>
      <c r="D237" s="1295"/>
    </row>
    <row r="238" spans="1:4" x14ac:dyDescent="0.2">
      <c r="A238" s="1293">
        <v>34758</v>
      </c>
      <c r="B238" s="1295"/>
      <c r="C238" s="1296"/>
      <c r="D238" s="1295"/>
    </row>
    <row r="239" spans="1:4" x14ac:dyDescent="0.2">
      <c r="A239" s="1293">
        <v>34789</v>
      </c>
      <c r="B239" s="1295"/>
      <c r="C239" s="1296"/>
      <c r="D239" s="1295"/>
    </row>
    <row r="240" spans="1:4" x14ac:dyDescent="0.2">
      <c r="A240" s="1293">
        <v>34819</v>
      </c>
      <c r="B240" s="1295"/>
      <c r="C240" s="1296"/>
      <c r="D240" s="1295"/>
    </row>
    <row r="241" spans="1:4" x14ac:dyDescent="0.2">
      <c r="A241" s="1293">
        <v>34850</v>
      </c>
      <c r="B241" s="1295"/>
      <c r="C241" s="1296"/>
      <c r="D241" s="1295"/>
    </row>
    <row r="242" spans="1:4" x14ac:dyDescent="0.2">
      <c r="A242" s="1293">
        <v>34880</v>
      </c>
      <c r="B242" s="1295"/>
      <c r="C242" s="1296"/>
      <c r="D242" s="1295"/>
    </row>
    <row r="243" spans="1:4" x14ac:dyDescent="0.2">
      <c r="A243" s="1293">
        <v>34911</v>
      </c>
      <c r="B243" s="1295"/>
      <c r="C243" s="1296"/>
      <c r="D243" s="1295"/>
    </row>
    <row r="244" spans="1:4" x14ac:dyDescent="0.2">
      <c r="A244" s="1293">
        <v>34942</v>
      </c>
      <c r="B244" s="1295"/>
      <c r="C244" s="1296"/>
      <c r="D244" s="1295"/>
    </row>
    <row r="245" spans="1:4" x14ac:dyDescent="0.2">
      <c r="A245" s="1293">
        <v>34972</v>
      </c>
      <c r="B245" s="1295"/>
      <c r="C245" s="1296"/>
      <c r="D245" s="1295"/>
    </row>
    <row r="246" spans="1:4" x14ac:dyDescent="0.2">
      <c r="A246" s="1293">
        <v>35003</v>
      </c>
      <c r="B246" s="1295"/>
      <c r="C246" s="1296"/>
      <c r="D246" s="1295"/>
    </row>
    <row r="247" spans="1:4" x14ac:dyDescent="0.2">
      <c r="A247" s="1293">
        <v>35033</v>
      </c>
      <c r="B247" s="1295"/>
      <c r="C247" s="1296"/>
      <c r="D247" s="1295"/>
    </row>
    <row r="248" spans="1:4" x14ac:dyDescent="0.2">
      <c r="A248" s="1293">
        <v>35064</v>
      </c>
      <c r="B248" s="1295"/>
      <c r="C248" s="1296"/>
      <c r="D248" s="1295"/>
    </row>
    <row r="249" spans="1:4" x14ac:dyDescent="0.2">
      <c r="A249" s="1293">
        <v>35095</v>
      </c>
      <c r="B249" s="1295"/>
      <c r="C249" s="1296"/>
      <c r="D249" s="1295"/>
    </row>
    <row r="250" spans="1:4" x14ac:dyDescent="0.2">
      <c r="A250" s="1293">
        <v>35124</v>
      </c>
      <c r="B250" s="1295"/>
      <c r="C250" s="1296"/>
      <c r="D250" s="1295"/>
    </row>
    <row r="251" spans="1:4" x14ac:dyDescent="0.2">
      <c r="A251" s="1293">
        <v>35155</v>
      </c>
      <c r="B251" s="1295"/>
      <c r="C251" s="1296"/>
      <c r="D251" s="1295"/>
    </row>
    <row r="252" spans="1:4" x14ac:dyDescent="0.2">
      <c r="A252" s="1293">
        <v>35185</v>
      </c>
      <c r="B252" s="1295"/>
      <c r="C252" s="1296"/>
      <c r="D252" s="1295"/>
    </row>
    <row r="253" spans="1:4" x14ac:dyDescent="0.2">
      <c r="A253" s="1293">
        <v>35216</v>
      </c>
      <c r="B253" s="1295"/>
      <c r="C253" s="1296"/>
      <c r="D253" s="1295"/>
    </row>
    <row r="254" spans="1:4" x14ac:dyDescent="0.2">
      <c r="A254" s="1293">
        <v>35246</v>
      </c>
      <c r="B254" s="1295"/>
      <c r="C254" s="1296"/>
      <c r="D254" s="1295"/>
    </row>
    <row r="255" spans="1:4" x14ac:dyDescent="0.2">
      <c r="A255" s="1293">
        <v>35277</v>
      </c>
      <c r="B255" s="1295"/>
      <c r="C255" s="1296"/>
      <c r="D255" s="1295"/>
    </row>
    <row r="256" spans="1:4" x14ac:dyDescent="0.2">
      <c r="A256" s="1293">
        <v>35308</v>
      </c>
      <c r="B256" s="1295"/>
      <c r="C256" s="1296"/>
      <c r="D256" s="1295"/>
    </row>
    <row r="257" spans="1:4" x14ac:dyDescent="0.2">
      <c r="A257" s="1293">
        <v>35338</v>
      </c>
      <c r="B257" s="1295"/>
      <c r="C257" s="1296"/>
      <c r="D257" s="1295"/>
    </row>
    <row r="258" spans="1:4" x14ac:dyDescent="0.2">
      <c r="A258" s="1293">
        <v>35369</v>
      </c>
      <c r="B258" s="1295"/>
      <c r="C258" s="1296"/>
      <c r="D258" s="1295"/>
    </row>
    <row r="259" spans="1:4" x14ac:dyDescent="0.2">
      <c r="A259" s="1293">
        <v>35399</v>
      </c>
      <c r="B259" s="1295"/>
      <c r="C259" s="1296"/>
      <c r="D259" s="1295"/>
    </row>
    <row r="260" spans="1:4" x14ac:dyDescent="0.2">
      <c r="A260" s="1293">
        <v>35430</v>
      </c>
      <c r="B260" s="1295"/>
      <c r="C260" s="1296"/>
      <c r="D260" s="1295"/>
    </row>
    <row r="261" spans="1:4" x14ac:dyDescent="0.2">
      <c r="A261" s="1293">
        <v>35461</v>
      </c>
      <c r="B261" s="1295"/>
      <c r="C261" s="1296"/>
      <c r="D261" s="1295"/>
    </row>
    <row r="262" spans="1:4" x14ac:dyDescent="0.2">
      <c r="A262" s="1293">
        <v>35489</v>
      </c>
      <c r="B262" s="1295"/>
      <c r="C262" s="1296"/>
      <c r="D262" s="1295"/>
    </row>
    <row r="263" spans="1:4" x14ac:dyDescent="0.2">
      <c r="A263" s="1293">
        <v>35520</v>
      </c>
      <c r="B263" s="1295"/>
      <c r="C263" s="1296"/>
      <c r="D263" s="1295"/>
    </row>
    <row r="264" spans="1:4" x14ac:dyDescent="0.2">
      <c r="A264" s="1293">
        <v>35550</v>
      </c>
      <c r="B264" s="1295"/>
      <c r="C264" s="1296"/>
      <c r="D264" s="1295"/>
    </row>
    <row r="265" spans="1:4" x14ac:dyDescent="0.2">
      <c r="A265" s="1293">
        <v>35581</v>
      </c>
      <c r="B265" s="1295"/>
      <c r="C265" s="1296"/>
      <c r="D265" s="1295"/>
    </row>
    <row r="266" spans="1:4" x14ac:dyDescent="0.2">
      <c r="A266" s="1293">
        <v>35611</v>
      </c>
      <c r="B266" s="1295"/>
      <c r="C266" s="1296"/>
      <c r="D266" s="1295"/>
    </row>
    <row r="267" spans="1:4" x14ac:dyDescent="0.2">
      <c r="A267" s="1293">
        <v>35642</v>
      </c>
      <c r="B267" s="1295"/>
      <c r="C267" s="1296"/>
      <c r="D267" s="1295"/>
    </row>
    <row r="268" spans="1:4" x14ac:dyDescent="0.2">
      <c r="A268" s="1293">
        <v>35673</v>
      </c>
      <c r="B268" s="1295"/>
      <c r="C268" s="1296"/>
      <c r="D268" s="1295"/>
    </row>
    <row r="269" spans="1:4" x14ac:dyDescent="0.2">
      <c r="A269" s="1293">
        <v>35703</v>
      </c>
      <c r="B269" s="1295"/>
      <c r="C269" s="1296"/>
      <c r="D269" s="1295"/>
    </row>
    <row r="270" spans="1:4" x14ac:dyDescent="0.2">
      <c r="A270" s="1293">
        <v>35734</v>
      </c>
      <c r="B270" s="1295"/>
      <c r="C270" s="1296"/>
      <c r="D270" s="1295"/>
    </row>
    <row r="271" spans="1:4" x14ac:dyDescent="0.2">
      <c r="A271" s="1293">
        <v>35764</v>
      </c>
      <c r="B271" s="1295"/>
      <c r="C271" s="1296"/>
      <c r="D271" s="1295"/>
    </row>
    <row r="272" spans="1:4" x14ac:dyDescent="0.2">
      <c r="A272" s="1293">
        <v>35795</v>
      </c>
      <c r="B272" s="1295"/>
      <c r="C272" s="1296"/>
      <c r="D272" s="1295"/>
    </row>
    <row r="273" spans="1:4" x14ac:dyDescent="0.2">
      <c r="A273" s="1293">
        <v>35826</v>
      </c>
      <c r="B273" s="1295"/>
      <c r="C273" s="1296"/>
      <c r="D273" s="1295"/>
    </row>
    <row r="274" spans="1:4" x14ac:dyDescent="0.2">
      <c r="A274" s="1293">
        <v>35854</v>
      </c>
      <c r="B274" s="1295"/>
      <c r="C274" s="1297"/>
      <c r="D274" s="1295"/>
    </row>
    <row r="275" spans="1:4" x14ac:dyDescent="0.2">
      <c r="A275" s="1293">
        <v>35885</v>
      </c>
      <c r="B275" s="1295"/>
      <c r="C275" s="1297"/>
      <c r="D275" s="1295"/>
    </row>
    <row r="276" spans="1:4" x14ac:dyDescent="0.2">
      <c r="A276" s="1293">
        <v>35915</v>
      </c>
      <c r="B276" s="1295"/>
      <c r="C276" s="1297"/>
      <c r="D276" s="1295"/>
    </row>
    <row r="277" spans="1:4" x14ac:dyDescent="0.2">
      <c r="A277" s="1293">
        <v>35946</v>
      </c>
      <c r="B277" s="1295"/>
      <c r="C277" s="1297"/>
      <c r="D277" s="1295"/>
    </row>
    <row r="278" spans="1:4" x14ac:dyDescent="0.2">
      <c r="A278" s="1293">
        <v>35976</v>
      </c>
      <c r="B278" s="1295"/>
      <c r="C278" s="1297"/>
      <c r="D278" s="1295"/>
    </row>
    <row r="279" spans="1:4" x14ac:dyDescent="0.2">
      <c r="A279" s="1293">
        <v>36007</v>
      </c>
      <c r="B279" s="1295"/>
      <c r="C279" s="1297"/>
      <c r="D279" s="1295"/>
    </row>
    <row r="280" spans="1:4" x14ac:dyDescent="0.2">
      <c r="A280" s="1293">
        <v>36038</v>
      </c>
      <c r="B280" s="1295"/>
      <c r="C280" s="1297"/>
      <c r="D280" s="1295"/>
    </row>
    <row r="281" spans="1:4" x14ac:dyDescent="0.2">
      <c r="A281" s="1293">
        <v>36068</v>
      </c>
      <c r="B281" s="1295"/>
      <c r="C281" s="1297"/>
      <c r="D281" s="1295"/>
    </row>
    <row r="282" spans="1:4" x14ac:dyDescent="0.2">
      <c r="A282" s="1293">
        <v>36099</v>
      </c>
      <c r="B282" s="1295"/>
      <c r="C282" s="1297"/>
      <c r="D282" s="1295"/>
    </row>
    <row r="283" spans="1:4" x14ac:dyDescent="0.2">
      <c r="A283" s="1293">
        <v>36129</v>
      </c>
      <c r="B283" s="1295"/>
      <c r="C283" s="1297"/>
      <c r="D283" s="1295"/>
    </row>
    <row r="284" spans="1:4" x14ac:dyDescent="0.2">
      <c r="A284" s="1293">
        <v>36160</v>
      </c>
      <c r="B284" s="1295"/>
      <c r="C284" s="1297"/>
      <c r="D284" s="1295"/>
    </row>
    <row r="285" spans="1:4" x14ac:dyDescent="0.2">
      <c r="A285" s="1293">
        <v>36191</v>
      </c>
      <c r="B285" s="1295"/>
      <c r="C285" s="1297"/>
      <c r="D285" s="1295"/>
    </row>
    <row r="286" spans="1:4" x14ac:dyDescent="0.2">
      <c r="A286" s="1293">
        <v>36219</v>
      </c>
      <c r="B286" s="1295"/>
      <c r="C286" s="1297"/>
      <c r="D286" s="1295"/>
    </row>
    <row r="287" spans="1:4" x14ac:dyDescent="0.2">
      <c r="A287" s="1293">
        <v>36250</v>
      </c>
      <c r="B287" s="1295"/>
      <c r="C287" s="1297"/>
      <c r="D287" s="1295"/>
    </row>
    <row r="288" spans="1:4" x14ac:dyDescent="0.2">
      <c r="A288" s="1293">
        <v>36280</v>
      </c>
      <c r="B288" s="1295"/>
      <c r="C288" s="1297"/>
      <c r="D288" s="1295"/>
    </row>
    <row r="289" spans="1:4" x14ac:dyDescent="0.2">
      <c r="A289" s="1293">
        <v>36311</v>
      </c>
      <c r="B289" s="1295"/>
      <c r="C289" s="1297"/>
      <c r="D289" s="1295"/>
    </row>
    <row r="290" spans="1:4" x14ac:dyDescent="0.2">
      <c r="A290" s="1293">
        <v>36341</v>
      </c>
      <c r="B290" s="1295"/>
      <c r="C290" s="1297"/>
      <c r="D290" s="1295"/>
    </row>
    <row r="291" spans="1:4" x14ac:dyDescent="0.2">
      <c r="A291" s="1293">
        <v>36372</v>
      </c>
      <c r="B291" s="1295"/>
      <c r="C291" s="1297"/>
      <c r="D291" s="1295"/>
    </row>
    <row r="292" spans="1:4" x14ac:dyDescent="0.2">
      <c r="A292" s="1293">
        <v>36403</v>
      </c>
      <c r="B292" s="1295"/>
      <c r="C292" s="1297"/>
      <c r="D292" s="1295"/>
    </row>
    <row r="293" spans="1:4" x14ac:dyDescent="0.2">
      <c r="A293" s="1293">
        <v>36433</v>
      </c>
      <c r="B293" s="1295"/>
      <c r="C293" s="1297"/>
      <c r="D293" s="1295"/>
    </row>
    <row r="294" spans="1:4" x14ac:dyDescent="0.2">
      <c r="A294" s="1293">
        <v>36464</v>
      </c>
      <c r="B294" s="1295"/>
      <c r="C294" s="1297"/>
      <c r="D294" s="1295"/>
    </row>
    <row r="295" spans="1:4" x14ac:dyDescent="0.2">
      <c r="A295" s="1293">
        <v>36494</v>
      </c>
      <c r="B295" s="1295"/>
      <c r="C295" s="1297"/>
      <c r="D295" s="1295"/>
    </row>
    <row r="296" spans="1:4" x14ac:dyDescent="0.2">
      <c r="A296" s="1293">
        <v>36525</v>
      </c>
      <c r="B296" s="1295"/>
      <c r="C296" s="1297"/>
      <c r="D296" s="1295"/>
    </row>
    <row r="297" spans="1:4" x14ac:dyDescent="0.2">
      <c r="A297" s="1293">
        <v>36556</v>
      </c>
      <c r="B297" s="1295"/>
      <c r="C297" s="1297"/>
      <c r="D297" s="1295"/>
    </row>
    <row r="298" spans="1:4" x14ac:dyDescent="0.2">
      <c r="A298" s="1293">
        <v>36585</v>
      </c>
      <c r="B298" s="1295"/>
      <c r="C298" s="1297"/>
      <c r="D298" s="1295"/>
    </row>
    <row r="299" spans="1:4" x14ac:dyDescent="0.2">
      <c r="A299" s="1293">
        <v>36616</v>
      </c>
      <c r="B299" s="1295"/>
      <c r="C299" s="1297"/>
      <c r="D299" s="1295"/>
    </row>
    <row r="300" spans="1:4" x14ac:dyDescent="0.2">
      <c r="A300" s="1293">
        <v>36646</v>
      </c>
      <c r="B300" s="1295"/>
      <c r="C300" s="1297"/>
      <c r="D300" s="1295"/>
    </row>
    <row r="301" spans="1:4" x14ac:dyDescent="0.2">
      <c r="A301" s="1293">
        <v>36677</v>
      </c>
      <c r="B301" s="1295"/>
      <c r="C301" s="1297"/>
      <c r="D301" s="1295"/>
    </row>
    <row r="302" spans="1:4" x14ac:dyDescent="0.2">
      <c r="A302" s="1293">
        <v>36707</v>
      </c>
      <c r="B302" s="1295"/>
      <c r="C302" s="1297"/>
      <c r="D302" s="1295"/>
    </row>
    <row r="303" spans="1:4" x14ac:dyDescent="0.2">
      <c r="A303" s="1293">
        <v>36738</v>
      </c>
      <c r="B303" s="1295"/>
      <c r="C303" s="1297"/>
      <c r="D303" s="1295"/>
    </row>
    <row r="304" spans="1:4" x14ac:dyDescent="0.2">
      <c r="A304" s="1293">
        <v>36769</v>
      </c>
      <c r="B304" s="1295"/>
      <c r="C304" s="1297"/>
      <c r="D304" s="1295"/>
    </row>
    <row r="305" spans="1:4" x14ac:dyDescent="0.2">
      <c r="A305" s="1293">
        <v>36799</v>
      </c>
      <c r="B305" s="1298"/>
      <c r="C305" s="1299"/>
      <c r="D305" s="1295"/>
    </row>
    <row r="306" spans="1:4" x14ac:dyDescent="0.2">
      <c r="A306" s="1293">
        <v>36830</v>
      </c>
      <c r="B306" s="1300"/>
      <c r="C306" s="1299"/>
      <c r="D306" s="1300"/>
    </row>
    <row r="307" spans="1:4" x14ac:dyDescent="0.2">
      <c r="A307" s="1293">
        <v>36860</v>
      </c>
      <c r="B307" s="1300"/>
      <c r="C307" s="1299"/>
      <c r="D307" s="1300"/>
    </row>
    <row r="308" spans="1:4" x14ac:dyDescent="0.2">
      <c r="A308" s="1293">
        <v>36891</v>
      </c>
      <c r="B308" s="1300"/>
      <c r="C308" s="1299"/>
      <c r="D308" s="1300"/>
    </row>
    <row r="309" spans="1:4" x14ac:dyDescent="0.2">
      <c r="A309" s="1293">
        <v>36922</v>
      </c>
      <c r="B309" s="1300"/>
      <c r="C309" s="1299"/>
      <c r="D309" s="1300"/>
    </row>
    <row r="310" spans="1:4" x14ac:dyDescent="0.2">
      <c r="A310" s="1293">
        <v>36950</v>
      </c>
      <c r="B310" s="1300"/>
      <c r="C310" s="1299"/>
      <c r="D310" s="1300"/>
    </row>
    <row r="311" spans="1:4" x14ac:dyDescent="0.2">
      <c r="A311" s="1293">
        <v>36981</v>
      </c>
      <c r="B311" s="1300"/>
      <c r="C311" s="1299"/>
      <c r="D311" s="1300"/>
    </row>
    <row r="312" spans="1:4" x14ac:dyDescent="0.2">
      <c r="A312" s="1293">
        <v>37011</v>
      </c>
      <c r="B312" s="1300"/>
      <c r="C312" s="1299"/>
      <c r="D312" s="1300"/>
    </row>
    <row r="313" spans="1:4" x14ac:dyDescent="0.2">
      <c r="A313" s="1293">
        <v>37042</v>
      </c>
      <c r="B313" s="1300"/>
      <c r="C313" s="1299"/>
      <c r="D313" s="1300"/>
    </row>
    <row r="314" spans="1:4" x14ac:dyDescent="0.2">
      <c r="A314" s="1293">
        <v>37072</v>
      </c>
      <c r="B314" s="1300"/>
      <c r="C314" s="1299"/>
      <c r="D314" s="1300"/>
    </row>
    <row r="315" spans="1:4" x14ac:dyDescent="0.2">
      <c r="A315" s="1293">
        <v>37103</v>
      </c>
      <c r="B315" s="1300"/>
      <c r="C315" s="1299"/>
      <c r="D315" s="1300"/>
    </row>
    <row r="316" spans="1:4" x14ac:dyDescent="0.2">
      <c r="A316" s="1293">
        <v>37134</v>
      </c>
      <c r="B316" s="1300"/>
      <c r="C316" s="1299"/>
      <c r="D316" s="1300"/>
    </row>
    <row r="317" spans="1:4" x14ac:dyDescent="0.2">
      <c r="A317" s="1293">
        <v>37164</v>
      </c>
      <c r="B317" s="1300"/>
      <c r="C317" s="1299"/>
      <c r="D317" s="1300"/>
    </row>
    <row r="318" spans="1:4" x14ac:dyDescent="0.2">
      <c r="A318" s="1293">
        <v>37195</v>
      </c>
      <c r="B318" s="1300"/>
      <c r="C318" s="1299"/>
      <c r="D318" s="1300"/>
    </row>
    <row r="319" spans="1:4" x14ac:dyDescent="0.2">
      <c r="A319" s="1293">
        <v>37225</v>
      </c>
      <c r="B319" s="1300"/>
      <c r="C319" s="1299"/>
      <c r="D319" s="1300"/>
    </row>
    <row r="320" spans="1:4" x14ac:dyDescent="0.2">
      <c r="A320" s="1293">
        <v>37256</v>
      </c>
      <c r="B320" s="1300"/>
      <c r="C320" s="1299"/>
      <c r="D320" s="1300"/>
    </row>
    <row r="321" spans="1:4" x14ac:dyDescent="0.2">
      <c r="A321" s="1293">
        <v>37287</v>
      </c>
      <c r="B321" s="1300"/>
      <c r="C321" s="1299"/>
      <c r="D321" s="1300"/>
    </row>
    <row r="322" spans="1:4" x14ac:dyDescent="0.2">
      <c r="A322" s="1293">
        <v>37315</v>
      </c>
      <c r="B322" s="1300"/>
      <c r="C322" s="1299"/>
      <c r="D322" s="1300"/>
    </row>
    <row r="323" spans="1:4" x14ac:dyDescent="0.2">
      <c r="A323" s="1293">
        <v>37346</v>
      </c>
      <c r="B323" s="1300"/>
      <c r="C323" s="1299"/>
      <c r="D323" s="1300"/>
    </row>
    <row r="324" spans="1:4" x14ac:dyDescent="0.2">
      <c r="A324" s="1293">
        <v>37376</v>
      </c>
      <c r="B324" s="1300"/>
      <c r="C324" s="1299"/>
      <c r="D324" s="1300"/>
    </row>
    <row r="325" spans="1:4" x14ac:dyDescent="0.2">
      <c r="A325" s="1293">
        <v>37407</v>
      </c>
      <c r="B325" s="1300"/>
      <c r="C325" s="1299"/>
      <c r="D325" s="1300"/>
    </row>
    <row r="326" spans="1:4" x14ac:dyDescent="0.2">
      <c r="A326" s="1293">
        <v>37437</v>
      </c>
      <c r="B326" s="1300"/>
      <c r="C326" s="1299"/>
      <c r="D326" s="1300"/>
    </row>
    <row r="327" spans="1:4" x14ac:dyDescent="0.2">
      <c r="A327" s="1293">
        <v>37468</v>
      </c>
      <c r="B327" s="1300"/>
      <c r="C327" s="1299"/>
      <c r="D327" s="1300"/>
    </row>
    <row r="328" spans="1:4" x14ac:dyDescent="0.2">
      <c r="A328" s="1293">
        <v>37499</v>
      </c>
      <c r="B328" s="1300"/>
      <c r="C328" s="1299"/>
      <c r="D328" s="1300"/>
    </row>
    <row r="329" spans="1:4" x14ac:dyDescent="0.2">
      <c r="A329" s="1293">
        <v>37529</v>
      </c>
      <c r="B329" s="1300"/>
      <c r="C329" s="1299"/>
      <c r="D329" s="1300"/>
    </row>
    <row r="330" spans="1:4" x14ac:dyDescent="0.2">
      <c r="A330" s="1293">
        <v>37560</v>
      </c>
      <c r="B330" s="1300"/>
      <c r="C330" s="1299"/>
      <c r="D330" s="1300"/>
    </row>
    <row r="331" spans="1:4" x14ac:dyDescent="0.2">
      <c r="A331" s="1293">
        <v>37590</v>
      </c>
      <c r="B331" s="1300"/>
      <c r="C331" s="1299"/>
      <c r="D331" s="1300"/>
    </row>
    <row r="332" spans="1:4" x14ac:dyDescent="0.2">
      <c r="A332" s="1293">
        <v>37621</v>
      </c>
      <c r="B332" s="1300"/>
      <c r="C332" s="1299"/>
      <c r="D332" s="1300"/>
    </row>
    <row r="333" spans="1:4" x14ac:dyDescent="0.2">
      <c r="A333" s="1293">
        <v>37652</v>
      </c>
      <c r="B333" s="1300"/>
      <c r="C333" s="1299"/>
      <c r="D333" s="1300"/>
    </row>
    <row r="334" spans="1:4" x14ac:dyDescent="0.2">
      <c r="A334" s="1293">
        <v>37680</v>
      </c>
      <c r="B334" s="1300"/>
      <c r="C334" s="1299"/>
      <c r="D334" s="1300"/>
    </row>
    <row r="335" spans="1:4" x14ac:dyDescent="0.2">
      <c r="A335" s="1293">
        <v>37711</v>
      </c>
      <c r="B335" s="1300"/>
      <c r="C335" s="1299"/>
      <c r="D335" s="1300"/>
    </row>
    <row r="336" spans="1:4" x14ac:dyDescent="0.2">
      <c r="A336" s="1293">
        <v>37741</v>
      </c>
      <c r="B336" s="1300"/>
      <c r="C336" s="1299"/>
      <c r="D336" s="1300"/>
    </row>
    <row r="337" spans="1:4" x14ac:dyDescent="0.2">
      <c r="A337" s="1293">
        <v>37772</v>
      </c>
      <c r="B337" s="1300"/>
      <c r="C337" s="1299"/>
      <c r="D337" s="1300"/>
    </row>
    <row r="338" spans="1:4" x14ac:dyDescent="0.2">
      <c r="A338" s="1293">
        <v>37802</v>
      </c>
      <c r="B338" s="1300"/>
      <c r="C338" s="1299"/>
      <c r="D338" s="1300"/>
    </row>
    <row r="339" spans="1:4" x14ac:dyDescent="0.2">
      <c r="A339" s="1293">
        <v>37833</v>
      </c>
      <c r="B339" s="1300"/>
      <c r="C339" s="1299"/>
      <c r="D339" s="1300"/>
    </row>
    <row r="340" spans="1:4" x14ac:dyDescent="0.2">
      <c r="A340" s="1293">
        <v>37864</v>
      </c>
      <c r="B340" s="1300"/>
      <c r="C340" s="1299"/>
      <c r="D340" s="1300"/>
    </row>
    <row r="341" spans="1:4" x14ac:dyDescent="0.2">
      <c r="A341" s="1293">
        <v>37894</v>
      </c>
      <c r="B341" s="1300"/>
      <c r="C341" s="1302"/>
      <c r="D341" s="1300"/>
    </row>
    <row r="342" spans="1:4" x14ac:dyDescent="0.2">
      <c r="A342" s="1293">
        <v>37925</v>
      </c>
      <c r="B342" s="1300"/>
      <c r="C342" s="1302"/>
      <c r="D342" s="1300"/>
    </row>
    <row r="343" spans="1:4" x14ac:dyDescent="0.2">
      <c r="A343" s="1293">
        <v>37955</v>
      </c>
      <c r="B343" s="1300"/>
      <c r="C343" s="1302"/>
      <c r="D343" s="1300"/>
    </row>
    <row r="344" spans="1:4" x14ac:dyDescent="0.2">
      <c r="A344" s="1293">
        <v>37986</v>
      </c>
      <c r="B344" s="1300"/>
      <c r="C344" s="1302"/>
      <c r="D344" s="1300"/>
    </row>
    <row r="345" spans="1:4" x14ac:dyDescent="0.2">
      <c r="A345" s="1293">
        <v>38017</v>
      </c>
      <c r="B345" s="1300"/>
      <c r="C345" s="1302"/>
      <c r="D345" s="1300"/>
    </row>
    <row r="346" spans="1:4" x14ac:dyDescent="0.2">
      <c r="A346" s="1293">
        <v>38046</v>
      </c>
      <c r="B346" s="1300"/>
      <c r="C346" s="1302"/>
      <c r="D346" s="1300"/>
    </row>
    <row r="347" spans="1:4" x14ac:dyDescent="0.2">
      <c r="A347" s="1293">
        <v>38077</v>
      </c>
      <c r="B347" s="1300"/>
      <c r="C347" s="1302"/>
      <c r="D347" s="1303"/>
    </row>
    <row r="348" spans="1:4" x14ac:dyDescent="0.2">
      <c r="A348" s="1293">
        <v>38107</v>
      </c>
      <c r="B348" s="1300"/>
      <c r="C348" s="1302"/>
      <c r="D348" s="1300"/>
    </row>
    <row r="349" spans="1:4" x14ac:dyDescent="0.2">
      <c r="A349" s="1293">
        <v>38138</v>
      </c>
      <c r="B349" s="1300"/>
      <c r="C349" s="1302"/>
      <c r="D349" s="1300"/>
    </row>
    <row r="350" spans="1:4" x14ac:dyDescent="0.2">
      <c r="A350" s="1293">
        <v>38168</v>
      </c>
      <c r="B350" s="1300"/>
      <c r="C350" s="1302"/>
      <c r="D350" s="1300"/>
    </row>
    <row r="351" spans="1:4" x14ac:dyDescent="0.2">
      <c r="A351" s="1293">
        <v>38199</v>
      </c>
      <c r="B351" s="1300"/>
      <c r="C351" s="1302"/>
      <c r="D351" s="1300"/>
    </row>
    <row r="352" spans="1:4" x14ac:dyDescent="0.2">
      <c r="A352" s="1293">
        <v>38230</v>
      </c>
      <c r="B352" s="1300"/>
      <c r="C352" s="1302"/>
      <c r="D352" s="1300"/>
    </row>
    <row r="353" spans="1:4" x14ac:dyDescent="0.2">
      <c r="A353" s="1293">
        <v>38260</v>
      </c>
      <c r="B353" s="1300"/>
      <c r="C353" s="1302"/>
      <c r="D353" s="1300"/>
    </row>
    <row r="354" spans="1:4" x14ac:dyDescent="0.2">
      <c r="A354" s="1293">
        <v>38291</v>
      </c>
      <c r="B354" s="1300"/>
      <c r="C354" s="1302"/>
      <c r="D354" s="1300"/>
    </row>
    <row r="355" spans="1:4" x14ac:dyDescent="0.2">
      <c r="A355" s="1293">
        <v>38321</v>
      </c>
      <c r="B355" s="1300"/>
      <c r="C355" s="1302"/>
      <c r="D355" s="1300"/>
    </row>
    <row r="356" spans="1:4" x14ac:dyDescent="0.2">
      <c r="A356" s="1293">
        <v>38352</v>
      </c>
      <c r="B356" s="1300"/>
      <c r="C356" s="1304"/>
      <c r="D356" s="1300"/>
    </row>
    <row r="357" spans="1:4" x14ac:dyDescent="0.2">
      <c r="A357" s="1293">
        <v>38383</v>
      </c>
      <c r="B357" s="1300"/>
      <c r="C357" s="1302"/>
      <c r="D357" s="1300"/>
    </row>
    <row r="358" spans="1:4" x14ac:dyDescent="0.2">
      <c r="A358" s="1293">
        <v>38411</v>
      </c>
      <c r="B358" s="1300"/>
      <c r="C358" s="1302"/>
      <c r="D358" s="1300"/>
    </row>
    <row r="359" spans="1:4" x14ac:dyDescent="0.2">
      <c r="A359" s="1293">
        <v>38442</v>
      </c>
      <c r="B359" s="1300"/>
      <c r="C359" s="1304"/>
      <c r="D359" s="1300"/>
    </row>
    <row r="360" spans="1:4" x14ac:dyDescent="0.2">
      <c r="A360" s="1293">
        <v>38472</v>
      </c>
      <c r="B360" s="1300"/>
      <c r="C360" s="1304"/>
      <c r="D360" s="1300"/>
    </row>
    <row r="361" spans="1:4" x14ac:dyDescent="0.2">
      <c r="A361" s="1293">
        <v>38503</v>
      </c>
      <c r="B361" s="1300"/>
      <c r="C361" s="1304"/>
      <c r="D361" s="1300"/>
    </row>
    <row r="362" spans="1:4" x14ac:dyDescent="0.2">
      <c r="A362" s="1293">
        <v>38533</v>
      </c>
      <c r="B362" s="1300"/>
      <c r="C362" s="1304"/>
      <c r="D362" s="1300"/>
    </row>
    <row r="363" spans="1:4" x14ac:dyDescent="0.2">
      <c r="A363" s="1293">
        <v>38564</v>
      </c>
      <c r="B363" s="1300"/>
      <c r="C363" s="1304"/>
      <c r="D363" s="1300"/>
    </row>
    <row r="364" spans="1:4" x14ac:dyDescent="0.2">
      <c r="A364" s="1293">
        <v>38595</v>
      </c>
      <c r="B364" s="1300"/>
      <c r="C364" s="1304"/>
      <c r="D364" s="1300"/>
    </row>
    <row r="365" spans="1:4" x14ac:dyDescent="0.2">
      <c r="A365" s="1293">
        <v>38625</v>
      </c>
      <c r="B365" s="1300"/>
      <c r="C365" s="1304"/>
      <c r="D365" s="1300"/>
    </row>
    <row r="366" spans="1:4" x14ac:dyDescent="0.2">
      <c r="A366" s="1293">
        <v>38656</v>
      </c>
      <c r="B366" s="1300"/>
      <c r="C366" s="1304"/>
      <c r="D366" s="1300"/>
    </row>
    <row r="367" spans="1:4" x14ac:dyDescent="0.2">
      <c r="A367" s="1293">
        <v>38686</v>
      </c>
      <c r="B367" s="1300"/>
      <c r="C367" s="1304"/>
      <c r="D367" s="1300"/>
    </row>
    <row r="368" spans="1:4" x14ac:dyDescent="0.2">
      <c r="A368" s="1293">
        <v>38717</v>
      </c>
      <c r="B368" s="1300"/>
      <c r="C368" s="1304"/>
      <c r="D368" s="1300"/>
    </row>
    <row r="369" spans="1:6" x14ac:dyDescent="0.2">
      <c r="A369" s="1293">
        <v>38748</v>
      </c>
      <c r="B369" s="1300"/>
      <c r="C369" s="1304"/>
      <c r="D369" s="1300"/>
    </row>
    <row r="370" spans="1:6" x14ac:dyDescent="0.2">
      <c r="A370" s="1293">
        <v>38776</v>
      </c>
      <c r="B370" s="1300"/>
      <c r="C370" s="1304"/>
      <c r="D370" s="1300"/>
    </row>
    <row r="371" spans="1:6" x14ac:dyDescent="0.2">
      <c r="A371" s="1293">
        <v>38807</v>
      </c>
      <c r="B371" s="1300"/>
      <c r="C371" s="1299"/>
      <c r="D371" s="1300"/>
    </row>
    <row r="372" spans="1:6" x14ac:dyDescent="0.2">
      <c r="A372" s="1293">
        <v>38837</v>
      </c>
      <c r="B372" s="1300"/>
      <c r="C372" s="1299"/>
      <c r="D372" s="1300"/>
    </row>
    <row r="373" spans="1:6" x14ac:dyDescent="0.2">
      <c r="A373" s="1293">
        <v>38868</v>
      </c>
      <c r="B373" s="1300"/>
      <c r="C373" s="1299"/>
      <c r="D373" s="1300"/>
    </row>
    <row r="374" spans="1:6" x14ac:dyDescent="0.2">
      <c r="A374" s="1293">
        <v>38898</v>
      </c>
      <c r="B374" s="1372"/>
      <c r="C374" s="1387"/>
      <c r="D374" s="1300"/>
    </row>
    <row r="375" spans="1:6" x14ac:dyDescent="0.2">
      <c r="A375" s="1293">
        <v>38929</v>
      </c>
      <c r="B375" s="1300"/>
      <c r="C375" s="1302"/>
      <c r="D375" s="1300"/>
    </row>
    <row r="376" spans="1:6" x14ac:dyDescent="0.2">
      <c r="A376" s="1293">
        <v>38960</v>
      </c>
      <c r="B376" s="1300"/>
      <c r="C376" s="1302"/>
      <c r="D376" s="1300"/>
    </row>
    <row r="377" spans="1:6" x14ac:dyDescent="0.2">
      <c r="A377" s="1293">
        <v>38990</v>
      </c>
      <c r="B377" s="1300"/>
      <c r="C377" s="1302"/>
      <c r="D377" s="1300"/>
    </row>
    <row r="378" spans="1:6" x14ac:dyDescent="0.2">
      <c r="A378" s="1293">
        <v>39021</v>
      </c>
      <c r="B378" s="1300"/>
      <c r="C378" s="1302"/>
      <c r="D378" s="1300"/>
      <c r="F378" s="1305"/>
    </row>
    <row r="379" spans="1:6" x14ac:dyDescent="0.2">
      <c r="A379" s="1293">
        <v>39051</v>
      </c>
      <c r="B379" s="1300"/>
      <c r="C379" s="1302"/>
      <c r="D379" s="1300"/>
      <c r="F379" s="1305"/>
    </row>
    <row r="380" spans="1:6" x14ac:dyDescent="0.2">
      <c r="A380" s="1293">
        <v>39082</v>
      </c>
      <c r="B380" s="1300"/>
      <c r="C380" s="1302"/>
      <c r="D380" s="1300"/>
      <c r="F380" s="1305"/>
    </row>
    <row r="381" spans="1:6" x14ac:dyDescent="0.2">
      <c r="A381" s="1293">
        <v>39113</v>
      </c>
      <c r="B381" s="1300"/>
      <c r="F381" s="1305"/>
    </row>
    <row r="382" spans="1:6" x14ac:dyDescent="0.2">
      <c r="A382" s="1293">
        <v>39141</v>
      </c>
      <c r="B382" s="1300"/>
      <c r="F382" s="1305"/>
    </row>
    <row r="383" spans="1:6" x14ac:dyDescent="0.2">
      <c r="A383" s="1293">
        <v>39172</v>
      </c>
      <c r="B383" s="1300"/>
    </row>
    <row r="384" spans="1:6" x14ac:dyDescent="0.2">
      <c r="A384" s="1293">
        <v>39202</v>
      </c>
      <c r="B384" s="1300"/>
    </row>
    <row r="385" spans="1:3" x14ac:dyDescent="0.2">
      <c r="A385" s="1293">
        <v>39233</v>
      </c>
      <c r="B385" s="1300"/>
    </row>
    <row r="386" spans="1:3" x14ac:dyDescent="0.2">
      <c r="A386" s="1293">
        <v>39263</v>
      </c>
      <c r="B386" s="1300"/>
    </row>
    <row r="387" spans="1:3" x14ac:dyDescent="0.2">
      <c r="A387" s="1293">
        <v>39294</v>
      </c>
      <c r="B387" s="1300"/>
    </row>
    <row r="388" spans="1:3" x14ac:dyDescent="0.2">
      <c r="A388" s="1293">
        <v>39325</v>
      </c>
      <c r="B388" s="1300"/>
    </row>
    <row r="389" spans="1:3" x14ac:dyDescent="0.2">
      <c r="A389" s="1293">
        <v>39355</v>
      </c>
      <c r="B389" s="1300"/>
    </row>
    <row r="390" spans="1:3" x14ac:dyDescent="0.2">
      <c r="A390" s="1293">
        <v>39386</v>
      </c>
      <c r="B390" s="1300"/>
    </row>
    <row r="391" spans="1:3" x14ac:dyDescent="0.2">
      <c r="A391" s="1293">
        <v>39416</v>
      </c>
      <c r="B391" s="1300"/>
    </row>
    <row r="392" spans="1:3" x14ac:dyDescent="0.2">
      <c r="A392" s="1293">
        <v>39447</v>
      </c>
      <c r="B392" s="1300"/>
    </row>
    <row r="393" spans="1:3" x14ac:dyDescent="0.2">
      <c r="A393" s="1293">
        <v>39478</v>
      </c>
      <c r="B393" s="1300"/>
    </row>
    <row r="394" spans="1:3" x14ac:dyDescent="0.2">
      <c r="A394" s="1293">
        <v>39507</v>
      </c>
      <c r="B394" s="1300"/>
    </row>
    <row r="395" spans="1:3" x14ac:dyDescent="0.2">
      <c r="A395" s="1293">
        <v>39538</v>
      </c>
      <c r="B395" s="1300"/>
    </row>
    <row r="396" spans="1:3" x14ac:dyDescent="0.2">
      <c r="A396" s="1293">
        <v>39568</v>
      </c>
      <c r="B396" s="1300"/>
    </row>
    <row r="397" spans="1:3" x14ac:dyDescent="0.2">
      <c r="A397" s="1293">
        <v>39599</v>
      </c>
      <c r="B397" s="1300"/>
    </row>
    <row r="398" spans="1:3" x14ac:dyDescent="0.2">
      <c r="A398" s="1293">
        <v>39629</v>
      </c>
      <c r="B398" s="1300"/>
    </row>
    <row r="399" spans="1:3" x14ac:dyDescent="0.2">
      <c r="A399" s="1293">
        <v>39660</v>
      </c>
      <c r="B399" s="1300"/>
      <c r="C399" s="1299"/>
    </row>
    <row r="400" spans="1:3" x14ac:dyDescent="0.2">
      <c r="A400" s="1293">
        <v>39691</v>
      </c>
      <c r="B400" s="1300"/>
      <c r="C400" s="1299"/>
    </row>
    <row r="401" spans="1:7" x14ac:dyDescent="0.2">
      <c r="A401" s="1293">
        <v>39721</v>
      </c>
      <c r="B401" s="1300"/>
      <c r="C401" s="1299"/>
    </row>
    <row r="402" spans="1:7" x14ac:dyDescent="0.2">
      <c r="A402" s="1293">
        <v>39752</v>
      </c>
      <c r="B402" s="1300"/>
    </row>
    <row r="403" spans="1:7" x14ac:dyDescent="0.2">
      <c r="A403" s="1293">
        <v>39782</v>
      </c>
      <c r="B403" s="1300"/>
      <c r="G403" s="1301"/>
    </row>
    <row r="404" spans="1:7" x14ac:dyDescent="0.2">
      <c r="A404" s="1293">
        <v>39813</v>
      </c>
      <c r="B404" s="1300"/>
    </row>
    <row r="405" spans="1:7" x14ac:dyDescent="0.2">
      <c r="A405" s="1293">
        <v>39844</v>
      </c>
      <c r="B405" s="1300"/>
    </row>
    <row r="406" spans="1:7" x14ac:dyDescent="0.2">
      <c r="A406" s="1293">
        <v>39872</v>
      </c>
      <c r="B406" s="1300"/>
    </row>
    <row r="407" spans="1:7" x14ac:dyDescent="0.2">
      <c r="A407" s="1293">
        <v>39903</v>
      </c>
      <c r="B407" s="1300"/>
    </row>
    <row r="408" spans="1:7" x14ac:dyDescent="0.2">
      <c r="A408" s="1293">
        <v>39933</v>
      </c>
      <c r="B408" s="1300"/>
    </row>
    <row r="409" spans="1:7" x14ac:dyDescent="0.2">
      <c r="A409" s="1293">
        <v>39964</v>
      </c>
      <c r="B409" s="1300"/>
    </row>
    <row r="410" spans="1:7" x14ac:dyDescent="0.2">
      <c r="A410" s="1293">
        <v>39994</v>
      </c>
      <c r="B410" s="1300"/>
    </row>
    <row r="411" spans="1:7" x14ac:dyDescent="0.2">
      <c r="A411" s="1293">
        <v>40025</v>
      </c>
      <c r="B411" s="1300"/>
    </row>
    <row r="412" spans="1:7" x14ac:dyDescent="0.2">
      <c r="A412" s="1293">
        <v>40056</v>
      </c>
      <c r="B412" s="1300"/>
    </row>
    <row r="413" spans="1:7" x14ac:dyDescent="0.2">
      <c r="A413" s="1293">
        <v>40086</v>
      </c>
      <c r="B413" s="1300"/>
    </row>
    <row r="414" spans="1:7" x14ac:dyDescent="0.2">
      <c r="A414" s="1293">
        <v>40117</v>
      </c>
      <c r="B414" s="1300"/>
    </row>
    <row r="415" spans="1:7" x14ac:dyDescent="0.2">
      <c r="A415" s="1293">
        <v>40147</v>
      </c>
      <c r="B415" s="1300"/>
    </row>
    <row r="416" spans="1:7" x14ac:dyDescent="0.2">
      <c r="A416" s="1293">
        <v>40178</v>
      </c>
      <c r="B416" s="1300"/>
    </row>
    <row r="417" spans="1:5" x14ac:dyDescent="0.2">
      <c r="A417" s="1293">
        <v>40209</v>
      </c>
      <c r="B417" s="1300"/>
    </row>
    <row r="418" spans="1:5" x14ac:dyDescent="0.2">
      <c r="A418" s="1293">
        <v>40237</v>
      </c>
      <c r="B418" s="1300">
        <v>-1.14836</v>
      </c>
      <c r="C418" s="1307">
        <v>198232806.58000001</v>
      </c>
      <c r="D418" s="1306">
        <v>-1.14836</v>
      </c>
      <c r="E418" s="1301">
        <f>B418-Index_Returns!AJ418</f>
        <v>8.6899999999998645E-3</v>
      </c>
    </row>
    <row r="419" spans="1:5" x14ac:dyDescent="0.2">
      <c r="A419" s="1293">
        <v>40268</v>
      </c>
      <c r="B419" s="1300">
        <v>0.10928</v>
      </c>
      <c r="C419" s="1334">
        <v>198449437.28</v>
      </c>
      <c r="D419" s="1311">
        <v>0.10928</v>
      </c>
      <c r="E419" s="1301">
        <f>B419-Index_Returns!AJ419</f>
        <v>-2.1319999999999992E-2</v>
      </c>
    </row>
    <row r="420" spans="1:5" x14ac:dyDescent="0.2">
      <c r="A420" s="1293">
        <v>40298</v>
      </c>
      <c r="B420" s="1300">
        <v>2.3826800000000001</v>
      </c>
      <c r="C420" s="1307">
        <v>203177860.83000001</v>
      </c>
      <c r="D420" s="1306">
        <v>2.3826800000000001</v>
      </c>
      <c r="E420" s="1301">
        <f>B420-Index_Returns!AJ420</f>
        <v>1.3479999999999936E-2</v>
      </c>
    </row>
    <row r="421" spans="1:5" x14ac:dyDescent="0.2">
      <c r="A421" s="1293">
        <v>40329</v>
      </c>
      <c r="B421" s="1300">
        <v>-4.3099999999999996E-3</v>
      </c>
      <c r="C421" s="1307">
        <v>203169114.47999999</v>
      </c>
      <c r="D421" s="1306">
        <v>-4.3099999999999996E-3</v>
      </c>
      <c r="E421" s="1301">
        <f>B421-Index_Returns!AJ421</f>
        <v>2.1300000000000008E-3</v>
      </c>
    </row>
    <row r="422" spans="1:5" x14ac:dyDescent="0.2">
      <c r="A422" s="1293">
        <v>40359</v>
      </c>
      <c r="B422" s="1300">
        <v>1.4280200000000001</v>
      </c>
      <c r="C422" s="1307">
        <v>206063188.06</v>
      </c>
      <c r="D422" s="1306">
        <v>1.4280200000000001</v>
      </c>
      <c r="E422" s="1301">
        <f>B422-Index_Returns!AJ422</f>
        <v>1.6300000000000203E-3</v>
      </c>
    </row>
    <row r="423" spans="1:5" x14ac:dyDescent="0.2">
      <c r="A423" s="1293">
        <v>40390</v>
      </c>
      <c r="B423" s="1300">
        <v>0.15112</v>
      </c>
      <c r="C423" s="1307">
        <v>206374597.47</v>
      </c>
      <c r="D423" s="1306">
        <v>0.15112</v>
      </c>
      <c r="E423" s="1301">
        <f>B423-Index_Returns!AJ423</f>
        <v>6.1599999999999988E-3</v>
      </c>
    </row>
    <row r="424" spans="1:5" x14ac:dyDescent="0.2">
      <c r="A424" s="1293">
        <v>40421</v>
      </c>
      <c r="B424" s="1300">
        <v>1.72384</v>
      </c>
      <c r="C424" s="1307">
        <v>209932159.94</v>
      </c>
      <c r="D424" s="1306">
        <v>1.72384</v>
      </c>
      <c r="E424" s="1301">
        <f>B424-Index_Returns!AJ424</f>
        <v>1.1499999999999844E-3</v>
      </c>
    </row>
    <row r="425" spans="1:5" x14ac:dyDescent="0.2">
      <c r="A425" s="1293">
        <v>40451</v>
      </c>
      <c r="B425" s="1300">
        <v>0.61060000000000003</v>
      </c>
      <c r="C425" s="1307">
        <v>211213996.43000001</v>
      </c>
      <c r="D425" s="1306">
        <v>0.61060000000000003</v>
      </c>
      <c r="E425" s="1301">
        <f>B425-Index_Returns!AJ425</f>
        <v>8.5200000000000831E-3</v>
      </c>
    </row>
    <row r="426" spans="1:5" x14ac:dyDescent="0.2">
      <c r="A426" s="1293">
        <v>40482</v>
      </c>
      <c r="B426" s="1306">
        <v>2.6494200000000001</v>
      </c>
      <c r="C426" s="1307">
        <v>216809945.78</v>
      </c>
      <c r="D426" s="1306">
        <v>2.6494200000000001</v>
      </c>
      <c r="E426" s="1301">
        <f>B426-Index_Returns!AJ426</f>
        <v>-2.0999999999999908E-3</v>
      </c>
    </row>
    <row r="427" spans="1:5" x14ac:dyDescent="0.2">
      <c r="A427" s="1293">
        <v>40512</v>
      </c>
      <c r="B427" s="1300">
        <f>D427</f>
        <v>-1.6879599999999999</v>
      </c>
      <c r="C427" s="1307">
        <v>213150289.55000001</v>
      </c>
      <c r="D427" s="1306">
        <v>-1.6879599999999999</v>
      </c>
      <c r="E427" s="1301">
        <f>B427-Index_Returns!AJ427</f>
        <v>5.5400000000001004E-3</v>
      </c>
    </row>
    <row r="428" spans="1:5" x14ac:dyDescent="0.2">
      <c r="A428" s="1293">
        <v>40543</v>
      </c>
      <c r="B428" s="1300">
        <v>-1.53973</v>
      </c>
      <c r="C428" s="1307">
        <v>209868347.25999999</v>
      </c>
      <c r="D428" s="1306">
        <v>-1.53973</v>
      </c>
      <c r="E428" s="1301">
        <f>B428-Index_Returns!AJ428</f>
        <v>6.2499999999998668E-3</v>
      </c>
    </row>
    <row r="429" spans="1:5" x14ac:dyDescent="0.2">
      <c r="A429" s="1293">
        <v>40574</v>
      </c>
      <c r="B429" s="1300">
        <f>D429</f>
        <v>0.20909</v>
      </c>
      <c r="C429" s="1307">
        <v>210307155.19</v>
      </c>
      <c r="D429" s="1306">
        <v>0.20909</v>
      </c>
      <c r="E429" s="1301">
        <f>B429-Index_Returns!AJ429</f>
        <v>1.3000000000000012E-2</v>
      </c>
    </row>
    <row r="430" spans="1:5" x14ac:dyDescent="0.2">
      <c r="A430" s="1293">
        <v>40602</v>
      </c>
      <c r="B430" s="1300">
        <v>0.86992999999999998</v>
      </c>
      <c r="C430" s="1307">
        <v>212136686.43000001</v>
      </c>
      <c r="D430" s="1306">
        <v>0.86992999999999998</v>
      </c>
      <c r="E430" s="1301">
        <f>B430-Index_Returns!AJ430</f>
        <v>1.2739999999999974E-2</v>
      </c>
    </row>
    <row r="431" spans="1:5" x14ac:dyDescent="0.2">
      <c r="A431" s="1293">
        <v>40633</v>
      </c>
      <c r="B431" s="1300">
        <f>D431</f>
        <v>1.0207299999999999</v>
      </c>
      <c r="C431" s="1307">
        <v>264302037.91999999</v>
      </c>
      <c r="D431" s="1306">
        <v>1.0207299999999999</v>
      </c>
      <c r="E431" s="1301">
        <f>B431-Index_Returns!AJ431</f>
        <v>5.7699999999998308E-3</v>
      </c>
    </row>
    <row r="432" spans="1:5" x14ac:dyDescent="0.2">
      <c r="A432" s="1293">
        <v>40663</v>
      </c>
      <c r="B432" s="1300">
        <f t="shared" ref="B432:B440" si="0">D432</f>
        <v>2.5226799999999998</v>
      </c>
      <c r="C432" s="1307">
        <v>270960340.72000003</v>
      </c>
      <c r="D432" s="1306">
        <v>2.5226799999999998</v>
      </c>
      <c r="E432" s="1301">
        <f>B432-Index_Returns!AJ432</f>
        <v>8.839999999999737E-3</v>
      </c>
    </row>
    <row r="433" spans="1:5" x14ac:dyDescent="0.2">
      <c r="A433" s="1293">
        <v>40694</v>
      </c>
      <c r="B433" s="1300">
        <f t="shared" si="0"/>
        <v>0.31707000000000002</v>
      </c>
      <c r="C433" s="1307">
        <v>271819483.44999999</v>
      </c>
      <c r="D433" s="1306">
        <v>0.31707000000000002</v>
      </c>
      <c r="E433" s="1301">
        <f>B433-Index_Returns!AJ433</f>
        <v>1.2070000000000025E-2</v>
      </c>
    </row>
    <row r="434" spans="1:5" x14ac:dyDescent="0.2">
      <c r="A434" s="1293">
        <v>40724</v>
      </c>
      <c r="B434" s="1300">
        <f t="shared" si="0"/>
        <v>0</v>
      </c>
      <c r="E434" s="1301">
        <f>B434-Index_Returns!AJ434</f>
        <v>-0.80628999999999995</v>
      </c>
    </row>
    <row r="435" spans="1:5" x14ac:dyDescent="0.2">
      <c r="A435" s="1293">
        <v>40755</v>
      </c>
      <c r="B435" s="1300">
        <f t="shared" si="0"/>
        <v>0</v>
      </c>
      <c r="E435" s="1301">
        <f>B435-Index_Returns!AJ435</f>
        <v>-3.91459</v>
      </c>
    </row>
    <row r="436" spans="1:5" x14ac:dyDescent="0.2">
      <c r="A436" s="1293">
        <v>40786</v>
      </c>
      <c r="B436" s="1300">
        <f t="shared" si="0"/>
        <v>0</v>
      </c>
      <c r="E436" s="1301">
        <f>B436-Index_Returns!AJ436</f>
        <v>-0.81527000000000005</v>
      </c>
    </row>
    <row r="437" spans="1:5" x14ac:dyDescent="0.2">
      <c r="A437" s="1293">
        <v>40816</v>
      </c>
      <c r="B437" s="1300">
        <f t="shared" si="0"/>
        <v>0</v>
      </c>
      <c r="E437" s="1301">
        <f>B437-Index_Returns!AJ437</f>
        <v>0.23633000000000001</v>
      </c>
    </row>
    <row r="438" spans="1:5" x14ac:dyDescent="0.2">
      <c r="A438" s="1293">
        <v>40847</v>
      </c>
      <c r="B438" s="1300">
        <f t="shared" si="0"/>
        <v>0</v>
      </c>
      <c r="E438" s="1301">
        <f>B438-Index_Returns!AJ438</f>
        <v>-1.8634599999999999</v>
      </c>
    </row>
    <row r="439" spans="1:5" x14ac:dyDescent="0.2">
      <c r="A439" s="1293">
        <v>40877</v>
      </c>
      <c r="B439" s="1300">
        <f t="shared" si="0"/>
        <v>0</v>
      </c>
      <c r="E439" s="1301">
        <f>B439-Index_Returns!AJ439</f>
        <v>-0.77163999999999999</v>
      </c>
    </row>
    <row r="440" spans="1:5" x14ac:dyDescent="0.2">
      <c r="A440" s="1293">
        <v>40908</v>
      </c>
      <c r="B440" s="1300">
        <f t="shared" si="0"/>
        <v>0</v>
      </c>
      <c r="E440" s="1301">
        <f>B440-Index_Returns!AJ440</f>
        <v>-3.6540000000000003E-2</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0000"/>
  </sheetPr>
  <dimension ref="A1:K440"/>
  <sheetViews>
    <sheetView topLeftCell="A397" workbookViewId="0">
      <selection activeCell="E430" sqref="E430"/>
    </sheetView>
  </sheetViews>
  <sheetFormatPr defaultRowHeight="12.75" x14ac:dyDescent="0.2"/>
  <cols>
    <col min="1" max="1" width="18.7109375" style="21" customWidth="1"/>
    <col min="2" max="2" width="18.7109375" style="257" customWidth="1"/>
    <col min="3" max="3" width="18.7109375" style="346" customWidth="1"/>
    <col min="4" max="5" width="18.7109375" style="258" customWidth="1"/>
    <col min="6" max="6" width="12.42578125" bestFit="1" customWidth="1"/>
    <col min="7" max="7" width="12.85546875" style="352" bestFit="1" customWidth="1"/>
    <col min="8" max="8" width="14.85546875" style="352" bestFit="1" customWidth="1"/>
  </cols>
  <sheetData>
    <row r="1" spans="1:5" x14ac:dyDescent="0.2">
      <c r="A1" s="265" t="s">
        <v>392</v>
      </c>
      <c r="B1" s="1370" t="s">
        <v>529</v>
      </c>
      <c r="C1" s="1384" t="s">
        <v>394</v>
      </c>
      <c r="D1" s="1370">
        <v>60</v>
      </c>
      <c r="E1" s="74" t="s">
        <v>81</v>
      </c>
    </row>
    <row r="2" spans="1:5" x14ac:dyDescent="0.2">
      <c r="A2" s="3" t="s">
        <v>27</v>
      </c>
      <c r="B2" s="71" t="s">
        <v>91</v>
      </c>
      <c r="C2" s="226" t="s">
        <v>92</v>
      </c>
      <c r="D2" s="71" t="s">
        <v>90</v>
      </c>
      <c r="E2" s="71" t="s">
        <v>80</v>
      </c>
    </row>
    <row r="3" spans="1:5" x14ac:dyDescent="0.2">
      <c r="A3" s="345">
        <v>27606</v>
      </c>
      <c r="B3" s="71"/>
      <c r="C3" s="226"/>
      <c r="D3" s="71"/>
      <c r="E3" s="71"/>
    </row>
    <row r="4" spans="1:5" x14ac:dyDescent="0.2">
      <c r="A4" s="345">
        <v>27637</v>
      </c>
      <c r="B4" s="71"/>
      <c r="C4" s="226"/>
      <c r="D4" s="71"/>
      <c r="E4" s="71"/>
    </row>
    <row r="5" spans="1:5" x14ac:dyDescent="0.2">
      <c r="A5" s="345">
        <v>27667</v>
      </c>
      <c r="B5" s="71"/>
      <c r="C5" s="226"/>
      <c r="D5" s="71"/>
      <c r="E5" s="71"/>
    </row>
    <row r="6" spans="1:5" x14ac:dyDescent="0.2">
      <c r="A6" s="345">
        <v>27698</v>
      </c>
      <c r="B6" s="71"/>
      <c r="C6" s="226"/>
      <c r="D6" s="71"/>
      <c r="E6" s="71"/>
    </row>
    <row r="7" spans="1:5" x14ac:dyDescent="0.2">
      <c r="A7" s="345">
        <v>27728</v>
      </c>
      <c r="B7" s="71"/>
      <c r="C7" s="226"/>
      <c r="D7" s="71"/>
      <c r="E7" s="71"/>
    </row>
    <row r="8" spans="1:5" x14ac:dyDescent="0.2">
      <c r="A8" s="345">
        <v>27759</v>
      </c>
      <c r="B8" s="71"/>
      <c r="C8" s="226"/>
      <c r="D8" s="71"/>
      <c r="E8" s="71"/>
    </row>
    <row r="9" spans="1:5" x14ac:dyDescent="0.2">
      <c r="A9" s="345">
        <v>27790</v>
      </c>
      <c r="B9" s="71"/>
      <c r="C9" s="226"/>
      <c r="D9" s="71"/>
      <c r="E9" s="71"/>
    </row>
    <row r="10" spans="1:5" x14ac:dyDescent="0.2">
      <c r="A10" s="345">
        <v>27819</v>
      </c>
      <c r="B10" s="71"/>
      <c r="C10" s="226"/>
      <c r="D10" s="71"/>
      <c r="E10" s="71"/>
    </row>
    <row r="11" spans="1:5" x14ac:dyDescent="0.2">
      <c r="A11" s="345">
        <v>27850</v>
      </c>
      <c r="B11" s="71"/>
      <c r="C11" s="226"/>
      <c r="D11" s="71"/>
      <c r="E11" s="71"/>
    </row>
    <row r="12" spans="1:5" x14ac:dyDescent="0.2">
      <c r="A12" s="345">
        <v>27880</v>
      </c>
      <c r="B12" s="71"/>
      <c r="C12" s="226"/>
      <c r="D12" s="71"/>
      <c r="E12" s="71"/>
    </row>
    <row r="13" spans="1:5" x14ac:dyDescent="0.2">
      <c r="A13" s="345">
        <v>27911</v>
      </c>
      <c r="B13" s="71"/>
      <c r="C13" s="226"/>
      <c r="D13" s="71"/>
      <c r="E13" s="71"/>
    </row>
    <row r="14" spans="1:5" x14ac:dyDescent="0.2">
      <c r="A14" s="345">
        <v>27941</v>
      </c>
      <c r="B14" s="71"/>
      <c r="C14" s="226"/>
      <c r="D14" s="71"/>
      <c r="E14" s="71"/>
    </row>
    <row r="15" spans="1:5" x14ac:dyDescent="0.2">
      <c r="A15" s="345">
        <v>27972</v>
      </c>
      <c r="B15" s="71"/>
      <c r="C15" s="226"/>
      <c r="D15" s="71"/>
      <c r="E15" s="71"/>
    </row>
    <row r="16" spans="1:5"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3"/>
      <c r="C147" s="25"/>
      <c r="D147" s="73"/>
      <c r="E147" s="73"/>
    </row>
    <row r="148" spans="1:5" x14ac:dyDescent="0.2">
      <c r="A148" s="345">
        <v>32020</v>
      </c>
      <c r="B148" s="73"/>
      <c r="C148" s="25"/>
      <c r="D148" s="73"/>
      <c r="E148" s="73"/>
    </row>
    <row r="149" spans="1:5" x14ac:dyDescent="0.2">
      <c r="A149" s="345">
        <v>32050</v>
      </c>
      <c r="B149" s="73"/>
      <c r="C149" s="25"/>
      <c r="D149" s="73"/>
      <c r="E149" s="73"/>
    </row>
    <row r="150" spans="1:5" x14ac:dyDescent="0.2">
      <c r="A150" s="345">
        <v>32081</v>
      </c>
      <c r="B150" s="73"/>
      <c r="C150" s="25"/>
      <c r="D150" s="73"/>
      <c r="E150" s="73"/>
    </row>
    <row r="151" spans="1:5" x14ac:dyDescent="0.2">
      <c r="A151" s="345">
        <v>32111</v>
      </c>
      <c r="B151" s="73"/>
      <c r="C151" s="25"/>
      <c r="D151" s="73"/>
      <c r="E151" s="73"/>
    </row>
    <row r="152" spans="1:5" x14ac:dyDescent="0.2">
      <c r="A152" s="345">
        <v>32142</v>
      </c>
      <c r="B152" s="73"/>
      <c r="C152" s="25"/>
      <c r="D152" s="73"/>
      <c r="E152" s="73"/>
    </row>
    <row r="153" spans="1:5" x14ac:dyDescent="0.2">
      <c r="A153" s="345">
        <v>32173</v>
      </c>
      <c r="B153" s="73"/>
      <c r="C153" s="25"/>
      <c r="D153" s="73"/>
      <c r="E153" s="73"/>
    </row>
    <row r="154" spans="1:5" x14ac:dyDescent="0.2">
      <c r="A154" s="345">
        <v>32202</v>
      </c>
      <c r="B154" s="73"/>
      <c r="C154" s="25"/>
      <c r="D154" s="73"/>
      <c r="E154" s="73"/>
    </row>
    <row r="155" spans="1:5" x14ac:dyDescent="0.2">
      <c r="A155" s="345">
        <v>32233</v>
      </c>
      <c r="B155" s="73"/>
      <c r="C155" s="25"/>
      <c r="D155" s="73"/>
      <c r="E155" s="73"/>
    </row>
    <row r="156" spans="1:5" x14ac:dyDescent="0.2">
      <c r="A156" s="345">
        <v>32263</v>
      </c>
      <c r="B156" s="73"/>
      <c r="C156" s="25"/>
      <c r="D156" s="73"/>
      <c r="E156" s="73"/>
    </row>
    <row r="157" spans="1:5" x14ac:dyDescent="0.2">
      <c r="A157" s="345">
        <v>32294</v>
      </c>
      <c r="B157" s="73"/>
      <c r="C157" s="25"/>
      <c r="D157" s="73"/>
      <c r="E157" s="73"/>
    </row>
    <row r="158" spans="1:5" x14ac:dyDescent="0.2">
      <c r="A158" s="345">
        <v>32324</v>
      </c>
      <c r="B158" s="73"/>
      <c r="C158" s="25"/>
      <c r="D158" s="73"/>
      <c r="E158" s="73"/>
    </row>
    <row r="159" spans="1:5" x14ac:dyDescent="0.2">
      <c r="A159" s="345">
        <v>32355</v>
      </c>
      <c r="B159" s="73"/>
      <c r="C159" s="25"/>
      <c r="D159" s="73"/>
      <c r="E159" s="73"/>
    </row>
    <row r="160" spans="1:5" x14ac:dyDescent="0.2">
      <c r="A160" s="345">
        <v>32386</v>
      </c>
      <c r="B160" s="73"/>
      <c r="C160" s="25"/>
      <c r="D160" s="73"/>
      <c r="E160" s="73"/>
    </row>
    <row r="161" spans="1:5" x14ac:dyDescent="0.2">
      <c r="A161" s="345">
        <v>32416</v>
      </c>
      <c r="B161" s="73"/>
      <c r="C161" s="25"/>
      <c r="D161" s="73"/>
      <c r="E161" s="73"/>
    </row>
    <row r="162" spans="1:5" x14ac:dyDescent="0.2">
      <c r="A162" s="345">
        <v>32447</v>
      </c>
      <c r="B162" s="73"/>
      <c r="C162" s="25"/>
      <c r="D162" s="73"/>
      <c r="E162" s="73"/>
    </row>
    <row r="163" spans="1:5" x14ac:dyDescent="0.2">
      <c r="A163" s="345">
        <v>32477</v>
      </c>
      <c r="B163" s="73"/>
      <c r="C163" s="25"/>
      <c r="D163" s="73"/>
      <c r="E163" s="73"/>
    </row>
    <row r="164" spans="1:5" x14ac:dyDescent="0.2">
      <c r="A164" s="345">
        <v>32508</v>
      </c>
      <c r="B164" s="73"/>
      <c r="C164" s="25"/>
      <c r="D164" s="73"/>
      <c r="E164" s="73"/>
    </row>
    <row r="165" spans="1:5" x14ac:dyDescent="0.2">
      <c r="A165" s="345">
        <v>32539</v>
      </c>
      <c r="B165" s="73"/>
      <c r="C165" s="25"/>
      <c r="D165" s="73"/>
      <c r="E165" s="73"/>
    </row>
    <row r="166" spans="1:5" x14ac:dyDescent="0.2">
      <c r="A166" s="345">
        <v>32567</v>
      </c>
      <c r="B166" s="73"/>
      <c r="C166" s="25"/>
      <c r="D166" s="73"/>
      <c r="E166" s="73"/>
    </row>
    <row r="167" spans="1:5" x14ac:dyDescent="0.2">
      <c r="A167" s="345">
        <v>32598</v>
      </c>
      <c r="B167" s="73"/>
      <c r="C167" s="25"/>
      <c r="D167" s="73"/>
      <c r="E167" s="73"/>
    </row>
    <row r="168" spans="1:5" x14ac:dyDescent="0.2">
      <c r="A168" s="345">
        <v>32628</v>
      </c>
      <c r="B168" s="73"/>
      <c r="C168" s="25"/>
      <c r="D168" s="73"/>
      <c r="E168" s="73"/>
    </row>
    <row r="169" spans="1:5" x14ac:dyDescent="0.2">
      <c r="A169" s="345">
        <v>32659</v>
      </c>
      <c r="B169" s="73"/>
      <c r="C169" s="25"/>
      <c r="D169" s="73"/>
      <c r="E169" s="73"/>
    </row>
    <row r="170" spans="1:5" x14ac:dyDescent="0.2">
      <c r="A170" s="345">
        <v>32689</v>
      </c>
      <c r="B170" s="73"/>
      <c r="C170" s="25"/>
      <c r="D170" s="73"/>
      <c r="E170" s="73"/>
    </row>
    <row r="171" spans="1:5" x14ac:dyDescent="0.2">
      <c r="A171" s="345">
        <v>32720</v>
      </c>
      <c r="B171" s="73"/>
      <c r="C171" s="25"/>
      <c r="D171" s="73"/>
      <c r="E171" s="73"/>
    </row>
    <row r="172" spans="1:5" x14ac:dyDescent="0.2">
      <c r="A172" s="345">
        <v>32751</v>
      </c>
      <c r="B172" s="73"/>
      <c r="C172" s="25"/>
      <c r="D172" s="73"/>
      <c r="E172" s="73"/>
    </row>
    <row r="173" spans="1:5" x14ac:dyDescent="0.2">
      <c r="A173" s="345">
        <v>32781</v>
      </c>
      <c r="B173" s="73"/>
      <c r="C173" s="25"/>
      <c r="D173" s="73"/>
      <c r="E173" s="73"/>
    </row>
    <row r="174" spans="1:5" x14ac:dyDescent="0.2">
      <c r="A174" s="345">
        <v>32812</v>
      </c>
      <c r="B174" s="73"/>
      <c r="C174" s="25"/>
      <c r="D174" s="73"/>
      <c r="E174" s="73"/>
    </row>
    <row r="175" spans="1:5" x14ac:dyDescent="0.2">
      <c r="A175" s="345">
        <v>32842</v>
      </c>
      <c r="B175" s="73"/>
      <c r="C175" s="25"/>
      <c r="D175" s="73"/>
      <c r="E175" s="73"/>
    </row>
    <row r="176" spans="1:5" x14ac:dyDescent="0.2">
      <c r="A176" s="345">
        <v>32873</v>
      </c>
      <c r="B176" s="73"/>
      <c r="C176" s="25"/>
      <c r="D176" s="73"/>
      <c r="E176" s="73"/>
    </row>
    <row r="177" spans="1:5" x14ac:dyDescent="0.2">
      <c r="A177" s="345">
        <v>32904</v>
      </c>
      <c r="B177" s="255"/>
      <c r="C177" s="259"/>
      <c r="D177" s="73"/>
      <c r="E177" s="73"/>
    </row>
    <row r="178" spans="1:5" x14ac:dyDescent="0.2">
      <c r="A178" s="345">
        <v>32932</v>
      </c>
      <c r="B178" s="255"/>
      <c r="C178" s="259"/>
      <c r="D178" s="73"/>
      <c r="E178" s="73"/>
    </row>
    <row r="179" spans="1:5" x14ac:dyDescent="0.2">
      <c r="A179" s="345">
        <v>32963</v>
      </c>
      <c r="B179" s="255"/>
      <c r="C179" s="259"/>
      <c r="D179" s="73"/>
      <c r="E179" s="73"/>
    </row>
    <row r="180" spans="1:5" x14ac:dyDescent="0.2">
      <c r="A180" s="345">
        <v>32993</v>
      </c>
      <c r="B180" s="255"/>
      <c r="C180" s="259"/>
      <c r="D180" s="73"/>
      <c r="E180" s="73"/>
    </row>
    <row r="181" spans="1:5" x14ac:dyDescent="0.2">
      <c r="A181" s="345">
        <v>33024</v>
      </c>
      <c r="B181" s="255"/>
      <c r="C181" s="259"/>
      <c r="D181" s="73"/>
      <c r="E181" s="73"/>
    </row>
    <row r="182" spans="1:5" x14ac:dyDescent="0.2">
      <c r="A182" s="345">
        <v>33054</v>
      </c>
      <c r="B182" s="255"/>
      <c r="C182" s="259"/>
      <c r="D182" s="73"/>
      <c r="E182" s="73"/>
    </row>
    <row r="183" spans="1:5" x14ac:dyDescent="0.2">
      <c r="A183" s="345">
        <v>33085</v>
      </c>
      <c r="B183" s="255"/>
      <c r="C183" s="259"/>
      <c r="D183" s="73"/>
      <c r="E183" s="73"/>
    </row>
    <row r="184" spans="1:5" x14ac:dyDescent="0.2">
      <c r="A184" s="345">
        <v>33116</v>
      </c>
      <c r="B184" s="255"/>
      <c r="C184" s="259"/>
      <c r="D184" s="73"/>
      <c r="E184" s="73"/>
    </row>
    <row r="185" spans="1:5" x14ac:dyDescent="0.2">
      <c r="A185" s="345">
        <v>33146</v>
      </c>
      <c r="B185" s="255"/>
      <c r="C185" s="259"/>
      <c r="D185" s="73"/>
      <c r="E185" s="73"/>
    </row>
    <row r="186" spans="1:5" x14ac:dyDescent="0.2">
      <c r="A186" s="345">
        <v>33177</v>
      </c>
      <c r="B186" s="255"/>
      <c r="C186" s="259"/>
      <c r="D186" s="73"/>
      <c r="E186" s="73"/>
    </row>
    <row r="187" spans="1:5" x14ac:dyDescent="0.2">
      <c r="A187" s="345">
        <v>33207</v>
      </c>
      <c r="B187" s="255"/>
      <c r="C187" s="259"/>
      <c r="D187" s="73"/>
      <c r="E187" s="73"/>
    </row>
    <row r="188" spans="1:5" x14ac:dyDescent="0.2">
      <c r="A188" s="345">
        <v>33238</v>
      </c>
      <c r="B188" s="255"/>
      <c r="C188" s="259"/>
      <c r="D188" s="73"/>
      <c r="E188" s="73"/>
    </row>
    <row r="189" spans="1:5" x14ac:dyDescent="0.2">
      <c r="A189" s="345">
        <v>33269</v>
      </c>
      <c r="B189" s="255"/>
      <c r="C189" s="259"/>
      <c r="D189" s="73"/>
      <c r="E189" s="73"/>
    </row>
    <row r="190" spans="1:5" x14ac:dyDescent="0.2">
      <c r="A190" s="345">
        <v>33297</v>
      </c>
      <c r="B190" s="255"/>
      <c r="C190" s="259"/>
      <c r="D190" s="73"/>
      <c r="E190" s="73"/>
    </row>
    <row r="191" spans="1:5" x14ac:dyDescent="0.2">
      <c r="A191" s="345">
        <v>33328</v>
      </c>
      <c r="B191" s="255"/>
      <c r="C191" s="259"/>
      <c r="D191" s="73"/>
      <c r="E191" s="73"/>
    </row>
    <row r="192" spans="1:5" x14ac:dyDescent="0.2">
      <c r="A192" s="345">
        <v>33358</v>
      </c>
      <c r="B192" s="255"/>
      <c r="C192" s="259"/>
      <c r="D192" s="73"/>
      <c r="E192" s="73"/>
    </row>
    <row r="193" spans="1:5" x14ac:dyDescent="0.2">
      <c r="A193" s="345">
        <v>33389</v>
      </c>
      <c r="B193" s="255"/>
      <c r="C193" s="259"/>
      <c r="D193" s="73"/>
      <c r="E193" s="73"/>
    </row>
    <row r="194" spans="1:5" x14ac:dyDescent="0.2">
      <c r="A194" s="345">
        <v>33419</v>
      </c>
      <c r="B194" s="255"/>
      <c r="C194" s="259"/>
      <c r="D194" s="73"/>
      <c r="E194" s="73"/>
    </row>
    <row r="195" spans="1:5" x14ac:dyDescent="0.2">
      <c r="A195" s="345">
        <v>33450</v>
      </c>
      <c r="B195" s="255"/>
      <c r="C195" s="259"/>
      <c r="D195" s="73"/>
      <c r="E195" s="73"/>
    </row>
    <row r="196" spans="1:5" x14ac:dyDescent="0.2">
      <c r="A196" s="345">
        <v>33481</v>
      </c>
      <c r="B196" s="255"/>
      <c r="C196" s="259"/>
      <c r="D196" s="73"/>
      <c r="E196" s="73"/>
    </row>
    <row r="197" spans="1:5" x14ac:dyDescent="0.2">
      <c r="A197" s="345">
        <v>33511</v>
      </c>
      <c r="B197" s="255"/>
      <c r="C197" s="259"/>
      <c r="D197" s="73"/>
      <c r="E197" s="73"/>
    </row>
    <row r="198" spans="1:5" x14ac:dyDescent="0.2">
      <c r="A198" s="345">
        <v>33542</v>
      </c>
      <c r="B198" s="255"/>
      <c r="C198" s="259"/>
      <c r="D198" s="73"/>
      <c r="E198" s="73"/>
    </row>
    <row r="199" spans="1:5" x14ac:dyDescent="0.2">
      <c r="A199" s="345">
        <v>33572</v>
      </c>
      <c r="B199" s="255"/>
      <c r="C199" s="259"/>
      <c r="D199" s="73"/>
      <c r="E199" s="73"/>
    </row>
    <row r="200" spans="1:5" x14ac:dyDescent="0.2">
      <c r="A200" s="345">
        <v>33603</v>
      </c>
      <c r="B200" s="255"/>
      <c r="C200" s="259"/>
      <c r="D200" s="73"/>
      <c r="E200" s="73"/>
    </row>
    <row r="201" spans="1:5" x14ac:dyDescent="0.2">
      <c r="A201" s="345">
        <v>33634</v>
      </c>
      <c r="B201" s="255"/>
      <c r="C201" s="259"/>
      <c r="D201" s="73"/>
      <c r="E201" s="73"/>
    </row>
    <row r="202" spans="1:5" x14ac:dyDescent="0.2">
      <c r="A202" s="345">
        <v>33663</v>
      </c>
      <c r="B202" s="255"/>
      <c r="C202" s="259"/>
      <c r="D202" s="73"/>
      <c r="E202" s="73"/>
    </row>
    <row r="203" spans="1:5" x14ac:dyDescent="0.2">
      <c r="A203" s="345">
        <v>33694</v>
      </c>
      <c r="B203" s="255"/>
      <c r="C203" s="259"/>
      <c r="D203" s="73"/>
      <c r="E203" s="73"/>
    </row>
    <row r="204" spans="1:5" x14ac:dyDescent="0.2">
      <c r="A204" s="345">
        <v>33724</v>
      </c>
      <c r="B204" s="255"/>
      <c r="C204" s="259"/>
      <c r="D204" s="73"/>
      <c r="E204" s="73"/>
    </row>
    <row r="205" spans="1:5" x14ac:dyDescent="0.2">
      <c r="A205" s="345">
        <v>33755</v>
      </c>
      <c r="B205" s="255"/>
      <c r="C205" s="259"/>
      <c r="D205" s="73"/>
      <c r="E205" s="73"/>
    </row>
    <row r="206" spans="1:5" x14ac:dyDescent="0.2">
      <c r="A206" s="345">
        <v>33785</v>
      </c>
      <c r="B206" s="255"/>
      <c r="C206" s="259"/>
      <c r="D206" s="73"/>
      <c r="E206" s="73"/>
    </row>
    <row r="207" spans="1:5" x14ac:dyDescent="0.2">
      <c r="A207" s="345">
        <v>33816</v>
      </c>
      <c r="B207" s="255"/>
      <c r="C207" s="259"/>
      <c r="D207" s="73"/>
      <c r="E207" s="73"/>
    </row>
    <row r="208" spans="1:5" x14ac:dyDescent="0.2">
      <c r="A208" s="345">
        <v>33847</v>
      </c>
      <c r="B208" s="255"/>
      <c r="C208" s="259"/>
      <c r="D208" s="73"/>
      <c r="E208" s="73"/>
    </row>
    <row r="209" spans="1:5" x14ac:dyDescent="0.2">
      <c r="A209" s="345">
        <v>33877</v>
      </c>
      <c r="B209" s="255"/>
      <c r="C209" s="259"/>
      <c r="D209" s="73"/>
      <c r="E209" s="73"/>
    </row>
    <row r="210" spans="1:5" x14ac:dyDescent="0.2">
      <c r="A210" s="345">
        <v>33908</v>
      </c>
      <c r="B210" s="255"/>
      <c r="C210" s="259"/>
      <c r="D210" s="73"/>
      <c r="E210" s="73"/>
    </row>
    <row r="211" spans="1:5" x14ac:dyDescent="0.2">
      <c r="A211" s="345">
        <v>33938</v>
      </c>
      <c r="B211" s="255"/>
      <c r="C211" s="259"/>
      <c r="D211" s="73"/>
      <c r="E211" s="73"/>
    </row>
    <row r="212" spans="1:5" x14ac:dyDescent="0.2">
      <c r="A212" s="345">
        <v>33969</v>
      </c>
      <c r="B212" s="255"/>
      <c r="C212" s="259"/>
      <c r="D212" s="73"/>
      <c r="E212" s="73"/>
    </row>
    <row r="213" spans="1:5" x14ac:dyDescent="0.2">
      <c r="A213" s="345">
        <v>34000</v>
      </c>
      <c r="B213" s="255"/>
      <c r="C213" s="259"/>
      <c r="D213" s="73"/>
      <c r="E213" s="73"/>
    </row>
    <row r="214" spans="1:5" x14ac:dyDescent="0.2">
      <c r="A214" s="345">
        <v>34028</v>
      </c>
      <c r="B214" s="255"/>
      <c r="C214" s="259"/>
      <c r="D214" s="73"/>
      <c r="E214" s="73"/>
    </row>
    <row r="215" spans="1:5" x14ac:dyDescent="0.2">
      <c r="A215" s="345">
        <v>34059</v>
      </c>
      <c r="B215" s="255"/>
      <c r="C215" s="259"/>
      <c r="D215" s="73"/>
      <c r="E215" s="73"/>
    </row>
    <row r="216" spans="1:5" x14ac:dyDescent="0.2">
      <c r="A216" s="345">
        <v>34089</v>
      </c>
      <c r="B216" s="255"/>
      <c r="C216" s="259"/>
      <c r="D216" s="73"/>
      <c r="E216" s="73"/>
    </row>
    <row r="217" spans="1:5" x14ac:dyDescent="0.2">
      <c r="A217" s="345">
        <v>34120</v>
      </c>
      <c r="B217" s="255"/>
      <c r="C217" s="259"/>
      <c r="D217" s="73"/>
      <c r="E217" s="73"/>
    </row>
    <row r="218" spans="1:5" x14ac:dyDescent="0.2">
      <c r="A218" s="345">
        <v>34150</v>
      </c>
      <c r="B218" s="255"/>
      <c r="C218" s="259"/>
      <c r="D218" s="73"/>
      <c r="E218" s="73"/>
    </row>
    <row r="219" spans="1:5" x14ac:dyDescent="0.2">
      <c r="A219" s="345">
        <v>34181</v>
      </c>
      <c r="B219" s="255"/>
      <c r="C219" s="259"/>
      <c r="D219" s="73"/>
      <c r="E219" s="73"/>
    </row>
    <row r="220" spans="1:5" x14ac:dyDescent="0.2">
      <c r="A220" s="345">
        <v>34212</v>
      </c>
      <c r="B220" s="255"/>
      <c r="C220" s="259"/>
      <c r="D220" s="73"/>
      <c r="E220" s="73"/>
    </row>
    <row r="221" spans="1:5" x14ac:dyDescent="0.2">
      <c r="A221" s="345">
        <v>34242</v>
      </c>
      <c r="B221" s="255"/>
      <c r="C221" s="259"/>
      <c r="D221" s="73"/>
      <c r="E221" s="73"/>
    </row>
    <row r="222" spans="1:5" x14ac:dyDescent="0.2">
      <c r="A222" s="345">
        <v>34273</v>
      </c>
      <c r="B222" s="255"/>
      <c r="C222" s="259"/>
      <c r="D222" s="73"/>
      <c r="E222" s="73"/>
    </row>
    <row r="223" spans="1:5" x14ac:dyDescent="0.2">
      <c r="A223" s="345">
        <v>34303</v>
      </c>
      <c r="B223" s="255"/>
      <c r="C223" s="259"/>
      <c r="D223" s="73"/>
      <c r="E223" s="73"/>
    </row>
    <row r="224" spans="1:5" x14ac:dyDescent="0.2">
      <c r="A224" s="345">
        <v>34334</v>
      </c>
      <c r="B224" s="255"/>
      <c r="C224" s="259"/>
      <c r="D224" s="73"/>
      <c r="E224" s="73"/>
    </row>
    <row r="225" spans="1:5" x14ac:dyDescent="0.2">
      <c r="A225" s="345">
        <v>34365</v>
      </c>
      <c r="B225" s="255"/>
      <c r="C225" s="259"/>
      <c r="D225" s="73"/>
      <c r="E225" s="73"/>
    </row>
    <row r="226" spans="1:5" x14ac:dyDescent="0.2">
      <c r="A226" s="345">
        <v>34393</v>
      </c>
      <c r="B226" s="255"/>
      <c r="C226" s="259"/>
      <c r="D226" s="73"/>
      <c r="E226" s="73"/>
    </row>
    <row r="227" spans="1:5" x14ac:dyDescent="0.2">
      <c r="A227" s="345">
        <v>34424</v>
      </c>
      <c r="B227" s="255"/>
      <c r="C227" s="259"/>
      <c r="D227" s="73"/>
      <c r="E227" s="73"/>
    </row>
    <row r="228" spans="1:5" x14ac:dyDescent="0.2">
      <c r="A228" s="345">
        <v>34454</v>
      </c>
      <c r="B228" s="255"/>
      <c r="C228" s="259"/>
      <c r="D228" s="73"/>
      <c r="E228" s="73"/>
    </row>
    <row r="229" spans="1:5" x14ac:dyDescent="0.2">
      <c r="A229" s="345">
        <v>34485</v>
      </c>
      <c r="B229" s="255"/>
      <c r="C229" s="259"/>
      <c r="D229" s="73"/>
      <c r="E229" s="73"/>
    </row>
    <row r="230" spans="1:5" x14ac:dyDescent="0.2">
      <c r="A230" s="345">
        <v>34515</v>
      </c>
      <c r="B230" s="255"/>
      <c r="C230" s="259"/>
      <c r="D230" s="73"/>
      <c r="E230" s="73"/>
    </row>
    <row r="231" spans="1:5" x14ac:dyDescent="0.2">
      <c r="A231" s="345">
        <v>34546</v>
      </c>
      <c r="B231" s="255"/>
      <c r="C231" s="259"/>
      <c r="D231" s="73"/>
      <c r="E231" s="73"/>
    </row>
    <row r="232" spans="1:5" x14ac:dyDescent="0.2">
      <c r="A232" s="345">
        <v>34577</v>
      </c>
      <c r="B232" s="255"/>
      <c r="C232" s="259"/>
      <c r="D232" s="73"/>
      <c r="E232" s="73"/>
    </row>
    <row r="233" spans="1:5" x14ac:dyDescent="0.2">
      <c r="A233" s="345">
        <v>34607</v>
      </c>
      <c r="B233" s="255"/>
      <c r="C233" s="259"/>
      <c r="D233" s="73"/>
      <c r="E233" s="73"/>
    </row>
    <row r="234" spans="1:5" x14ac:dyDescent="0.2">
      <c r="A234" s="345">
        <v>34638</v>
      </c>
      <c r="B234" s="255"/>
      <c r="C234" s="259"/>
      <c r="D234" s="73"/>
      <c r="E234" s="73"/>
    </row>
    <row r="235" spans="1:5" x14ac:dyDescent="0.2">
      <c r="A235" s="345">
        <v>34668</v>
      </c>
      <c r="B235" s="255"/>
      <c r="C235" s="259"/>
      <c r="D235" s="73"/>
      <c r="E235" s="73"/>
    </row>
    <row r="236" spans="1:5" x14ac:dyDescent="0.2">
      <c r="A236" s="345">
        <v>34699</v>
      </c>
      <c r="B236" s="255"/>
      <c r="C236" s="259"/>
      <c r="D236" s="73"/>
      <c r="E236" s="73"/>
    </row>
    <row r="237" spans="1:5" x14ac:dyDescent="0.2">
      <c r="A237" s="345">
        <v>34730</v>
      </c>
      <c r="B237" s="255"/>
      <c r="C237" s="259"/>
      <c r="D237" s="73"/>
      <c r="E237" s="73"/>
    </row>
    <row r="238" spans="1:5" x14ac:dyDescent="0.2">
      <c r="A238" s="345">
        <v>34758</v>
      </c>
      <c r="B238" s="255"/>
      <c r="C238" s="259"/>
      <c r="D238" s="73"/>
      <c r="E238" s="73"/>
    </row>
    <row r="239" spans="1:5" x14ac:dyDescent="0.2">
      <c r="A239" s="345">
        <v>34789</v>
      </c>
      <c r="B239" s="255"/>
      <c r="C239" s="259"/>
      <c r="D239" s="73"/>
      <c r="E239" s="73"/>
    </row>
    <row r="240" spans="1:5" x14ac:dyDescent="0.2">
      <c r="A240" s="345">
        <v>34819</v>
      </c>
      <c r="B240" s="255"/>
      <c r="C240" s="259"/>
      <c r="D240" s="73"/>
      <c r="E240" s="73"/>
    </row>
    <row r="241" spans="1:5" x14ac:dyDescent="0.2">
      <c r="A241" s="345">
        <v>34850</v>
      </c>
      <c r="B241" s="255"/>
      <c r="C241" s="259"/>
      <c r="D241" s="73"/>
      <c r="E241" s="73"/>
    </row>
    <row r="242" spans="1:5" x14ac:dyDescent="0.2">
      <c r="A242" s="345">
        <v>34880</v>
      </c>
      <c r="B242" s="255"/>
      <c r="C242" s="259"/>
      <c r="D242" s="77"/>
      <c r="E242" s="77"/>
    </row>
    <row r="243" spans="1:5" x14ac:dyDescent="0.2">
      <c r="A243" s="345">
        <v>34911</v>
      </c>
      <c r="B243" s="255"/>
      <c r="C243" s="259"/>
      <c r="D243" s="77"/>
      <c r="E243" s="77"/>
    </row>
    <row r="244" spans="1:5" x14ac:dyDescent="0.2">
      <c r="A244" s="345">
        <v>34942</v>
      </c>
      <c r="B244" s="255"/>
      <c r="C244" s="259"/>
      <c r="D244" s="77"/>
      <c r="E244" s="77"/>
    </row>
    <row r="245" spans="1:5" x14ac:dyDescent="0.2">
      <c r="A245" s="345">
        <v>34972</v>
      </c>
      <c r="B245" s="255"/>
      <c r="C245" s="259"/>
      <c r="D245" s="77"/>
      <c r="E245" s="77"/>
    </row>
    <row r="246" spans="1:5" x14ac:dyDescent="0.2">
      <c r="A246" s="345">
        <v>35003</v>
      </c>
      <c r="B246" s="255"/>
      <c r="C246" s="259"/>
      <c r="D246" s="77"/>
      <c r="E246" s="77"/>
    </row>
    <row r="247" spans="1:5" x14ac:dyDescent="0.2">
      <c r="A247" s="345">
        <v>35033</v>
      </c>
      <c r="B247" s="255"/>
      <c r="C247" s="259"/>
      <c r="D247" s="77"/>
      <c r="E247" s="77"/>
    </row>
    <row r="248" spans="1:5" x14ac:dyDescent="0.2">
      <c r="A248" s="345">
        <v>35064</v>
      </c>
      <c r="B248" s="255"/>
      <c r="C248" s="259"/>
      <c r="D248" s="77"/>
      <c r="E248" s="77"/>
    </row>
    <row r="249" spans="1:5" x14ac:dyDescent="0.2">
      <c r="A249" s="345">
        <v>35095</v>
      </c>
      <c r="B249" s="255"/>
      <c r="C249" s="259"/>
      <c r="D249" s="77"/>
      <c r="E249" s="77"/>
    </row>
    <row r="250" spans="1:5" x14ac:dyDescent="0.2">
      <c r="A250" s="345">
        <v>35124</v>
      </c>
      <c r="B250" s="255"/>
      <c r="C250" s="259"/>
      <c r="D250" s="77"/>
      <c r="E250" s="77"/>
    </row>
    <row r="251" spans="1:5" x14ac:dyDescent="0.2">
      <c r="A251" s="345">
        <v>35155</v>
      </c>
      <c r="B251" s="255"/>
      <c r="C251" s="259"/>
      <c r="D251" s="77"/>
      <c r="E251" s="77"/>
    </row>
    <row r="252" spans="1:5" x14ac:dyDescent="0.2">
      <c r="A252" s="345">
        <v>35185</v>
      </c>
      <c r="B252" s="253"/>
      <c r="C252" s="259"/>
      <c r="D252" s="77"/>
      <c r="E252" s="77"/>
    </row>
    <row r="253" spans="1:5" x14ac:dyDescent="0.2">
      <c r="A253" s="345">
        <v>35216</v>
      </c>
      <c r="B253" s="253"/>
      <c r="C253" s="259"/>
      <c r="D253" s="77"/>
      <c r="E253" s="77"/>
    </row>
    <row r="254" spans="1:5" x14ac:dyDescent="0.2">
      <c r="A254" s="345">
        <v>35246</v>
      </c>
      <c r="B254" s="253"/>
      <c r="C254" s="259"/>
      <c r="D254" s="77"/>
      <c r="E254" s="77"/>
    </row>
    <row r="255" spans="1:5" x14ac:dyDescent="0.2">
      <c r="A255" s="345">
        <v>35277</v>
      </c>
      <c r="B255" s="253"/>
      <c r="C255" s="259"/>
      <c r="D255" s="77"/>
      <c r="E255" s="77"/>
    </row>
    <row r="256" spans="1:5" x14ac:dyDescent="0.2">
      <c r="A256" s="345">
        <v>35308</v>
      </c>
      <c r="B256" s="253"/>
      <c r="C256" s="259"/>
      <c r="D256" s="77"/>
      <c r="E256" s="77"/>
    </row>
    <row r="257" spans="1:5" x14ac:dyDescent="0.2">
      <c r="A257" s="345">
        <v>35338</v>
      </c>
      <c r="B257" s="253"/>
      <c r="C257" s="259"/>
      <c r="D257" s="77"/>
      <c r="E257" s="77"/>
    </row>
    <row r="258" spans="1:5" x14ac:dyDescent="0.2">
      <c r="A258" s="345">
        <v>35369</v>
      </c>
      <c r="B258" s="253"/>
      <c r="C258" s="259"/>
      <c r="D258" s="77"/>
      <c r="E258" s="77"/>
    </row>
    <row r="259" spans="1:5" x14ac:dyDescent="0.2">
      <c r="A259" s="345">
        <v>35399</v>
      </c>
      <c r="B259" s="253"/>
      <c r="C259" s="259"/>
      <c r="D259" s="77"/>
      <c r="E259" s="77"/>
    </row>
    <row r="260" spans="1:5" x14ac:dyDescent="0.2">
      <c r="A260" s="345">
        <v>35430</v>
      </c>
      <c r="B260" s="253"/>
      <c r="C260" s="259"/>
      <c r="D260" s="77"/>
      <c r="E260" s="77"/>
    </row>
    <row r="261" spans="1:5" x14ac:dyDescent="0.2">
      <c r="A261" s="345">
        <v>35461</v>
      </c>
      <c r="B261" s="253"/>
      <c r="C261" s="259"/>
      <c r="D261" s="77"/>
      <c r="E261" s="77"/>
    </row>
    <row r="262" spans="1:5" x14ac:dyDescent="0.2">
      <c r="A262" s="345">
        <v>35489</v>
      </c>
      <c r="B262" s="253"/>
      <c r="C262" s="259"/>
      <c r="D262" s="77"/>
      <c r="E262" s="77"/>
    </row>
    <row r="263" spans="1:5" x14ac:dyDescent="0.2">
      <c r="A263" s="345">
        <v>35520</v>
      </c>
      <c r="B263" s="253"/>
      <c r="C263" s="259"/>
      <c r="D263" s="77"/>
      <c r="E263" s="77"/>
    </row>
    <row r="264" spans="1:5" x14ac:dyDescent="0.2">
      <c r="A264" s="345">
        <v>35550</v>
      </c>
      <c r="B264" s="253"/>
      <c r="C264" s="259"/>
      <c r="D264" s="77"/>
      <c r="E264" s="77"/>
    </row>
    <row r="265" spans="1:5" x14ac:dyDescent="0.2">
      <c r="A265" s="345">
        <v>35581</v>
      </c>
      <c r="B265" s="253"/>
      <c r="C265" s="259"/>
      <c r="D265" s="77"/>
      <c r="E265" s="77"/>
    </row>
    <row r="266" spans="1:5" x14ac:dyDescent="0.2">
      <c r="A266" s="345">
        <v>35611</v>
      </c>
      <c r="B266" s="253"/>
      <c r="C266" s="259"/>
      <c r="D266" s="77"/>
      <c r="E266" s="77"/>
    </row>
    <row r="267" spans="1:5" x14ac:dyDescent="0.2">
      <c r="A267" s="345">
        <v>35642</v>
      </c>
      <c r="B267" s="253"/>
      <c r="C267" s="259"/>
      <c r="D267" s="77"/>
      <c r="E267" s="77"/>
    </row>
    <row r="268" spans="1:5" x14ac:dyDescent="0.2">
      <c r="A268" s="345">
        <v>35673</v>
      </c>
      <c r="B268" s="253"/>
      <c r="C268" s="259"/>
      <c r="D268" s="77"/>
      <c r="E268" s="77"/>
    </row>
    <row r="269" spans="1:5" x14ac:dyDescent="0.2">
      <c r="A269" s="345">
        <v>35703</v>
      </c>
      <c r="B269" s="253"/>
      <c r="C269" s="259"/>
      <c r="D269" s="77"/>
      <c r="E269" s="77"/>
    </row>
    <row r="270" spans="1:5" x14ac:dyDescent="0.2">
      <c r="A270" s="345">
        <v>35734</v>
      </c>
      <c r="B270" s="253"/>
      <c r="C270" s="259"/>
      <c r="D270" s="77"/>
      <c r="E270" s="77"/>
    </row>
    <row r="271" spans="1:5" x14ac:dyDescent="0.2">
      <c r="A271" s="345">
        <v>35764</v>
      </c>
      <c r="B271" s="253"/>
      <c r="C271" s="259"/>
      <c r="D271" s="77"/>
      <c r="E271" s="77"/>
    </row>
    <row r="272" spans="1:5" x14ac:dyDescent="0.2">
      <c r="A272" s="345">
        <v>35795</v>
      </c>
      <c r="B272" s="253"/>
      <c r="C272" s="259"/>
      <c r="D272" s="77"/>
      <c r="E272" s="77"/>
    </row>
    <row r="273" spans="1:5" x14ac:dyDescent="0.2">
      <c r="A273" s="345">
        <v>35826</v>
      </c>
      <c r="B273" s="253"/>
      <c r="C273" s="259"/>
      <c r="D273" s="77"/>
      <c r="E273" s="77"/>
    </row>
    <row r="274" spans="1:5" x14ac:dyDescent="0.2">
      <c r="A274" s="345">
        <v>35854</v>
      </c>
      <c r="B274" s="253"/>
      <c r="C274" s="259"/>
      <c r="D274" s="77"/>
      <c r="E274" s="77"/>
    </row>
    <row r="275" spans="1:5" x14ac:dyDescent="0.2">
      <c r="A275" s="345">
        <v>35885</v>
      </c>
      <c r="B275" s="253"/>
      <c r="C275" s="259"/>
      <c r="D275" s="77"/>
      <c r="E275" s="77"/>
    </row>
    <row r="276" spans="1:5" x14ac:dyDescent="0.2">
      <c r="A276" s="345">
        <v>35915</v>
      </c>
      <c r="B276" s="253"/>
      <c r="C276" s="259"/>
      <c r="D276" s="77"/>
      <c r="E276" s="77"/>
    </row>
    <row r="277" spans="1:5" x14ac:dyDescent="0.2">
      <c r="A277" s="345">
        <v>35946</v>
      </c>
      <c r="B277" s="253"/>
      <c r="C277" s="259"/>
      <c r="D277" s="77"/>
      <c r="E277" s="77"/>
    </row>
    <row r="278" spans="1:5" x14ac:dyDescent="0.2">
      <c r="A278" s="345">
        <v>35976</v>
      </c>
      <c r="B278" s="253"/>
      <c r="C278" s="259"/>
      <c r="D278" s="77"/>
      <c r="E278" s="77"/>
    </row>
    <row r="279" spans="1:5" x14ac:dyDescent="0.2">
      <c r="A279" s="345">
        <v>36007</v>
      </c>
      <c r="B279" s="253"/>
      <c r="C279" s="259"/>
      <c r="D279" s="77"/>
      <c r="E279" s="77"/>
    </row>
    <row r="280" spans="1:5" x14ac:dyDescent="0.2">
      <c r="A280" s="345">
        <v>36038</v>
      </c>
      <c r="B280" s="253"/>
      <c r="C280" s="259"/>
      <c r="D280" s="77"/>
      <c r="E280" s="77"/>
    </row>
    <row r="281" spans="1:5" x14ac:dyDescent="0.2">
      <c r="A281" s="345">
        <v>36068</v>
      </c>
      <c r="B281" s="253"/>
      <c r="C281" s="259"/>
      <c r="D281" s="77"/>
      <c r="E281" s="77"/>
    </row>
    <row r="282" spans="1:5" x14ac:dyDescent="0.2">
      <c r="A282" s="345">
        <v>36099</v>
      </c>
      <c r="B282" s="253"/>
      <c r="C282" s="259"/>
      <c r="D282" s="77"/>
      <c r="E282" s="77"/>
    </row>
    <row r="283" spans="1:5" x14ac:dyDescent="0.2">
      <c r="A283" s="345">
        <v>36129</v>
      </c>
      <c r="B283" s="253"/>
      <c r="C283" s="259"/>
      <c r="D283" s="77"/>
      <c r="E283" s="77"/>
    </row>
    <row r="284" spans="1:5" x14ac:dyDescent="0.2">
      <c r="A284" s="345">
        <v>36160</v>
      </c>
      <c r="B284" s="253"/>
      <c r="C284" s="33"/>
      <c r="D284" s="253"/>
      <c r="E284" s="253"/>
    </row>
    <row r="285" spans="1:5" x14ac:dyDescent="0.2">
      <c r="A285" s="345">
        <v>36191</v>
      </c>
      <c r="B285" s="253"/>
      <c r="C285" s="33"/>
      <c r="D285" s="253"/>
      <c r="E285" s="253"/>
    </row>
    <row r="286" spans="1:5" x14ac:dyDescent="0.2">
      <c r="A286" s="345">
        <v>36219</v>
      </c>
      <c r="B286" s="253"/>
      <c r="C286" s="33"/>
      <c r="D286" s="253"/>
      <c r="E286" s="253"/>
    </row>
    <row r="287" spans="1:5" x14ac:dyDescent="0.2">
      <c r="A287" s="345">
        <v>36250</v>
      </c>
      <c r="B287" s="253"/>
      <c r="C287" s="33"/>
      <c r="D287" s="253"/>
      <c r="E287" s="253"/>
    </row>
    <row r="288" spans="1:5" x14ac:dyDescent="0.2">
      <c r="A288" s="345">
        <v>36280</v>
      </c>
      <c r="B288" s="253"/>
      <c r="C288" s="33"/>
      <c r="D288" s="253"/>
      <c r="E288" s="253"/>
    </row>
    <row r="289" spans="1:5" x14ac:dyDescent="0.2">
      <c r="A289" s="345">
        <v>36311</v>
      </c>
      <c r="B289" s="253"/>
      <c r="C289" s="33"/>
      <c r="D289" s="253"/>
      <c r="E289" s="253"/>
    </row>
    <row r="290" spans="1:5" x14ac:dyDescent="0.2">
      <c r="A290" s="345">
        <v>36341</v>
      </c>
      <c r="B290" s="253"/>
      <c r="C290" s="33"/>
      <c r="D290" s="253"/>
      <c r="E290" s="253"/>
    </row>
    <row r="291" spans="1:5" x14ac:dyDescent="0.2">
      <c r="A291" s="345">
        <v>36372</v>
      </c>
      <c r="B291" s="253"/>
      <c r="C291" s="33"/>
      <c r="D291" s="253"/>
      <c r="E291" s="253"/>
    </row>
    <row r="292" spans="1:5" x14ac:dyDescent="0.2">
      <c r="A292" s="345">
        <v>36403</v>
      </c>
      <c r="B292" s="253"/>
      <c r="C292" s="33"/>
      <c r="D292" s="253"/>
      <c r="E292" s="253"/>
    </row>
    <row r="293" spans="1:5" x14ac:dyDescent="0.2">
      <c r="A293" s="345">
        <v>36433</v>
      </c>
      <c r="B293" s="253"/>
      <c r="C293" s="33"/>
      <c r="D293" s="253"/>
      <c r="E293" s="253"/>
    </row>
    <row r="294" spans="1:5" x14ac:dyDescent="0.2">
      <c r="A294" s="345">
        <v>36464</v>
      </c>
      <c r="B294" s="253"/>
      <c r="C294" s="33"/>
      <c r="D294" s="253"/>
      <c r="E294" s="253"/>
    </row>
    <row r="295" spans="1:5" x14ac:dyDescent="0.2">
      <c r="A295" s="345">
        <v>36494</v>
      </c>
      <c r="B295" s="253"/>
      <c r="C295" s="33"/>
      <c r="D295" s="253"/>
      <c r="E295" s="253"/>
    </row>
    <row r="296" spans="1:5" x14ac:dyDescent="0.2">
      <c r="A296" s="345">
        <v>36525</v>
      </c>
      <c r="B296" s="253"/>
      <c r="C296" s="33"/>
      <c r="D296" s="253"/>
      <c r="E296" s="253"/>
    </row>
    <row r="297" spans="1:5" x14ac:dyDescent="0.2">
      <c r="A297" s="345">
        <v>36556</v>
      </c>
      <c r="B297" s="253"/>
      <c r="C297" s="33"/>
      <c r="D297" s="253"/>
      <c r="E297" s="253"/>
    </row>
    <row r="298" spans="1:5" x14ac:dyDescent="0.2">
      <c r="A298" s="345">
        <v>36585</v>
      </c>
      <c r="B298" s="253"/>
      <c r="C298" s="33"/>
      <c r="D298" s="253"/>
      <c r="E298" s="253"/>
    </row>
    <row r="299" spans="1:5" x14ac:dyDescent="0.2">
      <c r="A299" s="345">
        <v>36616</v>
      </c>
      <c r="B299" s="253"/>
      <c r="C299" s="33"/>
      <c r="D299" s="253"/>
      <c r="E299" s="253"/>
    </row>
    <row r="300" spans="1:5" x14ac:dyDescent="0.2">
      <c r="A300" s="345">
        <v>36646</v>
      </c>
      <c r="B300" s="253"/>
      <c r="C300" s="33"/>
      <c r="D300" s="253"/>
      <c r="E300" s="253"/>
    </row>
    <row r="301" spans="1:5" x14ac:dyDescent="0.2">
      <c r="A301" s="345">
        <v>36677</v>
      </c>
      <c r="B301" s="253"/>
      <c r="C301" s="33"/>
      <c r="D301" s="253"/>
      <c r="E301" s="253"/>
    </row>
    <row r="302" spans="1:5" x14ac:dyDescent="0.2">
      <c r="A302" s="345">
        <v>36707</v>
      </c>
      <c r="B302" s="253"/>
      <c r="C302" s="33"/>
      <c r="D302" s="253"/>
      <c r="E302" s="253"/>
    </row>
    <row r="303" spans="1:5" x14ac:dyDescent="0.2">
      <c r="A303" s="345">
        <v>36738</v>
      </c>
      <c r="B303" s="253"/>
      <c r="C303" s="33"/>
      <c r="D303" s="253"/>
      <c r="E303" s="253"/>
    </row>
    <row r="304" spans="1:5" x14ac:dyDescent="0.2">
      <c r="A304" s="345">
        <v>36769</v>
      </c>
      <c r="B304" s="253"/>
      <c r="C304" s="33"/>
      <c r="D304" s="253"/>
      <c r="E304" s="253"/>
    </row>
    <row r="305" spans="1:5" x14ac:dyDescent="0.2">
      <c r="A305" s="345">
        <v>36799</v>
      </c>
      <c r="B305" s="253"/>
      <c r="C305" s="33"/>
      <c r="D305" s="253"/>
      <c r="E305" s="253"/>
    </row>
    <row r="306" spans="1:5" x14ac:dyDescent="0.2">
      <c r="A306" s="345">
        <v>36830</v>
      </c>
      <c r="B306" s="253"/>
      <c r="C306" s="33"/>
      <c r="D306" s="253"/>
      <c r="E306" s="253"/>
    </row>
    <row r="307" spans="1:5" x14ac:dyDescent="0.2">
      <c r="A307" s="345">
        <v>36860</v>
      </c>
      <c r="B307" s="253"/>
      <c r="C307" s="33"/>
      <c r="D307" s="253"/>
      <c r="E307" s="253"/>
    </row>
    <row r="308" spans="1:5" x14ac:dyDescent="0.2">
      <c r="A308" s="345">
        <v>36891</v>
      </c>
      <c r="B308" s="253"/>
      <c r="C308" s="33"/>
      <c r="D308" s="253"/>
      <c r="E308" s="253"/>
    </row>
    <row r="309" spans="1:5" x14ac:dyDescent="0.2">
      <c r="A309" s="345">
        <v>36922</v>
      </c>
      <c r="B309" s="253"/>
      <c r="C309" s="33"/>
      <c r="D309" s="253"/>
      <c r="E309" s="253"/>
    </row>
    <row r="310" spans="1:5" x14ac:dyDescent="0.2">
      <c r="A310" s="345">
        <v>36950</v>
      </c>
      <c r="B310" s="253"/>
      <c r="C310" s="33"/>
      <c r="D310" s="253"/>
      <c r="E310" s="253"/>
    </row>
    <row r="311" spans="1:5" x14ac:dyDescent="0.2">
      <c r="A311" s="345">
        <v>36981</v>
      </c>
      <c r="B311" s="253"/>
      <c r="C311" s="33"/>
      <c r="D311" s="253"/>
      <c r="E311" s="253"/>
    </row>
    <row r="312" spans="1:5" x14ac:dyDescent="0.2">
      <c r="A312" s="345">
        <v>37011</v>
      </c>
      <c r="B312" s="253"/>
      <c r="C312" s="33"/>
      <c r="D312" s="253"/>
      <c r="E312" s="253"/>
    </row>
    <row r="313" spans="1:5" x14ac:dyDescent="0.2">
      <c r="A313" s="345">
        <v>37042</v>
      </c>
      <c r="B313" s="253"/>
      <c r="C313" s="33"/>
      <c r="D313" s="253"/>
      <c r="E313" s="253"/>
    </row>
    <row r="314" spans="1:5" x14ac:dyDescent="0.2">
      <c r="A314" s="345">
        <v>37072</v>
      </c>
      <c r="B314" s="253"/>
      <c r="C314" s="33"/>
      <c r="D314" s="253"/>
      <c r="E314" s="253"/>
    </row>
    <row r="315" spans="1:5" x14ac:dyDescent="0.2">
      <c r="A315" s="345">
        <v>37103</v>
      </c>
      <c r="B315" s="253"/>
      <c r="C315" s="33"/>
      <c r="D315" s="253"/>
      <c r="E315" s="253"/>
    </row>
    <row r="316" spans="1:5" x14ac:dyDescent="0.2">
      <c r="A316" s="345">
        <v>37134</v>
      </c>
      <c r="B316" s="253"/>
      <c r="C316" s="33"/>
      <c r="D316" s="253"/>
      <c r="E316" s="253"/>
    </row>
    <row r="317" spans="1:5" x14ac:dyDescent="0.2">
      <c r="A317" s="345">
        <v>37164</v>
      </c>
      <c r="B317" s="253"/>
      <c r="C317" s="33"/>
      <c r="D317" s="253"/>
      <c r="E317" s="253"/>
    </row>
    <row r="318" spans="1:5" x14ac:dyDescent="0.2">
      <c r="A318" s="345">
        <v>37195</v>
      </c>
      <c r="B318" s="253"/>
      <c r="C318" s="33"/>
      <c r="D318" s="253"/>
      <c r="E318" s="253"/>
    </row>
    <row r="319" spans="1:5" x14ac:dyDescent="0.2">
      <c r="A319" s="345">
        <v>37225</v>
      </c>
      <c r="B319" s="253"/>
      <c r="C319" s="33"/>
      <c r="D319" s="253"/>
      <c r="E319" s="253"/>
    </row>
    <row r="320" spans="1:5" x14ac:dyDescent="0.2">
      <c r="A320" s="345">
        <v>37256</v>
      </c>
      <c r="B320" s="253"/>
      <c r="C320" s="33"/>
      <c r="D320" s="253"/>
      <c r="E320" s="253"/>
    </row>
    <row r="321" spans="1:5" x14ac:dyDescent="0.2">
      <c r="A321" s="345">
        <v>37287</v>
      </c>
      <c r="B321" s="253"/>
      <c r="C321" s="33"/>
      <c r="D321" s="253"/>
      <c r="E321" s="253"/>
    </row>
    <row r="322" spans="1:5" x14ac:dyDescent="0.2">
      <c r="A322" s="345">
        <v>37315</v>
      </c>
      <c r="B322" s="253"/>
      <c r="C322" s="33"/>
      <c r="D322" s="253"/>
      <c r="E322" s="253"/>
    </row>
    <row r="323" spans="1:5" x14ac:dyDescent="0.2">
      <c r="A323" s="345">
        <v>37346</v>
      </c>
      <c r="B323" s="253"/>
      <c r="C323" s="33"/>
      <c r="D323" s="253"/>
      <c r="E323" s="253"/>
    </row>
    <row r="324" spans="1:5" x14ac:dyDescent="0.2">
      <c r="A324" s="345">
        <v>37376</v>
      </c>
      <c r="B324" s="253"/>
      <c r="C324" s="33"/>
      <c r="D324" s="253"/>
      <c r="E324" s="253"/>
    </row>
    <row r="325" spans="1:5" x14ac:dyDescent="0.2">
      <c r="A325" s="345">
        <v>37407</v>
      </c>
      <c r="B325" s="253"/>
      <c r="C325" s="33"/>
      <c r="D325" s="253"/>
      <c r="E325" s="253"/>
    </row>
    <row r="326" spans="1:5" x14ac:dyDescent="0.2">
      <c r="A326" s="345">
        <v>37437</v>
      </c>
      <c r="B326" s="253"/>
      <c r="C326" s="33"/>
      <c r="D326" s="253"/>
      <c r="E326" s="253"/>
    </row>
    <row r="327" spans="1:5" x14ac:dyDescent="0.2">
      <c r="A327" s="345">
        <v>37468</v>
      </c>
      <c r="B327" s="253"/>
      <c r="C327" s="33"/>
      <c r="D327" s="253"/>
      <c r="E327" s="253"/>
    </row>
    <row r="328" spans="1:5" x14ac:dyDescent="0.2">
      <c r="A328" s="345">
        <v>37499</v>
      </c>
      <c r="B328" s="253"/>
      <c r="C328" s="33"/>
      <c r="D328" s="253"/>
      <c r="E328" s="253"/>
    </row>
    <row r="329" spans="1:5" x14ac:dyDescent="0.2">
      <c r="A329" s="345">
        <v>37529</v>
      </c>
      <c r="B329" s="253"/>
      <c r="C329" s="33"/>
      <c r="D329" s="253"/>
      <c r="E329" s="253"/>
    </row>
    <row r="330" spans="1:5" x14ac:dyDescent="0.2">
      <c r="A330" s="345">
        <v>37560</v>
      </c>
      <c r="B330" s="253"/>
      <c r="C330" s="33"/>
      <c r="D330" s="253"/>
      <c r="E330" s="253"/>
    </row>
    <row r="331" spans="1:5" x14ac:dyDescent="0.2">
      <c r="A331" s="345">
        <v>37590</v>
      </c>
      <c r="B331" s="253"/>
      <c r="C331" s="33"/>
      <c r="D331" s="253"/>
      <c r="E331" s="253"/>
    </row>
    <row r="332" spans="1:5" x14ac:dyDescent="0.2">
      <c r="A332" s="345">
        <v>37621</v>
      </c>
      <c r="B332" s="253"/>
      <c r="C332" s="33"/>
      <c r="D332" s="253"/>
      <c r="E332" s="253"/>
    </row>
    <row r="333" spans="1:5" x14ac:dyDescent="0.2">
      <c r="A333" s="345">
        <v>37652</v>
      </c>
      <c r="B333" s="253"/>
      <c r="C333" s="33"/>
      <c r="D333" s="253"/>
      <c r="E333" s="253"/>
    </row>
    <row r="334" spans="1:5" x14ac:dyDescent="0.2">
      <c r="A334" s="345">
        <v>37680</v>
      </c>
      <c r="B334" s="253"/>
      <c r="C334" s="33"/>
      <c r="D334" s="253"/>
      <c r="E334" s="253"/>
    </row>
    <row r="335" spans="1:5" x14ac:dyDescent="0.2">
      <c r="A335" s="345">
        <v>37711</v>
      </c>
      <c r="B335" s="253"/>
      <c r="C335" s="33"/>
      <c r="D335" s="253"/>
      <c r="E335" s="253"/>
    </row>
    <row r="336" spans="1:5" x14ac:dyDescent="0.2">
      <c r="A336" s="345">
        <v>37741</v>
      </c>
      <c r="B336" s="253"/>
      <c r="C336" s="33"/>
      <c r="D336" s="253"/>
      <c r="E336" s="253"/>
    </row>
    <row r="337" spans="1:9" x14ac:dyDescent="0.2">
      <c r="A337" s="345">
        <v>37772</v>
      </c>
      <c r="B337" s="253"/>
      <c r="C337" s="33"/>
      <c r="D337" s="253"/>
      <c r="E337" s="253"/>
    </row>
    <row r="338" spans="1:9" x14ac:dyDescent="0.2">
      <c r="A338" s="345">
        <v>37802</v>
      </c>
      <c r="B338" s="253"/>
      <c r="C338" s="33"/>
      <c r="D338" s="253"/>
      <c r="E338" s="253"/>
    </row>
    <row r="339" spans="1:9" x14ac:dyDescent="0.2">
      <c r="A339" s="345">
        <v>37833</v>
      </c>
      <c r="B339" s="253"/>
      <c r="C339" s="33"/>
      <c r="D339" s="253"/>
      <c r="E339" s="253"/>
    </row>
    <row r="340" spans="1:9" x14ac:dyDescent="0.2">
      <c r="A340" s="345">
        <v>37864</v>
      </c>
      <c r="B340" s="253"/>
      <c r="C340" s="33"/>
      <c r="D340" s="253"/>
      <c r="E340" s="253"/>
    </row>
    <row r="341" spans="1:9" x14ac:dyDescent="0.2">
      <c r="A341" s="345">
        <v>37894</v>
      </c>
      <c r="B341" s="253"/>
      <c r="C341" s="34"/>
      <c r="D341" s="253"/>
      <c r="E341" s="253"/>
    </row>
    <row r="342" spans="1:9" x14ac:dyDescent="0.2">
      <c r="A342" s="345">
        <v>37925</v>
      </c>
      <c r="B342" s="253"/>
      <c r="C342" s="34"/>
      <c r="D342" s="253"/>
      <c r="E342" s="253"/>
    </row>
    <row r="343" spans="1:9" x14ac:dyDescent="0.2">
      <c r="A343" s="345">
        <v>37955</v>
      </c>
      <c r="B343" s="253"/>
      <c r="C343" s="34"/>
      <c r="D343" s="253"/>
      <c r="E343" s="253"/>
    </row>
    <row r="344" spans="1:9" x14ac:dyDescent="0.2">
      <c r="A344" s="345">
        <v>37986</v>
      </c>
      <c r="B344" s="253"/>
      <c r="C344" s="34"/>
      <c r="D344" s="253"/>
      <c r="E344" s="253"/>
    </row>
    <row r="345" spans="1:9" x14ac:dyDescent="0.2">
      <c r="A345" s="345">
        <v>38017</v>
      </c>
      <c r="B345" s="253"/>
      <c r="C345" s="34"/>
      <c r="D345" s="253"/>
      <c r="E345" s="253"/>
    </row>
    <row r="346" spans="1:9" x14ac:dyDescent="0.2">
      <c r="A346" s="345">
        <v>38046</v>
      </c>
      <c r="B346" s="253"/>
      <c r="C346" s="34"/>
      <c r="D346" s="253"/>
      <c r="E346" s="253"/>
    </row>
    <row r="347" spans="1:9" x14ac:dyDescent="0.2">
      <c r="A347" s="345">
        <v>38077</v>
      </c>
      <c r="B347" s="253"/>
      <c r="C347" s="34"/>
      <c r="D347" s="255"/>
      <c r="E347" s="253"/>
    </row>
    <row r="348" spans="1:9" x14ac:dyDescent="0.2">
      <c r="A348" s="345">
        <v>38107</v>
      </c>
      <c r="B348" s="253"/>
      <c r="C348" s="34"/>
      <c r="D348" s="253"/>
      <c r="E348" s="253"/>
      <c r="I348" s="14"/>
    </row>
    <row r="349" spans="1:9" x14ac:dyDescent="0.2">
      <c r="A349" s="345">
        <v>38138</v>
      </c>
      <c r="B349" s="253"/>
      <c r="C349" s="34"/>
      <c r="D349" s="253"/>
      <c r="E349" s="253"/>
      <c r="I349" s="14"/>
    </row>
    <row r="350" spans="1:9" x14ac:dyDescent="0.2">
      <c r="A350" s="345">
        <v>38168</v>
      </c>
      <c r="B350" s="253"/>
      <c r="C350" s="34"/>
      <c r="D350" s="253"/>
      <c r="E350" s="253"/>
      <c r="I350" s="14"/>
    </row>
    <row r="351" spans="1:9" x14ac:dyDescent="0.2">
      <c r="A351" s="345">
        <v>38199</v>
      </c>
      <c r="B351" s="253"/>
      <c r="C351" s="34"/>
      <c r="D351" s="253"/>
      <c r="E351" s="253"/>
    </row>
    <row r="352" spans="1:9" x14ac:dyDescent="0.2">
      <c r="A352" s="345">
        <v>38230</v>
      </c>
      <c r="B352" s="253"/>
      <c r="C352" s="34"/>
      <c r="D352" s="253"/>
      <c r="E352" s="253"/>
    </row>
    <row r="353" spans="1:7" x14ac:dyDescent="0.2">
      <c r="A353" s="345">
        <v>38260</v>
      </c>
      <c r="B353" s="253"/>
      <c r="C353" s="34"/>
      <c r="D353" s="253"/>
      <c r="E353" s="253"/>
    </row>
    <row r="354" spans="1:7" x14ac:dyDescent="0.2">
      <c r="A354" s="345">
        <v>38291</v>
      </c>
      <c r="B354" s="253"/>
      <c r="C354" s="34"/>
      <c r="D354" s="253"/>
      <c r="E354" s="253"/>
    </row>
    <row r="355" spans="1:7" x14ac:dyDescent="0.2">
      <c r="A355" s="345">
        <v>38321</v>
      </c>
      <c r="B355" s="253"/>
      <c r="C355" s="34"/>
      <c r="D355" s="253"/>
      <c r="E355" s="253"/>
    </row>
    <row r="356" spans="1:7" x14ac:dyDescent="0.2">
      <c r="A356" s="345">
        <v>38352</v>
      </c>
      <c r="B356" s="253"/>
      <c r="C356" s="256"/>
      <c r="D356" s="253"/>
      <c r="E356" s="253"/>
    </row>
    <row r="357" spans="1:7" x14ac:dyDescent="0.2">
      <c r="A357" s="345">
        <v>38383</v>
      </c>
      <c r="B357" s="253"/>
      <c r="C357" s="34"/>
      <c r="D357" s="253"/>
      <c r="E357" s="253"/>
    </row>
    <row r="358" spans="1:7" x14ac:dyDescent="0.2">
      <c r="A358" s="345">
        <v>38411</v>
      </c>
      <c r="B358" s="253"/>
      <c r="C358" s="34"/>
      <c r="D358" s="253"/>
      <c r="E358" s="253"/>
    </row>
    <row r="359" spans="1:7" x14ac:dyDescent="0.2">
      <c r="A359" s="345">
        <v>38442</v>
      </c>
      <c r="B359" s="253"/>
      <c r="C359" s="256"/>
      <c r="D359" s="253"/>
      <c r="E359" s="253"/>
    </row>
    <row r="360" spans="1:7" x14ac:dyDescent="0.2">
      <c r="A360" s="345">
        <v>38472</v>
      </c>
      <c r="B360" s="253"/>
      <c r="C360" s="256"/>
      <c r="D360" s="253"/>
      <c r="E360" s="253"/>
    </row>
    <row r="361" spans="1:7" x14ac:dyDescent="0.2">
      <c r="A361" s="345">
        <v>38503</v>
      </c>
      <c r="B361" s="253"/>
      <c r="C361" s="256"/>
      <c r="D361" s="253"/>
      <c r="E361" s="253"/>
    </row>
    <row r="362" spans="1:7" x14ac:dyDescent="0.2">
      <c r="A362" s="345">
        <v>38533</v>
      </c>
      <c r="B362" s="253"/>
      <c r="C362" s="256"/>
      <c r="D362" s="253"/>
      <c r="E362" s="253"/>
    </row>
    <row r="363" spans="1:7" x14ac:dyDescent="0.2">
      <c r="A363" s="345">
        <v>38564</v>
      </c>
      <c r="B363" s="253"/>
      <c r="C363" s="256"/>
      <c r="D363" s="253"/>
      <c r="E363" s="253"/>
    </row>
    <row r="364" spans="1:7" x14ac:dyDescent="0.2">
      <c r="A364" s="345">
        <v>38595</v>
      </c>
      <c r="B364" s="253"/>
      <c r="C364" s="256"/>
      <c r="D364" s="253"/>
      <c r="E364" s="253"/>
    </row>
    <row r="365" spans="1:7" x14ac:dyDescent="0.2">
      <c r="A365" s="345">
        <v>38625</v>
      </c>
      <c r="B365" s="253"/>
      <c r="C365" s="256"/>
      <c r="D365" s="253"/>
      <c r="E365" s="253"/>
    </row>
    <row r="366" spans="1:7" x14ac:dyDescent="0.2">
      <c r="A366" s="345">
        <v>38656</v>
      </c>
      <c r="B366" s="253"/>
      <c r="C366" s="256"/>
      <c r="D366" s="253"/>
      <c r="E366" s="253"/>
    </row>
    <row r="367" spans="1:7" x14ac:dyDescent="0.2">
      <c r="A367" s="345">
        <v>38686</v>
      </c>
      <c r="B367" s="253"/>
      <c r="C367" s="256"/>
      <c r="D367" s="253"/>
      <c r="E367" s="253"/>
      <c r="G367" s="779"/>
    </row>
    <row r="368" spans="1:7" x14ac:dyDescent="0.2">
      <c r="A368" s="345">
        <v>38717</v>
      </c>
      <c r="B368" s="253"/>
      <c r="C368" s="256"/>
      <c r="D368" s="253"/>
      <c r="E368" s="253"/>
    </row>
    <row r="369" spans="1:7" x14ac:dyDescent="0.2">
      <c r="A369" s="345">
        <v>38748</v>
      </c>
      <c r="B369" s="253"/>
      <c r="C369" s="256"/>
      <c r="D369" s="253"/>
      <c r="E369" s="253"/>
    </row>
    <row r="370" spans="1:7" x14ac:dyDescent="0.2">
      <c r="A370" s="345">
        <v>38776</v>
      </c>
      <c r="B370" s="253"/>
      <c r="C370" s="256"/>
      <c r="D370" s="253"/>
      <c r="E370" s="253"/>
    </row>
    <row r="371" spans="1:7" x14ac:dyDescent="0.2">
      <c r="A371" s="345">
        <v>38807</v>
      </c>
      <c r="B371" s="253"/>
      <c r="C371" s="33"/>
      <c r="D371" s="253"/>
      <c r="E371" s="253"/>
    </row>
    <row r="372" spans="1:7" x14ac:dyDescent="0.2">
      <c r="A372" s="345">
        <v>38837</v>
      </c>
      <c r="B372" s="253"/>
      <c r="C372" s="33"/>
      <c r="D372" s="253"/>
      <c r="E372" s="253"/>
    </row>
    <row r="373" spans="1:7" x14ac:dyDescent="0.2">
      <c r="A373" s="345">
        <v>38868</v>
      </c>
      <c r="B373" s="253"/>
      <c r="C373" s="33"/>
      <c r="D373" s="253"/>
      <c r="E373" s="253"/>
    </row>
    <row r="374" spans="1:7" x14ac:dyDescent="0.2">
      <c r="A374" s="345">
        <v>38898</v>
      </c>
      <c r="B374" s="76"/>
      <c r="C374" s="354"/>
      <c r="D374" s="253"/>
      <c r="E374" s="253"/>
    </row>
    <row r="375" spans="1:7" x14ac:dyDescent="0.2">
      <c r="A375" s="345">
        <v>38929</v>
      </c>
      <c r="B375" s="253"/>
      <c r="C375" s="34"/>
      <c r="D375" s="253"/>
      <c r="E375" s="253"/>
      <c r="F375" s="564"/>
    </row>
    <row r="376" spans="1:7" x14ac:dyDescent="0.2">
      <c r="A376" s="345">
        <v>38960</v>
      </c>
      <c r="B376" s="253"/>
      <c r="C376" s="34"/>
      <c r="D376" s="253"/>
      <c r="E376" s="253"/>
      <c r="F376" s="564"/>
    </row>
    <row r="377" spans="1:7" x14ac:dyDescent="0.2">
      <c r="A377" s="345">
        <v>38990</v>
      </c>
      <c r="B377" s="253"/>
      <c r="C377" s="34"/>
      <c r="D377" s="253"/>
      <c r="E377" s="253"/>
      <c r="F377" s="564"/>
    </row>
    <row r="378" spans="1:7" x14ac:dyDescent="0.2">
      <c r="A378" s="345">
        <v>39021</v>
      </c>
      <c r="B378" s="253"/>
      <c r="C378" s="34"/>
      <c r="D378" s="253"/>
      <c r="E378" s="253"/>
      <c r="F378" s="333"/>
    </row>
    <row r="379" spans="1:7" x14ac:dyDescent="0.2">
      <c r="A379" s="345">
        <v>39051</v>
      </c>
      <c r="B379" s="253"/>
      <c r="C379" s="34"/>
      <c r="D379" s="253"/>
      <c r="E379" s="253"/>
      <c r="F379" s="352"/>
    </row>
    <row r="380" spans="1:7" x14ac:dyDescent="0.2">
      <c r="A380" s="345">
        <v>39082</v>
      </c>
      <c r="B380" s="253"/>
      <c r="C380" s="34"/>
      <c r="D380" s="253"/>
      <c r="E380" s="253"/>
      <c r="F380" s="352"/>
    </row>
    <row r="381" spans="1:7" x14ac:dyDescent="0.2">
      <c r="A381" s="345">
        <v>39113</v>
      </c>
      <c r="B381" s="253"/>
      <c r="E381" s="253"/>
      <c r="F381" s="352"/>
    </row>
    <row r="382" spans="1:7" x14ac:dyDescent="0.2">
      <c r="A382" s="345">
        <v>39141</v>
      </c>
      <c r="B382" s="253"/>
      <c r="E382" s="253"/>
      <c r="F382" s="352"/>
    </row>
    <row r="383" spans="1:7" x14ac:dyDescent="0.2">
      <c r="A383" s="345">
        <v>39172</v>
      </c>
      <c r="B383" s="253"/>
      <c r="E383" s="253"/>
      <c r="F383" s="116"/>
      <c r="G383" s="116"/>
    </row>
    <row r="384" spans="1:7" x14ac:dyDescent="0.2">
      <c r="A384" s="345">
        <v>39202</v>
      </c>
      <c r="B384" s="14"/>
      <c r="C384" s="8"/>
      <c r="E384" s="253"/>
      <c r="G384" s="762"/>
    </row>
    <row r="385" spans="1:11" x14ac:dyDescent="0.2">
      <c r="A385" s="345">
        <v>39233</v>
      </c>
      <c r="B385" s="14"/>
      <c r="C385" s="8"/>
      <c r="E385" s="253"/>
      <c r="F385" s="333"/>
    </row>
    <row r="386" spans="1:11" x14ac:dyDescent="0.2">
      <c r="A386" s="345">
        <v>39263</v>
      </c>
      <c r="B386" s="14"/>
      <c r="C386" s="8"/>
      <c r="E386" s="253"/>
    </row>
    <row r="387" spans="1:11" x14ac:dyDescent="0.2">
      <c r="A387" s="345">
        <v>39294</v>
      </c>
      <c r="B387" s="253"/>
      <c r="E387" s="253"/>
      <c r="I387" s="352"/>
      <c r="J387" s="325"/>
      <c r="K387" s="352"/>
    </row>
    <row r="388" spans="1:11" x14ac:dyDescent="0.2">
      <c r="A388" s="345">
        <v>39325</v>
      </c>
      <c r="B388" s="253"/>
      <c r="E388" s="253"/>
      <c r="I388" s="352"/>
      <c r="J388" s="325"/>
      <c r="K388" s="352"/>
    </row>
    <row r="389" spans="1:11" x14ac:dyDescent="0.2">
      <c r="A389" s="345">
        <v>39355</v>
      </c>
      <c r="B389" s="253"/>
      <c r="E389" s="253"/>
      <c r="I389" s="352"/>
      <c r="J389" s="325"/>
      <c r="K389" s="352"/>
    </row>
    <row r="390" spans="1:11" x14ac:dyDescent="0.2">
      <c r="A390" s="345">
        <v>39386</v>
      </c>
      <c r="B390" s="253"/>
      <c r="E390" s="253"/>
      <c r="K390" s="325"/>
    </row>
    <row r="391" spans="1:11" x14ac:dyDescent="0.2">
      <c r="A391" s="345">
        <v>39416</v>
      </c>
      <c r="B391" s="253"/>
      <c r="E391" s="253"/>
    </row>
    <row r="392" spans="1:11" x14ac:dyDescent="0.2">
      <c r="A392" s="345">
        <v>39447</v>
      </c>
      <c r="B392" s="253"/>
      <c r="E392" s="253"/>
    </row>
    <row r="393" spans="1:11" x14ac:dyDescent="0.2">
      <c r="A393" s="345">
        <v>39478</v>
      </c>
      <c r="B393" s="253"/>
      <c r="E393" s="253"/>
    </row>
    <row r="394" spans="1:11" x14ac:dyDescent="0.2">
      <c r="A394" s="345">
        <v>39507</v>
      </c>
      <c r="B394" s="253"/>
      <c r="E394" s="253"/>
      <c r="F394" s="762"/>
    </row>
    <row r="395" spans="1:11" x14ac:dyDescent="0.2">
      <c r="A395" s="345">
        <v>39538</v>
      </c>
      <c r="B395" s="253"/>
      <c r="E395" s="253"/>
    </row>
    <row r="396" spans="1:11" x14ac:dyDescent="0.2">
      <c r="A396" s="345">
        <v>39568</v>
      </c>
      <c r="B396" s="253"/>
      <c r="E396" s="253"/>
    </row>
    <row r="397" spans="1:11" x14ac:dyDescent="0.2">
      <c r="A397" s="345">
        <v>39599</v>
      </c>
      <c r="B397" s="253"/>
      <c r="E397" s="253"/>
    </row>
    <row r="398" spans="1:11" x14ac:dyDescent="0.2">
      <c r="A398" s="345">
        <v>39629</v>
      </c>
      <c r="B398" s="1369">
        <v>-5.43</v>
      </c>
      <c r="C398" s="346">
        <v>467102536</v>
      </c>
      <c r="E398" s="253">
        <f>B398-Index_Returns!AD398</f>
        <v>0.61880000000000024</v>
      </c>
      <c r="G398" s="1210"/>
      <c r="H398" s="1211"/>
    </row>
    <row r="399" spans="1:11" x14ac:dyDescent="0.2">
      <c r="A399" s="345">
        <v>39660</v>
      </c>
      <c r="B399" s="1369">
        <v>-1.36</v>
      </c>
      <c r="C399" s="33">
        <v>460758308</v>
      </c>
      <c r="E399" s="253">
        <f>B399-Index_Returns!AD399</f>
        <v>-0.35520000000000018</v>
      </c>
      <c r="G399" s="1210"/>
      <c r="H399" s="1211"/>
    </row>
    <row r="400" spans="1:11" x14ac:dyDescent="0.2">
      <c r="A400" s="345">
        <v>39691</v>
      </c>
      <c r="B400" s="1369">
        <v>1.84</v>
      </c>
      <c r="C400" s="33">
        <v>469238896</v>
      </c>
      <c r="E400" s="253">
        <f>B400-Index_Returns!AD400</f>
        <v>1.4068000000000001</v>
      </c>
      <c r="G400" s="1210"/>
      <c r="H400" s="1211"/>
    </row>
    <row r="401" spans="1:7" x14ac:dyDescent="0.2">
      <c r="A401" s="345">
        <v>39721</v>
      </c>
      <c r="B401" s="1369">
        <v>-10.66</v>
      </c>
      <c r="C401" s="33">
        <v>419978890</v>
      </c>
      <c r="E401" s="253">
        <f>B401-Index_Returns!AD401</f>
        <v>-2.9880000000000004</v>
      </c>
    </row>
    <row r="402" spans="1:7" x14ac:dyDescent="0.2">
      <c r="A402" s="345">
        <v>39752</v>
      </c>
      <c r="B402" s="1369">
        <v>-16.59</v>
      </c>
      <c r="C402" s="346">
        <v>350338700</v>
      </c>
      <c r="E402" s="253">
        <f>B402-Index_Returns!AD402</f>
        <v>-3.2940000000000005</v>
      </c>
    </row>
    <row r="403" spans="1:7" x14ac:dyDescent="0.2">
      <c r="A403" s="345">
        <v>39782</v>
      </c>
      <c r="B403" s="1369">
        <v>-3.23</v>
      </c>
      <c r="C403" s="346">
        <v>339023366</v>
      </c>
      <c r="E403" s="253">
        <f>B403-Index_Returns!AD403</f>
        <v>0.73280000000000012</v>
      </c>
    </row>
    <row r="404" spans="1:7" x14ac:dyDescent="0.2">
      <c r="A404" s="345">
        <v>39813</v>
      </c>
      <c r="B404" s="1369">
        <v>4.7699999999999996</v>
      </c>
      <c r="C404" s="346">
        <v>355839628</v>
      </c>
      <c r="E404" s="253">
        <f>B404-Index_Returns!AD404</f>
        <v>2.1687999999999996</v>
      </c>
      <c r="F404" s="116"/>
    </row>
    <row r="405" spans="1:7" x14ac:dyDescent="0.2">
      <c r="A405" s="345">
        <v>39844</v>
      </c>
      <c r="B405" s="1369">
        <v>-7.9</v>
      </c>
      <c r="C405" s="346">
        <v>327730097</v>
      </c>
      <c r="D405" s="258">
        <v>-7.84</v>
      </c>
      <c r="E405" s="253">
        <f>B405-Index_Returns!AD405</f>
        <v>-1.3648000000000007</v>
      </c>
    </row>
    <row r="406" spans="1:7" x14ac:dyDescent="0.2">
      <c r="A406" s="345">
        <v>39872</v>
      </c>
      <c r="B406" s="1369">
        <v>-7.65</v>
      </c>
      <c r="C406" s="346">
        <v>302640906</v>
      </c>
      <c r="D406" s="258">
        <v>-7.6778928617628805</v>
      </c>
      <c r="E406" s="253">
        <f>B406-Index_Returns!AD406</f>
        <v>5.7199999999999918E-2</v>
      </c>
      <c r="G406" s="352">
        <f t="shared" ref="G406:G421" si="0">(C406/C405-1)*100</f>
        <v>-7.6554430702774345</v>
      </c>
    </row>
    <row r="407" spans="1:7" x14ac:dyDescent="0.2">
      <c r="A407" s="345">
        <v>39903</v>
      </c>
      <c r="B407" s="1369">
        <v>7.68</v>
      </c>
      <c r="C407" s="346">
        <v>326373746</v>
      </c>
      <c r="D407" s="258">
        <v>7.7834552448300842</v>
      </c>
      <c r="E407" s="253">
        <f>B407-Index_Returns!AD407</f>
        <v>1.3628</v>
      </c>
      <c r="G407" s="352">
        <f t="shared" si="0"/>
        <v>7.8419141396569803</v>
      </c>
    </row>
    <row r="408" spans="1:7" x14ac:dyDescent="0.2">
      <c r="A408" s="345">
        <v>39933</v>
      </c>
      <c r="B408" s="1369">
        <v>7.59</v>
      </c>
      <c r="C408" s="346">
        <v>351130847</v>
      </c>
      <c r="D408" s="258">
        <v>7.6051345398227665</v>
      </c>
      <c r="E408" s="253">
        <f>B408-Index_Returns!AD408</f>
        <v>2.2800000000000153E-2</v>
      </c>
      <c r="G408" s="352">
        <f t="shared" si="0"/>
        <v>7.585506280275367</v>
      </c>
    </row>
    <row r="409" spans="1:7" x14ac:dyDescent="0.2">
      <c r="A409" s="345">
        <v>39964</v>
      </c>
      <c r="B409" s="1369">
        <v>5.78</v>
      </c>
      <c r="C409" s="346">
        <v>371412537</v>
      </c>
      <c r="D409" s="258">
        <v>5.7761056365096763</v>
      </c>
      <c r="E409" s="253">
        <f>B409-Index_Returns!AD409</f>
        <v>0.52360000000000007</v>
      </c>
      <c r="G409" s="352">
        <f t="shared" si="0"/>
        <v>5.7761060223797456</v>
      </c>
    </row>
    <row r="410" spans="1:7" x14ac:dyDescent="0.2">
      <c r="A410" s="345">
        <v>39994</v>
      </c>
      <c r="B410" s="1369">
        <v>-1.0900000000000001</v>
      </c>
      <c r="C410" s="346">
        <v>367844907</v>
      </c>
      <c r="D410" s="258">
        <v>-0.94016212709902014</v>
      </c>
      <c r="E410" s="253">
        <f>B410-Index_Returns!AD410</f>
        <v>-1.2752000000000001</v>
      </c>
      <c r="G410" s="352">
        <f t="shared" si="0"/>
        <v>-0.96055723611720989</v>
      </c>
    </row>
    <row r="411" spans="1:7" x14ac:dyDescent="0.2">
      <c r="A411" s="345">
        <v>40025</v>
      </c>
      <c r="B411" s="1369">
        <v>6.54</v>
      </c>
      <c r="C411" s="346">
        <v>391909674</v>
      </c>
      <c r="D411" s="258">
        <v>6.6696121382606277</v>
      </c>
      <c r="E411" s="253">
        <f>B411-Index_Returns!AD411</f>
        <v>0.38978000000000002</v>
      </c>
      <c r="G411" s="352">
        <f t="shared" si="0"/>
        <v>6.5420960143944606</v>
      </c>
    </row>
    <row r="412" spans="1:7" x14ac:dyDescent="0.2">
      <c r="A412" s="345">
        <v>40056</v>
      </c>
      <c r="B412" s="1369">
        <v>3.19</v>
      </c>
      <c r="C412" s="346">
        <v>404420633</v>
      </c>
      <c r="D412" s="258">
        <v>3.062743254214717</v>
      </c>
      <c r="E412" s="253">
        <f>B412-Index_Returns!AD412</f>
        <v>6.0299999999999798E-3</v>
      </c>
      <c r="G412" s="352">
        <f t="shared" si="0"/>
        <v>3.1923067558674356</v>
      </c>
    </row>
    <row r="413" spans="1:7" x14ac:dyDescent="0.2">
      <c r="A413" s="345">
        <v>40086</v>
      </c>
      <c r="B413" s="1369">
        <v>3.48</v>
      </c>
      <c r="C413" s="346">
        <v>419036353</v>
      </c>
      <c r="D413" s="258">
        <v>3.6139999999999999</v>
      </c>
      <c r="E413" s="253">
        <f>B413-Index_Returns!AD413</f>
        <v>0.48050999999999977</v>
      </c>
      <c r="G413" s="352">
        <f t="shared" si="0"/>
        <v>3.6139896947344985</v>
      </c>
    </row>
    <row r="414" spans="1:7" x14ac:dyDescent="0.2">
      <c r="A414" s="345">
        <v>40117</v>
      </c>
      <c r="B414" s="1369">
        <v>-0.502</v>
      </c>
      <c r="C414" s="346">
        <v>416930446.26999998</v>
      </c>
      <c r="D414" s="258">
        <v>-0.50255930398845905</v>
      </c>
      <c r="E414" s="253">
        <f>B414-Index_Returns!AD414</f>
        <v>0.59921000000000002</v>
      </c>
      <c r="G414" s="352">
        <f t="shared" si="0"/>
        <v>-0.50255943545786108</v>
      </c>
    </row>
    <row r="415" spans="1:7" x14ac:dyDescent="0.2">
      <c r="A415" s="345">
        <v>40147</v>
      </c>
      <c r="B415" s="1369">
        <v>4.0999999999999996</v>
      </c>
      <c r="C415" s="346">
        <v>434638304.27999997</v>
      </c>
      <c r="D415" s="258">
        <v>4.2469565673144416</v>
      </c>
      <c r="E415" s="253">
        <f>B415-Index_Returns!AD415</f>
        <v>5.4170000000000051E-2</v>
      </c>
      <c r="G415" s="352">
        <f t="shared" si="0"/>
        <v>4.2471971448524437</v>
      </c>
    </row>
    <row r="416" spans="1:7" x14ac:dyDescent="0.2">
      <c r="A416" s="345">
        <v>40178</v>
      </c>
      <c r="B416" s="1369">
        <v>0.72599999999999998</v>
      </c>
      <c r="C416" s="346">
        <v>437795883.00999999</v>
      </c>
      <c r="D416" s="258">
        <v>0.70978588846799529</v>
      </c>
      <c r="E416" s="253">
        <f>B416-Index_Returns!AD416</f>
        <v>-0.15038000000000007</v>
      </c>
      <c r="G416" s="352">
        <f t="shared" si="0"/>
        <v>0.72648422812864322</v>
      </c>
    </row>
    <row r="417" spans="1:7" x14ac:dyDescent="0.2">
      <c r="A417" s="345">
        <v>40209</v>
      </c>
      <c r="B417" s="253">
        <v>-1.546</v>
      </c>
      <c r="C417" s="346">
        <v>431029433.23000002</v>
      </c>
      <c r="D417" s="258">
        <v>-1.4256195595756305</v>
      </c>
      <c r="E417" s="253">
        <f>B417-Index_Returns!AD417</f>
        <v>0.74463999999999975</v>
      </c>
      <c r="G417" s="352">
        <f t="shared" si="0"/>
        <v>-1.5455718161345611</v>
      </c>
    </row>
    <row r="418" spans="1:7" x14ac:dyDescent="0.2">
      <c r="A418" s="345">
        <v>40237</v>
      </c>
      <c r="B418" s="253">
        <v>2.0299999999999998</v>
      </c>
      <c r="C418" s="346">
        <v>440178008.61000001</v>
      </c>
      <c r="D418" s="258">
        <v>2.0773477236916582</v>
      </c>
      <c r="E418" s="253">
        <f>B418-Index_Returns!AD418</f>
        <v>0.2988599999999999</v>
      </c>
      <c r="G418" s="352">
        <f t="shared" si="0"/>
        <v>2.1224943529826845</v>
      </c>
    </row>
    <row r="419" spans="1:7" x14ac:dyDescent="0.2">
      <c r="A419" s="345">
        <v>40268</v>
      </c>
      <c r="B419" s="253">
        <v>5.1040000000000001</v>
      </c>
      <c r="C419" s="346">
        <v>462646502.79000002</v>
      </c>
      <c r="D419" s="258">
        <v>4.7282000000000002</v>
      </c>
      <c r="E419" s="253">
        <f>B419-Index_Returns!AD419</f>
        <v>0.75014000000000003</v>
      </c>
      <c r="G419" s="352">
        <f t="shared" si="0"/>
        <v>5.10441088389475</v>
      </c>
    </row>
    <row r="420" spans="1:7" x14ac:dyDescent="0.2">
      <c r="A420" s="345">
        <v>40298</v>
      </c>
      <c r="B420" s="253">
        <v>0.73799999999999999</v>
      </c>
      <c r="C420" s="346">
        <v>466339514.19</v>
      </c>
      <c r="D420" s="258">
        <v>1.0988691951576479</v>
      </c>
      <c r="E420" s="253">
        <f>B420-Index_Returns!AD420</f>
        <v>-0.1613</v>
      </c>
      <c r="G420" s="352">
        <f t="shared" si="0"/>
        <v>0.79823609985791855</v>
      </c>
    </row>
    <row r="421" spans="1:7" x14ac:dyDescent="0.2">
      <c r="A421" s="345">
        <v>40329</v>
      </c>
      <c r="B421" s="253">
        <v>-7.6639999999999997</v>
      </c>
      <c r="C421" s="346">
        <v>430457656.62</v>
      </c>
      <c r="D421" s="258">
        <v>-7.5824252231036837</v>
      </c>
      <c r="E421" s="253">
        <f>B421-Index_Returns!AD421</f>
        <v>-1.6091499999999996</v>
      </c>
      <c r="G421" s="352">
        <f t="shared" si="0"/>
        <v>-7.6943635437636715</v>
      </c>
    </row>
    <row r="422" spans="1:7" x14ac:dyDescent="0.2">
      <c r="A422" s="345">
        <v>40359</v>
      </c>
      <c r="B422" s="253">
        <v>-3.831</v>
      </c>
      <c r="C422" s="346">
        <v>413966489.57999998</v>
      </c>
      <c r="D422" s="258">
        <v>-3.83108</v>
      </c>
      <c r="E422" s="253">
        <f>B422-Index_Returns!AD422</f>
        <v>-1.1828799999999999</v>
      </c>
    </row>
    <row r="423" spans="1:7" x14ac:dyDescent="0.2">
      <c r="A423" s="345">
        <v>40390</v>
      </c>
      <c r="B423" s="253">
        <v>4.72</v>
      </c>
      <c r="C423" s="346">
        <v>433936388.94999999</v>
      </c>
      <c r="D423" s="258">
        <v>4.72018</v>
      </c>
      <c r="E423" s="253">
        <f>B423-Index_Returns!AD423</f>
        <v>-1.02121</v>
      </c>
    </row>
    <row r="424" spans="1:7" x14ac:dyDescent="0.2">
      <c r="A424" s="345">
        <v>40421</v>
      </c>
      <c r="B424" s="253">
        <v>-3.9590000000000001</v>
      </c>
      <c r="C424" s="346">
        <v>417055726.70999998</v>
      </c>
      <c r="D424" s="258">
        <v>-3.8839899999999998</v>
      </c>
      <c r="E424" s="253">
        <f>B424-Index_Returns!AD424</f>
        <v>-1.2965800000000001</v>
      </c>
    </row>
    <row r="425" spans="1:7" x14ac:dyDescent="0.2">
      <c r="A425" s="345">
        <v>40451</v>
      </c>
      <c r="B425" s="258">
        <v>6.9589999999999996</v>
      </c>
      <c r="C425" s="346">
        <v>445510215.72000003</v>
      </c>
      <c r="D425" s="258">
        <v>6.9588400000000004</v>
      </c>
      <c r="E425" s="253">
        <f>B425-Index_Returns!AD425</f>
        <v>0.3599799999999993</v>
      </c>
    </row>
    <row r="426" spans="1:7" x14ac:dyDescent="0.2">
      <c r="A426" s="345">
        <v>40482</v>
      </c>
      <c r="B426" s="258">
        <v>3.1912600000000002</v>
      </c>
      <c r="C426" s="346">
        <v>459727623.13999999</v>
      </c>
      <c r="D426" s="258">
        <v>3.1912600000000002</v>
      </c>
      <c r="E426" s="253">
        <f>B426-Index_Returns!AD426</f>
        <v>0.38200000000000012</v>
      </c>
    </row>
    <row r="427" spans="1:7" x14ac:dyDescent="0.2">
      <c r="A427" s="345">
        <v>40512</v>
      </c>
      <c r="B427" s="253">
        <f>D427</f>
        <v>3.0710000000000001E-2</v>
      </c>
      <c r="C427" s="346">
        <v>459916702.83999997</v>
      </c>
      <c r="D427" s="258">
        <v>3.0710000000000001E-2</v>
      </c>
      <c r="E427" s="253">
        <f>B427-Index_Returns!AD427</f>
        <v>0.95071000000000006</v>
      </c>
    </row>
    <row r="428" spans="1:7" x14ac:dyDescent="0.2">
      <c r="A428" s="345">
        <v>40543</v>
      </c>
      <c r="B428" s="253">
        <v>5.0293099999999997</v>
      </c>
      <c r="C428" s="346">
        <v>482289797.74000001</v>
      </c>
      <c r="D428" s="258">
        <v>5.0293099999999997</v>
      </c>
      <c r="E428" s="253">
        <f>B428-Index_Returns!AD428</f>
        <v>0.29162999999999961</v>
      </c>
    </row>
    <row r="429" spans="1:7" x14ac:dyDescent="0.2">
      <c r="A429" s="345">
        <v>40574</v>
      </c>
      <c r="B429" s="253">
        <f>D429</f>
        <v>1.5825800000000001</v>
      </c>
      <c r="C429" s="346">
        <v>490067707.07999998</v>
      </c>
      <c r="D429" s="258">
        <v>1.5825800000000001</v>
      </c>
      <c r="E429" s="253">
        <f>B429-Index_Returns!AD429</f>
        <v>-0.15689999999999982</v>
      </c>
    </row>
    <row r="430" spans="1:7" x14ac:dyDescent="0.2">
      <c r="A430" s="345">
        <v>40602</v>
      </c>
      <c r="B430" s="253">
        <v>3.1569199999999999</v>
      </c>
      <c r="C430" s="346">
        <v>505679335.33999997</v>
      </c>
      <c r="D430" s="258">
        <v>3.1569199999999999</v>
      </c>
      <c r="E430" s="253">
        <f>B430-Index_Returns!AD430</f>
        <v>0.63710999999999984</v>
      </c>
    </row>
    <row r="431" spans="1:7" x14ac:dyDescent="0.2">
      <c r="A431" s="345">
        <v>40633</v>
      </c>
      <c r="B431" s="253">
        <f>D431</f>
        <v>-0.67901</v>
      </c>
      <c r="C431" s="346">
        <v>502227461.60000002</v>
      </c>
      <c r="D431" s="258">
        <v>-0.67901</v>
      </c>
      <c r="E431" s="253">
        <f>B431-Index_Returns!AD431</f>
        <v>-0.3654</v>
      </c>
    </row>
    <row r="432" spans="1:7" x14ac:dyDescent="0.2">
      <c r="A432" s="345">
        <v>40663</v>
      </c>
      <c r="B432" s="253">
        <f t="shared" ref="B432:B440" si="1">D432</f>
        <v>3.26844</v>
      </c>
      <c r="C432" s="346">
        <v>517640545.82999998</v>
      </c>
      <c r="D432" s="258">
        <v>3.26844</v>
      </c>
      <c r="E432" s="253">
        <f>B432-Index_Returns!AD432</f>
        <v>0.28228000000000009</v>
      </c>
    </row>
    <row r="433" spans="1:5" x14ac:dyDescent="0.2">
      <c r="A433" s="345">
        <v>40694</v>
      </c>
      <c r="B433" s="253">
        <f t="shared" si="1"/>
        <v>-2.12093</v>
      </c>
      <c r="C433" s="346">
        <v>508423950.70999998</v>
      </c>
      <c r="D433" s="258">
        <v>-2.12093</v>
      </c>
      <c r="E433" s="253">
        <f>B433-Index_Returns!AD433</f>
        <v>-1.4034800000000001</v>
      </c>
    </row>
    <row r="434" spans="1:5" x14ac:dyDescent="0.2">
      <c r="A434" s="345">
        <v>40724</v>
      </c>
      <c r="B434" s="253">
        <f t="shared" si="1"/>
        <v>-1.8828499999999999</v>
      </c>
      <c r="C434" s="346">
        <v>499876223.73000002</v>
      </c>
      <c r="D434" s="258">
        <v>-1.8828499999999999</v>
      </c>
      <c r="E434" s="253">
        <f>B434-Index_Returns!AD434</f>
        <v>-0.67094999999999994</v>
      </c>
    </row>
    <row r="435" spans="1:5" x14ac:dyDescent="0.2">
      <c r="A435" s="345">
        <v>40755</v>
      </c>
      <c r="B435" s="253">
        <f t="shared" si="1"/>
        <v>-2.1939199999999999</v>
      </c>
      <c r="C435" s="346">
        <v>489104328.54000002</v>
      </c>
      <c r="D435" s="258">
        <v>-2.1939199999999999</v>
      </c>
      <c r="E435" s="253">
        <f>B435-Index_Returns!AD435</f>
        <v>-1.2478399999999998</v>
      </c>
    </row>
    <row r="436" spans="1:5" x14ac:dyDescent="0.2">
      <c r="A436" s="345">
        <v>40786</v>
      </c>
      <c r="B436" s="253">
        <f t="shared" si="1"/>
        <v>-4.7299300000000004</v>
      </c>
      <c r="C436" s="346">
        <v>466340281.93000001</v>
      </c>
      <c r="D436" s="258">
        <v>-4.7299300000000004</v>
      </c>
      <c r="E436" s="253">
        <f>B436-Index_Returns!AD436</f>
        <v>-0.65418000000000021</v>
      </c>
    </row>
    <row r="437" spans="1:5" x14ac:dyDescent="0.2">
      <c r="A437" s="345">
        <v>40816</v>
      </c>
      <c r="B437" s="253">
        <f t="shared" si="1"/>
        <v>0</v>
      </c>
      <c r="E437" s="253">
        <f>B437-Index_Returns!AD437</f>
        <v>5.2525599999999999</v>
      </c>
    </row>
    <row r="438" spans="1:5" x14ac:dyDescent="0.2">
      <c r="A438" s="345">
        <v>40847</v>
      </c>
      <c r="B438" s="253">
        <f t="shared" si="1"/>
        <v>0</v>
      </c>
      <c r="E438" s="253">
        <f>B438-Index_Returns!AD438</f>
        <v>-7.5263400000000003</v>
      </c>
    </row>
    <row r="439" spans="1:5" x14ac:dyDescent="0.2">
      <c r="A439" s="345">
        <v>40877</v>
      </c>
      <c r="B439" s="253">
        <f t="shared" si="1"/>
        <v>0</v>
      </c>
      <c r="E439" s="253">
        <f>B439-Index_Returns!AD439</f>
        <v>1.11818</v>
      </c>
    </row>
    <row r="440" spans="1:5" x14ac:dyDescent="0.2">
      <c r="A440" s="345">
        <v>40908</v>
      </c>
      <c r="B440" s="253">
        <f t="shared" si="1"/>
        <v>0</v>
      </c>
      <c r="E440" s="253">
        <f>B440-Index_Returns!AD440</f>
        <v>-0.52907999999999999</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FF0000"/>
  </sheetPr>
  <dimension ref="A1:H428"/>
  <sheetViews>
    <sheetView topLeftCell="A383" workbookViewId="0">
      <selection activeCell="C413" sqref="C413:D413"/>
    </sheetView>
  </sheetViews>
  <sheetFormatPr defaultRowHeight="12.75" x14ac:dyDescent="0.2"/>
  <cols>
    <col min="1" max="1" width="18.7109375" style="21" customWidth="1"/>
    <col min="2" max="2" width="18.7109375" style="257" customWidth="1"/>
    <col min="3" max="3" width="18.7109375" style="5" customWidth="1"/>
    <col min="4" max="4" width="18.7109375" style="258" customWidth="1"/>
    <col min="6" max="6" width="12.42578125" bestFit="1" customWidth="1"/>
    <col min="7" max="8" width="9.140625" style="352"/>
  </cols>
  <sheetData>
    <row r="1" spans="1:5" x14ac:dyDescent="0.2">
      <c r="A1" s="265" t="s">
        <v>401</v>
      </c>
      <c r="B1" s="321" t="s">
        <v>515</v>
      </c>
      <c r="C1" s="964" t="s">
        <v>408</v>
      </c>
      <c r="D1" s="1263">
        <v>70</v>
      </c>
    </row>
    <row r="2" spans="1:5" x14ac:dyDescent="0.2">
      <c r="A2" s="3" t="s">
        <v>27</v>
      </c>
      <c r="B2" s="71" t="s">
        <v>91</v>
      </c>
      <c r="C2" s="3" t="s">
        <v>92</v>
      </c>
      <c r="D2" s="71" t="s">
        <v>90</v>
      </c>
      <c r="E2" s="12" t="s">
        <v>80</v>
      </c>
    </row>
    <row r="3" spans="1:5" x14ac:dyDescent="0.2">
      <c r="A3" s="345">
        <v>27606</v>
      </c>
      <c r="B3" s="71"/>
      <c r="C3" s="226"/>
      <c r="D3" s="71"/>
    </row>
    <row r="4" spans="1:5" x14ac:dyDescent="0.2">
      <c r="A4" s="345">
        <v>27637</v>
      </c>
      <c r="B4" s="71"/>
      <c r="C4" s="226"/>
      <c r="D4" s="71"/>
    </row>
    <row r="5" spans="1:5" x14ac:dyDescent="0.2">
      <c r="A5" s="345">
        <v>27667</v>
      </c>
      <c r="B5" s="71"/>
      <c r="C5" s="226"/>
      <c r="D5" s="71"/>
    </row>
    <row r="6" spans="1:5" x14ac:dyDescent="0.2">
      <c r="A6" s="345">
        <v>27698</v>
      </c>
      <c r="B6" s="71"/>
      <c r="C6" s="226"/>
      <c r="D6" s="71"/>
    </row>
    <row r="7" spans="1:5" x14ac:dyDescent="0.2">
      <c r="A7" s="345">
        <v>27728</v>
      </c>
      <c r="B7" s="71"/>
      <c r="C7" s="226"/>
      <c r="D7" s="71"/>
    </row>
    <row r="8" spans="1:5" x14ac:dyDescent="0.2">
      <c r="A8" s="345">
        <v>27759</v>
      </c>
      <c r="B8" s="71"/>
      <c r="C8" s="226"/>
      <c r="D8" s="71"/>
    </row>
    <row r="9" spans="1:5" x14ac:dyDescent="0.2">
      <c r="A9" s="345">
        <v>27790</v>
      </c>
      <c r="B9" s="71"/>
      <c r="C9" s="226"/>
      <c r="D9" s="71"/>
    </row>
    <row r="10" spans="1:5" x14ac:dyDescent="0.2">
      <c r="A10" s="345">
        <v>27819</v>
      </c>
      <c r="B10" s="71"/>
      <c r="C10" s="226"/>
      <c r="D10" s="71"/>
    </row>
    <row r="11" spans="1:5" x14ac:dyDescent="0.2">
      <c r="A11" s="345">
        <v>27850</v>
      </c>
      <c r="B11" s="71"/>
      <c r="C11" s="226"/>
      <c r="D11" s="71"/>
    </row>
    <row r="12" spans="1:5" x14ac:dyDescent="0.2">
      <c r="A12" s="345">
        <v>27880</v>
      </c>
      <c r="B12" s="71"/>
      <c r="C12" s="226"/>
      <c r="D12" s="71"/>
    </row>
    <row r="13" spans="1:5" x14ac:dyDescent="0.2">
      <c r="A13" s="345">
        <v>27911</v>
      </c>
      <c r="B13" s="71"/>
      <c r="C13" s="226"/>
      <c r="D13" s="71"/>
    </row>
    <row r="14" spans="1:5" x14ac:dyDescent="0.2">
      <c r="A14" s="345">
        <v>27941</v>
      </c>
      <c r="B14" s="71"/>
      <c r="C14" s="226"/>
      <c r="D14" s="71"/>
    </row>
    <row r="15" spans="1:5" x14ac:dyDescent="0.2">
      <c r="A15" s="345">
        <v>27972</v>
      </c>
      <c r="B15" s="71"/>
      <c r="C15" s="226"/>
      <c r="D15" s="71"/>
    </row>
    <row r="16" spans="1:5" x14ac:dyDescent="0.2">
      <c r="A16" s="345">
        <v>28003</v>
      </c>
      <c r="B16" s="71"/>
      <c r="C16" s="226"/>
      <c r="D16" s="71"/>
    </row>
    <row r="17" spans="1:4" x14ac:dyDescent="0.2">
      <c r="A17" s="345">
        <v>28033</v>
      </c>
      <c r="B17" s="71"/>
      <c r="C17" s="226"/>
      <c r="D17" s="71"/>
    </row>
    <row r="18" spans="1:4" x14ac:dyDescent="0.2">
      <c r="A18" s="345">
        <v>28064</v>
      </c>
      <c r="B18" s="71"/>
      <c r="C18" s="226"/>
      <c r="D18" s="71"/>
    </row>
    <row r="19" spans="1:4" x14ac:dyDescent="0.2">
      <c r="A19" s="345">
        <v>28094</v>
      </c>
      <c r="B19" s="71"/>
      <c r="C19" s="226"/>
      <c r="D19" s="71"/>
    </row>
    <row r="20" spans="1:4" x14ac:dyDescent="0.2">
      <c r="A20" s="345">
        <v>28125</v>
      </c>
      <c r="B20" s="71"/>
      <c r="C20" s="226"/>
      <c r="D20" s="71"/>
    </row>
    <row r="21" spans="1:4" x14ac:dyDescent="0.2">
      <c r="A21" s="345">
        <v>28156</v>
      </c>
      <c r="B21" s="71"/>
      <c r="C21" s="226"/>
      <c r="D21" s="71"/>
    </row>
    <row r="22" spans="1:4" x14ac:dyDescent="0.2">
      <c r="A22" s="345">
        <v>28184</v>
      </c>
      <c r="B22" s="71"/>
      <c r="C22" s="226"/>
      <c r="D22" s="71"/>
    </row>
    <row r="23" spans="1:4" x14ac:dyDescent="0.2">
      <c r="A23" s="345">
        <v>28215</v>
      </c>
      <c r="B23" s="71"/>
      <c r="C23" s="226"/>
      <c r="D23" s="71"/>
    </row>
    <row r="24" spans="1:4" x14ac:dyDescent="0.2">
      <c r="A24" s="345">
        <v>28245</v>
      </c>
      <c r="B24" s="71"/>
      <c r="C24" s="226"/>
      <c r="D24" s="71"/>
    </row>
    <row r="25" spans="1:4" x14ac:dyDescent="0.2">
      <c r="A25" s="345">
        <v>28276</v>
      </c>
      <c r="B25" s="71"/>
      <c r="C25" s="226"/>
      <c r="D25" s="71"/>
    </row>
    <row r="26" spans="1:4" x14ac:dyDescent="0.2">
      <c r="A26" s="345">
        <v>28306</v>
      </c>
      <c r="B26" s="71"/>
      <c r="C26" s="226"/>
      <c r="D26" s="71"/>
    </row>
    <row r="27" spans="1:4" x14ac:dyDescent="0.2">
      <c r="A27" s="345">
        <v>28337</v>
      </c>
      <c r="B27" s="71"/>
      <c r="C27" s="226"/>
      <c r="D27" s="71"/>
    </row>
    <row r="28" spans="1:4" x14ac:dyDescent="0.2">
      <c r="A28" s="345">
        <v>28368</v>
      </c>
      <c r="B28" s="71"/>
      <c r="C28" s="226"/>
      <c r="D28" s="71"/>
    </row>
    <row r="29" spans="1:4" x14ac:dyDescent="0.2">
      <c r="A29" s="345">
        <v>28398</v>
      </c>
      <c r="B29" s="71"/>
      <c r="C29" s="226"/>
      <c r="D29" s="71"/>
    </row>
    <row r="30" spans="1:4" x14ac:dyDescent="0.2">
      <c r="A30" s="345">
        <v>28429</v>
      </c>
      <c r="B30" s="71"/>
      <c r="C30" s="226"/>
      <c r="D30" s="71"/>
    </row>
    <row r="31" spans="1:4" x14ac:dyDescent="0.2">
      <c r="A31" s="345">
        <v>28459</v>
      </c>
      <c r="B31" s="71"/>
      <c r="C31" s="226"/>
      <c r="D31" s="71"/>
    </row>
    <row r="32" spans="1:4" x14ac:dyDescent="0.2">
      <c r="A32" s="345">
        <v>28490</v>
      </c>
      <c r="B32" s="71"/>
      <c r="C32" s="226"/>
      <c r="D32" s="71"/>
    </row>
    <row r="33" spans="1:4" x14ac:dyDescent="0.2">
      <c r="A33" s="345">
        <v>28521</v>
      </c>
      <c r="B33" s="71"/>
      <c r="C33" s="226"/>
      <c r="D33" s="71"/>
    </row>
    <row r="34" spans="1:4" x14ac:dyDescent="0.2">
      <c r="A34" s="345">
        <v>28549</v>
      </c>
      <c r="B34" s="71"/>
      <c r="C34" s="226"/>
      <c r="D34" s="71"/>
    </row>
    <row r="35" spans="1:4" x14ac:dyDescent="0.2">
      <c r="A35" s="345">
        <v>28580</v>
      </c>
      <c r="B35" s="71"/>
      <c r="C35" s="226"/>
      <c r="D35" s="71"/>
    </row>
    <row r="36" spans="1:4" x14ac:dyDescent="0.2">
      <c r="A36" s="345">
        <v>28610</v>
      </c>
      <c r="B36" s="71"/>
      <c r="C36" s="226"/>
      <c r="D36" s="71"/>
    </row>
    <row r="37" spans="1:4" x14ac:dyDescent="0.2">
      <c r="A37" s="345">
        <v>28641</v>
      </c>
      <c r="B37" s="71"/>
      <c r="C37" s="226"/>
      <c r="D37" s="71"/>
    </row>
    <row r="38" spans="1:4" x14ac:dyDescent="0.2">
      <c r="A38" s="345">
        <v>28671</v>
      </c>
      <c r="B38" s="71"/>
      <c r="C38" s="226"/>
      <c r="D38" s="71"/>
    </row>
    <row r="39" spans="1:4" x14ac:dyDescent="0.2">
      <c r="A39" s="345">
        <v>28702</v>
      </c>
      <c r="B39" s="71"/>
      <c r="C39" s="226"/>
      <c r="D39" s="71"/>
    </row>
    <row r="40" spans="1:4" x14ac:dyDescent="0.2">
      <c r="A40" s="345">
        <v>28733</v>
      </c>
      <c r="B40" s="71"/>
      <c r="C40" s="226"/>
      <c r="D40" s="71"/>
    </row>
    <row r="41" spans="1:4" x14ac:dyDescent="0.2">
      <c r="A41" s="345">
        <v>28763</v>
      </c>
      <c r="B41" s="71"/>
      <c r="C41" s="226"/>
      <c r="D41" s="71"/>
    </row>
    <row r="42" spans="1:4" x14ac:dyDescent="0.2">
      <c r="A42" s="345">
        <v>28794</v>
      </c>
      <c r="B42" s="71"/>
      <c r="C42" s="226"/>
      <c r="D42" s="71"/>
    </row>
    <row r="43" spans="1:4" x14ac:dyDescent="0.2">
      <c r="A43" s="345">
        <v>28824</v>
      </c>
      <c r="B43" s="71"/>
      <c r="C43" s="226"/>
      <c r="D43" s="71"/>
    </row>
    <row r="44" spans="1:4" x14ac:dyDescent="0.2">
      <c r="A44" s="345">
        <v>28855</v>
      </c>
      <c r="B44" s="71"/>
      <c r="C44" s="226"/>
      <c r="D44" s="71"/>
    </row>
    <row r="45" spans="1:4" x14ac:dyDescent="0.2">
      <c r="A45" s="345">
        <v>28886</v>
      </c>
      <c r="B45" s="71"/>
      <c r="C45" s="226"/>
      <c r="D45" s="71"/>
    </row>
    <row r="46" spans="1:4" x14ac:dyDescent="0.2">
      <c r="A46" s="345">
        <v>28914</v>
      </c>
      <c r="B46" s="71"/>
      <c r="C46" s="226"/>
      <c r="D46" s="71"/>
    </row>
    <row r="47" spans="1:4" x14ac:dyDescent="0.2">
      <c r="A47" s="345">
        <v>28945</v>
      </c>
      <c r="B47" s="71"/>
      <c r="C47" s="226"/>
      <c r="D47" s="71"/>
    </row>
    <row r="48" spans="1:4" x14ac:dyDescent="0.2">
      <c r="A48" s="345">
        <v>28975</v>
      </c>
      <c r="B48" s="71"/>
      <c r="C48" s="226"/>
      <c r="D48" s="71"/>
    </row>
    <row r="49" spans="1:4" x14ac:dyDescent="0.2">
      <c r="A49" s="345">
        <v>29006</v>
      </c>
      <c r="B49" s="71"/>
      <c r="C49" s="226"/>
      <c r="D49" s="71"/>
    </row>
    <row r="50" spans="1:4" x14ac:dyDescent="0.2">
      <c r="A50" s="345">
        <v>29036</v>
      </c>
      <c r="B50" s="71"/>
      <c r="C50" s="226"/>
      <c r="D50" s="71"/>
    </row>
    <row r="51" spans="1:4" x14ac:dyDescent="0.2">
      <c r="A51" s="345">
        <v>29067</v>
      </c>
      <c r="B51" s="71"/>
      <c r="C51" s="226"/>
      <c r="D51" s="71"/>
    </row>
    <row r="52" spans="1:4" x14ac:dyDescent="0.2">
      <c r="A52" s="345">
        <v>29098</v>
      </c>
      <c r="B52" s="71"/>
      <c r="C52" s="226"/>
      <c r="D52" s="71"/>
    </row>
    <row r="53" spans="1:4" x14ac:dyDescent="0.2">
      <c r="A53" s="345">
        <v>29128</v>
      </c>
      <c r="B53" s="71"/>
      <c r="C53" s="226"/>
      <c r="D53" s="71"/>
    </row>
    <row r="54" spans="1:4" x14ac:dyDescent="0.2">
      <c r="A54" s="345">
        <v>29159</v>
      </c>
      <c r="B54" s="71"/>
      <c r="C54" s="226"/>
      <c r="D54" s="71"/>
    </row>
    <row r="55" spans="1:4" x14ac:dyDescent="0.2">
      <c r="A55" s="345">
        <v>29189</v>
      </c>
      <c r="B55" s="71"/>
      <c r="C55" s="226"/>
      <c r="D55" s="71"/>
    </row>
    <row r="56" spans="1:4" x14ac:dyDescent="0.2">
      <c r="A56" s="345">
        <v>29220</v>
      </c>
      <c r="B56" s="71"/>
      <c r="C56" s="226"/>
      <c r="D56" s="71"/>
    </row>
    <row r="57" spans="1:4" x14ac:dyDescent="0.2">
      <c r="A57" s="345">
        <v>29251</v>
      </c>
      <c r="B57" s="71"/>
      <c r="C57" s="226"/>
      <c r="D57" s="71"/>
    </row>
    <row r="58" spans="1:4" x14ac:dyDescent="0.2">
      <c r="A58" s="345">
        <v>29280</v>
      </c>
      <c r="B58" s="71"/>
      <c r="C58" s="226"/>
      <c r="D58" s="71"/>
    </row>
    <row r="59" spans="1:4" x14ac:dyDescent="0.2">
      <c r="A59" s="345">
        <v>29311</v>
      </c>
      <c r="B59" s="71"/>
      <c r="C59" s="226"/>
      <c r="D59" s="71"/>
    </row>
    <row r="60" spans="1:4" x14ac:dyDescent="0.2">
      <c r="A60" s="345">
        <v>29341</v>
      </c>
      <c r="B60" s="71"/>
      <c r="C60" s="226"/>
      <c r="D60" s="71"/>
    </row>
    <row r="61" spans="1:4" x14ac:dyDescent="0.2">
      <c r="A61" s="345">
        <v>29372</v>
      </c>
      <c r="B61" s="71"/>
      <c r="C61" s="226"/>
      <c r="D61" s="71"/>
    </row>
    <row r="62" spans="1:4" x14ac:dyDescent="0.2">
      <c r="A62" s="345">
        <v>29402</v>
      </c>
      <c r="B62" s="71"/>
      <c r="C62" s="226"/>
      <c r="D62" s="71"/>
    </row>
    <row r="63" spans="1:4" x14ac:dyDescent="0.2">
      <c r="A63" s="345">
        <v>29433</v>
      </c>
      <c r="B63" s="71"/>
      <c r="C63" s="226"/>
      <c r="D63" s="71"/>
    </row>
    <row r="64" spans="1:4" x14ac:dyDescent="0.2">
      <c r="A64" s="345">
        <v>29464</v>
      </c>
      <c r="B64" s="71"/>
      <c r="C64" s="226"/>
      <c r="D64" s="71"/>
    </row>
    <row r="65" spans="1:4" x14ac:dyDescent="0.2">
      <c r="A65" s="345">
        <v>29494</v>
      </c>
      <c r="B65" s="71"/>
      <c r="C65" s="226"/>
      <c r="D65" s="71"/>
    </row>
    <row r="66" spans="1:4" x14ac:dyDescent="0.2">
      <c r="A66" s="345">
        <v>29525</v>
      </c>
      <c r="B66" s="71"/>
      <c r="C66" s="226"/>
      <c r="D66" s="71"/>
    </row>
    <row r="67" spans="1:4" x14ac:dyDescent="0.2">
      <c r="A67" s="345">
        <v>29555</v>
      </c>
      <c r="B67" s="71"/>
      <c r="C67" s="226"/>
      <c r="D67" s="71"/>
    </row>
    <row r="68" spans="1:4" x14ac:dyDescent="0.2">
      <c r="A68" s="345">
        <v>29586</v>
      </c>
      <c r="B68" s="71"/>
      <c r="C68" s="226"/>
      <c r="D68" s="71"/>
    </row>
    <row r="69" spans="1:4" x14ac:dyDescent="0.2">
      <c r="A69" s="345">
        <v>29617</v>
      </c>
      <c r="B69" s="71"/>
      <c r="C69" s="226"/>
      <c r="D69" s="71"/>
    </row>
    <row r="70" spans="1:4" x14ac:dyDescent="0.2">
      <c r="A70" s="345">
        <v>29645</v>
      </c>
      <c r="B70" s="71"/>
      <c r="C70" s="226"/>
      <c r="D70" s="71"/>
    </row>
    <row r="71" spans="1:4" x14ac:dyDescent="0.2">
      <c r="A71" s="345">
        <v>29676</v>
      </c>
      <c r="B71" s="71"/>
      <c r="C71" s="226"/>
      <c r="D71" s="71"/>
    </row>
    <row r="72" spans="1:4" x14ac:dyDescent="0.2">
      <c r="A72" s="345">
        <v>29706</v>
      </c>
      <c r="B72" s="71"/>
      <c r="C72" s="226"/>
      <c r="D72" s="71"/>
    </row>
    <row r="73" spans="1:4" x14ac:dyDescent="0.2">
      <c r="A73" s="345">
        <v>29737</v>
      </c>
      <c r="B73" s="71"/>
      <c r="C73" s="226"/>
      <c r="D73" s="71"/>
    </row>
    <row r="74" spans="1:4" x14ac:dyDescent="0.2">
      <c r="A74" s="345">
        <v>29767</v>
      </c>
      <c r="B74" s="71"/>
      <c r="C74" s="226"/>
      <c r="D74" s="71"/>
    </row>
    <row r="75" spans="1:4" x14ac:dyDescent="0.2">
      <c r="A75" s="345">
        <v>29798</v>
      </c>
      <c r="B75" s="71"/>
      <c r="C75" s="226"/>
      <c r="D75" s="71"/>
    </row>
    <row r="76" spans="1:4" x14ac:dyDescent="0.2">
      <c r="A76" s="345">
        <v>29829</v>
      </c>
      <c r="B76" s="71"/>
      <c r="C76" s="226"/>
      <c r="D76" s="71"/>
    </row>
    <row r="77" spans="1:4" x14ac:dyDescent="0.2">
      <c r="A77" s="345">
        <v>29859</v>
      </c>
      <c r="B77" s="71"/>
      <c r="C77" s="226"/>
      <c r="D77" s="71"/>
    </row>
    <row r="78" spans="1:4" x14ac:dyDescent="0.2">
      <c r="A78" s="345">
        <v>29890</v>
      </c>
      <c r="B78" s="71"/>
      <c r="C78" s="226"/>
      <c r="D78" s="71"/>
    </row>
    <row r="79" spans="1:4" x14ac:dyDescent="0.2">
      <c r="A79" s="345">
        <v>29920</v>
      </c>
      <c r="B79" s="71"/>
      <c r="C79" s="226"/>
      <c r="D79" s="71"/>
    </row>
    <row r="80" spans="1:4" x14ac:dyDescent="0.2">
      <c r="A80" s="345">
        <v>29951</v>
      </c>
      <c r="B80" s="71"/>
      <c r="C80" s="226"/>
      <c r="D80" s="71"/>
    </row>
    <row r="81" spans="1:4" x14ac:dyDescent="0.2">
      <c r="A81" s="345">
        <v>29982</v>
      </c>
      <c r="B81" s="71"/>
      <c r="C81" s="226"/>
      <c r="D81" s="71"/>
    </row>
    <row r="82" spans="1:4" x14ac:dyDescent="0.2">
      <c r="A82" s="345">
        <v>30010</v>
      </c>
      <c r="B82" s="71"/>
      <c r="C82" s="226"/>
      <c r="D82" s="71"/>
    </row>
    <row r="83" spans="1:4" x14ac:dyDescent="0.2">
      <c r="A83" s="345">
        <v>30041</v>
      </c>
      <c r="B83" s="71"/>
      <c r="C83" s="226"/>
      <c r="D83" s="71"/>
    </row>
    <row r="84" spans="1:4" x14ac:dyDescent="0.2">
      <c r="A84" s="345">
        <v>30071</v>
      </c>
      <c r="B84" s="71"/>
      <c r="C84" s="226"/>
      <c r="D84" s="71"/>
    </row>
    <row r="85" spans="1:4" x14ac:dyDescent="0.2">
      <c r="A85" s="345">
        <v>30102</v>
      </c>
      <c r="B85" s="71"/>
      <c r="C85" s="226"/>
      <c r="D85" s="71"/>
    </row>
    <row r="86" spans="1:4" x14ac:dyDescent="0.2">
      <c r="A86" s="345">
        <v>30132</v>
      </c>
      <c r="B86" s="71"/>
      <c r="C86" s="226"/>
      <c r="D86" s="71"/>
    </row>
    <row r="87" spans="1:4" x14ac:dyDescent="0.2">
      <c r="A87" s="345">
        <v>30163</v>
      </c>
      <c r="B87" s="71"/>
      <c r="C87" s="226"/>
      <c r="D87" s="71"/>
    </row>
    <row r="88" spans="1:4" x14ac:dyDescent="0.2">
      <c r="A88" s="345">
        <v>30194</v>
      </c>
      <c r="B88" s="71"/>
      <c r="C88" s="226"/>
      <c r="D88" s="71"/>
    </row>
    <row r="89" spans="1:4" x14ac:dyDescent="0.2">
      <c r="A89" s="345">
        <v>30224</v>
      </c>
      <c r="B89" s="71"/>
      <c r="C89" s="226"/>
      <c r="D89" s="71"/>
    </row>
    <row r="90" spans="1:4" x14ac:dyDescent="0.2">
      <c r="A90" s="345">
        <v>30255</v>
      </c>
      <c r="B90" s="71"/>
      <c r="C90" s="226"/>
      <c r="D90" s="71"/>
    </row>
    <row r="91" spans="1:4" x14ac:dyDescent="0.2">
      <c r="A91" s="345">
        <v>30285</v>
      </c>
      <c r="B91" s="71"/>
      <c r="C91" s="226"/>
      <c r="D91" s="71"/>
    </row>
    <row r="92" spans="1:4" x14ac:dyDescent="0.2">
      <c r="A92" s="345">
        <v>30316</v>
      </c>
      <c r="B92" s="71"/>
      <c r="C92" s="226"/>
      <c r="D92" s="71"/>
    </row>
    <row r="93" spans="1:4" x14ac:dyDescent="0.2">
      <c r="A93" s="345">
        <v>30347</v>
      </c>
      <c r="B93" s="71"/>
      <c r="C93" s="226"/>
      <c r="D93" s="71"/>
    </row>
    <row r="94" spans="1:4" x14ac:dyDescent="0.2">
      <c r="A94" s="345">
        <v>30375</v>
      </c>
      <c r="B94" s="71"/>
      <c r="C94" s="226"/>
      <c r="D94" s="71"/>
    </row>
    <row r="95" spans="1:4" x14ac:dyDescent="0.2">
      <c r="A95" s="345">
        <v>30406</v>
      </c>
      <c r="B95" s="71"/>
      <c r="C95" s="226"/>
      <c r="D95" s="71"/>
    </row>
    <row r="96" spans="1:4" x14ac:dyDescent="0.2">
      <c r="A96" s="345">
        <v>30436</v>
      </c>
      <c r="B96" s="71"/>
      <c r="C96" s="226"/>
      <c r="D96" s="71"/>
    </row>
    <row r="97" spans="1:4" x14ac:dyDescent="0.2">
      <c r="A97" s="345">
        <v>30467</v>
      </c>
      <c r="B97" s="71"/>
      <c r="C97" s="226"/>
      <c r="D97" s="71"/>
    </row>
    <row r="98" spans="1:4" x14ac:dyDescent="0.2">
      <c r="A98" s="345">
        <v>30497</v>
      </c>
      <c r="B98" s="71"/>
      <c r="C98" s="226"/>
      <c r="D98" s="71"/>
    </row>
    <row r="99" spans="1:4" x14ac:dyDescent="0.2">
      <c r="A99" s="345">
        <v>30528</v>
      </c>
      <c r="B99" s="71"/>
      <c r="C99" s="226"/>
      <c r="D99" s="71"/>
    </row>
    <row r="100" spans="1:4" x14ac:dyDescent="0.2">
      <c r="A100" s="345">
        <v>30559</v>
      </c>
      <c r="B100" s="71"/>
      <c r="C100" s="226"/>
      <c r="D100" s="71"/>
    </row>
    <row r="101" spans="1:4" x14ac:dyDescent="0.2">
      <c r="A101" s="345">
        <v>30589</v>
      </c>
      <c r="B101" s="71"/>
      <c r="C101" s="226"/>
      <c r="D101" s="71"/>
    </row>
    <row r="102" spans="1:4" x14ac:dyDescent="0.2">
      <c r="A102" s="345">
        <v>30620</v>
      </c>
      <c r="B102" s="71"/>
      <c r="C102" s="226"/>
      <c r="D102" s="71"/>
    </row>
    <row r="103" spans="1:4" x14ac:dyDescent="0.2">
      <c r="A103" s="345">
        <v>30650</v>
      </c>
      <c r="B103" s="71"/>
      <c r="C103" s="226"/>
      <c r="D103" s="71"/>
    </row>
    <row r="104" spans="1:4" x14ac:dyDescent="0.2">
      <c r="A104" s="345">
        <v>30681</v>
      </c>
      <c r="B104" s="71"/>
      <c r="C104" s="226"/>
      <c r="D104" s="71"/>
    </row>
    <row r="105" spans="1:4" x14ac:dyDescent="0.2">
      <c r="A105" s="345">
        <v>30712</v>
      </c>
      <c r="B105" s="71"/>
      <c r="C105" s="226"/>
      <c r="D105" s="71"/>
    </row>
    <row r="106" spans="1:4" x14ac:dyDescent="0.2">
      <c r="A106" s="345">
        <v>30741</v>
      </c>
      <c r="B106" s="71"/>
      <c r="C106" s="226"/>
      <c r="D106" s="71"/>
    </row>
    <row r="107" spans="1:4" x14ac:dyDescent="0.2">
      <c r="A107" s="345">
        <v>30772</v>
      </c>
      <c r="B107" s="71"/>
      <c r="C107" s="226"/>
      <c r="D107" s="71"/>
    </row>
    <row r="108" spans="1:4" x14ac:dyDescent="0.2">
      <c r="A108" s="345">
        <v>30802</v>
      </c>
      <c r="B108" s="71"/>
      <c r="C108" s="226"/>
      <c r="D108" s="71"/>
    </row>
    <row r="109" spans="1:4" x14ac:dyDescent="0.2">
      <c r="A109" s="345">
        <v>30833</v>
      </c>
      <c r="B109" s="71"/>
      <c r="C109" s="226"/>
      <c r="D109" s="71"/>
    </row>
    <row r="110" spans="1:4" x14ac:dyDescent="0.2">
      <c r="A110" s="345">
        <v>30863</v>
      </c>
      <c r="B110" s="71"/>
      <c r="C110" s="226"/>
      <c r="D110" s="71"/>
    </row>
    <row r="111" spans="1:4" x14ac:dyDescent="0.2">
      <c r="A111" s="345">
        <v>30894</v>
      </c>
      <c r="B111" s="71"/>
      <c r="C111" s="226"/>
      <c r="D111" s="71"/>
    </row>
    <row r="112" spans="1:4" x14ac:dyDescent="0.2">
      <c r="A112" s="345">
        <v>30925</v>
      </c>
      <c r="B112" s="71"/>
      <c r="C112" s="226"/>
      <c r="D112" s="71"/>
    </row>
    <row r="113" spans="1:4" x14ac:dyDescent="0.2">
      <c r="A113" s="345">
        <v>30955</v>
      </c>
      <c r="B113" s="71"/>
      <c r="C113" s="226"/>
      <c r="D113" s="71"/>
    </row>
    <row r="114" spans="1:4" x14ac:dyDescent="0.2">
      <c r="A114" s="345">
        <v>30986</v>
      </c>
      <c r="B114" s="71"/>
      <c r="C114" s="226"/>
      <c r="D114" s="71"/>
    </row>
    <row r="115" spans="1:4" x14ac:dyDescent="0.2">
      <c r="A115" s="345">
        <v>31016</v>
      </c>
      <c r="B115" s="71"/>
      <c r="C115" s="226"/>
      <c r="D115" s="71"/>
    </row>
    <row r="116" spans="1:4" x14ac:dyDescent="0.2">
      <c r="A116" s="345">
        <v>31047</v>
      </c>
      <c r="B116" s="71"/>
      <c r="C116" s="226"/>
      <c r="D116" s="71"/>
    </row>
    <row r="117" spans="1:4" x14ac:dyDescent="0.2">
      <c r="A117" s="345">
        <v>31078</v>
      </c>
      <c r="B117" s="71"/>
      <c r="C117" s="226"/>
      <c r="D117" s="71"/>
    </row>
    <row r="118" spans="1:4" x14ac:dyDescent="0.2">
      <c r="A118" s="345">
        <v>31106</v>
      </c>
      <c r="B118" s="71"/>
      <c r="C118" s="226"/>
      <c r="D118" s="71"/>
    </row>
    <row r="119" spans="1:4" x14ac:dyDescent="0.2">
      <c r="A119" s="345">
        <v>31137</v>
      </c>
      <c r="B119" s="71"/>
      <c r="C119" s="226"/>
      <c r="D119" s="71"/>
    </row>
    <row r="120" spans="1:4" x14ac:dyDescent="0.2">
      <c r="A120" s="345">
        <v>31167</v>
      </c>
      <c r="B120" s="71"/>
      <c r="C120" s="226"/>
      <c r="D120" s="71"/>
    </row>
    <row r="121" spans="1:4" x14ac:dyDescent="0.2">
      <c r="A121" s="345">
        <v>31198</v>
      </c>
      <c r="B121" s="71"/>
      <c r="C121" s="226"/>
      <c r="D121" s="71"/>
    </row>
    <row r="122" spans="1:4" x14ac:dyDescent="0.2">
      <c r="A122" s="345">
        <v>31228</v>
      </c>
      <c r="B122" s="71"/>
      <c r="C122" s="226"/>
      <c r="D122" s="71"/>
    </row>
    <row r="123" spans="1:4" x14ac:dyDescent="0.2">
      <c r="A123" s="345">
        <v>31259</v>
      </c>
      <c r="B123" s="71"/>
      <c r="C123" s="226"/>
      <c r="D123" s="71"/>
    </row>
    <row r="124" spans="1:4" x14ac:dyDescent="0.2">
      <c r="A124" s="345">
        <v>31290</v>
      </c>
      <c r="B124" s="71"/>
      <c r="C124" s="226"/>
      <c r="D124" s="71"/>
    </row>
    <row r="125" spans="1:4" x14ac:dyDescent="0.2">
      <c r="A125" s="345">
        <v>31320</v>
      </c>
      <c r="B125" s="71"/>
      <c r="C125" s="226"/>
      <c r="D125" s="71"/>
    </row>
    <row r="126" spans="1:4" x14ac:dyDescent="0.2">
      <c r="A126" s="345">
        <v>31351</v>
      </c>
      <c r="B126" s="71"/>
      <c r="C126" s="226"/>
      <c r="D126" s="71"/>
    </row>
    <row r="127" spans="1:4" x14ac:dyDescent="0.2">
      <c r="A127" s="345">
        <v>31381</v>
      </c>
      <c r="B127" s="71"/>
      <c r="C127" s="226"/>
      <c r="D127" s="71"/>
    </row>
    <row r="128" spans="1:4" x14ac:dyDescent="0.2">
      <c r="A128" s="345">
        <v>31412</v>
      </c>
      <c r="B128" s="71"/>
      <c r="C128" s="226"/>
      <c r="D128" s="71"/>
    </row>
    <row r="129" spans="1:4" x14ac:dyDescent="0.2">
      <c r="A129" s="345">
        <v>31443</v>
      </c>
      <c r="B129" s="71"/>
      <c r="C129" s="226"/>
      <c r="D129" s="71"/>
    </row>
    <row r="130" spans="1:4" x14ac:dyDescent="0.2">
      <c r="A130" s="345">
        <v>31471</v>
      </c>
      <c r="B130" s="71"/>
      <c r="C130" s="226"/>
      <c r="D130" s="71"/>
    </row>
    <row r="131" spans="1:4" x14ac:dyDescent="0.2">
      <c r="A131" s="345">
        <v>31502</v>
      </c>
      <c r="B131" s="71"/>
      <c r="C131" s="226"/>
      <c r="D131" s="71"/>
    </row>
    <row r="132" spans="1:4" x14ac:dyDescent="0.2">
      <c r="A132" s="345">
        <v>31532</v>
      </c>
      <c r="B132" s="71"/>
      <c r="C132" s="226"/>
      <c r="D132" s="71"/>
    </row>
    <row r="133" spans="1:4" x14ac:dyDescent="0.2">
      <c r="A133" s="345">
        <v>31563</v>
      </c>
      <c r="B133" s="71"/>
      <c r="C133" s="226"/>
      <c r="D133" s="71"/>
    </row>
    <row r="134" spans="1:4" x14ac:dyDescent="0.2">
      <c r="A134" s="345">
        <v>31593</v>
      </c>
      <c r="B134" s="71"/>
      <c r="C134" s="226"/>
      <c r="D134" s="71"/>
    </row>
    <row r="135" spans="1:4" x14ac:dyDescent="0.2">
      <c r="A135" s="345">
        <v>31624</v>
      </c>
      <c r="B135" s="71"/>
      <c r="C135" s="226"/>
      <c r="D135" s="71"/>
    </row>
    <row r="136" spans="1:4" x14ac:dyDescent="0.2">
      <c r="A136" s="345">
        <v>31655</v>
      </c>
      <c r="B136" s="71"/>
      <c r="C136" s="226"/>
      <c r="D136" s="71"/>
    </row>
    <row r="137" spans="1:4" x14ac:dyDescent="0.2">
      <c r="A137" s="345">
        <v>31685</v>
      </c>
      <c r="B137" s="71"/>
      <c r="C137" s="226"/>
      <c r="D137" s="71"/>
    </row>
    <row r="138" spans="1:4" x14ac:dyDescent="0.2">
      <c r="A138" s="345">
        <v>31716</v>
      </c>
      <c r="B138" s="71"/>
      <c r="C138" s="226"/>
      <c r="D138" s="71"/>
    </row>
    <row r="139" spans="1:4" x14ac:dyDescent="0.2">
      <c r="A139" s="345">
        <v>31746</v>
      </c>
      <c r="B139" s="71"/>
      <c r="C139" s="226"/>
      <c r="D139" s="71"/>
    </row>
    <row r="140" spans="1:4" x14ac:dyDescent="0.2">
      <c r="A140" s="345">
        <v>31777</v>
      </c>
      <c r="B140" s="71"/>
      <c r="C140" s="226"/>
      <c r="D140" s="71"/>
    </row>
    <row r="141" spans="1:4" x14ac:dyDescent="0.2">
      <c r="A141" s="345">
        <v>31808</v>
      </c>
      <c r="B141" s="73"/>
      <c r="C141" s="25"/>
      <c r="D141" s="73"/>
    </row>
    <row r="142" spans="1:4" x14ac:dyDescent="0.2">
      <c r="A142" s="345">
        <v>31836</v>
      </c>
      <c r="B142" s="73"/>
      <c r="C142" s="25"/>
      <c r="D142" s="73"/>
    </row>
    <row r="143" spans="1:4" x14ac:dyDescent="0.2">
      <c r="A143" s="345">
        <v>31867</v>
      </c>
      <c r="B143" s="73"/>
      <c r="C143" s="25"/>
      <c r="D143" s="73"/>
    </row>
    <row r="144" spans="1:4" x14ac:dyDescent="0.2">
      <c r="A144" s="345">
        <v>31897</v>
      </c>
      <c r="B144" s="73"/>
      <c r="C144" s="25"/>
      <c r="D144" s="73"/>
    </row>
    <row r="145" spans="1:4" x14ac:dyDescent="0.2">
      <c r="A145" s="345">
        <v>31928</v>
      </c>
      <c r="B145" s="73"/>
      <c r="C145" s="25"/>
      <c r="D145" s="73"/>
    </row>
    <row r="146" spans="1:4" x14ac:dyDescent="0.2">
      <c r="A146" s="345">
        <v>31958</v>
      </c>
      <c r="B146" s="73"/>
      <c r="C146" s="25"/>
      <c r="D146" s="73"/>
    </row>
    <row r="147" spans="1:4" x14ac:dyDescent="0.2">
      <c r="A147" s="345">
        <v>31989</v>
      </c>
      <c r="B147" s="73"/>
      <c r="C147" s="25"/>
      <c r="D147" s="73"/>
    </row>
    <row r="148" spans="1:4" x14ac:dyDescent="0.2">
      <c r="A148" s="345">
        <v>32020</v>
      </c>
      <c r="B148" s="73"/>
      <c r="C148" s="25"/>
      <c r="D148" s="73"/>
    </row>
    <row r="149" spans="1:4" x14ac:dyDescent="0.2">
      <c r="A149" s="345">
        <v>32050</v>
      </c>
      <c r="B149" s="73"/>
      <c r="C149" s="25"/>
      <c r="D149" s="73"/>
    </row>
    <row r="150" spans="1:4" x14ac:dyDescent="0.2">
      <c r="A150" s="345">
        <v>32081</v>
      </c>
      <c r="B150" s="73"/>
      <c r="C150" s="25"/>
      <c r="D150" s="73"/>
    </row>
    <row r="151" spans="1:4" x14ac:dyDescent="0.2">
      <c r="A151" s="345">
        <v>32111</v>
      </c>
      <c r="B151" s="73"/>
      <c r="C151" s="25"/>
      <c r="D151" s="73"/>
    </row>
    <row r="152" spans="1:4" x14ac:dyDescent="0.2">
      <c r="A152" s="345">
        <v>32142</v>
      </c>
      <c r="B152" s="73"/>
      <c r="C152" s="25"/>
      <c r="D152" s="73"/>
    </row>
    <row r="153" spans="1:4" x14ac:dyDescent="0.2">
      <c r="A153" s="345">
        <v>32173</v>
      </c>
      <c r="B153" s="73"/>
      <c r="C153" s="25"/>
      <c r="D153" s="73"/>
    </row>
    <row r="154" spans="1:4" x14ac:dyDescent="0.2">
      <c r="A154" s="345">
        <v>32202</v>
      </c>
      <c r="B154" s="73"/>
      <c r="C154" s="25"/>
      <c r="D154" s="73"/>
    </row>
    <row r="155" spans="1:4" x14ac:dyDescent="0.2">
      <c r="A155" s="345">
        <v>32233</v>
      </c>
      <c r="B155" s="73"/>
      <c r="C155" s="25"/>
      <c r="D155" s="73"/>
    </row>
    <row r="156" spans="1:4" x14ac:dyDescent="0.2">
      <c r="A156" s="345">
        <v>32263</v>
      </c>
      <c r="B156" s="73"/>
      <c r="C156" s="25"/>
      <c r="D156" s="73"/>
    </row>
    <row r="157" spans="1:4" x14ac:dyDescent="0.2">
      <c r="A157" s="345">
        <v>32294</v>
      </c>
      <c r="B157" s="73"/>
      <c r="C157" s="25"/>
      <c r="D157" s="73"/>
    </row>
    <row r="158" spans="1:4" x14ac:dyDescent="0.2">
      <c r="A158" s="345">
        <v>32324</v>
      </c>
      <c r="B158" s="73"/>
      <c r="C158" s="25"/>
      <c r="D158" s="73"/>
    </row>
    <row r="159" spans="1:4" x14ac:dyDescent="0.2">
      <c r="A159" s="345">
        <v>32355</v>
      </c>
      <c r="B159" s="73"/>
      <c r="C159" s="25"/>
      <c r="D159" s="73"/>
    </row>
    <row r="160" spans="1:4" x14ac:dyDescent="0.2">
      <c r="A160" s="345">
        <v>32386</v>
      </c>
      <c r="B160" s="73"/>
      <c r="C160" s="25"/>
      <c r="D160" s="73"/>
    </row>
    <row r="161" spans="1:4" x14ac:dyDescent="0.2">
      <c r="A161" s="345">
        <v>32416</v>
      </c>
      <c r="B161" s="73"/>
      <c r="C161" s="25"/>
      <c r="D161" s="73"/>
    </row>
    <row r="162" spans="1:4" x14ac:dyDescent="0.2">
      <c r="A162" s="345">
        <v>32447</v>
      </c>
      <c r="B162" s="73"/>
      <c r="C162" s="25"/>
      <c r="D162" s="73"/>
    </row>
    <row r="163" spans="1:4" x14ac:dyDescent="0.2">
      <c r="A163" s="345">
        <v>32477</v>
      </c>
      <c r="B163" s="73"/>
      <c r="C163" s="25"/>
      <c r="D163" s="73"/>
    </row>
    <row r="164" spans="1:4" x14ac:dyDescent="0.2">
      <c r="A164" s="345">
        <v>32508</v>
      </c>
      <c r="B164" s="73"/>
      <c r="C164" s="25"/>
      <c r="D164" s="73"/>
    </row>
    <row r="165" spans="1:4" x14ac:dyDescent="0.2">
      <c r="A165" s="345">
        <v>32539</v>
      </c>
      <c r="B165" s="73"/>
      <c r="C165" s="25"/>
      <c r="D165" s="73"/>
    </row>
    <row r="166" spans="1:4" x14ac:dyDescent="0.2">
      <c r="A166" s="345">
        <v>32567</v>
      </c>
      <c r="B166" s="73"/>
      <c r="C166" s="25"/>
      <c r="D166" s="73"/>
    </row>
    <row r="167" spans="1:4" x14ac:dyDescent="0.2">
      <c r="A167" s="345">
        <v>32598</v>
      </c>
      <c r="B167" s="73"/>
      <c r="C167" s="25"/>
      <c r="D167" s="73"/>
    </row>
    <row r="168" spans="1:4" x14ac:dyDescent="0.2">
      <c r="A168" s="345">
        <v>32628</v>
      </c>
      <c r="B168" s="73"/>
      <c r="C168" s="25"/>
      <c r="D168" s="73"/>
    </row>
    <row r="169" spans="1:4" x14ac:dyDescent="0.2">
      <c r="A169" s="345">
        <v>32659</v>
      </c>
      <c r="B169" s="73"/>
      <c r="C169" s="25"/>
      <c r="D169" s="73"/>
    </row>
    <row r="170" spans="1:4" x14ac:dyDescent="0.2">
      <c r="A170" s="345">
        <v>32689</v>
      </c>
      <c r="B170" s="73"/>
      <c r="C170" s="25"/>
      <c r="D170" s="73"/>
    </row>
    <row r="171" spans="1:4" x14ac:dyDescent="0.2">
      <c r="A171" s="345">
        <v>32720</v>
      </c>
      <c r="B171" s="73"/>
      <c r="C171" s="25"/>
      <c r="D171" s="73"/>
    </row>
    <row r="172" spans="1:4" x14ac:dyDescent="0.2">
      <c r="A172" s="345">
        <v>32751</v>
      </c>
      <c r="B172" s="73"/>
      <c r="C172" s="25"/>
      <c r="D172" s="73"/>
    </row>
    <row r="173" spans="1:4" x14ac:dyDescent="0.2">
      <c r="A173" s="345">
        <v>32781</v>
      </c>
      <c r="B173" s="73"/>
      <c r="C173" s="25"/>
      <c r="D173" s="73"/>
    </row>
    <row r="174" spans="1:4" x14ac:dyDescent="0.2">
      <c r="A174" s="345">
        <v>32812</v>
      </c>
      <c r="B174" s="73"/>
      <c r="C174" s="25"/>
      <c r="D174" s="73"/>
    </row>
    <row r="175" spans="1:4" x14ac:dyDescent="0.2">
      <c r="A175" s="345">
        <v>32842</v>
      </c>
      <c r="B175" s="73"/>
      <c r="C175" s="25"/>
      <c r="D175" s="73"/>
    </row>
    <row r="176" spans="1:4" x14ac:dyDescent="0.2">
      <c r="A176" s="345">
        <v>32873</v>
      </c>
      <c r="B176" s="73"/>
      <c r="C176" s="25"/>
      <c r="D176" s="73"/>
    </row>
    <row r="177" spans="1:4" x14ac:dyDescent="0.2">
      <c r="A177" s="345">
        <v>32904</v>
      </c>
      <c r="B177" s="73"/>
      <c r="C177" s="25"/>
      <c r="D177" s="73"/>
    </row>
    <row r="178" spans="1:4" x14ac:dyDescent="0.2">
      <c r="A178" s="345">
        <v>32932</v>
      </c>
      <c r="B178" s="73"/>
      <c r="C178" s="25"/>
      <c r="D178" s="73"/>
    </row>
    <row r="179" spans="1:4" x14ac:dyDescent="0.2">
      <c r="A179" s="345">
        <v>32963</v>
      </c>
      <c r="B179" s="73"/>
      <c r="C179" s="25"/>
      <c r="D179" s="73"/>
    </row>
    <row r="180" spans="1:4" x14ac:dyDescent="0.2">
      <c r="A180" s="345">
        <v>32993</v>
      </c>
      <c r="B180" s="73"/>
      <c r="C180" s="25"/>
      <c r="D180" s="73"/>
    </row>
    <row r="181" spans="1:4" x14ac:dyDescent="0.2">
      <c r="A181" s="345">
        <v>33024</v>
      </c>
      <c r="B181" s="73"/>
      <c r="C181" s="25"/>
      <c r="D181" s="73"/>
    </row>
    <row r="182" spans="1:4" x14ac:dyDescent="0.2">
      <c r="A182" s="345">
        <v>33054</v>
      </c>
      <c r="B182" s="73"/>
      <c r="C182" s="25"/>
      <c r="D182" s="73"/>
    </row>
    <row r="183" spans="1:4" x14ac:dyDescent="0.2">
      <c r="A183" s="345">
        <v>33085</v>
      </c>
      <c r="B183" s="73"/>
      <c r="C183" s="25"/>
      <c r="D183" s="73"/>
    </row>
    <row r="184" spans="1:4" x14ac:dyDescent="0.2">
      <c r="A184" s="345">
        <v>33116</v>
      </c>
      <c r="B184" s="73"/>
      <c r="C184" s="25"/>
      <c r="D184" s="73"/>
    </row>
    <row r="185" spans="1:4" x14ac:dyDescent="0.2">
      <c r="A185" s="345">
        <v>33146</v>
      </c>
      <c r="B185" s="73"/>
      <c r="C185" s="25"/>
      <c r="D185" s="73"/>
    </row>
    <row r="186" spans="1:4" x14ac:dyDescent="0.2">
      <c r="A186" s="345">
        <v>33177</v>
      </c>
      <c r="B186" s="73"/>
      <c r="C186" s="25"/>
      <c r="D186" s="73"/>
    </row>
    <row r="187" spans="1:4" x14ac:dyDescent="0.2">
      <c r="A187" s="345">
        <v>33207</v>
      </c>
      <c r="B187" s="73"/>
      <c r="C187" s="25"/>
      <c r="D187" s="73"/>
    </row>
    <row r="188" spans="1:4" x14ac:dyDescent="0.2">
      <c r="A188" s="345">
        <v>33238</v>
      </c>
      <c r="B188" s="73"/>
      <c r="C188" s="25"/>
      <c r="D188" s="73"/>
    </row>
    <row r="189" spans="1:4" x14ac:dyDescent="0.2">
      <c r="A189" s="345">
        <v>33269</v>
      </c>
      <c r="B189" s="73"/>
      <c r="C189" s="25"/>
      <c r="D189" s="73"/>
    </row>
    <row r="190" spans="1:4" x14ac:dyDescent="0.2">
      <c r="A190" s="345">
        <v>33297</v>
      </c>
      <c r="B190" s="73"/>
      <c r="C190" s="25"/>
      <c r="D190" s="73"/>
    </row>
    <row r="191" spans="1:4" x14ac:dyDescent="0.2">
      <c r="A191" s="345">
        <v>33328</v>
      </c>
      <c r="B191" s="73"/>
      <c r="C191" s="25"/>
      <c r="D191" s="73"/>
    </row>
    <row r="192" spans="1:4" x14ac:dyDescent="0.2">
      <c r="A192" s="345">
        <v>33358</v>
      </c>
      <c r="B192" s="73"/>
      <c r="C192" s="25"/>
      <c r="D192" s="73"/>
    </row>
    <row r="193" spans="1:4" x14ac:dyDescent="0.2">
      <c r="A193" s="345">
        <v>33389</v>
      </c>
      <c r="B193" s="73"/>
      <c r="C193" s="25"/>
      <c r="D193" s="73"/>
    </row>
    <row r="194" spans="1:4" x14ac:dyDescent="0.2">
      <c r="A194" s="345">
        <v>33419</v>
      </c>
      <c r="B194" s="73"/>
      <c r="C194" s="25"/>
      <c r="D194" s="73"/>
    </row>
    <row r="195" spans="1:4" x14ac:dyDescent="0.2">
      <c r="A195" s="345">
        <v>33450</v>
      </c>
      <c r="B195" s="73"/>
      <c r="C195" s="25"/>
      <c r="D195" s="73"/>
    </row>
    <row r="196" spans="1:4" x14ac:dyDescent="0.2">
      <c r="A196" s="345">
        <v>33481</v>
      </c>
      <c r="B196" s="73"/>
      <c r="C196" s="25"/>
      <c r="D196" s="73"/>
    </row>
    <row r="197" spans="1:4" x14ac:dyDescent="0.2">
      <c r="A197" s="345">
        <v>33511</v>
      </c>
      <c r="B197" s="73"/>
      <c r="C197" s="25"/>
      <c r="D197" s="73"/>
    </row>
    <row r="198" spans="1:4" x14ac:dyDescent="0.2">
      <c r="A198" s="345">
        <v>33542</v>
      </c>
      <c r="B198" s="73"/>
      <c r="C198" s="25"/>
      <c r="D198" s="73"/>
    </row>
    <row r="199" spans="1:4" x14ac:dyDescent="0.2">
      <c r="A199" s="345">
        <v>33572</v>
      </c>
      <c r="B199" s="73"/>
      <c r="C199" s="25"/>
      <c r="D199" s="73"/>
    </row>
    <row r="200" spans="1:4" x14ac:dyDescent="0.2">
      <c r="A200" s="345">
        <v>33603</v>
      </c>
      <c r="B200" s="73"/>
      <c r="C200" s="25"/>
      <c r="D200" s="73"/>
    </row>
    <row r="201" spans="1:4" x14ac:dyDescent="0.2">
      <c r="A201" s="345">
        <v>33634</v>
      </c>
      <c r="B201" s="73"/>
      <c r="C201" s="25"/>
      <c r="D201" s="73"/>
    </row>
    <row r="202" spans="1:4" x14ac:dyDescent="0.2">
      <c r="A202" s="345">
        <v>33663</v>
      </c>
      <c r="B202" s="73"/>
      <c r="C202" s="25"/>
      <c r="D202" s="73"/>
    </row>
    <row r="203" spans="1:4" x14ac:dyDescent="0.2">
      <c r="A203" s="345">
        <v>33694</v>
      </c>
      <c r="B203" s="73"/>
      <c r="C203" s="25"/>
      <c r="D203" s="73"/>
    </row>
    <row r="204" spans="1:4" x14ac:dyDescent="0.2">
      <c r="A204" s="345">
        <v>33724</v>
      </c>
      <c r="B204" s="73"/>
      <c r="C204" s="25"/>
      <c r="D204" s="73"/>
    </row>
    <row r="205" spans="1:4" x14ac:dyDescent="0.2">
      <c r="A205" s="345">
        <v>33755</v>
      </c>
      <c r="B205" s="73"/>
      <c r="C205" s="25"/>
      <c r="D205" s="73"/>
    </row>
    <row r="206" spans="1:4" x14ac:dyDescent="0.2">
      <c r="A206" s="345">
        <v>33785</v>
      </c>
      <c r="B206" s="73"/>
      <c r="C206" s="25"/>
      <c r="D206" s="73"/>
    </row>
    <row r="207" spans="1:4" x14ac:dyDescent="0.2">
      <c r="A207" s="345">
        <v>33816</v>
      </c>
      <c r="B207" s="73"/>
      <c r="C207" s="25"/>
      <c r="D207" s="73"/>
    </row>
    <row r="208" spans="1:4" x14ac:dyDescent="0.2">
      <c r="A208" s="345">
        <v>33847</v>
      </c>
      <c r="B208" s="73"/>
      <c r="C208" s="25"/>
      <c r="D208" s="73"/>
    </row>
    <row r="209" spans="1:4" x14ac:dyDescent="0.2">
      <c r="A209" s="345">
        <v>33877</v>
      </c>
      <c r="B209" s="73"/>
      <c r="C209" s="25"/>
      <c r="D209" s="73"/>
    </row>
    <row r="210" spans="1:4" x14ac:dyDescent="0.2">
      <c r="A210" s="345">
        <v>33908</v>
      </c>
      <c r="B210" s="73"/>
      <c r="C210" s="25"/>
      <c r="D210" s="73"/>
    </row>
    <row r="211" spans="1:4" x14ac:dyDescent="0.2">
      <c r="A211" s="345">
        <v>33938</v>
      </c>
      <c r="B211" s="73"/>
      <c r="C211" s="25"/>
      <c r="D211" s="73"/>
    </row>
    <row r="212" spans="1:4" x14ac:dyDescent="0.2">
      <c r="A212" s="345">
        <v>33969</v>
      </c>
      <c r="B212" s="73"/>
      <c r="C212" s="25"/>
      <c r="D212" s="73"/>
    </row>
    <row r="213" spans="1:4" x14ac:dyDescent="0.2">
      <c r="A213" s="345">
        <v>34000</v>
      </c>
      <c r="B213" s="73"/>
      <c r="C213" s="25"/>
      <c r="D213" s="73"/>
    </row>
    <row r="214" spans="1:4" x14ac:dyDescent="0.2">
      <c r="A214" s="345">
        <v>34028</v>
      </c>
      <c r="B214" s="73"/>
      <c r="C214" s="25"/>
      <c r="D214" s="73"/>
    </row>
    <row r="215" spans="1:4" x14ac:dyDescent="0.2">
      <c r="A215" s="345">
        <v>34059</v>
      </c>
      <c r="B215" s="73"/>
      <c r="C215" s="25"/>
      <c r="D215" s="73"/>
    </row>
    <row r="216" spans="1:4" x14ac:dyDescent="0.2">
      <c r="A216" s="345">
        <v>34089</v>
      </c>
      <c r="B216" s="73"/>
      <c r="C216" s="25"/>
      <c r="D216" s="73"/>
    </row>
    <row r="217" spans="1:4" x14ac:dyDescent="0.2">
      <c r="A217" s="345">
        <v>34120</v>
      </c>
      <c r="B217" s="73"/>
      <c r="C217" s="25"/>
      <c r="D217" s="73"/>
    </row>
    <row r="218" spans="1:4" x14ac:dyDescent="0.2">
      <c r="A218" s="345">
        <v>34150</v>
      </c>
      <c r="B218" s="73"/>
      <c r="C218" s="25"/>
      <c r="D218" s="73"/>
    </row>
    <row r="219" spans="1:4" x14ac:dyDescent="0.2">
      <c r="A219" s="345">
        <v>34181</v>
      </c>
      <c r="B219" s="73"/>
      <c r="C219" s="25"/>
      <c r="D219" s="73"/>
    </row>
    <row r="220" spans="1:4" x14ac:dyDescent="0.2">
      <c r="A220" s="345">
        <v>34212</v>
      </c>
      <c r="B220" s="73"/>
      <c r="C220" s="25"/>
      <c r="D220" s="73"/>
    </row>
    <row r="221" spans="1:4" x14ac:dyDescent="0.2">
      <c r="A221" s="345">
        <v>34242</v>
      </c>
      <c r="B221" s="73"/>
      <c r="C221" s="25"/>
      <c r="D221" s="73"/>
    </row>
    <row r="222" spans="1:4" x14ac:dyDescent="0.2">
      <c r="A222" s="345">
        <v>34273</v>
      </c>
      <c r="B222" s="73"/>
      <c r="C222" s="25"/>
      <c r="D222" s="73"/>
    </row>
    <row r="223" spans="1:4" x14ac:dyDescent="0.2">
      <c r="A223" s="345">
        <v>34303</v>
      </c>
      <c r="B223" s="73"/>
      <c r="C223" s="25"/>
      <c r="D223" s="73"/>
    </row>
    <row r="224" spans="1:4" x14ac:dyDescent="0.2">
      <c r="A224" s="345">
        <v>34334</v>
      </c>
      <c r="B224" s="73"/>
      <c r="C224" s="25"/>
      <c r="D224" s="73"/>
    </row>
    <row r="225" spans="1:4" x14ac:dyDescent="0.2">
      <c r="A225" s="345">
        <v>34365</v>
      </c>
      <c r="B225" s="73"/>
      <c r="C225" s="25"/>
      <c r="D225" s="73"/>
    </row>
    <row r="226" spans="1:4" x14ac:dyDescent="0.2">
      <c r="A226" s="345">
        <v>34393</v>
      </c>
      <c r="B226" s="73"/>
      <c r="C226" s="25"/>
      <c r="D226" s="73"/>
    </row>
    <row r="227" spans="1:4" x14ac:dyDescent="0.2">
      <c r="A227" s="345">
        <v>34424</v>
      </c>
      <c r="B227" s="73"/>
      <c r="C227" s="25"/>
      <c r="D227" s="73"/>
    </row>
    <row r="228" spans="1:4" x14ac:dyDescent="0.2">
      <c r="A228" s="345">
        <v>34454</v>
      </c>
      <c r="B228" s="73"/>
      <c r="C228" s="25"/>
      <c r="D228" s="73"/>
    </row>
    <row r="229" spans="1:4" x14ac:dyDescent="0.2">
      <c r="A229" s="345">
        <v>34485</v>
      </c>
      <c r="B229" s="73"/>
      <c r="C229" s="25"/>
      <c r="D229" s="73"/>
    </row>
    <row r="230" spans="1:4" x14ac:dyDescent="0.2">
      <c r="A230" s="345">
        <v>34515</v>
      </c>
      <c r="B230" s="73"/>
      <c r="C230" s="25"/>
      <c r="D230" s="73"/>
    </row>
    <row r="231" spans="1:4" x14ac:dyDescent="0.2">
      <c r="A231" s="345">
        <v>34546</v>
      </c>
      <c r="B231" s="73"/>
      <c r="C231" s="25"/>
      <c r="D231" s="73"/>
    </row>
    <row r="232" spans="1:4" x14ac:dyDescent="0.2">
      <c r="A232" s="345">
        <v>34577</v>
      </c>
      <c r="B232" s="73"/>
      <c r="C232" s="25"/>
      <c r="D232" s="73"/>
    </row>
    <row r="233" spans="1:4" x14ac:dyDescent="0.2">
      <c r="A233" s="345">
        <v>34607</v>
      </c>
      <c r="B233" s="73"/>
      <c r="C233" s="25"/>
      <c r="D233" s="73"/>
    </row>
    <row r="234" spans="1:4" x14ac:dyDescent="0.2">
      <c r="A234" s="345">
        <v>34638</v>
      </c>
      <c r="B234" s="73"/>
      <c r="C234" s="25"/>
      <c r="D234" s="73"/>
    </row>
    <row r="235" spans="1:4" x14ac:dyDescent="0.2">
      <c r="A235" s="345">
        <v>34668</v>
      </c>
      <c r="B235" s="73"/>
      <c r="C235" s="25"/>
      <c r="D235" s="73"/>
    </row>
    <row r="236" spans="1:4" x14ac:dyDescent="0.2">
      <c r="A236" s="345">
        <v>34699</v>
      </c>
      <c r="B236" s="73"/>
      <c r="C236" s="25"/>
      <c r="D236" s="73"/>
    </row>
    <row r="237" spans="1:4" x14ac:dyDescent="0.2">
      <c r="A237" s="345">
        <v>34730</v>
      </c>
      <c r="B237" s="73"/>
      <c r="C237" s="25"/>
      <c r="D237" s="73"/>
    </row>
    <row r="238" spans="1:4" x14ac:dyDescent="0.2">
      <c r="A238" s="345">
        <v>34758</v>
      </c>
      <c r="B238" s="73"/>
      <c r="C238" s="25"/>
      <c r="D238" s="73"/>
    </row>
    <row r="239" spans="1:4" x14ac:dyDescent="0.2">
      <c r="A239" s="345">
        <v>34789</v>
      </c>
      <c r="B239" s="73"/>
      <c r="C239" s="25"/>
      <c r="D239" s="73"/>
    </row>
    <row r="240" spans="1:4" x14ac:dyDescent="0.2">
      <c r="A240" s="345">
        <v>34819</v>
      </c>
      <c r="B240" s="73"/>
      <c r="C240" s="25"/>
      <c r="D240" s="73"/>
    </row>
    <row r="241" spans="1:4" x14ac:dyDescent="0.2">
      <c r="A241" s="345">
        <v>34850</v>
      </c>
      <c r="B241" s="73"/>
      <c r="C241" s="25"/>
      <c r="D241" s="73"/>
    </row>
    <row r="242" spans="1:4" x14ac:dyDescent="0.2">
      <c r="A242" s="345">
        <v>34880</v>
      </c>
      <c r="B242" s="73"/>
      <c r="C242" s="25"/>
      <c r="D242" s="73"/>
    </row>
    <row r="243" spans="1:4" x14ac:dyDescent="0.2">
      <c r="A243" s="345">
        <v>34911</v>
      </c>
      <c r="B243" s="73"/>
      <c r="C243" s="25"/>
      <c r="D243" s="73"/>
    </row>
    <row r="244" spans="1:4" x14ac:dyDescent="0.2">
      <c r="A244" s="345">
        <v>34942</v>
      </c>
      <c r="B244" s="73"/>
      <c r="C244" s="25"/>
      <c r="D244" s="73"/>
    </row>
    <row r="245" spans="1:4" x14ac:dyDescent="0.2">
      <c r="A245" s="345">
        <v>34972</v>
      </c>
      <c r="B245" s="73"/>
      <c r="C245" s="25"/>
      <c r="D245" s="73"/>
    </row>
    <row r="246" spans="1:4" x14ac:dyDescent="0.2">
      <c r="A246" s="345">
        <v>35003</v>
      </c>
      <c r="B246" s="73"/>
      <c r="C246" s="25"/>
      <c r="D246" s="73"/>
    </row>
    <row r="247" spans="1:4" x14ac:dyDescent="0.2">
      <c r="A247" s="345">
        <v>35033</v>
      </c>
      <c r="B247" s="73"/>
      <c r="C247" s="25"/>
      <c r="D247" s="73"/>
    </row>
    <row r="248" spans="1:4" x14ac:dyDescent="0.2">
      <c r="A248" s="345">
        <v>35064</v>
      </c>
      <c r="B248" s="73"/>
      <c r="C248" s="25"/>
      <c r="D248" s="73"/>
    </row>
    <row r="249" spans="1:4" x14ac:dyDescent="0.2">
      <c r="A249" s="345">
        <v>35095</v>
      </c>
      <c r="B249" s="73"/>
      <c r="C249" s="25"/>
      <c r="D249" s="73"/>
    </row>
    <row r="250" spans="1:4" x14ac:dyDescent="0.2">
      <c r="A250" s="345">
        <v>35124</v>
      </c>
      <c r="B250" s="73"/>
      <c r="C250" s="25"/>
      <c r="D250" s="73"/>
    </row>
    <row r="251" spans="1:4" x14ac:dyDescent="0.2">
      <c r="A251" s="345">
        <v>35155</v>
      </c>
      <c r="B251" s="73"/>
      <c r="C251" s="25"/>
      <c r="D251" s="73"/>
    </row>
    <row r="252" spans="1:4" x14ac:dyDescent="0.2">
      <c r="A252" s="345">
        <v>35185</v>
      </c>
      <c r="B252" s="73"/>
      <c r="C252" s="25"/>
      <c r="D252" s="73"/>
    </row>
    <row r="253" spans="1:4" x14ac:dyDescent="0.2">
      <c r="A253" s="345">
        <v>35216</v>
      </c>
      <c r="B253" s="73"/>
      <c r="C253" s="25"/>
      <c r="D253" s="73"/>
    </row>
    <row r="254" spans="1:4" x14ac:dyDescent="0.2">
      <c r="A254" s="345">
        <v>35246</v>
      </c>
      <c r="B254" s="73"/>
      <c r="C254" s="25"/>
      <c r="D254" s="73"/>
    </row>
    <row r="255" spans="1:4" x14ac:dyDescent="0.2">
      <c r="A255" s="345">
        <v>35277</v>
      </c>
      <c r="B255" s="73"/>
      <c r="C255" s="25"/>
      <c r="D255" s="73"/>
    </row>
    <row r="256" spans="1:4" x14ac:dyDescent="0.2">
      <c r="A256" s="345">
        <v>35308</v>
      </c>
      <c r="B256" s="73"/>
      <c r="C256" s="25"/>
      <c r="D256" s="73"/>
    </row>
    <row r="257" spans="1:4" x14ac:dyDescent="0.2">
      <c r="A257" s="345">
        <v>35338</v>
      </c>
      <c r="B257" s="73"/>
      <c r="C257" s="25"/>
      <c r="D257" s="73"/>
    </row>
    <row r="258" spans="1:4" x14ac:dyDescent="0.2">
      <c r="A258" s="345">
        <v>35369</v>
      </c>
      <c r="B258" s="73"/>
      <c r="C258" s="25"/>
      <c r="D258" s="73"/>
    </row>
    <row r="259" spans="1:4" x14ac:dyDescent="0.2">
      <c r="A259" s="345">
        <v>35399</v>
      </c>
      <c r="B259" s="73"/>
      <c r="C259" s="25"/>
      <c r="D259" s="73"/>
    </row>
    <row r="260" spans="1:4" x14ac:dyDescent="0.2">
      <c r="A260" s="345">
        <v>35430</v>
      </c>
      <c r="B260" s="73"/>
      <c r="C260" s="25"/>
      <c r="D260" s="73"/>
    </row>
    <row r="261" spans="1:4" x14ac:dyDescent="0.2">
      <c r="A261" s="345">
        <v>35461</v>
      </c>
      <c r="B261" s="73"/>
      <c r="C261" s="25"/>
      <c r="D261" s="73"/>
    </row>
    <row r="262" spans="1:4" x14ac:dyDescent="0.2">
      <c r="A262" s="345">
        <v>35489</v>
      </c>
      <c r="B262" s="73"/>
      <c r="C262" s="25"/>
      <c r="D262" s="73"/>
    </row>
    <row r="263" spans="1:4" x14ac:dyDescent="0.2">
      <c r="A263" s="345">
        <v>35520</v>
      </c>
      <c r="B263" s="73"/>
      <c r="C263" s="25"/>
      <c r="D263" s="73"/>
    </row>
    <row r="264" spans="1:4" x14ac:dyDescent="0.2">
      <c r="A264" s="345">
        <v>35550</v>
      </c>
      <c r="B264" s="73"/>
      <c r="C264" s="25"/>
      <c r="D264" s="73"/>
    </row>
    <row r="265" spans="1:4" x14ac:dyDescent="0.2">
      <c r="A265" s="345">
        <v>35581</v>
      </c>
      <c r="B265" s="73"/>
      <c r="C265" s="25"/>
      <c r="D265" s="73"/>
    </row>
    <row r="266" spans="1:4" x14ac:dyDescent="0.2">
      <c r="A266" s="345">
        <v>35611</v>
      </c>
      <c r="B266" s="73"/>
      <c r="C266" s="25"/>
      <c r="D266" s="73"/>
    </row>
    <row r="267" spans="1:4" x14ac:dyDescent="0.2">
      <c r="A267" s="345">
        <v>35642</v>
      </c>
      <c r="B267" s="73"/>
      <c r="C267" s="25"/>
      <c r="D267" s="73"/>
    </row>
    <row r="268" spans="1:4" x14ac:dyDescent="0.2">
      <c r="A268" s="345">
        <v>35673</v>
      </c>
      <c r="B268" s="73"/>
      <c r="C268" s="25"/>
      <c r="D268" s="73"/>
    </row>
    <row r="269" spans="1:4" x14ac:dyDescent="0.2">
      <c r="A269" s="345">
        <v>35703</v>
      </c>
      <c r="B269" s="73"/>
      <c r="C269" s="25"/>
      <c r="D269" s="73"/>
    </row>
    <row r="270" spans="1:4" x14ac:dyDescent="0.2">
      <c r="A270" s="345">
        <v>35734</v>
      </c>
      <c r="B270" s="73"/>
      <c r="C270" s="25"/>
      <c r="D270" s="73"/>
    </row>
    <row r="271" spans="1:4" x14ac:dyDescent="0.2">
      <c r="A271" s="345">
        <v>35764</v>
      </c>
      <c r="B271" s="73"/>
      <c r="C271" s="25"/>
      <c r="D271" s="73"/>
    </row>
    <row r="272" spans="1:4" x14ac:dyDescent="0.2">
      <c r="A272" s="345">
        <v>35795</v>
      </c>
      <c r="B272" s="73"/>
      <c r="C272" s="25"/>
      <c r="D272" s="73"/>
    </row>
    <row r="273" spans="1:4" x14ac:dyDescent="0.2">
      <c r="A273" s="345">
        <v>35826</v>
      </c>
      <c r="B273" s="73"/>
      <c r="C273" s="25"/>
      <c r="D273" s="73"/>
    </row>
    <row r="274" spans="1:4" x14ac:dyDescent="0.2">
      <c r="A274" s="345">
        <v>35854</v>
      </c>
      <c r="B274" s="73"/>
      <c r="C274" s="32"/>
      <c r="D274" s="73"/>
    </row>
    <row r="275" spans="1:4" x14ac:dyDescent="0.2">
      <c r="A275" s="345">
        <v>35885</v>
      </c>
      <c r="B275" s="73"/>
      <c r="C275" s="32"/>
      <c r="D275" s="73"/>
    </row>
    <row r="276" spans="1:4" x14ac:dyDescent="0.2">
      <c r="A276" s="345">
        <v>35915</v>
      </c>
      <c r="B276" s="73"/>
      <c r="C276" s="32"/>
      <c r="D276" s="73"/>
    </row>
    <row r="277" spans="1:4" x14ac:dyDescent="0.2">
      <c r="A277" s="345">
        <v>35946</v>
      </c>
      <c r="B277" s="73"/>
      <c r="C277" s="32"/>
      <c r="D277" s="73"/>
    </row>
    <row r="278" spans="1:4" x14ac:dyDescent="0.2">
      <c r="A278" s="345">
        <v>35976</v>
      </c>
      <c r="B278" s="73"/>
      <c r="C278" s="32"/>
      <c r="D278" s="73"/>
    </row>
    <row r="279" spans="1:4" x14ac:dyDescent="0.2">
      <c r="A279" s="345">
        <v>36007</v>
      </c>
      <c r="B279" s="73"/>
      <c r="C279" s="32"/>
      <c r="D279" s="73"/>
    </row>
    <row r="280" spans="1:4" x14ac:dyDescent="0.2">
      <c r="A280" s="345">
        <v>36038</v>
      </c>
      <c r="B280" s="73"/>
      <c r="C280" s="32"/>
      <c r="D280" s="73"/>
    </row>
    <row r="281" spans="1:4" x14ac:dyDescent="0.2">
      <c r="A281" s="345">
        <v>36068</v>
      </c>
      <c r="B281" s="73"/>
      <c r="C281" s="32"/>
      <c r="D281" s="73"/>
    </row>
    <row r="282" spans="1:4" x14ac:dyDescent="0.2">
      <c r="A282" s="345">
        <v>36099</v>
      </c>
      <c r="B282" s="73"/>
      <c r="C282" s="32"/>
      <c r="D282" s="73"/>
    </row>
    <row r="283" spans="1:4" x14ac:dyDescent="0.2">
      <c r="A283" s="345">
        <v>36129</v>
      </c>
      <c r="B283" s="73"/>
      <c r="C283" s="32"/>
      <c r="D283" s="73"/>
    </row>
    <row r="284" spans="1:4" x14ac:dyDescent="0.2">
      <c r="A284" s="345">
        <v>36160</v>
      </c>
      <c r="B284" s="73"/>
      <c r="C284" s="32"/>
      <c r="D284" s="73"/>
    </row>
    <row r="285" spans="1:4" x14ac:dyDescent="0.2">
      <c r="A285" s="345">
        <v>36191</v>
      </c>
      <c r="B285" s="73"/>
      <c r="C285" s="32"/>
      <c r="D285" s="73"/>
    </row>
    <row r="286" spans="1:4" x14ac:dyDescent="0.2">
      <c r="A286" s="345">
        <v>36219</v>
      </c>
      <c r="B286" s="73"/>
      <c r="C286" s="32"/>
      <c r="D286" s="73"/>
    </row>
    <row r="287" spans="1:4" x14ac:dyDescent="0.2">
      <c r="A287" s="345">
        <v>36250</v>
      </c>
      <c r="B287" s="73"/>
      <c r="C287" s="32"/>
      <c r="D287" s="73"/>
    </row>
    <row r="288" spans="1:4" x14ac:dyDescent="0.2">
      <c r="A288" s="345">
        <v>36280</v>
      </c>
      <c r="B288" s="73"/>
      <c r="C288" s="32"/>
      <c r="D288" s="73"/>
    </row>
    <row r="289" spans="1:4" x14ac:dyDescent="0.2">
      <c r="A289" s="345">
        <v>36311</v>
      </c>
      <c r="B289" s="73"/>
      <c r="C289" s="32"/>
      <c r="D289" s="73"/>
    </row>
    <row r="290" spans="1:4" x14ac:dyDescent="0.2">
      <c r="A290" s="345">
        <v>36341</v>
      </c>
      <c r="B290" s="73"/>
      <c r="C290" s="32"/>
      <c r="D290" s="73"/>
    </row>
    <row r="291" spans="1:4" x14ac:dyDescent="0.2">
      <c r="A291" s="345">
        <v>36372</v>
      </c>
      <c r="B291" s="73"/>
      <c r="C291" s="32"/>
      <c r="D291" s="73"/>
    </row>
    <row r="292" spans="1:4" x14ac:dyDescent="0.2">
      <c r="A292" s="345">
        <v>36403</v>
      </c>
      <c r="B292" s="73"/>
      <c r="C292" s="32"/>
      <c r="D292" s="73"/>
    </row>
    <row r="293" spans="1:4" x14ac:dyDescent="0.2">
      <c r="A293" s="345">
        <v>36433</v>
      </c>
      <c r="B293" s="73"/>
      <c r="C293" s="32"/>
      <c r="D293" s="73"/>
    </row>
    <row r="294" spans="1:4" x14ac:dyDescent="0.2">
      <c r="A294" s="345">
        <v>36464</v>
      </c>
      <c r="B294" s="73"/>
      <c r="C294" s="32"/>
      <c r="D294" s="73"/>
    </row>
    <row r="295" spans="1:4" x14ac:dyDescent="0.2">
      <c r="A295" s="345">
        <v>36494</v>
      </c>
      <c r="B295" s="73"/>
      <c r="C295" s="32"/>
      <c r="D295" s="73"/>
    </row>
    <row r="296" spans="1:4" x14ac:dyDescent="0.2">
      <c r="A296" s="345">
        <v>36525</v>
      </c>
      <c r="B296" s="73"/>
      <c r="C296" s="32"/>
      <c r="D296" s="73"/>
    </row>
    <row r="297" spans="1:4" x14ac:dyDescent="0.2">
      <c r="A297" s="345">
        <v>36556</v>
      </c>
      <c r="B297" s="73"/>
      <c r="C297" s="32"/>
      <c r="D297" s="73"/>
    </row>
    <row r="298" spans="1:4" x14ac:dyDescent="0.2">
      <c r="A298" s="345">
        <v>36585</v>
      </c>
      <c r="B298" s="73"/>
      <c r="C298" s="32"/>
      <c r="D298" s="73"/>
    </row>
    <row r="299" spans="1:4" x14ac:dyDescent="0.2">
      <c r="A299" s="345">
        <v>36616</v>
      </c>
      <c r="B299" s="73"/>
      <c r="C299" s="32"/>
      <c r="D299" s="73"/>
    </row>
    <row r="300" spans="1:4" x14ac:dyDescent="0.2">
      <c r="A300" s="345">
        <v>36646</v>
      </c>
      <c r="B300" s="73"/>
      <c r="C300" s="32"/>
      <c r="D300" s="73"/>
    </row>
    <row r="301" spans="1:4" x14ac:dyDescent="0.2">
      <c r="A301" s="345">
        <v>36677</v>
      </c>
      <c r="B301" s="73"/>
      <c r="C301" s="32"/>
      <c r="D301" s="73"/>
    </row>
    <row r="302" spans="1:4" x14ac:dyDescent="0.2">
      <c r="A302" s="345">
        <v>36707</v>
      </c>
      <c r="B302" s="73"/>
      <c r="C302" s="32"/>
      <c r="D302" s="73"/>
    </row>
    <row r="303" spans="1:4" x14ac:dyDescent="0.2">
      <c r="A303" s="345">
        <v>36738</v>
      </c>
      <c r="B303" s="73"/>
      <c r="C303" s="32"/>
      <c r="D303" s="73"/>
    </row>
    <row r="304" spans="1:4" x14ac:dyDescent="0.2">
      <c r="A304" s="345">
        <v>36769</v>
      </c>
      <c r="B304" s="73"/>
      <c r="C304" s="32"/>
      <c r="D304" s="73"/>
    </row>
    <row r="305" spans="1:5" x14ac:dyDescent="0.2">
      <c r="A305" s="345">
        <v>36799</v>
      </c>
      <c r="B305" s="79"/>
      <c r="C305" s="33"/>
      <c r="D305" s="73"/>
    </row>
    <row r="306" spans="1:5" x14ac:dyDescent="0.2">
      <c r="A306" s="345">
        <v>36830</v>
      </c>
      <c r="B306" s="253"/>
      <c r="C306" s="33"/>
      <c r="D306" s="253"/>
      <c r="E306" s="14"/>
    </row>
    <row r="307" spans="1:5" x14ac:dyDescent="0.2">
      <c r="A307" s="345">
        <v>36860</v>
      </c>
      <c r="B307" s="253"/>
      <c r="C307" s="33"/>
      <c r="D307" s="253"/>
      <c r="E307" s="14"/>
    </row>
    <row r="308" spans="1:5" x14ac:dyDescent="0.2">
      <c r="A308" s="345">
        <v>36891</v>
      </c>
      <c r="B308" s="253"/>
      <c r="C308" s="33"/>
      <c r="D308" s="253"/>
      <c r="E308" s="14"/>
    </row>
    <row r="309" spans="1:5" x14ac:dyDescent="0.2">
      <c r="A309" s="345">
        <v>36922</v>
      </c>
      <c r="B309" s="253"/>
      <c r="C309" s="33"/>
      <c r="D309" s="253"/>
      <c r="E309" s="14"/>
    </row>
    <row r="310" spans="1:5" x14ac:dyDescent="0.2">
      <c r="A310" s="345">
        <v>36950</v>
      </c>
      <c r="B310" s="253"/>
      <c r="C310" s="33"/>
      <c r="D310" s="253"/>
      <c r="E310" s="14"/>
    </row>
    <row r="311" spans="1:5" x14ac:dyDescent="0.2">
      <c r="A311" s="345">
        <v>36981</v>
      </c>
      <c r="B311" s="253"/>
      <c r="C311" s="33"/>
      <c r="D311" s="253"/>
      <c r="E311" s="14"/>
    </row>
    <row r="312" spans="1:5" x14ac:dyDescent="0.2">
      <c r="A312" s="345">
        <v>37011</v>
      </c>
      <c r="B312" s="253"/>
      <c r="C312" s="33"/>
      <c r="D312" s="253"/>
      <c r="E312" s="14"/>
    </row>
    <row r="313" spans="1:5" x14ac:dyDescent="0.2">
      <c r="A313" s="345">
        <v>37042</v>
      </c>
      <c r="B313" s="253"/>
      <c r="C313" s="33"/>
      <c r="D313" s="253"/>
      <c r="E313" s="14"/>
    </row>
    <row r="314" spans="1:5" x14ac:dyDescent="0.2">
      <c r="A314" s="345">
        <v>37072</v>
      </c>
      <c r="B314" s="253"/>
      <c r="C314" s="33"/>
      <c r="D314" s="253"/>
      <c r="E314" s="14"/>
    </row>
    <row r="315" spans="1:5" x14ac:dyDescent="0.2">
      <c r="A315" s="345">
        <v>37103</v>
      </c>
      <c r="B315" s="253"/>
      <c r="C315" s="33"/>
      <c r="D315" s="253"/>
      <c r="E315" s="14"/>
    </row>
    <row r="316" spans="1:5" x14ac:dyDescent="0.2">
      <c r="A316" s="345">
        <v>37134</v>
      </c>
      <c r="B316" s="253"/>
      <c r="C316" s="33"/>
      <c r="D316" s="253"/>
      <c r="E316" s="14"/>
    </row>
    <row r="317" spans="1:5" x14ac:dyDescent="0.2">
      <c r="A317" s="345">
        <v>37164</v>
      </c>
      <c r="B317" s="253"/>
      <c r="C317" s="33"/>
      <c r="D317" s="253"/>
      <c r="E317" s="14"/>
    </row>
    <row r="318" spans="1:5" x14ac:dyDescent="0.2">
      <c r="A318" s="345">
        <v>37195</v>
      </c>
      <c r="B318" s="253"/>
      <c r="C318" s="33"/>
      <c r="D318" s="253"/>
      <c r="E318" s="14"/>
    </row>
    <row r="319" spans="1:5" x14ac:dyDescent="0.2">
      <c r="A319" s="345">
        <v>37225</v>
      </c>
      <c r="B319" s="253"/>
      <c r="C319" s="33"/>
      <c r="D319" s="253"/>
      <c r="E319" s="14"/>
    </row>
    <row r="320" spans="1:5" x14ac:dyDescent="0.2">
      <c r="A320" s="345">
        <v>37256</v>
      </c>
      <c r="B320" s="253"/>
      <c r="C320" s="33"/>
      <c r="D320" s="253"/>
      <c r="E320" s="14"/>
    </row>
    <row r="321" spans="1:5" x14ac:dyDescent="0.2">
      <c r="A321" s="345">
        <v>37287</v>
      </c>
      <c r="B321" s="253"/>
      <c r="C321" s="33"/>
      <c r="D321" s="253"/>
      <c r="E321" s="14"/>
    </row>
    <row r="322" spans="1:5" x14ac:dyDescent="0.2">
      <c r="A322" s="345">
        <v>37315</v>
      </c>
      <c r="B322" s="253"/>
      <c r="C322" s="33"/>
      <c r="D322" s="253"/>
      <c r="E322" s="14"/>
    </row>
    <row r="323" spans="1:5" x14ac:dyDescent="0.2">
      <c r="A323" s="345">
        <v>37346</v>
      </c>
      <c r="B323" s="253"/>
      <c r="C323" s="33"/>
      <c r="D323" s="253"/>
      <c r="E323" s="14"/>
    </row>
    <row r="324" spans="1:5" x14ac:dyDescent="0.2">
      <c r="A324" s="345">
        <v>37376</v>
      </c>
      <c r="B324" s="253"/>
      <c r="C324" s="33"/>
      <c r="D324" s="253"/>
      <c r="E324" s="14"/>
    </row>
    <row r="325" spans="1:5" x14ac:dyDescent="0.2">
      <c r="A325" s="345">
        <v>37407</v>
      </c>
      <c r="B325" s="253"/>
      <c r="C325" s="33"/>
      <c r="D325" s="253"/>
      <c r="E325" s="14"/>
    </row>
    <row r="326" spans="1:5" x14ac:dyDescent="0.2">
      <c r="A326" s="345">
        <v>37437</v>
      </c>
      <c r="B326" s="253"/>
      <c r="C326" s="33"/>
      <c r="D326" s="253"/>
      <c r="E326" s="14"/>
    </row>
    <row r="327" spans="1:5" x14ac:dyDescent="0.2">
      <c r="A327" s="345">
        <v>37468</v>
      </c>
      <c r="B327" s="253"/>
      <c r="C327" s="33"/>
      <c r="D327" s="253"/>
      <c r="E327" s="14"/>
    </row>
    <row r="328" spans="1:5" x14ac:dyDescent="0.2">
      <c r="A328" s="345">
        <v>37499</v>
      </c>
      <c r="B328" s="253"/>
      <c r="C328" s="33"/>
      <c r="D328" s="253"/>
      <c r="E328" s="14"/>
    </row>
    <row r="329" spans="1:5" x14ac:dyDescent="0.2">
      <c r="A329" s="345">
        <v>37529</v>
      </c>
      <c r="B329" s="253"/>
      <c r="C329" s="33"/>
      <c r="D329" s="253"/>
      <c r="E329" s="14"/>
    </row>
    <row r="330" spans="1:5" x14ac:dyDescent="0.2">
      <c r="A330" s="345">
        <v>37560</v>
      </c>
      <c r="B330" s="253"/>
      <c r="C330" s="33"/>
      <c r="D330" s="253"/>
      <c r="E330" s="14"/>
    </row>
    <row r="331" spans="1:5" x14ac:dyDescent="0.2">
      <c r="A331" s="345">
        <v>37590</v>
      </c>
      <c r="B331" s="253"/>
      <c r="C331" s="33"/>
      <c r="D331" s="253"/>
      <c r="E331" s="14"/>
    </row>
    <row r="332" spans="1:5" x14ac:dyDescent="0.2">
      <c r="A332" s="345">
        <v>37621</v>
      </c>
      <c r="B332" s="253"/>
      <c r="C332" s="33"/>
      <c r="D332" s="253"/>
      <c r="E332" s="14"/>
    </row>
    <row r="333" spans="1:5" x14ac:dyDescent="0.2">
      <c r="A333" s="345">
        <v>37652</v>
      </c>
      <c r="B333" s="253"/>
      <c r="C333" s="33"/>
      <c r="D333" s="253"/>
      <c r="E333" s="14"/>
    </row>
    <row r="334" spans="1:5" x14ac:dyDescent="0.2">
      <c r="A334" s="345">
        <v>37680</v>
      </c>
      <c r="B334" s="253"/>
      <c r="C334" s="33"/>
      <c r="D334" s="253"/>
      <c r="E334" s="14"/>
    </row>
    <row r="335" spans="1:5" x14ac:dyDescent="0.2">
      <c r="A335" s="345">
        <v>37711</v>
      </c>
      <c r="B335" s="253"/>
      <c r="C335" s="33"/>
      <c r="D335" s="253"/>
      <c r="E335" s="14"/>
    </row>
    <row r="336" spans="1:5" x14ac:dyDescent="0.2">
      <c r="A336" s="345">
        <v>37741</v>
      </c>
      <c r="B336" s="253"/>
      <c r="C336" s="33"/>
      <c r="D336" s="253"/>
      <c r="E336" s="14"/>
    </row>
    <row r="337" spans="1:5" x14ac:dyDescent="0.2">
      <c r="A337" s="345">
        <v>37772</v>
      </c>
      <c r="B337" s="253"/>
      <c r="C337" s="33"/>
      <c r="D337" s="253"/>
      <c r="E337" s="14"/>
    </row>
    <row r="338" spans="1:5" x14ac:dyDescent="0.2">
      <c r="A338" s="345">
        <v>37802</v>
      </c>
      <c r="B338" s="253"/>
      <c r="C338" s="33"/>
      <c r="D338" s="253"/>
      <c r="E338" s="14"/>
    </row>
    <row r="339" spans="1:5" x14ac:dyDescent="0.2">
      <c r="A339" s="345">
        <v>37833</v>
      </c>
      <c r="B339" s="253"/>
      <c r="C339" s="33"/>
      <c r="D339" s="253"/>
      <c r="E339" s="14"/>
    </row>
    <row r="340" spans="1:5" x14ac:dyDescent="0.2">
      <c r="A340" s="345">
        <v>37864</v>
      </c>
      <c r="B340" s="253"/>
      <c r="C340" s="33"/>
      <c r="D340" s="253"/>
      <c r="E340" s="14"/>
    </row>
    <row r="341" spans="1:5" x14ac:dyDescent="0.2">
      <c r="A341" s="345">
        <v>37894</v>
      </c>
      <c r="B341" s="253"/>
      <c r="C341" s="34"/>
      <c r="D341" s="253"/>
      <c r="E341" s="14"/>
    </row>
    <row r="342" spans="1:5" x14ac:dyDescent="0.2">
      <c r="A342" s="345">
        <v>37925</v>
      </c>
      <c r="B342" s="253"/>
      <c r="C342" s="34"/>
      <c r="D342" s="253"/>
      <c r="E342" s="14"/>
    </row>
    <row r="343" spans="1:5" x14ac:dyDescent="0.2">
      <c r="A343" s="345">
        <v>37955</v>
      </c>
      <c r="B343" s="253"/>
      <c r="C343" s="34"/>
      <c r="D343" s="253"/>
      <c r="E343" s="14"/>
    </row>
    <row r="344" spans="1:5" x14ac:dyDescent="0.2">
      <c r="A344" s="345">
        <v>37986</v>
      </c>
      <c r="B344" s="253"/>
      <c r="C344" s="34"/>
      <c r="D344" s="253"/>
      <c r="E344" s="14"/>
    </row>
    <row r="345" spans="1:5" x14ac:dyDescent="0.2">
      <c r="A345" s="345">
        <v>38017</v>
      </c>
      <c r="B345" s="253"/>
      <c r="C345" s="34"/>
      <c r="D345" s="253"/>
      <c r="E345" s="14"/>
    </row>
    <row r="346" spans="1:5" x14ac:dyDescent="0.2">
      <c r="A346" s="345">
        <v>38046</v>
      </c>
      <c r="B346" s="253"/>
      <c r="C346" s="34"/>
      <c r="D346" s="253"/>
      <c r="E346" s="14"/>
    </row>
    <row r="347" spans="1:5" x14ac:dyDescent="0.2">
      <c r="A347" s="345">
        <v>38077</v>
      </c>
      <c r="B347" s="253"/>
      <c r="C347" s="34"/>
      <c r="D347" s="255"/>
      <c r="E347" s="14"/>
    </row>
    <row r="348" spans="1:5" x14ac:dyDescent="0.2">
      <c r="A348" s="345">
        <v>38107</v>
      </c>
      <c r="B348" s="253"/>
      <c r="C348" s="34"/>
      <c r="D348" s="253"/>
      <c r="E348" s="14"/>
    </row>
    <row r="349" spans="1:5" x14ac:dyDescent="0.2">
      <c r="A349" s="345">
        <v>38138</v>
      </c>
      <c r="B349" s="253"/>
      <c r="C349" s="34"/>
      <c r="D349" s="253"/>
      <c r="E349" s="14"/>
    </row>
    <row r="350" spans="1:5" x14ac:dyDescent="0.2">
      <c r="A350" s="345">
        <v>38168</v>
      </c>
      <c r="B350" s="253"/>
      <c r="C350" s="34"/>
      <c r="D350" s="253"/>
      <c r="E350" s="14"/>
    </row>
    <row r="351" spans="1:5" x14ac:dyDescent="0.2">
      <c r="A351" s="345">
        <v>38199</v>
      </c>
      <c r="B351" s="253"/>
      <c r="C351" s="34"/>
      <c r="D351" s="253"/>
      <c r="E351" s="14"/>
    </row>
    <row r="352" spans="1:5" x14ac:dyDescent="0.2">
      <c r="A352" s="345">
        <v>38230</v>
      </c>
      <c r="B352" s="253"/>
      <c r="C352" s="34"/>
      <c r="D352" s="253"/>
      <c r="E352" s="14"/>
    </row>
    <row r="353" spans="1:5" x14ac:dyDescent="0.2">
      <c r="A353" s="345">
        <v>38260</v>
      </c>
      <c r="B353" s="253"/>
      <c r="C353" s="34"/>
      <c r="D353" s="253"/>
      <c r="E353" s="14"/>
    </row>
    <row r="354" spans="1:5" x14ac:dyDescent="0.2">
      <c r="A354" s="345">
        <v>38291</v>
      </c>
      <c r="B354" s="253"/>
      <c r="C354" s="34"/>
      <c r="D354" s="253"/>
      <c r="E354" s="14"/>
    </row>
    <row r="355" spans="1:5" x14ac:dyDescent="0.2">
      <c r="A355" s="345">
        <v>38321</v>
      </c>
      <c r="B355" s="253"/>
      <c r="C355" s="34"/>
      <c r="D355" s="253"/>
      <c r="E355" s="14"/>
    </row>
    <row r="356" spans="1:5" x14ac:dyDescent="0.2">
      <c r="A356" s="345">
        <v>38352</v>
      </c>
      <c r="B356" s="253"/>
      <c r="C356" s="256"/>
      <c r="D356" s="253"/>
      <c r="E356" s="14"/>
    </row>
    <row r="357" spans="1:5" x14ac:dyDescent="0.2">
      <c r="A357" s="345">
        <v>38383</v>
      </c>
      <c r="B357" s="253"/>
      <c r="C357" s="34"/>
      <c r="D357" s="253"/>
      <c r="E357" s="14"/>
    </row>
    <row r="358" spans="1:5" x14ac:dyDescent="0.2">
      <c r="A358" s="345">
        <v>38411</v>
      </c>
      <c r="B358" s="253"/>
      <c r="C358" s="34"/>
      <c r="D358" s="253"/>
      <c r="E358" s="14"/>
    </row>
    <row r="359" spans="1:5" x14ac:dyDescent="0.2">
      <c r="A359" s="345">
        <v>38442</v>
      </c>
      <c r="B359" s="253"/>
      <c r="C359" s="256"/>
      <c r="D359" s="253"/>
      <c r="E359" s="14"/>
    </row>
    <row r="360" spans="1:5" x14ac:dyDescent="0.2">
      <c r="A360" s="345">
        <v>38472</v>
      </c>
      <c r="B360" s="253"/>
      <c r="C360" s="256"/>
      <c r="D360" s="253"/>
      <c r="E360" s="14"/>
    </row>
    <row r="361" spans="1:5" x14ac:dyDescent="0.2">
      <c r="A361" s="345">
        <v>38503</v>
      </c>
      <c r="B361" s="253"/>
      <c r="C361" s="256"/>
      <c r="D361" s="253"/>
      <c r="E361" s="14"/>
    </row>
    <row r="362" spans="1:5" x14ac:dyDescent="0.2">
      <c r="A362" s="345">
        <v>38533</v>
      </c>
      <c r="B362" s="253"/>
      <c r="C362" s="256"/>
      <c r="D362" s="253"/>
      <c r="E362" s="14"/>
    </row>
    <row r="363" spans="1:5" x14ac:dyDescent="0.2">
      <c r="A363" s="345">
        <v>38564</v>
      </c>
      <c r="B363" s="253"/>
      <c r="C363" s="256"/>
      <c r="D363" s="253"/>
      <c r="E363" s="14"/>
    </row>
    <row r="364" spans="1:5" x14ac:dyDescent="0.2">
      <c r="A364" s="345">
        <v>38595</v>
      </c>
      <c r="B364" s="253"/>
      <c r="C364" s="256"/>
      <c r="D364" s="253"/>
      <c r="E364" s="14"/>
    </row>
    <row r="365" spans="1:5" x14ac:dyDescent="0.2">
      <c r="A365" s="345">
        <v>38625</v>
      </c>
      <c r="B365" s="253"/>
      <c r="C365" s="256"/>
      <c r="D365" s="253"/>
      <c r="E365" s="14"/>
    </row>
    <row r="366" spans="1:5" x14ac:dyDescent="0.2">
      <c r="A366" s="345">
        <v>38656</v>
      </c>
      <c r="B366" s="253"/>
      <c r="C366" s="256"/>
      <c r="D366" s="253"/>
      <c r="E366" s="14"/>
    </row>
    <row r="367" spans="1:5" x14ac:dyDescent="0.2">
      <c r="A367" s="345">
        <v>38686</v>
      </c>
      <c r="B367" s="253"/>
      <c r="C367" s="256"/>
      <c r="D367" s="253"/>
      <c r="E367" s="14"/>
    </row>
    <row r="368" spans="1:5" x14ac:dyDescent="0.2">
      <c r="A368" s="345">
        <v>38717</v>
      </c>
      <c r="B368" s="253"/>
      <c r="C368" s="256"/>
      <c r="D368" s="253"/>
      <c r="E368" s="14"/>
    </row>
    <row r="369" spans="1:6" x14ac:dyDescent="0.2">
      <c r="A369" s="345">
        <v>38748</v>
      </c>
      <c r="B369" s="253"/>
      <c r="C369" s="256"/>
      <c r="D369" s="253"/>
      <c r="E369" s="14"/>
    </row>
    <row r="370" spans="1:6" x14ac:dyDescent="0.2">
      <c r="A370" s="345">
        <v>38776</v>
      </c>
      <c r="B370" s="253"/>
      <c r="C370" s="256"/>
      <c r="D370" s="253"/>
      <c r="E370" s="14"/>
    </row>
    <row r="371" spans="1:6" x14ac:dyDescent="0.2">
      <c r="A371" s="345">
        <v>38807</v>
      </c>
      <c r="B371" s="253"/>
      <c r="C371" s="367"/>
      <c r="D371" s="253"/>
      <c r="E371" s="14"/>
    </row>
    <row r="372" spans="1:6" x14ac:dyDescent="0.2">
      <c r="A372" s="345">
        <v>38837</v>
      </c>
      <c r="B372" s="253"/>
      <c r="C372" s="367"/>
      <c r="D372" s="253"/>
      <c r="E372" s="14"/>
    </row>
    <row r="373" spans="1:6" x14ac:dyDescent="0.2">
      <c r="A373" s="345">
        <v>38868</v>
      </c>
      <c r="B373" s="253"/>
      <c r="C373" s="367"/>
      <c r="D373" s="253"/>
      <c r="E373" s="14"/>
    </row>
    <row r="374" spans="1:6" x14ac:dyDescent="0.2">
      <c r="A374" s="345">
        <v>38898</v>
      </c>
      <c r="B374" s="128"/>
      <c r="C374" s="612"/>
      <c r="D374" s="253"/>
      <c r="E374" s="14"/>
    </row>
    <row r="375" spans="1:6" x14ac:dyDescent="0.2">
      <c r="A375" s="345">
        <v>38929</v>
      </c>
      <c r="B375" s="253"/>
      <c r="C375" s="34"/>
      <c r="D375" s="253"/>
      <c r="E375" s="14"/>
    </row>
    <row r="376" spans="1:6" x14ac:dyDescent="0.2">
      <c r="A376" s="345">
        <v>38960</v>
      </c>
      <c r="B376" s="253"/>
      <c r="C376" s="34"/>
      <c r="D376" s="253"/>
      <c r="E376" s="14"/>
    </row>
    <row r="377" spans="1:6" x14ac:dyDescent="0.2">
      <c r="A377" s="345">
        <v>38990</v>
      </c>
      <c r="B377" s="253"/>
      <c r="C377" s="34"/>
      <c r="D377" s="253"/>
      <c r="E377" s="14"/>
    </row>
    <row r="378" spans="1:6" x14ac:dyDescent="0.2">
      <c r="A378" s="345">
        <v>39021</v>
      </c>
      <c r="B378" s="253"/>
      <c r="C378" s="34"/>
      <c r="D378" s="253"/>
      <c r="E378" s="14"/>
      <c r="F378" s="352"/>
    </row>
    <row r="379" spans="1:6" x14ac:dyDescent="0.2">
      <c r="A379" s="345">
        <v>39051</v>
      </c>
      <c r="B379" s="253"/>
      <c r="C379" s="34"/>
      <c r="D379" s="253"/>
      <c r="E379" s="14"/>
      <c r="F379" s="352"/>
    </row>
    <row r="380" spans="1:6" x14ac:dyDescent="0.2">
      <c r="A380" s="345">
        <v>39082</v>
      </c>
      <c r="B380" s="253"/>
      <c r="C380" s="703"/>
      <c r="D380" s="253"/>
      <c r="E380" s="14"/>
      <c r="F380" s="352"/>
    </row>
    <row r="381" spans="1:6" x14ac:dyDescent="0.2">
      <c r="A381" s="345">
        <v>39113</v>
      </c>
      <c r="B381" s="253"/>
      <c r="C381" s="770"/>
      <c r="E381" s="14"/>
      <c r="F381" s="352"/>
    </row>
    <row r="382" spans="1:6" x14ac:dyDescent="0.2">
      <c r="A382" s="345">
        <v>39141</v>
      </c>
      <c r="B382" s="253"/>
      <c r="C382" s="770"/>
      <c r="E382" s="14"/>
      <c r="F382" s="352"/>
    </row>
    <row r="383" spans="1:6" x14ac:dyDescent="0.2">
      <c r="A383" s="345">
        <v>39172</v>
      </c>
      <c r="B383" s="253"/>
      <c r="C383" s="770"/>
      <c r="E383" s="14"/>
    </row>
    <row r="384" spans="1:6" x14ac:dyDescent="0.2">
      <c r="A384" s="345">
        <v>39202</v>
      </c>
      <c r="B384" s="253"/>
      <c r="C384" s="770"/>
      <c r="E384" s="14"/>
    </row>
    <row r="385" spans="1:5" x14ac:dyDescent="0.2">
      <c r="A385" s="345">
        <v>39233</v>
      </c>
      <c r="B385" s="253"/>
      <c r="C385" s="770"/>
      <c r="E385" s="14"/>
    </row>
    <row r="386" spans="1:5" x14ac:dyDescent="0.2">
      <c r="A386" s="345">
        <v>39263</v>
      </c>
      <c r="B386" s="253"/>
      <c r="C386" s="770"/>
      <c r="E386" s="14"/>
    </row>
    <row r="387" spans="1:5" x14ac:dyDescent="0.2">
      <c r="A387" s="345">
        <v>39294</v>
      </c>
      <c r="B387" s="253"/>
      <c r="C387" s="770"/>
      <c r="E387" s="14"/>
    </row>
    <row r="388" spans="1:5" x14ac:dyDescent="0.2">
      <c r="A388" s="345">
        <v>39325</v>
      </c>
      <c r="B388" s="253"/>
      <c r="C388" s="346"/>
      <c r="E388" s="14"/>
    </row>
    <row r="389" spans="1:5" x14ac:dyDescent="0.2">
      <c r="A389" s="345">
        <v>39355</v>
      </c>
      <c r="B389" s="253"/>
      <c r="C389" s="346"/>
      <c r="E389" s="14"/>
    </row>
    <row r="390" spans="1:5" x14ac:dyDescent="0.2">
      <c r="A390" s="345">
        <v>39386</v>
      </c>
      <c r="B390" s="253"/>
      <c r="C390" s="346"/>
      <c r="E390" s="14"/>
    </row>
    <row r="391" spans="1:5" x14ac:dyDescent="0.2">
      <c r="A391" s="345">
        <v>39416</v>
      </c>
      <c r="B391" s="253"/>
      <c r="C391" s="346"/>
      <c r="E391" s="14"/>
    </row>
    <row r="392" spans="1:5" x14ac:dyDescent="0.2">
      <c r="A392" s="345">
        <v>39447</v>
      </c>
      <c r="B392" s="253"/>
      <c r="C392" s="346"/>
      <c r="E392" s="14"/>
    </row>
    <row r="393" spans="1:5" x14ac:dyDescent="0.2">
      <c r="A393" s="345">
        <v>39478</v>
      </c>
      <c r="B393" s="253"/>
      <c r="C393" s="346"/>
      <c r="E393" s="14"/>
    </row>
    <row r="394" spans="1:5" x14ac:dyDescent="0.2">
      <c r="A394" s="345">
        <v>39507</v>
      </c>
      <c r="B394" s="253"/>
      <c r="C394" s="346"/>
      <c r="E394" s="14"/>
    </row>
    <row r="395" spans="1:5" x14ac:dyDescent="0.2">
      <c r="A395" s="345">
        <v>39538</v>
      </c>
      <c r="B395" s="253"/>
      <c r="C395" s="346"/>
      <c r="E395" s="14"/>
    </row>
    <row r="396" spans="1:5" x14ac:dyDescent="0.2">
      <c r="A396" s="345">
        <v>39568</v>
      </c>
      <c r="B396" s="253"/>
      <c r="C396" s="346"/>
      <c r="E396" s="14"/>
    </row>
    <row r="397" spans="1:5" x14ac:dyDescent="0.2">
      <c r="A397" s="345">
        <v>39599</v>
      </c>
      <c r="B397" s="253"/>
      <c r="C397" s="346"/>
      <c r="E397" s="14"/>
    </row>
    <row r="398" spans="1:5" x14ac:dyDescent="0.2">
      <c r="A398" s="345">
        <v>39629</v>
      </c>
      <c r="B398" s="253"/>
      <c r="C398" s="346"/>
      <c r="E398" s="14"/>
    </row>
    <row r="399" spans="1:5" x14ac:dyDescent="0.2">
      <c r="A399" s="345">
        <v>39660</v>
      </c>
      <c r="B399" s="253"/>
      <c r="C399" s="367"/>
      <c r="E399" s="14"/>
    </row>
    <row r="400" spans="1:5" x14ac:dyDescent="0.2">
      <c r="A400" s="345">
        <v>39691</v>
      </c>
      <c r="B400" s="253"/>
      <c r="C400" s="367"/>
      <c r="E400" s="14"/>
    </row>
    <row r="401" spans="1:7" x14ac:dyDescent="0.2">
      <c r="A401" s="345">
        <v>39721</v>
      </c>
      <c r="B401" s="253">
        <f>D401-((D$1/12)/100)</f>
        <v>-5.0033333333333325E-2</v>
      </c>
      <c r="C401" s="367">
        <v>25002086.120000001</v>
      </c>
      <c r="D401" s="258">
        <v>8.3000000000000001E-3</v>
      </c>
      <c r="E401" s="14">
        <f>B401-Index_Returns!W401</f>
        <v>1.2931666666666666</v>
      </c>
    </row>
    <row r="402" spans="1:7" x14ac:dyDescent="0.2">
      <c r="A402" s="345">
        <v>39752</v>
      </c>
      <c r="B402" s="253">
        <f>D402-((D$1/12)/100)</f>
        <v>6.5552666666666664</v>
      </c>
      <c r="C402" s="346">
        <v>26655621.600000001</v>
      </c>
      <c r="D402" s="258">
        <v>6.6135999999999999</v>
      </c>
      <c r="E402" s="14">
        <f>B402-Index_Returns!W402</f>
        <v>8.9156666666666666</v>
      </c>
    </row>
    <row r="403" spans="1:7" x14ac:dyDescent="0.2">
      <c r="A403" s="345">
        <v>39782</v>
      </c>
      <c r="B403" s="253">
        <f>D403-((D$1/12)/100)</f>
        <v>-3.982733333333333</v>
      </c>
      <c r="C403" s="346">
        <v>49988165.32</v>
      </c>
      <c r="D403" s="258">
        <v>-3.9243999999999999</v>
      </c>
      <c r="E403" s="14">
        <f>B403-Index_Returns!W403</f>
        <v>-7.2377333333333329</v>
      </c>
      <c r="G403" s="14"/>
    </row>
    <row r="404" spans="1:7" x14ac:dyDescent="0.2">
      <c r="A404" s="345">
        <v>39813</v>
      </c>
      <c r="B404" s="253">
        <f t="shared" ref="B404:B428" si="0">D404-((D$1/12)/100)</f>
        <v>-5.2696333333333332</v>
      </c>
      <c r="C404" s="346">
        <v>47383133.799999997</v>
      </c>
      <c r="D404" s="258">
        <v>-5.2112999999999996</v>
      </c>
      <c r="E404" s="14">
        <f>B404-Index_Returns!W404</f>
        <v>-9.0005333333333333</v>
      </c>
    </row>
    <row r="405" spans="1:7" x14ac:dyDescent="0.2">
      <c r="A405" s="345">
        <v>39844</v>
      </c>
      <c r="B405" s="253">
        <f t="shared" si="0"/>
        <v>2.662066666666667</v>
      </c>
      <c r="C405" s="346">
        <v>73638413.700000003</v>
      </c>
      <c r="D405" s="258">
        <v>2.7204000000000002</v>
      </c>
      <c r="E405" s="14">
        <f>B405-Index_Returns!W405</f>
        <v>3.5443666666666669</v>
      </c>
    </row>
    <row r="406" spans="1:7" x14ac:dyDescent="0.2">
      <c r="A406" s="345">
        <v>39872</v>
      </c>
      <c r="B406" s="253">
        <f t="shared" si="0"/>
        <v>2.0171666666666668</v>
      </c>
      <c r="C406" s="346">
        <v>75166773.25</v>
      </c>
      <c r="D406" s="258">
        <v>2.0754999999999999</v>
      </c>
      <c r="E406" s="14">
        <f>B406-Index_Returns!W406</f>
        <v>2.3947666666666669</v>
      </c>
    </row>
    <row r="407" spans="1:7" x14ac:dyDescent="0.2">
      <c r="A407" s="345">
        <v>39903</v>
      </c>
      <c r="B407" s="253">
        <f t="shared" si="0"/>
        <v>3.2189666666666668</v>
      </c>
      <c r="C407" s="346">
        <v>87799362.140000001</v>
      </c>
      <c r="D407" s="258">
        <v>3.2772999999999999</v>
      </c>
      <c r="E407" s="14">
        <f>B407-Index_Returns!W407</f>
        <v>1.8287666666666667</v>
      </c>
    </row>
    <row r="408" spans="1:7" x14ac:dyDescent="0.2">
      <c r="A408" s="345">
        <v>39933</v>
      </c>
      <c r="B408" s="253">
        <v>9.1699999999999893</v>
      </c>
      <c r="C408" s="346">
        <v>99275869.659999996</v>
      </c>
      <c r="E408" s="14">
        <f>B408-Index_Returns!W408</f>
        <v>8.6913999999999891</v>
      </c>
    </row>
    <row r="409" spans="1:7" x14ac:dyDescent="0.2">
      <c r="A409" s="345">
        <v>39964</v>
      </c>
      <c r="B409" s="253">
        <v>3.839999999999999</v>
      </c>
      <c r="C409" s="346">
        <v>113967431.65000001</v>
      </c>
      <c r="E409" s="14">
        <f>B409-Index_Returns!W409</f>
        <v>3.1148999999999991</v>
      </c>
    </row>
    <row r="410" spans="1:7" x14ac:dyDescent="0.2">
      <c r="A410" s="345">
        <v>39994</v>
      </c>
      <c r="B410" s="253">
        <v>2.7099999999999902</v>
      </c>
      <c r="C410" s="346">
        <v>138799709.50999999</v>
      </c>
      <c r="E410" s="14">
        <f>B410-Index_Returns!W410</f>
        <v>2.1415999999999902</v>
      </c>
    </row>
    <row r="411" spans="1:7" x14ac:dyDescent="0.2">
      <c r="A411" s="345">
        <v>40025</v>
      </c>
      <c r="B411" s="253">
        <f t="shared" si="0"/>
        <v>1.3428666666666667</v>
      </c>
      <c r="C411" s="346">
        <v>140744640.03999999</v>
      </c>
      <c r="D411" s="258">
        <v>1.4012</v>
      </c>
      <c r="E411" s="14">
        <f>B411-Index_Returns!W411</f>
        <v>-0.2704333333333333</v>
      </c>
    </row>
    <row r="412" spans="1:7" x14ac:dyDescent="0.2">
      <c r="A412" s="345">
        <v>40056</v>
      </c>
      <c r="B412" s="253">
        <f t="shared" si="0"/>
        <v>-8.3333333333333245E-3</v>
      </c>
      <c r="C412" s="346">
        <v>151071647.22</v>
      </c>
      <c r="D412" s="258">
        <v>0.05</v>
      </c>
      <c r="E412" s="14">
        <f>B412-Index_Returns!W412</f>
        <v>-1.0437333333333334</v>
      </c>
    </row>
    <row r="413" spans="1:7" x14ac:dyDescent="0.2">
      <c r="A413" s="345">
        <v>40086</v>
      </c>
      <c r="B413" s="253">
        <f t="shared" si="0"/>
        <v>2.8707666666666669</v>
      </c>
      <c r="C413" s="346">
        <v>171891399.55000001</v>
      </c>
      <c r="D413" s="258">
        <v>2.9291</v>
      </c>
      <c r="E413" s="14">
        <f>B413-Index_Returns!W413</f>
        <v>1.8200666666666669</v>
      </c>
    </row>
    <row r="414" spans="1:7" x14ac:dyDescent="0.2">
      <c r="A414" s="345">
        <v>40117</v>
      </c>
      <c r="B414" s="253">
        <f t="shared" si="0"/>
        <v>-5.8333333333333327E-2</v>
      </c>
      <c r="C414" s="346"/>
      <c r="E414" s="14">
        <f>B414-Index_Returns!W414</f>
        <v>-0.54833333333333334</v>
      </c>
    </row>
    <row r="415" spans="1:7" x14ac:dyDescent="0.2">
      <c r="A415" s="345">
        <v>40147</v>
      </c>
      <c r="B415" s="253">
        <f t="shared" si="0"/>
        <v>-5.8333333333333327E-2</v>
      </c>
      <c r="C415" s="346"/>
      <c r="E415" s="14">
        <f>B415-Index_Returns!W415</f>
        <v>-1.3523333333333334</v>
      </c>
    </row>
    <row r="416" spans="1:7" x14ac:dyDescent="0.2">
      <c r="A416" s="345">
        <v>40178</v>
      </c>
      <c r="B416" s="253">
        <f t="shared" si="0"/>
        <v>-5.8333333333333327E-2</v>
      </c>
      <c r="C416" s="346"/>
      <c r="E416" s="14">
        <f>B416-Index_Returns!W416</f>
        <v>1.5051766666666666</v>
      </c>
    </row>
    <row r="417" spans="1:5" x14ac:dyDescent="0.2">
      <c r="A417" s="345">
        <v>40209</v>
      </c>
      <c r="B417" s="253">
        <f t="shared" si="0"/>
        <v>-5.8333333333333327E-2</v>
      </c>
      <c r="C417" s="346"/>
      <c r="E417" s="14">
        <f>B417-Index_Returns!W417</f>
        <v>-1.5861133333333333</v>
      </c>
    </row>
    <row r="418" spans="1:5" x14ac:dyDescent="0.2">
      <c r="A418" s="345">
        <v>40237</v>
      </c>
      <c r="B418" s="253">
        <f t="shared" si="0"/>
        <v>-5.8333333333333327E-2</v>
      </c>
      <c r="C418" s="346"/>
      <c r="E418" s="14">
        <f>B418-Index_Returns!W418</f>
        <v>-0.43165333333333333</v>
      </c>
    </row>
    <row r="419" spans="1:5" x14ac:dyDescent="0.2">
      <c r="A419" s="345">
        <v>40268</v>
      </c>
      <c r="B419" s="253">
        <f t="shared" si="0"/>
        <v>-5.8333333333333327E-2</v>
      </c>
      <c r="C419" s="346"/>
      <c r="E419" s="14">
        <f>B419-Index_Returns!W419</f>
        <v>6.4286666666666686E-2</v>
      </c>
    </row>
    <row r="420" spans="1:5" x14ac:dyDescent="0.2">
      <c r="A420" s="345">
        <v>40298</v>
      </c>
      <c r="B420" s="253">
        <f t="shared" si="0"/>
        <v>-5.8333333333333327E-2</v>
      </c>
      <c r="C420" s="346"/>
      <c r="E420" s="14">
        <f>B420-Index_Returns!W420</f>
        <v>-1.0993133333333334</v>
      </c>
    </row>
    <row r="421" spans="1:5" x14ac:dyDescent="0.2">
      <c r="A421" s="345">
        <v>40329</v>
      </c>
      <c r="B421" s="253">
        <f t="shared" si="0"/>
        <v>-5.8333333333333327E-2</v>
      </c>
      <c r="C421" s="346"/>
      <c r="E421" s="14">
        <f>B421-Index_Returns!W421</f>
        <v>-0.8994133333333334</v>
      </c>
    </row>
    <row r="422" spans="1:5" x14ac:dyDescent="0.2">
      <c r="A422" s="345">
        <v>40359</v>
      </c>
      <c r="B422" s="253">
        <f t="shared" si="0"/>
        <v>-5.8333333333333327E-2</v>
      </c>
      <c r="C422" s="346"/>
      <c r="E422" s="14">
        <f>B422-Index_Returns!W422</f>
        <v>-1.6264933333333333</v>
      </c>
    </row>
    <row r="423" spans="1:5" x14ac:dyDescent="0.2">
      <c r="A423" s="345">
        <v>40390</v>
      </c>
      <c r="B423" s="253">
        <f t="shared" si="0"/>
        <v>-5.8333333333333327E-2</v>
      </c>
      <c r="C423" s="346"/>
      <c r="E423" s="14">
        <f>B423-Index_Returns!W423</f>
        <v>-1.1257133333333333</v>
      </c>
    </row>
    <row r="424" spans="1:5" x14ac:dyDescent="0.2">
      <c r="A424" s="345">
        <v>40421</v>
      </c>
      <c r="B424" s="253">
        <f t="shared" si="0"/>
        <v>-5.8333333333333327E-2</v>
      </c>
      <c r="C424" s="346"/>
      <c r="E424" s="14">
        <f>B424-Index_Returns!W424</f>
        <v>-1.3448833333333334</v>
      </c>
    </row>
    <row r="425" spans="1:5" x14ac:dyDescent="0.2">
      <c r="A425" s="345">
        <v>40451</v>
      </c>
      <c r="B425" s="253">
        <f t="shared" si="0"/>
        <v>-5.8333333333333327E-2</v>
      </c>
      <c r="C425" s="346"/>
      <c r="E425" s="14">
        <f>B425-Index_Returns!W425</f>
        <v>-0.16505333333333333</v>
      </c>
    </row>
    <row r="426" spans="1:5" x14ac:dyDescent="0.2">
      <c r="A426" s="345">
        <v>40482</v>
      </c>
      <c r="B426" s="253">
        <f t="shared" si="0"/>
        <v>-5.8333333333333327E-2</v>
      </c>
      <c r="C426" s="346"/>
      <c r="E426" s="14">
        <f>B426-Index_Returns!W426</f>
        <v>-0.41417333333333334</v>
      </c>
    </row>
    <row r="427" spans="1:5" x14ac:dyDescent="0.2">
      <c r="A427" s="345">
        <v>40512</v>
      </c>
      <c r="B427" s="253">
        <f t="shared" si="0"/>
        <v>-5.8333333333333327E-2</v>
      </c>
      <c r="C427" s="346"/>
      <c r="E427" s="14">
        <f>B427-Index_Returns!W427</f>
        <v>0.51644666666666661</v>
      </c>
    </row>
    <row r="428" spans="1:5" x14ac:dyDescent="0.2">
      <c r="A428" s="345">
        <v>40543</v>
      </c>
      <c r="B428" s="253">
        <f t="shared" si="0"/>
        <v>-5.8333333333333327E-2</v>
      </c>
      <c r="C428" s="346"/>
      <c r="E428" s="14">
        <f>B428-Index_Returns!W428</f>
        <v>1.0199866666666666</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rgb="FFFF0000"/>
  </sheetPr>
  <dimension ref="A1:H428"/>
  <sheetViews>
    <sheetView topLeftCell="A385" workbookViewId="0">
      <selection activeCell="C413" sqref="C413:D413"/>
    </sheetView>
  </sheetViews>
  <sheetFormatPr defaultRowHeight="12.75" x14ac:dyDescent="0.2"/>
  <cols>
    <col min="1" max="1" width="18.7109375" style="21" customWidth="1"/>
    <col min="2" max="2" width="18.7109375" style="257" customWidth="1"/>
    <col min="3" max="3" width="18.7109375" style="5" customWidth="1"/>
    <col min="4" max="4" width="18.7109375" style="258" customWidth="1"/>
    <col min="6" max="6" width="12.42578125" bestFit="1" customWidth="1"/>
    <col min="7" max="8" width="9.140625" style="352"/>
  </cols>
  <sheetData>
    <row r="1" spans="1:5" x14ac:dyDescent="0.2">
      <c r="A1" s="265" t="s">
        <v>401</v>
      </c>
      <c r="B1" s="321" t="s">
        <v>513</v>
      </c>
      <c r="C1" s="964" t="s">
        <v>409</v>
      </c>
      <c r="D1" s="1263">
        <v>75</v>
      </c>
    </row>
    <row r="2" spans="1:5" x14ac:dyDescent="0.2">
      <c r="A2" s="3" t="s">
        <v>27</v>
      </c>
      <c r="B2" s="71" t="s">
        <v>91</v>
      </c>
      <c r="C2" s="3" t="s">
        <v>92</v>
      </c>
      <c r="D2" s="71" t="s">
        <v>90</v>
      </c>
      <c r="E2" s="12" t="s">
        <v>80</v>
      </c>
    </row>
    <row r="3" spans="1:5" x14ac:dyDescent="0.2">
      <c r="A3" s="345">
        <v>27606</v>
      </c>
      <c r="B3" s="71"/>
      <c r="C3" s="226"/>
      <c r="D3" s="71"/>
    </row>
    <row r="4" spans="1:5" x14ac:dyDescent="0.2">
      <c r="A4" s="345">
        <v>27637</v>
      </c>
      <c r="B4" s="71"/>
      <c r="C4" s="226"/>
      <c r="D4" s="71"/>
    </row>
    <row r="5" spans="1:5" x14ac:dyDescent="0.2">
      <c r="A5" s="345">
        <v>27667</v>
      </c>
      <c r="B5" s="71"/>
      <c r="C5" s="226"/>
      <c r="D5" s="71"/>
    </row>
    <row r="6" spans="1:5" x14ac:dyDescent="0.2">
      <c r="A6" s="345">
        <v>27698</v>
      </c>
      <c r="B6" s="71"/>
      <c r="C6" s="226"/>
      <c r="D6" s="71"/>
    </row>
    <row r="7" spans="1:5" x14ac:dyDescent="0.2">
      <c r="A7" s="345">
        <v>27728</v>
      </c>
      <c r="B7" s="71"/>
      <c r="C7" s="226"/>
      <c r="D7" s="71"/>
    </row>
    <row r="8" spans="1:5" x14ac:dyDescent="0.2">
      <c r="A8" s="345">
        <v>27759</v>
      </c>
      <c r="B8" s="71"/>
      <c r="C8" s="226"/>
      <c r="D8" s="71"/>
    </row>
    <row r="9" spans="1:5" x14ac:dyDescent="0.2">
      <c r="A9" s="345">
        <v>27790</v>
      </c>
      <c r="B9" s="71"/>
      <c r="C9" s="226"/>
      <c r="D9" s="71"/>
    </row>
    <row r="10" spans="1:5" x14ac:dyDescent="0.2">
      <c r="A10" s="345">
        <v>27819</v>
      </c>
      <c r="B10" s="71"/>
      <c r="C10" s="226"/>
      <c r="D10" s="71"/>
    </row>
    <row r="11" spans="1:5" x14ac:dyDescent="0.2">
      <c r="A11" s="345">
        <v>27850</v>
      </c>
      <c r="B11" s="71"/>
      <c r="C11" s="226"/>
      <c r="D11" s="71"/>
    </row>
    <row r="12" spans="1:5" x14ac:dyDescent="0.2">
      <c r="A12" s="345">
        <v>27880</v>
      </c>
      <c r="B12" s="71"/>
      <c r="C12" s="226"/>
      <c r="D12" s="71"/>
    </row>
    <row r="13" spans="1:5" x14ac:dyDescent="0.2">
      <c r="A13" s="345">
        <v>27911</v>
      </c>
      <c r="B13" s="71"/>
      <c r="C13" s="226"/>
      <c r="D13" s="71"/>
    </row>
    <row r="14" spans="1:5" x14ac:dyDescent="0.2">
      <c r="A14" s="345">
        <v>27941</v>
      </c>
      <c r="B14" s="71"/>
      <c r="C14" s="226"/>
      <c r="D14" s="71"/>
    </row>
    <row r="15" spans="1:5" x14ac:dyDescent="0.2">
      <c r="A15" s="345">
        <v>27972</v>
      </c>
      <c r="B15" s="71"/>
      <c r="C15" s="226"/>
      <c r="D15" s="71"/>
    </row>
    <row r="16" spans="1:5" x14ac:dyDescent="0.2">
      <c r="A16" s="345">
        <v>28003</v>
      </c>
      <c r="B16" s="71"/>
      <c r="C16" s="226"/>
      <c r="D16" s="71"/>
    </row>
    <row r="17" spans="1:4" x14ac:dyDescent="0.2">
      <c r="A17" s="345">
        <v>28033</v>
      </c>
      <c r="B17" s="71"/>
      <c r="C17" s="226"/>
      <c r="D17" s="71"/>
    </row>
    <row r="18" spans="1:4" x14ac:dyDescent="0.2">
      <c r="A18" s="345">
        <v>28064</v>
      </c>
      <c r="B18" s="71"/>
      <c r="C18" s="226"/>
      <c r="D18" s="71"/>
    </row>
    <row r="19" spans="1:4" x14ac:dyDescent="0.2">
      <c r="A19" s="345">
        <v>28094</v>
      </c>
      <c r="B19" s="71"/>
      <c r="C19" s="226"/>
      <c r="D19" s="71"/>
    </row>
    <row r="20" spans="1:4" x14ac:dyDescent="0.2">
      <c r="A20" s="345">
        <v>28125</v>
      </c>
      <c r="B20" s="71"/>
      <c r="C20" s="226"/>
      <c r="D20" s="71"/>
    </row>
    <row r="21" spans="1:4" x14ac:dyDescent="0.2">
      <c r="A21" s="345">
        <v>28156</v>
      </c>
      <c r="B21" s="71"/>
      <c r="C21" s="226"/>
      <c r="D21" s="71"/>
    </row>
    <row r="22" spans="1:4" x14ac:dyDescent="0.2">
      <c r="A22" s="345">
        <v>28184</v>
      </c>
      <c r="B22" s="71"/>
      <c r="C22" s="226"/>
      <c r="D22" s="71"/>
    </row>
    <row r="23" spans="1:4" x14ac:dyDescent="0.2">
      <c r="A23" s="345">
        <v>28215</v>
      </c>
      <c r="B23" s="71"/>
      <c r="C23" s="226"/>
      <c r="D23" s="71"/>
    </row>
    <row r="24" spans="1:4" x14ac:dyDescent="0.2">
      <c r="A24" s="345">
        <v>28245</v>
      </c>
      <c r="B24" s="71"/>
      <c r="C24" s="226"/>
      <c r="D24" s="71"/>
    </row>
    <row r="25" spans="1:4" x14ac:dyDescent="0.2">
      <c r="A25" s="345">
        <v>28276</v>
      </c>
      <c r="B25" s="71"/>
      <c r="C25" s="226"/>
      <c r="D25" s="71"/>
    </row>
    <row r="26" spans="1:4" x14ac:dyDescent="0.2">
      <c r="A26" s="345">
        <v>28306</v>
      </c>
      <c r="B26" s="71"/>
      <c r="C26" s="226"/>
      <c r="D26" s="71"/>
    </row>
    <row r="27" spans="1:4" x14ac:dyDescent="0.2">
      <c r="A27" s="345">
        <v>28337</v>
      </c>
      <c r="B27" s="71"/>
      <c r="C27" s="226"/>
      <c r="D27" s="71"/>
    </row>
    <row r="28" spans="1:4" x14ac:dyDescent="0.2">
      <c r="A28" s="345">
        <v>28368</v>
      </c>
      <c r="B28" s="71"/>
      <c r="C28" s="226"/>
      <c r="D28" s="71"/>
    </row>
    <row r="29" spans="1:4" x14ac:dyDescent="0.2">
      <c r="A29" s="345">
        <v>28398</v>
      </c>
      <c r="B29" s="71"/>
      <c r="C29" s="226"/>
      <c r="D29" s="71"/>
    </row>
    <row r="30" spans="1:4" x14ac:dyDescent="0.2">
      <c r="A30" s="345">
        <v>28429</v>
      </c>
      <c r="B30" s="71"/>
      <c r="C30" s="226"/>
      <c r="D30" s="71"/>
    </row>
    <row r="31" spans="1:4" x14ac:dyDescent="0.2">
      <c r="A31" s="345">
        <v>28459</v>
      </c>
      <c r="B31" s="71"/>
      <c r="C31" s="226"/>
      <c r="D31" s="71"/>
    </row>
    <row r="32" spans="1:4" x14ac:dyDescent="0.2">
      <c r="A32" s="345">
        <v>28490</v>
      </c>
      <c r="B32" s="71"/>
      <c r="C32" s="226"/>
      <c r="D32" s="71"/>
    </row>
    <row r="33" spans="1:4" x14ac:dyDescent="0.2">
      <c r="A33" s="345">
        <v>28521</v>
      </c>
      <c r="B33" s="71"/>
      <c r="C33" s="226"/>
      <c r="D33" s="71"/>
    </row>
    <row r="34" spans="1:4" x14ac:dyDescent="0.2">
      <c r="A34" s="345">
        <v>28549</v>
      </c>
      <c r="B34" s="71"/>
      <c r="C34" s="226"/>
      <c r="D34" s="71"/>
    </row>
    <row r="35" spans="1:4" x14ac:dyDescent="0.2">
      <c r="A35" s="345">
        <v>28580</v>
      </c>
      <c r="B35" s="71"/>
      <c r="C35" s="226"/>
      <c r="D35" s="71"/>
    </row>
    <row r="36" spans="1:4" x14ac:dyDescent="0.2">
      <c r="A36" s="345">
        <v>28610</v>
      </c>
      <c r="B36" s="71"/>
      <c r="C36" s="226"/>
      <c r="D36" s="71"/>
    </row>
    <row r="37" spans="1:4" x14ac:dyDescent="0.2">
      <c r="A37" s="345">
        <v>28641</v>
      </c>
      <c r="B37" s="71"/>
      <c r="C37" s="226"/>
      <c r="D37" s="71"/>
    </row>
    <row r="38" spans="1:4" x14ac:dyDescent="0.2">
      <c r="A38" s="345">
        <v>28671</v>
      </c>
      <c r="B38" s="71"/>
      <c r="C38" s="226"/>
      <c r="D38" s="71"/>
    </row>
    <row r="39" spans="1:4" x14ac:dyDescent="0.2">
      <c r="A39" s="345">
        <v>28702</v>
      </c>
      <c r="B39" s="71"/>
      <c r="C39" s="226"/>
      <c r="D39" s="71"/>
    </row>
    <row r="40" spans="1:4" x14ac:dyDescent="0.2">
      <c r="A40" s="345">
        <v>28733</v>
      </c>
      <c r="B40" s="71"/>
      <c r="C40" s="226"/>
      <c r="D40" s="71"/>
    </row>
    <row r="41" spans="1:4" x14ac:dyDescent="0.2">
      <c r="A41" s="345">
        <v>28763</v>
      </c>
      <c r="B41" s="71"/>
      <c r="C41" s="226"/>
      <c r="D41" s="71"/>
    </row>
    <row r="42" spans="1:4" x14ac:dyDescent="0.2">
      <c r="A42" s="345">
        <v>28794</v>
      </c>
      <c r="B42" s="71"/>
      <c r="C42" s="226"/>
      <c r="D42" s="71"/>
    </row>
    <row r="43" spans="1:4" x14ac:dyDescent="0.2">
      <c r="A43" s="345">
        <v>28824</v>
      </c>
      <c r="B43" s="71"/>
      <c r="C43" s="226"/>
      <c r="D43" s="71"/>
    </row>
    <row r="44" spans="1:4" x14ac:dyDescent="0.2">
      <c r="A44" s="345">
        <v>28855</v>
      </c>
      <c r="B44" s="71"/>
      <c r="C44" s="226"/>
      <c r="D44" s="71"/>
    </row>
    <row r="45" spans="1:4" x14ac:dyDescent="0.2">
      <c r="A45" s="345">
        <v>28886</v>
      </c>
      <c r="B45" s="71"/>
      <c r="C45" s="226"/>
      <c r="D45" s="71"/>
    </row>
    <row r="46" spans="1:4" x14ac:dyDescent="0.2">
      <c r="A46" s="345">
        <v>28914</v>
      </c>
      <c r="B46" s="71"/>
      <c r="C46" s="226"/>
      <c r="D46" s="71"/>
    </row>
    <row r="47" spans="1:4" x14ac:dyDescent="0.2">
      <c r="A47" s="345">
        <v>28945</v>
      </c>
      <c r="B47" s="71"/>
      <c r="C47" s="226"/>
      <c r="D47" s="71"/>
    </row>
    <row r="48" spans="1:4" x14ac:dyDescent="0.2">
      <c r="A48" s="345">
        <v>28975</v>
      </c>
      <c r="B48" s="71"/>
      <c r="C48" s="226"/>
      <c r="D48" s="71"/>
    </row>
    <row r="49" spans="1:4" x14ac:dyDescent="0.2">
      <c r="A49" s="345">
        <v>29006</v>
      </c>
      <c r="B49" s="71"/>
      <c r="C49" s="226"/>
      <c r="D49" s="71"/>
    </row>
    <row r="50" spans="1:4" x14ac:dyDescent="0.2">
      <c r="A50" s="345">
        <v>29036</v>
      </c>
      <c r="B50" s="71"/>
      <c r="C50" s="226"/>
      <c r="D50" s="71"/>
    </row>
    <row r="51" spans="1:4" x14ac:dyDescent="0.2">
      <c r="A51" s="345">
        <v>29067</v>
      </c>
      <c r="B51" s="71"/>
      <c r="C51" s="226"/>
      <c r="D51" s="71"/>
    </row>
    <row r="52" spans="1:4" x14ac:dyDescent="0.2">
      <c r="A52" s="345">
        <v>29098</v>
      </c>
      <c r="B52" s="71"/>
      <c r="C52" s="226"/>
      <c r="D52" s="71"/>
    </row>
    <row r="53" spans="1:4" x14ac:dyDescent="0.2">
      <c r="A53" s="345">
        <v>29128</v>
      </c>
      <c r="B53" s="71"/>
      <c r="C53" s="226"/>
      <c r="D53" s="71"/>
    </row>
    <row r="54" spans="1:4" x14ac:dyDescent="0.2">
      <c r="A54" s="345">
        <v>29159</v>
      </c>
      <c r="B54" s="71"/>
      <c r="C54" s="226"/>
      <c r="D54" s="71"/>
    </row>
    <row r="55" spans="1:4" x14ac:dyDescent="0.2">
      <c r="A55" s="345">
        <v>29189</v>
      </c>
      <c r="B55" s="71"/>
      <c r="C55" s="226"/>
      <c r="D55" s="71"/>
    </row>
    <row r="56" spans="1:4" x14ac:dyDescent="0.2">
      <c r="A56" s="345">
        <v>29220</v>
      </c>
      <c r="B56" s="71"/>
      <c r="C56" s="226"/>
      <c r="D56" s="71"/>
    </row>
    <row r="57" spans="1:4" x14ac:dyDescent="0.2">
      <c r="A57" s="345">
        <v>29251</v>
      </c>
      <c r="B57" s="71"/>
      <c r="C57" s="226"/>
      <c r="D57" s="71"/>
    </row>
    <row r="58" spans="1:4" x14ac:dyDescent="0.2">
      <c r="A58" s="345">
        <v>29280</v>
      </c>
      <c r="B58" s="71"/>
      <c r="C58" s="226"/>
      <c r="D58" s="71"/>
    </row>
    <row r="59" spans="1:4" x14ac:dyDescent="0.2">
      <c r="A59" s="345">
        <v>29311</v>
      </c>
      <c r="B59" s="71"/>
      <c r="C59" s="226"/>
      <c r="D59" s="71"/>
    </row>
    <row r="60" spans="1:4" x14ac:dyDescent="0.2">
      <c r="A60" s="345">
        <v>29341</v>
      </c>
      <c r="B60" s="71"/>
      <c r="C60" s="226"/>
      <c r="D60" s="71"/>
    </row>
    <row r="61" spans="1:4" x14ac:dyDescent="0.2">
      <c r="A61" s="345">
        <v>29372</v>
      </c>
      <c r="B61" s="71"/>
      <c r="C61" s="226"/>
      <c r="D61" s="71"/>
    </row>
    <row r="62" spans="1:4" x14ac:dyDescent="0.2">
      <c r="A62" s="345">
        <v>29402</v>
      </c>
      <c r="B62" s="71"/>
      <c r="C62" s="226"/>
      <c r="D62" s="71"/>
    </row>
    <row r="63" spans="1:4" x14ac:dyDescent="0.2">
      <c r="A63" s="345">
        <v>29433</v>
      </c>
      <c r="B63" s="71"/>
      <c r="C63" s="226"/>
      <c r="D63" s="71"/>
    </row>
    <row r="64" spans="1:4" x14ac:dyDescent="0.2">
      <c r="A64" s="345">
        <v>29464</v>
      </c>
      <c r="B64" s="71"/>
      <c r="C64" s="226"/>
      <c r="D64" s="71"/>
    </row>
    <row r="65" spans="1:4" x14ac:dyDescent="0.2">
      <c r="A65" s="345">
        <v>29494</v>
      </c>
      <c r="B65" s="71"/>
      <c r="C65" s="226"/>
      <c r="D65" s="71"/>
    </row>
    <row r="66" spans="1:4" x14ac:dyDescent="0.2">
      <c r="A66" s="345">
        <v>29525</v>
      </c>
      <c r="B66" s="71"/>
      <c r="C66" s="226"/>
      <c r="D66" s="71"/>
    </row>
    <row r="67" spans="1:4" x14ac:dyDescent="0.2">
      <c r="A67" s="345">
        <v>29555</v>
      </c>
      <c r="B67" s="71"/>
      <c r="C67" s="226"/>
      <c r="D67" s="71"/>
    </row>
    <row r="68" spans="1:4" x14ac:dyDescent="0.2">
      <c r="A68" s="345">
        <v>29586</v>
      </c>
      <c r="B68" s="71"/>
      <c r="C68" s="226"/>
      <c r="D68" s="71"/>
    </row>
    <row r="69" spans="1:4" x14ac:dyDescent="0.2">
      <c r="A69" s="345">
        <v>29617</v>
      </c>
      <c r="B69" s="71"/>
      <c r="C69" s="226"/>
      <c r="D69" s="71"/>
    </row>
    <row r="70" spans="1:4" x14ac:dyDescent="0.2">
      <c r="A70" s="345">
        <v>29645</v>
      </c>
      <c r="B70" s="71"/>
      <c r="C70" s="226"/>
      <c r="D70" s="71"/>
    </row>
    <row r="71" spans="1:4" x14ac:dyDescent="0.2">
      <c r="A71" s="345">
        <v>29676</v>
      </c>
      <c r="B71" s="71"/>
      <c r="C71" s="226"/>
      <c r="D71" s="71"/>
    </row>
    <row r="72" spans="1:4" x14ac:dyDescent="0.2">
      <c r="A72" s="345">
        <v>29706</v>
      </c>
      <c r="B72" s="71"/>
      <c r="C72" s="226"/>
      <c r="D72" s="71"/>
    </row>
    <row r="73" spans="1:4" x14ac:dyDescent="0.2">
      <c r="A73" s="345">
        <v>29737</v>
      </c>
      <c r="B73" s="71"/>
      <c r="C73" s="226"/>
      <c r="D73" s="71"/>
    </row>
    <row r="74" spans="1:4" x14ac:dyDescent="0.2">
      <c r="A74" s="345">
        <v>29767</v>
      </c>
      <c r="B74" s="71"/>
      <c r="C74" s="226"/>
      <c r="D74" s="71"/>
    </row>
    <row r="75" spans="1:4" x14ac:dyDescent="0.2">
      <c r="A75" s="345">
        <v>29798</v>
      </c>
      <c r="B75" s="71"/>
      <c r="C75" s="226"/>
      <c r="D75" s="71"/>
    </row>
    <row r="76" spans="1:4" x14ac:dyDescent="0.2">
      <c r="A76" s="345">
        <v>29829</v>
      </c>
      <c r="B76" s="71"/>
      <c r="C76" s="226"/>
      <c r="D76" s="71"/>
    </row>
    <row r="77" spans="1:4" x14ac:dyDescent="0.2">
      <c r="A77" s="345">
        <v>29859</v>
      </c>
      <c r="B77" s="71"/>
      <c r="C77" s="226"/>
      <c r="D77" s="71"/>
    </row>
    <row r="78" spans="1:4" x14ac:dyDescent="0.2">
      <c r="A78" s="345">
        <v>29890</v>
      </c>
      <c r="B78" s="71"/>
      <c r="C78" s="226"/>
      <c r="D78" s="71"/>
    </row>
    <row r="79" spans="1:4" x14ac:dyDescent="0.2">
      <c r="A79" s="345">
        <v>29920</v>
      </c>
      <c r="B79" s="71"/>
      <c r="C79" s="226"/>
      <c r="D79" s="71"/>
    </row>
    <row r="80" spans="1:4" x14ac:dyDescent="0.2">
      <c r="A80" s="345">
        <v>29951</v>
      </c>
      <c r="B80" s="71"/>
      <c r="C80" s="226"/>
      <c r="D80" s="71"/>
    </row>
    <row r="81" spans="1:4" x14ac:dyDescent="0.2">
      <c r="A81" s="345">
        <v>29982</v>
      </c>
      <c r="B81" s="71"/>
      <c r="C81" s="226"/>
      <c r="D81" s="71"/>
    </row>
    <row r="82" spans="1:4" x14ac:dyDescent="0.2">
      <c r="A82" s="345">
        <v>30010</v>
      </c>
      <c r="B82" s="71"/>
      <c r="C82" s="226"/>
      <c r="D82" s="71"/>
    </row>
    <row r="83" spans="1:4" x14ac:dyDescent="0.2">
      <c r="A83" s="345">
        <v>30041</v>
      </c>
      <c r="B83" s="71"/>
      <c r="C83" s="226"/>
      <c r="D83" s="71"/>
    </row>
    <row r="84" spans="1:4" x14ac:dyDescent="0.2">
      <c r="A84" s="345">
        <v>30071</v>
      </c>
      <c r="B84" s="71"/>
      <c r="C84" s="226"/>
      <c r="D84" s="71"/>
    </row>
    <row r="85" spans="1:4" x14ac:dyDescent="0.2">
      <c r="A85" s="345">
        <v>30102</v>
      </c>
      <c r="B85" s="71"/>
      <c r="C85" s="226"/>
      <c r="D85" s="71"/>
    </row>
    <row r="86" spans="1:4" x14ac:dyDescent="0.2">
      <c r="A86" s="345">
        <v>30132</v>
      </c>
      <c r="B86" s="71"/>
      <c r="C86" s="226"/>
      <c r="D86" s="71"/>
    </row>
    <row r="87" spans="1:4" x14ac:dyDescent="0.2">
      <c r="A87" s="345">
        <v>30163</v>
      </c>
      <c r="B87" s="71"/>
      <c r="C87" s="226"/>
      <c r="D87" s="71"/>
    </row>
    <row r="88" spans="1:4" x14ac:dyDescent="0.2">
      <c r="A88" s="345">
        <v>30194</v>
      </c>
      <c r="B88" s="71"/>
      <c r="C88" s="226"/>
      <c r="D88" s="71"/>
    </row>
    <row r="89" spans="1:4" x14ac:dyDescent="0.2">
      <c r="A89" s="345">
        <v>30224</v>
      </c>
      <c r="B89" s="71"/>
      <c r="C89" s="226"/>
      <c r="D89" s="71"/>
    </row>
    <row r="90" spans="1:4" x14ac:dyDescent="0.2">
      <c r="A90" s="345">
        <v>30255</v>
      </c>
      <c r="B90" s="71"/>
      <c r="C90" s="226"/>
      <c r="D90" s="71"/>
    </row>
    <row r="91" spans="1:4" x14ac:dyDescent="0.2">
      <c r="A91" s="345">
        <v>30285</v>
      </c>
      <c r="B91" s="71"/>
      <c r="C91" s="226"/>
      <c r="D91" s="71"/>
    </row>
    <row r="92" spans="1:4" x14ac:dyDescent="0.2">
      <c r="A92" s="345">
        <v>30316</v>
      </c>
      <c r="B92" s="71"/>
      <c r="C92" s="226"/>
      <c r="D92" s="71"/>
    </row>
    <row r="93" spans="1:4" x14ac:dyDescent="0.2">
      <c r="A93" s="345">
        <v>30347</v>
      </c>
      <c r="B93" s="71"/>
      <c r="C93" s="226"/>
      <c r="D93" s="71"/>
    </row>
    <row r="94" spans="1:4" x14ac:dyDescent="0.2">
      <c r="A94" s="345">
        <v>30375</v>
      </c>
      <c r="B94" s="71"/>
      <c r="C94" s="226"/>
      <c r="D94" s="71"/>
    </row>
    <row r="95" spans="1:4" x14ac:dyDescent="0.2">
      <c r="A95" s="345">
        <v>30406</v>
      </c>
      <c r="B95" s="71"/>
      <c r="C95" s="226"/>
      <c r="D95" s="71"/>
    </row>
    <row r="96" spans="1:4" x14ac:dyDescent="0.2">
      <c r="A96" s="345">
        <v>30436</v>
      </c>
      <c r="B96" s="71"/>
      <c r="C96" s="226"/>
      <c r="D96" s="71"/>
    </row>
    <row r="97" spans="1:4" x14ac:dyDescent="0.2">
      <c r="A97" s="345">
        <v>30467</v>
      </c>
      <c r="B97" s="71"/>
      <c r="C97" s="226"/>
      <c r="D97" s="71"/>
    </row>
    <row r="98" spans="1:4" x14ac:dyDescent="0.2">
      <c r="A98" s="345">
        <v>30497</v>
      </c>
      <c r="B98" s="71"/>
      <c r="C98" s="226"/>
      <c r="D98" s="71"/>
    </row>
    <row r="99" spans="1:4" x14ac:dyDescent="0.2">
      <c r="A99" s="345">
        <v>30528</v>
      </c>
      <c r="B99" s="71"/>
      <c r="C99" s="226"/>
      <c r="D99" s="71"/>
    </row>
    <row r="100" spans="1:4" x14ac:dyDescent="0.2">
      <c r="A100" s="345">
        <v>30559</v>
      </c>
      <c r="B100" s="71"/>
      <c r="C100" s="226"/>
      <c r="D100" s="71"/>
    </row>
    <row r="101" spans="1:4" x14ac:dyDescent="0.2">
      <c r="A101" s="345">
        <v>30589</v>
      </c>
      <c r="B101" s="71"/>
      <c r="C101" s="226"/>
      <c r="D101" s="71"/>
    </row>
    <row r="102" spans="1:4" x14ac:dyDescent="0.2">
      <c r="A102" s="345">
        <v>30620</v>
      </c>
      <c r="B102" s="71"/>
      <c r="C102" s="226"/>
      <c r="D102" s="71"/>
    </row>
    <row r="103" spans="1:4" x14ac:dyDescent="0.2">
      <c r="A103" s="345">
        <v>30650</v>
      </c>
      <c r="B103" s="71"/>
      <c r="C103" s="226"/>
      <c r="D103" s="71"/>
    </row>
    <row r="104" spans="1:4" x14ac:dyDescent="0.2">
      <c r="A104" s="345">
        <v>30681</v>
      </c>
      <c r="B104" s="71"/>
      <c r="C104" s="226"/>
      <c r="D104" s="71"/>
    </row>
    <row r="105" spans="1:4" x14ac:dyDescent="0.2">
      <c r="A105" s="345">
        <v>30712</v>
      </c>
      <c r="B105" s="71"/>
      <c r="C105" s="226"/>
      <c r="D105" s="71"/>
    </row>
    <row r="106" spans="1:4" x14ac:dyDescent="0.2">
      <c r="A106" s="345">
        <v>30741</v>
      </c>
      <c r="B106" s="71"/>
      <c r="C106" s="226"/>
      <c r="D106" s="71"/>
    </row>
    <row r="107" spans="1:4" x14ac:dyDescent="0.2">
      <c r="A107" s="345">
        <v>30772</v>
      </c>
      <c r="B107" s="71"/>
      <c r="C107" s="226"/>
      <c r="D107" s="71"/>
    </row>
    <row r="108" spans="1:4" x14ac:dyDescent="0.2">
      <c r="A108" s="345">
        <v>30802</v>
      </c>
      <c r="B108" s="71"/>
      <c r="C108" s="226"/>
      <c r="D108" s="71"/>
    </row>
    <row r="109" spans="1:4" x14ac:dyDescent="0.2">
      <c r="A109" s="345">
        <v>30833</v>
      </c>
      <c r="B109" s="71"/>
      <c r="C109" s="226"/>
      <c r="D109" s="71"/>
    </row>
    <row r="110" spans="1:4" x14ac:dyDescent="0.2">
      <c r="A110" s="345">
        <v>30863</v>
      </c>
      <c r="B110" s="71"/>
      <c r="C110" s="226"/>
      <c r="D110" s="71"/>
    </row>
    <row r="111" spans="1:4" x14ac:dyDescent="0.2">
      <c r="A111" s="345">
        <v>30894</v>
      </c>
      <c r="B111" s="71"/>
      <c r="C111" s="226"/>
      <c r="D111" s="71"/>
    </row>
    <row r="112" spans="1:4" x14ac:dyDescent="0.2">
      <c r="A112" s="345">
        <v>30925</v>
      </c>
      <c r="B112" s="71"/>
      <c r="C112" s="226"/>
      <c r="D112" s="71"/>
    </row>
    <row r="113" spans="1:4" x14ac:dyDescent="0.2">
      <c r="A113" s="345">
        <v>30955</v>
      </c>
      <c r="B113" s="71"/>
      <c r="C113" s="226"/>
      <c r="D113" s="71"/>
    </row>
    <row r="114" spans="1:4" x14ac:dyDescent="0.2">
      <c r="A114" s="345">
        <v>30986</v>
      </c>
      <c r="B114" s="71"/>
      <c r="C114" s="226"/>
      <c r="D114" s="71"/>
    </row>
    <row r="115" spans="1:4" x14ac:dyDescent="0.2">
      <c r="A115" s="345">
        <v>31016</v>
      </c>
      <c r="B115" s="71"/>
      <c r="C115" s="226"/>
      <c r="D115" s="71"/>
    </row>
    <row r="116" spans="1:4" x14ac:dyDescent="0.2">
      <c r="A116" s="345">
        <v>31047</v>
      </c>
      <c r="B116" s="71"/>
      <c r="C116" s="226"/>
      <c r="D116" s="71"/>
    </row>
    <row r="117" spans="1:4" x14ac:dyDescent="0.2">
      <c r="A117" s="345">
        <v>31078</v>
      </c>
      <c r="B117" s="71"/>
      <c r="C117" s="226"/>
      <c r="D117" s="71"/>
    </row>
    <row r="118" spans="1:4" x14ac:dyDescent="0.2">
      <c r="A118" s="345">
        <v>31106</v>
      </c>
      <c r="B118" s="71"/>
      <c r="C118" s="226"/>
      <c r="D118" s="71"/>
    </row>
    <row r="119" spans="1:4" x14ac:dyDescent="0.2">
      <c r="A119" s="345">
        <v>31137</v>
      </c>
      <c r="B119" s="71"/>
      <c r="C119" s="226"/>
      <c r="D119" s="71"/>
    </row>
    <row r="120" spans="1:4" x14ac:dyDescent="0.2">
      <c r="A120" s="345">
        <v>31167</v>
      </c>
      <c r="B120" s="71"/>
      <c r="C120" s="226"/>
      <c r="D120" s="71"/>
    </row>
    <row r="121" spans="1:4" x14ac:dyDescent="0.2">
      <c r="A121" s="345">
        <v>31198</v>
      </c>
      <c r="B121" s="71"/>
      <c r="C121" s="226"/>
      <c r="D121" s="71"/>
    </row>
    <row r="122" spans="1:4" x14ac:dyDescent="0.2">
      <c r="A122" s="345">
        <v>31228</v>
      </c>
      <c r="B122" s="71"/>
      <c r="C122" s="226"/>
      <c r="D122" s="71"/>
    </row>
    <row r="123" spans="1:4" x14ac:dyDescent="0.2">
      <c r="A123" s="345">
        <v>31259</v>
      </c>
      <c r="B123" s="71"/>
      <c r="C123" s="226"/>
      <c r="D123" s="71"/>
    </row>
    <row r="124" spans="1:4" x14ac:dyDescent="0.2">
      <c r="A124" s="345">
        <v>31290</v>
      </c>
      <c r="B124" s="71"/>
      <c r="C124" s="226"/>
      <c r="D124" s="71"/>
    </row>
    <row r="125" spans="1:4" x14ac:dyDescent="0.2">
      <c r="A125" s="345">
        <v>31320</v>
      </c>
      <c r="B125" s="71"/>
      <c r="C125" s="226"/>
      <c r="D125" s="71"/>
    </row>
    <row r="126" spans="1:4" x14ac:dyDescent="0.2">
      <c r="A126" s="345">
        <v>31351</v>
      </c>
      <c r="B126" s="71"/>
      <c r="C126" s="226"/>
      <c r="D126" s="71"/>
    </row>
    <row r="127" spans="1:4" x14ac:dyDescent="0.2">
      <c r="A127" s="345">
        <v>31381</v>
      </c>
      <c r="B127" s="71"/>
      <c r="C127" s="226"/>
      <c r="D127" s="71"/>
    </row>
    <row r="128" spans="1:4" x14ac:dyDescent="0.2">
      <c r="A128" s="345">
        <v>31412</v>
      </c>
      <c r="B128" s="71"/>
      <c r="C128" s="226"/>
      <c r="D128" s="71"/>
    </row>
    <row r="129" spans="1:4" x14ac:dyDescent="0.2">
      <c r="A129" s="345">
        <v>31443</v>
      </c>
      <c r="B129" s="71"/>
      <c r="C129" s="226"/>
      <c r="D129" s="71"/>
    </row>
    <row r="130" spans="1:4" x14ac:dyDescent="0.2">
      <c r="A130" s="345">
        <v>31471</v>
      </c>
      <c r="B130" s="71"/>
      <c r="C130" s="226"/>
      <c r="D130" s="71"/>
    </row>
    <row r="131" spans="1:4" x14ac:dyDescent="0.2">
      <c r="A131" s="345">
        <v>31502</v>
      </c>
      <c r="B131" s="71"/>
      <c r="C131" s="226"/>
      <c r="D131" s="71"/>
    </row>
    <row r="132" spans="1:4" x14ac:dyDescent="0.2">
      <c r="A132" s="345">
        <v>31532</v>
      </c>
      <c r="B132" s="71"/>
      <c r="C132" s="226"/>
      <c r="D132" s="71"/>
    </row>
    <row r="133" spans="1:4" x14ac:dyDescent="0.2">
      <c r="A133" s="345">
        <v>31563</v>
      </c>
      <c r="B133" s="71"/>
      <c r="C133" s="226"/>
      <c r="D133" s="71"/>
    </row>
    <row r="134" spans="1:4" x14ac:dyDescent="0.2">
      <c r="A134" s="345">
        <v>31593</v>
      </c>
      <c r="B134" s="71"/>
      <c r="C134" s="226"/>
      <c r="D134" s="71"/>
    </row>
    <row r="135" spans="1:4" x14ac:dyDescent="0.2">
      <c r="A135" s="345">
        <v>31624</v>
      </c>
      <c r="B135" s="71"/>
      <c r="C135" s="226"/>
      <c r="D135" s="71"/>
    </row>
    <row r="136" spans="1:4" x14ac:dyDescent="0.2">
      <c r="A136" s="345">
        <v>31655</v>
      </c>
      <c r="B136" s="71"/>
      <c r="C136" s="226"/>
      <c r="D136" s="71"/>
    </row>
    <row r="137" spans="1:4" x14ac:dyDescent="0.2">
      <c r="A137" s="345">
        <v>31685</v>
      </c>
      <c r="B137" s="71"/>
      <c r="C137" s="226"/>
      <c r="D137" s="71"/>
    </row>
    <row r="138" spans="1:4" x14ac:dyDescent="0.2">
      <c r="A138" s="345">
        <v>31716</v>
      </c>
      <c r="B138" s="71"/>
      <c r="C138" s="226"/>
      <c r="D138" s="71"/>
    </row>
    <row r="139" spans="1:4" x14ac:dyDescent="0.2">
      <c r="A139" s="345">
        <v>31746</v>
      </c>
      <c r="B139" s="71"/>
      <c r="C139" s="226"/>
      <c r="D139" s="71"/>
    </row>
    <row r="140" spans="1:4" x14ac:dyDescent="0.2">
      <c r="A140" s="345">
        <v>31777</v>
      </c>
      <c r="B140" s="71"/>
      <c r="C140" s="226"/>
      <c r="D140" s="71"/>
    </row>
    <row r="141" spans="1:4" x14ac:dyDescent="0.2">
      <c r="A141" s="345">
        <v>31808</v>
      </c>
      <c r="B141" s="73"/>
      <c r="C141" s="25"/>
      <c r="D141" s="73"/>
    </row>
    <row r="142" spans="1:4" x14ac:dyDescent="0.2">
      <c r="A142" s="345">
        <v>31836</v>
      </c>
      <c r="B142" s="73"/>
      <c r="C142" s="25"/>
      <c r="D142" s="73"/>
    </row>
    <row r="143" spans="1:4" x14ac:dyDescent="0.2">
      <c r="A143" s="345">
        <v>31867</v>
      </c>
      <c r="B143" s="73"/>
      <c r="C143" s="25"/>
      <c r="D143" s="73"/>
    </row>
    <row r="144" spans="1:4" x14ac:dyDescent="0.2">
      <c r="A144" s="345">
        <v>31897</v>
      </c>
      <c r="B144" s="73"/>
      <c r="C144" s="25"/>
      <c r="D144" s="73"/>
    </row>
    <row r="145" spans="1:4" x14ac:dyDescent="0.2">
      <c r="A145" s="345">
        <v>31928</v>
      </c>
      <c r="B145" s="73"/>
      <c r="C145" s="25"/>
      <c r="D145" s="73"/>
    </row>
    <row r="146" spans="1:4" x14ac:dyDescent="0.2">
      <c r="A146" s="345">
        <v>31958</v>
      </c>
      <c r="B146" s="73"/>
      <c r="C146" s="25"/>
      <c r="D146" s="73"/>
    </row>
    <row r="147" spans="1:4" x14ac:dyDescent="0.2">
      <c r="A147" s="345">
        <v>31989</v>
      </c>
      <c r="B147" s="73"/>
      <c r="C147" s="25"/>
      <c r="D147" s="73"/>
    </row>
    <row r="148" spans="1:4" x14ac:dyDescent="0.2">
      <c r="A148" s="345">
        <v>32020</v>
      </c>
      <c r="B148" s="73"/>
      <c r="C148" s="25"/>
      <c r="D148" s="73"/>
    </row>
    <row r="149" spans="1:4" x14ac:dyDescent="0.2">
      <c r="A149" s="345">
        <v>32050</v>
      </c>
      <c r="B149" s="73"/>
      <c r="C149" s="25"/>
      <c r="D149" s="73"/>
    </row>
    <row r="150" spans="1:4" x14ac:dyDescent="0.2">
      <c r="A150" s="345">
        <v>32081</v>
      </c>
      <c r="B150" s="73"/>
      <c r="C150" s="25"/>
      <c r="D150" s="73"/>
    </row>
    <row r="151" spans="1:4" x14ac:dyDescent="0.2">
      <c r="A151" s="345">
        <v>32111</v>
      </c>
      <c r="B151" s="73"/>
      <c r="C151" s="25"/>
      <c r="D151" s="73"/>
    </row>
    <row r="152" spans="1:4" x14ac:dyDescent="0.2">
      <c r="A152" s="345">
        <v>32142</v>
      </c>
      <c r="B152" s="73"/>
      <c r="C152" s="25"/>
      <c r="D152" s="73"/>
    </row>
    <row r="153" spans="1:4" x14ac:dyDescent="0.2">
      <c r="A153" s="345">
        <v>32173</v>
      </c>
      <c r="B153" s="73"/>
      <c r="C153" s="25"/>
      <c r="D153" s="73"/>
    </row>
    <row r="154" spans="1:4" x14ac:dyDescent="0.2">
      <c r="A154" s="345">
        <v>32202</v>
      </c>
      <c r="B154" s="73"/>
      <c r="C154" s="25"/>
      <c r="D154" s="73"/>
    </row>
    <row r="155" spans="1:4" x14ac:dyDescent="0.2">
      <c r="A155" s="345">
        <v>32233</v>
      </c>
      <c r="B155" s="73"/>
      <c r="C155" s="25"/>
      <c r="D155" s="73"/>
    </row>
    <row r="156" spans="1:4" x14ac:dyDescent="0.2">
      <c r="A156" s="345">
        <v>32263</v>
      </c>
      <c r="B156" s="73"/>
      <c r="C156" s="25"/>
      <c r="D156" s="73"/>
    </row>
    <row r="157" spans="1:4" x14ac:dyDescent="0.2">
      <c r="A157" s="345">
        <v>32294</v>
      </c>
      <c r="B157" s="73"/>
      <c r="C157" s="25"/>
      <c r="D157" s="73"/>
    </row>
    <row r="158" spans="1:4" x14ac:dyDescent="0.2">
      <c r="A158" s="345">
        <v>32324</v>
      </c>
      <c r="B158" s="73"/>
      <c r="C158" s="25"/>
      <c r="D158" s="73"/>
    </row>
    <row r="159" spans="1:4" x14ac:dyDescent="0.2">
      <c r="A159" s="345">
        <v>32355</v>
      </c>
      <c r="B159" s="73"/>
      <c r="C159" s="25"/>
      <c r="D159" s="73"/>
    </row>
    <row r="160" spans="1:4" x14ac:dyDescent="0.2">
      <c r="A160" s="345">
        <v>32386</v>
      </c>
      <c r="B160" s="73"/>
      <c r="C160" s="25"/>
      <c r="D160" s="73"/>
    </row>
    <row r="161" spans="1:4" x14ac:dyDescent="0.2">
      <c r="A161" s="345">
        <v>32416</v>
      </c>
      <c r="B161" s="73"/>
      <c r="C161" s="25"/>
      <c r="D161" s="73"/>
    </row>
    <row r="162" spans="1:4" x14ac:dyDescent="0.2">
      <c r="A162" s="345">
        <v>32447</v>
      </c>
      <c r="B162" s="73"/>
      <c r="C162" s="25"/>
      <c r="D162" s="73"/>
    </row>
    <row r="163" spans="1:4" x14ac:dyDescent="0.2">
      <c r="A163" s="345">
        <v>32477</v>
      </c>
      <c r="B163" s="73"/>
      <c r="C163" s="25"/>
      <c r="D163" s="73"/>
    </row>
    <row r="164" spans="1:4" x14ac:dyDescent="0.2">
      <c r="A164" s="345">
        <v>32508</v>
      </c>
      <c r="B164" s="73"/>
      <c r="C164" s="25"/>
      <c r="D164" s="73"/>
    </row>
    <row r="165" spans="1:4" x14ac:dyDescent="0.2">
      <c r="A165" s="345">
        <v>32539</v>
      </c>
      <c r="B165" s="73"/>
      <c r="C165" s="25"/>
      <c r="D165" s="73"/>
    </row>
    <row r="166" spans="1:4" x14ac:dyDescent="0.2">
      <c r="A166" s="345">
        <v>32567</v>
      </c>
      <c r="B166" s="73"/>
      <c r="C166" s="25"/>
      <c r="D166" s="73"/>
    </row>
    <row r="167" spans="1:4" x14ac:dyDescent="0.2">
      <c r="A167" s="345">
        <v>32598</v>
      </c>
      <c r="B167" s="73"/>
      <c r="C167" s="25"/>
      <c r="D167" s="73"/>
    </row>
    <row r="168" spans="1:4" x14ac:dyDescent="0.2">
      <c r="A168" s="345">
        <v>32628</v>
      </c>
      <c r="B168" s="73"/>
      <c r="C168" s="25"/>
      <c r="D168" s="73"/>
    </row>
    <row r="169" spans="1:4" x14ac:dyDescent="0.2">
      <c r="A169" s="345">
        <v>32659</v>
      </c>
      <c r="B169" s="73"/>
      <c r="C169" s="25"/>
      <c r="D169" s="73"/>
    </row>
    <row r="170" spans="1:4" x14ac:dyDescent="0.2">
      <c r="A170" s="345">
        <v>32689</v>
      </c>
      <c r="B170" s="73"/>
      <c r="C170" s="25"/>
      <c r="D170" s="73"/>
    </row>
    <row r="171" spans="1:4" x14ac:dyDescent="0.2">
      <c r="A171" s="345">
        <v>32720</v>
      </c>
      <c r="B171" s="73"/>
      <c r="C171" s="25"/>
      <c r="D171" s="73"/>
    </row>
    <row r="172" spans="1:4" x14ac:dyDescent="0.2">
      <c r="A172" s="345">
        <v>32751</v>
      </c>
      <c r="B172" s="73"/>
      <c r="C172" s="25"/>
      <c r="D172" s="73"/>
    </row>
    <row r="173" spans="1:4" x14ac:dyDescent="0.2">
      <c r="A173" s="345">
        <v>32781</v>
      </c>
      <c r="B173" s="73"/>
      <c r="C173" s="25"/>
      <c r="D173" s="73"/>
    </row>
    <row r="174" spans="1:4" x14ac:dyDescent="0.2">
      <c r="A174" s="345">
        <v>32812</v>
      </c>
      <c r="B174" s="73"/>
      <c r="C174" s="25"/>
      <c r="D174" s="73"/>
    </row>
    <row r="175" spans="1:4" x14ac:dyDescent="0.2">
      <c r="A175" s="345">
        <v>32842</v>
      </c>
      <c r="B175" s="73"/>
      <c r="C175" s="25"/>
      <c r="D175" s="73"/>
    </row>
    <row r="176" spans="1:4" x14ac:dyDescent="0.2">
      <c r="A176" s="345">
        <v>32873</v>
      </c>
      <c r="B176" s="73"/>
      <c r="C176" s="25"/>
      <c r="D176" s="73"/>
    </row>
    <row r="177" spans="1:4" x14ac:dyDescent="0.2">
      <c r="A177" s="345">
        <v>32904</v>
      </c>
      <c r="B177" s="73"/>
      <c r="C177" s="25"/>
      <c r="D177" s="73"/>
    </row>
    <row r="178" spans="1:4" x14ac:dyDescent="0.2">
      <c r="A178" s="345">
        <v>32932</v>
      </c>
      <c r="B178" s="73"/>
      <c r="C178" s="25"/>
      <c r="D178" s="73"/>
    </row>
    <row r="179" spans="1:4" x14ac:dyDescent="0.2">
      <c r="A179" s="345">
        <v>32963</v>
      </c>
      <c r="B179" s="73"/>
      <c r="C179" s="25"/>
      <c r="D179" s="73"/>
    </row>
    <row r="180" spans="1:4" x14ac:dyDescent="0.2">
      <c r="A180" s="345">
        <v>32993</v>
      </c>
      <c r="B180" s="73"/>
      <c r="C180" s="25"/>
      <c r="D180" s="73"/>
    </row>
    <row r="181" spans="1:4" x14ac:dyDescent="0.2">
      <c r="A181" s="345">
        <v>33024</v>
      </c>
      <c r="B181" s="73"/>
      <c r="C181" s="25"/>
      <c r="D181" s="73"/>
    </row>
    <row r="182" spans="1:4" x14ac:dyDescent="0.2">
      <c r="A182" s="345">
        <v>33054</v>
      </c>
      <c r="B182" s="73"/>
      <c r="C182" s="25"/>
      <c r="D182" s="73"/>
    </row>
    <row r="183" spans="1:4" x14ac:dyDescent="0.2">
      <c r="A183" s="345">
        <v>33085</v>
      </c>
      <c r="B183" s="73"/>
      <c r="C183" s="25"/>
      <c r="D183" s="73"/>
    </row>
    <row r="184" spans="1:4" x14ac:dyDescent="0.2">
      <c r="A184" s="345">
        <v>33116</v>
      </c>
      <c r="B184" s="73"/>
      <c r="C184" s="25"/>
      <c r="D184" s="73"/>
    </row>
    <row r="185" spans="1:4" x14ac:dyDescent="0.2">
      <c r="A185" s="345">
        <v>33146</v>
      </c>
      <c r="B185" s="73"/>
      <c r="C185" s="25"/>
      <c r="D185" s="73"/>
    </row>
    <row r="186" spans="1:4" x14ac:dyDescent="0.2">
      <c r="A186" s="345">
        <v>33177</v>
      </c>
      <c r="B186" s="73"/>
      <c r="C186" s="25"/>
      <c r="D186" s="73"/>
    </row>
    <row r="187" spans="1:4" x14ac:dyDescent="0.2">
      <c r="A187" s="345">
        <v>33207</v>
      </c>
      <c r="B187" s="73"/>
      <c r="C187" s="25"/>
      <c r="D187" s="73"/>
    </row>
    <row r="188" spans="1:4" x14ac:dyDescent="0.2">
      <c r="A188" s="345">
        <v>33238</v>
      </c>
      <c r="B188" s="73"/>
      <c r="C188" s="25"/>
      <c r="D188" s="73"/>
    </row>
    <row r="189" spans="1:4" x14ac:dyDescent="0.2">
      <c r="A189" s="345">
        <v>33269</v>
      </c>
      <c r="B189" s="73"/>
      <c r="C189" s="25"/>
      <c r="D189" s="73"/>
    </row>
    <row r="190" spans="1:4" x14ac:dyDescent="0.2">
      <c r="A190" s="345">
        <v>33297</v>
      </c>
      <c r="B190" s="73"/>
      <c r="C190" s="25"/>
      <c r="D190" s="73"/>
    </row>
    <row r="191" spans="1:4" x14ac:dyDescent="0.2">
      <c r="A191" s="345">
        <v>33328</v>
      </c>
      <c r="B191" s="73"/>
      <c r="C191" s="25"/>
      <c r="D191" s="73"/>
    </row>
    <row r="192" spans="1:4" x14ac:dyDescent="0.2">
      <c r="A192" s="345">
        <v>33358</v>
      </c>
      <c r="B192" s="73"/>
      <c r="C192" s="25"/>
      <c r="D192" s="73"/>
    </row>
    <row r="193" spans="1:4" x14ac:dyDescent="0.2">
      <c r="A193" s="345">
        <v>33389</v>
      </c>
      <c r="B193" s="73"/>
      <c r="C193" s="25"/>
      <c r="D193" s="73"/>
    </row>
    <row r="194" spans="1:4" x14ac:dyDescent="0.2">
      <c r="A194" s="345">
        <v>33419</v>
      </c>
      <c r="B194" s="73"/>
      <c r="C194" s="25"/>
      <c r="D194" s="73"/>
    </row>
    <row r="195" spans="1:4" x14ac:dyDescent="0.2">
      <c r="A195" s="345">
        <v>33450</v>
      </c>
      <c r="B195" s="73"/>
      <c r="C195" s="25"/>
      <c r="D195" s="73"/>
    </row>
    <row r="196" spans="1:4" x14ac:dyDescent="0.2">
      <c r="A196" s="345">
        <v>33481</v>
      </c>
      <c r="B196" s="73"/>
      <c r="C196" s="25"/>
      <c r="D196" s="73"/>
    </row>
    <row r="197" spans="1:4" x14ac:dyDescent="0.2">
      <c r="A197" s="345">
        <v>33511</v>
      </c>
      <c r="B197" s="73"/>
      <c r="C197" s="25"/>
      <c r="D197" s="73"/>
    </row>
    <row r="198" spans="1:4" x14ac:dyDescent="0.2">
      <c r="A198" s="345">
        <v>33542</v>
      </c>
      <c r="B198" s="73"/>
      <c r="C198" s="25"/>
      <c r="D198" s="73"/>
    </row>
    <row r="199" spans="1:4" x14ac:dyDescent="0.2">
      <c r="A199" s="345">
        <v>33572</v>
      </c>
      <c r="B199" s="73"/>
      <c r="C199" s="25"/>
      <c r="D199" s="73"/>
    </row>
    <row r="200" spans="1:4" x14ac:dyDescent="0.2">
      <c r="A200" s="345">
        <v>33603</v>
      </c>
      <c r="B200" s="73"/>
      <c r="C200" s="25"/>
      <c r="D200" s="73"/>
    </row>
    <row r="201" spans="1:4" x14ac:dyDescent="0.2">
      <c r="A201" s="345">
        <v>33634</v>
      </c>
      <c r="B201" s="73"/>
      <c r="C201" s="25"/>
      <c r="D201" s="73"/>
    </row>
    <row r="202" spans="1:4" x14ac:dyDescent="0.2">
      <c r="A202" s="345">
        <v>33663</v>
      </c>
      <c r="B202" s="73"/>
      <c r="C202" s="25"/>
      <c r="D202" s="73"/>
    </row>
    <row r="203" spans="1:4" x14ac:dyDescent="0.2">
      <c r="A203" s="345">
        <v>33694</v>
      </c>
      <c r="B203" s="73"/>
      <c r="C203" s="25"/>
      <c r="D203" s="73"/>
    </row>
    <row r="204" spans="1:4" x14ac:dyDescent="0.2">
      <c r="A204" s="345">
        <v>33724</v>
      </c>
      <c r="B204" s="73"/>
      <c r="C204" s="25"/>
      <c r="D204" s="73"/>
    </row>
    <row r="205" spans="1:4" x14ac:dyDescent="0.2">
      <c r="A205" s="345">
        <v>33755</v>
      </c>
      <c r="B205" s="73"/>
      <c r="C205" s="25"/>
      <c r="D205" s="73"/>
    </row>
    <row r="206" spans="1:4" x14ac:dyDescent="0.2">
      <c r="A206" s="345">
        <v>33785</v>
      </c>
      <c r="B206" s="73"/>
      <c r="C206" s="25"/>
      <c r="D206" s="73"/>
    </row>
    <row r="207" spans="1:4" x14ac:dyDescent="0.2">
      <c r="A207" s="345">
        <v>33816</v>
      </c>
      <c r="B207" s="73"/>
      <c r="C207" s="25"/>
      <c r="D207" s="73"/>
    </row>
    <row r="208" spans="1:4" x14ac:dyDescent="0.2">
      <c r="A208" s="345">
        <v>33847</v>
      </c>
      <c r="B208" s="73"/>
      <c r="C208" s="25"/>
      <c r="D208" s="73"/>
    </row>
    <row r="209" spans="1:4" x14ac:dyDescent="0.2">
      <c r="A209" s="345">
        <v>33877</v>
      </c>
      <c r="B209" s="73"/>
      <c r="C209" s="25"/>
      <c r="D209" s="73"/>
    </row>
    <row r="210" spans="1:4" x14ac:dyDescent="0.2">
      <c r="A210" s="345">
        <v>33908</v>
      </c>
      <c r="B210" s="73"/>
      <c r="C210" s="25"/>
      <c r="D210" s="73"/>
    </row>
    <row r="211" spans="1:4" x14ac:dyDescent="0.2">
      <c r="A211" s="345">
        <v>33938</v>
      </c>
      <c r="B211" s="73"/>
      <c r="C211" s="25"/>
      <c r="D211" s="73"/>
    </row>
    <row r="212" spans="1:4" x14ac:dyDescent="0.2">
      <c r="A212" s="345">
        <v>33969</v>
      </c>
      <c r="B212" s="73"/>
      <c r="C212" s="25"/>
      <c r="D212" s="73"/>
    </row>
    <row r="213" spans="1:4" x14ac:dyDescent="0.2">
      <c r="A213" s="345">
        <v>34000</v>
      </c>
      <c r="B213" s="73"/>
      <c r="C213" s="25"/>
      <c r="D213" s="73"/>
    </row>
    <row r="214" spans="1:4" x14ac:dyDescent="0.2">
      <c r="A214" s="345">
        <v>34028</v>
      </c>
      <c r="B214" s="73"/>
      <c r="C214" s="25"/>
      <c r="D214" s="73"/>
    </row>
    <row r="215" spans="1:4" x14ac:dyDescent="0.2">
      <c r="A215" s="345">
        <v>34059</v>
      </c>
      <c r="B215" s="73"/>
      <c r="C215" s="25"/>
      <c r="D215" s="73"/>
    </row>
    <row r="216" spans="1:4" x14ac:dyDescent="0.2">
      <c r="A216" s="345">
        <v>34089</v>
      </c>
      <c r="B216" s="73"/>
      <c r="C216" s="25"/>
      <c r="D216" s="73"/>
    </row>
    <row r="217" spans="1:4" x14ac:dyDescent="0.2">
      <c r="A217" s="345">
        <v>34120</v>
      </c>
      <c r="B217" s="73"/>
      <c r="C217" s="25"/>
      <c r="D217" s="73"/>
    </row>
    <row r="218" spans="1:4" x14ac:dyDescent="0.2">
      <c r="A218" s="345">
        <v>34150</v>
      </c>
      <c r="B218" s="73"/>
      <c r="C218" s="25"/>
      <c r="D218" s="73"/>
    </row>
    <row r="219" spans="1:4" x14ac:dyDescent="0.2">
      <c r="A219" s="345">
        <v>34181</v>
      </c>
      <c r="B219" s="73"/>
      <c r="C219" s="25"/>
      <c r="D219" s="73"/>
    </row>
    <row r="220" spans="1:4" x14ac:dyDescent="0.2">
      <c r="A220" s="345">
        <v>34212</v>
      </c>
      <c r="B220" s="73"/>
      <c r="C220" s="25"/>
      <c r="D220" s="73"/>
    </row>
    <row r="221" spans="1:4" x14ac:dyDescent="0.2">
      <c r="A221" s="345">
        <v>34242</v>
      </c>
      <c r="B221" s="73"/>
      <c r="C221" s="25"/>
      <c r="D221" s="73"/>
    </row>
    <row r="222" spans="1:4" x14ac:dyDescent="0.2">
      <c r="A222" s="345">
        <v>34273</v>
      </c>
      <c r="B222" s="73"/>
      <c r="C222" s="25"/>
      <c r="D222" s="73"/>
    </row>
    <row r="223" spans="1:4" x14ac:dyDescent="0.2">
      <c r="A223" s="345">
        <v>34303</v>
      </c>
      <c r="B223" s="73"/>
      <c r="C223" s="25"/>
      <c r="D223" s="73"/>
    </row>
    <row r="224" spans="1:4" x14ac:dyDescent="0.2">
      <c r="A224" s="345">
        <v>34334</v>
      </c>
      <c r="B224" s="73"/>
      <c r="C224" s="25"/>
      <c r="D224" s="73"/>
    </row>
    <row r="225" spans="1:4" x14ac:dyDescent="0.2">
      <c r="A225" s="345">
        <v>34365</v>
      </c>
      <c r="B225" s="73"/>
      <c r="C225" s="25"/>
      <c r="D225" s="73"/>
    </row>
    <row r="226" spans="1:4" x14ac:dyDescent="0.2">
      <c r="A226" s="345">
        <v>34393</v>
      </c>
      <c r="B226" s="73"/>
      <c r="C226" s="25"/>
      <c r="D226" s="73"/>
    </row>
    <row r="227" spans="1:4" x14ac:dyDescent="0.2">
      <c r="A227" s="345">
        <v>34424</v>
      </c>
      <c r="B227" s="73"/>
      <c r="C227" s="25"/>
      <c r="D227" s="73"/>
    </row>
    <row r="228" spans="1:4" x14ac:dyDescent="0.2">
      <c r="A228" s="345">
        <v>34454</v>
      </c>
      <c r="B228" s="73"/>
      <c r="C228" s="25"/>
      <c r="D228" s="73"/>
    </row>
    <row r="229" spans="1:4" x14ac:dyDescent="0.2">
      <c r="A229" s="345">
        <v>34485</v>
      </c>
      <c r="B229" s="73"/>
      <c r="C229" s="25"/>
      <c r="D229" s="73"/>
    </row>
    <row r="230" spans="1:4" x14ac:dyDescent="0.2">
      <c r="A230" s="345">
        <v>34515</v>
      </c>
      <c r="B230" s="73"/>
      <c r="C230" s="25"/>
      <c r="D230" s="73"/>
    </row>
    <row r="231" spans="1:4" x14ac:dyDescent="0.2">
      <c r="A231" s="345">
        <v>34546</v>
      </c>
      <c r="B231" s="73"/>
      <c r="C231" s="25"/>
      <c r="D231" s="73"/>
    </row>
    <row r="232" spans="1:4" x14ac:dyDescent="0.2">
      <c r="A232" s="345">
        <v>34577</v>
      </c>
      <c r="B232" s="73"/>
      <c r="C232" s="25"/>
      <c r="D232" s="73"/>
    </row>
    <row r="233" spans="1:4" x14ac:dyDescent="0.2">
      <c r="A233" s="345">
        <v>34607</v>
      </c>
      <c r="B233" s="73"/>
      <c r="C233" s="25"/>
      <c r="D233" s="73"/>
    </row>
    <row r="234" spans="1:4" x14ac:dyDescent="0.2">
      <c r="A234" s="345">
        <v>34638</v>
      </c>
      <c r="B234" s="73"/>
      <c r="C234" s="25"/>
      <c r="D234" s="73"/>
    </row>
    <row r="235" spans="1:4" x14ac:dyDescent="0.2">
      <c r="A235" s="345">
        <v>34668</v>
      </c>
      <c r="B235" s="73"/>
      <c r="C235" s="25"/>
      <c r="D235" s="73"/>
    </row>
    <row r="236" spans="1:4" x14ac:dyDescent="0.2">
      <c r="A236" s="345">
        <v>34699</v>
      </c>
      <c r="B236" s="73"/>
      <c r="C236" s="25"/>
      <c r="D236" s="73"/>
    </row>
    <row r="237" spans="1:4" x14ac:dyDescent="0.2">
      <c r="A237" s="345">
        <v>34730</v>
      </c>
      <c r="B237" s="73"/>
      <c r="C237" s="25"/>
      <c r="D237" s="73"/>
    </row>
    <row r="238" spans="1:4" x14ac:dyDescent="0.2">
      <c r="A238" s="345">
        <v>34758</v>
      </c>
      <c r="B238" s="73"/>
      <c r="C238" s="25"/>
      <c r="D238" s="73"/>
    </row>
    <row r="239" spans="1:4" x14ac:dyDescent="0.2">
      <c r="A239" s="345">
        <v>34789</v>
      </c>
      <c r="B239" s="73"/>
      <c r="C239" s="25"/>
      <c r="D239" s="73"/>
    </row>
    <row r="240" spans="1:4" x14ac:dyDescent="0.2">
      <c r="A240" s="345">
        <v>34819</v>
      </c>
      <c r="B240" s="73"/>
      <c r="C240" s="25"/>
      <c r="D240" s="73"/>
    </row>
    <row r="241" spans="1:4" x14ac:dyDescent="0.2">
      <c r="A241" s="345">
        <v>34850</v>
      </c>
      <c r="B241" s="73"/>
      <c r="C241" s="25"/>
      <c r="D241" s="73"/>
    </row>
    <row r="242" spans="1:4" x14ac:dyDescent="0.2">
      <c r="A242" s="345">
        <v>34880</v>
      </c>
      <c r="B242" s="73"/>
      <c r="C242" s="25"/>
      <c r="D242" s="73"/>
    </row>
    <row r="243" spans="1:4" x14ac:dyDescent="0.2">
      <c r="A243" s="345">
        <v>34911</v>
      </c>
      <c r="B243" s="73"/>
      <c r="C243" s="25"/>
      <c r="D243" s="73"/>
    </row>
    <row r="244" spans="1:4" x14ac:dyDescent="0.2">
      <c r="A244" s="345">
        <v>34942</v>
      </c>
      <c r="B244" s="73"/>
      <c r="C244" s="25"/>
      <c r="D244" s="73"/>
    </row>
    <row r="245" spans="1:4" x14ac:dyDescent="0.2">
      <c r="A245" s="345">
        <v>34972</v>
      </c>
      <c r="B245" s="73"/>
      <c r="C245" s="25"/>
      <c r="D245" s="73"/>
    </row>
    <row r="246" spans="1:4" x14ac:dyDescent="0.2">
      <c r="A246" s="345">
        <v>35003</v>
      </c>
      <c r="B246" s="73"/>
      <c r="C246" s="25"/>
      <c r="D246" s="73"/>
    </row>
    <row r="247" spans="1:4" x14ac:dyDescent="0.2">
      <c r="A247" s="345">
        <v>35033</v>
      </c>
      <c r="B247" s="73"/>
      <c r="C247" s="25"/>
      <c r="D247" s="73"/>
    </row>
    <row r="248" spans="1:4" x14ac:dyDescent="0.2">
      <c r="A248" s="345">
        <v>35064</v>
      </c>
      <c r="B248" s="73"/>
      <c r="C248" s="25"/>
      <c r="D248" s="73"/>
    </row>
    <row r="249" spans="1:4" x14ac:dyDescent="0.2">
      <c r="A249" s="345">
        <v>35095</v>
      </c>
      <c r="B249" s="73"/>
      <c r="C249" s="25"/>
      <c r="D249" s="73"/>
    </row>
    <row r="250" spans="1:4" x14ac:dyDescent="0.2">
      <c r="A250" s="345">
        <v>35124</v>
      </c>
      <c r="B250" s="73"/>
      <c r="C250" s="25"/>
      <c r="D250" s="73"/>
    </row>
    <row r="251" spans="1:4" x14ac:dyDescent="0.2">
      <c r="A251" s="345">
        <v>35155</v>
      </c>
      <c r="B251" s="73"/>
      <c r="C251" s="25"/>
      <c r="D251" s="73"/>
    </row>
    <row r="252" spans="1:4" x14ac:dyDescent="0.2">
      <c r="A252" s="345">
        <v>35185</v>
      </c>
      <c r="B252" s="73"/>
      <c r="C252" s="25"/>
      <c r="D252" s="73"/>
    </row>
    <row r="253" spans="1:4" x14ac:dyDescent="0.2">
      <c r="A253" s="345">
        <v>35216</v>
      </c>
      <c r="B253" s="73"/>
      <c r="C253" s="25"/>
      <c r="D253" s="73"/>
    </row>
    <row r="254" spans="1:4" x14ac:dyDescent="0.2">
      <c r="A254" s="345">
        <v>35246</v>
      </c>
      <c r="B254" s="73"/>
      <c r="C254" s="25"/>
      <c r="D254" s="73"/>
    </row>
    <row r="255" spans="1:4" x14ac:dyDescent="0.2">
      <c r="A255" s="345">
        <v>35277</v>
      </c>
      <c r="B255" s="73"/>
      <c r="C255" s="25"/>
      <c r="D255" s="73"/>
    </row>
    <row r="256" spans="1:4" x14ac:dyDescent="0.2">
      <c r="A256" s="345">
        <v>35308</v>
      </c>
      <c r="B256" s="73"/>
      <c r="C256" s="25"/>
      <c r="D256" s="73"/>
    </row>
    <row r="257" spans="1:4" x14ac:dyDescent="0.2">
      <c r="A257" s="345">
        <v>35338</v>
      </c>
      <c r="B257" s="73"/>
      <c r="C257" s="25"/>
      <c r="D257" s="73"/>
    </row>
    <row r="258" spans="1:4" x14ac:dyDescent="0.2">
      <c r="A258" s="345">
        <v>35369</v>
      </c>
      <c r="B258" s="73"/>
      <c r="C258" s="25"/>
      <c r="D258" s="73"/>
    </row>
    <row r="259" spans="1:4" x14ac:dyDescent="0.2">
      <c r="A259" s="345">
        <v>35399</v>
      </c>
      <c r="B259" s="73"/>
      <c r="C259" s="25"/>
      <c r="D259" s="73"/>
    </row>
    <row r="260" spans="1:4" x14ac:dyDescent="0.2">
      <c r="A260" s="345">
        <v>35430</v>
      </c>
      <c r="B260" s="73"/>
      <c r="C260" s="25"/>
      <c r="D260" s="73"/>
    </row>
    <row r="261" spans="1:4" x14ac:dyDescent="0.2">
      <c r="A261" s="345">
        <v>35461</v>
      </c>
      <c r="B261" s="73"/>
      <c r="C261" s="25"/>
      <c r="D261" s="73"/>
    </row>
    <row r="262" spans="1:4" x14ac:dyDescent="0.2">
      <c r="A262" s="345">
        <v>35489</v>
      </c>
      <c r="B262" s="73"/>
      <c r="C262" s="25"/>
      <c r="D262" s="73"/>
    </row>
    <row r="263" spans="1:4" x14ac:dyDescent="0.2">
      <c r="A263" s="345">
        <v>35520</v>
      </c>
      <c r="B263" s="73"/>
      <c r="C263" s="25"/>
      <c r="D263" s="73"/>
    </row>
    <row r="264" spans="1:4" x14ac:dyDescent="0.2">
      <c r="A264" s="345">
        <v>35550</v>
      </c>
      <c r="B264" s="73"/>
      <c r="C264" s="25"/>
      <c r="D264" s="73"/>
    </row>
    <row r="265" spans="1:4" x14ac:dyDescent="0.2">
      <c r="A265" s="345">
        <v>35581</v>
      </c>
      <c r="B265" s="73"/>
      <c r="C265" s="25"/>
      <c r="D265" s="73"/>
    </row>
    <row r="266" spans="1:4" x14ac:dyDescent="0.2">
      <c r="A266" s="345">
        <v>35611</v>
      </c>
      <c r="B266" s="73"/>
      <c r="C266" s="25"/>
      <c r="D266" s="73"/>
    </row>
    <row r="267" spans="1:4" x14ac:dyDescent="0.2">
      <c r="A267" s="345">
        <v>35642</v>
      </c>
      <c r="B267" s="73"/>
      <c r="C267" s="25"/>
      <c r="D267" s="73"/>
    </row>
    <row r="268" spans="1:4" x14ac:dyDescent="0.2">
      <c r="A268" s="345">
        <v>35673</v>
      </c>
      <c r="B268" s="73"/>
      <c r="C268" s="25"/>
      <c r="D268" s="73"/>
    </row>
    <row r="269" spans="1:4" x14ac:dyDescent="0.2">
      <c r="A269" s="345">
        <v>35703</v>
      </c>
      <c r="B269" s="73"/>
      <c r="C269" s="25"/>
      <c r="D269" s="73"/>
    </row>
    <row r="270" spans="1:4" x14ac:dyDescent="0.2">
      <c r="A270" s="345">
        <v>35734</v>
      </c>
      <c r="B270" s="73"/>
      <c r="C270" s="25"/>
      <c r="D270" s="73"/>
    </row>
    <row r="271" spans="1:4" x14ac:dyDescent="0.2">
      <c r="A271" s="345">
        <v>35764</v>
      </c>
      <c r="B271" s="73"/>
      <c r="C271" s="25"/>
      <c r="D271" s="73"/>
    </row>
    <row r="272" spans="1:4" x14ac:dyDescent="0.2">
      <c r="A272" s="345">
        <v>35795</v>
      </c>
      <c r="B272" s="73"/>
      <c r="C272" s="25"/>
      <c r="D272" s="73"/>
    </row>
    <row r="273" spans="1:4" x14ac:dyDescent="0.2">
      <c r="A273" s="345">
        <v>35826</v>
      </c>
      <c r="B273" s="73"/>
      <c r="C273" s="25"/>
      <c r="D273" s="73"/>
    </row>
    <row r="274" spans="1:4" x14ac:dyDescent="0.2">
      <c r="A274" s="345">
        <v>35854</v>
      </c>
      <c r="B274" s="73"/>
      <c r="C274" s="32"/>
      <c r="D274" s="73"/>
    </row>
    <row r="275" spans="1:4" x14ac:dyDescent="0.2">
      <c r="A275" s="345">
        <v>35885</v>
      </c>
      <c r="B275" s="73"/>
      <c r="C275" s="32"/>
      <c r="D275" s="73"/>
    </row>
    <row r="276" spans="1:4" x14ac:dyDescent="0.2">
      <c r="A276" s="345">
        <v>35915</v>
      </c>
      <c r="B276" s="73"/>
      <c r="C276" s="32"/>
      <c r="D276" s="73"/>
    </row>
    <row r="277" spans="1:4" x14ac:dyDescent="0.2">
      <c r="A277" s="345">
        <v>35946</v>
      </c>
      <c r="B277" s="73"/>
      <c r="C277" s="32"/>
      <c r="D277" s="73"/>
    </row>
    <row r="278" spans="1:4" x14ac:dyDescent="0.2">
      <c r="A278" s="345">
        <v>35976</v>
      </c>
      <c r="B278" s="73"/>
      <c r="C278" s="32"/>
      <c r="D278" s="73"/>
    </row>
    <row r="279" spans="1:4" x14ac:dyDescent="0.2">
      <c r="A279" s="345">
        <v>36007</v>
      </c>
      <c r="B279" s="73"/>
      <c r="C279" s="32"/>
      <c r="D279" s="73"/>
    </row>
    <row r="280" spans="1:4" x14ac:dyDescent="0.2">
      <c r="A280" s="345">
        <v>36038</v>
      </c>
      <c r="B280" s="73"/>
      <c r="C280" s="32"/>
      <c r="D280" s="73"/>
    </row>
    <row r="281" spans="1:4" x14ac:dyDescent="0.2">
      <c r="A281" s="345">
        <v>36068</v>
      </c>
      <c r="B281" s="73"/>
      <c r="C281" s="32"/>
      <c r="D281" s="73"/>
    </row>
    <row r="282" spans="1:4" x14ac:dyDescent="0.2">
      <c r="A282" s="345">
        <v>36099</v>
      </c>
      <c r="B282" s="73"/>
      <c r="C282" s="32"/>
      <c r="D282" s="73"/>
    </row>
    <row r="283" spans="1:4" x14ac:dyDescent="0.2">
      <c r="A283" s="345">
        <v>36129</v>
      </c>
      <c r="B283" s="73"/>
      <c r="C283" s="32"/>
      <c r="D283" s="73"/>
    </row>
    <row r="284" spans="1:4" x14ac:dyDescent="0.2">
      <c r="A284" s="345">
        <v>36160</v>
      </c>
      <c r="B284" s="73"/>
      <c r="C284" s="32"/>
      <c r="D284" s="73"/>
    </row>
    <row r="285" spans="1:4" x14ac:dyDescent="0.2">
      <c r="A285" s="345">
        <v>36191</v>
      </c>
      <c r="B285" s="73"/>
      <c r="C285" s="32"/>
      <c r="D285" s="73"/>
    </row>
    <row r="286" spans="1:4" x14ac:dyDescent="0.2">
      <c r="A286" s="345">
        <v>36219</v>
      </c>
      <c r="B286" s="73"/>
      <c r="C286" s="32"/>
      <c r="D286" s="73"/>
    </row>
    <row r="287" spans="1:4" x14ac:dyDescent="0.2">
      <c r="A287" s="345">
        <v>36250</v>
      </c>
      <c r="B287" s="73"/>
      <c r="C287" s="32"/>
      <c r="D287" s="73"/>
    </row>
    <row r="288" spans="1:4" x14ac:dyDescent="0.2">
      <c r="A288" s="345">
        <v>36280</v>
      </c>
      <c r="B288" s="73"/>
      <c r="C288" s="32"/>
      <c r="D288" s="73"/>
    </row>
    <row r="289" spans="1:4" x14ac:dyDescent="0.2">
      <c r="A289" s="345">
        <v>36311</v>
      </c>
      <c r="B289" s="73"/>
      <c r="C289" s="32"/>
      <c r="D289" s="73"/>
    </row>
    <row r="290" spans="1:4" x14ac:dyDescent="0.2">
      <c r="A290" s="345">
        <v>36341</v>
      </c>
      <c r="B290" s="73"/>
      <c r="C290" s="32"/>
      <c r="D290" s="73"/>
    </row>
    <row r="291" spans="1:4" x14ac:dyDescent="0.2">
      <c r="A291" s="345">
        <v>36372</v>
      </c>
      <c r="B291" s="73"/>
      <c r="C291" s="32"/>
      <c r="D291" s="73"/>
    </row>
    <row r="292" spans="1:4" x14ac:dyDescent="0.2">
      <c r="A292" s="345">
        <v>36403</v>
      </c>
      <c r="B292" s="73"/>
      <c r="C292" s="32"/>
      <c r="D292" s="73"/>
    </row>
    <row r="293" spans="1:4" x14ac:dyDescent="0.2">
      <c r="A293" s="345">
        <v>36433</v>
      </c>
      <c r="B293" s="73"/>
      <c r="C293" s="32"/>
      <c r="D293" s="73"/>
    </row>
    <row r="294" spans="1:4" x14ac:dyDescent="0.2">
      <c r="A294" s="345">
        <v>36464</v>
      </c>
      <c r="B294" s="73"/>
      <c r="C294" s="32"/>
      <c r="D294" s="73"/>
    </row>
    <row r="295" spans="1:4" x14ac:dyDescent="0.2">
      <c r="A295" s="345">
        <v>36494</v>
      </c>
      <c r="B295" s="73"/>
      <c r="C295" s="32"/>
      <c r="D295" s="73"/>
    </row>
    <row r="296" spans="1:4" x14ac:dyDescent="0.2">
      <c r="A296" s="345">
        <v>36525</v>
      </c>
      <c r="B296" s="73"/>
      <c r="C296" s="32"/>
      <c r="D296" s="73"/>
    </row>
    <row r="297" spans="1:4" x14ac:dyDescent="0.2">
      <c r="A297" s="345">
        <v>36556</v>
      </c>
      <c r="B297" s="73"/>
      <c r="C297" s="32"/>
      <c r="D297" s="73"/>
    </row>
    <row r="298" spans="1:4" x14ac:dyDescent="0.2">
      <c r="A298" s="345">
        <v>36585</v>
      </c>
      <c r="B298" s="73"/>
      <c r="C298" s="32"/>
      <c r="D298" s="73"/>
    </row>
    <row r="299" spans="1:4" x14ac:dyDescent="0.2">
      <c r="A299" s="345">
        <v>36616</v>
      </c>
      <c r="B299" s="73"/>
      <c r="C299" s="32"/>
      <c r="D299" s="73"/>
    </row>
    <row r="300" spans="1:4" x14ac:dyDescent="0.2">
      <c r="A300" s="345">
        <v>36646</v>
      </c>
      <c r="B300" s="73"/>
      <c r="C300" s="32"/>
      <c r="D300" s="73"/>
    </row>
    <row r="301" spans="1:4" x14ac:dyDescent="0.2">
      <c r="A301" s="345">
        <v>36677</v>
      </c>
      <c r="B301" s="73"/>
      <c r="C301" s="32"/>
      <c r="D301" s="73"/>
    </row>
    <row r="302" spans="1:4" x14ac:dyDescent="0.2">
      <c r="A302" s="345">
        <v>36707</v>
      </c>
      <c r="B302" s="73"/>
      <c r="C302" s="32"/>
      <c r="D302" s="73"/>
    </row>
    <row r="303" spans="1:4" x14ac:dyDescent="0.2">
      <c r="A303" s="345">
        <v>36738</v>
      </c>
      <c r="B303" s="73"/>
      <c r="C303" s="32"/>
      <c r="D303" s="73"/>
    </row>
    <row r="304" spans="1:4" x14ac:dyDescent="0.2">
      <c r="A304" s="345">
        <v>36769</v>
      </c>
      <c r="B304" s="73"/>
      <c r="C304" s="32"/>
      <c r="D304" s="73"/>
    </row>
    <row r="305" spans="1:5" x14ac:dyDescent="0.2">
      <c r="A305" s="345">
        <v>36799</v>
      </c>
      <c r="B305" s="79"/>
      <c r="C305" s="33"/>
      <c r="D305" s="73"/>
    </row>
    <row r="306" spans="1:5" x14ac:dyDescent="0.2">
      <c r="A306" s="345">
        <v>36830</v>
      </c>
      <c r="B306" s="253"/>
      <c r="C306" s="33"/>
      <c r="D306" s="253"/>
      <c r="E306" s="14"/>
    </row>
    <row r="307" spans="1:5" x14ac:dyDescent="0.2">
      <c r="A307" s="345">
        <v>36860</v>
      </c>
      <c r="B307" s="253"/>
      <c r="C307" s="33"/>
      <c r="D307" s="253"/>
      <c r="E307" s="14"/>
    </row>
    <row r="308" spans="1:5" x14ac:dyDescent="0.2">
      <c r="A308" s="345">
        <v>36891</v>
      </c>
      <c r="B308" s="253"/>
      <c r="C308" s="33"/>
      <c r="D308" s="253"/>
      <c r="E308" s="14"/>
    </row>
    <row r="309" spans="1:5" x14ac:dyDescent="0.2">
      <c r="A309" s="345">
        <v>36922</v>
      </c>
      <c r="B309" s="253"/>
      <c r="C309" s="33"/>
      <c r="D309" s="253"/>
      <c r="E309" s="14"/>
    </row>
    <row r="310" spans="1:5" x14ac:dyDescent="0.2">
      <c r="A310" s="345">
        <v>36950</v>
      </c>
      <c r="B310" s="253"/>
      <c r="C310" s="33"/>
      <c r="D310" s="253"/>
      <c r="E310" s="14"/>
    </row>
    <row r="311" spans="1:5" x14ac:dyDescent="0.2">
      <c r="A311" s="345">
        <v>36981</v>
      </c>
      <c r="B311" s="253"/>
      <c r="C311" s="33"/>
      <c r="D311" s="253"/>
      <c r="E311" s="14"/>
    </row>
    <row r="312" spans="1:5" x14ac:dyDescent="0.2">
      <c r="A312" s="345">
        <v>37011</v>
      </c>
      <c r="B312" s="253"/>
      <c r="C312" s="33"/>
      <c r="D312" s="253"/>
      <c r="E312" s="14"/>
    </row>
    <row r="313" spans="1:5" x14ac:dyDescent="0.2">
      <c r="A313" s="345">
        <v>37042</v>
      </c>
      <c r="B313" s="253"/>
      <c r="C313" s="33"/>
      <c r="D313" s="253"/>
      <c r="E313" s="14"/>
    </row>
    <row r="314" spans="1:5" x14ac:dyDescent="0.2">
      <c r="A314" s="345">
        <v>37072</v>
      </c>
      <c r="B314" s="253"/>
      <c r="C314" s="33"/>
      <c r="D314" s="253"/>
      <c r="E314" s="14"/>
    </row>
    <row r="315" spans="1:5" x14ac:dyDescent="0.2">
      <c r="A315" s="345">
        <v>37103</v>
      </c>
      <c r="B315" s="253"/>
      <c r="C315" s="33"/>
      <c r="D315" s="253"/>
      <c r="E315" s="14"/>
    </row>
    <row r="316" spans="1:5" x14ac:dyDescent="0.2">
      <c r="A316" s="345">
        <v>37134</v>
      </c>
      <c r="B316" s="253"/>
      <c r="C316" s="33"/>
      <c r="D316" s="253"/>
      <c r="E316" s="14"/>
    </row>
    <row r="317" spans="1:5" x14ac:dyDescent="0.2">
      <c r="A317" s="345">
        <v>37164</v>
      </c>
      <c r="B317" s="253"/>
      <c r="C317" s="33"/>
      <c r="D317" s="253"/>
      <c r="E317" s="14"/>
    </row>
    <row r="318" spans="1:5" x14ac:dyDescent="0.2">
      <c r="A318" s="345">
        <v>37195</v>
      </c>
      <c r="B318" s="253"/>
      <c r="C318" s="33"/>
      <c r="D318" s="253"/>
      <c r="E318" s="14"/>
    </row>
    <row r="319" spans="1:5" x14ac:dyDescent="0.2">
      <c r="A319" s="345">
        <v>37225</v>
      </c>
      <c r="B319" s="253"/>
      <c r="C319" s="33"/>
      <c r="D319" s="253"/>
      <c r="E319" s="14"/>
    </row>
    <row r="320" spans="1:5" x14ac:dyDescent="0.2">
      <c r="A320" s="345">
        <v>37256</v>
      </c>
      <c r="B320" s="253"/>
      <c r="C320" s="33"/>
      <c r="D320" s="253"/>
      <c r="E320" s="14"/>
    </row>
    <row r="321" spans="1:5" x14ac:dyDescent="0.2">
      <c r="A321" s="345">
        <v>37287</v>
      </c>
      <c r="B321" s="253"/>
      <c r="C321" s="33"/>
      <c r="D321" s="253"/>
      <c r="E321" s="14"/>
    </row>
    <row r="322" spans="1:5" x14ac:dyDescent="0.2">
      <c r="A322" s="345">
        <v>37315</v>
      </c>
      <c r="B322" s="253"/>
      <c r="C322" s="33"/>
      <c r="D322" s="253"/>
      <c r="E322" s="14"/>
    </row>
    <row r="323" spans="1:5" x14ac:dyDescent="0.2">
      <c r="A323" s="345">
        <v>37346</v>
      </c>
      <c r="B323" s="253"/>
      <c r="C323" s="33"/>
      <c r="D323" s="253"/>
      <c r="E323" s="14"/>
    </row>
    <row r="324" spans="1:5" x14ac:dyDescent="0.2">
      <c r="A324" s="345">
        <v>37376</v>
      </c>
      <c r="B324" s="253"/>
      <c r="C324" s="33"/>
      <c r="D324" s="253"/>
      <c r="E324" s="14"/>
    </row>
    <row r="325" spans="1:5" x14ac:dyDescent="0.2">
      <c r="A325" s="345">
        <v>37407</v>
      </c>
      <c r="B325" s="253"/>
      <c r="C325" s="33"/>
      <c r="D325" s="253"/>
      <c r="E325" s="14"/>
    </row>
    <row r="326" spans="1:5" x14ac:dyDescent="0.2">
      <c r="A326" s="345">
        <v>37437</v>
      </c>
      <c r="B326" s="253"/>
      <c r="C326" s="33"/>
      <c r="D326" s="253"/>
      <c r="E326" s="14"/>
    </row>
    <row r="327" spans="1:5" x14ac:dyDescent="0.2">
      <c r="A327" s="345">
        <v>37468</v>
      </c>
      <c r="B327" s="253"/>
      <c r="C327" s="33"/>
      <c r="D327" s="253"/>
      <c r="E327" s="14"/>
    </row>
    <row r="328" spans="1:5" x14ac:dyDescent="0.2">
      <c r="A328" s="345">
        <v>37499</v>
      </c>
      <c r="B328" s="253"/>
      <c r="C328" s="33"/>
      <c r="D328" s="253"/>
      <c r="E328" s="14"/>
    </row>
    <row r="329" spans="1:5" x14ac:dyDescent="0.2">
      <c r="A329" s="345">
        <v>37529</v>
      </c>
      <c r="B329" s="253"/>
      <c r="C329" s="33"/>
      <c r="D329" s="253"/>
      <c r="E329" s="14"/>
    </row>
    <row r="330" spans="1:5" x14ac:dyDescent="0.2">
      <c r="A330" s="345">
        <v>37560</v>
      </c>
      <c r="B330" s="253"/>
      <c r="C330" s="33"/>
      <c r="D330" s="253"/>
      <c r="E330" s="14"/>
    </row>
    <row r="331" spans="1:5" x14ac:dyDescent="0.2">
      <c r="A331" s="345">
        <v>37590</v>
      </c>
      <c r="B331" s="253"/>
      <c r="C331" s="33"/>
      <c r="D331" s="253"/>
      <c r="E331" s="14"/>
    </row>
    <row r="332" spans="1:5" x14ac:dyDescent="0.2">
      <c r="A332" s="345">
        <v>37621</v>
      </c>
      <c r="B332" s="253"/>
      <c r="C332" s="33"/>
      <c r="D332" s="253"/>
      <c r="E332" s="14"/>
    </row>
    <row r="333" spans="1:5" x14ac:dyDescent="0.2">
      <c r="A333" s="345">
        <v>37652</v>
      </c>
      <c r="B333" s="253"/>
      <c r="C333" s="33"/>
      <c r="D333" s="253"/>
      <c r="E333" s="14"/>
    </row>
    <row r="334" spans="1:5" x14ac:dyDescent="0.2">
      <c r="A334" s="345">
        <v>37680</v>
      </c>
      <c r="B334" s="253"/>
      <c r="C334" s="33"/>
      <c r="D334" s="253"/>
      <c r="E334" s="14"/>
    </row>
    <row r="335" spans="1:5" x14ac:dyDescent="0.2">
      <c r="A335" s="345">
        <v>37711</v>
      </c>
      <c r="B335" s="253"/>
      <c r="C335" s="33"/>
      <c r="D335" s="253"/>
      <c r="E335" s="14"/>
    </row>
    <row r="336" spans="1:5" x14ac:dyDescent="0.2">
      <c r="A336" s="345">
        <v>37741</v>
      </c>
      <c r="B336" s="253"/>
      <c r="C336" s="33"/>
      <c r="D336" s="253"/>
      <c r="E336" s="14"/>
    </row>
    <row r="337" spans="1:5" x14ac:dyDescent="0.2">
      <c r="A337" s="345">
        <v>37772</v>
      </c>
      <c r="B337" s="253"/>
      <c r="C337" s="33"/>
      <c r="D337" s="253"/>
      <c r="E337" s="14"/>
    </row>
    <row r="338" spans="1:5" x14ac:dyDescent="0.2">
      <c r="A338" s="345">
        <v>37802</v>
      </c>
      <c r="B338" s="253"/>
      <c r="C338" s="33"/>
      <c r="D338" s="253"/>
      <c r="E338" s="14"/>
    </row>
    <row r="339" spans="1:5" x14ac:dyDescent="0.2">
      <c r="A339" s="345">
        <v>37833</v>
      </c>
      <c r="B339" s="253"/>
      <c r="C339" s="33"/>
      <c r="D339" s="253"/>
      <c r="E339" s="14"/>
    </row>
    <row r="340" spans="1:5" x14ac:dyDescent="0.2">
      <c r="A340" s="345">
        <v>37864</v>
      </c>
      <c r="B340" s="253"/>
      <c r="C340" s="33"/>
      <c r="D340" s="253"/>
      <c r="E340" s="14"/>
    </row>
    <row r="341" spans="1:5" x14ac:dyDescent="0.2">
      <c r="A341" s="345">
        <v>37894</v>
      </c>
      <c r="B341" s="253"/>
      <c r="C341" s="34"/>
      <c r="D341" s="253"/>
      <c r="E341" s="14"/>
    </row>
    <row r="342" spans="1:5" x14ac:dyDescent="0.2">
      <c r="A342" s="345">
        <v>37925</v>
      </c>
      <c r="B342" s="253"/>
      <c r="C342" s="34"/>
      <c r="D342" s="253"/>
      <c r="E342" s="14"/>
    </row>
    <row r="343" spans="1:5" x14ac:dyDescent="0.2">
      <c r="A343" s="345">
        <v>37955</v>
      </c>
      <c r="B343" s="253"/>
      <c r="C343" s="34"/>
      <c r="D343" s="253"/>
      <c r="E343" s="14"/>
    </row>
    <row r="344" spans="1:5" x14ac:dyDescent="0.2">
      <c r="A344" s="345">
        <v>37986</v>
      </c>
      <c r="B344" s="253"/>
      <c r="C344" s="34"/>
      <c r="D344" s="253"/>
      <c r="E344" s="14"/>
    </row>
    <row r="345" spans="1:5" x14ac:dyDescent="0.2">
      <c r="A345" s="345">
        <v>38017</v>
      </c>
      <c r="B345" s="253"/>
      <c r="C345" s="34"/>
      <c r="D345" s="253"/>
      <c r="E345" s="14"/>
    </row>
    <row r="346" spans="1:5" x14ac:dyDescent="0.2">
      <c r="A346" s="345">
        <v>38046</v>
      </c>
      <c r="B346" s="253"/>
      <c r="C346" s="34"/>
      <c r="D346" s="253"/>
      <c r="E346" s="14"/>
    </row>
    <row r="347" spans="1:5" x14ac:dyDescent="0.2">
      <c r="A347" s="345">
        <v>38077</v>
      </c>
      <c r="B347" s="253"/>
      <c r="C347" s="34"/>
      <c r="D347" s="255"/>
      <c r="E347" s="14"/>
    </row>
    <row r="348" spans="1:5" x14ac:dyDescent="0.2">
      <c r="A348" s="345">
        <v>38107</v>
      </c>
      <c r="B348" s="253"/>
      <c r="C348" s="34"/>
      <c r="D348" s="253"/>
      <c r="E348" s="14"/>
    </row>
    <row r="349" spans="1:5" x14ac:dyDescent="0.2">
      <c r="A349" s="345">
        <v>38138</v>
      </c>
      <c r="B349" s="253"/>
      <c r="C349" s="34"/>
      <c r="D349" s="253"/>
      <c r="E349" s="14"/>
    </row>
    <row r="350" spans="1:5" x14ac:dyDescent="0.2">
      <c r="A350" s="345">
        <v>38168</v>
      </c>
      <c r="B350" s="253"/>
      <c r="C350" s="34"/>
      <c r="D350" s="253"/>
      <c r="E350" s="14"/>
    </row>
    <row r="351" spans="1:5" x14ac:dyDescent="0.2">
      <c r="A351" s="345">
        <v>38199</v>
      </c>
      <c r="B351" s="253"/>
      <c r="C351" s="34"/>
      <c r="D351" s="253"/>
      <c r="E351" s="14"/>
    </row>
    <row r="352" spans="1:5" x14ac:dyDescent="0.2">
      <c r="A352" s="345">
        <v>38230</v>
      </c>
      <c r="B352" s="253"/>
      <c r="C352" s="34"/>
      <c r="D352" s="253"/>
      <c r="E352" s="14"/>
    </row>
    <row r="353" spans="1:5" x14ac:dyDescent="0.2">
      <c r="A353" s="345">
        <v>38260</v>
      </c>
      <c r="B353" s="253"/>
      <c r="C353" s="34"/>
      <c r="D353" s="253"/>
      <c r="E353" s="14"/>
    </row>
    <row r="354" spans="1:5" x14ac:dyDescent="0.2">
      <c r="A354" s="345">
        <v>38291</v>
      </c>
      <c r="B354" s="253"/>
      <c r="C354" s="34"/>
      <c r="D354" s="253"/>
      <c r="E354" s="14"/>
    </row>
    <row r="355" spans="1:5" x14ac:dyDescent="0.2">
      <c r="A355" s="345">
        <v>38321</v>
      </c>
      <c r="B355" s="253"/>
      <c r="C355" s="34"/>
      <c r="D355" s="253"/>
      <c r="E355" s="14"/>
    </row>
    <row r="356" spans="1:5" x14ac:dyDescent="0.2">
      <c r="A356" s="345">
        <v>38352</v>
      </c>
      <c r="B356" s="253"/>
      <c r="C356" s="256"/>
      <c r="D356" s="253"/>
      <c r="E356" s="14"/>
    </row>
    <row r="357" spans="1:5" x14ac:dyDescent="0.2">
      <c r="A357" s="345">
        <v>38383</v>
      </c>
      <c r="B357" s="253"/>
      <c r="C357" s="34"/>
      <c r="D357" s="253"/>
      <c r="E357" s="14"/>
    </row>
    <row r="358" spans="1:5" x14ac:dyDescent="0.2">
      <c r="A358" s="345">
        <v>38411</v>
      </c>
      <c r="B358" s="253"/>
      <c r="C358" s="34"/>
      <c r="D358" s="253"/>
      <c r="E358" s="14"/>
    </row>
    <row r="359" spans="1:5" x14ac:dyDescent="0.2">
      <c r="A359" s="345">
        <v>38442</v>
      </c>
      <c r="B359" s="253"/>
      <c r="C359" s="256"/>
      <c r="D359" s="253"/>
      <c r="E359" s="14"/>
    </row>
    <row r="360" spans="1:5" x14ac:dyDescent="0.2">
      <c r="A360" s="345">
        <v>38472</v>
      </c>
      <c r="B360" s="253"/>
      <c r="C360" s="256"/>
      <c r="D360" s="253"/>
      <c r="E360" s="14"/>
    </row>
    <row r="361" spans="1:5" x14ac:dyDescent="0.2">
      <c r="A361" s="345">
        <v>38503</v>
      </c>
      <c r="B361" s="253"/>
      <c r="C361" s="256"/>
      <c r="D361" s="253"/>
      <c r="E361" s="14"/>
    </row>
    <row r="362" spans="1:5" x14ac:dyDescent="0.2">
      <c r="A362" s="345">
        <v>38533</v>
      </c>
      <c r="B362" s="253"/>
      <c r="C362" s="256"/>
      <c r="D362" s="253"/>
      <c r="E362" s="14"/>
    </row>
    <row r="363" spans="1:5" x14ac:dyDescent="0.2">
      <c r="A363" s="345">
        <v>38564</v>
      </c>
      <c r="B363" s="253"/>
      <c r="C363" s="256"/>
      <c r="D363" s="253"/>
      <c r="E363" s="14"/>
    </row>
    <row r="364" spans="1:5" x14ac:dyDescent="0.2">
      <c r="A364" s="345">
        <v>38595</v>
      </c>
      <c r="B364" s="253"/>
      <c r="C364" s="256"/>
      <c r="D364" s="253"/>
      <c r="E364" s="14"/>
    </row>
    <row r="365" spans="1:5" x14ac:dyDescent="0.2">
      <c r="A365" s="345">
        <v>38625</v>
      </c>
      <c r="B365" s="253"/>
      <c r="C365" s="256"/>
      <c r="D365" s="253"/>
      <c r="E365" s="14"/>
    </row>
    <row r="366" spans="1:5" x14ac:dyDescent="0.2">
      <c r="A366" s="345">
        <v>38656</v>
      </c>
      <c r="B366" s="253"/>
      <c r="C366" s="256"/>
      <c r="D366" s="253"/>
      <c r="E366" s="14"/>
    </row>
    <row r="367" spans="1:5" x14ac:dyDescent="0.2">
      <c r="A367" s="345">
        <v>38686</v>
      </c>
      <c r="B367" s="253"/>
      <c r="C367" s="256"/>
      <c r="D367" s="253"/>
      <c r="E367" s="14"/>
    </row>
    <row r="368" spans="1:5" x14ac:dyDescent="0.2">
      <c r="A368" s="345">
        <v>38717</v>
      </c>
      <c r="B368" s="253"/>
      <c r="C368" s="256"/>
      <c r="D368" s="253"/>
      <c r="E368" s="14"/>
    </row>
    <row r="369" spans="1:6" x14ac:dyDescent="0.2">
      <c r="A369" s="345">
        <v>38748</v>
      </c>
      <c r="B369" s="253"/>
      <c r="C369" s="256"/>
      <c r="D369" s="253"/>
      <c r="E369" s="14"/>
    </row>
    <row r="370" spans="1:6" x14ac:dyDescent="0.2">
      <c r="A370" s="345">
        <v>38776</v>
      </c>
      <c r="B370" s="253"/>
      <c r="C370" s="256"/>
      <c r="D370" s="253"/>
      <c r="E370" s="14"/>
    </row>
    <row r="371" spans="1:6" x14ac:dyDescent="0.2">
      <c r="A371" s="345">
        <v>38807</v>
      </c>
      <c r="B371" s="253"/>
      <c r="C371" s="367"/>
      <c r="D371" s="253"/>
      <c r="E371" s="14"/>
    </row>
    <row r="372" spans="1:6" x14ac:dyDescent="0.2">
      <c r="A372" s="345">
        <v>38837</v>
      </c>
      <c r="B372" s="253"/>
      <c r="C372" s="367"/>
      <c r="D372" s="253"/>
      <c r="E372" s="14"/>
    </row>
    <row r="373" spans="1:6" x14ac:dyDescent="0.2">
      <c r="A373" s="345">
        <v>38868</v>
      </c>
      <c r="B373" s="253"/>
      <c r="C373" s="367"/>
      <c r="D373" s="253"/>
      <c r="E373" s="14"/>
    </row>
    <row r="374" spans="1:6" x14ac:dyDescent="0.2">
      <c r="A374" s="345">
        <v>38898</v>
      </c>
      <c r="B374" s="128"/>
      <c r="C374" s="612"/>
      <c r="D374" s="253"/>
      <c r="E374" s="14"/>
    </row>
    <row r="375" spans="1:6" x14ac:dyDescent="0.2">
      <c r="A375" s="345">
        <v>38929</v>
      </c>
      <c r="B375" s="253"/>
      <c r="C375" s="34"/>
      <c r="D375" s="253"/>
      <c r="E375" s="14"/>
    </row>
    <row r="376" spans="1:6" x14ac:dyDescent="0.2">
      <c r="A376" s="345">
        <v>38960</v>
      </c>
      <c r="B376" s="253"/>
      <c r="C376" s="34"/>
      <c r="D376" s="253"/>
      <c r="E376" s="14"/>
    </row>
    <row r="377" spans="1:6" x14ac:dyDescent="0.2">
      <c r="A377" s="345">
        <v>38990</v>
      </c>
      <c r="B377" s="253"/>
      <c r="C377" s="34"/>
      <c r="D377" s="253"/>
      <c r="E377" s="14"/>
    </row>
    <row r="378" spans="1:6" x14ac:dyDescent="0.2">
      <c r="A378" s="345">
        <v>39021</v>
      </c>
      <c r="B378" s="253"/>
      <c r="C378" s="34"/>
      <c r="D378" s="253"/>
      <c r="E378" s="14"/>
      <c r="F378" s="352"/>
    </row>
    <row r="379" spans="1:6" x14ac:dyDescent="0.2">
      <c r="A379" s="345">
        <v>39051</v>
      </c>
      <c r="B379" s="253"/>
      <c r="C379" s="34"/>
      <c r="D379" s="253"/>
      <c r="E379" s="14"/>
      <c r="F379" s="352"/>
    </row>
    <row r="380" spans="1:6" x14ac:dyDescent="0.2">
      <c r="A380" s="345">
        <v>39082</v>
      </c>
      <c r="B380" s="253"/>
      <c r="C380" s="703"/>
      <c r="D380" s="253"/>
      <c r="E380" s="14"/>
      <c r="F380" s="352"/>
    </row>
    <row r="381" spans="1:6" x14ac:dyDescent="0.2">
      <c r="A381" s="345">
        <v>39113</v>
      </c>
      <c r="B381" s="253"/>
      <c r="C381" s="770"/>
      <c r="E381" s="14"/>
      <c r="F381" s="352"/>
    </row>
    <row r="382" spans="1:6" x14ac:dyDescent="0.2">
      <c r="A382" s="345">
        <v>39141</v>
      </c>
      <c r="B382" s="253"/>
      <c r="C382" s="770"/>
      <c r="E382" s="14"/>
      <c r="F382" s="352"/>
    </row>
    <row r="383" spans="1:6" x14ac:dyDescent="0.2">
      <c r="A383" s="345">
        <v>39172</v>
      </c>
      <c r="B383" s="253"/>
      <c r="C383" s="770"/>
      <c r="E383" s="14"/>
    </row>
    <row r="384" spans="1:6" x14ac:dyDescent="0.2">
      <c r="A384" s="345">
        <v>39202</v>
      </c>
      <c r="B384" s="253"/>
      <c r="C384" s="770"/>
      <c r="E384" s="14"/>
    </row>
    <row r="385" spans="1:5" x14ac:dyDescent="0.2">
      <c r="A385" s="345">
        <v>39233</v>
      </c>
      <c r="B385" s="253"/>
      <c r="C385" s="770"/>
      <c r="E385" s="14"/>
    </row>
    <row r="386" spans="1:5" x14ac:dyDescent="0.2">
      <c r="A386" s="345">
        <v>39263</v>
      </c>
      <c r="B386" s="253"/>
      <c r="C386" s="770"/>
      <c r="E386" s="14"/>
    </row>
    <row r="387" spans="1:5" x14ac:dyDescent="0.2">
      <c r="A387" s="345">
        <v>39294</v>
      </c>
      <c r="B387" s="253"/>
      <c r="C387" s="770"/>
      <c r="E387" s="14"/>
    </row>
    <row r="388" spans="1:5" x14ac:dyDescent="0.2">
      <c r="A388" s="345">
        <v>39325</v>
      </c>
      <c r="B388" s="253"/>
      <c r="C388" s="346"/>
      <c r="E388" s="14"/>
    </row>
    <row r="389" spans="1:5" x14ac:dyDescent="0.2">
      <c r="A389" s="345">
        <v>39355</v>
      </c>
      <c r="B389" s="253"/>
      <c r="C389" s="346"/>
      <c r="E389" s="14"/>
    </row>
    <row r="390" spans="1:5" x14ac:dyDescent="0.2">
      <c r="A390" s="345">
        <v>39386</v>
      </c>
      <c r="B390" s="253"/>
      <c r="C390" s="346"/>
      <c r="E390" s="14"/>
    </row>
    <row r="391" spans="1:5" x14ac:dyDescent="0.2">
      <c r="A391" s="345">
        <v>39416</v>
      </c>
      <c r="B391" s="253"/>
      <c r="C391" s="346"/>
      <c r="E391" s="14"/>
    </row>
    <row r="392" spans="1:5" x14ac:dyDescent="0.2">
      <c r="A392" s="345">
        <v>39447</v>
      </c>
      <c r="B392" s="253"/>
      <c r="C392" s="346"/>
      <c r="E392" s="14"/>
    </row>
    <row r="393" spans="1:5" x14ac:dyDescent="0.2">
      <c r="A393" s="345">
        <v>39478</v>
      </c>
      <c r="B393" s="253"/>
      <c r="C393" s="346"/>
      <c r="E393" s="14"/>
    </row>
    <row r="394" spans="1:5" x14ac:dyDescent="0.2">
      <c r="A394" s="345">
        <v>39507</v>
      </c>
      <c r="B394" s="253"/>
      <c r="C394" s="346"/>
      <c r="E394" s="14"/>
    </row>
    <row r="395" spans="1:5" x14ac:dyDescent="0.2">
      <c r="A395" s="345">
        <v>39538</v>
      </c>
      <c r="B395" s="253"/>
      <c r="C395" s="346"/>
      <c r="E395" s="14"/>
    </row>
    <row r="396" spans="1:5" x14ac:dyDescent="0.2">
      <c r="A396" s="345">
        <v>39568</v>
      </c>
      <c r="B396" s="253"/>
      <c r="C396" s="346"/>
      <c r="E396" s="14"/>
    </row>
    <row r="397" spans="1:5" x14ac:dyDescent="0.2">
      <c r="A397" s="345">
        <v>39599</v>
      </c>
      <c r="B397" s="253"/>
      <c r="C397" s="346"/>
      <c r="E397" s="14"/>
    </row>
    <row r="398" spans="1:5" x14ac:dyDescent="0.2">
      <c r="A398" s="345">
        <v>39629</v>
      </c>
      <c r="B398" s="253"/>
      <c r="C398" s="346"/>
      <c r="E398" s="14"/>
    </row>
    <row r="399" spans="1:5" x14ac:dyDescent="0.2">
      <c r="A399" s="345">
        <v>39660</v>
      </c>
      <c r="B399" s="253"/>
      <c r="C399" s="367"/>
      <c r="E399" s="14"/>
    </row>
    <row r="400" spans="1:5" x14ac:dyDescent="0.2">
      <c r="A400" s="345">
        <v>39691</v>
      </c>
      <c r="B400" s="253"/>
      <c r="C400" s="367"/>
      <c r="E400" s="14"/>
    </row>
    <row r="401" spans="1:5" x14ac:dyDescent="0.2">
      <c r="A401" s="345">
        <v>39721</v>
      </c>
      <c r="B401" s="253">
        <f t="shared" ref="B401:B428" si="0">D401-((D$1/12)/100)</f>
        <v>-5.4199999999999998E-2</v>
      </c>
      <c r="C401" s="367">
        <v>25002086.120000001</v>
      </c>
      <c r="D401" s="258">
        <v>8.3000000000000001E-3</v>
      </c>
      <c r="E401" s="14">
        <f>B401-Index_Returns!W401</f>
        <v>1.2889999999999999</v>
      </c>
    </row>
    <row r="402" spans="1:5" x14ac:dyDescent="0.2">
      <c r="A402" s="345">
        <v>39752</v>
      </c>
      <c r="B402" s="253">
        <f t="shared" si="0"/>
        <v>2.464</v>
      </c>
      <c r="C402" s="346">
        <v>50878266.950000003</v>
      </c>
      <c r="D402" s="258">
        <v>2.5265</v>
      </c>
      <c r="E402" s="14">
        <f>B402-Index_Returns!W402</f>
        <v>4.8243999999999998</v>
      </c>
    </row>
    <row r="403" spans="1:5" x14ac:dyDescent="0.2">
      <c r="A403" s="345">
        <v>39782</v>
      </c>
      <c r="B403" s="253">
        <f t="shared" si="0"/>
        <v>-8.4891000000000005</v>
      </c>
      <c r="C403" s="346">
        <v>70116282.329999998</v>
      </c>
      <c r="D403" s="258">
        <v>-8.4266000000000005</v>
      </c>
      <c r="E403" s="14">
        <f>B403-Index_Returns!W403</f>
        <v>-11.7441</v>
      </c>
    </row>
    <row r="404" spans="1:5" x14ac:dyDescent="0.2">
      <c r="A404" s="345">
        <v>39813</v>
      </c>
      <c r="B404" s="253">
        <f t="shared" si="0"/>
        <v>2.3035999999999999</v>
      </c>
      <c r="C404" s="346">
        <v>71775275.670000002</v>
      </c>
      <c r="D404" s="258">
        <v>2.3660999999999999</v>
      </c>
      <c r="E404" s="14">
        <f>B404-Index_Returns!W404</f>
        <v>-1.4273000000000002</v>
      </c>
    </row>
    <row r="405" spans="1:5" x14ac:dyDescent="0.2">
      <c r="A405" s="345">
        <v>39844</v>
      </c>
      <c r="B405" s="253">
        <f t="shared" si="0"/>
        <v>-1.4346000000000001</v>
      </c>
      <c r="C405" s="346">
        <v>70790477.189999998</v>
      </c>
      <c r="D405" s="258">
        <v>-1.3721000000000001</v>
      </c>
      <c r="E405" s="14">
        <f>B405-Index_Returns!W405</f>
        <v>-0.55230000000000012</v>
      </c>
    </row>
    <row r="406" spans="1:5" x14ac:dyDescent="0.2">
      <c r="A406" s="345">
        <v>39872</v>
      </c>
      <c r="B406" s="253">
        <f t="shared" si="0"/>
        <v>-4.2850999999999999</v>
      </c>
      <c r="C406" s="346">
        <v>67801260.170000002</v>
      </c>
      <c r="D406" s="258">
        <v>-4.2225999999999999</v>
      </c>
      <c r="E406" s="14">
        <f>B406-Index_Returns!W406</f>
        <v>-3.9074999999999998</v>
      </c>
    </row>
    <row r="407" spans="1:5" x14ac:dyDescent="0.2">
      <c r="A407" s="345">
        <v>39903</v>
      </c>
      <c r="B407" s="253">
        <f t="shared" si="0"/>
        <v>1.6772</v>
      </c>
      <c r="C407" s="346">
        <v>79149170.719999999</v>
      </c>
      <c r="D407" s="258">
        <v>1.7397</v>
      </c>
      <c r="E407" s="14">
        <f>B407-Index_Returns!W407</f>
        <v>0.28699999999999992</v>
      </c>
    </row>
    <row r="408" spans="1:5" x14ac:dyDescent="0.2">
      <c r="A408" s="345">
        <v>39933</v>
      </c>
      <c r="B408" s="253">
        <v>3.4499999999999975</v>
      </c>
      <c r="C408" s="346">
        <v>90786652.650000006</v>
      </c>
      <c r="E408" s="14">
        <f>B408-Index_Returns!W408</f>
        <v>2.9713999999999974</v>
      </c>
    </row>
    <row r="409" spans="1:5" x14ac:dyDescent="0.2">
      <c r="A409" s="345">
        <v>39964</v>
      </c>
      <c r="B409" s="253">
        <v>3.4799999999999942</v>
      </c>
      <c r="C409" s="346">
        <v>95434265.090000004</v>
      </c>
      <c r="E409" s="14">
        <f>B409-Index_Returns!W409</f>
        <v>2.7548999999999944</v>
      </c>
    </row>
    <row r="410" spans="1:5" x14ac:dyDescent="0.2">
      <c r="A410" s="345">
        <v>39994</v>
      </c>
      <c r="B410" s="253">
        <v>0.8999999999999897</v>
      </c>
      <c r="C410" s="346">
        <v>121694878.06999999</v>
      </c>
      <c r="E410" s="14">
        <f>B410-Index_Returns!W410</f>
        <v>0.33159999999998968</v>
      </c>
    </row>
    <row r="411" spans="1:5" x14ac:dyDescent="0.2">
      <c r="A411" s="345">
        <v>40025</v>
      </c>
      <c r="B411" s="253">
        <f t="shared" si="0"/>
        <v>-0.18770000000000001</v>
      </c>
      <c r="C411" s="346">
        <v>130940595.72356822</v>
      </c>
      <c r="D411" s="258">
        <v>-0.12520000000000001</v>
      </c>
      <c r="E411" s="14">
        <f>B411-Index_Returns!W411</f>
        <v>-1.8009999999999999</v>
      </c>
    </row>
    <row r="412" spans="1:5" x14ac:dyDescent="0.2">
      <c r="A412" s="345">
        <v>40056</v>
      </c>
      <c r="B412" s="253">
        <f t="shared" si="0"/>
        <v>1.1217999999999999</v>
      </c>
      <c r="C412" s="346">
        <v>162823684.18000001</v>
      </c>
      <c r="D412" s="258">
        <v>1.1842999999999999</v>
      </c>
      <c r="E412" s="14">
        <f>B412-Index_Returns!W412</f>
        <v>8.639999999999981E-2</v>
      </c>
    </row>
    <row r="413" spans="1:5" x14ac:dyDescent="0.2">
      <c r="A413" s="345">
        <v>40086</v>
      </c>
      <c r="B413" s="253">
        <f t="shared" si="0"/>
        <v>3.8820000000000001</v>
      </c>
      <c r="C413" s="346">
        <v>169922273.41</v>
      </c>
      <c r="D413" s="258">
        <v>3.9445000000000001</v>
      </c>
      <c r="E413" s="14">
        <f>B413-Index_Returns!W413</f>
        <v>2.8313000000000001</v>
      </c>
    </row>
    <row r="414" spans="1:5" x14ac:dyDescent="0.2">
      <c r="A414" s="345">
        <v>40117</v>
      </c>
      <c r="B414" s="253">
        <f t="shared" si="0"/>
        <v>-6.25E-2</v>
      </c>
      <c r="C414" s="346"/>
      <c r="E414" s="14">
        <f>B414-Index_Returns!W414</f>
        <v>-0.55249999999999999</v>
      </c>
    </row>
    <row r="415" spans="1:5" x14ac:dyDescent="0.2">
      <c r="A415" s="345">
        <v>40147</v>
      </c>
      <c r="B415" s="253">
        <f t="shared" si="0"/>
        <v>-6.25E-2</v>
      </c>
      <c r="C415" s="346"/>
      <c r="E415" s="14">
        <f>B415-Index_Returns!W415</f>
        <v>-1.3565</v>
      </c>
    </row>
    <row r="416" spans="1:5" x14ac:dyDescent="0.2">
      <c r="A416" s="345">
        <v>40178</v>
      </c>
      <c r="B416" s="253">
        <f t="shared" si="0"/>
        <v>-6.25E-2</v>
      </c>
      <c r="C416" s="346"/>
      <c r="E416" s="14">
        <f>B416-Index_Returns!W416</f>
        <v>1.50101</v>
      </c>
    </row>
    <row r="417" spans="1:5" x14ac:dyDescent="0.2">
      <c r="A417" s="345">
        <v>40209</v>
      </c>
      <c r="B417" s="253">
        <f t="shared" si="0"/>
        <v>-6.25E-2</v>
      </c>
      <c r="C417" s="346"/>
      <c r="E417" s="14">
        <f>B417-Index_Returns!W417</f>
        <v>-1.5902799999999999</v>
      </c>
    </row>
    <row r="418" spans="1:5" x14ac:dyDescent="0.2">
      <c r="A418" s="345">
        <v>40237</v>
      </c>
      <c r="B418" s="253">
        <f t="shared" si="0"/>
        <v>-6.25E-2</v>
      </c>
      <c r="C418" s="346"/>
      <c r="E418" s="14">
        <f>B418-Index_Returns!W418</f>
        <v>-0.43581999999999999</v>
      </c>
    </row>
    <row r="419" spans="1:5" x14ac:dyDescent="0.2">
      <c r="A419" s="345">
        <v>40268</v>
      </c>
      <c r="B419" s="253">
        <f t="shared" si="0"/>
        <v>-6.25E-2</v>
      </c>
      <c r="C419" s="346"/>
      <c r="E419" s="14">
        <f>B419-Index_Returns!W419</f>
        <v>6.0120000000000007E-2</v>
      </c>
    </row>
    <row r="420" spans="1:5" x14ac:dyDescent="0.2">
      <c r="A420" s="345">
        <v>40298</v>
      </c>
      <c r="B420" s="253">
        <f t="shared" si="0"/>
        <v>-6.25E-2</v>
      </c>
      <c r="C420" s="346"/>
      <c r="E420" s="14">
        <f>B420-Index_Returns!W420</f>
        <v>-1.10348</v>
      </c>
    </row>
    <row r="421" spans="1:5" x14ac:dyDescent="0.2">
      <c r="A421" s="345">
        <v>40329</v>
      </c>
      <c r="B421" s="253">
        <f t="shared" si="0"/>
        <v>-6.25E-2</v>
      </c>
      <c r="C421" s="346"/>
      <c r="E421" s="14">
        <f>B421-Index_Returns!W421</f>
        <v>-0.90358000000000005</v>
      </c>
    </row>
    <row r="422" spans="1:5" x14ac:dyDescent="0.2">
      <c r="A422" s="345">
        <v>40359</v>
      </c>
      <c r="B422" s="253">
        <f t="shared" si="0"/>
        <v>-6.25E-2</v>
      </c>
      <c r="C422" s="346"/>
      <c r="E422" s="14">
        <f>B422-Index_Returns!W422</f>
        <v>-1.63066</v>
      </c>
    </row>
    <row r="423" spans="1:5" x14ac:dyDescent="0.2">
      <c r="A423" s="345">
        <v>40390</v>
      </c>
      <c r="B423" s="253">
        <f t="shared" si="0"/>
        <v>-6.25E-2</v>
      </c>
      <c r="C423" s="346"/>
      <c r="E423" s="14">
        <f>B423-Index_Returns!W423</f>
        <v>-1.12988</v>
      </c>
    </row>
    <row r="424" spans="1:5" x14ac:dyDescent="0.2">
      <c r="A424" s="345">
        <v>40421</v>
      </c>
      <c r="B424" s="253">
        <f t="shared" si="0"/>
        <v>-6.25E-2</v>
      </c>
      <c r="C424" s="346"/>
      <c r="E424" s="14">
        <f>B424-Index_Returns!W424</f>
        <v>-1.3490500000000001</v>
      </c>
    </row>
    <row r="425" spans="1:5" x14ac:dyDescent="0.2">
      <c r="A425" s="345">
        <v>40451</v>
      </c>
      <c r="B425" s="253">
        <f t="shared" si="0"/>
        <v>-6.25E-2</v>
      </c>
      <c r="C425" s="346"/>
      <c r="E425" s="14">
        <f>B425-Index_Returns!W425</f>
        <v>-0.16921999999999998</v>
      </c>
    </row>
    <row r="426" spans="1:5" x14ac:dyDescent="0.2">
      <c r="A426" s="345">
        <v>40482</v>
      </c>
      <c r="B426" s="253">
        <f t="shared" si="0"/>
        <v>-6.25E-2</v>
      </c>
      <c r="C426" s="346"/>
      <c r="E426" s="14">
        <f>B426-Index_Returns!W426</f>
        <v>-0.41833999999999999</v>
      </c>
    </row>
    <row r="427" spans="1:5" x14ac:dyDescent="0.2">
      <c r="A427" s="345">
        <v>40512</v>
      </c>
      <c r="B427" s="253">
        <f t="shared" si="0"/>
        <v>-6.25E-2</v>
      </c>
      <c r="C427" s="346"/>
      <c r="E427" s="14">
        <f>B427-Index_Returns!W427</f>
        <v>0.51227999999999996</v>
      </c>
    </row>
    <row r="428" spans="1:5" x14ac:dyDescent="0.2">
      <c r="A428" s="345">
        <v>40543</v>
      </c>
      <c r="B428" s="253">
        <f t="shared" si="0"/>
        <v>-6.25E-2</v>
      </c>
      <c r="C428" s="346"/>
      <c r="E428" s="14">
        <f>B428-Index_Returns!W428</f>
        <v>1.0158199999999999</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I437"/>
  <sheetViews>
    <sheetView topLeftCell="A387" workbookViewId="0">
      <selection activeCell="D441" sqref="D441"/>
    </sheetView>
  </sheetViews>
  <sheetFormatPr defaultRowHeight="12.75" x14ac:dyDescent="0.2"/>
  <cols>
    <col min="1" max="1" width="18.7109375" style="21" customWidth="1"/>
    <col min="2" max="2" width="18.7109375" style="257" customWidth="1"/>
    <col min="3" max="3" width="18.7109375" style="5" customWidth="1"/>
    <col min="4" max="5" width="18.7109375" style="258" customWidth="1"/>
    <col min="7" max="7" width="9.140625" style="352"/>
    <col min="8" max="8" width="11.140625" style="352" customWidth="1"/>
  </cols>
  <sheetData>
    <row r="1" spans="1:5" x14ac:dyDescent="0.2">
      <c r="A1" s="265" t="s">
        <v>299</v>
      </c>
      <c r="B1" s="537" t="s">
        <v>307</v>
      </c>
      <c r="C1" s="21" t="s">
        <v>305</v>
      </c>
      <c r="D1" s="252">
        <v>37</v>
      </c>
      <c r="E1" s="74" t="s">
        <v>81</v>
      </c>
    </row>
    <row r="2" spans="1:5" x14ac:dyDescent="0.2">
      <c r="A2" s="3" t="s">
        <v>27</v>
      </c>
      <c r="B2" s="71" t="s">
        <v>91</v>
      </c>
      <c r="C2" s="3" t="s">
        <v>92</v>
      </c>
      <c r="D2" s="71" t="s">
        <v>90</v>
      </c>
      <c r="E2" s="71" t="s">
        <v>80</v>
      </c>
    </row>
    <row r="3" spans="1:5" x14ac:dyDescent="0.2">
      <c r="A3" s="345">
        <v>27606</v>
      </c>
      <c r="B3" s="71"/>
      <c r="C3" s="226"/>
      <c r="D3" s="71"/>
      <c r="E3" s="71"/>
    </row>
    <row r="4" spans="1:5" x14ac:dyDescent="0.2">
      <c r="A4" s="345">
        <v>27637</v>
      </c>
      <c r="B4" s="71"/>
      <c r="C4" s="226"/>
      <c r="D4" s="71"/>
      <c r="E4" s="71"/>
    </row>
    <row r="5" spans="1:5" x14ac:dyDescent="0.2">
      <c r="A5" s="345">
        <v>27667</v>
      </c>
      <c r="B5" s="71"/>
      <c r="C5" s="226"/>
      <c r="D5" s="71"/>
      <c r="E5" s="71"/>
    </row>
    <row r="6" spans="1:5" x14ac:dyDescent="0.2">
      <c r="A6" s="345">
        <v>27698</v>
      </c>
      <c r="B6" s="71"/>
      <c r="C6" s="226"/>
      <c r="D6" s="71"/>
      <c r="E6" s="71"/>
    </row>
    <row r="7" spans="1:5" x14ac:dyDescent="0.2">
      <c r="A7" s="345">
        <v>27728</v>
      </c>
      <c r="B7" s="71"/>
      <c r="C7" s="226"/>
      <c r="D7" s="71"/>
      <c r="E7" s="71"/>
    </row>
    <row r="8" spans="1:5" x14ac:dyDescent="0.2">
      <c r="A8" s="345">
        <v>27759</v>
      </c>
      <c r="B8" s="71"/>
      <c r="C8" s="226"/>
      <c r="D8" s="71"/>
      <c r="E8" s="71"/>
    </row>
    <row r="9" spans="1:5" x14ac:dyDescent="0.2">
      <c r="A9" s="345">
        <v>27790</v>
      </c>
      <c r="B9" s="71"/>
      <c r="C9" s="226"/>
      <c r="D9" s="71"/>
      <c r="E9" s="71"/>
    </row>
    <row r="10" spans="1:5" x14ac:dyDescent="0.2">
      <c r="A10" s="345">
        <v>27819</v>
      </c>
      <c r="B10" s="71"/>
      <c r="C10" s="226"/>
      <c r="D10" s="71"/>
      <c r="E10" s="71"/>
    </row>
    <row r="11" spans="1:5" x14ac:dyDescent="0.2">
      <c r="A11" s="345">
        <v>27850</v>
      </c>
      <c r="B11" s="71"/>
      <c r="C11" s="226"/>
      <c r="D11" s="71"/>
      <c r="E11" s="71"/>
    </row>
    <row r="12" spans="1:5" x14ac:dyDescent="0.2">
      <c r="A12" s="345">
        <v>27880</v>
      </c>
      <c r="B12" s="71"/>
      <c r="C12" s="226"/>
      <c r="D12" s="71"/>
      <c r="E12" s="71"/>
    </row>
    <row r="13" spans="1:5" x14ac:dyDescent="0.2">
      <c r="A13" s="345">
        <v>27911</v>
      </c>
      <c r="B13" s="71"/>
      <c r="C13" s="226"/>
      <c r="D13" s="71"/>
      <c r="E13" s="71"/>
    </row>
    <row r="14" spans="1:5" x14ac:dyDescent="0.2">
      <c r="A14" s="345">
        <v>27941</v>
      </c>
      <c r="B14" s="71"/>
      <c r="C14" s="226"/>
      <c r="D14" s="71"/>
      <c r="E14" s="71"/>
    </row>
    <row r="15" spans="1:5" x14ac:dyDescent="0.2">
      <c r="A15" s="345">
        <v>27972</v>
      </c>
      <c r="B15" s="71"/>
      <c r="C15" s="226"/>
      <c r="D15" s="71"/>
      <c r="E15" s="71"/>
    </row>
    <row r="16" spans="1:5"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3"/>
      <c r="C147" s="25"/>
      <c r="D147" s="73"/>
      <c r="E147" s="73"/>
    </row>
    <row r="148" spans="1:5" x14ac:dyDescent="0.2">
      <c r="A148" s="345">
        <v>32020</v>
      </c>
      <c r="B148" s="73"/>
      <c r="C148" s="25"/>
      <c r="D148" s="73"/>
      <c r="E148" s="73"/>
    </row>
    <row r="149" spans="1:5" x14ac:dyDescent="0.2">
      <c r="A149" s="345">
        <v>32050</v>
      </c>
      <c r="B149" s="73"/>
      <c r="C149" s="25"/>
      <c r="D149" s="73"/>
      <c r="E149" s="73"/>
    </row>
    <row r="150" spans="1:5" x14ac:dyDescent="0.2">
      <c r="A150" s="345">
        <v>32081</v>
      </c>
      <c r="B150" s="73"/>
      <c r="C150" s="25"/>
      <c r="D150" s="73"/>
      <c r="E150" s="73"/>
    </row>
    <row r="151" spans="1:5" x14ac:dyDescent="0.2">
      <c r="A151" s="345">
        <v>32111</v>
      </c>
      <c r="B151" s="73"/>
      <c r="C151" s="25"/>
      <c r="D151" s="73"/>
      <c r="E151" s="73"/>
    </row>
    <row r="152" spans="1:5" x14ac:dyDescent="0.2">
      <c r="A152" s="345">
        <v>32142</v>
      </c>
      <c r="B152" s="73"/>
      <c r="C152" s="25"/>
      <c r="D152" s="73"/>
      <c r="E152" s="73"/>
    </row>
    <row r="153" spans="1:5" x14ac:dyDescent="0.2">
      <c r="A153" s="345">
        <v>32173</v>
      </c>
      <c r="B153" s="73"/>
      <c r="C153" s="25"/>
      <c r="D153" s="73"/>
      <c r="E153" s="73"/>
    </row>
    <row r="154" spans="1:5" x14ac:dyDescent="0.2">
      <c r="A154" s="345">
        <v>32202</v>
      </c>
      <c r="B154" s="73"/>
      <c r="C154" s="25"/>
      <c r="D154" s="73"/>
      <c r="E154" s="73"/>
    </row>
    <row r="155" spans="1:5" x14ac:dyDescent="0.2">
      <c r="A155" s="345">
        <v>32233</v>
      </c>
      <c r="B155" s="73"/>
      <c r="C155" s="25"/>
      <c r="D155" s="73"/>
      <c r="E155" s="73"/>
    </row>
    <row r="156" spans="1:5" x14ac:dyDescent="0.2">
      <c r="A156" s="345">
        <v>32263</v>
      </c>
      <c r="B156" s="73"/>
      <c r="C156" s="25"/>
      <c r="D156" s="73"/>
      <c r="E156" s="73"/>
    </row>
    <row r="157" spans="1:5" x14ac:dyDescent="0.2">
      <c r="A157" s="345">
        <v>32294</v>
      </c>
      <c r="B157" s="73"/>
      <c r="C157" s="25"/>
      <c r="D157" s="73"/>
      <c r="E157" s="73"/>
    </row>
    <row r="158" spans="1:5" x14ac:dyDescent="0.2">
      <c r="A158" s="345">
        <v>32324</v>
      </c>
      <c r="B158" s="73"/>
      <c r="C158" s="25"/>
      <c r="D158" s="73"/>
      <c r="E158" s="73"/>
    </row>
    <row r="159" spans="1:5" x14ac:dyDescent="0.2">
      <c r="A159" s="345">
        <v>32355</v>
      </c>
      <c r="B159" s="73"/>
      <c r="C159" s="25"/>
      <c r="D159" s="73"/>
      <c r="E159" s="73"/>
    </row>
    <row r="160" spans="1:5" x14ac:dyDescent="0.2">
      <c r="A160" s="345">
        <v>32386</v>
      </c>
      <c r="B160" s="73"/>
      <c r="C160" s="25"/>
      <c r="D160" s="73"/>
      <c r="E160" s="73"/>
    </row>
    <row r="161" spans="1:5" x14ac:dyDescent="0.2">
      <c r="A161" s="345">
        <v>32416</v>
      </c>
      <c r="B161" s="73"/>
      <c r="C161" s="25"/>
      <c r="D161" s="73"/>
      <c r="E161" s="73"/>
    </row>
    <row r="162" spans="1:5" x14ac:dyDescent="0.2">
      <c r="A162" s="345">
        <v>32447</v>
      </c>
      <c r="B162" s="73"/>
      <c r="C162" s="25"/>
      <c r="D162" s="73"/>
      <c r="E162" s="73"/>
    </row>
    <row r="163" spans="1:5" x14ac:dyDescent="0.2">
      <c r="A163" s="345">
        <v>32477</v>
      </c>
      <c r="B163" s="73"/>
      <c r="C163" s="25"/>
      <c r="D163" s="73"/>
      <c r="E163" s="73"/>
    </row>
    <row r="164" spans="1:5" x14ac:dyDescent="0.2">
      <c r="A164" s="345">
        <v>32508</v>
      </c>
      <c r="B164" s="73"/>
      <c r="C164" s="25"/>
      <c r="D164" s="73"/>
      <c r="E164" s="73"/>
    </row>
    <row r="165" spans="1:5" x14ac:dyDescent="0.2">
      <c r="A165" s="345">
        <v>32539</v>
      </c>
      <c r="B165" s="73"/>
      <c r="C165" s="25"/>
      <c r="D165" s="73"/>
      <c r="E165" s="73"/>
    </row>
    <row r="166" spans="1:5" x14ac:dyDescent="0.2">
      <c r="A166" s="345">
        <v>32567</v>
      </c>
      <c r="B166" s="73"/>
      <c r="C166" s="25"/>
      <c r="D166" s="73"/>
      <c r="E166" s="73"/>
    </row>
    <row r="167" spans="1:5" x14ac:dyDescent="0.2">
      <c r="A167" s="345">
        <v>32598</v>
      </c>
      <c r="B167" s="73"/>
      <c r="C167" s="25"/>
      <c r="D167" s="73"/>
      <c r="E167" s="73"/>
    </row>
    <row r="168" spans="1:5" x14ac:dyDescent="0.2">
      <c r="A168" s="345">
        <v>32628</v>
      </c>
      <c r="B168" s="73"/>
      <c r="C168" s="25"/>
      <c r="D168" s="73"/>
      <c r="E168" s="73"/>
    </row>
    <row r="169" spans="1:5" x14ac:dyDescent="0.2">
      <c r="A169" s="345">
        <v>32659</v>
      </c>
      <c r="B169" s="73"/>
      <c r="C169" s="25"/>
      <c r="D169" s="73"/>
      <c r="E169" s="73"/>
    </row>
    <row r="170" spans="1:5" x14ac:dyDescent="0.2">
      <c r="A170" s="345">
        <v>32689</v>
      </c>
      <c r="B170" s="73"/>
      <c r="C170" s="25"/>
      <c r="D170" s="73"/>
      <c r="E170" s="73"/>
    </row>
    <row r="171" spans="1:5" x14ac:dyDescent="0.2">
      <c r="A171" s="345">
        <v>32720</v>
      </c>
      <c r="B171" s="73"/>
      <c r="C171" s="25"/>
      <c r="D171" s="73"/>
      <c r="E171" s="73"/>
    </row>
    <row r="172" spans="1:5" x14ac:dyDescent="0.2">
      <c r="A172" s="345">
        <v>32751</v>
      </c>
      <c r="B172" s="73"/>
      <c r="C172" s="25"/>
      <c r="D172" s="73"/>
      <c r="E172" s="73"/>
    </row>
    <row r="173" spans="1:5" x14ac:dyDescent="0.2">
      <c r="A173" s="345">
        <v>32781</v>
      </c>
      <c r="B173" s="73"/>
      <c r="C173" s="25"/>
      <c r="D173" s="73"/>
      <c r="E173" s="73"/>
    </row>
    <row r="174" spans="1:5" x14ac:dyDescent="0.2">
      <c r="A174" s="345">
        <v>32812</v>
      </c>
      <c r="B174" s="73"/>
      <c r="C174" s="25"/>
      <c r="D174" s="73"/>
      <c r="E174" s="73"/>
    </row>
    <row r="175" spans="1:5" x14ac:dyDescent="0.2">
      <c r="A175" s="345">
        <v>32842</v>
      </c>
      <c r="B175" s="73"/>
      <c r="C175" s="25"/>
      <c r="D175" s="73"/>
      <c r="E175" s="73"/>
    </row>
    <row r="176" spans="1:5" x14ac:dyDescent="0.2">
      <c r="A176" s="345">
        <v>32873</v>
      </c>
      <c r="B176" s="73"/>
      <c r="C176" s="25"/>
      <c r="D176" s="73"/>
      <c r="E176" s="73"/>
    </row>
    <row r="177" spans="1:5" x14ac:dyDescent="0.2">
      <c r="A177" s="345">
        <v>32904</v>
      </c>
      <c r="B177" s="255"/>
      <c r="C177" s="259"/>
      <c r="D177" s="73"/>
      <c r="E177" s="73"/>
    </row>
    <row r="178" spans="1:5" x14ac:dyDescent="0.2">
      <c r="A178" s="345">
        <v>32932</v>
      </c>
      <c r="B178" s="255"/>
      <c r="C178" s="259"/>
      <c r="D178" s="73"/>
      <c r="E178" s="73"/>
    </row>
    <row r="179" spans="1:5" x14ac:dyDescent="0.2">
      <c r="A179" s="345">
        <v>32963</v>
      </c>
      <c r="B179" s="255"/>
      <c r="C179" s="259"/>
      <c r="D179" s="73"/>
      <c r="E179" s="73"/>
    </row>
    <row r="180" spans="1:5" x14ac:dyDescent="0.2">
      <c r="A180" s="345">
        <v>32993</v>
      </c>
      <c r="B180" s="255"/>
      <c r="C180" s="259"/>
      <c r="D180" s="73"/>
      <c r="E180" s="73"/>
    </row>
    <row r="181" spans="1:5" x14ac:dyDescent="0.2">
      <c r="A181" s="345">
        <v>33024</v>
      </c>
      <c r="B181" s="255"/>
      <c r="C181" s="259"/>
      <c r="D181" s="73"/>
      <c r="E181" s="73"/>
    </row>
    <row r="182" spans="1:5" x14ac:dyDescent="0.2">
      <c r="A182" s="345">
        <v>33054</v>
      </c>
      <c r="B182" s="255"/>
      <c r="C182" s="259"/>
      <c r="D182" s="73"/>
      <c r="E182" s="73"/>
    </row>
    <row r="183" spans="1:5" x14ac:dyDescent="0.2">
      <c r="A183" s="345">
        <v>33085</v>
      </c>
      <c r="B183" s="255"/>
      <c r="C183" s="259"/>
      <c r="D183" s="73"/>
      <c r="E183" s="73"/>
    </row>
    <row r="184" spans="1:5" x14ac:dyDescent="0.2">
      <c r="A184" s="345">
        <v>33116</v>
      </c>
      <c r="B184" s="255"/>
      <c r="C184" s="259"/>
      <c r="D184" s="73"/>
      <c r="E184" s="73"/>
    </row>
    <row r="185" spans="1:5" x14ac:dyDescent="0.2">
      <c r="A185" s="345">
        <v>33146</v>
      </c>
      <c r="B185" s="255"/>
      <c r="C185" s="259"/>
      <c r="D185" s="73"/>
      <c r="E185" s="73"/>
    </row>
    <row r="186" spans="1:5" x14ac:dyDescent="0.2">
      <c r="A186" s="345">
        <v>33177</v>
      </c>
      <c r="B186" s="255"/>
      <c r="C186" s="259"/>
      <c r="D186" s="73"/>
      <c r="E186" s="73"/>
    </row>
    <row r="187" spans="1:5" x14ac:dyDescent="0.2">
      <c r="A187" s="345">
        <v>33207</v>
      </c>
      <c r="B187" s="255"/>
      <c r="C187" s="259"/>
      <c r="D187" s="73"/>
      <c r="E187" s="73"/>
    </row>
    <row r="188" spans="1:5" x14ac:dyDescent="0.2">
      <c r="A188" s="345">
        <v>33238</v>
      </c>
      <c r="B188" s="255"/>
      <c r="C188" s="259"/>
      <c r="D188" s="73"/>
      <c r="E188" s="73"/>
    </row>
    <row r="189" spans="1:5" x14ac:dyDescent="0.2">
      <c r="A189" s="345">
        <v>33269</v>
      </c>
      <c r="B189" s="255"/>
      <c r="C189" s="259"/>
      <c r="D189" s="73"/>
      <c r="E189" s="73"/>
    </row>
    <row r="190" spans="1:5" x14ac:dyDescent="0.2">
      <c r="A190" s="345">
        <v>33297</v>
      </c>
      <c r="B190" s="255"/>
      <c r="C190" s="259"/>
      <c r="D190" s="73"/>
      <c r="E190" s="73"/>
    </row>
    <row r="191" spans="1:5" x14ac:dyDescent="0.2">
      <c r="A191" s="345">
        <v>33328</v>
      </c>
      <c r="B191" s="255"/>
      <c r="C191" s="259"/>
      <c r="D191" s="73"/>
      <c r="E191" s="73"/>
    </row>
    <row r="192" spans="1:5" x14ac:dyDescent="0.2">
      <c r="A192" s="345">
        <v>33358</v>
      </c>
      <c r="B192" s="255"/>
      <c r="C192" s="259"/>
      <c r="D192" s="73"/>
      <c r="E192" s="73"/>
    </row>
    <row r="193" spans="1:5" x14ac:dyDescent="0.2">
      <c r="A193" s="345">
        <v>33389</v>
      </c>
      <c r="B193" s="255"/>
      <c r="C193" s="259"/>
      <c r="D193" s="73"/>
      <c r="E193" s="73"/>
    </row>
    <row r="194" spans="1:5" x14ac:dyDescent="0.2">
      <c r="A194" s="345">
        <v>33419</v>
      </c>
      <c r="B194" s="255"/>
      <c r="C194" s="259"/>
      <c r="D194" s="73"/>
      <c r="E194" s="73"/>
    </row>
    <row r="195" spans="1:5" x14ac:dyDescent="0.2">
      <c r="A195" s="345">
        <v>33450</v>
      </c>
      <c r="B195" s="255"/>
      <c r="C195" s="259"/>
      <c r="D195" s="73"/>
      <c r="E195" s="73"/>
    </row>
    <row r="196" spans="1:5" x14ac:dyDescent="0.2">
      <c r="A196" s="345">
        <v>33481</v>
      </c>
      <c r="B196" s="255"/>
      <c r="C196" s="259"/>
      <c r="D196" s="73"/>
      <c r="E196" s="73"/>
    </row>
    <row r="197" spans="1:5" x14ac:dyDescent="0.2">
      <c r="A197" s="345">
        <v>33511</v>
      </c>
      <c r="B197" s="255"/>
      <c r="C197" s="259"/>
      <c r="D197" s="73"/>
      <c r="E197" s="73"/>
    </row>
    <row r="198" spans="1:5" x14ac:dyDescent="0.2">
      <c r="A198" s="345">
        <v>33542</v>
      </c>
      <c r="B198" s="255"/>
      <c r="C198" s="259"/>
      <c r="D198" s="73"/>
      <c r="E198" s="73"/>
    </row>
    <row r="199" spans="1:5" x14ac:dyDescent="0.2">
      <c r="A199" s="345">
        <v>33572</v>
      </c>
      <c r="B199" s="255"/>
      <c r="C199" s="259"/>
      <c r="D199" s="73"/>
      <c r="E199" s="73"/>
    </row>
    <row r="200" spans="1:5" x14ac:dyDescent="0.2">
      <c r="A200" s="345">
        <v>33603</v>
      </c>
      <c r="B200" s="255"/>
      <c r="C200" s="259"/>
      <c r="D200" s="73"/>
      <c r="E200" s="73"/>
    </row>
    <row r="201" spans="1:5" x14ac:dyDescent="0.2">
      <c r="A201" s="345">
        <v>33634</v>
      </c>
      <c r="B201" s="255"/>
      <c r="C201" s="259"/>
      <c r="D201" s="73"/>
      <c r="E201" s="73"/>
    </row>
    <row r="202" spans="1:5" x14ac:dyDescent="0.2">
      <c r="A202" s="345">
        <v>33663</v>
      </c>
      <c r="B202" s="255"/>
      <c r="C202" s="259"/>
      <c r="D202" s="73"/>
      <c r="E202" s="73"/>
    </row>
    <row r="203" spans="1:5" x14ac:dyDescent="0.2">
      <c r="A203" s="345">
        <v>33694</v>
      </c>
      <c r="B203" s="255"/>
      <c r="C203" s="259"/>
      <c r="D203" s="73"/>
      <c r="E203" s="73"/>
    </row>
    <row r="204" spans="1:5" x14ac:dyDescent="0.2">
      <c r="A204" s="345">
        <v>33724</v>
      </c>
      <c r="B204" s="255"/>
      <c r="C204" s="259"/>
      <c r="D204" s="73"/>
      <c r="E204" s="73"/>
    </row>
    <row r="205" spans="1:5" x14ac:dyDescent="0.2">
      <c r="A205" s="345">
        <v>33755</v>
      </c>
      <c r="B205" s="255"/>
      <c r="C205" s="259"/>
      <c r="D205" s="73"/>
      <c r="E205" s="73"/>
    </row>
    <row r="206" spans="1:5" x14ac:dyDescent="0.2">
      <c r="A206" s="345">
        <v>33785</v>
      </c>
      <c r="B206" s="255"/>
      <c r="C206" s="259"/>
      <c r="D206" s="73"/>
      <c r="E206" s="73"/>
    </row>
    <row r="207" spans="1:5" x14ac:dyDescent="0.2">
      <c r="A207" s="345">
        <v>33816</v>
      </c>
      <c r="B207" s="255"/>
      <c r="C207" s="259"/>
      <c r="D207" s="73"/>
      <c r="E207" s="73"/>
    </row>
    <row r="208" spans="1:5" x14ac:dyDescent="0.2">
      <c r="A208" s="345">
        <v>33847</v>
      </c>
      <c r="B208" s="255"/>
      <c r="C208" s="259"/>
      <c r="D208" s="73"/>
      <c r="E208" s="73"/>
    </row>
    <row r="209" spans="1:5" x14ac:dyDescent="0.2">
      <c r="A209" s="345">
        <v>33877</v>
      </c>
      <c r="B209" s="255"/>
      <c r="C209" s="259"/>
      <c r="D209" s="73"/>
      <c r="E209" s="73"/>
    </row>
    <row r="210" spans="1:5" x14ac:dyDescent="0.2">
      <c r="A210" s="345">
        <v>33908</v>
      </c>
      <c r="B210" s="255"/>
      <c r="C210" s="259"/>
      <c r="D210" s="73"/>
      <c r="E210" s="73"/>
    </row>
    <row r="211" spans="1:5" x14ac:dyDescent="0.2">
      <c r="A211" s="345">
        <v>33938</v>
      </c>
      <c r="B211" s="255"/>
      <c r="C211" s="259"/>
      <c r="D211" s="73"/>
      <c r="E211" s="73"/>
    </row>
    <row r="212" spans="1:5" x14ac:dyDescent="0.2">
      <c r="A212" s="345">
        <v>33969</v>
      </c>
      <c r="B212" s="255"/>
      <c r="C212" s="259"/>
      <c r="D212" s="73"/>
      <c r="E212" s="73"/>
    </row>
    <row r="213" spans="1:5" x14ac:dyDescent="0.2">
      <c r="A213" s="345">
        <v>34000</v>
      </c>
      <c r="B213" s="255"/>
      <c r="C213" s="259"/>
      <c r="D213" s="73"/>
      <c r="E213" s="73"/>
    </row>
    <row r="214" spans="1:5" x14ac:dyDescent="0.2">
      <c r="A214" s="345">
        <v>34028</v>
      </c>
      <c r="B214" s="255"/>
      <c r="C214" s="259"/>
      <c r="D214" s="73"/>
      <c r="E214" s="73"/>
    </row>
    <row r="215" spans="1:5" x14ac:dyDescent="0.2">
      <c r="A215" s="345">
        <v>34059</v>
      </c>
      <c r="B215" s="255"/>
      <c r="C215" s="259"/>
      <c r="D215" s="73"/>
      <c r="E215" s="73"/>
    </row>
    <row r="216" spans="1:5" x14ac:dyDescent="0.2">
      <c r="A216" s="345">
        <v>34089</v>
      </c>
      <c r="B216" s="255"/>
      <c r="C216" s="259"/>
      <c r="D216" s="73"/>
      <c r="E216" s="73"/>
    </row>
    <row r="217" spans="1:5" x14ac:dyDescent="0.2">
      <c r="A217" s="345">
        <v>34120</v>
      </c>
      <c r="B217" s="255"/>
      <c r="C217" s="259"/>
      <c r="D217" s="73"/>
      <c r="E217" s="73"/>
    </row>
    <row r="218" spans="1:5" x14ac:dyDescent="0.2">
      <c r="A218" s="345">
        <v>34150</v>
      </c>
      <c r="B218" s="255"/>
      <c r="C218" s="259"/>
      <c r="D218" s="73"/>
      <c r="E218" s="73"/>
    </row>
    <row r="219" spans="1:5" x14ac:dyDescent="0.2">
      <c r="A219" s="345">
        <v>34181</v>
      </c>
      <c r="B219" s="255"/>
      <c r="C219" s="259"/>
      <c r="D219" s="73"/>
      <c r="E219" s="73"/>
    </row>
    <row r="220" spans="1:5" x14ac:dyDescent="0.2">
      <c r="A220" s="345">
        <v>34212</v>
      </c>
      <c r="B220" s="255"/>
      <c r="C220" s="259"/>
      <c r="D220" s="73"/>
      <c r="E220" s="73"/>
    </row>
    <row r="221" spans="1:5" x14ac:dyDescent="0.2">
      <c r="A221" s="345">
        <v>34242</v>
      </c>
      <c r="B221" s="255"/>
      <c r="C221" s="259"/>
      <c r="D221" s="73"/>
      <c r="E221" s="73"/>
    </row>
    <row r="222" spans="1:5" x14ac:dyDescent="0.2">
      <c r="A222" s="345">
        <v>34273</v>
      </c>
      <c r="B222" s="255"/>
      <c r="C222" s="259"/>
      <c r="D222" s="73"/>
      <c r="E222" s="73"/>
    </row>
    <row r="223" spans="1:5" x14ac:dyDescent="0.2">
      <c r="A223" s="345">
        <v>34303</v>
      </c>
      <c r="B223" s="255"/>
      <c r="C223" s="259"/>
      <c r="D223" s="73"/>
      <c r="E223" s="73"/>
    </row>
    <row r="224" spans="1:5" x14ac:dyDescent="0.2">
      <c r="A224" s="345">
        <v>34334</v>
      </c>
      <c r="B224" s="255"/>
      <c r="C224" s="259"/>
      <c r="D224" s="73"/>
      <c r="E224" s="73"/>
    </row>
    <row r="225" spans="1:5" x14ac:dyDescent="0.2">
      <c r="A225" s="345">
        <v>34365</v>
      </c>
      <c r="B225" s="255"/>
      <c r="C225" s="259"/>
      <c r="D225" s="73"/>
      <c r="E225" s="73"/>
    </row>
    <row r="226" spans="1:5" x14ac:dyDescent="0.2">
      <c r="A226" s="345">
        <v>34393</v>
      </c>
      <c r="B226" s="255"/>
      <c r="C226" s="259"/>
      <c r="D226" s="73"/>
      <c r="E226" s="73"/>
    </row>
    <row r="227" spans="1:5" x14ac:dyDescent="0.2">
      <c r="A227" s="345">
        <v>34424</v>
      </c>
      <c r="B227" s="255"/>
      <c r="C227" s="259"/>
      <c r="D227" s="73"/>
      <c r="E227" s="73"/>
    </row>
    <row r="228" spans="1:5" x14ac:dyDescent="0.2">
      <c r="A228" s="345">
        <v>34454</v>
      </c>
      <c r="B228" s="255"/>
      <c r="C228" s="259"/>
      <c r="D228" s="73"/>
      <c r="E228" s="73"/>
    </row>
    <row r="229" spans="1:5" x14ac:dyDescent="0.2">
      <c r="A229" s="345">
        <v>34485</v>
      </c>
      <c r="B229" s="255"/>
      <c r="C229" s="259"/>
      <c r="D229" s="73"/>
      <c r="E229" s="73"/>
    </row>
    <row r="230" spans="1:5" x14ac:dyDescent="0.2">
      <c r="A230" s="345">
        <v>34515</v>
      </c>
      <c r="B230" s="255"/>
      <c r="C230" s="259"/>
      <c r="D230" s="73"/>
      <c r="E230" s="73"/>
    </row>
    <row r="231" spans="1:5" x14ac:dyDescent="0.2">
      <c r="A231" s="345">
        <v>34546</v>
      </c>
      <c r="B231" s="255"/>
      <c r="C231" s="259"/>
      <c r="D231" s="73"/>
      <c r="E231" s="73"/>
    </row>
    <row r="232" spans="1:5" x14ac:dyDescent="0.2">
      <c r="A232" s="345">
        <v>34577</v>
      </c>
      <c r="B232" s="255"/>
      <c r="C232" s="259"/>
      <c r="D232" s="73"/>
      <c r="E232" s="73"/>
    </row>
    <row r="233" spans="1:5" x14ac:dyDescent="0.2">
      <c r="A233" s="345">
        <v>34607</v>
      </c>
      <c r="B233" s="255"/>
      <c r="C233" s="259"/>
      <c r="D233" s="73"/>
      <c r="E233" s="73"/>
    </row>
    <row r="234" spans="1:5" x14ac:dyDescent="0.2">
      <c r="A234" s="345">
        <v>34638</v>
      </c>
      <c r="B234" s="255"/>
      <c r="C234" s="259"/>
      <c r="D234" s="73"/>
      <c r="E234" s="73"/>
    </row>
    <row r="235" spans="1:5" x14ac:dyDescent="0.2">
      <c r="A235" s="345">
        <v>34668</v>
      </c>
      <c r="B235" s="255"/>
      <c r="C235" s="259"/>
      <c r="D235" s="73"/>
      <c r="E235" s="73"/>
    </row>
    <row r="236" spans="1:5" x14ac:dyDescent="0.2">
      <c r="A236" s="345">
        <v>34699</v>
      </c>
      <c r="B236" s="255"/>
      <c r="C236" s="259"/>
      <c r="D236" s="73"/>
      <c r="E236" s="73"/>
    </row>
    <row r="237" spans="1:5" x14ac:dyDescent="0.2">
      <c r="A237" s="345">
        <v>34730</v>
      </c>
      <c r="B237" s="255"/>
      <c r="C237" s="259"/>
      <c r="D237" s="73"/>
      <c r="E237" s="73"/>
    </row>
    <row r="238" spans="1:5" x14ac:dyDescent="0.2">
      <c r="A238" s="345">
        <v>34758</v>
      </c>
      <c r="B238" s="255"/>
      <c r="C238" s="259"/>
      <c r="D238" s="73"/>
      <c r="E238" s="73"/>
    </row>
    <row r="239" spans="1:5" x14ac:dyDescent="0.2">
      <c r="A239" s="345">
        <v>34789</v>
      </c>
      <c r="B239" s="255"/>
      <c r="C239" s="259"/>
      <c r="D239" s="73"/>
      <c r="E239" s="73"/>
    </row>
    <row r="240" spans="1:5" x14ac:dyDescent="0.2">
      <c r="A240" s="345">
        <v>34819</v>
      </c>
      <c r="B240" s="255"/>
      <c r="C240" s="259"/>
      <c r="D240" s="73"/>
      <c r="E240" s="73"/>
    </row>
    <row r="241" spans="1:5" x14ac:dyDescent="0.2">
      <c r="A241" s="345">
        <v>34850</v>
      </c>
      <c r="B241" s="255"/>
      <c r="C241" s="259"/>
      <c r="D241" s="73"/>
      <c r="E241" s="73"/>
    </row>
    <row r="242" spans="1:5" x14ac:dyDescent="0.2">
      <c r="A242" s="345">
        <v>34880</v>
      </c>
      <c r="B242" s="255"/>
      <c r="C242" s="259"/>
      <c r="D242" s="77"/>
      <c r="E242" s="77"/>
    </row>
    <row r="243" spans="1:5" x14ac:dyDescent="0.2">
      <c r="A243" s="345">
        <v>34911</v>
      </c>
      <c r="B243" s="255"/>
      <c r="C243" s="259"/>
      <c r="D243" s="77"/>
      <c r="E243" s="77"/>
    </row>
    <row r="244" spans="1:5" x14ac:dyDescent="0.2">
      <c r="A244" s="345">
        <v>34942</v>
      </c>
      <c r="B244" s="255"/>
      <c r="C244" s="259"/>
      <c r="D244" s="77"/>
      <c r="E244" s="77"/>
    </row>
    <row r="245" spans="1:5" x14ac:dyDescent="0.2">
      <c r="A245" s="345">
        <v>34972</v>
      </c>
      <c r="B245" s="255"/>
      <c r="C245" s="259"/>
      <c r="D245" s="77"/>
      <c r="E245" s="77"/>
    </row>
    <row r="246" spans="1:5" x14ac:dyDescent="0.2">
      <c r="A246" s="345">
        <v>35003</v>
      </c>
      <c r="B246" s="255"/>
      <c r="C246" s="259"/>
      <c r="D246" s="77"/>
      <c r="E246" s="77"/>
    </row>
    <row r="247" spans="1:5" x14ac:dyDescent="0.2">
      <c r="A247" s="345">
        <v>35033</v>
      </c>
      <c r="B247" s="255"/>
      <c r="C247" s="259"/>
      <c r="D247" s="77"/>
      <c r="E247" s="77"/>
    </row>
    <row r="248" spans="1:5" x14ac:dyDescent="0.2">
      <c r="A248" s="345">
        <v>35064</v>
      </c>
      <c r="B248" s="255"/>
      <c r="C248" s="259"/>
      <c r="D248" s="77"/>
      <c r="E248" s="77"/>
    </row>
    <row r="249" spans="1:5" x14ac:dyDescent="0.2">
      <c r="A249" s="345">
        <v>35095</v>
      </c>
      <c r="B249" s="255"/>
      <c r="C249" s="259"/>
      <c r="D249" s="77"/>
      <c r="E249" s="77"/>
    </row>
    <row r="250" spans="1:5" x14ac:dyDescent="0.2">
      <c r="A250" s="345">
        <v>35124</v>
      </c>
      <c r="B250" s="255"/>
      <c r="C250" s="259"/>
      <c r="D250" s="77"/>
      <c r="E250" s="77"/>
    </row>
    <row r="251" spans="1:5" x14ac:dyDescent="0.2">
      <c r="A251" s="345">
        <v>35155</v>
      </c>
      <c r="B251" s="255"/>
      <c r="C251" s="259"/>
      <c r="D251" s="77"/>
      <c r="E251" s="77"/>
    </row>
    <row r="252" spans="1:5" x14ac:dyDescent="0.2">
      <c r="A252" s="345">
        <v>35185</v>
      </c>
      <c r="B252" s="253"/>
      <c r="C252" s="259"/>
      <c r="D252" s="77"/>
      <c r="E252" s="77"/>
    </row>
    <row r="253" spans="1:5" x14ac:dyDescent="0.2">
      <c r="A253" s="345">
        <v>35216</v>
      </c>
      <c r="B253" s="253"/>
      <c r="C253" s="259"/>
      <c r="D253" s="77"/>
      <c r="E253" s="77"/>
    </row>
    <row r="254" spans="1:5" x14ac:dyDescent="0.2">
      <c r="A254" s="345">
        <v>35246</v>
      </c>
      <c r="B254" s="253"/>
      <c r="C254" s="259"/>
      <c r="D254" s="77"/>
      <c r="E254" s="77"/>
    </row>
    <row r="255" spans="1:5" x14ac:dyDescent="0.2">
      <c r="A255" s="345">
        <v>35277</v>
      </c>
      <c r="B255" s="253"/>
      <c r="C255" s="259"/>
      <c r="D255" s="77"/>
      <c r="E255" s="77"/>
    </row>
    <row r="256" spans="1:5" x14ac:dyDescent="0.2">
      <c r="A256" s="345">
        <v>35308</v>
      </c>
      <c r="B256" s="253"/>
      <c r="C256" s="259"/>
      <c r="D256" s="77"/>
      <c r="E256" s="77"/>
    </row>
    <row r="257" spans="1:5" x14ac:dyDescent="0.2">
      <c r="A257" s="345">
        <v>35338</v>
      </c>
      <c r="B257" s="253"/>
      <c r="C257" s="259"/>
      <c r="D257" s="77"/>
      <c r="E257" s="77"/>
    </row>
    <row r="258" spans="1:5" x14ac:dyDescent="0.2">
      <c r="A258" s="345">
        <v>35369</v>
      </c>
      <c r="B258" s="253"/>
      <c r="C258" s="259"/>
      <c r="D258" s="77"/>
      <c r="E258" s="77"/>
    </row>
    <row r="259" spans="1:5" x14ac:dyDescent="0.2">
      <c r="A259" s="345">
        <v>35399</v>
      </c>
      <c r="B259" s="253"/>
      <c r="C259" s="259"/>
      <c r="D259" s="77"/>
      <c r="E259" s="77"/>
    </row>
    <row r="260" spans="1:5" x14ac:dyDescent="0.2">
      <c r="A260" s="345">
        <v>35430</v>
      </c>
      <c r="B260" s="253"/>
      <c r="C260" s="259"/>
      <c r="D260" s="77"/>
      <c r="E260" s="77"/>
    </row>
    <row r="261" spans="1:5" x14ac:dyDescent="0.2">
      <c r="A261" s="345">
        <v>35461</v>
      </c>
      <c r="B261" s="253"/>
      <c r="C261" s="259"/>
      <c r="D261" s="77"/>
      <c r="E261" s="77"/>
    </row>
    <row r="262" spans="1:5" x14ac:dyDescent="0.2">
      <c r="A262" s="345">
        <v>35489</v>
      </c>
      <c r="B262" s="253"/>
      <c r="C262" s="259"/>
      <c r="D262" s="77"/>
      <c r="E262" s="77"/>
    </row>
    <row r="263" spans="1:5" x14ac:dyDescent="0.2">
      <c r="A263" s="345">
        <v>35520</v>
      </c>
      <c r="B263" s="253"/>
      <c r="C263" s="259"/>
      <c r="D263" s="77"/>
      <c r="E263" s="77"/>
    </row>
    <row r="264" spans="1:5" x14ac:dyDescent="0.2">
      <c r="A264" s="345">
        <v>35550</v>
      </c>
      <c r="B264" s="253"/>
      <c r="C264" s="259"/>
      <c r="D264" s="77"/>
      <c r="E264" s="77"/>
    </row>
    <row r="265" spans="1:5" x14ac:dyDescent="0.2">
      <c r="A265" s="345">
        <v>35581</v>
      </c>
      <c r="B265" s="253"/>
      <c r="C265" s="259"/>
      <c r="D265" s="77"/>
      <c r="E265" s="77"/>
    </row>
    <row r="266" spans="1:5" x14ac:dyDescent="0.2">
      <c r="A266" s="345">
        <v>35611</v>
      </c>
      <c r="B266" s="253"/>
      <c r="C266" s="259"/>
      <c r="D266" s="77"/>
      <c r="E266" s="77"/>
    </row>
    <row r="267" spans="1:5" x14ac:dyDescent="0.2">
      <c r="A267" s="345">
        <v>35642</v>
      </c>
      <c r="B267" s="253"/>
      <c r="C267" s="259"/>
      <c r="D267" s="77"/>
      <c r="E267" s="77"/>
    </row>
    <row r="268" spans="1:5" x14ac:dyDescent="0.2">
      <c r="A268" s="345">
        <v>35673</v>
      </c>
      <c r="B268" s="253"/>
      <c r="C268" s="259"/>
      <c r="D268" s="77"/>
      <c r="E268" s="77"/>
    </row>
    <row r="269" spans="1:5" x14ac:dyDescent="0.2">
      <c r="A269" s="345">
        <v>35703</v>
      </c>
      <c r="B269" s="253"/>
      <c r="C269" s="259"/>
      <c r="D269" s="77"/>
      <c r="E269" s="77"/>
    </row>
    <row r="270" spans="1:5" x14ac:dyDescent="0.2">
      <c r="A270" s="345">
        <v>35734</v>
      </c>
      <c r="B270" s="253"/>
      <c r="C270" s="259"/>
      <c r="D270" s="77"/>
      <c r="E270" s="77"/>
    </row>
    <row r="271" spans="1:5" x14ac:dyDescent="0.2">
      <c r="A271" s="345">
        <v>35764</v>
      </c>
      <c r="B271" s="253"/>
      <c r="C271" s="259"/>
      <c r="D271" s="77"/>
      <c r="E271" s="77"/>
    </row>
    <row r="272" spans="1:5" x14ac:dyDescent="0.2">
      <c r="A272" s="345">
        <v>35795</v>
      </c>
      <c r="B272" s="253"/>
      <c r="C272" s="259"/>
      <c r="D272" s="77"/>
      <c r="E272" s="77"/>
    </row>
    <row r="273" spans="1:5" x14ac:dyDescent="0.2">
      <c r="A273" s="345">
        <v>35826</v>
      </c>
      <c r="B273" s="253"/>
      <c r="C273" s="259"/>
      <c r="D273" s="77"/>
      <c r="E273" s="77"/>
    </row>
    <row r="274" spans="1:5" x14ac:dyDescent="0.2">
      <c r="A274" s="345">
        <v>35854</v>
      </c>
      <c r="B274" s="253"/>
      <c r="C274" s="259"/>
      <c r="D274" s="77"/>
      <c r="E274" s="77"/>
    </row>
    <row r="275" spans="1:5" x14ac:dyDescent="0.2">
      <c r="A275" s="345">
        <v>35885</v>
      </c>
      <c r="B275" s="253"/>
      <c r="C275" s="259"/>
      <c r="D275" s="77"/>
      <c r="E275" s="77"/>
    </row>
    <row r="276" spans="1:5" x14ac:dyDescent="0.2">
      <c r="A276" s="345">
        <v>35915</v>
      </c>
      <c r="B276" s="253"/>
      <c r="C276" s="259"/>
      <c r="D276" s="77"/>
      <c r="E276" s="77"/>
    </row>
    <row r="277" spans="1:5" x14ac:dyDescent="0.2">
      <c r="A277" s="345">
        <v>35946</v>
      </c>
      <c r="B277" s="253"/>
      <c r="C277" s="259"/>
      <c r="D277" s="77"/>
      <c r="E277" s="77"/>
    </row>
    <row r="278" spans="1:5" x14ac:dyDescent="0.2">
      <c r="A278" s="345">
        <v>35976</v>
      </c>
      <c r="B278" s="253"/>
      <c r="C278" s="259"/>
      <c r="D278" s="77"/>
      <c r="E278" s="77"/>
    </row>
    <row r="279" spans="1:5" x14ac:dyDescent="0.2">
      <c r="A279" s="345">
        <v>36007</v>
      </c>
      <c r="B279" s="253"/>
      <c r="C279" s="259"/>
      <c r="D279" s="77"/>
      <c r="E279" s="77"/>
    </row>
    <row r="280" spans="1:5" x14ac:dyDescent="0.2">
      <c r="A280" s="345">
        <v>36038</v>
      </c>
      <c r="B280" s="253"/>
      <c r="C280" s="259"/>
      <c r="D280" s="77"/>
      <c r="E280" s="77"/>
    </row>
    <row r="281" spans="1:5" x14ac:dyDescent="0.2">
      <c r="A281" s="345">
        <v>36068</v>
      </c>
      <c r="B281" s="253"/>
      <c r="C281" s="259"/>
      <c r="D281" s="77"/>
      <c r="E281" s="77"/>
    </row>
    <row r="282" spans="1:5" x14ac:dyDescent="0.2">
      <c r="A282" s="345">
        <v>36099</v>
      </c>
      <c r="B282" s="253"/>
      <c r="C282" s="259"/>
      <c r="D282" s="77"/>
      <c r="E282" s="77"/>
    </row>
    <row r="283" spans="1:5" x14ac:dyDescent="0.2">
      <c r="A283" s="345">
        <v>36129</v>
      </c>
      <c r="B283" s="253"/>
      <c r="C283" s="259"/>
      <c r="D283" s="77"/>
      <c r="E283" s="77"/>
    </row>
    <row r="284" spans="1:5" x14ac:dyDescent="0.2">
      <c r="A284" s="345">
        <v>36160</v>
      </c>
      <c r="B284" s="253"/>
      <c r="C284" s="33"/>
      <c r="D284" s="253"/>
      <c r="E284" s="253"/>
    </row>
    <row r="285" spans="1:5" x14ac:dyDescent="0.2">
      <c r="A285" s="345">
        <v>36191</v>
      </c>
      <c r="B285" s="253"/>
      <c r="C285" s="33"/>
      <c r="D285" s="253"/>
      <c r="E285" s="253"/>
    </row>
    <row r="286" spans="1:5" x14ac:dyDescent="0.2">
      <c r="A286" s="345">
        <v>36219</v>
      </c>
      <c r="B286" s="253"/>
      <c r="C286" s="33"/>
      <c r="D286" s="253"/>
      <c r="E286" s="253"/>
    </row>
    <row r="287" spans="1:5" x14ac:dyDescent="0.2">
      <c r="A287" s="345">
        <v>36250</v>
      </c>
      <c r="B287" s="253"/>
      <c r="C287" s="33"/>
      <c r="D287" s="253"/>
      <c r="E287" s="253"/>
    </row>
    <row r="288" spans="1:5" x14ac:dyDescent="0.2">
      <c r="A288" s="345">
        <v>36280</v>
      </c>
      <c r="B288" s="253"/>
      <c r="C288" s="33"/>
      <c r="D288" s="253"/>
      <c r="E288" s="253"/>
    </row>
    <row r="289" spans="1:5" x14ac:dyDescent="0.2">
      <c r="A289" s="345">
        <v>36311</v>
      </c>
      <c r="B289" s="253"/>
      <c r="C289" s="33"/>
      <c r="D289" s="253"/>
      <c r="E289" s="253"/>
    </row>
    <row r="290" spans="1:5" x14ac:dyDescent="0.2">
      <c r="A290" s="345">
        <v>36341</v>
      </c>
      <c r="B290" s="253"/>
      <c r="C290" s="33"/>
      <c r="D290" s="253"/>
      <c r="E290" s="253"/>
    </row>
    <row r="291" spans="1:5" x14ac:dyDescent="0.2">
      <c r="A291" s="345">
        <v>36372</v>
      </c>
      <c r="B291" s="253"/>
      <c r="C291" s="33"/>
      <c r="D291" s="253"/>
      <c r="E291" s="253"/>
    </row>
    <row r="292" spans="1:5" x14ac:dyDescent="0.2">
      <c r="A292" s="345">
        <v>36403</v>
      </c>
      <c r="B292" s="253"/>
      <c r="C292" s="33"/>
      <c r="D292" s="253"/>
      <c r="E292" s="253"/>
    </row>
    <row r="293" spans="1:5" x14ac:dyDescent="0.2">
      <c r="A293" s="345">
        <v>36433</v>
      </c>
      <c r="B293" s="253"/>
      <c r="C293" s="33"/>
      <c r="D293" s="253"/>
      <c r="E293" s="253"/>
    </row>
    <row r="294" spans="1:5" x14ac:dyDescent="0.2">
      <c r="A294" s="345">
        <v>36464</v>
      </c>
      <c r="B294" s="253"/>
      <c r="C294" s="33"/>
      <c r="D294" s="253"/>
      <c r="E294" s="253"/>
    </row>
    <row r="295" spans="1:5" x14ac:dyDescent="0.2">
      <c r="A295" s="345">
        <v>36494</v>
      </c>
      <c r="B295" s="253"/>
      <c r="C295" s="33"/>
      <c r="D295" s="253"/>
      <c r="E295" s="253"/>
    </row>
    <row r="296" spans="1:5" x14ac:dyDescent="0.2">
      <c r="A296" s="345">
        <v>36525</v>
      </c>
      <c r="B296" s="253"/>
      <c r="C296" s="33"/>
      <c r="D296" s="253"/>
      <c r="E296" s="253"/>
    </row>
    <row r="297" spans="1:5" x14ac:dyDescent="0.2">
      <c r="A297" s="345">
        <v>36556</v>
      </c>
      <c r="B297" s="253"/>
      <c r="C297" s="33"/>
      <c r="D297" s="253"/>
      <c r="E297" s="253"/>
    </row>
    <row r="298" spans="1:5" x14ac:dyDescent="0.2">
      <c r="A298" s="345">
        <v>36585</v>
      </c>
      <c r="B298" s="253"/>
      <c r="C298" s="33"/>
      <c r="D298" s="253"/>
      <c r="E298" s="253"/>
    </row>
    <row r="299" spans="1:5" x14ac:dyDescent="0.2">
      <c r="A299" s="345">
        <v>36616</v>
      </c>
      <c r="B299" s="253"/>
      <c r="C299" s="33"/>
      <c r="D299" s="253"/>
      <c r="E299" s="253"/>
    </row>
    <row r="300" spans="1:5" x14ac:dyDescent="0.2">
      <c r="A300" s="345">
        <v>36646</v>
      </c>
      <c r="B300" s="253"/>
      <c r="C300" s="33"/>
      <c r="D300" s="253"/>
      <c r="E300" s="253"/>
    </row>
    <row r="301" spans="1:5" x14ac:dyDescent="0.2">
      <c r="A301" s="345">
        <v>36677</v>
      </c>
      <c r="B301" s="253"/>
      <c r="C301" s="33"/>
      <c r="D301" s="253"/>
      <c r="E301" s="253"/>
    </row>
    <row r="302" spans="1:5" x14ac:dyDescent="0.2">
      <c r="A302" s="345">
        <v>36707</v>
      </c>
      <c r="B302" s="253"/>
      <c r="C302" s="33"/>
      <c r="D302" s="253"/>
      <c r="E302" s="253"/>
    </row>
    <row r="303" spans="1:5" x14ac:dyDescent="0.2">
      <c r="A303" s="345">
        <v>36738</v>
      </c>
      <c r="B303" s="253"/>
      <c r="C303" s="33"/>
      <c r="D303" s="253"/>
      <c r="E303" s="253"/>
    </row>
    <row r="304" spans="1:5" x14ac:dyDescent="0.2">
      <c r="A304" s="345">
        <v>36769</v>
      </c>
      <c r="B304" s="253"/>
      <c r="C304" s="33"/>
      <c r="D304" s="253"/>
      <c r="E304" s="253"/>
    </row>
    <row r="305" spans="1:5" x14ac:dyDescent="0.2">
      <c r="A305" s="345">
        <v>36799</v>
      </c>
      <c r="B305" s="253"/>
      <c r="C305" s="33"/>
      <c r="D305" s="253"/>
      <c r="E305" s="253"/>
    </row>
    <row r="306" spans="1:5" x14ac:dyDescent="0.2">
      <c r="A306" s="345">
        <v>36830</v>
      </c>
      <c r="B306" s="253"/>
      <c r="C306" s="33"/>
      <c r="D306" s="253"/>
      <c r="E306" s="253"/>
    </row>
    <row r="307" spans="1:5" x14ac:dyDescent="0.2">
      <c r="A307" s="345">
        <v>36860</v>
      </c>
      <c r="B307" s="253"/>
      <c r="C307" s="33"/>
      <c r="D307" s="253"/>
      <c r="E307" s="253"/>
    </row>
    <row r="308" spans="1:5" x14ac:dyDescent="0.2">
      <c r="A308" s="345">
        <v>36891</v>
      </c>
      <c r="B308" s="253"/>
      <c r="C308" s="33"/>
      <c r="D308" s="253"/>
      <c r="E308" s="253"/>
    </row>
    <row r="309" spans="1:5" x14ac:dyDescent="0.2">
      <c r="A309" s="345">
        <v>36922</v>
      </c>
      <c r="B309" s="253"/>
      <c r="C309" s="33"/>
      <c r="D309" s="253"/>
      <c r="E309" s="253"/>
    </row>
    <row r="310" spans="1:5" x14ac:dyDescent="0.2">
      <c r="A310" s="345">
        <v>36950</v>
      </c>
      <c r="B310" s="253"/>
      <c r="C310" s="33"/>
      <c r="D310" s="253"/>
      <c r="E310" s="253"/>
    </row>
    <row r="311" spans="1:5" x14ac:dyDescent="0.2">
      <c r="A311" s="345">
        <v>36981</v>
      </c>
      <c r="B311" s="253"/>
      <c r="C311" s="33"/>
      <c r="D311" s="253"/>
      <c r="E311" s="253"/>
    </row>
    <row r="312" spans="1:5" x14ac:dyDescent="0.2">
      <c r="A312" s="345">
        <v>37011</v>
      </c>
      <c r="B312" s="253"/>
      <c r="C312" s="33"/>
      <c r="D312" s="253"/>
      <c r="E312" s="253"/>
    </row>
    <row r="313" spans="1:5" x14ac:dyDescent="0.2">
      <c r="A313" s="345">
        <v>37042</v>
      </c>
      <c r="B313" s="253"/>
      <c r="C313" s="33"/>
      <c r="D313" s="253"/>
      <c r="E313" s="253"/>
    </row>
    <row r="314" spans="1:5" x14ac:dyDescent="0.2">
      <c r="A314" s="345">
        <v>37072</v>
      </c>
      <c r="B314" s="253"/>
      <c r="C314" s="33"/>
      <c r="D314" s="253"/>
      <c r="E314" s="253"/>
    </row>
    <row r="315" spans="1:5" x14ac:dyDescent="0.2">
      <c r="A315" s="345">
        <v>37103</v>
      </c>
      <c r="B315" s="253"/>
      <c r="C315" s="33"/>
      <c r="D315" s="253"/>
      <c r="E315" s="253"/>
    </row>
    <row r="316" spans="1:5" x14ac:dyDescent="0.2">
      <c r="A316" s="345">
        <v>37134</v>
      </c>
      <c r="B316" s="253"/>
      <c r="C316" s="33"/>
      <c r="D316" s="253"/>
      <c r="E316" s="253"/>
    </row>
    <row r="317" spans="1:5" x14ac:dyDescent="0.2">
      <c r="A317" s="345">
        <v>37164</v>
      </c>
      <c r="B317" s="253"/>
      <c r="C317" s="33"/>
      <c r="D317" s="253"/>
      <c r="E317" s="253"/>
    </row>
    <row r="318" spans="1:5" x14ac:dyDescent="0.2">
      <c r="A318" s="345">
        <v>37195</v>
      </c>
      <c r="B318" s="253"/>
      <c r="C318" s="33"/>
      <c r="D318" s="253"/>
      <c r="E318" s="253"/>
    </row>
    <row r="319" spans="1:5" x14ac:dyDescent="0.2">
      <c r="A319" s="345">
        <v>37225</v>
      </c>
      <c r="B319" s="253"/>
      <c r="C319" s="33"/>
      <c r="D319" s="253"/>
      <c r="E319" s="253"/>
    </row>
    <row r="320" spans="1:5" x14ac:dyDescent="0.2">
      <c r="A320" s="345">
        <v>37256</v>
      </c>
      <c r="B320" s="253"/>
      <c r="C320" s="33"/>
      <c r="D320" s="253"/>
      <c r="E320" s="253"/>
    </row>
    <row r="321" spans="1:5" x14ac:dyDescent="0.2">
      <c r="A321" s="345">
        <v>37287</v>
      </c>
      <c r="B321" s="253"/>
      <c r="C321" s="33"/>
      <c r="D321" s="253"/>
      <c r="E321" s="253"/>
    </row>
    <row r="322" spans="1:5" x14ac:dyDescent="0.2">
      <c r="A322" s="345">
        <v>37315</v>
      </c>
      <c r="B322" s="253"/>
      <c r="C322" s="33"/>
      <c r="D322" s="253"/>
      <c r="E322" s="253"/>
    </row>
    <row r="323" spans="1:5" x14ac:dyDescent="0.2">
      <c r="A323" s="345">
        <v>37346</v>
      </c>
      <c r="B323" s="253"/>
      <c r="C323" s="33"/>
      <c r="D323" s="253"/>
      <c r="E323" s="253"/>
    </row>
    <row r="324" spans="1:5" x14ac:dyDescent="0.2">
      <c r="A324" s="345">
        <v>37376</v>
      </c>
      <c r="B324" s="128"/>
      <c r="C324" s="33"/>
      <c r="D324" s="253"/>
      <c r="E324" s="253"/>
    </row>
    <row r="325" spans="1:5" x14ac:dyDescent="0.2">
      <c r="A325" s="345">
        <v>37407</v>
      </c>
      <c r="B325" s="128"/>
      <c r="C325" s="33"/>
      <c r="D325" s="253"/>
      <c r="E325" s="253"/>
    </row>
    <row r="326" spans="1:5" x14ac:dyDescent="0.2">
      <c r="A326" s="345">
        <v>37437</v>
      </c>
      <c r="B326" s="128"/>
      <c r="C326" s="33"/>
      <c r="D326" s="253"/>
      <c r="E326" s="253"/>
    </row>
    <row r="327" spans="1:5" x14ac:dyDescent="0.2">
      <c r="A327" s="345">
        <v>37468</v>
      </c>
      <c r="B327" s="128"/>
      <c r="C327" s="33"/>
      <c r="D327" s="253"/>
      <c r="E327" s="253"/>
    </row>
    <row r="328" spans="1:5" x14ac:dyDescent="0.2">
      <c r="A328" s="345">
        <v>37499</v>
      </c>
      <c r="B328" s="128"/>
      <c r="C328" s="33"/>
      <c r="D328" s="253"/>
      <c r="E328" s="253"/>
    </row>
    <row r="329" spans="1:5" x14ac:dyDescent="0.2">
      <c r="A329" s="345">
        <v>37529</v>
      </c>
      <c r="B329" s="128"/>
      <c r="C329" s="33"/>
      <c r="D329" s="253"/>
      <c r="E329" s="253"/>
    </row>
    <row r="330" spans="1:5" x14ac:dyDescent="0.2">
      <c r="A330" s="345">
        <v>37560</v>
      </c>
      <c r="B330" s="128"/>
      <c r="C330" s="33"/>
      <c r="D330" s="253"/>
      <c r="E330" s="253"/>
    </row>
    <row r="331" spans="1:5" x14ac:dyDescent="0.2">
      <c r="A331" s="345">
        <v>37590</v>
      </c>
      <c r="B331" s="128"/>
      <c r="C331" s="33"/>
      <c r="D331" s="253"/>
      <c r="E331" s="253"/>
    </row>
    <row r="332" spans="1:5" x14ac:dyDescent="0.2">
      <c r="A332" s="345">
        <v>37621</v>
      </c>
      <c r="B332" s="128"/>
      <c r="C332" s="33"/>
      <c r="D332" s="253"/>
      <c r="E332" s="253"/>
    </row>
    <row r="333" spans="1:5" x14ac:dyDescent="0.2">
      <c r="A333" s="345">
        <v>37652</v>
      </c>
      <c r="B333" s="128"/>
      <c r="C333" s="33"/>
      <c r="D333" s="253"/>
      <c r="E333" s="253"/>
    </row>
    <row r="334" spans="1:5" x14ac:dyDescent="0.2">
      <c r="A334" s="345">
        <v>37680</v>
      </c>
      <c r="B334" s="128"/>
      <c r="C334" s="33"/>
      <c r="D334" s="253"/>
      <c r="E334" s="253"/>
    </row>
    <row r="335" spans="1:5" x14ac:dyDescent="0.2">
      <c r="A335" s="345">
        <v>37711</v>
      </c>
      <c r="B335" s="128"/>
      <c r="C335" s="33"/>
      <c r="D335" s="253"/>
      <c r="E335" s="253"/>
    </row>
    <row r="336" spans="1:5" x14ac:dyDescent="0.2">
      <c r="A336" s="345">
        <v>37741</v>
      </c>
      <c r="B336" s="128"/>
      <c r="C336" s="33"/>
      <c r="D336" s="253"/>
      <c r="E336" s="253"/>
    </row>
    <row r="337" spans="1:9" x14ac:dyDescent="0.2">
      <c r="A337" s="345">
        <v>37772</v>
      </c>
      <c r="B337" s="128"/>
      <c r="C337" s="33"/>
      <c r="D337" s="253"/>
      <c r="E337" s="253"/>
    </row>
    <row r="338" spans="1:9" x14ac:dyDescent="0.2">
      <c r="A338" s="345">
        <v>37802</v>
      </c>
      <c r="B338" s="128"/>
      <c r="C338" s="33"/>
      <c r="D338" s="253"/>
      <c r="E338" s="253"/>
    </row>
    <row r="339" spans="1:9" x14ac:dyDescent="0.2">
      <c r="A339" s="345">
        <v>37833</v>
      </c>
      <c r="B339" s="128"/>
      <c r="C339" s="33"/>
      <c r="D339" s="253"/>
      <c r="E339" s="253"/>
    </row>
    <row r="340" spans="1:9" x14ac:dyDescent="0.2">
      <c r="A340" s="345">
        <v>37864</v>
      </c>
      <c r="B340" s="128"/>
      <c r="C340" s="33"/>
      <c r="D340" s="253"/>
      <c r="E340" s="253"/>
    </row>
    <row r="341" spans="1:9" x14ac:dyDescent="0.2">
      <c r="A341" s="345">
        <v>37894</v>
      </c>
      <c r="B341" s="128"/>
      <c r="C341" s="34"/>
      <c r="D341" s="253"/>
      <c r="E341" s="253"/>
    </row>
    <row r="342" spans="1:9" x14ac:dyDescent="0.2">
      <c r="A342" s="345">
        <v>37925</v>
      </c>
      <c r="B342" s="128"/>
      <c r="C342" s="34"/>
      <c r="D342" s="253"/>
      <c r="E342" s="253"/>
    </row>
    <row r="343" spans="1:9" x14ac:dyDescent="0.2">
      <c r="A343" s="345">
        <v>37955</v>
      </c>
      <c r="B343" s="128"/>
      <c r="C343" s="34"/>
      <c r="D343" s="253"/>
      <c r="E343" s="253"/>
    </row>
    <row r="344" spans="1:9" x14ac:dyDescent="0.2">
      <c r="A344" s="345">
        <v>37986</v>
      </c>
      <c r="B344" s="128"/>
      <c r="C344" s="34"/>
      <c r="D344" s="253"/>
      <c r="E344" s="253"/>
    </row>
    <row r="345" spans="1:9" x14ac:dyDescent="0.2">
      <c r="A345" s="345">
        <v>38017</v>
      </c>
      <c r="B345" s="128"/>
      <c r="C345" s="34"/>
      <c r="D345" s="253"/>
      <c r="E345" s="253"/>
    </row>
    <row r="346" spans="1:9" x14ac:dyDescent="0.2">
      <c r="A346" s="345">
        <v>38046</v>
      </c>
      <c r="B346" s="128"/>
      <c r="C346" s="34"/>
      <c r="D346" s="253"/>
      <c r="E346" s="253"/>
    </row>
    <row r="347" spans="1:9" x14ac:dyDescent="0.2">
      <c r="A347" s="345">
        <v>38077</v>
      </c>
      <c r="B347" s="128"/>
      <c r="C347" s="34"/>
      <c r="D347" s="255"/>
      <c r="E347" s="253"/>
    </row>
    <row r="348" spans="1:9" x14ac:dyDescent="0.2">
      <c r="A348" s="345">
        <v>38107</v>
      </c>
      <c r="B348" s="128"/>
      <c r="C348" s="34"/>
      <c r="D348" s="253"/>
      <c r="E348" s="253"/>
      <c r="I348" s="14"/>
    </row>
    <row r="349" spans="1:9" x14ac:dyDescent="0.2">
      <c r="A349" s="345">
        <v>38138</v>
      </c>
      <c r="B349" s="128"/>
      <c r="C349" s="34"/>
      <c r="D349" s="253"/>
      <c r="E349" s="253"/>
      <c r="I349" s="14"/>
    </row>
    <row r="350" spans="1:9" x14ac:dyDescent="0.2">
      <c r="A350" s="345">
        <v>38168</v>
      </c>
      <c r="B350" s="128"/>
      <c r="C350" s="34"/>
      <c r="D350" s="253"/>
      <c r="E350" s="253"/>
      <c r="I350" s="14"/>
    </row>
    <row r="351" spans="1:9" x14ac:dyDescent="0.2">
      <c r="A351" s="345">
        <v>38199</v>
      </c>
      <c r="B351" s="128"/>
      <c r="C351" s="34"/>
      <c r="D351" s="253"/>
      <c r="E351" s="253"/>
    </row>
    <row r="352" spans="1:9" x14ac:dyDescent="0.2">
      <c r="A352" s="345">
        <v>38230</v>
      </c>
      <c r="B352" s="128"/>
      <c r="C352" s="34"/>
      <c r="D352" s="253"/>
      <c r="E352" s="253"/>
    </row>
    <row r="353" spans="1:5" x14ac:dyDescent="0.2">
      <c r="A353" s="345">
        <v>38260</v>
      </c>
      <c r="B353" s="128"/>
      <c r="C353" s="34"/>
      <c r="D353" s="253"/>
      <c r="E353" s="253"/>
    </row>
    <row r="354" spans="1:5" x14ac:dyDescent="0.2">
      <c r="A354" s="345">
        <v>38291</v>
      </c>
      <c r="B354" s="128"/>
      <c r="C354" s="34"/>
      <c r="D354" s="253"/>
      <c r="E354" s="253"/>
    </row>
    <row r="355" spans="1:5" x14ac:dyDescent="0.2">
      <c r="A355" s="345">
        <v>38321</v>
      </c>
      <c r="B355" s="128"/>
      <c r="C355" s="34"/>
      <c r="D355" s="253"/>
      <c r="E355" s="253"/>
    </row>
    <row r="356" spans="1:5" x14ac:dyDescent="0.2">
      <c r="A356" s="345">
        <v>38352</v>
      </c>
      <c r="B356" s="128"/>
      <c r="C356" s="256"/>
      <c r="D356" s="253"/>
      <c r="E356" s="253"/>
    </row>
    <row r="357" spans="1:5" x14ac:dyDescent="0.2">
      <c r="A357" s="345">
        <v>38383</v>
      </c>
      <c r="B357" s="253">
        <v>-2.19</v>
      </c>
      <c r="C357" s="34"/>
      <c r="D357" s="128">
        <v>-2.1985000000000001</v>
      </c>
      <c r="E357" s="253"/>
    </row>
    <row r="358" spans="1:5" x14ac:dyDescent="0.2">
      <c r="A358" s="345">
        <v>38411</v>
      </c>
      <c r="B358" s="253">
        <v>2.4500000000000002</v>
      </c>
      <c r="C358" s="34"/>
      <c r="D358" s="128">
        <v>2.452</v>
      </c>
      <c r="E358" s="253"/>
    </row>
    <row r="359" spans="1:5" x14ac:dyDescent="0.2">
      <c r="A359" s="345">
        <v>38442</v>
      </c>
      <c r="B359" s="253">
        <v>-1.38</v>
      </c>
      <c r="C359" s="256"/>
      <c r="D359" s="128">
        <v>-1.2847</v>
      </c>
      <c r="E359" s="253"/>
    </row>
    <row r="360" spans="1:5" x14ac:dyDescent="0.2">
      <c r="A360" s="345">
        <v>38472</v>
      </c>
      <c r="B360" s="253">
        <v>-2.41</v>
      </c>
      <c r="C360" s="256"/>
      <c r="D360" s="128">
        <v>-2.415</v>
      </c>
      <c r="E360" s="253"/>
    </row>
    <row r="361" spans="1:5" x14ac:dyDescent="0.2">
      <c r="A361" s="345">
        <v>38503</v>
      </c>
      <c r="B361" s="253">
        <v>4.21</v>
      </c>
      <c r="C361" s="256"/>
      <c r="D361" s="128">
        <v>4.2073999999999998</v>
      </c>
      <c r="E361" s="253"/>
    </row>
    <row r="362" spans="1:5" x14ac:dyDescent="0.2">
      <c r="A362" s="345">
        <v>38533</v>
      </c>
      <c r="B362" s="253">
        <v>0.75</v>
      </c>
      <c r="C362" s="256"/>
      <c r="D362" s="128">
        <v>0.84409999999999996</v>
      </c>
      <c r="E362" s="253"/>
    </row>
    <row r="363" spans="1:5" x14ac:dyDescent="0.2">
      <c r="A363" s="345">
        <v>38564</v>
      </c>
      <c r="B363" s="253">
        <v>3.94</v>
      </c>
      <c r="C363" s="256"/>
      <c r="D363" s="128">
        <v>3.9411999999999998</v>
      </c>
      <c r="E363" s="253"/>
    </row>
    <row r="364" spans="1:5" x14ac:dyDescent="0.2">
      <c r="A364" s="345">
        <v>38595</v>
      </c>
      <c r="B364" s="253">
        <v>-0.79</v>
      </c>
      <c r="C364" s="256"/>
      <c r="D364" s="128">
        <v>-0.78510000000000002</v>
      </c>
      <c r="E364" s="253"/>
    </row>
    <row r="365" spans="1:5" x14ac:dyDescent="0.2">
      <c r="A365" s="345">
        <v>38625</v>
      </c>
      <c r="B365" s="253">
        <v>1.04</v>
      </c>
      <c r="C365" s="334"/>
      <c r="D365" s="128">
        <v>1.1388</v>
      </c>
      <c r="E365" s="253"/>
    </row>
    <row r="366" spans="1:5" x14ac:dyDescent="0.2">
      <c r="A366" s="345">
        <v>38656</v>
      </c>
      <c r="B366" s="253">
        <v>-1.64</v>
      </c>
      <c r="C366" s="334"/>
      <c r="D366" s="128">
        <v>-1.6375</v>
      </c>
      <c r="E366" s="253"/>
    </row>
    <row r="367" spans="1:5" x14ac:dyDescent="0.2">
      <c r="A367" s="345">
        <v>38686</v>
      </c>
      <c r="B367" s="253">
        <v>4.5199999999999996</v>
      </c>
      <c r="C367" s="334"/>
      <c r="D367" s="128">
        <v>4.5232000000000001</v>
      </c>
      <c r="E367" s="253"/>
    </row>
    <row r="368" spans="1:5" x14ac:dyDescent="0.2">
      <c r="A368" s="345">
        <v>38717</v>
      </c>
      <c r="B368" s="253">
        <v>0.12</v>
      </c>
      <c r="C368" s="256"/>
      <c r="D368" s="128">
        <v>0.21340000000000001</v>
      </c>
      <c r="E368" s="253"/>
    </row>
    <row r="369" spans="1:9" x14ac:dyDescent="0.2">
      <c r="A369" s="345">
        <v>38748</v>
      </c>
      <c r="B369" s="253">
        <v>4.17</v>
      </c>
      <c r="C369" s="256"/>
      <c r="D369" s="128">
        <v>4.1802000000000001</v>
      </c>
      <c r="E369" s="253"/>
      <c r="F369" s="496"/>
      <c r="G369" s="700"/>
      <c r="H369" s="703"/>
      <c r="I369" s="253"/>
    </row>
    <row r="370" spans="1:9" x14ac:dyDescent="0.2">
      <c r="A370" s="345">
        <v>38776</v>
      </c>
      <c r="B370" s="253">
        <v>-0.44</v>
      </c>
      <c r="C370" s="256"/>
      <c r="D370" s="128">
        <v>-0.44059999999999999</v>
      </c>
      <c r="E370" s="253"/>
      <c r="F370" s="496"/>
      <c r="G370" s="701"/>
      <c r="H370" s="703"/>
      <c r="I370" s="253"/>
    </row>
    <row r="371" spans="1:9" x14ac:dyDescent="0.2">
      <c r="A371" s="345">
        <v>38807</v>
      </c>
      <c r="B371" s="253">
        <v>1.75</v>
      </c>
      <c r="C371" s="256"/>
      <c r="D371" s="128">
        <v>1.8409</v>
      </c>
      <c r="E371" s="253"/>
      <c r="F371" s="496"/>
      <c r="G371" s="701"/>
      <c r="H371" s="703"/>
      <c r="I371" s="253"/>
    </row>
    <row r="372" spans="1:9" x14ac:dyDescent="0.2">
      <c r="A372" s="345">
        <v>38837</v>
      </c>
      <c r="B372" s="253">
        <v>1.85</v>
      </c>
      <c r="C372" s="34"/>
      <c r="D372" s="128">
        <v>1.8469</v>
      </c>
      <c r="E372" s="253"/>
      <c r="F372" s="496"/>
      <c r="G372" s="700"/>
      <c r="H372" s="703"/>
      <c r="I372" s="253"/>
    </row>
    <row r="373" spans="1:9" x14ac:dyDescent="0.2">
      <c r="A373" s="345">
        <v>38868</v>
      </c>
      <c r="B373" s="253">
        <v>-3.61</v>
      </c>
      <c r="C373" s="34"/>
      <c r="D373" s="128">
        <v>-3.6143000000000001</v>
      </c>
      <c r="E373" s="253"/>
      <c r="F373" s="496"/>
      <c r="G373" s="700"/>
      <c r="H373" s="703"/>
      <c r="I373" s="253"/>
    </row>
    <row r="374" spans="1:9" x14ac:dyDescent="0.2">
      <c r="A374" s="345">
        <v>38898</v>
      </c>
      <c r="B374" s="128">
        <v>0.36</v>
      </c>
      <c r="C374" s="612">
        <v>94569293.150000006</v>
      </c>
      <c r="D374" s="253"/>
      <c r="E374" s="253"/>
      <c r="F374" s="496"/>
      <c r="G374" s="700"/>
      <c r="H374" s="703"/>
      <c r="I374" s="253"/>
    </row>
    <row r="375" spans="1:9" x14ac:dyDescent="0.2">
      <c r="A375" s="345">
        <v>38929</v>
      </c>
      <c r="B375" s="128">
        <v>0.3</v>
      </c>
      <c r="C375" s="34">
        <v>96862178.280000001</v>
      </c>
      <c r="D375" s="253"/>
      <c r="E375" s="253"/>
      <c r="F375" s="496"/>
      <c r="G375" s="700"/>
      <c r="H375" s="703"/>
      <c r="I375" s="253"/>
    </row>
    <row r="376" spans="1:9" x14ac:dyDescent="0.2">
      <c r="A376" s="345">
        <v>38960</v>
      </c>
      <c r="B376" s="128">
        <v>1.57</v>
      </c>
      <c r="C376" s="34">
        <v>98387865.030000001</v>
      </c>
      <c r="D376" s="253"/>
      <c r="E376" s="253"/>
    </row>
    <row r="377" spans="1:9" x14ac:dyDescent="0.2">
      <c r="A377" s="345">
        <v>38990</v>
      </c>
      <c r="B377" s="128">
        <v>2.5</v>
      </c>
      <c r="C377" s="34">
        <v>100935725.34</v>
      </c>
      <c r="D377" s="253"/>
      <c r="E377" s="253"/>
    </row>
    <row r="378" spans="1:9" x14ac:dyDescent="0.2">
      <c r="A378" s="345">
        <v>39021</v>
      </c>
      <c r="B378" s="253">
        <v>3.46</v>
      </c>
      <c r="C378" s="34">
        <v>104431398.93000001</v>
      </c>
      <c r="D378" s="253"/>
      <c r="E378" s="253">
        <f t="array" ref="E378">(GEOMEAN(B369:B378/100+1)^12-1)*100</f>
        <v>14.967220932248161</v>
      </c>
    </row>
    <row r="379" spans="1:9" x14ac:dyDescent="0.2">
      <c r="A379" s="345">
        <v>39051</v>
      </c>
      <c r="B379" s="253">
        <v>1.76</v>
      </c>
      <c r="C379" s="34">
        <v>106270692.22</v>
      </c>
      <c r="D379" s="253"/>
      <c r="E379" s="253"/>
    </row>
    <row r="380" spans="1:9" x14ac:dyDescent="0.2">
      <c r="A380" s="345">
        <v>39082</v>
      </c>
      <c r="B380" s="253">
        <v>1.06</v>
      </c>
      <c r="C380" s="703">
        <v>107499943.77</v>
      </c>
      <c r="D380" s="253"/>
      <c r="E380" s="253"/>
    </row>
    <row r="381" spans="1:9" x14ac:dyDescent="0.2">
      <c r="A381" s="345">
        <v>39113</v>
      </c>
      <c r="B381" s="257">
        <v>2.19</v>
      </c>
      <c r="C381" s="770">
        <v>114452280.20999999</v>
      </c>
      <c r="E381" s="576"/>
    </row>
    <row r="382" spans="1:9" x14ac:dyDescent="0.2">
      <c r="A382" s="345">
        <v>39141</v>
      </c>
      <c r="B382" s="257">
        <v>-2.1800000000000002</v>
      </c>
      <c r="C382" s="770">
        <v>112452329.17</v>
      </c>
      <c r="E382" s="576"/>
    </row>
    <row r="383" spans="1:9" x14ac:dyDescent="0.2">
      <c r="A383" s="345">
        <v>39172</v>
      </c>
      <c r="B383" s="257">
        <v>0.56000000000000005</v>
      </c>
      <c r="C383" s="770">
        <v>113189833.52</v>
      </c>
      <c r="E383" s="576"/>
    </row>
    <row r="384" spans="1:9" x14ac:dyDescent="0.2">
      <c r="A384" s="345">
        <v>39202</v>
      </c>
      <c r="B384" s="257">
        <v>3.74</v>
      </c>
      <c r="C384" s="770">
        <v>117426206.37</v>
      </c>
      <c r="E384" s="576"/>
    </row>
    <row r="385" spans="1:3" x14ac:dyDescent="0.2">
      <c r="A385" s="345">
        <v>39233</v>
      </c>
      <c r="B385" s="257">
        <v>3.56</v>
      </c>
      <c r="C385" s="770">
        <v>121606094.59999999</v>
      </c>
    </row>
    <row r="386" spans="1:3" x14ac:dyDescent="0.2">
      <c r="A386" s="345">
        <v>39263</v>
      </c>
      <c r="B386" s="257">
        <v>-2.56</v>
      </c>
      <c r="C386" s="770">
        <v>118598005.58</v>
      </c>
    </row>
    <row r="387" spans="1:3" x14ac:dyDescent="0.2">
      <c r="A387" s="345">
        <v>39294</v>
      </c>
      <c r="B387" s="257">
        <v>-4.17</v>
      </c>
      <c r="C387" s="770">
        <v>113648433.47</v>
      </c>
    </row>
    <row r="388" spans="1:3" x14ac:dyDescent="0.2">
      <c r="A388" s="345">
        <v>39325</v>
      </c>
      <c r="B388" s="257">
        <v>0.32</v>
      </c>
      <c r="C388" s="346">
        <v>114013017.38</v>
      </c>
    </row>
    <row r="389" spans="1:3" x14ac:dyDescent="0.2">
      <c r="A389" s="345">
        <v>39355</v>
      </c>
      <c r="B389" s="257">
        <v>2.97</v>
      </c>
      <c r="C389" s="346">
        <v>117505882.52</v>
      </c>
    </row>
    <row r="390" spans="1:3" x14ac:dyDescent="0.2">
      <c r="A390" s="345">
        <v>39386</v>
      </c>
      <c r="B390" s="257">
        <v>1.83</v>
      </c>
      <c r="C390" s="346">
        <v>119660138.34</v>
      </c>
    </row>
    <row r="391" spans="1:3" x14ac:dyDescent="0.2">
      <c r="A391" s="345">
        <v>39416</v>
      </c>
      <c r="B391" s="257">
        <v>-5.24</v>
      </c>
      <c r="C391" s="346">
        <v>114814503.55</v>
      </c>
    </row>
    <row r="392" spans="1:3" x14ac:dyDescent="0.2">
      <c r="A392" s="345">
        <v>39447</v>
      </c>
      <c r="B392" s="257">
        <v>-1.24</v>
      </c>
      <c r="C392" s="346">
        <v>115477583.75</v>
      </c>
    </row>
    <row r="393" spans="1:3" x14ac:dyDescent="0.2">
      <c r="A393" s="345">
        <v>39478</v>
      </c>
      <c r="B393" s="257">
        <v>-5.7</v>
      </c>
      <c r="C393" s="346">
        <v>109795435.72</v>
      </c>
    </row>
    <row r="394" spans="1:3" x14ac:dyDescent="0.2">
      <c r="A394" s="345">
        <v>39507</v>
      </c>
      <c r="B394" s="257">
        <v>-3.06</v>
      </c>
      <c r="C394" s="346">
        <v>112559890.67</v>
      </c>
    </row>
    <row r="395" spans="1:3" x14ac:dyDescent="0.2">
      <c r="A395" s="345">
        <v>39538</v>
      </c>
      <c r="B395" s="257">
        <v>-0.88</v>
      </c>
      <c r="C395" s="346">
        <v>111671552.09999999</v>
      </c>
    </row>
    <row r="396" spans="1:3" x14ac:dyDescent="0.2">
      <c r="A396" s="345">
        <v>39568</v>
      </c>
      <c r="B396" s="257">
        <v>4.67</v>
      </c>
      <c r="C396" s="346">
        <v>118458449.94</v>
      </c>
    </row>
    <row r="397" spans="1:3" x14ac:dyDescent="0.2">
      <c r="A397" s="345">
        <v>39599</v>
      </c>
      <c r="B397" s="257">
        <v>3.04</v>
      </c>
      <c r="C397" s="346">
        <v>124048451.73999999</v>
      </c>
    </row>
    <row r="398" spans="1:3" x14ac:dyDescent="0.2">
      <c r="A398" s="345">
        <v>39629</v>
      </c>
      <c r="B398" s="257">
        <v>-7.29</v>
      </c>
      <c r="C398" s="346">
        <v>116049924.47</v>
      </c>
    </row>
    <row r="399" spans="1:3" x14ac:dyDescent="0.2">
      <c r="A399" s="345">
        <v>39660</v>
      </c>
      <c r="B399" s="257">
        <v>-0.47</v>
      </c>
      <c r="C399" s="1208">
        <v>117093115.18000001</v>
      </c>
    </row>
    <row r="400" spans="1:3" x14ac:dyDescent="0.2">
      <c r="A400" s="345">
        <v>39691</v>
      </c>
      <c r="B400" s="257">
        <v>0.9</v>
      </c>
      <c r="C400" s="1208">
        <v>118148913.64</v>
      </c>
    </row>
    <row r="401" spans="1:4" x14ac:dyDescent="0.2">
      <c r="A401" s="345">
        <v>39721</v>
      </c>
      <c r="B401" s="257">
        <v>-10.28</v>
      </c>
      <c r="C401" s="1208">
        <v>106103294.8</v>
      </c>
    </row>
    <row r="402" spans="1:4" x14ac:dyDescent="0.2">
      <c r="A402" s="345">
        <v>39752</v>
      </c>
      <c r="B402" s="257">
        <v>-17.66</v>
      </c>
      <c r="C402" s="346">
        <v>88186573.359999999</v>
      </c>
      <c r="D402" s="258">
        <v>-17.672799999999999</v>
      </c>
    </row>
    <row r="403" spans="1:4" x14ac:dyDescent="0.2">
      <c r="A403" s="345">
        <v>39782</v>
      </c>
      <c r="B403" s="257">
        <v>-8.15</v>
      </c>
      <c r="C403" s="346">
        <v>91193784.5</v>
      </c>
      <c r="D403" s="258">
        <v>-8.2743000000000002</v>
      </c>
    </row>
    <row r="404" spans="1:4" x14ac:dyDescent="0.2">
      <c r="A404" s="345">
        <v>39813</v>
      </c>
      <c r="B404" s="1320">
        <v>2.31</v>
      </c>
      <c r="C404" s="346">
        <v>91366967</v>
      </c>
      <c r="D404" s="258">
        <v>2.31</v>
      </c>
    </row>
    <row r="405" spans="1:4" x14ac:dyDescent="0.2">
      <c r="A405" s="345">
        <v>39844</v>
      </c>
      <c r="B405" s="257">
        <v>-8.32</v>
      </c>
      <c r="C405" s="346">
        <v>87638225.060000002</v>
      </c>
      <c r="D405" s="258">
        <v>-8.32</v>
      </c>
    </row>
    <row r="406" spans="1:4" x14ac:dyDescent="0.2">
      <c r="A406" s="345">
        <v>39872</v>
      </c>
      <c r="B406" s="257">
        <v>-10.92</v>
      </c>
      <c r="C406" s="346">
        <v>78067203.049999997</v>
      </c>
      <c r="D406" s="258">
        <v>-10.92</v>
      </c>
    </row>
    <row r="407" spans="1:4" x14ac:dyDescent="0.2">
      <c r="A407" s="345">
        <v>39903</v>
      </c>
      <c r="B407" s="257">
        <v>8.08</v>
      </c>
      <c r="C407" s="346">
        <v>86075868.709999993</v>
      </c>
      <c r="D407" s="258">
        <v>8.18</v>
      </c>
    </row>
    <row r="408" spans="1:4" x14ac:dyDescent="0.2">
      <c r="A408" s="345">
        <v>39933</v>
      </c>
      <c r="B408" s="257">
        <v>10.39</v>
      </c>
      <c r="C408" s="346">
        <v>95849948.579999998</v>
      </c>
    </row>
    <row r="409" spans="1:4" x14ac:dyDescent="0.2">
      <c r="A409" s="345">
        <v>39964</v>
      </c>
      <c r="B409" s="257">
        <v>5.38</v>
      </c>
      <c r="C409" s="346">
        <v>104172648.55</v>
      </c>
    </row>
    <row r="410" spans="1:4" x14ac:dyDescent="0.2">
      <c r="A410" s="345">
        <v>39994</v>
      </c>
      <c r="B410" s="257">
        <v>0.32</v>
      </c>
      <c r="C410" s="346">
        <v>106200100.20999999</v>
      </c>
    </row>
    <row r="411" spans="1:4" x14ac:dyDescent="0.2">
      <c r="A411" s="345">
        <v>40025</v>
      </c>
      <c r="B411" s="257">
        <v>7.44</v>
      </c>
      <c r="C411" s="346">
        <v>116316015.58</v>
      </c>
      <c r="D411" s="258">
        <v>7.44</v>
      </c>
    </row>
    <row r="412" spans="1:4" x14ac:dyDescent="0.2">
      <c r="A412" s="345">
        <v>40056</v>
      </c>
      <c r="B412" s="257">
        <v>3.75</v>
      </c>
      <c r="C412" s="346">
        <v>120678096.45999999</v>
      </c>
      <c r="D412" s="258">
        <v>3.7502</v>
      </c>
    </row>
    <row r="413" spans="1:4" x14ac:dyDescent="0.2">
      <c r="A413" s="345">
        <v>40086</v>
      </c>
      <c r="B413" s="257">
        <v>4.25</v>
      </c>
      <c r="C413" s="346">
        <v>125923164.03</v>
      </c>
      <c r="D413" s="258">
        <v>4.3463000000000003</v>
      </c>
    </row>
    <row r="414" spans="1:4" x14ac:dyDescent="0.2">
      <c r="A414" s="345">
        <v>40117</v>
      </c>
      <c r="B414" s="257">
        <v>-2.83</v>
      </c>
      <c r="C414" s="346">
        <v>122359217</v>
      </c>
      <c r="D414" s="258">
        <v>-2.83</v>
      </c>
    </row>
    <row r="415" spans="1:4" x14ac:dyDescent="0.2">
      <c r="A415" s="345">
        <v>40147</v>
      </c>
      <c r="B415" s="257">
        <v>5.34</v>
      </c>
      <c r="C415" s="346">
        <v>128887634</v>
      </c>
      <c r="D415" s="258">
        <v>5.335</v>
      </c>
    </row>
    <row r="416" spans="1:4" x14ac:dyDescent="0.2">
      <c r="A416" s="345">
        <v>40178</v>
      </c>
      <c r="B416" s="257">
        <v>3.17</v>
      </c>
      <c r="C416" s="346">
        <v>132976250.92</v>
      </c>
      <c r="D416" s="258">
        <v>3.1722299999999999</v>
      </c>
    </row>
    <row r="417" spans="1:5" x14ac:dyDescent="0.2">
      <c r="A417" s="345">
        <v>40209</v>
      </c>
      <c r="B417" s="257">
        <v>-4.57</v>
      </c>
      <c r="C417" s="346">
        <v>126896560.93000001</v>
      </c>
      <c r="D417" s="258">
        <v>-4.5720099999999997</v>
      </c>
    </row>
    <row r="418" spans="1:5" x14ac:dyDescent="0.2">
      <c r="A418" s="345">
        <v>40237</v>
      </c>
      <c r="B418" s="257">
        <v>3.8</v>
      </c>
      <c r="C418" s="346">
        <v>131717587.59999999</v>
      </c>
      <c r="D418" s="258">
        <v>3.7991799999999998</v>
      </c>
    </row>
    <row r="419" spans="1:5" x14ac:dyDescent="0.2">
      <c r="A419" s="345">
        <v>40268</v>
      </c>
      <c r="B419" s="257">
        <v>6.08</v>
      </c>
      <c r="C419" s="1287">
        <v>139730149.88</v>
      </c>
      <c r="D419" s="1286">
        <v>6.0831400000000002</v>
      </c>
    </row>
    <row r="420" spans="1:5" x14ac:dyDescent="0.2">
      <c r="A420" s="345">
        <v>40298</v>
      </c>
      <c r="B420" s="257">
        <v>0.8</v>
      </c>
      <c r="C420" s="346">
        <v>138334589.66</v>
      </c>
      <c r="D420" s="258">
        <v>0.99099000000000004</v>
      </c>
    </row>
    <row r="421" spans="1:5" x14ac:dyDescent="0.2">
      <c r="A421" s="345">
        <v>40329</v>
      </c>
      <c r="B421" s="257">
        <v>-8.5</v>
      </c>
      <c r="C421" s="346">
        <v>126575517.58</v>
      </c>
      <c r="D421" s="258">
        <v>-8.5004600000000003</v>
      </c>
    </row>
    <row r="422" spans="1:5" x14ac:dyDescent="0.2">
      <c r="A422" s="345">
        <v>40359</v>
      </c>
      <c r="B422" s="257">
        <v>-6.05</v>
      </c>
      <c r="C422" s="346">
        <v>118841921.33</v>
      </c>
      <c r="D422" s="258">
        <v>-6.0499200000000002</v>
      </c>
    </row>
    <row r="423" spans="1:5" x14ac:dyDescent="0.2">
      <c r="A423" s="345">
        <v>40390</v>
      </c>
      <c r="B423" s="257">
        <v>6.7947300000000004</v>
      </c>
      <c r="C423" s="346">
        <v>126916912.76000001</v>
      </c>
      <c r="D423" s="258">
        <v>6.7947300000000004</v>
      </c>
    </row>
    <row r="424" spans="1:5" x14ac:dyDescent="0.2">
      <c r="A424" s="345">
        <v>40421</v>
      </c>
      <c r="B424" s="257">
        <v>-5.0207800000000002</v>
      </c>
      <c r="C424" s="346">
        <v>120544691</v>
      </c>
      <c r="D424" s="258">
        <v>-5.0207800000000002</v>
      </c>
    </row>
    <row r="425" spans="1:5" x14ac:dyDescent="0.2">
      <c r="A425" s="345">
        <v>40451</v>
      </c>
      <c r="B425" s="257">
        <v>10.15991</v>
      </c>
      <c r="C425" s="346">
        <v>132791926.98</v>
      </c>
      <c r="D425" s="258">
        <v>10.15991</v>
      </c>
    </row>
    <row r="426" spans="1:5" x14ac:dyDescent="0.2">
      <c r="A426" s="345">
        <v>40482</v>
      </c>
      <c r="B426" s="257">
        <v>4.1150500000000001</v>
      </c>
      <c r="C426" s="346">
        <v>138172381.38</v>
      </c>
      <c r="D426" s="258">
        <v>4.1150500000000001</v>
      </c>
    </row>
    <row r="427" spans="1:5" x14ac:dyDescent="0.2">
      <c r="A427" s="345">
        <v>40512</v>
      </c>
      <c r="B427" s="257">
        <f>D427</f>
        <v>4.2229999999999997E-2</v>
      </c>
      <c r="C427" s="346">
        <v>138230728.59</v>
      </c>
      <c r="D427" s="258">
        <v>4.2229999999999997E-2</v>
      </c>
    </row>
    <row r="428" spans="1:5" x14ac:dyDescent="0.2">
      <c r="A428" s="345">
        <v>40543</v>
      </c>
      <c r="B428" s="1336">
        <v>5.4118113128971856</v>
      </c>
      <c r="C428" s="1337"/>
      <c r="D428" s="1338">
        <v>5.4118113128971856</v>
      </c>
      <c r="E428" s="262" t="s">
        <v>714</v>
      </c>
    </row>
    <row r="429" spans="1:5" x14ac:dyDescent="0.2">
      <c r="A429" s="345">
        <v>40574</v>
      </c>
      <c r="B429" s="1336">
        <f>D429</f>
        <v>0</v>
      </c>
      <c r="C429" s="1337"/>
      <c r="D429" s="1338"/>
      <c r="E429" s="262" t="s">
        <v>714</v>
      </c>
    </row>
    <row r="430" spans="1:5" x14ac:dyDescent="0.2">
      <c r="A430" s="345">
        <v>40602</v>
      </c>
    </row>
    <row r="431" spans="1:5" x14ac:dyDescent="0.2">
      <c r="A431" s="345">
        <v>40633</v>
      </c>
    </row>
    <row r="432" spans="1:5" x14ac:dyDescent="0.2">
      <c r="A432" s="345">
        <v>40663</v>
      </c>
    </row>
    <row r="433" spans="1:1" x14ac:dyDescent="0.2">
      <c r="A433" s="345">
        <v>40694</v>
      </c>
    </row>
    <row r="434" spans="1:1" x14ac:dyDescent="0.2">
      <c r="A434" s="345">
        <v>40724</v>
      </c>
    </row>
    <row r="435" spans="1:1" x14ac:dyDescent="0.2">
      <c r="A435" s="345">
        <v>40755</v>
      </c>
    </row>
    <row r="436" spans="1:1" x14ac:dyDescent="0.2">
      <c r="A436" s="345">
        <v>40786</v>
      </c>
    </row>
    <row r="437" spans="1:1" x14ac:dyDescent="0.2">
      <c r="A437" s="345">
        <v>40816</v>
      </c>
    </row>
  </sheetData>
  <phoneticPr fontId="3" type="noConversion"/>
  <pageMargins left="0.75" right="0.75" top="1" bottom="1" header="0.5" footer="0.5"/>
  <headerFooter alignWithMargins="0"/>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FF0000"/>
  </sheetPr>
  <dimension ref="A1:I437"/>
  <sheetViews>
    <sheetView topLeftCell="A390" workbookViewId="0">
      <selection activeCell="D441" sqref="D441"/>
    </sheetView>
  </sheetViews>
  <sheetFormatPr defaultRowHeight="12.75" x14ac:dyDescent="0.2"/>
  <cols>
    <col min="1" max="1" width="18.7109375" style="21" customWidth="1"/>
    <col min="2" max="2" width="18.7109375" style="257" customWidth="1"/>
    <col min="3" max="3" width="18.7109375" style="5" customWidth="1"/>
    <col min="4" max="4" width="18.7109375" style="258" customWidth="1"/>
    <col min="5" max="5" width="18.7109375" style="576" customWidth="1"/>
    <col min="7" max="7" width="9.140625" style="352"/>
    <col min="8" max="8" width="11.140625" style="352" customWidth="1"/>
  </cols>
  <sheetData>
    <row r="1" spans="1:5" x14ac:dyDescent="0.2">
      <c r="A1" s="265" t="s">
        <v>298</v>
      </c>
      <c r="B1" s="344" t="s">
        <v>308</v>
      </c>
      <c r="C1" s="21" t="s">
        <v>306</v>
      </c>
      <c r="D1" s="252">
        <v>49</v>
      </c>
      <c r="E1" s="571" t="s">
        <v>81</v>
      </c>
    </row>
    <row r="2" spans="1:5" x14ac:dyDescent="0.2">
      <c r="A2" s="3" t="s">
        <v>27</v>
      </c>
      <c r="B2" s="71" t="s">
        <v>91</v>
      </c>
      <c r="C2" s="3" t="s">
        <v>92</v>
      </c>
      <c r="D2" s="71" t="s">
        <v>90</v>
      </c>
      <c r="E2" s="572" t="s">
        <v>80</v>
      </c>
    </row>
    <row r="3" spans="1:5" x14ac:dyDescent="0.2">
      <c r="A3" s="345">
        <v>27606</v>
      </c>
      <c r="B3" s="71"/>
      <c r="C3" s="226"/>
      <c r="D3" s="71"/>
      <c r="E3" s="572"/>
    </row>
    <row r="4" spans="1:5" x14ac:dyDescent="0.2">
      <c r="A4" s="345">
        <v>27637</v>
      </c>
      <c r="B4" s="71"/>
      <c r="C4" s="226"/>
      <c r="D4" s="71"/>
      <c r="E4" s="572"/>
    </row>
    <row r="5" spans="1:5" x14ac:dyDescent="0.2">
      <c r="A5" s="345">
        <v>27667</v>
      </c>
      <c r="B5" s="71"/>
      <c r="C5" s="226"/>
      <c r="D5" s="71"/>
      <c r="E5" s="572"/>
    </row>
    <row r="6" spans="1:5" x14ac:dyDescent="0.2">
      <c r="A6" s="345">
        <v>27698</v>
      </c>
      <c r="B6" s="71"/>
      <c r="C6" s="226"/>
      <c r="D6" s="71"/>
      <c r="E6" s="572"/>
    </row>
    <row r="7" spans="1:5" x14ac:dyDescent="0.2">
      <c r="A7" s="345">
        <v>27728</v>
      </c>
      <c r="B7" s="71"/>
      <c r="C7" s="226"/>
      <c r="D7" s="71"/>
      <c r="E7" s="572"/>
    </row>
    <row r="8" spans="1:5" x14ac:dyDescent="0.2">
      <c r="A8" s="345">
        <v>27759</v>
      </c>
      <c r="B8" s="71"/>
      <c r="C8" s="226"/>
      <c r="D8" s="71"/>
      <c r="E8" s="572"/>
    </row>
    <row r="9" spans="1:5" x14ac:dyDescent="0.2">
      <c r="A9" s="345">
        <v>27790</v>
      </c>
      <c r="B9" s="71"/>
      <c r="C9" s="226"/>
      <c r="D9" s="71"/>
      <c r="E9" s="572"/>
    </row>
    <row r="10" spans="1:5" x14ac:dyDescent="0.2">
      <c r="A10" s="345">
        <v>27819</v>
      </c>
      <c r="B10" s="71"/>
      <c r="C10" s="226"/>
      <c r="D10" s="71"/>
      <c r="E10" s="572"/>
    </row>
    <row r="11" spans="1:5" x14ac:dyDescent="0.2">
      <c r="A11" s="345">
        <v>27850</v>
      </c>
      <c r="B11" s="71"/>
      <c r="C11" s="226"/>
      <c r="D11" s="71"/>
      <c r="E11" s="572"/>
    </row>
    <row r="12" spans="1:5" x14ac:dyDescent="0.2">
      <c r="A12" s="345">
        <v>27880</v>
      </c>
      <c r="B12" s="71"/>
      <c r="C12" s="226"/>
      <c r="D12" s="71"/>
      <c r="E12" s="572"/>
    </row>
    <row r="13" spans="1:5" x14ac:dyDescent="0.2">
      <c r="A13" s="345">
        <v>27911</v>
      </c>
      <c r="B13" s="71"/>
      <c r="C13" s="226"/>
      <c r="D13" s="71"/>
      <c r="E13" s="572"/>
    </row>
    <row r="14" spans="1:5" x14ac:dyDescent="0.2">
      <c r="A14" s="345">
        <v>27941</v>
      </c>
      <c r="B14" s="71"/>
      <c r="C14" s="226"/>
      <c r="D14" s="71"/>
      <c r="E14" s="572"/>
    </row>
    <row r="15" spans="1:5" x14ac:dyDescent="0.2">
      <c r="A15" s="345">
        <v>27972</v>
      </c>
      <c r="B15" s="71"/>
      <c r="C15" s="226"/>
      <c r="D15" s="71"/>
      <c r="E15" s="572"/>
    </row>
    <row r="16" spans="1:5" x14ac:dyDescent="0.2">
      <c r="A16" s="345">
        <v>28003</v>
      </c>
      <c r="B16" s="71"/>
      <c r="C16" s="226"/>
      <c r="D16" s="71"/>
      <c r="E16" s="572"/>
    </row>
    <row r="17" spans="1:5" x14ac:dyDescent="0.2">
      <c r="A17" s="345">
        <v>28033</v>
      </c>
      <c r="B17" s="71"/>
      <c r="C17" s="226"/>
      <c r="D17" s="71"/>
      <c r="E17" s="572"/>
    </row>
    <row r="18" spans="1:5" x14ac:dyDescent="0.2">
      <c r="A18" s="345">
        <v>28064</v>
      </c>
      <c r="B18" s="71"/>
      <c r="C18" s="226"/>
      <c r="D18" s="71"/>
      <c r="E18" s="572"/>
    </row>
    <row r="19" spans="1:5" x14ac:dyDescent="0.2">
      <c r="A19" s="345">
        <v>28094</v>
      </c>
      <c r="B19" s="71"/>
      <c r="C19" s="226"/>
      <c r="D19" s="71"/>
      <c r="E19" s="572"/>
    </row>
    <row r="20" spans="1:5" x14ac:dyDescent="0.2">
      <c r="A20" s="345">
        <v>28125</v>
      </c>
      <c r="B20" s="71"/>
      <c r="C20" s="226"/>
      <c r="D20" s="71"/>
      <c r="E20" s="572"/>
    </row>
    <row r="21" spans="1:5" x14ac:dyDescent="0.2">
      <c r="A21" s="345">
        <v>28156</v>
      </c>
      <c r="B21" s="71"/>
      <c r="C21" s="226"/>
      <c r="D21" s="71"/>
      <c r="E21" s="572"/>
    </row>
    <row r="22" spans="1:5" x14ac:dyDescent="0.2">
      <c r="A22" s="345">
        <v>28184</v>
      </c>
      <c r="B22" s="71"/>
      <c r="C22" s="226"/>
      <c r="D22" s="71"/>
      <c r="E22" s="572"/>
    </row>
    <row r="23" spans="1:5" x14ac:dyDescent="0.2">
      <c r="A23" s="345">
        <v>28215</v>
      </c>
      <c r="B23" s="71"/>
      <c r="C23" s="226"/>
      <c r="D23" s="71"/>
      <c r="E23" s="572"/>
    </row>
    <row r="24" spans="1:5" x14ac:dyDescent="0.2">
      <c r="A24" s="345">
        <v>28245</v>
      </c>
      <c r="B24" s="71"/>
      <c r="C24" s="226"/>
      <c r="D24" s="71"/>
      <c r="E24" s="572"/>
    </row>
    <row r="25" spans="1:5" x14ac:dyDescent="0.2">
      <c r="A25" s="345">
        <v>28276</v>
      </c>
      <c r="B25" s="71"/>
      <c r="C25" s="226"/>
      <c r="D25" s="71"/>
      <c r="E25" s="572"/>
    </row>
    <row r="26" spans="1:5" x14ac:dyDescent="0.2">
      <c r="A26" s="345">
        <v>28306</v>
      </c>
      <c r="B26" s="71"/>
      <c r="C26" s="226"/>
      <c r="D26" s="71"/>
      <c r="E26" s="572"/>
    </row>
    <row r="27" spans="1:5" x14ac:dyDescent="0.2">
      <c r="A27" s="345">
        <v>28337</v>
      </c>
      <c r="B27" s="71"/>
      <c r="C27" s="226"/>
      <c r="D27" s="71"/>
      <c r="E27" s="572"/>
    </row>
    <row r="28" spans="1:5" x14ac:dyDescent="0.2">
      <c r="A28" s="345">
        <v>28368</v>
      </c>
      <c r="B28" s="71"/>
      <c r="C28" s="226"/>
      <c r="D28" s="71"/>
      <c r="E28" s="572"/>
    </row>
    <row r="29" spans="1:5" x14ac:dyDescent="0.2">
      <c r="A29" s="345">
        <v>28398</v>
      </c>
      <c r="B29" s="71"/>
      <c r="C29" s="226"/>
      <c r="D29" s="71"/>
      <c r="E29" s="572"/>
    </row>
    <row r="30" spans="1:5" x14ac:dyDescent="0.2">
      <c r="A30" s="345">
        <v>28429</v>
      </c>
      <c r="B30" s="71"/>
      <c r="C30" s="226"/>
      <c r="D30" s="71"/>
      <c r="E30" s="572"/>
    </row>
    <row r="31" spans="1:5" x14ac:dyDescent="0.2">
      <c r="A31" s="345">
        <v>28459</v>
      </c>
      <c r="B31" s="71"/>
      <c r="C31" s="226"/>
      <c r="D31" s="71"/>
      <c r="E31" s="572"/>
    </row>
    <row r="32" spans="1:5" x14ac:dyDescent="0.2">
      <c r="A32" s="345">
        <v>28490</v>
      </c>
      <c r="B32" s="71"/>
      <c r="C32" s="226"/>
      <c r="D32" s="71"/>
      <c r="E32" s="572"/>
    </row>
    <row r="33" spans="1:5" x14ac:dyDescent="0.2">
      <c r="A33" s="345">
        <v>28521</v>
      </c>
      <c r="B33" s="71"/>
      <c r="C33" s="226"/>
      <c r="D33" s="71"/>
      <c r="E33" s="572"/>
    </row>
    <row r="34" spans="1:5" x14ac:dyDescent="0.2">
      <c r="A34" s="345">
        <v>28549</v>
      </c>
      <c r="B34" s="71"/>
      <c r="C34" s="226"/>
      <c r="D34" s="71"/>
      <c r="E34" s="572"/>
    </row>
    <row r="35" spans="1:5" x14ac:dyDescent="0.2">
      <c r="A35" s="345">
        <v>28580</v>
      </c>
      <c r="B35" s="71"/>
      <c r="C35" s="226"/>
      <c r="D35" s="71"/>
      <c r="E35" s="572"/>
    </row>
    <row r="36" spans="1:5" x14ac:dyDescent="0.2">
      <c r="A36" s="345">
        <v>28610</v>
      </c>
      <c r="B36" s="71"/>
      <c r="C36" s="226"/>
      <c r="D36" s="71"/>
      <c r="E36" s="572"/>
    </row>
    <row r="37" spans="1:5" x14ac:dyDescent="0.2">
      <c r="A37" s="345">
        <v>28641</v>
      </c>
      <c r="B37" s="71"/>
      <c r="C37" s="226"/>
      <c r="D37" s="71"/>
      <c r="E37" s="572"/>
    </row>
    <row r="38" spans="1:5" x14ac:dyDescent="0.2">
      <c r="A38" s="345">
        <v>28671</v>
      </c>
      <c r="B38" s="71"/>
      <c r="C38" s="226"/>
      <c r="D38" s="71"/>
      <c r="E38" s="572"/>
    </row>
    <row r="39" spans="1:5" x14ac:dyDescent="0.2">
      <c r="A39" s="345">
        <v>28702</v>
      </c>
      <c r="B39" s="71"/>
      <c r="C39" s="226"/>
      <c r="D39" s="71"/>
      <c r="E39" s="572"/>
    </row>
    <row r="40" spans="1:5" x14ac:dyDescent="0.2">
      <c r="A40" s="345">
        <v>28733</v>
      </c>
      <c r="B40" s="71"/>
      <c r="C40" s="226"/>
      <c r="D40" s="71"/>
      <c r="E40" s="572"/>
    </row>
    <row r="41" spans="1:5" x14ac:dyDescent="0.2">
      <c r="A41" s="345">
        <v>28763</v>
      </c>
      <c r="B41" s="71"/>
      <c r="C41" s="226"/>
      <c r="D41" s="71"/>
      <c r="E41" s="572"/>
    </row>
    <row r="42" spans="1:5" x14ac:dyDescent="0.2">
      <c r="A42" s="345">
        <v>28794</v>
      </c>
      <c r="B42" s="71"/>
      <c r="C42" s="226"/>
      <c r="D42" s="71"/>
      <c r="E42" s="572"/>
    </row>
    <row r="43" spans="1:5" x14ac:dyDescent="0.2">
      <c r="A43" s="345">
        <v>28824</v>
      </c>
      <c r="B43" s="71"/>
      <c r="C43" s="226"/>
      <c r="D43" s="71"/>
      <c r="E43" s="572"/>
    </row>
    <row r="44" spans="1:5" x14ac:dyDescent="0.2">
      <c r="A44" s="345">
        <v>28855</v>
      </c>
      <c r="B44" s="71"/>
      <c r="C44" s="226"/>
      <c r="D44" s="71"/>
      <c r="E44" s="572"/>
    </row>
    <row r="45" spans="1:5" x14ac:dyDescent="0.2">
      <c r="A45" s="345">
        <v>28886</v>
      </c>
      <c r="B45" s="71"/>
      <c r="C45" s="226"/>
      <c r="D45" s="71"/>
      <c r="E45" s="572"/>
    </row>
    <row r="46" spans="1:5" x14ac:dyDescent="0.2">
      <c r="A46" s="345">
        <v>28914</v>
      </c>
      <c r="B46" s="71"/>
      <c r="C46" s="226"/>
      <c r="D46" s="71"/>
      <c r="E46" s="572"/>
    </row>
    <row r="47" spans="1:5" x14ac:dyDescent="0.2">
      <c r="A47" s="345">
        <v>28945</v>
      </c>
      <c r="B47" s="71"/>
      <c r="C47" s="226"/>
      <c r="D47" s="71"/>
      <c r="E47" s="572"/>
    </row>
    <row r="48" spans="1:5" x14ac:dyDescent="0.2">
      <c r="A48" s="345">
        <v>28975</v>
      </c>
      <c r="B48" s="71"/>
      <c r="C48" s="226"/>
      <c r="D48" s="71"/>
      <c r="E48" s="572"/>
    </row>
    <row r="49" spans="1:5" x14ac:dyDescent="0.2">
      <c r="A49" s="345">
        <v>29006</v>
      </c>
      <c r="B49" s="71"/>
      <c r="C49" s="226"/>
      <c r="D49" s="71"/>
      <c r="E49" s="572"/>
    </row>
    <row r="50" spans="1:5" x14ac:dyDescent="0.2">
      <c r="A50" s="345">
        <v>29036</v>
      </c>
      <c r="B50" s="71"/>
      <c r="C50" s="226"/>
      <c r="D50" s="71"/>
      <c r="E50" s="572"/>
    </row>
    <row r="51" spans="1:5" x14ac:dyDescent="0.2">
      <c r="A51" s="345">
        <v>29067</v>
      </c>
      <c r="B51" s="71"/>
      <c r="C51" s="226"/>
      <c r="D51" s="71"/>
      <c r="E51" s="572"/>
    </row>
    <row r="52" spans="1:5" x14ac:dyDescent="0.2">
      <c r="A52" s="345">
        <v>29098</v>
      </c>
      <c r="B52" s="71"/>
      <c r="C52" s="226"/>
      <c r="D52" s="71"/>
      <c r="E52" s="572"/>
    </row>
    <row r="53" spans="1:5" x14ac:dyDescent="0.2">
      <c r="A53" s="345">
        <v>29128</v>
      </c>
      <c r="B53" s="71"/>
      <c r="C53" s="226"/>
      <c r="D53" s="71"/>
      <c r="E53" s="572"/>
    </row>
    <row r="54" spans="1:5" x14ac:dyDescent="0.2">
      <c r="A54" s="345">
        <v>29159</v>
      </c>
      <c r="B54" s="71"/>
      <c r="C54" s="226"/>
      <c r="D54" s="71"/>
      <c r="E54" s="572"/>
    </row>
    <row r="55" spans="1:5" x14ac:dyDescent="0.2">
      <c r="A55" s="345">
        <v>29189</v>
      </c>
      <c r="B55" s="71"/>
      <c r="C55" s="226"/>
      <c r="D55" s="71"/>
      <c r="E55" s="572"/>
    </row>
    <row r="56" spans="1:5" x14ac:dyDescent="0.2">
      <c r="A56" s="345">
        <v>29220</v>
      </c>
      <c r="B56" s="71"/>
      <c r="C56" s="226"/>
      <c r="D56" s="71"/>
      <c r="E56" s="572"/>
    </row>
    <row r="57" spans="1:5" x14ac:dyDescent="0.2">
      <c r="A57" s="345">
        <v>29251</v>
      </c>
      <c r="B57" s="71"/>
      <c r="C57" s="226"/>
      <c r="D57" s="71"/>
      <c r="E57" s="572"/>
    </row>
    <row r="58" spans="1:5" x14ac:dyDescent="0.2">
      <c r="A58" s="345">
        <v>29280</v>
      </c>
      <c r="B58" s="71"/>
      <c r="C58" s="226"/>
      <c r="D58" s="71"/>
      <c r="E58" s="572"/>
    </row>
    <row r="59" spans="1:5" x14ac:dyDescent="0.2">
      <c r="A59" s="345">
        <v>29311</v>
      </c>
      <c r="B59" s="71"/>
      <c r="C59" s="226"/>
      <c r="D59" s="71"/>
      <c r="E59" s="572"/>
    </row>
    <row r="60" spans="1:5" x14ac:dyDescent="0.2">
      <c r="A60" s="345">
        <v>29341</v>
      </c>
      <c r="B60" s="71"/>
      <c r="C60" s="226"/>
      <c r="D60" s="71"/>
      <c r="E60" s="572"/>
    </row>
    <row r="61" spans="1:5" x14ac:dyDescent="0.2">
      <c r="A61" s="345">
        <v>29372</v>
      </c>
      <c r="B61" s="71"/>
      <c r="C61" s="226"/>
      <c r="D61" s="71"/>
      <c r="E61" s="572"/>
    </row>
    <row r="62" spans="1:5" x14ac:dyDescent="0.2">
      <c r="A62" s="345">
        <v>29402</v>
      </c>
      <c r="B62" s="71"/>
      <c r="C62" s="226"/>
      <c r="D62" s="71"/>
      <c r="E62" s="572"/>
    </row>
    <row r="63" spans="1:5" x14ac:dyDescent="0.2">
      <c r="A63" s="345">
        <v>29433</v>
      </c>
      <c r="B63" s="71"/>
      <c r="C63" s="226"/>
      <c r="D63" s="71"/>
      <c r="E63" s="572"/>
    </row>
    <row r="64" spans="1:5" x14ac:dyDescent="0.2">
      <c r="A64" s="345">
        <v>29464</v>
      </c>
      <c r="B64" s="71"/>
      <c r="C64" s="226"/>
      <c r="D64" s="71"/>
      <c r="E64" s="572"/>
    </row>
    <row r="65" spans="1:5" x14ac:dyDescent="0.2">
      <c r="A65" s="345">
        <v>29494</v>
      </c>
      <c r="B65" s="71"/>
      <c r="C65" s="226"/>
      <c r="D65" s="71"/>
      <c r="E65" s="572"/>
    </row>
    <row r="66" spans="1:5" x14ac:dyDescent="0.2">
      <c r="A66" s="345">
        <v>29525</v>
      </c>
      <c r="B66" s="71"/>
      <c r="C66" s="226"/>
      <c r="D66" s="71"/>
      <c r="E66" s="572"/>
    </row>
    <row r="67" spans="1:5" x14ac:dyDescent="0.2">
      <c r="A67" s="345">
        <v>29555</v>
      </c>
      <c r="B67" s="71"/>
      <c r="C67" s="226"/>
      <c r="D67" s="71"/>
      <c r="E67" s="572"/>
    </row>
    <row r="68" spans="1:5" x14ac:dyDescent="0.2">
      <c r="A68" s="345">
        <v>29586</v>
      </c>
      <c r="B68" s="71"/>
      <c r="C68" s="226"/>
      <c r="D68" s="71"/>
      <c r="E68" s="572"/>
    </row>
    <row r="69" spans="1:5" x14ac:dyDescent="0.2">
      <c r="A69" s="345">
        <v>29617</v>
      </c>
      <c r="B69" s="71"/>
      <c r="C69" s="226"/>
      <c r="D69" s="71"/>
      <c r="E69" s="572"/>
    </row>
    <row r="70" spans="1:5" x14ac:dyDescent="0.2">
      <c r="A70" s="345">
        <v>29645</v>
      </c>
      <c r="B70" s="71"/>
      <c r="C70" s="226"/>
      <c r="D70" s="71"/>
      <c r="E70" s="572"/>
    </row>
    <row r="71" spans="1:5" x14ac:dyDescent="0.2">
      <c r="A71" s="345">
        <v>29676</v>
      </c>
      <c r="B71" s="71"/>
      <c r="C71" s="226"/>
      <c r="D71" s="71"/>
      <c r="E71" s="572"/>
    </row>
    <row r="72" spans="1:5" x14ac:dyDescent="0.2">
      <c r="A72" s="345">
        <v>29706</v>
      </c>
      <c r="B72" s="71"/>
      <c r="C72" s="226"/>
      <c r="D72" s="71"/>
      <c r="E72" s="572"/>
    </row>
    <row r="73" spans="1:5" x14ac:dyDescent="0.2">
      <c r="A73" s="345">
        <v>29737</v>
      </c>
      <c r="B73" s="71"/>
      <c r="C73" s="226"/>
      <c r="D73" s="71"/>
      <c r="E73" s="572"/>
    </row>
    <row r="74" spans="1:5" x14ac:dyDescent="0.2">
      <c r="A74" s="345">
        <v>29767</v>
      </c>
      <c r="B74" s="71"/>
      <c r="C74" s="226"/>
      <c r="D74" s="71"/>
      <c r="E74" s="572"/>
    </row>
    <row r="75" spans="1:5" x14ac:dyDescent="0.2">
      <c r="A75" s="345">
        <v>29798</v>
      </c>
      <c r="B75" s="71"/>
      <c r="C75" s="226"/>
      <c r="D75" s="71"/>
      <c r="E75" s="572"/>
    </row>
    <row r="76" spans="1:5" x14ac:dyDescent="0.2">
      <c r="A76" s="345">
        <v>29829</v>
      </c>
      <c r="B76" s="71"/>
      <c r="C76" s="226"/>
      <c r="D76" s="71"/>
      <c r="E76" s="572"/>
    </row>
    <row r="77" spans="1:5" x14ac:dyDescent="0.2">
      <c r="A77" s="345">
        <v>29859</v>
      </c>
      <c r="B77" s="71"/>
      <c r="C77" s="226"/>
      <c r="D77" s="71"/>
      <c r="E77" s="572"/>
    </row>
    <row r="78" spans="1:5" x14ac:dyDescent="0.2">
      <c r="A78" s="345">
        <v>29890</v>
      </c>
      <c r="B78" s="71"/>
      <c r="C78" s="226"/>
      <c r="D78" s="71"/>
      <c r="E78" s="572"/>
    </row>
    <row r="79" spans="1:5" x14ac:dyDescent="0.2">
      <c r="A79" s="345">
        <v>29920</v>
      </c>
      <c r="B79" s="71"/>
      <c r="C79" s="226"/>
      <c r="D79" s="71"/>
      <c r="E79" s="572"/>
    </row>
    <row r="80" spans="1:5" x14ac:dyDescent="0.2">
      <c r="A80" s="345">
        <v>29951</v>
      </c>
      <c r="B80" s="71"/>
      <c r="C80" s="226"/>
      <c r="D80" s="71"/>
      <c r="E80" s="572"/>
    </row>
    <row r="81" spans="1:5" x14ac:dyDescent="0.2">
      <c r="A81" s="345">
        <v>29982</v>
      </c>
      <c r="B81" s="71"/>
      <c r="C81" s="226"/>
      <c r="D81" s="71"/>
      <c r="E81" s="572"/>
    </row>
    <row r="82" spans="1:5" x14ac:dyDescent="0.2">
      <c r="A82" s="345">
        <v>30010</v>
      </c>
      <c r="B82" s="71"/>
      <c r="C82" s="226"/>
      <c r="D82" s="71"/>
      <c r="E82" s="572"/>
    </row>
    <row r="83" spans="1:5" x14ac:dyDescent="0.2">
      <c r="A83" s="345">
        <v>30041</v>
      </c>
      <c r="B83" s="71"/>
      <c r="C83" s="226"/>
      <c r="D83" s="71"/>
      <c r="E83" s="572"/>
    </row>
    <row r="84" spans="1:5" x14ac:dyDescent="0.2">
      <c r="A84" s="345">
        <v>30071</v>
      </c>
      <c r="B84" s="71"/>
      <c r="C84" s="226"/>
      <c r="D84" s="71"/>
      <c r="E84" s="572"/>
    </row>
    <row r="85" spans="1:5" x14ac:dyDescent="0.2">
      <c r="A85" s="345">
        <v>30102</v>
      </c>
      <c r="B85" s="71"/>
      <c r="C85" s="226"/>
      <c r="D85" s="71"/>
      <c r="E85" s="572"/>
    </row>
    <row r="86" spans="1:5" x14ac:dyDescent="0.2">
      <c r="A86" s="345">
        <v>30132</v>
      </c>
      <c r="B86" s="71"/>
      <c r="C86" s="226"/>
      <c r="D86" s="71"/>
      <c r="E86" s="572"/>
    </row>
    <row r="87" spans="1:5" x14ac:dyDescent="0.2">
      <c r="A87" s="345">
        <v>30163</v>
      </c>
      <c r="B87" s="71"/>
      <c r="C87" s="226"/>
      <c r="D87" s="71"/>
      <c r="E87" s="572"/>
    </row>
    <row r="88" spans="1:5" x14ac:dyDescent="0.2">
      <c r="A88" s="345">
        <v>30194</v>
      </c>
      <c r="B88" s="71"/>
      <c r="C88" s="226"/>
      <c r="D88" s="71"/>
      <c r="E88" s="572"/>
    </row>
    <row r="89" spans="1:5" x14ac:dyDescent="0.2">
      <c r="A89" s="345">
        <v>30224</v>
      </c>
      <c r="B89" s="71"/>
      <c r="C89" s="226"/>
      <c r="D89" s="71"/>
      <c r="E89" s="572"/>
    </row>
    <row r="90" spans="1:5" x14ac:dyDescent="0.2">
      <c r="A90" s="345">
        <v>30255</v>
      </c>
      <c r="B90" s="71"/>
      <c r="C90" s="226"/>
      <c r="D90" s="71"/>
      <c r="E90" s="572"/>
    </row>
    <row r="91" spans="1:5" x14ac:dyDescent="0.2">
      <c r="A91" s="345">
        <v>30285</v>
      </c>
      <c r="B91" s="71"/>
      <c r="C91" s="226"/>
      <c r="D91" s="71"/>
      <c r="E91" s="572"/>
    </row>
    <row r="92" spans="1:5" x14ac:dyDescent="0.2">
      <c r="A92" s="345">
        <v>30316</v>
      </c>
      <c r="B92" s="71"/>
      <c r="C92" s="226"/>
      <c r="D92" s="71"/>
      <c r="E92" s="572"/>
    </row>
    <row r="93" spans="1:5" x14ac:dyDescent="0.2">
      <c r="A93" s="345">
        <v>30347</v>
      </c>
      <c r="B93" s="71"/>
      <c r="C93" s="226"/>
      <c r="D93" s="71"/>
      <c r="E93" s="572"/>
    </row>
    <row r="94" spans="1:5" x14ac:dyDescent="0.2">
      <c r="A94" s="345">
        <v>30375</v>
      </c>
      <c r="B94" s="71"/>
      <c r="C94" s="226"/>
      <c r="D94" s="71"/>
      <c r="E94" s="572"/>
    </row>
    <row r="95" spans="1:5" x14ac:dyDescent="0.2">
      <c r="A95" s="345">
        <v>30406</v>
      </c>
      <c r="B95" s="71"/>
      <c r="C95" s="226"/>
      <c r="D95" s="71"/>
      <c r="E95" s="572"/>
    </row>
    <row r="96" spans="1:5" x14ac:dyDescent="0.2">
      <c r="A96" s="345">
        <v>30436</v>
      </c>
      <c r="B96" s="71"/>
      <c r="C96" s="226"/>
      <c r="D96" s="71"/>
      <c r="E96" s="572"/>
    </row>
    <row r="97" spans="1:5" x14ac:dyDescent="0.2">
      <c r="A97" s="345">
        <v>30467</v>
      </c>
      <c r="B97" s="71"/>
      <c r="C97" s="226"/>
      <c r="D97" s="71"/>
      <c r="E97" s="572"/>
    </row>
    <row r="98" spans="1:5" x14ac:dyDescent="0.2">
      <c r="A98" s="345">
        <v>30497</v>
      </c>
      <c r="B98" s="71"/>
      <c r="C98" s="226"/>
      <c r="D98" s="71"/>
      <c r="E98" s="572"/>
    </row>
    <row r="99" spans="1:5" x14ac:dyDescent="0.2">
      <c r="A99" s="345">
        <v>30528</v>
      </c>
      <c r="B99" s="71"/>
      <c r="C99" s="226"/>
      <c r="D99" s="71"/>
      <c r="E99" s="572"/>
    </row>
    <row r="100" spans="1:5" x14ac:dyDescent="0.2">
      <c r="A100" s="345">
        <v>30559</v>
      </c>
      <c r="B100" s="71"/>
      <c r="C100" s="226"/>
      <c r="D100" s="71"/>
      <c r="E100" s="572"/>
    </row>
    <row r="101" spans="1:5" x14ac:dyDescent="0.2">
      <c r="A101" s="345">
        <v>30589</v>
      </c>
      <c r="B101" s="71"/>
      <c r="C101" s="226"/>
      <c r="D101" s="71"/>
      <c r="E101" s="572"/>
    </row>
    <row r="102" spans="1:5" x14ac:dyDescent="0.2">
      <c r="A102" s="345">
        <v>30620</v>
      </c>
      <c r="B102" s="71"/>
      <c r="C102" s="226"/>
      <c r="D102" s="71"/>
      <c r="E102" s="572"/>
    </row>
    <row r="103" spans="1:5" x14ac:dyDescent="0.2">
      <c r="A103" s="345">
        <v>30650</v>
      </c>
      <c r="B103" s="71"/>
      <c r="C103" s="226"/>
      <c r="D103" s="71"/>
      <c r="E103" s="572"/>
    </row>
    <row r="104" spans="1:5" x14ac:dyDescent="0.2">
      <c r="A104" s="345">
        <v>30681</v>
      </c>
      <c r="B104" s="71"/>
      <c r="C104" s="226"/>
      <c r="D104" s="71"/>
      <c r="E104" s="572"/>
    </row>
    <row r="105" spans="1:5" x14ac:dyDescent="0.2">
      <c r="A105" s="345">
        <v>30712</v>
      </c>
      <c r="B105" s="71"/>
      <c r="C105" s="226"/>
      <c r="D105" s="71"/>
      <c r="E105" s="572"/>
    </row>
    <row r="106" spans="1:5" x14ac:dyDescent="0.2">
      <c r="A106" s="345">
        <v>30741</v>
      </c>
      <c r="B106" s="71"/>
      <c r="C106" s="226"/>
      <c r="D106" s="71"/>
      <c r="E106" s="572"/>
    </row>
    <row r="107" spans="1:5" x14ac:dyDescent="0.2">
      <c r="A107" s="345">
        <v>30772</v>
      </c>
      <c r="B107" s="71"/>
      <c r="C107" s="226"/>
      <c r="D107" s="71"/>
      <c r="E107" s="572"/>
    </row>
    <row r="108" spans="1:5" x14ac:dyDescent="0.2">
      <c r="A108" s="345">
        <v>30802</v>
      </c>
      <c r="B108" s="71"/>
      <c r="C108" s="226"/>
      <c r="D108" s="71"/>
      <c r="E108" s="572"/>
    </row>
    <row r="109" spans="1:5" x14ac:dyDescent="0.2">
      <c r="A109" s="345">
        <v>30833</v>
      </c>
      <c r="B109" s="71"/>
      <c r="C109" s="226"/>
      <c r="D109" s="71"/>
      <c r="E109" s="572"/>
    </row>
    <row r="110" spans="1:5" x14ac:dyDescent="0.2">
      <c r="A110" s="345">
        <v>30863</v>
      </c>
      <c r="B110" s="71"/>
      <c r="C110" s="226"/>
      <c r="D110" s="71"/>
      <c r="E110" s="572"/>
    </row>
    <row r="111" spans="1:5" x14ac:dyDescent="0.2">
      <c r="A111" s="345">
        <v>30894</v>
      </c>
      <c r="B111" s="71"/>
      <c r="C111" s="226"/>
      <c r="D111" s="71"/>
      <c r="E111" s="572"/>
    </row>
    <row r="112" spans="1:5" x14ac:dyDescent="0.2">
      <c r="A112" s="345">
        <v>30925</v>
      </c>
      <c r="B112" s="71"/>
      <c r="C112" s="226"/>
      <c r="D112" s="71"/>
      <c r="E112" s="572"/>
    </row>
    <row r="113" spans="1:5" x14ac:dyDescent="0.2">
      <c r="A113" s="345">
        <v>30955</v>
      </c>
      <c r="B113" s="71"/>
      <c r="C113" s="226"/>
      <c r="D113" s="71"/>
      <c r="E113" s="572"/>
    </row>
    <row r="114" spans="1:5" x14ac:dyDescent="0.2">
      <c r="A114" s="345">
        <v>30986</v>
      </c>
      <c r="B114" s="71"/>
      <c r="C114" s="226"/>
      <c r="D114" s="71"/>
      <c r="E114" s="572"/>
    </row>
    <row r="115" spans="1:5" x14ac:dyDescent="0.2">
      <c r="A115" s="345">
        <v>31016</v>
      </c>
      <c r="B115" s="71"/>
      <c r="C115" s="226"/>
      <c r="D115" s="71"/>
      <c r="E115" s="572"/>
    </row>
    <row r="116" spans="1:5" x14ac:dyDescent="0.2">
      <c r="A116" s="345">
        <v>31047</v>
      </c>
      <c r="B116" s="71"/>
      <c r="C116" s="226"/>
      <c r="D116" s="71"/>
      <c r="E116" s="572"/>
    </row>
    <row r="117" spans="1:5" x14ac:dyDescent="0.2">
      <c r="A117" s="345">
        <v>31078</v>
      </c>
      <c r="B117" s="71"/>
      <c r="C117" s="226"/>
      <c r="D117" s="71"/>
      <c r="E117" s="572"/>
    </row>
    <row r="118" spans="1:5" x14ac:dyDescent="0.2">
      <c r="A118" s="345">
        <v>31106</v>
      </c>
      <c r="B118" s="71"/>
      <c r="C118" s="226"/>
      <c r="D118" s="71"/>
      <c r="E118" s="572"/>
    </row>
    <row r="119" spans="1:5" x14ac:dyDescent="0.2">
      <c r="A119" s="345">
        <v>31137</v>
      </c>
      <c r="B119" s="71"/>
      <c r="C119" s="226"/>
      <c r="D119" s="71"/>
      <c r="E119" s="572"/>
    </row>
    <row r="120" spans="1:5" x14ac:dyDescent="0.2">
      <c r="A120" s="345">
        <v>31167</v>
      </c>
      <c r="B120" s="71"/>
      <c r="C120" s="226"/>
      <c r="D120" s="71"/>
      <c r="E120" s="572"/>
    </row>
    <row r="121" spans="1:5" x14ac:dyDescent="0.2">
      <c r="A121" s="345">
        <v>31198</v>
      </c>
      <c r="B121" s="71"/>
      <c r="C121" s="226"/>
      <c r="D121" s="71"/>
      <c r="E121" s="572"/>
    </row>
    <row r="122" spans="1:5" x14ac:dyDescent="0.2">
      <c r="A122" s="345">
        <v>31228</v>
      </c>
      <c r="B122" s="71"/>
      <c r="C122" s="226"/>
      <c r="D122" s="71"/>
      <c r="E122" s="572"/>
    </row>
    <row r="123" spans="1:5" x14ac:dyDescent="0.2">
      <c r="A123" s="345">
        <v>31259</v>
      </c>
      <c r="B123" s="71"/>
      <c r="C123" s="226"/>
      <c r="D123" s="71"/>
      <c r="E123" s="572"/>
    </row>
    <row r="124" spans="1:5" x14ac:dyDescent="0.2">
      <c r="A124" s="345">
        <v>31290</v>
      </c>
      <c r="B124" s="71"/>
      <c r="C124" s="226"/>
      <c r="D124" s="71"/>
      <c r="E124" s="572"/>
    </row>
    <row r="125" spans="1:5" x14ac:dyDescent="0.2">
      <c r="A125" s="345">
        <v>31320</v>
      </c>
      <c r="B125" s="71"/>
      <c r="C125" s="226"/>
      <c r="D125" s="71"/>
      <c r="E125" s="572"/>
    </row>
    <row r="126" spans="1:5" x14ac:dyDescent="0.2">
      <c r="A126" s="345">
        <v>31351</v>
      </c>
      <c r="B126" s="71"/>
      <c r="C126" s="226"/>
      <c r="D126" s="71"/>
      <c r="E126" s="572"/>
    </row>
    <row r="127" spans="1:5" x14ac:dyDescent="0.2">
      <c r="A127" s="345">
        <v>31381</v>
      </c>
      <c r="B127" s="71"/>
      <c r="C127" s="226"/>
      <c r="D127" s="71"/>
      <c r="E127" s="572"/>
    </row>
    <row r="128" spans="1:5" x14ac:dyDescent="0.2">
      <c r="A128" s="345">
        <v>31412</v>
      </c>
      <c r="B128" s="71"/>
      <c r="C128" s="226"/>
      <c r="D128" s="71"/>
      <c r="E128" s="572"/>
    </row>
    <row r="129" spans="1:5" x14ac:dyDescent="0.2">
      <c r="A129" s="345">
        <v>31443</v>
      </c>
      <c r="B129" s="71"/>
      <c r="C129" s="226"/>
      <c r="D129" s="71"/>
      <c r="E129" s="572"/>
    </row>
    <row r="130" spans="1:5" x14ac:dyDescent="0.2">
      <c r="A130" s="345">
        <v>31471</v>
      </c>
      <c r="B130" s="71"/>
      <c r="C130" s="226"/>
      <c r="D130" s="71"/>
      <c r="E130" s="572"/>
    </row>
    <row r="131" spans="1:5" x14ac:dyDescent="0.2">
      <c r="A131" s="345">
        <v>31502</v>
      </c>
      <c r="B131" s="71"/>
      <c r="C131" s="226"/>
      <c r="D131" s="71"/>
      <c r="E131" s="572"/>
    </row>
    <row r="132" spans="1:5" x14ac:dyDescent="0.2">
      <c r="A132" s="345">
        <v>31532</v>
      </c>
      <c r="B132" s="71"/>
      <c r="C132" s="226"/>
      <c r="D132" s="71"/>
      <c r="E132" s="572"/>
    </row>
    <row r="133" spans="1:5" x14ac:dyDescent="0.2">
      <c r="A133" s="345">
        <v>31563</v>
      </c>
      <c r="B133" s="71"/>
      <c r="C133" s="226"/>
      <c r="D133" s="71"/>
      <c r="E133" s="572"/>
    </row>
    <row r="134" spans="1:5" x14ac:dyDescent="0.2">
      <c r="A134" s="345">
        <v>31593</v>
      </c>
      <c r="B134" s="71"/>
      <c r="C134" s="226"/>
      <c r="D134" s="71"/>
      <c r="E134" s="572"/>
    </row>
    <row r="135" spans="1:5" x14ac:dyDescent="0.2">
      <c r="A135" s="345">
        <v>31624</v>
      </c>
      <c r="B135" s="71"/>
      <c r="C135" s="226"/>
      <c r="D135" s="71"/>
      <c r="E135" s="572"/>
    </row>
    <row r="136" spans="1:5" x14ac:dyDescent="0.2">
      <c r="A136" s="345">
        <v>31655</v>
      </c>
      <c r="B136" s="71"/>
      <c r="C136" s="226"/>
      <c r="D136" s="71"/>
      <c r="E136" s="572"/>
    </row>
    <row r="137" spans="1:5" x14ac:dyDescent="0.2">
      <c r="A137" s="345">
        <v>31685</v>
      </c>
      <c r="B137" s="71"/>
      <c r="C137" s="226"/>
      <c r="D137" s="71"/>
      <c r="E137" s="572"/>
    </row>
    <row r="138" spans="1:5" x14ac:dyDescent="0.2">
      <c r="A138" s="345">
        <v>31716</v>
      </c>
      <c r="B138" s="71"/>
      <c r="C138" s="226"/>
      <c r="D138" s="71"/>
      <c r="E138" s="572"/>
    </row>
    <row r="139" spans="1:5" x14ac:dyDescent="0.2">
      <c r="A139" s="345">
        <v>31746</v>
      </c>
      <c r="B139" s="71"/>
      <c r="C139" s="226"/>
      <c r="D139" s="71"/>
      <c r="E139" s="572"/>
    </row>
    <row r="140" spans="1:5" x14ac:dyDescent="0.2">
      <c r="A140" s="345">
        <v>31777</v>
      </c>
      <c r="B140" s="71"/>
      <c r="C140" s="226"/>
      <c r="D140" s="71"/>
      <c r="E140" s="572"/>
    </row>
    <row r="141" spans="1:5" x14ac:dyDescent="0.2">
      <c r="A141" s="345">
        <v>31808</v>
      </c>
      <c r="B141" s="73"/>
      <c r="C141" s="25"/>
      <c r="D141" s="73"/>
      <c r="E141" s="573"/>
    </row>
    <row r="142" spans="1:5" x14ac:dyDescent="0.2">
      <c r="A142" s="345">
        <v>31836</v>
      </c>
      <c r="B142" s="73"/>
      <c r="C142" s="25"/>
      <c r="D142" s="73"/>
      <c r="E142" s="573"/>
    </row>
    <row r="143" spans="1:5" x14ac:dyDescent="0.2">
      <c r="A143" s="345">
        <v>31867</v>
      </c>
      <c r="B143" s="73"/>
      <c r="C143" s="25"/>
      <c r="D143" s="73"/>
      <c r="E143" s="573"/>
    </row>
    <row r="144" spans="1:5" x14ac:dyDescent="0.2">
      <c r="A144" s="345">
        <v>31897</v>
      </c>
      <c r="B144" s="73"/>
      <c r="C144" s="25"/>
      <c r="D144" s="73"/>
      <c r="E144" s="573"/>
    </row>
    <row r="145" spans="1:5" x14ac:dyDescent="0.2">
      <c r="A145" s="345">
        <v>31928</v>
      </c>
      <c r="B145" s="73"/>
      <c r="C145" s="25"/>
      <c r="D145" s="73"/>
      <c r="E145" s="573"/>
    </row>
    <row r="146" spans="1:5" x14ac:dyDescent="0.2">
      <c r="A146" s="345">
        <v>31958</v>
      </c>
      <c r="B146" s="73"/>
      <c r="C146" s="25"/>
      <c r="D146" s="73"/>
      <c r="E146" s="573"/>
    </row>
    <row r="147" spans="1:5" x14ac:dyDescent="0.2">
      <c r="A147" s="345">
        <v>31989</v>
      </c>
      <c r="B147" s="73"/>
      <c r="C147" s="25"/>
      <c r="D147" s="73"/>
      <c r="E147" s="573"/>
    </row>
    <row r="148" spans="1:5" x14ac:dyDescent="0.2">
      <c r="A148" s="345">
        <v>32020</v>
      </c>
      <c r="B148" s="73"/>
      <c r="C148" s="25"/>
      <c r="D148" s="73"/>
      <c r="E148" s="573"/>
    </row>
    <row r="149" spans="1:5" x14ac:dyDescent="0.2">
      <c r="A149" s="345">
        <v>32050</v>
      </c>
      <c r="B149" s="73"/>
      <c r="C149" s="25"/>
      <c r="D149" s="73"/>
      <c r="E149" s="573"/>
    </row>
    <row r="150" spans="1:5" x14ac:dyDescent="0.2">
      <c r="A150" s="345">
        <v>32081</v>
      </c>
      <c r="B150" s="73"/>
      <c r="C150" s="25"/>
      <c r="D150" s="73"/>
      <c r="E150" s="573"/>
    </row>
    <row r="151" spans="1:5" x14ac:dyDescent="0.2">
      <c r="A151" s="345">
        <v>32111</v>
      </c>
      <c r="B151" s="73"/>
      <c r="C151" s="25"/>
      <c r="D151" s="73"/>
      <c r="E151" s="573"/>
    </row>
    <row r="152" spans="1:5" x14ac:dyDescent="0.2">
      <c r="A152" s="345">
        <v>32142</v>
      </c>
      <c r="B152" s="73"/>
      <c r="C152" s="25"/>
      <c r="D152" s="73"/>
      <c r="E152" s="573"/>
    </row>
    <row r="153" spans="1:5" x14ac:dyDescent="0.2">
      <c r="A153" s="345">
        <v>32173</v>
      </c>
      <c r="B153" s="73"/>
      <c r="C153" s="25"/>
      <c r="D153" s="73"/>
      <c r="E153" s="573"/>
    </row>
    <row r="154" spans="1:5" x14ac:dyDescent="0.2">
      <c r="A154" s="345">
        <v>32202</v>
      </c>
      <c r="B154" s="73"/>
      <c r="C154" s="25"/>
      <c r="D154" s="73"/>
      <c r="E154" s="573"/>
    </row>
    <row r="155" spans="1:5" x14ac:dyDescent="0.2">
      <c r="A155" s="345">
        <v>32233</v>
      </c>
      <c r="B155" s="73"/>
      <c r="C155" s="25"/>
      <c r="D155" s="73"/>
      <c r="E155" s="573"/>
    </row>
    <row r="156" spans="1:5" x14ac:dyDescent="0.2">
      <c r="A156" s="345">
        <v>32263</v>
      </c>
      <c r="B156" s="73"/>
      <c r="C156" s="25"/>
      <c r="D156" s="73"/>
      <c r="E156" s="573"/>
    </row>
    <row r="157" spans="1:5" x14ac:dyDescent="0.2">
      <c r="A157" s="345">
        <v>32294</v>
      </c>
      <c r="B157" s="73"/>
      <c r="C157" s="25"/>
      <c r="D157" s="73"/>
      <c r="E157" s="573"/>
    </row>
    <row r="158" spans="1:5" x14ac:dyDescent="0.2">
      <c r="A158" s="345">
        <v>32324</v>
      </c>
      <c r="B158" s="73"/>
      <c r="C158" s="25"/>
      <c r="D158" s="73"/>
      <c r="E158" s="573"/>
    </row>
    <row r="159" spans="1:5" x14ac:dyDescent="0.2">
      <c r="A159" s="345">
        <v>32355</v>
      </c>
      <c r="B159" s="73"/>
      <c r="C159" s="25"/>
      <c r="D159" s="73"/>
      <c r="E159" s="573"/>
    </row>
    <row r="160" spans="1:5" x14ac:dyDescent="0.2">
      <c r="A160" s="345">
        <v>32386</v>
      </c>
      <c r="B160" s="73"/>
      <c r="C160" s="25"/>
      <c r="D160" s="73"/>
      <c r="E160" s="573"/>
    </row>
    <row r="161" spans="1:5" x14ac:dyDescent="0.2">
      <c r="A161" s="345">
        <v>32416</v>
      </c>
      <c r="B161" s="73"/>
      <c r="C161" s="25"/>
      <c r="D161" s="73"/>
      <c r="E161" s="573"/>
    </row>
    <row r="162" spans="1:5" x14ac:dyDescent="0.2">
      <c r="A162" s="345">
        <v>32447</v>
      </c>
      <c r="B162" s="73"/>
      <c r="C162" s="25"/>
      <c r="D162" s="73"/>
      <c r="E162" s="573"/>
    </row>
    <row r="163" spans="1:5" x14ac:dyDescent="0.2">
      <c r="A163" s="345">
        <v>32477</v>
      </c>
      <c r="B163" s="73"/>
      <c r="C163" s="25"/>
      <c r="D163" s="73"/>
      <c r="E163" s="573"/>
    </row>
    <row r="164" spans="1:5" x14ac:dyDescent="0.2">
      <c r="A164" s="345">
        <v>32508</v>
      </c>
      <c r="B164" s="73"/>
      <c r="C164" s="25"/>
      <c r="D164" s="73"/>
      <c r="E164" s="573"/>
    </row>
    <row r="165" spans="1:5" x14ac:dyDescent="0.2">
      <c r="A165" s="345">
        <v>32539</v>
      </c>
      <c r="B165" s="73"/>
      <c r="C165" s="25"/>
      <c r="D165" s="73"/>
      <c r="E165" s="573"/>
    </row>
    <row r="166" spans="1:5" x14ac:dyDescent="0.2">
      <c r="A166" s="345">
        <v>32567</v>
      </c>
      <c r="B166" s="73"/>
      <c r="C166" s="25"/>
      <c r="D166" s="73"/>
      <c r="E166" s="573"/>
    </row>
    <row r="167" spans="1:5" x14ac:dyDescent="0.2">
      <c r="A167" s="345">
        <v>32598</v>
      </c>
      <c r="B167" s="73"/>
      <c r="C167" s="25"/>
      <c r="D167" s="73"/>
      <c r="E167" s="573"/>
    </row>
    <row r="168" spans="1:5" x14ac:dyDescent="0.2">
      <c r="A168" s="345">
        <v>32628</v>
      </c>
      <c r="B168" s="73"/>
      <c r="C168" s="25"/>
      <c r="D168" s="73"/>
      <c r="E168" s="573"/>
    </row>
    <row r="169" spans="1:5" x14ac:dyDescent="0.2">
      <c r="A169" s="345">
        <v>32659</v>
      </c>
      <c r="B169" s="73"/>
      <c r="C169" s="25"/>
      <c r="D169" s="73"/>
      <c r="E169" s="573"/>
    </row>
    <row r="170" spans="1:5" x14ac:dyDescent="0.2">
      <c r="A170" s="345">
        <v>32689</v>
      </c>
      <c r="B170" s="73"/>
      <c r="C170" s="25"/>
      <c r="D170" s="73"/>
      <c r="E170" s="573"/>
    </row>
    <row r="171" spans="1:5" x14ac:dyDescent="0.2">
      <c r="A171" s="345">
        <v>32720</v>
      </c>
      <c r="B171" s="73"/>
      <c r="C171" s="25"/>
      <c r="D171" s="73"/>
      <c r="E171" s="573"/>
    </row>
    <row r="172" spans="1:5" x14ac:dyDescent="0.2">
      <c r="A172" s="345">
        <v>32751</v>
      </c>
      <c r="B172" s="73"/>
      <c r="C172" s="25"/>
      <c r="D172" s="73"/>
      <c r="E172" s="573"/>
    </row>
    <row r="173" spans="1:5" x14ac:dyDescent="0.2">
      <c r="A173" s="345">
        <v>32781</v>
      </c>
      <c r="B173" s="73"/>
      <c r="C173" s="25"/>
      <c r="D173" s="73"/>
      <c r="E173" s="573"/>
    </row>
    <row r="174" spans="1:5" x14ac:dyDescent="0.2">
      <c r="A174" s="345">
        <v>32812</v>
      </c>
      <c r="B174" s="73"/>
      <c r="C174" s="25"/>
      <c r="D174" s="73"/>
      <c r="E174" s="573"/>
    </row>
    <row r="175" spans="1:5" x14ac:dyDescent="0.2">
      <c r="A175" s="345">
        <v>32842</v>
      </c>
      <c r="B175" s="73"/>
      <c r="C175" s="25"/>
      <c r="D175" s="73"/>
      <c r="E175" s="573"/>
    </row>
    <row r="176" spans="1:5" x14ac:dyDescent="0.2">
      <c r="A176" s="345">
        <v>32873</v>
      </c>
      <c r="B176" s="73"/>
      <c r="C176" s="25"/>
      <c r="D176" s="73"/>
      <c r="E176" s="573"/>
    </row>
    <row r="177" spans="1:5" x14ac:dyDescent="0.2">
      <c r="A177" s="345">
        <v>32904</v>
      </c>
      <c r="B177" s="255"/>
      <c r="C177" s="259"/>
      <c r="D177" s="73"/>
      <c r="E177" s="573"/>
    </row>
    <row r="178" spans="1:5" x14ac:dyDescent="0.2">
      <c r="A178" s="345">
        <v>32932</v>
      </c>
      <c r="B178" s="255"/>
      <c r="C178" s="259"/>
      <c r="D178" s="73"/>
      <c r="E178" s="573"/>
    </row>
    <row r="179" spans="1:5" x14ac:dyDescent="0.2">
      <c r="A179" s="345">
        <v>32963</v>
      </c>
      <c r="B179" s="255"/>
      <c r="C179" s="259"/>
      <c r="D179" s="73"/>
      <c r="E179" s="573"/>
    </row>
    <row r="180" spans="1:5" x14ac:dyDescent="0.2">
      <c r="A180" s="345">
        <v>32993</v>
      </c>
      <c r="B180" s="255"/>
      <c r="C180" s="259"/>
      <c r="D180" s="73"/>
      <c r="E180" s="573"/>
    </row>
    <row r="181" spans="1:5" x14ac:dyDescent="0.2">
      <c r="A181" s="345">
        <v>33024</v>
      </c>
      <c r="B181" s="255"/>
      <c r="C181" s="259"/>
      <c r="D181" s="73"/>
      <c r="E181" s="573"/>
    </row>
    <row r="182" spans="1:5" x14ac:dyDescent="0.2">
      <c r="A182" s="345">
        <v>33054</v>
      </c>
      <c r="B182" s="255"/>
      <c r="C182" s="259"/>
      <c r="D182" s="73"/>
      <c r="E182" s="573"/>
    </row>
    <row r="183" spans="1:5" x14ac:dyDescent="0.2">
      <c r="A183" s="345">
        <v>33085</v>
      </c>
      <c r="B183" s="255"/>
      <c r="C183" s="259"/>
      <c r="D183" s="73"/>
      <c r="E183" s="573"/>
    </row>
    <row r="184" spans="1:5" x14ac:dyDescent="0.2">
      <c r="A184" s="345">
        <v>33116</v>
      </c>
      <c r="B184" s="255"/>
      <c r="C184" s="259"/>
      <c r="D184" s="73"/>
      <c r="E184" s="573"/>
    </row>
    <row r="185" spans="1:5" x14ac:dyDescent="0.2">
      <c r="A185" s="345">
        <v>33146</v>
      </c>
      <c r="B185" s="255"/>
      <c r="C185" s="259"/>
      <c r="D185" s="73"/>
      <c r="E185" s="573"/>
    </row>
    <row r="186" spans="1:5" x14ac:dyDescent="0.2">
      <c r="A186" s="345">
        <v>33177</v>
      </c>
      <c r="B186" s="255"/>
      <c r="C186" s="259"/>
      <c r="D186" s="73"/>
      <c r="E186" s="573"/>
    </row>
    <row r="187" spans="1:5" x14ac:dyDescent="0.2">
      <c r="A187" s="345">
        <v>33207</v>
      </c>
      <c r="B187" s="255"/>
      <c r="C187" s="259"/>
      <c r="D187" s="73"/>
      <c r="E187" s="573"/>
    </row>
    <row r="188" spans="1:5" x14ac:dyDescent="0.2">
      <c r="A188" s="345">
        <v>33238</v>
      </c>
      <c r="B188" s="255"/>
      <c r="C188" s="259"/>
      <c r="D188" s="73"/>
      <c r="E188" s="573"/>
    </row>
    <row r="189" spans="1:5" x14ac:dyDescent="0.2">
      <c r="A189" s="345">
        <v>33269</v>
      </c>
      <c r="B189" s="255"/>
      <c r="C189" s="259"/>
      <c r="D189" s="73"/>
      <c r="E189" s="573"/>
    </row>
    <row r="190" spans="1:5" x14ac:dyDescent="0.2">
      <c r="A190" s="345">
        <v>33297</v>
      </c>
      <c r="B190" s="255"/>
      <c r="C190" s="259"/>
      <c r="D190" s="73"/>
      <c r="E190" s="573"/>
    </row>
    <row r="191" spans="1:5" x14ac:dyDescent="0.2">
      <c r="A191" s="345">
        <v>33328</v>
      </c>
      <c r="B191" s="255"/>
      <c r="C191" s="259"/>
      <c r="D191" s="73"/>
      <c r="E191" s="573"/>
    </row>
    <row r="192" spans="1:5" x14ac:dyDescent="0.2">
      <c r="A192" s="345">
        <v>33358</v>
      </c>
      <c r="B192" s="255"/>
      <c r="C192" s="259"/>
      <c r="D192" s="73"/>
      <c r="E192" s="573"/>
    </row>
    <row r="193" spans="1:5" x14ac:dyDescent="0.2">
      <c r="A193" s="345">
        <v>33389</v>
      </c>
      <c r="B193" s="255"/>
      <c r="C193" s="259"/>
      <c r="D193" s="73"/>
      <c r="E193" s="573"/>
    </row>
    <row r="194" spans="1:5" x14ac:dyDescent="0.2">
      <c r="A194" s="345">
        <v>33419</v>
      </c>
      <c r="B194" s="255"/>
      <c r="C194" s="259"/>
      <c r="D194" s="73"/>
      <c r="E194" s="573"/>
    </row>
    <row r="195" spans="1:5" x14ac:dyDescent="0.2">
      <c r="A195" s="345">
        <v>33450</v>
      </c>
      <c r="B195" s="255"/>
      <c r="C195" s="259"/>
      <c r="D195" s="73"/>
      <c r="E195" s="573"/>
    </row>
    <row r="196" spans="1:5" x14ac:dyDescent="0.2">
      <c r="A196" s="345">
        <v>33481</v>
      </c>
      <c r="B196" s="255"/>
      <c r="C196" s="259"/>
      <c r="D196" s="73"/>
      <c r="E196" s="573"/>
    </row>
    <row r="197" spans="1:5" x14ac:dyDescent="0.2">
      <c r="A197" s="345">
        <v>33511</v>
      </c>
      <c r="B197" s="255"/>
      <c r="C197" s="259"/>
      <c r="D197" s="73"/>
      <c r="E197" s="573"/>
    </row>
    <row r="198" spans="1:5" x14ac:dyDescent="0.2">
      <c r="A198" s="345">
        <v>33542</v>
      </c>
      <c r="B198" s="255"/>
      <c r="C198" s="259"/>
      <c r="D198" s="73"/>
      <c r="E198" s="573"/>
    </row>
    <row r="199" spans="1:5" x14ac:dyDescent="0.2">
      <c r="A199" s="345">
        <v>33572</v>
      </c>
      <c r="B199" s="255"/>
      <c r="C199" s="259"/>
      <c r="D199" s="73"/>
      <c r="E199" s="573"/>
    </row>
    <row r="200" spans="1:5" x14ac:dyDescent="0.2">
      <c r="A200" s="345">
        <v>33603</v>
      </c>
      <c r="B200" s="255"/>
      <c r="C200" s="259"/>
      <c r="D200" s="73"/>
      <c r="E200" s="573"/>
    </row>
    <row r="201" spans="1:5" x14ac:dyDescent="0.2">
      <c r="A201" s="345">
        <v>33634</v>
      </c>
      <c r="B201" s="255"/>
      <c r="C201" s="259"/>
      <c r="D201" s="73"/>
      <c r="E201" s="573"/>
    </row>
    <row r="202" spans="1:5" x14ac:dyDescent="0.2">
      <c r="A202" s="345">
        <v>33663</v>
      </c>
      <c r="B202" s="255"/>
      <c r="C202" s="259"/>
      <c r="D202" s="73"/>
      <c r="E202" s="573"/>
    </row>
    <row r="203" spans="1:5" x14ac:dyDescent="0.2">
      <c r="A203" s="345">
        <v>33694</v>
      </c>
      <c r="B203" s="255"/>
      <c r="C203" s="259"/>
      <c r="D203" s="73"/>
      <c r="E203" s="573"/>
    </row>
    <row r="204" spans="1:5" x14ac:dyDescent="0.2">
      <c r="A204" s="345">
        <v>33724</v>
      </c>
      <c r="B204" s="255"/>
      <c r="C204" s="259"/>
      <c r="D204" s="73"/>
      <c r="E204" s="573"/>
    </row>
    <row r="205" spans="1:5" x14ac:dyDescent="0.2">
      <c r="A205" s="345">
        <v>33755</v>
      </c>
      <c r="B205" s="255"/>
      <c r="C205" s="259"/>
      <c r="D205" s="73"/>
      <c r="E205" s="573"/>
    </row>
    <row r="206" spans="1:5" x14ac:dyDescent="0.2">
      <c r="A206" s="345">
        <v>33785</v>
      </c>
      <c r="B206" s="255"/>
      <c r="C206" s="259"/>
      <c r="D206" s="73"/>
      <c r="E206" s="573"/>
    </row>
    <row r="207" spans="1:5" x14ac:dyDescent="0.2">
      <c r="A207" s="345">
        <v>33816</v>
      </c>
      <c r="B207" s="255"/>
      <c r="C207" s="259"/>
      <c r="D207" s="73"/>
      <c r="E207" s="573"/>
    </row>
    <row r="208" spans="1:5" x14ac:dyDescent="0.2">
      <c r="A208" s="345">
        <v>33847</v>
      </c>
      <c r="B208" s="255"/>
      <c r="C208" s="259"/>
      <c r="D208" s="73"/>
      <c r="E208" s="573"/>
    </row>
    <row r="209" spans="1:5" x14ac:dyDescent="0.2">
      <c r="A209" s="345">
        <v>33877</v>
      </c>
      <c r="B209" s="255"/>
      <c r="C209" s="259"/>
      <c r="D209" s="73"/>
      <c r="E209" s="573"/>
    </row>
    <row r="210" spans="1:5" x14ac:dyDescent="0.2">
      <c r="A210" s="345">
        <v>33908</v>
      </c>
      <c r="B210" s="255"/>
      <c r="C210" s="259"/>
      <c r="D210" s="73"/>
      <c r="E210" s="573"/>
    </row>
    <row r="211" spans="1:5" x14ac:dyDescent="0.2">
      <c r="A211" s="345">
        <v>33938</v>
      </c>
      <c r="B211" s="255"/>
      <c r="C211" s="259"/>
      <c r="D211" s="73"/>
      <c r="E211" s="573"/>
    </row>
    <row r="212" spans="1:5" x14ac:dyDescent="0.2">
      <c r="A212" s="345">
        <v>33969</v>
      </c>
      <c r="B212" s="255"/>
      <c r="C212" s="259"/>
      <c r="D212" s="73"/>
      <c r="E212" s="573"/>
    </row>
    <row r="213" spans="1:5" x14ac:dyDescent="0.2">
      <c r="A213" s="345">
        <v>34000</v>
      </c>
      <c r="B213" s="255"/>
      <c r="C213" s="259"/>
      <c r="D213" s="73"/>
      <c r="E213" s="573"/>
    </row>
    <row r="214" spans="1:5" x14ac:dyDescent="0.2">
      <c r="A214" s="345">
        <v>34028</v>
      </c>
      <c r="B214" s="255"/>
      <c r="C214" s="259"/>
      <c r="D214" s="73"/>
      <c r="E214" s="573"/>
    </row>
    <row r="215" spans="1:5" x14ac:dyDescent="0.2">
      <c r="A215" s="345">
        <v>34059</v>
      </c>
      <c r="B215" s="255"/>
      <c r="C215" s="259"/>
      <c r="D215" s="73"/>
      <c r="E215" s="573"/>
    </row>
    <row r="216" spans="1:5" x14ac:dyDescent="0.2">
      <c r="A216" s="345">
        <v>34089</v>
      </c>
      <c r="B216" s="255"/>
      <c r="C216" s="259"/>
      <c r="D216" s="73"/>
      <c r="E216" s="573"/>
    </row>
    <row r="217" spans="1:5" x14ac:dyDescent="0.2">
      <c r="A217" s="345">
        <v>34120</v>
      </c>
      <c r="B217" s="255"/>
      <c r="C217" s="259"/>
      <c r="D217" s="73"/>
      <c r="E217" s="573"/>
    </row>
    <row r="218" spans="1:5" x14ac:dyDescent="0.2">
      <c r="A218" s="345">
        <v>34150</v>
      </c>
      <c r="B218" s="255"/>
      <c r="C218" s="259"/>
      <c r="D218" s="73"/>
      <c r="E218" s="573"/>
    </row>
    <row r="219" spans="1:5" x14ac:dyDescent="0.2">
      <c r="A219" s="345">
        <v>34181</v>
      </c>
      <c r="B219" s="255"/>
      <c r="C219" s="259"/>
      <c r="D219" s="73"/>
      <c r="E219" s="573"/>
    </row>
    <row r="220" spans="1:5" x14ac:dyDescent="0.2">
      <c r="A220" s="345">
        <v>34212</v>
      </c>
      <c r="B220" s="255"/>
      <c r="C220" s="259"/>
      <c r="D220" s="73"/>
      <c r="E220" s="573"/>
    </row>
    <row r="221" spans="1:5" x14ac:dyDescent="0.2">
      <c r="A221" s="345">
        <v>34242</v>
      </c>
      <c r="B221" s="255"/>
      <c r="C221" s="259"/>
      <c r="D221" s="73"/>
      <c r="E221" s="573"/>
    </row>
    <row r="222" spans="1:5" x14ac:dyDescent="0.2">
      <c r="A222" s="345">
        <v>34273</v>
      </c>
      <c r="B222" s="255"/>
      <c r="C222" s="259"/>
      <c r="D222" s="73"/>
      <c r="E222" s="573"/>
    </row>
    <row r="223" spans="1:5" x14ac:dyDescent="0.2">
      <c r="A223" s="345">
        <v>34303</v>
      </c>
      <c r="B223" s="255"/>
      <c r="C223" s="259"/>
      <c r="D223" s="73"/>
      <c r="E223" s="573"/>
    </row>
    <row r="224" spans="1:5" x14ac:dyDescent="0.2">
      <c r="A224" s="345">
        <v>34334</v>
      </c>
      <c r="B224" s="255"/>
      <c r="C224" s="259"/>
      <c r="D224" s="73"/>
      <c r="E224" s="573"/>
    </row>
    <row r="225" spans="1:5" x14ac:dyDescent="0.2">
      <c r="A225" s="345">
        <v>34365</v>
      </c>
      <c r="B225" s="255"/>
      <c r="C225" s="259"/>
      <c r="D225" s="73"/>
      <c r="E225" s="573"/>
    </row>
    <row r="226" spans="1:5" x14ac:dyDescent="0.2">
      <c r="A226" s="345">
        <v>34393</v>
      </c>
      <c r="B226" s="255"/>
      <c r="C226" s="259"/>
      <c r="D226" s="73"/>
      <c r="E226" s="573"/>
    </row>
    <row r="227" spans="1:5" x14ac:dyDescent="0.2">
      <c r="A227" s="345">
        <v>34424</v>
      </c>
      <c r="B227" s="255"/>
      <c r="C227" s="259"/>
      <c r="D227" s="73"/>
      <c r="E227" s="573"/>
    </row>
    <row r="228" spans="1:5" x14ac:dyDescent="0.2">
      <c r="A228" s="345">
        <v>34454</v>
      </c>
      <c r="B228" s="255"/>
      <c r="C228" s="259"/>
      <c r="D228" s="73"/>
      <c r="E228" s="573"/>
    </row>
    <row r="229" spans="1:5" x14ac:dyDescent="0.2">
      <c r="A229" s="345">
        <v>34485</v>
      </c>
      <c r="B229" s="255"/>
      <c r="C229" s="259"/>
      <c r="D229" s="73"/>
      <c r="E229" s="573"/>
    </row>
    <row r="230" spans="1:5" x14ac:dyDescent="0.2">
      <c r="A230" s="345">
        <v>34515</v>
      </c>
      <c r="B230" s="255"/>
      <c r="C230" s="259"/>
      <c r="D230" s="73"/>
      <c r="E230" s="573"/>
    </row>
    <row r="231" spans="1:5" x14ac:dyDescent="0.2">
      <c r="A231" s="345">
        <v>34546</v>
      </c>
      <c r="B231" s="255"/>
      <c r="C231" s="259"/>
      <c r="D231" s="73"/>
      <c r="E231" s="573"/>
    </row>
    <row r="232" spans="1:5" x14ac:dyDescent="0.2">
      <c r="A232" s="345">
        <v>34577</v>
      </c>
      <c r="B232" s="255"/>
      <c r="C232" s="259"/>
      <c r="D232" s="73"/>
      <c r="E232" s="573"/>
    </row>
    <row r="233" spans="1:5" x14ac:dyDescent="0.2">
      <c r="A233" s="345">
        <v>34607</v>
      </c>
      <c r="B233" s="255"/>
      <c r="C233" s="259"/>
      <c r="D233" s="73"/>
      <c r="E233" s="573"/>
    </row>
    <row r="234" spans="1:5" x14ac:dyDescent="0.2">
      <c r="A234" s="345">
        <v>34638</v>
      </c>
      <c r="B234" s="255"/>
      <c r="C234" s="259"/>
      <c r="D234" s="73"/>
      <c r="E234" s="573"/>
    </row>
    <row r="235" spans="1:5" x14ac:dyDescent="0.2">
      <c r="A235" s="345">
        <v>34668</v>
      </c>
      <c r="B235" s="255"/>
      <c r="C235" s="259"/>
      <c r="D235" s="73"/>
      <c r="E235" s="573"/>
    </row>
    <row r="236" spans="1:5" x14ac:dyDescent="0.2">
      <c r="A236" s="345">
        <v>34699</v>
      </c>
      <c r="B236" s="255"/>
      <c r="C236" s="259"/>
      <c r="D236" s="73"/>
      <c r="E236" s="573"/>
    </row>
    <row r="237" spans="1:5" x14ac:dyDescent="0.2">
      <c r="A237" s="345">
        <v>34730</v>
      </c>
      <c r="B237" s="255"/>
      <c r="C237" s="259"/>
      <c r="D237" s="73"/>
      <c r="E237" s="573"/>
    </row>
    <row r="238" spans="1:5" x14ac:dyDescent="0.2">
      <c r="A238" s="345">
        <v>34758</v>
      </c>
      <c r="B238" s="255"/>
      <c r="C238" s="259"/>
      <c r="D238" s="73"/>
      <c r="E238" s="573"/>
    </row>
    <row r="239" spans="1:5" x14ac:dyDescent="0.2">
      <c r="A239" s="345">
        <v>34789</v>
      </c>
      <c r="B239" s="255"/>
      <c r="C239" s="259"/>
      <c r="D239" s="73"/>
      <c r="E239" s="573"/>
    </row>
    <row r="240" spans="1:5" x14ac:dyDescent="0.2">
      <c r="A240" s="345">
        <v>34819</v>
      </c>
      <c r="B240" s="255"/>
      <c r="C240" s="259"/>
      <c r="D240" s="73"/>
      <c r="E240" s="573"/>
    </row>
    <row r="241" spans="1:5" x14ac:dyDescent="0.2">
      <c r="A241" s="345">
        <v>34850</v>
      </c>
      <c r="B241" s="255"/>
      <c r="C241" s="259"/>
      <c r="D241" s="73"/>
      <c r="E241" s="573"/>
    </row>
    <row r="242" spans="1:5" x14ac:dyDescent="0.2">
      <c r="A242" s="345">
        <v>34880</v>
      </c>
      <c r="B242" s="255"/>
      <c r="C242" s="259"/>
      <c r="D242" s="77"/>
      <c r="E242" s="574"/>
    </row>
    <row r="243" spans="1:5" x14ac:dyDescent="0.2">
      <c r="A243" s="345">
        <v>34911</v>
      </c>
      <c r="B243" s="255"/>
      <c r="C243" s="259"/>
      <c r="D243" s="77"/>
      <c r="E243" s="574"/>
    </row>
    <row r="244" spans="1:5" x14ac:dyDescent="0.2">
      <c r="A244" s="345">
        <v>34942</v>
      </c>
      <c r="B244" s="255"/>
      <c r="C244" s="259"/>
      <c r="D244" s="77"/>
      <c r="E244" s="574"/>
    </row>
    <row r="245" spans="1:5" x14ac:dyDescent="0.2">
      <c r="A245" s="345">
        <v>34972</v>
      </c>
      <c r="B245" s="255"/>
      <c r="C245" s="259"/>
      <c r="D245" s="77"/>
      <c r="E245" s="574"/>
    </row>
    <row r="246" spans="1:5" x14ac:dyDescent="0.2">
      <c r="A246" s="345">
        <v>35003</v>
      </c>
      <c r="B246" s="255"/>
      <c r="C246" s="259"/>
      <c r="D246" s="77"/>
      <c r="E246" s="574"/>
    </row>
    <row r="247" spans="1:5" x14ac:dyDescent="0.2">
      <c r="A247" s="345">
        <v>35033</v>
      </c>
      <c r="B247" s="255"/>
      <c r="C247" s="259"/>
      <c r="D247" s="77"/>
      <c r="E247" s="574"/>
    </row>
    <row r="248" spans="1:5" x14ac:dyDescent="0.2">
      <c r="A248" s="345">
        <v>35064</v>
      </c>
      <c r="B248" s="255"/>
      <c r="C248" s="259"/>
      <c r="D248" s="77"/>
      <c r="E248" s="574"/>
    </row>
    <row r="249" spans="1:5" x14ac:dyDescent="0.2">
      <c r="A249" s="345">
        <v>35095</v>
      </c>
      <c r="B249" s="255"/>
      <c r="C249" s="259"/>
      <c r="D249" s="77"/>
      <c r="E249" s="574"/>
    </row>
    <row r="250" spans="1:5" x14ac:dyDescent="0.2">
      <c r="A250" s="345">
        <v>35124</v>
      </c>
      <c r="B250" s="255"/>
      <c r="C250" s="259"/>
      <c r="D250" s="77"/>
      <c r="E250" s="574"/>
    </row>
    <row r="251" spans="1:5" x14ac:dyDescent="0.2">
      <c r="A251" s="345">
        <v>35155</v>
      </c>
      <c r="B251" s="255"/>
      <c r="C251" s="259"/>
      <c r="D251" s="77"/>
      <c r="E251" s="574"/>
    </row>
    <row r="252" spans="1:5" x14ac:dyDescent="0.2">
      <c r="A252" s="345">
        <v>35185</v>
      </c>
      <c r="B252" s="253"/>
      <c r="C252" s="259"/>
      <c r="D252" s="77"/>
      <c r="E252" s="574"/>
    </row>
    <row r="253" spans="1:5" x14ac:dyDescent="0.2">
      <c r="A253" s="345">
        <v>35216</v>
      </c>
      <c r="B253" s="253"/>
      <c r="C253" s="259"/>
      <c r="D253" s="77"/>
      <c r="E253" s="574"/>
    </row>
    <row r="254" spans="1:5" x14ac:dyDescent="0.2">
      <c r="A254" s="345">
        <v>35246</v>
      </c>
      <c r="B254" s="253"/>
      <c r="C254" s="259"/>
      <c r="D254" s="77"/>
      <c r="E254" s="574"/>
    </row>
    <row r="255" spans="1:5" x14ac:dyDescent="0.2">
      <c r="A255" s="345">
        <v>35277</v>
      </c>
      <c r="B255" s="253"/>
      <c r="C255" s="259"/>
      <c r="D255" s="77"/>
      <c r="E255" s="574"/>
    </row>
    <row r="256" spans="1:5" x14ac:dyDescent="0.2">
      <c r="A256" s="345">
        <v>35308</v>
      </c>
      <c r="B256" s="253"/>
      <c r="C256" s="259"/>
      <c r="D256" s="77"/>
      <c r="E256" s="574"/>
    </row>
    <row r="257" spans="1:5" x14ac:dyDescent="0.2">
      <c r="A257" s="345">
        <v>35338</v>
      </c>
      <c r="B257" s="253"/>
      <c r="C257" s="259"/>
      <c r="D257" s="77"/>
      <c r="E257" s="574"/>
    </row>
    <row r="258" spans="1:5" x14ac:dyDescent="0.2">
      <c r="A258" s="345">
        <v>35369</v>
      </c>
      <c r="B258" s="253"/>
      <c r="C258" s="259"/>
      <c r="D258" s="77"/>
      <c r="E258" s="574"/>
    </row>
    <row r="259" spans="1:5" x14ac:dyDescent="0.2">
      <c r="A259" s="345">
        <v>35399</v>
      </c>
      <c r="B259" s="253"/>
      <c r="C259" s="259"/>
      <c r="D259" s="77"/>
      <c r="E259" s="574"/>
    </row>
    <row r="260" spans="1:5" x14ac:dyDescent="0.2">
      <c r="A260" s="345">
        <v>35430</v>
      </c>
      <c r="B260" s="253"/>
      <c r="C260" s="259"/>
      <c r="D260" s="77"/>
      <c r="E260" s="574"/>
    </row>
    <row r="261" spans="1:5" x14ac:dyDescent="0.2">
      <c r="A261" s="345">
        <v>35461</v>
      </c>
      <c r="B261" s="253"/>
      <c r="C261" s="259"/>
      <c r="D261" s="77"/>
      <c r="E261" s="574"/>
    </row>
    <row r="262" spans="1:5" x14ac:dyDescent="0.2">
      <c r="A262" s="345">
        <v>35489</v>
      </c>
      <c r="B262" s="253"/>
      <c r="C262" s="259"/>
      <c r="D262" s="77"/>
      <c r="E262" s="574"/>
    </row>
    <row r="263" spans="1:5" x14ac:dyDescent="0.2">
      <c r="A263" s="345">
        <v>35520</v>
      </c>
      <c r="B263" s="253"/>
      <c r="C263" s="259"/>
      <c r="D263" s="77"/>
      <c r="E263" s="574"/>
    </row>
    <row r="264" spans="1:5" x14ac:dyDescent="0.2">
      <c r="A264" s="345">
        <v>35550</v>
      </c>
      <c r="B264" s="253"/>
      <c r="C264" s="259"/>
      <c r="D264" s="77"/>
      <c r="E264" s="574"/>
    </row>
    <row r="265" spans="1:5" x14ac:dyDescent="0.2">
      <c r="A265" s="345">
        <v>35581</v>
      </c>
      <c r="B265" s="253"/>
      <c r="C265" s="259"/>
      <c r="D265" s="77"/>
      <c r="E265" s="574"/>
    </row>
    <row r="266" spans="1:5" x14ac:dyDescent="0.2">
      <c r="A266" s="345">
        <v>35611</v>
      </c>
      <c r="B266" s="253"/>
      <c r="C266" s="259"/>
      <c r="D266" s="77"/>
      <c r="E266" s="574"/>
    </row>
    <row r="267" spans="1:5" x14ac:dyDescent="0.2">
      <c r="A267" s="345">
        <v>35642</v>
      </c>
      <c r="B267" s="253"/>
      <c r="C267" s="259"/>
      <c r="D267" s="77"/>
      <c r="E267" s="574"/>
    </row>
    <row r="268" spans="1:5" x14ac:dyDescent="0.2">
      <c r="A268" s="345">
        <v>35673</v>
      </c>
      <c r="B268" s="253"/>
      <c r="C268" s="259"/>
      <c r="D268" s="77"/>
      <c r="E268" s="574"/>
    </row>
    <row r="269" spans="1:5" x14ac:dyDescent="0.2">
      <c r="A269" s="345">
        <v>35703</v>
      </c>
      <c r="B269" s="253"/>
      <c r="C269" s="259"/>
      <c r="D269" s="77"/>
      <c r="E269" s="574"/>
    </row>
    <row r="270" spans="1:5" x14ac:dyDescent="0.2">
      <c r="A270" s="345">
        <v>35734</v>
      </c>
      <c r="B270" s="253"/>
      <c r="C270" s="259"/>
      <c r="D270" s="77"/>
      <c r="E270" s="574"/>
    </row>
    <row r="271" spans="1:5" x14ac:dyDescent="0.2">
      <c r="A271" s="345">
        <v>35764</v>
      </c>
      <c r="B271" s="253"/>
      <c r="C271" s="259"/>
      <c r="D271" s="77"/>
      <c r="E271" s="574"/>
    </row>
    <row r="272" spans="1:5" x14ac:dyDescent="0.2">
      <c r="A272" s="345">
        <v>35795</v>
      </c>
      <c r="B272" s="253"/>
      <c r="C272" s="259"/>
      <c r="D272" s="77"/>
      <c r="E272" s="574"/>
    </row>
    <row r="273" spans="1:5" x14ac:dyDescent="0.2">
      <c r="A273" s="345">
        <v>35826</v>
      </c>
      <c r="B273" s="253"/>
      <c r="C273" s="259"/>
      <c r="D273" s="77"/>
      <c r="E273" s="574"/>
    </row>
    <row r="274" spans="1:5" x14ac:dyDescent="0.2">
      <c r="A274" s="345">
        <v>35854</v>
      </c>
      <c r="B274" s="253"/>
      <c r="C274" s="259"/>
      <c r="D274" s="77"/>
      <c r="E274" s="574"/>
    </row>
    <row r="275" spans="1:5" x14ac:dyDescent="0.2">
      <c r="A275" s="345">
        <v>35885</v>
      </c>
      <c r="B275" s="253"/>
      <c r="C275" s="259"/>
      <c r="D275" s="77"/>
      <c r="E275" s="574"/>
    </row>
    <row r="276" spans="1:5" x14ac:dyDescent="0.2">
      <c r="A276" s="345">
        <v>35915</v>
      </c>
      <c r="B276" s="253"/>
      <c r="C276" s="259"/>
      <c r="D276" s="77"/>
      <c r="E276" s="574"/>
    </row>
    <row r="277" spans="1:5" x14ac:dyDescent="0.2">
      <c r="A277" s="345">
        <v>35946</v>
      </c>
      <c r="B277" s="253"/>
      <c r="C277" s="259"/>
      <c r="D277" s="77"/>
      <c r="E277" s="574"/>
    </row>
    <row r="278" spans="1:5" x14ac:dyDescent="0.2">
      <c r="A278" s="345">
        <v>35976</v>
      </c>
      <c r="B278" s="253"/>
      <c r="C278" s="259"/>
      <c r="D278" s="77"/>
      <c r="E278" s="574"/>
    </row>
    <row r="279" spans="1:5" x14ac:dyDescent="0.2">
      <c r="A279" s="345">
        <v>36007</v>
      </c>
      <c r="B279" s="253"/>
      <c r="C279" s="259"/>
      <c r="D279" s="77"/>
      <c r="E279" s="574"/>
    </row>
    <row r="280" spans="1:5" x14ac:dyDescent="0.2">
      <c r="A280" s="345">
        <v>36038</v>
      </c>
      <c r="B280" s="253"/>
      <c r="C280" s="259"/>
      <c r="D280" s="77"/>
      <c r="E280" s="574"/>
    </row>
    <row r="281" spans="1:5" x14ac:dyDescent="0.2">
      <c r="A281" s="345">
        <v>36068</v>
      </c>
      <c r="B281" s="253"/>
      <c r="C281" s="259"/>
      <c r="D281" s="77"/>
      <c r="E281" s="574"/>
    </row>
    <row r="282" spans="1:5" x14ac:dyDescent="0.2">
      <c r="A282" s="345">
        <v>36099</v>
      </c>
      <c r="B282" s="253"/>
      <c r="C282" s="259"/>
      <c r="D282" s="77"/>
      <c r="E282" s="574"/>
    </row>
    <row r="283" spans="1:5" x14ac:dyDescent="0.2">
      <c r="A283" s="345">
        <v>36129</v>
      </c>
      <c r="B283" s="253"/>
      <c r="C283" s="259"/>
      <c r="D283" s="77"/>
      <c r="E283" s="574"/>
    </row>
    <row r="284" spans="1:5" x14ac:dyDescent="0.2">
      <c r="A284" s="345">
        <v>36160</v>
      </c>
      <c r="B284" s="253"/>
      <c r="C284" s="33"/>
      <c r="D284" s="253"/>
      <c r="E284" s="575"/>
    </row>
    <row r="285" spans="1:5" x14ac:dyDescent="0.2">
      <c r="A285" s="345">
        <v>36191</v>
      </c>
      <c r="B285" s="253"/>
      <c r="C285" s="33"/>
      <c r="D285" s="253"/>
      <c r="E285" s="575"/>
    </row>
    <row r="286" spans="1:5" x14ac:dyDescent="0.2">
      <c r="A286" s="345">
        <v>36219</v>
      </c>
      <c r="B286" s="253"/>
      <c r="C286" s="33"/>
      <c r="D286" s="253"/>
      <c r="E286" s="575"/>
    </row>
    <row r="287" spans="1:5" x14ac:dyDescent="0.2">
      <c r="A287" s="345">
        <v>36250</v>
      </c>
      <c r="B287" s="253"/>
      <c r="C287" s="33"/>
      <c r="D287" s="253"/>
      <c r="E287" s="575"/>
    </row>
    <row r="288" spans="1:5" x14ac:dyDescent="0.2">
      <c r="A288" s="345">
        <v>36280</v>
      </c>
      <c r="B288" s="253"/>
      <c r="C288" s="33"/>
      <c r="D288" s="253"/>
      <c r="E288" s="575"/>
    </row>
    <row r="289" spans="1:5" x14ac:dyDescent="0.2">
      <c r="A289" s="345">
        <v>36311</v>
      </c>
      <c r="B289" s="253"/>
      <c r="C289" s="33"/>
      <c r="D289" s="253"/>
      <c r="E289" s="575"/>
    </row>
    <row r="290" spans="1:5" x14ac:dyDescent="0.2">
      <c r="A290" s="345">
        <v>36341</v>
      </c>
      <c r="B290" s="253"/>
      <c r="C290" s="33"/>
      <c r="D290" s="253"/>
      <c r="E290" s="575"/>
    </row>
    <row r="291" spans="1:5" x14ac:dyDescent="0.2">
      <c r="A291" s="345">
        <v>36372</v>
      </c>
      <c r="B291" s="253"/>
      <c r="C291" s="33"/>
      <c r="D291" s="253"/>
      <c r="E291" s="575"/>
    </row>
    <row r="292" spans="1:5" x14ac:dyDescent="0.2">
      <c r="A292" s="345">
        <v>36403</v>
      </c>
      <c r="B292" s="253"/>
      <c r="C292" s="33"/>
      <c r="D292" s="253"/>
      <c r="E292" s="575"/>
    </row>
    <row r="293" spans="1:5" x14ac:dyDescent="0.2">
      <c r="A293" s="345">
        <v>36433</v>
      </c>
      <c r="B293" s="253"/>
      <c r="C293" s="33"/>
      <c r="D293" s="253"/>
      <c r="E293" s="575"/>
    </row>
    <row r="294" spans="1:5" x14ac:dyDescent="0.2">
      <c r="A294" s="345">
        <v>36464</v>
      </c>
      <c r="B294" s="253"/>
      <c r="C294" s="33"/>
      <c r="D294" s="253"/>
      <c r="E294" s="575"/>
    </row>
    <row r="295" spans="1:5" x14ac:dyDescent="0.2">
      <c r="A295" s="345">
        <v>36494</v>
      </c>
      <c r="B295" s="253"/>
      <c r="C295" s="33"/>
      <c r="D295" s="253"/>
      <c r="E295" s="575"/>
    </row>
    <row r="296" spans="1:5" x14ac:dyDescent="0.2">
      <c r="A296" s="345">
        <v>36525</v>
      </c>
      <c r="B296" s="253"/>
      <c r="C296" s="33"/>
      <c r="D296" s="253"/>
      <c r="E296" s="575"/>
    </row>
    <row r="297" spans="1:5" x14ac:dyDescent="0.2">
      <c r="A297" s="345">
        <v>36556</v>
      </c>
      <c r="B297" s="253"/>
      <c r="C297" s="33"/>
      <c r="D297" s="253"/>
      <c r="E297" s="575"/>
    </row>
    <row r="298" spans="1:5" x14ac:dyDescent="0.2">
      <c r="A298" s="345">
        <v>36585</v>
      </c>
      <c r="B298" s="253"/>
      <c r="C298" s="33"/>
      <c r="D298" s="253"/>
      <c r="E298" s="575"/>
    </row>
    <row r="299" spans="1:5" x14ac:dyDescent="0.2">
      <c r="A299" s="345">
        <v>36616</v>
      </c>
      <c r="B299" s="253"/>
      <c r="C299" s="33"/>
      <c r="D299" s="253"/>
      <c r="E299" s="575"/>
    </row>
    <row r="300" spans="1:5" x14ac:dyDescent="0.2">
      <c r="A300" s="345">
        <v>36646</v>
      </c>
      <c r="B300" s="253"/>
      <c r="C300" s="33"/>
      <c r="D300" s="253"/>
      <c r="E300" s="575"/>
    </row>
    <row r="301" spans="1:5" x14ac:dyDescent="0.2">
      <c r="A301" s="345">
        <v>36677</v>
      </c>
      <c r="B301" s="253"/>
      <c r="C301" s="33"/>
      <c r="D301" s="253"/>
      <c r="E301" s="575"/>
    </row>
    <row r="302" spans="1:5" x14ac:dyDescent="0.2">
      <c r="A302" s="345">
        <v>36707</v>
      </c>
      <c r="B302" s="253"/>
      <c r="C302" s="33"/>
      <c r="D302" s="253"/>
      <c r="E302" s="575"/>
    </row>
    <row r="303" spans="1:5" x14ac:dyDescent="0.2">
      <c r="A303" s="345">
        <v>36738</v>
      </c>
      <c r="B303" s="253"/>
      <c r="C303" s="33"/>
      <c r="D303" s="253"/>
      <c r="E303" s="575"/>
    </row>
    <row r="304" spans="1:5" x14ac:dyDescent="0.2">
      <c r="A304" s="345">
        <v>36769</v>
      </c>
      <c r="B304" s="253"/>
      <c r="C304" s="33"/>
      <c r="D304" s="253"/>
      <c r="E304" s="575"/>
    </row>
    <row r="305" spans="1:5" x14ac:dyDescent="0.2">
      <c r="A305" s="345">
        <v>36799</v>
      </c>
      <c r="B305" s="253"/>
      <c r="C305" s="33"/>
      <c r="D305" s="253"/>
      <c r="E305" s="575"/>
    </row>
    <row r="306" spans="1:5" x14ac:dyDescent="0.2">
      <c r="A306" s="345">
        <v>36830</v>
      </c>
      <c r="B306" s="253"/>
      <c r="C306" s="33"/>
      <c r="D306" s="253"/>
      <c r="E306" s="575"/>
    </row>
    <row r="307" spans="1:5" x14ac:dyDescent="0.2">
      <c r="A307" s="345">
        <v>36860</v>
      </c>
      <c r="B307" s="253"/>
      <c r="C307" s="33"/>
      <c r="D307" s="253"/>
      <c r="E307" s="575"/>
    </row>
    <row r="308" spans="1:5" x14ac:dyDescent="0.2">
      <c r="A308" s="345">
        <v>36891</v>
      </c>
      <c r="B308" s="253"/>
      <c r="C308" s="33"/>
      <c r="D308" s="253"/>
      <c r="E308" s="575"/>
    </row>
    <row r="309" spans="1:5" x14ac:dyDescent="0.2">
      <c r="A309" s="345">
        <v>36922</v>
      </c>
      <c r="B309" s="253"/>
      <c r="C309" s="33"/>
      <c r="D309" s="253"/>
      <c r="E309" s="575"/>
    </row>
    <row r="310" spans="1:5" x14ac:dyDescent="0.2">
      <c r="A310" s="345">
        <v>36950</v>
      </c>
      <c r="B310" s="253"/>
      <c r="C310" s="33"/>
      <c r="D310" s="253"/>
      <c r="E310" s="575"/>
    </row>
    <row r="311" spans="1:5" x14ac:dyDescent="0.2">
      <c r="A311" s="345">
        <v>36981</v>
      </c>
      <c r="B311" s="253"/>
      <c r="C311" s="33"/>
      <c r="D311" s="253"/>
      <c r="E311" s="575"/>
    </row>
    <row r="312" spans="1:5" x14ac:dyDescent="0.2">
      <c r="A312" s="345">
        <v>37011</v>
      </c>
      <c r="B312" s="253"/>
      <c r="C312" s="33"/>
      <c r="D312" s="253"/>
      <c r="E312" s="575"/>
    </row>
    <row r="313" spans="1:5" x14ac:dyDescent="0.2">
      <c r="A313" s="345">
        <v>37042</v>
      </c>
      <c r="B313" s="253"/>
      <c r="C313" s="33"/>
      <c r="D313" s="253"/>
      <c r="E313" s="575"/>
    </row>
    <row r="314" spans="1:5" x14ac:dyDescent="0.2">
      <c r="A314" s="345">
        <v>37072</v>
      </c>
      <c r="B314" s="253"/>
      <c r="C314" s="33"/>
      <c r="D314" s="253"/>
      <c r="E314" s="575"/>
    </row>
    <row r="315" spans="1:5" x14ac:dyDescent="0.2">
      <c r="A315" s="345">
        <v>37103</v>
      </c>
      <c r="B315" s="253"/>
      <c r="C315" s="33"/>
      <c r="D315" s="253"/>
      <c r="E315" s="575"/>
    </row>
    <row r="316" spans="1:5" x14ac:dyDescent="0.2">
      <c r="A316" s="345">
        <v>37134</v>
      </c>
      <c r="B316" s="253"/>
      <c r="C316" s="33"/>
      <c r="D316" s="253"/>
      <c r="E316" s="575"/>
    </row>
    <row r="317" spans="1:5" x14ac:dyDescent="0.2">
      <c r="A317" s="345">
        <v>37164</v>
      </c>
      <c r="B317" s="253"/>
      <c r="C317" s="33"/>
      <c r="D317" s="253"/>
      <c r="E317" s="575"/>
    </row>
    <row r="318" spans="1:5" x14ac:dyDescent="0.2">
      <c r="A318" s="345">
        <v>37195</v>
      </c>
      <c r="B318" s="253"/>
      <c r="C318" s="33"/>
      <c r="D318" s="253"/>
      <c r="E318" s="575"/>
    </row>
    <row r="319" spans="1:5" x14ac:dyDescent="0.2">
      <c r="A319" s="345">
        <v>37225</v>
      </c>
      <c r="B319" s="253"/>
      <c r="C319" s="33"/>
      <c r="D319" s="253"/>
      <c r="E319" s="575"/>
    </row>
    <row r="320" spans="1:5" x14ac:dyDescent="0.2">
      <c r="A320" s="345">
        <v>37256</v>
      </c>
      <c r="C320" s="33"/>
      <c r="D320" s="253"/>
      <c r="E320" s="575"/>
    </row>
    <row r="321" spans="1:5" x14ac:dyDescent="0.2">
      <c r="A321" s="345">
        <v>37287</v>
      </c>
      <c r="C321" s="33"/>
      <c r="D321" s="253"/>
      <c r="E321" s="575"/>
    </row>
    <row r="322" spans="1:5" x14ac:dyDescent="0.2">
      <c r="A322" s="345">
        <v>37315</v>
      </c>
      <c r="C322" s="33"/>
      <c r="D322" s="253"/>
      <c r="E322" s="575"/>
    </row>
    <row r="323" spans="1:5" x14ac:dyDescent="0.2">
      <c r="A323" s="345">
        <v>37346</v>
      </c>
      <c r="C323" s="33"/>
      <c r="D323" s="253"/>
      <c r="E323" s="575"/>
    </row>
    <row r="324" spans="1:5" x14ac:dyDescent="0.2">
      <c r="A324" s="345">
        <v>37376</v>
      </c>
      <c r="C324" s="128"/>
      <c r="D324" s="128"/>
      <c r="E324" s="575"/>
    </row>
    <row r="325" spans="1:5" x14ac:dyDescent="0.2">
      <c r="A325" s="345">
        <v>37407</v>
      </c>
      <c r="C325" s="128"/>
      <c r="D325" s="128"/>
      <c r="E325" s="575"/>
    </row>
    <row r="326" spans="1:5" x14ac:dyDescent="0.2">
      <c r="A326" s="345">
        <v>37437</v>
      </c>
      <c r="C326" s="128"/>
      <c r="D326" s="128"/>
      <c r="E326" s="575"/>
    </row>
    <row r="327" spans="1:5" x14ac:dyDescent="0.2">
      <c r="A327" s="345">
        <v>37468</v>
      </c>
      <c r="C327" s="128"/>
      <c r="D327" s="128"/>
      <c r="E327" s="575"/>
    </row>
    <row r="328" spans="1:5" x14ac:dyDescent="0.2">
      <c r="A328" s="345">
        <v>37499</v>
      </c>
      <c r="C328" s="128"/>
      <c r="D328" s="128"/>
      <c r="E328" s="575"/>
    </row>
    <row r="329" spans="1:5" x14ac:dyDescent="0.2">
      <c r="A329" s="345">
        <v>37529</v>
      </c>
      <c r="C329" s="128"/>
      <c r="D329" s="128"/>
      <c r="E329" s="575"/>
    </row>
    <row r="330" spans="1:5" x14ac:dyDescent="0.2">
      <c r="A330" s="345">
        <v>37560</v>
      </c>
      <c r="C330" s="128"/>
      <c r="D330" s="128"/>
      <c r="E330" s="575"/>
    </row>
    <row r="331" spans="1:5" x14ac:dyDescent="0.2">
      <c r="A331" s="345">
        <v>37590</v>
      </c>
      <c r="C331" s="128"/>
      <c r="D331" s="128"/>
      <c r="E331" s="575"/>
    </row>
    <row r="332" spans="1:5" x14ac:dyDescent="0.2">
      <c r="A332" s="345">
        <v>37621</v>
      </c>
      <c r="C332" s="128"/>
      <c r="D332" s="128"/>
      <c r="E332" s="575"/>
    </row>
    <row r="333" spans="1:5" x14ac:dyDescent="0.2">
      <c r="A333" s="345">
        <v>37652</v>
      </c>
      <c r="C333" s="128"/>
      <c r="D333" s="128"/>
      <c r="E333" s="575"/>
    </row>
    <row r="334" spans="1:5" x14ac:dyDescent="0.2">
      <c r="A334" s="345">
        <v>37680</v>
      </c>
      <c r="C334" s="128"/>
      <c r="D334" s="128"/>
      <c r="E334" s="575"/>
    </row>
    <row r="335" spans="1:5" x14ac:dyDescent="0.2">
      <c r="A335" s="345">
        <v>37711</v>
      </c>
      <c r="C335" s="128"/>
      <c r="D335" s="128"/>
      <c r="E335" s="575"/>
    </row>
    <row r="336" spans="1:5" x14ac:dyDescent="0.2">
      <c r="A336" s="345">
        <v>37741</v>
      </c>
      <c r="C336" s="128"/>
      <c r="D336" s="128"/>
      <c r="E336" s="575"/>
    </row>
    <row r="337" spans="1:9" x14ac:dyDescent="0.2">
      <c r="A337" s="345">
        <v>37772</v>
      </c>
      <c r="C337" s="128"/>
      <c r="D337" s="128"/>
      <c r="E337" s="575"/>
    </row>
    <row r="338" spans="1:9" x14ac:dyDescent="0.2">
      <c r="A338" s="345">
        <v>37802</v>
      </c>
      <c r="C338" s="128"/>
      <c r="D338" s="128"/>
      <c r="E338" s="575"/>
    </row>
    <row r="339" spans="1:9" x14ac:dyDescent="0.2">
      <c r="A339" s="345">
        <v>37833</v>
      </c>
      <c r="C339" s="128"/>
      <c r="D339" s="128"/>
      <c r="E339" s="575"/>
    </row>
    <row r="340" spans="1:9" x14ac:dyDescent="0.2">
      <c r="A340" s="345">
        <v>37864</v>
      </c>
      <c r="C340" s="128"/>
      <c r="D340" s="128"/>
      <c r="E340" s="575"/>
    </row>
    <row r="341" spans="1:9" x14ac:dyDescent="0.2">
      <c r="A341" s="345">
        <v>37894</v>
      </c>
      <c r="C341" s="128"/>
      <c r="D341" s="128"/>
      <c r="E341" s="575"/>
    </row>
    <row r="342" spans="1:9" x14ac:dyDescent="0.2">
      <c r="A342" s="345">
        <v>37925</v>
      </c>
      <c r="C342" s="128"/>
      <c r="D342" s="128"/>
      <c r="E342" s="575"/>
    </row>
    <row r="343" spans="1:9" x14ac:dyDescent="0.2">
      <c r="A343" s="345">
        <v>37955</v>
      </c>
      <c r="C343" s="128"/>
      <c r="D343" s="128"/>
      <c r="E343" s="575"/>
    </row>
    <row r="344" spans="1:9" x14ac:dyDescent="0.2">
      <c r="A344" s="345">
        <v>37986</v>
      </c>
      <c r="C344" s="128"/>
      <c r="D344" s="128"/>
      <c r="E344" s="575"/>
    </row>
    <row r="345" spans="1:9" x14ac:dyDescent="0.2">
      <c r="A345" s="345">
        <v>38017</v>
      </c>
      <c r="C345" s="128"/>
      <c r="D345" s="128"/>
      <c r="E345" s="575"/>
    </row>
    <row r="346" spans="1:9" x14ac:dyDescent="0.2">
      <c r="A346" s="345">
        <v>38046</v>
      </c>
      <c r="C346" s="128"/>
      <c r="D346" s="128"/>
      <c r="E346" s="575"/>
    </row>
    <row r="347" spans="1:9" x14ac:dyDescent="0.2">
      <c r="A347" s="345">
        <v>38077</v>
      </c>
      <c r="C347" s="128"/>
      <c r="D347" s="128"/>
      <c r="E347" s="575"/>
    </row>
    <row r="348" spans="1:9" x14ac:dyDescent="0.2">
      <c r="A348" s="345">
        <v>38107</v>
      </c>
      <c r="C348" s="128"/>
      <c r="D348" s="128"/>
      <c r="E348" s="575"/>
      <c r="I348" s="14"/>
    </row>
    <row r="349" spans="1:9" x14ac:dyDescent="0.2">
      <c r="A349" s="345">
        <v>38138</v>
      </c>
      <c r="C349" s="128"/>
      <c r="D349" s="128"/>
      <c r="E349" s="575"/>
      <c r="I349" s="14"/>
    </row>
    <row r="350" spans="1:9" x14ac:dyDescent="0.2">
      <c r="A350" s="345">
        <v>38168</v>
      </c>
      <c r="C350" s="128"/>
      <c r="D350" s="128"/>
      <c r="E350" s="575"/>
      <c r="I350" s="14"/>
    </row>
    <row r="351" spans="1:9" x14ac:dyDescent="0.2">
      <c r="A351" s="345">
        <v>38199</v>
      </c>
      <c r="C351" s="128"/>
      <c r="D351" s="128"/>
      <c r="E351" s="575"/>
    </row>
    <row r="352" spans="1:9" x14ac:dyDescent="0.2">
      <c r="A352" s="345">
        <v>38230</v>
      </c>
      <c r="C352" s="128"/>
      <c r="D352" s="128"/>
      <c r="E352" s="575"/>
    </row>
    <row r="353" spans="1:5" x14ac:dyDescent="0.2">
      <c r="A353" s="345">
        <v>38260</v>
      </c>
      <c r="C353" s="128"/>
      <c r="D353" s="128"/>
      <c r="E353" s="575"/>
    </row>
    <row r="354" spans="1:5" x14ac:dyDescent="0.2">
      <c r="A354" s="345">
        <v>38291</v>
      </c>
      <c r="C354" s="128"/>
      <c r="D354" s="128"/>
      <c r="E354" s="575"/>
    </row>
    <row r="355" spans="1:5" x14ac:dyDescent="0.2">
      <c r="A355" s="345">
        <v>38321</v>
      </c>
      <c r="C355" s="128"/>
      <c r="D355" s="128"/>
      <c r="E355" s="575"/>
    </row>
    <row r="356" spans="1:5" x14ac:dyDescent="0.2">
      <c r="A356" s="345">
        <v>38352</v>
      </c>
      <c r="C356" s="128"/>
      <c r="D356" s="128"/>
      <c r="E356" s="575"/>
    </row>
    <row r="357" spans="1:5" x14ac:dyDescent="0.2">
      <c r="A357" s="345">
        <v>38383</v>
      </c>
      <c r="B357" s="253">
        <v>-1.77</v>
      </c>
      <c r="C357" s="34"/>
      <c r="D357" s="128">
        <v>-1.7714000000000001</v>
      </c>
      <c r="E357" s="575"/>
    </row>
    <row r="358" spans="1:5" x14ac:dyDescent="0.2">
      <c r="A358" s="345">
        <v>38411</v>
      </c>
      <c r="B358" s="253">
        <v>4.62</v>
      </c>
      <c r="C358" s="34"/>
      <c r="D358" s="128">
        <v>4.6237000000000004</v>
      </c>
      <c r="E358" s="575"/>
    </row>
    <row r="359" spans="1:5" x14ac:dyDescent="0.2">
      <c r="A359" s="345">
        <v>38442</v>
      </c>
      <c r="B359" s="253">
        <v>-2.5499999999999998</v>
      </c>
      <c r="C359" s="256"/>
      <c r="D359" s="128">
        <v>-2.4304999999999999</v>
      </c>
      <c r="E359" s="575"/>
    </row>
    <row r="360" spans="1:5" x14ac:dyDescent="0.2">
      <c r="A360" s="345">
        <v>38472</v>
      </c>
      <c r="B360" s="253">
        <v>-2.3199999999999998</v>
      </c>
      <c r="C360" s="256"/>
      <c r="D360" s="128">
        <v>-2.2991999999999999</v>
      </c>
      <c r="E360" s="575"/>
    </row>
    <row r="361" spans="1:5" x14ac:dyDescent="0.2">
      <c r="A361" s="345">
        <v>38503</v>
      </c>
      <c r="B361" s="253">
        <v>-0.19</v>
      </c>
      <c r="C361" s="256"/>
      <c r="D361" s="128">
        <v>-0.1862</v>
      </c>
      <c r="E361" s="575"/>
    </row>
    <row r="362" spans="1:5" x14ac:dyDescent="0.2">
      <c r="A362" s="345">
        <v>38533</v>
      </c>
      <c r="B362" s="253">
        <v>1.17</v>
      </c>
      <c r="C362" s="256"/>
      <c r="D362" s="128">
        <v>1.3004</v>
      </c>
      <c r="E362" s="575"/>
    </row>
    <row r="363" spans="1:5" x14ac:dyDescent="0.2">
      <c r="A363" s="345">
        <v>38564</v>
      </c>
      <c r="B363" s="253">
        <v>2.99</v>
      </c>
      <c r="C363" s="256"/>
      <c r="D363" s="128">
        <v>2.9914999999999998</v>
      </c>
      <c r="E363" s="575"/>
    </row>
    <row r="364" spans="1:5" x14ac:dyDescent="0.2">
      <c r="A364" s="345">
        <v>38595</v>
      </c>
      <c r="B364" s="253">
        <v>2.54</v>
      </c>
      <c r="C364" s="256"/>
      <c r="D364" s="128">
        <v>2.5436000000000001</v>
      </c>
      <c r="E364" s="575"/>
    </row>
    <row r="365" spans="1:5" x14ac:dyDescent="0.2">
      <c r="A365" s="345">
        <v>38625</v>
      </c>
      <c r="B365" s="253">
        <v>4.38</v>
      </c>
      <c r="C365" s="334"/>
      <c r="D365" s="128">
        <v>4.5037000000000003</v>
      </c>
      <c r="E365" s="575"/>
    </row>
    <row r="366" spans="1:5" x14ac:dyDescent="0.2">
      <c r="A366" s="345">
        <v>38656</v>
      </c>
      <c r="B366" s="253">
        <v>-2.9</v>
      </c>
      <c r="C366" s="334"/>
      <c r="D366" s="128">
        <v>-2.9043000000000001</v>
      </c>
      <c r="E366" s="575"/>
    </row>
    <row r="367" spans="1:5" x14ac:dyDescent="0.2">
      <c r="A367" s="345">
        <v>38686</v>
      </c>
      <c r="B367" s="253">
        <v>2.56</v>
      </c>
      <c r="C367" s="334"/>
      <c r="D367" s="128">
        <v>2.5598999999999998</v>
      </c>
      <c r="E367" s="575"/>
    </row>
    <row r="368" spans="1:5" x14ac:dyDescent="0.2">
      <c r="A368" s="345">
        <v>38717</v>
      </c>
      <c r="B368" s="253">
        <v>4.24</v>
      </c>
      <c r="C368" s="256"/>
      <c r="D368" s="128">
        <v>4.3700999999999999</v>
      </c>
      <c r="E368" s="575"/>
    </row>
    <row r="369" spans="1:9" x14ac:dyDescent="0.2">
      <c r="A369" s="345">
        <v>38748</v>
      </c>
      <c r="B369" s="253">
        <v>6.32</v>
      </c>
      <c r="C369" s="256"/>
      <c r="D369" s="128">
        <v>6.3239999999999998</v>
      </c>
      <c r="E369" s="575"/>
      <c r="F369" s="496"/>
      <c r="G369" s="700"/>
      <c r="H369" s="703"/>
      <c r="I369" s="253"/>
    </row>
    <row r="370" spans="1:9" x14ac:dyDescent="0.2">
      <c r="A370" s="345">
        <v>38776</v>
      </c>
      <c r="B370" s="253">
        <v>-0.17</v>
      </c>
      <c r="C370" s="256"/>
      <c r="D370" s="128">
        <v>-0.16980000000000001</v>
      </c>
      <c r="E370" s="575"/>
      <c r="F370" s="496"/>
      <c r="G370" s="701"/>
      <c r="H370" s="703"/>
      <c r="I370" s="253"/>
    </row>
    <row r="371" spans="1:9" x14ac:dyDescent="0.2">
      <c r="A371" s="345">
        <v>38807</v>
      </c>
      <c r="B371" s="253">
        <v>3.33</v>
      </c>
      <c r="C371" s="256"/>
      <c r="D371" s="128">
        <v>3.4540999999999999</v>
      </c>
      <c r="E371" s="575"/>
      <c r="F371" s="496"/>
      <c r="G371" s="701"/>
      <c r="H371" s="703"/>
      <c r="I371" s="253"/>
    </row>
    <row r="372" spans="1:9" x14ac:dyDescent="0.2">
      <c r="A372" s="345">
        <v>38837</v>
      </c>
      <c r="B372" s="253">
        <v>5.1100000000000003</v>
      </c>
      <c r="C372" s="34"/>
      <c r="D372" s="128">
        <v>5.1067</v>
      </c>
      <c r="E372" s="575"/>
      <c r="F372" s="496"/>
      <c r="G372" s="700"/>
      <c r="H372" s="703"/>
      <c r="I372" s="253"/>
    </row>
    <row r="373" spans="1:9" x14ac:dyDescent="0.2">
      <c r="A373" s="345">
        <v>38868</v>
      </c>
      <c r="B373" s="253">
        <v>-3.68</v>
      </c>
      <c r="C373" s="34"/>
      <c r="D373" s="128">
        <v>-3.6816</v>
      </c>
      <c r="E373" s="575"/>
      <c r="F373" s="496"/>
      <c r="G373" s="700"/>
      <c r="H373" s="703"/>
      <c r="I373" s="253"/>
    </row>
    <row r="374" spans="1:9" x14ac:dyDescent="0.2">
      <c r="A374" s="345">
        <v>38898</v>
      </c>
      <c r="B374" s="128">
        <v>-0.12</v>
      </c>
      <c r="C374" s="612">
        <v>29518654.620000001</v>
      </c>
      <c r="D374" s="253"/>
      <c r="E374" s="575"/>
      <c r="F374" s="496"/>
      <c r="G374" s="700"/>
      <c r="H374" s="703"/>
      <c r="I374" s="253"/>
    </row>
    <row r="375" spans="1:9" x14ac:dyDescent="0.2">
      <c r="A375" s="345">
        <v>38929</v>
      </c>
      <c r="B375" s="128">
        <v>1.24</v>
      </c>
      <c r="C375" s="34">
        <v>29883361.390000001</v>
      </c>
      <c r="D375" s="253"/>
      <c r="E375" s="575"/>
      <c r="F375" s="496"/>
      <c r="G375" s="700"/>
      <c r="H375" s="703"/>
      <c r="I375" s="253"/>
    </row>
    <row r="376" spans="1:9" x14ac:dyDescent="0.2">
      <c r="A376" s="345">
        <v>38960</v>
      </c>
      <c r="B376" s="128">
        <v>2.66</v>
      </c>
      <c r="C376" s="34">
        <v>30678153.280000001</v>
      </c>
      <c r="D376" s="253"/>
      <c r="E376" s="575"/>
    </row>
    <row r="377" spans="1:9" x14ac:dyDescent="0.2">
      <c r="A377" s="345">
        <v>38990</v>
      </c>
      <c r="B377" s="128">
        <v>0.23</v>
      </c>
      <c r="C377" s="34">
        <v>30786476.129999999</v>
      </c>
      <c r="D377" s="253"/>
      <c r="E377" s="575"/>
    </row>
    <row r="378" spans="1:9" x14ac:dyDescent="0.2">
      <c r="A378" s="345">
        <v>39021</v>
      </c>
      <c r="B378" s="253">
        <v>3.91</v>
      </c>
      <c r="C378" s="34">
        <v>31990856.760000002</v>
      </c>
      <c r="D378" s="253"/>
      <c r="E378" s="261"/>
    </row>
    <row r="379" spans="1:9" x14ac:dyDescent="0.2">
      <c r="A379" s="345">
        <v>39051</v>
      </c>
      <c r="B379" s="253">
        <v>2.87</v>
      </c>
      <c r="C379" s="34">
        <v>32910315.719999999</v>
      </c>
      <c r="D379" s="253"/>
      <c r="E379" s="575"/>
    </row>
    <row r="380" spans="1:9" x14ac:dyDescent="0.2">
      <c r="A380" s="345">
        <v>39082</v>
      </c>
      <c r="B380" s="253">
        <v>2.94</v>
      </c>
      <c r="C380" s="703">
        <v>33917225.380000003</v>
      </c>
      <c r="D380" s="253"/>
      <c r="E380" s="575"/>
    </row>
    <row r="381" spans="1:9" x14ac:dyDescent="0.2">
      <c r="A381" s="345">
        <v>39113</v>
      </c>
      <c r="B381" s="257">
        <v>0.73</v>
      </c>
      <c r="C381" s="770">
        <v>34166020.859999999</v>
      </c>
    </row>
    <row r="382" spans="1:9" x14ac:dyDescent="0.2">
      <c r="A382" s="345">
        <v>39141</v>
      </c>
      <c r="B382" s="257">
        <v>0.8</v>
      </c>
      <c r="C382" s="770">
        <v>34440455.030000001</v>
      </c>
    </row>
    <row r="383" spans="1:9" x14ac:dyDescent="0.2">
      <c r="A383" s="345">
        <v>39172</v>
      </c>
      <c r="B383" s="257">
        <v>2.21</v>
      </c>
      <c r="C383" s="770">
        <v>36265427.310000002</v>
      </c>
    </row>
    <row r="384" spans="1:9" x14ac:dyDescent="0.2">
      <c r="A384" s="345">
        <v>39202</v>
      </c>
      <c r="B384" s="257">
        <v>4.7</v>
      </c>
      <c r="C384" s="770">
        <v>39015526.729999997</v>
      </c>
    </row>
    <row r="385" spans="1:3" x14ac:dyDescent="0.2">
      <c r="A385" s="345">
        <v>39233</v>
      </c>
      <c r="B385" s="257">
        <v>2.0499999999999998</v>
      </c>
      <c r="C385" s="770">
        <v>39814598.869999997</v>
      </c>
    </row>
    <row r="386" spans="1:3" x14ac:dyDescent="0.2">
      <c r="A386" s="345">
        <v>39263</v>
      </c>
      <c r="B386" s="257">
        <v>0.06</v>
      </c>
      <c r="C386" s="770">
        <v>39887083.149999999</v>
      </c>
    </row>
    <row r="387" spans="1:3" x14ac:dyDescent="0.2">
      <c r="A387" s="345">
        <v>39294</v>
      </c>
      <c r="B387" s="257">
        <v>-1.37</v>
      </c>
      <c r="C387" s="770">
        <v>40818634.780000001</v>
      </c>
    </row>
    <row r="388" spans="1:3" x14ac:dyDescent="0.2">
      <c r="A388" s="345">
        <v>39325</v>
      </c>
      <c r="B388" s="257">
        <v>-2.0299999999999998</v>
      </c>
      <c r="C388" s="346">
        <v>39991345.200000003</v>
      </c>
    </row>
    <row r="389" spans="1:3" x14ac:dyDescent="0.2">
      <c r="A389" s="345">
        <v>39355</v>
      </c>
      <c r="B389" s="257">
        <v>4.3899999999999997</v>
      </c>
      <c r="C389" s="346">
        <v>41782212.159999996</v>
      </c>
    </row>
    <row r="390" spans="1:3" x14ac:dyDescent="0.2">
      <c r="A390" s="345">
        <v>39386</v>
      </c>
      <c r="B390" s="257">
        <v>4.18</v>
      </c>
      <c r="C390" s="346">
        <v>44360798.030000001</v>
      </c>
    </row>
    <row r="391" spans="1:3" x14ac:dyDescent="0.2">
      <c r="A391" s="345">
        <v>39416</v>
      </c>
      <c r="B391" s="257">
        <v>-4.8499999999999996</v>
      </c>
      <c r="C391" s="346">
        <v>42209307.869999997</v>
      </c>
    </row>
    <row r="392" spans="1:3" x14ac:dyDescent="0.2">
      <c r="A392" s="345">
        <v>39447</v>
      </c>
      <c r="B392" s="257">
        <v>-2.8</v>
      </c>
      <c r="C392" s="346">
        <v>41061812.68</v>
      </c>
    </row>
    <row r="393" spans="1:3" x14ac:dyDescent="0.2">
      <c r="A393" s="345">
        <v>39478</v>
      </c>
      <c r="B393" s="257">
        <v>-8.93</v>
      </c>
      <c r="C393" s="346">
        <v>39717033.090000004</v>
      </c>
    </row>
    <row r="394" spans="1:3" x14ac:dyDescent="0.2">
      <c r="A394" s="345">
        <v>39507</v>
      </c>
      <c r="B394" s="257">
        <v>2.4900000000000002</v>
      </c>
      <c r="C394" s="346">
        <v>40706845.960000001</v>
      </c>
    </row>
    <row r="395" spans="1:3" x14ac:dyDescent="0.2">
      <c r="A395" s="345">
        <v>39538</v>
      </c>
      <c r="B395" s="257">
        <v>-1.4</v>
      </c>
      <c r="C395" s="346">
        <v>41160599.329999998</v>
      </c>
    </row>
    <row r="396" spans="1:3" x14ac:dyDescent="0.2">
      <c r="A396" s="345">
        <v>39568</v>
      </c>
      <c r="B396" s="257">
        <v>4.88</v>
      </c>
      <c r="C396" s="346">
        <v>43170895.060000002</v>
      </c>
    </row>
    <row r="397" spans="1:3" x14ac:dyDescent="0.2">
      <c r="A397" s="345">
        <v>39599</v>
      </c>
      <c r="B397" s="257">
        <v>1.21</v>
      </c>
      <c r="C397" s="346">
        <v>43759926.509999998</v>
      </c>
    </row>
    <row r="398" spans="1:3" x14ac:dyDescent="0.2">
      <c r="A398" s="345">
        <v>39629</v>
      </c>
      <c r="B398" s="257">
        <v>-7.3</v>
      </c>
      <c r="C398" s="346">
        <v>40600773.100000001</v>
      </c>
    </row>
    <row r="399" spans="1:3" x14ac:dyDescent="0.2">
      <c r="A399" s="345">
        <v>39660</v>
      </c>
      <c r="B399" s="257">
        <v>-3.37</v>
      </c>
      <c r="C399" s="1208">
        <v>41740874.630000003</v>
      </c>
    </row>
    <row r="400" spans="1:3" x14ac:dyDescent="0.2">
      <c r="A400" s="345">
        <v>39691</v>
      </c>
      <c r="B400" s="257">
        <v>-4.8099999999999996</v>
      </c>
      <c r="C400" s="1208">
        <v>39733633.68</v>
      </c>
    </row>
    <row r="401" spans="1:4" x14ac:dyDescent="0.2">
      <c r="A401" s="345">
        <v>39721</v>
      </c>
      <c r="B401" s="257">
        <v>-15.5</v>
      </c>
      <c r="C401" s="1208">
        <v>34452815.119999997</v>
      </c>
    </row>
    <row r="402" spans="1:4" x14ac:dyDescent="0.2">
      <c r="A402" s="345">
        <v>39752</v>
      </c>
      <c r="B402" s="257">
        <v>-20.21</v>
      </c>
      <c r="C402" s="346">
        <v>27490504</v>
      </c>
    </row>
    <row r="403" spans="1:4" x14ac:dyDescent="0.2">
      <c r="A403" s="345">
        <v>39782</v>
      </c>
      <c r="B403" s="257">
        <v>-4.78</v>
      </c>
      <c r="C403" s="346">
        <v>29894481</v>
      </c>
    </row>
    <row r="404" spans="1:4" x14ac:dyDescent="0.2">
      <c r="A404" s="345">
        <v>39813</v>
      </c>
      <c r="B404" s="257">
        <v>5.58</v>
      </c>
      <c r="C404" s="346">
        <v>31596969</v>
      </c>
    </row>
    <row r="405" spans="1:4" x14ac:dyDescent="0.2">
      <c r="A405" s="345">
        <v>39844</v>
      </c>
      <c r="B405" s="257">
        <v>-9.85</v>
      </c>
      <c r="C405" s="346">
        <v>29656398.850000001</v>
      </c>
      <c r="D405" s="258">
        <v>-9.85</v>
      </c>
    </row>
    <row r="406" spans="1:4" x14ac:dyDescent="0.2">
      <c r="A406" s="345">
        <v>39872</v>
      </c>
      <c r="B406" s="257">
        <v>-10.16</v>
      </c>
      <c r="C406" s="346">
        <v>29337106.07</v>
      </c>
      <c r="D406" s="258">
        <v>-10.16</v>
      </c>
    </row>
    <row r="407" spans="1:4" x14ac:dyDescent="0.2">
      <c r="A407" s="345">
        <v>39903</v>
      </c>
      <c r="B407" s="257">
        <v>5.98</v>
      </c>
      <c r="C407" s="346">
        <v>31128599.030000001</v>
      </c>
      <c r="D407" s="258">
        <v>6.11</v>
      </c>
    </row>
    <row r="408" spans="1:4" x14ac:dyDescent="0.2">
      <c r="A408" s="345">
        <v>39933</v>
      </c>
      <c r="B408" s="257">
        <v>12.73</v>
      </c>
      <c r="C408" s="346">
        <v>35089939.390000001</v>
      </c>
    </row>
    <row r="409" spans="1:4" x14ac:dyDescent="0.2">
      <c r="A409" s="345">
        <v>39964</v>
      </c>
      <c r="B409" s="257">
        <v>11.61</v>
      </c>
      <c r="C409" s="346">
        <v>39163180.299999997</v>
      </c>
    </row>
    <row r="410" spans="1:4" x14ac:dyDescent="0.2">
      <c r="A410" s="345">
        <v>39994</v>
      </c>
      <c r="B410" s="257">
        <v>-0.76</v>
      </c>
      <c r="C410" s="346">
        <v>38901066.039999999</v>
      </c>
    </row>
    <row r="411" spans="1:4" x14ac:dyDescent="0.2">
      <c r="A411" s="345">
        <v>40025</v>
      </c>
      <c r="B411" s="257">
        <v>8.9</v>
      </c>
      <c r="C411" s="346">
        <v>42364742.950000003</v>
      </c>
      <c r="D411" s="258">
        <v>8.9</v>
      </c>
    </row>
    <row r="412" spans="1:4" x14ac:dyDescent="0.2">
      <c r="A412" s="345">
        <v>40056</v>
      </c>
      <c r="B412" s="257">
        <v>5.08</v>
      </c>
      <c r="C412" s="346">
        <v>44517286.5</v>
      </c>
      <c r="D412" s="258">
        <v>5.0810000000000004</v>
      </c>
    </row>
    <row r="413" spans="1:4" x14ac:dyDescent="0.2">
      <c r="A413" s="345">
        <v>40086</v>
      </c>
      <c r="B413" s="257">
        <v>3.65</v>
      </c>
      <c r="C413" s="346">
        <v>46176056.109999999</v>
      </c>
      <c r="D413" s="258">
        <v>3.7261000000000002</v>
      </c>
    </row>
    <row r="414" spans="1:4" x14ac:dyDescent="0.2">
      <c r="A414" s="345">
        <v>40117</v>
      </c>
      <c r="B414" s="257">
        <v>-0.99</v>
      </c>
      <c r="C414" s="346">
        <v>45721023</v>
      </c>
      <c r="D414" s="258">
        <v>-0.99</v>
      </c>
    </row>
    <row r="415" spans="1:4" x14ac:dyDescent="0.2">
      <c r="A415" s="345">
        <v>40147</v>
      </c>
      <c r="B415" s="257">
        <v>1.97</v>
      </c>
      <c r="C415" s="346">
        <v>46620067</v>
      </c>
      <c r="D415" s="258">
        <v>1.966</v>
      </c>
    </row>
    <row r="416" spans="1:4" x14ac:dyDescent="0.2">
      <c r="A416" s="345">
        <v>40178</v>
      </c>
      <c r="B416" s="257">
        <v>1.51</v>
      </c>
      <c r="C416" s="346">
        <v>47324528.810000002</v>
      </c>
      <c r="D416" s="258">
        <v>1.5110699999999999</v>
      </c>
    </row>
    <row r="417" spans="1:5" x14ac:dyDescent="0.2">
      <c r="A417" s="345">
        <v>40209</v>
      </c>
      <c r="B417" s="257">
        <v>-4.78</v>
      </c>
      <c r="C417" s="346">
        <v>45060452.770000003</v>
      </c>
      <c r="D417" s="258">
        <v>-4.7841500000000003</v>
      </c>
    </row>
    <row r="418" spans="1:5" x14ac:dyDescent="0.2">
      <c r="A418" s="345">
        <v>40237</v>
      </c>
      <c r="B418" s="257">
        <v>-0.87</v>
      </c>
      <c r="C418" s="346">
        <v>44670347.719999999</v>
      </c>
      <c r="D418" s="258">
        <v>-0.86573999999999995</v>
      </c>
    </row>
    <row r="419" spans="1:5" x14ac:dyDescent="0.2">
      <c r="A419" s="345">
        <v>40268</v>
      </c>
      <c r="B419" s="257">
        <v>6.74</v>
      </c>
      <c r="C419" s="1287">
        <v>47681599.759999998</v>
      </c>
      <c r="D419" s="1286">
        <v>6.7410500000000004</v>
      </c>
    </row>
    <row r="420" spans="1:5" x14ac:dyDescent="0.2">
      <c r="A420" s="345">
        <v>40298</v>
      </c>
      <c r="B420" s="257">
        <v>-1.42</v>
      </c>
      <c r="C420" s="346">
        <v>47002939.859999999</v>
      </c>
      <c r="D420" s="258">
        <v>-1.20078</v>
      </c>
    </row>
    <row r="421" spans="1:5" x14ac:dyDescent="0.2">
      <c r="A421" s="345">
        <v>40329</v>
      </c>
      <c r="B421" s="257">
        <v>-11.2</v>
      </c>
      <c r="C421" s="346">
        <v>41737468.359999999</v>
      </c>
      <c r="D421" s="258">
        <v>-11.20243</v>
      </c>
    </row>
    <row r="422" spans="1:5" x14ac:dyDescent="0.2">
      <c r="A422" s="345">
        <v>40359</v>
      </c>
      <c r="B422" s="257">
        <v>-1.29</v>
      </c>
      <c r="C422" s="346">
        <v>41249806.149999999</v>
      </c>
      <c r="D422" s="258">
        <v>-1.29362</v>
      </c>
    </row>
    <row r="423" spans="1:5" x14ac:dyDescent="0.2">
      <c r="A423" s="345">
        <v>40390</v>
      </c>
      <c r="B423" s="257">
        <v>9.1726700000000001</v>
      </c>
      <c r="C423" s="346">
        <v>45033515.520000003</v>
      </c>
      <c r="D423" s="258">
        <v>9.1726700000000001</v>
      </c>
    </row>
    <row r="424" spans="1:5" x14ac:dyDescent="0.2">
      <c r="A424" s="345">
        <v>40421</v>
      </c>
      <c r="B424" s="257">
        <v>-4.0115699999999999</v>
      </c>
      <c r="C424" s="346">
        <v>43226964.5</v>
      </c>
      <c r="D424" s="258">
        <v>-4.0115699999999999</v>
      </c>
    </row>
    <row r="425" spans="1:5" x14ac:dyDescent="0.2">
      <c r="A425" s="345">
        <v>40451</v>
      </c>
      <c r="B425" s="257">
        <v>11.102399999999999</v>
      </c>
      <c r="C425" s="346">
        <v>48026196.799999997</v>
      </c>
      <c r="D425" s="258">
        <v>11.102399999999999</v>
      </c>
    </row>
    <row r="426" spans="1:5" x14ac:dyDescent="0.2">
      <c r="A426" s="345">
        <v>40482</v>
      </c>
      <c r="B426" s="258">
        <v>4.0806899999999997</v>
      </c>
      <c r="C426" s="346">
        <v>50039742.479999997</v>
      </c>
      <c r="D426" s="258">
        <v>4.0806899999999997</v>
      </c>
    </row>
    <row r="427" spans="1:5" x14ac:dyDescent="0.2">
      <c r="A427" s="345">
        <v>40512</v>
      </c>
      <c r="B427" s="257">
        <f>D427</f>
        <v>-4.6414400000000002</v>
      </c>
      <c r="C427" s="346">
        <v>47717176.170000002</v>
      </c>
      <c r="D427" s="258">
        <v>-4.6414400000000002</v>
      </c>
    </row>
    <row r="428" spans="1:5" x14ac:dyDescent="0.2">
      <c r="A428" s="345">
        <v>40543</v>
      </c>
      <c r="B428" s="1336">
        <v>7.8249925585946567</v>
      </c>
      <c r="C428" s="1337"/>
      <c r="D428" s="1338">
        <v>7.8249925585946567</v>
      </c>
      <c r="E428" s="262" t="s">
        <v>714</v>
      </c>
    </row>
    <row r="429" spans="1:5" x14ac:dyDescent="0.2">
      <c r="A429" s="345">
        <v>40574</v>
      </c>
      <c r="B429" s="1336">
        <f>D429</f>
        <v>0</v>
      </c>
      <c r="C429" s="1337"/>
      <c r="D429" s="1338"/>
      <c r="E429" s="262" t="s">
        <v>714</v>
      </c>
    </row>
    <row r="430" spans="1:5" x14ac:dyDescent="0.2">
      <c r="A430" s="345">
        <v>40602</v>
      </c>
    </row>
    <row r="431" spans="1:5" x14ac:dyDescent="0.2">
      <c r="A431" s="345">
        <v>40633</v>
      </c>
    </row>
    <row r="432" spans="1:5" x14ac:dyDescent="0.2">
      <c r="A432" s="345">
        <v>40663</v>
      </c>
    </row>
    <row r="433" spans="1:1" x14ac:dyDescent="0.2">
      <c r="A433" s="345">
        <v>40694</v>
      </c>
    </row>
    <row r="434" spans="1:1" x14ac:dyDescent="0.2">
      <c r="A434" s="345">
        <v>40724</v>
      </c>
    </row>
    <row r="435" spans="1:1" x14ac:dyDescent="0.2">
      <c r="A435" s="345">
        <v>40755</v>
      </c>
    </row>
    <row r="436" spans="1:1" x14ac:dyDescent="0.2">
      <c r="A436" s="345">
        <v>40786</v>
      </c>
    </row>
    <row r="437" spans="1:1" x14ac:dyDescent="0.2">
      <c r="A437" s="345">
        <v>40816</v>
      </c>
    </row>
  </sheetData>
  <phoneticPr fontId="3" type="noConversion"/>
  <pageMargins left="0.75" right="0.75" top="1" bottom="1" header="0.5" footer="0.5"/>
  <headerFooter alignWithMargins="0"/>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F0000"/>
  </sheetPr>
  <dimension ref="A1:I437"/>
  <sheetViews>
    <sheetView topLeftCell="A388" workbookViewId="0">
      <selection activeCell="D441" sqref="D441"/>
    </sheetView>
  </sheetViews>
  <sheetFormatPr defaultRowHeight="12.75" x14ac:dyDescent="0.2"/>
  <cols>
    <col min="1" max="1" width="18.7109375" style="21" customWidth="1"/>
    <col min="2" max="2" width="18.7109375" style="257" customWidth="1"/>
    <col min="3" max="3" width="18.7109375" style="5" customWidth="1"/>
    <col min="4" max="5" width="18.7109375" style="258" customWidth="1"/>
    <col min="7" max="7" width="9.140625" style="352"/>
    <col min="8" max="8" width="11.140625" style="352" customWidth="1"/>
  </cols>
  <sheetData>
    <row r="1" spans="1:5" x14ac:dyDescent="0.2">
      <c r="A1" s="265" t="s">
        <v>297</v>
      </c>
      <c r="B1" s="344" t="s">
        <v>303</v>
      </c>
      <c r="C1" s="21" t="s">
        <v>304</v>
      </c>
      <c r="D1" s="252">
        <v>15</v>
      </c>
      <c r="E1" s="74" t="s">
        <v>81</v>
      </c>
    </row>
    <row r="2" spans="1:5" x14ac:dyDescent="0.2">
      <c r="A2" s="3" t="s">
        <v>27</v>
      </c>
      <c r="B2" s="71" t="s">
        <v>91</v>
      </c>
      <c r="C2" s="3" t="s">
        <v>92</v>
      </c>
      <c r="D2" s="71" t="s">
        <v>90</v>
      </c>
      <c r="E2" s="71" t="s">
        <v>80</v>
      </c>
    </row>
    <row r="3" spans="1:5" x14ac:dyDescent="0.2">
      <c r="A3" s="345">
        <v>27606</v>
      </c>
      <c r="B3" s="71"/>
      <c r="C3" s="226"/>
      <c r="D3" s="71"/>
      <c r="E3" s="71"/>
    </row>
    <row r="4" spans="1:5" x14ac:dyDescent="0.2">
      <c r="A4" s="345">
        <v>27637</v>
      </c>
      <c r="B4" s="71"/>
      <c r="C4" s="226"/>
      <c r="D4" s="71"/>
      <c r="E4" s="71"/>
    </row>
    <row r="5" spans="1:5" x14ac:dyDescent="0.2">
      <c r="A5" s="345">
        <v>27667</v>
      </c>
      <c r="B5" s="71"/>
      <c r="C5" s="226"/>
      <c r="D5" s="71"/>
      <c r="E5" s="71"/>
    </row>
    <row r="6" spans="1:5" x14ac:dyDescent="0.2">
      <c r="A6" s="345">
        <v>27698</v>
      </c>
      <c r="B6" s="71"/>
      <c r="C6" s="226"/>
      <c r="D6" s="71"/>
      <c r="E6" s="71"/>
    </row>
    <row r="7" spans="1:5" x14ac:dyDescent="0.2">
      <c r="A7" s="345">
        <v>27728</v>
      </c>
      <c r="B7" s="71"/>
      <c r="C7" s="226"/>
      <c r="D7" s="71"/>
      <c r="E7" s="71"/>
    </row>
    <row r="8" spans="1:5" x14ac:dyDescent="0.2">
      <c r="A8" s="345">
        <v>27759</v>
      </c>
      <c r="B8" s="71"/>
      <c r="C8" s="226"/>
      <c r="D8" s="71"/>
      <c r="E8" s="71"/>
    </row>
    <row r="9" spans="1:5" x14ac:dyDescent="0.2">
      <c r="A9" s="345">
        <v>27790</v>
      </c>
      <c r="B9" s="71"/>
      <c r="C9" s="226"/>
      <c r="D9" s="71"/>
      <c r="E9" s="71"/>
    </row>
    <row r="10" spans="1:5" x14ac:dyDescent="0.2">
      <c r="A10" s="345">
        <v>27819</v>
      </c>
      <c r="B10" s="71"/>
      <c r="C10" s="226"/>
      <c r="D10" s="71"/>
      <c r="E10" s="71"/>
    </row>
    <row r="11" spans="1:5" x14ac:dyDescent="0.2">
      <c r="A11" s="345">
        <v>27850</v>
      </c>
      <c r="B11" s="71"/>
      <c r="C11" s="226"/>
      <c r="D11" s="71"/>
      <c r="E11" s="71"/>
    </row>
    <row r="12" spans="1:5" x14ac:dyDescent="0.2">
      <c r="A12" s="345">
        <v>27880</v>
      </c>
      <c r="B12" s="71"/>
      <c r="C12" s="226"/>
      <c r="D12" s="71"/>
      <c r="E12" s="71"/>
    </row>
    <row r="13" spans="1:5" x14ac:dyDescent="0.2">
      <c r="A13" s="345">
        <v>27911</v>
      </c>
      <c r="B13" s="71"/>
      <c r="C13" s="226"/>
      <c r="D13" s="71"/>
      <c r="E13" s="71"/>
    </row>
    <row r="14" spans="1:5" x14ac:dyDescent="0.2">
      <c r="A14" s="345">
        <v>27941</v>
      </c>
      <c r="B14" s="71"/>
      <c r="C14" s="226"/>
      <c r="D14" s="71"/>
      <c r="E14" s="71"/>
    </row>
    <row r="15" spans="1:5" x14ac:dyDescent="0.2">
      <c r="A15" s="345">
        <v>27972</v>
      </c>
      <c r="B15" s="71"/>
      <c r="C15" s="226"/>
      <c r="D15" s="71"/>
      <c r="E15" s="71"/>
    </row>
    <row r="16" spans="1:5"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3"/>
      <c r="C147" s="25"/>
      <c r="D147" s="73"/>
      <c r="E147" s="73"/>
    </row>
    <row r="148" spans="1:5" x14ac:dyDescent="0.2">
      <c r="A148" s="345">
        <v>32020</v>
      </c>
      <c r="B148" s="73"/>
      <c r="C148" s="25"/>
      <c r="D148" s="73"/>
      <c r="E148" s="73"/>
    </row>
    <row r="149" spans="1:5" x14ac:dyDescent="0.2">
      <c r="A149" s="345">
        <v>32050</v>
      </c>
      <c r="B149" s="73"/>
      <c r="C149" s="25"/>
      <c r="D149" s="73"/>
      <c r="E149" s="73"/>
    </row>
    <row r="150" spans="1:5" x14ac:dyDescent="0.2">
      <c r="A150" s="345">
        <v>32081</v>
      </c>
      <c r="B150" s="73"/>
      <c r="C150" s="25"/>
      <c r="D150" s="73"/>
      <c r="E150" s="73"/>
    </row>
    <row r="151" spans="1:5" x14ac:dyDescent="0.2">
      <c r="A151" s="345">
        <v>32111</v>
      </c>
      <c r="B151" s="73"/>
      <c r="C151" s="25"/>
      <c r="D151" s="73"/>
      <c r="E151" s="73"/>
    </row>
    <row r="152" spans="1:5" x14ac:dyDescent="0.2">
      <c r="A152" s="345">
        <v>32142</v>
      </c>
      <c r="B152" s="73"/>
      <c r="C152" s="25"/>
      <c r="D152" s="73"/>
      <c r="E152" s="73"/>
    </row>
    <row r="153" spans="1:5" x14ac:dyDescent="0.2">
      <c r="A153" s="345">
        <v>32173</v>
      </c>
      <c r="B153" s="73"/>
      <c r="C153" s="25"/>
      <c r="D153" s="73"/>
      <c r="E153" s="73"/>
    </row>
    <row r="154" spans="1:5" x14ac:dyDescent="0.2">
      <c r="A154" s="345">
        <v>32202</v>
      </c>
      <c r="B154" s="73"/>
      <c r="C154" s="25"/>
      <c r="D154" s="73"/>
      <c r="E154" s="73"/>
    </row>
    <row r="155" spans="1:5" x14ac:dyDescent="0.2">
      <c r="A155" s="345">
        <v>32233</v>
      </c>
      <c r="B155" s="73"/>
      <c r="C155" s="25"/>
      <c r="D155" s="73"/>
      <c r="E155" s="73"/>
    </row>
    <row r="156" spans="1:5" x14ac:dyDescent="0.2">
      <c r="A156" s="345">
        <v>32263</v>
      </c>
      <c r="B156" s="73"/>
      <c r="C156" s="25"/>
      <c r="D156" s="73"/>
      <c r="E156" s="73"/>
    </row>
    <row r="157" spans="1:5" x14ac:dyDescent="0.2">
      <c r="A157" s="345">
        <v>32294</v>
      </c>
      <c r="B157" s="73"/>
      <c r="C157" s="25"/>
      <c r="D157" s="73"/>
      <c r="E157" s="73"/>
    </row>
    <row r="158" spans="1:5" x14ac:dyDescent="0.2">
      <c r="A158" s="345">
        <v>32324</v>
      </c>
      <c r="B158" s="73"/>
      <c r="C158" s="25"/>
      <c r="D158" s="73"/>
      <c r="E158" s="73"/>
    </row>
    <row r="159" spans="1:5" x14ac:dyDescent="0.2">
      <c r="A159" s="345">
        <v>32355</v>
      </c>
      <c r="B159" s="73"/>
      <c r="C159" s="25"/>
      <c r="D159" s="73"/>
      <c r="E159" s="73"/>
    </row>
    <row r="160" spans="1:5" x14ac:dyDescent="0.2">
      <c r="A160" s="345">
        <v>32386</v>
      </c>
      <c r="B160" s="73"/>
      <c r="C160" s="25"/>
      <c r="D160" s="73"/>
      <c r="E160" s="73"/>
    </row>
    <row r="161" spans="1:5" x14ac:dyDescent="0.2">
      <c r="A161" s="345">
        <v>32416</v>
      </c>
      <c r="B161" s="73"/>
      <c r="C161" s="25"/>
      <c r="D161" s="73"/>
      <c r="E161" s="73"/>
    </row>
    <row r="162" spans="1:5" x14ac:dyDescent="0.2">
      <c r="A162" s="345">
        <v>32447</v>
      </c>
      <c r="B162" s="73"/>
      <c r="C162" s="25"/>
      <c r="D162" s="73"/>
      <c r="E162" s="73"/>
    </row>
    <row r="163" spans="1:5" x14ac:dyDescent="0.2">
      <c r="A163" s="345">
        <v>32477</v>
      </c>
      <c r="B163" s="73"/>
      <c r="C163" s="25"/>
      <c r="D163" s="73"/>
      <c r="E163" s="73"/>
    </row>
    <row r="164" spans="1:5" x14ac:dyDescent="0.2">
      <c r="A164" s="345">
        <v>32508</v>
      </c>
      <c r="B164" s="73"/>
      <c r="C164" s="25"/>
      <c r="D164" s="73"/>
      <c r="E164" s="73"/>
    </row>
    <row r="165" spans="1:5" x14ac:dyDescent="0.2">
      <c r="A165" s="345">
        <v>32539</v>
      </c>
      <c r="B165" s="73"/>
      <c r="C165" s="25"/>
      <c r="D165" s="73"/>
      <c r="E165" s="73"/>
    </row>
    <row r="166" spans="1:5" x14ac:dyDescent="0.2">
      <c r="A166" s="345">
        <v>32567</v>
      </c>
      <c r="B166" s="73"/>
      <c r="C166" s="25"/>
      <c r="D166" s="73"/>
      <c r="E166" s="73"/>
    </row>
    <row r="167" spans="1:5" x14ac:dyDescent="0.2">
      <c r="A167" s="345">
        <v>32598</v>
      </c>
      <c r="B167" s="73"/>
      <c r="C167" s="25"/>
      <c r="D167" s="73"/>
      <c r="E167" s="73"/>
    </row>
    <row r="168" spans="1:5" x14ac:dyDescent="0.2">
      <c r="A168" s="345">
        <v>32628</v>
      </c>
      <c r="B168" s="73"/>
      <c r="C168" s="25"/>
      <c r="D168" s="73"/>
      <c r="E168" s="73"/>
    </row>
    <row r="169" spans="1:5" x14ac:dyDescent="0.2">
      <c r="A169" s="345">
        <v>32659</v>
      </c>
      <c r="B169" s="73"/>
      <c r="C169" s="25"/>
      <c r="D169" s="73"/>
      <c r="E169" s="73"/>
    </row>
    <row r="170" spans="1:5" x14ac:dyDescent="0.2">
      <c r="A170" s="345">
        <v>32689</v>
      </c>
      <c r="B170" s="73"/>
      <c r="C170" s="25"/>
      <c r="D170" s="73"/>
      <c r="E170" s="73"/>
    </row>
    <row r="171" spans="1:5" x14ac:dyDescent="0.2">
      <c r="A171" s="345">
        <v>32720</v>
      </c>
      <c r="B171" s="73"/>
      <c r="C171" s="25"/>
      <c r="D171" s="73"/>
      <c r="E171" s="73"/>
    </row>
    <row r="172" spans="1:5" x14ac:dyDescent="0.2">
      <c r="A172" s="345">
        <v>32751</v>
      </c>
      <c r="B172" s="73"/>
      <c r="C172" s="25"/>
      <c r="D172" s="73"/>
      <c r="E172" s="73"/>
    </row>
    <row r="173" spans="1:5" x14ac:dyDescent="0.2">
      <c r="A173" s="345">
        <v>32781</v>
      </c>
      <c r="B173" s="73"/>
      <c r="C173" s="25"/>
      <c r="D173" s="73"/>
      <c r="E173" s="73"/>
    </row>
    <row r="174" spans="1:5" x14ac:dyDescent="0.2">
      <c r="A174" s="345">
        <v>32812</v>
      </c>
      <c r="B174" s="73"/>
      <c r="C174" s="25"/>
      <c r="D174" s="73"/>
      <c r="E174" s="73"/>
    </row>
    <row r="175" spans="1:5" x14ac:dyDescent="0.2">
      <c r="A175" s="345">
        <v>32842</v>
      </c>
      <c r="B175" s="73"/>
      <c r="C175" s="25"/>
      <c r="D175" s="73"/>
      <c r="E175" s="73"/>
    </row>
    <row r="176" spans="1:5" x14ac:dyDescent="0.2">
      <c r="A176" s="345">
        <v>32873</v>
      </c>
      <c r="B176" s="73"/>
      <c r="C176" s="25"/>
      <c r="D176" s="73"/>
      <c r="E176" s="73"/>
    </row>
    <row r="177" spans="1:5" x14ac:dyDescent="0.2">
      <c r="A177" s="345">
        <v>32904</v>
      </c>
      <c r="B177" s="255"/>
      <c r="C177" s="259"/>
      <c r="D177" s="73"/>
      <c r="E177" s="73"/>
    </row>
    <row r="178" spans="1:5" x14ac:dyDescent="0.2">
      <c r="A178" s="345">
        <v>32932</v>
      </c>
      <c r="B178" s="255"/>
      <c r="C178" s="259"/>
      <c r="D178" s="73"/>
      <c r="E178" s="73"/>
    </row>
    <row r="179" spans="1:5" x14ac:dyDescent="0.2">
      <c r="A179" s="345">
        <v>32963</v>
      </c>
      <c r="B179" s="255"/>
      <c r="C179" s="259"/>
      <c r="D179" s="73"/>
      <c r="E179" s="73"/>
    </row>
    <row r="180" spans="1:5" x14ac:dyDescent="0.2">
      <c r="A180" s="345">
        <v>32993</v>
      </c>
      <c r="B180" s="255"/>
      <c r="C180" s="259"/>
      <c r="D180" s="73"/>
      <c r="E180" s="73"/>
    </row>
    <row r="181" spans="1:5" x14ac:dyDescent="0.2">
      <c r="A181" s="345">
        <v>33024</v>
      </c>
      <c r="B181" s="255"/>
      <c r="C181" s="259"/>
      <c r="D181" s="73"/>
      <c r="E181" s="73"/>
    </row>
    <row r="182" spans="1:5" x14ac:dyDescent="0.2">
      <c r="A182" s="345">
        <v>33054</v>
      </c>
      <c r="B182" s="255"/>
      <c r="C182" s="259"/>
      <c r="D182" s="73"/>
      <c r="E182" s="73"/>
    </row>
    <row r="183" spans="1:5" x14ac:dyDescent="0.2">
      <c r="A183" s="345">
        <v>33085</v>
      </c>
      <c r="B183" s="255"/>
      <c r="C183" s="259"/>
      <c r="D183" s="73"/>
      <c r="E183" s="73"/>
    </row>
    <row r="184" spans="1:5" x14ac:dyDescent="0.2">
      <c r="A184" s="345">
        <v>33116</v>
      </c>
      <c r="B184" s="255"/>
      <c r="C184" s="259"/>
      <c r="D184" s="73"/>
      <c r="E184" s="73"/>
    </row>
    <row r="185" spans="1:5" x14ac:dyDescent="0.2">
      <c r="A185" s="345">
        <v>33146</v>
      </c>
      <c r="B185" s="255"/>
      <c r="C185" s="259"/>
      <c r="D185" s="73"/>
      <c r="E185" s="73"/>
    </row>
    <row r="186" spans="1:5" x14ac:dyDescent="0.2">
      <c r="A186" s="345">
        <v>33177</v>
      </c>
      <c r="B186" s="255"/>
      <c r="C186" s="259"/>
      <c r="D186" s="73"/>
      <c r="E186" s="73"/>
    </row>
    <row r="187" spans="1:5" x14ac:dyDescent="0.2">
      <c r="A187" s="345">
        <v>33207</v>
      </c>
      <c r="B187" s="255"/>
      <c r="C187" s="259"/>
      <c r="D187" s="73"/>
      <c r="E187" s="73"/>
    </row>
    <row r="188" spans="1:5" x14ac:dyDescent="0.2">
      <c r="A188" s="345">
        <v>33238</v>
      </c>
      <c r="B188" s="255"/>
      <c r="C188" s="259"/>
      <c r="D188" s="73"/>
      <c r="E188" s="73"/>
    </row>
    <row r="189" spans="1:5" x14ac:dyDescent="0.2">
      <c r="A189" s="345">
        <v>33269</v>
      </c>
      <c r="B189" s="255"/>
      <c r="C189" s="259"/>
      <c r="D189" s="73"/>
      <c r="E189" s="73"/>
    </row>
    <row r="190" spans="1:5" x14ac:dyDescent="0.2">
      <c r="A190" s="345">
        <v>33297</v>
      </c>
      <c r="B190" s="255"/>
      <c r="C190" s="259"/>
      <c r="D190" s="73"/>
      <c r="E190" s="73"/>
    </row>
    <row r="191" spans="1:5" x14ac:dyDescent="0.2">
      <c r="A191" s="345">
        <v>33328</v>
      </c>
      <c r="B191" s="255"/>
      <c r="C191" s="259"/>
      <c r="D191" s="73"/>
      <c r="E191" s="73"/>
    </row>
    <row r="192" spans="1:5" x14ac:dyDescent="0.2">
      <c r="A192" s="345">
        <v>33358</v>
      </c>
      <c r="B192" s="255"/>
      <c r="C192" s="259"/>
      <c r="D192" s="73"/>
      <c r="E192" s="73"/>
    </row>
    <row r="193" spans="1:5" x14ac:dyDescent="0.2">
      <c r="A193" s="345">
        <v>33389</v>
      </c>
      <c r="B193" s="255"/>
      <c r="C193" s="259"/>
      <c r="D193" s="73"/>
      <c r="E193" s="73"/>
    </row>
    <row r="194" spans="1:5" x14ac:dyDescent="0.2">
      <c r="A194" s="345">
        <v>33419</v>
      </c>
      <c r="B194" s="255"/>
      <c r="C194" s="259"/>
      <c r="D194" s="73"/>
      <c r="E194" s="73"/>
    </row>
    <row r="195" spans="1:5" x14ac:dyDescent="0.2">
      <c r="A195" s="345">
        <v>33450</v>
      </c>
      <c r="B195" s="255"/>
      <c r="C195" s="259"/>
      <c r="D195" s="73"/>
      <c r="E195" s="73"/>
    </row>
    <row r="196" spans="1:5" x14ac:dyDescent="0.2">
      <c r="A196" s="345">
        <v>33481</v>
      </c>
      <c r="B196" s="255"/>
      <c r="C196" s="259"/>
      <c r="D196" s="73"/>
      <c r="E196" s="73"/>
    </row>
    <row r="197" spans="1:5" x14ac:dyDescent="0.2">
      <c r="A197" s="345">
        <v>33511</v>
      </c>
      <c r="B197" s="255"/>
      <c r="C197" s="259"/>
      <c r="D197" s="73"/>
      <c r="E197" s="73"/>
    </row>
    <row r="198" spans="1:5" x14ac:dyDescent="0.2">
      <c r="A198" s="345">
        <v>33542</v>
      </c>
      <c r="B198" s="255"/>
      <c r="C198" s="259"/>
      <c r="D198" s="73"/>
      <c r="E198" s="73"/>
    </row>
    <row r="199" spans="1:5" x14ac:dyDescent="0.2">
      <c r="A199" s="345">
        <v>33572</v>
      </c>
      <c r="B199" s="255"/>
      <c r="C199" s="259"/>
      <c r="D199" s="73"/>
      <c r="E199" s="73"/>
    </row>
    <row r="200" spans="1:5" x14ac:dyDescent="0.2">
      <c r="A200" s="345">
        <v>33603</v>
      </c>
      <c r="B200" s="255"/>
      <c r="C200" s="259"/>
      <c r="D200" s="73"/>
      <c r="E200" s="73"/>
    </row>
    <row r="201" spans="1:5" x14ac:dyDescent="0.2">
      <c r="A201" s="345">
        <v>33634</v>
      </c>
      <c r="B201" s="255"/>
      <c r="C201" s="259"/>
      <c r="D201" s="73"/>
      <c r="E201" s="73"/>
    </row>
    <row r="202" spans="1:5" x14ac:dyDescent="0.2">
      <c r="A202" s="345">
        <v>33663</v>
      </c>
      <c r="B202" s="255"/>
      <c r="C202" s="259"/>
      <c r="D202" s="73"/>
      <c r="E202" s="73"/>
    </row>
    <row r="203" spans="1:5" x14ac:dyDescent="0.2">
      <c r="A203" s="345">
        <v>33694</v>
      </c>
      <c r="B203" s="255"/>
      <c r="C203" s="259"/>
      <c r="D203" s="73"/>
      <c r="E203" s="73"/>
    </row>
    <row r="204" spans="1:5" x14ac:dyDescent="0.2">
      <c r="A204" s="345">
        <v>33724</v>
      </c>
      <c r="B204" s="255"/>
      <c r="C204" s="259"/>
      <c r="D204" s="73"/>
      <c r="E204" s="73"/>
    </row>
    <row r="205" spans="1:5" x14ac:dyDescent="0.2">
      <c r="A205" s="345">
        <v>33755</v>
      </c>
      <c r="B205" s="255"/>
      <c r="C205" s="259"/>
      <c r="D205" s="73"/>
      <c r="E205" s="73"/>
    </row>
    <row r="206" spans="1:5" x14ac:dyDescent="0.2">
      <c r="A206" s="345">
        <v>33785</v>
      </c>
      <c r="B206" s="255"/>
      <c r="C206" s="259"/>
      <c r="D206" s="73"/>
      <c r="E206" s="73"/>
    </row>
    <row r="207" spans="1:5" x14ac:dyDescent="0.2">
      <c r="A207" s="345">
        <v>33816</v>
      </c>
      <c r="B207" s="255"/>
      <c r="C207" s="259"/>
      <c r="D207" s="73"/>
      <c r="E207" s="73"/>
    </row>
    <row r="208" spans="1:5" x14ac:dyDescent="0.2">
      <c r="A208" s="345">
        <v>33847</v>
      </c>
      <c r="B208" s="255"/>
      <c r="C208" s="259"/>
      <c r="D208" s="73"/>
      <c r="E208" s="73"/>
    </row>
    <row r="209" spans="1:5" x14ac:dyDescent="0.2">
      <c r="A209" s="345">
        <v>33877</v>
      </c>
      <c r="B209" s="255"/>
      <c r="C209" s="259"/>
      <c r="D209" s="73"/>
      <c r="E209" s="73"/>
    </row>
    <row r="210" spans="1:5" x14ac:dyDescent="0.2">
      <c r="A210" s="345">
        <v>33908</v>
      </c>
      <c r="B210" s="255"/>
      <c r="C210" s="259"/>
      <c r="D210" s="73"/>
      <c r="E210" s="73"/>
    </row>
    <row r="211" spans="1:5" x14ac:dyDescent="0.2">
      <c r="A211" s="345">
        <v>33938</v>
      </c>
      <c r="B211" s="255"/>
      <c r="C211" s="259"/>
      <c r="D211" s="73"/>
      <c r="E211" s="73"/>
    </row>
    <row r="212" spans="1:5" x14ac:dyDescent="0.2">
      <c r="A212" s="345">
        <v>33969</v>
      </c>
      <c r="B212" s="255"/>
      <c r="C212" s="259"/>
      <c r="D212" s="73"/>
      <c r="E212" s="73"/>
    </row>
    <row r="213" spans="1:5" x14ac:dyDescent="0.2">
      <c r="A213" s="345">
        <v>34000</v>
      </c>
      <c r="B213" s="255"/>
      <c r="C213" s="259"/>
      <c r="D213" s="73"/>
      <c r="E213" s="73"/>
    </row>
    <row r="214" spans="1:5" x14ac:dyDescent="0.2">
      <c r="A214" s="345">
        <v>34028</v>
      </c>
      <c r="B214" s="255"/>
      <c r="C214" s="259"/>
      <c r="D214" s="73"/>
      <c r="E214" s="73"/>
    </row>
    <row r="215" spans="1:5" x14ac:dyDescent="0.2">
      <c r="A215" s="345">
        <v>34059</v>
      </c>
      <c r="B215" s="255"/>
      <c r="C215" s="259"/>
      <c r="D215" s="73"/>
      <c r="E215" s="73"/>
    </row>
    <row r="216" spans="1:5" x14ac:dyDescent="0.2">
      <c r="A216" s="345">
        <v>34089</v>
      </c>
      <c r="B216" s="255"/>
      <c r="C216" s="259"/>
      <c r="D216" s="73"/>
      <c r="E216" s="73"/>
    </row>
    <row r="217" spans="1:5" x14ac:dyDescent="0.2">
      <c r="A217" s="345">
        <v>34120</v>
      </c>
      <c r="B217" s="255"/>
      <c r="C217" s="259"/>
      <c r="D217" s="73"/>
      <c r="E217" s="73"/>
    </row>
    <row r="218" spans="1:5" x14ac:dyDescent="0.2">
      <c r="A218" s="345">
        <v>34150</v>
      </c>
      <c r="B218" s="255"/>
      <c r="C218" s="259"/>
      <c r="D218" s="73"/>
      <c r="E218" s="73"/>
    </row>
    <row r="219" spans="1:5" x14ac:dyDescent="0.2">
      <c r="A219" s="345">
        <v>34181</v>
      </c>
      <c r="B219" s="255"/>
      <c r="C219" s="259"/>
      <c r="D219" s="73"/>
      <c r="E219" s="73"/>
    </row>
    <row r="220" spans="1:5" x14ac:dyDescent="0.2">
      <c r="A220" s="345">
        <v>34212</v>
      </c>
      <c r="B220" s="255"/>
      <c r="C220" s="259"/>
      <c r="D220" s="73"/>
      <c r="E220" s="73"/>
    </row>
    <row r="221" spans="1:5" x14ac:dyDescent="0.2">
      <c r="A221" s="345">
        <v>34242</v>
      </c>
      <c r="B221" s="255"/>
      <c r="C221" s="259"/>
      <c r="D221" s="73"/>
      <c r="E221" s="73"/>
    </row>
    <row r="222" spans="1:5" x14ac:dyDescent="0.2">
      <c r="A222" s="345">
        <v>34273</v>
      </c>
      <c r="B222" s="255"/>
      <c r="C222" s="259"/>
      <c r="D222" s="73"/>
      <c r="E222" s="73"/>
    </row>
    <row r="223" spans="1:5" x14ac:dyDescent="0.2">
      <c r="A223" s="345">
        <v>34303</v>
      </c>
      <c r="B223" s="255"/>
      <c r="C223" s="259"/>
      <c r="D223" s="73"/>
      <c r="E223" s="73"/>
    </row>
    <row r="224" spans="1:5" x14ac:dyDescent="0.2">
      <c r="A224" s="345">
        <v>34334</v>
      </c>
      <c r="B224" s="255"/>
      <c r="C224" s="259"/>
      <c r="D224" s="73"/>
      <c r="E224" s="73"/>
    </row>
    <row r="225" spans="1:5" x14ac:dyDescent="0.2">
      <c r="A225" s="345">
        <v>34365</v>
      </c>
      <c r="B225" s="255"/>
      <c r="C225" s="259"/>
      <c r="D225" s="73"/>
      <c r="E225" s="73"/>
    </row>
    <row r="226" spans="1:5" x14ac:dyDescent="0.2">
      <c r="A226" s="345">
        <v>34393</v>
      </c>
      <c r="B226" s="255"/>
      <c r="C226" s="259"/>
      <c r="D226" s="73"/>
      <c r="E226" s="73"/>
    </row>
    <row r="227" spans="1:5" x14ac:dyDescent="0.2">
      <c r="A227" s="345">
        <v>34424</v>
      </c>
      <c r="B227" s="255"/>
      <c r="C227" s="259"/>
      <c r="D227" s="73"/>
      <c r="E227" s="73"/>
    </row>
    <row r="228" spans="1:5" x14ac:dyDescent="0.2">
      <c r="A228" s="345">
        <v>34454</v>
      </c>
      <c r="B228" s="255"/>
      <c r="C228" s="259"/>
      <c r="D228" s="73"/>
      <c r="E228" s="73"/>
    </row>
    <row r="229" spans="1:5" x14ac:dyDescent="0.2">
      <c r="A229" s="345">
        <v>34485</v>
      </c>
      <c r="B229" s="255"/>
      <c r="C229" s="259"/>
      <c r="D229" s="73"/>
      <c r="E229" s="73"/>
    </row>
    <row r="230" spans="1:5" x14ac:dyDescent="0.2">
      <c r="A230" s="345">
        <v>34515</v>
      </c>
      <c r="B230" s="255"/>
      <c r="C230" s="259"/>
      <c r="D230" s="73"/>
      <c r="E230" s="73"/>
    </row>
    <row r="231" spans="1:5" x14ac:dyDescent="0.2">
      <c r="A231" s="345">
        <v>34546</v>
      </c>
      <c r="B231" s="255"/>
      <c r="C231" s="259"/>
      <c r="D231" s="73"/>
      <c r="E231" s="73"/>
    </row>
    <row r="232" spans="1:5" x14ac:dyDescent="0.2">
      <c r="A232" s="345">
        <v>34577</v>
      </c>
      <c r="B232" s="255"/>
      <c r="C232" s="259"/>
      <c r="D232" s="73"/>
      <c r="E232" s="73"/>
    </row>
    <row r="233" spans="1:5" x14ac:dyDescent="0.2">
      <c r="A233" s="345">
        <v>34607</v>
      </c>
      <c r="B233" s="255"/>
      <c r="C233" s="259"/>
      <c r="D233" s="73"/>
      <c r="E233" s="73"/>
    </row>
    <row r="234" spans="1:5" x14ac:dyDescent="0.2">
      <c r="A234" s="345">
        <v>34638</v>
      </c>
      <c r="B234" s="255"/>
      <c r="C234" s="259"/>
      <c r="D234" s="73"/>
      <c r="E234" s="73"/>
    </row>
    <row r="235" spans="1:5" x14ac:dyDescent="0.2">
      <c r="A235" s="345">
        <v>34668</v>
      </c>
      <c r="B235" s="255"/>
      <c r="C235" s="259"/>
      <c r="D235" s="73"/>
      <c r="E235" s="73"/>
    </row>
    <row r="236" spans="1:5" x14ac:dyDescent="0.2">
      <c r="A236" s="345">
        <v>34699</v>
      </c>
      <c r="B236" s="255"/>
      <c r="C236" s="259"/>
      <c r="D236" s="73"/>
      <c r="E236" s="73"/>
    </row>
    <row r="237" spans="1:5" x14ac:dyDescent="0.2">
      <c r="A237" s="345">
        <v>34730</v>
      </c>
      <c r="B237" s="255"/>
      <c r="C237" s="259"/>
      <c r="D237" s="73"/>
      <c r="E237" s="73"/>
    </row>
    <row r="238" spans="1:5" x14ac:dyDescent="0.2">
      <c r="A238" s="345">
        <v>34758</v>
      </c>
      <c r="B238" s="255"/>
      <c r="C238" s="259"/>
      <c r="D238" s="73"/>
      <c r="E238" s="73"/>
    </row>
    <row r="239" spans="1:5" x14ac:dyDescent="0.2">
      <c r="A239" s="345">
        <v>34789</v>
      </c>
      <c r="B239" s="255"/>
      <c r="C239" s="259"/>
      <c r="D239" s="73"/>
      <c r="E239" s="73"/>
    </row>
    <row r="240" spans="1:5" x14ac:dyDescent="0.2">
      <c r="A240" s="345">
        <v>34819</v>
      </c>
      <c r="B240" s="255"/>
      <c r="C240" s="259"/>
      <c r="D240" s="73"/>
      <c r="E240" s="73"/>
    </row>
    <row r="241" spans="1:5" x14ac:dyDescent="0.2">
      <c r="A241" s="345">
        <v>34850</v>
      </c>
      <c r="B241" s="255"/>
      <c r="C241" s="259"/>
      <c r="D241" s="73"/>
      <c r="E241" s="73"/>
    </row>
    <row r="242" spans="1:5" x14ac:dyDescent="0.2">
      <c r="A242" s="345">
        <v>34880</v>
      </c>
      <c r="B242" s="255"/>
      <c r="C242" s="259"/>
      <c r="D242" s="77"/>
      <c r="E242" s="77"/>
    </row>
    <row r="243" spans="1:5" x14ac:dyDescent="0.2">
      <c r="A243" s="345">
        <v>34911</v>
      </c>
      <c r="B243" s="255"/>
      <c r="C243" s="259"/>
      <c r="D243" s="77"/>
      <c r="E243" s="77"/>
    </row>
    <row r="244" spans="1:5" x14ac:dyDescent="0.2">
      <c r="A244" s="345">
        <v>34942</v>
      </c>
      <c r="B244" s="255"/>
      <c r="C244" s="259"/>
      <c r="D244" s="77"/>
      <c r="E244" s="77"/>
    </row>
    <row r="245" spans="1:5" x14ac:dyDescent="0.2">
      <c r="A245" s="345">
        <v>34972</v>
      </c>
      <c r="B245" s="255"/>
      <c r="C245" s="259"/>
      <c r="D245" s="77"/>
      <c r="E245" s="77"/>
    </row>
    <row r="246" spans="1:5" x14ac:dyDescent="0.2">
      <c r="A246" s="345">
        <v>35003</v>
      </c>
      <c r="B246" s="255"/>
      <c r="C246" s="259"/>
      <c r="D246" s="77"/>
      <c r="E246" s="77"/>
    </row>
    <row r="247" spans="1:5" x14ac:dyDescent="0.2">
      <c r="A247" s="345">
        <v>35033</v>
      </c>
      <c r="B247" s="255"/>
      <c r="C247" s="259"/>
      <c r="D247" s="77"/>
      <c r="E247" s="77"/>
    </row>
    <row r="248" spans="1:5" x14ac:dyDescent="0.2">
      <c r="A248" s="345">
        <v>35064</v>
      </c>
      <c r="B248" s="255"/>
      <c r="C248" s="259"/>
      <c r="D248" s="77"/>
      <c r="E248" s="77"/>
    </row>
    <row r="249" spans="1:5" x14ac:dyDescent="0.2">
      <c r="A249" s="345">
        <v>35095</v>
      </c>
      <c r="B249" s="255"/>
      <c r="C249" s="259"/>
      <c r="D249" s="77"/>
      <c r="E249" s="77"/>
    </row>
    <row r="250" spans="1:5" x14ac:dyDescent="0.2">
      <c r="A250" s="345">
        <v>35124</v>
      </c>
      <c r="B250" s="255"/>
      <c r="C250" s="259"/>
      <c r="D250" s="77"/>
      <c r="E250" s="77"/>
    </row>
    <row r="251" spans="1:5" x14ac:dyDescent="0.2">
      <c r="A251" s="345">
        <v>35155</v>
      </c>
      <c r="B251" s="255"/>
      <c r="C251" s="259"/>
      <c r="D251" s="77"/>
      <c r="E251" s="77"/>
    </row>
    <row r="252" spans="1:5" x14ac:dyDescent="0.2">
      <c r="A252" s="345">
        <v>35185</v>
      </c>
      <c r="B252" s="253"/>
      <c r="C252" s="259"/>
      <c r="D252" s="77"/>
      <c r="E252" s="77"/>
    </row>
    <row r="253" spans="1:5" x14ac:dyDescent="0.2">
      <c r="A253" s="345">
        <v>35216</v>
      </c>
      <c r="B253" s="253"/>
      <c r="C253" s="259"/>
      <c r="D253" s="77"/>
      <c r="E253" s="77"/>
    </row>
    <row r="254" spans="1:5" x14ac:dyDescent="0.2">
      <c r="A254" s="345">
        <v>35246</v>
      </c>
      <c r="B254" s="253"/>
      <c r="C254" s="259"/>
      <c r="D254" s="77"/>
      <c r="E254" s="77"/>
    </row>
    <row r="255" spans="1:5" x14ac:dyDescent="0.2">
      <c r="A255" s="345">
        <v>35277</v>
      </c>
      <c r="B255" s="253"/>
      <c r="C255" s="259"/>
      <c r="D255" s="77"/>
      <c r="E255" s="77"/>
    </row>
    <row r="256" spans="1:5" x14ac:dyDescent="0.2">
      <c r="A256" s="345">
        <v>35308</v>
      </c>
      <c r="B256" s="253"/>
      <c r="C256" s="259"/>
      <c r="D256" s="77"/>
      <c r="E256" s="77"/>
    </row>
    <row r="257" spans="1:5" x14ac:dyDescent="0.2">
      <c r="A257" s="345">
        <v>35338</v>
      </c>
      <c r="B257" s="253"/>
      <c r="C257" s="259"/>
      <c r="D257" s="77"/>
      <c r="E257" s="77"/>
    </row>
    <row r="258" spans="1:5" x14ac:dyDescent="0.2">
      <c r="A258" s="345">
        <v>35369</v>
      </c>
      <c r="B258" s="253"/>
      <c r="C258" s="259"/>
      <c r="D258" s="77"/>
      <c r="E258" s="77"/>
    </row>
    <row r="259" spans="1:5" x14ac:dyDescent="0.2">
      <c r="A259" s="345">
        <v>35399</v>
      </c>
      <c r="B259" s="253"/>
      <c r="C259" s="259"/>
      <c r="D259" s="77"/>
      <c r="E259" s="77"/>
    </row>
    <row r="260" spans="1:5" x14ac:dyDescent="0.2">
      <c r="A260" s="345">
        <v>35430</v>
      </c>
      <c r="B260" s="253"/>
      <c r="C260" s="259"/>
      <c r="D260" s="77"/>
      <c r="E260" s="77"/>
    </row>
    <row r="261" spans="1:5" x14ac:dyDescent="0.2">
      <c r="A261" s="345">
        <v>35461</v>
      </c>
      <c r="B261" s="253"/>
      <c r="C261" s="259"/>
      <c r="D261" s="77"/>
      <c r="E261" s="77"/>
    </row>
    <row r="262" spans="1:5" x14ac:dyDescent="0.2">
      <c r="A262" s="345">
        <v>35489</v>
      </c>
      <c r="B262" s="253"/>
      <c r="C262" s="259"/>
      <c r="D262" s="77"/>
      <c r="E262" s="77"/>
    </row>
    <row r="263" spans="1:5" x14ac:dyDescent="0.2">
      <c r="A263" s="345">
        <v>35520</v>
      </c>
      <c r="B263" s="253"/>
      <c r="C263" s="259"/>
      <c r="D263" s="77"/>
      <c r="E263" s="77"/>
    </row>
    <row r="264" spans="1:5" x14ac:dyDescent="0.2">
      <c r="A264" s="345">
        <v>35550</v>
      </c>
      <c r="B264" s="253"/>
      <c r="C264" s="259"/>
      <c r="D264" s="77"/>
      <c r="E264" s="77"/>
    </row>
    <row r="265" spans="1:5" x14ac:dyDescent="0.2">
      <c r="A265" s="345">
        <v>35581</v>
      </c>
      <c r="B265" s="253"/>
      <c r="C265" s="259"/>
      <c r="D265" s="77"/>
      <c r="E265" s="77"/>
    </row>
    <row r="266" spans="1:5" x14ac:dyDescent="0.2">
      <c r="A266" s="345">
        <v>35611</v>
      </c>
      <c r="B266" s="253"/>
      <c r="C266" s="259"/>
      <c r="D266" s="77"/>
      <c r="E266" s="77"/>
    </row>
    <row r="267" spans="1:5" x14ac:dyDescent="0.2">
      <c r="A267" s="345">
        <v>35642</v>
      </c>
      <c r="B267" s="253"/>
      <c r="C267" s="259"/>
      <c r="D267" s="77"/>
      <c r="E267" s="77"/>
    </row>
    <row r="268" spans="1:5" x14ac:dyDescent="0.2">
      <c r="A268" s="345">
        <v>35673</v>
      </c>
      <c r="B268" s="253"/>
      <c r="C268" s="259"/>
      <c r="D268" s="77"/>
      <c r="E268" s="77"/>
    </row>
    <row r="269" spans="1:5" x14ac:dyDescent="0.2">
      <c r="A269" s="345">
        <v>35703</v>
      </c>
      <c r="B269" s="253"/>
      <c r="C269" s="259"/>
      <c r="D269" s="77"/>
      <c r="E269" s="77"/>
    </row>
    <row r="270" spans="1:5" x14ac:dyDescent="0.2">
      <c r="A270" s="345">
        <v>35734</v>
      </c>
      <c r="B270" s="253"/>
      <c r="C270" s="259"/>
      <c r="D270" s="77"/>
      <c r="E270" s="77"/>
    </row>
    <row r="271" spans="1:5" x14ac:dyDescent="0.2">
      <c r="A271" s="345">
        <v>35764</v>
      </c>
      <c r="B271" s="253"/>
      <c r="C271" s="259"/>
      <c r="D271" s="77"/>
      <c r="E271" s="77"/>
    </row>
    <row r="272" spans="1:5" x14ac:dyDescent="0.2">
      <c r="A272" s="345">
        <v>35795</v>
      </c>
      <c r="B272" s="253"/>
      <c r="C272" s="259"/>
      <c r="D272" s="77"/>
      <c r="E272" s="77"/>
    </row>
    <row r="273" spans="1:5" x14ac:dyDescent="0.2">
      <c r="A273" s="345">
        <v>35826</v>
      </c>
      <c r="B273" s="253"/>
      <c r="C273" s="259"/>
      <c r="D273" s="77"/>
      <c r="E273" s="77"/>
    </row>
    <row r="274" spans="1:5" x14ac:dyDescent="0.2">
      <c r="A274" s="345">
        <v>35854</v>
      </c>
      <c r="B274" s="253"/>
      <c r="C274" s="259"/>
      <c r="D274" s="77"/>
      <c r="E274" s="77"/>
    </row>
    <row r="275" spans="1:5" x14ac:dyDescent="0.2">
      <c r="A275" s="345">
        <v>35885</v>
      </c>
      <c r="B275" s="253"/>
      <c r="C275" s="259"/>
      <c r="D275" s="77"/>
      <c r="E275" s="77"/>
    </row>
    <row r="276" spans="1:5" x14ac:dyDescent="0.2">
      <c r="A276" s="345">
        <v>35915</v>
      </c>
      <c r="B276" s="253"/>
      <c r="C276" s="259"/>
      <c r="D276" s="77"/>
      <c r="E276" s="77"/>
    </row>
    <row r="277" spans="1:5" x14ac:dyDescent="0.2">
      <c r="A277" s="345">
        <v>35946</v>
      </c>
      <c r="B277" s="253"/>
      <c r="C277" s="259"/>
      <c r="D277" s="77"/>
      <c r="E277" s="77"/>
    </row>
    <row r="278" spans="1:5" x14ac:dyDescent="0.2">
      <c r="A278" s="345">
        <v>35976</v>
      </c>
      <c r="B278" s="253"/>
      <c r="C278" s="259"/>
      <c r="D278" s="77"/>
      <c r="E278" s="77"/>
    </row>
    <row r="279" spans="1:5" x14ac:dyDescent="0.2">
      <c r="A279" s="345">
        <v>36007</v>
      </c>
      <c r="B279" s="253"/>
      <c r="C279" s="259"/>
      <c r="D279" s="77"/>
      <c r="E279" s="77"/>
    </row>
    <row r="280" spans="1:5" x14ac:dyDescent="0.2">
      <c r="A280" s="345">
        <v>36038</v>
      </c>
      <c r="B280" s="253"/>
      <c r="C280" s="259"/>
      <c r="D280" s="77"/>
      <c r="E280" s="77"/>
    </row>
    <row r="281" spans="1:5" x14ac:dyDescent="0.2">
      <c r="A281" s="345">
        <v>36068</v>
      </c>
      <c r="B281" s="253"/>
      <c r="C281" s="259"/>
      <c r="D281" s="77"/>
      <c r="E281" s="77"/>
    </row>
    <row r="282" spans="1:5" x14ac:dyDescent="0.2">
      <c r="A282" s="345">
        <v>36099</v>
      </c>
      <c r="B282" s="253"/>
      <c r="C282" s="259"/>
      <c r="D282" s="77"/>
      <c r="E282" s="77"/>
    </row>
    <row r="283" spans="1:5" x14ac:dyDescent="0.2">
      <c r="A283" s="345">
        <v>36129</v>
      </c>
      <c r="B283" s="253"/>
      <c r="C283" s="259"/>
      <c r="D283" s="77"/>
      <c r="E283" s="77"/>
    </row>
    <row r="284" spans="1:5" x14ac:dyDescent="0.2">
      <c r="A284" s="345">
        <v>36160</v>
      </c>
      <c r="B284" s="253"/>
      <c r="C284" s="33"/>
      <c r="D284" s="253"/>
      <c r="E284" s="253"/>
    </row>
    <row r="285" spans="1:5" x14ac:dyDescent="0.2">
      <c r="A285" s="345">
        <v>36191</v>
      </c>
      <c r="B285" s="253"/>
      <c r="C285" s="33"/>
      <c r="D285" s="253"/>
      <c r="E285" s="253"/>
    </row>
    <row r="286" spans="1:5" x14ac:dyDescent="0.2">
      <c r="A286" s="345">
        <v>36219</v>
      </c>
      <c r="B286" s="253"/>
      <c r="C286" s="33"/>
      <c r="D286" s="253"/>
      <c r="E286" s="253"/>
    </row>
    <row r="287" spans="1:5" x14ac:dyDescent="0.2">
      <c r="A287" s="345">
        <v>36250</v>
      </c>
      <c r="B287" s="253"/>
      <c r="C287" s="33"/>
      <c r="D287" s="253"/>
      <c r="E287" s="253"/>
    </row>
    <row r="288" spans="1:5" x14ac:dyDescent="0.2">
      <c r="A288" s="345">
        <v>36280</v>
      </c>
      <c r="B288" s="253"/>
      <c r="C288" s="33"/>
      <c r="D288" s="253"/>
      <c r="E288" s="253"/>
    </row>
    <row r="289" spans="1:5" x14ac:dyDescent="0.2">
      <c r="A289" s="345">
        <v>36311</v>
      </c>
      <c r="B289" s="253"/>
      <c r="C289" s="33"/>
      <c r="D289" s="253"/>
      <c r="E289" s="253"/>
    </row>
    <row r="290" spans="1:5" x14ac:dyDescent="0.2">
      <c r="A290" s="345">
        <v>36341</v>
      </c>
      <c r="B290" s="253"/>
      <c r="C290" s="33"/>
      <c r="D290" s="253"/>
      <c r="E290" s="253"/>
    </row>
    <row r="291" spans="1:5" x14ac:dyDescent="0.2">
      <c r="A291" s="345">
        <v>36372</v>
      </c>
      <c r="B291" s="253"/>
      <c r="C291" s="33"/>
      <c r="D291" s="253"/>
      <c r="E291" s="253"/>
    </row>
    <row r="292" spans="1:5" x14ac:dyDescent="0.2">
      <c r="A292" s="345">
        <v>36403</v>
      </c>
      <c r="B292" s="253"/>
      <c r="C292" s="33"/>
      <c r="D292" s="253"/>
      <c r="E292" s="253"/>
    </row>
    <row r="293" spans="1:5" x14ac:dyDescent="0.2">
      <c r="A293" s="345">
        <v>36433</v>
      </c>
      <c r="B293" s="253"/>
      <c r="C293" s="33"/>
      <c r="D293" s="253"/>
      <c r="E293" s="253"/>
    </row>
    <row r="294" spans="1:5" x14ac:dyDescent="0.2">
      <c r="A294" s="345">
        <v>36464</v>
      </c>
      <c r="B294" s="253"/>
      <c r="C294" s="33"/>
      <c r="D294" s="253"/>
      <c r="E294" s="253"/>
    </row>
    <row r="295" spans="1:5" x14ac:dyDescent="0.2">
      <c r="A295" s="345">
        <v>36494</v>
      </c>
      <c r="B295" s="253"/>
      <c r="C295" s="33"/>
      <c r="D295" s="253"/>
      <c r="E295" s="253"/>
    </row>
    <row r="296" spans="1:5" x14ac:dyDescent="0.2">
      <c r="A296" s="345">
        <v>36525</v>
      </c>
      <c r="B296" s="253"/>
      <c r="C296" s="33"/>
      <c r="D296" s="253"/>
      <c r="E296" s="253"/>
    </row>
    <row r="297" spans="1:5" x14ac:dyDescent="0.2">
      <c r="A297" s="345">
        <v>36556</v>
      </c>
      <c r="B297" s="253"/>
      <c r="C297" s="33"/>
      <c r="D297" s="253"/>
      <c r="E297" s="253"/>
    </row>
    <row r="298" spans="1:5" x14ac:dyDescent="0.2">
      <c r="A298" s="345">
        <v>36585</v>
      </c>
      <c r="B298" s="253"/>
      <c r="C298" s="33"/>
      <c r="D298" s="253"/>
      <c r="E298" s="253"/>
    </row>
    <row r="299" spans="1:5" x14ac:dyDescent="0.2">
      <c r="A299" s="345">
        <v>36616</v>
      </c>
      <c r="B299" s="253"/>
      <c r="C299" s="33"/>
      <c r="D299" s="253"/>
      <c r="E299" s="253"/>
    </row>
    <row r="300" spans="1:5" x14ac:dyDescent="0.2">
      <c r="A300" s="345">
        <v>36646</v>
      </c>
      <c r="B300" s="253"/>
      <c r="C300" s="33"/>
      <c r="D300" s="253"/>
      <c r="E300" s="253"/>
    </row>
    <row r="301" spans="1:5" x14ac:dyDescent="0.2">
      <c r="A301" s="345">
        <v>36677</v>
      </c>
      <c r="B301" s="253"/>
      <c r="C301" s="33"/>
      <c r="D301" s="253"/>
      <c r="E301" s="253"/>
    </row>
    <row r="302" spans="1:5" x14ac:dyDescent="0.2">
      <c r="A302" s="345">
        <v>36707</v>
      </c>
      <c r="B302" s="253"/>
      <c r="C302" s="33"/>
      <c r="D302" s="253"/>
      <c r="E302" s="253"/>
    </row>
    <row r="303" spans="1:5" x14ac:dyDescent="0.2">
      <c r="A303" s="345">
        <v>36738</v>
      </c>
      <c r="B303" s="253"/>
      <c r="C303" s="33"/>
      <c r="D303" s="253"/>
      <c r="E303" s="253"/>
    </row>
    <row r="304" spans="1:5" x14ac:dyDescent="0.2">
      <c r="A304" s="345">
        <v>36769</v>
      </c>
      <c r="B304" s="253"/>
      <c r="C304" s="33"/>
      <c r="D304" s="253"/>
      <c r="E304" s="253"/>
    </row>
    <row r="305" spans="1:5" x14ac:dyDescent="0.2">
      <c r="A305" s="345">
        <v>36799</v>
      </c>
      <c r="B305" s="253"/>
      <c r="C305" s="33"/>
      <c r="D305" s="253"/>
      <c r="E305" s="253"/>
    </row>
    <row r="306" spans="1:5" x14ac:dyDescent="0.2">
      <c r="A306" s="345">
        <v>36830</v>
      </c>
      <c r="B306" s="253"/>
      <c r="C306" s="33"/>
      <c r="D306" s="253"/>
      <c r="E306" s="253"/>
    </row>
    <row r="307" spans="1:5" x14ac:dyDescent="0.2">
      <c r="A307" s="345">
        <v>36860</v>
      </c>
      <c r="B307" s="253"/>
      <c r="C307" s="33"/>
      <c r="D307" s="253"/>
      <c r="E307" s="253"/>
    </row>
    <row r="308" spans="1:5" x14ac:dyDescent="0.2">
      <c r="A308" s="345">
        <v>36891</v>
      </c>
      <c r="B308" s="253"/>
      <c r="C308" s="33"/>
      <c r="D308" s="253"/>
      <c r="E308" s="253"/>
    </row>
    <row r="309" spans="1:5" x14ac:dyDescent="0.2">
      <c r="A309" s="345">
        <v>36922</v>
      </c>
      <c r="B309" s="253"/>
      <c r="C309" s="33"/>
      <c r="D309" s="253"/>
      <c r="E309" s="253"/>
    </row>
    <row r="310" spans="1:5" x14ac:dyDescent="0.2">
      <c r="A310" s="345">
        <v>36950</v>
      </c>
      <c r="B310" s="253"/>
      <c r="C310" s="33"/>
      <c r="D310" s="253"/>
      <c r="E310" s="253"/>
    </row>
    <row r="311" spans="1:5" x14ac:dyDescent="0.2">
      <c r="A311" s="345">
        <v>36981</v>
      </c>
      <c r="B311" s="253"/>
      <c r="C311" s="33"/>
      <c r="D311" s="253"/>
      <c r="E311" s="253"/>
    </row>
    <row r="312" spans="1:5" x14ac:dyDescent="0.2">
      <c r="A312" s="345">
        <v>37011</v>
      </c>
      <c r="B312" s="253"/>
      <c r="C312" s="33"/>
      <c r="D312" s="253"/>
      <c r="E312" s="253"/>
    </row>
    <row r="313" spans="1:5" x14ac:dyDescent="0.2">
      <c r="A313" s="345">
        <v>37042</v>
      </c>
      <c r="B313" s="253"/>
      <c r="C313" s="33"/>
      <c r="D313" s="253"/>
      <c r="E313" s="253"/>
    </row>
    <row r="314" spans="1:5" x14ac:dyDescent="0.2">
      <c r="A314" s="345">
        <v>37072</v>
      </c>
      <c r="B314" s="253"/>
      <c r="C314" s="33"/>
      <c r="D314" s="253"/>
      <c r="E314" s="253"/>
    </row>
    <row r="315" spans="1:5" x14ac:dyDescent="0.2">
      <c r="A315" s="345">
        <v>37103</v>
      </c>
      <c r="B315" s="253"/>
      <c r="C315" s="33"/>
      <c r="D315" s="253"/>
      <c r="E315" s="253"/>
    </row>
    <row r="316" spans="1:5" x14ac:dyDescent="0.2">
      <c r="A316" s="345">
        <v>37134</v>
      </c>
      <c r="B316" s="253"/>
      <c r="C316" s="33"/>
      <c r="D316" s="253"/>
      <c r="E316" s="253"/>
    </row>
    <row r="317" spans="1:5" x14ac:dyDescent="0.2">
      <c r="A317" s="345">
        <v>37164</v>
      </c>
      <c r="B317" s="253"/>
      <c r="C317" s="33"/>
      <c r="D317" s="253"/>
      <c r="E317" s="253"/>
    </row>
    <row r="318" spans="1:5" x14ac:dyDescent="0.2">
      <c r="A318" s="345">
        <v>37195</v>
      </c>
      <c r="B318" s="253"/>
      <c r="C318" s="33"/>
      <c r="D318" s="253"/>
      <c r="E318" s="253"/>
    </row>
    <row r="319" spans="1:5" x14ac:dyDescent="0.2">
      <c r="A319" s="345">
        <v>37225</v>
      </c>
      <c r="B319" s="253"/>
      <c r="C319" s="33"/>
      <c r="D319" s="253"/>
      <c r="E319" s="253"/>
    </row>
    <row r="320" spans="1:5" x14ac:dyDescent="0.2">
      <c r="A320" s="345">
        <v>37256</v>
      </c>
      <c r="B320" s="253"/>
      <c r="C320" s="33"/>
      <c r="D320" s="253"/>
      <c r="E320" s="253"/>
    </row>
    <row r="321" spans="1:5" x14ac:dyDescent="0.2">
      <c r="A321" s="345">
        <v>37287</v>
      </c>
      <c r="B321" s="253"/>
      <c r="C321" s="33"/>
      <c r="D321" s="253"/>
      <c r="E321" s="253"/>
    </row>
    <row r="322" spans="1:5" x14ac:dyDescent="0.2">
      <c r="A322" s="345">
        <v>37315</v>
      </c>
      <c r="B322" s="253"/>
      <c r="C322" s="33"/>
      <c r="D322" s="253"/>
      <c r="E322" s="253"/>
    </row>
    <row r="323" spans="1:5" x14ac:dyDescent="0.2">
      <c r="A323" s="345">
        <v>37346</v>
      </c>
      <c r="B323" s="253"/>
      <c r="C323" s="33"/>
      <c r="D323" s="253"/>
      <c r="E323" s="253"/>
    </row>
    <row r="324" spans="1:5" x14ac:dyDescent="0.2">
      <c r="A324" s="345">
        <v>37376</v>
      </c>
      <c r="C324" s="33"/>
      <c r="D324" s="128"/>
      <c r="E324" s="253"/>
    </row>
    <row r="325" spans="1:5" x14ac:dyDescent="0.2">
      <c r="A325" s="345">
        <v>37407</v>
      </c>
      <c r="C325" s="33"/>
      <c r="D325" s="128"/>
      <c r="E325" s="253"/>
    </row>
    <row r="326" spans="1:5" x14ac:dyDescent="0.2">
      <c r="A326" s="345">
        <v>37437</v>
      </c>
      <c r="C326" s="33"/>
      <c r="D326" s="128"/>
      <c r="E326" s="253"/>
    </row>
    <row r="327" spans="1:5" x14ac:dyDescent="0.2">
      <c r="A327" s="345">
        <v>37468</v>
      </c>
      <c r="C327" s="33"/>
      <c r="D327" s="128"/>
      <c r="E327" s="253"/>
    </row>
    <row r="328" spans="1:5" x14ac:dyDescent="0.2">
      <c r="A328" s="345">
        <v>37499</v>
      </c>
      <c r="C328" s="33"/>
      <c r="D328" s="128"/>
      <c r="E328" s="253"/>
    </row>
    <row r="329" spans="1:5" x14ac:dyDescent="0.2">
      <c r="A329" s="345">
        <v>37529</v>
      </c>
      <c r="C329" s="33"/>
      <c r="D329" s="128"/>
      <c r="E329" s="253"/>
    </row>
    <row r="330" spans="1:5" x14ac:dyDescent="0.2">
      <c r="A330" s="345">
        <v>37560</v>
      </c>
      <c r="C330" s="33"/>
      <c r="D330" s="128"/>
      <c r="E330" s="253"/>
    </row>
    <row r="331" spans="1:5" x14ac:dyDescent="0.2">
      <c r="A331" s="345">
        <v>37590</v>
      </c>
      <c r="C331" s="33"/>
      <c r="D331" s="128"/>
      <c r="E331" s="253"/>
    </row>
    <row r="332" spans="1:5" x14ac:dyDescent="0.2">
      <c r="A332" s="345">
        <v>37621</v>
      </c>
      <c r="C332" s="33"/>
      <c r="D332" s="128"/>
      <c r="E332" s="253"/>
    </row>
    <row r="333" spans="1:5" x14ac:dyDescent="0.2">
      <c r="A333" s="345">
        <v>37652</v>
      </c>
      <c r="C333" s="33"/>
      <c r="D333" s="128"/>
      <c r="E333" s="253"/>
    </row>
    <row r="334" spans="1:5" x14ac:dyDescent="0.2">
      <c r="A334" s="345">
        <v>37680</v>
      </c>
      <c r="C334" s="33"/>
      <c r="D334" s="128"/>
      <c r="E334" s="253"/>
    </row>
    <row r="335" spans="1:5" x14ac:dyDescent="0.2">
      <c r="A335" s="345">
        <v>37711</v>
      </c>
      <c r="C335" s="33"/>
      <c r="D335" s="128"/>
      <c r="E335" s="253"/>
    </row>
    <row r="336" spans="1:5" x14ac:dyDescent="0.2">
      <c r="A336" s="345">
        <v>37741</v>
      </c>
      <c r="C336" s="33"/>
      <c r="D336" s="128"/>
      <c r="E336" s="253"/>
    </row>
    <row r="337" spans="1:9" x14ac:dyDescent="0.2">
      <c r="A337" s="345">
        <v>37772</v>
      </c>
      <c r="C337" s="33"/>
      <c r="D337" s="128"/>
      <c r="E337" s="253"/>
    </row>
    <row r="338" spans="1:9" x14ac:dyDescent="0.2">
      <c r="A338" s="345">
        <v>37802</v>
      </c>
      <c r="C338" s="33"/>
      <c r="D338" s="128"/>
      <c r="E338" s="253"/>
    </row>
    <row r="339" spans="1:9" x14ac:dyDescent="0.2">
      <c r="A339" s="345">
        <v>37833</v>
      </c>
      <c r="C339" s="33"/>
      <c r="D339" s="128"/>
      <c r="E339" s="253"/>
    </row>
    <row r="340" spans="1:9" x14ac:dyDescent="0.2">
      <c r="A340" s="345">
        <v>37864</v>
      </c>
      <c r="C340" s="33"/>
      <c r="D340" s="128"/>
      <c r="E340" s="253"/>
    </row>
    <row r="341" spans="1:9" x14ac:dyDescent="0.2">
      <c r="A341" s="345">
        <v>37894</v>
      </c>
      <c r="C341" s="34"/>
      <c r="D341" s="128"/>
      <c r="E341" s="253"/>
    </row>
    <row r="342" spans="1:9" x14ac:dyDescent="0.2">
      <c r="A342" s="345">
        <v>37925</v>
      </c>
      <c r="C342" s="34"/>
      <c r="D342" s="128"/>
      <c r="E342" s="253"/>
    </row>
    <row r="343" spans="1:9" x14ac:dyDescent="0.2">
      <c r="A343" s="345">
        <v>37955</v>
      </c>
      <c r="C343" s="34"/>
      <c r="D343" s="128"/>
      <c r="E343" s="253"/>
    </row>
    <row r="344" spans="1:9" x14ac:dyDescent="0.2">
      <c r="A344" s="345">
        <v>37986</v>
      </c>
      <c r="C344" s="34"/>
      <c r="D344" s="128"/>
      <c r="E344" s="253"/>
    </row>
    <row r="345" spans="1:9" x14ac:dyDescent="0.2">
      <c r="A345" s="345">
        <v>38017</v>
      </c>
      <c r="C345" s="34"/>
      <c r="D345" s="128"/>
      <c r="E345" s="253"/>
    </row>
    <row r="346" spans="1:9" x14ac:dyDescent="0.2">
      <c r="A346" s="345">
        <v>38046</v>
      </c>
      <c r="C346" s="34"/>
      <c r="D346" s="128"/>
      <c r="E346" s="253"/>
    </row>
    <row r="347" spans="1:9" x14ac:dyDescent="0.2">
      <c r="A347" s="345">
        <v>38077</v>
      </c>
      <c r="C347" s="34"/>
      <c r="D347" s="128"/>
      <c r="E347" s="253"/>
    </row>
    <row r="348" spans="1:9" x14ac:dyDescent="0.2">
      <c r="A348" s="345">
        <v>38107</v>
      </c>
      <c r="C348" s="34"/>
      <c r="D348" s="128"/>
      <c r="E348" s="253"/>
      <c r="I348" s="14"/>
    </row>
    <row r="349" spans="1:9" x14ac:dyDescent="0.2">
      <c r="A349" s="345">
        <v>38138</v>
      </c>
      <c r="C349" s="34"/>
      <c r="D349" s="128"/>
      <c r="E349" s="253"/>
      <c r="I349" s="14"/>
    </row>
    <row r="350" spans="1:9" x14ac:dyDescent="0.2">
      <c r="A350" s="345">
        <v>38168</v>
      </c>
      <c r="C350" s="34"/>
      <c r="D350" s="128"/>
      <c r="E350" s="253"/>
      <c r="I350" s="14"/>
    </row>
    <row r="351" spans="1:9" x14ac:dyDescent="0.2">
      <c r="A351" s="345">
        <v>38199</v>
      </c>
      <c r="C351" s="34"/>
      <c r="D351" s="128"/>
      <c r="E351" s="253"/>
    </row>
    <row r="352" spans="1:9" x14ac:dyDescent="0.2">
      <c r="A352" s="345">
        <v>38230</v>
      </c>
      <c r="C352" s="34"/>
      <c r="D352" s="128"/>
      <c r="E352" s="253"/>
    </row>
    <row r="353" spans="1:5" x14ac:dyDescent="0.2">
      <c r="A353" s="345">
        <v>38260</v>
      </c>
      <c r="C353" s="34"/>
      <c r="D353" s="128"/>
      <c r="E353" s="253"/>
    </row>
    <row r="354" spans="1:5" x14ac:dyDescent="0.2">
      <c r="A354" s="345">
        <v>38291</v>
      </c>
      <c r="C354" s="34"/>
      <c r="D354" s="128"/>
      <c r="E354" s="253"/>
    </row>
    <row r="355" spans="1:5" x14ac:dyDescent="0.2">
      <c r="A355" s="345">
        <v>38321</v>
      </c>
      <c r="C355" s="34"/>
      <c r="D355" s="128"/>
      <c r="E355" s="253"/>
    </row>
    <row r="356" spans="1:5" x14ac:dyDescent="0.2">
      <c r="A356" s="345">
        <v>38352</v>
      </c>
      <c r="C356" s="256"/>
      <c r="D356" s="128"/>
      <c r="E356" s="253"/>
    </row>
    <row r="357" spans="1:5" x14ac:dyDescent="0.2">
      <c r="A357" s="345">
        <v>38383</v>
      </c>
      <c r="B357" s="253">
        <v>0.65</v>
      </c>
      <c r="C357" s="34"/>
      <c r="D357" s="128">
        <v>0.65269999999999995</v>
      </c>
      <c r="E357" s="253"/>
    </row>
    <row r="358" spans="1:5" x14ac:dyDescent="0.2">
      <c r="A358" s="345">
        <v>38411</v>
      </c>
      <c r="B358" s="253">
        <v>-0.55000000000000004</v>
      </c>
      <c r="C358" s="34"/>
      <c r="D358" s="128">
        <v>-0.54569999999999996</v>
      </c>
      <c r="E358" s="253"/>
    </row>
    <row r="359" spans="1:5" x14ac:dyDescent="0.2">
      <c r="A359" s="345">
        <v>38442</v>
      </c>
      <c r="B359" s="253">
        <v>-0.52</v>
      </c>
      <c r="C359" s="256"/>
      <c r="D359" s="128">
        <v>-0.46810000000000002</v>
      </c>
      <c r="E359" s="253"/>
    </row>
    <row r="360" spans="1:5" x14ac:dyDescent="0.2">
      <c r="A360" s="345">
        <v>38472</v>
      </c>
      <c r="B360" s="253">
        <v>1.33</v>
      </c>
      <c r="C360" s="256"/>
      <c r="D360" s="128">
        <v>1.33</v>
      </c>
      <c r="E360" s="253"/>
    </row>
    <row r="361" spans="1:5" x14ac:dyDescent="0.2">
      <c r="A361" s="345">
        <v>38503</v>
      </c>
      <c r="B361" s="253">
        <v>1.06</v>
      </c>
      <c r="C361" s="256"/>
      <c r="D361" s="128">
        <v>1.0495000000000001</v>
      </c>
      <c r="E361" s="253"/>
    </row>
    <row r="362" spans="1:5" x14ac:dyDescent="0.2">
      <c r="A362" s="345">
        <v>38533</v>
      </c>
      <c r="B362" s="253">
        <v>0.45</v>
      </c>
      <c r="C362" s="256"/>
      <c r="D362" s="128">
        <v>0.48370000000000002</v>
      </c>
      <c r="E362" s="253"/>
    </row>
    <row r="363" spans="1:5" x14ac:dyDescent="0.2">
      <c r="A363" s="345">
        <v>38564</v>
      </c>
      <c r="B363" s="253">
        <v>-0.78</v>
      </c>
      <c r="C363" s="256"/>
      <c r="D363" s="128">
        <v>-0.78459999999999996</v>
      </c>
      <c r="E363" s="253"/>
    </row>
    <row r="364" spans="1:5" x14ac:dyDescent="0.2">
      <c r="A364" s="345">
        <v>38595</v>
      </c>
      <c r="B364" s="253">
        <v>1.3</v>
      </c>
      <c r="C364" s="256"/>
      <c r="D364" s="128">
        <v>1.2961</v>
      </c>
      <c r="E364" s="253"/>
    </row>
    <row r="365" spans="1:5" x14ac:dyDescent="0.2">
      <c r="A365" s="345">
        <v>38625</v>
      </c>
      <c r="B365" s="253">
        <v>-1.0900000000000001</v>
      </c>
      <c r="C365" s="334"/>
      <c r="D365" s="128">
        <v>-1.0558000000000001</v>
      </c>
      <c r="E365" s="253"/>
    </row>
    <row r="366" spans="1:5" x14ac:dyDescent="0.2">
      <c r="A366" s="345">
        <v>38656</v>
      </c>
      <c r="B366" s="253">
        <v>-0.78</v>
      </c>
      <c r="C366" s="334"/>
      <c r="D366" s="128">
        <v>-0.77680000000000005</v>
      </c>
      <c r="E366" s="253"/>
    </row>
    <row r="367" spans="1:5" x14ac:dyDescent="0.2">
      <c r="A367" s="345">
        <v>38686</v>
      </c>
      <c r="B367" s="253">
        <v>0.44</v>
      </c>
      <c r="C367" s="334"/>
      <c r="D367" s="128">
        <v>0.44169999999999998</v>
      </c>
      <c r="E367" s="253"/>
    </row>
    <row r="368" spans="1:5" x14ac:dyDescent="0.2">
      <c r="A368" s="345">
        <v>38717</v>
      </c>
      <c r="B368" s="253">
        <v>0.99</v>
      </c>
      <c r="C368" s="256"/>
      <c r="D368" s="128">
        <v>1.028</v>
      </c>
      <c r="E368" s="253"/>
    </row>
    <row r="369" spans="1:9" x14ac:dyDescent="0.2">
      <c r="A369" s="345">
        <v>38748</v>
      </c>
      <c r="B369" s="253">
        <v>0.08</v>
      </c>
      <c r="C369" s="256"/>
      <c r="D369" s="128">
        <v>7.7100000000000002E-2</v>
      </c>
      <c r="E369" s="253"/>
      <c r="F369" s="496"/>
      <c r="G369" s="700"/>
      <c r="H369" s="703"/>
      <c r="I369" s="253"/>
    </row>
    <row r="370" spans="1:9" x14ac:dyDescent="0.2">
      <c r="A370" s="345">
        <v>38776</v>
      </c>
      <c r="B370" s="253">
        <v>0.34</v>
      </c>
      <c r="C370" s="256"/>
      <c r="D370" s="128">
        <v>0.34260000000000002</v>
      </c>
      <c r="E370" s="253"/>
      <c r="F370" s="496"/>
      <c r="G370" s="701"/>
      <c r="H370" s="703"/>
      <c r="I370" s="253"/>
    </row>
    <row r="371" spans="1:9" x14ac:dyDescent="0.2">
      <c r="A371" s="345">
        <v>38807</v>
      </c>
      <c r="B371" s="253">
        <v>-0.97</v>
      </c>
      <c r="C371" s="256"/>
      <c r="D371" s="128">
        <v>-0.92979999999999996</v>
      </c>
      <c r="E371" s="253"/>
      <c r="F371" s="496"/>
      <c r="G371" s="701"/>
      <c r="H371" s="703"/>
      <c r="I371" s="253"/>
    </row>
    <row r="372" spans="1:9" x14ac:dyDescent="0.2">
      <c r="A372" s="345">
        <v>38837</v>
      </c>
      <c r="B372" s="253">
        <v>-0.11</v>
      </c>
      <c r="C372" s="34"/>
      <c r="D372" s="128">
        <v>-0.11260000000000001</v>
      </c>
      <c r="E372" s="253"/>
      <c r="F372" s="496"/>
      <c r="G372" s="700"/>
      <c r="H372" s="703"/>
      <c r="I372" s="253"/>
    </row>
    <row r="373" spans="1:9" x14ac:dyDescent="0.2">
      <c r="A373" s="345">
        <v>38868</v>
      </c>
      <c r="B373" s="253">
        <v>-0.18</v>
      </c>
      <c r="C373" s="34"/>
      <c r="D373" s="128">
        <v>-0.17829999999999999</v>
      </c>
      <c r="E373" s="253"/>
      <c r="F373" s="496"/>
      <c r="G373" s="700"/>
      <c r="H373" s="703"/>
      <c r="I373" s="253"/>
    </row>
    <row r="374" spans="1:9" x14ac:dyDescent="0.2">
      <c r="A374" s="345">
        <v>38898</v>
      </c>
      <c r="B374" s="128">
        <v>0.18</v>
      </c>
      <c r="C374" s="612">
        <v>45571896.549999997</v>
      </c>
      <c r="D374" s="253"/>
      <c r="E374" s="253"/>
      <c r="F374" s="496"/>
      <c r="G374" s="700"/>
      <c r="H374" s="703"/>
      <c r="I374" s="253"/>
    </row>
    <row r="375" spans="1:9" x14ac:dyDescent="0.2">
      <c r="A375" s="345">
        <v>38929</v>
      </c>
      <c r="B375" s="128">
        <v>1.39</v>
      </c>
      <c r="C375" s="34">
        <v>47217679.109999999</v>
      </c>
      <c r="D375" s="253"/>
      <c r="E375" s="253"/>
      <c r="F375" s="496"/>
      <c r="G375" s="700"/>
      <c r="H375" s="703"/>
      <c r="I375" s="253"/>
    </row>
    <row r="376" spans="1:9" x14ac:dyDescent="0.2">
      <c r="A376" s="345">
        <v>38960</v>
      </c>
      <c r="B376" s="128">
        <v>1.48</v>
      </c>
      <c r="C376" s="34">
        <v>47918359.960000001</v>
      </c>
      <c r="D376" s="253"/>
      <c r="E376" s="253"/>
    </row>
    <row r="377" spans="1:9" x14ac:dyDescent="0.2">
      <c r="A377" s="345">
        <v>38990</v>
      </c>
      <c r="B377" s="128">
        <v>0.88</v>
      </c>
      <c r="C377" s="34">
        <v>48356261.859999999</v>
      </c>
      <c r="D377" s="253"/>
      <c r="E377" s="253"/>
    </row>
    <row r="378" spans="1:9" x14ac:dyDescent="0.2">
      <c r="A378" s="345">
        <v>39021</v>
      </c>
      <c r="B378" s="253">
        <v>0.68</v>
      </c>
      <c r="C378" s="34">
        <v>48685119.130000003</v>
      </c>
      <c r="D378" s="253"/>
      <c r="E378" s="261"/>
    </row>
    <row r="379" spans="1:9" x14ac:dyDescent="0.2">
      <c r="A379" s="345">
        <v>39051</v>
      </c>
      <c r="B379" s="253">
        <v>1.1599999999999999</v>
      </c>
      <c r="C379" s="34">
        <v>50011470.700000003</v>
      </c>
      <c r="D379" s="253"/>
      <c r="E379" s="253"/>
    </row>
    <row r="380" spans="1:9" x14ac:dyDescent="0.2">
      <c r="A380" s="345">
        <v>39082</v>
      </c>
      <c r="B380" s="253">
        <v>-0.59</v>
      </c>
      <c r="C380" s="703">
        <v>50730712.520000003</v>
      </c>
      <c r="D380" s="253"/>
      <c r="E380" s="253"/>
    </row>
    <row r="381" spans="1:9" x14ac:dyDescent="0.2">
      <c r="A381" s="345">
        <v>39113</v>
      </c>
      <c r="B381" s="257">
        <v>0</v>
      </c>
      <c r="C381" s="770">
        <v>54227667.490000002</v>
      </c>
      <c r="E381" s="576"/>
    </row>
    <row r="382" spans="1:9" x14ac:dyDescent="0.2">
      <c r="A382" s="345">
        <v>39141</v>
      </c>
      <c r="B382" s="257">
        <v>1.53</v>
      </c>
      <c r="C382" s="770">
        <v>55056357.719999999</v>
      </c>
      <c r="E382" s="576"/>
    </row>
    <row r="383" spans="1:9" x14ac:dyDescent="0.2">
      <c r="A383" s="345">
        <v>39172</v>
      </c>
      <c r="B383" s="257">
        <v>-0.05</v>
      </c>
      <c r="C383" s="770">
        <v>55051823.990000002</v>
      </c>
      <c r="E383" s="576"/>
    </row>
    <row r="384" spans="1:9" x14ac:dyDescent="0.2">
      <c r="A384" s="345">
        <v>39202</v>
      </c>
      <c r="B384" s="257">
        <v>0.56999999999999995</v>
      </c>
      <c r="C384" s="770">
        <v>55367311.439999998</v>
      </c>
      <c r="E384" s="576"/>
    </row>
    <row r="385" spans="1:3" x14ac:dyDescent="0.2">
      <c r="A385" s="345">
        <v>39233</v>
      </c>
      <c r="B385" s="257">
        <v>-0.77</v>
      </c>
      <c r="C385" s="770">
        <v>56927872.479999997</v>
      </c>
    </row>
    <row r="386" spans="1:3" x14ac:dyDescent="0.2">
      <c r="A386" s="345">
        <v>39263</v>
      </c>
      <c r="B386" s="257">
        <v>-0.27</v>
      </c>
      <c r="C386" s="770">
        <v>58289613.460000001</v>
      </c>
    </row>
    <row r="387" spans="1:3" x14ac:dyDescent="0.2">
      <c r="A387" s="345">
        <v>39294</v>
      </c>
      <c r="B387" s="257">
        <v>0.5</v>
      </c>
      <c r="C387" s="770">
        <v>59080386.93</v>
      </c>
    </row>
    <row r="388" spans="1:3" x14ac:dyDescent="0.2">
      <c r="A388" s="345">
        <v>39325</v>
      </c>
      <c r="B388" s="257">
        <v>0.81</v>
      </c>
      <c r="C388" s="346">
        <v>59561725.549999997</v>
      </c>
    </row>
    <row r="389" spans="1:3" x14ac:dyDescent="0.2">
      <c r="A389" s="345">
        <v>39355</v>
      </c>
      <c r="B389" s="257">
        <v>0.85</v>
      </c>
      <c r="C389" s="346">
        <v>60092500.689999998</v>
      </c>
    </row>
    <row r="390" spans="1:3" x14ac:dyDescent="0.2">
      <c r="A390" s="345">
        <v>39386</v>
      </c>
      <c r="B390" s="257">
        <v>0.76</v>
      </c>
      <c r="C390" s="346">
        <v>61251665.289999999</v>
      </c>
    </row>
    <row r="391" spans="1:3" x14ac:dyDescent="0.2">
      <c r="A391" s="345">
        <v>39416</v>
      </c>
      <c r="B391" s="257">
        <v>1.0900000000000001</v>
      </c>
      <c r="C391" s="346">
        <v>61920575.200000003</v>
      </c>
    </row>
    <row r="392" spans="1:3" x14ac:dyDescent="0.2">
      <c r="A392" s="345">
        <v>39447</v>
      </c>
      <c r="B392" s="257">
        <v>0.33</v>
      </c>
      <c r="C392" s="346">
        <v>62148311.869999997</v>
      </c>
    </row>
    <row r="393" spans="1:3" x14ac:dyDescent="0.2">
      <c r="A393" s="345">
        <v>39478</v>
      </c>
      <c r="B393" s="257">
        <v>1.7</v>
      </c>
      <c r="C393" s="346">
        <v>63204914.899999999</v>
      </c>
    </row>
    <row r="394" spans="1:3" x14ac:dyDescent="0.2">
      <c r="A394" s="345">
        <v>39507</v>
      </c>
      <c r="B394" s="257">
        <v>-0.26</v>
      </c>
      <c r="C394" s="346">
        <v>63042298.759999998</v>
      </c>
    </row>
    <row r="395" spans="1:3" x14ac:dyDescent="0.2">
      <c r="A395" s="345">
        <v>39538</v>
      </c>
      <c r="B395" s="257">
        <v>-0.21</v>
      </c>
      <c r="C395" s="346">
        <v>62933044.920000002</v>
      </c>
    </row>
    <row r="396" spans="1:3" x14ac:dyDescent="0.2">
      <c r="A396" s="345">
        <v>39568</v>
      </c>
      <c r="B396" s="257">
        <v>-0.09</v>
      </c>
      <c r="C396" s="346">
        <v>62877801.469999999</v>
      </c>
    </row>
    <row r="397" spans="1:3" x14ac:dyDescent="0.2">
      <c r="A397" s="345">
        <v>39599</v>
      </c>
      <c r="B397" s="257">
        <v>-0.57999999999999996</v>
      </c>
      <c r="C397" s="346">
        <v>62511503.780000001</v>
      </c>
    </row>
    <row r="398" spans="1:3" x14ac:dyDescent="0.2">
      <c r="A398" s="345">
        <v>39629</v>
      </c>
      <c r="B398" s="257">
        <v>0.03</v>
      </c>
      <c r="C398" s="346">
        <v>62552935.310000002</v>
      </c>
    </row>
    <row r="399" spans="1:3" x14ac:dyDescent="0.2">
      <c r="A399" s="345">
        <v>39660</v>
      </c>
      <c r="B399" s="257">
        <v>0.06</v>
      </c>
      <c r="C399" s="1208">
        <v>62773679.170000002</v>
      </c>
    </row>
    <row r="400" spans="1:3" x14ac:dyDescent="0.2">
      <c r="A400" s="345">
        <v>39691</v>
      </c>
      <c r="B400" s="257">
        <v>0.85</v>
      </c>
      <c r="C400" s="1208">
        <v>63304849.880000003</v>
      </c>
    </row>
    <row r="401" spans="1:4" x14ac:dyDescent="0.2">
      <c r="A401" s="345">
        <v>39721</v>
      </c>
      <c r="B401" s="257">
        <v>-1.57</v>
      </c>
      <c r="C401" s="1208">
        <v>62332827.280000001</v>
      </c>
    </row>
    <row r="402" spans="1:4" x14ac:dyDescent="0.2">
      <c r="A402" s="345">
        <v>39752</v>
      </c>
      <c r="B402" s="257">
        <v>-2.71</v>
      </c>
      <c r="C402" s="346">
        <v>60640647</v>
      </c>
    </row>
    <row r="403" spans="1:4" x14ac:dyDescent="0.2">
      <c r="A403" s="345">
        <v>39782</v>
      </c>
      <c r="B403" s="257">
        <v>3.23</v>
      </c>
      <c r="C403" s="346">
        <v>50217954</v>
      </c>
    </row>
    <row r="404" spans="1:4" x14ac:dyDescent="0.2">
      <c r="A404" s="345">
        <v>39813</v>
      </c>
      <c r="B404" s="257">
        <v>4.3099999999999996</v>
      </c>
      <c r="C404" s="346">
        <v>52402632</v>
      </c>
    </row>
    <row r="405" spans="1:4" x14ac:dyDescent="0.2">
      <c r="A405" s="345">
        <v>39844</v>
      </c>
      <c r="B405" s="257">
        <v>0.22</v>
      </c>
      <c r="C405" s="346">
        <v>52517631.420000002</v>
      </c>
      <c r="D405" s="258">
        <v>0.2195</v>
      </c>
    </row>
    <row r="406" spans="1:4" x14ac:dyDescent="0.2">
      <c r="A406" s="345">
        <v>39872</v>
      </c>
      <c r="B406" s="257">
        <v>-0.4</v>
      </c>
      <c r="C406" s="346">
        <v>52307576.159999996</v>
      </c>
      <c r="D406" s="258">
        <v>-0.4</v>
      </c>
    </row>
    <row r="407" spans="1:4" x14ac:dyDescent="0.2">
      <c r="A407" s="345">
        <v>39903</v>
      </c>
      <c r="B407" s="257">
        <v>1.02</v>
      </c>
      <c r="C407" s="346">
        <v>51849308.670000002</v>
      </c>
      <c r="D407" s="258">
        <v>1.06</v>
      </c>
    </row>
    <row r="408" spans="1:4" x14ac:dyDescent="0.2">
      <c r="A408" s="345">
        <v>39933</v>
      </c>
      <c r="B408" s="257">
        <v>1.01</v>
      </c>
      <c r="C408" s="346">
        <v>52373837.710000001</v>
      </c>
    </row>
    <row r="409" spans="1:4" x14ac:dyDescent="0.2">
      <c r="A409" s="345">
        <v>39964</v>
      </c>
      <c r="B409" s="257">
        <v>1.66</v>
      </c>
      <c r="C409" s="346">
        <v>53242202.68</v>
      </c>
    </row>
    <row r="410" spans="1:4" x14ac:dyDescent="0.2">
      <c r="A410" s="345">
        <v>39994</v>
      </c>
      <c r="B410" s="257">
        <v>1.06</v>
      </c>
      <c r="C410" s="346">
        <v>53979245.719999999</v>
      </c>
    </row>
    <row r="411" spans="1:4" x14ac:dyDescent="0.2">
      <c r="A411" s="345">
        <v>40025</v>
      </c>
      <c r="B411" s="257">
        <v>2.44</v>
      </c>
      <c r="C411" s="346">
        <v>56794825.420000002</v>
      </c>
      <c r="D411" s="258">
        <v>2.44</v>
      </c>
    </row>
    <row r="412" spans="1:4" x14ac:dyDescent="0.2">
      <c r="A412" s="345">
        <v>40056</v>
      </c>
      <c r="B412" s="257">
        <v>1.1399999999999999</v>
      </c>
      <c r="C412" s="346">
        <v>57441186.100000001</v>
      </c>
      <c r="D412" s="258">
        <v>1.1380999999999999</v>
      </c>
    </row>
    <row r="413" spans="1:4" x14ac:dyDescent="0.2">
      <c r="A413" s="345">
        <v>40086</v>
      </c>
      <c r="B413" s="257">
        <v>1.29</v>
      </c>
      <c r="C413" s="346">
        <v>58203454.710000001</v>
      </c>
      <c r="D413" s="258">
        <v>1.327</v>
      </c>
    </row>
    <row r="414" spans="1:4" x14ac:dyDescent="0.2">
      <c r="A414" s="345">
        <v>40117</v>
      </c>
      <c r="B414" s="257">
        <v>0.67</v>
      </c>
      <c r="C414" s="346">
        <v>58590854</v>
      </c>
      <c r="D414" s="258">
        <v>0.67</v>
      </c>
    </row>
    <row r="415" spans="1:4" x14ac:dyDescent="0.2">
      <c r="A415" s="345">
        <v>40147</v>
      </c>
      <c r="B415" s="257">
        <v>1.21</v>
      </c>
      <c r="C415" s="346">
        <v>59302035</v>
      </c>
      <c r="D415" s="258">
        <v>1.214</v>
      </c>
    </row>
    <row r="416" spans="1:4" x14ac:dyDescent="0.2">
      <c r="A416" s="345">
        <v>40178</v>
      </c>
      <c r="B416" s="257">
        <v>-1.1299999999999999</v>
      </c>
      <c r="C416" s="346">
        <v>58631950.07</v>
      </c>
      <c r="D416" s="258">
        <v>-1.12995</v>
      </c>
    </row>
    <row r="417" spans="1:5" x14ac:dyDescent="0.2">
      <c r="A417" s="345">
        <v>40209</v>
      </c>
      <c r="B417" s="257">
        <v>1.56</v>
      </c>
      <c r="C417" s="346">
        <v>59544186.390000001</v>
      </c>
      <c r="D417" s="258">
        <v>1.5558700000000001</v>
      </c>
    </row>
    <row r="418" spans="1:5" x14ac:dyDescent="0.2">
      <c r="A418" s="345">
        <v>40237</v>
      </c>
      <c r="B418" s="257">
        <v>0.45</v>
      </c>
      <c r="C418" s="346">
        <v>59813563.060000002</v>
      </c>
      <c r="D418" s="258">
        <v>0.45240000000000002</v>
      </c>
    </row>
    <row r="419" spans="1:5" x14ac:dyDescent="0.2">
      <c r="A419" s="345">
        <v>40268</v>
      </c>
      <c r="B419" s="257">
        <v>-0.01</v>
      </c>
      <c r="C419" s="1287">
        <v>59806691.509999998</v>
      </c>
      <c r="D419" s="1286">
        <v>-1.149E-2</v>
      </c>
    </row>
    <row r="420" spans="1:5" x14ac:dyDescent="0.2">
      <c r="A420" s="345">
        <v>40298</v>
      </c>
      <c r="B420" s="257">
        <v>1.1599999999999999</v>
      </c>
      <c r="C420" s="346">
        <v>60498638.07</v>
      </c>
      <c r="D420" s="258">
        <v>1.1569700000000001</v>
      </c>
    </row>
    <row r="421" spans="1:5" x14ac:dyDescent="0.2">
      <c r="A421" s="345">
        <v>40329</v>
      </c>
      <c r="B421" s="257">
        <v>0.36</v>
      </c>
      <c r="C421" s="346">
        <v>60547484.130000003</v>
      </c>
      <c r="D421" s="258">
        <v>0.35560999999999998</v>
      </c>
    </row>
    <row r="422" spans="1:5" x14ac:dyDescent="0.2">
      <c r="A422" s="345">
        <v>40359</v>
      </c>
      <c r="B422" s="257">
        <v>1.67</v>
      </c>
      <c r="C422" s="346">
        <v>61752575.840000004</v>
      </c>
      <c r="D422" s="258">
        <v>1.7109799999999999</v>
      </c>
    </row>
    <row r="423" spans="1:5" x14ac:dyDescent="0.2">
      <c r="A423" s="345">
        <v>40390</v>
      </c>
      <c r="B423" s="257">
        <v>1.16804</v>
      </c>
      <c r="C423" s="346">
        <v>62473873.109999999</v>
      </c>
      <c r="D423" s="258">
        <v>1.16804</v>
      </c>
    </row>
    <row r="424" spans="1:5" x14ac:dyDescent="0.2">
      <c r="A424" s="345">
        <v>40421</v>
      </c>
      <c r="B424" s="257">
        <v>1.3427</v>
      </c>
      <c r="C424" s="346">
        <v>62301131.75</v>
      </c>
      <c r="D424" s="258">
        <v>1.3427</v>
      </c>
    </row>
    <row r="425" spans="1:5" x14ac:dyDescent="0.2">
      <c r="A425" s="345">
        <v>40451</v>
      </c>
      <c r="B425" s="257">
        <v>9.5579999999999998E-2</v>
      </c>
      <c r="C425" s="346">
        <v>62360678.979999997</v>
      </c>
      <c r="D425" s="258">
        <v>9.5579999999999998E-2</v>
      </c>
    </row>
    <row r="426" spans="1:5" x14ac:dyDescent="0.2">
      <c r="A426" s="345">
        <v>40482</v>
      </c>
      <c r="B426" s="258">
        <v>0.19044</v>
      </c>
      <c r="C426" s="346">
        <v>62502358.469999999</v>
      </c>
      <c r="D426" s="258">
        <v>0.19044</v>
      </c>
    </row>
    <row r="427" spans="1:5" x14ac:dyDescent="0.2">
      <c r="A427" s="345">
        <v>40512</v>
      </c>
      <c r="B427" s="257">
        <f>D427</f>
        <v>-0.56391999999999998</v>
      </c>
      <c r="C427" s="346">
        <v>60909408.759999998</v>
      </c>
      <c r="D427" s="258">
        <v>-0.56391999999999998</v>
      </c>
    </row>
    <row r="428" spans="1:5" x14ac:dyDescent="0.2">
      <c r="A428" s="345">
        <v>40543</v>
      </c>
      <c r="B428" s="1336">
        <v>-1.483704983741696</v>
      </c>
      <c r="C428" s="1337"/>
      <c r="D428" s="1338">
        <v>-1.483704983741696</v>
      </c>
      <c r="E428" s="262" t="s">
        <v>714</v>
      </c>
    </row>
    <row r="429" spans="1:5" x14ac:dyDescent="0.2">
      <c r="A429" s="345">
        <v>40574</v>
      </c>
      <c r="B429" s="1336">
        <f>D429</f>
        <v>0</v>
      </c>
      <c r="C429" s="1337"/>
      <c r="D429" s="1338"/>
      <c r="E429" s="262" t="s">
        <v>714</v>
      </c>
    </row>
    <row r="430" spans="1:5" x14ac:dyDescent="0.2">
      <c r="A430" s="345">
        <v>40602</v>
      </c>
    </row>
    <row r="431" spans="1:5" x14ac:dyDescent="0.2">
      <c r="A431" s="345">
        <v>40633</v>
      </c>
    </row>
    <row r="432" spans="1:5" x14ac:dyDescent="0.2">
      <c r="A432" s="345">
        <v>40663</v>
      </c>
    </row>
    <row r="433" spans="1:1" x14ac:dyDescent="0.2">
      <c r="A433" s="345">
        <v>40694</v>
      </c>
    </row>
    <row r="434" spans="1:1" x14ac:dyDescent="0.2">
      <c r="A434" s="345">
        <v>40724</v>
      </c>
    </row>
    <row r="435" spans="1:1" x14ac:dyDescent="0.2">
      <c r="A435" s="345">
        <v>40755</v>
      </c>
    </row>
    <row r="436" spans="1:1" x14ac:dyDescent="0.2">
      <c r="A436" s="345">
        <v>40786</v>
      </c>
    </row>
    <row r="437" spans="1:1" x14ac:dyDescent="0.2">
      <c r="A437" s="345">
        <v>40816</v>
      </c>
    </row>
  </sheetData>
  <phoneticPr fontId="3" type="noConversion"/>
  <pageMargins left="0.75" right="0.75" top="1" bottom="1" header="0.5" footer="0.5"/>
  <headerFooter alignWithMargins="0"/>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I500"/>
  <sheetViews>
    <sheetView topLeftCell="A387" workbookViewId="0">
      <selection activeCell="D441" sqref="D441"/>
    </sheetView>
  </sheetViews>
  <sheetFormatPr defaultRowHeight="12.75" x14ac:dyDescent="0.2"/>
  <cols>
    <col min="1" max="1" width="18.7109375" style="21" customWidth="1"/>
    <col min="2" max="2" width="18.7109375" style="257" customWidth="1"/>
    <col min="3" max="3" width="18.7109375" style="5" customWidth="1"/>
    <col min="4" max="5" width="18.7109375" style="258" customWidth="1"/>
    <col min="7" max="7" width="9.140625" style="352"/>
    <col min="8" max="8" width="11.140625" style="352" customWidth="1"/>
  </cols>
  <sheetData>
    <row r="1" spans="1:5" x14ac:dyDescent="0.2">
      <c r="A1" s="265" t="s">
        <v>301</v>
      </c>
      <c r="B1" s="344" t="s">
        <v>300</v>
      </c>
      <c r="C1" s="21"/>
      <c r="D1" s="252">
        <v>32</v>
      </c>
      <c r="E1" s="74" t="s">
        <v>81</v>
      </c>
    </row>
    <row r="2" spans="1:5" x14ac:dyDescent="0.2">
      <c r="A2" s="3" t="s">
        <v>27</v>
      </c>
      <c r="B2" s="71" t="s">
        <v>91</v>
      </c>
      <c r="C2" s="3" t="s">
        <v>92</v>
      </c>
      <c r="D2" s="71" t="s">
        <v>90</v>
      </c>
      <c r="E2" s="71" t="s">
        <v>80</v>
      </c>
    </row>
    <row r="3" spans="1:5" x14ac:dyDescent="0.2">
      <c r="A3" s="345">
        <v>27606</v>
      </c>
      <c r="B3" s="71"/>
      <c r="C3" s="226"/>
      <c r="D3" s="71"/>
      <c r="E3" s="71"/>
    </row>
    <row r="4" spans="1:5" x14ac:dyDescent="0.2">
      <c r="A4" s="345">
        <v>27637</v>
      </c>
      <c r="B4" s="71"/>
      <c r="C4" s="226"/>
      <c r="D4" s="71"/>
      <c r="E4" s="71"/>
    </row>
    <row r="5" spans="1:5" x14ac:dyDescent="0.2">
      <c r="A5" s="345">
        <v>27667</v>
      </c>
      <c r="B5" s="71"/>
      <c r="C5" s="226"/>
      <c r="D5" s="71"/>
      <c r="E5" s="71"/>
    </row>
    <row r="6" spans="1:5" x14ac:dyDescent="0.2">
      <c r="A6" s="345">
        <v>27698</v>
      </c>
      <c r="B6" s="71"/>
      <c r="C6" s="226"/>
      <c r="D6" s="71"/>
      <c r="E6" s="71"/>
    </row>
    <row r="7" spans="1:5" x14ac:dyDescent="0.2">
      <c r="A7" s="345">
        <v>27728</v>
      </c>
      <c r="B7" s="71"/>
      <c r="C7" s="226"/>
      <c r="D7" s="71"/>
      <c r="E7" s="71"/>
    </row>
    <row r="8" spans="1:5" x14ac:dyDescent="0.2">
      <c r="A8" s="345">
        <v>27759</v>
      </c>
      <c r="B8" s="71"/>
      <c r="C8" s="226"/>
      <c r="D8" s="71"/>
      <c r="E8" s="71"/>
    </row>
    <row r="9" spans="1:5" x14ac:dyDescent="0.2">
      <c r="A9" s="345">
        <v>27790</v>
      </c>
      <c r="B9" s="71"/>
      <c r="C9" s="226"/>
      <c r="D9" s="71"/>
      <c r="E9" s="71"/>
    </row>
    <row r="10" spans="1:5" x14ac:dyDescent="0.2">
      <c r="A10" s="345">
        <v>27819</v>
      </c>
      <c r="B10" s="71"/>
      <c r="C10" s="226"/>
      <c r="D10" s="71"/>
      <c r="E10" s="71"/>
    </row>
    <row r="11" spans="1:5" x14ac:dyDescent="0.2">
      <c r="A11" s="345">
        <v>27850</v>
      </c>
      <c r="B11" s="71"/>
      <c r="C11" s="226"/>
      <c r="D11" s="71"/>
      <c r="E11" s="71"/>
    </row>
    <row r="12" spans="1:5" x14ac:dyDescent="0.2">
      <c r="A12" s="345">
        <v>27880</v>
      </c>
      <c r="B12" s="71"/>
      <c r="C12" s="226"/>
      <c r="D12" s="71"/>
      <c r="E12" s="71"/>
    </row>
    <row r="13" spans="1:5" x14ac:dyDescent="0.2">
      <c r="A13" s="345">
        <v>27911</v>
      </c>
      <c r="B13" s="71"/>
      <c r="C13" s="226"/>
      <c r="D13" s="71"/>
      <c r="E13" s="71"/>
    </row>
    <row r="14" spans="1:5" x14ac:dyDescent="0.2">
      <c r="A14" s="345">
        <v>27941</v>
      </c>
      <c r="B14" s="71"/>
      <c r="C14" s="226"/>
      <c r="D14" s="71"/>
      <c r="E14" s="71"/>
    </row>
    <row r="15" spans="1:5" x14ac:dyDescent="0.2">
      <c r="A15" s="345">
        <v>27972</v>
      </c>
      <c r="B15" s="71"/>
      <c r="C15" s="226"/>
      <c r="D15" s="71"/>
      <c r="E15" s="71"/>
    </row>
    <row r="16" spans="1:5" x14ac:dyDescent="0.2">
      <c r="A16" s="345">
        <v>28003</v>
      </c>
      <c r="B16" s="71"/>
      <c r="C16" s="226"/>
      <c r="D16" s="71"/>
      <c r="E16" s="71"/>
    </row>
    <row r="17" spans="1:5" x14ac:dyDescent="0.2">
      <c r="A17" s="345">
        <v>28033</v>
      </c>
      <c r="B17" s="71"/>
      <c r="C17" s="226"/>
      <c r="D17" s="71"/>
      <c r="E17" s="71"/>
    </row>
    <row r="18" spans="1:5" x14ac:dyDescent="0.2">
      <c r="A18" s="345">
        <v>28064</v>
      </c>
      <c r="B18" s="71"/>
      <c r="C18" s="226"/>
      <c r="D18" s="71"/>
      <c r="E18" s="71"/>
    </row>
    <row r="19" spans="1:5" x14ac:dyDescent="0.2">
      <c r="A19" s="345">
        <v>28094</v>
      </c>
      <c r="B19" s="71"/>
      <c r="C19" s="226"/>
      <c r="D19" s="71"/>
      <c r="E19" s="71"/>
    </row>
    <row r="20" spans="1:5" x14ac:dyDescent="0.2">
      <c r="A20" s="345">
        <v>28125</v>
      </c>
      <c r="B20" s="71"/>
      <c r="C20" s="226"/>
      <c r="D20" s="71"/>
      <c r="E20" s="71"/>
    </row>
    <row r="21" spans="1:5" x14ac:dyDescent="0.2">
      <c r="A21" s="345">
        <v>28156</v>
      </c>
      <c r="B21" s="71"/>
      <c r="C21" s="226"/>
      <c r="D21" s="71"/>
      <c r="E21" s="71"/>
    </row>
    <row r="22" spans="1:5" x14ac:dyDescent="0.2">
      <c r="A22" s="345">
        <v>28184</v>
      </c>
      <c r="B22" s="71"/>
      <c r="C22" s="226"/>
      <c r="D22" s="71"/>
      <c r="E22" s="71"/>
    </row>
    <row r="23" spans="1:5" x14ac:dyDescent="0.2">
      <c r="A23" s="345">
        <v>28215</v>
      </c>
      <c r="B23" s="71"/>
      <c r="C23" s="226"/>
      <c r="D23" s="71"/>
      <c r="E23" s="71"/>
    </row>
    <row r="24" spans="1:5" x14ac:dyDescent="0.2">
      <c r="A24" s="345">
        <v>28245</v>
      </c>
      <c r="B24" s="71"/>
      <c r="C24" s="226"/>
      <c r="D24" s="71"/>
      <c r="E24" s="71"/>
    </row>
    <row r="25" spans="1:5" x14ac:dyDescent="0.2">
      <c r="A25" s="345">
        <v>28276</v>
      </c>
      <c r="B25" s="71"/>
      <c r="C25" s="226"/>
      <c r="D25" s="71"/>
      <c r="E25" s="71"/>
    </row>
    <row r="26" spans="1:5" x14ac:dyDescent="0.2">
      <c r="A26" s="345">
        <v>28306</v>
      </c>
      <c r="B26" s="71"/>
      <c r="C26" s="226"/>
      <c r="D26" s="71"/>
      <c r="E26" s="71"/>
    </row>
    <row r="27" spans="1:5" x14ac:dyDescent="0.2">
      <c r="A27" s="345">
        <v>28337</v>
      </c>
      <c r="B27" s="71"/>
      <c r="C27" s="226"/>
      <c r="D27" s="71"/>
      <c r="E27" s="71"/>
    </row>
    <row r="28" spans="1:5" x14ac:dyDescent="0.2">
      <c r="A28" s="345">
        <v>28368</v>
      </c>
      <c r="B28" s="71"/>
      <c r="C28" s="226"/>
      <c r="D28" s="71"/>
      <c r="E28" s="71"/>
    </row>
    <row r="29" spans="1:5" x14ac:dyDescent="0.2">
      <c r="A29" s="345">
        <v>28398</v>
      </c>
      <c r="B29" s="71"/>
      <c r="C29" s="226"/>
      <c r="D29" s="71"/>
      <c r="E29" s="71"/>
    </row>
    <row r="30" spans="1:5" x14ac:dyDescent="0.2">
      <c r="A30" s="345">
        <v>28429</v>
      </c>
      <c r="B30" s="71"/>
      <c r="C30" s="226"/>
      <c r="D30" s="71"/>
      <c r="E30" s="71"/>
    </row>
    <row r="31" spans="1:5" x14ac:dyDescent="0.2">
      <c r="A31" s="345">
        <v>28459</v>
      </c>
      <c r="B31" s="71"/>
      <c r="C31" s="226"/>
      <c r="D31" s="71"/>
      <c r="E31" s="71"/>
    </row>
    <row r="32" spans="1:5" x14ac:dyDescent="0.2">
      <c r="A32" s="345">
        <v>28490</v>
      </c>
      <c r="B32" s="71"/>
      <c r="C32" s="226"/>
      <c r="D32" s="71"/>
      <c r="E32" s="71"/>
    </row>
    <row r="33" spans="1:5" x14ac:dyDescent="0.2">
      <c r="A33" s="345">
        <v>28521</v>
      </c>
      <c r="B33" s="71"/>
      <c r="C33" s="226"/>
      <c r="D33" s="71"/>
      <c r="E33" s="71"/>
    </row>
    <row r="34" spans="1:5" x14ac:dyDescent="0.2">
      <c r="A34" s="345">
        <v>28549</v>
      </c>
      <c r="B34" s="71"/>
      <c r="C34" s="226"/>
      <c r="D34" s="71"/>
      <c r="E34" s="71"/>
    </row>
    <row r="35" spans="1:5" x14ac:dyDescent="0.2">
      <c r="A35" s="345">
        <v>28580</v>
      </c>
      <c r="B35" s="71"/>
      <c r="C35" s="226"/>
      <c r="D35" s="71"/>
      <c r="E35" s="71"/>
    </row>
    <row r="36" spans="1:5" x14ac:dyDescent="0.2">
      <c r="A36" s="345">
        <v>28610</v>
      </c>
      <c r="B36" s="71"/>
      <c r="C36" s="226"/>
      <c r="D36" s="71"/>
      <c r="E36" s="71"/>
    </row>
    <row r="37" spans="1:5" x14ac:dyDescent="0.2">
      <c r="A37" s="345">
        <v>28641</v>
      </c>
      <c r="B37" s="71"/>
      <c r="C37" s="226"/>
      <c r="D37" s="71"/>
      <c r="E37" s="71"/>
    </row>
    <row r="38" spans="1:5" x14ac:dyDescent="0.2">
      <c r="A38" s="345">
        <v>28671</v>
      </c>
      <c r="B38" s="71"/>
      <c r="C38" s="226"/>
      <c r="D38" s="71"/>
      <c r="E38" s="71"/>
    </row>
    <row r="39" spans="1:5" x14ac:dyDescent="0.2">
      <c r="A39" s="345">
        <v>28702</v>
      </c>
      <c r="B39" s="71"/>
      <c r="C39" s="226"/>
      <c r="D39" s="71"/>
      <c r="E39" s="71"/>
    </row>
    <row r="40" spans="1:5" x14ac:dyDescent="0.2">
      <c r="A40" s="345">
        <v>28733</v>
      </c>
      <c r="B40" s="71"/>
      <c r="C40" s="226"/>
      <c r="D40" s="71"/>
      <c r="E40" s="71"/>
    </row>
    <row r="41" spans="1:5" x14ac:dyDescent="0.2">
      <c r="A41" s="345">
        <v>28763</v>
      </c>
      <c r="B41" s="71"/>
      <c r="C41" s="226"/>
      <c r="D41" s="71"/>
      <c r="E41" s="71"/>
    </row>
    <row r="42" spans="1:5" x14ac:dyDescent="0.2">
      <c r="A42" s="345">
        <v>28794</v>
      </c>
      <c r="B42" s="71"/>
      <c r="C42" s="226"/>
      <c r="D42" s="71"/>
      <c r="E42" s="71"/>
    </row>
    <row r="43" spans="1:5" x14ac:dyDescent="0.2">
      <c r="A43" s="345">
        <v>28824</v>
      </c>
      <c r="B43" s="71"/>
      <c r="C43" s="226"/>
      <c r="D43" s="71"/>
      <c r="E43" s="71"/>
    </row>
    <row r="44" spans="1:5" x14ac:dyDescent="0.2">
      <c r="A44" s="345">
        <v>28855</v>
      </c>
      <c r="B44" s="71"/>
      <c r="C44" s="226"/>
      <c r="D44" s="71"/>
      <c r="E44" s="71"/>
    </row>
    <row r="45" spans="1:5" x14ac:dyDescent="0.2">
      <c r="A45" s="345">
        <v>28886</v>
      </c>
      <c r="B45" s="71"/>
      <c r="C45" s="226"/>
      <c r="D45" s="71"/>
      <c r="E45" s="71"/>
    </row>
    <row r="46" spans="1:5" x14ac:dyDescent="0.2">
      <c r="A46" s="345">
        <v>28914</v>
      </c>
      <c r="B46" s="71"/>
      <c r="C46" s="226"/>
      <c r="D46" s="71"/>
      <c r="E46" s="71"/>
    </row>
    <row r="47" spans="1:5" x14ac:dyDescent="0.2">
      <c r="A47" s="345">
        <v>28945</v>
      </c>
      <c r="B47" s="71"/>
      <c r="C47" s="226"/>
      <c r="D47" s="71"/>
      <c r="E47" s="71"/>
    </row>
    <row r="48" spans="1:5" x14ac:dyDescent="0.2">
      <c r="A48" s="345">
        <v>28975</v>
      </c>
      <c r="B48" s="71"/>
      <c r="C48" s="226"/>
      <c r="D48" s="71"/>
      <c r="E48" s="71"/>
    </row>
    <row r="49" spans="1:5" x14ac:dyDescent="0.2">
      <c r="A49" s="345">
        <v>29006</v>
      </c>
      <c r="B49" s="71"/>
      <c r="C49" s="226"/>
      <c r="D49" s="71"/>
      <c r="E49" s="71"/>
    </row>
    <row r="50" spans="1:5" x14ac:dyDescent="0.2">
      <c r="A50" s="345">
        <v>29036</v>
      </c>
      <c r="B50" s="71"/>
      <c r="C50" s="226"/>
      <c r="D50" s="71"/>
      <c r="E50" s="71"/>
    </row>
    <row r="51" spans="1:5" x14ac:dyDescent="0.2">
      <c r="A51" s="345">
        <v>29067</v>
      </c>
      <c r="B51" s="71"/>
      <c r="C51" s="226"/>
      <c r="D51" s="71"/>
      <c r="E51" s="71"/>
    </row>
    <row r="52" spans="1:5" x14ac:dyDescent="0.2">
      <c r="A52" s="345">
        <v>29098</v>
      </c>
      <c r="B52" s="71"/>
      <c r="C52" s="226"/>
      <c r="D52" s="71"/>
      <c r="E52" s="71"/>
    </row>
    <row r="53" spans="1:5" x14ac:dyDescent="0.2">
      <c r="A53" s="345">
        <v>29128</v>
      </c>
      <c r="B53" s="71"/>
      <c r="C53" s="226"/>
      <c r="D53" s="71"/>
      <c r="E53" s="71"/>
    </row>
    <row r="54" spans="1:5" x14ac:dyDescent="0.2">
      <c r="A54" s="345">
        <v>29159</v>
      </c>
      <c r="B54" s="71"/>
      <c r="C54" s="226"/>
      <c r="D54" s="71"/>
      <c r="E54" s="71"/>
    </row>
    <row r="55" spans="1:5" x14ac:dyDescent="0.2">
      <c r="A55" s="345">
        <v>29189</v>
      </c>
      <c r="B55" s="71"/>
      <c r="C55" s="226"/>
      <c r="D55" s="71"/>
      <c r="E55" s="71"/>
    </row>
    <row r="56" spans="1:5" x14ac:dyDescent="0.2">
      <c r="A56" s="345">
        <v>29220</v>
      </c>
      <c r="B56" s="71"/>
      <c r="C56" s="226"/>
      <c r="D56" s="71"/>
      <c r="E56" s="71"/>
    </row>
    <row r="57" spans="1:5" x14ac:dyDescent="0.2">
      <c r="A57" s="345">
        <v>29251</v>
      </c>
      <c r="B57" s="71"/>
      <c r="C57" s="226"/>
      <c r="D57" s="71"/>
      <c r="E57" s="71"/>
    </row>
    <row r="58" spans="1:5" x14ac:dyDescent="0.2">
      <c r="A58" s="345">
        <v>29280</v>
      </c>
      <c r="B58" s="71"/>
      <c r="C58" s="226"/>
      <c r="D58" s="71"/>
      <c r="E58" s="71"/>
    </row>
    <row r="59" spans="1:5" x14ac:dyDescent="0.2">
      <c r="A59" s="345">
        <v>29311</v>
      </c>
      <c r="B59" s="71"/>
      <c r="C59" s="226"/>
      <c r="D59" s="71"/>
      <c r="E59" s="71"/>
    </row>
    <row r="60" spans="1:5" x14ac:dyDescent="0.2">
      <c r="A60" s="345">
        <v>29341</v>
      </c>
      <c r="B60" s="71"/>
      <c r="C60" s="226"/>
      <c r="D60" s="71"/>
      <c r="E60" s="71"/>
    </row>
    <row r="61" spans="1:5" x14ac:dyDescent="0.2">
      <c r="A61" s="345">
        <v>29372</v>
      </c>
      <c r="B61" s="71"/>
      <c r="C61" s="226"/>
      <c r="D61" s="71"/>
      <c r="E61" s="71"/>
    </row>
    <row r="62" spans="1:5" x14ac:dyDescent="0.2">
      <c r="A62" s="345">
        <v>29402</v>
      </c>
      <c r="B62" s="71"/>
      <c r="C62" s="226"/>
      <c r="D62" s="71"/>
      <c r="E62" s="71"/>
    </row>
    <row r="63" spans="1:5" x14ac:dyDescent="0.2">
      <c r="A63" s="345">
        <v>29433</v>
      </c>
      <c r="B63" s="71"/>
      <c r="C63" s="226"/>
      <c r="D63" s="71"/>
      <c r="E63" s="71"/>
    </row>
    <row r="64" spans="1:5" x14ac:dyDescent="0.2">
      <c r="A64" s="345">
        <v>29464</v>
      </c>
      <c r="B64" s="71"/>
      <c r="C64" s="226"/>
      <c r="D64" s="71"/>
      <c r="E64" s="71"/>
    </row>
    <row r="65" spans="1:5" x14ac:dyDescent="0.2">
      <c r="A65" s="345">
        <v>29494</v>
      </c>
      <c r="B65" s="71"/>
      <c r="C65" s="226"/>
      <c r="D65" s="71"/>
      <c r="E65" s="71"/>
    </row>
    <row r="66" spans="1:5" x14ac:dyDescent="0.2">
      <c r="A66" s="345">
        <v>29525</v>
      </c>
      <c r="B66" s="71"/>
      <c r="C66" s="226"/>
      <c r="D66" s="71"/>
      <c r="E66" s="71"/>
    </row>
    <row r="67" spans="1:5" x14ac:dyDescent="0.2">
      <c r="A67" s="345">
        <v>29555</v>
      </c>
      <c r="B67" s="71"/>
      <c r="C67" s="226"/>
      <c r="D67" s="71"/>
      <c r="E67" s="71"/>
    </row>
    <row r="68" spans="1:5" x14ac:dyDescent="0.2">
      <c r="A68" s="345">
        <v>29586</v>
      </c>
      <c r="B68" s="71"/>
      <c r="C68" s="226"/>
      <c r="D68" s="71"/>
      <c r="E68" s="71"/>
    </row>
    <row r="69" spans="1:5" x14ac:dyDescent="0.2">
      <c r="A69" s="345">
        <v>29617</v>
      </c>
      <c r="B69" s="71"/>
      <c r="C69" s="226"/>
      <c r="D69" s="71"/>
      <c r="E69" s="71"/>
    </row>
    <row r="70" spans="1:5" x14ac:dyDescent="0.2">
      <c r="A70" s="345">
        <v>29645</v>
      </c>
      <c r="B70" s="71"/>
      <c r="C70" s="226"/>
      <c r="D70" s="71"/>
      <c r="E70" s="71"/>
    </row>
    <row r="71" spans="1:5" x14ac:dyDescent="0.2">
      <c r="A71" s="345">
        <v>29676</v>
      </c>
      <c r="B71" s="71"/>
      <c r="C71" s="226"/>
      <c r="D71" s="71"/>
      <c r="E71" s="71"/>
    </row>
    <row r="72" spans="1:5" x14ac:dyDescent="0.2">
      <c r="A72" s="345">
        <v>29706</v>
      </c>
      <c r="B72" s="71"/>
      <c r="C72" s="226"/>
      <c r="D72" s="71"/>
      <c r="E72" s="71"/>
    </row>
    <row r="73" spans="1:5" x14ac:dyDescent="0.2">
      <c r="A73" s="345">
        <v>29737</v>
      </c>
      <c r="B73" s="71"/>
      <c r="C73" s="226"/>
      <c r="D73" s="71"/>
      <c r="E73" s="71"/>
    </row>
    <row r="74" spans="1:5" x14ac:dyDescent="0.2">
      <c r="A74" s="345">
        <v>29767</v>
      </c>
      <c r="B74" s="71"/>
      <c r="C74" s="226"/>
      <c r="D74" s="71"/>
      <c r="E74" s="71"/>
    </row>
    <row r="75" spans="1:5" x14ac:dyDescent="0.2">
      <c r="A75" s="345">
        <v>29798</v>
      </c>
      <c r="B75" s="71"/>
      <c r="C75" s="226"/>
      <c r="D75" s="71"/>
      <c r="E75" s="71"/>
    </row>
    <row r="76" spans="1:5" x14ac:dyDescent="0.2">
      <c r="A76" s="345">
        <v>29829</v>
      </c>
      <c r="B76" s="71"/>
      <c r="C76" s="226"/>
      <c r="D76" s="71"/>
      <c r="E76" s="71"/>
    </row>
    <row r="77" spans="1:5" x14ac:dyDescent="0.2">
      <c r="A77" s="345">
        <v>29859</v>
      </c>
      <c r="B77" s="71"/>
      <c r="C77" s="226"/>
      <c r="D77" s="71"/>
      <c r="E77" s="71"/>
    </row>
    <row r="78" spans="1:5" x14ac:dyDescent="0.2">
      <c r="A78" s="345">
        <v>29890</v>
      </c>
      <c r="B78" s="71"/>
      <c r="C78" s="226"/>
      <c r="D78" s="71"/>
      <c r="E78" s="71"/>
    </row>
    <row r="79" spans="1:5" x14ac:dyDescent="0.2">
      <c r="A79" s="345">
        <v>29920</v>
      </c>
      <c r="B79" s="71"/>
      <c r="C79" s="226"/>
      <c r="D79" s="71"/>
      <c r="E79" s="71"/>
    </row>
    <row r="80" spans="1:5" x14ac:dyDescent="0.2">
      <c r="A80" s="345">
        <v>29951</v>
      </c>
      <c r="B80" s="71"/>
      <c r="C80" s="226"/>
      <c r="D80" s="71"/>
      <c r="E80" s="71"/>
    </row>
    <row r="81" spans="1:5" x14ac:dyDescent="0.2">
      <c r="A81" s="345">
        <v>29982</v>
      </c>
      <c r="B81" s="71"/>
      <c r="C81" s="226"/>
      <c r="D81" s="71"/>
      <c r="E81" s="71"/>
    </row>
    <row r="82" spans="1:5" x14ac:dyDescent="0.2">
      <c r="A82" s="345">
        <v>30010</v>
      </c>
      <c r="B82" s="71"/>
      <c r="C82" s="226"/>
      <c r="D82" s="71"/>
      <c r="E82" s="71"/>
    </row>
    <row r="83" spans="1:5" x14ac:dyDescent="0.2">
      <c r="A83" s="345">
        <v>30041</v>
      </c>
      <c r="B83" s="71"/>
      <c r="C83" s="226"/>
      <c r="D83" s="71"/>
      <c r="E83" s="71"/>
    </row>
    <row r="84" spans="1:5" x14ac:dyDescent="0.2">
      <c r="A84" s="345">
        <v>30071</v>
      </c>
      <c r="B84" s="71"/>
      <c r="C84" s="226"/>
      <c r="D84" s="71"/>
      <c r="E84" s="71"/>
    </row>
    <row r="85" spans="1:5" x14ac:dyDescent="0.2">
      <c r="A85" s="345">
        <v>30102</v>
      </c>
      <c r="B85" s="71"/>
      <c r="C85" s="226"/>
      <c r="D85" s="71"/>
      <c r="E85" s="71"/>
    </row>
    <row r="86" spans="1:5" x14ac:dyDescent="0.2">
      <c r="A86" s="345">
        <v>30132</v>
      </c>
      <c r="B86" s="71"/>
      <c r="C86" s="226"/>
      <c r="D86" s="71"/>
      <c r="E86" s="71"/>
    </row>
    <row r="87" spans="1:5" x14ac:dyDescent="0.2">
      <c r="A87" s="345">
        <v>30163</v>
      </c>
      <c r="B87" s="71"/>
      <c r="C87" s="226"/>
      <c r="D87" s="71"/>
      <c r="E87" s="71"/>
    </row>
    <row r="88" spans="1:5" x14ac:dyDescent="0.2">
      <c r="A88" s="345">
        <v>30194</v>
      </c>
      <c r="B88" s="71"/>
      <c r="C88" s="226"/>
      <c r="D88" s="71"/>
      <c r="E88" s="71"/>
    </row>
    <row r="89" spans="1:5" x14ac:dyDescent="0.2">
      <c r="A89" s="345">
        <v>30224</v>
      </c>
      <c r="B89" s="71"/>
      <c r="C89" s="226"/>
      <c r="D89" s="71"/>
      <c r="E89" s="71"/>
    </row>
    <row r="90" spans="1:5" x14ac:dyDescent="0.2">
      <c r="A90" s="345">
        <v>30255</v>
      </c>
      <c r="B90" s="71"/>
      <c r="C90" s="226"/>
      <c r="D90" s="71"/>
      <c r="E90" s="71"/>
    </row>
    <row r="91" spans="1:5" x14ac:dyDescent="0.2">
      <c r="A91" s="345">
        <v>30285</v>
      </c>
      <c r="B91" s="71"/>
      <c r="C91" s="226"/>
      <c r="D91" s="71"/>
      <c r="E91" s="71"/>
    </row>
    <row r="92" spans="1:5" x14ac:dyDescent="0.2">
      <c r="A92" s="345">
        <v>30316</v>
      </c>
      <c r="B92" s="71"/>
      <c r="C92" s="226"/>
      <c r="D92" s="71"/>
      <c r="E92" s="71"/>
    </row>
    <row r="93" spans="1:5" x14ac:dyDescent="0.2">
      <c r="A93" s="345">
        <v>30347</v>
      </c>
      <c r="B93" s="71"/>
      <c r="C93" s="226"/>
      <c r="D93" s="71"/>
      <c r="E93" s="71"/>
    </row>
    <row r="94" spans="1:5" x14ac:dyDescent="0.2">
      <c r="A94" s="345">
        <v>30375</v>
      </c>
      <c r="B94" s="71"/>
      <c r="C94" s="226"/>
      <c r="D94" s="71"/>
      <c r="E94" s="71"/>
    </row>
    <row r="95" spans="1:5" x14ac:dyDescent="0.2">
      <c r="A95" s="345">
        <v>30406</v>
      </c>
      <c r="B95" s="71"/>
      <c r="C95" s="226"/>
      <c r="D95" s="71"/>
      <c r="E95" s="71"/>
    </row>
    <row r="96" spans="1:5" x14ac:dyDescent="0.2">
      <c r="A96" s="345">
        <v>30436</v>
      </c>
      <c r="B96" s="71"/>
      <c r="C96" s="226"/>
      <c r="D96" s="71"/>
      <c r="E96" s="71"/>
    </row>
    <row r="97" spans="1:5" x14ac:dyDescent="0.2">
      <c r="A97" s="345">
        <v>30467</v>
      </c>
      <c r="B97" s="71"/>
      <c r="C97" s="226"/>
      <c r="D97" s="71"/>
      <c r="E97" s="71"/>
    </row>
    <row r="98" spans="1:5" x14ac:dyDescent="0.2">
      <c r="A98" s="345">
        <v>30497</v>
      </c>
      <c r="B98" s="71"/>
      <c r="C98" s="226"/>
      <c r="D98" s="71"/>
      <c r="E98" s="71"/>
    </row>
    <row r="99" spans="1:5" x14ac:dyDescent="0.2">
      <c r="A99" s="345">
        <v>30528</v>
      </c>
      <c r="B99" s="71"/>
      <c r="C99" s="226"/>
      <c r="D99" s="71"/>
      <c r="E99" s="71"/>
    </row>
    <row r="100" spans="1:5" x14ac:dyDescent="0.2">
      <c r="A100" s="345">
        <v>30559</v>
      </c>
      <c r="B100" s="71"/>
      <c r="C100" s="226"/>
      <c r="D100" s="71"/>
      <c r="E100" s="71"/>
    </row>
    <row r="101" spans="1:5" x14ac:dyDescent="0.2">
      <c r="A101" s="345">
        <v>30589</v>
      </c>
      <c r="B101" s="71"/>
      <c r="C101" s="226"/>
      <c r="D101" s="71"/>
      <c r="E101" s="71"/>
    </row>
    <row r="102" spans="1:5" x14ac:dyDescent="0.2">
      <c r="A102" s="345">
        <v>30620</v>
      </c>
      <c r="B102" s="71"/>
      <c r="C102" s="226"/>
      <c r="D102" s="71"/>
      <c r="E102" s="71"/>
    </row>
    <row r="103" spans="1:5" x14ac:dyDescent="0.2">
      <c r="A103" s="345">
        <v>30650</v>
      </c>
      <c r="B103" s="71"/>
      <c r="C103" s="226"/>
      <c r="D103" s="71"/>
      <c r="E103" s="71"/>
    </row>
    <row r="104" spans="1:5" x14ac:dyDescent="0.2">
      <c r="A104" s="345">
        <v>30681</v>
      </c>
      <c r="B104" s="71"/>
      <c r="C104" s="226"/>
      <c r="D104" s="71"/>
      <c r="E104" s="71"/>
    </row>
    <row r="105" spans="1:5" x14ac:dyDescent="0.2">
      <c r="A105" s="345">
        <v>30712</v>
      </c>
      <c r="B105" s="71"/>
      <c r="C105" s="226"/>
      <c r="D105" s="71"/>
      <c r="E105" s="71"/>
    </row>
    <row r="106" spans="1:5" x14ac:dyDescent="0.2">
      <c r="A106" s="345">
        <v>30741</v>
      </c>
      <c r="B106" s="71"/>
      <c r="C106" s="226"/>
      <c r="D106" s="71"/>
      <c r="E106" s="71"/>
    </row>
    <row r="107" spans="1:5" x14ac:dyDescent="0.2">
      <c r="A107" s="345">
        <v>30772</v>
      </c>
      <c r="B107" s="71"/>
      <c r="C107" s="226"/>
      <c r="D107" s="71"/>
      <c r="E107" s="71"/>
    </row>
    <row r="108" spans="1:5" x14ac:dyDescent="0.2">
      <c r="A108" s="345">
        <v>30802</v>
      </c>
      <c r="B108" s="71"/>
      <c r="C108" s="226"/>
      <c r="D108" s="71"/>
      <c r="E108" s="71"/>
    </row>
    <row r="109" spans="1:5" x14ac:dyDescent="0.2">
      <c r="A109" s="345">
        <v>30833</v>
      </c>
      <c r="B109" s="71"/>
      <c r="C109" s="226"/>
      <c r="D109" s="71"/>
      <c r="E109" s="71"/>
    </row>
    <row r="110" spans="1:5" x14ac:dyDescent="0.2">
      <c r="A110" s="345">
        <v>30863</v>
      </c>
      <c r="B110" s="71"/>
      <c r="C110" s="226"/>
      <c r="D110" s="71"/>
      <c r="E110" s="71"/>
    </row>
    <row r="111" spans="1:5" x14ac:dyDescent="0.2">
      <c r="A111" s="345">
        <v>30894</v>
      </c>
      <c r="B111" s="71"/>
      <c r="C111" s="226"/>
      <c r="D111" s="71"/>
      <c r="E111" s="71"/>
    </row>
    <row r="112" spans="1:5" x14ac:dyDescent="0.2">
      <c r="A112" s="345">
        <v>30925</v>
      </c>
      <c r="B112" s="71"/>
      <c r="C112" s="226"/>
      <c r="D112" s="71"/>
      <c r="E112" s="71"/>
    </row>
    <row r="113" spans="1:5" x14ac:dyDescent="0.2">
      <c r="A113" s="345">
        <v>30955</v>
      </c>
      <c r="B113" s="71"/>
      <c r="C113" s="226"/>
      <c r="D113" s="71"/>
      <c r="E113" s="71"/>
    </row>
    <row r="114" spans="1:5" x14ac:dyDescent="0.2">
      <c r="A114" s="345">
        <v>30986</v>
      </c>
      <c r="B114" s="71"/>
      <c r="C114" s="226"/>
      <c r="D114" s="71"/>
      <c r="E114" s="71"/>
    </row>
    <row r="115" spans="1:5" x14ac:dyDescent="0.2">
      <c r="A115" s="345">
        <v>31016</v>
      </c>
      <c r="B115" s="71"/>
      <c r="C115" s="226"/>
      <c r="D115" s="71"/>
      <c r="E115" s="71"/>
    </row>
    <row r="116" spans="1:5" x14ac:dyDescent="0.2">
      <c r="A116" s="345">
        <v>31047</v>
      </c>
      <c r="B116" s="71"/>
      <c r="C116" s="226"/>
      <c r="D116" s="71"/>
      <c r="E116" s="71"/>
    </row>
    <row r="117" spans="1:5" x14ac:dyDescent="0.2">
      <c r="A117" s="345">
        <v>31078</v>
      </c>
      <c r="B117" s="71"/>
      <c r="C117" s="226"/>
      <c r="D117" s="71"/>
      <c r="E117" s="71"/>
    </row>
    <row r="118" spans="1:5" x14ac:dyDescent="0.2">
      <c r="A118" s="345">
        <v>31106</v>
      </c>
      <c r="B118" s="71"/>
      <c r="C118" s="226"/>
      <c r="D118" s="71"/>
      <c r="E118" s="71"/>
    </row>
    <row r="119" spans="1:5" x14ac:dyDescent="0.2">
      <c r="A119" s="345">
        <v>31137</v>
      </c>
      <c r="B119" s="71"/>
      <c r="C119" s="226"/>
      <c r="D119" s="71"/>
      <c r="E119" s="71"/>
    </row>
    <row r="120" spans="1:5" x14ac:dyDescent="0.2">
      <c r="A120" s="345">
        <v>31167</v>
      </c>
      <c r="B120" s="71"/>
      <c r="C120" s="226"/>
      <c r="D120" s="71"/>
      <c r="E120" s="71"/>
    </row>
    <row r="121" spans="1:5" x14ac:dyDescent="0.2">
      <c r="A121" s="345">
        <v>31198</v>
      </c>
      <c r="B121" s="71"/>
      <c r="C121" s="226"/>
      <c r="D121" s="71"/>
      <c r="E121" s="71"/>
    </row>
    <row r="122" spans="1:5" x14ac:dyDescent="0.2">
      <c r="A122" s="345">
        <v>31228</v>
      </c>
      <c r="B122" s="71"/>
      <c r="C122" s="226"/>
      <c r="D122" s="71"/>
      <c r="E122" s="71"/>
    </row>
    <row r="123" spans="1:5" x14ac:dyDescent="0.2">
      <c r="A123" s="345">
        <v>31259</v>
      </c>
      <c r="B123" s="71"/>
      <c r="C123" s="226"/>
      <c r="D123" s="71"/>
      <c r="E123" s="71"/>
    </row>
    <row r="124" spans="1:5" x14ac:dyDescent="0.2">
      <c r="A124" s="345">
        <v>31290</v>
      </c>
      <c r="B124" s="71"/>
      <c r="C124" s="226"/>
      <c r="D124" s="71"/>
      <c r="E124" s="71"/>
    </row>
    <row r="125" spans="1:5" x14ac:dyDescent="0.2">
      <c r="A125" s="345">
        <v>31320</v>
      </c>
      <c r="B125" s="71"/>
      <c r="C125" s="226"/>
      <c r="D125" s="71"/>
      <c r="E125" s="71"/>
    </row>
    <row r="126" spans="1:5" x14ac:dyDescent="0.2">
      <c r="A126" s="345">
        <v>31351</v>
      </c>
      <c r="B126" s="71"/>
      <c r="C126" s="226"/>
      <c r="D126" s="71"/>
      <c r="E126" s="71"/>
    </row>
    <row r="127" spans="1:5" x14ac:dyDescent="0.2">
      <c r="A127" s="345">
        <v>31381</v>
      </c>
      <c r="B127" s="71"/>
      <c r="C127" s="226"/>
      <c r="D127" s="71"/>
      <c r="E127" s="71"/>
    </row>
    <row r="128" spans="1:5" x14ac:dyDescent="0.2">
      <c r="A128" s="345">
        <v>31412</v>
      </c>
      <c r="B128" s="71"/>
      <c r="C128" s="226"/>
      <c r="D128" s="71"/>
      <c r="E128" s="71"/>
    </row>
    <row r="129" spans="1:5" x14ac:dyDescent="0.2">
      <c r="A129" s="345">
        <v>31443</v>
      </c>
      <c r="B129" s="71"/>
      <c r="C129" s="226"/>
      <c r="D129" s="71"/>
      <c r="E129" s="71"/>
    </row>
    <row r="130" spans="1:5" x14ac:dyDescent="0.2">
      <c r="A130" s="345">
        <v>31471</v>
      </c>
      <c r="B130" s="71"/>
      <c r="C130" s="226"/>
      <c r="D130" s="71"/>
      <c r="E130" s="71"/>
    </row>
    <row r="131" spans="1:5" x14ac:dyDescent="0.2">
      <c r="A131" s="345">
        <v>31502</v>
      </c>
      <c r="B131" s="71"/>
      <c r="C131" s="226"/>
      <c r="D131" s="71"/>
      <c r="E131" s="71"/>
    </row>
    <row r="132" spans="1:5" x14ac:dyDescent="0.2">
      <c r="A132" s="345">
        <v>31532</v>
      </c>
      <c r="B132" s="71"/>
      <c r="C132" s="226"/>
      <c r="D132" s="71"/>
      <c r="E132" s="71"/>
    </row>
    <row r="133" spans="1:5" x14ac:dyDescent="0.2">
      <c r="A133" s="345">
        <v>31563</v>
      </c>
      <c r="B133" s="71"/>
      <c r="C133" s="226"/>
      <c r="D133" s="71"/>
      <c r="E133" s="71"/>
    </row>
    <row r="134" spans="1:5" x14ac:dyDescent="0.2">
      <c r="A134" s="345">
        <v>31593</v>
      </c>
      <c r="B134" s="71"/>
      <c r="C134" s="226"/>
      <c r="D134" s="71"/>
      <c r="E134" s="71"/>
    </row>
    <row r="135" spans="1:5" x14ac:dyDescent="0.2">
      <c r="A135" s="345">
        <v>31624</v>
      </c>
      <c r="B135" s="71"/>
      <c r="C135" s="226"/>
      <c r="D135" s="71"/>
      <c r="E135" s="71"/>
    </row>
    <row r="136" spans="1:5" x14ac:dyDescent="0.2">
      <c r="A136" s="345">
        <v>31655</v>
      </c>
      <c r="B136" s="71"/>
      <c r="C136" s="226"/>
      <c r="D136" s="71"/>
      <c r="E136" s="71"/>
    </row>
    <row r="137" spans="1:5" x14ac:dyDescent="0.2">
      <c r="A137" s="345">
        <v>31685</v>
      </c>
      <c r="B137" s="71"/>
      <c r="C137" s="226"/>
      <c r="D137" s="71"/>
      <c r="E137" s="71"/>
    </row>
    <row r="138" spans="1:5" x14ac:dyDescent="0.2">
      <c r="A138" s="345">
        <v>31716</v>
      </c>
      <c r="B138" s="71"/>
      <c r="C138" s="226"/>
      <c r="D138" s="71"/>
      <c r="E138" s="71"/>
    </row>
    <row r="139" spans="1:5" x14ac:dyDescent="0.2">
      <c r="A139" s="345">
        <v>31746</v>
      </c>
      <c r="B139" s="71"/>
      <c r="C139" s="226"/>
      <c r="D139" s="71"/>
      <c r="E139" s="71"/>
    </row>
    <row r="140" spans="1:5" x14ac:dyDescent="0.2">
      <c r="A140" s="345">
        <v>31777</v>
      </c>
      <c r="B140" s="71"/>
      <c r="C140" s="226"/>
      <c r="D140" s="71"/>
      <c r="E140" s="71"/>
    </row>
    <row r="141" spans="1:5" x14ac:dyDescent="0.2">
      <c r="A141" s="345">
        <v>31808</v>
      </c>
      <c r="B141" s="73"/>
      <c r="C141" s="25"/>
      <c r="D141" s="73"/>
      <c r="E141" s="73"/>
    </row>
    <row r="142" spans="1:5" x14ac:dyDescent="0.2">
      <c r="A142" s="345">
        <v>31836</v>
      </c>
      <c r="B142" s="73"/>
      <c r="C142" s="25"/>
      <c r="D142" s="73"/>
      <c r="E142" s="73"/>
    </row>
    <row r="143" spans="1:5" x14ac:dyDescent="0.2">
      <c r="A143" s="345">
        <v>31867</v>
      </c>
      <c r="B143" s="73"/>
      <c r="C143" s="25"/>
      <c r="D143" s="73"/>
      <c r="E143" s="73"/>
    </row>
    <row r="144" spans="1:5" x14ac:dyDescent="0.2">
      <c r="A144" s="345">
        <v>31897</v>
      </c>
      <c r="B144" s="73"/>
      <c r="C144" s="25"/>
      <c r="D144" s="73"/>
      <c r="E144" s="73"/>
    </row>
    <row r="145" spans="1:5" x14ac:dyDescent="0.2">
      <c r="A145" s="345">
        <v>31928</v>
      </c>
      <c r="B145" s="73"/>
      <c r="C145" s="25"/>
      <c r="D145" s="73"/>
      <c r="E145" s="73"/>
    </row>
    <row r="146" spans="1:5" x14ac:dyDescent="0.2">
      <c r="A146" s="345">
        <v>31958</v>
      </c>
      <c r="B146" s="73"/>
      <c r="C146" s="25"/>
      <c r="D146" s="73"/>
      <c r="E146" s="73"/>
    </row>
    <row r="147" spans="1:5" x14ac:dyDescent="0.2">
      <c r="A147" s="345">
        <v>31989</v>
      </c>
      <c r="B147" s="73"/>
      <c r="C147" s="25"/>
      <c r="D147" s="73"/>
      <c r="E147" s="73"/>
    </row>
    <row r="148" spans="1:5" x14ac:dyDescent="0.2">
      <c r="A148" s="345">
        <v>32020</v>
      </c>
      <c r="B148" s="73"/>
      <c r="C148" s="25"/>
      <c r="D148" s="73"/>
      <c r="E148" s="73"/>
    </row>
    <row r="149" spans="1:5" x14ac:dyDescent="0.2">
      <c r="A149" s="345">
        <v>32050</v>
      </c>
      <c r="B149" s="73"/>
      <c r="C149" s="25"/>
      <c r="D149" s="73"/>
      <c r="E149" s="73"/>
    </row>
    <row r="150" spans="1:5" x14ac:dyDescent="0.2">
      <c r="A150" s="345">
        <v>32081</v>
      </c>
      <c r="B150" s="73"/>
      <c r="C150" s="25"/>
      <c r="D150" s="73"/>
      <c r="E150" s="73"/>
    </row>
    <row r="151" spans="1:5" x14ac:dyDescent="0.2">
      <c r="A151" s="345">
        <v>32111</v>
      </c>
      <c r="B151" s="73"/>
      <c r="C151" s="25"/>
      <c r="D151" s="73"/>
      <c r="E151" s="73"/>
    </row>
    <row r="152" spans="1:5" x14ac:dyDescent="0.2">
      <c r="A152" s="345">
        <v>32142</v>
      </c>
      <c r="B152" s="73"/>
      <c r="C152" s="25"/>
      <c r="D152" s="73"/>
      <c r="E152" s="73"/>
    </row>
    <row r="153" spans="1:5" x14ac:dyDescent="0.2">
      <c r="A153" s="345">
        <v>32173</v>
      </c>
      <c r="B153" s="73"/>
      <c r="C153" s="25"/>
      <c r="D153" s="73"/>
      <c r="E153" s="73"/>
    </row>
    <row r="154" spans="1:5" x14ac:dyDescent="0.2">
      <c r="A154" s="345">
        <v>32202</v>
      </c>
      <c r="B154" s="73"/>
      <c r="C154" s="25"/>
      <c r="D154" s="73"/>
      <c r="E154" s="73"/>
    </row>
    <row r="155" spans="1:5" x14ac:dyDescent="0.2">
      <c r="A155" s="345">
        <v>32233</v>
      </c>
      <c r="B155" s="73"/>
      <c r="C155" s="25"/>
      <c r="D155" s="73"/>
      <c r="E155" s="73"/>
    </row>
    <row r="156" spans="1:5" x14ac:dyDescent="0.2">
      <c r="A156" s="345">
        <v>32263</v>
      </c>
      <c r="B156" s="73"/>
      <c r="C156" s="25"/>
      <c r="D156" s="73"/>
      <c r="E156" s="73"/>
    </row>
    <row r="157" spans="1:5" x14ac:dyDescent="0.2">
      <c r="A157" s="345">
        <v>32294</v>
      </c>
      <c r="B157" s="73"/>
      <c r="C157" s="25"/>
      <c r="D157" s="73"/>
      <c r="E157" s="73"/>
    </row>
    <row r="158" spans="1:5" x14ac:dyDescent="0.2">
      <c r="A158" s="345">
        <v>32324</v>
      </c>
      <c r="B158" s="73"/>
      <c r="C158" s="25"/>
      <c r="D158" s="73"/>
      <c r="E158" s="73"/>
    </row>
    <row r="159" spans="1:5" x14ac:dyDescent="0.2">
      <c r="A159" s="345">
        <v>32355</v>
      </c>
      <c r="B159" s="73"/>
      <c r="C159" s="25"/>
      <c r="D159" s="73"/>
      <c r="E159" s="73"/>
    </row>
    <row r="160" spans="1:5" x14ac:dyDescent="0.2">
      <c r="A160" s="345">
        <v>32386</v>
      </c>
      <c r="B160" s="73"/>
      <c r="C160" s="25"/>
      <c r="D160" s="73"/>
      <c r="E160" s="73"/>
    </row>
    <row r="161" spans="1:5" x14ac:dyDescent="0.2">
      <c r="A161" s="345">
        <v>32416</v>
      </c>
      <c r="B161" s="73"/>
      <c r="C161" s="25"/>
      <c r="D161" s="73"/>
      <c r="E161" s="73"/>
    </row>
    <row r="162" spans="1:5" x14ac:dyDescent="0.2">
      <c r="A162" s="345">
        <v>32447</v>
      </c>
      <c r="B162" s="73"/>
      <c r="C162" s="25"/>
      <c r="D162" s="73"/>
      <c r="E162" s="73"/>
    </row>
    <row r="163" spans="1:5" x14ac:dyDescent="0.2">
      <c r="A163" s="345">
        <v>32477</v>
      </c>
      <c r="B163" s="73"/>
      <c r="C163" s="25"/>
      <c r="D163" s="73"/>
      <c r="E163" s="73"/>
    </row>
    <row r="164" spans="1:5" x14ac:dyDescent="0.2">
      <c r="A164" s="345">
        <v>32508</v>
      </c>
      <c r="B164" s="73"/>
      <c r="C164" s="25"/>
      <c r="D164" s="73"/>
      <c r="E164" s="73"/>
    </row>
    <row r="165" spans="1:5" x14ac:dyDescent="0.2">
      <c r="A165" s="345">
        <v>32539</v>
      </c>
      <c r="B165" s="73"/>
      <c r="C165" s="25"/>
      <c r="D165" s="73"/>
      <c r="E165" s="73"/>
    </row>
    <row r="166" spans="1:5" x14ac:dyDescent="0.2">
      <c r="A166" s="345">
        <v>32567</v>
      </c>
      <c r="B166" s="73"/>
      <c r="C166" s="25"/>
      <c r="D166" s="73"/>
      <c r="E166" s="73"/>
    </row>
    <row r="167" spans="1:5" x14ac:dyDescent="0.2">
      <c r="A167" s="345">
        <v>32598</v>
      </c>
      <c r="B167" s="73"/>
      <c r="C167" s="25"/>
      <c r="D167" s="73"/>
      <c r="E167" s="73"/>
    </row>
    <row r="168" spans="1:5" x14ac:dyDescent="0.2">
      <c r="A168" s="345">
        <v>32628</v>
      </c>
      <c r="B168" s="73"/>
      <c r="C168" s="25"/>
      <c r="D168" s="73"/>
      <c r="E168" s="73"/>
    </row>
    <row r="169" spans="1:5" x14ac:dyDescent="0.2">
      <c r="A169" s="345">
        <v>32659</v>
      </c>
      <c r="B169" s="73"/>
      <c r="C169" s="25"/>
      <c r="D169" s="73"/>
      <c r="E169" s="73"/>
    </row>
    <row r="170" spans="1:5" x14ac:dyDescent="0.2">
      <c r="A170" s="345">
        <v>32689</v>
      </c>
      <c r="B170" s="73"/>
      <c r="C170" s="25"/>
      <c r="D170" s="73"/>
      <c r="E170" s="73"/>
    </row>
    <row r="171" spans="1:5" x14ac:dyDescent="0.2">
      <c r="A171" s="345">
        <v>32720</v>
      </c>
      <c r="B171" s="73"/>
      <c r="C171" s="25"/>
      <c r="D171" s="73"/>
      <c r="E171" s="73"/>
    </row>
    <row r="172" spans="1:5" x14ac:dyDescent="0.2">
      <c r="A172" s="345">
        <v>32751</v>
      </c>
      <c r="B172" s="73"/>
      <c r="C172" s="25"/>
      <c r="D172" s="73"/>
      <c r="E172" s="73"/>
    </row>
    <row r="173" spans="1:5" x14ac:dyDescent="0.2">
      <c r="A173" s="345">
        <v>32781</v>
      </c>
      <c r="B173" s="73"/>
      <c r="C173" s="25"/>
      <c r="D173" s="73"/>
      <c r="E173" s="73"/>
    </row>
    <row r="174" spans="1:5" x14ac:dyDescent="0.2">
      <c r="A174" s="345">
        <v>32812</v>
      </c>
      <c r="B174" s="73"/>
      <c r="C174" s="25"/>
      <c r="D174" s="73"/>
      <c r="E174" s="73"/>
    </row>
    <row r="175" spans="1:5" x14ac:dyDescent="0.2">
      <c r="A175" s="345">
        <v>32842</v>
      </c>
      <c r="B175" s="73"/>
      <c r="C175" s="25"/>
      <c r="D175" s="73"/>
      <c r="E175" s="73"/>
    </row>
    <row r="176" spans="1:5" x14ac:dyDescent="0.2">
      <c r="A176" s="345">
        <v>32873</v>
      </c>
      <c r="B176" s="73"/>
      <c r="C176" s="25"/>
      <c r="D176" s="73"/>
      <c r="E176" s="73"/>
    </row>
    <row r="177" spans="1:5" x14ac:dyDescent="0.2">
      <c r="A177" s="345">
        <v>32904</v>
      </c>
      <c r="B177" s="255"/>
      <c r="C177" s="259"/>
      <c r="D177" s="73"/>
      <c r="E177" s="73"/>
    </row>
    <row r="178" spans="1:5" x14ac:dyDescent="0.2">
      <c r="A178" s="345">
        <v>32932</v>
      </c>
      <c r="B178" s="255"/>
      <c r="C178" s="259"/>
      <c r="D178" s="73"/>
      <c r="E178" s="73"/>
    </row>
    <row r="179" spans="1:5" x14ac:dyDescent="0.2">
      <c r="A179" s="345">
        <v>32963</v>
      </c>
      <c r="B179" s="255"/>
      <c r="C179" s="259"/>
      <c r="D179" s="73"/>
      <c r="E179" s="73"/>
    </row>
    <row r="180" spans="1:5" x14ac:dyDescent="0.2">
      <c r="A180" s="345">
        <v>32993</v>
      </c>
      <c r="B180" s="255"/>
      <c r="C180" s="259"/>
      <c r="D180" s="73"/>
      <c r="E180" s="73"/>
    </row>
    <row r="181" spans="1:5" x14ac:dyDescent="0.2">
      <c r="A181" s="345">
        <v>33024</v>
      </c>
      <c r="B181" s="255"/>
      <c r="C181" s="259"/>
      <c r="D181" s="73"/>
      <c r="E181" s="73"/>
    </row>
    <row r="182" spans="1:5" x14ac:dyDescent="0.2">
      <c r="A182" s="345">
        <v>33054</v>
      </c>
      <c r="B182" s="255"/>
      <c r="C182" s="259"/>
      <c r="D182" s="73"/>
      <c r="E182" s="73"/>
    </row>
    <row r="183" spans="1:5" x14ac:dyDescent="0.2">
      <c r="A183" s="345">
        <v>33085</v>
      </c>
      <c r="B183" s="255"/>
      <c r="C183" s="259"/>
      <c r="D183" s="73"/>
      <c r="E183" s="73"/>
    </row>
    <row r="184" spans="1:5" x14ac:dyDescent="0.2">
      <c r="A184" s="345">
        <v>33116</v>
      </c>
      <c r="B184" s="255"/>
      <c r="C184" s="259"/>
      <c r="D184" s="73"/>
      <c r="E184" s="73"/>
    </row>
    <row r="185" spans="1:5" x14ac:dyDescent="0.2">
      <c r="A185" s="345">
        <v>33146</v>
      </c>
      <c r="B185" s="255"/>
      <c r="C185" s="259"/>
      <c r="D185" s="73"/>
      <c r="E185" s="73"/>
    </row>
    <row r="186" spans="1:5" x14ac:dyDescent="0.2">
      <c r="A186" s="345">
        <v>33177</v>
      </c>
      <c r="B186" s="255"/>
      <c r="C186" s="259"/>
      <c r="D186" s="73"/>
      <c r="E186" s="73"/>
    </row>
    <row r="187" spans="1:5" x14ac:dyDescent="0.2">
      <c r="A187" s="345">
        <v>33207</v>
      </c>
      <c r="B187" s="255"/>
      <c r="C187" s="259"/>
      <c r="D187" s="73"/>
      <c r="E187" s="73"/>
    </row>
    <row r="188" spans="1:5" x14ac:dyDescent="0.2">
      <c r="A188" s="345">
        <v>33238</v>
      </c>
      <c r="B188" s="255"/>
      <c r="C188" s="259"/>
      <c r="D188" s="73"/>
      <c r="E188" s="73"/>
    </row>
    <row r="189" spans="1:5" x14ac:dyDescent="0.2">
      <c r="A189" s="345">
        <v>33269</v>
      </c>
      <c r="B189" s="255"/>
      <c r="C189" s="259"/>
      <c r="D189" s="73"/>
      <c r="E189" s="73"/>
    </row>
    <row r="190" spans="1:5" x14ac:dyDescent="0.2">
      <c r="A190" s="345">
        <v>33297</v>
      </c>
      <c r="B190" s="255"/>
      <c r="C190" s="259"/>
      <c r="D190" s="73"/>
      <c r="E190" s="73"/>
    </row>
    <row r="191" spans="1:5" x14ac:dyDescent="0.2">
      <c r="A191" s="345">
        <v>33328</v>
      </c>
      <c r="B191" s="255"/>
      <c r="C191" s="259"/>
      <c r="D191" s="73"/>
      <c r="E191" s="73"/>
    </row>
    <row r="192" spans="1:5" x14ac:dyDescent="0.2">
      <c r="A192" s="345">
        <v>33358</v>
      </c>
      <c r="B192" s="255"/>
      <c r="C192" s="259"/>
      <c r="D192" s="73"/>
      <c r="E192" s="73"/>
    </row>
    <row r="193" spans="1:5" x14ac:dyDescent="0.2">
      <c r="A193" s="345">
        <v>33389</v>
      </c>
      <c r="B193" s="255"/>
      <c r="C193" s="259"/>
      <c r="D193" s="73"/>
      <c r="E193" s="73"/>
    </row>
    <row r="194" spans="1:5" x14ac:dyDescent="0.2">
      <c r="A194" s="345">
        <v>33419</v>
      </c>
      <c r="B194" s="255"/>
      <c r="C194" s="259"/>
      <c r="D194" s="73"/>
      <c r="E194" s="73"/>
    </row>
    <row r="195" spans="1:5" x14ac:dyDescent="0.2">
      <c r="A195" s="345">
        <v>33450</v>
      </c>
      <c r="B195" s="255"/>
      <c r="C195" s="259"/>
      <c r="D195" s="73"/>
      <c r="E195" s="73"/>
    </row>
    <row r="196" spans="1:5" x14ac:dyDescent="0.2">
      <c r="A196" s="345">
        <v>33481</v>
      </c>
      <c r="B196" s="255"/>
      <c r="C196" s="259"/>
      <c r="D196" s="73"/>
      <c r="E196" s="73"/>
    </row>
    <row r="197" spans="1:5" x14ac:dyDescent="0.2">
      <c r="A197" s="345">
        <v>33511</v>
      </c>
      <c r="B197" s="255"/>
      <c r="C197" s="259"/>
      <c r="D197" s="73"/>
      <c r="E197" s="73"/>
    </row>
    <row r="198" spans="1:5" x14ac:dyDescent="0.2">
      <c r="A198" s="345">
        <v>33542</v>
      </c>
      <c r="B198" s="255"/>
      <c r="C198" s="259"/>
      <c r="D198" s="73"/>
      <c r="E198" s="73"/>
    </row>
    <row r="199" spans="1:5" x14ac:dyDescent="0.2">
      <c r="A199" s="345">
        <v>33572</v>
      </c>
      <c r="B199" s="255"/>
      <c r="C199" s="259"/>
      <c r="D199" s="73"/>
      <c r="E199" s="73"/>
    </row>
    <row r="200" spans="1:5" x14ac:dyDescent="0.2">
      <c r="A200" s="345">
        <v>33603</v>
      </c>
      <c r="B200" s="255"/>
      <c r="C200" s="259"/>
      <c r="D200" s="73"/>
      <c r="E200" s="73"/>
    </row>
    <row r="201" spans="1:5" x14ac:dyDescent="0.2">
      <c r="A201" s="345">
        <v>33634</v>
      </c>
      <c r="B201" s="255"/>
      <c r="C201" s="259"/>
      <c r="D201" s="73"/>
      <c r="E201" s="73"/>
    </row>
    <row r="202" spans="1:5" x14ac:dyDescent="0.2">
      <c r="A202" s="345">
        <v>33663</v>
      </c>
      <c r="B202" s="255"/>
      <c r="C202" s="259"/>
      <c r="D202" s="73"/>
      <c r="E202" s="73"/>
    </row>
    <row r="203" spans="1:5" x14ac:dyDescent="0.2">
      <c r="A203" s="345">
        <v>33694</v>
      </c>
      <c r="B203" s="255"/>
      <c r="C203" s="259"/>
      <c r="D203" s="73"/>
      <c r="E203" s="73"/>
    </row>
    <row r="204" spans="1:5" x14ac:dyDescent="0.2">
      <c r="A204" s="345">
        <v>33724</v>
      </c>
      <c r="B204" s="255"/>
      <c r="C204" s="259"/>
      <c r="D204" s="73"/>
      <c r="E204" s="73"/>
    </row>
    <row r="205" spans="1:5" x14ac:dyDescent="0.2">
      <c r="A205" s="345">
        <v>33755</v>
      </c>
      <c r="B205" s="255"/>
      <c r="C205" s="259"/>
      <c r="D205" s="73"/>
      <c r="E205" s="73"/>
    </row>
    <row r="206" spans="1:5" x14ac:dyDescent="0.2">
      <c r="A206" s="345">
        <v>33785</v>
      </c>
      <c r="B206" s="255"/>
      <c r="C206" s="259"/>
      <c r="D206" s="73"/>
      <c r="E206" s="73"/>
    </row>
    <row r="207" spans="1:5" x14ac:dyDescent="0.2">
      <c r="A207" s="345">
        <v>33816</v>
      </c>
      <c r="B207" s="255"/>
      <c r="C207" s="259"/>
      <c r="D207" s="73"/>
      <c r="E207" s="73"/>
    </row>
    <row r="208" spans="1:5" x14ac:dyDescent="0.2">
      <c r="A208" s="345">
        <v>33847</v>
      </c>
      <c r="B208" s="255"/>
      <c r="C208" s="259"/>
      <c r="D208" s="73"/>
      <c r="E208" s="73"/>
    </row>
    <row r="209" spans="1:5" x14ac:dyDescent="0.2">
      <c r="A209" s="345">
        <v>33877</v>
      </c>
      <c r="B209" s="255"/>
      <c r="C209" s="259"/>
      <c r="D209" s="73"/>
      <c r="E209" s="73"/>
    </row>
    <row r="210" spans="1:5" x14ac:dyDescent="0.2">
      <c r="A210" s="345">
        <v>33908</v>
      </c>
      <c r="B210" s="255"/>
      <c r="C210" s="259"/>
      <c r="D210" s="73"/>
      <c r="E210" s="73"/>
    </row>
    <row r="211" spans="1:5" x14ac:dyDescent="0.2">
      <c r="A211" s="345">
        <v>33938</v>
      </c>
      <c r="B211" s="255"/>
      <c r="C211" s="259"/>
      <c r="D211" s="73"/>
      <c r="E211" s="73"/>
    </row>
    <row r="212" spans="1:5" x14ac:dyDescent="0.2">
      <c r="A212" s="345">
        <v>33969</v>
      </c>
      <c r="B212" s="255"/>
      <c r="C212" s="259"/>
      <c r="D212" s="73"/>
      <c r="E212" s="73"/>
    </row>
    <row r="213" spans="1:5" x14ac:dyDescent="0.2">
      <c r="A213" s="345">
        <v>34000</v>
      </c>
      <c r="B213" s="255"/>
      <c r="C213" s="259"/>
      <c r="D213" s="73"/>
      <c r="E213" s="73"/>
    </row>
    <row r="214" spans="1:5" x14ac:dyDescent="0.2">
      <c r="A214" s="345">
        <v>34028</v>
      </c>
      <c r="B214" s="255"/>
      <c r="C214" s="259"/>
      <c r="D214" s="73"/>
      <c r="E214" s="73"/>
    </row>
    <row r="215" spans="1:5" x14ac:dyDescent="0.2">
      <c r="A215" s="345">
        <v>34059</v>
      </c>
      <c r="B215" s="255"/>
      <c r="C215" s="259"/>
      <c r="D215" s="73"/>
      <c r="E215" s="73"/>
    </row>
    <row r="216" spans="1:5" x14ac:dyDescent="0.2">
      <c r="A216" s="345">
        <v>34089</v>
      </c>
      <c r="B216" s="255"/>
      <c r="C216" s="259"/>
      <c r="D216" s="73"/>
      <c r="E216" s="73"/>
    </row>
    <row r="217" spans="1:5" x14ac:dyDescent="0.2">
      <c r="A217" s="345">
        <v>34120</v>
      </c>
      <c r="B217" s="255"/>
      <c r="C217" s="259"/>
      <c r="D217" s="73"/>
      <c r="E217" s="73"/>
    </row>
    <row r="218" spans="1:5" x14ac:dyDescent="0.2">
      <c r="A218" s="345">
        <v>34150</v>
      </c>
      <c r="B218" s="255"/>
      <c r="C218" s="259"/>
      <c r="D218" s="73"/>
      <c r="E218" s="73"/>
    </row>
    <row r="219" spans="1:5" x14ac:dyDescent="0.2">
      <c r="A219" s="345">
        <v>34181</v>
      </c>
      <c r="B219" s="255"/>
      <c r="C219" s="259"/>
      <c r="D219" s="73"/>
      <c r="E219" s="73"/>
    </row>
    <row r="220" spans="1:5" x14ac:dyDescent="0.2">
      <c r="A220" s="345">
        <v>34212</v>
      </c>
      <c r="B220" s="255"/>
      <c r="C220" s="259"/>
      <c r="D220" s="73"/>
      <c r="E220" s="73"/>
    </row>
    <row r="221" spans="1:5" x14ac:dyDescent="0.2">
      <c r="A221" s="345">
        <v>34242</v>
      </c>
      <c r="B221" s="255"/>
      <c r="C221" s="259"/>
      <c r="D221" s="73"/>
      <c r="E221" s="73"/>
    </row>
    <row r="222" spans="1:5" x14ac:dyDescent="0.2">
      <c r="A222" s="345">
        <v>34273</v>
      </c>
      <c r="B222" s="255"/>
      <c r="C222" s="259"/>
      <c r="D222" s="73"/>
      <c r="E222" s="73"/>
    </row>
    <row r="223" spans="1:5" x14ac:dyDescent="0.2">
      <c r="A223" s="345">
        <v>34303</v>
      </c>
      <c r="B223" s="255"/>
      <c r="C223" s="259"/>
      <c r="D223" s="73"/>
      <c r="E223" s="73"/>
    </row>
    <row r="224" spans="1:5" x14ac:dyDescent="0.2">
      <c r="A224" s="345">
        <v>34334</v>
      </c>
      <c r="B224" s="255"/>
      <c r="C224" s="259"/>
      <c r="D224" s="73"/>
      <c r="E224" s="73"/>
    </row>
    <row r="225" spans="1:5" x14ac:dyDescent="0.2">
      <c r="A225" s="345">
        <v>34365</v>
      </c>
      <c r="B225" s="255"/>
      <c r="C225" s="259"/>
      <c r="D225" s="73"/>
      <c r="E225" s="73"/>
    </row>
    <row r="226" spans="1:5" x14ac:dyDescent="0.2">
      <c r="A226" s="345">
        <v>34393</v>
      </c>
      <c r="B226" s="255"/>
      <c r="C226" s="259"/>
      <c r="D226" s="73"/>
      <c r="E226" s="73"/>
    </row>
    <row r="227" spans="1:5" x14ac:dyDescent="0.2">
      <c r="A227" s="345">
        <v>34424</v>
      </c>
      <c r="B227" s="255"/>
      <c r="C227" s="259"/>
      <c r="D227" s="73"/>
      <c r="E227" s="73"/>
    </row>
    <row r="228" spans="1:5" x14ac:dyDescent="0.2">
      <c r="A228" s="345">
        <v>34454</v>
      </c>
      <c r="B228" s="255"/>
      <c r="C228" s="259"/>
      <c r="D228" s="73"/>
      <c r="E228" s="73"/>
    </row>
    <row r="229" spans="1:5" x14ac:dyDescent="0.2">
      <c r="A229" s="345">
        <v>34485</v>
      </c>
      <c r="B229" s="255"/>
      <c r="C229" s="259"/>
      <c r="D229" s="73"/>
      <c r="E229" s="73"/>
    </row>
    <row r="230" spans="1:5" x14ac:dyDescent="0.2">
      <c r="A230" s="345">
        <v>34515</v>
      </c>
      <c r="B230" s="255"/>
      <c r="C230" s="259"/>
      <c r="D230" s="73"/>
      <c r="E230" s="73"/>
    </row>
    <row r="231" spans="1:5" x14ac:dyDescent="0.2">
      <c r="A231" s="345">
        <v>34546</v>
      </c>
      <c r="B231" s="255"/>
      <c r="C231" s="259"/>
      <c r="D231" s="73"/>
      <c r="E231" s="73"/>
    </row>
    <row r="232" spans="1:5" x14ac:dyDescent="0.2">
      <c r="A232" s="345">
        <v>34577</v>
      </c>
      <c r="B232" s="255"/>
      <c r="C232" s="259"/>
      <c r="D232" s="73"/>
      <c r="E232" s="73"/>
    </row>
    <row r="233" spans="1:5" x14ac:dyDescent="0.2">
      <c r="A233" s="345">
        <v>34607</v>
      </c>
      <c r="B233" s="255"/>
      <c r="C233" s="259"/>
      <c r="D233" s="73"/>
      <c r="E233" s="73"/>
    </row>
    <row r="234" spans="1:5" x14ac:dyDescent="0.2">
      <c r="A234" s="345">
        <v>34638</v>
      </c>
      <c r="B234" s="255"/>
      <c r="C234" s="259"/>
      <c r="D234" s="73"/>
      <c r="E234" s="73"/>
    </row>
    <row r="235" spans="1:5" x14ac:dyDescent="0.2">
      <c r="A235" s="345">
        <v>34668</v>
      </c>
      <c r="B235" s="255"/>
      <c r="C235" s="259"/>
      <c r="D235" s="73"/>
      <c r="E235" s="73"/>
    </row>
    <row r="236" spans="1:5" x14ac:dyDescent="0.2">
      <c r="A236" s="345">
        <v>34699</v>
      </c>
      <c r="B236" s="255"/>
      <c r="C236" s="259"/>
      <c r="D236" s="73"/>
      <c r="E236" s="73"/>
    </row>
    <row r="237" spans="1:5" x14ac:dyDescent="0.2">
      <c r="A237" s="345">
        <v>34730</v>
      </c>
      <c r="B237" s="255"/>
      <c r="C237" s="259"/>
      <c r="D237" s="73"/>
      <c r="E237" s="73"/>
    </row>
    <row r="238" spans="1:5" x14ac:dyDescent="0.2">
      <c r="A238" s="345">
        <v>34758</v>
      </c>
      <c r="B238" s="255"/>
      <c r="C238" s="259"/>
      <c r="D238" s="73"/>
      <c r="E238" s="73"/>
    </row>
    <row r="239" spans="1:5" x14ac:dyDescent="0.2">
      <c r="A239" s="345">
        <v>34789</v>
      </c>
      <c r="B239" s="255"/>
      <c r="C239" s="259"/>
      <c r="D239" s="73"/>
      <c r="E239" s="73"/>
    </row>
    <row r="240" spans="1:5" x14ac:dyDescent="0.2">
      <c r="A240" s="345">
        <v>34819</v>
      </c>
      <c r="B240" s="255"/>
      <c r="C240" s="259"/>
      <c r="D240" s="73"/>
      <c r="E240" s="73"/>
    </row>
    <row r="241" spans="1:5" x14ac:dyDescent="0.2">
      <c r="A241" s="345">
        <v>34850</v>
      </c>
      <c r="B241" s="255"/>
      <c r="C241" s="259"/>
      <c r="D241" s="73"/>
      <c r="E241" s="73"/>
    </row>
    <row r="242" spans="1:5" x14ac:dyDescent="0.2">
      <c r="A242" s="345">
        <v>34880</v>
      </c>
      <c r="B242" s="255"/>
      <c r="C242" s="259"/>
      <c r="D242" s="77"/>
      <c r="E242" s="77"/>
    </row>
    <row r="243" spans="1:5" x14ac:dyDescent="0.2">
      <c r="A243" s="345">
        <v>34911</v>
      </c>
      <c r="B243" s="255"/>
      <c r="C243" s="259"/>
      <c r="D243" s="77"/>
      <c r="E243" s="77"/>
    </row>
    <row r="244" spans="1:5" x14ac:dyDescent="0.2">
      <c r="A244" s="345">
        <v>34942</v>
      </c>
      <c r="B244" s="255"/>
      <c r="C244" s="259"/>
      <c r="D244" s="77"/>
      <c r="E244" s="77"/>
    </row>
    <row r="245" spans="1:5" x14ac:dyDescent="0.2">
      <c r="A245" s="345">
        <v>34972</v>
      </c>
      <c r="B245" s="255"/>
      <c r="C245" s="259"/>
      <c r="D245" s="77"/>
      <c r="E245" s="77"/>
    </row>
    <row r="246" spans="1:5" x14ac:dyDescent="0.2">
      <c r="A246" s="345">
        <v>35003</v>
      </c>
      <c r="B246" s="255"/>
      <c r="C246" s="259"/>
      <c r="D246" s="77"/>
      <c r="E246" s="77"/>
    </row>
    <row r="247" spans="1:5" x14ac:dyDescent="0.2">
      <c r="A247" s="345">
        <v>35033</v>
      </c>
      <c r="B247" s="255"/>
      <c r="C247" s="259"/>
      <c r="D247" s="77"/>
      <c r="E247" s="77"/>
    </row>
    <row r="248" spans="1:5" x14ac:dyDescent="0.2">
      <c r="A248" s="345">
        <v>35064</v>
      </c>
      <c r="B248" s="255"/>
      <c r="C248" s="259"/>
      <c r="D248" s="77"/>
      <c r="E248" s="77"/>
    </row>
    <row r="249" spans="1:5" x14ac:dyDescent="0.2">
      <c r="A249" s="345">
        <v>35095</v>
      </c>
      <c r="B249" s="255"/>
      <c r="C249" s="259"/>
      <c r="D249" s="77"/>
      <c r="E249" s="77"/>
    </row>
    <row r="250" spans="1:5" x14ac:dyDescent="0.2">
      <c r="A250" s="345">
        <v>35124</v>
      </c>
      <c r="B250" s="255"/>
      <c r="C250" s="259"/>
      <c r="D250" s="77"/>
      <c r="E250" s="77"/>
    </row>
    <row r="251" spans="1:5" x14ac:dyDescent="0.2">
      <c r="A251" s="345">
        <v>35155</v>
      </c>
      <c r="B251" s="255"/>
      <c r="C251" s="259"/>
      <c r="D251" s="77"/>
      <c r="E251" s="77"/>
    </row>
    <row r="252" spans="1:5" x14ac:dyDescent="0.2">
      <c r="A252" s="345">
        <v>35185</v>
      </c>
      <c r="B252" s="253"/>
      <c r="C252" s="259"/>
      <c r="D252" s="77"/>
      <c r="E252" s="77"/>
    </row>
    <row r="253" spans="1:5" x14ac:dyDescent="0.2">
      <c r="A253" s="345">
        <v>35216</v>
      </c>
      <c r="B253" s="253"/>
      <c r="C253" s="259"/>
      <c r="D253" s="77"/>
      <c r="E253" s="77"/>
    </row>
    <row r="254" spans="1:5" x14ac:dyDescent="0.2">
      <c r="A254" s="345">
        <v>35246</v>
      </c>
      <c r="B254" s="253"/>
      <c r="C254" s="259"/>
      <c r="D254" s="77"/>
      <c r="E254" s="77"/>
    </row>
    <row r="255" spans="1:5" x14ac:dyDescent="0.2">
      <c r="A255" s="345">
        <v>35277</v>
      </c>
      <c r="B255" s="253"/>
      <c r="C255" s="259"/>
      <c r="D255" s="77"/>
      <c r="E255" s="77"/>
    </row>
    <row r="256" spans="1:5" x14ac:dyDescent="0.2">
      <c r="A256" s="345">
        <v>35308</v>
      </c>
      <c r="B256" s="253"/>
      <c r="C256" s="259"/>
      <c r="D256" s="77"/>
      <c r="E256" s="77"/>
    </row>
    <row r="257" spans="1:5" x14ac:dyDescent="0.2">
      <c r="A257" s="345">
        <v>35338</v>
      </c>
      <c r="B257" s="253"/>
      <c r="C257" s="259"/>
      <c r="D257" s="77"/>
      <c r="E257" s="77"/>
    </row>
    <row r="258" spans="1:5" x14ac:dyDescent="0.2">
      <c r="A258" s="345">
        <v>35369</v>
      </c>
      <c r="B258" s="253"/>
      <c r="C258" s="259"/>
      <c r="D258" s="77"/>
      <c r="E258" s="77"/>
    </row>
    <row r="259" spans="1:5" x14ac:dyDescent="0.2">
      <c r="A259" s="345">
        <v>35399</v>
      </c>
      <c r="B259" s="253"/>
      <c r="C259" s="259"/>
      <c r="D259" s="77"/>
      <c r="E259" s="77"/>
    </row>
    <row r="260" spans="1:5" x14ac:dyDescent="0.2">
      <c r="A260" s="345">
        <v>35430</v>
      </c>
      <c r="B260" s="253"/>
      <c r="C260" s="259"/>
      <c r="D260" s="77"/>
      <c r="E260" s="77"/>
    </row>
    <row r="261" spans="1:5" x14ac:dyDescent="0.2">
      <c r="A261" s="345">
        <v>35461</v>
      </c>
      <c r="B261" s="253"/>
      <c r="C261" s="259"/>
      <c r="D261" s="77"/>
      <c r="E261" s="77"/>
    </row>
    <row r="262" spans="1:5" x14ac:dyDescent="0.2">
      <c r="A262" s="345">
        <v>35489</v>
      </c>
      <c r="B262" s="253"/>
      <c r="C262" s="259"/>
      <c r="D262" s="77"/>
      <c r="E262" s="77"/>
    </row>
    <row r="263" spans="1:5" x14ac:dyDescent="0.2">
      <c r="A263" s="345">
        <v>35520</v>
      </c>
      <c r="B263" s="253"/>
      <c r="C263" s="259"/>
      <c r="D263" s="77"/>
      <c r="E263" s="77"/>
    </row>
    <row r="264" spans="1:5" x14ac:dyDescent="0.2">
      <c r="A264" s="345">
        <v>35550</v>
      </c>
      <c r="B264" s="253"/>
      <c r="C264" s="259"/>
      <c r="D264" s="77"/>
      <c r="E264" s="77"/>
    </row>
    <row r="265" spans="1:5" x14ac:dyDescent="0.2">
      <c r="A265" s="345">
        <v>35581</v>
      </c>
      <c r="B265" s="253"/>
      <c r="C265" s="259"/>
      <c r="D265" s="77"/>
      <c r="E265" s="77"/>
    </row>
    <row r="266" spans="1:5" x14ac:dyDescent="0.2">
      <c r="A266" s="345">
        <v>35611</v>
      </c>
      <c r="B266" s="253"/>
      <c r="C266" s="259"/>
      <c r="D266" s="77"/>
      <c r="E266" s="77"/>
    </row>
    <row r="267" spans="1:5" x14ac:dyDescent="0.2">
      <c r="A267" s="345">
        <v>35642</v>
      </c>
      <c r="B267" s="253"/>
      <c r="C267" s="259"/>
      <c r="D267" s="77"/>
      <c r="E267" s="77"/>
    </row>
    <row r="268" spans="1:5" x14ac:dyDescent="0.2">
      <c r="A268" s="345">
        <v>35673</v>
      </c>
      <c r="B268" s="253"/>
      <c r="C268" s="259"/>
      <c r="D268" s="77"/>
      <c r="E268" s="77"/>
    </row>
    <row r="269" spans="1:5" x14ac:dyDescent="0.2">
      <c r="A269" s="345">
        <v>35703</v>
      </c>
      <c r="B269" s="253"/>
      <c r="C269" s="259"/>
      <c r="D269" s="77"/>
      <c r="E269" s="77"/>
    </row>
    <row r="270" spans="1:5" x14ac:dyDescent="0.2">
      <c r="A270" s="345">
        <v>35734</v>
      </c>
      <c r="B270" s="253"/>
      <c r="C270" s="259"/>
      <c r="D270" s="77"/>
      <c r="E270" s="77"/>
    </row>
    <row r="271" spans="1:5" x14ac:dyDescent="0.2">
      <c r="A271" s="345">
        <v>35764</v>
      </c>
      <c r="B271" s="253"/>
      <c r="C271" s="259"/>
      <c r="D271" s="77"/>
      <c r="E271" s="77"/>
    </row>
    <row r="272" spans="1:5" x14ac:dyDescent="0.2">
      <c r="A272" s="345">
        <v>35795</v>
      </c>
      <c r="B272" s="253"/>
      <c r="C272" s="259"/>
      <c r="D272" s="77"/>
      <c r="E272" s="77"/>
    </row>
    <row r="273" spans="1:5" x14ac:dyDescent="0.2">
      <c r="A273" s="345">
        <v>35826</v>
      </c>
      <c r="B273" s="253"/>
      <c r="C273" s="259"/>
      <c r="D273" s="77"/>
      <c r="E273" s="77"/>
    </row>
    <row r="274" spans="1:5" x14ac:dyDescent="0.2">
      <c r="A274" s="345">
        <v>35854</v>
      </c>
      <c r="B274" s="253"/>
      <c r="C274" s="259"/>
      <c r="D274" s="77"/>
      <c r="E274" s="77"/>
    </row>
    <row r="275" spans="1:5" x14ac:dyDescent="0.2">
      <c r="A275" s="345">
        <v>35885</v>
      </c>
      <c r="B275" s="253"/>
      <c r="C275" s="259"/>
      <c r="D275" s="77"/>
      <c r="E275" s="77"/>
    </row>
    <row r="276" spans="1:5" x14ac:dyDescent="0.2">
      <c r="A276" s="345">
        <v>35915</v>
      </c>
      <c r="B276" s="253"/>
      <c r="C276" s="259"/>
      <c r="D276" s="77"/>
      <c r="E276" s="77"/>
    </row>
    <row r="277" spans="1:5" x14ac:dyDescent="0.2">
      <c r="A277" s="345">
        <v>35946</v>
      </c>
      <c r="B277" s="253"/>
      <c r="C277" s="259"/>
      <c r="D277" s="77"/>
      <c r="E277" s="77"/>
    </row>
    <row r="278" spans="1:5" x14ac:dyDescent="0.2">
      <c r="A278" s="345">
        <v>35976</v>
      </c>
      <c r="B278" s="253"/>
      <c r="C278" s="259"/>
      <c r="D278" s="77"/>
      <c r="E278" s="77"/>
    </row>
    <row r="279" spans="1:5" x14ac:dyDescent="0.2">
      <c r="A279" s="345">
        <v>36007</v>
      </c>
      <c r="B279" s="253"/>
      <c r="C279" s="259"/>
      <c r="D279" s="77"/>
      <c r="E279" s="77"/>
    </row>
    <row r="280" spans="1:5" x14ac:dyDescent="0.2">
      <c r="A280" s="345">
        <v>36038</v>
      </c>
      <c r="B280" s="253"/>
      <c r="C280" s="259"/>
      <c r="D280" s="77"/>
      <c r="E280" s="77"/>
    </row>
    <row r="281" spans="1:5" x14ac:dyDescent="0.2">
      <c r="A281" s="345">
        <v>36068</v>
      </c>
      <c r="B281" s="253"/>
      <c r="C281" s="259"/>
      <c r="D281" s="77"/>
      <c r="E281" s="77"/>
    </row>
    <row r="282" spans="1:5" x14ac:dyDescent="0.2">
      <c r="A282" s="345">
        <v>36099</v>
      </c>
      <c r="B282" s="253"/>
      <c r="C282" s="259"/>
      <c r="D282" s="77"/>
      <c r="E282" s="77"/>
    </row>
    <row r="283" spans="1:5" x14ac:dyDescent="0.2">
      <c r="A283" s="345">
        <v>36129</v>
      </c>
      <c r="B283" s="253"/>
      <c r="C283" s="259"/>
      <c r="D283" s="77"/>
      <c r="E283" s="77"/>
    </row>
    <row r="284" spans="1:5" x14ac:dyDescent="0.2">
      <c r="A284" s="345">
        <v>36160</v>
      </c>
      <c r="B284" s="253"/>
      <c r="C284" s="33"/>
      <c r="D284" s="253"/>
      <c r="E284" s="253"/>
    </row>
    <row r="285" spans="1:5" x14ac:dyDescent="0.2">
      <c r="A285" s="345">
        <v>36191</v>
      </c>
      <c r="B285" s="253"/>
      <c r="C285" s="33"/>
      <c r="D285" s="253"/>
      <c r="E285" s="253"/>
    </row>
    <row r="286" spans="1:5" x14ac:dyDescent="0.2">
      <c r="A286" s="345">
        <v>36219</v>
      </c>
      <c r="B286" s="253"/>
      <c r="C286" s="33"/>
      <c r="D286" s="253"/>
      <c r="E286" s="253"/>
    </row>
    <row r="287" spans="1:5" x14ac:dyDescent="0.2">
      <c r="A287" s="345">
        <v>36250</v>
      </c>
      <c r="B287" s="253"/>
      <c r="C287" s="33"/>
      <c r="D287" s="253"/>
      <c r="E287" s="253"/>
    </row>
    <row r="288" spans="1:5" x14ac:dyDescent="0.2">
      <c r="A288" s="345">
        <v>36280</v>
      </c>
      <c r="B288" s="253"/>
      <c r="C288" s="33"/>
      <c r="D288" s="253"/>
      <c r="E288" s="253"/>
    </row>
    <row r="289" spans="1:5" x14ac:dyDescent="0.2">
      <c r="A289" s="345">
        <v>36311</v>
      </c>
      <c r="B289" s="253"/>
      <c r="C289" s="33"/>
      <c r="D289" s="253"/>
      <c r="E289" s="253"/>
    </row>
    <row r="290" spans="1:5" x14ac:dyDescent="0.2">
      <c r="A290" s="345">
        <v>36341</v>
      </c>
      <c r="B290" s="253"/>
      <c r="C290" s="33"/>
      <c r="D290" s="253"/>
      <c r="E290" s="253"/>
    </row>
    <row r="291" spans="1:5" x14ac:dyDescent="0.2">
      <c r="A291" s="345">
        <v>36372</v>
      </c>
      <c r="B291" s="253"/>
      <c r="C291" s="33"/>
      <c r="D291" s="253"/>
      <c r="E291" s="253"/>
    </row>
    <row r="292" spans="1:5" x14ac:dyDescent="0.2">
      <c r="A292" s="345">
        <v>36403</v>
      </c>
      <c r="B292" s="253"/>
      <c r="C292" s="33"/>
      <c r="D292" s="253"/>
      <c r="E292" s="253"/>
    </row>
    <row r="293" spans="1:5" x14ac:dyDescent="0.2">
      <c r="A293" s="345">
        <v>36433</v>
      </c>
      <c r="B293" s="253"/>
      <c r="C293" s="33"/>
      <c r="D293" s="253"/>
      <c r="E293" s="253"/>
    </row>
    <row r="294" spans="1:5" x14ac:dyDescent="0.2">
      <c r="A294" s="345">
        <v>36464</v>
      </c>
      <c r="B294" s="253"/>
      <c r="C294" s="33"/>
      <c r="D294" s="253"/>
      <c r="E294" s="253"/>
    </row>
    <row r="295" spans="1:5" x14ac:dyDescent="0.2">
      <c r="A295" s="345">
        <v>36494</v>
      </c>
      <c r="B295" s="253"/>
      <c r="C295" s="33"/>
      <c r="D295" s="253"/>
      <c r="E295" s="253"/>
    </row>
    <row r="296" spans="1:5" x14ac:dyDescent="0.2">
      <c r="A296" s="345">
        <v>36525</v>
      </c>
      <c r="B296" s="253"/>
      <c r="C296" s="33"/>
      <c r="D296" s="253"/>
      <c r="E296" s="253"/>
    </row>
    <row r="297" spans="1:5" x14ac:dyDescent="0.2">
      <c r="A297" s="345">
        <v>36556</v>
      </c>
      <c r="B297" s="253"/>
      <c r="C297" s="33"/>
      <c r="D297" s="253"/>
      <c r="E297" s="253"/>
    </row>
    <row r="298" spans="1:5" x14ac:dyDescent="0.2">
      <c r="A298" s="345">
        <v>36585</v>
      </c>
      <c r="B298" s="253"/>
      <c r="C298" s="33"/>
      <c r="D298" s="253"/>
      <c r="E298" s="253"/>
    </row>
    <row r="299" spans="1:5" x14ac:dyDescent="0.2">
      <c r="A299" s="345">
        <v>36616</v>
      </c>
      <c r="B299" s="253"/>
      <c r="C299" s="33"/>
      <c r="D299" s="253"/>
      <c r="E299" s="253"/>
    </row>
    <row r="300" spans="1:5" x14ac:dyDescent="0.2">
      <c r="A300" s="345">
        <v>36646</v>
      </c>
      <c r="B300" s="253"/>
      <c r="C300" s="33"/>
      <c r="D300" s="253"/>
      <c r="E300" s="253"/>
    </row>
    <row r="301" spans="1:5" x14ac:dyDescent="0.2">
      <c r="A301" s="345">
        <v>36677</v>
      </c>
      <c r="B301" s="253"/>
      <c r="C301" s="33"/>
      <c r="D301" s="253"/>
      <c r="E301" s="253"/>
    </row>
    <row r="302" spans="1:5" x14ac:dyDescent="0.2">
      <c r="A302" s="345">
        <v>36707</v>
      </c>
      <c r="B302" s="253"/>
      <c r="C302" s="33"/>
      <c r="D302" s="253"/>
      <c r="E302" s="253"/>
    </row>
    <row r="303" spans="1:5" x14ac:dyDescent="0.2">
      <c r="A303" s="345">
        <v>36738</v>
      </c>
      <c r="B303" s="253"/>
      <c r="C303" s="33"/>
      <c r="D303" s="253"/>
      <c r="E303" s="253"/>
    </row>
    <row r="304" spans="1:5" x14ac:dyDescent="0.2">
      <c r="A304" s="345">
        <v>36769</v>
      </c>
      <c r="B304" s="253"/>
      <c r="C304" s="33"/>
      <c r="D304" s="253"/>
      <c r="E304" s="253"/>
    </row>
    <row r="305" spans="1:5" x14ac:dyDescent="0.2">
      <c r="A305" s="345">
        <v>36799</v>
      </c>
      <c r="B305" s="253"/>
      <c r="C305" s="33"/>
      <c r="D305" s="253"/>
      <c r="E305" s="253"/>
    </row>
    <row r="306" spans="1:5" x14ac:dyDescent="0.2">
      <c r="A306" s="345">
        <v>36830</v>
      </c>
      <c r="B306" s="253"/>
      <c r="C306" s="33"/>
      <c r="D306" s="253"/>
      <c r="E306" s="253"/>
    </row>
    <row r="307" spans="1:5" x14ac:dyDescent="0.2">
      <c r="A307" s="345">
        <v>36860</v>
      </c>
      <c r="B307" s="253"/>
      <c r="C307" s="33"/>
      <c r="D307" s="253"/>
      <c r="E307" s="253"/>
    </row>
    <row r="308" spans="1:5" x14ac:dyDescent="0.2">
      <c r="A308" s="345">
        <v>36891</v>
      </c>
      <c r="B308" s="253"/>
      <c r="C308" s="33"/>
      <c r="D308" s="253"/>
      <c r="E308" s="253"/>
    </row>
    <row r="309" spans="1:5" x14ac:dyDescent="0.2">
      <c r="A309" s="345">
        <v>36922</v>
      </c>
      <c r="B309" s="253"/>
      <c r="C309" s="33"/>
      <c r="D309" s="253"/>
      <c r="E309" s="253"/>
    </row>
    <row r="310" spans="1:5" x14ac:dyDescent="0.2">
      <c r="A310" s="345">
        <v>36950</v>
      </c>
      <c r="B310" s="253"/>
      <c r="C310" s="33"/>
      <c r="D310" s="253"/>
      <c r="E310" s="253"/>
    </row>
    <row r="311" spans="1:5" x14ac:dyDescent="0.2">
      <c r="A311" s="345">
        <v>36981</v>
      </c>
      <c r="B311" s="253"/>
      <c r="C311" s="33"/>
      <c r="D311" s="253"/>
      <c r="E311" s="253"/>
    </row>
    <row r="312" spans="1:5" x14ac:dyDescent="0.2">
      <c r="A312" s="345">
        <v>37011</v>
      </c>
      <c r="B312" s="253"/>
      <c r="C312" s="33"/>
      <c r="D312" s="253"/>
      <c r="E312" s="253"/>
    </row>
    <row r="313" spans="1:5" x14ac:dyDescent="0.2">
      <c r="A313" s="345">
        <v>37042</v>
      </c>
      <c r="B313" s="253"/>
      <c r="C313" s="33"/>
      <c r="D313" s="253"/>
      <c r="E313" s="253"/>
    </row>
    <row r="314" spans="1:5" x14ac:dyDescent="0.2">
      <c r="A314" s="345">
        <v>37072</v>
      </c>
      <c r="B314" s="253"/>
      <c r="C314" s="33"/>
      <c r="D314" s="253"/>
      <c r="E314" s="253"/>
    </row>
    <row r="315" spans="1:5" x14ac:dyDescent="0.2">
      <c r="A315" s="345">
        <v>37103</v>
      </c>
      <c r="B315" s="253"/>
      <c r="C315" s="33"/>
      <c r="D315" s="253"/>
      <c r="E315" s="253"/>
    </row>
    <row r="316" spans="1:5" x14ac:dyDescent="0.2">
      <c r="A316" s="345">
        <v>37134</v>
      </c>
      <c r="B316" s="253"/>
      <c r="C316" s="33"/>
      <c r="D316" s="253"/>
      <c r="E316" s="253"/>
    </row>
    <row r="317" spans="1:5" x14ac:dyDescent="0.2">
      <c r="A317" s="345">
        <v>37164</v>
      </c>
      <c r="B317" s="253"/>
      <c r="C317" s="33"/>
      <c r="D317" s="253"/>
      <c r="E317" s="253"/>
    </row>
    <row r="318" spans="1:5" x14ac:dyDescent="0.2">
      <c r="A318" s="345">
        <v>37195</v>
      </c>
      <c r="B318" s="253"/>
      <c r="C318" s="33"/>
      <c r="D318" s="253"/>
      <c r="E318" s="253"/>
    </row>
    <row r="319" spans="1:5" x14ac:dyDescent="0.2">
      <c r="A319" s="345">
        <v>37225</v>
      </c>
      <c r="B319" s="253"/>
      <c r="C319" s="33"/>
      <c r="D319" s="253"/>
      <c r="E319" s="253"/>
    </row>
    <row r="320" spans="1:5" x14ac:dyDescent="0.2">
      <c r="A320" s="345">
        <v>37256</v>
      </c>
      <c r="B320" s="253"/>
      <c r="C320" s="33"/>
      <c r="D320" s="253"/>
      <c r="E320" s="253"/>
    </row>
    <row r="321" spans="1:5" x14ac:dyDescent="0.2">
      <c r="A321" s="345">
        <v>37287</v>
      </c>
      <c r="B321" s="253"/>
      <c r="C321" s="33"/>
      <c r="D321" s="253"/>
      <c r="E321" s="253"/>
    </row>
    <row r="322" spans="1:5" x14ac:dyDescent="0.2">
      <c r="A322" s="345">
        <v>37315</v>
      </c>
      <c r="B322" s="253"/>
      <c r="C322" s="33"/>
      <c r="D322" s="253"/>
      <c r="E322" s="253"/>
    </row>
    <row r="323" spans="1:5" x14ac:dyDescent="0.2">
      <c r="A323" s="345">
        <v>37346</v>
      </c>
      <c r="B323" s="253"/>
      <c r="C323" s="33"/>
      <c r="D323" s="253"/>
      <c r="E323" s="253"/>
    </row>
    <row r="324" spans="1:5" x14ac:dyDescent="0.2">
      <c r="A324" s="345">
        <v>37376</v>
      </c>
      <c r="B324" s="253"/>
      <c r="C324" s="33"/>
      <c r="D324" s="253"/>
      <c r="E324" s="253"/>
    </row>
    <row r="325" spans="1:5" x14ac:dyDescent="0.2">
      <c r="A325" s="345">
        <v>37407</v>
      </c>
      <c r="B325" s="253"/>
      <c r="C325" s="33"/>
      <c r="D325" s="253"/>
      <c r="E325" s="253"/>
    </row>
    <row r="326" spans="1:5" x14ac:dyDescent="0.2">
      <c r="A326" s="345">
        <v>37437</v>
      </c>
      <c r="B326" s="253"/>
      <c r="C326" s="33"/>
      <c r="D326" s="253"/>
      <c r="E326" s="253"/>
    </row>
    <row r="327" spans="1:5" x14ac:dyDescent="0.2">
      <c r="A327" s="345">
        <v>37468</v>
      </c>
      <c r="B327" s="128">
        <v>-5.1769999999999996</v>
      </c>
      <c r="C327" s="33"/>
      <c r="D327" s="261"/>
      <c r="E327" s="253"/>
    </row>
    <row r="328" spans="1:5" x14ac:dyDescent="0.2">
      <c r="A328" s="345">
        <v>37499</v>
      </c>
      <c r="B328" s="128">
        <v>0.7903</v>
      </c>
      <c r="C328" s="33"/>
      <c r="D328" s="253">
        <v>0.7903</v>
      </c>
      <c r="E328" s="253"/>
    </row>
    <row r="329" spans="1:5" x14ac:dyDescent="0.2">
      <c r="A329" s="345">
        <v>37529</v>
      </c>
      <c r="B329" s="128">
        <v>-6.7849000000000004</v>
      </c>
      <c r="C329" s="33"/>
      <c r="D329" s="253">
        <v>-6.7849000000000004</v>
      </c>
      <c r="E329" s="253"/>
    </row>
    <row r="330" spans="1:5" x14ac:dyDescent="0.2">
      <c r="A330" s="345">
        <v>37560</v>
      </c>
      <c r="B330" s="128">
        <v>5.0403000000000002</v>
      </c>
      <c r="C330" s="33"/>
      <c r="D330" s="253">
        <v>5.0403000000000002</v>
      </c>
      <c r="E330" s="253"/>
    </row>
    <row r="331" spans="1:5" x14ac:dyDescent="0.2">
      <c r="A331" s="345">
        <v>37590</v>
      </c>
      <c r="B331" s="128">
        <v>3.7227999999999999</v>
      </c>
      <c r="C331" s="33"/>
      <c r="D331" s="253">
        <v>3.7227999999999999</v>
      </c>
      <c r="E331" s="253"/>
    </row>
    <row r="332" spans="1:5" x14ac:dyDescent="0.2">
      <c r="A332" s="345">
        <v>37621</v>
      </c>
      <c r="B332" s="128">
        <v>-2.9741</v>
      </c>
      <c r="C332" s="33"/>
      <c r="D332" s="253">
        <v>-2.9741</v>
      </c>
      <c r="E332" s="253"/>
    </row>
    <row r="333" spans="1:5" x14ac:dyDescent="0.2">
      <c r="A333" s="345">
        <v>37652</v>
      </c>
      <c r="B333" s="128">
        <v>-1.9621</v>
      </c>
      <c r="C333" s="33"/>
      <c r="D333" s="253">
        <v>-1.9621</v>
      </c>
      <c r="E333" s="253"/>
    </row>
    <row r="334" spans="1:5" x14ac:dyDescent="0.2">
      <c r="A334" s="345">
        <v>37680</v>
      </c>
      <c r="B334" s="128">
        <v>-0.64429999999999998</v>
      </c>
      <c r="C334" s="33"/>
      <c r="D334" s="253">
        <v>-0.64429999999999998</v>
      </c>
      <c r="E334" s="253"/>
    </row>
    <row r="335" spans="1:5" x14ac:dyDescent="0.2">
      <c r="A335" s="345">
        <v>37711</v>
      </c>
      <c r="B335" s="128">
        <v>0.18740000000000001</v>
      </c>
      <c r="C335" s="33"/>
      <c r="D335" s="253">
        <v>0.18740000000000001</v>
      </c>
      <c r="E335" s="253"/>
    </row>
    <row r="336" spans="1:5" x14ac:dyDescent="0.2">
      <c r="A336" s="345">
        <v>37741</v>
      </c>
      <c r="B336" s="128">
        <v>6.0495000000000001</v>
      </c>
      <c r="C336" s="33"/>
      <c r="D336" s="253">
        <v>6.0495000000000001</v>
      </c>
      <c r="E336" s="253"/>
    </row>
    <row r="337" spans="1:9" x14ac:dyDescent="0.2">
      <c r="A337" s="345">
        <v>37772</v>
      </c>
      <c r="B337" s="128">
        <v>4.2561999999999998</v>
      </c>
      <c r="C337" s="33"/>
      <c r="D337" s="253">
        <v>4.2561999999999998</v>
      </c>
      <c r="E337" s="253"/>
    </row>
    <row r="338" spans="1:9" x14ac:dyDescent="0.2">
      <c r="A338" s="345">
        <v>37802</v>
      </c>
      <c r="B338" s="128">
        <v>0.93779999999999997</v>
      </c>
      <c r="C338" s="33"/>
      <c r="D338" s="253">
        <v>0.93779999999999997</v>
      </c>
      <c r="E338" s="253"/>
    </row>
    <row r="339" spans="1:9" x14ac:dyDescent="0.2">
      <c r="A339" s="345">
        <v>37833</v>
      </c>
      <c r="B339" s="128">
        <v>0.34279999999999999</v>
      </c>
      <c r="C339" s="33"/>
      <c r="D339" s="253">
        <v>0.34279999999999999</v>
      </c>
      <c r="E339" s="253"/>
    </row>
    <row r="340" spans="1:9" x14ac:dyDescent="0.2">
      <c r="A340" s="345">
        <v>37864</v>
      </c>
      <c r="B340" s="128">
        <v>1.6234</v>
      </c>
      <c r="C340" s="33"/>
      <c r="D340" s="253">
        <v>1.6234</v>
      </c>
      <c r="E340" s="253"/>
    </row>
    <row r="341" spans="1:9" x14ac:dyDescent="0.2">
      <c r="A341" s="345">
        <v>37894</v>
      </c>
      <c r="B341" s="128">
        <v>0.7117</v>
      </c>
      <c r="C341" s="34"/>
      <c r="D341" s="253">
        <v>0.7117</v>
      </c>
      <c r="E341" s="253"/>
    </row>
    <row r="342" spans="1:9" x14ac:dyDescent="0.2">
      <c r="A342" s="345">
        <v>37925</v>
      </c>
      <c r="B342" s="128">
        <v>3.7364000000000002</v>
      </c>
      <c r="C342" s="34"/>
      <c r="D342" s="253">
        <v>3.7364000000000002</v>
      </c>
      <c r="E342" s="253"/>
    </row>
    <row r="343" spans="1:9" x14ac:dyDescent="0.2">
      <c r="A343" s="345">
        <v>37955</v>
      </c>
      <c r="B343" s="128">
        <v>0.91139999999999999</v>
      </c>
      <c r="C343" s="34"/>
      <c r="D343" s="253">
        <v>0.91139999999999999</v>
      </c>
      <c r="E343" s="253"/>
    </row>
    <row r="344" spans="1:9" x14ac:dyDescent="0.2">
      <c r="A344" s="345">
        <v>37986</v>
      </c>
      <c r="B344" s="128">
        <v>4.3724999999999996</v>
      </c>
      <c r="C344" s="34"/>
      <c r="D344" s="253">
        <v>4.3724999999999996</v>
      </c>
      <c r="E344" s="253"/>
    </row>
    <row r="345" spans="1:9" x14ac:dyDescent="0.2">
      <c r="A345" s="345">
        <v>38017</v>
      </c>
      <c r="B345" s="128">
        <v>1.4260999999999999</v>
      </c>
      <c r="C345" s="34"/>
      <c r="D345" s="253">
        <v>1.4260999999999999</v>
      </c>
      <c r="E345" s="253"/>
    </row>
    <row r="346" spans="1:9" x14ac:dyDescent="0.2">
      <c r="A346" s="345">
        <v>38046</v>
      </c>
      <c r="B346" s="128">
        <v>1.4477</v>
      </c>
      <c r="C346" s="34"/>
      <c r="D346" s="253">
        <v>1.4477</v>
      </c>
      <c r="E346" s="253"/>
    </row>
    <row r="347" spans="1:9" x14ac:dyDescent="0.2">
      <c r="A347" s="345">
        <v>38077</v>
      </c>
      <c r="B347" s="128">
        <v>-0.47160000000000002</v>
      </c>
      <c r="C347" s="34"/>
      <c r="D347" s="255">
        <v>-0.47160000000000002</v>
      </c>
      <c r="E347" s="253"/>
    </row>
    <row r="348" spans="1:9" x14ac:dyDescent="0.2">
      <c r="A348" s="345">
        <v>38107</v>
      </c>
      <c r="B348" s="128">
        <v>-1.9066000000000001</v>
      </c>
      <c r="C348" s="34"/>
      <c r="D348" s="253">
        <v>-1.9066000000000001</v>
      </c>
      <c r="E348" s="253"/>
      <c r="I348" s="14"/>
    </row>
    <row r="349" spans="1:9" x14ac:dyDescent="0.2">
      <c r="A349" s="345">
        <v>38138</v>
      </c>
      <c r="B349" s="128">
        <v>0.65490000000000004</v>
      </c>
      <c r="C349" s="34"/>
      <c r="D349" s="253">
        <v>0.65490000000000004</v>
      </c>
      <c r="E349" s="253"/>
      <c r="I349" s="14"/>
    </row>
    <row r="350" spans="1:9" x14ac:dyDescent="0.2">
      <c r="A350" s="345">
        <v>38168</v>
      </c>
      <c r="B350" s="128">
        <v>1.5355000000000001</v>
      </c>
      <c r="C350" s="34"/>
      <c r="D350" s="253">
        <v>1.5355000000000001</v>
      </c>
      <c r="E350" s="253"/>
      <c r="I350" s="14"/>
    </row>
    <row r="351" spans="1:9" x14ac:dyDescent="0.2">
      <c r="A351" s="345">
        <v>38199</v>
      </c>
      <c r="B351" s="128">
        <v>-1.9726999999999999</v>
      </c>
      <c r="C351" s="34"/>
      <c r="D351" s="253">
        <v>-1.9726999999999999</v>
      </c>
      <c r="E351" s="253"/>
    </row>
    <row r="352" spans="1:9" x14ac:dyDescent="0.2">
      <c r="A352" s="345">
        <v>38230</v>
      </c>
      <c r="B352" s="128">
        <v>0.83399999999999996</v>
      </c>
      <c r="C352" s="34"/>
      <c r="D352" s="253">
        <v>0.83399999999999996</v>
      </c>
      <c r="E352" s="253"/>
    </row>
    <row r="353" spans="1:5" x14ac:dyDescent="0.2">
      <c r="A353" s="345">
        <v>38260</v>
      </c>
      <c r="B353" s="128">
        <v>1.1079000000000001</v>
      </c>
      <c r="C353" s="34"/>
      <c r="D353" s="253">
        <v>1.1079000000000001</v>
      </c>
      <c r="E353" s="253"/>
    </row>
    <row r="354" spans="1:5" x14ac:dyDescent="0.2">
      <c r="A354" s="345">
        <v>38291</v>
      </c>
      <c r="B354" s="128">
        <v>1.6681999999999999</v>
      </c>
      <c r="C354" s="34"/>
      <c r="D354" s="253">
        <v>1.6681999999999999</v>
      </c>
      <c r="E354" s="253"/>
    </row>
    <row r="355" spans="1:5" x14ac:dyDescent="0.2">
      <c r="A355" s="345">
        <v>38321</v>
      </c>
      <c r="B355" s="128">
        <v>3.1368999999999998</v>
      </c>
      <c r="C355" s="34"/>
      <c r="D355" s="253">
        <v>3.1368999999999998</v>
      </c>
      <c r="E355" s="253"/>
    </row>
    <row r="356" spans="1:5" x14ac:dyDescent="0.2">
      <c r="A356" s="345">
        <v>38352</v>
      </c>
      <c r="B356" s="128">
        <v>2.0648</v>
      </c>
      <c r="C356" s="256"/>
      <c r="D356" s="253">
        <v>2.0648</v>
      </c>
      <c r="E356" s="253"/>
    </row>
    <row r="357" spans="1:5" x14ac:dyDescent="0.2">
      <c r="A357" s="345">
        <v>38383</v>
      </c>
      <c r="B357" s="128">
        <v>-1.3794</v>
      </c>
      <c r="C357" s="34"/>
      <c r="D357" s="253">
        <v>-1.3794</v>
      </c>
      <c r="E357" s="253"/>
    </row>
    <row r="358" spans="1:5" x14ac:dyDescent="0.2">
      <c r="A358" s="345">
        <v>38411</v>
      </c>
      <c r="B358" s="128">
        <v>1.9702</v>
      </c>
      <c r="C358" s="34"/>
      <c r="D358" s="253">
        <v>1.9702</v>
      </c>
      <c r="E358" s="253"/>
    </row>
    <row r="359" spans="1:5" x14ac:dyDescent="0.2">
      <c r="A359" s="345">
        <v>38442</v>
      </c>
      <c r="B359" s="128">
        <v>-1.3461000000000001</v>
      </c>
      <c r="C359" s="256"/>
      <c r="D359" s="253">
        <v>-1.3461000000000001</v>
      </c>
      <c r="E359" s="253"/>
    </row>
    <row r="360" spans="1:5" x14ac:dyDescent="0.2">
      <c r="A360" s="345">
        <v>38472</v>
      </c>
      <c r="B360" s="128">
        <v>-1.1127</v>
      </c>
      <c r="C360" s="256"/>
      <c r="D360" s="253">
        <v>-1.1127</v>
      </c>
      <c r="E360" s="253"/>
    </row>
    <row r="361" spans="1:5" x14ac:dyDescent="0.2">
      <c r="A361" s="345">
        <v>38503</v>
      </c>
      <c r="B361" s="128">
        <v>2.6032000000000002</v>
      </c>
      <c r="C361" s="256"/>
      <c r="D361" s="253">
        <v>2.6032000000000002</v>
      </c>
      <c r="E361" s="253"/>
    </row>
    <row r="362" spans="1:5" x14ac:dyDescent="0.2">
      <c r="A362" s="345">
        <v>38533</v>
      </c>
      <c r="B362" s="128">
        <v>0.96020000000000005</v>
      </c>
      <c r="C362" s="256"/>
      <c r="D362" s="253">
        <v>0.96020000000000005</v>
      </c>
      <c r="E362" s="253"/>
    </row>
    <row r="363" spans="1:5" x14ac:dyDescent="0.2">
      <c r="A363" s="345">
        <v>38564</v>
      </c>
      <c r="B363" s="128">
        <v>2.8077000000000001</v>
      </c>
      <c r="C363" s="256"/>
      <c r="D363" s="253">
        <v>2.8077000000000001</v>
      </c>
      <c r="E363" s="253"/>
    </row>
    <row r="364" spans="1:5" x14ac:dyDescent="0.2">
      <c r="A364" s="345">
        <v>38595</v>
      </c>
      <c r="B364" s="128">
        <v>2.3E-2</v>
      </c>
      <c r="C364" s="256"/>
      <c r="D364" s="253">
        <v>2.3E-2</v>
      </c>
      <c r="E364" s="253"/>
    </row>
    <row r="365" spans="1:5" x14ac:dyDescent="0.2">
      <c r="A365" s="345">
        <v>38625</v>
      </c>
      <c r="B365" s="128">
        <v>0.99639999999999995</v>
      </c>
      <c r="C365" s="334"/>
      <c r="D365" s="253">
        <v>0.99639999999999995</v>
      </c>
      <c r="E365" s="253"/>
    </row>
    <row r="366" spans="1:5" x14ac:dyDescent="0.2">
      <c r="A366" s="345">
        <v>38656</v>
      </c>
      <c r="B366" s="128">
        <v>-1.6279999999999999</v>
      </c>
      <c r="C366" s="334"/>
      <c r="D366" s="253">
        <v>-1.6279999999999999</v>
      </c>
      <c r="E366" s="253"/>
    </row>
    <row r="367" spans="1:5" x14ac:dyDescent="0.2">
      <c r="A367" s="345">
        <v>38686</v>
      </c>
      <c r="B367" s="128">
        <v>3.1764999999999999</v>
      </c>
      <c r="C367" s="334"/>
      <c r="D367" s="253">
        <v>3.1764999999999999</v>
      </c>
      <c r="E367" s="253"/>
    </row>
    <row r="368" spans="1:5" x14ac:dyDescent="0.2">
      <c r="A368" s="345">
        <v>38717</v>
      </c>
      <c r="B368" s="128">
        <v>0.97819999999999996</v>
      </c>
      <c r="C368" s="256"/>
      <c r="D368" s="253">
        <v>0.97819999999999996</v>
      </c>
      <c r="E368" s="253"/>
    </row>
    <row r="369" spans="1:9" x14ac:dyDescent="0.2">
      <c r="A369" s="345">
        <v>38748</v>
      </c>
      <c r="B369" s="128">
        <v>3.5695000000000001</v>
      </c>
      <c r="C369" s="256"/>
      <c r="D369" s="262">
        <v>3.5695000000000001</v>
      </c>
      <c r="E369" s="253"/>
      <c r="F369" s="496"/>
      <c r="G369" s="700"/>
      <c r="H369" s="703"/>
      <c r="I369" s="253"/>
    </row>
    <row r="370" spans="1:9" x14ac:dyDescent="0.2">
      <c r="A370" s="345">
        <v>38776</v>
      </c>
      <c r="B370" s="128">
        <v>-3.8100000000000002E-2</v>
      </c>
      <c r="C370" s="256"/>
      <c r="D370" s="262">
        <v>-3.8100000000000002E-2</v>
      </c>
      <c r="E370" s="253"/>
      <c r="F370" s="496"/>
      <c r="G370" s="701"/>
      <c r="H370" s="703"/>
      <c r="I370" s="253"/>
    </row>
    <row r="371" spans="1:9" x14ac:dyDescent="0.2">
      <c r="A371" s="345">
        <v>38807</v>
      </c>
      <c r="B371" s="128">
        <v>1.522</v>
      </c>
      <c r="C371" s="256"/>
      <c r="D371" s="253">
        <v>1.522</v>
      </c>
      <c r="E371" s="253"/>
      <c r="F371" s="496"/>
      <c r="G371" s="701"/>
      <c r="H371" s="703"/>
      <c r="I371" s="253"/>
    </row>
    <row r="372" spans="1:9" x14ac:dyDescent="0.2">
      <c r="A372" s="345">
        <v>38837</v>
      </c>
      <c r="B372" s="128">
        <v>1.5224</v>
      </c>
      <c r="C372" s="34"/>
      <c r="D372" s="253">
        <v>1.5224</v>
      </c>
      <c r="E372" s="253"/>
      <c r="F372" s="496"/>
      <c r="G372" s="700"/>
      <c r="H372" s="703"/>
      <c r="I372" s="253"/>
    </row>
    <row r="373" spans="1:9" x14ac:dyDescent="0.2">
      <c r="A373" s="345">
        <v>38868</v>
      </c>
      <c r="B373" s="128">
        <v>-2.6857000000000002</v>
      </c>
      <c r="C373" s="34"/>
      <c r="D373" s="631">
        <v>-2.6857000000000002</v>
      </c>
      <c r="E373" s="253"/>
      <c r="F373" s="496"/>
      <c r="G373" s="700"/>
      <c r="H373" s="703"/>
      <c r="I373" s="253"/>
    </row>
    <row r="374" spans="1:9" x14ac:dyDescent="0.2">
      <c r="A374" s="345">
        <v>38898</v>
      </c>
      <c r="B374" s="128">
        <v>0.78539999999999999</v>
      </c>
      <c r="C374" s="612">
        <v>185973786.28</v>
      </c>
      <c r="D374" s="253">
        <v>0.78539999999999999</v>
      </c>
      <c r="E374" s="253"/>
      <c r="F374" s="496"/>
      <c r="G374" s="700"/>
      <c r="H374" s="703"/>
      <c r="I374" s="253"/>
    </row>
    <row r="375" spans="1:9" x14ac:dyDescent="0.2">
      <c r="A375" s="345">
        <v>38929</v>
      </c>
      <c r="B375" s="253">
        <v>0.92149999999999999</v>
      </c>
      <c r="C375" s="34">
        <v>186813053.56999999</v>
      </c>
      <c r="D375" s="253">
        <v>0.92149999999999999</v>
      </c>
      <c r="E375" s="253"/>
      <c r="F375" s="496"/>
      <c r="G375" s="700"/>
      <c r="H375" s="703"/>
      <c r="I375" s="253"/>
    </row>
    <row r="376" spans="1:9" x14ac:dyDescent="0.2">
      <c r="A376" s="345">
        <v>38960</v>
      </c>
      <c r="B376" s="253">
        <v>1.83</v>
      </c>
      <c r="C376" s="34">
        <v>189786020.19</v>
      </c>
      <c r="D376" s="253">
        <v>1.83</v>
      </c>
      <c r="E376" s="253"/>
    </row>
    <row r="377" spans="1:9" x14ac:dyDescent="0.2">
      <c r="A377" s="345">
        <v>38990</v>
      </c>
      <c r="B377" s="253">
        <v>1.66</v>
      </c>
      <c r="C377" s="34">
        <v>194020708.49000001</v>
      </c>
      <c r="D377" s="253">
        <v>1.66</v>
      </c>
      <c r="E377" s="253"/>
    </row>
    <row r="378" spans="1:9" x14ac:dyDescent="0.2">
      <c r="A378" s="345">
        <v>39021</v>
      </c>
      <c r="B378" s="253">
        <v>2.9605999999999999</v>
      </c>
      <c r="C378" s="34">
        <v>200986834.15000001</v>
      </c>
      <c r="D378" s="253"/>
      <c r="E378" s="253"/>
    </row>
    <row r="379" spans="1:9" x14ac:dyDescent="0.2">
      <c r="A379" s="345">
        <v>39051</v>
      </c>
      <c r="B379" s="253">
        <v>1.9514</v>
      </c>
      <c r="C379" s="34">
        <v>206258020.06999999</v>
      </c>
      <c r="D379" s="253"/>
      <c r="E379" s="253"/>
    </row>
    <row r="380" spans="1:9" x14ac:dyDescent="0.2">
      <c r="A380" s="345">
        <v>39082</v>
      </c>
      <c r="B380" s="253">
        <v>0.73470000000000002</v>
      </c>
      <c r="C380" s="703">
        <v>214503080.34</v>
      </c>
      <c r="D380" s="253"/>
      <c r="E380" s="253"/>
    </row>
    <row r="381" spans="1:9" x14ac:dyDescent="0.2">
      <c r="A381" s="345">
        <v>39113</v>
      </c>
      <c r="B381" s="253">
        <v>1.7798</v>
      </c>
      <c r="C381" s="770">
        <v>218366072.16999999</v>
      </c>
    </row>
    <row r="382" spans="1:9" x14ac:dyDescent="0.2">
      <c r="A382" s="345">
        <v>39141</v>
      </c>
      <c r="B382" s="253">
        <v>-0.77349999999999997</v>
      </c>
      <c r="C382" s="770">
        <v>218175148.22</v>
      </c>
    </row>
    <row r="383" spans="1:9" x14ac:dyDescent="0.2">
      <c r="A383" s="345">
        <v>39172</v>
      </c>
      <c r="B383" s="253">
        <v>0.47939999999999999</v>
      </c>
      <c r="C383" s="770">
        <v>220745864.38</v>
      </c>
    </row>
    <row r="384" spans="1:9" x14ac:dyDescent="0.2">
      <c r="A384" s="345">
        <v>39202</v>
      </c>
      <c r="B384" s="253">
        <v>2.8462999999999998</v>
      </c>
      <c r="C384" s="770">
        <v>229375539.88999999</v>
      </c>
    </row>
    <row r="385" spans="1:4" x14ac:dyDescent="0.2">
      <c r="A385" s="345">
        <v>39233</v>
      </c>
      <c r="B385" s="253">
        <v>1.9783999999999999</v>
      </c>
      <c r="C385" s="770">
        <v>238290927.91</v>
      </c>
    </row>
    <row r="386" spans="1:4" x14ac:dyDescent="0.2">
      <c r="A386" s="345">
        <v>39263</v>
      </c>
      <c r="B386" s="253">
        <v>-1.9475</v>
      </c>
      <c r="C386" s="770">
        <v>236538645.80000001</v>
      </c>
    </row>
    <row r="387" spans="1:4" x14ac:dyDescent="0.2">
      <c r="A387" s="345">
        <v>39294</v>
      </c>
      <c r="B387" s="128">
        <v>-2.7490999999999999</v>
      </c>
      <c r="C387" s="770">
        <v>230312164.09</v>
      </c>
    </row>
    <row r="388" spans="1:4" x14ac:dyDescent="0.2">
      <c r="A388" s="345">
        <v>39325</v>
      </c>
      <c r="B388" s="128">
        <v>0.39410000000000001</v>
      </c>
      <c r="C388" s="346">
        <v>231575365.03999999</v>
      </c>
    </row>
    <row r="389" spans="1:4" x14ac:dyDescent="0.2">
      <c r="A389" s="345">
        <v>39355</v>
      </c>
      <c r="B389" s="128">
        <v>2.7042000000000002</v>
      </c>
      <c r="C389" s="346">
        <v>239389196.5</v>
      </c>
    </row>
    <row r="390" spans="1:4" x14ac:dyDescent="0.2">
      <c r="A390" s="345">
        <v>39386</v>
      </c>
      <c r="B390" s="128">
        <v>1.9100999999999999</v>
      </c>
      <c r="C390" s="346">
        <v>247052101.63</v>
      </c>
    </row>
    <row r="391" spans="1:4" x14ac:dyDescent="0.2">
      <c r="A391" s="345">
        <v>39416</v>
      </c>
      <c r="B391" s="128">
        <v>-3.8220000000000001</v>
      </c>
      <c r="C391" s="346">
        <v>239519664.03</v>
      </c>
    </row>
    <row r="392" spans="1:4" x14ac:dyDescent="0.2">
      <c r="A392" s="345">
        <v>39447</v>
      </c>
      <c r="B392" s="128">
        <v>-1.3392999999999999</v>
      </c>
      <c r="C392" s="346">
        <v>238897237.53999999</v>
      </c>
    </row>
    <row r="393" spans="1:4" x14ac:dyDescent="0.2">
      <c r="A393" s="345">
        <v>39478</v>
      </c>
      <c r="B393" s="128">
        <v>-3.9744999999999999</v>
      </c>
      <c r="C393" s="346">
        <v>231447538.71000001</v>
      </c>
    </row>
    <row r="394" spans="1:4" x14ac:dyDescent="0.2">
      <c r="A394" s="345">
        <v>39507</v>
      </c>
      <c r="B394" s="128">
        <v>-1.3628</v>
      </c>
      <c r="C394" s="346">
        <v>231686407.84</v>
      </c>
    </row>
    <row r="395" spans="1:4" x14ac:dyDescent="0.2">
      <c r="A395" s="345">
        <v>39538</v>
      </c>
      <c r="B395" s="128">
        <v>-0.34370000000000001</v>
      </c>
      <c r="C395" s="346">
        <v>233333875.52000001</v>
      </c>
    </row>
    <row r="396" spans="1:4" x14ac:dyDescent="0.2">
      <c r="A396" s="345">
        <v>39568</v>
      </c>
      <c r="B396" s="128">
        <v>3.4853000000000001</v>
      </c>
      <c r="C396" s="346">
        <v>243343532.05000001</v>
      </c>
      <c r="D396" s="1179"/>
    </row>
    <row r="397" spans="1:4" x14ac:dyDescent="0.2">
      <c r="A397" s="345">
        <v>39599</v>
      </c>
      <c r="B397" s="128">
        <v>1.5778000000000001</v>
      </c>
      <c r="C397" s="346">
        <v>251340606.93000001</v>
      </c>
      <c r="D397" s="1179"/>
    </row>
    <row r="398" spans="1:4" x14ac:dyDescent="0.2">
      <c r="A398" s="345">
        <v>39629</v>
      </c>
      <c r="B398" s="128">
        <v>-5.5442999999999998</v>
      </c>
      <c r="C398" s="346">
        <v>239079237.53999999</v>
      </c>
      <c r="D398" s="1179"/>
    </row>
    <row r="399" spans="1:4" x14ac:dyDescent="0.2">
      <c r="A399" s="345">
        <v>39660</v>
      </c>
      <c r="B399" s="128">
        <v>-0.65349999999999997</v>
      </c>
      <c r="C399" s="612">
        <v>237750085.96000001</v>
      </c>
    </row>
    <row r="400" spans="1:4" x14ac:dyDescent="0.2">
      <c r="A400" s="345">
        <v>39691</v>
      </c>
      <c r="B400" s="128">
        <v>-3.0499999999999999E-2</v>
      </c>
      <c r="C400" s="612">
        <v>238123341.16999999</v>
      </c>
    </row>
    <row r="401" spans="1:3" x14ac:dyDescent="0.2">
      <c r="A401" s="345">
        <v>39721</v>
      </c>
      <c r="B401" s="128">
        <v>-8.1806000000000001</v>
      </c>
      <c r="C401" s="612">
        <v>221661105.53999999</v>
      </c>
    </row>
    <row r="402" spans="1:3" x14ac:dyDescent="0.2">
      <c r="A402" s="345">
        <v>39752</v>
      </c>
      <c r="B402" s="128"/>
      <c r="C402" s="346"/>
    </row>
    <row r="403" spans="1:3" x14ac:dyDescent="0.2">
      <c r="A403" s="345">
        <v>39782</v>
      </c>
      <c r="B403" s="128"/>
      <c r="C403" s="346"/>
    </row>
    <row r="404" spans="1:3" x14ac:dyDescent="0.2">
      <c r="A404" s="345">
        <v>39813</v>
      </c>
      <c r="B404" s="128"/>
      <c r="C404" s="346"/>
    </row>
    <row r="405" spans="1:3" x14ac:dyDescent="0.2">
      <c r="A405" s="345">
        <v>39844</v>
      </c>
      <c r="B405" s="128"/>
      <c r="C405" s="346"/>
    </row>
    <row r="406" spans="1:3" x14ac:dyDescent="0.2">
      <c r="A406" s="345">
        <v>39872</v>
      </c>
      <c r="B406" s="128"/>
      <c r="C406" s="346"/>
    </row>
    <row r="407" spans="1:3" x14ac:dyDescent="0.2">
      <c r="A407" s="345">
        <v>39903</v>
      </c>
      <c r="B407" s="128"/>
      <c r="C407" s="346"/>
    </row>
    <row r="408" spans="1:3" x14ac:dyDescent="0.2">
      <c r="A408" s="345">
        <v>39933</v>
      </c>
      <c r="B408" s="128"/>
      <c r="C408" s="346"/>
    </row>
    <row r="409" spans="1:3" x14ac:dyDescent="0.2">
      <c r="A409" s="345">
        <v>39964</v>
      </c>
      <c r="B409" s="128"/>
      <c r="C409" s="346"/>
    </row>
    <row r="410" spans="1:3" x14ac:dyDescent="0.2">
      <c r="A410" s="345">
        <v>39994</v>
      </c>
      <c r="B410" s="128"/>
      <c r="C410" s="346"/>
    </row>
    <row r="411" spans="1:3" x14ac:dyDescent="0.2">
      <c r="A411" s="345">
        <v>40025</v>
      </c>
      <c r="B411" s="128"/>
      <c r="C411" s="346"/>
    </row>
    <row r="412" spans="1:3" x14ac:dyDescent="0.2">
      <c r="A412" s="345">
        <v>40056</v>
      </c>
      <c r="B412" s="128"/>
      <c r="C412" s="346"/>
    </row>
    <row r="413" spans="1:3" x14ac:dyDescent="0.2">
      <c r="A413" s="345">
        <v>40086</v>
      </c>
      <c r="B413" s="128"/>
      <c r="C413" s="346"/>
    </row>
    <row r="414" spans="1:3" x14ac:dyDescent="0.2">
      <c r="A414" s="345">
        <v>40117</v>
      </c>
      <c r="B414" s="128"/>
      <c r="C414" s="346"/>
    </row>
    <row r="415" spans="1:3" x14ac:dyDescent="0.2">
      <c r="A415" s="345">
        <v>40147</v>
      </c>
      <c r="B415" s="128"/>
      <c r="C415" s="346"/>
    </row>
    <row r="416" spans="1:3" x14ac:dyDescent="0.2">
      <c r="A416" s="345">
        <v>40178</v>
      </c>
      <c r="B416" s="128"/>
      <c r="C416" s="346"/>
    </row>
    <row r="417" spans="1:3" x14ac:dyDescent="0.2">
      <c r="A417" s="345">
        <v>40209</v>
      </c>
      <c r="B417" s="128"/>
      <c r="C417" s="346"/>
    </row>
    <row r="418" spans="1:3" x14ac:dyDescent="0.2">
      <c r="A418" s="345">
        <v>40237</v>
      </c>
      <c r="B418" s="128"/>
      <c r="C418" s="346"/>
    </row>
    <row r="419" spans="1:3" x14ac:dyDescent="0.2">
      <c r="A419" s="345">
        <v>40268</v>
      </c>
      <c r="B419" s="128"/>
      <c r="C419" s="346"/>
    </row>
    <row r="420" spans="1:3" x14ac:dyDescent="0.2">
      <c r="A420" s="345">
        <v>40298</v>
      </c>
      <c r="B420" s="128"/>
      <c r="C420" s="346"/>
    </row>
    <row r="421" spans="1:3" x14ac:dyDescent="0.2">
      <c r="A421" s="345">
        <v>40329</v>
      </c>
      <c r="B421" s="128"/>
      <c r="C421" s="346"/>
    </row>
    <row r="422" spans="1:3" x14ac:dyDescent="0.2">
      <c r="A422" s="345">
        <v>40359</v>
      </c>
      <c r="B422" s="128"/>
      <c r="C422" s="346"/>
    </row>
    <row r="423" spans="1:3" x14ac:dyDescent="0.2">
      <c r="A423" s="345">
        <v>40390</v>
      </c>
      <c r="B423" s="128"/>
      <c r="C423" s="346"/>
    </row>
    <row r="424" spans="1:3" x14ac:dyDescent="0.2">
      <c r="A424" s="345">
        <v>40421</v>
      </c>
      <c r="B424" s="128"/>
      <c r="C424" s="346"/>
    </row>
    <row r="425" spans="1:3" x14ac:dyDescent="0.2">
      <c r="A425" s="345">
        <v>40451</v>
      </c>
      <c r="B425" s="128"/>
      <c r="C425" s="346"/>
    </row>
    <row r="426" spans="1:3" x14ac:dyDescent="0.2">
      <c r="A426" s="345">
        <v>40482</v>
      </c>
      <c r="B426" s="128"/>
      <c r="C426" s="346"/>
    </row>
    <row r="427" spans="1:3" x14ac:dyDescent="0.2">
      <c r="A427" s="345">
        <v>40512</v>
      </c>
      <c r="B427" s="128"/>
      <c r="C427" s="346"/>
    </row>
    <row r="428" spans="1:3" x14ac:dyDescent="0.2">
      <c r="A428" s="345">
        <v>40543</v>
      </c>
      <c r="B428" s="128"/>
      <c r="C428" s="346"/>
    </row>
    <row r="429" spans="1:3" x14ac:dyDescent="0.2">
      <c r="A429" s="345">
        <v>40574</v>
      </c>
      <c r="B429" s="128">
        <f>D429</f>
        <v>0</v>
      </c>
      <c r="C429" s="346"/>
    </row>
    <row r="430" spans="1:3" x14ac:dyDescent="0.2">
      <c r="A430" s="345">
        <v>40602</v>
      </c>
      <c r="B430" s="128"/>
    </row>
    <row r="431" spans="1:3" x14ac:dyDescent="0.2">
      <c r="A431" s="345">
        <v>40633</v>
      </c>
      <c r="B431" s="128"/>
    </row>
    <row r="432" spans="1:3" x14ac:dyDescent="0.2">
      <c r="A432" s="345">
        <v>40663</v>
      </c>
      <c r="B432" s="128"/>
    </row>
    <row r="433" spans="1:2" x14ac:dyDescent="0.2">
      <c r="A433" s="345">
        <v>40694</v>
      </c>
      <c r="B433" s="128"/>
    </row>
    <row r="434" spans="1:2" x14ac:dyDescent="0.2">
      <c r="A434" s="345">
        <v>40724</v>
      </c>
      <c r="B434" s="128"/>
    </row>
    <row r="435" spans="1:2" x14ac:dyDescent="0.2">
      <c r="A435" s="345">
        <v>40755</v>
      </c>
      <c r="B435" s="128"/>
    </row>
    <row r="436" spans="1:2" x14ac:dyDescent="0.2">
      <c r="A436" s="345">
        <v>40786</v>
      </c>
      <c r="B436" s="128"/>
    </row>
    <row r="437" spans="1:2" x14ac:dyDescent="0.2">
      <c r="A437" s="345">
        <v>40816</v>
      </c>
      <c r="B437" s="128"/>
    </row>
    <row r="438" spans="1:2" x14ac:dyDescent="0.2">
      <c r="B438" s="128"/>
    </row>
    <row r="439" spans="1:2" x14ac:dyDescent="0.2">
      <c r="B439" s="128"/>
    </row>
    <row r="440" spans="1:2" x14ac:dyDescent="0.2">
      <c r="B440" s="128"/>
    </row>
    <row r="441" spans="1:2" x14ac:dyDescent="0.2">
      <c r="B441" s="128"/>
    </row>
    <row r="442" spans="1:2" x14ac:dyDescent="0.2">
      <c r="B442" s="128"/>
    </row>
    <row r="443" spans="1:2" x14ac:dyDescent="0.2">
      <c r="B443" s="128"/>
    </row>
    <row r="444" spans="1:2" x14ac:dyDescent="0.2">
      <c r="B444" s="128"/>
    </row>
    <row r="445" spans="1:2" x14ac:dyDescent="0.2">
      <c r="B445" s="128"/>
    </row>
    <row r="446" spans="1:2" x14ac:dyDescent="0.2">
      <c r="B446" s="128"/>
    </row>
    <row r="447" spans="1:2" x14ac:dyDescent="0.2">
      <c r="B447" s="128"/>
    </row>
    <row r="448" spans="1:2" x14ac:dyDescent="0.2">
      <c r="B448" s="128"/>
    </row>
    <row r="449" spans="2:2" x14ac:dyDescent="0.2">
      <c r="B449" s="128"/>
    </row>
    <row r="450" spans="2:2" x14ac:dyDescent="0.2">
      <c r="B450" s="128"/>
    </row>
    <row r="451" spans="2:2" x14ac:dyDescent="0.2">
      <c r="B451" s="128"/>
    </row>
    <row r="452" spans="2:2" x14ac:dyDescent="0.2">
      <c r="B452" s="128"/>
    </row>
    <row r="453" spans="2:2" x14ac:dyDescent="0.2">
      <c r="B453" s="128"/>
    </row>
    <row r="454" spans="2:2" x14ac:dyDescent="0.2">
      <c r="B454" s="128"/>
    </row>
    <row r="455" spans="2:2" x14ac:dyDescent="0.2">
      <c r="B455" s="128"/>
    </row>
    <row r="456" spans="2:2" x14ac:dyDescent="0.2">
      <c r="B456" s="128"/>
    </row>
    <row r="457" spans="2:2" x14ac:dyDescent="0.2">
      <c r="B457" s="128"/>
    </row>
    <row r="458" spans="2:2" x14ac:dyDescent="0.2">
      <c r="B458" s="128"/>
    </row>
    <row r="459" spans="2:2" x14ac:dyDescent="0.2">
      <c r="B459" s="128"/>
    </row>
    <row r="460" spans="2:2" x14ac:dyDescent="0.2">
      <c r="B460" s="128"/>
    </row>
    <row r="461" spans="2:2" x14ac:dyDescent="0.2">
      <c r="B461" s="128"/>
    </row>
    <row r="462" spans="2:2" x14ac:dyDescent="0.2">
      <c r="B462" s="128"/>
    </row>
    <row r="463" spans="2:2" x14ac:dyDescent="0.2">
      <c r="B463" s="128"/>
    </row>
    <row r="464" spans="2:2" x14ac:dyDescent="0.2">
      <c r="B464" s="128"/>
    </row>
    <row r="465" spans="2:2" x14ac:dyDescent="0.2">
      <c r="B465" s="128"/>
    </row>
    <row r="466" spans="2:2" x14ac:dyDescent="0.2">
      <c r="B466" s="128"/>
    </row>
    <row r="467" spans="2:2" x14ac:dyDescent="0.2">
      <c r="B467" s="128"/>
    </row>
    <row r="468" spans="2:2" x14ac:dyDescent="0.2">
      <c r="B468" s="128"/>
    </row>
    <row r="469" spans="2:2" x14ac:dyDescent="0.2">
      <c r="B469" s="128"/>
    </row>
    <row r="470" spans="2:2" x14ac:dyDescent="0.2">
      <c r="B470" s="128"/>
    </row>
    <row r="471" spans="2:2" x14ac:dyDescent="0.2">
      <c r="B471" s="128"/>
    </row>
    <row r="472" spans="2:2" x14ac:dyDescent="0.2">
      <c r="B472" s="128"/>
    </row>
    <row r="473" spans="2:2" x14ac:dyDescent="0.2">
      <c r="B473" s="128"/>
    </row>
    <row r="474" spans="2:2" x14ac:dyDescent="0.2">
      <c r="B474" s="128"/>
    </row>
    <row r="475" spans="2:2" x14ac:dyDescent="0.2">
      <c r="B475" s="128"/>
    </row>
    <row r="476" spans="2:2" x14ac:dyDescent="0.2">
      <c r="B476" s="128"/>
    </row>
    <row r="477" spans="2:2" x14ac:dyDescent="0.2">
      <c r="B477" s="128"/>
    </row>
    <row r="478" spans="2:2" x14ac:dyDescent="0.2">
      <c r="B478" s="128"/>
    </row>
    <row r="479" spans="2:2" x14ac:dyDescent="0.2">
      <c r="B479" s="128"/>
    </row>
    <row r="480" spans="2:2" x14ac:dyDescent="0.2">
      <c r="B480" s="128"/>
    </row>
    <row r="481" spans="2:2" x14ac:dyDescent="0.2">
      <c r="B481" s="128"/>
    </row>
    <row r="482" spans="2:2" x14ac:dyDescent="0.2">
      <c r="B482" s="128"/>
    </row>
    <row r="483" spans="2:2" x14ac:dyDescent="0.2">
      <c r="B483" s="128"/>
    </row>
    <row r="484" spans="2:2" x14ac:dyDescent="0.2">
      <c r="B484" s="128"/>
    </row>
    <row r="485" spans="2:2" x14ac:dyDescent="0.2">
      <c r="B485" s="128"/>
    </row>
    <row r="486" spans="2:2" x14ac:dyDescent="0.2">
      <c r="B486" s="128"/>
    </row>
    <row r="487" spans="2:2" x14ac:dyDescent="0.2">
      <c r="B487" s="128"/>
    </row>
    <row r="488" spans="2:2" x14ac:dyDescent="0.2">
      <c r="B488" s="128"/>
    </row>
    <row r="489" spans="2:2" x14ac:dyDescent="0.2">
      <c r="B489" s="128"/>
    </row>
    <row r="490" spans="2:2" x14ac:dyDescent="0.2">
      <c r="B490" s="128"/>
    </row>
    <row r="491" spans="2:2" x14ac:dyDescent="0.2">
      <c r="B491" s="128"/>
    </row>
    <row r="492" spans="2:2" x14ac:dyDescent="0.2">
      <c r="B492" s="128"/>
    </row>
    <row r="493" spans="2:2" x14ac:dyDescent="0.2">
      <c r="B493" s="128"/>
    </row>
    <row r="494" spans="2:2" x14ac:dyDescent="0.2">
      <c r="B494" s="128"/>
    </row>
    <row r="495" spans="2:2" x14ac:dyDescent="0.2">
      <c r="B495" s="128"/>
    </row>
    <row r="496" spans="2:2" x14ac:dyDescent="0.2">
      <c r="B496" s="128"/>
    </row>
    <row r="497" spans="2:2" x14ac:dyDescent="0.2">
      <c r="B497" s="128"/>
    </row>
    <row r="498" spans="2:2" x14ac:dyDescent="0.2">
      <c r="B498" s="128"/>
    </row>
    <row r="499" spans="2:2" x14ac:dyDescent="0.2">
      <c r="B499" s="128"/>
    </row>
    <row r="500" spans="2:2" x14ac:dyDescent="0.2">
      <c r="B500" s="128"/>
    </row>
  </sheetData>
  <phoneticPr fontId="3" type="noConversion"/>
  <pageMargins left="0.75" right="0.75" top="1" bottom="1" header="0.5" footer="0.5"/>
  <headerFooter alignWithMargins="0"/>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sheetPr>
  <dimension ref="A1:I428"/>
  <sheetViews>
    <sheetView workbookViewId="0">
      <pane ySplit="2" topLeftCell="A396" activePane="bottomLeft" state="frozen"/>
      <selection activeCell="B410" sqref="B410"/>
      <selection pane="bottomLeft" activeCell="B411" sqref="B411"/>
    </sheetView>
  </sheetViews>
  <sheetFormatPr defaultRowHeight="12.75" x14ac:dyDescent="0.2"/>
  <cols>
    <col min="1" max="1" width="18.7109375" style="12" customWidth="1"/>
    <col min="2" max="2" width="18.7109375" style="224" customWidth="1"/>
    <col min="3" max="3" width="18.7109375" style="225" customWidth="1"/>
    <col min="4" max="4" width="17.85546875" style="12" bestFit="1" customWidth="1"/>
    <col min="5" max="6" width="9.140625" style="12"/>
    <col min="7" max="7" width="17.85546875" style="12" bestFit="1" customWidth="1"/>
    <col min="8" max="16384" width="9.140625" style="12"/>
  </cols>
  <sheetData>
    <row r="1" spans="1:6" x14ac:dyDescent="0.2">
      <c r="A1" s="223" t="s">
        <v>170</v>
      </c>
      <c r="B1" s="321" t="s">
        <v>615</v>
      </c>
      <c r="C1" s="322"/>
    </row>
    <row r="2" spans="1:6" customFormat="1" x14ac:dyDescent="0.2">
      <c r="A2" s="3" t="s">
        <v>27</v>
      </c>
      <c r="B2" s="71" t="s">
        <v>91</v>
      </c>
      <c r="C2" s="3" t="s">
        <v>92</v>
      </c>
    </row>
    <row r="3" spans="1:6" s="227" customFormat="1" x14ac:dyDescent="0.2">
      <c r="A3" s="228">
        <v>27606</v>
      </c>
      <c r="B3" s="229">
        <v>-1.41</v>
      </c>
      <c r="C3" s="230"/>
      <c r="E3" s="1180"/>
      <c r="F3" s="1181"/>
    </row>
    <row r="4" spans="1:6" s="227" customFormat="1" x14ac:dyDescent="0.2">
      <c r="A4" s="228">
        <v>27637</v>
      </c>
      <c r="B4" s="229">
        <v>-1.41</v>
      </c>
      <c r="C4" s="230"/>
      <c r="E4" s="1180"/>
      <c r="F4" s="1181"/>
    </row>
    <row r="5" spans="1:6" s="227" customFormat="1" x14ac:dyDescent="0.2">
      <c r="A5" s="228">
        <v>27667</v>
      </c>
      <c r="B5" s="229">
        <v>-1.41</v>
      </c>
      <c r="C5" s="230"/>
      <c r="E5" s="1180"/>
      <c r="F5" s="1181"/>
    </row>
    <row r="6" spans="1:6" s="227" customFormat="1" x14ac:dyDescent="0.2">
      <c r="A6" s="228">
        <v>27698</v>
      </c>
      <c r="B6" s="229">
        <v>2.16</v>
      </c>
      <c r="C6" s="230"/>
      <c r="E6" s="1180"/>
      <c r="F6" s="1181"/>
    </row>
    <row r="7" spans="1:6" s="227" customFormat="1" x14ac:dyDescent="0.2">
      <c r="A7" s="228">
        <v>27728</v>
      </c>
      <c r="B7" s="229">
        <v>2.16</v>
      </c>
      <c r="C7" s="230"/>
      <c r="E7" s="1180"/>
      <c r="F7" s="1181"/>
    </row>
    <row r="8" spans="1:6" s="227" customFormat="1" x14ac:dyDescent="0.2">
      <c r="A8" s="228">
        <v>27759</v>
      </c>
      <c r="B8" s="229">
        <v>2.16</v>
      </c>
      <c r="C8" s="230"/>
      <c r="E8" s="1180"/>
      <c r="F8" s="1181"/>
    </row>
    <row r="9" spans="1:6" s="227" customFormat="1" x14ac:dyDescent="0.2">
      <c r="A9" s="228">
        <v>27790</v>
      </c>
      <c r="B9" s="229">
        <v>1.96</v>
      </c>
      <c r="C9" s="230"/>
      <c r="E9" s="1180"/>
      <c r="F9" s="1181"/>
    </row>
    <row r="10" spans="1:6" s="227" customFormat="1" x14ac:dyDescent="0.2">
      <c r="A10" s="228">
        <v>27819</v>
      </c>
      <c r="B10" s="229">
        <v>1.96</v>
      </c>
      <c r="C10" s="230"/>
      <c r="E10" s="1180"/>
      <c r="F10" s="1181"/>
    </row>
    <row r="11" spans="1:6" s="227" customFormat="1" x14ac:dyDescent="0.2">
      <c r="A11" s="228">
        <v>27850</v>
      </c>
      <c r="B11" s="229">
        <v>1.96</v>
      </c>
      <c r="C11" s="230"/>
      <c r="E11" s="1180"/>
      <c r="F11" s="1181"/>
    </row>
    <row r="12" spans="1:6" s="227" customFormat="1" x14ac:dyDescent="0.2">
      <c r="A12" s="228">
        <v>27880</v>
      </c>
      <c r="B12" s="229">
        <v>0.76</v>
      </c>
      <c r="C12" s="230"/>
      <c r="E12" s="1180"/>
      <c r="F12" s="1181"/>
    </row>
    <row r="13" spans="1:6" s="227" customFormat="1" x14ac:dyDescent="0.2">
      <c r="A13" s="228">
        <v>27911</v>
      </c>
      <c r="B13" s="229">
        <v>0.76</v>
      </c>
      <c r="C13" s="230"/>
      <c r="E13" s="1180"/>
      <c r="F13" s="1181"/>
    </row>
    <row r="14" spans="1:6" s="227" customFormat="1" x14ac:dyDescent="0.2">
      <c r="A14" s="228">
        <v>27941</v>
      </c>
      <c r="B14" s="229">
        <v>0.76</v>
      </c>
      <c r="C14" s="230"/>
      <c r="E14" s="1180"/>
      <c r="F14" s="1181"/>
    </row>
    <row r="15" spans="1:6" s="227" customFormat="1" x14ac:dyDescent="0.2">
      <c r="A15" s="228">
        <v>27972</v>
      </c>
      <c r="B15" s="229">
        <v>1</v>
      </c>
      <c r="C15" s="230"/>
      <c r="E15" s="1180"/>
      <c r="F15" s="1181"/>
    </row>
    <row r="16" spans="1:6" s="227" customFormat="1" x14ac:dyDescent="0.2">
      <c r="A16" s="228">
        <v>28003</v>
      </c>
      <c r="B16" s="229">
        <v>1</v>
      </c>
      <c r="C16" s="230"/>
      <c r="E16" s="1180"/>
      <c r="F16" s="1181"/>
    </row>
    <row r="17" spans="1:6" s="227" customFormat="1" x14ac:dyDescent="0.2">
      <c r="A17" s="228">
        <v>28033</v>
      </c>
      <c r="B17" s="229">
        <v>1</v>
      </c>
      <c r="C17" s="230"/>
      <c r="E17" s="1180"/>
      <c r="F17" s="1181"/>
    </row>
    <row r="18" spans="1:6" s="227" customFormat="1" x14ac:dyDescent="0.2">
      <c r="A18" s="228">
        <v>28064</v>
      </c>
      <c r="B18" s="229">
        <v>1.54</v>
      </c>
      <c r="C18" s="230"/>
      <c r="E18" s="1180"/>
      <c r="F18" s="1181"/>
    </row>
    <row r="19" spans="1:6" s="227" customFormat="1" x14ac:dyDescent="0.2">
      <c r="A19" s="228">
        <v>28094</v>
      </c>
      <c r="B19" s="229">
        <v>1.54</v>
      </c>
      <c r="C19" s="230"/>
      <c r="E19" s="1180"/>
      <c r="F19" s="1181"/>
    </row>
    <row r="20" spans="1:6" s="227" customFormat="1" x14ac:dyDescent="0.2">
      <c r="A20" s="228">
        <v>28125</v>
      </c>
      <c r="B20" s="229">
        <v>1.54</v>
      </c>
      <c r="C20" s="230"/>
      <c r="E20" s="1180"/>
      <c r="F20" s="1181"/>
    </row>
    <row r="21" spans="1:6" s="227" customFormat="1" x14ac:dyDescent="0.2">
      <c r="A21" s="228">
        <v>28156</v>
      </c>
      <c r="B21" s="229">
        <v>-0.88</v>
      </c>
      <c r="C21" s="230"/>
      <c r="E21" s="1180"/>
      <c r="F21" s="1181"/>
    </row>
    <row r="22" spans="1:6" s="227" customFormat="1" x14ac:dyDescent="0.2">
      <c r="A22" s="228">
        <v>28184</v>
      </c>
      <c r="B22" s="229">
        <v>-0.88</v>
      </c>
      <c r="C22" s="230"/>
      <c r="E22" s="1180"/>
      <c r="F22" s="1181"/>
    </row>
    <row r="23" spans="1:6" s="227" customFormat="1" x14ac:dyDescent="0.2">
      <c r="A23" s="228">
        <v>28215</v>
      </c>
      <c r="B23" s="229">
        <v>-0.88</v>
      </c>
      <c r="C23" s="230"/>
      <c r="E23" s="1180"/>
      <c r="F23" s="1181"/>
    </row>
    <row r="24" spans="1:6" s="227" customFormat="1" x14ac:dyDescent="0.2">
      <c r="A24" s="228">
        <v>28245</v>
      </c>
      <c r="B24" s="229">
        <v>1.17</v>
      </c>
      <c r="C24" s="230"/>
      <c r="E24" s="1180"/>
      <c r="F24" s="1181"/>
    </row>
    <row r="25" spans="1:6" s="227" customFormat="1" x14ac:dyDescent="0.2">
      <c r="A25" s="228">
        <v>28276</v>
      </c>
      <c r="B25" s="229">
        <v>1.17</v>
      </c>
      <c r="C25" s="230"/>
      <c r="E25" s="1180"/>
      <c r="F25" s="1181"/>
    </row>
    <row r="26" spans="1:6" s="227" customFormat="1" x14ac:dyDescent="0.2">
      <c r="A26" s="228">
        <v>28306</v>
      </c>
      <c r="B26" s="229">
        <v>1.17</v>
      </c>
      <c r="C26" s="230"/>
      <c r="E26" s="1180"/>
      <c r="F26" s="1181"/>
    </row>
    <row r="27" spans="1:6" s="227" customFormat="1" x14ac:dyDescent="0.2">
      <c r="A27" s="228">
        <v>28337</v>
      </c>
      <c r="B27" s="229">
        <v>-0.23</v>
      </c>
      <c r="C27" s="230"/>
      <c r="E27" s="1180"/>
      <c r="F27" s="1181"/>
    </row>
    <row r="28" spans="1:6" s="227" customFormat="1" x14ac:dyDescent="0.2">
      <c r="A28" s="228">
        <v>28368</v>
      </c>
      <c r="B28" s="229">
        <v>-0.23</v>
      </c>
      <c r="C28" s="230"/>
      <c r="E28" s="1180"/>
      <c r="F28" s="1181"/>
    </row>
    <row r="29" spans="1:6" s="227" customFormat="1" x14ac:dyDescent="0.2">
      <c r="A29" s="228">
        <v>28398</v>
      </c>
      <c r="B29" s="229">
        <v>-0.23</v>
      </c>
      <c r="C29" s="230"/>
      <c r="E29" s="1180"/>
      <c r="F29" s="1181"/>
    </row>
    <row r="30" spans="1:6" s="227" customFormat="1" x14ac:dyDescent="0.2">
      <c r="A30" s="228">
        <v>28429</v>
      </c>
      <c r="B30" s="229">
        <v>0.09</v>
      </c>
      <c r="C30" s="230"/>
      <c r="E30" s="1180"/>
      <c r="F30" s="1181"/>
    </row>
    <row r="31" spans="1:6" s="227" customFormat="1" x14ac:dyDescent="0.2">
      <c r="A31" s="228">
        <v>28459</v>
      </c>
      <c r="B31" s="229">
        <v>0.09</v>
      </c>
      <c r="C31" s="230"/>
      <c r="E31" s="1180"/>
      <c r="F31" s="1181"/>
    </row>
    <row r="32" spans="1:6" s="227" customFormat="1" x14ac:dyDescent="0.2">
      <c r="A32" s="228">
        <v>28490</v>
      </c>
      <c r="B32" s="229">
        <v>0.09</v>
      </c>
      <c r="C32" s="230"/>
      <c r="E32" s="1180"/>
      <c r="F32" s="1181"/>
    </row>
    <row r="33" spans="1:6" s="227" customFormat="1" x14ac:dyDescent="0.2">
      <c r="A33" s="228">
        <v>28521</v>
      </c>
      <c r="B33" s="229">
        <v>-0.45</v>
      </c>
      <c r="C33" s="230"/>
      <c r="E33" s="1180"/>
      <c r="F33" s="1181"/>
    </row>
    <row r="34" spans="1:6" s="227" customFormat="1" x14ac:dyDescent="0.2">
      <c r="A34" s="228">
        <v>28549</v>
      </c>
      <c r="B34" s="229">
        <v>-0.45</v>
      </c>
      <c r="C34" s="230"/>
      <c r="E34" s="1180"/>
      <c r="F34" s="1181"/>
    </row>
    <row r="35" spans="1:6" s="227" customFormat="1" x14ac:dyDescent="0.2">
      <c r="A35" s="228">
        <v>28580</v>
      </c>
      <c r="B35" s="229">
        <v>-0.45</v>
      </c>
      <c r="C35" s="230"/>
      <c r="E35" s="1180"/>
      <c r="F35" s="1181"/>
    </row>
    <row r="36" spans="1:6" s="227" customFormat="1" x14ac:dyDescent="0.2">
      <c r="A36" s="228">
        <v>28610</v>
      </c>
      <c r="B36" s="229">
        <v>0.98</v>
      </c>
      <c r="C36" s="230"/>
      <c r="E36" s="1180"/>
      <c r="F36" s="1181"/>
    </row>
    <row r="37" spans="1:6" s="227" customFormat="1" x14ac:dyDescent="0.2">
      <c r="A37" s="228">
        <v>28641</v>
      </c>
      <c r="B37" s="229">
        <v>0.98</v>
      </c>
      <c r="C37" s="230"/>
      <c r="E37" s="1180"/>
      <c r="F37" s="1181"/>
    </row>
    <row r="38" spans="1:6" s="227" customFormat="1" x14ac:dyDescent="0.2">
      <c r="A38" s="228">
        <v>28671</v>
      </c>
      <c r="B38" s="229">
        <v>0.98</v>
      </c>
      <c r="C38" s="230"/>
      <c r="E38" s="1180"/>
      <c r="F38" s="1181"/>
    </row>
    <row r="39" spans="1:6" s="227" customFormat="1" x14ac:dyDescent="0.2">
      <c r="A39" s="228">
        <v>28702</v>
      </c>
      <c r="B39" s="229">
        <v>1.1599999999999999</v>
      </c>
      <c r="C39" s="230"/>
      <c r="E39" s="1180"/>
      <c r="F39" s="1181"/>
    </row>
    <row r="40" spans="1:6" s="227" customFormat="1" x14ac:dyDescent="0.2">
      <c r="A40" s="228">
        <v>28733</v>
      </c>
      <c r="B40" s="229">
        <v>1.1599999999999999</v>
      </c>
      <c r="C40" s="230"/>
      <c r="E40" s="1180"/>
      <c r="F40" s="1181"/>
    </row>
    <row r="41" spans="1:6" s="227" customFormat="1" x14ac:dyDescent="0.2">
      <c r="A41" s="228">
        <v>28763</v>
      </c>
      <c r="B41" s="229">
        <v>1.1599999999999999</v>
      </c>
      <c r="C41" s="230"/>
      <c r="E41" s="1180"/>
      <c r="F41" s="1181"/>
    </row>
    <row r="42" spans="1:6" s="227" customFormat="1" x14ac:dyDescent="0.2">
      <c r="A42" s="228">
        <v>28794</v>
      </c>
      <c r="B42" s="229">
        <v>-0.59</v>
      </c>
      <c r="C42" s="230"/>
      <c r="E42" s="1180"/>
      <c r="F42" s="1181"/>
    </row>
    <row r="43" spans="1:6" s="227" customFormat="1" x14ac:dyDescent="0.2">
      <c r="A43" s="228">
        <v>28824</v>
      </c>
      <c r="B43" s="229">
        <v>-0.59</v>
      </c>
      <c r="C43" s="230"/>
      <c r="E43" s="1180"/>
      <c r="F43" s="1181"/>
    </row>
    <row r="44" spans="1:6" s="227" customFormat="1" x14ac:dyDescent="0.2">
      <c r="A44" s="228">
        <v>28855</v>
      </c>
      <c r="B44" s="229">
        <v>-0.59</v>
      </c>
      <c r="C44" s="230"/>
      <c r="E44" s="1180"/>
      <c r="F44" s="1181"/>
    </row>
    <row r="45" spans="1:6" s="227" customFormat="1" x14ac:dyDescent="0.2">
      <c r="A45" s="228">
        <v>28886</v>
      </c>
      <c r="B45" s="229">
        <v>1.1399999999999999</v>
      </c>
      <c r="C45" s="230"/>
      <c r="E45" s="1180"/>
      <c r="F45" s="1181"/>
    </row>
    <row r="46" spans="1:6" s="227" customFormat="1" x14ac:dyDescent="0.2">
      <c r="A46" s="228">
        <v>28914</v>
      </c>
      <c r="B46" s="229">
        <v>1.1399999999999999</v>
      </c>
      <c r="C46" s="230"/>
      <c r="E46" s="1180"/>
      <c r="F46" s="1181"/>
    </row>
    <row r="47" spans="1:6" s="227" customFormat="1" x14ac:dyDescent="0.2">
      <c r="A47" s="228">
        <v>28945</v>
      </c>
      <c r="B47" s="229">
        <v>1.1399999999999999</v>
      </c>
      <c r="C47" s="230"/>
      <c r="E47" s="1180"/>
      <c r="F47" s="1181"/>
    </row>
    <row r="48" spans="1:6" s="227" customFormat="1" x14ac:dyDescent="0.2">
      <c r="A48" s="228">
        <v>28975</v>
      </c>
      <c r="B48" s="229">
        <v>1.07</v>
      </c>
      <c r="C48" s="230"/>
      <c r="E48" s="1180"/>
      <c r="F48" s="1181"/>
    </row>
    <row r="49" spans="1:6" s="227" customFormat="1" x14ac:dyDescent="0.2">
      <c r="A49" s="228">
        <v>29006</v>
      </c>
      <c r="B49" s="229">
        <v>1.07</v>
      </c>
      <c r="C49" s="230"/>
      <c r="E49" s="1180"/>
      <c r="F49" s="1181"/>
    </row>
    <row r="50" spans="1:6" s="227" customFormat="1" x14ac:dyDescent="0.2">
      <c r="A50" s="228">
        <v>29036</v>
      </c>
      <c r="B50" s="229">
        <v>1.07</v>
      </c>
      <c r="C50" s="230"/>
      <c r="E50" s="1180"/>
      <c r="F50" s="1181"/>
    </row>
    <row r="51" spans="1:6" s="227" customFormat="1" x14ac:dyDescent="0.2">
      <c r="A51" s="228">
        <v>29067</v>
      </c>
      <c r="B51" s="229">
        <v>0.77</v>
      </c>
      <c r="C51" s="230"/>
      <c r="E51" s="1180"/>
      <c r="F51" s="1181"/>
    </row>
    <row r="52" spans="1:6" s="227" customFormat="1" x14ac:dyDescent="0.2">
      <c r="A52" s="228">
        <v>29098</v>
      </c>
      <c r="B52" s="229">
        <v>0.77</v>
      </c>
      <c r="C52" s="230"/>
      <c r="E52" s="1180"/>
      <c r="F52" s="1181"/>
    </row>
    <row r="53" spans="1:6" s="227" customFormat="1" x14ac:dyDescent="0.2">
      <c r="A53" s="228">
        <v>29128</v>
      </c>
      <c r="B53" s="229">
        <v>0.77</v>
      </c>
      <c r="C53" s="230"/>
      <c r="E53" s="1180"/>
      <c r="F53" s="1181"/>
    </row>
    <row r="54" spans="1:6" s="227" customFormat="1" x14ac:dyDescent="0.2">
      <c r="A54" s="228">
        <v>29159</v>
      </c>
      <c r="B54" s="229">
        <v>-7.0000000000000007E-2</v>
      </c>
      <c r="C54" s="230"/>
      <c r="E54" s="1180"/>
      <c r="F54" s="1181"/>
    </row>
    <row r="55" spans="1:6" s="227" customFormat="1" x14ac:dyDescent="0.2">
      <c r="A55" s="228">
        <v>29189</v>
      </c>
      <c r="B55" s="229">
        <v>-7.0000000000000007E-2</v>
      </c>
      <c r="C55" s="230"/>
      <c r="E55" s="1180"/>
      <c r="F55" s="1181"/>
    </row>
    <row r="56" spans="1:6" s="227" customFormat="1" x14ac:dyDescent="0.2">
      <c r="A56" s="228">
        <v>29220</v>
      </c>
      <c r="B56" s="229">
        <v>-7.0000000000000007E-2</v>
      </c>
      <c r="C56" s="230"/>
      <c r="E56" s="1180"/>
      <c r="F56" s="1181"/>
    </row>
    <row r="57" spans="1:6" s="227" customFormat="1" x14ac:dyDescent="0.2">
      <c r="A57" s="228">
        <v>29251</v>
      </c>
      <c r="B57" s="229">
        <v>-1.92</v>
      </c>
      <c r="C57" s="230"/>
      <c r="E57" s="1180"/>
      <c r="F57" s="1181"/>
    </row>
    <row r="58" spans="1:6" s="227" customFormat="1" x14ac:dyDescent="0.2">
      <c r="A58" s="228">
        <v>29280</v>
      </c>
      <c r="B58" s="229">
        <v>-1.92</v>
      </c>
      <c r="C58" s="230"/>
      <c r="E58" s="1180"/>
      <c r="F58" s="1181"/>
    </row>
    <row r="59" spans="1:6" s="227" customFormat="1" x14ac:dyDescent="0.2">
      <c r="A59" s="228">
        <v>29311</v>
      </c>
      <c r="B59" s="229">
        <v>-1.92</v>
      </c>
      <c r="C59" s="230"/>
      <c r="E59" s="1180"/>
      <c r="F59" s="1181"/>
    </row>
    <row r="60" spans="1:6" s="227" customFormat="1" x14ac:dyDescent="0.2">
      <c r="A60" s="228">
        <v>29341</v>
      </c>
      <c r="B60" s="229">
        <v>4.38</v>
      </c>
      <c r="C60" s="230"/>
      <c r="E60" s="1180"/>
      <c r="F60" s="1181"/>
    </row>
    <row r="61" spans="1:6" s="227" customFormat="1" x14ac:dyDescent="0.2">
      <c r="A61" s="228">
        <v>29372</v>
      </c>
      <c r="B61" s="229">
        <v>4.38</v>
      </c>
      <c r="C61" s="230"/>
      <c r="E61" s="1180"/>
      <c r="F61" s="1181"/>
    </row>
    <row r="62" spans="1:6" s="227" customFormat="1" x14ac:dyDescent="0.2">
      <c r="A62" s="228">
        <v>29402</v>
      </c>
      <c r="B62" s="229">
        <v>4.38</v>
      </c>
      <c r="C62" s="230"/>
      <c r="E62" s="1180"/>
      <c r="F62" s="1181"/>
    </row>
    <row r="63" spans="1:6" s="227" customFormat="1" x14ac:dyDescent="0.2">
      <c r="A63" s="228">
        <v>29433</v>
      </c>
      <c r="B63" s="229">
        <v>-0.17</v>
      </c>
      <c r="C63" s="230"/>
      <c r="E63" s="1180"/>
      <c r="F63" s="1181"/>
    </row>
    <row r="64" spans="1:6" s="227" customFormat="1" x14ac:dyDescent="0.2">
      <c r="A64" s="228">
        <v>29464</v>
      </c>
      <c r="B64" s="229">
        <v>-0.17</v>
      </c>
      <c r="C64" s="230"/>
      <c r="E64" s="1180"/>
      <c r="F64" s="1181"/>
    </row>
    <row r="65" spans="1:6" s="227" customFormat="1" x14ac:dyDescent="0.2">
      <c r="A65" s="228">
        <v>29494</v>
      </c>
      <c r="B65" s="229">
        <v>-0.17</v>
      </c>
      <c r="C65" s="230"/>
      <c r="E65" s="1180"/>
      <c r="F65" s="1181"/>
    </row>
    <row r="66" spans="1:6" s="227" customFormat="1" x14ac:dyDescent="0.2">
      <c r="A66" s="228">
        <v>29525</v>
      </c>
      <c r="B66" s="229">
        <v>1.46</v>
      </c>
      <c r="C66" s="230"/>
      <c r="E66" s="1180"/>
      <c r="F66" s="1181"/>
    </row>
    <row r="67" spans="1:6" s="227" customFormat="1" x14ac:dyDescent="0.2">
      <c r="A67" s="228">
        <v>29555</v>
      </c>
      <c r="B67" s="229">
        <v>1.46</v>
      </c>
      <c r="C67" s="230"/>
      <c r="E67" s="1180"/>
      <c r="F67" s="1181"/>
    </row>
    <row r="68" spans="1:6" s="227" customFormat="1" x14ac:dyDescent="0.2">
      <c r="A68" s="228">
        <v>29586</v>
      </c>
      <c r="B68" s="229">
        <v>1.46</v>
      </c>
      <c r="C68" s="230"/>
      <c r="E68" s="1180"/>
      <c r="F68" s="1181"/>
    </row>
    <row r="69" spans="1:6" s="227" customFormat="1" x14ac:dyDescent="0.2">
      <c r="A69" s="228">
        <v>29617</v>
      </c>
      <c r="B69" s="229">
        <v>0.37</v>
      </c>
      <c r="C69" s="230"/>
      <c r="E69" s="1180"/>
      <c r="F69" s="1181"/>
    </row>
    <row r="70" spans="1:6" s="227" customFormat="1" x14ac:dyDescent="0.2">
      <c r="A70" s="228">
        <v>29645</v>
      </c>
      <c r="B70" s="229">
        <v>0.37</v>
      </c>
      <c r="C70" s="230"/>
      <c r="E70" s="1180"/>
      <c r="F70" s="1181"/>
    </row>
    <row r="71" spans="1:6" s="227" customFormat="1" x14ac:dyDescent="0.2">
      <c r="A71" s="228">
        <v>29676</v>
      </c>
      <c r="B71" s="229">
        <v>0.37</v>
      </c>
      <c r="C71" s="230"/>
      <c r="E71" s="1180"/>
      <c r="F71" s="1181"/>
    </row>
    <row r="72" spans="1:6" s="227" customFormat="1" x14ac:dyDescent="0.2">
      <c r="A72" s="228">
        <v>29706</v>
      </c>
      <c r="B72" s="229">
        <v>-0.03</v>
      </c>
      <c r="C72" s="230"/>
      <c r="E72" s="1180"/>
      <c r="F72" s="1181"/>
    </row>
    <row r="73" spans="1:6" s="227" customFormat="1" x14ac:dyDescent="0.2">
      <c r="A73" s="228">
        <v>29737</v>
      </c>
      <c r="B73" s="229">
        <v>-0.03</v>
      </c>
      <c r="C73" s="230"/>
      <c r="E73" s="1180"/>
      <c r="F73" s="1181"/>
    </row>
    <row r="74" spans="1:6" s="227" customFormat="1" x14ac:dyDescent="0.2">
      <c r="A74" s="228">
        <v>29767</v>
      </c>
      <c r="B74" s="229">
        <v>-0.03</v>
      </c>
      <c r="C74" s="230"/>
      <c r="E74" s="1180"/>
      <c r="F74" s="1181"/>
    </row>
    <row r="75" spans="1:6" s="227" customFormat="1" x14ac:dyDescent="0.2">
      <c r="A75" s="228">
        <v>29798</v>
      </c>
      <c r="B75" s="229">
        <v>-2.27</v>
      </c>
      <c r="C75" s="230"/>
      <c r="E75" s="1180"/>
      <c r="F75" s="1181"/>
    </row>
    <row r="76" spans="1:6" s="227" customFormat="1" x14ac:dyDescent="0.2">
      <c r="A76" s="228">
        <v>29829</v>
      </c>
      <c r="B76" s="229">
        <v>-2.27</v>
      </c>
      <c r="C76" s="230"/>
      <c r="E76" s="1180"/>
      <c r="F76" s="1181"/>
    </row>
    <row r="77" spans="1:6" s="227" customFormat="1" x14ac:dyDescent="0.2">
      <c r="A77" s="228">
        <v>29859</v>
      </c>
      <c r="B77" s="229">
        <v>-2.27</v>
      </c>
      <c r="C77" s="230"/>
      <c r="E77" s="1180"/>
      <c r="F77" s="1181"/>
    </row>
    <row r="78" spans="1:6" s="227" customFormat="1" x14ac:dyDescent="0.2">
      <c r="A78" s="228">
        <v>29890</v>
      </c>
      <c r="B78" s="229">
        <v>2.5299999999999998</v>
      </c>
      <c r="C78" s="230"/>
      <c r="E78" s="1180"/>
      <c r="F78" s="1181"/>
    </row>
    <row r="79" spans="1:6" s="227" customFormat="1" x14ac:dyDescent="0.2">
      <c r="A79" s="228">
        <v>29920</v>
      </c>
      <c r="B79" s="229">
        <v>2.5299999999999998</v>
      </c>
      <c r="C79" s="230"/>
      <c r="E79" s="1180"/>
      <c r="F79" s="1181"/>
    </row>
    <row r="80" spans="1:6" s="227" customFormat="1" x14ac:dyDescent="0.2">
      <c r="A80" s="228">
        <v>29951</v>
      </c>
      <c r="B80" s="229">
        <v>2.5299999999999998</v>
      </c>
      <c r="C80" s="230"/>
      <c r="E80" s="1180"/>
      <c r="F80" s="1181"/>
    </row>
    <row r="81" spans="1:6" s="227" customFormat="1" x14ac:dyDescent="0.2">
      <c r="A81" s="228">
        <v>29982</v>
      </c>
      <c r="B81" s="229">
        <v>-0.08</v>
      </c>
      <c r="C81" s="230"/>
      <c r="E81" s="1180"/>
      <c r="F81" s="1181"/>
    </row>
    <row r="82" spans="1:6" s="227" customFormat="1" x14ac:dyDescent="0.2">
      <c r="A82" s="228">
        <v>30010</v>
      </c>
      <c r="B82" s="229">
        <v>-0.08</v>
      </c>
      <c r="C82" s="230"/>
      <c r="E82" s="1180"/>
      <c r="F82" s="1181"/>
    </row>
    <row r="83" spans="1:6" s="227" customFormat="1" x14ac:dyDescent="0.2">
      <c r="A83" s="228">
        <v>30041</v>
      </c>
      <c r="B83" s="229">
        <v>-0.08</v>
      </c>
      <c r="C83" s="230"/>
      <c r="E83" s="1180"/>
      <c r="F83" s="1181"/>
    </row>
    <row r="84" spans="1:6" s="227" customFormat="1" x14ac:dyDescent="0.2">
      <c r="A84" s="228">
        <v>30071</v>
      </c>
      <c r="B84" s="229">
        <v>0.66</v>
      </c>
      <c r="C84" s="230"/>
      <c r="E84" s="1180"/>
      <c r="F84" s="1181"/>
    </row>
    <row r="85" spans="1:6" s="227" customFormat="1" x14ac:dyDescent="0.2">
      <c r="A85" s="228">
        <v>30102</v>
      </c>
      <c r="B85" s="229">
        <v>0.66</v>
      </c>
      <c r="C85" s="230"/>
      <c r="E85" s="1180"/>
      <c r="F85" s="1181"/>
    </row>
    <row r="86" spans="1:6" s="227" customFormat="1" x14ac:dyDescent="0.2">
      <c r="A86" s="228">
        <v>30132</v>
      </c>
      <c r="B86" s="229">
        <v>0.66</v>
      </c>
      <c r="C86" s="230"/>
      <c r="E86" s="1180"/>
      <c r="F86" s="1181"/>
    </row>
    <row r="87" spans="1:6" s="227" customFormat="1" x14ac:dyDescent="0.2">
      <c r="A87" s="228">
        <v>30163</v>
      </c>
      <c r="B87" s="229">
        <v>3.6</v>
      </c>
      <c r="C87" s="230"/>
      <c r="E87" s="1180"/>
      <c r="F87" s="1181"/>
    </row>
    <row r="88" spans="1:6" s="227" customFormat="1" x14ac:dyDescent="0.2">
      <c r="A88" s="228">
        <v>30194</v>
      </c>
      <c r="B88" s="229">
        <v>3.6</v>
      </c>
      <c r="C88" s="230"/>
      <c r="E88" s="1180"/>
      <c r="F88" s="1181"/>
    </row>
    <row r="89" spans="1:6" s="227" customFormat="1" x14ac:dyDescent="0.2">
      <c r="A89" s="228">
        <v>30224</v>
      </c>
      <c r="B89" s="229">
        <v>3.6</v>
      </c>
      <c r="C89" s="230"/>
      <c r="E89" s="1180"/>
      <c r="F89" s="1181"/>
    </row>
    <row r="90" spans="1:6" s="227" customFormat="1" x14ac:dyDescent="0.2">
      <c r="A90" s="228">
        <v>30255</v>
      </c>
      <c r="B90" s="229">
        <v>3.67</v>
      </c>
      <c r="C90" s="230"/>
      <c r="E90" s="1180"/>
      <c r="F90" s="1181"/>
    </row>
    <row r="91" spans="1:6" s="227" customFormat="1" x14ac:dyDescent="0.2">
      <c r="A91" s="228">
        <v>30285</v>
      </c>
      <c r="B91" s="229">
        <v>3.67</v>
      </c>
      <c r="C91" s="230"/>
      <c r="E91" s="1180"/>
      <c r="F91" s="1181"/>
    </row>
    <row r="92" spans="1:6" s="227" customFormat="1" x14ac:dyDescent="0.2">
      <c r="A92" s="228">
        <v>30316</v>
      </c>
      <c r="B92" s="229">
        <v>3.67</v>
      </c>
      <c r="C92" s="230"/>
      <c r="E92" s="1180"/>
      <c r="F92" s="1181"/>
    </row>
    <row r="93" spans="1:6" s="227" customFormat="1" x14ac:dyDescent="0.2">
      <c r="A93" s="228">
        <v>30347</v>
      </c>
      <c r="B93" s="229">
        <v>2.1</v>
      </c>
      <c r="C93" s="230"/>
      <c r="E93" s="1180"/>
      <c r="F93" s="1181"/>
    </row>
    <row r="94" spans="1:6" s="227" customFormat="1" x14ac:dyDescent="0.2">
      <c r="A94" s="228">
        <v>30375</v>
      </c>
      <c r="B94" s="229">
        <v>2.1</v>
      </c>
      <c r="C94" s="230"/>
      <c r="E94" s="1180"/>
      <c r="F94" s="1181"/>
    </row>
    <row r="95" spans="1:6" s="227" customFormat="1" x14ac:dyDescent="0.2">
      <c r="A95" s="228">
        <v>30406</v>
      </c>
      <c r="B95" s="229">
        <v>2.1</v>
      </c>
      <c r="C95" s="230"/>
      <c r="E95" s="1180"/>
      <c r="F95" s="1181"/>
    </row>
    <row r="96" spans="1:6" s="227" customFormat="1" x14ac:dyDescent="0.2">
      <c r="A96" s="228">
        <v>30436</v>
      </c>
      <c r="B96" s="229">
        <v>2.0499999999999998</v>
      </c>
      <c r="C96" s="230"/>
      <c r="E96" s="1180"/>
      <c r="F96" s="1181"/>
    </row>
    <row r="97" spans="1:6" s="227" customFormat="1" x14ac:dyDescent="0.2">
      <c r="A97" s="228">
        <v>30467</v>
      </c>
      <c r="B97" s="229">
        <v>2.0499999999999998</v>
      </c>
      <c r="C97" s="230"/>
      <c r="E97" s="1180"/>
      <c r="F97" s="1181"/>
    </row>
    <row r="98" spans="1:6" s="227" customFormat="1" x14ac:dyDescent="0.2">
      <c r="A98" s="228">
        <v>30497</v>
      </c>
      <c r="B98" s="229">
        <v>2.0499999999999998</v>
      </c>
      <c r="C98" s="230"/>
      <c r="E98" s="1180"/>
      <c r="F98" s="1181"/>
    </row>
    <row r="99" spans="1:6" s="227" customFormat="1" x14ac:dyDescent="0.2">
      <c r="A99" s="228">
        <v>30528</v>
      </c>
      <c r="B99" s="229">
        <v>-0.18</v>
      </c>
      <c r="C99" s="230"/>
      <c r="E99" s="1180"/>
      <c r="F99" s="1181"/>
    </row>
    <row r="100" spans="1:6" s="227" customFormat="1" x14ac:dyDescent="0.2">
      <c r="A100" s="228">
        <v>30559</v>
      </c>
      <c r="B100" s="229">
        <v>-0.18</v>
      </c>
      <c r="C100" s="230"/>
      <c r="E100" s="1180"/>
      <c r="F100" s="1181"/>
    </row>
    <row r="101" spans="1:6" s="227" customFormat="1" x14ac:dyDescent="0.2">
      <c r="A101" s="228">
        <v>30589</v>
      </c>
      <c r="B101" s="229">
        <v>-0.18</v>
      </c>
      <c r="C101" s="230"/>
      <c r="E101" s="1180"/>
      <c r="F101" s="1181"/>
    </row>
    <row r="102" spans="1:6" s="227" customFormat="1" x14ac:dyDescent="0.2">
      <c r="A102" s="228">
        <v>30620</v>
      </c>
      <c r="B102" s="229">
        <v>0.25</v>
      </c>
      <c r="C102" s="230"/>
      <c r="E102" s="1180"/>
      <c r="F102" s="1181"/>
    </row>
    <row r="103" spans="1:6" s="227" customFormat="1" x14ac:dyDescent="0.2">
      <c r="A103" s="228">
        <v>30650</v>
      </c>
      <c r="B103" s="229">
        <v>0.25</v>
      </c>
      <c r="C103" s="230"/>
      <c r="E103" s="1180"/>
      <c r="F103" s="1181"/>
    </row>
    <row r="104" spans="1:6" s="227" customFormat="1" x14ac:dyDescent="0.2">
      <c r="A104" s="228">
        <v>30681</v>
      </c>
      <c r="B104" s="229">
        <v>0.25</v>
      </c>
      <c r="C104" s="230"/>
      <c r="E104" s="1180"/>
      <c r="F104" s="1181"/>
    </row>
    <row r="105" spans="1:6" s="227" customFormat="1" x14ac:dyDescent="0.2">
      <c r="A105" s="228">
        <v>30712</v>
      </c>
      <c r="B105" s="229">
        <v>-0.88</v>
      </c>
      <c r="C105" s="230"/>
      <c r="E105" s="1180"/>
      <c r="F105" s="1181"/>
    </row>
    <row r="106" spans="1:6" s="227" customFormat="1" x14ac:dyDescent="0.2">
      <c r="A106" s="228">
        <v>30741</v>
      </c>
      <c r="B106" s="229">
        <v>-0.88</v>
      </c>
      <c r="C106" s="230"/>
      <c r="E106" s="1180"/>
      <c r="F106" s="1181"/>
    </row>
    <row r="107" spans="1:6" s="227" customFormat="1" x14ac:dyDescent="0.2">
      <c r="A107" s="228">
        <v>30772</v>
      </c>
      <c r="B107" s="229">
        <v>-0.88</v>
      </c>
      <c r="C107" s="230"/>
      <c r="E107" s="1180"/>
      <c r="F107" s="1181"/>
    </row>
    <row r="108" spans="1:6" s="227" customFormat="1" x14ac:dyDescent="0.2">
      <c r="A108" s="228">
        <v>30802</v>
      </c>
      <c r="B108" s="229">
        <v>-0.96</v>
      </c>
      <c r="C108" s="230"/>
      <c r="E108" s="1180"/>
      <c r="F108" s="1181"/>
    </row>
    <row r="109" spans="1:6" s="227" customFormat="1" x14ac:dyDescent="0.2">
      <c r="A109" s="228">
        <v>30833</v>
      </c>
      <c r="B109" s="229">
        <v>-0.96</v>
      </c>
      <c r="C109" s="230"/>
      <c r="E109" s="1180"/>
      <c r="F109" s="1181"/>
    </row>
    <row r="110" spans="1:6" s="227" customFormat="1" x14ac:dyDescent="0.2">
      <c r="A110" s="228">
        <v>30863</v>
      </c>
      <c r="B110" s="229">
        <v>-0.96</v>
      </c>
      <c r="C110" s="230"/>
      <c r="E110" s="1180"/>
      <c r="F110" s="1181"/>
    </row>
    <row r="111" spans="1:6" s="227" customFormat="1" x14ac:dyDescent="0.2">
      <c r="A111" s="228">
        <v>30894</v>
      </c>
      <c r="B111" s="229">
        <v>3.13</v>
      </c>
      <c r="C111" s="230"/>
      <c r="E111" s="1180"/>
      <c r="F111" s="1181"/>
    </row>
    <row r="112" spans="1:6" s="227" customFormat="1" x14ac:dyDescent="0.2">
      <c r="A112" s="228">
        <v>30925</v>
      </c>
      <c r="B112" s="229">
        <v>3.13</v>
      </c>
      <c r="C112" s="230"/>
      <c r="E112" s="1180"/>
      <c r="F112" s="1181"/>
    </row>
    <row r="113" spans="1:6" s="227" customFormat="1" x14ac:dyDescent="0.2">
      <c r="A113" s="228">
        <v>30955</v>
      </c>
      <c r="B113" s="229">
        <v>3.13</v>
      </c>
      <c r="C113" s="230"/>
      <c r="E113" s="1180"/>
      <c r="F113" s="1181"/>
    </row>
    <row r="114" spans="1:6" s="227" customFormat="1" x14ac:dyDescent="0.2">
      <c r="A114" s="228">
        <v>30986</v>
      </c>
      <c r="B114" s="229">
        <v>1.9</v>
      </c>
      <c r="C114" s="230"/>
      <c r="E114" s="1180"/>
      <c r="F114" s="1181"/>
    </row>
    <row r="115" spans="1:6" s="227" customFormat="1" x14ac:dyDescent="0.2">
      <c r="A115" s="228">
        <v>31016</v>
      </c>
      <c r="B115" s="229">
        <v>1.9</v>
      </c>
      <c r="C115" s="230"/>
      <c r="E115" s="1180"/>
      <c r="F115" s="1181"/>
    </row>
    <row r="116" spans="1:6" s="227" customFormat="1" x14ac:dyDescent="0.2">
      <c r="A116" s="228">
        <v>31047</v>
      </c>
      <c r="B116" s="229">
        <v>1.9</v>
      </c>
      <c r="C116" s="230"/>
      <c r="E116" s="1180"/>
      <c r="F116" s="1181"/>
    </row>
    <row r="117" spans="1:6" s="227" customFormat="1" x14ac:dyDescent="0.2">
      <c r="A117" s="228">
        <v>31078</v>
      </c>
      <c r="B117" s="229">
        <v>1.54</v>
      </c>
      <c r="C117" s="230"/>
      <c r="E117" s="1180"/>
      <c r="F117" s="1181"/>
    </row>
    <row r="118" spans="1:6" s="227" customFormat="1" x14ac:dyDescent="0.2">
      <c r="A118" s="228">
        <v>31106</v>
      </c>
      <c r="B118" s="229">
        <v>1.54</v>
      </c>
      <c r="C118" s="230"/>
      <c r="E118" s="1180"/>
      <c r="F118" s="1181"/>
    </row>
    <row r="119" spans="1:6" s="227" customFormat="1" x14ac:dyDescent="0.2">
      <c r="A119" s="228">
        <v>31137</v>
      </c>
      <c r="B119" s="229">
        <v>1.54</v>
      </c>
      <c r="C119" s="230"/>
      <c r="E119" s="1180"/>
      <c r="F119" s="1181"/>
    </row>
    <row r="120" spans="1:6" s="227" customFormat="1" x14ac:dyDescent="0.2">
      <c r="A120" s="228">
        <v>31167</v>
      </c>
      <c r="B120" s="229">
        <v>2.9771000000000001</v>
      </c>
      <c r="C120" s="230"/>
      <c r="E120" s="1180"/>
      <c r="F120" s="1181"/>
    </row>
    <row r="121" spans="1:6" s="227" customFormat="1" x14ac:dyDescent="0.2">
      <c r="A121" s="228">
        <v>31198</v>
      </c>
      <c r="B121" s="229">
        <v>2.9771000000000001</v>
      </c>
      <c r="C121" s="230"/>
      <c r="E121" s="1180"/>
      <c r="F121" s="1181"/>
    </row>
    <row r="122" spans="1:6" s="227" customFormat="1" x14ac:dyDescent="0.2">
      <c r="A122" s="228">
        <v>31228</v>
      </c>
      <c r="B122" s="229">
        <v>2.9771000000000001</v>
      </c>
      <c r="C122" s="230"/>
      <c r="E122" s="1180"/>
      <c r="F122" s="1181"/>
    </row>
    <row r="123" spans="1:6" s="227" customFormat="1" x14ac:dyDescent="0.2">
      <c r="A123" s="228">
        <v>31259</v>
      </c>
      <c r="B123" s="229">
        <v>-0.60360000000000003</v>
      </c>
      <c r="C123" s="230"/>
      <c r="E123" s="1180"/>
      <c r="F123" s="1181"/>
    </row>
    <row r="124" spans="1:6" s="227" customFormat="1" x14ac:dyDescent="0.2">
      <c r="A124" s="228">
        <v>31290</v>
      </c>
      <c r="B124" s="229">
        <v>-0.60360000000000003</v>
      </c>
      <c r="C124" s="230"/>
      <c r="E124" s="1180"/>
      <c r="F124" s="1181"/>
    </row>
    <row r="125" spans="1:6" s="227" customFormat="1" x14ac:dyDescent="0.2">
      <c r="A125" s="228">
        <v>31320</v>
      </c>
      <c r="B125" s="229">
        <v>-0.60360000000000003</v>
      </c>
      <c r="C125" s="230"/>
      <c r="E125" s="1180"/>
      <c r="F125" s="1181"/>
    </row>
    <row r="126" spans="1:6" s="227" customFormat="1" x14ac:dyDescent="0.2">
      <c r="A126" s="228">
        <v>31351</v>
      </c>
      <c r="B126" s="229">
        <v>4.43</v>
      </c>
      <c r="C126" s="230"/>
      <c r="E126" s="1180"/>
      <c r="F126" s="1181"/>
    </row>
    <row r="127" spans="1:6" s="227" customFormat="1" x14ac:dyDescent="0.2">
      <c r="A127" s="228">
        <v>31381</v>
      </c>
      <c r="B127" s="229">
        <v>4.43</v>
      </c>
      <c r="C127" s="230"/>
      <c r="E127" s="1180"/>
      <c r="F127" s="1181"/>
    </row>
    <row r="128" spans="1:6" s="227" customFormat="1" x14ac:dyDescent="0.2">
      <c r="A128" s="228">
        <v>31412</v>
      </c>
      <c r="B128" s="229">
        <v>4.43</v>
      </c>
      <c r="C128" s="230"/>
      <c r="E128" s="1180"/>
      <c r="F128" s="1181"/>
    </row>
    <row r="129" spans="1:6" s="227" customFormat="1" x14ac:dyDescent="0.2">
      <c r="A129" s="228">
        <v>31443</v>
      </c>
      <c r="B129" s="229">
        <v>4.59</v>
      </c>
      <c r="C129" s="230"/>
      <c r="E129" s="1180"/>
      <c r="F129" s="1181"/>
    </row>
    <row r="130" spans="1:6" s="227" customFormat="1" x14ac:dyDescent="0.2">
      <c r="A130" s="228">
        <v>31471</v>
      </c>
      <c r="B130" s="229">
        <v>4.59</v>
      </c>
      <c r="C130" s="230"/>
      <c r="E130" s="1180"/>
      <c r="F130" s="1181"/>
    </row>
    <row r="131" spans="1:6" s="227" customFormat="1" x14ac:dyDescent="0.2">
      <c r="A131" s="228">
        <v>31502</v>
      </c>
      <c r="B131" s="229">
        <v>4.59</v>
      </c>
      <c r="C131" s="230"/>
      <c r="E131" s="1180"/>
      <c r="F131" s="1181"/>
    </row>
    <row r="132" spans="1:6" s="227" customFormat="1" x14ac:dyDescent="0.2">
      <c r="A132" s="228">
        <v>31532</v>
      </c>
      <c r="B132" s="229">
        <v>0.96</v>
      </c>
      <c r="C132" s="230"/>
      <c r="E132" s="1180"/>
      <c r="F132" s="1181"/>
    </row>
    <row r="133" spans="1:6" s="227" customFormat="1" x14ac:dyDescent="0.2">
      <c r="A133" s="228">
        <v>31563</v>
      </c>
      <c r="B133" s="229">
        <v>0.96</v>
      </c>
      <c r="C133" s="230"/>
      <c r="E133" s="1180"/>
      <c r="F133" s="1181"/>
    </row>
    <row r="134" spans="1:6" s="227" customFormat="1" x14ac:dyDescent="0.2">
      <c r="A134" s="228">
        <v>31593</v>
      </c>
      <c r="B134" s="229">
        <v>0.96</v>
      </c>
      <c r="C134" s="230"/>
      <c r="E134" s="1180"/>
      <c r="F134" s="1181"/>
    </row>
    <row r="135" spans="1:6" s="227" customFormat="1" x14ac:dyDescent="0.2">
      <c r="A135" s="228">
        <v>31624</v>
      </c>
      <c r="B135" s="229">
        <v>-1.0442</v>
      </c>
      <c r="C135" s="230"/>
      <c r="E135" s="1180"/>
      <c r="F135" s="1181"/>
    </row>
    <row r="136" spans="1:6" s="227" customFormat="1" x14ac:dyDescent="0.2">
      <c r="A136" s="228">
        <v>31655</v>
      </c>
      <c r="B136" s="229">
        <v>-1.0442</v>
      </c>
      <c r="C136" s="230"/>
      <c r="E136" s="1180"/>
      <c r="F136" s="1181"/>
    </row>
    <row r="137" spans="1:6" s="227" customFormat="1" x14ac:dyDescent="0.2">
      <c r="A137" s="228">
        <v>31685</v>
      </c>
      <c r="B137" s="229">
        <v>-1.0442</v>
      </c>
      <c r="C137" s="230"/>
      <c r="E137" s="1180"/>
      <c r="F137" s="1181"/>
    </row>
    <row r="138" spans="1:6" s="227" customFormat="1" x14ac:dyDescent="0.2">
      <c r="A138" s="228">
        <v>31716</v>
      </c>
      <c r="B138" s="229">
        <v>1.7</v>
      </c>
      <c r="C138" s="230"/>
      <c r="E138" s="1180"/>
      <c r="F138" s="1181"/>
    </row>
    <row r="139" spans="1:6" s="227" customFormat="1" x14ac:dyDescent="0.2">
      <c r="A139" s="228">
        <v>31746</v>
      </c>
      <c r="B139" s="229">
        <v>1.7</v>
      </c>
      <c r="C139" s="230"/>
      <c r="E139" s="1180"/>
      <c r="F139" s="1181"/>
    </row>
    <row r="140" spans="1:6" s="227" customFormat="1" x14ac:dyDescent="0.2">
      <c r="A140" s="228">
        <v>31777</v>
      </c>
      <c r="B140" s="229">
        <v>1.7</v>
      </c>
      <c r="C140" s="230"/>
      <c r="E140" s="1180"/>
      <c r="F140" s="1181"/>
    </row>
    <row r="141" spans="1:6" s="227" customFormat="1" x14ac:dyDescent="0.2">
      <c r="A141" s="228">
        <v>31808</v>
      </c>
      <c r="B141" s="229">
        <v>3.23</v>
      </c>
      <c r="C141" s="230"/>
      <c r="E141" s="1180"/>
      <c r="F141" s="1181"/>
    </row>
    <row r="142" spans="1:6" s="227" customFormat="1" x14ac:dyDescent="0.2">
      <c r="A142" s="228">
        <v>31836</v>
      </c>
      <c r="B142" s="229">
        <v>3.23</v>
      </c>
      <c r="C142" s="230"/>
      <c r="E142" s="1180"/>
      <c r="F142" s="1181"/>
    </row>
    <row r="143" spans="1:6" s="227" customFormat="1" x14ac:dyDescent="0.2">
      <c r="A143" s="228">
        <v>31867</v>
      </c>
      <c r="B143" s="229">
        <v>3.23</v>
      </c>
      <c r="C143" s="230"/>
      <c r="E143" s="1180"/>
      <c r="F143" s="1181"/>
    </row>
    <row r="144" spans="1:6" s="227" customFormat="1" x14ac:dyDescent="0.2">
      <c r="A144" s="228">
        <v>31897</v>
      </c>
      <c r="B144" s="229">
        <v>-0.1</v>
      </c>
      <c r="C144" s="230"/>
      <c r="E144" s="1180"/>
      <c r="F144" s="1181"/>
    </row>
    <row r="145" spans="1:6" s="227" customFormat="1" x14ac:dyDescent="0.2">
      <c r="A145" s="228">
        <v>31928</v>
      </c>
      <c r="B145" s="229">
        <v>-0.1</v>
      </c>
      <c r="C145" s="230"/>
      <c r="E145" s="1180"/>
      <c r="F145" s="1181"/>
    </row>
    <row r="146" spans="1:6" s="227" customFormat="1" x14ac:dyDescent="0.2">
      <c r="A146" s="228">
        <v>31958</v>
      </c>
      <c r="B146" s="229">
        <v>-0.1</v>
      </c>
      <c r="C146" s="230"/>
      <c r="E146" s="1180"/>
      <c r="F146" s="1181"/>
    </row>
    <row r="147" spans="1:6" s="227" customFormat="1" x14ac:dyDescent="0.2">
      <c r="A147" s="228">
        <v>31989</v>
      </c>
      <c r="B147" s="229">
        <v>0.1</v>
      </c>
      <c r="C147" s="230"/>
      <c r="E147" s="1180"/>
      <c r="F147" s="1181"/>
    </row>
    <row r="148" spans="1:6" s="227" customFormat="1" x14ac:dyDescent="0.2">
      <c r="A148" s="228">
        <v>32020</v>
      </c>
      <c r="B148" s="229">
        <v>0.1</v>
      </c>
      <c r="C148" s="230"/>
      <c r="E148" s="1180"/>
      <c r="F148" s="1181"/>
    </row>
    <row r="149" spans="1:6" s="227" customFormat="1" x14ac:dyDescent="0.2">
      <c r="A149" s="228">
        <v>32050</v>
      </c>
      <c r="B149" s="229">
        <v>0.1</v>
      </c>
      <c r="C149" s="230"/>
      <c r="E149" s="1180"/>
      <c r="F149" s="1181"/>
    </row>
    <row r="150" spans="1:6" s="227" customFormat="1" x14ac:dyDescent="0.2">
      <c r="A150" s="228">
        <v>32081</v>
      </c>
      <c r="B150" s="229">
        <v>-1.73</v>
      </c>
      <c r="C150" s="230"/>
      <c r="E150" s="1180"/>
      <c r="F150" s="1181"/>
    </row>
    <row r="151" spans="1:6" s="227" customFormat="1" x14ac:dyDescent="0.2">
      <c r="A151" s="228">
        <v>32111</v>
      </c>
      <c r="B151" s="229">
        <v>-1.73</v>
      </c>
      <c r="C151" s="230"/>
      <c r="E151" s="1180"/>
      <c r="F151" s="1181"/>
    </row>
    <row r="152" spans="1:6" s="227" customFormat="1" x14ac:dyDescent="0.2">
      <c r="A152" s="228">
        <v>32142</v>
      </c>
      <c r="B152" s="229">
        <v>-1.73</v>
      </c>
      <c r="C152" s="230"/>
      <c r="D152" s="734"/>
      <c r="E152" s="1180"/>
      <c r="F152" s="1181"/>
    </row>
    <row r="153" spans="1:6" s="227" customFormat="1" x14ac:dyDescent="0.2">
      <c r="A153" s="228">
        <v>32173</v>
      </c>
      <c r="B153" s="229">
        <v>1.62</v>
      </c>
      <c r="C153" s="230"/>
      <c r="D153" s="734"/>
      <c r="E153" s="1180"/>
      <c r="F153" s="1181"/>
    </row>
    <row r="154" spans="1:6" s="227" customFormat="1" x14ac:dyDescent="0.2">
      <c r="A154" s="228">
        <v>32202</v>
      </c>
      <c r="B154" s="229">
        <v>1.62</v>
      </c>
      <c r="C154" s="230"/>
      <c r="D154" s="734"/>
      <c r="E154" s="1180"/>
      <c r="F154" s="1181"/>
    </row>
    <row r="155" spans="1:6" s="227" customFormat="1" x14ac:dyDescent="0.2">
      <c r="A155" s="228">
        <v>32233</v>
      </c>
      <c r="B155" s="229">
        <v>1.62</v>
      </c>
      <c r="C155" s="230"/>
      <c r="D155" s="734"/>
      <c r="E155" s="1180"/>
      <c r="F155" s="1181"/>
    </row>
    <row r="156" spans="1:6" s="227" customFormat="1" x14ac:dyDescent="0.2">
      <c r="A156" s="228">
        <v>32263</v>
      </c>
      <c r="B156" s="229">
        <v>1.05</v>
      </c>
      <c r="C156" s="230"/>
      <c r="D156" s="734"/>
      <c r="E156" s="1180"/>
      <c r="F156" s="1181"/>
    </row>
    <row r="157" spans="1:6" s="227" customFormat="1" x14ac:dyDescent="0.2">
      <c r="A157" s="228">
        <v>32294</v>
      </c>
      <c r="B157" s="229">
        <v>1.05</v>
      </c>
      <c r="C157" s="230"/>
      <c r="D157" s="734"/>
      <c r="E157" s="1180"/>
      <c r="F157" s="1181"/>
    </row>
    <row r="158" spans="1:6" s="227" customFormat="1" x14ac:dyDescent="0.2">
      <c r="A158" s="228">
        <v>32324</v>
      </c>
      <c r="B158" s="229">
        <v>1.05</v>
      </c>
      <c r="C158" s="230"/>
      <c r="D158" s="734"/>
      <c r="E158" s="1180"/>
      <c r="F158" s="1181"/>
    </row>
    <row r="159" spans="1:6" s="227" customFormat="1" x14ac:dyDescent="0.2">
      <c r="A159" s="228">
        <v>32355</v>
      </c>
      <c r="B159" s="229">
        <v>0.28999999999999998</v>
      </c>
      <c r="C159" s="230"/>
      <c r="D159" s="734"/>
      <c r="E159" s="1180"/>
      <c r="F159" s="1181"/>
    </row>
    <row r="160" spans="1:6" s="227" customFormat="1" x14ac:dyDescent="0.2">
      <c r="A160" s="228">
        <v>32386</v>
      </c>
      <c r="B160" s="229">
        <v>0.28999999999999998</v>
      </c>
      <c r="C160" s="230"/>
      <c r="D160" s="734"/>
      <c r="E160" s="1180"/>
      <c r="F160" s="1181"/>
    </row>
    <row r="161" spans="1:6" s="227" customFormat="1" x14ac:dyDescent="0.2">
      <c r="A161" s="228">
        <v>32416</v>
      </c>
      <c r="B161" s="229">
        <v>0.28999999999999998</v>
      </c>
      <c r="C161" s="230"/>
      <c r="D161" s="734"/>
      <c r="E161" s="1180"/>
      <c r="F161" s="1181"/>
    </row>
    <row r="162" spans="1:6" s="227" customFormat="1" x14ac:dyDescent="0.2">
      <c r="A162" s="228">
        <v>32447</v>
      </c>
      <c r="B162" s="229">
        <v>0.93</v>
      </c>
      <c r="C162" s="230"/>
      <c r="D162" s="734"/>
      <c r="E162" s="1180"/>
      <c r="F162" s="1181"/>
    </row>
    <row r="163" spans="1:6" s="227" customFormat="1" x14ac:dyDescent="0.2">
      <c r="A163" s="228">
        <v>32477</v>
      </c>
      <c r="B163" s="229">
        <v>0.93</v>
      </c>
      <c r="C163" s="230"/>
      <c r="D163" s="734"/>
      <c r="E163" s="1180"/>
      <c r="F163" s="1181"/>
    </row>
    <row r="164" spans="1:6" s="227" customFormat="1" x14ac:dyDescent="0.2">
      <c r="A164" s="228">
        <v>32508</v>
      </c>
      <c r="B164" s="229">
        <v>0.93</v>
      </c>
      <c r="C164" s="230"/>
      <c r="D164" s="734"/>
      <c r="E164" s="1180"/>
      <c r="F164" s="1181"/>
    </row>
    <row r="165" spans="1:6" s="227" customFormat="1" x14ac:dyDescent="0.2">
      <c r="A165" s="228">
        <v>32539</v>
      </c>
      <c r="B165" s="229">
        <v>1.0900000000000001</v>
      </c>
      <c r="C165" s="230"/>
      <c r="D165" s="734"/>
      <c r="E165" s="1180"/>
      <c r="F165" s="1181"/>
    </row>
    <row r="166" spans="1:6" s="227" customFormat="1" x14ac:dyDescent="0.2">
      <c r="A166" s="228">
        <v>32567</v>
      </c>
      <c r="B166" s="229">
        <v>1.0900000000000001</v>
      </c>
      <c r="C166" s="230"/>
      <c r="D166" s="734"/>
      <c r="E166" s="1180"/>
      <c r="F166" s="1181"/>
    </row>
    <row r="167" spans="1:6" s="227" customFormat="1" x14ac:dyDescent="0.2">
      <c r="A167" s="228">
        <v>32598</v>
      </c>
      <c r="B167" s="229">
        <v>1.0900000000000001</v>
      </c>
      <c r="C167" s="230"/>
      <c r="D167" s="734"/>
      <c r="E167" s="1180"/>
      <c r="F167" s="1181"/>
    </row>
    <row r="168" spans="1:6" s="227" customFormat="1" x14ac:dyDescent="0.2">
      <c r="A168" s="228">
        <v>32628</v>
      </c>
      <c r="B168" s="229">
        <v>2.1800000000000002</v>
      </c>
      <c r="C168" s="230"/>
      <c r="D168" s="734"/>
      <c r="E168" s="1180"/>
      <c r="F168" s="1181"/>
    </row>
    <row r="169" spans="1:6" s="227" customFormat="1" x14ac:dyDescent="0.2">
      <c r="A169" s="228">
        <v>32659</v>
      </c>
      <c r="B169" s="229">
        <v>2.1800000000000002</v>
      </c>
      <c r="C169" s="230"/>
      <c r="D169" s="734"/>
      <c r="E169" s="1180"/>
      <c r="F169" s="1181"/>
    </row>
    <row r="170" spans="1:6" s="227" customFormat="1" x14ac:dyDescent="0.2">
      <c r="A170" s="228">
        <v>32689</v>
      </c>
      <c r="B170" s="229">
        <v>2.1800000000000002</v>
      </c>
      <c r="C170" s="230"/>
      <c r="D170" s="734"/>
      <c r="E170" s="1180"/>
      <c r="F170" s="1181"/>
    </row>
    <row r="171" spans="1:6" s="227" customFormat="1" x14ac:dyDescent="0.2">
      <c r="A171" s="228">
        <v>32720</v>
      </c>
      <c r="B171" s="229">
        <v>1.42</v>
      </c>
      <c r="C171" s="230"/>
      <c r="D171" s="734"/>
      <c r="E171" s="1180"/>
      <c r="F171" s="1181"/>
    </row>
    <row r="172" spans="1:6" s="227" customFormat="1" x14ac:dyDescent="0.2">
      <c r="A172" s="228">
        <v>32751</v>
      </c>
      <c r="B172" s="229">
        <v>1.42</v>
      </c>
      <c r="C172" s="230"/>
      <c r="D172" s="734"/>
      <c r="E172" s="1180"/>
      <c r="F172" s="1181"/>
    </row>
    <row r="173" spans="1:6" s="227" customFormat="1" x14ac:dyDescent="0.2">
      <c r="A173" s="228">
        <v>32781</v>
      </c>
      <c r="B173" s="229">
        <v>1.42</v>
      </c>
      <c r="C173" s="230"/>
      <c r="D173" s="734"/>
      <c r="E173" s="1180"/>
      <c r="F173" s="1181"/>
    </row>
    <row r="174" spans="1:6" s="227" customFormat="1" x14ac:dyDescent="0.2">
      <c r="A174" s="228">
        <v>32812</v>
      </c>
      <c r="B174" s="229">
        <v>1.03</v>
      </c>
      <c r="C174" s="230"/>
      <c r="D174" s="734"/>
      <c r="E174" s="1180"/>
      <c r="F174" s="1181"/>
    </row>
    <row r="175" spans="1:6" s="227" customFormat="1" x14ac:dyDescent="0.2">
      <c r="A175" s="228">
        <v>32842</v>
      </c>
      <c r="B175" s="229">
        <v>1.03</v>
      </c>
      <c r="C175" s="230"/>
      <c r="D175" s="734"/>
      <c r="E175" s="1180"/>
      <c r="F175" s="1181"/>
    </row>
    <row r="176" spans="1:6" s="227" customFormat="1" x14ac:dyDescent="0.2">
      <c r="A176" s="228">
        <v>32873</v>
      </c>
      <c r="B176" s="229">
        <v>1.03</v>
      </c>
      <c r="C176" s="230"/>
      <c r="D176" s="734"/>
      <c r="E176" s="1180"/>
      <c r="F176" s="1181"/>
    </row>
    <row r="177" spans="1:6" s="227" customFormat="1" x14ac:dyDescent="0.2">
      <c r="A177" s="228">
        <v>32904</v>
      </c>
      <c r="B177" s="229">
        <v>-1.0067999999999999</v>
      </c>
      <c r="C177" s="230"/>
      <c r="D177" s="734"/>
      <c r="E177" s="1180"/>
      <c r="F177" s="1181"/>
    </row>
    <row r="178" spans="1:6" s="227" customFormat="1" x14ac:dyDescent="0.2">
      <c r="A178" s="228">
        <v>32932</v>
      </c>
      <c r="B178" s="229">
        <v>-1.0067999999999999</v>
      </c>
      <c r="C178" s="230"/>
      <c r="D178" s="734"/>
      <c r="E178" s="1180"/>
      <c r="F178" s="1181"/>
    </row>
    <row r="179" spans="1:6" s="227" customFormat="1" x14ac:dyDescent="0.2">
      <c r="A179" s="228">
        <v>32963</v>
      </c>
      <c r="B179" s="229">
        <v>-1.0067999999999999</v>
      </c>
      <c r="C179" s="230"/>
      <c r="D179" s="734"/>
      <c r="E179" s="1180"/>
      <c r="F179" s="1181"/>
    </row>
    <row r="180" spans="1:6" s="227" customFormat="1" x14ac:dyDescent="0.2">
      <c r="A180" s="228">
        <v>32993</v>
      </c>
      <c r="B180" s="229">
        <v>1.6</v>
      </c>
      <c r="C180" s="230"/>
      <c r="D180" s="734"/>
      <c r="E180" s="1180"/>
      <c r="F180" s="1181"/>
    </row>
    <row r="181" spans="1:6" s="227" customFormat="1" x14ac:dyDescent="0.2">
      <c r="A181" s="228">
        <v>33024</v>
      </c>
      <c r="B181" s="229">
        <v>1.6</v>
      </c>
      <c r="C181" s="230"/>
      <c r="D181" s="734"/>
      <c r="E181" s="1180"/>
      <c r="F181" s="1181"/>
    </row>
    <row r="182" spans="1:6" s="227" customFormat="1" x14ac:dyDescent="0.2">
      <c r="A182" s="228">
        <v>33054</v>
      </c>
      <c r="B182" s="229">
        <v>1.6</v>
      </c>
      <c r="C182" s="230"/>
      <c r="D182" s="734"/>
      <c r="E182" s="1180"/>
      <c r="F182" s="1181"/>
    </row>
    <row r="183" spans="1:6" s="227" customFormat="1" x14ac:dyDescent="0.2">
      <c r="A183" s="228">
        <v>33085</v>
      </c>
      <c r="B183" s="229">
        <v>-2.3898999999999999</v>
      </c>
      <c r="C183" s="230"/>
      <c r="D183" s="734"/>
      <c r="E183" s="1180"/>
      <c r="F183" s="1181"/>
    </row>
    <row r="184" spans="1:6" s="227" customFormat="1" x14ac:dyDescent="0.2">
      <c r="A184" s="228">
        <v>33116</v>
      </c>
      <c r="B184" s="229">
        <v>-2.3898999999999999</v>
      </c>
      <c r="C184" s="230"/>
      <c r="D184" s="734"/>
      <c r="E184" s="1180"/>
      <c r="F184" s="1181"/>
    </row>
    <row r="185" spans="1:6" s="227" customFormat="1" x14ac:dyDescent="0.2">
      <c r="A185" s="228">
        <v>33146</v>
      </c>
      <c r="B185" s="229">
        <v>-2.3898999999999999</v>
      </c>
      <c r="C185" s="230"/>
      <c r="D185" s="734"/>
      <c r="E185" s="1180"/>
      <c r="F185" s="1181"/>
    </row>
    <row r="186" spans="1:6" s="227" customFormat="1" x14ac:dyDescent="0.2">
      <c r="A186" s="228">
        <v>33177</v>
      </c>
      <c r="B186" s="229">
        <v>2.4689999999999999</v>
      </c>
      <c r="C186" s="230"/>
      <c r="D186" s="734"/>
      <c r="E186" s="1180"/>
      <c r="F186" s="1181"/>
    </row>
    <row r="187" spans="1:6" s="227" customFormat="1" x14ac:dyDescent="0.2">
      <c r="A187" s="228">
        <v>33207</v>
      </c>
      <c r="B187" s="229">
        <v>2.4689999999999999</v>
      </c>
      <c r="C187" s="230"/>
      <c r="D187" s="734"/>
      <c r="E187" s="1180"/>
      <c r="F187" s="1181"/>
    </row>
    <row r="188" spans="1:6" s="227" customFormat="1" x14ac:dyDescent="0.2">
      <c r="A188" s="228">
        <v>33238</v>
      </c>
      <c r="B188" s="229">
        <v>2.4689999999999999</v>
      </c>
      <c r="C188" s="230"/>
      <c r="D188" s="734"/>
      <c r="E188" s="1180"/>
      <c r="F188" s="1181"/>
    </row>
    <row r="189" spans="1:6" s="227" customFormat="1" x14ac:dyDescent="0.2">
      <c r="A189" s="228">
        <v>33269</v>
      </c>
      <c r="B189" s="229">
        <v>2.4900000000000002</v>
      </c>
      <c r="C189" s="230"/>
      <c r="D189" s="734"/>
      <c r="E189" s="1180"/>
      <c r="F189" s="1181"/>
    </row>
    <row r="190" spans="1:6" s="227" customFormat="1" x14ac:dyDescent="0.2">
      <c r="A190" s="228">
        <v>33297</v>
      </c>
      <c r="B190" s="229">
        <v>2.4900000000000002</v>
      </c>
      <c r="C190" s="230"/>
      <c r="D190" s="734"/>
      <c r="E190" s="1180"/>
      <c r="F190" s="1181"/>
    </row>
    <row r="191" spans="1:6" s="227" customFormat="1" x14ac:dyDescent="0.2">
      <c r="A191" s="228">
        <v>33328</v>
      </c>
      <c r="B191" s="229">
        <v>2.4900000000000002</v>
      </c>
      <c r="C191" s="230"/>
      <c r="D191" s="734"/>
      <c r="E191" s="1180"/>
      <c r="F191" s="1181"/>
    </row>
    <row r="192" spans="1:6" s="227" customFormat="1" x14ac:dyDescent="0.2">
      <c r="A192" s="228">
        <v>33358</v>
      </c>
      <c r="B192" s="229">
        <v>5.6500000000000002E-2</v>
      </c>
      <c r="C192" s="230"/>
      <c r="D192" s="734"/>
      <c r="E192" s="1180"/>
      <c r="F192" s="1181"/>
    </row>
    <row r="193" spans="1:6" s="227" customFormat="1" x14ac:dyDescent="0.2">
      <c r="A193" s="228">
        <v>33389</v>
      </c>
      <c r="B193" s="229">
        <v>5.6500000000000002E-2</v>
      </c>
      <c r="C193" s="230"/>
      <c r="D193" s="734"/>
      <c r="E193" s="1180"/>
      <c r="F193" s="1181"/>
    </row>
    <row r="194" spans="1:6" s="227" customFormat="1" x14ac:dyDescent="0.2">
      <c r="A194" s="228">
        <v>33419</v>
      </c>
      <c r="B194" s="229">
        <v>5.6500000000000002E-2</v>
      </c>
      <c r="C194" s="230"/>
      <c r="D194" s="734"/>
      <c r="E194" s="1180"/>
      <c r="F194" s="1181"/>
    </row>
    <row r="195" spans="1:6" s="227" customFormat="1" x14ac:dyDescent="0.2">
      <c r="A195" s="228">
        <v>33450</v>
      </c>
      <c r="B195" s="229">
        <v>2.1890000000000001</v>
      </c>
      <c r="C195" s="230"/>
      <c r="D195" s="734"/>
      <c r="E195" s="1180"/>
      <c r="F195" s="1181"/>
    </row>
    <row r="196" spans="1:6" s="227" customFormat="1" x14ac:dyDescent="0.2">
      <c r="A196" s="228">
        <v>33481</v>
      </c>
      <c r="B196" s="229">
        <v>2.1894</v>
      </c>
      <c r="C196" s="230"/>
      <c r="D196" s="734"/>
      <c r="E196" s="1180"/>
      <c r="F196" s="1181"/>
    </row>
    <row r="197" spans="1:6" s="227" customFormat="1" x14ac:dyDescent="0.2">
      <c r="A197" s="228">
        <v>33511</v>
      </c>
      <c r="B197" s="229">
        <v>2.1894</v>
      </c>
      <c r="C197" s="230"/>
      <c r="D197" s="734"/>
      <c r="E197" s="1180"/>
      <c r="F197" s="1181"/>
    </row>
    <row r="198" spans="1:6" s="227" customFormat="1" x14ac:dyDescent="0.2">
      <c r="A198" s="228">
        <v>33542</v>
      </c>
      <c r="B198" s="229">
        <v>2.15</v>
      </c>
      <c r="C198" s="230"/>
      <c r="D198" s="734"/>
      <c r="E198" s="1180"/>
      <c r="F198" s="1181"/>
    </row>
    <row r="199" spans="1:6" s="227" customFormat="1" x14ac:dyDescent="0.2">
      <c r="A199" s="228">
        <v>33572</v>
      </c>
      <c r="B199" s="229">
        <v>2.15</v>
      </c>
      <c r="C199" s="230"/>
      <c r="D199" s="734"/>
      <c r="E199" s="1180"/>
      <c r="F199" s="1181"/>
    </row>
    <row r="200" spans="1:6" s="227" customFormat="1" x14ac:dyDescent="0.2">
      <c r="A200" s="228">
        <v>33603</v>
      </c>
      <c r="B200" s="229">
        <v>2.13</v>
      </c>
      <c r="C200" s="230"/>
      <c r="D200" s="734"/>
      <c r="E200" s="1180"/>
      <c r="F200" s="1181"/>
    </row>
    <row r="201" spans="1:6" s="227" customFormat="1" x14ac:dyDescent="0.2">
      <c r="A201" s="228">
        <v>33634</v>
      </c>
      <c r="B201" s="229">
        <v>-0.70150000000000001</v>
      </c>
      <c r="C201" s="230"/>
      <c r="D201" s="734"/>
      <c r="E201" s="1180"/>
      <c r="F201" s="1181"/>
    </row>
    <row r="202" spans="1:6" s="227" customFormat="1" x14ac:dyDescent="0.2">
      <c r="A202" s="228">
        <v>33663</v>
      </c>
      <c r="B202" s="229">
        <v>-0.70150000000000001</v>
      </c>
      <c r="C202" s="230"/>
      <c r="D202" s="734"/>
      <c r="E202" s="1180"/>
      <c r="F202" s="1181"/>
    </row>
    <row r="203" spans="1:6" s="227" customFormat="1" x14ac:dyDescent="0.2">
      <c r="A203" s="228">
        <v>33694</v>
      </c>
      <c r="B203" s="229">
        <v>-0.70150000000000001</v>
      </c>
      <c r="C203" s="230"/>
      <c r="D203" s="734"/>
      <c r="E203" s="1180"/>
      <c r="F203" s="1181"/>
    </row>
    <row r="204" spans="1:6" s="227" customFormat="1" x14ac:dyDescent="0.2">
      <c r="A204" s="228">
        <v>33724</v>
      </c>
      <c r="B204" s="229">
        <v>0.97</v>
      </c>
      <c r="C204" s="230"/>
      <c r="D204" s="734"/>
      <c r="E204" s="1180"/>
      <c r="F204" s="1181"/>
    </row>
    <row r="205" spans="1:6" s="227" customFormat="1" x14ac:dyDescent="0.2">
      <c r="A205" s="228">
        <v>33755</v>
      </c>
      <c r="B205" s="229">
        <v>0.97</v>
      </c>
      <c r="C205" s="230"/>
      <c r="D205" s="734"/>
      <c r="E205" s="1180"/>
      <c r="F205" s="1181"/>
    </row>
    <row r="206" spans="1:6" s="227" customFormat="1" x14ac:dyDescent="0.2">
      <c r="A206" s="228">
        <v>33785</v>
      </c>
      <c r="B206" s="229">
        <v>0.97</v>
      </c>
      <c r="C206" s="230"/>
      <c r="D206" s="734"/>
      <c r="E206" s="1180"/>
      <c r="F206" s="1181"/>
    </row>
    <row r="207" spans="1:6" s="227" customFormat="1" x14ac:dyDescent="0.2">
      <c r="A207" s="228">
        <v>33816</v>
      </c>
      <c r="B207" s="229">
        <v>1.4572000000000001</v>
      </c>
      <c r="C207" s="230"/>
      <c r="D207" s="734"/>
      <c r="E207" s="1180"/>
      <c r="F207" s="1181"/>
    </row>
    <row r="208" spans="1:6" s="227" customFormat="1" x14ac:dyDescent="0.2">
      <c r="A208" s="228">
        <v>33847</v>
      </c>
      <c r="B208" s="229">
        <v>1.4572000000000001</v>
      </c>
      <c r="C208" s="230"/>
      <c r="D208" s="734"/>
      <c r="E208" s="1180"/>
      <c r="F208" s="1181"/>
    </row>
    <row r="209" spans="1:6" s="227" customFormat="1" x14ac:dyDescent="0.2">
      <c r="A209" s="228">
        <v>33877</v>
      </c>
      <c r="B209" s="229">
        <v>1.4572000000000001</v>
      </c>
      <c r="C209" s="230"/>
      <c r="D209" s="734"/>
      <c r="E209" s="1180"/>
      <c r="F209" s="1181"/>
    </row>
    <row r="210" spans="1:6" s="227" customFormat="1" x14ac:dyDescent="0.2">
      <c r="A210" s="228">
        <v>33908</v>
      </c>
      <c r="B210" s="229">
        <v>0.90180000000000005</v>
      </c>
      <c r="C210" s="230"/>
      <c r="D210" s="734"/>
      <c r="E210" s="1180"/>
      <c r="F210" s="1181"/>
    </row>
    <row r="211" spans="1:6" s="227" customFormat="1" x14ac:dyDescent="0.2">
      <c r="A211" s="228">
        <v>33938</v>
      </c>
      <c r="B211" s="229">
        <v>0.90180000000000005</v>
      </c>
      <c r="C211" s="230"/>
      <c r="D211" s="734"/>
      <c r="E211" s="1180"/>
      <c r="F211" s="1181"/>
    </row>
    <row r="212" spans="1:6" s="227" customFormat="1" x14ac:dyDescent="0.2">
      <c r="A212" s="228">
        <v>33969</v>
      </c>
      <c r="B212" s="229">
        <v>0.90180000000000005</v>
      </c>
      <c r="C212" s="230"/>
      <c r="D212" s="734"/>
      <c r="E212" s="1180"/>
      <c r="F212" s="1181"/>
    </row>
    <row r="213" spans="1:6" s="227" customFormat="1" x14ac:dyDescent="0.2">
      <c r="A213" s="228">
        <v>34000</v>
      </c>
      <c r="B213" s="229">
        <v>1.8714</v>
      </c>
      <c r="C213" s="230"/>
      <c r="D213" s="734"/>
      <c r="E213" s="1180"/>
      <c r="F213" s="1181"/>
    </row>
    <row r="214" spans="1:6" s="227" customFormat="1" x14ac:dyDescent="0.2">
      <c r="A214" s="228">
        <v>34028</v>
      </c>
      <c r="B214" s="229">
        <v>1.8714</v>
      </c>
      <c r="C214" s="230"/>
      <c r="D214" s="734"/>
      <c r="E214" s="1180"/>
      <c r="F214" s="1181"/>
    </row>
    <row r="215" spans="1:6" s="227" customFormat="1" x14ac:dyDescent="0.2">
      <c r="A215" s="228">
        <v>34059</v>
      </c>
      <c r="B215" s="229">
        <v>1.8714</v>
      </c>
      <c r="C215" s="230"/>
      <c r="D215" s="734"/>
      <c r="E215" s="1180"/>
      <c r="F215" s="1181"/>
    </row>
    <row r="216" spans="1:6" s="227" customFormat="1" x14ac:dyDescent="0.2">
      <c r="A216" s="228">
        <v>34089</v>
      </c>
      <c r="B216" s="229">
        <v>0.94440000000000002</v>
      </c>
      <c r="C216" s="230"/>
      <c r="D216" s="734"/>
      <c r="E216" s="1180"/>
      <c r="F216" s="1181"/>
    </row>
    <row r="217" spans="1:6" s="227" customFormat="1" x14ac:dyDescent="0.2">
      <c r="A217" s="228">
        <v>34120</v>
      </c>
      <c r="B217" s="229">
        <v>0.94440000000000002</v>
      </c>
      <c r="C217" s="230"/>
      <c r="D217" s="734"/>
      <c r="E217" s="1180"/>
      <c r="F217" s="1181"/>
    </row>
    <row r="218" spans="1:6" s="227" customFormat="1" x14ac:dyDescent="0.2">
      <c r="A218" s="228">
        <v>34150</v>
      </c>
      <c r="B218" s="229">
        <v>0.94440000000000002</v>
      </c>
      <c r="C218" s="230"/>
      <c r="D218" s="734"/>
      <c r="E218" s="1180"/>
      <c r="F218" s="1181"/>
    </row>
    <row r="219" spans="1:6" s="227" customFormat="1" x14ac:dyDescent="0.2">
      <c r="A219" s="228">
        <v>34181</v>
      </c>
      <c r="B219" s="229">
        <v>1.3159000000000001</v>
      </c>
      <c r="C219" s="230"/>
      <c r="D219" s="734"/>
      <c r="E219" s="1180"/>
      <c r="F219" s="1181"/>
    </row>
    <row r="220" spans="1:6" s="227" customFormat="1" x14ac:dyDescent="0.2">
      <c r="A220" s="228">
        <v>34212</v>
      </c>
      <c r="B220" s="229">
        <v>1.3159000000000001</v>
      </c>
      <c r="C220" s="230"/>
      <c r="D220" s="734"/>
      <c r="E220" s="1180"/>
      <c r="F220" s="1181"/>
    </row>
    <row r="221" spans="1:6" s="227" customFormat="1" x14ac:dyDescent="0.2">
      <c r="A221" s="228">
        <v>34242</v>
      </c>
      <c r="B221" s="229">
        <v>1.3159000000000001</v>
      </c>
      <c r="C221" s="230"/>
      <c r="D221" s="734"/>
      <c r="E221" s="1180"/>
      <c r="F221" s="1181"/>
    </row>
    <row r="222" spans="1:6" s="227" customFormat="1" x14ac:dyDescent="0.2">
      <c r="A222" s="228">
        <v>34273</v>
      </c>
      <c r="B222" s="229">
        <v>0.4546</v>
      </c>
      <c r="C222" s="230"/>
      <c r="D222" s="734"/>
      <c r="E222" s="1180"/>
      <c r="F222" s="1181"/>
    </row>
    <row r="223" spans="1:6" s="227" customFormat="1" x14ac:dyDescent="0.2">
      <c r="A223" s="228">
        <v>34303</v>
      </c>
      <c r="B223" s="229">
        <v>0.4546</v>
      </c>
      <c r="C223" s="230"/>
      <c r="D223" s="734"/>
      <c r="E223" s="1180"/>
      <c r="F223" s="1181"/>
    </row>
    <row r="224" spans="1:6" s="227" customFormat="1" x14ac:dyDescent="0.2">
      <c r="A224" s="228">
        <v>34334</v>
      </c>
      <c r="B224" s="229">
        <v>0.4546</v>
      </c>
      <c r="C224" s="230"/>
      <c r="D224" s="734"/>
      <c r="E224" s="1180"/>
      <c r="F224" s="1181"/>
    </row>
    <row r="225" spans="1:6" s="227" customFormat="1" x14ac:dyDescent="0.2">
      <c r="A225" s="228">
        <v>34365</v>
      </c>
      <c r="B225" s="229">
        <v>-1.0136000000000001</v>
      </c>
      <c r="C225" s="230"/>
      <c r="D225" s="734"/>
      <c r="E225" s="1180"/>
      <c r="F225" s="1181"/>
    </row>
    <row r="226" spans="1:6" s="227" customFormat="1" x14ac:dyDescent="0.2">
      <c r="A226" s="228">
        <v>34393</v>
      </c>
      <c r="B226" s="229">
        <v>-1.0136000000000001</v>
      </c>
      <c r="C226" s="230"/>
      <c r="D226" s="734"/>
      <c r="E226" s="1180"/>
      <c r="F226" s="1181"/>
    </row>
    <row r="227" spans="1:6" s="227" customFormat="1" x14ac:dyDescent="0.2">
      <c r="A227" s="228">
        <v>34424</v>
      </c>
      <c r="B227" s="229">
        <v>-1.0136000000000001</v>
      </c>
      <c r="C227" s="230"/>
      <c r="D227" s="734"/>
      <c r="E227" s="1180"/>
      <c r="F227" s="1181"/>
    </row>
    <row r="228" spans="1:6" s="227" customFormat="1" x14ac:dyDescent="0.2">
      <c r="A228" s="228">
        <v>34454</v>
      </c>
      <c r="B228" s="229">
        <v>-9.3399999999999997E-2</v>
      </c>
      <c r="C228" s="230"/>
      <c r="D228" s="734"/>
      <c r="E228" s="1180"/>
      <c r="F228" s="1181"/>
    </row>
    <row r="229" spans="1:6" s="227" customFormat="1" x14ac:dyDescent="0.2">
      <c r="A229" s="228">
        <v>34485</v>
      </c>
      <c r="B229" s="229">
        <v>-9.3399999999999997E-2</v>
      </c>
      <c r="C229" s="230"/>
      <c r="D229" s="734"/>
      <c r="E229" s="1180"/>
      <c r="F229" s="1181"/>
    </row>
    <row r="230" spans="1:6" s="227" customFormat="1" x14ac:dyDescent="0.2">
      <c r="A230" s="228">
        <v>34515</v>
      </c>
      <c r="B230" s="229">
        <v>-9.3399999999999997E-2</v>
      </c>
      <c r="C230" s="230"/>
      <c r="D230" s="734"/>
      <c r="E230" s="1180"/>
      <c r="F230" s="1181"/>
    </row>
    <row r="231" spans="1:6" s="227" customFormat="1" x14ac:dyDescent="0.2">
      <c r="A231" s="228">
        <v>34546</v>
      </c>
      <c r="B231" s="229">
        <v>0.81659999999999999</v>
      </c>
      <c r="C231" s="230"/>
      <c r="D231" s="734"/>
      <c r="E231" s="1180"/>
      <c r="F231" s="1181"/>
    </row>
    <row r="232" spans="1:6" s="227" customFormat="1" x14ac:dyDescent="0.2">
      <c r="A232" s="228">
        <v>34577</v>
      </c>
      <c r="B232" s="229">
        <v>0.81659999999999999</v>
      </c>
      <c r="C232" s="230"/>
      <c r="D232" s="734"/>
      <c r="E232" s="1180"/>
      <c r="F232" s="1181"/>
    </row>
    <row r="233" spans="1:6" s="227" customFormat="1" x14ac:dyDescent="0.2">
      <c r="A233" s="228">
        <v>34607</v>
      </c>
      <c r="B233" s="229">
        <v>0.81659999999999999</v>
      </c>
      <c r="C233" s="230"/>
      <c r="D233" s="734"/>
      <c r="E233" s="1180"/>
      <c r="F233" s="1181"/>
    </row>
    <row r="234" spans="1:6" s="227" customFormat="1" x14ac:dyDescent="0.2">
      <c r="A234" s="228">
        <v>34638</v>
      </c>
      <c r="B234" s="229">
        <v>0.04</v>
      </c>
      <c r="C234" s="230"/>
      <c r="D234" s="734"/>
      <c r="E234" s="1180"/>
      <c r="F234" s="1181"/>
    </row>
    <row r="235" spans="1:6" s="227" customFormat="1" x14ac:dyDescent="0.2">
      <c r="A235" s="228">
        <v>34668</v>
      </c>
      <c r="B235" s="229">
        <v>0.04</v>
      </c>
      <c r="C235" s="230"/>
      <c r="D235" s="734"/>
      <c r="E235" s="1180"/>
      <c r="F235" s="1181"/>
    </row>
    <row r="236" spans="1:6" s="227" customFormat="1" x14ac:dyDescent="0.2">
      <c r="A236" s="228">
        <v>34699</v>
      </c>
      <c r="B236" s="229">
        <v>0.04</v>
      </c>
      <c r="C236" s="230"/>
      <c r="D236" s="734"/>
      <c r="E236" s="1180"/>
      <c r="F236" s="1181"/>
    </row>
    <row r="237" spans="1:6" s="227" customFormat="1" x14ac:dyDescent="0.2">
      <c r="A237" s="228">
        <v>34730</v>
      </c>
      <c r="B237" s="229">
        <v>2.1404999999999998</v>
      </c>
      <c r="C237" s="230"/>
      <c r="D237" s="734"/>
      <c r="E237" s="1180"/>
      <c r="F237" s="1181"/>
    </row>
    <row r="238" spans="1:6" s="227" customFormat="1" x14ac:dyDescent="0.2">
      <c r="A238" s="228">
        <v>34758</v>
      </c>
      <c r="B238" s="229">
        <v>2.1404999999999998</v>
      </c>
      <c r="C238" s="230"/>
      <c r="D238" s="734"/>
      <c r="E238" s="1180"/>
      <c r="F238" s="1181"/>
    </row>
    <row r="239" spans="1:6" s="227" customFormat="1" x14ac:dyDescent="0.2">
      <c r="A239" s="228">
        <v>34789</v>
      </c>
      <c r="B239" s="229">
        <v>2.1404999999999998</v>
      </c>
      <c r="C239" s="230"/>
      <c r="D239" s="734"/>
      <c r="E239" s="1180"/>
      <c r="F239" s="1181"/>
    </row>
    <row r="240" spans="1:6" s="227" customFormat="1" x14ac:dyDescent="0.2">
      <c r="A240" s="228">
        <v>34819</v>
      </c>
      <c r="B240" s="229">
        <v>2.5192999999999999</v>
      </c>
      <c r="C240" s="230"/>
      <c r="D240" s="734"/>
      <c r="E240" s="1180"/>
      <c r="F240" s="1181"/>
    </row>
    <row r="241" spans="1:6" s="227" customFormat="1" x14ac:dyDescent="0.2">
      <c r="A241" s="228">
        <v>34850</v>
      </c>
      <c r="B241" s="229">
        <v>2.5192999999999999</v>
      </c>
      <c r="C241" s="230"/>
      <c r="D241" s="734"/>
      <c r="E241" s="1180"/>
      <c r="F241" s="1181"/>
    </row>
    <row r="242" spans="1:6" s="227" customFormat="1" x14ac:dyDescent="0.2">
      <c r="A242" s="228">
        <v>34880</v>
      </c>
      <c r="B242" s="229">
        <v>2.5192999999999999</v>
      </c>
      <c r="C242" s="230"/>
      <c r="D242" s="734"/>
      <c r="E242" s="1180"/>
      <c r="F242" s="1181"/>
    </row>
    <row r="243" spans="1:6" s="227" customFormat="1" x14ac:dyDescent="0.2">
      <c r="A243" s="228">
        <v>34911</v>
      </c>
      <c r="B243" s="229">
        <v>1.7749999999999999</v>
      </c>
      <c r="C243" s="230"/>
      <c r="D243" s="734"/>
      <c r="E243" s="1180"/>
      <c r="F243" s="1181"/>
    </row>
    <row r="244" spans="1:6" s="227" customFormat="1" x14ac:dyDescent="0.2">
      <c r="A244" s="228">
        <v>34942</v>
      </c>
      <c r="B244" s="229">
        <v>1.7749999999999999</v>
      </c>
      <c r="C244" s="230"/>
      <c r="D244" s="734"/>
      <c r="E244" s="1180"/>
      <c r="F244" s="1181"/>
    </row>
    <row r="245" spans="1:6" s="227" customFormat="1" x14ac:dyDescent="0.2">
      <c r="A245" s="228">
        <v>34972</v>
      </c>
      <c r="B245" s="229">
        <v>1.7749999999999999</v>
      </c>
      <c r="C245" s="230"/>
      <c r="D245" s="734"/>
      <c r="E245" s="1180"/>
      <c r="F245" s="1181"/>
    </row>
    <row r="246" spans="1:6" s="227" customFormat="1" x14ac:dyDescent="0.2">
      <c r="A246" s="228">
        <v>35003</v>
      </c>
      <c r="B246" s="229">
        <v>1.6977</v>
      </c>
      <c r="C246" s="230"/>
      <c r="D246" s="734"/>
      <c r="E246" s="1180"/>
      <c r="F246" s="1181"/>
    </row>
    <row r="247" spans="1:6" s="227" customFormat="1" x14ac:dyDescent="0.2">
      <c r="A247" s="228">
        <v>35033</v>
      </c>
      <c r="B247" s="229">
        <v>1.6977</v>
      </c>
      <c r="C247" s="230"/>
      <c r="D247" s="734"/>
      <c r="E247" s="1180"/>
      <c r="F247" s="1181"/>
    </row>
    <row r="248" spans="1:6" s="227" customFormat="1" x14ac:dyDescent="0.2">
      <c r="A248" s="228">
        <v>35064</v>
      </c>
      <c r="B248" s="229">
        <v>1.6977</v>
      </c>
      <c r="C248" s="230"/>
      <c r="D248" s="734"/>
      <c r="E248" s="1180"/>
      <c r="F248" s="1181"/>
    </row>
    <row r="249" spans="1:6" s="227" customFormat="1" x14ac:dyDescent="0.2">
      <c r="A249" s="228">
        <v>35095</v>
      </c>
      <c r="B249" s="229">
        <v>0.88219999999999998</v>
      </c>
      <c r="C249" s="230"/>
      <c r="D249" s="734"/>
      <c r="E249" s="1180"/>
      <c r="F249" s="1181"/>
    </row>
    <row r="250" spans="1:6" s="227" customFormat="1" x14ac:dyDescent="0.2">
      <c r="A250" s="228">
        <v>35124</v>
      </c>
      <c r="B250" s="229">
        <v>0.88219999999999998</v>
      </c>
      <c r="C250" s="230"/>
      <c r="D250" s="734"/>
      <c r="E250" s="1180"/>
      <c r="F250" s="1181"/>
    </row>
    <row r="251" spans="1:6" s="227" customFormat="1" x14ac:dyDescent="0.2">
      <c r="A251" s="228">
        <v>35155</v>
      </c>
      <c r="B251" s="229">
        <v>0.88219999999999998</v>
      </c>
      <c r="C251" s="230"/>
      <c r="D251" s="734"/>
      <c r="E251" s="1180"/>
      <c r="F251" s="1181"/>
    </row>
    <row r="252" spans="1:6" s="227" customFormat="1" x14ac:dyDescent="0.2">
      <c r="A252" s="228">
        <v>35185</v>
      </c>
      <c r="B252" s="229">
        <v>0.81989999999999996</v>
      </c>
      <c r="C252" s="230"/>
      <c r="D252" s="734"/>
      <c r="E252" s="1180"/>
      <c r="F252" s="1181"/>
    </row>
    <row r="253" spans="1:6" s="227" customFormat="1" x14ac:dyDescent="0.2">
      <c r="A253" s="228">
        <v>35216</v>
      </c>
      <c r="B253" s="229">
        <v>0.81989999999999996</v>
      </c>
      <c r="C253" s="230"/>
      <c r="D253" s="734"/>
      <c r="E253" s="1180"/>
      <c r="F253" s="1181"/>
    </row>
    <row r="254" spans="1:6" s="227" customFormat="1" x14ac:dyDescent="0.2">
      <c r="A254" s="228">
        <v>35246</v>
      </c>
      <c r="B254" s="229">
        <v>0.81989999999999996</v>
      </c>
      <c r="C254" s="230"/>
      <c r="D254" s="734"/>
      <c r="E254" s="1180"/>
      <c r="F254" s="1181"/>
    </row>
    <row r="255" spans="1:6" s="227" customFormat="1" x14ac:dyDescent="0.2">
      <c r="A255" s="228">
        <v>35277</v>
      </c>
      <c r="B255" s="229">
        <v>0.74119999999999997</v>
      </c>
      <c r="C255" s="230"/>
      <c r="D255" s="734"/>
      <c r="E255" s="1180"/>
      <c r="F255" s="1181"/>
    </row>
    <row r="256" spans="1:6" s="227" customFormat="1" x14ac:dyDescent="0.2">
      <c r="A256" s="228">
        <v>35308</v>
      </c>
      <c r="B256" s="229">
        <v>0.74119999999999997</v>
      </c>
      <c r="C256" s="230"/>
      <c r="D256" s="734"/>
      <c r="E256" s="1180"/>
      <c r="F256" s="1181"/>
    </row>
    <row r="257" spans="1:6" s="227" customFormat="1" x14ac:dyDescent="0.2">
      <c r="A257" s="228">
        <v>35338</v>
      </c>
      <c r="B257" s="229">
        <v>0.74119999999999997</v>
      </c>
      <c r="C257" s="230"/>
      <c r="D257" s="734"/>
      <c r="E257" s="1180"/>
      <c r="F257" s="1181"/>
    </row>
    <row r="258" spans="1:6" s="227" customFormat="1" x14ac:dyDescent="0.2">
      <c r="A258" s="228">
        <v>35369</v>
      </c>
      <c r="B258" s="229">
        <v>1.7492000000000001</v>
      </c>
      <c r="C258" s="230"/>
      <c r="D258" s="734"/>
      <c r="E258" s="1180"/>
      <c r="F258" s="1181"/>
    </row>
    <row r="259" spans="1:6" s="227" customFormat="1" x14ac:dyDescent="0.2">
      <c r="A259" s="228">
        <v>35399</v>
      </c>
      <c r="B259" s="229">
        <v>1.7492000000000001</v>
      </c>
      <c r="C259" s="230"/>
      <c r="D259" s="734"/>
      <c r="E259" s="1180"/>
      <c r="F259" s="1181"/>
    </row>
    <row r="260" spans="1:6" s="227" customFormat="1" x14ac:dyDescent="0.2">
      <c r="A260" s="228">
        <v>35430</v>
      </c>
      <c r="B260" s="229">
        <v>1.7492000000000001</v>
      </c>
      <c r="C260" s="230"/>
      <c r="D260" s="734"/>
      <c r="E260" s="1180"/>
      <c r="F260" s="1181"/>
    </row>
    <row r="261" spans="1:6" s="227" customFormat="1" x14ac:dyDescent="0.2">
      <c r="A261" s="228">
        <v>35461</v>
      </c>
      <c r="B261" s="229">
        <v>2.4500000000000002</v>
      </c>
      <c r="C261" s="230"/>
      <c r="D261" s="734"/>
      <c r="E261" s="1180"/>
      <c r="F261" s="1181"/>
    </row>
    <row r="262" spans="1:6" s="227" customFormat="1" x14ac:dyDescent="0.2">
      <c r="A262" s="228">
        <v>35489</v>
      </c>
      <c r="B262" s="229">
        <v>0.36</v>
      </c>
      <c r="C262" s="230"/>
      <c r="D262" s="734"/>
      <c r="E262" s="1180"/>
      <c r="F262" s="1181"/>
    </row>
    <row r="263" spans="1:6" s="227" customFormat="1" x14ac:dyDescent="0.2">
      <c r="A263" s="228">
        <v>35520</v>
      </c>
      <c r="B263" s="229">
        <v>-2.62</v>
      </c>
      <c r="C263" s="230"/>
      <c r="D263" s="734"/>
      <c r="E263" s="1180"/>
      <c r="F263" s="1181"/>
    </row>
    <row r="264" spans="1:6" s="227" customFormat="1" x14ac:dyDescent="0.2">
      <c r="A264" s="228">
        <v>35550</v>
      </c>
      <c r="B264" s="229">
        <v>3.15</v>
      </c>
      <c r="C264" s="230"/>
      <c r="D264" s="734"/>
      <c r="E264" s="1180"/>
      <c r="F264" s="1181"/>
    </row>
    <row r="265" spans="1:6" s="227" customFormat="1" x14ac:dyDescent="0.2">
      <c r="A265" s="228">
        <v>35581</v>
      </c>
      <c r="B265" s="229">
        <v>4.8</v>
      </c>
      <c r="C265" s="230"/>
      <c r="D265" s="734"/>
      <c r="E265" s="1180"/>
      <c r="F265" s="1181"/>
    </row>
    <row r="266" spans="1:6" s="227" customFormat="1" x14ac:dyDescent="0.2">
      <c r="A266" s="228">
        <v>35611</v>
      </c>
      <c r="B266" s="229">
        <v>3.46</v>
      </c>
      <c r="C266" s="230"/>
      <c r="D266" s="734"/>
      <c r="E266" s="1180"/>
      <c r="F266" s="1181"/>
    </row>
    <row r="267" spans="1:6" s="227" customFormat="1" x14ac:dyDescent="0.2">
      <c r="A267" s="228">
        <v>35642</v>
      </c>
      <c r="B267" s="229">
        <v>5.88</v>
      </c>
      <c r="C267" s="230"/>
      <c r="D267" s="734"/>
      <c r="E267" s="1180"/>
      <c r="F267" s="1181"/>
    </row>
    <row r="268" spans="1:6" s="227" customFormat="1" x14ac:dyDescent="0.2">
      <c r="A268" s="228">
        <v>35673</v>
      </c>
      <c r="B268" s="229">
        <v>-3.84</v>
      </c>
      <c r="C268" s="230"/>
      <c r="D268" s="734"/>
      <c r="E268" s="1180"/>
      <c r="F268" s="1181"/>
    </row>
    <row r="269" spans="1:6" s="227" customFormat="1" x14ac:dyDescent="0.2">
      <c r="A269" s="228">
        <v>35703</v>
      </c>
      <c r="B269" s="229">
        <v>4.25</v>
      </c>
      <c r="C269" s="230"/>
      <c r="D269" s="734"/>
      <c r="E269" s="1180"/>
      <c r="F269" s="1181"/>
    </row>
    <row r="270" spans="1:6" s="227" customFormat="1" x14ac:dyDescent="0.2">
      <c r="A270" s="228">
        <v>35734</v>
      </c>
      <c r="B270" s="229">
        <v>-2.4900000000000002</v>
      </c>
      <c r="C270" s="230"/>
      <c r="D270" s="734"/>
      <c r="E270" s="1180"/>
      <c r="F270" s="1181"/>
    </row>
    <row r="271" spans="1:6" s="227" customFormat="1" x14ac:dyDescent="0.2">
      <c r="A271" s="228">
        <v>35764</v>
      </c>
      <c r="B271" s="229">
        <v>2.21</v>
      </c>
      <c r="C271" s="230"/>
      <c r="D271" s="734"/>
      <c r="E271" s="1180"/>
      <c r="F271" s="1181"/>
    </row>
    <row r="272" spans="1:6" s="227" customFormat="1" x14ac:dyDescent="0.2">
      <c r="A272" s="228">
        <v>35795</v>
      </c>
      <c r="B272" s="229">
        <v>1.35</v>
      </c>
      <c r="C272" s="230"/>
      <c r="D272" s="734"/>
      <c r="E272" s="1180"/>
      <c r="F272" s="1181"/>
    </row>
    <row r="273" spans="1:6" s="227" customFormat="1" x14ac:dyDescent="0.2">
      <c r="A273" s="228">
        <v>35826</v>
      </c>
      <c r="B273" s="229">
        <v>1.44</v>
      </c>
      <c r="C273" s="230"/>
      <c r="D273" s="734"/>
      <c r="E273" s="1180"/>
      <c r="F273" s="1181"/>
    </row>
    <row r="274" spans="1:6" s="227" customFormat="1" x14ac:dyDescent="0.2">
      <c r="A274" s="228">
        <v>35854</v>
      </c>
      <c r="B274" s="229">
        <v>5.0599999999999996</v>
      </c>
      <c r="C274" s="230"/>
      <c r="D274" s="734"/>
      <c r="E274" s="1180"/>
      <c r="F274" s="1181"/>
    </row>
    <row r="275" spans="1:6" s="227" customFormat="1" x14ac:dyDescent="0.2">
      <c r="A275" s="228">
        <v>35885</v>
      </c>
      <c r="B275" s="229">
        <v>3.61</v>
      </c>
      <c r="C275" s="230"/>
      <c r="D275" s="734"/>
      <c r="E275" s="1180"/>
      <c r="F275" s="1181"/>
    </row>
    <row r="276" spans="1:6" s="227" customFormat="1" x14ac:dyDescent="0.2">
      <c r="A276" s="228">
        <v>35915</v>
      </c>
      <c r="B276" s="229">
        <v>0.98</v>
      </c>
      <c r="C276" s="230"/>
      <c r="D276" s="734"/>
      <c r="E276" s="1180"/>
      <c r="F276" s="1181"/>
    </row>
    <row r="277" spans="1:6" s="227" customFormat="1" x14ac:dyDescent="0.2">
      <c r="A277" s="228">
        <v>35946</v>
      </c>
      <c r="B277" s="229">
        <v>-0.82</v>
      </c>
      <c r="C277" s="230"/>
      <c r="D277" s="734"/>
      <c r="E277" s="1180"/>
      <c r="F277" s="1181"/>
    </row>
    <row r="278" spans="1:6" s="227" customFormat="1" x14ac:dyDescent="0.2">
      <c r="A278" s="228">
        <v>35976</v>
      </c>
      <c r="B278" s="229">
        <v>2.27</v>
      </c>
      <c r="C278" s="230"/>
      <c r="D278" s="734"/>
      <c r="E278" s="1180"/>
      <c r="F278" s="1181"/>
    </row>
    <row r="279" spans="1:6" s="227" customFormat="1" x14ac:dyDescent="0.2">
      <c r="A279" s="228">
        <v>36007</v>
      </c>
      <c r="B279" s="229">
        <v>-0.75</v>
      </c>
      <c r="C279" s="230"/>
      <c r="D279" s="734"/>
      <c r="E279" s="1180"/>
      <c r="F279" s="1181"/>
    </row>
    <row r="280" spans="1:6" s="227" customFormat="1" x14ac:dyDescent="0.2">
      <c r="A280" s="228">
        <v>36038</v>
      </c>
      <c r="B280" s="229">
        <v>-9.3000000000000007</v>
      </c>
      <c r="C280" s="230"/>
      <c r="D280" s="734"/>
      <c r="E280" s="1180"/>
      <c r="F280" s="1181"/>
    </row>
    <row r="281" spans="1:6" s="227" customFormat="1" x14ac:dyDescent="0.2">
      <c r="A281" s="228">
        <v>36068</v>
      </c>
      <c r="B281" s="229">
        <v>3.92</v>
      </c>
      <c r="C281" s="230"/>
      <c r="D281" s="734"/>
      <c r="E281" s="1180"/>
      <c r="F281" s="1181"/>
    </row>
    <row r="282" spans="1:6" s="227" customFormat="1" x14ac:dyDescent="0.2">
      <c r="A282" s="228">
        <v>36099</v>
      </c>
      <c r="B282" s="229">
        <v>5.7</v>
      </c>
      <c r="C282" s="230"/>
      <c r="D282" s="734"/>
      <c r="E282" s="1180"/>
      <c r="F282" s="1181"/>
    </row>
    <row r="283" spans="1:6" s="227" customFormat="1" x14ac:dyDescent="0.2">
      <c r="A283" s="228">
        <v>36129</v>
      </c>
      <c r="B283" s="229">
        <v>7.87</v>
      </c>
      <c r="C283" s="230"/>
      <c r="D283" s="734"/>
      <c r="E283" s="1180"/>
      <c r="F283" s="1181"/>
    </row>
    <row r="284" spans="1:6" s="227" customFormat="1" x14ac:dyDescent="0.2">
      <c r="A284" s="228">
        <v>36160</v>
      </c>
      <c r="B284" s="229">
        <v>1.29</v>
      </c>
      <c r="C284" s="230"/>
      <c r="D284" s="734"/>
      <c r="E284" s="1180"/>
      <c r="F284" s="1181"/>
    </row>
    <row r="285" spans="1:6" x14ac:dyDescent="0.2">
      <c r="A285" s="228">
        <v>36191</v>
      </c>
      <c r="B285" s="229">
        <v>2.6</v>
      </c>
      <c r="D285" s="734"/>
      <c r="E285" s="1180"/>
      <c r="F285" s="1181"/>
    </row>
    <row r="286" spans="1:6" x14ac:dyDescent="0.2">
      <c r="A286" s="228">
        <v>36219</v>
      </c>
      <c r="B286" s="229">
        <v>-2.73</v>
      </c>
      <c r="D286" s="734"/>
      <c r="E286" s="1180"/>
      <c r="F286" s="1181"/>
    </row>
    <row r="287" spans="1:6" x14ac:dyDescent="0.2">
      <c r="A287" s="228">
        <v>36250</v>
      </c>
      <c r="B287" s="229">
        <v>2.96</v>
      </c>
      <c r="D287" s="734"/>
      <c r="E287" s="1180"/>
      <c r="F287" s="1181"/>
    </row>
    <row r="288" spans="1:6" x14ac:dyDescent="0.2">
      <c r="A288" s="228">
        <v>36280</v>
      </c>
      <c r="B288" s="229">
        <v>3.41</v>
      </c>
      <c r="D288" s="734"/>
      <c r="E288" s="1180"/>
      <c r="F288" s="1181"/>
    </row>
    <row r="289" spans="1:6" x14ac:dyDescent="0.2">
      <c r="A289" s="228">
        <v>36311</v>
      </c>
      <c r="B289" s="229">
        <v>-1.78</v>
      </c>
      <c r="D289" s="734"/>
      <c r="E289" s="1180"/>
      <c r="F289" s="1181"/>
    </row>
    <row r="290" spans="1:6" x14ac:dyDescent="0.2">
      <c r="A290" s="228">
        <v>36341</v>
      </c>
      <c r="B290" s="229">
        <v>3.62</v>
      </c>
      <c r="D290" s="734"/>
      <c r="E290" s="1180"/>
      <c r="F290" s="1181"/>
    </row>
    <row r="291" spans="1:6" x14ac:dyDescent="0.2">
      <c r="A291" s="228">
        <v>36372</v>
      </c>
      <c r="B291" s="229">
        <v>-1.28</v>
      </c>
      <c r="D291" s="734"/>
      <c r="E291" s="1180"/>
      <c r="F291" s="1181"/>
    </row>
    <row r="292" spans="1:6" x14ac:dyDescent="0.2">
      <c r="A292" s="228">
        <v>36403</v>
      </c>
      <c r="B292" s="229">
        <v>-0.33</v>
      </c>
      <c r="D292" s="734"/>
      <c r="E292" s="1180"/>
      <c r="F292" s="1181"/>
    </row>
    <row r="293" spans="1:6" x14ac:dyDescent="0.2">
      <c r="A293" s="228">
        <v>36433</v>
      </c>
      <c r="B293" s="229">
        <v>-1.03</v>
      </c>
      <c r="D293" s="734"/>
      <c r="E293" s="1180"/>
      <c r="F293" s="1181"/>
    </row>
    <row r="294" spans="1:6" x14ac:dyDescent="0.2">
      <c r="A294" s="228">
        <v>36464</v>
      </c>
      <c r="B294" s="229">
        <v>3.82</v>
      </c>
      <c r="D294" s="734"/>
      <c r="E294" s="1180"/>
      <c r="F294" s="1181"/>
    </row>
    <row r="295" spans="1:6" x14ac:dyDescent="0.2">
      <c r="A295" s="228">
        <v>36494</v>
      </c>
      <c r="B295" s="229">
        <v>2.06</v>
      </c>
      <c r="D295" s="734"/>
      <c r="E295" s="1180"/>
      <c r="F295" s="1181"/>
    </row>
    <row r="296" spans="1:6" x14ac:dyDescent="0.2">
      <c r="A296" s="228">
        <v>36525</v>
      </c>
      <c r="B296" s="229">
        <v>5.08</v>
      </c>
      <c r="D296" s="734"/>
      <c r="E296" s="1180"/>
      <c r="F296" s="1181"/>
    </row>
    <row r="297" spans="1:6" x14ac:dyDescent="0.2">
      <c r="A297" s="228">
        <v>36556</v>
      </c>
      <c r="B297" s="229">
        <v>-3.67</v>
      </c>
      <c r="D297" s="734"/>
      <c r="E297" s="1180"/>
      <c r="F297" s="1181"/>
    </row>
    <row r="298" spans="1:6" x14ac:dyDescent="0.2">
      <c r="A298" s="228">
        <v>36585</v>
      </c>
      <c r="B298" s="229">
        <v>0.82</v>
      </c>
      <c r="D298" s="734"/>
      <c r="E298" s="1180"/>
      <c r="F298" s="1181"/>
    </row>
    <row r="299" spans="1:6" x14ac:dyDescent="0.2">
      <c r="A299" s="228">
        <v>36616</v>
      </c>
      <c r="B299" s="229">
        <v>6.06</v>
      </c>
      <c r="D299" s="734"/>
      <c r="E299" s="1180"/>
      <c r="F299" s="1181"/>
    </row>
    <row r="300" spans="1:6" x14ac:dyDescent="0.2">
      <c r="A300" s="228">
        <v>36646</v>
      </c>
      <c r="B300" s="229">
        <v>-2.84</v>
      </c>
      <c r="D300" s="734"/>
      <c r="E300" s="1180"/>
      <c r="F300" s="1181"/>
    </row>
    <row r="301" spans="1:6" x14ac:dyDescent="0.2">
      <c r="A301" s="228">
        <v>36677</v>
      </c>
      <c r="B301" s="229">
        <v>-1.47</v>
      </c>
      <c r="D301" s="734"/>
      <c r="E301" s="1180"/>
      <c r="F301" s="1181"/>
    </row>
    <row r="302" spans="1:6" x14ac:dyDescent="0.2">
      <c r="A302" s="228">
        <v>36707</v>
      </c>
      <c r="B302" s="229">
        <v>2.86</v>
      </c>
      <c r="D302" s="734"/>
      <c r="E302" s="1180"/>
      <c r="F302" s="1181"/>
    </row>
    <row r="303" spans="1:6" x14ac:dyDescent="0.2">
      <c r="A303" s="228">
        <v>36738</v>
      </c>
      <c r="B303" s="229">
        <v>-1.04</v>
      </c>
      <c r="D303" s="734"/>
      <c r="E303" s="1180"/>
      <c r="F303" s="1181"/>
    </row>
    <row r="304" spans="1:6" x14ac:dyDescent="0.2">
      <c r="A304" s="228">
        <v>36769</v>
      </c>
      <c r="B304" s="229">
        <v>4.3899999999999997</v>
      </c>
      <c r="D304" s="734"/>
      <c r="E304" s="1180"/>
      <c r="F304" s="1181"/>
    </row>
    <row r="305" spans="1:6" x14ac:dyDescent="0.2">
      <c r="A305" s="228">
        <v>36799</v>
      </c>
      <c r="B305" s="229">
        <v>-3.41</v>
      </c>
      <c r="D305" s="734"/>
      <c r="E305" s="1180"/>
      <c r="F305" s="1181"/>
    </row>
    <row r="306" spans="1:6" x14ac:dyDescent="0.2">
      <c r="A306" s="228">
        <v>36830</v>
      </c>
      <c r="B306" s="229">
        <v>-0.56999999999999995</v>
      </c>
      <c r="D306" s="734"/>
      <c r="E306" s="1180"/>
      <c r="F306" s="1181"/>
    </row>
    <row r="307" spans="1:6" x14ac:dyDescent="0.2">
      <c r="A307" s="228">
        <v>36860</v>
      </c>
      <c r="B307" s="229">
        <v>-4.55</v>
      </c>
      <c r="D307" s="734"/>
      <c r="E307" s="1180"/>
      <c r="F307" s="1181"/>
    </row>
    <row r="308" spans="1:6" x14ac:dyDescent="0.2">
      <c r="A308" s="228">
        <v>36891</v>
      </c>
      <c r="B308" s="229">
        <v>2.0099999999999998</v>
      </c>
      <c r="D308" s="734"/>
      <c r="E308" s="1180"/>
      <c r="F308" s="1181"/>
    </row>
    <row r="309" spans="1:6" x14ac:dyDescent="0.2">
      <c r="A309" s="228">
        <v>36922</v>
      </c>
      <c r="B309" s="229">
        <v>2.62</v>
      </c>
      <c r="D309" s="734"/>
      <c r="E309" s="1180"/>
      <c r="F309" s="1181"/>
    </row>
    <row r="310" spans="1:6" x14ac:dyDescent="0.2">
      <c r="A310" s="228">
        <v>36950</v>
      </c>
      <c r="B310" s="229">
        <v>-5.66</v>
      </c>
      <c r="D310" s="734"/>
      <c r="E310" s="1180"/>
      <c r="F310" s="1181"/>
    </row>
    <row r="311" spans="1:6" x14ac:dyDescent="0.2">
      <c r="A311" s="228">
        <v>36981</v>
      </c>
      <c r="B311" s="229">
        <v>-4.26</v>
      </c>
      <c r="D311" s="734"/>
      <c r="E311" s="1180"/>
      <c r="F311" s="1181"/>
    </row>
    <row r="312" spans="1:6" x14ac:dyDescent="0.2">
      <c r="A312" s="228">
        <v>37011</v>
      </c>
      <c r="B312" s="229">
        <v>5.53</v>
      </c>
      <c r="D312" s="734"/>
      <c r="E312" s="1180"/>
      <c r="F312" s="1181"/>
    </row>
    <row r="313" spans="1:6" x14ac:dyDescent="0.2">
      <c r="A313" s="228">
        <v>37042</v>
      </c>
      <c r="B313" s="229">
        <v>0.25</v>
      </c>
      <c r="D313" s="734"/>
      <c r="E313" s="1180"/>
      <c r="F313" s="1181"/>
    </row>
    <row r="314" spans="1:6" x14ac:dyDescent="0.2">
      <c r="A314" s="228">
        <v>37072</v>
      </c>
      <c r="B314" s="229">
        <v>-1.49</v>
      </c>
      <c r="D314" s="734"/>
      <c r="E314" s="1180"/>
      <c r="F314" s="1181"/>
    </row>
    <row r="315" spans="1:6" x14ac:dyDescent="0.2">
      <c r="A315" s="228">
        <v>37103</v>
      </c>
      <c r="B315" s="229">
        <v>-0.49</v>
      </c>
      <c r="D315" s="734"/>
      <c r="E315" s="1180"/>
      <c r="F315" s="1181"/>
    </row>
    <row r="316" spans="1:6" x14ac:dyDescent="0.2">
      <c r="A316" s="228">
        <v>37134</v>
      </c>
      <c r="B316" s="229">
        <v>-3.19</v>
      </c>
      <c r="D316" s="734"/>
      <c r="E316" s="1180"/>
      <c r="F316" s="1181"/>
    </row>
    <row r="317" spans="1:6" x14ac:dyDescent="0.2">
      <c r="A317" s="228">
        <v>37164</v>
      </c>
      <c r="B317" s="229">
        <v>-6.27</v>
      </c>
      <c r="D317" s="734"/>
      <c r="E317" s="1180"/>
      <c r="F317" s="1181"/>
    </row>
    <row r="318" spans="1:6" x14ac:dyDescent="0.2">
      <c r="A318" s="228">
        <v>37195</v>
      </c>
      <c r="B318" s="229">
        <v>2.4</v>
      </c>
      <c r="D318" s="734"/>
      <c r="E318" s="1180"/>
      <c r="F318" s="1181"/>
    </row>
    <row r="319" spans="1:6" x14ac:dyDescent="0.2">
      <c r="A319" s="228">
        <v>37225</v>
      </c>
      <c r="B319" s="229">
        <v>4.5199999999999996</v>
      </c>
      <c r="D319" s="734"/>
      <c r="E319" s="1180"/>
      <c r="F319" s="1181"/>
    </row>
    <row r="320" spans="1:6" x14ac:dyDescent="0.2">
      <c r="A320" s="228">
        <v>37256</v>
      </c>
      <c r="B320" s="229">
        <v>0.9</v>
      </c>
      <c r="D320" s="734"/>
      <c r="E320" s="1180"/>
      <c r="F320" s="1181"/>
    </row>
    <row r="321" spans="1:6" x14ac:dyDescent="0.2">
      <c r="A321" s="228">
        <v>37287</v>
      </c>
      <c r="B321" s="229">
        <v>-1.38</v>
      </c>
      <c r="D321" s="734"/>
      <c r="E321" s="1180"/>
      <c r="F321" s="1181"/>
    </row>
    <row r="322" spans="1:6" x14ac:dyDescent="0.2">
      <c r="A322" s="228">
        <v>37315</v>
      </c>
      <c r="B322" s="229">
        <v>-0.66</v>
      </c>
      <c r="D322" s="734"/>
      <c r="E322" s="1180"/>
      <c r="F322" s="1181"/>
    </row>
    <row r="323" spans="1:6" x14ac:dyDescent="0.2">
      <c r="A323" s="228">
        <v>37346</v>
      </c>
      <c r="B323" s="229">
        <v>2.79</v>
      </c>
      <c r="D323" s="734"/>
      <c r="E323" s="1180"/>
      <c r="F323" s="1181"/>
    </row>
    <row r="324" spans="1:6" x14ac:dyDescent="0.2">
      <c r="A324" s="228">
        <v>37376</v>
      </c>
      <c r="B324" s="229">
        <v>-2.1800000000000002</v>
      </c>
      <c r="D324" s="734"/>
      <c r="E324" s="1180"/>
      <c r="F324" s="1181"/>
    </row>
    <row r="325" spans="1:6" x14ac:dyDescent="0.2">
      <c r="A325" s="228">
        <v>37407</v>
      </c>
      <c r="B325" s="229">
        <v>-0.09</v>
      </c>
      <c r="D325" s="734"/>
      <c r="E325" s="1180"/>
      <c r="F325" s="1181"/>
    </row>
    <row r="326" spans="1:6" x14ac:dyDescent="0.2">
      <c r="A326" s="228">
        <v>37437</v>
      </c>
      <c r="B326" s="229">
        <v>-4.37</v>
      </c>
      <c r="D326" s="734"/>
      <c r="E326" s="1180"/>
      <c r="F326" s="1181"/>
    </row>
    <row r="327" spans="1:6" x14ac:dyDescent="0.2">
      <c r="A327" s="228">
        <v>37468</v>
      </c>
      <c r="B327" s="229">
        <v>-5.8208000000000002</v>
      </c>
      <c r="D327" s="734"/>
      <c r="E327" s="1180"/>
      <c r="F327" s="1181"/>
    </row>
    <row r="328" spans="1:6" x14ac:dyDescent="0.2">
      <c r="A328" s="228">
        <v>37499</v>
      </c>
      <c r="B328" s="229">
        <v>0.90510000000000002</v>
      </c>
      <c r="D328" s="734"/>
      <c r="E328" s="1180"/>
      <c r="F328" s="1181"/>
    </row>
    <row r="329" spans="1:6" x14ac:dyDescent="0.2">
      <c r="A329" s="228">
        <v>37529</v>
      </c>
      <c r="B329" s="229">
        <v>-7.0895000000000001</v>
      </c>
      <c r="D329" s="734"/>
      <c r="E329" s="1180"/>
      <c r="F329" s="1181"/>
    </row>
    <row r="330" spans="1:6" x14ac:dyDescent="0.2">
      <c r="A330" s="228">
        <v>37560</v>
      </c>
      <c r="B330" s="229">
        <v>5.0042</v>
      </c>
      <c r="D330" s="734"/>
      <c r="E330" s="1180"/>
      <c r="F330" s="1181"/>
    </row>
    <row r="331" spans="1:6" x14ac:dyDescent="0.2">
      <c r="A331" s="228">
        <v>37590</v>
      </c>
      <c r="B331" s="229">
        <v>4.1382000000000003</v>
      </c>
      <c r="D331" s="734"/>
      <c r="E331" s="1180"/>
      <c r="F331" s="1181"/>
    </row>
    <row r="332" spans="1:6" x14ac:dyDescent="0.2">
      <c r="A332" s="228">
        <v>37621</v>
      </c>
      <c r="B332" s="229">
        <v>-3.3496000000000001</v>
      </c>
      <c r="D332" s="734"/>
      <c r="E332" s="1180"/>
      <c r="F332" s="1181"/>
    </row>
    <row r="333" spans="1:6" x14ac:dyDescent="0.2">
      <c r="A333" s="228">
        <v>37652</v>
      </c>
      <c r="B333" s="229">
        <v>-1.8814</v>
      </c>
      <c r="D333" s="734"/>
      <c r="E333" s="1180"/>
      <c r="F333" s="1181"/>
    </row>
    <row r="334" spans="1:6" x14ac:dyDescent="0.2">
      <c r="A334" s="228">
        <v>37680</v>
      </c>
      <c r="B334" s="229">
        <v>-1.1241000000000001</v>
      </c>
      <c r="D334" s="734"/>
      <c r="E334" s="1180"/>
      <c r="F334" s="1181"/>
    </row>
    <row r="335" spans="1:6" x14ac:dyDescent="0.2">
      <c r="A335" s="228">
        <v>37711</v>
      </c>
      <c r="B335" s="229">
        <v>1.6799999999999999E-2</v>
      </c>
      <c r="D335" s="734"/>
      <c r="E335" s="1180"/>
      <c r="F335" s="1181"/>
    </row>
    <row r="336" spans="1:6" x14ac:dyDescent="0.2">
      <c r="A336" s="228">
        <v>37741</v>
      </c>
      <c r="B336" s="229">
        <v>6.4743000000000004</v>
      </c>
      <c r="D336" s="734"/>
      <c r="E336" s="1180"/>
      <c r="F336" s="1181"/>
    </row>
    <row r="337" spans="1:6" x14ac:dyDescent="0.2">
      <c r="A337" s="228">
        <v>37772</v>
      </c>
      <c r="B337" s="229">
        <v>4.9223999999999997</v>
      </c>
      <c r="D337" s="734"/>
      <c r="E337" s="1180"/>
      <c r="F337" s="1181"/>
    </row>
    <row r="338" spans="1:6" x14ac:dyDescent="0.2">
      <c r="A338" s="228">
        <v>37802</v>
      </c>
      <c r="B338" s="229">
        <v>1.1376999999999999</v>
      </c>
      <c r="D338" s="734"/>
      <c r="E338" s="1180"/>
      <c r="F338" s="1181"/>
    </row>
    <row r="339" spans="1:6" x14ac:dyDescent="0.2">
      <c r="A339" s="228">
        <v>37833</v>
      </c>
      <c r="B339" s="229">
        <v>0.74939999999999996</v>
      </c>
      <c r="D339" s="734"/>
      <c r="E339" s="1180"/>
      <c r="F339" s="1181"/>
    </row>
    <row r="340" spans="1:6" x14ac:dyDescent="0.2">
      <c r="A340" s="228">
        <v>37864</v>
      </c>
      <c r="B340" s="229">
        <v>2.2328999999999999</v>
      </c>
      <c r="D340" s="734"/>
      <c r="E340" s="1180"/>
      <c r="F340" s="1181"/>
    </row>
    <row r="341" spans="1:6" x14ac:dyDescent="0.2">
      <c r="A341" s="228">
        <v>37894</v>
      </c>
      <c r="B341" s="229">
        <v>0.4723</v>
      </c>
      <c r="D341" s="734"/>
      <c r="E341" s="1180"/>
      <c r="F341" s="1181"/>
    </row>
    <row r="342" spans="1:6" x14ac:dyDescent="0.2">
      <c r="A342" s="228">
        <v>37925</v>
      </c>
      <c r="B342" s="229">
        <v>4.2836999999999996</v>
      </c>
      <c r="D342" s="734"/>
      <c r="E342" s="1180"/>
      <c r="F342" s="1181"/>
    </row>
    <row r="343" spans="1:6" x14ac:dyDescent="0.2">
      <c r="A343" s="228">
        <v>37955</v>
      </c>
      <c r="B343" s="229">
        <v>1.3168</v>
      </c>
      <c r="C343" s="230"/>
      <c r="D343" s="734"/>
      <c r="E343" s="1180"/>
      <c r="F343" s="1181"/>
    </row>
    <row r="344" spans="1:6" x14ac:dyDescent="0.2">
      <c r="A344" s="228">
        <v>37986</v>
      </c>
      <c r="B344" s="229">
        <v>4.0822000000000003</v>
      </c>
      <c r="C344" s="225">
        <v>20836528461.41</v>
      </c>
      <c r="D344" s="734"/>
      <c r="E344" s="1180"/>
      <c r="F344" s="1181"/>
    </row>
    <row r="345" spans="1:6" x14ac:dyDescent="0.2">
      <c r="A345" s="228">
        <v>38017</v>
      </c>
      <c r="B345" s="229">
        <v>1.7925</v>
      </c>
      <c r="C345" s="225">
        <v>21165332859.900002</v>
      </c>
      <c r="D345" s="734"/>
      <c r="E345" s="1180"/>
      <c r="F345" s="1181"/>
    </row>
    <row r="346" spans="1:6" x14ac:dyDescent="0.2">
      <c r="A346" s="228">
        <v>38046</v>
      </c>
      <c r="B346" s="229">
        <v>1.5204</v>
      </c>
      <c r="C346" s="225">
        <v>21540432760.720001</v>
      </c>
      <c r="D346" s="734"/>
      <c r="E346" s="1180"/>
      <c r="F346" s="1181"/>
    </row>
    <row r="347" spans="1:6" x14ac:dyDescent="0.2">
      <c r="A347" s="228">
        <v>38077</v>
      </c>
      <c r="B347" s="229">
        <v>-0.17730000000000001</v>
      </c>
      <c r="C347" s="225">
        <v>21476444002.07</v>
      </c>
      <c r="D347" s="734"/>
      <c r="E347" s="1180"/>
      <c r="F347" s="1181"/>
    </row>
    <row r="348" spans="1:6" x14ac:dyDescent="0.2">
      <c r="A348" s="228">
        <v>38107</v>
      </c>
      <c r="B348" s="229">
        <v>-2.3424999999999998</v>
      </c>
      <c r="C348" s="225">
        <v>20840923963.130001</v>
      </c>
      <c r="D348" s="734"/>
      <c r="E348" s="1180"/>
      <c r="F348" s="1181"/>
    </row>
    <row r="349" spans="1:6" x14ac:dyDescent="0.2">
      <c r="A349" s="228">
        <v>38138</v>
      </c>
      <c r="B349" s="229">
        <v>0.64100000000000001</v>
      </c>
      <c r="C349" s="225">
        <v>21035502988.360001</v>
      </c>
      <c r="D349" s="734"/>
      <c r="E349" s="1180"/>
      <c r="F349" s="1181"/>
    </row>
    <row r="350" spans="1:6" x14ac:dyDescent="0.2">
      <c r="A350" s="228">
        <v>38168</v>
      </c>
      <c r="B350" s="229">
        <v>1.8163</v>
      </c>
      <c r="C350" s="225">
        <v>21378137919.919998</v>
      </c>
      <c r="D350" s="734"/>
      <c r="E350" s="1180"/>
      <c r="F350" s="1181"/>
    </row>
    <row r="351" spans="1:6" x14ac:dyDescent="0.2">
      <c r="A351" s="228">
        <v>38199</v>
      </c>
      <c r="B351" s="229">
        <v>-2.4714999999999998</v>
      </c>
      <c r="C351" s="225">
        <v>20678650021.860001</v>
      </c>
      <c r="D351" s="734"/>
      <c r="E351" s="1180"/>
      <c r="F351" s="1181"/>
    </row>
    <row r="352" spans="1:6" x14ac:dyDescent="0.2">
      <c r="A352" s="228">
        <v>38230</v>
      </c>
      <c r="B352" s="229">
        <v>0.69389999999999996</v>
      </c>
      <c r="C352" s="225">
        <v>20845114995.950001</v>
      </c>
      <c r="D352" s="734"/>
      <c r="E352" s="1180"/>
      <c r="F352" s="1181"/>
    </row>
    <row r="353" spans="1:6" x14ac:dyDescent="0.2">
      <c r="A353" s="228">
        <v>38260</v>
      </c>
      <c r="B353" s="224">
        <v>1.4548000000000001</v>
      </c>
      <c r="C353" s="225">
        <v>21092974054.18</v>
      </c>
      <c r="D353" s="734"/>
      <c r="E353" s="1180"/>
      <c r="F353" s="1181"/>
    </row>
    <row r="354" spans="1:6" x14ac:dyDescent="0.2">
      <c r="A354" s="228">
        <v>38291</v>
      </c>
      <c r="B354" s="224">
        <v>1.7734000000000001</v>
      </c>
      <c r="C354" s="225">
        <v>21416081921.48</v>
      </c>
      <c r="D354" s="734"/>
      <c r="E354" s="1180"/>
      <c r="F354" s="1181"/>
    </row>
    <row r="355" spans="1:6" x14ac:dyDescent="0.2">
      <c r="A355" s="228">
        <v>38321</v>
      </c>
      <c r="B355" s="224">
        <v>3.6774</v>
      </c>
      <c r="C355" s="225">
        <v>22155729422.200001</v>
      </c>
      <c r="D355" s="734"/>
      <c r="E355" s="1180"/>
      <c r="F355" s="1181"/>
    </row>
    <row r="356" spans="1:6" x14ac:dyDescent="0.2">
      <c r="A356" s="228">
        <v>38352</v>
      </c>
      <c r="B356" s="76">
        <v>2.7256999999999998</v>
      </c>
      <c r="C356" s="231">
        <v>22489011221.27</v>
      </c>
      <c r="D356" s="734"/>
      <c r="E356" s="1180"/>
      <c r="F356" s="1181"/>
    </row>
    <row r="357" spans="1:6" x14ac:dyDescent="0.2">
      <c r="A357" s="228">
        <v>38383</v>
      </c>
      <c r="B357" s="76">
        <v>-1.5459000000000001</v>
      </c>
      <c r="C357" s="231">
        <v>22184553930.619999</v>
      </c>
      <c r="D357" s="734"/>
      <c r="E357" s="1180"/>
      <c r="F357" s="1181"/>
    </row>
    <row r="358" spans="1:6" x14ac:dyDescent="0.2">
      <c r="A358" s="228">
        <v>38411</v>
      </c>
      <c r="B358" s="76">
        <v>1.917</v>
      </c>
      <c r="C358" s="231">
        <v>22550280058.740002</v>
      </c>
      <c r="D358" s="734"/>
      <c r="E358" s="1180"/>
      <c r="F358" s="1181"/>
    </row>
    <row r="359" spans="1:6" x14ac:dyDescent="0.2">
      <c r="A359" s="228">
        <v>38442</v>
      </c>
      <c r="B359" s="76">
        <v>-1.6096999999999999</v>
      </c>
      <c r="C359" s="232">
        <v>22148627325.34</v>
      </c>
      <c r="D359" s="734"/>
      <c r="E359" s="1180"/>
      <c r="F359" s="1181"/>
    </row>
    <row r="360" spans="1:6" x14ac:dyDescent="0.2">
      <c r="A360" s="228">
        <v>38472</v>
      </c>
      <c r="B360" s="76">
        <v>-1.5356000000000001</v>
      </c>
      <c r="C360" s="232">
        <v>21648816868.91</v>
      </c>
      <c r="D360" s="734"/>
      <c r="E360" s="1180"/>
      <c r="F360" s="1181"/>
    </row>
    <row r="361" spans="1:6" x14ac:dyDescent="0.2">
      <c r="A361" s="228">
        <v>38503</v>
      </c>
      <c r="B361" s="76">
        <v>2.4990000000000001</v>
      </c>
      <c r="C361" s="232">
        <v>22218870428.18</v>
      </c>
      <c r="D361" s="734"/>
      <c r="E361" s="1180"/>
      <c r="F361" s="1181"/>
    </row>
    <row r="362" spans="1:6" x14ac:dyDescent="0.2">
      <c r="A362" s="228">
        <v>38533</v>
      </c>
      <c r="B362" s="76">
        <v>0.78490000000000004</v>
      </c>
      <c r="C362" s="232">
        <v>22401285176.470001</v>
      </c>
      <c r="D362" s="734"/>
      <c r="E362" s="1180"/>
      <c r="F362" s="1181"/>
    </row>
    <row r="363" spans="1:6" x14ac:dyDescent="0.2">
      <c r="A363" s="228">
        <v>38564</v>
      </c>
      <c r="B363" s="128">
        <v>2.6714000000000002</v>
      </c>
      <c r="C363" s="232">
        <v>22918627696.830002</v>
      </c>
      <c r="D363" s="734"/>
      <c r="E363" s="1180"/>
      <c r="F363" s="1181"/>
    </row>
    <row r="364" spans="1:6" x14ac:dyDescent="0.2">
      <c r="A364" s="228">
        <v>38595</v>
      </c>
      <c r="B364" s="128">
        <v>0.06</v>
      </c>
      <c r="C364" s="232">
        <v>22872961337.34</v>
      </c>
      <c r="D364" s="734"/>
      <c r="E364" s="1180"/>
      <c r="F364" s="1181"/>
    </row>
    <row r="365" spans="1:6" x14ac:dyDescent="0.2">
      <c r="A365" s="228">
        <v>38625</v>
      </c>
      <c r="B365" s="128">
        <v>0.92820000000000003</v>
      </c>
      <c r="C365" s="256">
        <v>22902558568.59</v>
      </c>
      <c r="D365" s="734"/>
      <c r="E365" s="1180"/>
      <c r="F365" s="1181"/>
    </row>
    <row r="366" spans="1:6" x14ac:dyDescent="0.2">
      <c r="A366" s="228">
        <v>38656</v>
      </c>
      <c r="B366" s="128">
        <v>-1.6886000000000001</v>
      </c>
      <c r="C366" s="256">
        <v>22637174112.52</v>
      </c>
      <c r="D366" s="734"/>
      <c r="E366" s="1180"/>
      <c r="F366" s="1181"/>
    </row>
    <row r="367" spans="1:6" x14ac:dyDescent="0.2">
      <c r="A367" s="228">
        <v>38686</v>
      </c>
      <c r="B367" s="128">
        <v>2.9089</v>
      </c>
      <c r="C367" s="256">
        <v>23242824060.459999</v>
      </c>
      <c r="D367" s="734"/>
      <c r="E367" s="1180"/>
      <c r="F367" s="1181"/>
    </row>
    <row r="368" spans="1:6" x14ac:dyDescent="0.2">
      <c r="A368" s="228">
        <v>38717</v>
      </c>
      <c r="B368" s="128">
        <v>1.1171</v>
      </c>
      <c r="C368" s="256">
        <v>23359672750.299999</v>
      </c>
      <c r="D368" s="734"/>
      <c r="E368" s="1180"/>
      <c r="F368" s="1181"/>
    </row>
    <row r="369" spans="1:6" x14ac:dyDescent="0.2">
      <c r="A369" s="228">
        <v>38748</v>
      </c>
      <c r="B369" s="128">
        <v>3.0903999999999998</v>
      </c>
      <c r="C369" s="256">
        <v>24186263628.970001</v>
      </c>
      <c r="D369" s="734"/>
      <c r="E369" s="1180"/>
      <c r="F369" s="1181"/>
    </row>
    <row r="370" spans="1:6" x14ac:dyDescent="0.2">
      <c r="A370" s="228">
        <v>38776</v>
      </c>
      <c r="B370" s="128">
        <v>0.16089999999999999</v>
      </c>
      <c r="C370" s="256">
        <v>24172023676.48</v>
      </c>
      <c r="D370" s="734"/>
      <c r="E370" s="1180"/>
      <c r="F370" s="1181"/>
    </row>
    <row r="371" spans="1:6" x14ac:dyDescent="0.2">
      <c r="A371" s="228">
        <v>38807</v>
      </c>
      <c r="B371" s="128">
        <v>1.4077999999999999</v>
      </c>
      <c r="C371" s="354">
        <v>24372982159.59</v>
      </c>
      <c r="D371" s="734"/>
      <c r="E371" s="1180"/>
      <c r="F371" s="1181"/>
    </row>
    <row r="372" spans="1:6" x14ac:dyDescent="0.2">
      <c r="A372" s="228">
        <v>38837</v>
      </c>
      <c r="B372" s="128">
        <v>1.5168999999999999</v>
      </c>
      <c r="C372" s="354">
        <v>24817336286.849998</v>
      </c>
      <c r="D372" s="734"/>
      <c r="E372" s="1180"/>
      <c r="F372" s="1181"/>
    </row>
    <row r="373" spans="1:6" x14ac:dyDescent="0.2">
      <c r="A373" s="228">
        <v>38868</v>
      </c>
      <c r="B373" s="128">
        <v>-2.6738</v>
      </c>
      <c r="C373" s="354">
        <v>24145133141.060001</v>
      </c>
      <c r="D373" s="734"/>
      <c r="E373" s="1180"/>
      <c r="F373" s="1181"/>
    </row>
    <row r="374" spans="1:6" x14ac:dyDescent="0.2">
      <c r="A374" s="228">
        <v>38898</v>
      </c>
      <c r="B374" s="128">
        <v>6.0999999999999999E-2</v>
      </c>
      <c r="C374" s="354">
        <v>24014089947.150002</v>
      </c>
      <c r="D374" s="734"/>
      <c r="E374" s="1180"/>
      <c r="F374" s="1181"/>
    </row>
    <row r="375" spans="1:6" x14ac:dyDescent="0.2">
      <c r="A375" s="228">
        <v>38929</v>
      </c>
      <c r="B375" s="128">
        <v>0.3402</v>
      </c>
      <c r="C375" s="732">
        <v>24140150638.560001</v>
      </c>
      <c r="D375" s="734"/>
      <c r="E375" s="1180"/>
      <c r="F375" s="1181"/>
    </row>
    <row r="376" spans="1:6" x14ac:dyDescent="0.2">
      <c r="A376" s="228">
        <v>38960</v>
      </c>
      <c r="B376" s="128">
        <v>2.0718999999999999</v>
      </c>
      <c r="C376" s="732">
        <v>24594948721.73</v>
      </c>
      <c r="D376" s="734"/>
      <c r="E376" s="1180"/>
      <c r="F376" s="1181"/>
    </row>
    <row r="377" spans="1:6" x14ac:dyDescent="0.2">
      <c r="A377" s="228">
        <v>38990</v>
      </c>
      <c r="B377" s="1180">
        <v>1.4973000000000001</v>
      </c>
      <c r="C377" s="732">
        <v>24828306316.439999</v>
      </c>
      <c r="D377" s="734"/>
      <c r="F377" s="1181"/>
    </row>
    <row r="378" spans="1:6" x14ac:dyDescent="0.2">
      <c r="A378" s="228">
        <v>39021</v>
      </c>
      <c r="B378" s="128">
        <v>2.7227000000000001</v>
      </c>
      <c r="C378" s="225">
        <v>25622571644.220001</v>
      </c>
      <c r="D378" s="734"/>
      <c r="E378" s="1180"/>
      <c r="F378" s="1181"/>
    </row>
    <row r="379" spans="1:6" x14ac:dyDescent="0.2">
      <c r="A379" s="228">
        <v>39051</v>
      </c>
      <c r="B379" s="128">
        <v>1.9983</v>
      </c>
      <c r="C379" s="225">
        <v>26096512036.259998</v>
      </c>
      <c r="D379" s="734"/>
      <c r="E379" s="1180"/>
      <c r="F379" s="1181"/>
    </row>
    <row r="380" spans="1:6" x14ac:dyDescent="0.2">
      <c r="A380" s="228">
        <v>39082</v>
      </c>
      <c r="B380" s="1180">
        <v>1.1271</v>
      </c>
      <c r="C380" s="769">
        <v>26265916156.080002</v>
      </c>
      <c r="D380" s="734"/>
      <c r="F380" s="1181"/>
    </row>
    <row r="381" spans="1:6" x14ac:dyDescent="0.2">
      <c r="A381" s="228">
        <v>39113</v>
      </c>
      <c r="B381" s="128">
        <v>1.1852</v>
      </c>
      <c r="C381" s="769">
        <v>26714725302.919998</v>
      </c>
      <c r="E381" s="1180"/>
      <c r="F381" s="1181"/>
    </row>
    <row r="382" spans="1:6" x14ac:dyDescent="0.2">
      <c r="A382" s="228">
        <v>39141</v>
      </c>
      <c r="B382" s="128">
        <v>-0.21190000000000001</v>
      </c>
      <c r="C382" s="769">
        <v>26635760075.27</v>
      </c>
      <c r="E382" s="1180"/>
      <c r="F382" s="1181"/>
    </row>
    <row r="383" spans="1:6" x14ac:dyDescent="0.2">
      <c r="A383" s="228">
        <v>39172</v>
      </c>
      <c r="B383" s="1180">
        <v>1.2735000000000001</v>
      </c>
      <c r="C383" s="769">
        <v>26780342585</v>
      </c>
      <c r="F383" s="1181"/>
    </row>
    <row r="384" spans="1:6" x14ac:dyDescent="0.2">
      <c r="A384" s="228">
        <v>39202</v>
      </c>
      <c r="B384" s="128">
        <v>3.1926999999999999</v>
      </c>
      <c r="C384" s="771">
        <v>27746391816.189999</v>
      </c>
      <c r="D384" s="639"/>
      <c r="E384" s="1180"/>
      <c r="F384" s="1181"/>
    </row>
    <row r="385" spans="1:9" x14ac:dyDescent="0.2">
      <c r="A385" s="228">
        <v>39233</v>
      </c>
      <c r="B385" s="128">
        <v>2.3611</v>
      </c>
      <c r="C385" s="771">
        <v>28409719186.5</v>
      </c>
      <c r="D385" s="639"/>
      <c r="E385" s="1180"/>
      <c r="F385" s="1181"/>
    </row>
    <row r="386" spans="1:9" x14ac:dyDescent="0.2">
      <c r="A386" s="228">
        <v>39263</v>
      </c>
      <c r="B386" s="1180">
        <v>-1.0504</v>
      </c>
      <c r="C386" s="771">
        <v>27994227157.18</v>
      </c>
      <c r="F386" s="1181"/>
    </row>
    <row r="387" spans="1:9" x14ac:dyDescent="0.2">
      <c r="A387" s="228">
        <v>39294</v>
      </c>
      <c r="B387" s="1243">
        <v>-2.0560999999999998</v>
      </c>
      <c r="C387" s="771">
        <v>27467271304.799999</v>
      </c>
      <c r="D387" s="799"/>
      <c r="E387" s="1180"/>
      <c r="F387" s="1181"/>
      <c r="H387" s="12">
        <v>7.51</v>
      </c>
      <c r="I387" s="12">
        <f>H387/8.46</f>
        <v>0.88770685579196207</v>
      </c>
    </row>
    <row r="388" spans="1:9" x14ac:dyDescent="0.2">
      <c r="A388" s="228">
        <v>39325</v>
      </c>
      <c r="B388" s="1243">
        <v>0.77359999999999995</v>
      </c>
      <c r="C388" s="771">
        <v>27324965543.650002</v>
      </c>
      <c r="D388" s="799"/>
      <c r="E388" s="1180"/>
      <c r="F388" s="1181"/>
      <c r="H388" s="12">
        <v>0.65</v>
      </c>
      <c r="I388" s="12">
        <f>H388/8.46</f>
        <v>7.6832151300236406E-2</v>
      </c>
    </row>
    <row r="389" spans="1:9" x14ac:dyDescent="0.2">
      <c r="A389" s="228">
        <v>39355</v>
      </c>
      <c r="B389" s="1244">
        <v>2.7633000000000001</v>
      </c>
      <c r="C389" s="771">
        <v>28140964937.169998</v>
      </c>
      <c r="D389" s="801"/>
      <c r="F389" s="1181"/>
      <c r="H389" s="12">
        <v>0.3</v>
      </c>
      <c r="I389" s="12">
        <f>H389/8.46</f>
        <v>3.5460992907801414E-2</v>
      </c>
    </row>
    <row r="390" spans="1:9" x14ac:dyDescent="0.2">
      <c r="A390" s="228">
        <v>39386</v>
      </c>
      <c r="B390" s="1243">
        <v>1.9775</v>
      </c>
      <c r="C390" s="225">
        <v>28683803739.900002</v>
      </c>
      <c r="E390" s="1180"/>
      <c r="F390" s="1181"/>
    </row>
    <row r="391" spans="1:9" x14ac:dyDescent="0.2">
      <c r="A391" s="228">
        <v>39416</v>
      </c>
      <c r="B391" s="1243">
        <v>-2.8692000000000002</v>
      </c>
      <c r="C391" s="802">
        <v>27788733369.299999</v>
      </c>
      <c r="D391" s="803"/>
      <c r="E391" s="1180"/>
      <c r="F391" s="1181"/>
    </row>
    <row r="392" spans="1:9" x14ac:dyDescent="0.2">
      <c r="A392" s="228">
        <v>39447</v>
      </c>
      <c r="B392" s="1244">
        <v>-0.75139999999999996</v>
      </c>
      <c r="C392" s="802">
        <v>27639100854.59</v>
      </c>
      <c r="F392" s="1181"/>
      <c r="G392" s="795">
        <f>91193785*1.019147</f>
        <v>92939872.401395008</v>
      </c>
    </row>
    <row r="393" spans="1:9" x14ac:dyDescent="0.2">
      <c r="A393" s="228">
        <v>39478</v>
      </c>
      <c r="B393" s="1243">
        <v>-4.4953000000000003</v>
      </c>
      <c r="C393" s="802">
        <v>26341379359.419998</v>
      </c>
      <c r="E393" s="1180"/>
      <c r="F393" s="1181"/>
    </row>
    <row r="394" spans="1:9" x14ac:dyDescent="0.2">
      <c r="A394" s="228">
        <v>39507</v>
      </c>
      <c r="B394" s="1243">
        <v>-1.3081</v>
      </c>
      <c r="C394" s="802">
        <v>25816961700.169998</v>
      </c>
      <c r="D394" s="803"/>
      <c r="E394" s="1180"/>
      <c r="F394" s="1181"/>
    </row>
    <row r="395" spans="1:9" x14ac:dyDescent="0.2">
      <c r="A395" s="228">
        <v>39538</v>
      </c>
      <c r="B395" s="1244">
        <v>-0.64380000000000004</v>
      </c>
      <c r="C395" s="802">
        <v>25821628362.599998</v>
      </c>
      <c r="F395" s="1181"/>
    </row>
    <row r="396" spans="1:9" x14ac:dyDescent="0.2">
      <c r="A396" s="228">
        <v>39568</v>
      </c>
      <c r="B396" s="1243">
        <v>3.8523000000000001</v>
      </c>
      <c r="C396" s="225">
        <v>26773845874.650002</v>
      </c>
      <c r="E396" s="1180"/>
      <c r="F396" s="1181"/>
    </row>
    <row r="397" spans="1:9" x14ac:dyDescent="0.2">
      <c r="A397" s="228">
        <v>39599</v>
      </c>
      <c r="B397" s="1245">
        <v>1.3537999999999999</v>
      </c>
      <c r="C397" s="225">
        <v>26990649566.77</v>
      </c>
      <c r="E397" s="1180"/>
      <c r="F397" s="1181"/>
    </row>
    <row r="398" spans="1:9" x14ac:dyDescent="0.2">
      <c r="A398" s="228">
        <v>39629</v>
      </c>
      <c r="B398" s="1244">
        <v>-5.9457000000000004</v>
      </c>
      <c r="C398" s="225">
        <v>25478412469.790001</v>
      </c>
      <c r="D398" s="1182"/>
      <c r="F398" s="1181"/>
    </row>
    <row r="399" spans="1:9" x14ac:dyDescent="0.2">
      <c r="A399" s="228">
        <v>39660</v>
      </c>
      <c r="B399" s="1246">
        <v>-0.97950000000000004</v>
      </c>
      <c r="C399" s="1207">
        <v>25111581457.889999</v>
      </c>
      <c r="D399" s="1177"/>
      <c r="F399" s="1181"/>
    </row>
    <row r="400" spans="1:9" x14ac:dyDescent="0.2">
      <c r="A400" s="228">
        <v>39691</v>
      </c>
      <c r="B400" s="1246">
        <v>0.44950000000000001</v>
      </c>
      <c r="C400" s="1207">
        <v>24991271258.689999</v>
      </c>
      <c r="D400" s="1177"/>
      <c r="F400" s="1181"/>
    </row>
    <row r="401" spans="1:7" x14ac:dyDescent="0.2">
      <c r="A401" s="228">
        <v>39721</v>
      </c>
      <c r="B401" s="1246">
        <v>-7.6691000000000003</v>
      </c>
      <c r="C401" s="1207">
        <v>23208501898.5</v>
      </c>
      <c r="D401" s="1177"/>
      <c r="F401" s="1181"/>
      <c r="G401" s="803"/>
    </row>
    <row r="402" spans="1:7" x14ac:dyDescent="0.2">
      <c r="A402" s="228">
        <v>39752</v>
      </c>
      <c r="B402" s="1247">
        <v>-13.2516</v>
      </c>
      <c r="F402" s="1181"/>
      <c r="G402" s="803"/>
    </row>
    <row r="403" spans="1:7" x14ac:dyDescent="0.2">
      <c r="A403" s="228">
        <v>39782</v>
      </c>
      <c r="B403" s="1247">
        <v>-4.1036000000000001</v>
      </c>
      <c r="F403" s="1181"/>
      <c r="G403" s="803"/>
    </row>
    <row r="404" spans="1:7" x14ac:dyDescent="0.2">
      <c r="A404" s="228">
        <v>39813</v>
      </c>
      <c r="B404" s="1247">
        <v>3.3043999999999998</v>
      </c>
      <c r="F404" s="1181"/>
      <c r="G404" s="803"/>
    </row>
    <row r="405" spans="1:7" x14ac:dyDescent="0.2">
      <c r="A405" s="228">
        <v>39844</v>
      </c>
      <c r="B405" s="224">
        <v>-5.48</v>
      </c>
    </row>
    <row r="406" spans="1:7" x14ac:dyDescent="0.2">
      <c r="A406" s="228">
        <v>39872</v>
      </c>
      <c r="B406" s="224">
        <v>-6.7</v>
      </c>
    </row>
    <row r="407" spans="1:7" x14ac:dyDescent="0.2">
      <c r="A407" s="228">
        <v>39903</v>
      </c>
      <c r="B407" s="224">
        <v>4.5199999999999996</v>
      </c>
      <c r="D407" s="12">
        <f t="array" ref="D407">(PRODUCT(B405:B407/100+1)-1)*100</f>
        <v>-7.826780367999997</v>
      </c>
    </row>
    <row r="408" spans="1:7" x14ac:dyDescent="0.2">
      <c r="A408" s="228">
        <v>39933</v>
      </c>
      <c r="B408" s="224">
        <v>7.7</v>
      </c>
    </row>
    <row r="409" spans="1:7" x14ac:dyDescent="0.2">
      <c r="A409" s="228">
        <v>39964</v>
      </c>
      <c r="B409" s="224">
        <v>4.5599999999999996</v>
      </c>
    </row>
    <row r="410" spans="1:7" x14ac:dyDescent="0.2">
      <c r="A410" s="228">
        <v>39994</v>
      </c>
      <c r="B410" s="224">
        <v>-0.01</v>
      </c>
      <c r="D410" s="12">
        <f t="array" ref="D410">(PRODUCT(B408:B410/100+1)-1)*100</f>
        <v>12.599858887999993</v>
      </c>
    </row>
    <row r="411" spans="1:7" x14ac:dyDescent="0.2">
      <c r="A411" s="228">
        <v>40025</v>
      </c>
      <c r="B411" s="12">
        <f>0.0629999999999999*100</f>
        <v>6.2999999999999901</v>
      </c>
    </row>
    <row r="412" spans="1:7" x14ac:dyDescent="0.2">
      <c r="A412" s="228">
        <v>40056</v>
      </c>
      <c r="B412" s="12">
        <f>0.0296000000000001*100</f>
        <v>2.9600000000000097</v>
      </c>
    </row>
    <row r="413" spans="1:7" x14ac:dyDescent="0.2">
      <c r="A413" s="228">
        <v>40086</v>
      </c>
      <c r="B413" s="12">
        <f>0.0343*100</f>
        <v>3.4299999999999997</v>
      </c>
      <c r="D413" s="12">
        <f t="array" ref="D413">(PRODUCT(B411:B413/100+1)-1)*100</f>
        <v>13.200494264000007</v>
      </c>
    </row>
    <row r="414" spans="1:7" x14ac:dyDescent="0.2">
      <c r="A414" s="228">
        <v>40117</v>
      </c>
    </row>
    <row r="415" spans="1:7" x14ac:dyDescent="0.2">
      <c r="A415" s="228">
        <v>40147</v>
      </c>
    </row>
    <row r="416" spans="1:7" x14ac:dyDescent="0.2">
      <c r="A416" s="228">
        <v>40178</v>
      </c>
    </row>
    <row r="417" spans="1:1" x14ac:dyDescent="0.2">
      <c r="A417" s="228">
        <v>40209</v>
      </c>
    </row>
    <row r="418" spans="1:1" x14ac:dyDescent="0.2">
      <c r="A418" s="228">
        <v>40237</v>
      </c>
    </row>
    <row r="419" spans="1:1" x14ac:dyDescent="0.2">
      <c r="A419" s="228">
        <v>40268</v>
      </c>
    </row>
    <row r="420" spans="1:1" x14ac:dyDescent="0.2">
      <c r="A420" s="228">
        <v>40298</v>
      </c>
    </row>
    <row r="421" spans="1:1" x14ac:dyDescent="0.2">
      <c r="A421" s="228">
        <v>40329</v>
      </c>
    </row>
    <row r="422" spans="1:1" x14ac:dyDescent="0.2">
      <c r="A422" s="228">
        <v>40359</v>
      </c>
    </row>
    <row r="423" spans="1:1" x14ac:dyDescent="0.2">
      <c r="A423" s="228">
        <v>40390</v>
      </c>
    </row>
    <row r="424" spans="1:1" x14ac:dyDescent="0.2">
      <c r="A424" s="228">
        <v>40421</v>
      </c>
    </row>
    <row r="425" spans="1:1" x14ac:dyDescent="0.2">
      <c r="A425" s="228">
        <v>40451</v>
      </c>
    </row>
    <row r="426" spans="1:1" x14ac:dyDescent="0.2">
      <c r="A426" s="228">
        <v>40482</v>
      </c>
    </row>
    <row r="427" spans="1:1" x14ac:dyDescent="0.2">
      <c r="A427" s="228">
        <v>40512</v>
      </c>
    </row>
    <row r="428" spans="1:1" x14ac:dyDescent="0.2">
      <c r="A428" s="228">
        <v>40543</v>
      </c>
    </row>
  </sheetData>
  <phoneticPr fontId="3" type="noConversion"/>
  <pageMargins left="0.75" right="0.75" top="1" bottom="1" header="0.5" footer="0.5"/>
  <pageSetup orientation="portrait" r:id="rId1"/>
  <headerFooter alignWithMargins="0"/>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H428"/>
  <sheetViews>
    <sheetView workbookViewId="0">
      <pane ySplit="2" topLeftCell="A386" activePane="bottomLeft" state="frozen"/>
      <selection activeCell="B410" sqref="B410"/>
      <selection pane="bottomLeft" activeCell="D411" sqref="D411:F411"/>
    </sheetView>
  </sheetViews>
  <sheetFormatPr defaultRowHeight="12.75" x14ac:dyDescent="0.2"/>
  <cols>
    <col min="1" max="1" width="18.7109375" customWidth="1"/>
    <col min="2" max="2" width="18.7109375" style="14" customWidth="1"/>
    <col min="3" max="3" width="18.7109375" style="8" customWidth="1"/>
    <col min="8" max="8" width="9.140625" style="352"/>
  </cols>
  <sheetData>
    <row r="1" spans="1:3" x14ac:dyDescent="0.2">
      <c r="A1" s="223" t="s">
        <v>240</v>
      </c>
      <c r="B1" s="321" t="s">
        <v>436</v>
      </c>
      <c r="C1" s="323"/>
    </row>
    <row r="2" spans="1:3" x14ac:dyDescent="0.2">
      <c r="A2" s="3" t="s">
        <v>27</v>
      </c>
      <c r="B2" s="71" t="s">
        <v>91</v>
      </c>
      <c r="C2" s="3" t="s">
        <v>92</v>
      </c>
    </row>
    <row r="3" spans="1:3" x14ac:dyDescent="0.2">
      <c r="A3" s="65">
        <v>27606</v>
      </c>
      <c r="B3" s="76">
        <v>-4.83</v>
      </c>
      <c r="C3" s="231"/>
    </row>
    <row r="4" spans="1:3" x14ac:dyDescent="0.2">
      <c r="A4" s="65">
        <v>27637</v>
      </c>
      <c r="B4" s="76">
        <v>-4.83</v>
      </c>
      <c r="C4" s="231"/>
    </row>
    <row r="5" spans="1:3" x14ac:dyDescent="0.2">
      <c r="A5" s="65">
        <v>27667</v>
      </c>
      <c r="B5" s="76">
        <v>-4.83</v>
      </c>
      <c r="C5" s="231"/>
    </row>
    <row r="6" spans="1:3" x14ac:dyDescent="0.2">
      <c r="A6" s="65">
        <v>27698</v>
      </c>
      <c r="B6" s="76">
        <v>2.96</v>
      </c>
      <c r="C6" s="231"/>
    </row>
    <row r="7" spans="1:3" x14ac:dyDescent="0.2">
      <c r="A7" s="65">
        <v>27728</v>
      </c>
      <c r="B7" s="76">
        <v>2.96</v>
      </c>
      <c r="C7" s="231"/>
    </row>
    <row r="8" spans="1:3" x14ac:dyDescent="0.2">
      <c r="A8" s="65">
        <v>27759</v>
      </c>
      <c r="B8" s="76">
        <v>2.96</v>
      </c>
      <c r="C8" s="231"/>
    </row>
    <row r="9" spans="1:3" x14ac:dyDescent="0.2">
      <c r="A9" s="65">
        <v>27790</v>
      </c>
      <c r="B9" s="76">
        <v>3.89</v>
      </c>
      <c r="C9" s="231"/>
    </row>
    <row r="10" spans="1:3" x14ac:dyDescent="0.2">
      <c r="A10" s="65">
        <v>27819</v>
      </c>
      <c r="B10" s="76">
        <v>3.89</v>
      </c>
      <c r="C10" s="231"/>
    </row>
    <row r="11" spans="1:3" x14ac:dyDescent="0.2">
      <c r="A11" s="65">
        <v>27850</v>
      </c>
      <c r="B11" s="76">
        <v>3.89</v>
      </c>
      <c r="C11" s="231"/>
    </row>
    <row r="12" spans="1:3" x14ac:dyDescent="0.2">
      <c r="A12" s="65">
        <v>27880</v>
      </c>
      <c r="B12" s="76">
        <v>1.33</v>
      </c>
      <c r="C12" s="231"/>
    </row>
    <row r="13" spans="1:3" x14ac:dyDescent="0.2">
      <c r="A13" s="65">
        <v>27911</v>
      </c>
      <c r="B13" s="76">
        <v>1.33</v>
      </c>
      <c r="C13" s="231"/>
    </row>
    <row r="14" spans="1:3" x14ac:dyDescent="0.2">
      <c r="A14" s="65">
        <v>27941</v>
      </c>
      <c r="B14" s="76">
        <v>1.33</v>
      </c>
      <c r="C14" s="231"/>
    </row>
    <row r="15" spans="1:3" x14ac:dyDescent="0.2">
      <c r="A15" s="65">
        <v>27972</v>
      </c>
      <c r="B15" s="76">
        <v>0.23</v>
      </c>
      <c r="C15" s="231"/>
    </row>
    <row r="16" spans="1:3" x14ac:dyDescent="0.2">
      <c r="A16" s="65">
        <v>28003</v>
      </c>
      <c r="B16" s="76">
        <v>0.23</v>
      </c>
      <c r="C16" s="231"/>
    </row>
    <row r="17" spans="1:3" x14ac:dyDescent="0.2">
      <c r="A17" s="65">
        <v>28033</v>
      </c>
      <c r="B17" s="76">
        <v>0.23</v>
      </c>
      <c r="C17" s="231"/>
    </row>
    <row r="18" spans="1:3" x14ac:dyDescent="0.2">
      <c r="A18" s="65">
        <v>28064</v>
      </c>
      <c r="B18" s="76">
        <v>1.1299999999999999</v>
      </c>
      <c r="C18" s="231"/>
    </row>
    <row r="19" spans="1:3" x14ac:dyDescent="0.2">
      <c r="A19" s="65">
        <v>28094</v>
      </c>
      <c r="B19" s="76">
        <v>1.1299999999999999</v>
      </c>
      <c r="C19" s="231"/>
    </row>
    <row r="20" spans="1:3" x14ac:dyDescent="0.2">
      <c r="A20" s="65">
        <v>28125</v>
      </c>
      <c r="B20" s="76">
        <v>1.1299999999999999</v>
      </c>
      <c r="C20" s="231"/>
    </row>
    <row r="21" spans="1:3" x14ac:dyDescent="0.2">
      <c r="A21" s="65">
        <v>28156</v>
      </c>
      <c r="B21" s="76">
        <v>-2.5499999999999998</v>
      </c>
      <c r="C21" s="231"/>
    </row>
    <row r="22" spans="1:3" x14ac:dyDescent="0.2">
      <c r="A22" s="65">
        <v>28184</v>
      </c>
      <c r="B22" s="76">
        <v>-2.5499999999999998</v>
      </c>
      <c r="C22" s="231"/>
    </row>
    <row r="23" spans="1:3" x14ac:dyDescent="0.2">
      <c r="A23" s="65">
        <v>28215</v>
      </c>
      <c r="B23" s="76">
        <v>-2.5499999999999998</v>
      </c>
      <c r="C23" s="231"/>
    </row>
    <row r="24" spans="1:3" x14ac:dyDescent="0.2">
      <c r="A24" s="65">
        <v>28245</v>
      </c>
      <c r="B24" s="76">
        <v>1.81</v>
      </c>
      <c r="C24" s="231"/>
    </row>
    <row r="25" spans="1:3" x14ac:dyDescent="0.2">
      <c r="A25" s="65">
        <v>28276</v>
      </c>
      <c r="B25" s="76">
        <v>1.81</v>
      </c>
      <c r="C25" s="231"/>
    </row>
    <row r="26" spans="1:3" x14ac:dyDescent="0.2">
      <c r="A26" s="65">
        <v>28306</v>
      </c>
      <c r="B26" s="76">
        <v>1.81</v>
      </c>
      <c r="C26" s="231"/>
    </row>
    <row r="27" spans="1:3" x14ac:dyDescent="0.2">
      <c r="A27" s="65">
        <v>28337</v>
      </c>
      <c r="B27" s="76">
        <v>-1.83</v>
      </c>
      <c r="C27" s="231"/>
    </row>
    <row r="28" spans="1:3" x14ac:dyDescent="0.2">
      <c r="A28" s="65">
        <v>28368</v>
      </c>
      <c r="B28" s="76">
        <v>-1.83</v>
      </c>
      <c r="C28" s="231"/>
    </row>
    <row r="29" spans="1:3" x14ac:dyDescent="0.2">
      <c r="A29" s="65">
        <v>28398</v>
      </c>
      <c r="B29" s="76">
        <v>-1.83</v>
      </c>
      <c r="C29" s="231"/>
    </row>
    <row r="30" spans="1:3" x14ac:dyDescent="0.2">
      <c r="A30" s="65">
        <v>28429</v>
      </c>
      <c r="B30" s="76">
        <v>0.45</v>
      </c>
      <c r="C30" s="231"/>
    </row>
    <row r="31" spans="1:3" x14ac:dyDescent="0.2">
      <c r="A31" s="65">
        <v>28459</v>
      </c>
      <c r="B31" s="76">
        <v>0.45</v>
      </c>
      <c r="C31" s="231"/>
    </row>
    <row r="32" spans="1:3" x14ac:dyDescent="0.2">
      <c r="A32" s="65">
        <v>28490</v>
      </c>
      <c r="B32" s="76">
        <v>0.45</v>
      </c>
      <c r="C32" s="231"/>
    </row>
    <row r="33" spans="1:3" x14ac:dyDescent="0.2">
      <c r="A33" s="65">
        <v>28521</v>
      </c>
      <c r="B33" s="76">
        <v>-1.84</v>
      </c>
      <c r="C33" s="231"/>
    </row>
    <row r="34" spans="1:3" x14ac:dyDescent="0.2">
      <c r="A34" s="65">
        <v>28549</v>
      </c>
      <c r="B34" s="76">
        <v>-1.84</v>
      </c>
      <c r="C34" s="231"/>
    </row>
    <row r="35" spans="1:3" x14ac:dyDescent="0.2">
      <c r="A35" s="65">
        <v>28580</v>
      </c>
      <c r="B35" s="76">
        <v>-1.84</v>
      </c>
      <c r="C35" s="231"/>
    </row>
    <row r="36" spans="1:3" x14ac:dyDescent="0.2">
      <c r="A36" s="65">
        <v>28610</v>
      </c>
      <c r="B36" s="76">
        <v>3.7</v>
      </c>
      <c r="C36" s="231"/>
    </row>
    <row r="37" spans="1:3" x14ac:dyDescent="0.2">
      <c r="A37" s="65">
        <v>28641</v>
      </c>
      <c r="B37" s="76">
        <v>3.7</v>
      </c>
      <c r="C37" s="231"/>
    </row>
    <row r="38" spans="1:3" x14ac:dyDescent="0.2">
      <c r="A38" s="65">
        <v>28671</v>
      </c>
      <c r="B38" s="76">
        <v>3.7</v>
      </c>
      <c r="C38" s="231"/>
    </row>
    <row r="39" spans="1:3" x14ac:dyDescent="0.2">
      <c r="A39" s="65">
        <v>28702</v>
      </c>
      <c r="B39" s="76">
        <v>2.2599999999999998</v>
      </c>
      <c r="C39" s="231"/>
    </row>
    <row r="40" spans="1:3" x14ac:dyDescent="0.2">
      <c r="A40" s="65">
        <v>28733</v>
      </c>
      <c r="B40" s="76">
        <v>2.2599999999999998</v>
      </c>
      <c r="C40" s="231"/>
    </row>
    <row r="41" spans="1:3" x14ac:dyDescent="0.2">
      <c r="A41" s="65">
        <v>28763</v>
      </c>
      <c r="B41" s="76">
        <v>2.2599999999999998</v>
      </c>
      <c r="C41" s="231"/>
    </row>
    <row r="42" spans="1:3" x14ac:dyDescent="0.2">
      <c r="A42" s="65">
        <v>28794</v>
      </c>
      <c r="B42" s="76">
        <v>-2.1</v>
      </c>
      <c r="C42" s="231"/>
    </row>
    <row r="43" spans="1:3" x14ac:dyDescent="0.2">
      <c r="A43" s="65">
        <v>28824</v>
      </c>
      <c r="B43" s="76">
        <v>-2.1</v>
      </c>
      <c r="C43" s="231"/>
    </row>
    <row r="44" spans="1:3" x14ac:dyDescent="0.2">
      <c r="A44" s="65">
        <v>28855</v>
      </c>
      <c r="B44" s="76">
        <v>-2.1</v>
      </c>
      <c r="C44" s="231"/>
    </row>
    <row r="45" spans="1:3" x14ac:dyDescent="0.2">
      <c r="A45" s="65">
        <v>28886</v>
      </c>
      <c r="B45" s="76">
        <v>2.19</v>
      </c>
      <c r="C45" s="231"/>
    </row>
    <row r="46" spans="1:3" x14ac:dyDescent="0.2">
      <c r="A46" s="65">
        <v>28914</v>
      </c>
      <c r="B46" s="76">
        <v>2.19</v>
      </c>
      <c r="C46" s="231"/>
    </row>
    <row r="47" spans="1:3" x14ac:dyDescent="0.2">
      <c r="A47" s="65">
        <v>28945</v>
      </c>
      <c r="B47" s="76">
        <v>2.19</v>
      </c>
      <c r="C47" s="231"/>
    </row>
    <row r="48" spans="1:3" x14ac:dyDescent="0.2">
      <c r="A48" s="65">
        <v>28975</v>
      </c>
      <c r="B48" s="76">
        <v>1.1399999999999999</v>
      </c>
      <c r="C48" s="231"/>
    </row>
    <row r="49" spans="1:3" x14ac:dyDescent="0.2">
      <c r="A49" s="65">
        <v>29006</v>
      </c>
      <c r="B49" s="76">
        <v>1.1399999999999999</v>
      </c>
      <c r="C49" s="231"/>
    </row>
    <row r="50" spans="1:3" x14ac:dyDescent="0.2">
      <c r="A50" s="65">
        <v>29036</v>
      </c>
      <c r="B50" s="76">
        <v>1.1399999999999999</v>
      </c>
      <c r="C50" s="231"/>
    </row>
    <row r="51" spans="1:3" x14ac:dyDescent="0.2">
      <c r="A51" s="65">
        <v>29067</v>
      </c>
      <c r="B51" s="76">
        <v>2.89</v>
      </c>
      <c r="C51" s="231"/>
    </row>
    <row r="52" spans="1:3" x14ac:dyDescent="0.2">
      <c r="A52" s="65">
        <v>29098</v>
      </c>
      <c r="B52" s="76">
        <v>2.89</v>
      </c>
      <c r="C52" s="231"/>
    </row>
    <row r="53" spans="1:3" x14ac:dyDescent="0.2">
      <c r="A53" s="65">
        <v>29128</v>
      </c>
      <c r="B53" s="76">
        <v>2.89</v>
      </c>
      <c r="C53" s="231"/>
    </row>
    <row r="54" spans="1:3" x14ac:dyDescent="0.2">
      <c r="A54" s="65">
        <v>29159</v>
      </c>
      <c r="B54" s="76">
        <v>0.66</v>
      </c>
      <c r="C54" s="231"/>
    </row>
    <row r="55" spans="1:3" x14ac:dyDescent="0.2">
      <c r="A55" s="65">
        <v>29189</v>
      </c>
      <c r="B55" s="76">
        <v>0.66</v>
      </c>
      <c r="C55" s="231"/>
    </row>
    <row r="56" spans="1:3" x14ac:dyDescent="0.2">
      <c r="A56" s="65">
        <v>29220</v>
      </c>
      <c r="B56" s="76">
        <v>0.66</v>
      </c>
      <c r="C56" s="231"/>
    </row>
    <row r="57" spans="1:3" x14ac:dyDescent="0.2">
      <c r="A57" s="65">
        <v>29251</v>
      </c>
      <c r="B57" s="76">
        <v>-2.27</v>
      </c>
      <c r="C57" s="231"/>
    </row>
    <row r="58" spans="1:3" x14ac:dyDescent="0.2">
      <c r="A58" s="65">
        <v>29280</v>
      </c>
      <c r="B58" s="76">
        <v>-2.27</v>
      </c>
      <c r="C58" s="231"/>
    </row>
    <row r="59" spans="1:3" x14ac:dyDescent="0.2">
      <c r="A59" s="65">
        <v>29311</v>
      </c>
      <c r="B59" s="76">
        <v>-2.27</v>
      </c>
      <c r="C59" s="231"/>
    </row>
    <row r="60" spans="1:3" x14ac:dyDescent="0.2">
      <c r="A60" s="65">
        <v>29341</v>
      </c>
      <c r="B60" s="76">
        <v>4.78</v>
      </c>
      <c r="C60" s="231"/>
    </row>
    <row r="61" spans="1:3" x14ac:dyDescent="0.2">
      <c r="A61" s="65">
        <v>29372</v>
      </c>
      <c r="B61" s="76">
        <v>4.78</v>
      </c>
      <c r="C61" s="231"/>
    </row>
    <row r="62" spans="1:3" x14ac:dyDescent="0.2">
      <c r="A62" s="65">
        <v>29402</v>
      </c>
      <c r="B62" s="76">
        <v>4.78</v>
      </c>
      <c r="C62" s="231"/>
    </row>
    <row r="63" spans="1:3" x14ac:dyDescent="0.2">
      <c r="A63" s="65">
        <v>29433</v>
      </c>
      <c r="B63" s="76">
        <v>3.13</v>
      </c>
      <c r="C63" s="231"/>
    </row>
    <row r="64" spans="1:3" x14ac:dyDescent="0.2">
      <c r="A64" s="65">
        <v>29464</v>
      </c>
      <c r="B64" s="76">
        <v>3.13</v>
      </c>
      <c r="C64" s="231"/>
    </row>
    <row r="65" spans="1:3" x14ac:dyDescent="0.2">
      <c r="A65" s="65">
        <v>29494</v>
      </c>
      <c r="B65" s="76">
        <v>3.13</v>
      </c>
      <c r="C65" s="231"/>
    </row>
    <row r="66" spans="1:3" x14ac:dyDescent="0.2">
      <c r="A66" s="65">
        <v>29525</v>
      </c>
      <c r="B66" s="76">
        <v>2.72</v>
      </c>
      <c r="C66" s="231"/>
    </row>
    <row r="67" spans="1:3" x14ac:dyDescent="0.2">
      <c r="A67" s="65">
        <v>29555</v>
      </c>
      <c r="B67" s="76">
        <v>2.72</v>
      </c>
      <c r="C67" s="231"/>
    </row>
    <row r="68" spans="1:3" x14ac:dyDescent="0.2">
      <c r="A68" s="65">
        <v>29586</v>
      </c>
      <c r="B68" s="76">
        <v>2.72</v>
      </c>
      <c r="C68" s="231"/>
    </row>
    <row r="69" spans="1:3" x14ac:dyDescent="0.2">
      <c r="A69" s="65">
        <v>29617</v>
      </c>
      <c r="B69" s="76">
        <v>0.61</v>
      </c>
      <c r="C69" s="231"/>
    </row>
    <row r="70" spans="1:3" x14ac:dyDescent="0.2">
      <c r="A70" s="65">
        <v>29645</v>
      </c>
      <c r="B70" s="76">
        <v>0.61</v>
      </c>
      <c r="C70" s="231"/>
    </row>
    <row r="71" spans="1:3" x14ac:dyDescent="0.2">
      <c r="A71" s="65">
        <v>29676</v>
      </c>
      <c r="B71" s="76">
        <v>0.61</v>
      </c>
      <c r="C71" s="231"/>
    </row>
    <row r="72" spans="1:3" x14ac:dyDescent="0.2">
      <c r="A72" s="65">
        <v>29706</v>
      </c>
      <c r="B72" s="76">
        <v>-0.87</v>
      </c>
      <c r="C72" s="231"/>
    </row>
    <row r="73" spans="1:3" x14ac:dyDescent="0.2">
      <c r="A73" s="65">
        <v>29737</v>
      </c>
      <c r="B73" s="76">
        <v>-0.87</v>
      </c>
      <c r="C73" s="231"/>
    </row>
    <row r="74" spans="1:3" x14ac:dyDescent="0.2">
      <c r="A74" s="65">
        <v>29767</v>
      </c>
      <c r="B74" s="76">
        <v>-0.87</v>
      </c>
      <c r="C74" s="231"/>
    </row>
    <row r="75" spans="1:3" x14ac:dyDescent="0.2">
      <c r="A75" s="65">
        <v>29798</v>
      </c>
      <c r="B75" s="76">
        <v>-3.66</v>
      </c>
      <c r="C75" s="231"/>
    </row>
    <row r="76" spans="1:3" x14ac:dyDescent="0.2">
      <c r="A76" s="65">
        <v>29829</v>
      </c>
      <c r="B76" s="76">
        <v>-3.66</v>
      </c>
      <c r="C76" s="231"/>
    </row>
    <row r="77" spans="1:3" x14ac:dyDescent="0.2">
      <c r="A77" s="65">
        <v>29859</v>
      </c>
      <c r="B77" s="76">
        <v>-3.66</v>
      </c>
      <c r="C77" s="231"/>
    </row>
    <row r="78" spans="1:3" x14ac:dyDescent="0.2">
      <c r="A78" s="65">
        <v>29890</v>
      </c>
      <c r="B78" s="76">
        <v>2.4300000000000002</v>
      </c>
      <c r="C78" s="231"/>
    </row>
    <row r="79" spans="1:3" x14ac:dyDescent="0.2">
      <c r="A79" s="65">
        <v>29920</v>
      </c>
      <c r="B79" s="76">
        <v>2.4300000000000002</v>
      </c>
      <c r="C79" s="231"/>
    </row>
    <row r="80" spans="1:3" x14ac:dyDescent="0.2">
      <c r="A80" s="65">
        <v>29951</v>
      </c>
      <c r="B80" s="76">
        <v>2.4300000000000002</v>
      </c>
      <c r="C80" s="231"/>
    </row>
    <row r="81" spans="1:3" x14ac:dyDescent="0.2">
      <c r="A81" s="65">
        <v>29982</v>
      </c>
      <c r="B81" s="76">
        <v>-2.06</v>
      </c>
      <c r="C81" s="231"/>
    </row>
    <row r="82" spans="1:3" x14ac:dyDescent="0.2">
      <c r="A82" s="65">
        <v>30010</v>
      </c>
      <c r="B82" s="76">
        <v>-2.06</v>
      </c>
      <c r="C82" s="231"/>
    </row>
    <row r="83" spans="1:3" x14ac:dyDescent="0.2">
      <c r="A83" s="65">
        <v>30041</v>
      </c>
      <c r="B83" s="76">
        <v>-2.06</v>
      </c>
      <c r="C83" s="231"/>
    </row>
    <row r="84" spans="1:3" x14ac:dyDescent="0.2">
      <c r="A84" s="65">
        <v>30071</v>
      </c>
      <c r="B84" s="76">
        <v>-0.39</v>
      </c>
      <c r="C84" s="231"/>
    </row>
    <row r="85" spans="1:3" x14ac:dyDescent="0.2">
      <c r="A85" s="65">
        <v>30102</v>
      </c>
      <c r="B85" s="76">
        <v>-0.39</v>
      </c>
      <c r="C85" s="231"/>
    </row>
    <row r="86" spans="1:3" x14ac:dyDescent="0.2">
      <c r="A86" s="65">
        <v>30132</v>
      </c>
      <c r="B86" s="76">
        <v>-0.39</v>
      </c>
      <c r="C86" s="231"/>
    </row>
    <row r="87" spans="1:3" x14ac:dyDescent="0.2">
      <c r="A87" s="65">
        <v>30163</v>
      </c>
      <c r="B87" s="76">
        <v>3.76</v>
      </c>
      <c r="C87" s="231"/>
    </row>
    <row r="88" spans="1:3" x14ac:dyDescent="0.2">
      <c r="A88" s="65">
        <v>30194</v>
      </c>
      <c r="B88" s="76">
        <v>3.76</v>
      </c>
      <c r="C88" s="231"/>
    </row>
    <row r="89" spans="1:3" x14ac:dyDescent="0.2">
      <c r="A89" s="65">
        <v>30224</v>
      </c>
      <c r="B89" s="76">
        <v>3.76</v>
      </c>
      <c r="C89" s="231"/>
    </row>
    <row r="90" spans="1:3" x14ac:dyDescent="0.2">
      <c r="A90" s="65">
        <v>30255</v>
      </c>
      <c r="B90" s="76">
        <v>5.83</v>
      </c>
      <c r="C90" s="231"/>
    </row>
    <row r="91" spans="1:3" x14ac:dyDescent="0.2">
      <c r="A91" s="65">
        <v>30285</v>
      </c>
      <c r="B91" s="76">
        <v>5.83</v>
      </c>
      <c r="C91" s="231"/>
    </row>
    <row r="92" spans="1:3" x14ac:dyDescent="0.2">
      <c r="A92" s="65">
        <v>30316</v>
      </c>
      <c r="B92" s="76">
        <v>5.83</v>
      </c>
      <c r="C92" s="231"/>
    </row>
    <row r="93" spans="1:3" x14ac:dyDescent="0.2">
      <c r="A93" s="65">
        <v>30347</v>
      </c>
      <c r="B93" s="76">
        <v>3.4</v>
      </c>
      <c r="C93" s="231"/>
    </row>
    <row r="94" spans="1:3" x14ac:dyDescent="0.2">
      <c r="A94" s="65">
        <v>30375</v>
      </c>
      <c r="B94" s="76">
        <v>3.4</v>
      </c>
      <c r="C94" s="231"/>
    </row>
    <row r="95" spans="1:3" x14ac:dyDescent="0.2">
      <c r="A95" s="65">
        <v>30406</v>
      </c>
      <c r="B95" s="76">
        <v>3.4</v>
      </c>
      <c r="C95" s="231"/>
    </row>
    <row r="96" spans="1:3" x14ac:dyDescent="0.2">
      <c r="A96" s="65">
        <v>30436</v>
      </c>
      <c r="B96" s="76">
        <v>3.39</v>
      </c>
      <c r="C96" s="231"/>
    </row>
    <row r="97" spans="1:3" x14ac:dyDescent="0.2">
      <c r="A97" s="65">
        <v>30467</v>
      </c>
      <c r="B97" s="76">
        <v>3.39</v>
      </c>
      <c r="C97" s="231"/>
    </row>
    <row r="98" spans="1:3" x14ac:dyDescent="0.2">
      <c r="A98" s="65">
        <v>30497</v>
      </c>
      <c r="B98" s="76">
        <v>3.39</v>
      </c>
      <c r="C98" s="231"/>
    </row>
    <row r="99" spans="1:3" x14ac:dyDescent="0.2">
      <c r="A99" s="65">
        <v>30528</v>
      </c>
      <c r="B99" s="76">
        <v>-0.59</v>
      </c>
      <c r="C99" s="231"/>
    </row>
    <row r="100" spans="1:3" x14ac:dyDescent="0.2">
      <c r="A100" s="65">
        <v>30559</v>
      </c>
      <c r="B100" s="76">
        <v>-0.59</v>
      </c>
      <c r="C100" s="231"/>
    </row>
    <row r="101" spans="1:3" x14ac:dyDescent="0.2">
      <c r="A101" s="65">
        <v>30589</v>
      </c>
      <c r="B101" s="76">
        <v>-0.59</v>
      </c>
      <c r="C101" s="231"/>
    </row>
    <row r="102" spans="1:3" x14ac:dyDescent="0.2">
      <c r="A102" s="65">
        <v>30620</v>
      </c>
      <c r="B102" s="76">
        <v>-0.1</v>
      </c>
      <c r="C102" s="231"/>
    </row>
    <row r="103" spans="1:3" x14ac:dyDescent="0.2">
      <c r="A103" s="65">
        <v>30650</v>
      </c>
      <c r="B103" s="76">
        <v>-0.1</v>
      </c>
      <c r="C103" s="231"/>
    </row>
    <row r="104" spans="1:3" x14ac:dyDescent="0.2">
      <c r="A104" s="65">
        <v>30681</v>
      </c>
      <c r="B104" s="76">
        <v>-0.1</v>
      </c>
      <c r="C104" s="231"/>
    </row>
    <row r="105" spans="1:3" x14ac:dyDescent="0.2">
      <c r="A105" s="65">
        <v>30712</v>
      </c>
      <c r="B105" s="76">
        <v>-2.0299999999999998</v>
      </c>
      <c r="C105" s="231"/>
    </row>
    <row r="106" spans="1:3" x14ac:dyDescent="0.2">
      <c r="A106" s="65">
        <v>30741</v>
      </c>
      <c r="B106" s="76">
        <v>-2.0299999999999998</v>
      </c>
      <c r="C106" s="231"/>
    </row>
    <row r="107" spans="1:3" x14ac:dyDescent="0.2">
      <c r="A107" s="65">
        <v>30772</v>
      </c>
      <c r="B107" s="76">
        <v>-2.0299999999999998</v>
      </c>
      <c r="C107" s="231"/>
    </row>
    <row r="108" spans="1:3" x14ac:dyDescent="0.2">
      <c r="A108" s="65">
        <v>30802</v>
      </c>
      <c r="B108" s="76">
        <v>-1.3</v>
      </c>
      <c r="C108" s="231"/>
    </row>
    <row r="109" spans="1:3" x14ac:dyDescent="0.2">
      <c r="A109" s="65">
        <v>30833</v>
      </c>
      <c r="B109" s="76">
        <v>-1.3</v>
      </c>
      <c r="C109" s="231"/>
    </row>
    <row r="110" spans="1:3" x14ac:dyDescent="0.2">
      <c r="A110" s="65">
        <v>30863</v>
      </c>
      <c r="B110" s="76">
        <v>-1.3</v>
      </c>
      <c r="C110" s="231"/>
    </row>
    <row r="111" spans="1:3" x14ac:dyDescent="0.2">
      <c r="A111" s="65">
        <v>30894</v>
      </c>
      <c r="B111" s="76">
        <v>3.07</v>
      </c>
      <c r="C111" s="231"/>
    </row>
    <row r="112" spans="1:3" x14ac:dyDescent="0.2">
      <c r="A112" s="65">
        <v>30925</v>
      </c>
      <c r="B112" s="76">
        <v>3.07</v>
      </c>
      <c r="C112" s="231"/>
    </row>
    <row r="113" spans="1:3" x14ac:dyDescent="0.2">
      <c r="A113" s="65">
        <v>30955</v>
      </c>
      <c r="B113" s="76">
        <v>3.07</v>
      </c>
      <c r="C113" s="231"/>
    </row>
    <row r="114" spans="1:3" x14ac:dyDescent="0.2">
      <c r="A114" s="65">
        <v>30986</v>
      </c>
      <c r="B114" s="76">
        <v>0.55000000000000004</v>
      </c>
      <c r="C114" s="231"/>
    </row>
    <row r="115" spans="1:3" x14ac:dyDescent="0.2">
      <c r="A115" s="65">
        <v>31016</v>
      </c>
      <c r="B115" s="76">
        <v>0.55000000000000004</v>
      </c>
      <c r="C115" s="231"/>
    </row>
    <row r="116" spans="1:3" x14ac:dyDescent="0.2">
      <c r="A116" s="65">
        <v>31047</v>
      </c>
      <c r="B116" s="76">
        <v>0.55000000000000004</v>
      </c>
      <c r="C116" s="231"/>
    </row>
    <row r="117" spans="1:3" x14ac:dyDescent="0.2">
      <c r="A117" s="65">
        <v>31078</v>
      </c>
      <c r="B117" s="76">
        <v>3.05</v>
      </c>
      <c r="C117" s="231"/>
    </row>
    <row r="118" spans="1:3" x14ac:dyDescent="0.2">
      <c r="A118" s="65">
        <v>31106</v>
      </c>
      <c r="B118" s="76">
        <v>3.05</v>
      </c>
      <c r="C118" s="231"/>
    </row>
    <row r="119" spans="1:3" x14ac:dyDescent="0.2">
      <c r="A119" s="65">
        <v>31137</v>
      </c>
      <c r="B119" s="76">
        <v>3.05</v>
      </c>
      <c r="C119" s="231"/>
    </row>
    <row r="120" spans="1:3" x14ac:dyDescent="0.2">
      <c r="A120" s="65">
        <v>31167</v>
      </c>
      <c r="B120" s="76">
        <v>2.44</v>
      </c>
      <c r="C120" s="231"/>
    </row>
    <row r="121" spans="1:3" x14ac:dyDescent="0.2">
      <c r="A121" s="65">
        <v>31198</v>
      </c>
      <c r="B121" s="76">
        <v>2.44</v>
      </c>
      <c r="C121" s="231"/>
    </row>
    <row r="122" spans="1:3" x14ac:dyDescent="0.2">
      <c r="A122" s="65">
        <v>31228</v>
      </c>
      <c r="B122" s="76">
        <v>2.44</v>
      </c>
      <c r="C122" s="231"/>
    </row>
    <row r="123" spans="1:3" x14ac:dyDescent="0.2">
      <c r="A123" s="65">
        <v>31259</v>
      </c>
      <c r="B123" s="76">
        <v>-1.87</v>
      </c>
      <c r="C123" s="231"/>
    </row>
    <row r="124" spans="1:3" x14ac:dyDescent="0.2">
      <c r="A124" s="65">
        <v>31290</v>
      </c>
      <c r="B124" s="76">
        <v>-1.87</v>
      </c>
      <c r="C124" s="231"/>
    </row>
    <row r="125" spans="1:3" x14ac:dyDescent="0.2">
      <c r="A125" s="65">
        <v>31320</v>
      </c>
      <c r="B125" s="76">
        <v>-1.87</v>
      </c>
      <c r="C125" s="231"/>
    </row>
    <row r="126" spans="1:3" x14ac:dyDescent="0.2">
      <c r="A126" s="65">
        <v>31351</v>
      </c>
      <c r="B126" s="76">
        <v>5.44</v>
      </c>
      <c r="C126" s="231"/>
    </row>
    <row r="127" spans="1:3" x14ac:dyDescent="0.2">
      <c r="A127" s="65">
        <v>31381</v>
      </c>
      <c r="B127" s="76">
        <v>5.44</v>
      </c>
      <c r="C127" s="231"/>
    </row>
    <row r="128" spans="1:3" x14ac:dyDescent="0.2">
      <c r="A128" s="65">
        <v>31412</v>
      </c>
      <c r="B128" s="76">
        <v>5.44</v>
      </c>
      <c r="C128" s="231"/>
    </row>
    <row r="129" spans="1:3" x14ac:dyDescent="0.2">
      <c r="A129" s="65">
        <v>31443</v>
      </c>
      <c r="B129" s="76">
        <v>4.8099999999999996</v>
      </c>
      <c r="C129" s="231"/>
    </row>
    <row r="130" spans="1:3" x14ac:dyDescent="0.2">
      <c r="A130" s="65">
        <v>31471</v>
      </c>
      <c r="B130" s="76">
        <v>4.8099999999999996</v>
      </c>
      <c r="C130" s="231"/>
    </row>
    <row r="131" spans="1:3" x14ac:dyDescent="0.2">
      <c r="A131" s="65">
        <v>31502</v>
      </c>
      <c r="B131" s="76">
        <v>4.8099999999999996</v>
      </c>
      <c r="C131" s="231"/>
    </row>
    <row r="132" spans="1:3" x14ac:dyDescent="0.2">
      <c r="A132" s="65">
        <v>31532</v>
      </c>
      <c r="B132" s="76">
        <v>1.59</v>
      </c>
      <c r="C132" s="231"/>
    </row>
    <row r="133" spans="1:3" x14ac:dyDescent="0.2">
      <c r="A133" s="65">
        <v>31563</v>
      </c>
      <c r="B133" s="76">
        <v>1.59</v>
      </c>
      <c r="C133" s="231"/>
    </row>
    <row r="134" spans="1:3" x14ac:dyDescent="0.2">
      <c r="A134" s="65">
        <v>31593</v>
      </c>
      <c r="B134" s="76">
        <v>1.59</v>
      </c>
      <c r="C134" s="231"/>
    </row>
    <row r="135" spans="1:3" x14ac:dyDescent="0.2">
      <c r="A135" s="65">
        <v>31624</v>
      </c>
      <c r="B135" s="76">
        <v>-2.4900000000000002</v>
      </c>
      <c r="C135" s="231"/>
    </row>
    <row r="136" spans="1:3" x14ac:dyDescent="0.2">
      <c r="A136" s="65">
        <v>31655</v>
      </c>
      <c r="B136" s="76">
        <v>-2.4900000000000002</v>
      </c>
      <c r="C136" s="231"/>
    </row>
    <row r="137" spans="1:3" x14ac:dyDescent="0.2">
      <c r="A137" s="65">
        <v>31685</v>
      </c>
      <c r="B137" s="76">
        <v>-2.4900000000000002</v>
      </c>
      <c r="C137" s="231"/>
    </row>
    <row r="138" spans="1:3" x14ac:dyDescent="0.2">
      <c r="A138" s="65">
        <v>31716</v>
      </c>
      <c r="B138" s="76">
        <v>1.78</v>
      </c>
      <c r="C138" s="231"/>
    </row>
    <row r="139" spans="1:3" x14ac:dyDescent="0.2">
      <c r="A139" s="65">
        <v>31746</v>
      </c>
      <c r="B139" s="76">
        <v>1.78</v>
      </c>
      <c r="C139" s="231"/>
    </row>
    <row r="140" spans="1:3" x14ac:dyDescent="0.2">
      <c r="A140" s="65">
        <v>31777</v>
      </c>
      <c r="B140" s="76">
        <v>1.78</v>
      </c>
      <c r="C140" s="231"/>
    </row>
    <row r="141" spans="1:3" x14ac:dyDescent="0.2">
      <c r="A141" s="65">
        <v>31808</v>
      </c>
      <c r="B141" s="76">
        <v>6.84</v>
      </c>
      <c r="C141" s="231"/>
    </row>
    <row r="142" spans="1:3" x14ac:dyDescent="0.2">
      <c r="A142" s="65">
        <v>31836</v>
      </c>
      <c r="B142" s="76">
        <v>6.84</v>
      </c>
      <c r="C142" s="231"/>
    </row>
    <row r="143" spans="1:3" x14ac:dyDescent="0.2">
      <c r="A143" s="65">
        <v>31867</v>
      </c>
      <c r="B143" s="76">
        <v>6.84</v>
      </c>
      <c r="C143" s="231"/>
    </row>
    <row r="144" spans="1:3" x14ac:dyDescent="0.2">
      <c r="A144" s="65">
        <v>31897</v>
      </c>
      <c r="B144" s="76">
        <v>1.23</v>
      </c>
      <c r="C144" s="231"/>
    </row>
    <row r="145" spans="1:3" x14ac:dyDescent="0.2">
      <c r="A145" s="65">
        <v>31928</v>
      </c>
      <c r="B145" s="76">
        <v>1.23</v>
      </c>
      <c r="C145" s="231"/>
    </row>
    <row r="146" spans="1:3" x14ac:dyDescent="0.2">
      <c r="A146" s="65">
        <v>31958</v>
      </c>
      <c r="B146" s="76">
        <v>1.23</v>
      </c>
      <c r="C146" s="231"/>
    </row>
    <row r="147" spans="1:3" x14ac:dyDescent="0.2">
      <c r="A147" s="65">
        <v>31989</v>
      </c>
      <c r="B147" s="76">
        <v>2.54</v>
      </c>
      <c r="C147" s="231"/>
    </row>
    <row r="148" spans="1:3" x14ac:dyDescent="0.2">
      <c r="A148" s="65">
        <v>32020</v>
      </c>
      <c r="B148" s="76">
        <v>2.54</v>
      </c>
      <c r="C148" s="231"/>
    </row>
    <row r="149" spans="1:3" x14ac:dyDescent="0.2">
      <c r="A149" s="65">
        <v>32050</v>
      </c>
      <c r="B149" s="76">
        <v>2.54</v>
      </c>
      <c r="C149" s="231"/>
    </row>
    <row r="150" spans="1:3" x14ac:dyDescent="0.2">
      <c r="A150" s="65">
        <v>32081</v>
      </c>
      <c r="B150" s="76">
        <v>-7.99</v>
      </c>
      <c r="C150" s="231"/>
    </row>
    <row r="151" spans="1:3" x14ac:dyDescent="0.2">
      <c r="A151" s="65">
        <v>32111</v>
      </c>
      <c r="B151" s="76">
        <v>-7.99</v>
      </c>
      <c r="C151" s="231"/>
    </row>
    <row r="152" spans="1:3" x14ac:dyDescent="0.2">
      <c r="A152" s="65">
        <v>32142</v>
      </c>
      <c r="B152" s="76">
        <v>-7.99</v>
      </c>
      <c r="C152" s="231"/>
    </row>
    <row r="153" spans="1:3" x14ac:dyDescent="0.2">
      <c r="A153" s="65">
        <v>32173</v>
      </c>
      <c r="B153" s="76">
        <v>1.65</v>
      </c>
      <c r="C153" s="231"/>
    </row>
    <row r="154" spans="1:3" x14ac:dyDescent="0.2">
      <c r="A154" s="65">
        <v>32202</v>
      </c>
      <c r="B154" s="76">
        <v>1.65</v>
      </c>
      <c r="C154" s="231"/>
    </row>
    <row r="155" spans="1:3" x14ac:dyDescent="0.2">
      <c r="A155" s="65">
        <v>32233</v>
      </c>
      <c r="B155" s="76">
        <v>1.65</v>
      </c>
      <c r="C155" s="231"/>
    </row>
    <row r="156" spans="1:3" x14ac:dyDescent="0.2">
      <c r="A156" s="65">
        <v>32263</v>
      </c>
      <c r="B156" s="76">
        <v>2.12</v>
      </c>
      <c r="C156" s="231"/>
    </row>
    <row r="157" spans="1:3" x14ac:dyDescent="0.2">
      <c r="A157" s="65">
        <v>32294</v>
      </c>
      <c r="B157" s="76">
        <v>2.12</v>
      </c>
      <c r="C157" s="231"/>
    </row>
    <row r="158" spans="1:3" x14ac:dyDescent="0.2">
      <c r="A158" s="65">
        <v>32324</v>
      </c>
      <c r="B158" s="76">
        <v>2.12</v>
      </c>
      <c r="C158" s="231"/>
    </row>
    <row r="159" spans="1:3" x14ac:dyDescent="0.2">
      <c r="A159" s="65">
        <v>32355</v>
      </c>
      <c r="B159" s="76">
        <v>-0.35</v>
      </c>
      <c r="C159" s="231"/>
    </row>
    <row r="160" spans="1:3" x14ac:dyDescent="0.2">
      <c r="A160" s="65">
        <v>32386</v>
      </c>
      <c r="B160" s="76">
        <v>-0.35</v>
      </c>
      <c r="C160" s="231"/>
    </row>
    <row r="161" spans="1:3" x14ac:dyDescent="0.2">
      <c r="A161" s="65">
        <v>32416</v>
      </c>
      <c r="B161" s="76">
        <v>-0.35</v>
      </c>
      <c r="C161" s="231"/>
    </row>
    <row r="162" spans="1:3" x14ac:dyDescent="0.2">
      <c r="A162" s="65">
        <v>32447</v>
      </c>
      <c r="B162" s="76">
        <v>0.72</v>
      </c>
      <c r="C162" s="231"/>
    </row>
    <row r="163" spans="1:3" x14ac:dyDescent="0.2">
      <c r="A163" s="65">
        <v>32477</v>
      </c>
      <c r="B163" s="76">
        <v>0.72</v>
      </c>
      <c r="C163" s="231"/>
    </row>
    <row r="164" spans="1:3" x14ac:dyDescent="0.2">
      <c r="A164" s="65">
        <v>32508</v>
      </c>
      <c r="B164" s="76">
        <v>0.72</v>
      </c>
      <c r="C164" s="231"/>
    </row>
    <row r="165" spans="1:3" x14ac:dyDescent="0.2">
      <c r="A165" s="65">
        <v>32539</v>
      </c>
      <c r="B165" s="76">
        <v>2.42</v>
      </c>
      <c r="C165" s="231"/>
    </row>
    <row r="166" spans="1:3" x14ac:dyDescent="0.2">
      <c r="A166" s="65">
        <v>32567</v>
      </c>
      <c r="B166" s="76">
        <v>2.42</v>
      </c>
      <c r="C166" s="231"/>
    </row>
    <row r="167" spans="1:3" x14ac:dyDescent="0.2">
      <c r="A167" s="65">
        <v>32598</v>
      </c>
      <c r="B167" s="76">
        <v>2.42</v>
      </c>
      <c r="C167" s="231"/>
    </row>
    <row r="168" spans="1:3" x14ac:dyDescent="0.2">
      <c r="A168" s="65">
        <v>32628</v>
      </c>
      <c r="B168" s="76">
        <v>2.67</v>
      </c>
      <c r="C168" s="231"/>
    </row>
    <row r="169" spans="1:3" x14ac:dyDescent="0.2">
      <c r="A169" s="65">
        <v>32659</v>
      </c>
      <c r="B169" s="76">
        <v>2.67</v>
      </c>
      <c r="C169" s="231"/>
    </row>
    <row r="170" spans="1:3" x14ac:dyDescent="0.2">
      <c r="A170" s="65">
        <v>32689</v>
      </c>
      <c r="B170" s="76">
        <v>2.67</v>
      </c>
      <c r="C170" s="231"/>
    </row>
    <row r="171" spans="1:3" x14ac:dyDescent="0.2">
      <c r="A171" s="65">
        <v>32720</v>
      </c>
      <c r="B171" s="76">
        <v>3.81</v>
      </c>
      <c r="C171" s="231"/>
    </row>
    <row r="172" spans="1:3" x14ac:dyDescent="0.2">
      <c r="A172" s="65">
        <v>32751</v>
      </c>
      <c r="B172" s="76">
        <v>3.81</v>
      </c>
      <c r="C172" s="231"/>
    </row>
    <row r="173" spans="1:3" x14ac:dyDescent="0.2">
      <c r="A173" s="65">
        <v>32781</v>
      </c>
      <c r="B173" s="76">
        <v>3.81</v>
      </c>
      <c r="C173" s="231"/>
    </row>
    <row r="174" spans="1:3" x14ac:dyDescent="0.2">
      <c r="A174" s="65">
        <v>32812</v>
      </c>
      <c r="B174" s="76">
        <v>0.51</v>
      </c>
      <c r="C174" s="231"/>
    </row>
    <row r="175" spans="1:3" x14ac:dyDescent="0.2">
      <c r="A175" s="65">
        <v>32842</v>
      </c>
      <c r="B175" s="76">
        <v>0.51</v>
      </c>
      <c r="C175" s="231"/>
    </row>
    <row r="176" spans="1:3" x14ac:dyDescent="0.2">
      <c r="A176" s="65">
        <v>32873</v>
      </c>
      <c r="B176" s="76">
        <v>0.51</v>
      </c>
      <c r="C176" s="231"/>
    </row>
    <row r="177" spans="1:3" x14ac:dyDescent="0.2">
      <c r="A177" s="65">
        <v>32904</v>
      </c>
      <c r="B177" s="76">
        <v>-0.84040000000000004</v>
      </c>
      <c r="C177" s="231"/>
    </row>
    <row r="178" spans="1:3" x14ac:dyDescent="0.2">
      <c r="A178" s="65">
        <v>32932</v>
      </c>
      <c r="B178" s="76">
        <v>-0.84040000000000004</v>
      </c>
      <c r="C178" s="231"/>
    </row>
    <row r="179" spans="1:3" x14ac:dyDescent="0.2">
      <c r="A179" s="65">
        <v>32963</v>
      </c>
      <c r="B179" s="76">
        <v>-0.84040000000000004</v>
      </c>
      <c r="C179" s="231"/>
    </row>
    <row r="180" spans="1:3" x14ac:dyDescent="0.2">
      <c r="A180" s="65">
        <v>32993</v>
      </c>
      <c r="B180" s="76">
        <v>1.929</v>
      </c>
      <c r="C180" s="231"/>
    </row>
    <row r="181" spans="1:3" x14ac:dyDescent="0.2">
      <c r="A181" s="65">
        <v>33024</v>
      </c>
      <c r="B181" s="76">
        <v>1.929</v>
      </c>
      <c r="C181" s="231"/>
    </row>
    <row r="182" spans="1:3" x14ac:dyDescent="0.2">
      <c r="A182" s="65">
        <v>33054</v>
      </c>
      <c r="B182" s="76">
        <v>1.929</v>
      </c>
      <c r="C182" s="231"/>
    </row>
    <row r="183" spans="1:3" x14ac:dyDescent="0.2">
      <c r="A183" s="65">
        <v>33085</v>
      </c>
      <c r="B183" s="76">
        <v>-4.9721000000000002</v>
      </c>
      <c r="C183" s="231"/>
    </row>
    <row r="184" spans="1:3" x14ac:dyDescent="0.2">
      <c r="A184" s="65">
        <v>33116</v>
      </c>
      <c r="B184" s="76">
        <v>-4.9721000000000002</v>
      </c>
      <c r="C184" s="231"/>
    </row>
    <row r="185" spans="1:3" x14ac:dyDescent="0.2">
      <c r="A185" s="65">
        <v>33146</v>
      </c>
      <c r="B185" s="76">
        <v>-4.9721000000000002</v>
      </c>
      <c r="C185" s="231"/>
    </row>
    <row r="186" spans="1:3" x14ac:dyDescent="0.2">
      <c r="A186" s="65">
        <v>33177</v>
      </c>
      <c r="B186" s="76">
        <v>3.0369000000000002</v>
      </c>
      <c r="C186" s="231"/>
    </row>
    <row r="187" spans="1:3" x14ac:dyDescent="0.2">
      <c r="A187" s="65">
        <v>33207</v>
      </c>
      <c r="B187" s="76">
        <v>3.0369000000000002</v>
      </c>
      <c r="C187" s="231"/>
    </row>
    <row r="188" spans="1:3" x14ac:dyDescent="0.2">
      <c r="A188" s="65">
        <v>33238</v>
      </c>
      <c r="B188" s="76">
        <v>3.0369000000000002</v>
      </c>
      <c r="C188" s="231"/>
    </row>
    <row r="189" spans="1:3" x14ac:dyDescent="0.2">
      <c r="A189" s="65">
        <v>33269</v>
      </c>
      <c r="B189" s="76">
        <v>4.976</v>
      </c>
      <c r="C189" s="231"/>
    </row>
    <row r="190" spans="1:3" x14ac:dyDescent="0.2">
      <c r="A190" s="65">
        <v>33297</v>
      </c>
      <c r="B190" s="76">
        <v>4.976</v>
      </c>
      <c r="C190" s="231"/>
    </row>
    <row r="191" spans="1:3" x14ac:dyDescent="0.2">
      <c r="A191" s="65">
        <v>33328</v>
      </c>
      <c r="B191" s="76">
        <v>4.976</v>
      </c>
      <c r="C191" s="231"/>
    </row>
    <row r="192" spans="1:3" x14ac:dyDescent="0.2">
      <c r="A192" s="65">
        <v>33358</v>
      </c>
      <c r="B192" s="76">
        <v>-0.14630000000000001</v>
      </c>
      <c r="C192" s="231"/>
    </row>
    <row r="193" spans="1:3" x14ac:dyDescent="0.2">
      <c r="A193" s="65">
        <v>33389</v>
      </c>
      <c r="B193" s="76">
        <v>-0.14630000000000001</v>
      </c>
      <c r="C193" s="231"/>
    </row>
    <row r="194" spans="1:3" x14ac:dyDescent="0.2">
      <c r="A194" s="65">
        <v>33419</v>
      </c>
      <c r="B194" s="76">
        <v>-0.14630000000000001</v>
      </c>
      <c r="C194" s="231"/>
    </row>
    <row r="195" spans="1:3" x14ac:dyDescent="0.2">
      <c r="A195" s="65">
        <v>33450</v>
      </c>
      <c r="B195" s="76">
        <v>1.92</v>
      </c>
      <c r="C195" s="231"/>
    </row>
    <row r="196" spans="1:3" x14ac:dyDescent="0.2">
      <c r="A196" s="65">
        <v>33481</v>
      </c>
      <c r="B196" s="76">
        <v>1.9209000000000001</v>
      </c>
      <c r="C196" s="231"/>
    </row>
    <row r="197" spans="1:3" x14ac:dyDescent="0.2">
      <c r="A197" s="65">
        <v>33511</v>
      </c>
      <c r="B197" s="76">
        <v>1.9209000000000001</v>
      </c>
      <c r="C197" s="231"/>
    </row>
    <row r="198" spans="1:3" x14ac:dyDescent="0.2">
      <c r="A198" s="65">
        <v>33542</v>
      </c>
      <c r="B198" s="76">
        <v>2.56</v>
      </c>
      <c r="C198" s="231"/>
    </row>
    <row r="199" spans="1:3" x14ac:dyDescent="0.2">
      <c r="A199" s="65">
        <v>33572</v>
      </c>
      <c r="B199" s="76">
        <v>2.56</v>
      </c>
      <c r="C199" s="231"/>
    </row>
    <row r="200" spans="1:3" x14ac:dyDescent="0.2">
      <c r="A200" s="65">
        <v>33603</v>
      </c>
      <c r="B200" s="76">
        <v>2.56</v>
      </c>
      <c r="C200" s="231"/>
    </row>
    <row r="201" spans="1:3" x14ac:dyDescent="0.2">
      <c r="A201" s="65">
        <v>33634</v>
      </c>
      <c r="B201" s="76">
        <v>-8.3400000000000002E-2</v>
      </c>
      <c r="C201" s="231"/>
    </row>
    <row r="202" spans="1:3" x14ac:dyDescent="0.2">
      <c r="A202" s="65">
        <v>33663</v>
      </c>
      <c r="B202" s="76">
        <v>-8.3400000000000002E-2</v>
      </c>
      <c r="C202" s="231"/>
    </row>
    <row r="203" spans="1:3" x14ac:dyDescent="0.2">
      <c r="A203" s="65">
        <v>33694</v>
      </c>
      <c r="B203" s="76">
        <v>-8.3400000000000002E-2</v>
      </c>
      <c r="C203" s="231"/>
    </row>
    <row r="204" spans="1:3" x14ac:dyDescent="0.2">
      <c r="A204" s="65">
        <v>33724</v>
      </c>
      <c r="B204" s="76">
        <v>0.30199999999999999</v>
      </c>
      <c r="C204" s="231"/>
    </row>
    <row r="205" spans="1:3" x14ac:dyDescent="0.2">
      <c r="A205" s="65">
        <v>33755</v>
      </c>
      <c r="B205" s="76">
        <v>0.30199999999999999</v>
      </c>
      <c r="C205" s="231"/>
    </row>
    <row r="206" spans="1:3" x14ac:dyDescent="0.2">
      <c r="A206" s="65">
        <v>33785</v>
      </c>
      <c r="B206" s="76">
        <v>0.30199999999999999</v>
      </c>
      <c r="C206" s="231"/>
    </row>
    <row r="207" spans="1:3" x14ac:dyDescent="0.2">
      <c r="A207" s="65">
        <v>33816</v>
      </c>
      <c r="B207" s="76">
        <v>0.82</v>
      </c>
      <c r="C207" s="231"/>
    </row>
    <row r="208" spans="1:3" x14ac:dyDescent="0.2">
      <c r="A208" s="65">
        <v>33847</v>
      </c>
      <c r="B208" s="76">
        <v>0.82</v>
      </c>
      <c r="C208" s="231"/>
    </row>
    <row r="209" spans="1:3" x14ac:dyDescent="0.2">
      <c r="A209" s="65">
        <v>33877</v>
      </c>
      <c r="B209" s="76">
        <v>0.82</v>
      </c>
      <c r="C209" s="231"/>
    </row>
    <row r="210" spans="1:3" x14ac:dyDescent="0.2">
      <c r="A210" s="65">
        <v>33908</v>
      </c>
      <c r="B210" s="76">
        <v>2.0381999999999998</v>
      </c>
      <c r="C210" s="231"/>
    </row>
    <row r="211" spans="1:3" x14ac:dyDescent="0.2">
      <c r="A211" s="65">
        <v>33938</v>
      </c>
      <c r="B211" s="76">
        <v>2.0381999999999998</v>
      </c>
      <c r="C211" s="231"/>
    </row>
    <row r="212" spans="1:3" x14ac:dyDescent="0.2">
      <c r="A212" s="65">
        <v>33969</v>
      </c>
      <c r="B212" s="76">
        <v>2.0381999999999998</v>
      </c>
      <c r="C212" s="231"/>
    </row>
    <row r="213" spans="1:3" x14ac:dyDescent="0.2">
      <c r="A213" s="65">
        <v>34000</v>
      </c>
      <c r="B213" s="76">
        <v>1.51</v>
      </c>
      <c r="C213" s="231"/>
    </row>
    <row r="214" spans="1:3" x14ac:dyDescent="0.2">
      <c r="A214" s="65">
        <v>34028</v>
      </c>
      <c r="B214" s="76">
        <v>1.51</v>
      </c>
      <c r="C214" s="231"/>
    </row>
    <row r="215" spans="1:3" x14ac:dyDescent="0.2">
      <c r="A215" s="65">
        <v>34059</v>
      </c>
      <c r="B215" s="76">
        <v>1.51</v>
      </c>
      <c r="C215" s="231"/>
    </row>
    <row r="216" spans="1:3" x14ac:dyDescent="0.2">
      <c r="A216" s="65">
        <v>34089</v>
      </c>
      <c r="B216" s="76">
        <v>0.27260000000000001</v>
      </c>
      <c r="C216" s="231"/>
    </row>
    <row r="217" spans="1:3" x14ac:dyDescent="0.2">
      <c r="A217" s="65">
        <v>34120</v>
      </c>
      <c r="B217" s="76">
        <v>0.27260000000000001</v>
      </c>
      <c r="C217" s="231"/>
    </row>
    <row r="218" spans="1:3" x14ac:dyDescent="0.2">
      <c r="A218" s="65">
        <v>34150</v>
      </c>
      <c r="B218" s="76">
        <v>0.27260000000000001</v>
      </c>
      <c r="C218" s="231"/>
    </row>
    <row r="219" spans="1:3" x14ac:dyDescent="0.2">
      <c r="A219" s="65">
        <v>34181</v>
      </c>
      <c r="B219" s="76">
        <v>1.1121000000000001</v>
      </c>
      <c r="C219" s="231"/>
    </row>
    <row r="220" spans="1:3" x14ac:dyDescent="0.2">
      <c r="A220" s="65">
        <v>34212</v>
      </c>
      <c r="B220" s="76">
        <v>1.121</v>
      </c>
      <c r="C220" s="231"/>
    </row>
    <row r="221" spans="1:3" x14ac:dyDescent="0.2">
      <c r="A221" s="65">
        <v>34242</v>
      </c>
      <c r="B221" s="76">
        <v>1.121</v>
      </c>
      <c r="C221" s="231"/>
    </row>
    <row r="222" spans="1:3" x14ac:dyDescent="0.2">
      <c r="A222" s="65">
        <v>34273</v>
      </c>
      <c r="B222" s="76">
        <v>0.85929999999999995</v>
      </c>
      <c r="C222" s="231"/>
    </row>
    <row r="223" spans="1:3" x14ac:dyDescent="0.2">
      <c r="A223" s="65">
        <v>34303</v>
      </c>
      <c r="B223" s="76">
        <v>0.85929999999999995</v>
      </c>
      <c r="C223" s="231"/>
    </row>
    <row r="224" spans="1:3" x14ac:dyDescent="0.2">
      <c r="A224" s="65">
        <v>34334</v>
      </c>
      <c r="B224" s="76">
        <v>0.85929999999999995</v>
      </c>
      <c r="C224" s="231"/>
    </row>
    <row r="225" spans="1:3" x14ac:dyDescent="0.2">
      <c r="A225" s="65">
        <v>34365</v>
      </c>
      <c r="B225" s="76">
        <v>-1.1123000000000001</v>
      </c>
      <c r="C225" s="231"/>
    </row>
    <row r="226" spans="1:3" x14ac:dyDescent="0.2">
      <c r="A226" s="65">
        <v>34393</v>
      </c>
      <c r="B226" s="76">
        <v>-1.1123000000000001</v>
      </c>
      <c r="C226" s="231"/>
    </row>
    <row r="227" spans="1:3" x14ac:dyDescent="0.2">
      <c r="A227" s="65">
        <v>34424</v>
      </c>
      <c r="B227" s="76">
        <v>-1.1123000000000001</v>
      </c>
      <c r="C227" s="231"/>
    </row>
    <row r="228" spans="1:3" x14ac:dyDescent="0.2">
      <c r="A228" s="65">
        <v>34454</v>
      </c>
      <c r="B228" s="76">
        <v>4.6600000000000003E-2</v>
      </c>
      <c r="C228" s="231"/>
    </row>
    <row r="229" spans="1:3" x14ac:dyDescent="0.2">
      <c r="A229" s="65">
        <v>34485</v>
      </c>
      <c r="B229" s="76">
        <v>4.6600000000000003E-2</v>
      </c>
      <c r="C229" s="231"/>
    </row>
    <row r="230" spans="1:3" x14ac:dyDescent="0.2">
      <c r="A230" s="65">
        <v>34515</v>
      </c>
      <c r="B230" s="76">
        <v>4.6600000000000003E-2</v>
      </c>
      <c r="C230" s="231"/>
    </row>
    <row r="231" spans="1:3" x14ac:dyDescent="0.2">
      <c r="A231" s="65">
        <v>34546</v>
      </c>
      <c r="B231" s="76">
        <v>1.5783</v>
      </c>
      <c r="C231" s="231"/>
    </row>
    <row r="232" spans="1:3" x14ac:dyDescent="0.2">
      <c r="A232" s="65">
        <v>34577</v>
      </c>
      <c r="B232" s="76">
        <v>1.5783</v>
      </c>
      <c r="C232" s="231"/>
    </row>
    <row r="233" spans="1:3" x14ac:dyDescent="0.2">
      <c r="A233" s="65">
        <v>34607</v>
      </c>
      <c r="B233" s="76">
        <v>1.5783</v>
      </c>
      <c r="C233" s="231"/>
    </row>
    <row r="234" spans="1:3" x14ac:dyDescent="0.2">
      <c r="A234" s="65">
        <v>34638</v>
      </c>
      <c r="B234" s="76">
        <v>-0.10340000000000001</v>
      </c>
      <c r="C234" s="231"/>
    </row>
    <row r="235" spans="1:3" x14ac:dyDescent="0.2">
      <c r="A235" s="65">
        <v>34668</v>
      </c>
      <c r="B235" s="76">
        <v>-0.10340000000000001</v>
      </c>
      <c r="C235" s="231"/>
    </row>
    <row r="236" spans="1:3" x14ac:dyDescent="0.2">
      <c r="A236" s="65">
        <v>34699</v>
      </c>
      <c r="B236" s="76">
        <v>-0.10340000000000001</v>
      </c>
      <c r="C236" s="231"/>
    </row>
    <row r="237" spans="1:3" x14ac:dyDescent="0.2">
      <c r="A237" s="65">
        <v>34730</v>
      </c>
      <c r="B237" s="76">
        <v>2.9897</v>
      </c>
      <c r="C237" s="231"/>
    </row>
    <row r="238" spans="1:3" x14ac:dyDescent="0.2">
      <c r="A238" s="65">
        <v>34758</v>
      </c>
      <c r="B238" s="76">
        <v>2.9897</v>
      </c>
      <c r="C238" s="231"/>
    </row>
    <row r="239" spans="1:3" x14ac:dyDescent="0.2">
      <c r="A239" s="65">
        <v>34789</v>
      </c>
      <c r="B239" s="76">
        <v>2.9897</v>
      </c>
      <c r="C239" s="231"/>
    </row>
    <row r="240" spans="1:3" x14ac:dyDescent="0.2">
      <c r="A240" s="65">
        <v>34819</v>
      </c>
      <c r="B240" s="76">
        <v>2.8639000000000001</v>
      </c>
      <c r="C240" s="231"/>
    </row>
    <row r="241" spans="1:3" x14ac:dyDescent="0.2">
      <c r="A241" s="65">
        <v>34850</v>
      </c>
      <c r="B241" s="76">
        <v>2.8639000000000001</v>
      </c>
      <c r="C241" s="231"/>
    </row>
    <row r="242" spans="1:3" x14ac:dyDescent="0.2">
      <c r="A242" s="65">
        <v>34880</v>
      </c>
      <c r="B242" s="76">
        <v>2.8639000000000001</v>
      </c>
      <c r="C242" s="231"/>
    </row>
    <row r="243" spans="1:3" x14ac:dyDescent="0.2">
      <c r="A243" s="65">
        <v>34911</v>
      </c>
      <c r="B243" s="76">
        <v>2.6017000000000001</v>
      </c>
      <c r="C243" s="231"/>
    </row>
    <row r="244" spans="1:3" x14ac:dyDescent="0.2">
      <c r="A244" s="65">
        <v>34942</v>
      </c>
      <c r="B244" s="76">
        <v>2.6017000000000001</v>
      </c>
      <c r="C244" s="231"/>
    </row>
    <row r="245" spans="1:3" x14ac:dyDescent="0.2">
      <c r="A245" s="65">
        <v>34972</v>
      </c>
      <c r="B245" s="76">
        <v>2.6017000000000001</v>
      </c>
      <c r="C245" s="231"/>
    </row>
    <row r="246" spans="1:3" x14ac:dyDescent="0.2">
      <c r="A246" s="65">
        <v>35003</v>
      </c>
      <c r="B246" s="76">
        <v>1.8777999999999999</v>
      </c>
      <c r="C246" s="231"/>
    </row>
    <row r="247" spans="1:3" x14ac:dyDescent="0.2">
      <c r="A247" s="65">
        <v>35033</v>
      </c>
      <c r="B247" s="76">
        <v>1.8777999999999999</v>
      </c>
      <c r="C247" s="231"/>
    </row>
    <row r="248" spans="1:3" x14ac:dyDescent="0.2">
      <c r="A248" s="65">
        <v>35064</v>
      </c>
      <c r="B248" s="76">
        <v>1.8777999999999999</v>
      </c>
      <c r="C248" s="231"/>
    </row>
    <row r="249" spans="1:3" x14ac:dyDescent="0.2">
      <c r="A249" s="65">
        <v>35095</v>
      </c>
      <c r="B249" s="76">
        <v>1.7074</v>
      </c>
      <c r="C249" s="231"/>
    </row>
    <row r="250" spans="1:3" x14ac:dyDescent="0.2">
      <c r="A250" s="65">
        <v>35124</v>
      </c>
      <c r="B250" s="76">
        <v>1.7074</v>
      </c>
      <c r="C250" s="231"/>
    </row>
    <row r="251" spans="1:3" x14ac:dyDescent="0.2">
      <c r="A251" s="65">
        <v>35155</v>
      </c>
      <c r="B251" s="76">
        <v>1.7074</v>
      </c>
      <c r="C251" s="231"/>
    </row>
    <row r="252" spans="1:3" x14ac:dyDescent="0.2">
      <c r="A252" s="65">
        <v>35185</v>
      </c>
      <c r="B252" s="76">
        <v>1.1956</v>
      </c>
      <c r="C252" s="231"/>
    </row>
    <row r="253" spans="1:3" x14ac:dyDescent="0.2">
      <c r="A253" s="65">
        <v>35216</v>
      </c>
      <c r="B253" s="76">
        <v>1.1956</v>
      </c>
      <c r="C253" s="231"/>
    </row>
    <row r="254" spans="1:3" x14ac:dyDescent="0.2">
      <c r="A254" s="65">
        <v>35246</v>
      </c>
      <c r="B254" s="76">
        <v>1.1956</v>
      </c>
      <c r="C254" s="231"/>
    </row>
    <row r="255" spans="1:3" x14ac:dyDescent="0.2">
      <c r="A255" s="65">
        <v>35277</v>
      </c>
      <c r="B255" s="76">
        <v>1.2217</v>
      </c>
      <c r="C255" s="231"/>
    </row>
    <row r="256" spans="1:3" x14ac:dyDescent="0.2">
      <c r="A256" s="65">
        <v>35308</v>
      </c>
      <c r="B256" s="76">
        <v>1.2217</v>
      </c>
      <c r="C256" s="231"/>
    </row>
    <row r="257" spans="1:3" x14ac:dyDescent="0.2">
      <c r="A257" s="65">
        <v>35338</v>
      </c>
      <c r="B257" s="76">
        <v>1.2217</v>
      </c>
      <c r="C257" s="231"/>
    </row>
    <row r="258" spans="1:3" x14ac:dyDescent="0.2">
      <c r="A258" s="65">
        <v>35369</v>
      </c>
      <c r="B258" s="76">
        <v>2.5034999999999998</v>
      </c>
      <c r="C258" s="231"/>
    </row>
    <row r="259" spans="1:3" x14ac:dyDescent="0.2">
      <c r="A259" s="65">
        <v>35399</v>
      </c>
      <c r="B259" s="76">
        <v>2.5034999999999998</v>
      </c>
      <c r="C259" s="231"/>
    </row>
    <row r="260" spans="1:3" x14ac:dyDescent="0.2">
      <c r="A260" s="65">
        <v>35430</v>
      </c>
      <c r="B260" s="76">
        <v>2.5034999999999998</v>
      </c>
      <c r="C260" s="231"/>
    </row>
    <row r="261" spans="1:3" x14ac:dyDescent="0.2">
      <c r="A261" s="65">
        <v>35461</v>
      </c>
      <c r="B261" s="76">
        <v>5.65</v>
      </c>
      <c r="C261" s="231"/>
    </row>
    <row r="262" spans="1:3" x14ac:dyDescent="0.2">
      <c r="A262" s="65">
        <v>35489</v>
      </c>
      <c r="B262" s="76">
        <v>0.19</v>
      </c>
      <c r="C262" s="231"/>
    </row>
    <row r="263" spans="1:3" x14ac:dyDescent="0.2">
      <c r="A263" s="65">
        <v>35520</v>
      </c>
      <c r="B263" s="76">
        <v>-4.18</v>
      </c>
      <c r="C263" s="231"/>
    </row>
    <row r="264" spans="1:3" x14ac:dyDescent="0.2">
      <c r="A264" s="65">
        <v>35550</v>
      </c>
      <c r="B264" s="76">
        <v>4.9000000000000004</v>
      </c>
      <c r="C264" s="231"/>
    </row>
    <row r="265" spans="1:3" x14ac:dyDescent="0.2">
      <c r="A265" s="65">
        <v>35581</v>
      </c>
      <c r="B265" s="76">
        <v>6.79</v>
      </c>
      <c r="C265" s="231"/>
    </row>
    <row r="266" spans="1:3" x14ac:dyDescent="0.2">
      <c r="A266" s="65">
        <v>35611</v>
      </c>
      <c r="B266" s="76">
        <v>4.0199999999999996</v>
      </c>
      <c r="C266" s="231"/>
    </row>
    <row r="267" spans="1:3" x14ac:dyDescent="0.2">
      <c r="A267" s="65">
        <v>35642</v>
      </c>
      <c r="B267" s="76">
        <v>8.56</v>
      </c>
      <c r="C267" s="231"/>
    </row>
    <row r="268" spans="1:3" x14ac:dyDescent="0.2">
      <c r="A268" s="65">
        <v>35673</v>
      </c>
      <c r="B268" s="76">
        <v>-4.46</v>
      </c>
      <c r="C268" s="231"/>
    </row>
    <row r="269" spans="1:3" x14ac:dyDescent="0.2">
      <c r="A269" s="65">
        <v>35703</v>
      </c>
      <c r="B269" s="76">
        <v>5.31</v>
      </c>
      <c r="C269" s="231"/>
    </row>
    <row r="270" spans="1:3" x14ac:dyDescent="0.2">
      <c r="A270" s="65">
        <v>35734</v>
      </c>
      <c r="B270" s="76">
        <v>-3.31</v>
      </c>
      <c r="C270" s="231"/>
    </row>
    <row r="271" spans="1:3" x14ac:dyDescent="0.2">
      <c r="A271" s="65">
        <v>35764</v>
      </c>
      <c r="B271" s="76">
        <v>3.86</v>
      </c>
      <c r="C271" s="231"/>
    </row>
    <row r="272" spans="1:3" x14ac:dyDescent="0.2">
      <c r="A272" s="65">
        <v>35795</v>
      </c>
      <c r="B272" s="76">
        <v>1.69</v>
      </c>
      <c r="C272" s="231"/>
    </row>
    <row r="273" spans="1:3" x14ac:dyDescent="0.2">
      <c r="A273" s="65">
        <v>35826</v>
      </c>
      <c r="B273" s="76">
        <v>0.82</v>
      </c>
      <c r="C273" s="231"/>
    </row>
    <row r="274" spans="1:3" x14ac:dyDescent="0.2">
      <c r="A274" s="65">
        <v>35854</v>
      </c>
      <c r="B274" s="76">
        <v>7.29</v>
      </c>
      <c r="C274" s="231"/>
    </row>
    <row r="275" spans="1:3" x14ac:dyDescent="0.2">
      <c r="A275" s="65">
        <v>35885</v>
      </c>
      <c r="B275" s="76">
        <v>5.16</v>
      </c>
      <c r="C275" s="231"/>
    </row>
    <row r="276" spans="1:3" x14ac:dyDescent="0.2">
      <c r="A276" s="65">
        <v>35915</v>
      </c>
      <c r="B276" s="76">
        <v>1.1599999999999999</v>
      </c>
      <c r="C276" s="231"/>
    </row>
    <row r="277" spans="1:3" x14ac:dyDescent="0.2">
      <c r="A277" s="65">
        <v>35946</v>
      </c>
      <c r="B277" s="76">
        <v>-1.9</v>
      </c>
      <c r="C277" s="231"/>
    </row>
    <row r="278" spans="1:3" x14ac:dyDescent="0.2">
      <c r="A278" s="65">
        <v>35976</v>
      </c>
      <c r="B278" s="76">
        <v>3.36</v>
      </c>
      <c r="C278" s="231"/>
    </row>
    <row r="279" spans="1:3" x14ac:dyDescent="0.2">
      <c r="A279" s="65">
        <v>36007</v>
      </c>
      <c r="B279" s="76">
        <v>-1.59</v>
      </c>
      <c r="C279" s="231"/>
    </row>
    <row r="280" spans="1:3" x14ac:dyDescent="0.2">
      <c r="A280" s="65">
        <v>36038</v>
      </c>
      <c r="B280" s="76">
        <v>-14.75</v>
      </c>
      <c r="C280" s="231"/>
    </row>
    <row r="281" spans="1:3" x14ac:dyDescent="0.2">
      <c r="A281" s="65">
        <v>36068</v>
      </c>
      <c r="B281" s="76">
        <v>6.26</v>
      </c>
      <c r="C281" s="231"/>
    </row>
    <row r="282" spans="1:3" x14ac:dyDescent="0.2">
      <c r="A282" s="65">
        <v>36099</v>
      </c>
      <c r="B282" s="76">
        <v>7.98</v>
      </c>
      <c r="C282" s="231"/>
    </row>
    <row r="283" spans="1:3" x14ac:dyDescent="0.2">
      <c r="A283" s="65">
        <v>36129</v>
      </c>
      <c r="B283" s="76">
        <v>12.11</v>
      </c>
      <c r="C283" s="231"/>
    </row>
    <row r="284" spans="1:3" x14ac:dyDescent="0.2">
      <c r="A284" s="65">
        <v>36160</v>
      </c>
      <c r="B284" s="76">
        <v>1.39</v>
      </c>
      <c r="C284" s="231"/>
    </row>
    <row r="285" spans="1:3" x14ac:dyDescent="0.2">
      <c r="A285" s="65">
        <v>36191</v>
      </c>
      <c r="B285" s="76">
        <v>3.71</v>
      </c>
      <c r="C285" s="231"/>
    </row>
    <row r="286" spans="1:3" x14ac:dyDescent="0.2">
      <c r="A286" s="65">
        <v>36219</v>
      </c>
      <c r="B286" s="76">
        <v>-3.48</v>
      </c>
      <c r="C286" s="231"/>
    </row>
    <row r="287" spans="1:3" x14ac:dyDescent="0.2">
      <c r="A287" s="65">
        <v>36250</v>
      </c>
      <c r="B287" s="76">
        <v>3.71</v>
      </c>
      <c r="C287" s="231"/>
    </row>
    <row r="288" spans="1:3" x14ac:dyDescent="0.2">
      <c r="A288" s="65">
        <v>36280</v>
      </c>
      <c r="B288" s="76">
        <v>4.43</v>
      </c>
      <c r="C288" s="231"/>
    </row>
    <row r="289" spans="1:3" x14ac:dyDescent="0.2">
      <c r="A289" s="65">
        <v>36311</v>
      </c>
      <c r="B289" s="76">
        <v>-1.79</v>
      </c>
      <c r="C289" s="231"/>
    </row>
    <row r="290" spans="1:3" x14ac:dyDescent="0.2">
      <c r="A290" s="65">
        <v>36341</v>
      </c>
      <c r="B290" s="76">
        <v>5.4</v>
      </c>
      <c r="C290" s="231"/>
    </row>
    <row r="291" spans="1:3" x14ac:dyDescent="0.2">
      <c r="A291" s="65">
        <v>36372</v>
      </c>
      <c r="B291" s="76">
        <v>-2.83</v>
      </c>
      <c r="C291" s="231"/>
    </row>
    <row r="292" spans="1:3" x14ac:dyDescent="0.2">
      <c r="A292" s="65">
        <v>36403</v>
      </c>
      <c r="B292" s="76">
        <v>-0.86</v>
      </c>
      <c r="C292" s="231"/>
    </row>
    <row r="293" spans="1:3" x14ac:dyDescent="0.2">
      <c r="A293" s="65">
        <v>36433</v>
      </c>
      <c r="B293" s="76">
        <v>-2.71</v>
      </c>
      <c r="C293" s="231"/>
    </row>
    <row r="294" spans="1:3" x14ac:dyDescent="0.2">
      <c r="A294" s="65">
        <v>36464</v>
      </c>
      <c r="B294" s="76">
        <v>5.74</v>
      </c>
      <c r="C294" s="231"/>
    </row>
    <row r="295" spans="1:3" x14ac:dyDescent="0.2">
      <c r="A295" s="65">
        <v>36494</v>
      </c>
      <c r="B295" s="76">
        <v>2.15</v>
      </c>
      <c r="C295" s="231"/>
    </row>
    <row r="296" spans="1:3" x14ac:dyDescent="0.2">
      <c r="A296" s="65">
        <v>36525</v>
      </c>
      <c r="B296" s="76">
        <v>5.83</v>
      </c>
      <c r="C296" s="231"/>
    </row>
    <row r="297" spans="1:3" x14ac:dyDescent="0.2">
      <c r="A297" s="65">
        <v>36556</v>
      </c>
      <c r="B297" s="76">
        <v>-4.84</v>
      </c>
      <c r="C297" s="231"/>
    </row>
    <row r="298" spans="1:3" x14ac:dyDescent="0.2">
      <c r="A298" s="65">
        <v>36585</v>
      </c>
      <c r="B298" s="76">
        <v>-0.08</v>
      </c>
      <c r="C298" s="231"/>
    </row>
    <row r="299" spans="1:3" x14ac:dyDescent="0.2">
      <c r="A299" s="65">
        <v>36616</v>
      </c>
      <c r="B299" s="76">
        <v>8.93</v>
      </c>
      <c r="C299" s="231"/>
    </row>
    <row r="300" spans="1:3" x14ac:dyDescent="0.2">
      <c r="A300" s="65">
        <v>36646</v>
      </c>
      <c r="B300" s="76">
        <v>-3.49</v>
      </c>
      <c r="C300" s="231"/>
    </row>
    <row r="301" spans="1:3" x14ac:dyDescent="0.2">
      <c r="A301" s="65">
        <v>36677</v>
      </c>
      <c r="B301" s="76">
        <v>-2.1800000000000002</v>
      </c>
      <c r="C301" s="231"/>
    </row>
    <row r="302" spans="1:3" x14ac:dyDescent="0.2">
      <c r="A302" s="65">
        <v>36707</v>
      </c>
      <c r="B302" s="76">
        <v>2.62</v>
      </c>
      <c r="C302" s="231"/>
    </row>
    <row r="303" spans="1:3" x14ac:dyDescent="0.2">
      <c r="A303" s="65">
        <v>36738</v>
      </c>
      <c r="B303" s="76">
        <v>-1.21</v>
      </c>
      <c r="C303" s="231"/>
    </row>
    <row r="304" spans="1:3" x14ac:dyDescent="0.2">
      <c r="A304" s="65">
        <v>36769</v>
      </c>
      <c r="B304" s="76">
        <v>6.75</v>
      </c>
      <c r="C304" s="231"/>
    </row>
    <row r="305" spans="1:3" x14ac:dyDescent="0.2">
      <c r="A305" s="65">
        <v>36799</v>
      </c>
      <c r="B305" s="76">
        <v>-4.7699999999999996</v>
      </c>
      <c r="C305" s="231"/>
    </row>
    <row r="306" spans="1:3" x14ac:dyDescent="0.2">
      <c r="A306" s="65">
        <v>36830</v>
      </c>
      <c r="B306" s="76">
        <v>-0.78</v>
      </c>
      <c r="C306" s="231"/>
    </row>
    <row r="307" spans="1:3" x14ac:dyDescent="0.2">
      <c r="A307" s="65">
        <v>36860</v>
      </c>
      <c r="B307" s="76">
        <v>-8.19</v>
      </c>
      <c r="C307" s="231"/>
    </row>
    <row r="308" spans="1:3" x14ac:dyDescent="0.2">
      <c r="A308" s="65">
        <v>36891</v>
      </c>
      <c r="B308" s="76">
        <v>1.66</v>
      </c>
      <c r="C308" s="231"/>
    </row>
    <row r="309" spans="1:3" x14ac:dyDescent="0.2">
      <c r="A309" s="65">
        <v>36922</v>
      </c>
      <c r="B309" s="76">
        <v>3.62</v>
      </c>
      <c r="C309" s="231"/>
    </row>
    <row r="310" spans="1:3" x14ac:dyDescent="0.2">
      <c r="A310" s="65">
        <v>36950</v>
      </c>
      <c r="B310" s="76">
        <v>-8.4600000000000009</v>
      </c>
      <c r="C310" s="231"/>
    </row>
    <row r="311" spans="1:3" x14ac:dyDescent="0.2">
      <c r="A311" s="65">
        <v>36981</v>
      </c>
      <c r="B311" s="76">
        <v>-6.22</v>
      </c>
      <c r="C311" s="231"/>
    </row>
    <row r="312" spans="1:3" x14ac:dyDescent="0.2">
      <c r="A312" s="65">
        <v>37011</v>
      </c>
      <c r="B312" s="76">
        <v>8.1199999999999992</v>
      </c>
      <c r="C312" s="231"/>
    </row>
    <row r="313" spans="1:3" x14ac:dyDescent="0.2">
      <c r="A313" s="65">
        <v>37042</v>
      </c>
      <c r="B313" s="76">
        <v>1.06</v>
      </c>
      <c r="C313" s="231"/>
    </row>
    <row r="314" spans="1:3" x14ac:dyDescent="0.2">
      <c r="A314" s="65">
        <v>37072</v>
      </c>
      <c r="B314" s="76">
        <v>-1.82</v>
      </c>
      <c r="C314" s="231"/>
    </row>
    <row r="315" spans="1:3" x14ac:dyDescent="0.2">
      <c r="A315" s="65">
        <v>37103</v>
      </c>
      <c r="B315" s="76">
        <v>-1.27</v>
      </c>
      <c r="C315" s="231"/>
    </row>
    <row r="316" spans="1:3" x14ac:dyDescent="0.2">
      <c r="A316" s="65">
        <v>37134</v>
      </c>
      <c r="B316" s="76">
        <v>-5.66</v>
      </c>
      <c r="C316" s="231"/>
    </row>
    <row r="317" spans="1:3" x14ac:dyDescent="0.2">
      <c r="A317" s="65">
        <v>37164</v>
      </c>
      <c r="B317" s="76">
        <v>-8.98</v>
      </c>
      <c r="C317" s="231"/>
    </row>
    <row r="318" spans="1:3" x14ac:dyDescent="0.2">
      <c r="A318" s="65">
        <v>37195</v>
      </c>
      <c r="B318" s="76">
        <v>2.42</v>
      </c>
      <c r="C318" s="231"/>
    </row>
    <row r="319" spans="1:3" x14ac:dyDescent="0.2">
      <c r="A319" s="65">
        <v>37225</v>
      </c>
      <c r="B319" s="76">
        <v>7.8</v>
      </c>
      <c r="C319" s="231"/>
    </row>
    <row r="320" spans="1:3" x14ac:dyDescent="0.2">
      <c r="A320" s="65">
        <v>37256</v>
      </c>
      <c r="B320" s="76">
        <v>1.59</v>
      </c>
      <c r="C320" s="231"/>
    </row>
    <row r="321" spans="1:3" x14ac:dyDescent="0.2">
      <c r="A321" s="65">
        <v>37287</v>
      </c>
      <c r="B321" s="76">
        <v>-1.6</v>
      </c>
      <c r="C321" s="231"/>
    </row>
    <row r="322" spans="1:3" x14ac:dyDescent="0.2">
      <c r="A322" s="65">
        <v>37315</v>
      </c>
      <c r="B322" s="76">
        <v>-1.89</v>
      </c>
      <c r="C322" s="231"/>
    </row>
    <row r="323" spans="1:3" x14ac:dyDescent="0.2">
      <c r="A323" s="65">
        <v>37346</v>
      </c>
      <c r="B323" s="76">
        <v>4.3600000000000003</v>
      </c>
      <c r="C323" s="231"/>
    </row>
    <row r="324" spans="1:3" x14ac:dyDescent="0.2">
      <c r="A324" s="65">
        <v>37376</v>
      </c>
      <c r="B324" s="76">
        <v>-5</v>
      </c>
      <c r="C324" s="231">
        <v>9135948518</v>
      </c>
    </row>
    <row r="325" spans="1:3" x14ac:dyDescent="0.2">
      <c r="A325" s="65">
        <v>37407</v>
      </c>
      <c r="B325" s="76">
        <v>-1.05</v>
      </c>
      <c r="C325" s="231">
        <v>9032144658</v>
      </c>
    </row>
    <row r="326" spans="1:3" x14ac:dyDescent="0.2">
      <c r="A326" s="65">
        <v>37437</v>
      </c>
      <c r="B326" s="76">
        <v>-7.04</v>
      </c>
      <c r="C326" s="231">
        <v>7713249973</v>
      </c>
    </row>
    <row r="327" spans="1:3" x14ac:dyDescent="0.2">
      <c r="A327" s="65">
        <v>37468</v>
      </c>
      <c r="B327" s="76">
        <v>-8.4495000000000005</v>
      </c>
      <c r="C327" s="231">
        <v>9325361891.9099998</v>
      </c>
    </row>
    <row r="328" spans="1:3" x14ac:dyDescent="0.2">
      <c r="A328" s="65">
        <v>37499</v>
      </c>
      <c r="B328" s="76">
        <v>0.65059999999999996</v>
      </c>
      <c r="C328" s="231">
        <v>9760012970.0499992</v>
      </c>
    </row>
    <row r="329" spans="1:3" x14ac:dyDescent="0.2">
      <c r="A329" s="65">
        <v>37529</v>
      </c>
      <c r="B329" s="76">
        <v>-10.3851</v>
      </c>
      <c r="C329" s="231">
        <v>8803293847.6900005</v>
      </c>
    </row>
    <row r="330" spans="1:3" x14ac:dyDescent="0.2">
      <c r="A330" s="65">
        <v>37560</v>
      </c>
      <c r="B330" s="76">
        <v>7.7031999999999998</v>
      </c>
      <c r="C330" s="231">
        <v>9510707937.0100002</v>
      </c>
    </row>
    <row r="331" spans="1:3" x14ac:dyDescent="0.2">
      <c r="A331" s="65">
        <v>37590</v>
      </c>
      <c r="B331" s="76">
        <v>6.1231999999999998</v>
      </c>
      <c r="C331" s="231">
        <v>10149806678.219999</v>
      </c>
    </row>
    <row r="332" spans="1:3" x14ac:dyDescent="0.2">
      <c r="A332" s="65">
        <v>37621</v>
      </c>
      <c r="B332" s="76">
        <v>-5.8522999999999996</v>
      </c>
      <c r="C332" s="231">
        <v>9450701770.6200008</v>
      </c>
    </row>
    <row r="333" spans="1:3" x14ac:dyDescent="0.2">
      <c r="A333" s="65">
        <v>37652</v>
      </c>
      <c r="B333" s="76">
        <v>-2.5920999999999998</v>
      </c>
      <c r="C333" s="231">
        <v>9254240545.1800003</v>
      </c>
    </row>
    <row r="334" spans="1:3" x14ac:dyDescent="0.2">
      <c r="A334" s="65">
        <v>37680</v>
      </c>
      <c r="B334" s="76">
        <v>-1.7684</v>
      </c>
      <c r="C334" s="231">
        <v>9091593839.3899994</v>
      </c>
    </row>
    <row r="335" spans="1:3" x14ac:dyDescent="0.2">
      <c r="A335" s="65">
        <v>37711</v>
      </c>
      <c r="B335" s="76">
        <v>0.84899999999999998</v>
      </c>
      <c r="C335" s="231">
        <v>9170388232.0200005</v>
      </c>
    </row>
    <row r="336" spans="1:3" x14ac:dyDescent="0.2">
      <c r="A336" s="65">
        <v>37741</v>
      </c>
      <c r="B336" s="76">
        <v>8.3528000000000002</v>
      </c>
      <c r="C336" s="231">
        <v>9936405277.2099991</v>
      </c>
    </row>
    <row r="337" spans="1:3" x14ac:dyDescent="0.2">
      <c r="A337" s="65">
        <v>37772</v>
      </c>
      <c r="B337" s="76">
        <v>5.9878</v>
      </c>
      <c r="C337" s="231">
        <v>10382373424.82</v>
      </c>
    </row>
    <row r="338" spans="1:3" x14ac:dyDescent="0.2">
      <c r="A338" s="65">
        <v>37802</v>
      </c>
      <c r="B338" s="76">
        <v>1.3943000000000001</v>
      </c>
      <c r="C338" s="231">
        <v>10530635021.92</v>
      </c>
    </row>
    <row r="339" spans="1:3" x14ac:dyDescent="0.2">
      <c r="A339" s="65">
        <v>37833</v>
      </c>
      <c r="B339" s="76">
        <v>2.2646999999999999</v>
      </c>
      <c r="C339" s="231">
        <v>8992524517.3600006</v>
      </c>
    </row>
    <row r="340" spans="1:3" x14ac:dyDescent="0.2">
      <c r="A340" s="65">
        <v>37864</v>
      </c>
      <c r="B340" s="76">
        <v>2.6814</v>
      </c>
      <c r="C340" s="231">
        <v>9143207886.6299992</v>
      </c>
    </row>
    <row r="341" spans="1:3" x14ac:dyDescent="0.2">
      <c r="A341" s="65">
        <v>37894</v>
      </c>
      <c r="B341" s="76">
        <v>-1.1847000000000001</v>
      </c>
      <c r="C341" s="231">
        <v>8991988120.8299999</v>
      </c>
    </row>
    <row r="342" spans="1:3" x14ac:dyDescent="0.2">
      <c r="A342" s="65">
        <v>37925</v>
      </c>
      <c r="B342" s="76">
        <v>6.3673000000000002</v>
      </c>
      <c r="C342" s="231">
        <v>9564535702.5100002</v>
      </c>
    </row>
    <row r="343" spans="1:3" x14ac:dyDescent="0.2">
      <c r="A343" s="65">
        <v>37955</v>
      </c>
      <c r="B343" s="76">
        <v>1.5088999999999999</v>
      </c>
      <c r="C343" s="231">
        <v>9668819149.2199993</v>
      </c>
    </row>
    <row r="344" spans="1:3" x14ac:dyDescent="0.2">
      <c r="A344" s="65">
        <v>37986</v>
      </c>
      <c r="B344" s="76">
        <v>4.5240999999999998</v>
      </c>
      <c r="C344" s="231">
        <v>10107772781.889999</v>
      </c>
    </row>
    <row r="345" spans="1:3" x14ac:dyDescent="0.2">
      <c r="A345" s="65">
        <v>38017</v>
      </c>
      <c r="B345" s="76">
        <v>2.1297000000000001</v>
      </c>
      <c r="C345" s="231">
        <v>10553668970.540001</v>
      </c>
    </row>
    <row r="346" spans="1:3" x14ac:dyDescent="0.2">
      <c r="A346" s="65">
        <v>38046</v>
      </c>
      <c r="B346" s="76">
        <v>1.5347</v>
      </c>
      <c r="C346" s="231">
        <v>10715635934.67</v>
      </c>
    </row>
    <row r="347" spans="1:3" x14ac:dyDescent="0.2">
      <c r="A347" s="65">
        <v>38077</v>
      </c>
      <c r="B347" s="76">
        <v>-0.84989999999999999</v>
      </c>
      <c r="C347" s="231">
        <v>10627060558.889999</v>
      </c>
    </row>
    <row r="348" spans="1:3" x14ac:dyDescent="0.2">
      <c r="A348" s="65">
        <v>38107</v>
      </c>
      <c r="B348" s="76">
        <v>-2.1387</v>
      </c>
      <c r="C348" s="231">
        <v>10399793883.84</v>
      </c>
    </row>
    <row r="349" spans="1:3" x14ac:dyDescent="0.2">
      <c r="A349" s="65">
        <v>38138</v>
      </c>
      <c r="B349" s="76">
        <v>1.3516999999999999</v>
      </c>
      <c r="C349" s="231">
        <v>10540372756.690001</v>
      </c>
    </row>
    <row r="350" spans="1:3" x14ac:dyDescent="0.2">
      <c r="A350" s="65">
        <v>38168</v>
      </c>
      <c r="B350" s="76">
        <v>2.3414000000000001</v>
      </c>
      <c r="C350" s="231">
        <v>10790144059.41</v>
      </c>
    </row>
    <row r="351" spans="1:3" x14ac:dyDescent="0.2">
      <c r="A351" s="65">
        <v>38199</v>
      </c>
      <c r="B351" s="76">
        <v>-3.8603999999999998</v>
      </c>
      <c r="C351" s="231">
        <v>10375631022.73</v>
      </c>
    </row>
    <row r="352" spans="1:3" x14ac:dyDescent="0.2">
      <c r="A352" s="65">
        <v>38230</v>
      </c>
      <c r="B352" s="76">
        <v>0.28699999999999998</v>
      </c>
      <c r="C352" s="231">
        <v>10405187760.969999</v>
      </c>
    </row>
    <row r="353" spans="1:3" x14ac:dyDescent="0.2">
      <c r="A353" s="65">
        <v>38260</v>
      </c>
      <c r="B353" s="76">
        <v>1.9464999999999999</v>
      </c>
      <c r="C353" s="231">
        <v>10589309191.23</v>
      </c>
    </row>
    <row r="354" spans="1:3" x14ac:dyDescent="0.2">
      <c r="A354" s="65">
        <v>38291</v>
      </c>
      <c r="B354" s="76">
        <v>1.5124</v>
      </c>
      <c r="C354" s="231">
        <v>10706377821.379999</v>
      </c>
    </row>
    <row r="355" spans="1:3" x14ac:dyDescent="0.2">
      <c r="A355" s="65">
        <v>38321</v>
      </c>
      <c r="B355" s="76">
        <v>4.9013</v>
      </c>
      <c r="C355" s="231">
        <v>11191064621.66</v>
      </c>
    </row>
    <row r="356" spans="1:3" x14ac:dyDescent="0.2">
      <c r="A356" s="65">
        <v>38352</v>
      </c>
      <c r="B356" s="76">
        <v>3.3351000000000002</v>
      </c>
      <c r="C356" s="231">
        <v>11492141287.879999</v>
      </c>
    </row>
    <row r="357" spans="1:3" x14ac:dyDescent="0.2">
      <c r="A357" s="65">
        <v>38383</v>
      </c>
      <c r="B357" s="76">
        <v>-2.4811999999999999</v>
      </c>
      <c r="C357" s="231">
        <v>11149253044.049999</v>
      </c>
    </row>
    <row r="358" spans="1:3" x14ac:dyDescent="0.2">
      <c r="A358" s="65">
        <v>38411</v>
      </c>
      <c r="B358" s="76">
        <v>2.2917000000000001</v>
      </c>
      <c r="C358" s="231">
        <v>11404768858.709999</v>
      </c>
    </row>
    <row r="359" spans="1:3" x14ac:dyDescent="0.2">
      <c r="A359" s="65">
        <v>38442</v>
      </c>
      <c r="B359" s="76">
        <v>-1.8028999999999999</v>
      </c>
      <c r="C359" s="232">
        <v>11202715574.18</v>
      </c>
    </row>
    <row r="360" spans="1:3" x14ac:dyDescent="0.2">
      <c r="A360" s="65">
        <v>38472</v>
      </c>
      <c r="B360" s="76">
        <v>-2.6857000000000002</v>
      </c>
      <c r="C360" s="232">
        <v>10901843259.49</v>
      </c>
    </row>
    <row r="361" spans="1:3" x14ac:dyDescent="0.2">
      <c r="A361" s="65">
        <v>38503</v>
      </c>
      <c r="B361" s="76">
        <v>3.9340000000000002</v>
      </c>
      <c r="C361" s="232">
        <v>11286693217.76</v>
      </c>
    </row>
    <row r="362" spans="1:3" x14ac:dyDescent="0.2">
      <c r="A362" s="65">
        <v>38533</v>
      </c>
      <c r="B362" s="76">
        <v>0.9042</v>
      </c>
      <c r="C362" s="232">
        <v>11346490324.73</v>
      </c>
    </row>
    <row r="363" spans="1:3" x14ac:dyDescent="0.2">
      <c r="A363" s="65">
        <v>38564</v>
      </c>
      <c r="B363" s="76">
        <v>4.1025</v>
      </c>
      <c r="C363" s="232">
        <v>11733710012.26</v>
      </c>
    </row>
    <row r="364" spans="1:3" x14ac:dyDescent="0.2">
      <c r="A364" s="65">
        <v>38595</v>
      </c>
      <c r="B364" s="76">
        <v>-0.99060000000000004</v>
      </c>
      <c r="C364" s="232">
        <v>11617273846.879999</v>
      </c>
    </row>
    <row r="365" spans="1:3" x14ac:dyDescent="0.2">
      <c r="A365" s="65">
        <v>38625</v>
      </c>
      <c r="B365" s="253">
        <v>0.71760000000000002</v>
      </c>
      <c r="C365" s="256">
        <v>11703991308.91</v>
      </c>
    </row>
    <row r="366" spans="1:3" x14ac:dyDescent="0.2">
      <c r="A366" s="65">
        <v>38656</v>
      </c>
      <c r="B366" s="253">
        <v>-1.8520000000000001</v>
      </c>
      <c r="C366" s="256">
        <v>11457717630.690001</v>
      </c>
    </row>
    <row r="367" spans="1:3" x14ac:dyDescent="0.2">
      <c r="A367" s="65">
        <v>38686</v>
      </c>
      <c r="B367" s="253">
        <v>4.1135999999999999</v>
      </c>
      <c r="C367" s="256">
        <v>11855863664.940001</v>
      </c>
    </row>
    <row r="368" spans="1:3" x14ac:dyDescent="0.2">
      <c r="A368" s="65">
        <v>38717</v>
      </c>
      <c r="B368" s="253">
        <v>0.23549999999999999</v>
      </c>
      <c r="C368" s="256">
        <v>11809627561.530001</v>
      </c>
    </row>
    <row r="369" spans="1:4" x14ac:dyDescent="0.2">
      <c r="A369" s="65">
        <v>38748</v>
      </c>
      <c r="B369" s="253">
        <v>3.8933</v>
      </c>
      <c r="C369" s="256">
        <v>12269406187.879999</v>
      </c>
    </row>
    <row r="370" spans="1:4" x14ac:dyDescent="0.2">
      <c r="A370" s="65">
        <v>38776</v>
      </c>
      <c r="B370" s="253">
        <v>-5.9799999999999999E-2</v>
      </c>
      <c r="C370" s="256">
        <v>12262068222</v>
      </c>
    </row>
    <row r="371" spans="1:4" x14ac:dyDescent="0.2">
      <c r="A371" s="65">
        <v>38807</v>
      </c>
      <c r="B371" s="128">
        <v>1.8403</v>
      </c>
      <c r="C371" s="366">
        <v>12417928735.27</v>
      </c>
    </row>
    <row r="372" spans="1:4" x14ac:dyDescent="0.2">
      <c r="A372" s="65">
        <v>38837</v>
      </c>
      <c r="B372" s="128">
        <v>1.1882999999999999</v>
      </c>
      <c r="C372" s="366">
        <v>12565513594.48</v>
      </c>
    </row>
    <row r="373" spans="1:4" x14ac:dyDescent="0.2">
      <c r="A373" s="65">
        <v>38868</v>
      </c>
      <c r="B373" s="128">
        <v>-3.3904999999999998</v>
      </c>
      <c r="C373" s="366">
        <v>12139361736.860001</v>
      </c>
    </row>
    <row r="374" spans="1:4" x14ac:dyDescent="0.2">
      <c r="A374" s="65">
        <v>38898</v>
      </c>
      <c r="B374" s="128">
        <v>9.8799999999999999E-2</v>
      </c>
      <c r="C374" s="612">
        <v>12116749942.77</v>
      </c>
      <c r="D374" s="253"/>
    </row>
    <row r="375" spans="1:4" x14ac:dyDescent="0.2">
      <c r="A375" s="65">
        <v>38929</v>
      </c>
      <c r="B375" s="253">
        <v>-0.41439999999999999</v>
      </c>
      <c r="C375" s="34">
        <v>12016539885.4</v>
      </c>
      <c r="D375" s="253"/>
    </row>
    <row r="376" spans="1:4" x14ac:dyDescent="0.2">
      <c r="A376" s="65">
        <v>38960</v>
      </c>
      <c r="B376" s="253">
        <v>2.1791999999999998</v>
      </c>
      <c r="C376" s="34">
        <v>12218363012.59</v>
      </c>
      <c r="D376" s="253"/>
    </row>
    <row r="377" spans="1:4" x14ac:dyDescent="0.2">
      <c r="A377" s="65">
        <v>38990</v>
      </c>
      <c r="B377" s="253">
        <v>2.1513</v>
      </c>
      <c r="C377" s="34">
        <v>12469127706.360001</v>
      </c>
      <c r="D377" s="253"/>
    </row>
    <row r="378" spans="1:4" x14ac:dyDescent="0.2">
      <c r="A378" s="65">
        <v>39021</v>
      </c>
      <c r="B378" s="14">
        <v>3.5552999999999999</v>
      </c>
      <c r="C378" s="8">
        <v>12904815643.08</v>
      </c>
    </row>
    <row r="379" spans="1:4" x14ac:dyDescent="0.2">
      <c r="A379" s="65">
        <v>39051</v>
      </c>
      <c r="B379" s="14">
        <v>2.1396000000000002</v>
      </c>
      <c r="C379" s="8">
        <v>13179432562.209999</v>
      </c>
    </row>
    <row r="380" spans="1:4" x14ac:dyDescent="0.2">
      <c r="A380" s="65">
        <v>39082</v>
      </c>
      <c r="B380" s="14">
        <v>1.0575000000000001</v>
      </c>
      <c r="C380" s="352">
        <v>13245390261.83</v>
      </c>
    </row>
    <row r="381" spans="1:4" x14ac:dyDescent="0.2">
      <c r="A381" s="65">
        <v>39113</v>
      </c>
      <c r="B381" s="14">
        <v>1.9339999999999999</v>
      </c>
      <c r="C381" s="352">
        <v>13501003148.24</v>
      </c>
    </row>
    <row r="382" spans="1:4" x14ac:dyDescent="0.2">
      <c r="A382" s="65">
        <v>39141</v>
      </c>
      <c r="B382" s="14">
        <v>-1.3673999999999999</v>
      </c>
      <c r="C382" s="352">
        <v>13316407052.200001</v>
      </c>
    </row>
    <row r="383" spans="1:4" x14ac:dyDescent="0.2">
      <c r="A383" s="65">
        <v>39172</v>
      </c>
      <c r="B383" s="14">
        <v>1.2099</v>
      </c>
      <c r="C383" s="352">
        <v>13415117735.08</v>
      </c>
    </row>
    <row r="384" spans="1:4" x14ac:dyDescent="0.2">
      <c r="A384" s="65">
        <v>39202</v>
      </c>
      <c r="B384" s="14">
        <v>3.8883000000000001</v>
      </c>
      <c r="C384" s="352">
        <v>13835989460.23</v>
      </c>
    </row>
    <row r="385" spans="1:3" x14ac:dyDescent="0.2">
      <c r="A385" s="65">
        <v>39233</v>
      </c>
      <c r="B385" s="14">
        <v>3.8696000000000002</v>
      </c>
      <c r="C385" s="352">
        <v>14343322732.07</v>
      </c>
    </row>
    <row r="386" spans="1:3" x14ac:dyDescent="0.2">
      <c r="A386" s="65">
        <v>39263</v>
      </c>
      <c r="B386" s="14">
        <v>-1.7701</v>
      </c>
      <c r="C386" s="352">
        <v>14082470919.16</v>
      </c>
    </row>
    <row r="387" spans="1:3" x14ac:dyDescent="0.2">
      <c r="A387" s="65">
        <v>39294</v>
      </c>
      <c r="B387" s="14">
        <v>-3.6419999999999999</v>
      </c>
      <c r="C387" s="352">
        <v>13540126643.129999</v>
      </c>
    </row>
    <row r="388" spans="1:3" x14ac:dyDescent="0.2">
      <c r="A388" s="65">
        <v>39325</v>
      </c>
      <c r="B388" s="14">
        <v>1.3512999999999999</v>
      </c>
      <c r="C388" s="8">
        <v>13411524401.129999</v>
      </c>
    </row>
    <row r="389" spans="1:3" x14ac:dyDescent="0.2">
      <c r="A389" s="65">
        <v>39355</v>
      </c>
      <c r="B389" s="14">
        <v>3.306</v>
      </c>
      <c r="C389" s="8">
        <v>13811410517.65</v>
      </c>
    </row>
    <row r="390" spans="1:3" x14ac:dyDescent="0.2">
      <c r="A390" s="65">
        <v>39386</v>
      </c>
      <c r="B390" s="14">
        <v>1.7069000000000001</v>
      </c>
      <c r="C390" s="8">
        <v>14047171618.280001</v>
      </c>
    </row>
    <row r="391" spans="1:3" x14ac:dyDescent="0.2">
      <c r="A391" s="65">
        <v>39416</v>
      </c>
      <c r="B391" s="14">
        <v>-4.6529999999999996</v>
      </c>
      <c r="C391" s="8">
        <v>13278719530.790001</v>
      </c>
    </row>
    <row r="392" spans="1:3" x14ac:dyDescent="0.2">
      <c r="A392" s="65">
        <v>39447</v>
      </c>
      <c r="B392" s="14">
        <v>-0.56110000000000004</v>
      </c>
      <c r="C392" s="8">
        <v>13145899638.549999</v>
      </c>
    </row>
    <row r="393" spans="1:3" x14ac:dyDescent="0.2">
      <c r="A393" s="65">
        <v>39478</v>
      </c>
      <c r="B393" s="14">
        <v>-6.2183000000000002</v>
      </c>
      <c r="C393" s="8">
        <v>12303622479.75</v>
      </c>
    </row>
    <row r="394" spans="1:3" x14ac:dyDescent="0.2">
      <c r="A394" s="65">
        <v>39507</v>
      </c>
      <c r="B394" s="14">
        <v>-2.8370000000000002</v>
      </c>
      <c r="C394" s="8">
        <v>11894677088.469999</v>
      </c>
    </row>
    <row r="395" spans="1:3" x14ac:dyDescent="0.2">
      <c r="A395" s="65">
        <v>39538</v>
      </c>
      <c r="B395" s="14">
        <v>-0.58660000000000001</v>
      </c>
      <c r="C395" s="8">
        <v>11779616681.450001</v>
      </c>
    </row>
    <row r="396" spans="1:3" x14ac:dyDescent="0.2">
      <c r="A396" s="65">
        <v>39568</v>
      </c>
      <c r="B396" s="14">
        <v>5.4851000000000001</v>
      </c>
      <c r="C396" s="8">
        <v>12381533400.700001</v>
      </c>
    </row>
    <row r="397" spans="1:3" x14ac:dyDescent="0.2">
      <c r="A397" s="65">
        <v>39599</v>
      </c>
      <c r="B397" s="240">
        <v>2.2863000000000002</v>
      </c>
      <c r="C397" s="8">
        <v>12637303612.01</v>
      </c>
    </row>
    <row r="398" spans="1:3" x14ac:dyDescent="0.2">
      <c r="A398" s="65">
        <v>39629</v>
      </c>
      <c r="B398" s="240">
        <v>-8.0985999999999994</v>
      </c>
      <c r="C398" s="8">
        <v>11568809484.959999</v>
      </c>
    </row>
    <row r="399" spans="1:3" x14ac:dyDescent="0.2">
      <c r="A399" s="65">
        <v>39660</v>
      </c>
      <c r="B399" s="240">
        <v>-0.73340000000000005</v>
      </c>
      <c r="C399" s="1207">
        <v>11332264406.290001</v>
      </c>
    </row>
    <row r="400" spans="1:3" x14ac:dyDescent="0.2">
      <c r="A400" s="65">
        <v>39691</v>
      </c>
      <c r="B400" s="240">
        <v>1.8046</v>
      </c>
      <c r="C400" s="1207">
        <v>11446522634.290001</v>
      </c>
    </row>
    <row r="401" spans="1:3" x14ac:dyDescent="0.2">
      <c r="A401" s="65">
        <v>39721</v>
      </c>
      <c r="B401" s="240">
        <v>-9.1514000000000006</v>
      </c>
      <c r="C401" s="1207">
        <v>10402858335.68</v>
      </c>
    </row>
    <row r="402" spans="1:3" x14ac:dyDescent="0.2">
      <c r="A402" s="65">
        <v>39752</v>
      </c>
      <c r="B402" s="14">
        <v>-17.7043</v>
      </c>
      <c r="C402" s="8">
        <v>8887212890</v>
      </c>
    </row>
    <row r="403" spans="1:3" x14ac:dyDescent="0.2">
      <c r="A403" s="65">
        <v>39782</v>
      </c>
      <c r="B403" s="14">
        <v>-7.8698000000000006</v>
      </c>
      <c r="C403" s="8">
        <v>8106919175</v>
      </c>
    </row>
    <row r="404" spans="1:3" x14ac:dyDescent="0.2">
      <c r="A404" s="65">
        <v>39813</v>
      </c>
      <c r="B404" s="14">
        <v>2.5063</v>
      </c>
      <c r="C404" s="8">
        <v>8313593439</v>
      </c>
    </row>
    <row r="405" spans="1:3" x14ac:dyDescent="0.2">
      <c r="A405" s="65">
        <v>39844</v>
      </c>
      <c r="B405" s="14">
        <v>-8.0299999999999994</v>
      </c>
    </row>
    <row r="406" spans="1:3" x14ac:dyDescent="0.2">
      <c r="A406" s="65">
        <v>39872</v>
      </c>
      <c r="B406" s="14">
        <v>-10.210000000000001</v>
      </c>
    </row>
    <row r="407" spans="1:3" x14ac:dyDescent="0.2">
      <c r="A407" s="65">
        <v>39903</v>
      </c>
      <c r="B407" s="243">
        <v>8.49</v>
      </c>
    </row>
    <row r="408" spans="1:3" x14ac:dyDescent="0.2">
      <c r="A408" s="65">
        <v>39933</v>
      </c>
      <c r="B408" s="243">
        <v>11.29</v>
      </c>
    </row>
    <row r="409" spans="1:3" x14ac:dyDescent="0.2">
      <c r="A409" s="65">
        <v>39964</v>
      </c>
      <c r="B409" s="243">
        <v>4.6300000000000008</v>
      </c>
    </row>
    <row r="410" spans="1:3" x14ac:dyDescent="0.2">
      <c r="A410" s="65">
        <v>39994</v>
      </c>
      <c r="B410" s="243">
        <v>0.39000000000000146</v>
      </c>
    </row>
    <row r="411" spans="1:3" x14ac:dyDescent="0.2">
      <c r="A411" s="65">
        <v>40025</v>
      </c>
      <c r="B411" s="1177">
        <v>8.0999999999999961</v>
      </c>
    </row>
    <row r="412" spans="1:3" x14ac:dyDescent="0.2">
      <c r="A412" s="65">
        <v>40056</v>
      </c>
      <c r="B412" s="277">
        <v>3.6100000000000021</v>
      </c>
    </row>
    <row r="413" spans="1:3" x14ac:dyDescent="0.2">
      <c r="A413" s="65">
        <v>40086</v>
      </c>
      <c r="B413" s="14">
        <v>4.3099999999999916</v>
      </c>
    </row>
    <row r="414" spans="1:3" x14ac:dyDescent="0.2">
      <c r="A414" s="65">
        <v>40117</v>
      </c>
    </row>
    <row r="415" spans="1:3" x14ac:dyDescent="0.2">
      <c r="A415" s="65">
        <v>40147</v>
      </c>
    </row>
    <row r="416" spans="1:3" x14ac:dyDescent="0.2">
      <c r="A416" s="65">
        <v>40178</v>
      </c>
    </row>
    <row r="417" spans="1:1" x14ac:dyDescent="0.2">
      <c r="A417" s="65">
        <v>40209</v>
      </c>
    </row>
    <row r="418" spans="1:1" x14ac:dyDescent="0.2">
      <c r="A418" s="65">
        <v>40237</v>
      </c>
    </row>
    <row r="419" spans="1:1" x14ac:dyDescent="0.2">
      <c r="A419" s="65">
        <v>40268</v>
      </c>
    </row>
    <row r="420" spans="1:1" x14ac:dyDescent="0.2">
      <c r="A420" s="65">
        <v>40298</v>
      </c>
    </row>
    <row r="421" spans="1:1" x14ac:dyDescent="0.2">
      <c r="A421" s="65">
        <v>40329</v>
      </c>
    </row>
    <row r="422" spans="1:1" x14ac:dyDescent="0.2">
      <c r="A422" s="65">
        <v>40359</v>
      </c>
    </row>
    <row r="423" spans="1:1" x14ac:dyDescent="0.2">
      <c r="A423" s="65">
        <v>40390</v>
      </c>
    </row>
    <row r="424" spans="1:1" x14ac:dyDescent="0.2">
      <c r="A424" s="65">
        <v>40421</v>
      </c>
    </row>
    <row r="425" spans="1:1" x14ac:dyDescent="0.2">
      <c r="A425" s="65">
        <v>40451</v>
      </c>
    </row>
    <row r="426" spans="1:1" x14ac:dyDescent="0.2">
      <c r="A426" s="65">
        <v>40482</v>
      </c>
    </row>
    <row r="427" spans="1:1" x14ac:dyDescent="0.2">
      <c r="A427" s="65">
        <v>40512</v>
      </c>
    </row>
    <row r="428" spans="1:1" x14ac:dyDescent="0.2">
      <c r="A428" s="65">
        <v>40543</v>
      </c>
    </row>
  </sheetData>
  <phoneticPr fontId="3" type="noConversion"/>
  <pageMargins left="0.75" right="0.75" top="1" bottom="1" header="0.5" footer="0.5"/>
  <headerFooter alignWithMargins="0"/>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H428"/>
  <sheetViews>
    <sheetView workbookViewId="0">
      <pane ySplit="2" topLeftCell="A378" activePane="bottomLeft" state="frozen"/>
      <selection activeCell="B410" sqref="B410"/>
      <selection pane="bottomLeft" activeCell="D411" sqref="D411:F411"/>
    </sheetView>
  </sheetViews>
  <sheetFormatPr defaultRowHeight="12.75" x14ac:dyDescent="0.2"/>
  <cols>
    <col min="1" max="1" width="18.7109375" customWidth="1"/>
    <col min="2" max="2" width="18.7109375" style="14" customWidth="1"/>
    <col min="3" max="3" width="18.7109375" style="8" customWidth="1"/>
    <col min="8" max="8" width="9.140625" style="352"/>
  </cols>
  <sheetData>
    <row r="1" spans="1:3" x14ac:dyDescent="0.2">
      <c r="A1" s="223" t="s">
        <v>242</v>
      </c>
      <c r="B1" s="321" t="s">
        <v>438</v>
      </c>
      <c r="C1" s="323"/>
    </row>
    <row r="2" spans="1:3" x14ac:dyDescent="0.2">
      <c r="A2" s="3" t="s">
        <v>27</v>
      </c>
      <c r="B2" s="71" t="s">
        <v>91</v>
      </c>
      <c r="C2" s="3" t="s">
        <v>92</v>
      </c>
    </row>
    <row r="3" spans="1:3" x14ac:dyDescent="0.2">
      <c r="A3" s="65">
        <v>27606</v>
      </c>
      <c r="B3" s="76"/>
      <c r="C3" s="231"/>
    </row>
    <row r="4" spans="1:3" x14ac:dyDescent="0.2">
      <c r="A4" s="65">
        <v>27637</v>
      </c>
      <c r="B4" s="76"/>
      <c r="C4" s="231"/>
    </row>
    <row r="5" spans="1:3" x14ac:dyDescent="0.2">
      <c r="A5" s="65">
        <v>27667</v>
      </c>
      <c r="B5" s="76"/>
      <c r="C5" s="231"/>
    </row>
    <row r="6" spans="1:3" x14ac:dyDescent="0.2">
      <c r="A6" s="65">
        <v>27698</v>
      </c>
      <c r="B6" s="76"/>
      <c r="C6" s="231"/>
    </row>
    <row r="7" spans="1:3" x14ac:dyDescent="0.2">
      <c r="A7" s="65">
        <v>27728</v>
      </c>
      <c r="B7" s="76"/>
      <c r="C7" s="231"/>
    </row>
    <row r="8" spans="1:3" x14ac:dyDescent="0.2">
      <c r="A8" s="65">
        <v>27759</v>
      </c>
      <c r="B8" s="76"/>
      <c r="C8" s="231"/>
    </row>
    <row r="9" spans="1:3" x14ac:dyDescent="0.2">
      <c r="A9" s="65">
        <v>27790</v>
      </c>
      <c r="B9" s="76"/>
      <c r="C9" s="231"/>
    </row>
    <row r="10" spans="1:3" x14ac:dyDescent="0.2">
      <c r="A10" s="65">
        <v>27819</v>
      </c>
      <c r="B10" s="76"/>
      <c r="C10" s="231"/>
    </row>
    <row r="11" spans="1:3" x14ac:dyDescent="0.2">
      <c r="A11" s="65">
        <v>27850</v>
      </c>
      <c r="B11" s="76"/>
      <c r="C11" s="231"/>
    </row>
    <row r="12" spans="1:3" x14ac:dyDescent="0.2">
      <c r="A12" s="65">
        <v>27880</v>
      </c>
      <c r="B12" s="76"/>
      <c r="C12" s="231"/>
    </row>
    <row r="13" spans="1:3" x14ac:dyDescent="0.2">
      <c r="A13" s="65">
        <v>27911</v>
      </c>
      <c r="B13" s="76"/>
      <c r="C13" s="231"/>
    </row>
    <row r="14" spans="1:3" x14ac:dyDescent="0.2">
      <c r="A14" s="65">
        <v>27941</v>
      </c>
      <c r="B14" s="76"/>
      <c r="C14" s="231"/>
    </row>
    <row r="15" spans="1:3" x14ac:dyDescent="0.2">
      <c r="A15" s="65">
        <v>27972</v>
      </c>
      <c r="B15" s="76"/>
      <c r="C15" s="231"/>
    </row>
    <row r="16" spans="1:3" x14ac:dyDescent="0.2">
      <c r="A16" s="65">
        <v>28003</v>
      </c>
      <c r="B16" s="76"/>
      <c r="C16" s="231"/>
    </row>
    <row r="17" spans="1:3" x14ac:dyDescent="0.2">
      <c r="A17" s="65">
        <v>28033</v>
      </c>
      <c r="B17" s="76"/>
      <c r="C17" s="231"/>
    </row>
    <row r="18" spans="1:3" x14ac:dyDescent="0.2">
      <c r="A18" s="65">
        <v>28064</v>
      </c>
      <c r="B18" s="76"/>
      <c r="C18" s="231"/>
    </row>
    <row r="19" spans="1:3" x14ac:dyDescent="0.2">
      <c r="A19" s="65">
        <v>28094</v>
      </c>
      <c r="B19" s="76"/>
      <c r="C19" s="231"/>
    </row>
    <row r="20" spans="1:3" x14ac:dyDescent="0.2">
      <c r="A20" s="65">
        <v>28125</v>
      </c>
      <c r="B20" s="76"/>
      <c r="C20" s="231"/>
    </row>
    <row r="21" spans="1:3" x14ac:dyDescent="0.2">
      <c r="A21" s="65">
        <v>28156</v>
      </c>
      <c r="B21" s="76"/>
      <c r="C21" s="231"/>
    </row>
    <row r="22" spans="1:3" x14ac:dyDescent="0.2">
      <c r="A22" s="65">
        <v>28184</v>
      </c>
      <c r="B22" s="76"/>
      <c r="C22" s="231"/>
    </row>
    <row r="23" spans="1:3" x14ac:dyDescent="0.2">
      <c r="A23" s="65">
        <v>28215</v>
      </c>
      <c r="B23" s="76"/>
      <c r="C23" s="231"/>
    </row>
    <row r="24" spans="1:3" x14ac:dyDescent="0.2">
      <c r="A24" s="65">
        <v>28245</v>
      </c>
      <c r="B24" s="76"/>
      <c r="C24" s="231"/>
    </row>
    <row r="25" spans="1:3" x14ac:dyDescent="0.2">
      <c r="A25" s="65">
        <v>28276</v>
      </c>
      <c r="B25" s="76"/>
      <c r="C25" s="231"/>
    </row>
    <row r="26" spans="1:3" x14ac:dyDescent="0.2">
      <c r="A26" s="65">
        <v>28306</v>
      </c>
      <c r="B26" s="76"/>
      <c r="C26" s="231"/>
    </row>
    <row r="27" spans="1:3" x14ac:dyDescent="0.2">
      <c r="A27" s="65">
        <v>28337</v>
      </c>
      <c r="B27" s="76"/>
      <c r="C27" s="231"/>
    </row>
    <row r="28" spans="1:3" x14ac:dyDescent="0.2">
      <c r="A28" s="65">
        <v>28368</v>
      </c>
      <c r="B28" s="76"/>
      <c r="C28" s="231"/>
    </row>
    <row r="29" spans="1:3" x14ac:dyDescent="0.2">
      <c r="A29" s="65">
        <v>28398</v>
      </c>
      <c r="B29" s="76"/>
      <c r="C29" s="231"/>
    </row>
    <row r="30" spans="1:3" x14ac:dyDescent="0.2">
      <c r="A30" s="65">
        <v>28429</v>
      </c>
      <c r="B30" s="76"/>
      <c r="C30" s="231"/>
    </row>
    <row r="31" spans="1:3" x14ac:dyDescent="0.2">
      <c r="A31" s="65">
        <v>28459</v>
      </c>
      <c r="B31" s="76"/>
      <c r="C31" s="231"/>
    </row>
    <row r="32" spans="1:3" x14ac:dyDescent="0.2">
      <c r="A32" s="65">
        <v>28490</v>
      </c>
      <c r="B32" s="76"/>
      <c r="C32" s="231"/>
    </row>
    <row r="33" spans="1:3" x14ac:dyDescent="0.2">
      <c r="A33" s="65">
        <v>28521</v>
      </c>
      <c r="B33" s="76"/>
      <c r="C33" s="231"/>
    </row>
    <row r="34" spans="1:3" x14ac:dyDescent="0.2">
      <c r="A34" s="65">
        <v>28549</v>
      </c>
      <c r="B34" s="76"/>
      <c r="C34" s="231"/>
    </row>
    <row r="35" spans="1:3" x14ac:dyDescent="0.2">
      <c r="A35" s="65">
        <v>28580</v>
      </c>
      <c r="B35" s="76"/>
      <c r="C35" s="231"/>
    </row>
    <row r="36" spans="1:3" x14ac:dyDescent="0.2">
      <c r="A36" s="65">
        <v>28610</v>
      </c>
      <c r="B36" s="76"/>
      <c r="C36" s="231"/>
    </row>
    <row r="37" spans="1:3" x14ac:dyDescent="0.2">
      <c r="A37" s="65">
        <v>28641</v>
      </c>
      <c r="B37" s="76"/>
      <c r="C37" s="231"/>
    </row>
    <row r="38" spans="1:3" x14ac:dyDescent="0.2">
      <c r="A38" s="65">
        <v>28671</v>
      </c>
      <c r="B38" s="76"/>
      <c r="C38" s="231"/>
    </row>
    <row r="39" spans="1:3" x14ac:dyDescent="0.2">
      <c r="A39" s="65">
        <v>28702</v>
      </c>
      <c r="B39" s="76"/>
      <c r="C39" s="231"/>
    </row>
    <row r="40" spans="1:3" x14ac:dyDescent="0.2">
      <c r="A40" s="65">
        <v>28733</v>
      </c>
      <c r="B40" s="76"/>
      <c r="C40" s="231"/>
    </row>
    <row r="41" spans="1:3" x14ac:dyDescent="0.2">
      <c r="A41" s="65">
        <v>28763</v>
      </c>
      <c r="B41" s="76"/>
      <c r="C41" s="231"/>
    </row>
    <row r="42" spans="1:3" x14ac:dyDescent="0.2">
      <c r="A42" s="65">
        <v>28794</v>
      </c>
      <c r="B42" s="76"/>
      <c r="C42" s="231"/>
    </row>
    <row r="43" spans="1:3" x14ac:dyDescent="0.2">
      <c r="A43" s="65">
        <v>28824</v>
      </c>
      <c r="B43" s="76"/>
      <c r="C43" s="231"/>
    </row>
    <row r="44" spans="1:3" x14ac:dyDescent="0.2">
      <c r="A44" s="65">
        <v>28855</v>
      </c>
      <c r="B44" s="76"/>
      <c r="C44" s="231"/>
    </row>
    <row r="45" spans="1:3" x14ac:dyDescent="0.2">
      <c r="A45" s="65">
        <v>28886</v>
      </c>
      <c r="B45" s="76"/>
      <c r="C45" s="231"/>
    </row>
    <row r="46" spans="1:3" x14ac:dyDescent="0.2">
      <c r="A46" s="65">
        <v>28914</v>
      </c>
      <c r="B46" s="76"/>
      <c r="C46" s="231"/>
    </row>
    <row r="47" spans="1:3" x14ac:dyDescent="0.2">
      <c r="A47" s="65">
        <v>28945</v>
      </c>
      <c r="B47" s="76"/>
      <c r="C47" s="231"/>
    </row>
    <row r="48" spans="1:3" x14ac:dyDescent="0.2">
      <c r="A48" s="65">
        <v>28975</v>
      </c>
      <c r="B48" s="76"/>
      <c r="C48" s="231"/>
    </row>
    <row r="49" spans="1:3" x14ac:dyDescent="0.2">
      <c r="A49" s="65">
        <v>29006</v>
      </c>
      <c r="B49" s="76"/>
      <c r="C49" s="231"/>
    </row>
    <row r="50" spans="1:3" x14ac:dyDescent="0.2">
      <c r="A50" s="65">
        <v>29036</v>
      </c>
      <c r="B50" s="76"/>
      <c r="C50" s="231"/>
    </row>
    <row r="51" spans="1:3" x14ac:dyDescent="0.2">
      <c r="A51" s="65">
        <v>29067</v>
      </c>
      <c r="B51" s="76"/>
      <c r="C51" s="231"/>
    </row>
    <row r="52" spans="1:3" x14ac:dyDescent="0.2">
      <c r="A52" s="65">
        <v>29098</v>
      </c>
      <c r="B52" s="76"/>
      <c r="C52" s="231"/>
    </row>
    <row r="53" spans="1:3" x14ac:dyDescent="0.2">
      <c r="A53" s="65">
        <v>29128</v>
      </c>
      <c r="B53" s="76"/>
      <c r="C53" s="231"/>
    </row>
    <row r="54" spans="1:3" x14ac:dyDescent="0.2">
      <c r="A54" s="65">
        <v>29159</v>
      </c>
      <c r="B54" s="76"/>
      <c r="C54" s="231"/>
    </row>
    <row r="55" spans="1:3" x14ac:dyDescent="0.2">
      <c r="A55" s="65">
        <v>29189</v>
      </c>
      <c r="B55" s="76"/>
      <c r="C55" s="231"/>
    </row>
    <row r="56" spans="1:3" x14ac:dyDescent="0.2">
      <c r="A56" s="65">
        <v>29220</v>
      </c>
      <c r="B56" s="76"/>
      <c r="C56" s="231"/>
    </row>
    <row r="57" spans="1:3" x14ac:dyDescent="0.2">
      <c r="A57" s="65">
        <v>29251</v>
      </c>
      <c r="B57" s="76"/>
      <c r="C57" s="231"/>
    </row>
    <row r="58" spans="1:3" x14ac:dyDescent="0.2">
      <c r="A58" s="65">
        <v>29280</v>
      </c>
      <c r="B58" s="76"/>
      <c r="C58" s="231"/>
    </row>
    <row r="59" spans="1:3" x14ac:dyDescent="0.2">
      <c r="A59" s="65">
        <v>29311</v>
      </c>
      <c r="B59" s="76"/>
      <c r="C59" s="231"/>
    </row>
    <row r="60" spans="1:3" x14ac:dyDescent="0.2">
      <c r="A60" s="65">
        <v>29341</v>
      </c>
      <c r="B60" s="76"/>
      <c r="C60" s="231"/>
    </row>
    <row r="61" spans="1:3" x14ac:dyDescent="0.2">
      <c r="A61" s="65">
        <v>29372</v>
      </c>
      <c r="B61" s="76"/>
      <c r="C61" s="231"/>
    </row>
    <row r="62" spans="1:3" x14ac:dyDescent="0.2">
      <c r="A62" s="65">
        <v>29402</v>
      </c>
      <c r="B62" s="76"/>
      <c r="C62" s="231"/>
    </row>
    <row r="63" spans="1:3" x14ac:dyDescent="0.2">
      <c r="A63" s="65">
        <v>29433</v>
      </c>
      <c r="B63" s="76"/>
      <c r="C63" s="231"/>
    </row>
    <row r="64" spans="1:3" x14ac:dyDescent="0.2">
      <c r="A64" s="65">
        <v>29464</v>
      </c>
      <c r="B64" s="76"/>
      <c r="C64" s="231"/>
    </row>
    <row r="65" spans="1:3" x14ac:dyDescent="0.2">
      <c r="A65" s="65">
        <v>29494</v>
      </c>
      <c r="B65" s="76"/>
      <c r="C65" s="231"/>
    </row>
    <row r="66" spans="1:3" x14ac:dyDescent="0.2">
      <c r="A66" s="65">
        <v>29525</v>
      </c>
      <c r="B66" s="76"/>
      <c r="C66" s="231"/>
    </row>
    <row r="67" spans="1:3" x14ac:dyDescent="0.2">
      <c r="A67" s="65">
        <v>29555</v>
      </c>
      <c r="B67" s="76"/>
      <c r="C67" s="231"/>
    </row>
    <row r="68" spans="1:3" x14ac:dyDescent="0.2">
      <c r="A68" s="65">
        <v>29586</v>
      </c>
      <c r="B68" s="76"/>
      <c r="C68" s="231"/>
    </row>
    <row r="69" spans="1:3" x14ac:dyDescent="0.2">
      <c r="A69" s="65">
        <v>29617</v>
      </c>
      <c r="B69" s="76"/>
      <c r="C69" s="231"/>
    </row>
    <row r="70" spans="1:3" x14ac:dyDescent="0.2">
      <c r="A70" s="65">
        <v>29645</v>
      </c>
      <c r="B70" s="76"/>
      <c r="C70" s="231"/>
    </row>
    <row r="71" spans="1:3" x14ac:dyDescent="0.2">
      <c r="A71" s="65">
        <v>29676</v>
      </c>
      <c r="B71" s="76"/>
      <c r="C71" s="231"/>
    </row>
    <row r="72" spans="1:3" x14ac:dyDescent="0.2">
      <c r="A72" s="65">
        <v>29706</v>
      </c>
      <c r="B72" s="76"/>
      <c r="C72" s="231"/>
    </row>
    <row r="73" spans="1:3" x14ac:dyDescent="0.2">
      <c r="A73" s="65">
        <v>29737</v>
      </c>
      <c r="B73" s="76"/>
      <c r="C73" s="231"/>
    </row>
    <row r="74" spans="1:3" x14ac:dyDescent="0.2">
      <c r="A74" s="65">
        <v>29767</v>
      </c>
      <c r="B74" s="76"/>
      <c r="C74" s="231"/>
    </row>
    <row r="75" spans="1:3" x14ac:dyDescent="0.2">
      <c r="A75" s="65">
        <v>29798</v>
      </c>
      <c r="B75" s="76"/>
      <c r="C75" s="231"/>
    </row>
    <row r="76" spans="1:3" x14ac:dyDescent="0.2">
      <c r="A76" s="65">
        <v>29829</v>
      </c>
      <c r="B76" s="76"/>
      <c r="C76" s="231"/>
    </row>
    <row r="77" spans="1:3" x14ac:dyDescent="0.2">
      <c r="A77" s="65">
        <v>29859</v>
      </c>
      <c r="B77" s="76"/>
      <c r="C77" s="231"/>
    </row>
    <row r="78" spans="1:3" x14ac:dyDescent="0.2">
      <c r="A78" s="65">
        <v>29890</v>
      </c>
      <c r="B78" s="76"/>
      <c r="C78" s="231"/>
    </row>
    <row r="79" spans="1:3" x14ac:dyDescent="0.2">
      <c r="A79" s="65">
        <v>29920</v>
      </c>
      <c r="B79" s="76"/>
      <c r="C79" s="231"/>
    </row>
    <row r="80" spans="1:3" x14ac:dyDescent="0.2">
      <c r="A80" s="65">
        <v>29951</v>
      </c>
      <c r="B80" s="76"/>
      <c r="C80" s="231"/>
    </row>
    <row r="81" spans="1:3" x14ac:dyDescent="0.2">
      <c r="A81" s="65">
        <v>29982</v>
      </c>
      <c r="B81" s="76"/>
      <c r="C81" s="231"/>
    </row>
    <row r="82" spans="1:3" x14ac:dyDescent="0.2">
      <c r="A82" s="65">
        <v>30010</v>
      </c>
      <c r="B82" s="76"/>
      <c r="C82" s="231"/>
    </row>
    <row r="83" spans="1:3" x14ac:dyDescent="0.2">
      <c r="A83" s="65">
        <v>30041</v>
      </c>
      <c r="B83" s="76"/>
      <c r="C83" s="231"/>
    </row>
    <row r="84" spans="1:3" x14ac:dyDescent="0.2">
      <c r="A84" s="65">
        <v>30071</v>
      </c>
      <c r="B84" s="76"/>
      <c r="C84" s="231"/>
    </row>
    <row r="85" spans="1:3" x14ac:dyDescent="0.2">
      <c r="A85" s="65">
        <v>30102</v>
      </c>
      <c r="B85" s="76"/>
      <c r="C85" s="231"/>
    </row>
    <row r="86" spans="1:3" x14ac:dyDescent="0.2">
      <c r="A86" s="65">
        <v>30132</v>
      </c>
      <c r="B86" s="76"/>
      <c r="C86" s="231"/>
    </row>
    <row r="87" spans="1:3" x14ac:dyDescent="0.2">
      <c r="A87" s="65">
        <v>30163</v>
      </c>
      <c r="B87" s="76"/>
      <c r="C87" s="231"/>
    </row>
    <row r="88" spans="1:3" x14ac:dyDescent="0.2">
      <c r="A88" s="65">
        <v>30194</v>
      </c>
      <c r="B88" s="76"/>
      <c r="C88" s="231"/>
    </row>
    <row r="89" spans="1:3" x14ac:dyDescent="0.2">
      <c r="A89" s="65">
        <v>30224</v>
      </c>
      <c r="B89" s="76"/>
      <c r="C89" s="231"/>
    </row>
    <row r="90" spans="1:3" x14ac:dyDescent="0.2">
      <c r="A90" s="65">
        <v>30255</v>
      </c>
      <c r="B90" s="76"/>
      <c r="C90" s="231"/>
    </row>
    <row r="91" spans="1:3" x14ac:dyDescent="0.2">
      <c r="A91" s="65">
        <v>30285</v>
      </c>
      <c r="B91" s="76"/>
      <c r="C91" s="231"/>
    </row>
    <row r="92" spans="1:3" x14ac:dyDescent="0.2">
      <c r="A92" s="65">
        <v>30316</v>
      </c>
      <c r="B92" s="76"/>
      <c r="C92" s="231"/>
    </row>
    <row r="93" spans="1:3" x14ac:dyDescent="0.2">
      <c r="A93" s="65">
        <v>30347</v>
      </c>
      <c r="B93" s="76"/>
      <c r="C93" s="231"/>
    </row>
    <row r="94" spans="1:3" x14ac:dyDescent="0.2">
      <c r="A94" s="65">
        <v>30375</v>
      </c>
      <c r="B94" s="76"/>
      <c r="C94" s="231"/>
    </row>
    <row r="95" spans="1:3" x14ac:dyDescent="0.2">
      <c r="A95" s="65">
        <v>30406</v>
      </c>
      <c r="B95" s="76"/>
      <c r="C95" s="231"/>
    </row>
    <row r="96" spans="1:3" x14ac:dyDescent="0.2">
      <c r="A96" s="65">
        <v>30436</v>
      </c>
      <c r="B96" s="76"/>
      <c r="C96" s="231"/>
    </row>
    <row r="97" spans="1:3" x14ac:dyDescent="0.2">
      <c r="A97" s="65">
        <v>30467</v>
      </c>
      <c r="B97" s="76"/>
      <c r="C97" s="231"/>
    </row>
    <row r="98" spans="1:3" x14ac:dyDescent="0.2">
      <c r="A98" s="65">
        <v>30497</v>
      </c>
      <c r="B98" s="76"/>
      <c r="C98" s="231"/>
    </row>
    <row r="99" spans="1:3" x14ac:dyDescent="0.2">
      <c r="A99" s="65">
        <v>30528</v>
      </c>
      <c r="B99" s="76"/>
      <c r="C99" s="231"/>
    </row>
    <row r="100" spans="1:3" x14ac:dyDescent="0.2">
      <c r="A100" s="65">
        <v>30559</v>
      </c>
      <c r="B100" s="71"/>
      <c r="C100" s="226"/>
    </row>
    <row r="101" spans="1:3" x14ac:dyDescent="0.2">
      <c r="A101" s="65">
        <v>30589</v>
      </c>
      <c r="B101" s="71"/>
      <c r="C101" s="226"/>
    </row>
    <row r="102" spans="1:3" x14ac:dyDescent="0.2">
      <c r="A102" s="65">
        <v>30620</v>
      </c>
      <c r="B102" s="71"/>
      <c r="C102" s="226"/>
    </row>
    <row r="103" spans="1:3" x14ac:dyDescent="0.2">
      <c r="A103" s="65">
        <v>30650</v>
      </c>
      <c r="B103" s="71"/>
      <c r="C103" s="226"/>
    </row>
    <row r="104" spans="1:3" x14ac:dyDescent="0.2">
      <c r="A104" s="65">
        <v>30681</v>
      </c>
      <c r="B104" s="71"/>
      <c r="C104" s="226"/>
    </row>
    <row r="105" spans="1:3" x14ac:dyDescent="0.2">
      <c r="A105" s="65">
        <v>30712</v>
      </c>
      <c r="B105" s="71"/>
      <c r="C105" s="226"/>
    </row>
    <row r="106" spans="1:3" x14ac:dyDescent="0.2">
      <c r="A106" s="65">
        <v>30741</v>
      </c>
      <c r="B106" s="71"/>
      <c r="C106" s="226"/>
    </row>
    <row r="107" spans="1:3" x14ac:dyDescent="0.2">
      <c r="A107" s="65">
        <v>30772</v>
      </c>
      <c r="B107" s="71"/>
      <c r="C107" s="226"/>
    </row>
    <row r="108" spans="1:3" x14ac:dyDescent="0.2">
      <c r="A108" s="65">
        <v>30802</v>
      </c>
      <c r="B108" s="71"/>
      <c r="C108" s="226"/>
    </row>
    <row r="109" spans="1:3" x14ac:dyDescent="0.2">
      <c r="A109" s="65">
        <v>30833</v>
      </c>
      <c r="B109" s="71"/>
      <c r="C109" s="226"/>
    </row>
    <row r="110" spans="1:3" x14ac:dyDescent="0.2">
      <c r="A110" s="65">
        <v>30863</v>
      </c>
      <c r="B110" s="71"/>
      <c r="C110" s="226"/>
    </row>
    <row r="111" spans="1:3" x14ac:dyDescent="0.2">
      <c r="A111" s="65">
        <v>30894</v>
      </c>
      <c r="B111" s="71"/>
      <c r="C111" s="226"/>
    </row>
    <row r="112" spans="1:3" x14ac:dyDescent="0.2">
      <c r="A112" s="65">
        <v>30925</v>
      </c>
      <c r="B112" s="71"/>
      <c r="C112" s="226"/>
    </row>
    <row r="113" spans="1:3" x14ac:dyDescent="0.2">
      <c r="A113" s="65">
        <v>30955</v>
      </c>
      <c r="B113" s="71"/>
      <c r="C113" s="226"/>
    </row>
    <row r="114" spans="1:3" x14ac:dyDescent="0.2">
      <c r="A114" s="65">
        <v>30986</v>
      </c>
      <c r="B114" s="71"/>
      <c r="C114" s="226"/>
    </row>
    <row r="115" spans="1:3" x14ac:dyDescent="0.2">
      <c r="A115" s="65">
        <v>31016</v>
      </c>
      <c r="B115" s="71"/>
      <c r="C115" s="226"/>
    </row>
    <row r="116" spans="1:3" x14ac:dyDescent="0.2">
      <c r="A116" s="65">
        <v>31047</v>
      </c>
      <c r="B116" s="71"/>
      <c r="C116" s="226"/>
    </row>
    <row r="117" spans="1:3" x14ac:dyDescent="0.2">
      <c r="A117" s="65">
        <v>31078</v>
      </c>
      <c r="B117" s="71"/>
      <c r="C117" s="226"/>
    </row>
    <row r="118" spans="1:3" x14ac:dyDescent="0.2">
      <c r="A118" s="65">
        <v>31106</v>
      </c>
      <c r="B118" s="71"/>
      <c r="C118" s="226"/>
    </row>
    <row r="119" spans="1:3" x14ac:dyDescent="0.2">
      <c r="A119" s="65">
        <v>31137</v>
      </c>
      <c r="B119" s="71"/>
      <c r="C119" s="226"/>
    </row>
    <row r="120" spans="1:3" x14ac:dyDescent="0.2">
      <c r="A120" s="65">
        <v>31167</v>
      </c>
      <c r="B120" s="71"/>
      <c r="C120" s="226"/>
    </row>
    <row r="121" spans="1:3" x14ac:dyDescent="0.2">
      <c r="A121" s="65">
        <v>31198</v>
      </c>
      <c r="B121" s="71"/>
      <c r="C121" s="226"/>
    </row>
    <row r="122" spans="1:3" x14ac:dyDescent="0.2">
      <c r="A122" s="65">
        <v>31228</v>
      </c>
      <c r="B122" s="71"/>
      <c r="C122" s="226"/>
    </row>
    <row r="123" spans="1:3" x14ac:dyDescent="0.2">
      <c r="A123" s="65">
        <v>31259</v>
      </c>
      <c r="B123" s="71"/>
      <c r="C123" s="226"/>
    </row>
    <row r="124" spans="1:3" x14ac:dyDescent="0.2">
      <c r="A124" s="65">
        <v>31290</v>
      </c>
      <c r="B124" s="71"/>
      <c r="C124" s="226"/>
    </row>
    <row r="125" spans="1:3" x14ac:dyDescent="0.2">
      <c r="A125" s="65">
        <v>31320</v>
      </c>
      <c r="B125" s="71"/>
      <c r="C125" s="226"/>
    </row>
    <row r="126" spans="1:3" x14ac:dyDescent="0.2">
      <c r="A126" s="65">
        <v>31351</v>
      </c>
      <c r="B126" s="71"/>
      <c r="C126" s="226"/>
    </row>
    <row r="127" spans="1:3" x14ac:dyDescent="0.2">
      <c r="A127" s="65">
        <v>31381</v>
      </c>
      <c r="B127" s="71"/>
      <c r="C127" s="226"/>
    </row>
    <row r="128" spans="1:3" x14ac:dyDescent="0.2">
      <c r="A128" s="65">
        <v>31412</v>
      </c>
      <c r="B128" s="71"/>
      <c r="C128" s="226"/>
    </row>
    <row r="129" spans="1:3" x14ac:dyDescent="0.2">
      <c r="A129" s="65">
        <v>31443</v>
      </c>
      <c r="B129" s="71"/>
      <c r="C129" s="226"/>
    </row>
    <row r="130" spans="1:3" x14ac:dyDescent="0.2">
      <c r="A130" s="65">
        <v>31471</v>
      </c>
      <c r="B130" s="71"/>
      <c r="C130" s="226"/>
    </row>
    <row r="131" spans="1:3" x14ac:dyDescent="0.2">
      <c r="A131" s="65">
        <v>31502</v>
      </c>
      <c r="B131" s="71"/>
      <c r="C131" s="226"/>
    </row>
    <row r="132" spans="1:3" x14ac:dyDescent="0.2">
      <c r="A132" s="65">
        <v>31532</v>
      </c>
      <c r="B132" s="71"/>
      <c r="C132" s="226"/>
    </row>
    <row r="133" spans="1:3" x14ac:dyDescent="0.2">
      <c r="A133" s="65">
        <v>31563</v>
      </c>
      <c r="B133" s="71"/>
      <c r="C133" s="226"/>
    </row>
    <row r="134" spans="1:3" x14ac:dyDescent="0.2">
      <c r="A134" s="65">
        <v>31593</v>
      </c>
      <c r="B134" s="71"/>
      <c r="C134" s="226"/>
    </row>
    <row r="135" spans="1:3" x14ac:dyDescent="0.2">
      <c r="A135" s="65">
        <v>31624</v>
      </c>
      <c r="B135" s="71"/>
      <c r="C135" s="226"/>
    </row>
    <row r="136" spans="1:3" x14ac:dyDescent="0.2">
      <c r="A136" s="65">
        <v>31655</v>
      </c>
      <c r="B136" s="71"/>
      <c r="C136" s="226"/>
    </row>
    <row r="137" spans="1:3" x14ac:dyDescent="0.2">
      <c r="A137" s="65">
        <v>31685</v>
      </c>
      <c r="B137" s="71"/>
      <c r="C137" s="226"/>
    </row>
    <row r="138" spans="1:3" x14ac:dyDescent="0.2">
      <c r="A138" s="65">
        <v>31716</v>
      </c>
      <c r="B138" s="71"/>
      <c r="C138" s="226"/>
    </row>
    <row r="139" spans="1:3" x14ac:dyDescent="0.2">
      <c r="A139" s="65">
        <v>31746</v>
      </c>
      <c r="B139" s="71"/>
      <c r="C139" s="226"/>
    </row>
    <row r="140" spans="1:3" x14ac:dyDescent="0.2">
      <c r="A140" s="65">
        <v>31777</v>
      </c>
      <c r="B140" s="71"/>
      <c r="C140" s="226"/>
    </row>
    <row r="141" spans="1:3" x14ac:dyDescent="0.2">
      <c r="A141" s="65">
        <v>31808</v>
      </c>
      <c r="B141" s="71"/>
      <c r="C141" s="226"/>
    </row>
    <row r="142" spans="1:3" x14ac:dyDescent="0.2">
      <c r="A142" s="65">
        <v>31836</v>
      </c>
      <c r="B142" s="71"/>
      <c r="C142" s="226"/>
    </row>
    <row r="143" spans="1:3" x14ac:dyDescent="0.2">
      <c r="A143" s="65">
        <v>31867</v>
      </c>
      <c r="B143" s="71"/>
      <c r="C143" s="226"/>
    </row>
    <row r="144" spans="1:3" x14ac:dyDescent="0.2">
      <c r="A144" s="65">
        <v>31897</v>
      </c>
      <c r="B144" s="71"/>
      <c r="C144" s="226"/>
    </row>
    <row r="145" spans="1:3" x14ac:dyDescent="0.2">
      <c r="A145" s="65">
        <v>31928</v>
      </c>
      <c r="B145" s="71"/>
      <c r="C145" s="226"/>
    </row>
    <row r="146" spans="1:3" x14ac:dyDescent="0.2">
      <c r="A146" s="65">
        <v>31958</v>
      </c>
      <c r="B146" s="71"/>
      <c r="C146" s="226"/>
    </row>
    <row r="147" spans="1:3" x14ac:dyDescent="0.2">
      <c r="A147" s="65">
        <v>31989</v>
      </c>
      <c r="B147" s="71"/>
      <c r="C147" s="226"/>
    </row>
    <row r="148" spans="1:3" x14ac:dyDescent="0.2">
      <c r="A148" s="65">
        <v>32020</v>
      </c>
      <c r="B148" s="71"/>
      <c r="C148" s="226"/>
    </row>
    <row r="149" spans="1:3" x14ac:dyDescent="0.2">
      <c r="A149" s="65">
        <v>32050</v>
      </c>
      <c r="B149" s="71"/>
      <c r="C149" s="226"/>
    </row>
    <row r="150" spans="1:3" x14ac:dyDescent="0.2">
      <c r="A150" s="65">
        <v>32081</v>
      </c>
      <c r="B150" s="71"/>
      <c r="C150" s="226"/>
    </row>
    <row r="151" spans="1:3" x14ac:dyDescent="0.2">
      <c r="A151" s="65">
        <v>32111</v>
      </c>
      <c r="B151" s="71"/>
      <c r="C151" s="226"/>
    </row>
    <row r="152" spans="1:3" x14ac:dyDescent="0.2">
      <c r="A152" s="65">
        <v>32142</v>
      </c>
      <c r="B152" s="71"/>
      <c r="C152" s="226"/>
    </row>
    <row r="153" spans="1:3" x14ac:dyDescent="0.2">
      <c r="A153" s="65">
        <v>32173</v>
      </c>
      <c r="B153" s="71"/>
      <c r="C153" s="226"/>
    </row>
    <row r="154" spans="1:3" x14ac:dyDescent="0.2">
      <c r="A154" s="65">
        <v>32202</v>
      </c>
      <c r="B154" s="71"/>
      <c r="C154" s="226"/>
    </row>
    <row r="155" spans="1:3" x14ac:dyDescent="0.2">
      <c r="A155" s="65">
        <v>32233</v>
      </c>
      <c r="B155" s="71"/>
      <c r="C155" s="226"/>
    </row>
    <row r="156" spans="1:3" x14ac:dyDescent="0.2">
      <c r="A156" s="65">
        <v>32263</v>
      </c>
      <c r="B156" s="71"/>
      <c r="C156" s="226"/>
    </row>
    <row r="157" spans="1:3" x14ac:dyDescent="0.2">
      <c r="A157" s="65">
        <v>32294</v>
      </c>
      <c r="B157" s="71"/>
      <c r="C157" s="226"/>
    </row>
    <row r="158" spans="1:3" x14ac:dyDescent="0.2">
      <c r="A158" s="65">
        <v>32324</v>
      </c>
      <c r="B158" s="71"/>
      <c r="C158" s="226"/>
    </row>
    <row r="159" spans="1:3" x14ac:dyDescent="0.2">
      <c r="A159" s="65">
        <v>32355</v>
      </c>
      <c r="B159" s="71"/>
      <c r="C159" s="226"/>
    </row>
    <row r="160" spans="1:3" x14ac:dyDescent="0.2">
      <c r="A160" s="65">
        <v>32386</v>
      </c>
      <c r="B160" s="71"/>
      <c r="C160" s="226"/>
    </row>
    <row r="161" spans="1:3" x14ac:dyDescent="0.2">
      <c r="A161" s="65">
        <v>32416</v>
      </c>
      <c r="B161" s="71"/>
      <c r="C161" s="226"/>
    </row>
    <row r="162" spans="1:3" x14ac:dyDescent="0.2">
      <c r="A162" s="65">
        <v>32447</v>
      </c>
      <c r="B162" s="71"/>
      <c r="C162" s="226"/>
    </row>
    <row r="163" spans="1:3" x14ac:dyDescent="0.2">
      <c r="A163" s="65">
        <v>32477</v>
      </c>
      <c r="B163" s="71"/>
      <c r="C163" s="226"/>
    </row>
    <row r="164" spans="1:3" x14ac:dyDescent="0.2">
      <c r="A164" s="65">
        <v>32508</v>
      </c>
      <c r="B164" s="71"/>
      <c r="C164" s="226"/>
    </row>
    <row r="165" spans="1:3" x14ac:dyDescent="0.2">
      <c r="A165" s="65">
        <v>32539</v>
      </c>
      <c r="B165" s="71"/>
      <c r="C165" s="226"/>
    </row>
    <row r="166" spans="1:3" x14ac:dyDescent="0.2">
      <c r="A166" s="65">
        <v>32567</v>
      </c>
      <c r="B166" s="71"/>
      <c r="C166" s="226"/>
    </row>
    <row r="167" spans="1:3" x14ac:dyDescent="0.2">
      <c r="A167" s="65">
        <v>32598</v>
      </c>
      <c r="B167" s="71"/>
      <c r="C167" s="226"/>
    </row>
    <row r="168" spans="1:3" x14ac:dyDescent="0.2">
      <c r="A168" s="65">
        <v>32628</v>
      </c>
      <c r="B168" s="71"/>
      <c r="C168" s="226"/>
    </row>
    <row r="169" spans="1:3" x14ac:dyDescent="0.2">
      <c r="A169" s="65">
        <v>32659</v>
      </c>
      <c r="B169" s="71"/>
      <c r="C169" s="226"/>
    </row>
    <row r="170" spans="1:3" x14ac:dyDescent="0.2">
      <c r="A170" s="65">
        <v>32689</v>
      </c>
      <c r="B170" s="71"/>
      <c r="C170" s="226"/>
    </row>
    <row r="171" spans="1:3" x14ac:dyDescent="0.2">
      <c r="A171" s="65">
        <v>32720</v>
      </c>
      <c r="B171" s="71"/>
      <c r="C171" s="226"/>
    </row>
    <row r="172" spans="1:3" x14ac:dyDescent="0.2">
      <c r="A172" s="65">
        <v>32751</v>
      </c>
      <c r="B172" s="71"/>
      <c r="C172" s="226"/>
    </row>
    <row r="173" spans="1:3" x14ac:dyDescent="0.2">
      <c r="A173" s="65">
        <v>32781</v>
      </c>
      <c r="B173" s="71"/>
      <c r="C173" s="226"/>
    </row>
    <row r="174" spans="1:3" x14ac:dyDescent="0.2">
      <c r="A174" s="65">
        <v>32812</v>
      </c>
      <c r="B174" s="71"/>
      <c r="C174" s="226"/>
    </row>
    <row r="175" spans="1:3" x14ac:dyDescent="0.2">
      <c r="A175" s="65">
        <v>32842</v>
      </c>
      <c r="B175" s="71"/>
      <c r="C175" s="226"/>
    </row>
    <row r="176" spans="1:3" x14ac:dyDescent="0.2">
      <c r="A176" s="65">
        <v>32873</v>
      </c>
      <c r="B176" s="71"/>
      <c r="C176" s="226"/>
    </row>
    <row r="177" spans="1:3" x14ac:dyDescent="0.2">
      <c r="A177" s="65">
        <v>32904</v>
      </c>
      <c r="B177" s="71"/>
      <c r="C177" s="226"/>
    </row>
    <row r="178" spans="1:3" x14ac:dyDescent="0.2">
      <c r="A178" s="65">
        <v>32932</v>
      </c>
      <c r="B178" s="71"/>
      <c r="C178" s="226"/>
    </row>
    <row r="179" spans="1:3" x14ac:dyDescent="0.2">
      <c r="A179" s="65">
        <v>32963</v>
      </c>
      <c r="B179" s="71"/>
      <c r="C179" s="226"/>
    </row>
    <row r="180" spans="1:3" x14ac:dyDescent="0.2">
      <c r="A180" s="65">
        <v>32993</v>
      </c>
      <c r="B180" s="71"/>
      <c r="C180" s="226"/>
    </row>
    <row r="181" spans="1:3" x14ac:dyDescent="0.2">
      <c r="A181" s="65">
        <v>33024</v>
      </c>
      <c r="B181" s="71"/>
      <c r="C181" s="226"/>
    </row>
    <row r="182" spans="1:3" x14ac:dyDescent="0.2">
      <c r="A182" s="65">
        <v>33054</v>
      </c>
      <c r="B182" s="71"/>
      <c r="C182" s="226"/>
    </row>
    <row r="183" spans="1:3" x14ac:dyDescent="0.2">
      <c r="A183" s="65">
        <v>33085</v>
      </c>
      <c r="B183" s="71"/>
      <c r="C183" s="226"/>
    </row>
    <row r="184" spans="1:3" x14ac:dyDescent="0.2">
      <c r="A184" s="65">
        <v>33116</v>
      </c>
      <c r="B184" s="71"/>
      <c r="C184" s="226"/>
    </row>
    <row r="185" spans="1:3" x14ac:dyDescent="0.2">
      <c r="A185" s="65">
        <v>33146</v>
      </c>
      <c r="B185" s="71"/>
      <c r="C185" s="226"/>
    </row>
    <row r="186" spans="1:3" x14ac:dyDescent="0.2">
      <c r="A186" s="65">
        <v>33177</v>
      </c>
      <c r="B186" s="71"/>
      <c r="C186" s="226"/>
    </row>
    <row r="187" spans="1:3" x14ac:dyDescent="0.2">
      <c r="A187" s="65">
        <v>33207</v>
      </c>
      <c r="B187" s="71"/>
      <c r="C187" s="226"/>
    </row>
    <row r="188" spans="1:3" x14ac:dyDescent="0.2">
      <c r="A188" s="65">
        <v>33238</v>
      </c>
      <c r="B188" s="71"/>
      <c r="C188" s="226"/>
    </row>
    <row r="189" spans="1:3" x14ac:dyDescent="0.2">
      <c r="A189" s="65">
        <v>33269</v>
      </c>
      <c r="B189" s="71"/>
      <c r="C189" s="226"/>
    </row>
    <row r="190" spans="1:3" x14ac:dyDescent="0.2">
      <c r="A190" s="65">
        <v>33297</v>
      </c>
      <c r="B190" s="71"/>
      <c r="C190" s="226"/>
    </row>
    <row r="191" spans="1:3" x14ac:dyDescent="0.2">
      <c r="A191" s="65">
        <v>33328</v>
      </c>
      <c r="B191" s="71"/>
      <c r="C191" s="226"/>
    </row>
    <row r="192" spans="1:3" x14ac:dyDescent="0.2">
      <c r="A192" s="65">
        <v>33358</v>
      </c>
      <c r="B192" s="71"/>
      <c r="C192" s="226"/>
    </row>
    <row r="193" spans="1:3" x14ac:dyDescent="0.2">
      <c r="A193" s="65">
        <v>33389</v>
      </c>
      <c r="B193" s="71"/>
      <c r="C193" s="226"/>
    </row>
    <row r="194" spans="1:3" x14ac:dyDescent="0.2">
      <c r="A194" s="65">
        <v>33419</v>
      </c>
      <c r="B194" s="71"/>
      <c r="C194" s="226"/>
    </row>
    <row r="195" spans="1:3" x14ac:dyDescent="0.2">
      <c r="A195" s="65">
        <v>33450</v>
      </c>
      <c r="B195" s="71"/>
      <c r="C195" s="226"/>
    </row>
    <row r="196" spans="1:3" x14ac:dyDescent="0.2">
      <c r="A196" s="65">
        <v>33481</v>
      </c>
      <c r="B196" s="71"/>
      <c r="C196" s="226"/>
    </row>
    <row r="197" spans="1:3" x14ac:dyDescent="0.2">
      <c r="A197" s="65">
        <v>33511</v>
      </c>
      <c r="B197" s="71"/>
      <c r="C197" s="226"/>
    </row>
    <row r="198" spans="1:3" x14ac:dyDescent="0.2">
      <c r="A198" s="65">
        <v>33542</v>
      </c>
      <c r="B198" s="71"/>
      <c r="C198" s="226"/>
    </row>
    <row r="199" spans="1:3" x14ac:dyDescent="0.2">
      <c r="A199" s="65">
        <v>33572</v>
      </c>
      <c r="B199" s="71"/>
      <c r="C199" s="226"/>
    </row>
    <row r="200" spans="1:3" x14ac:dyDescent="0.2">
      <c r="A200" s="65">
        <v>33603</v>
      </c>
      <c r="B200" s="71"/>
      <c r="C200" s="226"/>
    </row>
    <row r="201" spans="1:3" x14ac:dyDescent="0.2">
      <c r="A201" s="65">
        <v>33634</v>
      </c>
      <c r="B201" s="71"/>
      <c r="C201" s="226"/>
    </row>
    <row r="202" spans="1:3" x14ac:dyDescent="0.2">
      <c r="A202" s="65">
        <v>33663</v>
      </c>
      <c r="B202" s="71"/>
      <c r="C202" s="226"/>
    </row>
    <row r="203" spans="1:3" x14ac:dyDescent="0.2">
      <c r="A203" s="65">
        <v>33694</v>
      </c>
      <c r="B203" s="71"/>
      <c r="C203" s="226"/>
    </row>
    <row r="204" spans="1:3" x14ac:dyDescent="0.2">
      <c r="A204" s="65">
        <v>33724</v>
      </c>
      <c r="B204" s="71"/>
      <c r="C204" s="226"/>
    </row>
    <row r="205" spans="1:3" x14ac:dyDescent="0.2">
      <c r="A205" s="65">
        <v>33755</v>
      </c>
      <c r="B205" s="71"/>
      <c r="C205" s="226"/>
    </row>
    <row r="206" spans="1:3" x14ac:dyDescent="0.2">
      <c r="A206" s="65">
        <v>33785</v>
      </c>
      <c r="B206" s="71"/>
      <c r="C206" s="226"/>
    </row>
    <row r="207" spans="1:3" x14ac:dyDescent="0.2">
      <c r="A207" s="65">
        <v>33816</v>
      </c>
      <c r="B207" s="71"/>
      <c r="C207" s="226"/>
    </row>
    <row r="208" spans="1:3" x14ac:dyDescent="0.2">
      <c r="A208" s="65">
        <v>33847</v>
      </c>
      <c r="B208" s="71"/>
      <c r="C208" s="226"/>
    </row>
    <row r="209" spans="1:3" x14ac:dyDescent="0.2">
      <c r="A209" s="65">
        <v>33877</v>
      </c>
      <c r="B209" s="71"/>
      <c r="C209" s="226"/>
    </row>
    <row r="210" spans="1:3" x14ac:dyDescent="0.2">
      <c r="A210" s="65">
        <v>33908</v>
      </c>
      <c r="B210" s="71"/>
      <c r="C210" s="226"/>
    </row>
    <row r="211" spans="1:3" x14ac:dyDescent="0.2">
      <c r="A211" s="65">
        <v>33938</v>
      </c>
      <c r="B211" s="71"/>
      <c r="C211" s="226"/>
    </row>
    <row r="212" spans="1:3" x14ac:dyDescent="0.2">
      <c r="A212" s="65">
        <v>33969</v>
      </c>
      <c r="B212" s="71"/>
      <c r="C212" s="226"/>
    </row>
    <row r="213" spans="1:3" x14ac:dyDescent="0.2">
      <c r="A213" s="65">
        <v>34000</v>
      </c>
      <c r="B213" s="71"/>
      <c r="C213" s="226"/>
    </row>
    <row r="214" spans="1:3" x14ac:dyDescent="0.2">
      <c r="A214" s="65">
        <v>34028</v>
      </c>
      <c r="B214" s="71"/>
      <c r="C214" s="226"/>
    </row>
    <row r="215" spans="1:3" x14ac:dyDescent="0.2">
      <c r="A215" s="65">
        <v>34059</v>
      </c>
      <c r="B215" s="71"/>
      <c r="C215" s="226"/>
    </row>
    <row r="216" spans="1:3" x14ac:dyDescent="0.2">
      <c r="A216" s="65">
        <v>34089</v>
      </c>
      <c r="B216" s="71"/>
      <c r="C216" s="226"/>
    </row>
    <row r="217" spans="1:3" x14ac:dyDescent="0.2">
      <c r="A217" s="65">
        <v>34120</v>
      </c>
      <c r="B217" s="71"/>
      <c r="C217" s="226"/>
    </row>
    <row r="218" spans="1:3" x14ac:dyDescent="0.2">
      <c r="A218" s="65">
        <v>34150</v>
      </c>
      <c r="B218" s="71"/>
      <c r="C218" s="226"/>
    </row>
    <row r="219" spans="1:3" x14ac:dyDescent="0.2">
      <c r="A219" s="65">
        <v>34181</v>
      </c>
      <c r="B219" s="71"/>
      <c r="C219" s="226"/>
    </row>
    <row r="220" spans="1:3" x14ac:dyDescent="0.2">
      <c r="A220" s="65">
        <v>34212</v>
      </c>
      <c r="B220" s="71"/>
      <c r="C220" s="226"/>
    </row>
    <row r="221" spans="1:3" x14ac:dyDescent="0.2">
      <c r="A221" s="65">
        <v>34242</v>
      </c>
      <c r="B221" s="71"/>
      <c r="C221" s="226"/>
    </row>
    <row r="222" spans="1:3" x14ac:dyDescent="0.2">
      <c r="A222" s="65">
        <v>34273</v>
      </c>
      <c r="B222" s="71"/>
      <c r="C222" s="226"/>
    </row>
    <row r="223" spans="1:3" x14ac:dyDescent="0.2">
      <c r="A223" s="65">
        <v>34303</v>
      </c>
      <c r="B223" s="71"/>
      <c r="C223" s="226"/>
    </row>
    <row r="224" spans="1:3" x14ac:dyDescent="0.2">
      <c r="A224" s="65">
        <v>34334</v>
      </c>
      <c r="B224" s="71"/>
      <c r="C224" s="226"/>
    </row>
    <row r="225" spans="1:3" x14ac:dyDescent="0.2">
      <c r="A225" s="65">
        <v>34365</v>
      </c>
      <c r="B225" s="71"/>
      <c r="C225" s="226"/>
    </row>
    <row r="226" spans="1:3" x14ac:dyDescent="0.2">
      <c r="A226" s="65">
        <v>34393</v>
      </c>
      <c r="B226" s="71"/>
      <c r="C226" s="226"/>
    </row>
    <row r="227" spans="1:3" x14ac:dyDescent="0.2">
      <c r="A227" s="65">
        <v>34424</v>
      </c>
      <c r="B227" s="71"/>
      <c r="C227" s="226"/>
    </row>
    <row r="228" spans="1:3" x14ac:dyDescent="0.2">
      <c r="A228" s="65">
        <v>34454</v>
      </c>
      <c r="B228" s="71"/>
      <c r="C228" s="226"/>
    </row>
    <row r="229" spans="1:3" x14ac:dyDescent="0.2">
      <c r="A229" s="65">
        <v>34485</v>
      </c>
      <c r="B229" s="71"/>
      <c r="C229" s="226"/>
    </row>
    <row r="230" spans="1:3" x14ac:dyDescent="0.2">
      <c r="A230" s="65">
        <v>34515</v>
      </c>
      <c r="B230" s="71"/>
      <c r="C230" s="226"/>
    </row>
    <row r="231" spans="1:3" x14ac:dyDescent="0.2">
      <c r="A231" s="65">
        <v>34546</v>
      </c>
      <c r="B231" s="71"/>
      <c r="C231" s="226"/>
    </row>
    <row r="232" spans="1:3" x14ac:dyDescent="0.2">
      <c r="A232" s="65">
        <v>34577</v>
      </c>
      <c r="B232" s="71"/>
      <c r="C232" s="226"/>
    </row>
    <row r="233" spans="1:3" x14ac:dyDescent="0.2">
      <c r="A233" s="65">
        <v>34607</v>
      </c>
      <c r="B233" s="71"/>
      <c r="C233" s="226"/>
    </row>
    <row r="234" spans="1:3" x14ac:dyDescent="0.2">
      <c r="A234" s="65">
        <v>34638</v>
      </c>
      <c r="B234" s="71"/>
      <c r="C234" s="226"/>
    </row>
    <row r="235" spans="1:3" x14ac:dyDescent="0.2">
      <c r="A235" s="65">
        <v>34668</v>
      </c>
      <c r="B235" s="71"/>
      <c r="C235" s="226"/>
    </row>
    <row r="236" spans="1:3" x14ac:dyDescent="0.2">
      <c r="A236" s="65">
        <v>34699</v>
      </c>
      <c r="B236" s="71"/>
      <c r="C236" s="226"/>
    </row>
    <row r="237" spans="1:3" x14ac:dyDescent="0.2">
      <c r="A237" s="65">
        <v>34730</v>
      </c>
      <c r="B237" s="71"/>
      <c r="C237" s="226"/>
    </row>
    <row r="238" spans="1:3" x14ac:dyDescent="0.2">
      <c r="A238" s="65">
        <v>34758</v>
      </c>
      <c r="B238" s="71"/>
      <c r="C238" s="226"/>
    </row>
    <row r="239" spans="1:3" x14ac:dyDescent="0.2">
      <c r="A239" s="65">
        <v>34789</v>
      </c>
      <c r="B239" s="71"/>
      <c r="C239" s="226"/>
    </row>
    <row r="240" spans="1:3" x14ac:dyDescent="0.2">
      <c r="A240" s="65">
        <v>34819</v>
      </c>
      <c r="B240" s="71"/>
      <c r="C240" s="226"/>
    </row>
    <row r="241" spans="1:3" x14ac:dyDescent="0.2">
      <c r="A241" s="65">
        <v>34850</v>
      </c>
      <c r="B241" s="71"/>
      <c r="C241" s="226"/>
    </row>
    <row r="242" spans="1:3" x14ac:dyDescent="0.2">
      <c r="A242" s="65">
        <v>34880</v>
      </c>
      <c r="B242" s="71"/>
      <c r="C242" s="226"/>
    </row>
    <row r="243" spans="1:3" x14ac:dyDescent="0.2">
      <c r="A243" s="65">
        <v>34911</v>
      </c>
      <c r="B243" s="71"/>
      <c r="C243" s="226"/>
    </row>
    <row r="244" spans="1:3" x14ac:dyDescent="0.2">
      <c r="A244" s="65">
        <v>34942</v>
      </c>
      <c r="B244" s="71"/>
      <c r="C244" s="226"/>
    </row>
    <row r="245" spans="1:3" x14ac:dyDescent="0.2">
      <c r="A245" s="65">
        <v>34972</v>
      </c>
      <c r="B245" s="71"/>
      <c r="C245" s="226"/>
    </row>
    <row r="246" spans="1:3" x14ac:dyDescent="0.2">
      <c r="A246" s="65">
        <v>35003</v>
      </c>
      <c r="B246" s="71"/>
      <c r="C246" s="226"/>
    </row>
    <row r="247" spans="1:3" x14ac:dyDescent="0.2">
      <c r="A247" s="65">
        <v>35033</v>
      </c>
      <c r="B247" s="71"/>
      <c r="C247" s="226"/>
    </row>
    <row r="248" spans="1:3" x14ac:dyDescent="0.2">
      <c r="A248" s="65">
        <v>35064</v>
      </c>
      <c r="B248" s="71"/>
      <c r="C248" s="226"/>
    </row>
    <row r="249" spans="1:3" x14ac:dyDescent="0.2">
      <c r="A249" s="65">
        <v>35095</v>
      </c>
      <c r="B249" s="71"/>
      <c r="C249" s="226"/>
    </row>
    <row r="250" spans="1:3" x14ac:dyDescent="0.2">
      <c r="A250" s="65">
        <v>35124</v>
      </c>
      <c r="B250" s="71"/>
      <c r="C250" s="226"/>
    </row>
    <row r="251" spans="1:3" x14ac:dyDescent="0.2">
      <c r="A251" s="65">
        <v>35155</v>
      </c>
      <c r="B251" s="71"/>
      <c r="C251" s="226"/>
    </row>
    <row r="252" spans="1:3" x14ac:dyDescent="0.2">
      <c r="A252" s="65">
        <v>35185</v>
      </c>
      <c r="B252" s="71"/>
      <c r="C252" s="226"/>
    </row>
    <row r="253" spans="1:3" x14ac:dyDescent="0.2">
      <c r="A253" s="65">
        <v>35216</v>
      </c>
      <c r="B253" s="71"/>
      <c r="C253" s="226"/>
    </row>
    <row r="254" spans="1:3" x14ac:dyDescent="0.2">
      <c r="A254" s="65">
        <v>35246</v>
      </c>
      <c r="B254" s="71"/>
      <c r="C254" s="226"/>
    </row>
    <row r="255" spans="1:3" x14ac:dyDescent="0.2">
      <c r="A255" s="65">
        <v>35277</v>
      </c>
      <c r="B255" s="71"/>
      <c r="C255" s="226"/>
    </row>
    <row r="256" spans="1:3" x14ac:dyDescent="0.2">
      <c r="A256" s="65">
        <v>35308</v>
      </c>
      <c r="B256" s="71"/>
      <c r="C256" s="226"/>
    </row>
    <row r="257" spans="1:3" x14ac:dyDescent="0.2">
      <c r="A257" s="65">
        <v>35338</v>
      </c>
      <c r="B257" s="71"/>
      <c r="C257" s="226"/>
    </row>
    <row r="258" spans="1:3" x14ac:dyDescent="0.2">
      <c r="A258" s="65">
        <v>35369</v>
      </c>
      <c r="B258" s="71"/>
      <c r="C258" s="226"/>
    </row>
    <row r="259" spans="1:3" x14ac:dyDescent="0.2">
      <c r="A259" s="65">
        <v>35399</v>
      </c>
      <c r="B259" s="71"/>
      <c r="C259" s="226"/>
    </row>
    <row r="260" spans="1:3" x14ac:dyDescent="0.2">
      <c r="A260" s="65">
        <v>35430</v>
      </c>
      <c r="B260" s="71"/>
      <c r="C260" s="226"/>
    </row>
    <row r="261" spans="1:3" x14ac:dyDescent="0.2">
      <c r="A261" s="65">
        <v>35461</v>
      </c>
      <c r="B261" s="71"/>
      <c r="C261" s="226"/>
    </row>
    <row r="262" spans="1:3" x14ac:dyDescent="0.2">
      <c r="A262" s="65">
        <v>35489</v>
      </c>
      <c r="B262" s="71"/>
      <c r="C262" s="226"/>
    </row>
    <row r="263" spans="1:3" x14ac:dyDescent="0.2">
      <c r="A263" s="65">
        <v>35520</v>
      </c>
      <c r="B263" s="71"/>
      <c r="C263" s="226"/>
    </row>
    <row r="264" spans="1:3" x14ac:dyDescent="0.2">
      <c r="A264" s="65">
        <v>35550</v>
      </c>
      <c r="B264" s="71"/>
      <c r="C264" s="226"/>
    </row>
    <row r="265" spans="1:3" x14ac:dyDescent="0.2">
      <c r="A265" s="65">
        <v>35581</v>
      </c>
      <c r="B265" s="71"/>
      <c r="C265" s="226"/>
    </row>
    <row r="266" spans="1:3" x14ac:dyDescent="0.2">
      <c r="A266" s="65">
        <v>35611</v>
      </c>
      <c r="B266" s="71"/>
      <c r="C266" s="226"/>
    </row>
    <row r="267" spans="1:3" x14ac:dyDescent="0.2">
      <c r="A267" s="65">
        <v>35642</v>
      </c>
      <c r="B267" s="71"/>
      <c r="C267" s="226"/>
    </row>
    <row r="268" spans="1:3" x14ac:dyDescent="0.2">
      <c r="A268" s="65">
        <v>35673</v>
      </c>
      <c r="B268" s="71"/>
      <c r="C268" s="226"/>
    </row>
    <row r="269" spans="1:3" x14ac:dyDescent="0.2">
      <c r="A269" s="65">
        <v>35703</v>
      </c>
      <c r="B269" s="71"/>
      <c r="C269" s="226"/>
    </row>
    <row r="270" spans="1:3" x14ac:dyDescent="0.2">
      <c r="A270" s="65">
        <v>35734</v>
      </c>
      <c r="B270" s="71"/>
      <c r="C270" s="226"/>
    </row>
    <row r="271" spans="1:3" x14ac:dyDescent="0.2">
      <c r="A271" s="65">
        <v>35764</v>
      </c>
      <c r="B271" s="71"/>
      <c r="C271" s="226"/>
    </row>
    <row r="272" spans="1:3" x14ac:dyDescent="0.2">
      <c r="A272" s="65">
        <v>35795</v>
      </c>
      <c r="B272" s="71"/>
      <c r="C272" s="226"/>
    </row>
    <row r="273" spans="1:3" x14ac:dyDescent="0.2">
      <c r="A273" s="65">
        <v>35826</v>
      </c>
      <c r="B273" s="71"/>
      <c r="C273" s="226"/>
    </row>
    <row r="274" spans="1:3" x14ac:dyDescent="0.2">
      <c r="A274" s="65">
        <v>35854</v>
      </c>
      <c r="B274" s="71"/>
      <c r="C274" s="226"/>
    </row>
    <row r="275" spans="1:3" x14ac:dyDescent="0.2">
      <c r="A275" s="65">
        <v>35885</v>
      </c>
      <c r="B275" s="71"/>
      <c r="C275" s="226"/>
    </row>
    <row r="276" spans="1:3" x14ac:dyDescent="0.2">
      <c r="A276" s="65">
        <v>35915</v>
      </c>
      <c r="B276" s="71"/>
      <c r="C276" s="226"/>
    </row>
    <row r="277" spans="1:3" x14ac:dyDescent="0.2">
      <c r="A277" s="65">
        <v>35946</v>
      </c>
      <c r="B277" s="71"/>
      <c r="C277" s="226"/>
    </row>
    <row r="278" spans="1:3" x14ac:dyDescent="0.2">
      <c r="A278" s="65">
        <v>35976</v>
      </c>
      <c r="B278" s="71"/>
      <c r="C278" s="226"/>
    </row>
    <row r="279" spans="1:3" x14ac:dyDescent="0.2">
      <c r="A279" s="65">
        <v>36007</v>
      </c>
      <c r="B279" s="71"/>
      <c r="C279" s="226"/>
    </row>
    <row r="280" spans="1:3" x14ac:dyDescent="0.2">
      <c r="A280" s="65">
        <v>36038</v>
      </c>
      <c r="B280" s="71"/>
      <c r="C280" s="226"/>
    </row>
    <row r="281" spans="1:3" x14ac:dyDescent="0.2">
      <c r="A281" s="65">
        <v>36068</v>
      </c>
      <c r="B281" s="71"/>
      <c r="C281" s="226"/>
    </row>
    <row r="282" spans="1:3" x14ac:dyDescent="0.2">
      <c r="A282" s="65">
        <v>36099</v>
      </c>
      <c r="B282" s="71"/>
      <c r="C282" s="226"/>
    </row>
    <row r="283" spans="1:3" x14ac:dyDescent="0.2">
      <c r="A283" s="65">
        <v>36129</v>
      </c>
      <c r="B283" s="71"/>
      <c r="C283" s="226"/>
    </row>
    <row r="284" spans="1:3" x14ac:dyDescent="0.2">
      <c r="A284" s="65">
        <v>36160</v>
      </c>
      <c r="B284" s="71"/>
      <c r="C284" s="226"/>
    </row>
    <row r="285" spans="1:3" x14ac:dyDescent="0.2">
      <c r="A285" s="65">
        <v>36191</v>
      </c>
      <c r="B285" s="71"/>
      <c r="C285" s="226"/>
    </row>
    <row r="286" spans="1:3" x14ac:dyDescent="0.2">
      <c r="A286" s="65">
        <v>36219</v>
      </c>
      <c r="B286" s="71"/>
      <c r="C286" s="226"/>
    </row>
    <row r="287" spans="1:3" x14ac:dyDescent="0.2">
      <c r="A287" s="65">
        <v>36250</v>
      </c>
      <c r="B287" s="71"/>
      <c r="C287" s="226"/>
    </row>
    <row r="288" spans="1:3" x14ac:dyDescent="0.2">
      <c r="A288" s="65">
        <v>36280</v>
      </c>
      <c r="B288" s="71"/>
      <c r="C288" s="226"/>
    </row>
    <row r="289" spans="1:3" x14ac:dyDescent="0.2">
      <c r="A289" s="65">
        <v>36311</v>
      </c>
      <c r="B289" s="71"/>
      <c r="C289" s="226"/>
    </row>
    <row r="290" spans="1:3" x14ac:dyDescent="0.2">
      <c r="A290" s="65">
        <v>36341</v>
      </c>
      <c r="B290" s="71"/>
      <c r="C290" s="226"/>
    </row>
    <row r="291" spans="1:3" x14ac:dyDescent="0.2">
      <c r="A291" s="65">
        <v>36372</v>
      </c>
      <c r="B291" s="71"/>
      <c r="C291" s="226"/>
    </row>
    <row r="292" spans="1:3" x14ac:dyDescent="0.2">
      <c r="A292" s="65">
        <v>36403</v>
      </c>
      <c r="B292" s="71"/>
      <c r="C292" s="226"/>
    </row>
    <row r="293" spans="1:3" x14ac:dyDescent="0.2">
      <c r="A293" s="65">
        <v>36433</v>
      </c>
      <c r="B293" s="71"/>
      <c r="C293" s="226"/>
    </row>
    <row r="294" spans="1:3" x14ac:dyDescent="0.2">
      <c r="A294" s="65">
        <v>36464</v>
      </c>
      <c r="B294" s="71"/>
      <c r="C294" s="226"/>
    </row>
    <row r="295" spans="1:3" x14ac:dyDescent="0.2">
      <c r="A295" s="65">
        <v>36494</v>
      </c>
      <c r="B295" s="71"/>
      <c r="C295" s="226"/>
    </row>
    <row r="296" spans="1:3" x14ac:dyDescent="0.2">
      <c r="A296" s="65">
        <v>36525</v>
      </c>
      <c r="B296" s="71"/>
      <c r="C296" s="226"/>
    </row>
    <row r="297" spans="1:3" x14ac:dyDescent="0.2">
      <c r="A297" s="65">
        <v>36556</v>
      </c>
      <c r="B297" s="71"/>
      <c r="C297" s="226"/>
    </row>
    <row r="298" spans="1:3" x14ac:dyDescent="0.2">
      <c r="A298" s="65">
        <v>36585</v>
      </c>
      <c r="B298" s="71"/>
      <c r="C298" s="226"/>
    </row>
    <row r="299" spans="1:3" x14ac:dyDescent="0.2">
      <c r="A299" s="65">
        <v>36616</v>
      </c>
      <c r="B299" s="71"/>
      <c r="C299" s="226"/>
    </row>
    <row r="300" spans="1:3" x14ac:dyDescent="0.2">
      <c r="A300" s="65">
        <v>36646</v>
      </c>
      <c r="B300" s="71"/>
      <c r="C300" s="226"/>
    </row>
    <row r="301" spans="1:3" x14ac:dyDescent="0.2">
      <c r="A301" s="65">
        <v>36677</v>
      </c>
      <c r="B301" s="71"/>
      <c r="C301" s="226"/>
    </row>
    <row r="302" spans="1:3" x14ac:dyDescent="0.2">
      <c r="A302" s="65">
        <v>36707</v>
      </c>
      <c r="B302" s="71"/>
      <c r="C302" s="226"/>
    </row>
    <row r="303" spans="1:3" x14ac:dyDescent="0.2">
      <c r="A303" s="65">
        <v>36738</v>
      </c>
      <c r="B303" s="71"/>
      <c r="C303" s="226"/>
    </row>
    <row r="304" spans="1:3" x14ac:dyDescent="0.2">
      <c r="A304" s="65">
        <v>36769</v>
      </c>
      <c r="B304" s="71"/>
      <c r="C304" s="226"/>
    </row>
    <row r="305" spans="1:3" x14ac:dyDescent="0.2">
      <c r="A305" s="65">
        <v>36799</v>
      </c>
      <c r="B305" s="71"/>
      <c r="C305" s="226"/>
    </row>
    <row r="306" spans="1:3" x14ac:dyDescent="0.2">
      <c r="A306" s="65">
        <v>36830</v>
      </c>
      <c r="B306" s="71"/>
      <c r="C306" s="226"/>
    </row>
    <row r="307" spans="1:3" x14ac:dyDescent="0.2">
      <c r="A307" s="65">
        <v>36860</v>
      </c>
      <c r="B307" s="71"/>
      <c r="C307" s="226"/>
    </row>
    <row r="308" spans="1:3" x14ac:dyDescent="0.2">
      <c r="A308" s="65">
        <v>36891</v>
      </c>
      <c r="B308" s="71"/>
      <c r="C308" s="226"/>
    </row>
    <row r="309" spans="1:3" x14ac:dyDescent="0.2">
      <c r="A309" s="65">
        <v>36922</v>
      </c>
      <c r="B309" s="71"/>
      <c r="C309" s="226"/>
    </row>
    <row r="310" spans="1:3" x14ac:dyDescent="0.2">
      <c r="A310" s="65">
        <v>36950</v>
      </c>
      <c r="B310" s="71"/>
      <c r="C310" s="226"/>
    </row>
    <row r="311" spans="1:3" x14ac:dyDescent="0.2">
      <c r="A311" s="65">
        <v>36981</v>
      </c>
      <c r="B311" s="71"/>
      <c r="C311" s="226"/>
    </row>
    <row r="312" spans="1:3" x14ac:dyDescent="0.2">
      <c r="A312" s="65">
        <v>37011</v>
      </c>
      <c r="B312" s="71"/>
      <c r="C312" s="226"/>
    </row>
    <row r="313" spans="1:3" x14ac:dyDescent="0.2">
      <c r="A313" s="65">
        <v>37042</v>
      </c>
      <c r="B313" s="71"/>
      <c r="C313" s="226"/>
    </row>
    <row r="314" spans="1:3" x14ac:dyDescent="0.2">
      <c r="A314" s="65">
        <v>37072</v>
      </c>
      <c r="B314" s="71"/>
      <c r="C314" s="226"/>
    </row>
    <row r="315" spans="1:3" x14ac:dyDescent="0.2">
      <c r="A315" s="65">
        <v>37103</v>
      </c>
      <c r="B315" s="71"/>
      <c r="C315" s="226"/>
    </row>
    <row r="316" spans="1:3" x14ac:dyDescent="0.2">
      <c r="A316" s="65">
        <v>37134</v>
      </c>
      <c r="B316" s="71"/>
      <c r="C316" s="226"/>
    </row>
    <row r="317" spans="1:3" x14ac:dyDescent="0.2">
      <c r="A317" s="65">
        <v>37164</v>
      </c>
      <c r="B317" s="71"/>
      <c r="C317" s="226"/>
    </row>
    <row r="318" spans="1:3" x14ac:dyDescent="0.2">
      <c r="A318" s="65">
        <v>37195</v>
      </c>
      <c r="B318" s="71"/>
      <c r="C318" s="226"/>
    </row>
    <row r="319" spans="1:3" x14ac:dyDescent="0.2">
      <c r="A319" s="65">
        <v>37225</v>
      </c>
      <c r="B319" s="71"/>
      <c r="C319" s="226"/>
    </row>
    <row r="320" spans="1:3" x14ac:dyDescent="0.2">
      <c r="A320" s="65">
        <v>37256</v>
      </c>
      <c r="B320" s="71"/>
      <c r="C320" s="226"/>
    </row>
    <row r="321" spans="1:6" x14ac:dyDescent="0.2">
      <c r="A321" s="65">
        <v>37287</v>
      </c>
      <c r="B321" s="71"/>
      <c r="C321" s="226"/>
    </row>
    <row r="322" spans="1:6" x14ac:dyDescent="0.2">
      <c r="A322" s="65">
        <v>37315</v>
      </c>
      <c r="B322" s="71"/>
      <c r="C322" s="226"/>
    </row>
    <row r="323" spans="1:6" x14ac:dyDescent="0.2">
      <c r="A323" s="65">
        <v>37346</v>
      </c>
      <c r="B323" s="71"/>
      <c r="C323" s="226"/>
    </row>
    <row r="324" spans="1:6" x14ac:dyDescent="0.2">
      <c r="A324" s="65">
        <v>37376</v>
      </c>
      <c r="B324" s="71"/>
      <c r="C324" s="226"/>
    </row>
    <row r="325" spans="1:6" x14ac:dyDescent="0.2">
      <c r="A325" s="65">
        <v>37407</v>
      </c>
      <c r="B325" s="71"/>
      <c r="C325" s="226"/>
    </row>
    <row r="326" spans="1:6" x14ac:dyDescent="0.2">
      <c r="A326" s="65">
        <v>37437</v>
      </c>
      <c r="B326" s="71"/>
      <c r="C326" s="226"/>
    </row>
    <row r="327" spans="1:6" x14ac:dyDescent="0.2">
      <c r="A327" s="65">
        <v>37468</v>
      </c>
      <c r="B327" s="76">
        <v>-7.6310000000000002</v>
      </c>
      <c r="C327" s="231">
        <v>6182339822.3100004</v>
      </c>
      <c r="F327" s="1069"/>
    </row>
    <row r="328" spans="1:6" x14ac:dyDescent="0.2">
      <c r="A328" s="65">
        <v>37499</v>
      </c>
      <c r="B328" s="76">
        <v>0.72750000000000004</v>
      </c>
      <c r="C328" s="231">
        <v>6601507831.1899996</v>
      </c>
      <c r="F328" s="1069"/>
    </row>
    <row r="329" spans="1:6" x14ac:dyDescent="0.2">
      <c r="A329" s="65">
        <v>37529</v>
      </c>
      <c r="B329" s="76">
        <v>-10.932600000000001</v>
      </c>
      <c r="C329" s="231">
        <v>5935089833.0299997</v>
      </c>
      <c r="F329" s="1069"/>
    </row>
    <row r="330" spans="1:6" x14ac:dyDescent="0.2">
      <c r="A330" s="65">
        <v>37560</v>
      </c>
      <c r="B330" s="76">
        <v>8.5368999999999993</v>
      </c>
      <c r="C330" s="231">
        <v>6471246692.1499996</v>
      </c>
      <c r="F330" s="1069"/>
    </row>
    <row r="331" spans="1:6" x14ac:dyDescent="0.2">
      <c r="A331" s="65">
        <v>37590</v>
      </c>
      <c r="B331" s="76">
        <v>5.8193000000000001</v>
      </c>
      <c r="C331" s="231">
        <v>6904428020.4200001</v>
      </c>
      <c r="F331" s="1069"/>
    </row>
    <row r="332" spans="1:6" x14ac:dyDescent="0.2">
      <c r="A332" s="65">
        <v>37621</v>
      </c>
      <c r="B332" s="76">
        <v>-6.0967000000000002</v>
      </c>
      <c r="C332" s="231">
        <v>6378465391.5699997</v>
      </c>
      <c r="F332" s="1069"/>
    </row>
    <row r="333" spans="1:6" x14ac:dyDescent="0.2">
      <c r="A333" s="65">
        <v>37652</v>
      </c>
      <c r="B333" s="76">
        <v>-2.5478999999999998</v>
      </c>
      <c r="C333" s="231">
        <v>6264468982.0299997</v>
      </c>
      <c r="F333" s="1069"/>
    </row>
    <row r="334" spans="1:6" x14ac:dyDescent="0.2">
      <c r="A334" s="65">
        <v>37680</v>
      </c>
      <c r="B334" s="76">
        <v>-1.627</v>
      </c>
      <c r="C334" s="231">
        <v>6163548085.6300001</v>
      </c>
      <c r="F334" s="1069"/>
    </row>
    <row r="335" spans="1:6" x14ac:dyDescent="0.2">
      <c r="A335" s="65">
        <v>37711</v>
      </c>
      <c r="B335" s="76">
        <v>0.86609999999999998</v>
      </c>
      <c r="C335" s="231">
        <v>6217294746.7600002</v>
      </c>
      <c r="F335" s="1069"/>
    </row>
    <row r="336" spans="1:6" x14ac:dyDescent="0.2">
      <c r="A336" s="65">
        <v>37741</v>
      </c>
      <c r="B336" s="76">
        <v>8.2467000000000006</v>
      </c>
      <c r="C336" s="231">
        <v>6730047161.1199999</v>
      </c>
      <c r="F336" s="1069"/>
    </row>
    <row r="337" spans="1:6" x14ac:dyDescent="0.2">
      <c r="A337" s="65">
        <v>37772</v>
      </c>
      <c r="B337" s="76">
        <v>5.3151999999999999</v>
      </c>
      <c r="C337" s="231">
        <v>6938824396.5500002</v>
      </c>
      <c r="F337" s="1069"/>
    </row>
    <row r="338" spans="1:6" x14ac:dyDescent="0.2">
      <c r="A338" s="65">
        <v>37802</v>
      </c>
      <c r="B338" s="76">
        <v>1.3246</v>
      </c>
      <c r="C338" s="231">
        <v>7032959063.7299995</v>
      </c>
      <c r="F338" s="1069"/>
    </row>
    <row r="339" spans="1:6" x14ac:dyDescent="0.2">
      <c r="A339" s="65">
        <v>37833</v>
      </c>
      <c r="B339" s="76">
        <v>1.6416999999999999</v>
      </c>
      <c r="C339" s="231">
        <v>7098434501.54</v>
      </c>
      <c r="F339" s="1069"/>
    </row>
    <row r="340" spans="1:6" x14ac:dyDescent="0.2">
      <c r="A340" s="65">
        <v>37864</v>
      </c>
      <c r="B340" s="76">
        <v>2.0577000000000001</v>
      </c>
      <c r="C340" s="231">
        <v>7154159719.5500002</v>
      </c>
      <c r="F340" s="1069"/>
    </row>
    <row r="341" spans="1:6" x14ac:dyDescent="0.2">
      <c r="A341" s="65">
        <v>37894</v>
      </c>
      <c r="B341" s="76">
        <v>-0.97750000000000004</v>
      </c>
      <c r="C341" s="231">
        <v>7040384470.0200005</v>
      </c>
      <c r="F341" s="1069"/>
    </row>
    <row r="342" spans="1:6" x14ac:dyDescent="0.2">
      <c r="A342" s="65">
        <v>37925</v>
      </c>
      <c r="B342" s="76">
        <v>5.7755000000000001</v>
      </c>
      <c r="C342" s="231">
        <v>7447003836.04</v>
      </c>
      <c r="F342" s="1069"/>
    </row>
    <row r="343" spans="1:6" x14ac:dyDescent="0.2">
      <c r="A343" s="65">
        <v>37955</v>
      </c>
      <c r="B343" s="76">
        <v>0.92169999999999996</v>
      </c>
      <c r="C343" s="231">
        <v>7475615810.6700001</v>
      </c>
      <c r="F343" s="1069"/>
    </row>
    <row r="344" spans="1:6" x14ac:dyDescent="0.2">
      <c r="A344" s="65">
        <v>37986</v>
      </c>
      <c r="B344" s="76">
        <v>5.1586999999999996</v>
      </c>
      <c r="C344" s="231">
        <v>7862467589.4899998</v>
      </c>
      <c r="F344" s="1069"/>
    </row>
    <row r="345" spans="1:6" x14ac:dyDescent="0.2">
      <c r="A345" s="65">
        <v>38017</v>
      </c>
      <c r="B345" s="76">
        <v>1.7273000000000001</v>
      </c>
      <c r="C345" s="231">
        <v>8228788282.75</v>
      </c>
      <c r="F345" s="1069"/>
    </row>
    <row r="346" spans="1:6" x14ac:dyDescent="0.2">
      <c r="A346" s="65">
        <v>38046</v>
      </c>
      <c r="B346" s="76">
        <v>1.5222</v>
      </c>
      <c r="C346" s="231">
        <v>8354048373.79</v>
      </c>
      <c r="F346" s="1069"/>
    </row>
    <row r="347" spans="1:6" x14ac:dyDescent="0.2">
      <c r="A347" s="65">
        <v>38077</v>
      </c>
      <c r="B347" s="76">
        <v>-1.2450000000000001</v>
      </c>
      <c r="C347" s="231">
        <v>8251355702.3900003</v>
      </c>
      <c r="F347" s="1069"/>
    </row>
    <row r="348" spans="1:6" x14ac:dyDescent="0.2">
      <c r="A348" s="65">
        <v>38107</v>
      </c>
      <c r="B348" s="76">
        <v>-1.6536</v>
      </c>
      <c r="C348" s="231">
        <v>8114910151.71</v>
      </c>
      <c r="F348" s="1069"/>
    </row>
    <row r="349" spans="1:6" x14ac:dyDescent="0.2">
      <c r="A349" s="65">
        <v>38138</v>
      </c>
      <c r="B349" s="76">
        <v>1.2498</v>
      </c>
      <c r="C349" s="231">
        <v>8216328474.1700001</v>
      </c>
      <c r="F349" s="1069"/>
    </row>
    <row r="350" spans="1:6" x14ac:dyDescent="0.2">
      <c r="A350" s="65">
        <v>38168</v>
      </c>
      <c r="B350" s="76">
        <v>2.0043000000000002</v>
      </c>
      <c r="C350" s="231">
        <v>8382669491.3299999</v>
      </c>
      <c r="F350" s="1069"/>
    </row>
    <row r="351" spans="1:6" x14ac:dyDescent="0.2">
      <c r="A351" s="65">
        <v>38199</v>
      </c>
      <c r="B351" s="76">
        <v>-3.3481000000000001</v>
      </c>
      <c r="C351" s="231">
        <v>8103974703.8500004</v>
      </c>
      <c r="F351" s="1069"/>
    </row>
    <row r="352" spans="1:6" x14ac:dyDescent="0.2">
      <c r="A352" s="65">
        <v>38230</v>
      </c>
      <c r="B352" s="76">
        <v>0.44359999999999999</v>
      </c>
      <c r="C352" s="231">
        <v>8139926091.0299997</v>
      </c>
      <c r="F352" s="1069"/>
    </row>
    <row r="353" spans="1:6" x14ac:dyDescent="0.2">
      <c r="A353" s="65">
        <v>38260</v>
      </c>
      <c r="B353" s="76">
        <v>1.3458000000000001</v>
      </c>
      <c r="C353" s="231">
        <v>8230076215.79</v>
      </c>
      <c r="F353" s="1069"/>
    </row>
    <row r="354" spans="1:6" x14ac:dyDescent="0.2">
      <c r="A354" s="65">
        <v>38291</v>
      </c>
      <c r="B354" s="76">
        <v>1.4655</v>
      </c>
      <c r="C354" s="8">
        <v>8307604351.4700003</v>
      </c>
      <c r="F354" s="1069"/>
    </row>
    <row r="355" spans="1:6" x14ac:dyDescent="0.2">
      <c r="A355" s="65">
        <v>38321</v>
      </c>
      <c r="B355" s="76">
        <v>4.1223000000000001</v>
      </c>
      <c r="C355" s="8">
        <v>8610016409.1800003</v>
      </c>
      <c r="F355" s="1069"/>
    </row>
    <row r="356" spans="1:6" x14ac:dyDescent="0.2">
      <c r="A356" s="65">
        <v>38352</v>
      </c>
      <c r="B356" s="76">
        <v>3.3342000000000001</v>
      </c>
      <c r="C356" s="231">
        <v>8821202760.9300003</v>
      </c>
      <c r="F356" s="1069"/>
    </row>
    <row r="357" spans="1:6" x14ac:dyDescent="0.2">
      <c r="A357" s="65">
        <v>38383</v>
      </c>
      <c r="B357" s="76">
        <v>-2.2938000000000001</v>
      </c>
      <c r="C357" s="231">
        <v>8561108943.8299999</v>
      </c>
      <c r="F357" s="1069"/>
    </row>
    <row r="358" spans="1:6" x14ac:dyDescent="0.2">
      <c r="A358" s="65">
        <v>38411</v>
      </c>
      <c r="B358" s="76">
        <v>2.1863999999999999</v>
      </c>
      <c r="C358" s="231">
        <v>8748288890.3899994</v>
      </c>
      <c r="F358" s="1069"/>
    </row>
    <row r="359" spans="1:6" x14ac:dyDescent="0.2">
      <c r="A359" s="65">
        <v>38442</v>
      </c>
      <c r="B359" s="76">
        <v>-1.8122</v>
      </c>
      <c r="C359" s="232">
        <v>8592266839.1900005</v>
      </c>
      <c r="F359" s="1069"/>
    </row>
    <row r="360" spans="1:6" x14ac:dyDescent="0.2">
      <c r="A360" s="65">
        <v>38472</v>
      </c>
      <c r="B360" s="76">
        <v>-1.9878</v>
      </c>
      <c r="C360" s="232">
        <v>8421469080.7799997</v>
      </c>
      <c r="F360" s="1069"/>
    </row>
    <row r="361" spans="1:6" x14ac:dyDescent="0.2">
      <c r="A361" s="65">
        <v>38503</v>
      </c>
      <c r="B361" s="76">
        <v>3.3372000000000002</v>
      </c>
      <c r="C361" s="232">
        <v>8658489801.4500008</v>
      </c>
      <c r="F361" s="1069"/>
    </row>
    <row r="362" spans="1:6" x14ac:dyDescent="0.2">
      <c r="A362" s="65">
        <v>38533</v>
      </c>
      <c r="B362" s="76">
        <v>0.22459999999999999</v>
      </c>
      <c r="C362" s="232">
        <v>8634436737.3799992</v>
      </c>
      <c r="F362" s="1069"/>
    </row>
    <row r="363" spans="1:6" x14ac:dyDescent="0.2">
      <c r="A363" s="65">
        <v>38564</v>
      </c>
      <c r="B363" s="76">
        <v>3.6625999999999999</v>
      </c>
      <c r="C363" s="232">
        <v>8872370873.7600002</v>
      </c>
      <c r="F363" s="1069"/>
    </row>
    <row r="364" spans="1:6" x14ac:dyDescent="0.2">
      <c r="A364" s="65">
        <v>38595</v>
      </c>
      <c r="B364" s="76">
        <v>-0.83379999999999999</v>
      </c>
      <c r="C364" s="232">
        <v>8798391130.7399998</v>
      </c>
      <c r="F364" s="1069"/>
    </row>
    <row r="365" spans="1:6" x14ac:dyDescent="0.2">
      <c r="A365" s="65">
        <v>38625</v>
      </c>
      <c r="B365" s="253">
        <v>0.88280000000000003</v>
      </c>
      <c r="C365" s="256">
        <v>8878120032.6599998</v>
      </c>
      <c r="F365" s="1069"/>
    </row>
    <row r="366" spans="1:6" x14ac:dyDescent="0.2">
      <c r="A366" s="65">
        <v>38656</v>
      </c>
      <c r="B366" s="253">
        <v>-1.6127</v>
      </c>
      <c r="C366" s="256">
        <v>8705376571.3400002</v>
      </c>
      <c r="F366" s="1069"/>
    </row>
    <row r="367" spans="1:6" x14ac:dyDescent="0.2">
      <c r="A367" s="65">
        <v>38686</v>
      </c>
      <c r="B367" s="253">
        <v>3.9306000000000001</v>
      </c>
      <c r="C367" s="256">
        <v>8969450172.2999992</v>
      </c>
      <c r="F367" s="1069"/>
    </row>
    <row r="368" spans="1:6" x14ac:dyDescent="0.2">
      <c r="A368" s="65">
        <v>38717</v>
      </c>
      <c r="B368" s="253">
        <v>0.2059</v>
      </c>
      <c r="C368" s="256">
        <v>8912385120.8999996</v>
      </c>
      <c r="F368" s="1069"/>
    </row>
    <row r="369" spans="1:6" x14ac:dyDescent="0.2">
      <c r="A369" s="65">
        <v>38748</v>
      </c>
      <c r="B369" s="253">
        <v>2.8748</v>
      </c>
      <c r="C369" s="256">
        <v>9168599768.8299999</v>
      </c>
      <c r="F369" s="1069"/>
    </row>
    <row r="370" spans="1:6" x14ac:dyDescent="0.2">
      <c r="A370" s="65">
        <v>38776</v>
      </c>
      <c r="B370" s="253">
        <v>7.5999999999999998E-2</v>
      </c>
      <c r="C370" s="256">
        <v>9175568798.3099995</v>
      </c>
      <c r="F370" s="1069"/>
    </row>
    <row r="371" spans="1:6" x14ac:dyDescent="0.2">
      <c r="A371" s="65">
        <v>38807</v>
      </c>
      <c r="B371" s="128">
        <v>1.2802</v>
      </c>
      <c r="C371" s="366">
        <v>9264585238.1100006</v>
      </c>
      <c r="F371" s="1069"/>
    </row>
    <row r="372" spans="1:6" x14ac:dyDescent="0.2">
      <c r="A372" s="65">
        <v>38837</v>
      </c>
      <c r="B372" s="128">
        <v>1.2347999999999999</v>
      </c>
      <c r="C372" s="366">
        <v>9379014444.8199997</v>
      </c>
      <c r="F372" s="1069"/>
    </row>
    <row r="373" spans="1:6" x14ac:dyDescent="0.2">
      <c r="A373" s="65">
        <v>38868</v>
      </c>
      <c r="B373" s="128">
        <v>-2.8805000000000001</v>
      </c>
      <c r="C373" s="366">
        <v>9108856300.0900002</v>
      </c>
      <c r="F373" s="1069"/>
    </row>
    <row r="374" spans="1:6" x14ac:dyDescent="0.2">
      <c r="A374" s="65">
        <v>38898</v>
      </c>
      <c r="B374" s="128">
        <v>0.1439</v>
      </c>
      <c r="C374" s="612">
        <v>9103513154.7999992</v>
      </c>
      <c r="D374" s="253"/>
      <c r="F374" s="1069"/>
    </row>
    <row r="375" spans="1:6" x14ac:dyDescent="0.2">
      <c r="A375" s="65">
        <v>38929</v>
      </c>
      <c r="B375" s="253">
        <v>0.60340000000000005</v>
      </c>
      <c r="C375" s="34">
        <v>9108432108.7700005</v>
      </c>
      <c r="D375" s="253"/>
      <c r="F375" s="1069"/>
    </row>
    <row r="376" spans="1:6" x14ac:dyDescent="0.2">
      <c r="A376" s="65">
        <v>38960</v>
      </c>
      <c r="B376" s="253">
        <v>2.3123999999999998</v>
      </c>
      <c r="C376" s="34">
        <v>9259015243.5</v>
      </c>
      <c r="D376" s="253"/>
      <c r="F376" s="1069"/>
    </row>
    <row r="377" spans="1:6" x14ac:dyDescent="0.2">
      <c r="A377" s="65">
        <v>38990</v>
      </c>
      <c r="B377" s="253">
        <v>2.4984999999999999</v>
      </c>
      <c r="C377" s="34">
        <v>9476835981.0599995</v>
      </c>
      <c r="D377" s="253"/>
      <c r="F377" s="1069"/>
    </row>
    <row r="378" spans="1:6" x14ac:dyDescent="0.2">
      <c r="A378" s="65">
        <v>39021</v>
      </c>
      <c r="B378" s="14">
        <v>3.2149999999999999</v>
      </c>
      <c r="C378" s="8">
        <v>9773853720.8500004</v>
      </c>
      <c r="F378" s="1069"/>
    </row>
    <row r="379" spans="1:6" x14ac:dyDescent="0.2">
      <c r="A379" s="65">
        <v>39051</v>
      </c>
      <c r="B379" s="14">
        <v>1.8388</v>
      </c>
      <c r="C379" s="8">
        <v>9952053625.0499992</v>
      </c>
      <c r="F379" s="1069"/>
    </row>
    <row r="380" spans="1:6" x14ac:dyDescent="0.2">
      <c r="A380" s="65">
        <v>39082</v>
      </c>
      <c r="B380" s="14">
        <v>1.4311</v>
      </c>
      <c r="C380" s="352">
        <v>10019270749.559999</v>
      </c>
      <c r="F380" s="1069"/>
    </row>
    <row r="381" spans="1:6" x14ac:dyDescent="0.2">
      <c r="A381" s="65">
        <v>39113</v>
      </c>
      <c r="B381" s="14">
        <v>1.5834999999999999</v>
      </c>
      <c r="C381" s="352">
        <v>9754190082.7199993</v>
      </c>
      <c r="F381" s="1069"/>
    </row>
    <row r="382" spans="1:6" x14ac:dyDescent="0.2">
      <c r="A382" s="65">
        <v>39141</v>
      </c>
      <c r="B382" s="14">
        <v>-1.8695999999999999</v>
      </c>
      <c r="C382" s="352">
        <v>9571825234.2099991</v>
      </c>
      <c r="F382" s="1069"/>
    </row>
    <row r="383" spans="1:6" x14ac:dyDescent="0.2">
      <c r="A383" s="65">
        <v>39172</v>
      </c>
      <c r="B383" s="14">
        <v>1.1866000000000001</v>
      </c>
      <c r="C383" s="352">
        <v>9622868444.2800007</v>
      </c>
      <c r="F383" s="1069"/>
    </row>
    <row r="384" spans="1:6" x14ac:dyDescent="0.2">
      <c r="A384" s="65">
        <v>39202</v>
      </c>
      <c r="B384" s="14">
        <v>4.2743000000000002</v>
      </c>
      <c r="C384" s="352">
        <v>9933410577.4699993</v>
      </c>
      <c r="F384" s="1069"/>
    </row>
    <row r="385" spans="1:6" x14ac:dyDescent="0.2">
      <c r="A385" s="65">
        <v>39233</v>
      </c>
      <c r="B385" s="14">
        <v>3.4165999999999999</v>
      </c>
      <c r="C385" s="352">
        <v>10244868766.440001</v>
      </c>
      <c r="F385" s="1069"/>
    </row>
    <row r="386" spans="1:6" x14ac:dyDescent="0.2">
      <c r="A386" s="65">
        <v>39263</v>
      </c>
      <c r="B386" s="14">
        <v>-1.8498000000000001</v>
      </c>
      <c r="C386" s="352">
        <v>10046360687.889999</v>
      </c>
      <c r="F386" s="1069"/>
    </row>
    <row r="387" spans="1:6" x14ac:dyDescent="0.2">
      <c r="A387" s="65">
        <v>39294</v>
      </c>
      <c r="B387" s="14">
        <v>-3.2269000000000001</v>
      </c>
      <c r="C387" s="352">
        <v>9692645932.9400005</v>
      </c>
      <c r="F387" s="1069"/>
    </row>
    <row r="388" spans="1:6" x14ac:dyDescent="0.2">
      <c r="A388" s="65">
        <v>39325</v>
      </c>
      <c r="B388" s="14">
        <v>1.4412</v>
      </c>
      <c r="C388" s="8">
        <v>9520675996.4099998</v>
      </c>
      <c r="F388" s="1069"/>
    </row>
    <row r="389" spans="1:6" x14ac:dyDescent="0.2">
      <c r="A389" s="65">
        <v>39355</v>
      </c>
      <c r="B389" s="14">
        <v>3.7307000000000001</v>
      </c>
      <c r="C389" s="8">
        <v>9830571201.6499996</v>
      </c>
      <c r="F389" s="1069"/>
    </row>
    <row r="390" spans="1:6" x14ac:dyDescent="0.2">
      <c r="A390" s="65">
        <v>39386</v>
      </c>
      <c r="B390" s="14">
        <v>1.4265000000000001</v>
      </c>
      <c r="C390" s="8">
        <v>9970816849.7299995</v>
      </c>
      <c r="F390" s="1069"/>
    </row>
    <row r="391" spans="1:6" x14ac:dyDescent="0.2">
      <c r="A391" s="65">
        <v>39416</v>
      </c>
      <c r="B391" s="14">
        <v>-4.1961000000000004</v>
      </c>
      <c r="C391" s="8">
        <v>9437539932.6800003</v>
      </c>
      <c r="F391" s="1069"/>
    </row>
    <row r="392" spans="1:6" x14ac:dyDescent="0.2">
      <c r="A392" s="65">
        <v>39447</v>
      </c>
      <c r="B392" s="14">
        <v>-0.53390000000000004</v>
      </c>
      <c r="C392" s="8">
        <v>9682550379</v>
      </c>
      <c r="F392" s="1069"/>
    </row>
    <row r="393" spans="1:6" x14ac:dyDescent="0.2">
      <c r="A393" s="65">
        <v>39478</v>
      </c>
      <c r="B393" s="1065">
        <v>-6.2633999999999999</v>
      </c>
      <c r="C393" s="8">
        <v>8706935853.4300003</v>
      </c>
      <c r="F393" s="1069"/>
    </row>
    <row r="394" spans="1:6" x14ac:dyDescent="0.2">
      <c r="A394" s="65">
        <v>39507</v>
      </c>
      <c r="B394" s="1065">
        <v>-3.0282</v>
      </c>
      <c r="C394" s="8">
        <v>7451947038.1899996</v>
      </c>
      <c r="F394" s="1069"/>
    </row>
    <row r="395" spans="1:6" x14ac:dyDescent="0.2">
      <c r="A395" s="65">
        <v>39538</v>
      </c>
      <c r="B395" s="1065">
        <v>-0.59140000000000004</v>
      </c>
      <c r="C395" s="8">
        <v>8282268496.8999996</v>
      </c>
    </row>
    <row r="396" spans="1:6" x14ac:dyDescent="0.2">
      <c r="A396" s="65">
        <v>39568</v>
      </c>
      <c r="B396" s="14">
        <v>5.0633999999999997</v>
      </c>
      <c r="C396" s="8">
        <v>8661983074.7600002</v>
      </c>
    </row>
    <row r="397" spans="1:6" x14ac:dyDescent="0.2">
      <c r="A397" s="65">
        <v>39599</v>
      </c>
      <c r="B397" s="14">
        <v>1.3468</v>
      </c>
      <c r="C397" s="8">
        <v>8748620424.0100002</v>
      </c>
      <c r="F397" s="1069"/>
    </row>
    <row r="398" spans="1:6" x14ac:dyDescent="0.2">
      <c r="A398" s="65">
        <v>39629</v>
      </c>
      <c r="B398" s="14">
        <v>-8.4038000000000004</v>
      </c>
      <c r="C398" s="8">
        <v>7965805341.6000004</v>
      </c>
    </row>
    <row r="399" spans="1:6" x14ac:dyDescent="0.2">
      <c r="A399" s="65">
        <v>39660</v>
      </c>
      <c r="B399" s="14">
        <v>-0.80020000000000002</v>
      </c>
      <c r="C399" s="1007">
        <v>7750384691.9099998</v>
      </c>
    </row>
    <row r="400" spans="1:6" x14ac:dyDescent="0.2">
      <c r="A400" s="65">
        <v>39691</v>
      </c>
      <c r="B400" s="14">
        <v>1.4874000000000001</v>
      </c>
      <c r="C400" s="1007">
        <v>7783217048.1800003</v>
      </c>
    </row>
    <row r="401" spans="1:5" x14ac:dyDescent="0.2">
      <c r="A401" s="65">
        <v>39721</v>
      </c>
      <c r="B401" s="14">
        <v>-9.0005000000000006</v>
      </c>
      <c r="C401" s="1007">
        <v>7077050073.8500004</v>
      </c>
      <c r="E401" s="639"/>
    </row>
    <row r="402" spans="1:5" x14ac:dyDescent="0.2">
      <c r="A402" s="65">
        <v>39752</v>
      </c>
      <c r="B402" s="14">
        <v>-16.495199999999997</v>
      </c>
      <c r="C402" s="639">
        <v>6245852981</v>
      </c>
      <c r="E402" s="639"/>
    </row>
    <row r="403" spans="1:5" x14ac:dyDescent="0.2">
      <c r="A403" s="65">
        <v>39782</v>
      </c>
      <c r="B403" s="14">
        <v>-7.0682999999999998</v>
      </c>
      <c r="C403" s="8">
        <v>5436695940</v>
      </c>
    </row>
    <row r="404" spans="1:5" x14ac:dyDescent="0.2">
      <c r="A404" s="65">
        <v>39813</v>
      </c>
      <c r="B404" s="14">
        <v>1.286</v>
      </c>
      <c r="C404" s="8">
        <v>5507819146</v>
      </c>
    </row>
    <row r="405" spans="1:5" x14ac:dyDescent="0.2">
      <c r="A405" s="65">
        <v>39844</v>
      </c>
      <c r="B405" s="14">
        <v>-7.98</v>
      </c>
    </row>
    <row r="406" spans="1:5" x14ac:dyDescent="0.2">
      <c r="A406" s="65">
        <v>39872</v>
      </c>
      <c r="B406" s="14">
        <v>-10.51</v>
      </c>
    </row>
    <row r="407" spans="1:5" x14ac:dyDescent="0.2">
      <c r="A407" s="65">
        <v>39903</v>
      </c>
      <c r="B407" s="14">
        <v>8.58</v>
      </c>
    </row>
    <row r="408" spans="1:5" x14ac:dyDescent="0.2">
      <c r="A408" s="65">
        <v>39933</v>
      </c>
      <c r="B408" s="14">
        <v>9.6200000000000063</v>
      </c>
    </row>
    <row r="409" spans="1:5" x14ac:dyDescent="0.2">
      <c r="A409" s="65">
        <v>39964</v>
      </c>
      <c r="B409" s="14">
        <v>5.5800000000000072</v>
      </c>
    </row>
    <row r="410" spans="1:5" x14ac:dyDescent="0.2">
      <c r="A410" s="65">
        <v>39994</v>
      </c>
      <c r="B410" s="14">
        <v>0.18000000000000238</v>
      </c>
    </row>
    <row r="411" spans="1:5" x14ac:dyDescent="0.2">
      <c r="A411" s="65">
        <v>40025</v>
      </c>
      <c r="B411" s="14">
        <v>7.6000000000000068</v>
      </c>
    </row>
    <row r="412" spans="1:5" x14ac:dyDescent="0.2">
      <c r="A412" s="65">
        <v>40056</v>
      </c>
      <c r="B412" s="14">
        <v>3.5600000000000076</v>
      </c>
    </row>
    <row r="413" spans="1:5" x14ac:dyDescent="0.2">
      <c r="A413" s="65">
        <v>40086</v>
      </c>
      <c r="B413" s="14">
        <v>3.6699999999999955</v>
      </c>
    </row>
    <row r="414" spans="1:5" x14ac:dyDescent="0.2">
      <c r="A414" s="65">
        <v>40117</v>
      </c>
    </row>
    <row r="415" spans="1:5" x14ac:dyDescent="0.2">
      <c r="A415" s="65">
        <v>40147</v>
      </c>
    </row>
    <row r="416" spans="1:5" x14ac:dyDescent="0.2">
      <c r="A416" s="65">
        <v>40178</v>
      </c>
    </row>
    <row r="417" spans="1:1" x14ac:dyDescent="0.2">
      <c r="A417" s="65">
        <v>40209</v>
      </c>
    </row>
    <row r="418" spans="1:1" x14ac:dyDescent="0.2">
      <c r="A418" s="65">
        <v>40237</v>
      </c>
    </row>
    <row r="419" spans="1:1" x14ac:dyDescent="0.2">
      <c r="A419" s="65">
        <v>40268</v>
      </c>
    </row>
    <row r="420" spans="1:1" x14ac:dyDescent="0.2">
      <c r="A420" s="65">
        <v>40298</v>
      </c>
    </row>
    <row r="421" spans="1:1" x14ac:dyDescent="0.2">
      <c r="A421" s="65">
        <v>40329</v>
      </c>
    </row>
    <row r="422" spans="1:1" x14ac:dyDescent="0.2">
      <c r="A422" s="65">
        <v>40359</v>
      </c>
    </row>
    <row r="423" spans="1:1" x14ac:dyDescent="0.2">
      <c r="A423" s="65">
        <v>40390</v>
      </c>
    </row>
    <row r="424" spans="1:1" x14ac:dyDescent="0.2">
      <c r="A424" s="65">
        <v>40421</v>
      </c>
    </row>
    <row r="425" spans="1:1" x14ac:dyDescent="0.2">
      <c r="A425" s="65">
        <v>40451</v>
      </c>
    </row>
    <row r="426" spans="1:1" x14ac:dyDescent="0.2">
      <c r="A426" s="65">
        <v>40482</v>
      </c>
    </row>
    <row r="427" spans="1:1" x14ac:dyDescent="0.2">
      <c r="A427" s="65">
        <v>40512</v>
      </c>
    </row>
    <row r="428" spans="1:1" x14ac:dyDescent="0.2">
      <c r="A428" s="65">
        <v>40543</v>
      </c>
    </row>
  </sheetData>
  <phoneticPr fontId="3" type="noConversion"/>
  <pageMargins left="0.75" right="0.75" top="1" bottom="1" header="0.5" footer="0.5"/>
  <headerFooter alignWithMargins="0"/>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H430"/>
  <sheetViews>
    <sheetView workbookViewId="0">
      <pane ySplit="2" topLeftCell="A387" activePane="bottomLeft" state="frozen"/>
      <selection activeCell="B410" sqref="B410"/>
      <selection pane="bottomLeft" activeCell="D411" sqref="D411:F411"/>
    </sheetView>
  </sheetViews>
  <sheetFormatPr defaultRowHeight="12.75" x14ac:dyDescent="0.2"/>
  <cols>
    <col min="1" max="1" width="18.7109375" customWidth="1"/>
    <col min="2" max="2" width="18.7109375" style="14" customWidth="1"/>
    <col min="3" max="3" width="18.7109375" style="8" customWidth="1"/>
    <col min="8" max="8" width="9.140625" style="352"/>
  </cols>
  <sheetData>
    <row r="1" spans="1:3" x14ac:dyDescent="0.2">
      <c r="A1" s="223" t="s">
        <v>243</v>
      </c>
      <c r="B1" s="321" t="s">
        <v>440</v>
      </c>
      <c r="C1" s="323"/>
    </row>
    <row r="2" spans="1:3" x14ac:dyDescent="0.2">
      <c r="A2" s="3" t="s">
        <v>27</v>
      </c>
      <c r="B2" s="71" t="s">
        <v>91</v>
      </c>
      <c r="C2" s="3" t="s">
        <v>92</v>
      </c>
    </row>
    <row r="3" spans="1:3" x14ac:dyDescent="0.2">
      <c r="A3" s="65">
        <v>27606</v>
      </c>
      <c r="B3" s="76"/>
      <c r="C3" s="231"/>
    </row>
    <row r="4" spans="1:3" x14ac:dyDescent="0.2">
      <c r="A4" s="65">
        <v>27637</v>
      </c>
      <c r="B4" s="76"/>
      <c r="C4" s="231"/>
    </row>
    <row r="5" spans="1:3" x14ac:dyDescent="0.2">
      <c r="A5" s="65">
        <v>27667</v>
      </c>
      <c r="B5" s="76"/>
      <c r="C5" s="231"/>
    </row>
    <row r="6" spans="1:3" x14ac:dyDescent="0.2">
      <c r="A6" s="65">
        <v>27698</v>
      </c>
      <c r="B6" s="76"/>
      <c r="C6" s="231"/>
    </row>
    <row r="7" spans="1:3" x14ac:dyDescent="0.2">
      <c r="A7" s="65">
        <v>27728</v>
      </c>
      <c r="B7" s="76"/>
      <c r="C7" s="231"/>
    </row>
    <row r="8" spans="1:3" x14ac:dyDescent="0.2">
      <c r="A8" s="65">
        <v>27759</v>
      </c>
      <c r="B8" s="76"/>
      <c r="C8" s="231"/>
    </row>
    <row r="9" spans="1:3" x14ac:dyDescent="0.2">
      <c r="A9" s="65">
        <v>27790</v>
      </c>
      <c r="B9" s="76"/>
      <c r="C9" s="231"/>
    </row>
    <row r="10" spans="1:3" x14ac:dyDescent="0.2">
      <c r="A10" s="65">
        <v>27819</v>
      </c>
      <c r="B10" s="76"/>
      <c r="C10" s="231"/>
    </row>
    <row r="11" spans="1:3" x14ac:dyDescent="0.2">
      <c r="A11" s="65">
        <v>27850</v>
      </c>
      <c r="B11" s="76"/>
      <c r="C11" s="231"/>
    </row>
    <row r="12" spans="1:3" x14ac:dyDescent="0.2">
      <c r="A12" s="65">
        <v>27880</v>
      </c>
      <c r="B12" s="76"/>
      <c r="C12" s="231"/>
    </row>
    <row r="13" spans="1:3" x14ac:dyDescent="0.2">
      <c r="A13" s="65">
        <v>27911</v>
      </c>
      <c r="B13" s="76"/>
      <c r="C13" s="231"/>
    </row>
    <row r="14" spans="1:3" x14ac:dyDescent="0.2">
      <c r="A14" s="65">
        <v>27941</v>
      </c>
      <c r="B14" s="76"/>
      <c r="C14" s="231"/>
    </row>
    <row r="15" spans="1:3" x14ac:dyDescent="0.2">
      <c r="A15" s="65">
        <v>27972</v>
      </c>
      <c r="B15" s="76"/>
      <c r="C15" s="231"/>
    </row>
    <row r="16" spans="1:3" x14ac:dyDescent="0.2">
      <c r="A16" s="65">
        <v>28003</v>
      </c>
      <c r="B16" s="76"/>
      <c r="C16" s="231"/>
    </row>
    <row r="17" spans="1:3" x14ac:dyDescent="0.2">
      <c r="A17" s="65">
        <v>28033</v>
      </c>
      <c r="B17" s="76"/>
      <c r="C17" s="231"/>
    </row>
    <row r="18" spans="1:3" x14ac:dyDescent="0.2">
      <c r="A18" s="65">
        <v>28064</v>
      </c>
      <c r="B18" s="76"/>
      <c r="C18" s="231"/>
    </row>
    <row r="19" spans="1:3" x14ac:dyDescent="0.2">
      <c r="A19" s="65">
        <v>28094</v>
      </c>
      <c r="B19" s="76"/>
      <c r="C19" s="231"/>
    </row>
    <row r="20" spans="1:3" x14ac:dyDescent="0.2">
      <c r="A20" s="65">
        <v>28125</v>
      </c>
      <c r="B20" s="76"/>
      <c r="C20" s="231"/>
    </row>
    <row r="21" spans="1:3" x14ac:dyDescent="0.2">
      <c r="A21" s="65">
        <v>28156</v>
      </c>
      <c r="B21" s="76"/>
      <c r="C21" s="231"/>
    </row>
    <row r="22" spans="1:3" x14ac:dyDescent="0.2">
      <c r="A22" s="65">
        <v>28184</v>
      </c>
      <c r="B22" s="76"/>
      <c r="C22" s="231"/>
    </row>
    <row r="23" spans="1:3" x14ac:dyDescent="0.2">
      <c r="A23" s="65">
        <v>28215</v>
      </c>
      <c r="B23" s="76"/>
      <c r="C23" s="231"/>
    </row>
    <row r="24" spans="1:3" x14ac:dyDescent="0.2">
      <c r="A24" s="65">
        <v>28245</v>
      </c>
      <c r="B24" s="76"/>
      <c r="C24" s="231"/>
    </row>
    <row r="25" spans="1:3" x14ac:dyDescent="0.2">
      <c r="A25" s="65">
        <v>28276</v>
      </c>
      <c r="B25" s="76"/>
      <c r="C25" s="231"/>
    </row>
    <row r="26" spans="1:3" x14ac:dyDescent="0.2">
      <c r="A26" s="65">
        <v>28306</v>
      </c>
      <c r="B26" s="76"/>
      <c r="C26" s="231"/>
    </row>
    <row r="27" spans="1:3" x14ac:dyDescent="0.2">
      <c r="A27" s="65">
        <v>28337</v>
      </c>
      <c r="B27" s="76"/>
      <c r="C27" s="231"/>
    </row>
    <row r="28" spans="1:3" x14ac:dyDescent="0.2">
      <c r="A28" s="65">
        <v>28368</v>
      </c>
      <c r="B28" s="76"/>
      <c r="C28" s="231"/>
    </row>
    <row r="29" spans="1:3" x14ac:dyDescent="0.2">
      <c r="A29" s="65">
        <v>28398</v>
      </c>
      <c r="B29" s="76"/>
      <c r="C29" s="231"/>
    </row>
    <row r="30" spans="1:3" x14ac:dyDescent="0.2">
      <c r="A30" s="65">
        <v>28429</v>
      </c>
      <c r="B30" s="76"/>
      <c r="C30" s="231"/>
    </row>
    <row r="31" spans="1:3" x14ac:dyDescent="0.2">
      <c r="A31" s="65">
        <v>28459</v>
      </c>
      <c r="B31" s="76"/>
      <c r="C31" s="231"/>
    </row>
    <row r="32" spans="1:3" x14ac:dyDescent="0.2">
      <c r="A32" s="65">
        <v>28490</v>
      </c>
      <c r="B32" s="76"/>
      <c r="C32" s="231"/>
    </row>
    <row r="33" spans="1:3" x14ac:dyDescent="0.2">
      <c r="A33" s="65">
        <v>28521</v>
      </c>
      <c r="B33" s="76"/>
      <c r="C33" s="231"/>
    </row>
    <row r="34" spans="1:3" x14ac:dyDescent="0.2">
      <c r="A34" s="65">
        <v>28549</v>
      </c>
      <c r="B34" s="76"/>
      <c r="C34" s="231"/>
    </row>
    <row r="35" spans="1:3" x14ac:dyDescent="0.2">
      <c r="A35" s="65">
        <v>28580</v>
      </c>
      <c r="B35" s="76"/>
      <c r="C35" s="231"/>
    </row>
    <row r="36" spans="1:3" x14ac:dyDescent="0.2">
      <c r="A36" s="65">
        <v>28610</v>
      </c>
      <c r="B36" s="76"/>
      <c r="C36" s="231"/>
    </row>
    <row r="37" spans="1:3" x14ac:dyDescent="0.2">
      <c r="A37" s="65">
        <v>28641</v>
      </c>
      <c r="B37" s="76"/>
      <c r="C37" s="231"/>
    </row>
    <row r="38" spans="1:3" x14ac:dyDescent="0.2">
      <c r="A38" s="65">
        <v>28671</v>
      </c>
      <c r="B38" s="76"/>
      <c r="C38" s="231"/>
    </row>
    <row r="39" spans="1:3" x14ac:dyDescent="0.2">
      <c r="A39" s="65">
        <v>28702</v>
      </c>
      <c r="B39" s="76"/>
      <c r="C39" s="231"/>
    </row>
    <row r="40" spans="1:3" x14ac:dyDescent="0.2">
      <c r="A40" s="65">
        <v>28733</v>
      </c>
      <c r="B40" s="76"/>
      <c r="C40" s="231"/>
    </row>
    <row r="41" spans="1:3" x14ac:dyDescent="0.2">
      <c r="A41" s="65">
        <v>28763</v>
      </c>
      <c r="B41" s="76"/>
      <c r="C41" s="231"/>
    </row>
    <row r="42" spans="1:3" x14ac:dyDescent="0.2">
      <c r="A42" s="65">
        <v>28794</v>
      </c>
      <c r="B42" s="76"/>
      <c r="C42" s="231"/>
    </row>
    <row r="43" spans="1:3" x14ac:dyDescent="0.2">
      <c r="A43" s="65">
        <v>28824</v>
      </c>
      <c r="B43" s="76"/>
      <c r="C43" s="231"/>
    </row>
    <row r="44" spans="1:3" x14ac:dyDescent="0.2">
      <c r="A44" s="65">
        <v>28855</v>
      </c>
      <c r="B44" s="76"/>
      <c r="C44" s="231"/>
    </row>
    <row r="45" spans="1:3" x14ac:dyDescent="0.2">
      <c r="A45" s="65">
        <v>28886</v>
      </c>
      <c r="B45" s="76"/>
      <c r="C45" s="231"/>
    </row>
    <row r="46" spans="1:3" x14ac:dyDescent="0.2">
      <c r="A46" s="65">
        <v>28914</v>
      </c>
      <c r="B46" s="76"/>
      <c r="C46" s="231"/>
    </row>
    <row r="47" spans="1:3" x14ac:dyDescent="0.2">
      <c r="A47" s="65">
        <v>28945</v>
      </c>
      <c r="B47" s="76"/>
      <c r="C47" s="231"/>
    </row>
    <row r="48" spans="1:3" x14ac:dyDescent="0.2">
      <c r="A48" s="65">
        <v>28975</v>
      </c>
      <c r="B48" s="76"/>
      <c r="C48" s="231"/>
    </row>
    <row r="49" spans="1:3" x14ac:dyDescent="0.2">
      <c r="A49" s="65">
        <v>29006</v>
      </c>
      <c r="B49" s="76"/>
      <c r="C49" s="231"/>
    </row>
    <row r="50" spans="1:3" x14ac:dyDescent="0.2">
      <c r="A50" s="65">
        <v>29036</v>
      </c>
      <c r="B50" s="76"/>
      <c r="C50" s="231"/>
    </row>
    <row r="51" spans="1:3" x14ac:dyDescent="0.2">
      <c r="A51" s="65">
        <v>29067</v>
      </c>
      <c r="B51" s="76"/>
      <c r="C51" s="231"/>
    </row>
    <row r="52" spans="1:3" x14ac:dyDescent="0.2">
      <c r="A52" s="65">
        <v>29098</v>
      </c>
      <c r="B52" s="76"/>
      <c r="C52" s="231"/>
    </row>
    <row r="53" spans="1:3" x14ac:dyDescent="0.2">
      <c r="A53" s="65">
        <v>29128</v>
      </c>
      <c r="B53" s="76"/>
      <c r="C53" s="231"/>
    </row>
    <row r="54" spans="1:3" x14ac:dyDescent="0.2">
      <c r="A54" s="65">
        <v>29159</v>
      </c>
      <c r="B54" s="76"/>
      <c r="C54" s="231"/>
    </row>
    <row r="55" spans="1:3" x14ac:dyDescent="0.2">
      <c r="A55" s="65">
        <v>29189</v>
      </c>
      <c r="B55" s="76"/>
      <c r="C55" s="231"/>
    </row>
    <row r="56" spans="1:3" x14ac:dyDescent="0.2">
      <c r="A56" s="65">
        <v>29220</v>
      </c>
      <c r="B56" s="76"/>
      <c r="C56" s="231"/>
    </row>
    <row r="57" spans="1:3" x14ac:dyDescent="0.2">
      <c r="A57" s="65">
        <v>29251</v>
      </c>
      <c r="B57" s="76"/>
      <c r="C57" s="231"/>
    </row>
    <row r="58" spans="1:3" x14ac:dyDescent="0.2">
      <c r="A58" s="65">
        <v>29280</v>
      </c>
      <c r="B58" s="76"/>
      <c r="C58" s="231"/>
    </row>
    <row r="59" spans="1:3" x14ac:dyDescent="0.2">
      <c r="A59" s="65">
        <v>29311</v>
      </c>
      <c r="B59" s="76"/>
      <c r="C59" s="231"/>
    </row>
    <row r="60" spans="1:3" x14ac:dyDescent="0.2">
      <c r="A60" s="65">
        <v>29341</v>
      </c>
      <c r="B60" s="76"/>
      <c r="C60" s="231"/>
    </row>
    <row r="61" spans="1:3" x14ac:dyDescent="0.2">
      <c r="A61" s="65">
        <v>29372</v>
      </c>
      <c r="B61" s="76"/>
      <c r="C61" s="231"/>
    </row>
    <row r="62" spans="1:3" x14ac:dyDescent="0.2">
      <c r="A62" s="65">
        <v>29402</v>
      </c>
      <c r="B62" s="76"/>
      <c r="C62" s="231"/>
    </row>
    <row r="63" spans="1:3" x14ac:dyDescent="0.2">
      <c r="A63" s="65">
        <v>29433</v>
      </c>
      <c r="B63" s="76"/>
      <c r="C63" s="231"/>
    </row>
    <row r="64" spans="1:3" x14ac:dyDescent="0.2">
      <c r="A64" s="65">
        <v>29464</v>
      </c>
      <c r="B64" s="76"/>
      <c r="C64" s="231"/>
    </row>
    <row r="65" spans="1:3" x14ac:dyDescent="0.2">
      <c r="A65" s="65">
        <v>29494</v>
      </c>
      <c r="B65" s="76"/>
      <c r="C65" s="231"/>
    </row>
    <row r="66" spans="1:3" x14ac:dyDescent="0.2">
      <c r="A66" s="65">
        <v>29525</v>
      </c>
      <c r="B66" s="76"/>
      <c r="C66" s="231"/>
    </row>
    <row r="67" spans="1:3" x14ac:dyDescent="0.2">
      <c r="A67" s="65">
        <v>29555</v>
      </c>
      <c r="B67" s="76"/>
      <c r="C67" s="231"/>
    </row>
    <row r="68" spans="1:3" x14ac:dyDescent="0.2">
      <c r="A68" s="65">
        <v>29586</v>
      </c>
      <c r="B68" s="76"/>
      <c r="C68" s="231"/>
    </row>
    <row r="69" spans="1:3" x14ac:dyDescent="0.2">
      <c r="A69" s="65">
        <v>29617</v>
      </c>
      <c r="B69" s="76"/>
      <c r="C69" s="231"/>
    </row>
    <row r="70" spans="1:3" x14ac:dyDescent="0.2">
      <c r="A70" s="65">
        <v>29645</v>
      </c>
      <c r="B70" s="76"/>
      <c r="C70" s="231"/>
    </row>
    <row r="71" spans="1:3" x14ac:dyDescent="0.2">
      <c r="A71" s="65">
        <v>29676</v>
      </c>
      <c r="B71" s="76"/>
      <c r="C71" s="231"/>
    </row>
    <row r="72" spans="1:3" x14ac:dyDescent="0.2">
      <c r="A72" s="65">
        <v>29706</v>
      </c>
      <c r="B72" s="76"/>
      <c r="C72" s="231"/>
    </row>
    <row r="73" spans="1:3" x14ac:dyDescent="0.2">
      <c r="A73" s="65">
        <v>29737</v>
      </c>
      <c r="B73" s="76"/>
      <c r="C73" s="231"/>
    </row>
    <row r="74" spans="1:3" x14ac:dyDescent="0.2">
      <c r="A74" s="65">
        <v>29767</v>
      </c>
      <c r="B74" s="76"/>
      <c r="C74" s="231"/>
    </row>
    <row r="75" spans="1:3" x14ac:dyDescent="0.2">
      <c r="A75" s="65">
        <v>29798</v>
      </c>
      <c r="B75" s="76"/>
      <c r="C75" s="231"/>
    </row>
    <row r="76" spans="1:3" x14ac:dyDescent="0.2">
      <c r="A76" s="65">
        <v>29829</v>
      </c>
      <c r="B76" s="76"/>
      <c r="C76" s="231"/>
    </row>
    <row r="77" spans="1:3" x14ac:dyDescent="0.2">
      <c r="A77" s="65">
        <v>29859</v>
      </c>
      <c r="B77" s="76"/>
      <c r="C77" s="231"/>
    </row>
    <row r="78" spans="1:3" x14ac:dyDescent="0.2">
      <c r="A78" s="65">
        <v>29890</v>
      </c>
      <c r="B78" s="76"/>
      <c r="C78" s="231"/>
    </row>
    <row r="79" spans="1:3" x14ac:dyDescent="0.2">
      <c r="A79" s="65">
        <v>29920</v>
      </c>
      <c r="B79" s="76"/>
      <c r="C79" s="231"/>
    </row>
    <row r="80" spans="1:3" x14ac:dyDescent="0.2">
      <c r="A80" s="65">
        <v>29951</v>
      </c>
      <c r="B80" s="76"/>
      <c r="C80" s="231"/>
    </row>
    <row r="81" spans="1:3" x14ac:dyDescent="0.2">
      <c r="A81" s="65">
        <v>29982</v>
      </c>
      <c r="B81" s="76"/>
      <c r="C81" s="231"/>
    </row>
    <row r="82" spans="1:3" x14ac:dyDescent="0.2">
      <c r="A82" s="65">
        <v>30010</v>
      </c>
      <c r="B82" s="76"/>
      <c r="C82" s="231"/>
    </row>
    <row r="83" spans="1:3" x14ac:dyDescent="0.2">
      <c r="A83" s="65">
        <v>30041</v>
      </c>
      <c r="B83" s="76"/>
      <c r="C83" s="231"/>
    </row>
    <row r="84" spans="1:3" x14ac:dyDescent="0.2">
      <c r="A84" s="65">
        <v>30071</v>
      </c>
      <c r="B84" s="76"/>
      <c r="C84" s="231"/>
    </row>
    <row r="85" spans="1:3" x14ac:dyDescent="0.2">
      <c r="A85" s="65">
        <v>30102</v>
      </c>
      <c r="B85" s="76"/>
      <c r="C85" s="231"/>
    </row>
    <row r="86" spans="1:3" x14ac:dyDescent="0.2">
      <c r="A86" s="65">
        <v>30132</v>
      </c>
      <c r="B86" s="76"/>
      <c r="C86" s="231"/>
    </row>
    <row r="87" spans="1:3" x14ac:dyDescent="0.2">
      <c r="A87" s="65">
        <v>30163</v>
      </c>
      <c r="B87" s="76"/>
      <c r="C87" s="231"/>
    </row>
    <row r="88" spans="1:3" x14ac:dyDescent="0.2">
      <c r="A88" s="65">
        <v>30194</v>
      </c>
      <c r="B88" s="76"/>
      <c r="C88" s="231"/>
    </row>
    <row r="89" spans="1:3" x14ac:dyDescent="0.2">
      <c r="A89" s="65">
        <v>30224</v>
      </c>
      <c r="B89" s="76"/>
      <c r="C89" s="231"/>
    </row>
    <row r="90" spans="1:3" x14ac:dyDescent="0.2">
      <c r="A90" s="65">
        <v>30255</v>
      </c>
      <c r="B90" s="76"/>
      <c r="C90" s="231"/>
    </row>
    <row r="91" spans="1:3" x14ac:dyDescent="0.2">
      <c r="A91" s="65">
        <v>30285</v>
      </c>
      <c r="B91" s="76"/>
      <c r="C91" s="231"/>
    </row>
    <row r="92" spans="1:3" x14ac:dyDescent="0.2">
      <c r="A92" s="65">
        <v>30316</v>
      </c>
      <c r="B92" s="76"/>
      <c r="C92" s="231"/>
    </row>
    <row r="93" spans="1:3" x14ac:dyDescent="0.2">
      <c r="A93" s="65">
        <v>30347</v>
      </c>
      <c r="B93" s="76"/>
      <c r="C93" s="231"/>
    </row>
    <row r="94" spans="1:3" x14ac:dyDescent="0.2">
      <c r="A94" s="65">
        <v>30375</v>
      </c>
      <c r="B94" s="76"/>
      <c r="C94" s="231"/>
    </row>
    <row r="95" spans="1:3" x14ac:dyDescent="0.2">
      <c r="A95" s="65">
        <v>30406</v>
      </c>
      <c r="B95" s="76"/>
      <c r="C95" s="231"/>
    </row>
    <row r="96" spans="1:3" x14ac:dyDescent="0.2">
      <c r="A96" s="65">
        <v>30436</v>
      </c>
      <c r="B96" s="76"/>
      <c r="C96" s="231"/>
    </row>
    <row r="97" spans="1:3" x14ac:dyDescent="0.2">
      <c r="A97" s="65">
        <v>30467</v>
      </c>
      <c r="B97" s="76"/>
      <c r="C97" s="231"/>
    </row>
    <row r="98" spans="1:3" x14ac:dyDescent="0.2">
      <c r="A98" s="65">
        <v>30497</v>
      </c>
      <c r="B98" s="76"/>
      <c r="C98" s="231"/>
    </row>
    <row r="99" spans="1:3" x14ac:dyDescent="0.2">
      <c r="A99" s="65">
        <v>30528</v>
      </c>
      <c r="B99" s="76"/>
      <c r="C99" s="231"/>
    </row>
    <row r="100" spans="1:3" x14ac:dyDescent="0.2">
      <c r="A100" s="65">
        <v>30559</v>
      </c>
      <c r="B100" s="76"/>
      <c r="C100" s="231"/>
    </row>
    <row r="101" spans="1:3" x14ac:dyDescent="0.2">
      <c r="A101" s="65">
        <v>30589</v>
      </c>
      <c r="B101" s="76"/>
      <c r="C101" s="231"/>
    </row>
    <row r="102" spans="1:3" x14ac:dyDescent="0.2">
      <c r="A102" s="65">
        <v>30620</v>
      </c>
      <c r="B102" s="76"/>
      <c r="C102" s="231"/>
    </row>
    <row r="103" spans="1:3" x14ac:dyDescent="0.2">
      <c r="A103" s="65">
        <v>30650</v>
      </c>
      <c r="B103" s="76"/>
      <c r="C103" s="231"/>
    </row>
    <row r="104" spans="1:3" x14ac:dyDescent="0.2">
      <c r="A104" s="65">
        <v>30681</v>
      </c>
      <c r="B104" s="76"/>
      <c r="C104" s="231"/>
    </row>
    <row r="105" spans="1:3" x14ac:dyDescent="0.2">
      <c r="A105" s="65">
        <v>30712</v>
      </c>
      <c r="B105" s="76"/>
      <c r="C105" s="231"/>
    </row>
    <row r="106" spans="1:3" x14ac:dyDescent="0.2">
      <c r="A106" s="65">
        <v>30741</v>
      </c>
      <c r="B106" s="76"/>
      <c r="C106" s="231"/>
    </row>
    <row r="107" spans="1:3" x14ac:dyDescent="0.2">
      <c r="A107" s="65">
        <v>30772</v>
      </c>
      <c r="B107" s="76"/>
      <c r="C107" s="231"/>
    </row>
    <row r="108" spans="1:3" x14ac:dyDescent="0.2">
      <c r="A108" s="65">
        <v>30802</v>
      </c>
      <c r="B108" s="76"/>
      <c r="C108" s="231"/>
    </row>
    <row r="109" spans="1:3" x14ac:dyDescent="0.2">
      <c r="A109" s="65">
        <v>30833</v>
      </c>
      <c r="B109" s="76"/>
      <c r="C109" s="231"/>
    </row>
    <row r="110" spans="1:3" x14ac:dyDescent="0.2">
      <c r="A110" s="65">
        <v>30863</v>
      </c>
      <c r="B110" s="76"/>
      <c r="C110" s="231"/>
    </row>
    <row r="111" spans="1:3" x14ac:dyDescent="0.2">
      <c r="A111" s="65">
        <v>30894</v>
      </c>
      <c r="B111" s="76"/>
      <c r="C111" s="231"/>
    </row>
    <row r="112" spans="1:3" x14ac:dyDescent="0.2">
      <c r="A112" s="65">
        <v>30925</v>
      </c>
      <c r="B112" s="76"/>
      <c r="C112" s="231"/>
    </row>
    <row r="113" spans="1:3" x14ac:dyDescent="0.2">
      <c r="A113" s="65">
        <v>30955</v>
      </c>
      <c r="B113" s="76"/>
      <c r="C113" s="231"/>
    </row>
    <row r="114" spans="1:3" x14ac:dyDescent="0.2">
      <c r="A114" s="65">
        <v>30986</v>
      </c>
      <c r="B114" s="76"/>
      <c r="C114" s="231"/>
    </row>
    <row r="115" spans="1:3" x14ac:dyDescent="0.2">
      <c r="A115" s="65">
        <v>31016</v>
      </c>
      <c r="B115" s="76"/>
      <c r="C115" s="231"/>
    </row>
    <row r="116" spans="1:3" x14ac:dyDescent="0.2">
      <c r="A116" s="65">
        <v>31047</v>
      </c>
      <c r="B116" s="76"/>
      <c r="C116" s="231"/>
    </row>
    <row r="117" spans="1:3" x14ac:dyDescent="0.2">
      <c r="A117" s="65">
        <v>31078</v>
      </c>
      <c r="B117" s="76"/>
      <c r="C117" s="231"/>
    </row>
    <row r="118" spans="1:3" x14ac:dyDescent="0.2">
      <c r="A118" s="65">
        <v>31106</v>
      </c>
      <c r="B118" s="76"/>
      <c r="C118" s="231"/>
    </row>
    <row r="119" spans="1:3" x14ac:dyDescent="0.2">
      <c r="A119" s="65">
        <v>31137</v>
      </c>
      <c r="B119" s="76"/>
      <c r="C119" s="231"/>
    </row>
    <row r="120" spans="1:3" x14ac:dyDescent="0.2">
      <c r="A120" s="65">
        <v>31167</v>
      </c>
      <c r="B120" s="76"/>
      <c r="C120" s="231"/>
    </row>
    <row r="121" spans="1:3" x14ac:dyDescent="0.2">
      <c r="A121" s="65">
        <v>31198</v>
      </c>
      <c r="B121" s="76"/>
      <c r="C121" s="231"/>
    </row>
    <row r="122" spans="1:3" x14ac:dyDescent="0.2">
      <c r="A122" s="65">
        <v>31228</v>
      </c>
      <c r="B122" s="76"/>
      <c r="C122" s="231"/>
    </row>
    <row r="123" spans="1:3" x14ac:dyDescent="0.2">
      <c r="A123" s="65">
        <v>31259</v>
      </c>
      <c r="B123" s="76"/>
      <c r="C123" s="231"/>
    </row>
    <row r="124" spans="1:3" x14ac:dyDescent="0.2">
      <c r="A124" s="65">
        <v>31290</v>
      </c>
      <c r="B124" s="76"/>
      <c r="C124" s="231"/>
    </row>
    <row r="125" spans="1:3" x14ac:dyDescent="0.2">
      <c r="A125" s="65">
        <v>31320</v>
      </c>
      <c r="B125" s="76"/>
      <c r="C125" s="231"/>
    </row>
    <row r="126" spans="1:3" x14ac:dyDescent="0.2">
      <c r="A126" s="65">
        <v>31351</v>
      </c>
      <c r="B126" s="76"/>
      <c r="C126" s="231"/>
    </row>
    <row r="127" spans="1:3" x14ac:dyDescent="0.2">
      <c r="A127" s="65">
        <v>31381</v>
      </c>
      <c r="B127" s="76"/>
      <c r="C127" s="231"/>
    </row>
    <row r="128" spans="1:3" x14ac:dyDescent="0.2">
      <c r="A128" s="65">
        <v>31412</v>
      </c>
      <c r="B128" s="76"/>
      <c r="C128" s="231"/>
    </row>
    <row r="129" spans="1:3" x14ac:dyDescent="0.2">
      <c r="A129" s="65">
        <v>31443</v>
      </c>
      <c r="B129" s="76"/>
      <c r="C129" s="231"/>
    </row>
    <row r="130" spans="1:3" x14ac:dyDescent="0.2">
      <c r="A130" s="65">
        <v>31471</v>
      </c>
      <c r="B130" s="76"/>
      <c r="C130" s="231"/>
    </row>
    <row r="131" spans="1:3" x14ac:dyDescent="0.2">
      <c r="A131" s="65">
        <v>31502</v>
      </c>
      <c r="B131" s="76"/>
      <c r="C131" s="231"/>
    </row>
    <row r="132" spans="1:3" x14ac:dyDescent="0.2">
      <c r="A132" s="65">
        <v>31532</v>
      </c>
      <c r="B132" s="76"/>
      <c r="C132" s="231"/>
    </row>
    <row r="133" spans="1:3" x14ac:dyDescent="0.2">
      <c r="A133" s="65">
        <v>31563</v>
      </c>
      <c r="B133" s="76"/>
      <c r="C133" s="231"/>
    </row>
    <row r="134" spans="1:3" x14ac:dyDescent="0.2">
      <c r="A134" s="65">
        <v>31593</v>
      </c>
      <c r="B134" s="76"/>
      <c r="C134" s="231"/>
    </row>
    <row r="135" spans="1:3" x14ac:dyDescent="0.2">
      <c r="A135" s="65">
        <v>31624</v>
      </c>
      <c r="B135" s="76"/>
      <c r="C135" s="231"/>
    </row>
    <row r="136" spans="1:3" x14ac:dyDescent="0.2">
      <c r="A136" s="65">
        <v>31655</v>
      </c>
      <c r="B136" s="76"/>
      <c r="C136" s="231"/>
    </row>
    <row r="137" spans="1:3" x14ac:dyDescent="0.2">
      <c r="A137" s="65">
        <v>31685</v>
      </c>
      <c r="B137" s="76"/>
      <c r="C137" s="231"/>
    </row>
    <row r="138" spans="1:3" x14ac:dyDescent="0.2">
      <c r="A138" s="65">
        <v>31716</v>
      </c>
      <c r="B138" s="76"/>
      <c r="C138" s="231"/>
    </row>
    <row r="139" spans="1:3" x14ac:dyDescent="0.2">
      <c r="A139" s="65">
        <v>31746</v>
      </c>
      <c r="B139" s="76"/>
      <c r="C139" s="231"/>
    </row>
    <row r="140" spans="1:3" x14ac:dyDescent="0.2">
      <c r="A140" s="65">
        <v>31777</v>
      </c>
      <c r="B140" s="76"/>
      <c r="C140" s="231"/>
    </row>
    <row r="141" spans="1:3" x14ac:dyDescent="0.2">
      <c r="A141" s="65">
        <v>31808</v>
      </c>
      <c r="B141" s="76"/>
      <c r="C141" s="231"/>
    </row>
    <row r="142" spans="1:3" x14ac:dyDescent="0.2">
      <c r="A142" s="65">
        <v>31836</v>
      </c>
      <c r="B142" s="76"/>
      <c r="C142" s="231"/>
    </row>
    <row r="143" spans="1:3" x14ac:dyDescent="0.2">
      <c r="A143" s="65">
        <v>31867</v>
      </c>
      <c r="B143" s="76"/>
      <c r="C143" s="231"/>
    </row>
    <row r="144" spans="1:3" x14ac:dyDescent="0.2">
      <c r="A144" s="65">
        <v>31897</v>
      </c>
      <c r="B144" s="76"/>
      <c r="C144" s="231"/>
    </row>
    <row r="145" spans="1:3" x14ac:dyDescent="0.2">
      <c r="A145" s="65">
        <v>31928</v>
      </c>
      <c r="B145" s="76"/>
      <c r="C145" s="231"/>
    </row>
    <row r="146" spans="1:3" x14ac:dyDescent="0.2">
      <c r="A146" s="65">
        <v>31958</v>
      </c>
      <c r="B146" s="76"/>
      <c r="C146" s="231"/>
    </row>
    <row r="147" spans="1:3" x14ac:dyDescent="0.2">
      <c r="A147" s="65">
        <v>31989</v>
      </c>
      <c r="B147" s="76"/>
      <c r="C147" s="231"/>
    </row>
    <row r="148" spans="1:3" x14ac:dyDescent="0.2">
      <c r="A148" s="65">
        <v>32020</v>
      </c>
      <c r="B148" s="76"/>
      <c r="C148" s="231"/>
    </row>
    <row r="149" spans="1:3" x14ac:dyDescent="0.2">
      <c r="A149" s="65">
        <v>32050</v>
      </c>
      <c r="B149" s="76"/>
      <c r="C149" s="231"/>
    </row>
    <row r="150" spans="1:3" x14ac:dyDescent="0.2">
      <c r="A150" s="65">
        <v>32081</v>
      </c>
      <c r="B150" s="76"/>
      <c r="C150" s="231"/>
    </row>
    <row r="151" spans="1:3" x14ac:dyDescent="0.2">
      <c r="A151" s="65">
        <v>32111</v>
      </c>
      <c r="B151" s="76"/>
      <c r="C151" s="231"/>
    </row>
    <row r="152" spans="1:3" x14ac:dyDescent="0.2">
      <c r="A152" s="65">
        <v>32142</v>
      </c>
      <c r="B152" s="76"/>
      <c r="C152" s="231"/>
    </row>
    <row r="153" spans="1:3" x14ac:dyDescent="0.2">
      <c r="A153" s="65">
        <v>32173</v>
      </c>
      <c r="B153" s="76"/>
      <c r="C153" s="231"/>
    </row>
    <row r="154" spans="1:3" x14ac:dyDescent="0.2">
      <c r="A154" s="65">
        <v>32202</v>
      </c>
      <c r="B154" s="76"/>
      <c r="C154" s="231"/>
    </row>
    <row r="155" spans="1:3" x14ac:dyDescent="0.2">
      <c r="A155" s="65">
        <v>32233</v>
      </c>
      <c r="B155" s="76"/>
      <c r="C155" s="231"/>
    </row>
    <row r="156" spans="1:3" x14ac:dyDescent="0.2">
      <c r="A156" s="65">
        <v>32263</v>
      </c>
      <c r="B156" s="76"/>
      <c r="C156" s="231"/>
    </row>
    <row r="157" spans="1:3" x14ac:dyDescent="0.2">
      <c r="A157" s="65">
        <v>32294</v>
      </c>
      <c r="B157" s="76"/>
      <c r="C157" s="231"/>
    </row>
    <row r="158" spans="1:3" x14ac:dyDescent="0.2">
      <c r="A158" s="65">
        <v>32324</v>
      </c>
      <c r="B158" s="76"/>
      <c r="C158" s="231"/>
    </row>
    <row r="159" spans="1:3" x14ac:dyDescent="0.2">
      <c r="A159" s="65">
        <v>32355</v>
      </c>
      <c r="B159" s="76"/>
      <c r="C159" s="231"/>
    </row>
    <row r="160" spans="1:3" x14ac:dyDescent="0.2">
      <c r="A160" s="65">
        <v>32386</v>
      </c>
      <c r="B160" s="76"/>
      <c r="C160" s="231"/>
    </row>
    <row r="161" spans="1:3" x14ac:dyDescent="0.2">
      <c r="A161" s="65">
        <v>32416</v>
      </c>
      <c r="B161" s="76"/>
      <c r="C161" s="231"/>
    </row>
    <row r="162" spans="1:3" x14ac:dyDescent="0.2">
      <c r="A162" s="65">
        <v>32447</v>
      </c>
      <c r="B162" s="76"/>
      <c r="C162" s="231"/>
    </row>
    <row r="163" spans="1:3" x14ac:dyDescent="0.2">
      <c r="A163" s="65">
        <v>32477</v>
      </c>
      <c r="B163" s="76"/>
      <c r="C163" s="231"/>
    </row>
    <row r="164" spans="1:3" x14ac:dyDescent="0.2">
      <c r="A164" s="65">
        <v>32508</v>
      </c>
      <c r="B164" s="76"/>
      <c r="C164" s="231"/>
    </row>
    <row r="165" spans="1:3" x14ac:dyDescent="0.2">
      <c r="A165" s="65">
        <v>32539</v>
      </c>
      <c r="B165" s="76"/>
      <c r="C165" s="231"/>
    </row>
    <row r="166" spans="1:3" x14ac:dyDescent="0.2">
      <c r="A166" s="65">
        <v>32567</v>
      </c>
      <c r="B166" s="76"/>
      <c r="C166" s="231"/>
    </row>
    <row r="167" spans="1:3" x14ac:dyDescent="0.2">
      <c r="A167" s="65">
        <v>32598</v>
      </c>
      <c r="B167" s="76"/>
      <c r="C167" s="231"/>
    </row>
    <row r="168" spans="1:3" x14ac:dyDescent="0.2">
      <c r="A168" s="65">
        <v>32628</v>
      </c>
      <c r="B168" s="76"/>
      <c r="C168" s="231"/>
    </row>
    <row r="169" spans="1:3" x14ac:dyDescent="0.2">
      <c r="A169" s="65">
        <v>32659</v>
      </c>
      <c r="B169" s="76"/>
      <c r="C169" s="231"/>
    </row>
    <row r="170" spans="1:3" x14ac:dyDescent="0.2">
      <c r="A170" s="65">
        <v>32689</v>
      </c>
      <c r="B170" s="76"/>
      <c r="C170" s="231"/>
    </row>
    <row r="171" spans="1:3" x14ac:dyDescent="0.2">
      <c r="A171" s="65">
        <v>32720</v>
      </c>
      <c r="B171" s="76"/>
      <c r="C171" s="231"/>
    </row>
    <row r="172" spans="1:3" x14ac:dyDescent="0.2">
      <c r="A172" s="65">
        <v>32751</v>
      </c>
      <c r="B172" s="76"/>
      <c r="C172" s="231"/>
    </row>
    <row r="173" spans="1:3" x14ac:dyDescent="0.2">
      <c r="A173" s="65">
        <v>32781</v>
      </c>
      <c r="B173" s="76"/>
      <c r="C173" s="231"/>
    </row>
    <row r="174" spans="1:3" x14ac:dyDescent="0.2">
      <c r="A174" s="65">
        <v>32812</v>
      </c>
      <c r="B174" s="76"/>
      <c r="C174" s="231"/>
    </row>
    <row r="175" spans="1:3" x14ac:dyDescent="0.2">
      <c r="A175" s="65">
        <v>32842</v>
      </c>
      <c r="B175" s="76"/>
      <c r="C175" s="231"/>
    </row>
    <row r="176" spans="1:3" x14ac:dyDescent="0.2">
      <c r="A176" s="65">
        <v>32873</v>
      </c>
      <c r="B176" s="76"/>
      <c r="C176" s="231"/>
    </row>
    <row r="177" spans="1:3" x14ac:dyDescent="0.2">
      <c r="A177" s="65">
        <v>32904</v>
      </c>
      <c r="B177" s="76"/>
      <c r="C177" s="231"/>
    </row>
    <row r="178" spans="1:3" x14ac:dyDescent="0.2">
      <c r="A178" s="65">
        <v>32932</v>
      </c>
      <c r="B178" s="76"/>
      <c r="C178" s="231"/>
    </row>
    <row r="179" spans="1:3" x14ac:dyDescent="0.2">
      <c r="A179" s="65">
        <v>32963</v>
      </c>
      <c r="B179" s="76"/>
      <c r="C179" s="231"/>
    </row>
    <row r="180" spans="1:3" x14ac:dyDescent="0.2">
      <c r="A180" s="65">
        <v>32993</v>
      </c>
      <c r="B180" s="76"/>
      <c r="C180" s="231"/>
    </row>
    <row r="181" spans="1:3" x14ac:dyDescent="0.2">
      <c r="A181" s="65">
        <v>33024</v>
      </c>
      <c r="B181" s="76"/>
      <c r="C181" s="231"/>
    </row>
    <row r="182" spans="1:3" x14ac:dyDescent="0.2">
      <c r="A182" s="65">
        <v>33054</v>
      </c>
      <c r="B182" s="76"/>
      <c r="C182" s="231"/>
    </row>
    <row r="183" spans="1:3" x14ac:dyDescent="0.2">
      <c r="A183" s="65">
        <v>33085</v>
      </c>
      <c r="B183" s="76"/>
      <c r="C183" s="231"/>
    </row>
    <row r="184" spans="1:3" x14ac:dyDescent="0.2">
      <c r="A184" s="65">
        <v>33116</v>
      </c>
      <c r="B184" s="76"/>
      <c r="C184" s="231"/>
    </row>
    <row r="185" spans="1:3" x14ac:dyDescent="0.2">
      <c r="A185" s="65">
        <v>33146</v>
      </c>
      <c r="B185" s="76"/>
      <c r="C185" s="231"/>
    </row>
    <row r="186" spans="1:3" x14ac:dyDescent="0.2">
      <c r="A186" s="65">
        <v>33177</v>
      </c>
      <c r="B186" s="76"/>
      <c r="C186" s="231"/>
    </row>
    <row r="187" spans="1:3" x14ac:dyDescent="0.2">
      <c r="A187" s="65">
        <v>33207</v>
      </c>
      <c r="B187" s="76"/>
      <c r="C187" s="231"/>
    </row>
    <row r="188" spans="1:3" x14ac:dyDescent="0.2">
      <c r="A188" s="65">
        <v>33238</v>
      </c>
      <c r="B188" s="76"/>
      <c r="C188" s="231"/>
    </row>
    <row r="189" spans="1:3" x14ac:dyDescent="0.2">
      <c r="A189" s="65">
        <v>33269</v>
      </c>
      <c r="B189" s="76"/>
      <c r="C189" s="231"/>
    </row>
    <row r="190" spans="1:3" x14ac:dyDescent="0.2">
      <c r="A190" s="65">
        <v>33297</v>
      </c>
      <c r="B190" s="76"/>
      <c r="C190" s="231"/>
    </row>
    <row r="191" spans="1:3" x14ac:dyDescent="0.2">
      <c r="A191" s="65">
        <v>33328</v>
      </c>
      <c r="B191" s="76"/>
      <c r="C191" s="231"/>
    </row>
    <row r="192" spans="1:3" x14ac:dyDescent="0.2">
      <c r="A192" s="65">
        <v>33358</v>
      </c>
      <c r="B192" s="76"/>
      <c r="C192" s="231"/>
    </row>
    <row r="193" spans="1:3" x14ac:dyDescent="0.2">
      <c r="A193" s="65">
        <v>33389</v>
      </c>
      <c r="B193" s="76"/>
      <c r="C193" s="231"/>
    </row>
    <row r="194" spans="1:3" x14ac:dyDescent="0.2">
      <c r="A194" s="65">
        <v>33419</v>
      </c>
      <c r="B194" s="76"/>
      <c r="C194" s="231"/>
    </row>
    <row r="195" spans="1:3" x14ac:dyDescent="0.2">
      <c r="A195" s="65">
        <v>33450</v>
      </c>
      <c r="B195" s="76"/>
      <c r="C195" s="231"/>
    </row>
    <row r="196" spans="1:3" x14ac:dyDescent="0.2">
      <c r="A196" s="65">
        <v>33481</v>
      </c>
      <c r="B196" s="76"/>
      <c r="C196" s="231"/>
    </row>
    <row r="197" spans="1:3" x14ac:dyDescent="0.2">
      <c r="A197" s="65">
        <v>33511</v>
      </c>
      <c r="B197" s="76"/>
      <c r="C197" s="231"/>
    </row>
    <row r="198" spans="1:3" x14ac:dyDescent="0.2">
      <c r="A198" s="65">
        <v>33542</v>
      </c>
      <c r="B198" s="76"/>
      <c r="C198" s="231"/>
    </row>
    <row r="199" spans="1:3" x14ac:dyDescent="0.2">
      <c r="A199" s="65">
        <v>33572</v>
      </c>
      <c r="B199" s="76"/>
      <c r="C199" s="231"/>
    </row>
    <row r="200" spans="1:3" x14ac:dyDescent="0.2">
      <c r="A200" s="65">
        <v>33603</v>
      </c>
      <c r="B200" s="76"/>
      <c r="C200" s="231"/>
    </row>
    <row r="201" spans="1:3" x14ac:dyDescent="0.2">
      <c r="A201" s="65">
        <v>33634</v>
      </c>
      <c r="B201" s="76"/>
      <c r="C201" s="231"/>
    </row>
    <row r="202" spans="1:3" x14ac:dyDescent="0.2">
      <c r="A202" s="65">
        <v>33663</v>
      </c>
      <c r="B202" s="76"/>
      <c r="C202" s="231"/>
    </row>
    <row r="203" spans="1:3" x14ac:dyDescent="0.2">
      <c r="A203" s="65">
        <v>33694</v>
      </c>
      <c r="B203" s="76"/>
      <c r="C203" s="231"/>
    </row>
    <row r="204" spans="1:3" x14ac:dyDescent="0.2">
      <c r="A204" s="65">
        <v>33724</v>
      </c>
      <c r="B204" s="76"/>
      <c r="C204" s="231"/>
    </row>
    <row r="205" spans="1:3" x14ac:dyDescent="0.2">
      <c r="A205" s="65">
        <v>33755</v>
      </c>
      <c r="B205" s="76"/>
      <c r="C205" s="231"/>
    </row>
    <row r="206" spans="1:3" x14ac:dyDescent="0.2">
      <c r="A206" s="65">
        <v>33785</v>
      </c>
      <c r="B206" s="76"/>
      <c r="C206" s="231"/>
    </row>
    <row r="207" spans="1:3" x14ac:dyDescent="0.2">
      <c r="A207" s="65">
        <v>33816</v>
      </c>
      <c r="B207" s="76"/>
      <c r="C207" s="231"/>
    </row>
    <row r="208" spans="1:3" x14ac:dyDescent="0.2">
      <c r="A208" s="65">
        <v>33847</v>
      </c>
      <c r="B208" s="76"/>
      <c r="C208" s="231"/>
    </row>
    <row r="209" spans="1:3" x14ac:dyDescent="0.2">
      <c r="A209" s="65">
        <v>33877</v>
      </c>
      <c r="B209" s="76"/>
      <c r="C209" s="231"/>
    </row>
    <row r="210" spans="1:3" x14ac:dyDescent="0.2">
      <c r="A210" s="65">
        <v>33908</v>
      </c>
      <c r="B210" s="76"/>
      <c r="C210" s="231"/>
    </row>
    <row r="211" spans="1:3" x14ac:dyDescent="0.2">
      <c r="A211" s="65">
        <v>33938</v>
      </c>
      <c r="B211" s="76"/>
      <c r="C211" s="231"/>
    </row>
    <row r="212" spans="1:3" x14ac:dyDescent="0.2">
      <c r="A212" s="65">
        <v>33969</v>
      </c>
      <c r="B212" s="76"/>
      <c r="C212" s="231"/>
    </row>
    <row r="213" spans="1:3" x14ac:dyDescent="0.2">
      <c r="A213" s="65">
        <v>34000</v>
      </c>
      <c r="B213" s="76"/>
      <c r="C213" s="231"/>
    </row>
    <row r="214" spans="1:3" x14ac:dyDescent="0.2">
      <c r="A214" s="65">
        <v>34028</v>
      </c>
      <c r="B214" s="76"/>
      <c r="C214" s="231"/>
    </row>
    <row r="215" spans="1:3" x14ac:dyDescent="0.2">
      <c r="A215" s="65">
        <v>34059</v>
      </c>
      <c r="B215" s="76"/>
      <c r="C215" s="231"/>
    </row>
    <row r="216" spans="1:3" x14ac:dyDescent="0.2">
      <c r="A216" s="65">
        <v>34089</v>
      </c>
      <c r="B216" s="76"/>
      <c r="C216" s="231"/>
    </row>
    <row r="217" spans="1:3" x14ac:dyDescent="0.2">
      <c r="A217" s="65">
        <v>34120</v>
      </c>
      <c r="B217" s="76"/>
      <c r="C217" s="231"/>
    </row>
    <row r="218" spans="1:3" x14ac:dyDescent="0.2">
      <c r="A218" s="65">
        <v>34150</v>
      </c>
      <c r="B218" s="76"/>
      <c r="C218" s="231"/>
    </row>
    <row r="219" spans="1:3" x14ac:dyDescent="0.2">
      <c r="A219" s="65">
        <v>34181</v>
      </c>
      <c r="B219" s="76"/>
      <c r="C219" s="231"/>
    </row>
    <row r="220" spans="1:3" x14ac:dyDescent="0.2">
      <c r="A220" s="65">
        <v>34212</v>
      </c>
      <c r="B220" s="76"/>
      <c r="C220" s="231"/>
    </row>
    <row r="221" spans="1:3" x14ac:dyDescent="0.2">
      <c r="A221" s="65">
        <v>34242</v>
      </c>
      <c r="B221" s="76"/>
      <c r="C221" s="231"/>
    </row>
    <row r="222" spans="1:3" x14ac:dyDescent="0.2">
      <c r="A222" s="65">
        <v>34273</v>
      </c>
      <c r="B222" s="76"/>
      <c r="C222" s="231"/>
    </row>
    <row r="223" spans="1:3" x14ac:dyDescent="0.2">
      <c r="A223" s="65">
        <v>34303</v>
      </c>
      <c r="B223" s="76"/>
      <c r="C223" s="231"/>
    </row>
    <row r="224" spans="1:3" x14ac:dyDescent="0.2">
      <c r="A224" s="65">
        <v>34334</v>
      </c>
      <c r="B224" s="76"/>
      <c r="C224" s="231"/>
    </row>
    <row r="225" spans="1:3" x14ac:dyDescent="0.2">
      <c r="A225" s="65">
        <v>34365</v>
      </c>
      <c r="B225" s="76"/>
      <c r="C225" s="231"/>
    </row>
    <row r="226" spans="1:3" x14ac:dyDescent="0.2">
      <c r="A226" s="65">
        <v>34393</v>
      </c>
      <c r="B226" s="76"/>
      <c r="C226" s="231"/>
    </row>
    <row r="227" spans="1:3" x14ac:dyDescent="0.2">
      <c r="A227" s="65">
        <v>34424</v>
      </c>
      <c r="B227" s="76"/>
      <c r="C227" s="231"/>
    </row>
    <row r="228" spans="1:3" x14ac:dyDescent="0.2">
      <c r="A228" s="65">
        <v>34454</v>
      </c>
      <c r="B228" s="76"/>
      <c r="C228" s="231"/>
    </row>
    <row r="229" spans="1:3" x14ac:dyDescent="0.2">
      <c r="A229" s="65">
        <v>34485</v>
      </c>
      <c r="B229" s="76"/>
      <c r="C229" s="231"/>
    </row>
    <row r="230" spans="1:3" x14ac:dyDescent="0.2">
      <c r="A230" s="65">
        <v>34515</v>
      </c>
      <c r="B230" s="76"/>
      <c r="C230" s="231"/>
    </row>
    <row r="231" spans="1:3" x14ac:dyDescent="0.2">
      <c r="A231" s="65">
        <v>34546</v>
      </c>
      <c r="B231" s="76"/>
      <c r="C231" s="231"/>
    </row>
    <row r="232" spans="1:3" x14ac:dyDescent="0.2">
      <c r="A232" s="65">
        <v>34577</v>
      </c>
      <c r="B232" s="76"/>
      <c r="C232" s="231"/>
    </row>
    <row r="233" spans="1:3" x14ac:dyDescent="0.2">
      <c r="A233" s="65">
        <v>34607</v>
      </c>
      <c r="B233" s="76"/>
      <c r="C233" s="231"/>
    </row>
    <row r="234" spans="1:3" x14ac:dyDescent="0.2">
      <c r="A234" s="65">
        <v>34638</v>
      </c>
      <c r="B234" s="76"/>
      <c r="C234" s="231"/>
    </row>
    <row r="235" spans="1:3" x14ac:dyDescent="0.2">
      <c r="A235" s="65">
        <v>34668</v>
      </c>
      <c r="B235" s="76"/>
      <c r="C235" s="231"/>
    </row>
    <row r="236" spans="1:3" x14ac:dyDescent="0.2">
      <c r="A236" s="65">
        <v>34699</v>
      </c>
      <c r="B236" s="76"/>
      <c r="C236" s="231"/>
    </row>
    <row r="237" spans="1:3" x14ac:dyDescent="0.2">
      <c r="A237" s="65">
        <v>34730</v>
      </c>
      <c r="B237" s="76"/>
      <c r="C237" s="231"/>
    </row>
    <row r="238" spans="1:3" x14ac:dyDescent="0.2">
      <c r="A238" s="65">
        <v>34758</v>
      </c>
      <c r="B238" s="76"/>
      <c r="C238" s="231"/>
    </row>
    <row r="239" spans="1:3" x14ac:dyDescent="0.2">
      <c r="A239" s="65">
        <v>34789</v>
      </c>
      <c r="B239" s="76"/>
      <c r="C239" s="231"/>
    </row>
    <row r="240" spans="1:3" x14ac:dyDescent="0.2">
      <c r="A240" s="65">
        <v>34819</v>
      </c>
      <c r="B240" s="76"/>
      <c r="C240" s="231"/>
    </row>
    <row r="241" spans="1:3" x14ac:dyDescent="0.2">
      <c r="A241" s="65">
        <v>34850</v>
      </c>
      <c r="B241" s="76"/>
      <c r="C241" s="231"/>
    </row>
    <row r="242" spans="1:3" x14ac:dyDescent="0.2">
      <c r="A242" s="65">
        <v>34880</v>
      </c>
      <c r="B242" s="76"/>
      <c r="C242" s="231"/>
    </row>
    <row r="243" spans="1:3" x14ac:dyDescent="0.2">
      <c r="A243" s="65">
        <v>34911</v>
      </c>
      <c r="B243" s="76"/>
      <c r="C243" s="231"/>
    </row>
    <row r="244" spans="1:3" x14ac:dyDescent="0.2">
      <c r="A244" s="65">
        <v>34942</v>
      </c>
      <c r="B244" s="76"/>
      <c r="C244" s="231"/>
    </row>
    <row r="245" spans="1:3" x14ac:dyDescent="0.2">
      <c r="A245" s="65">
        <v>34972</v>
      </c>
      <c r="B245" s="76"/>
      <c r="C245" s="231"/>
    </row>
    <row r="246" spans="1:3" x14ac:dyDescent="0.2">
      <c r="A246" s="65">
        <v>35003</v>
      </c>
      <c r="B246" s="76"/>
      <c r="C246" s="231"/>
    </row>
    <row r="247" spans="1:3" x14ac:dyDescent="0.2">
      <c r="A247" s="65">
        <v>35033</v>
      </c>
      <c r="B247" s="76"/>
      <c r="C247" s="231"/>
    </row>
    <row r="248" spans="1:3" x14ac:dyDescent="0.2">
      <c r="A248" s="65">
        <v>35064</v>
      </c>
      <c r="B248" s="76"/>
      <c r="C248" s="231"/>
    </row>
    <row r="249" spans="1:3" x14ac:dyDescent="0.2">
      <c r="A249" s="65">
        <v>35095</v>
      </c>
      <c r="B249" s="76"/>
      <c r="C249" s="231"/>
    </row>
    <row r="250" spans="1:3" x14ac:dyDescent="0.2">
      <c r="A250" s="65">
        <v>35124</v>
      </c>
      <c r="B250" s="76"/>
      <c r="C250" s="231"/>
    </row>
    <row r="251" spans="1:3" x14ac:dyDescent="0.2">
      <c r="A251" s="65">
        <v>35155</v>
      </c>
      <c r="B251" s="76"/>
      <c r="C251" s="231"/>
    </row>
    <row r="252" spans="1:3" x14ac:dyDescent="0.2">
      <c r="A252" s="65">
        <v>35185</v>
      </c>
      <c r="B252" s="76"/>
      <c r="C252" s="231"/>
    </row>
    <row r="253" spans="1:3" x14ac:dyDescent="0.2">
      <c r="A253" s="65">
        <v>35216</v>
      </c>
      <c r="B253" s="76"/>
      <c r="C253" s="231"/>
    </row>
    <row r="254" spans="1:3" x14ac:dyDescent="0.2">
      <c r="A254" s="65">
        <v>35246</v>
      </c>
      <c r="B254" s="76"/>
      <c r="C254" s="231"/>
    </row>
    <row r="255" spans="1:3" x14ac:dyDescent="0.2">
      <c r="A255" s="65">
        <v>35277</v>
      </c>
      <c r="B255" s="76"/>
      <c r="C255" s="231"/>
    </row>
    <row r="256" spans="1:3" x14ac:dyDescent="0.2">
      <c r="A256" s="65">
        <v>35308</v>
      </c>
      <c r="B256" s="76"/>
      <c r="C256" s="231"/>
    </row>
    <row r="257" spans="1:3" x14ac:dyDescent="0.2">
      <c r="A257" s="65">
        <v>35338</v>
      </c>
      <c r="B257" s="76"/>
      <c r="C257" s="231"/>
    </row>
    <row r="258" spans="1:3" x14ac:dyDescent="0.2">
      <c r="A258" s="65">
        <v>35369</v>
      </c>
      <c r="B258" s="76"/>
      <c r="C258" s="231"/>
    </row>
    <row r="259" spans="1:3" x14ac:dyDescent="0.2">
      <c r="A259" s="65">
        <v>35399</v>
      </c>
      <c r="B259" s="76"/>
      <c r="C259" s="231"/>
    </row>
    <row r="260" spans="1:3" x14ac:dyDescent="0.2">
      <c r="A260" s="65">
        <v>35430</v>
      </c>
      <c r="B260" s="76"/>
      <c r="C260" s="231"/>
    </row>
    <row r="261" spans="1:3" x14ac:dyDescent="0.2">
      <c r="A261" s="65">
        <v>35461</v>
      </c>
      <c r="B261" s="76"/>
      <c r="C261" s="231"/>
    </row>
    <row r="262" spans="1:3" x14ac:dyDescent="0.2">
      <c r="A262" s="65">
        <v>35489</v>
      </c>
      <c r="B262" s="76"/>
      <c r="C262" s="231"/>
    </row>
    <row r="263" spans="1:3" x14ac:dyDescent="0.2">
      <c r="A263" s="65">
        <v>35520</v>
      </c>
      <c r="B263" s="76"/>
      <c r="C263" s="231"/>
    </row>
    <row r="264" spans="1:3" x14ac:dyDescent="0.2">
      <c r="A264" s="65">
        <v>35550</v>
      </c>
      <c r="B264" s="76"/>
      <c r="C264" s="231"/>
    </row>
    <row r="265" spans="1:3" x14ac:dyDescent="0.2">
      <c r="A265" s="65">
        <v>35581</v>
      </c>
      <c r="B265" s="76"/>
      <c r="C265" s="231"/>
    </row>
    <row r="266" spans="1:3" x14ac:dyDescent="0.2">
      <c r="A266" s="65">
        <v>35611</v>
      </c>
      <c r="B266" s="76"/>
      <c r="C266" s="231"/>
    </row>
    <row r="267" spans="1:3" x14ac:dyDescent="0.2">
      <c r="A267" s="65">
        <v>35642</v>
      </c>
      <c r="B267" s="76"/>
      <c r="C267" s="231"/>
    </row>
    <row r="268" spans="1:3" x14ac:dyDescent="0.2">
      <c r="A268" s="65">
        <v>35673</v>
      </c>
      <c r="B268" s="76"/>
      <c r="C268" s="231"/>
    </row>
    <row r="269" spans="1:3" x14ac:dyDescent="0.2">
      <c r="A269" s="65">
        <v>35703</v>
      </c>
      <c r="B269" s="76"/>
      <c r="C269" s="231"/>
    </row>
    <row r="270" spans="1:3" x14ac:dyDescent="0.2">
      <c r="A270" s="65">
        <v>35734</v>
      </c>
      <c r="B270" s="76"/>
      <c r="C270" s="231"/>
    </row>
    <row r="271" spans="1:3" x14ac:dyDescent="0.2">
      <c r="A271" s="65">
        <v>35764</v>
      </c>
      <c r="B271" s="76"/>
      <c r="C271" s="231"/>
    </row>
    <row r="272" spans="1:3" x14ac:dyDescent="0.2">
      <c r="A272" s="65">
        <v>35795</v>
      </c>
      <c r="B272" s="76"/>
      <c r="C272" s="231"/>
    </row>
    <row r="273" spans="1:3" x14ac:dyDescent="0.2">
      <c r="A273" s="65">
        <v>35826</v>
      </c>
      <c r="B273" s="76"/>
      <c r="C273" s="231"/>
    </row>
    <row r="274" spans="1:3" x14ac:dyDescent="0.2">
      <c r="A274" s="65">
        <v>35854</v>
      </c>
      <c r="B274" s="76"/>
      <c r="C274" s="231"/>
    </row>
    <row r="275" spans="1:3" x14ac:dyDescent="0.2">
      <c r="A275" s="65">
        <v>35885</v>
      </c>
      <c r="B275" s="76"/>
      <c r="C275" s="231"/>
    </row>
    <row r="276" spans="1:3" x14ac:dyDescent="0.2">
      <c r="A276" s="65">
        <v>35915</v>
      </c>
      <c r="B276" s="76"/>
      <c r="C276" s="231"/>
    </row>
    <row r="277" spans="1:3" x14ac:dyDescent="0.2">
      <c r="A277" s="65">
        <v>35946</v>
      </c>
      <c r="B277" s="76"/>
      <c r="C277" s="231"/>
    </row>
    <row r="278" spans="1:3" x14ac:dyDescent="0.2">
      <c r="A278" s="65">
        <v>35976</v>
      </c>
      <c r="B278" s="76"/>
      <c r="C278" s="231"/>
    </row>
    <row r="279" spans="1:3" x14ac:dyDescent="0.2">
      <c r="A279" s="65">
        <v>36007</v>
      </c>
      <c r="B279" s="76"/>
      <c r="C279" s="231"/>
    </row>
    <row r="280" spans="1:3" x14ac:dyDescent="0.2">
      <c r="A280" s="65">
        <v>36038</v>
      </c>
      <c r="B280" s="76"/>
      <c r="C280" s="231"/>
    </row>
    <row r="281" spans="1:3" x14ac:dyDescent="0.2">
      <c r="A281" s="65">
        <v>36068</v>
      </c>
      <c r="B281" s="76"/>
      <c r="C281" s="231"/>
    </row>
    <row r="282" spans="1:3" x14ac:dyDescent="0.2">
      <c r="A282" s="65">
        <v>36099</v>
      </c>
      <c r="B282" s="76"/>
      <c r="C282" s="231"/>
    </row>
    <row r="283" spans="1:3" x14ac:dyDescent="0.2">
      <c r="A283" s="65">
        <v>36129</v>
      </c>
      <c r="B283" s="76"/>
      <c r="C283" s="231"/>
    </row>
    <row r="284" spans="1:3" x14ac:dyDescent="0.2">
      <c r="A284" s="65">
        <v>36160</v>
      </c>
      <c r="B284" s="76"/>
      <c r="C284" s="231"/>
    </row>
    <row r="285" spans="1:3" x14ac:dyDescent="0.2">
      <c r="A285" s="65">
        <v>36191</v>
      </c>
      <c r="B285" s="76"/>
      <c r="C285" s="231"/>
    </row>
    <row r="286" spans="1:3" x14ac:dyDescent="0.2">
      <c r="A286" s="65">
        <v>36219</v>
      </c>
      <c r="B286" s="76"/>
      <c r="C286" s="231"/>
    </row>
    <row r="287" spans="1:3" x14ac:dyDescent="0.2">
      <c r="A287" s="65">
        <v>36250</v>
      </c>
      <c r="B287" s="76"/>
      <c r="C287" s="231"/>
    </row>
    <row r="288" spans="1:3" x14ac:dyDescent="0.2">
      <c r="A288" s="65">
        <v>36280</v>
      </c>
      <c r="B288" s="76"/>
      <c r="C288" s="231"/>
    </row>
    <row r="289" spans="1:3" x14ac:dyDescent="0.2">
      <c r="A289" s="65">
        <v>36311</v>
      </c>
      <c r="B289" s="76"/>
      <c r="C289" s="231"/>
    </row>
    <row r="290" spans="1:3" x14ac:dyDescent="0.2">
      <c r="A290" s="65">
        <v>36341</v>
      </c>
      <c r="B290" s="76"/>
      <c r="C290" s="231"/>
    </row>
    <row r="291" spans="1:3" x14ac:dyDescent="0.2">
      <c r="A291" s="65">
        <v>36372</v>
      </c>
      <c r="B291" s="76"/>
      <c r="C291" s="231"/>
    </row>
    <row r="292" spans="1:3" x14ac:dyDescent="0.2">
      <c r="A292" s="65">
        <v>36403</v>
      </c>
      <c r="B292" s="76"/>
      <c r="C292" s="231"/>
    </row>
    <row r="293" spans="1:3" x14ac:dyDescent="0.2">
      <c r="A293" s="65">
        <v>36433</v>
      </c>
      <c r="B293" s="76"/>
      <c r="C293" s="231"/>
    </row>
    <row r="294" spans="1:3" x14ac:dyDescent="0.2">
      <c r="A294" s="65">
        <v>36464</v>
      </c>
      <c r="B294" s="76"/>
      <c r="C294" s="231"/>
    </row>
    <row r="295" spans="1:3" x14ac:dyDescent="0.2">
      <c r="A295" s="65">
        <v>36494</v>
      </c>
      <c r="B295" s="76"/>
      <c r="C295" s="231"/>
    </row>
    <row r="296" spans="1:3" x14ac:dyDescent="0.2">
      <c r="A296" s="65">
        <v>36525</v>
      </c>
      <c r="B296" s="76"/>
      <c r="C296" s="231"/>
    </row>
    <row r="297" spans="1:3" x14ac:dyDescent="0.2">
      <c r="A297" s="65">
        <v>36556</v>
      </c>
      <c r="B297" s="76"/>
      <c r="C297" s="231"/>
    </row>
    <row r="298" spans="1:3" x14ac:dyDescent="0.2">
      <c r="A298" s="65">
        <v>36585</v>
      </c>
      <c r="B298" s="76"/>
      <c r="C298" s="231"/>
    </row>
    <row r="299" spans="1:3" x14ac:dyDescent="0.2">
      <c r="A299" s="65">
        <v>36616</v>
      </c>
      <c r="B299" s="76"/>
      <c r="C299" s="231"/>
    </row>
    <row r="300" spans="1:3" x14ac:dyDescent="0.2">
      <c r="A300" s="65">
        <v>36646</v>
      </c>
      <c r="B300" s="76"/>
      <c r="C300" s="231"/>
    </row>
    <row r="301" spans="1:3" x14ac:dyDescent="0.2">
      <c r="A301" s="65">
        <v>36677</v>
      </c>
      <c r="B301" s="76"/>
      <c r="C301" s="231"/>
    </row>
    <row r="302" spans="1:3" x14ac:dyDescent="0.2">
      <c r="A302" s="65">
        <v>36707</v>
      </c>
      <c r="B302" s="76"/>
      <c r="C302" s="231"/>
    </row>
    <row r="303" spans="1:3" x14ac:dyDescent="0.2">
      <c r="A303" s="65">
        <v>36738</v>
      </c>
      <c r="B303" s="76"/>
      <c r="C303" s="231"/>
    </row>
    <row r="304" spans="1:3" x14ac:dyDescent="0.2">
      <c r="A304" s="65">
        <v>36769</v>
      </c>
      <c r="B304" s="76"/>
      <c r="C304" s="231"/>
    </row>
    <row r="305" spans="1:3" x14ac:dyDescent="0.2">
      <c r="A305" s="65">
        <v>36799</v>
      </c>
      <c r="B305" s="76"/>
      <c r="C305" s="231"/>
    </row>
    <row r="306" spans="1:3" x14ac:dyDescent="0.2">
      <c r="A306" s="65">
        <v>36830</v>
      </c>
      <c r="B306" s="76"/>
      <c r="C306" s="231"/>
    </row>
    <row r="307" spans="1:3" x14ac:dyDescent="0.2">
      <c r="A307" s="65">
        <v>36860</v>
      </c>
      <c r="B307" s="76"/>
      <c r="C307" s="231"/>
    </row>
    <row r="308" spans="1:3" x14ac:dyDescent="0.2">
      <c r="A308" s="65">
        <v>36891</v>
      </c>
      <c r="B308" s="76"/>
      <c r="C308" s="231"/>
    </row>
    <row r="309" spans="1:3" x14ac:dyDescent="0.2">
      <c r="A309" s="65">
        <v>36922</v>
      </c>
      <c r="B309" s="76"/>
      <c r="C309" s="231"/>
    </row>
    <row r="310" spans="1:3" x14ac:dyDescent="0.2">
      <c r="A310" s="65">
        <v>36950</v>
      </c>
      <c r="B310" s="76"/>
      <c r="C310" s="231"/>
    </row>
    <row r="311" spans="1:3" x14ac:dyDescent="0.2">
      <c r="A311" s="65">
        <v>36981</v>
      </c>
      <c r="B311" s="76"/>
      <c r="C311" s="231"/>
    </row>
    <row r="312" spans="1:3" x14ac:dyDescent="0.2">
      <c r="A312" s="65">
        <v>37011</v>
      </c>
      <c r="B312" s="76"/>
      <c r="C312" s="231"/>
    </row>
    <row r="313" spans="1:3" x14ac:dyDescent="0.2">
      <c r="A313" s="65">
        <v>37042</v>
      </c>
      <c r="B313" s="76"/>
      <c r="C313" s="231"/>
    </row>
    <row r="314" spans="1:3" x14ac:dyDescent="0.2">
      <c r="A314" s="65">
        <v>37072</v>
      </c>
      <c r="B314" s="76"/>
      <c r="C314" s="231"/>
    </row>
    <row r="315" spans="1:3" x14ac:dyDescent="0.2">
      <c r="A315" s="65">
        <v>37103</v>
      </c>
      <c r="B315" s="76"/>
      <c r="C315" s="231"/>
    </row>
    <row r="316" spans="1:3" x14ac:dyDescent="0.2">
      <c r="A316" s="65">
        <v>37134</v>
      </c>
      <c r="B316" s="76"/>
      <c r="C316" s="231"/>
    </row>
    <row r="317" spans="1:3" x14ac:dyDescent="0.2">
      <c r="A317" s="65">
        <v>37164</v>
      </c>
      <c r="B317" s="76"/>
      <c r="C317" s="231"/>
    </row>
    <row r="318" spans="1:3" x14ac:dyDescent="0.2">
      <c r="A318" s="65">
        <v>37195</v>
      </c>
      <c r="B318" s="76"/>
      <c r="C318" s="231"/>
    </row>
    <row r="319" spans="1:3" x14ac:dyDescent="0.2">
      <c r="A319" s="65">
        <v>37225</v>
      </c>
      <c r="B319" s="76"/>
      <c r="C319" s="231"/>
    </row>
    <row r="320" spans="1:3" x14ac:dyDescent="0.2">
      <c r="A320" s="65">
        <v>37256</v>
      </c>
      <c r="B320" s="76"/>
      <c r="C320" s="231"/>
    </row>
    <row r="321" spans="1:3" x14ac:dyDescent="0.2">
      <c r="A321" s="65">
        <v>37287</v>
      </c>
      <c r="B321" s="76"/>
      <c r="C321" s="231"/>
    </row>
    <row r="322" spans="1:3" x14ac:dyDescent="0.2">
      <c r="A322" s="65">
        <v>37315</v>
      </c>
      <c r="B322" s="76"/>
      <c r="C322" s="231"/>
    </row>
    <row r="323" spans="1:3" x14ac:dyDescent="0.2">
      <c r="A323" s="65">
        <v>37346</v>
      </c>
      <c r="B323" s="76"/>
      <c r="C323" s="231"/>
    </row>
    <row r="324" spans="1:3" x14ac:dyDescent="0.2">
      <c r="A324" s="65">
        <v>37376</v>
      </c>
      <c r="B324" s="76"/>
      <c r="C324" s="231"/>
    </row>
    <row r="325" spans="1:3" x14ac:dyDescent="0.2">
      <c r="A325" s="65">
        <v>37407</v>
      </c>
      <c r="B325" s="76"/>
      <c r="C325" s="231"/>
    </row>
    <row r="326" spans="1:3" x14ac:dyDescent="0.2">
      <c r="A326" s="65">
        <v>37437</v>
      </c>
      <c r="B326" s="76"/>
      <c r="C326" s="231"/>
    </row>
    <row r="327" spans="1:3" x14ac:dyDescent="0.2">
      <c r="A327" s="65">
        <v>37468</v>
      </c>
      <c r="B327" s="76">
        <v>-10.3431</v>
      </c>
      <c r="C327" s="231">
        <v>808403979.61000001</v>
      </c>
    </row>
    <row r="328" spans="1:3" x14ac:dyDescent="0.2">
      <c r="A328" s="65">
        <v>37499</v>
      </c>
      <c r="B328" s="76">
        <v>0.2429</v>
      </c>
      <c r="C328" s="231">
        <v>810367861.47000003</v>
      </c>
    </row>
    <row r="329" spans="1:3" x14ac:dyDescent="0.2">
      <c r="A329" s="65">
        <v>37529</v>
      </c>
      <c r="B329" s="76">
        <v>-8.0827000000000009</v>
      </c>
      <c r="C329" s="231">
        <v>745193009.99000001</v>
      </c>
    </row>
    <row r="330" spans="1:3" x14ac:dyDescent="0.2">
      <c r="A330" s="65">
        <v>37560</v>
      </c>
      <c r="B330" s="76">
        <v>4.0254000000000003</v>
      </c>
      <c r="C330" s="231">
        <v>775189684.12</v>
      </c>
    </row>
    <row r="331" spans="1:3" x14ac:dyDescent="0.2">
      <c r="A331" s="65">
        <v>37590</v>
      </c>
      <c r="B331" s="76">
        <v>6.2087000000000003</v>
      </c>
      <c r="C331" s="231">
        <v>823318775.04999995</v>
      </c>
    </row>
    <row r="332" spans="1:3" x14ac:dyDescent="0.2">
      <c r="A332" s="65">
        <v>37621</v>
      </c>
      <c r="B332" s="76">
        <v>-4.6210000000000004</v>
      </c>
      <c r="C332" s="231">
        <v>785565825.51999998</v>
      </c>
    </row>
    <row r="333" spans="1:3" x14ac:dyDescent="0.2">
      <c r="A333" s="65">
        <v>37652</v>
      </c>
      <c r="B333" s="76">
        <v>-2.5347</v>
      </c>
      <c r="C333" s="231">
        <v>765653973.25</v>
      </c>
    </row>
    <row r="334" spans="1:3" x14ac:dyDescent="0.2">
      <c r="A334" s="65">
        <v>37680</v>
      </c>
      <c r="B334" s="76">
        <v>-1.9705999999999999</v>
      </c>
      <c r="C334" s="231">
        <v>750565891.88</v>
      </c>
    </row>
    <row r="335" spans="1:3" x14ac:dyDescent="0.2">
      <c r="A335" s="65">
        <v>37711</v>
      </c>
      <c r="B335" s="76">
        <v>0.62980000000000003</v>
      </c>
      <c r="C335" s="231">
        <v>755610076.63999999</v>
      </c>
    </row>
    <row r="336" spans="1:3" x14ac:dyDescent="0.2">
      <c r="A336" s="65">
        <v>37741</v>
      </c>
      <c r="B336" s="76">
        <v>7.5071000000000003</v>
      </c>
      <c r="C336" s="231">
        <v>812334419.20000005</v>
      </c>
    </row>
    <row r="337" spans="1:3" x14ac:dyDescent="0.2">
      <c r="A337" s="65">
        <v>37772</v>
      </c>
      <c r="B337" s="76">
        <v>8.6731999999999996</v>
      </c>
      <c r="C337" s="231">
        <v>882789573.39999998</v>
      </c>
    </row>
    <row r="338" spans="1:3" x14ac:dyDescent="0.2">
      <c r="A338" s="65">
        <v>37802</v>
      </c>
      <c r="B338" s="76">
        <v>1.1600999999999999</v>
      </c>
      <c r="C338" s="231">
        <v>893339702.44000006</v>
      </c>
    </row>
    <row r="339" spans="1:3" x14ac:dyDescent="0.2">
      <c r="A339" s="65">
        <v>37833</v>
      </c>
      <c r="B339" s="76">
        <v>3.5404</v>
      </c>
      <c r="C339" s="231">
        <v>924967650.80999994</v>
      </c>
    </row>
    <row r="340" spans="1:3" x14ac:dyDescent="0.2">
      <c r="A340" s="65">
        <v>37864</v>
      </c>
      <c r="B340" s="76">
        <v>4.5900999999999996</v>
      </c>
      <c r="C340" s="231">
        <v>967426567.24000001</v>
      </c>
    </row>
    <row r="341" spans="1:3" x14ac:dyDescent="0.2">
      <c r="A341" s="65">
        <v>37894</v>
      </c>
      <c r="B341" s="76">
        <v>-1.8103</v>
      </c>
      <c r="C341" s="231">
        <v>950287871.26999998</v>
      </c>
    </row>
    <row r="342" spans="1:3" x14ac:dyDescent="0.2">
      <c r="A342" s="65">
        <v>37925</v>
      </c>
      <c r="B342" s="76">
        <v>7.9599000000000002</v>
      </c>
      <c r="C342" s="231">
        <v>1025929651.41</v>
      </c>
    </row>
    <row r="343" spans="1:3" x14ac:dyDescent="0.2">
      <c r="A343" s="65">
        <v>37955</v>
      </c>
      <c r="B343" s="76">
        <v>3.3967000000000001</v>
      </c>
      <c r="C343" s="231">
        <v>1060782329.71</v>
      </c>
    </row>
    <row r="344" spans="1:3" x14ac:dyDescent="0.2">
      <c r="A344" s="65">
        <v>37986</v>
      </c>
      <c r="B344" s="76">
        <v>1.9142999999999999</v>
      </c>
      <c r="C344" s="231">
        <v>1081286955.45</v>
      </c>
    </row>
    <row r="345" spans="1:3" x14ac:dyDescent="0.2">
      <c r="A345" s="65">
        <v>38017</v>
      </c>
      <c r="B345" s="76">
        <v>2.3601000000000001</v>
      </c>
      <c r="C345" s="231">
        <v>1106806609.05</v>
      </c>
    </row>
    <row r="346" spans="1:3" x14ac:dyDescent="0.2">
      <c r="A346" s="65">
        <v>38046</v>
      </c>
      <c r="B346" s="76">
        <v>2.0560999999999998</v>
      </c>
      <c r="C346" s="231">
        <v>1129564183.77</v>
      </c>
    </row>
    <row r="347" spans="1:3" x14ac:dyDescent="0.2">
      <c r="A347" s="65">
        <v>38077</v>
      </c>
      <c r="B347" s="76">
        <v>0.4476</v>
      </c>
      <c r="C347" s="231">
        <v>1135172576.8699999</v>
      </c>
    </row>
    <row r="348" spans="1:3" x14ac:dyDescent="0.2">
      <c r="A348" s="65">
        <v>38107</v>
      </c>
      <c r="B348" s="76">
        <v>-3.4904000000000002</v>
      </c>
      <c r="C348" s="231">
        <v>1095550368.3599999</v>
      </c>
    </row>
    <row r="349" spans="1:3" x14ac:dyDescent="0.2">
      <c r="A349" s="65">
        <v>38138</v>
      </c>
      <c r="B349" s="76">
        <v>2.2086000000000001</v>
      </c>
      <c r="C349" s="231">
        <v>1119746593.22</v>
      </c>
    </row>
    <row r="350" spans="1:3" x14ac:dyDescent="0.2">
      <c r="A350" s="65">
        <v>38168</v>
      </c>
      <c r="B350" s="76">
        <v>2.4154</v>
      </c>
      <c r="C350" s="231">
        <v>1147369443.05</v>
      </c>
    </row>
    <row r="351" spans="1:3" x14ac:dyDescent="0.2">
      <c r="A351" s="65">
        <v>38199</v>
      </c>
      <c r="B351" s="76">
        <v>-4.7178000000000004</v>
      </c>
      <c r="C351" s="231">
        <v>1093239362.21</v>
      </c>
    </row>
    <row r="352" spans="1:3" x14ac:dyDescent="0.2">
      <c r="A352" s="65">
        <v>38230</v>
      </c>
      <c r="B352" s="76">
        <v>0.1203</v>
      </c>
      <c r="C352" s="231">
        <v>1094554609.79</v>
      </c>
    </row>
    <row r="353" spans="1:3" x14ac:dyDescent="0.2">
      <c r="A353" s="65">
        <v>38260</v>
      </c>
      <c r="B353" s="76">
        <v>3.6274999999999999</v>
      </c>
      <c r="C353" s="231">
        <v>1134849881.6800001</v>
      </c>
    </row>
    <row r="354" spans="1:3" x14ac:dyDescent="0.2">
      <c r="A354" s="65">
        <v>38291</v>
      </c>
      <c r="B354" s="128">
        <v>1.9437</v>
      </c>
      <c r="C354" s="231">
        <v>1068034640.42</v>
      </c>
    </row>
    <row r="355" spans="1:3" x14ac:dyDescent="0.2">
      <c r="A355" s="65">
        <v>38321</v>
      </c>
      <c r="B355" s="128">
        <v>6.1791</v>
      </c>
      <c r="C355" s="231">
        <v>1133550714.47</v>
      </c>
    </row>
    <row r="356" spans="1:3" x14ac:dyDescent="0.2">
      <c r="A356" s="65">
        <v>38352</v>
      </c>
      <c r="B356" s="128">
        <v>3.9706999999999999</v>
      </c>
      <c r="C356" s="231">
        <v>1277757029.79</v>
      </c>
    </row>
    <row r="357" spans="1:3" x14ac:dyDescent="0.2">
      <c r="A357" s="65">
        <v>38383</v>
      </c>
      <c r="B357" s="128">
        <v>-2.5282</v>
      </c>
      <c r="C357" s="231">
        <v>1245452667.6800001</v>
      </c>
    </row>
    <row r="358" spans="1:3" x14ac:dyDescent="0.2">
      <c r="A358" s="65">
        <v>38411</v>
      </c>
      <c r="B358" s="128">
        <v>2.8959000000000001</v>
      </c>
      <c r="C358" s="231">
        <v>1281519765.5899999</v>
      </c>
    </row>
    <row r="359" spans="1:3" x14ac:dyDescent="0.2">
      <c r="A359" s="65">
        <v>38442</v>
      </c>
      <c r="B359" s="128">
        <v>-1.2004999999999999</v>
      </c>
      <c r="C359" s="232">
        <v>1266774403.6300001</v>
      </c>
    </row>
    <row r="360" spans="1:3" x14ac:dyDescent="0.2">
      <c r="A360" s="65">
        <v>38472</v>
      </c>
      <c r="B360" s="128">
        <v>-4.1692999999999998</v>
      </c>
      <c r="C360" s="232">
        <v>1213959179.6099999</v>
      </c>
    </row>
    <row r="361" spans="1:3" x14ac:dyDescent="0.2">
      <c r="A361" s="65">
        <v>38503</v>
      </c>
      <c r="B361" s="128">
        <v>5.7276999999999996</v>
      </c>
      <c r="C361" s="232">
        <v>1283491079.6800001</v>
      </c>
    </row>
    <row r="362" spans="1:3" x14ac:dyDescent="0.2">
      <c r="A362" s="65">
        <v>38533</v>
      </c>
      <c r="B362" s="128">
        <v>2.7010000000000001</v>
      </c>
      <c r="C362" s="232">
        <v>1318795803.99</v>
      </c>
    </row>
    <row r="363" spans="1:3" x14ac:dyDescent="0.2">
      <c r="A363" s="65">
        <v>38564</v>
      </c>
      <c r="B363" s="128">
        <v>5.0335000000000001</v>
      </c>
      <c r="C363" s="232">
        <v>1385253928.3800001</v>
      </c>
    </row>
    <row r="364" spans="1:3" x14ac:dyDescent="0.2">
      <c r="A364" s="65">
        <v>38595</v>
      </c>
      <c r="B364" s="128">
        <v>-1.2189000000000001</v>
      </c>
      <c r="C364" s="232">
        <v>1368276921.1500001</v>
      </c>
    </row>
    <row r="365" spans="1:3" x14ac:dyDescent="0.2">
      <c r="A365" s="65">
        <v>38625</v>
      </c>
      <c r="B365" s="253">
        <v>0.4803</v>
      </c>
      <c r="C365" s="256">
        <v>1375250127.6500001</v>
      </c>
    </row>
    <row r="366" spans="1:3" x14ac:dyDescent="0.2">
      <c r="A366" s="65">
        <v>38656</v>
      </c>
      <c r="B366" s="253">
        <v>-2.1701000000000001</v>
      </c>
      <c r="C366" s="256">
        <v>1345405307.24</v>
      </c>
    </row>
    <row r="367" spans="1:3" x14ac:dyDescent="0.2">
      <c r="A367" s="65">
        <v>38686</v>
      </c>
      <c r="B367" s="253">
        <v>4.6811999999999996</v>
      </c>
      <c r="C367" s="256">
        <v>1413990975.71</v>
      </c>
    </row>
    <row r="368" spans="1:3" x14ac:dyDescent="0.2">
      <c r="A368" s="65">
        <v>38717</v>
      </c>
      <c r="B368" s="253">
        <v>0.81640000000000001</v>
      </c>
      <c r="C368" s="256">
        <v>1425982951.52</v>
      </c>
    </row>
    <row r="369" spans="1:4" x14ac:dyDescent="0.2">
      <c r="A369" s="65">
        <v>38748</v>
      </c>
      <c r="B369" s="253">
        <v>5.8861999999999997</v>
      </c>
      <c r="C369" s="256">
        <v>1509918469.02</v>
      </c>
    </row>
    <row r="370" spans="1:4" x14ac:dyDescent="0.2">
      <c r="A370" s="65">
        <v>38776</v>
      </c>
      <c r="B370" s="253">
        <v>-0.47289999999999999</v>
      </c>
      <c r="C370" s="256">
        <v>1502777386.71</v>
      </c>
    </row>
    <row r="371" spans="1:4" x14ac:dyDescent="0.2">
      <c r="A371" s="65">
        <v>38807</v>
      </c>
      <c r="B371" s="128">
        <v>2.75</v>
      </c>
      <c r="C371" s="366">
        <v>1544581786.5799999</v>
      </c>
    </row>
    <row r="372" spans="1:4" x14ac:dyDescent="0.2">
      <c r="A372" s="65">
        <v>38837</v>
      </c>
      <c r="B372" s="128">
        <v>1.4532</v>
      </c>
      <c r="C372" s="366">
        <v>1567027346.3900001</v>
      </c>
    </row>
    <row r="373" spans="1:4" x14ac:dyDescent="0.2">
      <c r="A373" s="65">
        <v>38868</v>
      </c>
      <c r="B373" s="128">
        <v>-4.6653000000000002</v>
      </c>
      <c r="C373" s="366">
        <v>1493921166.5699999</v>
      </c>
    </row>
    <row r="374" spans="1:4" x14ac:dyDescent="0.2">
      <c r="A374" s="65">
        <v>38898</v>
      </c>
      <c r="B374" s="128">
        <v>-0.33500000000000002</v>
      </c>
      <c r="C374" s="612">
        <v>1489608672.3699999</v>
      </c>
      <c r="D374" s="253"/>
    </row>
    <row r="375" spans="1:4" x14ac:dyDescent="0.2">
      <c r="A375" s="65">
        <v>38929</v>
      </c>
      <c r="B375" s="253">
        <v>-3.1905000000000001</v>
      </c>
      <c r="C375" s="34">
        <v>1442083104.96</v>
      </c>
      <c r="D375" s="253"/>
    </row>
    <row r="376" spans="1:4" x14ac:dyDescent="0.2">
      <c r="A376" s="65">
        <v>38960</v>
      </c>
      <c r="B376" s="253">
        <v>1.1093</v>
      </c>
      <c r="C376" s="34">
        <v>1458079416.6900001</v>
      </c>
      <c r="D376" s="253"/>
    </row>
    <row r="377" spans="1:4" x14ac:dyDescent="0.2">
      <c r="A377" s="65">
        <v>38990</v>
      </c>
      <c r="B377" s="253">
        <v>1.1466000000000001</v>
      </c>
      <c r="C377" s="34">
        <v>1475352373.5</v>
      </c>
      <c r="D377" s="253"/>
    </row>
    <row r="378" spans="1:4" x14ac:dyDescent="0.2">
      <c r="A378" s="65">
        <v>39021</v>
      </c>
      <c r="B378" s="76">
        <v>4.1074000000000002</v>
      </c>
      <c r="C378" s="231">
        <v>1535950830.1600001</v>
      </c>
    </row>
    <row r="379" spans="1:4" x14ac:dyDescent="0.2">
      <c r="A379" s="65">
        <v>39051</v>
      </c>
      <c r="B379" s="76">
        <v>3.1455000000000002</v>
      </c>
      <c r="C379" s="231">
        <v>1584263049.51</v>
      </c>
    </row>
    <row r="380" spans="1:4" x14ac:dyDescent="0.2">
      <c r="A380" s="65">
        <v>39082</v>
      </c>
      <c r="B380" s="76">
        <v>-0.5837</v>
      </c>
      <c r="C380" s="768">
        <v>1575685070.3399999</v>
      </c>
    </row>
    <row r="381" spans="1:4" x14ac:dyDescent="0.2">
      <c r="A381" s="65">
        <v>39113</v>
      </c>
      <c r="B381" s="76">
        <v>3.7654999999999998</v>
      </c>
      <c r="C381" s="768">
        <v>1880397861.78</v>
      </c>
    </row>
    <row r="382" spans="1:4" x14ac:dyDescent="0.2">
      <c r="A382" s="65">
        <v>39141</v>
      </c>
      <c r="B382" s="76">
        <v>0.3619</v>
      </c>
      <c r="C382" s="768">
        <v>1887217446.1500001</v>
      </c>
    </row>
    <row r="383" spans="1:4" x14ac:dyDescent="0.2">
      <c r="A383" s="65">
        <v>39172</v>
      </c>
      <c r="B383" s="76">
        <v>1.2983</v>
      </c>
      <c r="C383" s="768">
        <v>1912447350.6800001</v>
      </c>
    </row>
    <row r="384" spans="1:4" x14ac:dyDescent="0.2">
      <c r="A384" s="65">
        <v>39202</v>
      </c>
      <c r="B384" s="76">
        <v>3.3992</v>
      </c>
      <c r="C384" s="768">
        <v>1977454457.78</v>
      </c>
    </row>
    <row r="385" spans="1:3" x14ac:dyDescent="0.2">
      <c r="A385" s="65">
        <v>39233</v>
      </c>
      <c r="B385" s="76">
        <v>5.2617000000000003</v>
      </c>
      <c r="C385" s="768">
        <v>2081502315.79</v>
      </c>
    </row>
    <row r="386" spans="1:3" x14ac:dyDescent="0.2">
      <c r="A386" s="65">
        <v>39263</v>
      </c>
      <c r="B386" s="76">
        <v>-1.8854</v>
      </c>
      <c r="C386" s="768">
        <v>2043196522.5899999</v>
      </c>
    </row>
    <row r="387" spans="1:3" x14ac:dyDescent="0.2">
      <c r="A387" s="65">
        <v>39294</v>
      </c>
      <c r="B387" s="76">
        <v>-3.6760000000000002</v>
      </c>
      <c r="C387" s="768">
        <v>1968088136.3599999</v>
      </c>
    </row>
    <row r="388" spans="1:3" x14ac:dyDescent="0.2">
      <c r="A388" s="65">
        <v>39325</v>
      </c>
      <c r="B388" s="76">
        <v>0.74109999999999998</v>
      </c>
      <c r="C388" s="231">
        <v>1982674187.3299999</v>
      </c>
    </row>
    <row r="389" spans="1:3" x14ac:dyDescent="0.2">
      <c r="A389" s="65">
        <v>39355</v>
      </c>
      <c r="B389" s="76">
        <v>2.9622000000000002</v>
      </c>
      <c r="C389" s="231">
        <v>2042073933.78</v>
      </c>
    </row>
    <row r="390" spans="1:3" x14ac:dyDescent="0.2">
      <c r="A390" s="65">
        <v>39386</v>
      </c>
      <c r="B390" s="76">
        <v>2.5101</v>
      </c>
      <c r="C390" s="231">
        <v>2093331574.99</v>
      </c>
    </row>
    <row r="391" spans="1:3" x14ac:dyDescent="0.2">
      <c r="A391" s="65">
        <v>39416</v>
      </c>
      <c r="B391" s="76">
        <v>-5.0171999999999999</v>
      </c>
      <c r="C391" s="231">
        <v>1988305852.6500001</v>
      </c>
    </row>
    <row r="392" spans="1:3" x14ac:dyDescent="0.2">
      <c r="A392" s="65">
        <v>39447</v>
      </c>
      <c r="B392" s="76">
        <v>-5.6000000000000001E-2</v>
      </c>
      <c r="C392" s="231">
        <v>1987859265.6099999</v>
      </c>
    </row>
    <row r="393" spans="1:3" x14ac:dyDescent="0.2">
      <c r="A393" s="65">
        <v>39478</v>
      </c>
      <c r="B393" s="76">
        <v>-6.4801000000000002</v>
      </c>
      <c r="C393" s="231">
        <v>1785324584.52</v>
      </c>
    </row>
    <row r="394" spans="1:3" x14ac:dyDescent="0.2">
      <c r="A394" s="65">
        <v>39507</v>
      </c>
      <c r="B394" s="76">
        <v>-2.0493999999999999</v>
      </c>
      <c r="C394" s="231">
        <v>1748736129.22</v>
      </c>
    </row>
    <row r="395" spans="1:3" x14ac:dyDescent="0.2">
      <c r="A395" s="65">
        <v>39538</v>
      </c>
      <c r="B395" s="76">
        <v>-0.96160000000000001</v>
      </c>
      <c r="C395" s="231">
        <v>1732858075.3399999</v>
      </c>
    </row>
    <row r="396" spans="1:3" x14ac:dyDescent="0.2">
      <c r="A396" s="65">
        <v>39568</v>
      </c>
      <c r="B396" s="76">
        <v>7.4610000000000003</v>
      </c>
      <c r="C396" s="231">
        <v>1857993913.8699999</v>
      </c>
    </row>
    <row r="397" spans="1:3" x14ac:dyDescent="0.2">
      <c r="A397" s="65">
        <v>39599</v>
      </c>
      <c r="B397" s="76">
        <v>4.8989000000000003</v>
      </c>
      <c r="C397" s="231">
        <v>1949008340.8199999</v>
      </c>
    </row>
    <row r="398" spans="1:3" x14ac:dyDescent="0.2">
      <c r="A398" s="65">
        <v>39629</v>
      </c>
      <c r="B398" s="76">
        <v>-6.8685</v>
      </c>
      <c r="C398" s="231">
        <v>1815977525.9000001</v>
      </c>
    </row>
    <row r="399" spans="1:3" x14ac:dyDescent="0.2">
      <c r="A399" s="65">
        <v>39660</v>
      </c>
      <c r="B399" s="76">
        <v>-1.9581999999999999</v>
      </c>
      <c r="C399" s="612">
        <v>1780416530.3499999</v>
      </c>
    </row>
    <row r="400" spans="1:3" x14ac:dyDescent="0.2">
      <c r="A400" s="65">
        <v>39691</v>
      </c>
      <c r="B400" s="76">
        <v>1.5778000000000001</v>
      </c>
      <c r="C400" s="612">
        <v>1800754936.23</v>
      </c>
    </row>
    <row r="401" spans="1:3" x14ac:dyDescent="0.2">
      <c r="A401" s="65">
        <v>39721</v>
      </c>
      <c r="B401" s="76">
        <v>-10.5555</v>
      </c>
      <c r="C401" s="612">
        <v>1485244301.8099999</v>
      </c>
    </row>
    <row r="402" spans="1:3" x14ac:dyDescent="0.2">
      <c r="A402" s="65">
        <v>39752</v>
      </c>
      <c r="B402" s="76">
        <v>-20.115500000000001</v>
      </c>
      <c r="C402" s="231">
        <v>1285082529</v>
      </c>
    </row>
    <row r="403" spans="1:3" x14ac:dyDescent="0.2">
      <c r="A403" s="65">
        <v>39782</v>
      </c>
      <c r="B403" s="76">
        <v>-9.1173000000000002</v>
      </c>
      <c r="C403" s="231">
        <v>1308507266</v>
      </c>
    </row>
    <row r="404" spans="1:3" x14ac:dyDescent="0.2">
      <c r="A404" s="65">
        <v>39813</v>
      </c>
      <c r="B404" s="76">
        <v>4.4828999999999999</v>
      </c>
      <c r="C404" s="231">
        <v>1367809314</v>
      </c>
    </row>
    <row r="405" spans="1:3" x14ac:dyDescent="0.2">
      <c r="A405" s="65">
        <v>39844</v>
      </c>
      <c r="B405" s="76">
        <v>-6.18</v>
      </c>
      <c r="C405" s="231"/>
    </row>
    <row r="406" spans="1:3" x14ac:dyDescent="0.2">
      <c r="A406" s="65">
        <v>39872</v>
      </c>
      <c r="B406" s="76">
        <v>-8.75</v>
      </c>
      <c r="C406" s="231"/>
    </row>
    <row r="407" spans="1:3" x14ac:dyDescent="0.2">
      <c r="A407" s="65">
        <v>39903</v>
      </c>
      <c r="B407" s="76">
        <v>8.41</v>
      </c>
      <c r="C407" s="231"/>
    </row>
    <row r="408" spans="1:3" x14ac:dyDescent="0.2">
      <c r="A408" s="65">
        <v>39933</v>
      </c>
      <c r="B408" s="76">
        <v>13.319999999999999</v>
      </c>
      <c r="C408" s="231"/>
    </row>
    <row r="409" spans="1:3" x14ac:dyDescent="0.2">
      <c r="A409" s="65">
        <v>39964</v>
      </c>
      <c r="B409" s="76">
        <v>2.8200000000000003</v>
      </c>
      <c r="C409" s="231"/>
    </row>
    <row r="410" spans="1:3" x14ac:dyDescent="0.2">
      <c r="A410" s="65">
        <v>39994</v>
      </c>
      <c r="B410" s="76">
        <v>0.57000000000000384</v>
      </c>
      <c r="C410" s="231"/>
    </row>
    <row r="411" spans="1:3" x14ac:dyDescent="0.2">
      <c r="A411" s="65">
        <v>40025</v>
      </c>
      <c r="B411" s="76">
        <v>8.2600000000000016</v>
      </c>
      <c r="C411" s="231"/>
    </row>
    <row r="412" spans="1:3" x14ac:dyDescent="0.2">
      <c r="A412" s="65">
        <v>40056</v>
      </c>
      <c r="B412" s="76">
        <v>3.9900000000000047</v>
      </c>
      <c r="C412" s="231"/>
    </row>
    <row r="413" spans="1:3" x14ac:dyDescent="0.2">
      <c r="A413" s="65">
        <v>40086</v>
      </c>
      <c r="B413" s="76">
        <v>5.4499999999999993</v>
      </c>
      <c r="C413" s="231"/>
    </row>
    <row r="414" spans="1:3" x14ac:dyDescent="0.2">
      <c r="A414" s="65">
        <v>40117</v>
      </c>
      <c r="B414" s="76"/>
      <c r="C414" s="231"/>
    </row>
    <row r="415" spans="1:3" x14ac:dyDescent="0.2">
      <c r="A415" s="65">
        <v>40147</v>
      </c>
      <c r="B415" s="76"/>
      <c r="C415" s="231"/>
    </row>
    <row r="416" spans="1:3" x14ac:dyDescent="0.2">
      <c r="A416" s="65">
        <v>40178</v>
      </c>
      <c r="B416" s="76"/>
      <c r="C416" s="231"/>
    </row>
    <row r="417" spans="1:3" x14ac:dyDescent="0.2">
      <c r="A417" s="65">
        <v>40209</v>
      </c>
      <c r="B417" s="76"/>
      <c r="C417" s="231"/>
    </row>
    <row r="418" spans="1:3" x14ac:dyDescent="0.2">
      <c r="A418" s="65">
        <v>40237</v>
      </c>
      <c r="B418" s="76"/>
      <c r="C418" s="231"/>
    </row>
    <row r="419" spans="1:3" x14ac:dyDescent="0.2">
      <c r="A419" s="65">
        <v>40268</v>
      </c>
      <c r="B419" s="76"/>
      <c r="C419" s="231"/>
    </row>
    <row r="420" spans="1:3" x14ac:dyDescent="0.2">
      <c r="A420" s="65">
        <v>40298</v>
      </c>
      <c r="B420" s="76"/>
      <c r="C420" s="231"/>
    </row>
    <row r="421" spans="1:3" x14ac:dyDescent="0.2">
      <c r="A421" s="65">
        <v>40329</v>
      </c>
      <c r="B421" s="76"/>
      <c r="C421" s="231"/>
    </row>
    <row r="422" spans="1:3" x14ac:dyDescent="0.2">
      <c r="A422" s="65">
        <v>40359</v>
      </c>
      <c r="B422" s="76"/>
      <c r="C422" s="231"/>
    </row>
    <row r="423" spans="1:3" x14ac:dyDescent="0.2">
      <c r="A423" s="65">
        <v>40390</v>
      </c>
      <c r="B423" s="76"/>
      <c r="C423" s="231"/>
    </row>
    <row r="424" spans="1:3" x14ac:dyDescent="0.2">
      <c r="A424" s="65">
        <v>40421</v>
      </c>
      <c r="B424" s="76"/>
      <c r="C424" s="231"/>
    </row>
    <row r="425" spans="1:3" x14ac:dyDescent="0.2">
      <c r="A425" s="65">
        <v>40451</v>
      </c>
      <c r="B425" s="76"/>
      <c r="C425" s="231"/>
    </row>
    <row r="426" spans="1:3" x14ac:dyDescent="0.2">
      <c r="A426" s="65">
        <v>40482</v>
      </c>
      <c r="B426" s="76"/>
      <c r="C426" s="231"/>
    </row>
    <row r="427" spans="1:3" x14ac:dyDescent="0.2">
      <c r="A427" s="65">
        <v>40512</v>
      </c>
      <c r="B427" s="76"/>
      <c r="C427" s="231"/>
    </row>
    <row r="428" spans="1:3" x14ac:dyDescent="0.2">
      <c r="A428" s="65">
        <v>40543</v>
      </c>
      <c r="B428" s="76"/>
      <c r="C428" s="231"/>
    </row>
    <row r="429" spans="1:3" x14ac:dyDescent="0.2">
      <c r="B429" s="76"/>
      <c r="C429" s="231"/>
    </row>
    <row r="430" spans="1:3" x14ac:dyDescent="0.2">
      <c r="A430" s="68"/>
      <c r="B430" s="71"/>
      <c r="C430" s="226"/>
    </row>
  </sheetData>
  <phoneticPr fontId="3" type="noConversion"/>
  <pageMargins left="0.75" right="0.75" top="1" bottom="1" header="0.5" footer="0.5"/>
  <headerFooter alignWithMargins="0"/>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H428"/>
  <sheetViews>
    <sheetView workbookViewId="0">
      <pane ySplit="2" topLeftCell="A384" activePane="bottomLeft" state="frozen"/>
      <selection activeCell="B410" sqref="B410"/>
      <selection pane="bottomLeft" activeCell="D411" sqref="D411:F411"/>
    </sheetView>
  </sheetViews>
  <sheetFormatPr defaultRowHeight="12.75" x14ac:dyDescent="0.2"/>
  <cols>
    <col min="1" max="1" width="18.7109375" customWidth="1"/>
    <col min="2" max="2" width="18.7109375" style="14" customWidth="1"/>
    <col min="3" max="3" width="18.7109375" style="8" customWidth="1"/>
    <col min="8" max="8" width="9.140625" style="352"/>
  </cols>
  <sheetData>
    <row r="1" spans="1:3" x14ac:dyDescent="0.2">
      <c r="A1" s="223" t="s">
        <v>244</v>
      </c>
      <c r="B1" s="321" t="s">
        <v>442</v>
      </c>
      <c r="C1" s="323"/>
    </row>
    <row r="2" spans="1:3" x14ac:dyDescent="0.2">
      <c r="A2" s="3" t="s">
        <v>27</v>
      </c>
      <c r="B2" s="71" t="s">
        <v>91</v>
      </c>
      <c r="C2" s="3" t="s">
        <v>92</v>
      </c>
    </row>
    <row r="3" spans="1:3" x14ac:dyDescent="0.2">
      <c r="A3" s="65">
        <v>27606</v>
      </c>
      <c r="B3" s="76"/>
      <c r="C3" s="231"/>
    </row>
    <row r="4" spans="1:3" x14ac:dyDescent="0.2">
      <c r="A4" s="65">
        <v>27637</v>
      </c>
      <c r="B4" s="76"/>
      <c r="C4" s="231"/>
    </row>
    <row r="5" spans="1:3" x14ac:dyDescent="0.2">
      <c r="A5" s="65">
        <v>27667</v>
      </c>
      <c r="B5" s="76"/>
      <c r="C5" s="231"/>
    </row>
    <row r="6" spans="1:3" x14ac:dyDescent="0.2">
      <c r="A6" s="65">
        <v>27698</v>
      </c>
      <c r="B6" s="71"/>
      <c r="C6" s="226"/>
    </row>
    <row r="7" spans="1:3" x14ac:dyDescent="0.2">
      <c r="A7" s="65">
        <v>27728</v>
      </c>
    </row>
    <row r="8" spans="1:3" x14ac:dyDescent="0.2">
      <c r="A8" s="65">
        <v>27759</v>
      </c>
    </row>
    <row r="9" spans="1:3" x14ac:dyDescent="0.2">
      <c r="A9" s="65">
        <v>27790</v>
      </c>
    </row>
    <row r="10" spans="1:3" x14ac:dyDescent="0.2">
      <c r="A10" s="65">
        <v>27819</v>
      </c>
    </row>
    <row r="11" spans="1:3" x14ac:dyDescent="0.2">
      <c r="A11" s="65">
        <v>27850</v>
      </c>
    </row>
    <row r="12" spans="1:3" x14ac:dyDescent="0.2">
      <c r="A12" s="65">
        <v>27880</v>
      </c>
    </row>
    <row r="13" spans="1:3" x14ac:dyDescent="0.2">
      <c r="A13" s="65">
        <v>27911</v>
      </c>
    </row>
    <row r="14" spans="1:3" x14ac:dyDescent="0.2">
      <c r="A14" s="65">
        <v>27941</v>
      </c>
    </row>
    <row r="15" spans="1:3" x14ac:dyDescent="0.2">
      <c r="A15" s="65">
        <v>27972</v>
      </c>
    </row>
    <row r="16" spans="1:3" x14ac:dyDescent="0.2">
      <c r="A16" s="65">
        <v>28003</v>
      </c>
    </row>
    <row r="17" spans="1:1" x14ac:dyDescent="0.2">
      <c r="A17" s="65">
        <v>28033</v>
      </c>
    </row>
    <row r="18" spans="1:1" x14ac:dyDescent="0.2">
      <c r="A18" s="65">
        <v>28064</v>
      </c>
    </row>
    <row r="19" spans="1:1" x14ac:dyDescent="0.2">
      <c r="A19" s="65">
        <v>28094</v>
      </c>
    </row>
    <row r="20" spans="1:1" x14ac:dyDescent="0.2">
      <c r="A20" s="65">
        <v>28125</v>
      </c>
    </row>
    <row r="21" spans="1:1" x14ac:dyDescent="0.2">
      <c r="A21" s="65">
        <v>28156</v>
      </c>
    </row>
    <row r="22" spans="1:1" x14ac:dyDescent="0.2">
      <c r="A22" s="65">
        <v>28184</v>
      </c>
    </row>
    <row r="23" spans="1:1" x14ac:dyDescent="0.2">
      <c r="A23" s="65">
        <v>28215</v>
      </c>
    </row>
    <row r="24" spans="1:1" x14ac:dyDescent="0.2">
      <c r="A24" s="65">
        <v>28245</v>
      </c>
    </row>
    <row r="25" spans="1:1" x14ac:dyDescent="0.2">
      <c r="A25" s="65">
        <v>28276</v>
      </c>
    </row>
    <row r="26" spans="1:1" x14ac:dyDescent="0.2">
      <c r="A26" s="65">
        <v>28306</v>
      </c>
    </row>
    <row r="27" spans="1:1" x14ac:dyDescent="0.2">
      <c r="A27" s="65">
        <v>28337</v>
      </c>
    </row>
    <row r="28" spans="1:1" x14ac:dyDescent="0.2">
      <c r="A28" s="65">
        <v>28368</v>
      </c>
    </row>
    <row r="29" spans="1:1" x14ac:dyDescent="0.2">
      <c r="A29" s="65">
        <v>28398</v>
      </c>
    </row>
    <row r="30" spans="1:1" x14ac:dyDescent="0.2">
      <c r="A30" s="65">
        <v>28429</v>
      </c>
    </row>
    <row r="31" spans="1:1" x14ac:dyDescent="0.2">
      <c r="A31" s="65">
        <v>28459</v>
      </c>
    </row>
    <row r="32" spans="1:1" x14ac:dyDescent="0.2">
      <c r="A32" s="65">
        <v>28490</v>
      </c>
    </row>
    <row r="33" spans="1:1" x14ac:dyDescent="0.2">
      <c r="A33" s="65">
        <v>28521</v>
      </c>
    </row>
    <row r="34" spans="1:1" x14ac:dyDescent="0.2">
      <c r="A34" s="65">
        <v>28549</v>
      </c>
    </row>
    <row r="35" spans="1:1" x14ac:dyDescent="0.2">
      <c r="A35" s="65">
        <v>28580</v>
      </c>
    </row>
    <row r="36" spans="1:1" x14ac:dyDescent="0.2">
      <c r="A36" s="65">
        <v>28610</v>
      </c>
    </row>
    <row r="37" spans="1:1" x14ac:dyDescent="0.2">
      <c r="A37" s="65">
        <v>28641</v>
      </c>
    </row>
    <row r="38" spans="1:1" x14ac:dyDescent="0.2">
      <c r="A38" s="65">
        <v>28671</v>
      </c>
    </row>
    <row r="39" spans="1:1" x14ac:dyDescent="0.2">
      <c r="A39" s="65">
        <v>28702</v>
      </c>
    </row>
    <row r="40" spans="1:1" x14ac:dyDescent="0.2">
      <c r="A40" s="65">
        <v>28733</v>
      </c>
    </row>
    <row r="41" spans="1:1" x14ac:dyDescent="0.2">
      <c r="A41" s="65">
        <v>28763</v>
      </c>
    </row>
    <row r="42" spans="1:1" x14ac:dyDescent="0.2">
      <c r="A42" s="65">
        <v>28794</v>
      </c>
    </row>
    <row r="43" spans="1:1" x14ac:dyDescent="0.2">
      <c r="A43" s="65">
        <v>28824</v>
      </c>
    </row>
    <row r="44" spans="1:1" x14ac:dyDescent="0.2">
      <c r="A44" s="65">
        <v>28855</v>
      </c>
    </row>
    <row r="45" spans="1:1" x14ac:dyDescent="0.2">
      <c r="A45" s="65">
        <v>28886</v>
      </c>
    </row>
    <row r="46" spans="1:1" x14ac:dyDescent="0.2">
      <c r="A46" s="65">
        <v>28914</v>
      </c>
    </row>
    <row r="47" spans="1:1" x14ac:dyDescent="0.2">
      <c r="A47" s="65">
        <v>28945</v>
      </c>
    </row>
    <row r="48" spans="1:1" x14ac:dyDescent="0.2">
      <c r="A48" s="65">
        <v>28975</v>
      </c>
    </row>
    <row r="49" spans="1:1" x14ac:dyDescent="0.2">
      <c r="A49" s="65">
        <v>29006</v>
      </c>
    </row>
    <row r="50" spans="1:1" x14ac:dyDescent="0.2">
      <c r="A50" s="65">
        <v>29036</v>
      </c>
    </row>
    <row r="51" spans="1:1" x14ac:dyDescent="0.2">
      <c r="A51" s="65">
        <v>29067</v>
      </c>
    </row>
    <row r="52" spans="1:1" x14ac:dyDescent="0.2">
      <c r="A52" s="65">
        <v>29098</v>
      </c>
    </row>
    <row r="53" spans="1:1" x14ac:dyDescent="0.2">
      <c r="A53" s="65">
        <v>29128</v>
      </c>
    </row>
    <row r="54" spans="1:1" x14ac:dyDescent="0.2">
      <c r="A54" s="65">
        <v>29159</v>
      </c>
    </row>
    <row r="55" spans="1:1" x14ac:dyDescent="0.2">
      <c r="A55" s="65">
        <v>29189</v>
      </c>
    </row>
    <row r="56" spans="1:1" x14ac:dyDescent="0.2">
      <c r="A56" s="65">
        <v>29220</v>
      </c>
    </row>
    <row r="57" spans="1:1" x14ac:dyDescent="0.2">
      <c r="A57" s="65">
        <v>29251</v>
      </c>
    </row>
    <row r="58" spans="1:1" x14ac:dyDescent="0.2">
      <c r="A58" s="65">
        <v>29280</v>
      </c>
    </row>
    <row r="59" spans="1:1" x14ac:dyDescent="0.2">
      <c r="A59" s="65">
        <v>29311</v>
      </c>
    </row>
    <row r="60" spans="1:1" x14ac:dyDescent="0.2">
      <c r="A60" s="65">
        <v>29341</v>
      </c>
    </row>
    <row r="61" spans="1:1" x14ac:dyDescent="0.2">
      <c r="A61" s="65">
        <v>29372</v>
      </c>
    </row>
    <row r="62" spans="1:1" x14ac:dyDescent="0.2">
      <c r="A62" s="65">
        <v>29402</v>
      </c>
    </row>
    <row r="63" spans="1:1" x14ac:dyDescent="0.2">
      <c r="A63" s="65">
        <v>29433</v>
      </c>
    </row>
    <row r="64" spans="1:1" x14ac:dyDescent="0.2">
      <c r="A64" s="65">
        <v>29464</v>
      </c>
    </row>
    <row r="65" spans="1:1" x14ac:dyDescent="0.2">
      <c r="A65" s="65">
        <v>29494</v>
      </c>
    </row>
    <row r="66" spans="1:1" x14ac:dyDescent="0.2">
      <c r="A66" s="65">
        <v>29525</v>
      </c>
    </row>
    <row r="67" spans="1:1" x14ac:dyDescent="0.2">
      <c r="A67" s="65">
        <v>29555</v>
      </c>
    </row>
    <row r="68" spans="1:1" x14ac:dyDescent="0.2">
      <c r="A68" s="65">
        <v>29586</v>
      </c>
    </row>
    <row r="69" spans="1:1" x14ac:dyDescent="0.2">
      <c r="A69" s="65">
        <v>29617</v>
      </c>
    </row>
    <row r="70" spans="1:1" x14ac:dyDescent="0.2">
      <c r="A70" s="65">
        <v>29645</v>
      </c>
    </row>
    <row r="71" spans="1:1" x14ac:dyDescent="0.2">
      <c r="A71" s="65">
        <v>29676</v>
      </c>
    </row>
    <row r="72" spans="1:1" x14ac:dyDescent="0.2">
      <c r="A72" s="65">
        <v>29706</v>
      </c>
    </row>
    <row r="73" spans="1:1" x14ac:dyDescent="0.2">
      <c r="A73" s="65">
        <v>29737</v>
      </c>
    </row>
    <row r="74" spans="1:1" x14ac:dyDescent="0.2">
      <c r="A74" s="65">
        <v>29767</v>
      </c>
    </row>
    <row r="75" spans="1:1" x14ac:dyDescent="0.2">
      <c r="A75" s="65">
        <v>29798</v>
      </c>
    </row>
    <row r="76" spans="1:1" x14ac:dyDescent="0.2">
      <c r="A76" s="65">
        <v>29829</v>
      </c>
    </row>
    <row r="77" spans="1:1" x14ac:dyDescent="0.2">
      <c r="A77" s="65">
        <v>29859</v>
      </c>
    </row>
    <row r="78" spans="1:1" x14ac:dyDescent="0.2">
      <c r="A78" s="65">
        <v>29890</v>
      </c>
    </row>
    <row r="79" spans="1:1" x14ac:dyDescent="0.2">
      <c r="A79" s="65">
        <v>29920</v>
      </c>
    </row>
    <row r="80" spans="1:1" x14ac:dyDescent="0.2">
      <c r="A80" s="65">
        <v>29951</v>
      </c>
    </row>
    <row r="81" spans="1:1" x14ac:dyDescent="0.2">
      <c r="A81" s="65">
        <v>29982</v>
      </c>
    </row>
    <row r="82" spans="1:1" x14ac:dyDescent="0.2">
      <c r="A82" s="65">
        <v>30010</v>
      </c>
    </row>
    <row r="83" spans="1:1" x14ac:dyDescent="0.2">
      <c r="A83" s="65">
        <v>30041</v>
      </c>
    </row>
    <row r="84" spans="1:1" x14ac:dyDescent="0.2">
      <c r="A84" s="65">
        <v>30071</v>
      </c>
    </row>
    <row r="85" spans="1:1" x14ac:dyDescent="0.2">
      <c r="A85" s="65">
        <v>30102</v>
      </c>
    </row>
    <row r="86" spans="1:1" x14ac:dyDescent="0.2">
      <c r="A86" s="65">
        <v>30132</v>
      </c>
    </row>
    <row r="87" spans="1:1" x14ac:dyDescent="0.2">
      <c r="A87" s="65">
        <v>30163</v>
      </c>
    </row>
    <row r="88" spans="1:1" x14ac:dyDescent="0.2">
      <c r="A88" s="65">
        <v>30194</v>
      </c>
    </row>
    <row r="89" spans="1:1" x14ac:dyDescent="0.2">
      <c r="A89" s="65">
        <v>30224</v>
      </c>
    </row>
    <row r="90" spans="1:1" x14ac:dyDescent="0.2">
      <c r="A90" s="65">
        <v>30255</v>
      </c>
    </row>
    <row r="91" spans="1:1" x14ac:dyDescent="0.2">
      <c r="A91" s="65">
        <v>30285</v>
      </c>
    </row>
    <row r="92" spans="1:1" x14ac:dyDescent="0.2">
      <c r="A92" s="65">
        <v>30316</v>
      </c>
    </row>
    <row r="93" spans="1:1" x14ac:dyDescent="0.2">
      <c r="A93" s="65">
        <v>30347</v>
      </c>
    </row>
    <row r="94" spans="1:1" x14ac:dyDescent="0.2">
      <c r="A94" s="65">
        <v>30375</v>
      </c>
    </row>
    <row r="95" spans="1:1" x14ac:dyDescent="0.2">
      <c r="A95" s="65">
        <v>30406</v>
      </c>
    </row>
    <row r="96" spans="1:1" x14ac:dyDescent="0.2">
      <c r="A96" s="65">
        <v>30436</v>
      </c>
    </row>
    <row r="97" spans="1:1" x14ac:dyDescent="0.2">
      <c r="A97" s="65">
        <v>30467</v>
      </c>
    </row>
    <row r="98" spans="1:1" x14ac:dyDescent="0.2">
      <c r="A98" s="65">
        <v>30497</v>
      </c>
    </row>
    <row r="99" spans="1:1" x14ac:dyDescent="0.2">
      <c r="A99" s="65">
        <v>30528</v>
      </c>
    </row>
    <row r="100" spans="1:1" x14ac:dyDescent="0.2">
      <c r="A100" s="65">
        <v>30559</v>
      </c>
    </row>
    <row r="101" spans="1:1" x14ac:dyDescent="0.2">
      <c r="A101" s="65">
        <v>30589</v>
      </c>
    </row>
    <row r="102" spans="1:1" x14ac:dyDescent="0.2">
      <c r="A102" s="65">
        <v>30620</v>
      </c>
    </row>
    <row r="103" spans="1:1" x14ac:dyDescent="0.2">
      <c r="A103" s="65">
        <v>30650</v>
      </c>
    </row>
    <row r="104" spans="1:1" x14ac:dyDescent="0.2">
      <c r="A104" s="65">
        <v>30681</v>
      </c>
    </row>
    <row r="105" spans="1:1" x14ac:dyDescent="0.2">
      <c r="A105" s="65">
        <v>30712</v>
      </c>
    </row>
    <row r="106" spans="1:1" x14ac:dyDescent="0.2">
      <c r="A106" s="65">
        <v>30741</v>
      </c>
    </row>
    <row r="107" spans="1:1" x14ac:dyDescent="0.2">
      <c r="A107" s="65">
        <v>30772</v>
      </c>
    </row>
    <row r="108" spans="1:1" x14ac:dyDescent="0.2">
      <c r="A108" s="65">
        <v>30802</v>
      </c>
    </row>
    <row r="109" spans="1:1" x14ac:dyDescent="0.2">
      <c r="A109" s="65">
        <v>30833</v>
      </c>
    </row>
    <row r="110" spans="1:1" x14ac:dyDescent="0.2">
      <c r="A110" s="65">
        <v>30863</v>
      </c>
    </row>
    <row r="111" spans="1:1" x14ac:dyDescent="0.2">
      <c r="A111" s="65">
        <v>30894</v>
      </c>
    </row>
    <row r="112" spans="1:1" x14ac:dyDescent="0.2">
      <c r="A112" s="65">
        <v>30925</v>
      </c>
    </row>
    <row r="113" spans="1:1" x14ac:dyDescent="0.2">
      <c r="A113" s="65">
        <v>30955</v>
      </c>
    </row>
    <row r="114" spans="1:1" x14ac:dyDescent="0.2">
      <c r="A114" s="65">
        <v>30986</v>
      </c>
    </row>
    <row r="115" spans="1:1" x14ac:dyDescent="0.2">
      <c r="A115" s="65">
        <v>31016</v>
      </c>
    </row>
    <row r="116" spans="1:1" x14ac:dyDescent="0.2">
      <c r="A116" s="65">
        <v>31047</v>
      </c>
    </row>
    <row r="117" spans="1:1" x14ac:dyDescent="0.2">
      <c r="A117" s="65">
        <v>31078</v>
      </c>
    </row>
    <row r="118" spans="1:1" x14ac:dyDescent="0.2">
      <c r="A118" s="65">
        <v>31106</v>
      </c>
    </row>
    <row r="119" spans="1:1" x14ac:dyDescent="0.2">
      <c r="A119" s="65">
        <v>31137</v>
      </c>
    </row>
    <row r="120" spans="1:1" x14ac:dyDescent="0.2">
      <c r="A120" s="65">
        <v>31167</v>
      </c>
    </row>
    <row r="121" spans="1:1" x14ac:dyDescent="0.2">
      <c r="A121" s="65">
        <v>31198</v>
      </c>
    </row>
    <row r="122" spans="1:1" x14ac:dyDescent="0.2">
      <c r="A122" s="65">
        <v>31228</v>
      </c>
    </row>
    <row r="123" spans="1:1" x14ac:dyDescent="0.2">
      <c r="A123" s="65">
        <v>31259</v>
      </c>
    </row>
    <row r="124" spans="1:1" x14ac:dyDescent="0.2">
      <c r="A124" s="65">
        <v>31290</v>
      </c>
    </row>
    <row r="125" spans="1:1" x14ac:dyDescent="0.2">
      <c r="A125" s="65">
        <v>31320</v>
      </c>
    </row>
    <row r="126" spans="1:1" x14ac:dyDescent="0.2">
      <c r="A126" s="65">
        <v>31351</v>
      </c>
    </row>
    <row r="127" spans="1:1" x14ac:dyDescent="0.2">
      <c r="A127" s="65">
        <v>31381</v>
      </c>
    </row>
    <row r="128" spans="1:1" x14ac:dyDescent="0.2">
      <c r="A128" s="65">
        <v>31412</v>
      </c>
    </row>
    <row r="129" spans="1:1" x14ac:dyDescent="0.2">
      <c r="A129" s="65">
        <v>31443</v>
      </c>
    </row>
    <row r="130" spans="1:1" x14ac:dyDescent="0.2">
      <c r="A130" s="65">
        <v>31471</v>
      </c>
    </row>
    <row r="131" spans="1:1" x14ac:dyDescent="0.2">
      <c r="A131" s="65">
        <v>31502</v>
      </c>
    </row>
    <row r="132" spans="1:1" x14ac:dyDescent="0.2">
      <c r="A132" s="65">
        <v>31532</v>
      </c>
    </row>
    <row r="133" spans="1:1" x14ac:dyDescent="0.2">
      <c r="A133" s="65">
        <v>31563</v>
      </c>
    </row>
    <row r="134" spans="1:1" x14ac:dyDescent="0.2">
      <c r="A134" s="65">
        <v>31593</v>
      </c>
    </row>
    <row r="135" spans="1:1" x14ac:dyDescent="0.2">
      <c r="A135" s="65">
        <v>31624</v>
      </c>
    </row>
    <row r="136" spans="1:1" x14ac:dyDescent="0.2">
      <c r="A136" s="65">
        <v>31655</v>
      </c>
    </row>
    <row r="137" spans="1:1" x14ac:dyDescent="0.2">
      <c r="A137" s="65">
        <v>31685</v>
      </c>
    </row>
    <row r="138" spans="1:1" x14ac:dyDescent="0.2">
      <c r="A138" s="65">
        <v>31716</v>
      </c>
    </row>
    <row r="139" spans="1:1" x14ac:dyDescent="0.2">
      <c r="A139" s="65">
        <v>31746</v>
      </c>
    </row>
    <row r="140" spans="1:1" x14ac:dyDescent="0.2">
      <c r="A140" s="65">
        <v>31777</v>
      </c>
    </row>
    <row r="141" spans="1:1" x14ac:dyDescent="0.2">
      <c r="A141" s="65">
        <v>31808</v>
      </c>
    </row>
    <row r="142" spans="1:1" x14ac:dyDescent="0.2">
      <c r="A142" s="65">
        <v>31836</v>
      </c>
    </row>
    <row r="143" spans="1:1" x14ac:dyDescent="0.2">
      <c r="A143" s="65">
        <v>31867</v>
      </c>
    </row>
    <row r="144" spans="1:1" x14ac:dyDescent="0.2">
      <c r="A144" s="65">
        <v>31897</v>
      </c>
    </row>
    <row r="145" spans="1:1" x14ac:dyDescent="0.2">
      <c r="A145" s="65">
        <v>31928</v>
      </c>
    </row>
    <row r="146" spans="1:1" x14ac:dyDescent="0.2">
      <c r="A146" s="65">
        <v>31958</v>
      </c>
    </row>
    <row r="147" spans="1:1" x14ac:dyDescent="0.2">
      <c r="A147" s="65">
        <v>31989</v>
      </c>
    </row>
    <row r="148" spans="1:1" x14ac:dyDescent="0.2">
      <c r="A148" s="65">
        <v>32020</v>
      </c>
    </row>
    <row r="149" spans="1:1" x14ac:dyDescent="0.2">
      <c r="A149" s="65">
        <v>32050</v>
      </c>
    </row>
    <row r="150" spans="1:1" x14ac:dyDescent="0.2">
      <c r="A150" s="65">
        <v>32081</v>
      </c>
    </row>
    <row r="151" spans="1:1" x14ac:dyDescent="0.2">
      <c r="A151" s="65">
        <v>32111</v>
      </c>
    </row>
    <row r="152" spans="1:1" x14ac:dyDescent="0.2">
      <c r="A152" s="65">
        <v>32142</v>
      </c>
    </row>
    <row r="153" spans="1:1" x14ac:dyDescent="0.2">
      <c r="A153" s="65">
        <v>32173</v>
      </c>
    </row>
    <row r="154" spans="1:1" x14ac:dyDescent="0.2">
      <c r="A154" s="65">
        <v>32202</v>
      </c>
    </row>
    <row r="155" spans="1:1" x14ac:dyDescent="0.2">
      <c r="A155" s="65">
        <v>32233</v>
      </c>
    </row>
    <row r="156" spans="1:1" x14ac:dyDescent="0.2">
      <c r="A156" s="65">
        <v>32263</v>
      </c>
    </row>
    <row r="157" spans="1:1" x14ac:dyDescent="0.2">
      <c r="A157" s="65">
        <v>32294</v>
      </c>
    </row>
    <row r="158" spans="1:1" x14ac:dyDescent="0.2">
      <c r="A158" s="65">
        <v>32324</v>
      </c>
    </row>
    <row r="159" spans="1:1" x14ac:dyDescent="0.2">
      <c r="A159" s="65">
        <v>32355</v>
      </c>
    </row>
    <row r="160" spans="1:1" x14ac:dyDescent="0.2">
      <c r="A160" s="65">
        <v>32386</v>
      </c>
    </row>
    <row r="161" spans="1:1" x14ac:dyDescent="0.2">
      <c r="A161" s="65">
        <v>32416</v>
      </c>
    </row>
    <row r="162" spans="1:1" x14ac:dyDescent="0.2">
      <c r="A162" s="65">
        <v>32447</v>
      </c>
    </row>
    <row r="163" spans="1:1" x14ac:dyDescent="0.2">
      <c r="A163" s="65">
        <v>32477</v>
      </c>
    </row>
    <row r="164" spans="1:1" x14ac:dyDescent="0.2">
      <c r="A164" s="65">
        <v>32508</v>
      </c>
    </row>
    <row r="165" spans="1:1" x14ac:dyDescent="0.2">
      <c r="A165" s="65">
        <v>32539</v>
      </c>
    </row>
    <row r="166" spans="1:1" x14ac:dyDescent="0.2">
      <c r="A166" s="65">
        <v>32567</v>
      </c>
    </row>
    <row r="167" spans="1:1" x14ac:dyDescent="0.2">
      <c r="A167" s="65">
        <v>32598</v>
      </c>
    </row>
    <row r="168" spans="1:1" x14ac:dyDescent="0.2">
      <c r="A168" s="65">
        <v>32628</v>
      </c>
    </row>
    <row r="169" spans="1:1" x14ac:dyDescent="0.2">
      <c r="A169" s="65">
        <v>32659</v>
      </c>
    </row>
    <row r="170" spans="1:1" x14ac:dyDescent="0.2">
      <c r="A170" s="65">
        <v>32689</v>
      </c>
    </row>
    <row r="171" spans="1:1" x14ac:dyDescent="0.2">
      <c r="A171" s="65">
        <v>32720</v>
      </c>
    </row>
    <row r="172" spans="1:1" x14ac:dyDescent="0.2">
      <c r="A172" s="65">
        <v>32751</v>
      </c>
    </row>
    <row r="173" spans="1:1" x14ac:dyDescent="0.2">
      <c r="A173" s="65">
        <v>32781</v>
      </c>
    </row>
    <row r="174" spans="1:1" x14ac:dyDescent="0.2">
      <c r="A174" s="65">
        <v>32812</v>
      </c>
    </row>
    <row r="175" spans="1:1" x14ac:dyDescent="0.2">
      <c r="A175" s="65">
        <v>32842</v>
      </c>
    </row>
    <row r="176" spans="1:1" x14ac:dyDescent="0.2">
      <c r="A176" s="65">
        <v>32873</v>
      </c>
    </row>
    <row r="177" spans="1:1" x14ac:dyDescent="0.2">
      <c r="A177" s="65">
        <v>32904</v>
      </c>
    </row>
    <row r="178" spans="1:1" x14ac:dyDescent="0.2">
      <c r="A178" s="65">
        <v>32932</v>
      </c>
    </row>
    <row r="179" spans="1:1" x14ac:dyDescent="0.2">
      <c r="A179" s="65">
        <v>32963</v>
      </c>
    </row>
    <row r="180" spans="1:1" x14ac:dyDescent="0.2">
      <c r="A180" s="65">
        <v>32993</v>
      </c>
    </row>
    <row r="181" spans="1:1" x14ac:dyDescent="0.2">
      <c r="A181" s="65">
        <v>33024</v>
      </c>
    </row>
    <row r="182" spans="1:1" x14ac:dyDescent="0.2">
      <c r="A182" s="65">
        <v>33054</v>
      </c>
    </row>
    <row r="183" spans="1:1" x14ac:dyDescent="0.2">
      <c r="A183" s="65">
        <v>33085</v>
      </c>
    </row>
    <row r="184" spans="1:1" x14ac:dyDescent="0.2">
      <c r="A184" s="65">
        <v>33116</v>
      </c>
    </row>
    <row r="185" spans="1:1" x14ac:dyDescent="0.2">
      <c r="A185" s="65">
        <v>33146</v>
      </c>
    </row>
    <row r="186" spans="1:1" x14ac:dyDescent="0.2">
      <c r="A186" s="65">
        <v>33177</v>
      </c>
    </row>
    <row r="187" spans="1:1" x14ac:dyDescent="0.2">
      <c r="A187" s="65">
        <v>33207</v>
      </c>
    </row>
    <row r="188" spans="1:1" x14ac:dyDescent="0.2">
      <c r="A188" s="65">
        <v>33238</v>
      </c>
    </row>
    <row r="189" spans="1:1" x14ac:dyDescent="0.2">
      <c r="A189" s="65">
        <v>33269</v>
      </c>
    </row>
    <row r="190" spans="1:1" x14ac:dyDescent="0.2">
      <c r="A190" s="65">
        <v>33297</v>
      </c>
    </row>
    <row r="191" spans="1:1" x14ac:dyDescent="0.2">
      <c r="A191" s="65">
        <v>33328</v>
      </c>
    </row>
    <row r="192" spans="1:1" x14ac:dyDescent="0.2">
      <c r="A192" s="65">
        <v>33358</v>
      </c>
    </row>
    <row r="193" spans="1:1" x14ac:dyDescent="0.2">
      <c r="A193" s="65">
        <v>33389</v>
      </c>
    </row>
    <row r="194" spans="1:1" x14ac:dyDescent="0.2">
      <c r="A194" s="65">
        <v>33419</v>
      </c>
    </row>
    <row r="195" spans="1:1" x14ac:dyDescent="0.2">
      <c r="A195" s="65">
        <v>33450</v>
      </c>
    </row>
    <row r="196" spans="1:1" x14ac:dyDescent="0.2">
      <c r="A196" s="65">
        <v>33481</v>
      </c>
    </row>
    <row r="197" spans="1:1" x14ac:dyDescent="0.2">
      <c r="A197" s="65">
        <v>33511</v>
      </c>
    </row>
    <row r="198" spans="1:1" x14ac:dyDescent="0.2">
      <c r="A198" s="65">
        <v>33542</v>
      </c>
    </row>
    <row r="199" spans="1:1" x14ac:dyDescent="0.2">
      <c r="A199" s="65">
        <v>33572</v>
      </c>
    </row>
    <row r="200" spans="1:1" x14ac:dyDescent="0.2">
      <c r="A200" s="65">
        <v>33603</v>
      </c>
    </row>
    <row r="201" spans="1:1" x14ac:dyDescent="0.2">
      <c r="A201" s="65">
        <v>33634</v>
      </c>
    </row>
    <row r="202" spans="1:1" x14ac:dyDescent="0.2">
      <c r="A202" s="65">
        <v>33663</v>
      </c>
    </row>
    <row r="203" spans="1:1" x14ac:dyDescent="0.2">
      <c r="A203" s="65">
        <v>33694</v>
      </c>
    </row>
    <row r="204" spans="1:1" x14ac:dyDescent="0.2">
      <c r="A204" s="65">
        <v>33724</v>
      </c>
    </row>
    <row r="205" spans="1:1" x14ac:dyDescent="0.2">
      <c r="A205" s="65">
        <v>33755</v>
      </c>
    </row>
    <row r="206" spans="1:1" x14ac:dyDescent="0.2">
      <c r="A206" s="65">
        <v>33785</v>
      </c>
    </row>
    <row r="207" spans="1:1" x14ac:dyDescent="0.2">
      <c r="A207" s="65">
        <v>33816</v>
      </c>
    </row>
    <row r="208" spans="1:1" x14ac:dyDescent="0.2">
      <c r="A208" s="65">
        <v>33847</v>
      </c>
    </row>
    <row r="209" spans="1:1" x14ac:dyDescent="0.2">
      <c r="A209" s="65">
        <v>33877</v>
      </c>
    </row>
    <row r="210" spans="1:1" x14ac:dyDescent="0.2">
      <c r="A210" s="65">
        <v>33908</v>
      </c>
    </row>
    <row r="211" spans="1:1" x14ac:dyDescent="0.2">
      <c r="A211" s="65">
        <v>33938</v>
      </c>
    </row>
    <row r="212" spans="1:1" x14ac:dyDescent="0.2">
      <c r="A212" s="65">
        <v>33969</v>
      </c>
    </row>
    <row r="213" spans="1:1" x14ac:dyDescent="0.2">
      <c r="A213" s="65">
        <v>34000</v>
      </c>
    </row>
    <row r="214" spans="1:1" x14ac:dyDescent="0.2">
      <c r="A214" s="65">
        <v>34028</v>
      </c>
    </row>
    <row r="215" spans="1:1" x14ac:dyDescent="0.2">
      <c r="A215" s="65">
        <v>34059</v>
      </c>
    </row>
    <row r="216" spans="1:1" x14ac:dyDescent="0.2">
      <c r="A216" s="65">
        <v>34089</v>
      </c>
    </row>
    <row r="217" spans="1:1" x14ac:dyDescent="0.2">
      <c r="A217" s="65">
        <v>34120</v>
      </c>
    </row>
    <row r="218" spans="1:1" x14ac:dyDescent="0.2">
      <c r="A218" s="65">
        <v>34150</v>
      </c>
    </row>
    <row r="219" spans="1:1" x14ac:dyDescent="0.2">
      <c r="A219" s="65">
        <v>34181</v>
      </c>
    </row>
    <row r="220" spans="1:1" x14ac:dyDescent="0.2">
      <c r="A220" s="65">
        <v>34212</v>
      </c>
    </row>
    <row r="221" spans="1:1" x14ac:dyDescent="0.2">
      <c r="A221" s="65">
        <v>34242</v>
      </c>
    </row>
    <row r="222" spans="1:1" x14ac:dyDescent="0.2">
      <c r="A222" s="65">
        <v>34273</v>
      </c>
    </row>
    <row r="223" spans="1:1" x14ac:dyDescent="0.2">
      <c r="A223" s="65">
        <v>34303</v>
      </c>
    </row>
    <row r="224" spans="1:1" x14ac:dyDescent="0.2">
      <c r="A224" s="65">
        <v>34334</v>
      </c>
    </row>
    <row r="225" spans="1:1" x14ac:dyDescent="0.2">
      <c r="A225" s="65">
        <v>34365</v>
      </c>
    </row>
    <row r="226" spans="1:1" x14ac:dyDescent="0.2">
      <c r="A226" s="65">
        <v>34393</v>
      </c>
    </row>
    <row r="227" spans="1:1" x14ac:dyDescent="0.2">
      <c r="A227" s="65">
        <v>34424</v>
      </c>
    </row>
    <row r="228" spans="1:1" x14ac:dyDescent="0.2">
      <c r="A228" s="65">
        <v>34454</v>
      </c>
    </row>
    <row r="229" spans="1:1" x14ac:dyDescent="0.2">
      <c r="A229" s="65">
        <v>34485</v>
      </c>
    </row>
    <row r="230" spans="1:1" x14ac:dyDescent="0.2">
      <c r="A230" s="65">
        <v>34515</v>
      </c>
    </row>
    <row r="231" spans="1:1" x14ac:dyDescent="0.2">
      <c r="A231" s="65">
        <v>34546</v>
      </c>
    </row>
    <row r="232" spans="1:1" x14ac:dyDescent="0.2">
      <c r="A232" s="65">
        <v>34577</v>
      </c>
    </row>
    <row r="233" spans="1:1" x14ac:dyDescent="0.2">
      <c r="A233" s="65">
        <v>34607</v>
      </c>
    </row>
    <row r="234" spans="1:1" x14ac:dyDescent="0.2">
      <c r="A234" s="65">
        <v>34638</v>
      </c>
    </row>
    <row r="235" spans="1:1" x14ac:dyDescent="0.2">
      <c r="A235" s="65">
        <v>34668</v>
      </c>
    </row>
    <row r="236" spans="1:1" x14ac:dyDescent="0.2">
      <c r="A236" s="65">
        <v>34699</v>
      </c>
    </row>
    <row r="237" spans="1:1" x14ac:dyDescent="0.2">
      <c r="A237" s="65">
        <v>34730</v>
      </c>
    </row>
    <row r="238" spans="1:1" x14ac:dyDescent="0.2">
      <c r="A238" s="65">
        <v>34758</v>
      </c>
    </row>
    <row r="239" spans="1:1" x14ac:dyDescent="0.2">
      <c r="A239" s="65">
        <v>34789</v>
      </c>
    </row>
    <row r="240" spans="1:1" x14ac:dyDescent="0.2">
      <c r="A240" s="65">
        <v>34819</v>
      </c>
    </row>
    <row r="241" spans="1:1" x14ac:dyDescent="0.2">
      <c r="A241" s="65">
        <v>34850</v>
      </c>
    </row>
    <row r="242" spans="1:1" x14ac:dyDescent="0.2">
      <c r="A242" s="65">
        <v>34880</v>
      </c>
    </row>
    <row r="243" spans="1:1" x14ac:dyDescent="0.2">
      <c r="A243" s="65">
        <v>34911</v>
      </c>
    </row>
    <row r="244" spans="1:1" x14ac:dyDescent="0.2">
      <c r="A244" s="65">
        <v>34942</v>
      </c>
    </row>
    <row r="245" spans="1:1" x14ac:dyDescent="0.2">
      <c r="A245" s="65">
        <v>34972</v>
      </c>
    </row>
    <row r="246" spans="1:1" x14ac:dyDescent="0.2">
      <c r="A246" s="65">
        <v>35003</v>
      </c>
    </row>
    <row r="247" spans="1:1" x14ac:dyDescent="0.2">
      <c r="A247" s="65">
        <v>35033</v>
      </c>
    </row>
    <row r="248" spans="1:1" x14ac:dyDescent="0.2">
      <c r="A248" s="65">
        <v>35064</v>
      </c>
    </row>
    <row r="249" spans="1:1" x14ac:dyDescent="0.2">
      <c r="A249" s="65">
        <v>35095</v>
      </c>
    </row>
    <row r="250" spans="1:1" x14ac:dyDescent="0.2">
      <c r="A250" s="65">
        <v>35124</v>
      </c>
    </row>
    <row r="251" spans="1:1" x14ac:dyDescent="0.2">
      <c r="A251" s="65">
        <v>35155</v>
      </c>
    </row>
    <row r="252" spans="1:1" x14ac:dyDescent="0.2">
      <c r="A252" s="65">
        <v>35185</v>
      </c>
    </row>
    <row r="253" spans="1:1" x14ac:dyDescent="0.2">
      <c r="A253" s="65">
        <v>35216</v>
      </c>
    </row>
    <row r="254" spans="1:1" x14ac:dyDescent="0.2">
      <c r="A254" s="65">
        <v>35246</v>
      </c>
    </row>
    <row r="255" spans="1:1" x14ac:dyDescent="0.2">
      <c r="A255" s="65">
        <v>35277</v>
      </c>
    </row>
    <row r="256" spans="1:1" x14ac:dyDescent="0.2">
      <c r="A256" s="65">
        <v>35308</v>
      </c>
    </row>
    <row r="257" spans="1:1" x14ac:dyDescent="0.2">
      <c r="A257" s="65">
        <v>35338</v>
      </c>
    </row>
    <row r="258" spans="1:1" x14ac:dyDescent="0.2">
      <c r="A258" s="65">
        <v>35369</v>
      </c>
    </row>
    <row r="259" spans="1:1" x14ac:dyDescent="0.2">
      <c r="A259" s="65">
        <v>35399</v>
      </c>
    </row>
    <row r="260" spans="1:1" x14ac:dyDescent="0.2">
      <c r="A260" s="65">
        <v>35430</v>
      </c>
    </row>
    <row r="261" spans="1:1" x14ac:dyDescent="0.2">
      <c r="A261" s="65">
        <v>35461</v>
      </c>
    </row>
    <row r="262" spans="1:1" x14ac:dyDescent="0.2">
      <c r="A262" s="65">
        <v>35489</v>
      </c>
    </row>
    <row r="263" spans="1:1" x14ac:dyDescent="0.2">
      <c r="A263" s="65">
        <v>35520</v>
      </c>
    </row>
    <row r="264" spans="1:1" x14ac:dyDescent="0.2">
      <c r="A264" s="65">
        <v>35550</v>
      </c>
    </row>
    <row r="265" spans="1:1" x14ac:dyDescent="0.2">
      <c r="A265" s="65">
        <v>35581</v>
      </c>
    </row>
    <row r="266" spans="1:1" x14ac:dyDescent="0.2">
      <c r="A266" s="65">
        <v>35611</v>
      </c>
    </row>
    <row r="267" spans="1:1" x14ac:dyDescent="0.2">
      <c r="A267" s="65">
        <v>35642</v>
      </c>
    </row>
    <row r="268" spans="1:1" x14ac:dyDescent="0.2">
      <c r="A268" s="65">
        <v>35673</v>
      </c>
    </row>
    <row r="269" spans="1:1" x14ac:dyDescent="0.2">
      <c r="A269" s="65">
        <v>35703</v>
      </c>
    </row>
    <row r="270" spans="1:1" x14ac:dyDescent="0.2">
      <c r="A270" s="65">
        <v>35734</v>
      </c>
    </row>
    <row r="271" spans="1:1" x14ac:dyDescent="0.2">
      <c r="A271" s="65">
        <v>35764</v>
      </c>
    </row>
    <row r="272" spans="1:1" x14ac:dyDescent="0.2">
      <c r="A272" s="65">
        <v>35795</v>
      </c>
    </row>
    <row r="273" spans="1:1" x14ac:dyDescent="0.2">
      <c r="A273" s="65">
        <v>35826</v>
      </c>
    </row>
    <row r="274" spans="1:1" x14ac:dyDescent="0.2">
      <c r="A274" s="65">
        <v>35854</v>
      </c>
    </row>
    <row r="275" spans="1:1" x14ac:dyDescent="0.2">
      <c r="A275" s="65">
        <v>35885</v>
      </c>
    </row>
    <row r="276" spans="1:1" x14ac:dyDescent="0.2">
      <c r="A276" s="65">
        <v>35915</v>
      </c>
    </row>
    <row r="277" spans="1:1" x14ac:dyDescent="0.2">
      <c r="A277" s="65">
        <v>35946</v>
      </c>
    </row>
    <row r="278" spans="1:1" x14ac:dyDescent="0.2">
      <c r="A278" s="65">
        <v>35976</v>
      </c>
    </row>
    <row r="279" spans="1:1" x14ac:dyDescent="0.2">
      <c r="A279" s="65">
        <v>36007</v>
      </c>
    </row>
    <row r="280" spans="1:1" x14ac:dyDescent="0.2">
      <c r="A280" s="65">
        <v>36038</v>
      </c>
    </row>
    <row r="281" spans="1:1" x14ac:dyDescent="0.2">
      <c r="A281" s="65">
        <v>36068</v>
      </c>
    </row>
    <row r="282" spans="1:1" x14ac:dyDescent="0.2">
      <c r="A282" s="65">
        <v>36099</v>
      </c>
    </row>
    <row r="283" spans="1:1" x14ac:dyDescent="0.2">
      <c r="A283" s="65">
        <v>36129</v>
      </c>
    </row>
    <row r="284" spans="1:1" x14ac:dyDescent="0.2">
      <c r="A284" s="65">
        <v>36160</v>
      </c>
    </row>
    <row r="285" spans="1:1" x14ac:dyDescent="0.2">
      <c r="A285" s="65">
        <v>36191</v>
      </c>
    </row>
    <row r="286" spans="1:1" x14ac:dyDescent="0.2">
      <c r="A286" s="65">
        <v>36219</v>
      </c>
    </row>
    <row r="287" spans="1:1" x14ac:dyDescent="0.2">
      <c r="A287" s="65">
        <v>36250</v>
      </c>
    </row>
    <row r="288" spans="1:1" x14ac:dyDescent="0.2">
      <c r="A288" s="65">
        <v>36280</v>
      </c>
    </row>
    <row r="289" spans="1:1" x14ac:dyDescent="0.2">
      <c r="A289" s="65">
        <v>36311</v>
      </c>
    </row>
    <row r="290" spans="1:1" x14ac:dyDescent="0.2">
      <c r="A290" s="65">
        <v>36341</v>
      </c>
    </row>
    <row r="291" spans="1:1" x14ac:dyDescent="0.2">
      <c r="A291" s="65">
        <v>36372</v>
      </c>
    </row>
    <row r="292" spans="1:1" x14ac:dyDescent="0.2">
      <c r="A292" s="65">
        <v>36403</v>
      </c>
    </row>
    <row r="293" spans="1:1" x14ac:dyDescent="0.2">
      <c r="A293" s="65">
        <v>36433</v>
      </c>
    </row>
    <row r="294" spans="1:1" x14ac:dyDescent="0.2">
      <c r="A294" s="65">
        <v>36464</v>
      </c>
    </row>
    <row r="295" spans="1:1" x14ac:dyDescent="0.2">
      <c r="A295" s="65">
        <v>36494</v>
      </c>
    </row>
    <row r="296" spans="1:1" x14ac:dyDescent="0.2">
      <c r="A296" s="65">
        <v>36525</v>
      </c>
    </row>
    <row r="297" spans="1:1" x14ac:dyDescent="0.2">
      <c r="A297" s="65">
        <v>36556</v>
      </c>
    </row>
    <row r="298" spans="1:1" x14ac:dyDescent="0.2">
      <c r="A298" s="65">
        <v>36585</v>
      </c>
    </row>
    <row r="299" spans="1:1" x14ac:dyDescent="0.2">
      <c r="A299" s="65">
        <v>36616</v>
      </c>
    </row>
    <row r="300" spans="1:1" x14ac:dyDescent="0.2">
      <c r="A300" s="65">
        <v>36646</v>
      </c>
    </row>
    <row r="301" spans="1:1" x14ac:dyDescent="0.2">
      <c r="A301" s="65">
        <v>36677</v>
      </c>
    </row>
    <row r="302" spans="1:1" x14ac:dyDescent="0.2">
      <c r="A302" s="65">
        <v>36707</v>
      </c>
    </row>
    <row r="303" spans="1:1" x14ac:dyDescent="0.2">
      <c r="A303" s="65">
        <v>36738</v>
      </c>
    </row>
    <row r="304" spans="1:1" x14ac:dyDescent="0.2">
      <c r="A304" s="65">
        <v>36769</v>
      </c>
    </row>
    <row r="305" spans="1:1" x14ac:dyDescent="0.2">
      <c r="A305" s="65">
        <v>36799</v>
      </c>
    </row>
    <row r="306" spans="1:1" x14ac:dyDescent="0.2">
      <c r="A306" s="65">
        <v>36830</v>
      </c>
    </row>
    <row r="307" spans="1:1" x14ac:dyDescent="0.2">
      <c r="A307" s="65">
        <v>36860</v>
      </c>
    </row>
    <row r="308" spans="1:1" x14ac:dyDescent="0.2">
      <c r="A308" s="65">
        <v>36891</v>
      </c>
    </row>
    <row r="309" spans="1:1" x14ac:dyDescent="0.2">
      <c r="A309" s="65">
        <v>36922</v>
      </c>
    </row>
    <row r="310" spans="1:1" x14ac:dyDescent="0.2">
      <c r="A310" s="65">
        <v>36950</v>
      </c>
    </row>
    <row r="311" spans="1:1" x14ac:dyDescent="0.2">
      <c r="A311" s="65">
        <v>36981</v>
      </c>
    </row>
    <row r="312" spans="1:1" x14ac:dyDescent="0.2">
      <c r="A312" s="65">
        <v>37011</v>
      </c>
    </row>
    <row r="313" spans="1:1" x14ac:dyDescent="0.2">
      <c r="A313" s="65">
        <v>37042</v>
      </c>
    </row>
    <row r="314" spans="1:1" x14ac:dyDescent="0.2">
      <c r="A314" s="65">
        <v>37072</v>
      </c>
    </row>
    <row r="315" spans="1:1" x14ac:dyDescent="0.2">
      <c r="A315" s="65">
        <v>37103</v>
      </c>
    </row>
    <row r="316" spans="1:1" x14ac:dyDescent="0.2">
      <c r="A316" s="65">
        <v>37134</v>
      </c>
    </row>
    <row r="317" spans="1:1" x14ac:dyDescent="0.2">
      <c r="A317" s="65">
        <v>37164</v>
      </c>
    </row>
    <row r="318" spans="1:1" x14ac:dyDescent="0.2">
      <c r="A318" s="65">
        <v>37195</v>
      </c>
    </row>
    <row r="319" spans="1:1" x14ac:dyDescent="0.2">
      <c r="A319" s="65">
        <v>37225</v>
      </c>
    </row>
    <row r="320" spans="1:1" x14ac:dyDescent="0.2">
      <c r="A320" s="65">
        <v>37256</v>
      </c>
    </row>
    <row r="321" spans="1:3" x14ac:dyDescent="0.2">
      <c r="A321" s="65">
        <v>37287</v>
      </c>
    </row>
    <row r="322" spans="1:3" x14ac:dyDescent="0.2">
      <c r="A322" s="65">
        <v>37315</v>
      </c>
    </row>
    <row r="323" spans="1:3" x14ac:dyDescent="0.2">
      <c r="A323" s="65">
        <v>37346</v>
      </c>
    </row>
    <row r="324" spans="1:3" x14ac:dyDescent="0.2">
      <c r="A324" s="65">
        <v>37376</v>
      </c>
    </row>
    <row r="325" spans="1:3" x14ac:dyDescent="0.2">
      <c r="A325" s="65">
        <v>37407</v>
      </c>
    </row>
    <row r="326" spans="1:3" x14ac:dyDescent="0.2">
      <c r="A326" s="65">
        <v>37437</v>
      </c>
    </row>
    <row r="327" spans="1:3" x14ac:dyDescent="0.2">
      <c r="A327" s="65">
        <v>37468</v>
      </c>
      <c r="B327" s="76">
        <v>-13.8942</v>
      </c>
      <c r="C327" s="231">
        <v>784625633.87</v>
      </c>
    </row>
    <row r="328" spans="1:3" x14ac:dyDescent="0.2">
      <c r="A328" s="65">
        <v>37499</v>
      </c>
      <c r="B328" s="76">
        <v>0.41170000000000001</v>
      </c>
      <c r="C328" s="231">
        <v>787889532.91999996</v>
      </c>
    </row>
    <row r="329" spans="1:3" x14ac:dyDescent="0.2">
      <c r="A329" s="65">
        <v>37529</v>
      </c>
      <c r="B329" s="76">
        <v>-7.1782000000000004</v>
      </c>
      <c r="C329" s="231">
        <v>731880647.39999998</v>
      </c>
    </row>
    <row r="330" spans="1:3" x14ac:dyDescent="0.2">
      <c r="A330" s="65">
        <v>37560</v>
      </c>
      <c r="B330" s="76">
        <v>2.6097000000000001</v>
      </c>
      <c r="C330" s="231">
        <v>750980837.17999995</v>
      </c>
    </row>
    <row r="331" spans="1:3" x14ac:dyDescent="0.2">
      <c r="A331" s="65">
        <v>37590</v>
      </c>
      <c r="B331" s="76">
        <v>9.1778999999999993</v>
      </c>
      <c r="C331" s="231">
        <v>819905183.08000004</v>
      </c>
    </row>
    <row r="332" spans="1:3" x14ac:dyDescent="0.2">
      <c r="A332" s="65">
        <v>37621</v>
      </c>
      <c r="B332" s="76">
        <v>-5.1327999999999996</v>
      </c>
      <c r="C332" s="231">
        <v>778268645.77999997</v>
      </c>
    </row>
    <row r="333" spans="1:3" x14ac:dyDescent="0.2">
      <c r="A333" s="65">
        <v>37652</v>
      </c>
      <c r="B333" s="76">
        <v>-2.9771000000000001</v>
      </c>
      <c r="C333" s="231">
        <v>755098505.55999994</v>
      </c>
    </row>
    <row r="334" spans="1:3" x14ac:dyDescent="0.2">
      <c r="A334" s="65">
        <v>37680</v>
      </c>
      <c r="B334" s="76">
        <v>-3.2658999999999998</v>
      </c>
      <c r="C334" s="231">
        <v>730441654.77999997</v>
      </c>
    </row>
    <row r="335" spans="1:3" x14ac:dyDescent="0.2">
      <c r="A335" s="65">
        <v>37711</v>
      </c>
      <c r="B335" s="76">
        <v>0.75160000000000005</v>
      </c>
      <c r="C335" s="231">
        <v>736417403.28999996</v>
      </c>
    </row>
    <row r="336" spans="1:3" x14ac:dyDescent="0.2">
      <c r="A336" s="65">
        <v>37741</v>
      </c>
      <c r="B336" s="76">
        <v>10.030900000000001</v>
      </c>
      <c r="C336" s="231">
        <v>810286714.85000002</v>
      </c>
    </row>
    <row r="337" spans="1:3" x14ac:dyDescent="0.2">
      <c r="A337" s="65">
        <v>37772</v>
      </c>
      <c r="B337" s="76">
        <v>10.2872</v>
      </c>
      <c r="C337" s="231">
        <v>893686047.53999996</v>
      </c>
    </row>
    <row r="338" spans="1:3" x14ac:dyDescent="0.2">
      <c r="A338" s="65">
        <v>37802</v>
      </c>
      <c r="B338" s="76">
        <v>2.4409999999999998</v>
      </c>
      <c r="C338" s="231">
        <v>915971853.04999995</v>
      </c>
    </row>
    <row r="339" spans="1:3" x14ac:dyDescent="0.2">
      <c r="A339" s="65">
        <v>37833</v>
      </c>
      <c r="B339" s="76">
        <v>5.8026</v>
      </c>
      <c r="C339" s="231">
        <v>969122365.00999999</v>
      </c>
    </row>
    <row r="340" spans="1:3" x14ac:dyDescent="0.2">
      <c r="A340" s="65">
        <v>37864</v>
      </c>
      <c r="B340" s="76">
        <v>5.4170999999999996</v>
      </c>
      <c r="C340" s="231">
        <v>1021621599.84</v>
      </c>
    </row>
    <row r="341" spans="1:3" x14ac:dyDescent="0.2">
      <c r="A341" s="65">
        <v>37894</v>
      </c>
      <c r="B341" s="76">
        <v>-2.0436000000000001</v>
      </c>
      <c r="C341" s="231">
        <v>1001315779.54</v>
      </c>
    </row>
    <row r="342" spans="1:3" x14ac:dyDescent="0.2">
      <c r="A342" s="65">
        <v>37925</v>
      </c>
      <c r="B342" s="76">
        <v>9.0166000000000004</v>
      </c>
      <c r="C342" s="231">
        <v>1091602215.0599999</v>
      </c>
    </row>
    <row r="343" spans="1:3" x14ac:dyDescent="0.2">
      <c r="A343" s="65">
        <v>37955</v>
      </c>
      <c r="B343" s="76">
        <v>3.7389999999999999</v>
      </c>
      <c r="C343" s="231">
        <v>1132421008.8399999</v>
      </c>
    </row>
    <row r="344" spans="1:3" x14ac:dyDescent="0.2">
      <c r="A344" s="65">
        <v>37986</v>
      </c>
      <c r="B344" s="76">
        <v>2.7357</v>
      </c>
      <c r="C344" s="231">
        <v>1164018236.95</v>
      </c>
    </row>
    <row r="345" spans="1:3" x14ac:dyDescent="0.2">
      <c r="A345" s="65">
        <v>38017</v>
      </c>
      <c r="B345" s="76">
        <v>4.6439000000000004</v>
      </c>
      <c r="C345" s="231">
        <v>1218074078.74</v>
      </c>
    </row>
    <row r="346" spans="1:3" x14ac:dyDescent="0.2">
      <c r="A346" s="65">
        <v>38046</v>
      </c>
      <c r="B346" s="76">
        <v>1.1452</v>
      </c>
      <c r="C346" s="231">
        <v>1232023377.1099999</v>
      </c>
    </row>
    <row r="347" spans="1:3" x14ac:dyDescent="0.2">
      <c r="A347" s="65">
        <v>38077</v>
      </c>
      <c r="B347" s="76">
        <v>0.63919999999999999</v>
      </c>
      <c r="C347" s="231">
        <v>1240532279.6300001</v>
      </c>
    </row>
    <row r="348" spans="1:3" x14ac:dyDescent="0.2">
      <c r="A348" s="65">
        <v>38107</v>
      </c>
      <c r="B348" s="76">
        <v>-4.1284999999999998</v>
      </c>
      <c r="C348" s="231">
        <v>1189333363.77</v>
      </c>
    </row>
    <row r="349" spans="1:3" x14ac:dyDescent="0.2">
      <c r="A349" s="65">
        <v>38138</v>
      </c>
      <c r="B349" s="76">
        <v>1.2582</v>
      </c>
      <c r="C349" s="231">
        <v>1204297689.3</v>
      </c>
    </row>
    <row r="350" spans="1:3" x14ac:dyDescent="0.2">
      <c r="A350" s="65">
        <v>38168</v>
      </c>
      <c r="B350" s="76">
        <v>4.5727000000000002</v>
      </c>
      <c r="C350" s="231">
        <v>1260105125.03</v>
      </c>
    </row>
    <row r="351" spans="1:3" x14ac:dyDescent="0.2">
      <c r="A351" s="65">
        <v>38199</v>
      </c>
      <c r="B351" s="76">
        <v>-6.4885999999999999</v>
      </c>
      <c r="C351" s="231">
        <v>1178416956.6700001</v>
      </c>
    </row>
    <row r="352" spans="1:3" x14ac:dyDescent="0.2">
      <c r="A352" s="65">
        <v>38230</v>
      </c>
      <c r="B352" s="76">
        <v>-0.63529999999999998</v>
      </c>
      <c r="C352" s="231">
        <v>1170707060.1500001</v>
      </c>
    </row>
    <row r="353" spans="1:3" x14ac:dyDescent="0.2">
      <c r="A353" s="65">
        <v>38260</v>
      </c>
      <c r="B353" s="76">
        <v>4.5505000000000004</v>
      </c>
      <c r="C353" s="231">
        <v>1224383093.76</v>
      </c>
    </row>
    <row r="354" spans="1:3" x14ac:dyDescent="0.2">
      <c r="A354" s="65">
        <v>38291</v>
      </c>
      <c r="B354" s="76">
        <v>1.4278</v>
      </c>
      <c r="C354" s="8">
        <v>1241865082.46</v>
      </c>
    </row>
    <row r="355" spans="1:3" x14ac:dyDescent="0.2">
      <c r="A355" s="65">
        <v>38321</v>
      </c>
      <c r="B355" s="76">
        <v>8.9210999999999991</v>
      </c>
      <c r="C355" s="8">
        <v>1352653414.0699999</v>
      </c>
    </row>
    <row r="356" spans="1:3" x14ac:dyDescent="0.2">
      <c r="A356" s="65">
        <v>38352</v>
      </c>
      <c r="B356" s="76">
        <v>2.7936000000000001</v>
      </c>
      <c r="C356" s="231">
        <v>1393181497.1600001</v>
      </c>
    </row>
    <row r="357" spans="1:3" x14ac:dyDescent="0.2">
      <c r="A357" s="65">
        <v>38383</v>
      </c>
      <c r="B357" s="76">
        <v>-3.6240999999999999</v>
      </c>
      <c r="C357" s="231">
        <v>1342691432.54</v>
      </c>
    </row>
    <row r="358" spans="1:3" x14ac:dyDescent="0.2">
      <c r="A358" s="65">
        <v>38411</v>
      </c>
      <c r="B358" s="76">
        <v>2.4028999999999998</v>
      </c>
      <c r="C358" s="231">
        <v>1374960202.73</v>
      </c>
    </row>
    <row r="359" spans="1:3" x14ac:dyDescent="0.2">
      <c r="A359" s="65">
        <v>38442</v>
      </c>
      <c r="B359" s="76">
        <v>-2.3050000000000002</v>
      </c>
      <c r="C359" s="232">
        <v>1343674331.3599999</v>
      </c>
    </row>
    <row r="360" spans="1:3" x14ac:dyDescent="0.2">
      <c r="A360" s="65">
        <v>38472</v>
      </c>
      <c r="B360" s="76">
        <v>-5.75</v>
      </c>
      <c r="C360" s="232">
        <v>1266414999.0999999</v>
      </c>
    </row>
    <row r="361" spans="1:3" x14ac:dyDescent="0.2">
      <c r="A361" s="65">
        <v>38503</v>
      </c>
      <c r="B361" s="76">
        <v>6.1825999999999999</v>
      </c>
      <c r="C361" s="232">
        <v>1344712336.6300001</v>
      </c>
    </row>
    <row r="362" spans="1:3" x14ac:dyDescent="0.2">
      <c r="A362" s="65">
        <v>38533</v>
      </c>
      <c r="B362" s="76">
        <v>3.5638000000000001</v>
      </c>
      <c r="C362" s="232">
        <v>1393257783.3599999</v>
      </c>
    </row>
    <row r="363" spans="1:3" x14ac:dyDescent="0.2">
      <c r="A363" s="65">
        <v>38564</v>
      </c>
      <c r="B363" s="76">
        <v>5.9448999999999996</v>
      </c>
      <c r="C363" s="232">
        <v>1476085210.1199999</v>
      </c>
    </row>
    <row r="364" spans="1:3" x14ac:dyDescent="0.2">
      <c r="A364" s="65">
        <v>38595</v>
      </c>
      <c r="B364" s="76">
        <v>-1.7261</v>
      </c>
      <c r="C364" s="232">
        <v>1450605794.99</v>
      </c>
    </row>
    <row r="365" spans="1:3" x14ac:dyDescent="0.2">
      <c r="A365" s="65">
        <v>38625</v>
      </c>
      <c r="B365" s="253">
        <v>-6.0999999999999999E-2</v>
      </c>
      <c r="C365" s="256">
        <v>1450621148.5999999</v>
      </c>
    </row>
    <row r="366" spans="1:3" x14ac:dyDescent="0.2">
      <c r="A366" s="65">
        <v>38656</v>
      </c>
      <c r="B366" s="253">
        <v>-3.0114999999999998</v>
      </c>
      <c r="C366" s="256">
        <v>1406935752.1099999</v>
      </c>
    </row>
    <row r="367" spans="1:3" x14ac:dyDescent="0.2">
      <c r="A367" s="65">
        <v>38686</v>
      </c>
      <c r="B367" s="253">
        <v>4.6546000000000003</v>
      </c>
      <c r="C367" s="256">
        <v>1472422516.9300001</v>
      </c>
    </row>
    <row r="368" spans="1:3" x14ac:dyDescent="0.2">
      <c r="A368" s="65">
        <v>38717</v>
      </c>
      <c r="B368" s="253">
        <v>-0.1424</v>
      </c>
      <c r="C368" s="256">
        <v>1471259489.1099999</v>
      </c>
    </row>
    <row r="369" spans="1:7" x14ac:dyDescent="0.2">
      <c r="A369" s="65">
        <v>38748</v>
      </c>
      <c r="B369" s="253">
        <v>8.1310000000000002</v>
      </c>
      <c r="C369" s="256">
        <v>1590887950.03</v>
      </c>
    </row>
    <row r="370" spans="1:7" x14ac:dyDescent="0.2">
      <c r="A370" s="65">
        <v>38776</v>
      </c>
      <c r="B370" s="253">
        <v>-0.45040000000000002</v>
      </c>
      <c r="C370" s="256">
        <v>1583722036.98</v>
      </c>
    </row>
    <row r="371" spans="1:7" x14ac:dyDescent="0.2">
      <c r="A371" s="65">
        <v>38807</v>
      </c>
      <c r="B371" s="128">
        <v>4.2858000000000001</v>
      </c>
      <c r="C371" s="366">
        <v>1608761710.5799999</v>
      </c>
    </row>
    <row r="372" spans="1:7" x14ac:dyDescent="0.2">
      <c r="A372" s="65">
        <v>38837</v>
      </c>
      <c r="B372" s="128">
        <v>0.66569999999999996</v>
      </c>
      <c r="C372" s="366">
        <v>1619471803.27</v>
      </c>
    </row>
    <row r="373" spans="1:7" x14ac:dyDescent="0.2">
      <c r="A373" s="65">
        <v>38868</v>
      </c>
      <c r="B373" s="128">
        <v>-5.1109999999999998</v>
      </c>
      <c r="C373" s="366">
        <v>1536584270.2</v>
      </c>
    </row>
    <row r="374" spans="1:7" x14ac:dyDescent="0.2">
      <c r="A374" s="65">
        <v>38898</v>
      </c>
      <c r="B374" s="128">
        <v>0.25509999999999999</v>
      </c>
      <c r="C374" s="612">
        <v>1523628115.5999999</v>
      </c>
      <c r="D374" s="253"/>
    </row>
    <row r="375" spans="1:7" x14ac:dyDescent="0.2">
      <c r="A375" s="65">
        <v>38929</v>
      </c>
      <c r="B375" s="253">
        <v>-3.7806999999999999</v>
      </c>
      <c r="C375" s="34">
        <v>1466024671.6700001</v>
      </c>
      <c r="D375" s="253"/>
    </row>
    <row r="376" spans="1:7" x14ac:dyDescent="0.2">
      <c r="A376" s="65">
        <v>38960</v>
      </c>
      <c r="B376" s="253">
        <v>2.4039999999999999</v>
      </c>
      <c r="C376" s="34">
        <v>1501268352.4000001</v>
      </c>
      <c r="D376" s="253"/>
    </row>
    <row r="377" spans="1:7" x14ac:dyDescent="0.2">
      <c r="A377" s="65">
        <v>38990</v>
      </c>
      <c r="B377" s="253">
        <v>0.9869</v>
      </c>
      <c r="C377" s="34">
        <v>1516939351.8</v>
      </c>
      <c r="D377" s="253"/>
    </row>
    <row r="378" spans="1:7" x14ac:dyDescent="0.2">
      <c r="A378" s="65">
        <v>39021</v>
      </c>
      <c r="B378" s="14">
        <v>5.1466000000000003</v>
      </c>
      <c r="C378" s="8">
        <v>1595011092</v>
      </c>
    </row>
    <row r="379" spans="1:7" x14ac:dyDescent="0.2">
      <c r="A379" s="65">
        <v>39051</v>
      </c>
      <c r="B379" s="14">
        <v>3.0146999999999999</v>
      </c>
      <c r="C379" s="8">
        <v>1643115887.6500001</v>
      </c>
    </row>
    <row r="380" spans="1:7" x14ac:dyDescent="0.2">
      <c r="A380" s="65">
        <v>39082</v>
      </c>
      <c r="B380" s="14">
        <v>0.3866</v>
      </c>
      <c r="C380" s="352">
        <v>1650434441.9300001</v>
      </c>
      <c r="G380" s="352"/>
    </row>
    <row r="381" spans="1:7" x14ac:dyDescent="0.2">
      <c r="A381" s="65">
        <v>39113</v>
      </c>
      <c r="B381" s="14">
        <v>1.9873000000000001</v>
      </c>
      <c r="C381" s="352">
        <v>1866415203.74</v>
      </c>
      <c r="G381" s="352"/>
    </row>
    <row r="382" spans="1:7" x14ac:dyDescent="0.2">
      <c r="A382" s="65">
        <v>39141</v>
      </c>
      <c r="B382" s="14">
        <v>-0.4849</v>
      </c>
      <c r="C382" s="352">
        <v>1857364371.8399999</v>
      </c>
    </row>
    <row r="383" spans="1:7" x14ac:dyDescent="0.2">
      <c r="A383" s="65">
        <v>39172</v>
      </c>
      <c r="B383" s="14">
        <v>1.2395</v>
      </c>
      <c r="C383" s="352">
        <v>1879801940.1199999</v>
      </c>
    </row>
    <row r="384" spans="1:7" x14ac:dyDescent="0.2">
      <c r="A384" s="65">
        <v>39202</v>
      </c>
      <c r="B384" s="14">
        <v>2.4108999999999998</v>
      </c>
      <c r="C384" s="352">
        <v>1925124424.98</v>
      </c>
    </row>
    <row r="385" spans="1:3" x14ac:dyDescent="0.2">
      <c r="A385" s="65">
        <v>39233</v>
      </c>
      <c r="B385" s="14">
        <v>4.7712000000000003</v>
      </c>
      <c r="C385" s="352">
        <v>2016951649.8399999</v>
      </c>
    </row>
    <row r="386" spans="1:3" x14ac:dyDescent="0.2">
      <c r="A386" s="65">
        <v>39263</v>
      </c>
      <c r="B386" s="14">
        <v>-1.2466999999999999</v>
      </c>
      <c r="C386" s="352">
        <v>1992913708.6800001</v>
      </c>
    </row>
    <row r="387" spans="1:3" x14ac:dyDescent="0.2">
      <c r="A387" s="65">
        <v>39294</v>
      </c>
      <c r="B387" s="14">
        <v>-5.6962000000000002</v>
      </c>
      <c r="C387" s="352">
        <v>1879392573.8299999</v>
      </c>
    </row>
    <row r="388" spans="1:3" x14ac:dyDescent="0.2">
      <c r="A388" s="65">
        <v>39325</v>
      </c>
      <c r="B388" s="14">
        <v>1.5314000000000001</v>
      </c>
      <c r="C388" s="8">
        <v>1908174217.3900001</v>
      </c>
    </row>
    <row r="389" spans="1:3" x14ac:dyDescent="0.2">
      <c r="A389" s="65">
        <v>39355</v>
      </c>
      <c r="B389" s="14">
        <v>1.5461</v>
      </c>
      <c r="C389" s="8">
        <v>1938765382.22</v>
      </c>
    </row>
    <row r="390" spans="1:3" x14ac:dyDescent="0.2">
      <c r="A390" s="65">
        <v>39386</v>
      </c>
      <c r="B390" s="14">
        <v>2.2827999999999999</v>
      </c>
      <c r="C390" s="8">
        <v>1983023193.5599999</v>
      </c>
    </row>
    <row r="391" spans="1:3" x14ac:dyDescent="0.2">
      <c r="A391" s="65">
        <v>39416</v>
      </c>
      <c r="B391" s="14">
        <v>-6.5632000000000001</v>
      </c>
      <c r="C391" s="8">
        <v>1852873745.46</v>
      </c>
    </row>
    <row r="392" spans="1:3" x14ac:dyDescent="0.2">
      <c r="A392" s="65">
        <v>39447</v>
      </c>
      <c r="B392" s="14">
        <v>-0.60150000000000003</v>
      </c>
      <c r="C392" s="8">
        <v>1842836211.8699999</v>
      </c>
    </row>
    <row r="393" spans="1:3" x14ac:dyDescent="0.2">
      <c r="A393" s="65">
        <v>39478</v>
      </c>
      <c r="B393" s="14">
        <v>-5.7152000000000003</v>
      </c>
      <c r="C393" s="8">
        <v>1811362041.8</v>
      </c>
    </row>
    <row r="394" spans="1:3" x14ac:dyDescent="0.2">
      <c r="A394" s="65">
        <v>39507</v>
      </c>
      <c r="B394" s="14">
        <v>-2.7448999999999999</v>
      </c>
      <c r="C394" s="8">
        <v>2693993921.0599999</v>
      </c>
    </row>
    <row r="395" spans="1:3" x14ac:dyDescent="0.2">
      <c r="A395" s="65">
        <v>39538</v>
      </c>
      <c r="B395" s="14">
        <v>-0.2177</v>
      </c>
      <c r="C395" s="8">
        <v>1764490109.21</v>
      </c>
    </row>
    <row r="396" spans="1:3" x14ac:dyDescent="0.2">
      <c r="A396" s="65">
        <v>39568</v>
      </c>
      <c r="B396" s="14">
        <v>5.5247999999999999</v>
      </c>
      <c r="C396" s="8">
        <v>1861556412.0699999</v>
      </c>
    </row>
    <row r="397" spans="1:3" x14ac:dyDescent="0.2">
      <c r="A397" s="65">
        <v>39599</v>
      </c>
      <c r="B397" s="14">
        <v>3.9839000000000002</v>
      </c>
      <c r="C397" s="8">
        <v>1939674847.1800001</v>
      </c>
    </row>
    <row r="398" spans="1:3" x14ac:dyDescent="0.2">
      <c r="A398" s="65">
        <v>39629</v>
      </c>
      <c r="B398" s="14">
        <v>-7.9587000000000003</v>
      </c>
      <c r="C398" s="8">
        <v>1787026617.46</v>
      </c>
    </row>
    <row r="399" spans="1:3" x14ac:dyDescent="0.2">
      <c r="A399" s="65">
        <v>39660</v>
      </c>
      <c r="B399" s="14">
        <v>0.80779999999999996</v>
      </c>
      <c r="C399" s="1007">
        <v>1801463184.03</v>
      </c>
    </row>
    <row r="400" spans="1:3" x14ac:dyDescent="0.2">
      <c r="A400" s="65">
        <v>39691</v>
      </c>
      <c r="B400" s="14">
        <v>3.391</v>
      </c>
      <c r="C400" s="1007">
        <v>1862550649.8800001</v>
      </c>
    </row>
    <row r="401" spans="1:3" x14ac:dyDescent="0.2">
      <c r="A401" s="65">
        <v>39721</v>
      </c>
      <c r="B401" s="14">
        <v>-8.5701999999999998</v>
      </c>
      <c r="C401" s="1007">
        <v>1840563960.02</v>
      </c>
    </row>
    <row r="402" spans="1:3" x14ac:dyDescent="0.2">
      <c r="A402" s="65">
        <v>39752</v>
      </c>
      <c r="B402" s="14">
        <v>-20.460900000000002</v>
      </c>
      <c r="C402" s="8">
        <v>1356277381</v>
      </c>
    </row>
    <row r="403" spans="1:3" x14ac:dyDescent="0.2">
      <c r="A403" s="65">
        <v>39782</v>
      </c>
      <c r="B403" s="14">
        <v>-9.8414000000000001</v>
      </c>
      <c r="C403" s="8">
        <v>1361715969</v>
      </c>
    </row>
    <row r="404" spans="1:3" x14ac:dyDescent="0.2">
      <c r="A404" s="65">
        <v>39813</v>
      </c>
      <c r="B404" s="14">
        <v>5.4790000000000001</v>
      </c>
      <c r="C404" s="8">
        <v>1437964979</v>
      </c>
    </row>
    <row r="405" spans="1:3" x14ac:dyDescent="0.2">
      <c r="A405" s="65">
        <v>39844</v>
      </c>
      <c r="B405" s="14">
        <v>-9.98</v>
      </c>
    </row>
    <row r="406" spans="1:3" x14ac:dyDescent="0.2">
      <c r="A406" s="65">
        <v>39872</v>
      </c>
      <c r="B406" s="14">
        <v>-10.53</v>
      </c>
    </row>
    <row r="407" spans="1:3" x14ac:dyDescent="0.2">
      <c r="A407" s="65">
        <v>39903</v>
      </c>
      <c r="B407" s="14">
        <v>8.23</v>
      </c>
    </row>
    <row r="408" spans="1:3" x14ac:dyDescent="0.2">
      <c r="A408" s="65">
        <v>39933</v>
      </c>
      <c r="B408" s="14">
        <v>15.589999999999993</v>
      </c>
    </row>
    <row r="409" spans="1:3" x14ac:dyDescent="0.2">
      <c r="A409" s="65">
        <v>39964</v>
      </c>
      <c r="B409" s="14">
        <v>2.9300000000000104</v>
      </c>
    </row>
    <row r="410" spans="1:3" x14ac:dyDescent="0.2">
      <c r="A410" s="65">
        <v>39994</v>
      </c>
      <c r="B410" s="14">
        <v>1.0399999999999965</v>
      </c>
    </row>
    <row r="411" spans="1:3" x14ac:dyDescent="0.2">
      <c r="A411" s="65">
        <v>40025</v>
      </c>
      <c r="B411" s="14">
        <v>9.860000000000003</v>
      </c>
    </row>
    <row r="412" spans="1:3" x14ac:dyDescent="0.2">
      <c r="A412" s="65">
        <v>40056</v>
      </c>
      <c r="B412" s="14">
        <v>3.3800000000000052</v>
      </c>
    </row>
    <row r="413" spans="1:3" x14ac:dyDescent="0.2">
      <c r="A413" s="65">
        <v>40086</v>
      </c>
      <c r="B413" s="14">
        <v>5.5299999999999905</v>
      </c>
    </row>
    <row r="414" spans="1:3" x14ac:dyDescent="0.2">
      <c r="A414" s="65">
        <v>40117</v>
      </c>
    </row>
    <row r="415" spans="1:3" x14ac:dyDescent="0.2">
      <c r="A415" s="65">
        <v>40147</v>
      </c>
    </row>
    <row r="416" spans="1:3" x14ac:dyDescent="0.2">
      <c r="A416" s="65">
        <v>40178</v>
      </c>
    </row>
    <row r="417" spans="1:1" x14ac:dyDescent="0.2">
      <c r="A417" s="65">
        <v>40209</v>
      </c>
    </row>
    <row r="418" spans="1:1" x14ac:dyDescent="0.2">
      <c r="A418" s="65">
        <v>40237</v>
      </c>
    </row>
    <row r="419" spans="1:1" x14ac:dyDescent="0.2">
      <c r="A419" s="65">
        <v>40268</v>
      </c>
    </row>
    <row r="420" spans="1:1" x14ac:dyDescent="0.2">
      <c r="A420" s="65">
        <v>40298</v>
      </c>
    </row>
    <row r="421" spans="1:1" x14ac:dyDescent="0.2">
      <c r="A421" s="65">
        <v>40329</v>
      </c>
    </row>
    <row r="422" spans="1:1" x14ac:dyDescent="0.2">
      <c r="A422" s="65">
        <v>40359</v>
      </c>
    </row>
    <row r="423" spans="1:1" x14ac:dyDescent="0.2">
      <c r="A423" s="65">
        <v>40390</v>
      </c>
    </row>
    <row r="424" spans="1:1" x14ac:dyDescent="0.2">
      <c r="A424" s="65">
        <v>40421</v>
      </c>
    </row>
    <row r="425" spans="1:1" x14ac:dyDescent="0.2">
      <c r="A425" s="65">
        <v>40451</v>
      </c>
    </row>
    <row r="426" spans="1:1" x14ac:dyDescent="0.2">
      <c r="A426" s="65">
        <v>40482</v>
      </c>
    </row>
    <row r="427" spans="1:1" x14ac:dyDescent="0.2">
      <c r="A427" s="65">
        <v>40512</v>
      </c>
    </row>
    <row r="428" spans="1:1" x14ac:dyDescent="0.2">
      <c r="A428" s="65">
        <v>40543</v>
      </c>
    </row>
  </sheetData>
  <phoneticPr fontId="3" type="noConversion"/>
  <pageMargins left="0.75" right="0.75" top="1" bottom="1" header="0.5" footer="0.5"/>
  <headerFooter alignWithMargins="0"/>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H428"/>
  <sheetViews>
    <sheetView workbookViewId="0">
      <pane ySplit="2" topLeftCell="A387" activePane="bottomLeft" state="frozen"/>
      <selection activeCell="B410" sqref="B410"/>
      <selection pane="bottomLeft" activeCell="D411" sqref="D411:F411"/>
    </sheetView>
  </sheetViews>
  <sheetFormatPr defaultRowHeight="12.75" x14ac:dyDescent="0.2"/>
  <cols>
    <col min="1" max="1" width="18.7109375" customWidth="1"/>
    <col min="2" max="2" width="18.7109375" style="14" customWidth="1"/>
    <col min="3" max="3" width="18.7109375" style="8" customWidth="1"/>
    <col min="8" max="8" width="9.140625" style="352"/>
  </cols>
  <sheetData>
    <row r="1" spans="1:3" x14ac:dyDescent="0.2">
      <c r="A1" s="223" t="s">
        <v>245</v>
      </c>
      <c r="B1" s="243" t="s">
        <v>444</v>
      </c>
      <c r="C1" s="323"/>
    </row>
    <row r="2" spans="1:3" x14ac:dyDescent="0.2">
      <c r="A2" s="3" t="s">
        <v>27</v>
      </c>
      <c r="B2" s="71" t="s">
        <v>91</v>
      </c>
      <c r="C2" s="3" t="s">
        <v>92</v>
      </c>
    </row>
    <row r="3" spans="1:3" x14ac:dyDescent="0.2">
      <c r="A3" s="65">
        <v>27606</v>
      </c>
      <c r="B3" s="71"/>
      <c r="C3" s="226"/>
    </row>
    <row r="4" spans="1:3" x14ac:dyDescent="0.2">
      <c r="A4" s="65">
        <v>27637</v>
      </c>
      <c r="B4" s="71"/>
      <c r="C4" s="226"/>
    </row>
    <row r="5" spans="1:3" x14ac:dyDescent="0.2">
      <c r="A5" s="65">
        <v>27667</v>
      </c>
      <c r="B5" s="71"/>
      <c r="C5" s="226"/>
    </row>
    <row r="6" spans="1:3" x14ac:dyDescent="0.2">
      <c r="A6" s="65">
        <v>27698</v>
      </c>
      <c r="B6" s="71"/>
      <c r="C6" s="226"/>
    </row>
    <row r="7" spans="1:3" x14ac:dyDescent="0.2">
      <c r="A7" s="65">
        <v>27728</v>
      </c>
      <c r="B7" s="71"/>
      <c r="C7" s="226"/>
    </row>
    <row r="8" spans="1:3" x14ac:dyDescent="0.2">
      <c r="A8" s="65">
        <v>27759</v>
      </c>
      <c r="B8" s="71"/>
      <c r="C8" s="226"/>
    </row>
    <row r="9" spans="1:3" x14ac:dyDescent="0.2">
      <c r="A9" s="65">
        <v>27790</v>
      </c>
      <c r="B9" s="71"/>
      <c r="C9" s="226"/>
    </row>
    <row r="10" spans="1:3" x14ac:dyDescent="0.2">
      <c r="A10" s="65">
        <v>27819</v>
      </c>
      <c r="B10" s="71"/>
      <c r="C10" s="226"/>
    </row>
    <row r="11" spans="1:3" x14ac:dyDescent="0.2">
      <c r="A11" s="65">
        <v>27850</v>
      </c>
      <c r="B11" s="71"/>
      <c r="C11" s="226"/>
    </row>
    <row r="12" spans="1:3" x14ac:dyDescent="0.2">
      <c r="A12" s="65">
        <v>27880</v>
      </c>
      <c r="B12" s="71"/>
      <c r="C12" s="226"/>
    </row>
    <row r="13" spans="1:3" x14ac:dyDescent="0.2">
      <c r="A13" s="65">
        <v>27911</v>
      </c>
      <c r="B13" s="71"/>
      <c r="C13" s="226"/>
    </row>
    <row r="14" spans="1:3" x14ac:dyDescent="0.2">
      <c r="A14" s="65">
        <v>27941</v>
      </c>
      <c r="B14" s="71"/>
      <c r="C14" s="226"/>
    </row>
    <row r="15" spans="1:3" x14ac:dyDescent="0.2">
      <c r="A15" s="65">
        <v>27972</v>
      </c>
      <c r="B15" s="71"/>
      <c r="C15" s="226"/>
    </row>
    <row r="16" spans="1:3" x14ac:dyDescent="0.2">
      <c r="A16" s="65">
        <v>28003</v>
      </c>
      <c r="B16" s="71"/>
      <c r="C16" s="226"/>
    </row>
    <row r="17" spans="1:3" x14ac:dyDescent="0.2">
      <c r="A17" s="65">
        <v>28033</v>
      </c>
      <c r="B17" s="71"/>
      <c r="C17" s="226"/>
    </row>
    <row r="18" spans="1:3" x14ac:dyDescent="0.2">
      <c r="A18" s="65">
        <v>28064</v>
      </c>
      <c r="B18" s="71"/>
      <c r="C18" s="226"/>
    </row>
    <row r="19" spans="1:3" x14ac:dyDescent="0.2">
      <c r="A19" s="65">
        <v>28094</v>
      </c>
      <c r="B19" s="71"/>
      <c r="C19" s="226"/>
    </row>
    <row r="20" spans="1:3" x14ac:dyDescent="0.2">
      <c r="A20" s="65">
        <v>28125</v>
      </c>
      <c r="B20" s="71"/>
      <c r="C20" s="226"/>
    </row>
    <row r="21" spans="1:3" x14ac:dyDescent="0.2">
      <c r="A21" s="65">
        <v>28156</v>
      </c>
      <c r="B21" s="71"/>
      <c r="C21" s="226"/>
    </row>
    <row r="22" spans="1:3" x14ac:dyDescent="0.2">
      <c r="A22" s="65">
        <v>28184</v>
      </c>
      <c r="B22" s="71"/>
      <c r="C22" s="226"/>
    </row>
    <row r="23" spans="1:3" x14ac:dyDescent="0.2">
      <c r="A23" s="65">
        <v>28215</v>
      </c>
      <c r="B23" s="71"/>
      <c r="C23" s="226"/>
    </row>
    <row r="24" spans="1:3" x14ac:dyDescent="0.2">
      <c r="A24" s="65">
        <v>28245</v>
      </c>
      <c r="B24" s="71"/>
      <c r="C24" s="226"/>
    </row>
    <row r="25" spans="1:3" x14ac:dyDescent="0.2">
      <c r="A25" s="65">
        <v>28276</v>
      </c>
      <c r="B25" s="71"/>
      <c r="C25" s="226"/>
    </row>
    <row r="26" spans="1:3" x14ac:dyDescent="0.2">
      <c r="A26" s="65">
        <v>28306</v>
      </c>
      <c r="B26" s="71"/>
      <c r="C26" s="226"/>
    </row>
    <row r="27" spans="1:3" x14ac:dyDescent="0.2">
      <c r="A27" s="65">
        <v>28337</v>
      </c>
      <c r="B27" s="71"/>
      <c r="C27" s="226"/>
    </row>
    <row r="28" spans="1:3" x14ac:dyDescent="0.2">
      <c r="A28" s="65">
        <v>28368</v>
      </c>
      <c r="B28" s="71"/>
      <c r="C28" s="226"/>
    </row>
    <row r="29" spans="1:3" x14ac:dyDescent="0.2">
      <c r="A29" s="65">
        <v>28398</v>
      </c>
      <c r="B29" s="71"/>
      <c r="C29" s="226"/>
    </row>
    <row r="30" spans="1:3" x14ac:dyDescent="0.2">
      <c r="A30" s="65">
        <v>28429</v>
      </c>
      <c r="B30" s="71"/>
      <c r="C30" s="226"/>
    </row>
    <row r="31" spans="1:3" x14ac:dyDescent="0.2">
      <c r="A31" s="65">
        <v>28459</v>
      </c>
      <c r="B31" s="71"/>
      <c r="C31" s="226"/>
    </row>
    <row r="32" spans="1:3" x14ac:dyDescent="0.2">
      <c r="A32" s="65">
        <v>28490</v>
      </c>
      <c r="B32" s="71"/>
      <c r="C32" s="226"/>
    </row>
    <row r="33" spans="1:3" x14ac:dyDescent="0.2">
      <c r="A33" s="65">
        <v>28521</v>
      </c>
      <c r="B33" s="71"/>
      <c r="C33" s="226"/>
    </row>
    <row r="34" spans="1:3" x14ac:dyDescent="0.2">
      <c r="A34" s="65">
        <v>28549</v>
      </c>
      <c r="B34" s="71"/>
      <c r="C34" s="226"/>
    </row>
    <row r="35" spans="1:3" x14ac:dyDescent="0.2">
      <c r="A35" s="65">
        <v>28580</v>
      </c>
      <c r="B35" s="71"/>
      <c r="C35" s="226"/>
    </row>
    <row r="36" spans="1:3" x14ac:dyDescent="0.2">
      <c r="A36" s="65">
        <v>28610</v>
      </c>
      <c r="B36" s="71"/>
      <c r="C36" s="226"/>
    </row>
    <row r="37" spans="1:3" x14ac:dyDescent="0.2">
      <c r="A37" s="65">
        <v>28641</v>
      </c>
      <c r="B37" s="71"/>
      <c r="C37" s="226"/>
    </row>
    <row r="38" spans="1:3" x14ac:dyDescent="0.2">
      <c r="A38" s="65">
        <v>28671</v>
      </c>
      <c r="B38" s="71"/>
      <c r="C38" s="226"/>
    </row>
    <row r="39" spans="1:3" x14ac:dyDescent="0.2">
      <c r="A39" s="65">
        <v>28702</v>
      </c>
      <c r="B39" s="71"/>
      <c r="C39" s="226"/>
    </row>
    <row r="40" spans="1:3" x14ac:dyDescent="0.2">
      <c r="A40" s="65">
        <v>28733</v>
      </c>
      <c r="B40" s="71"/>
      <c r="C40" s="226"/>
    </row>
    <row r="41" spans="1:3" x14ac:dyDescent="0.2">
      <c r="A41" s="65">
        <v>28763</v>
      </c>
      <c r="B41" s="71"/>
      <c r="C41" s="226"/>
    </row>
    <row r="42" spans="1:3" x14ac:dyDescent="0.2">
      <c r="A42" s="65">
        <v>28794</v>
      </c>
      <c r="B42" s="71"/>
      <c r="C42" s="226"/>
    </row>
    <row r="43" spans="1:3" x14ac:dyDescent="0.2">
      <c r="A43" s="65">
        <v>28824</v>
      </c>
      <c r="B43" s="71"/>
      <c r="C43" s="226"/>
    </row>
    <row r="44" spans="1:3" x14ac:dyDescent="0.2">
      <c r="A44" s="65">
        <v>28855</v>
      </c>
      <c r="B44" s="71"/>
      <c r="C44" s="226"/>
    </row>
    <row r="45" spans="1:3" x14ac:dyDescent="0.2">
      <c r="A45" s="65">
        <v>28886</v>
      </c>
      <c r="B45" s="71"/>
      <c r="C45" s="226"/>
    </row>
    <row r="46" spans="1:3" x14ac:dyDescent="0.2">
      <c r="A46" s="65">
        <v>28914</v>
      </c>
      <c r="B46" s="71"/>
      <c r="C46" s="226"/>
    </row>
    <row r="47" spans="1:3" x14ac:dyDescent="0.2">
      <c r="A47" s="65">
        <v>28945</v>
      </c>
      <c r="B47" s="71"/>
      <c r="C47" s="226"/>
    </row>
    <row r="48" spans="1:3" x14ac:dyDescent="0.2">
      <c r="A48" s="65">
        <v>28975</v>
      </c>
      <c r="B48" s="71"/>
      <c r="C48" s="226"/>
    </row>
    <row r="49" spans="1:3" x14ac:dyDescent="0.2">
      <c r="A49" s="65">
        <v>29006</v>
      </c>
      <c r="B49" s="71"/>
      <c r="C49" s="226"/>
    </row>
    <row r="50" spans="1:3" x14ac:dyDescent="0.2">
      <c r="A50" s="65">
        <v>29036</v>
      </c>
      <c r="B50" s="71"/>
      <c r="C50" s="226"/>
    </row>
    <row r="51" spans="1:3" x14ac:dyDescent="0.2">
      <c r="A51" s="65">
        <v>29067</v>
      </c>
      <c r="B51" s="71"/>
      <c r="C51" s="226"/>
    </row>
    <row r="52" spans="1:3" x14ac:dyDescent="0.2">
      <c r="A52" s="65">
        <v>29098</v>
      </c>
      <c r="B52" s="71"/>
      <c r="C52" s="226"/>
    </row>
    <row r="53" spans="1:3" x14ac:dyDescent="0.2">
      <c r="A53" s="65">
        <v>29128</v>
      </c>
      <c r="B53" s="71"/>
      <c r="C53" s="226"/>
    </row>
    <row r="54" spans="1:3" x14ac:dyDescent="0.2">
      <c r="A54" s="65">
        <v>29159</v>
      </c>
      <c r="B54" s="71"/>
      <c r="C54" s="226"/>
    </row>
    <row r="55" spans="1:3" x14ac:dyDescent="0.2">
      <c r="A55" s="65">
        <v>29189</v>
      </c>
      <c r="B55" s="71"/>
      <c r="C55" s="226"/>
    </row>
    <row r="56" spans="1:3" x14ac:dyDescent="0.2">
      <c r="A56" s="65">
        <v>29220</v>
      </c>
      <c r="B56" s="71"/>
      <c r="C56" s="226"/>
    </row>
    <row r="57" spans="1:3" x14ac:dyDescent="0.2">
      <c r="A57" s="65">
        <v>29251</v>
      </c>
      <c r="B57" s="71"/>
      <c r="C57" s="226"/>
    </row>
    <row r="58" spans="1:3" x14ac:dyDescent="0.2">
      <c r="A58" s="65">
        <v>29280</v>
      </c>
      <c r="B58" s="71"/>
      <c r="C58" s="226"/>
    </row>
    <row r="59" spans="1:3" x14ac:dyDescent="0.2">
      <c r="A59" s="65">
        <v>29311</v>
      </c>
      <c r="B59" s="71"/>
      <c r="C59" s="226"/>
    </row>
    <row r="60" spans="1:3" x14ac:dyDescent="0.2">
      <c r="A60" s="65">
        <v>29341</v>
      </c>
      <c r="B60" s="71"/>
      <c r="C60" s="226"/>
    </row>
    <row r="61" spans="1:3" x14ac:dyDescent="0.2">
      <c r="A61" s="65">
        <v>29372</v>
      </c>
      <c r="B61" s="71"/>
      <c r="C61" s="226"/>
    </row>
    <row r="62" spans="1:3" x14ac:dyDescent="0.2">
      <c r="A62" s="65">
        <v>29402</v>
      </c>
      <c r="B62" s="71"/>
      <c r="C62" s="226"/>
    </row>
    <row r="63" spans="1:3" x14ac:dyDescent="0.2">
      <c r="A63" s="65">
        <v>29433</v>
      </c>
      <c r="B63" s="71"/>
      <c r="C63" s="226"/>
    </row>
    <row r="64" spans="1:3" x14ac:dyDescent="0.2">
      <c r="A64" s="65">
        <v>29464</v>
      </c>
      <c r="B64" s="71"/>
      <c r="C64" s="226"/>
    </row>
    <row r="65" spans="1:3" x14ac:dyDescent="0.2">
      <c r="A65" s="65">
        <v>29494</v>
      </c>
      <c r="B65" s="71"/>
      <c r="C65" s="226"/>
    </row>
    <row r="66" spans="1:3" x14ac:dyDescent="0.2">
      <c r="A66" s="65">
        <v>29525</v>
      </c>
      <c r="B66" s="71"/>
      <c r="C66" s="226"/>
    </row>
    <row r="67" spans="1:3" x14ac:dyDescent="0.2">
      <c r="A67" s="65">
        <v>29555</v>
      </c>
      <c r="B67" s="71"/>
      <c r="C67" s="226"/>
    </row>
    <row r="68" spans="1:3" x14ac:dyDescent="0.2">
      <c r="A68" s="65">
        <v>29586</v>
      </c>
      <c r="B68" s="71"/>
      <c r="C68" s="226"/>
    </row>
    <row r="69" spans="1:3" x14ac:dyDescent="0.2">
      <c r="A69" s="65">
        <v>29617</v>
      </c>
      <c r="B69" s="71"/>
      <c r="C69" s="226"/>
    </row>
    <row r="70" spans="1:3" x14ac:dyDescent="0.2">
      <c r="A70" s="65">
        <v>29645</v>
      </c>
      <c r="B70" s="71"/>
      <c r="C70" s="226"/>
    </row>
    <row r="71" spans="1:3" x14ac:dyDescent="0.2">
      <c r="A71" s="65">
        <v>29676</v>
      </c>
      <c r="B71" s="71"/>
      <c r="C71" s="226"/>
    </row>
    <row r="72" spans="1:3" x14ac:dyDescent="0.2">
      <c r="A72" s="65">
        <v>29706</v>
      </c>
      <c r="B72" s="71"/>
      <c r="C72" s="226"/>
    </row>
    <row r="73" spans="1:3" x14ac:dyDescent="0.2">
      <c r="A73" s="65">
        <v>29737</v>
      </c>
      <c r="B73" s="71"/>
      <c r="C73" s="226"/>
    </row>
    <row r="74" spans="1:3" x14ac:dyDescent="0.2">
      <c r="A74" s="65">
        <v>29767</v>
      </c>
      <c r="B74" s="71"/>
      <c r="C74" s="226"/>
    </row>
    <row r="75" spans="1:3" x14ac:dyDescent="0.2">
      <c r="A75" s="65">
        <v>29798</v>
      </c>
      <c r="B75" s="71"/>
      <c r="C75" s="226"/>
    </row>
    <row r="76" spans="1:3" x14ac:dyDescent="0.2">
      <c r="A76" s="65">
        <v>29829</v>
      </c>
      <c r="B76" s="71"/>
      <c r="C76" s="226"/>
    </row>
    <row r="77" spans="1:3" x14ac:dyDescent="0.2">
      <c r="A77" s="65">
        <v>29859</v>
      </c>
      <c r="B77" s="71"/>
      <c r="C77" s="226"/>
    </row>
    <row r="78" spans="1:3" x14ac:dyDescent="0.2">
      <c r="A78" s="65">
        <v>29890</v>
      </c>
      <c r="B78" s="71"/>
      <c r="C78" s="226"/>
    </row>
    <row r="79" spans="1:3" x14ac:dyDescent="0.2">
      <c r="A79" s="65">
        <v>29920</v>
      </c>
      <c r="B79" s="71"/>
      <c r="C79" s="226"/>
    </row>
    <row r="80" spans="1:3" x14ac:dyDescent="0.2">
      <c r="A80" s="65">
        <v>29951</v>
      </c>
      <c r="B80" s="71"/>
      <c r="C80" s="226"/>
    </row>
    <row r="81" spans="1:3" x14ac:dyDescent="0.2">
      <c r="A81" s="65">
        <v>29982</v>
      </c>
      <c r="B81" s="71"/>
      <c r="C81" s="226"/>
    </row>
    <row r="82" spans="1:3" x14ac:dyDescent="0.2">
      <c r="A82" s="65">
        <v>30010</v>
      </c>
      <c r="B82" s="71"/>
      <c r="C82" s="226"/>
    </row>
    <row r="83" spans="1:3" x14ac:dyDescent="0.2">
      <c r="A83" s="65">
        <v>30041</v>
      </c>
      <c r="B83" s="71"/>
      <c r="C83" s="226"/>
    </row>
    <row r="84" spans="1:3" x14ac:dyDescent="0.2">
      <c r="A84" s="65">
        <v>30071</v>
      </c>
      <c r="B84" s="71"/>
      <c r="C84" s="226"/>
    </row>
    <row r="85" spans="1:3" x14ac:dyDescent="0.2">
      <c r="A85" s="65">
        <v>30102</v>
      </c>
      <c r="B85" s="71"/>
      <c r="C85" s="226"/>
    </row>
    <row r="86" spans="1:3" x14ac:dyDescent="0.2">
      <c r="A86" s="65">
        <v>30132</v>
      </c>
      <c r="B86" s="71"/>
      <c r="C86" s="226"/>
    </row>
    <row r="87" spans="1:3" x14ac:dyDescent="0.2">
      <c r="A87" s="65">
        <v>30163</v>
      </c>
      <c r="B87" s="71"/>
      <c r="C87" s="226"/>
    </row>
    <row r="88" spans="1:3" x14ac:dyDescent="0.2">
      <c r="A88" s="65">
        <v>30194</v>
      </c>
      <c r="B88" s="71"/>
      <c r="C88" s="226"/>
    </row>
    <row r="89" spans="1:3" x14ac:dyDescent="0.2">
      <c r="A89" s="65">
        <v>30224</v>
      </c>
      <c r="B89" s="71"/>
      <c r="C89" s="226"/>
    </row>
    <row r="90" spans="1:3" x14ac:dyDescent="0.2">
      <c r="A90" s="65">
        <v>30255</v>
      </c>
      <c r="B90" s="71"/>
      <c r="C90" s="226"/>
    </row>
    <row r="91" spans="1:3" x14ac:dyDescent="0.2">
      <c r="A91" s="65">
        <v>30285</v>
      </c>
      <c r="B91" s="71"/>
      <c r="C91" s="226"/>
    </row>
    <row r="92" spans="1:3" x14ac:dyDescent="0.2">
      <c r="A92" s="65">
        <v>30316</v>
      </c>
      <c r="B92" s="71"/>
      <c r="C92" s="226"/>
    </row>
    <row r="93" spans="1:3" x14ac:dyDescent="0.2">
      <c r="A93" s="65">
        <v>30347</v>
      </c>
      <c r="B93" s="71"/>
      <c r="C93" s="226"/>
    </row>
    <row r="94" spans="1:3" x14ac:dyDescent="0.2">
      <c r="A94" s="65">
        <v>30375</v>
      </c>
      <c r="B94" s="71"/>
      <c r="C94" s="226"/>
    </row>
    <row r="95" spans="1:3" x14ac:dyDescent="0.2">
      <c r="A95" s="65">
        <v>30406</v>
      </c>
      <c r="B95" s="71"/>
      <c r="C95" s="226"/>
    </row>
    <row r="96" spans="1:3" x14ac:dyDescent="0.2">
      <c r="A96" s="65">
        <v>30436</v>
      </c>
      <c r="B96" s="71"/>
      <c r="C96" s="226"/>
    </row>
    <row r="97" spans="1:3" x14ac:dyDescent="0.2">
      <c r="A97" s="65">
        <v>30467</v>
      </c>
      <c r="B97" s="71"/>
      <c r="C97" s="226"/>
    </row>
    <row r="98" spans="1:3" x14ac:dyDescent="0.2">
      <c r="A98" s="65">
        <v>30497</v>
      </c>
      <c r="B98" s="71"/>
      <c r="C98" s="226"/>
    </row>
    <row r="99" spans="1:3" x14ac:dyDescent="0.2">
      <c r="A99" s="65">
        <v>30528</v>
      </c>
      <c r="B99" s="71"/>
      <c r="C99" s="226"/>
    </row>
    <row r="100" spans="1:3" x14ac:dyDescent="0.2">
      <c r="A100" s="65">
        <v>30559</v>
      </c>
      <c r="B100" s="71"/>
      <c r="C100" s="226"/>
    </row>
    <row r="101" spans="1:3" x14ac:dyDescent="0.2">
      <c r="A101" s="65">
        <v>30589</v>
      </c>
      <c r="B101" s="71"/>
      <c r="C101" s="226"/>
    </row>
    <row r="102" spans="1:3" x14ac:dyDescent="0.2">
      <c r="A102" s="65">
        <v>30620</v>
      </c>
      <c r="B102" s="71"/>
      <c r="C102" s="226"/>
    </row>
    <row r="103" spans="1:3" x14ac:dyDescent="0.2">
      <c r="A103" s="65">
        <v>30650</v>
      </c>
      <c r="B103" s="71"/>
      <c r="C103" s="226"/>
    </row>
    <row r="104" spans="1:3" x14ac:dyDescent="0.2">
      <c r="A104" s="65">
        <v>30681</v>
      </c>
      <c r="B104" s="71"/>
      <c r="C104" s="226"/>
    </row>
    <row r="105" spans="1:3" x14ac:dyDescent="0.2">
      <c r="A105" s="65">
        <v>30712</v>
      </c>
      <c r="B105" s="71"/>
      <c r="C105" s="226"/>
    </row>
    <row r="106" spans="1:3" x14ac:dyDescent="0.2">
      <c r="A106" s="65">
        <v>30741</v>
      </c>
      <c r="B106" s="71"/>
      <c r="C106" s="226"/>
    </row>
    <row r="107" spans="1:3" x14ac:dyDescent="0.2">
      <c r="A107" s="65">
        <v>30772</v>
      </c>
      <c r="B107" s="71"/>
      <c r="C107" s="226"/>
    </row>
    <row r="108" spans="1:3" x14ac:dyDescent="0.2">
      <c r="A108" s="65">
        <v>30802</v>
      </c>
      <c r="B108" s="71"/>
      <c r="C108" s="226"/>
    </row>
    <row r="109" spans="1:3" x14ac:dyDescent="0.2">
      <c r="A109" s="65">
        <v>30833</v>
      </c>
      <c r="B109" s="71"/>
      <c r="C109" s="226"/>
    </row>
    <row r="110" spans="1:3" x14ac:dyDescent="0.2">
      <c r="A110" s="65">
        <v>30863</v>
      </c>
      <c r="B110" s="71"/>
      <c r="C110" s="226"/>
    </row>
    <row r="111" spans="1:3" x14ac:dyDescent="0.2">
      <c r="A111" s="65">
        <v>30894</v>
      </c>
      <c r="B111" s="71"/>
      <c r="C111" s="226"/>
    </row>
    <row r="112" spans="1:3" x14ac:dyDescent="0.2">
      <c r="A112" s="65">
        <v>30925</v>
      </c>
      <c r="B112" s="71"/>
      <c r="C112" s="226"/>
    </row>
    <row r="113" spans="1:3" x14ac:dyDescent="0.2">
      <c r="A113" s="65">
        <v>30955</v>
      </c>
      <c r="B113" s="71"/>
      <c r="C113" s="226"/>
    </row>
    <row r="114" spans="1:3" x14ac:dyDescent="0.2">
      <c r="A114" s="65">
        <v>30986</v>
      </c>
      <c r="B114" s="71"/>
      <c r="C114" s="226"/>
    </row>
    <row r="115" spans="1:3" x14ac:dyDescent="0.2">
      <c r="A115" s="65">
        <v>31016</v>
      </c>
      <c r="B115" s="71"/>
      <c r="C115" s="226"/>
    </row>
    <row r="116" spans="1:3" x14ac:dyDescent="0.2">
      <c r="A116" s="65">
        <v>31047</v>
      </c>
      <c r="B116" s="71"/>
      <c r="C116" s="226"/>
    </row>
    <row r="117" spans="1:3" x14ac:dyDescent="0.2">
      <c r="A117" s="65">
        <v>31078</v>
      </c>
      <c r="B117" s="71"/>
      <c r="C117" s="226"/>
    </row>
    <row r="118" spans="1:3" x14ac:dyDescent="0.2">
      <c r="A118" s="65">
        <v>31106</v>
      </c>
      <c r="B118" s="71"/>
      <c r="C118" s="226"/>
    </row>
    <row r="119" spans="1:3" x14ac:dyDescent="0.2">
      <c r="A119" s="65">
        <v>31137</v>
      </c>
      <c r="B119" s="71"/>
      <c r="C119" s="226"/>
    </row>
    <row r="120" spans="1:3" x14ac:dyDescent="0.2">
      <c r="A120" s="65">
        <v>31167</v>
      </c>
      <c r="B120" s="71"/>
      <c r="C120" s="226"/>
    </row>
    <row r="121" spans="1:3" x14ac:dyDescent="0.2">
      <c r="A121" s="65">
        <v>31198</v>
      </c>
      <c r="B121" s="71"/>
      <c r="C121" s="226"/>
    </row>
    <row r="122" spans="1:3" x14ac:dyDescent="0.2">
      <c r="A122" s="65">
        <v>31228</v>
      </c>
      <c r="B122" s="71"/>
      <c r="C122" s="226"/>
    </row>
    <row r="123" spans="1:3" x14ac:dyDescent="0.2">
      <c r="A123" s="65">
        <v>31259</v>
      </c>
      <c r="B123" s="71"/>
      <c r="C123" s="226"/>
    </row>
    <row r="124" spans="1:3" x14ac:dyDescent="0.2">
      <c r="A124" s="65">
        <v>31290</v>
      </c>
      <c r="B124" s="71"/>
      <c r="C124" s="226"/>
    </row>
    <row r="125" spans="1:3" x14ac:dyDescent="0.2">
      <c r="A125" s="65">
        <v>31320</v>
      </c>
      <c r="B125" s="71"/>
      <c r="C125" s="226"/>
    </row>
    <row r="126" spans="1:3" x14ac:dyDescent="0.2">
      <c r="A126" s="65">
        <v>31351</v>
      </c>
      <c r="B126" s="71"/>
      <c r="C126" s="226"/>
    </row>
    <row r="127" spans="1:3" x14ac:dyDescent="0.2">
      <c r="A127" s="65">
        <v>31381</v>
      </c>
      <c r="B127" s="71"/>
      <c r="C127" s="226"/>
    </row>
    <row r="128" spans="1:3" x14ac:dyDescent="0.2">
      <c r="A128" s="65">
        <v>31412</v>
      </c>
      <c r="B128" s="71"/>
      <c r="C128" s="226"/>
    </row>
    <row r="129" spans="1:7" x14ac:dyDescent="0.2">
      <c r="A129" s="65">
        <v>31443</v>
      </c>
      <c r="B129" s="71"/>
      <c r="C129" s="226"/>
    </row>
    <row r="130" spans="1:7" x14ac:dyDescent="0.2">
      <c r="A130" s="65">
        <v>31471</v>
      </c>
      <c r="B130" s="71"/>
      <c r="C130" s="226"/>
    </row>
    <row r="131" spans="1:7" x14ac:dyDescent="0.2">
      <c r="A131" s="65">
        <v>31502</v>
      </c>
      <c r="B131" s="71"/>
      <c r="C131" s="226"/>
    </row>
    <row r="132" spans="1:7" x14ac:dyDescent="0.2">
      <c r="A132" s="65">
        <v>31532</v>
      </c>
      <c r="B132" s="71"/>
      <c r="C132" s="226"/>
    </row>
    <row r="133" spans="1:7" x14ac:dyDescent="0.2">
      <c r="A133" s="65">
        <v>31563</v>
      </c>
      <c r="B133" s="71"/>
      <c r="C133" s="226"/>
    </row>
    <row r="134" spans="1:7" x14ac:dyDescent="0.2">
      <c r="A134" s="65">
        <v>31593</v>
      </c>
      <c r="B134" s="71"/>
      <c r="C134" s="226"/>
    </row>
    <row r="135" spans="1:7" x14ac:dyDescent="0.2">
      <c r="A135" s="65">
        <v>31624</v>
      </c>
      <c r="B135" s="71"/>
      <c r="C135" s="226"/>
    </row>
    <row r="136" spans="1:7" x14ac:dyDescent="0.2">
      <c r="A136" s="65">
        <v>31655</v>
      </c>
      <c r="B136" s="71"/>
      <c r="C136" s="226"/>
    </row>
    <row r="137" spans="1:7" x14ac:dyDescent="0.2">
      <c r="A137" s="65">
        <v>31685</v>
      </c>
      <c r="B137" s="71"/>
      <c r="C137" s="226"/>
    </row>
    <row r="138" spans="1:7" x14ac:dyDescent="0.2">
      <c r="A138" s="65">
        <v>31716</v>
      </c>
      <c r="B138" s="71"/>
      <c r="C138" s="226"/>
    </row>
    <row r="139" spans="1:7" x14ac:dyDescent="0.2">
      <c r="A139" s="65">
        <v>31746</v>
      </c>
      <c r="B139" s="71"/>
      <c r="C139" s="226"/>
    </row>
    <row r="140" spans="1:7" x14ac:dyDescent="0.2">
      <c r="A140" s="65">
        <v>31777</v>
      </c>
      <c r="B140" s="71"/>
      <c r="C140" s="226"/>
    </row>
    <row r="141" spans="1:7" x14ac:dyDescent="0.2">
      <c r="A141" s="65">
        <v>31808</v>
      </c>
      <c r="B141" s="71"/>
      <c r="C141" s="226"/>
    </row>
    <row r="142" spans="1:7" x14ac:dyDescent="0.2">
      <c r="A142" s="65">
        <v>31836</v>
      </c>
      <c r="B142" s="71"/>
      <c r="C142" s="226"/>
    </row>
    <row r="143" spans="1:7" x14ac:dyDescent="0.2">
      <c r="A143" s="65">
        <v>31867</v>
      </c>
      <c r="B143" s="71"/>
      <c r="C143" s="226"/>
    </row>
    <row r="144" spans="1:7" x14ac:dyDescent="0.2">
      <c r="A144" s="65">
        <v>31897</v>
      </c>
      <c r="B144" s="76">
        <v>1.865</v>
      </c>
      <c r="C144" s="231"/>
      <c r="F144" s="1061"/>
      <c r="G144" s="14"/>
    </row>
    <row r="145" spans="1:7" x14ac:dyDescent="0.2">
      <c r="A145" s="65">
        <v>31928</v>
      </c>
      <c r="B145" s="76">
        <v>1.865</v>
      </c>
      <c r="C145" s="231"/>
      <c r="F145" s="1061"/>
      <c r="G145" s="14"/>
    </row>
    <row r="146" spans="1:7" x14ac:dyDescent="0.2">
      <c r="A146" s="65">
        <v>31958</v>
      </c>
      <c r="B146" s="76">
        <v>1.865</v>
      </c>
      <c r="C146" s="231"/>
      <c r="F146" s="1061"/>
      <c r="G146" s="14"/>
    </row>
    <row r="147" spans="1:7" x14ac:dyDescent="0.2">
      <c r="A147" s="65">
        <v>31989</v>
      </c>
      <c r="B147" s="76">
        <v>2.1619999999999999</v>
      </c>
      <c r="C147" s="231"/>
      <c r="F147" s="1061"/>
      <c r="G147" s="14"/>
    </row>
    <row r="148" spans="1:7" x14ac:dyDescent="0.2">
      <c r="A148" s="65">
        <v>32020</v>
      </c>
      <c r="B148" s="76">
        <v>2.1619999999999999</v>
      </c>
      <c r="C148" s="231"/>
      <c r="F148" s="1061"/>
      <c r="G148" s="14"/>
    </row>
    <row r="149" spans="1:7" x14ac:dyDescent="0.2">
      <c r="A149" s="65">
        <v>32050</v>
      </c>
      <c r="B149" s="76">
        <v>2.1619999999999999</v>
      </c>
      <c r="C149" s="231"/>
      <c r="F149" s="1061"/>
      <c r="G149" s="14"/>
    </row>
    <row r="150" spans="1:7" x14ac:dyDescent="0.2">
      <c r="A150" s="65">
        <v>32081</v>
      </c>
      <c r="B150" s="76">
        <v>-4.4619999999999997</v>
      </c>
      <c r="C150" s="231"/>
      <c r="F150" s="1061"/>
      <c r="G150" s="14"/>
    </row>
    <row r="151" spans="1:7" x14ac:dyDescent="0.2">
      <c r="A151" s="65">
        <v>32111</v>
      </c>
      <c r="B151" s="76">
        <v>-4.4619999999999997</v>
      </c>
      <c r="C151" s="231"/>
      <c r="F151" s="1061"/>
      <c r="G151" s="14"/>
    </row>
    <row r="152" spans="1:7" x14ac:dyDescent="0.2">
      <c r="A152" s="65">
        <v>32142</v>
      </c>
      <c r="B152" s="76">
        <v>-4.4619999999999997</v>
      </c>
      <c r="C152" s="231"/>
      <c r="F152" s="1061"/>
      <c r="G152" s="14"/>
    </row>
    <row r="153" spans="1:7" x14ac:dyDescent="0.2">
      <c r="A153" s="65">
        <v>32173</v>
      </c>
      <c r="B153" s="76">
        <v>3.39</v>
      </c>
      <c r="C153" s="231"/>
      <c r="F153" s="1061"/>
      <c r="G153" s="14"/>
    </row>
    <row r="154" spans="1:7" x14ac:dyDescent="0.2">
      <c r="A154" s="65">
        <v>32202</v>
      </c>
      <c r="B154" s="76">
        <v>3.39</v>
      </c>
      <c r="C154" s="231"/>
      <c r="F154" s="1061"/>
      <c r="G154" s="14"/>
    </row>
    <row r="155" spans="1:7" x14ac:dyDescent="0.2">
      <c r="A155" s="65">
        <v>32233</v>
      </c>
      <c r="B155" s="76">
        <v>3.39</v>
      </c>
      <c r="C155" s="231"/>
      <c r="F155" s="1061"/>
      <c r="G155" s="14"/>
    </row>
    <row r="156" spans="1:7" x14ac:dyDescent="0.2">
      <c r="A156" s="65">
        <v>32263</v>
      </c>
      <c r="B156" s="76">
        <v>-0.877</v>
      </c>
      <c r="C156" s="231"/>
      <c r="F156" s="1061"/>
      <c r="G156" s="14"/>
    </row>
    <row r="157" spans="1:7" x14ac:dyDescent="0.2">
      <c r="A157" s="65">
        <v>32294</v>
      </c>
      <c r="B157" s="76">
        <v>-0.877</v>
      </c>
      <c r="C157" s="231"/>
      <c r="F157" s="1061"/>
      <c r="G157" s="14"/>
    </row>
    <row r="158" spans="1:7" x14ac:dyDescent="0.2">
      <c r="A158" s="65">
        <v>32324</v>
      </c>
      <c r="B158" s="76">
        <v>-0.877</v>
      </c>
      <c r="C158" s="231"/>
      <c r="F158" s="1061"/>
      <c r="G158" s="14"/>
    </row>
    <row r="159" spans="1:7" x14ac:dyDescent="0.2">
      <c r="A159" s="65">
        <v>32355</v>
      </c>
      <c r="B159" s="76">
        <v>0.17299999999999999</v>
      </c>
      <c r="C159" s="231"/>
      <c r="F159" s="1061"/>
      <c r="G159" s="14"/>
    </row>
    <row r="160" spans="1:7" x14ac:dyDescent="0.2">
      <c r="A160" s="65">
        <v>32386</v>
      </c>
      <c r="B160" s="76">
        <v>0.17299999999999999</v>
      </c>
      <c r="C160" s="231"/>
      <c r="F160" s="1061"/>
      <c r="G160" s="14"/>
    </row>
    <row r="161" spans="1:7" x14ac:dyDescent="0.2">
      <c r="A161" s="65">
        <v>32416</v>
      </c>
      <c r="B161" s="76">
        <v>0.17299999999999999</v>
      </c>
      <c r="C161" s="231"/>
      <c r="F161" s="1061"/>
      <c r="G161" s="14"/>
    </row>
    <row r="162" spans="1:7" x14ac:dyDescent="0.2">
      <c r="A162" s="65">
        <v>32447</v>
      </c>
      <c r="B162" s="76">
        <v>3.75</v>
      </c>
      <c r="C162" s="231"/>
      <c r="F162" s="1061"/>
      <c r="G162" s="14"/>
    </row>
    <row r="163" spans="1:7" x14ac:dyDescent="0.2">
      <c r="A163" s="65">
        <v>32477</v>
      </c>
      <c r="B163" s="76">
        <v>3.75</v>
      </c>
      <c r="C163" s="231"/>
      <c r="F163" s="1061"/>
      <c r="G163" s="14"/>
    </row>
    <row r="164" spans="1:7" x14ac:dyDescent="0.2">
      <c r="A164" s="65">
        <v>32508</v>
      </c>
      <c r="B164" s="76">
        <v>3.75</v>
      </c>
      <c r="C164" s="231"/>
      <c r="F164" s="1061"/>
      <c r="G164" s="14"/>
    </row>
    <row r="165" spans="1:7" x14ac:dyDescent="0.2">
      <c r="A165" s="65">
        <v>32539</v>
      </c>
      <c r="B165" s="76">
        <v>0.26200000000000001</v>
      </c>
      <c r="C165" s="231"/>
      <c r="F165" s="1061"/>
      <c r="G165" s="14"/>
    </row>
    <row r="166" spans="1:7" x14ac:dyDescent="0.2">
      <c r="A166" s="65">
        <v>32567</v>
      </c>
      <c r="B166" s="76">
        <v>0.26200000000000001</v>
      </c>
      <c r="C166" s="231"/>
      <c r="F166" s="1061"/>
      <c r="G166" s="14"/>
    </row>
    <row r="167" spans="1:7" x14ac:dyDescent="0.2">
      <c r="A167" s="65">
        <v>32598</v>
      </c>
      <c r="B167" s="76">
        <v>0.26200000000000001</v>
      </c>
      <c r="C167" s="231"/>
      <c r="F167" s="1061"/>
      <c r="G167" s="14"/>
    </row>
    <row r="168" spans="1:7" x14ac:dyDescent="0.2">
      <c r="A168" s="65">
        <v>32628</v>
      </c>
      <c r="B168" s="76">
        <v>-0.69399999999999995</v>
      </c>
      <c r="C168" s="231"/>
      <c r="F168" s="1061"/>
      <c r="G168" s="14"/>
    </row>
    <row r="169" spans="1:7" x14ac:dyDescent="0.2">
      <c r="A169" s="65">
        <v>32659</v>
      </c>
      <c r="B169" s="76">
        <v>-0.69399999999999995</v>
      </c>
      <c r="C169" s="231"/>
      <c r="F169" s="1061"/>
      <c r="G169" s="14"/>
    </row>
    <row r="170" spans="1:7" x14ac:dyDescent="0.2">
      <c r="A170" s="65">
        <v>32689</v>
      </c>
      <c r="B170" s="76">
        <v>-0.69399999999999995</v>
      </c>
      <c r="C170" s="231"/>
      <c r="F170" s="1061"/>
      <c r="G170" s="14"/>
    </row>
    <row r="171" spans="1:7" x14ac:dyDescent="0.2">
      <c r="A171" s="65">
        <v>32720</v>
      </c>
      <c r="B171" s="76">
        <v>3.89</v>
      </c>
      <c r="C171" s="231"/>
      <c r="F171" s="1061"/>
      <c r="G171" s="14"/>
    </row>
    <row r="172" spans="1:7" x14ac:dyDescent="0.2">
      <c r="A172" s="65">
        <v>32751</v>
      </c>
      <c r="B172" s="76">
        <v>3.89</v>
      </c>
      <c r="C172" s="231"/>
      <c r="F172" s="1061"/>
      <c r="G172" s="14"/>
    </row>
    <row r="173" spans="1:7" x14ac:dyDescent="0.2">
      <c r="A173" s="65">
        <v>32781</v>
      </c>
      <c r="B173" s="76">
        <v>3.89</v>
      </c>
      <c r="C173" s="231"/>
      <c r="F173" s="1061"/>
      <c r="G173" s="14"/>
    </row>
    <row r="174" spans="1:7" x14ac:dyDescent="0.2">
      <c r="A174" s="65">
        <v>32812</v>
      </c>
      <c r="B174" s="76">
        <v>1.5780000000000001</v>
      </c>
      <c r="C174" s="231"/>
      <c r="F174" s="1061"/>
      <c r="G174" s="14"/>
    </row>
    <row r="175" spans="1:7" x14ac:dyDescent="0.2">
      <c r="A175" s="65">
        <v>32842</v>
      </c>
      <c r="B175" s="76">
        <v>1.5780000000000001</v>
      </c>
      <c r="C175" s="231"/>
      <c r="F175" s="1061"/>
      <c r="G175" s="14"/>
    </row>
    <row r="176" spans="1:7" x14ac:dyDescent="0.2">
      <c r="A176" s="65">
        <v>32873</v>
      </c>
      <c r="B176" s="76">
        <v>1.5780000000000001</v>
      </c>
      <c r="C176" s="231"/>
      <c r="F176" s="1061"/>
      <c r="G176" s="14"/>
    </row>
    <row r="177" spans="1:7" x14ac:dyDescent="0.2">
      <c r="A177" s="65">
        <v>32904</v>
      </c>
      <c r="B177" s="76">
        <v>-5.0877999999999997</v>
      </c>
      <c r="C177" s="231"/>
      <c r="F177" s="1061"/>
      <c r="G177" s="14"/>
    </row>
    <row r="178" spans="1:7" x14ac:dyDescent="0.2">
      <c r="A178" s="65">
        <v>32932</v>
      </c>
      <c r="B178" s="76">
        <v>-5.0877999999999997</v>
      </c>
      <c r="C178" s="231"/>
      <c r="F178" s="1061"/>
      <c r="G178" s="14"/>
    </row>
    <row r="179" spans="1:7" x14ac:dyDescent="0.2">
      <c r="A179" s="65">
        <v>32963</v>
      </c>
      <c r="B179" s="76">
        <v>-5.0877999999999997</v>
      </c>
      <c r="C179" s="231"/>
      <c r="F179" s="1061"/>
      <c r="G179" s="14"/>
    </row>
    <row r="180" spans="1:7" x14ac:dyDescent="0.2">
      <c r="A180" s="65">
        <v>32993</v>
      </c>
      <c r="B180" s="76">
        <v>2.9670000000000001</v>
      </c>
      <c r="C180" s="231"/>
      <c r="F180" s="1061"/>
      <c r="G180" s="14"/>
    </row>
    <row r="181" spans="1:7" x14ac:dyDescent="0.2">
      <c r="A181" s="65">
        <v>33024</v>
      </c>
      <c r="B181" s="76">
        <v>2.9670000000000001</v>
      </c>
      <c r="C181" s="231"/>
      <c r="F181" s="1061"/>
      <c r="G181" s="14"/>
    </row>
    <row r="182" spans="1:7" x14ac:dyDescent="0.2">
      <c r="A182" s="65">
        <v>33054</v>
      </c>
      <c r="B182" s="76">
        <v>2.9679000000000002</v>
      </c>
      <c r="C182" s="231"/>
      <c r="F182" s="1061"/>
      <c r="G182" s="14"/>
    </row>
    <row r="183" spans="1:7" x14ac:dyDescent="0.2">
      <c r="A183" s="65">
        <v>33085</v>
      </c>
      <c r="B183" s="76">
        <v>-6.9489999999999998</v>
      </c>
      <c r="F183" s="1061"/>
      <c r="G183" s="14"/>
    </row>
    <row r="184" spans="1:7" x14ac:dyDescent="0.2">
      <c r="A184" s="65">
        <v>33116</v>
      </c>
      <c r="B184" s="76">
        <v>-6.9489999999999998</v>
      </c>
      <c r="F184" s="1061"/>
      <c r="G184" s="14"/>
    </row>
    <row r="185" spans="1:7" x14ac:dyDescent="0.2">
      <c r="A185" s="65">
        <v>33146</v>
      </c>
      <c r="B185" s="76">
        <v>-6.9489999999999998</v>
      </c>
      <c r="F185" s="1061"/>
      <c r="G185" s="14"/>
    </row>
    <row r="186" spans="1:7" x14ac:dyDescent="0.2">
      <c r="A186" s="65">
        <v>33177</v>
      </c>
      <c r="B186" s="76">
        <v>2.62</v>
      </c>
      <c r="F186" s="1061"/>
      <c r="G186" s="14"/>
    </row>
    <row r="187" spans="1:7" x14ac:dyDescent="0.2">
      <c r="A187" s="65">
        <v>33207</v>
      </c>
      <c r="B187" s="76">
        <v>2.62</v>
      </c>
      <c r="F187" s="1061"/>
      <c r="G187" s="14"/>
    </row>
    <row r="188" spans="1:7" x14ac:dyDescent="0.2">
      <c r="A188" s="65">
        <v>33238</v>
      </c>
      <c r="B188" s="76">
        <v>2.62</v>
      </c>
      <c r="F188" s="1061"/>
      <c r="G188" s="14"/>
    </row>
    <row r="189" spans="1:7" x14ac:dyDescent="0.2">
      <c r="A189" s="65">
        <v>33269</v>
      </c>
      <c r="B189" s="76">
        <v>2.4079999999999999</v>
      </c>
      <c r="F189" s="1061"/>
      <c r="G189" s="14"/>
    </row>
    <row r="190" spans="1:7" x14ac:dyDescent="0.2">
      <c r="A190" s="65">
        <v>33297</v>
      </c>
      <c r="B190" s="76">
        <v>2.4079999999999999</v>
      </c>
      <c r="F190" s="1061"/>
      <c r="G190" s="14"/>
    </row>
    <row r="191" spans="1:7" x14ac:dyDescent="0.2">
      <c r="A191" s="65">
        <v>33328</v>
      </c>
      <c r="B191" s="76">
        <v>2.4079999999999999</v>
      </c>
      <c r="F191" s="1061"/>
      <c r="G191" s="14"/>
    </row>
    <row r="192" spans="1:7" x14ac:dyDescent="0.2">
      <c r="A192" s="65">
        <v>33358</v>
      </c>
      <c r="B192" s="76">
        <v>-1.49</v>
      </c>
      <c r="F192" s="1061"/>
      <c r="G192" s="14"/>
    </row>
    <row r="193" spans="1:7" x14ac:dyDescent="0.2">
      <c r="A193" s="65">
        <v>33389</v>
      </c>
      <c r="B193" s="76">
        <v>-1.49</v>
      </c>
      <c r="F193" s="1061"/>
      <c r="G193" s="14"/>
    </row>
    <row r="194" spans="1:7" x14ac:dyDescent="0.2">
      <c r="A194" s="65">
        <v>33419</v>
      </c>
      <c r="B194" s="76">
        <v>-1.49</v>
      </c>
      <c r="F194" s="1061"/>
      <c r="G194" s="14"/>
    </row>
    <row r="195" spans="1:7" x14ac:dyDescent="0.2">
      <c r="A195" s="65">
        <v>33450</v>
      </c>
      <c r="B195" s="76">
        <v>1.63</v>
      </c>
      <c r="F195" s="1061"/>
      <c r="G195" s="14"/>
    </row>
    <row r="196" spans="1:7" x14ac:dyDescent="0.2">
      <c r="A196" s="65">
        <v>33481</v>
      </c>
      <c r="B196" s="76">
        <v>1.63</v>
      </c>
      <c r="F196" s="1061"/>
      <c r="G196" s="14"/>
    </row>
    <row r="197" spans="1:7" x14ac:dyDescent="0.2">
      <c r="A197" s="65">
        <v>33511</v>
      </c>
      <c r="B197" s="76">
        <v>1.63</v>
      </c>
      <c r="F197" s="1061"/>
      <c r="G197" s="14"/>
    </row>
    <row r="198" spans="1:7" x14ac:dyDescent="0.2">
      <c r="A198" s="65">
        <v>33542</v>
      </c>
      <c r="B198" s="76">
        <v>7.5999999999999998E-2</v>
      </c>
      <c r="F198" s="1061"/>
      <c r="G198" s="14"/>
    </row>
    <row r="199" spans="1:7" x14ac:dyDescent="0.2">
      <c r="A199" s="65">
        <v>33572</v>
      </c>
      <c r="B199" s="76">
        <v>7.5999999999999998E-2</v>
      </c>
      <c r="F199" s="1061"/>
      <c r="G199" s="14"/>
    </row>
    <row r="200" spans="1:7" x14ac:dyDescent="0.2">
      <c r="A200" s="65">
        <v>33603</v>
      </c>
      <c r="B200" s="76">
        <v>7.5999999999999998E-2</v>
      </c>
      <c r="F200" s="1061"/>
      <c r="G200" s="14"/>
    </row>
    <row r="201" spans="1:7" x14ac:dyDescent="0.2">
      <c r="A201" s="65">
        <v>33634</v>
      </c>
      <c r="B201" s="76">
        <v>-3.0979999999999999</v>
      </c>
      <c r="F201" s="1061"/>
      <c r="G201" s="14"/>
    </row>
    <row r="202" spans="1:7" x14ac:dyDescent="0.2">
      <c r="A202" s="65">
        <v>33663</v>
      </c>
      <c r="B202" s="76">
        <v>-3.0988000000000002</v>
      </c>
      <c r="F202" s="1061"/>
      <c r="G202" s="14"/>
    </row>
    <row r="203" spans="1:7" x14ac:dyDescent="0.2">
      <c r="A203" s="65">
        <v>33694</v>
      </c>
      <c r="B203" s="76">
        <v>-3.0988000000000002</v>
      </c>
      <c r="F203" s="1061"/>
      <c r="G203" s="14"/>
    </row>
    <row r="204" spans="1:7" x14ac:dyDescent="0.2">
      <c r="A204" s="65">
        <v>33724</v>
      </c>
      <c r="B204" s="76">
        <v>1.3160000000000001</v>
      </c>
      <c r="F204" s="1061"/>
      <c r="G204" s="14"/>
    </row>
    <row r="205" spans="1:7" x14ac:dyDescent="0.2">
      <c r="A205" s="65">
        <v>33755</v>
      </c>
      <c r="B205" s="76">
        <v>1.3160000000000001</v>
      </c>
      <c r="F205" s="1061"/>
      <c r="G205" s="14"/>
    </row>
    <row r="206" spans="1:7" x14ac:dyDescent="0.2">
      <c r="A206" s="65">
        <v>33785</v>
      </c>
      <c r="B206" s="76">
        <v>1.3160000000000001</v>
      </c>
      <c r="F206" s="1061"/>
      <c r="G206" s="14"/>
    </row>
    <row r="207" spans="1:7" x14ac:dyDescent="0.2">
      <c r="A207" s="65">
        <v>33816</v>
      </c>
      <c r="B207" s="76">
        <v>-0.33150000000000002</v>
      </c>
      <c r="F207" s="1061"/>
      <c r="G207" s="14"/>
    </row>
    <row r="208" spans="1:7" x14ac:dyDescent="0.2">
      <c r="A208" s="65">
        <v>33847</v>
      </c>
      <c r="B208" s="76">
        <v>-0.33150000000000002</v>
      </c>
      <c r="F208" s="1061"/>
      <c r="G208" s="14"/>
    </row>
    <row r="209" spans="1:7" x14ac:dyDescent="0.2">
      <c r="A209" s="65">
        <v>33877</v>
      </c>
      <c r="B209" s="76">
        <v>-0.33150000000000002</v>
      </c>
      <c r="F209" s="1061"/>
      <c r="G209" s="14"/>
    </row>
    <row r="210" spans="1:7" x14ac:dyDescent="0.2">
      <c r="A210" s="65">
        <v>33908</v>
      </c>
      <c r="B210" s="76">
        <v>-0.89800000000000002</v>
      </c>
      <c r="F210" s="1061"/>
      <c r="G210" s="14"/>
    </row>
    <row r="211" spans="1:7" x14ac:dyDescent="0.2">
      <c r="A211" s="65">
        <v>33938</v>
      </c>
      <c r="B211" s="76">
        <v>-0.89800000000000002</v>
      </c>
      <c r="F211" s="1061"/>
      <c r="G211" s="14"/>
    </row>
    <row r="212" spans="1:7" x14ac:dyDescent="0.2">
      <c r="A212" s="65">
        <v>33969</v>
      </c>
      <c r="B212" s="76">
        <v>-0.89800000000000002</v>
      </c>
      <c r="F212" s="1061"/>
      <c r="G212" s="14"/>
    </row>
    <row r="213" spans="1:7" x14ac:dyDescent="0.2">
      <c r="A213" s="65">
        <v>34000</v>
      </c>
      <c r="B213" s="76">
        <v>3.5644</v>
      </c>
      <c r="F213" s="1061"/>
      <c r="G213" s="14"/>
    </row>
    <row r="214" spans="1:7" x14ac:dyDescent="0.2">
      <c r="A214" s="65">
        <v>34028</v>
      </c>
      <c r="B214" s="76">
        <v>3.5644</v>
      </c>
      <c r="F214" s="1061"/>
      <c r="G214" s="14"/>
    </row>
    <row r="215" spans="1:7" x14ac:dyDescent="0.2">
      <c r="A215" s="65">
        <v>34059</v>
      </c>
      <c r="B215" s="76">
        <v>3.5644</v>
      </c>
      <c r="F215" s="1061"/>
      <c r="G215" s="14"/>
    </row>
    <row r="216" spans="1:7" x14ac:dyDescent="0.2">
      <c r="A216" s="65">
        <v>34089</v>
      </c>
      <c r="B216" s="76">
        <v>2.8260000000000001</v>
      </c>
      <c r="F216" s="1061"/>
      <c r="G216" s="14"/>
    </row>
    <row r="217" spans="1:7" x14ac:dyDescent="0.2">
      <c r="A217" s="65">
        <v>34120</v>
      </c>
      <c r="B217" s="76">
        <v>2.8260000000000001</v>
      </c>
      <c r="F217" s="1061"/>
      <c r="G217" s="14"/>
    </row>
    <row r="218" spans="1:7" x14ac:dyDescent="0.2">
      <c r="A218" s="65">
        <v>34150</v>
      </c>
      <c r="B218" s="76">
        <v>2.8260000000000001</v>
      </c>
      <c r="F218" s="1061"/>
      <c r="G218" s="14"/>
    </row>
    <row r="219" spans="1:7" x14ac:dyDescent="0.2">
      <c r="A219" s="65">
        <v>34181</v>
      </c>
      <c r="B219" s="76">
        <v>2.8071000000000002</v>
      </c>
      <c r="F219" s="1061"/>
      <c r="G219" s="14"/>
    </row>
    <row r="220" spans="1:7" x14ac:dyDescent="0.2">
      <c r="A220" s="65">
        <v>34212</v>
      </c>
      <c r="B220" s="76">
        <v>2.8071000000000002</v>
      </c>
      <c r="F220" s="1061"/>
      <c r="G220" s="14"/>
    </row>
    <row r="221" spans="1:7" x14ac:dyDescent="0.2">
      <c r="A221" s="65">
        <v>34242</v>
      </c>
      <c r="B221" s="76">
        <v>2.8071000000000002</v>
      </c>
      <c r="F221" s="1061"/>
      <c r="G221" s="14"/>
    </row>
    <row r="222" spans="1:7" x14ac:dyDescent="0.2">
      <c r="A222" s="65">
        <v>34273</v>
      </c>
      <c r="B222" s="76">
        <v>1.1174999999999999</v>
      </c>
      <c r="F222" s="1061"/>
      <c r="G222" s="14"/>
    </row>
    <row r="223" spans="1:7" x14ac:dyDescent="0.2">
      <c r="A223" s="65">
        <v>34303</v>
      </c>
      <c r="B223" s="76">
        <v>1.1174999999999999</v>
      </c>
      <c r="F223" s="1061"/>
      <c r="G223" s="14"/>
    </row>
    <row r="224" spans="1:7" x14ac:dyDescent="0.2">
      <c r="A224" s="65">
        <v>34334</v>
      </c>
      <c r="B224" s="76">
        <v>1.1174999999999999</v>
      </c>
      <c r="F224" s="1061"/>
      <c r="G224" s="14"/>
    </row>
    <row r="225" spans="1:7" x14ac:dyDescent="0.2">
      <c r="A225" s="65">
        <v>34365</v>
      </c>
      <c r="B225" s="76">
        <v>0.95089999999999997</v>
      </c>
      <c r="F225" s="1061"/>
      <c r="G225" s="14"/>
    </row>
    <row r="226" spans="1:7" x14ac:dyDescent="0.2">
      <c r="A226" s="65">
        <v>34393</v>
      </c>
      <c r="B226" s="76">
        <v>0.95089999999999997</v>
      </c>
      <c r="F226" s="1061"/>
      <c r="G226" s="14"/>
    </row>
    <row r="227" spans="1:7" x14ac:dyDescent="0.2">
      <c r="A227" s="65">
        <v>34424</v>
      </c>
      <c r="B227" s="76">
        <v>0.95089999999999997</v>
      </c>
      <c r="F227" s="1061"/>
      <c r="G227" s="14"/>
    </row>
    <row r="228" spans="1:7" x14ac:dyDescent="0.2">
      <c r="A228" s="65">
        <v>34454</v>
      </c>
      <c r="B228" s="76">
        <v>1.5168999999999999</v>
      </c>
      <c r="F228" s="1061"/>
      <c r="G228" s="14"/>
    </row>
    <row r="229" spans="1:7" x14ac:dyDescent="0.2">
      <c r="A229" s="65">
        <v>34485</v>
      </c>
      <c r="B229" s="76">
        <v>1.5168999999999999</v>
      </c>
      <c r="F229" s="1061"/>
      <c r="G229" s="14"/>
    </row>
    <row r="230" spans="1:7" x14ac:dyDescent="0.2">
      <c r="A230" s="65">
        <v>34515</v>
      </c>
      <c r="B230" s="76">
        <v>1.5168999999999999</v>
      </c>
      <c r="F230" s="1061"/>
      <c r="G230" s="14"/>
    </row>
    <row r="231" spans="1:7" x14ac:dyDescent="0.2">
      <c r="A231" s="65">
        <v>34546</v>
      </c>
      <c r="B231" s="76">
        <v>0.18629999999999999</v>
      </c>
      <c r="F231" s="1061"/>
      <c r="G231" s="14"/>
    </row>
    <row r="232" spans="1:7" x14ac:dyDescent="0.2">
      <c r="A232" s="65">
        <v>34577</v>
      </c>
      <c r="B232" s="76">
        <v>0.18629999999999999</v>
      </c>
      <c r="F232" s="1061"/>
      <c r="G232" s="14"/>
    </row>
    <row r="233" spans="1:7" x14ac:dyDescent="0.2">
      <c r="A233" s="65">
        <v>34607</v>
      </c>
      <c r="B233" s="76">
        <v>0.18629999999999999</v>
      </c>
      <c r="F233" s="1061"/>
      <c r="G233" s="14"/>
    </row>
    <row r="234" spans="1:7" x14ac:dyDescent="0.2">
      <c r="A234" s="65">
        <v>34638</v>
      </c>
      <c r="B234" s="76">
        <v>-0.59009999999999996</v>
      </c>
      <c r="F234" s="1061"/>
      <c r="G234" s="14"/>
    </row>
    <row r="235" spans="1:7" x14ac:dyDescent="0.2">
      <c r="A235" s="65">
        <v>34668</v>
      </c>
      <c r="B235" s="76">
        <v>-0.59009999999999996</v>
      </c>
      <c r="F235" s="1061"/>
      <c r="G235" s="14"/>
    </row>
    <row r="236" spans="1:7" x14ac:dyDescent="0.2">
      <c r="A236" s="65">
        <v>34699</v>
      </c>
      <c r="B236" s="76">
        <v>-0.59009999999999996</v>
      </c>
      <c r="F236" s="1061"/>
      <c r="G236" s="14"/>
    </row>
    <row r="237" spans="1:7" x14ac:dyDescent="0.2">
      <c r="A237" s="65">
        <v>34730</v>
      </c>
      <c r="B237" s="76">
        <v>0.29909999999999998</v>
      </c>
      <c r="F237" s="1061"/>
      <c r="G237" s="14"/>
    </row>
    <row r="238" spans="1:7" x14ac:dyDescent="0.2">
      <c r="A238" s="65">
        <v>34758</v>
      </c>
      <c r="B238" s="76">
        <v>0.29909999999999998</v>
      </c>
      <c r="F238" s="1061"/>
      <c r="G238" s="14"/>
    </row>
    <row r="239" spans="1:7" x14ac:dyDescent="0.2">
      <c r="A239" s="65">
        <v>34789</v>
      </c>
      <c r="B239" s="76">
        <v>0.29909999999999998</v>
      </c>
      <c r="F239" s="1061"/>
      <c r="G239" s="14"/>
    </row>
    <row r="240" spans="1:7" x14ac:dyDescent="0.2">
      <c r="A240" s="65">
        <v>34819</v>
      </c>
      <c r="B240" s="76">
        <v>0.54369999999999996</v>
      </c>
      <c r="F240" s="1061"/>
      <c r="G240" s="14"/>
    </row>
    <row r="241" spans="1:7" x14ac:dyDescent="0.2">
      <c r="A241" s="65">
        <v>34850</v>
      </c>
      <c r="B241" s="76">
        <v>0.54369999999999996</v>
      </c>
      <c r="F241" s="1061"/>
      <c r="G241" s="14"/>
    </row>
    <row r="242" spans="1:7" x14ac:dyDescent="0.2">
      <c r="A242" s="65">
        <v>34880</v>
      </c>
      <c r="B242" s="76">
        <v>0.54369999999999996</v>
      </c>
      <c r="F242" s="1061"/>
      <c r="G242" s="14"/>
    </row>
    <row r="243" spans="1:7" x14ac:dyDescent="0.2">
      <c r="A243" s="65">
        <v>34911</v>
      </c>
      <c r="B243" s="76">
        <v>1.2119</v>
      </c>
      <c r="F243" s="1061"/>
      <c r="G243" s="14"/>
    </row>
    <row r="244" spans="1:7" x14ac:dyDescent="0.2">
      <c r="A244" s="65">
        <v>34942</v>
      </c>
      <c r="B244" s="76">
        <v>1.2119</v>
      </c>
      <c r="F244" s="1061"/>
      <c r="G244" s="14"/>
    </row>
    <row r="245" spans="1:7" x14ac:dyDescent="0.2">
      <c r="A245" s="65">
        <v>34972</v>
      </c>
      <c r="B245" s="76">
        <v>1.2119</v>
      </c>
      <c r="F245" s="1061"/>
      <c r="G245" s="14"/>
    </row>
    <row r="246" spans="1:7" x14ac:dyDescent="0.2">
      <c r="A246" s="65">
        <v>35003</v>
      </c>
      <c r="B246" s="76">
        <v>1.0946</v>
      </c>
      <c r="F246" s="1061"/>
      <c r="G246" s="14"/>
    </row>
    <row r="247" spans="1:7" x14ac:dyDescent="0.2">
      <c r="A247" s="65">
        <v>35033</v>
      </c>
      <c r="B247" s="76">
        <v>1.0946</v>
      </c>
      <c r="F247" s="1061"/>
      <c r="G247" s="14"/>
    </row>
    <row r="248" spans="1:7" x14ac:dyDescent="0.2">
      <c r="A248" s="65">
        <v>35064</v>
      </c>
      <c r="B248" s="76">
        <v>1.0946</v>
      </c>
      <c r="F248" s="1061"/>
      <c r="G248" s="14"/>
    </row>
    <row r="249" spans="1:7" x14ac:dyDescent="0.2">
      <c r="A249" s="65">
        <v>35095</v>
      </c>
      <c r="B249" s="76">
        <v>1</v>
      </c>
      <c r="F249" s="1061"/>
      <c r="G249" s="14"/>
    </row>
    <row r="250" spans="1:7" x14ac:dyDescent="0.2">
      <c r="A250" s="65">
        <v>35124</v>
      </c>
      <c r="B250" s="76">
        <v>1</v>
      </c>
      <c r="F250" s="1061"/>
      <c r="G250" s="14"/>
    </row>
    <row r="251" spans="1:7" x14ac:dyDescent="0.2">
      <c r="A251" s="65">
        <v>35155</v>
      </c>
      <c r="B251" s="76">
        <v>1</v>
      </c>
      <c r="F251" s="1061"/>
      <c r="G251" s="14"/>
    </row>
    <row r="252" spans="1:7" x14ac:dyDescent="0.2">
      <c r="A252" s="65">
        <v>35185</v>
      </c>
      <c r="B252" s="76">
        <v>0.79039999999999999</v>
      </c>
      <c r="F252" s="1061"/>
      <c r="G252" s="14"/>
    </row>
    <row r="253" spans="1:7" x14ac:dyDescent="0.2">
      <c r="A253" s="65">
        <v>35216</v>
      </c>
      <c r="B253" s="76">
        <v>0.79039999999999999</v>
      </c>
      <c r="F253" s="1061"/>
      <c r="G253" s="14"/>
    </row>
    <row r="254" spans="1:7" x14ac:dyDescent="0.2">
      <c r="A254" s="65">
        <v>35246</v>
      </c>
      <c r="B254" s="76">
        <v>0.79039999999999999</v>
      </c>
      <c r="F254" s="1061"/>
      <c r="G254" s="14"/>
    </row>
    <row r="255" spans="1:7" x14ac:dyDescent="0.2">
      <c r="A255" s="65">
        <v>35277</v>
      </c>
      <c r="B255" s="76">
        <v>-0.2339</v>
      </c>
      <c r="F255" s="1061"/>
      <c r="G255" s="14"/>
    </row>
    <row r="256" spans="1:7" x14ac:dyDescent="0.2">
      <c r="A256" s="65">
        <v>35308</v>
      </c>
      <c r="B256" s="76">
        <v>-0.2339</v>
      </c>
      <c r="F256" s="1061"/>
      <c r="G256" s="14"/>
    </row>
    <row r="257" spans="1:7" x14ac:dyDescent="0.2">
      <c r="A257" s="65">
        <v>35338</v>
      </c>
      <c r="B257" s="76">
        <v>-0.2339</v>
      </c>
      <c r="F257" s="1061"/>
      <c r="G257" s="14"/>
    </row>
    <row r="258" spans="1:7" x14ac:dyDescent="0.2">
      <c r="A258" s="65">
        <v>35369</v>
      </c>
      <c r="B258" s="76">
        <v>0.4249</v>
      </c>
      <c r="F258" s="1061"/>
      <c r="G258" s="14"/>
    </row>
    <row r="259" spans="1:7" x14ac:dyDescent="0.2">
      <c r="A259" s="65">
        <v>35399</v>
      </c>
      <c r="B259" s="76">
        <v>0.4249</v>
      </c>
      <c r="F259" s="1061"/>
      <c r="G259" s="14"/>
    </row>
    <row r="260" spans="1:7" x14ac:dyDescent="0.2">
      <c r="A260" s="65">
        <v>35430</v>
      </c>
      <c r="B260" s="76">
        <v>0.4249</v>
      </c>
      <c r="F260" s="1061"/>
      <c r="G260" s="14"/>
    </row>
    <row r="261" spans="1:7" x14ac:dyDescent="0.2">
      <c r="A261" s="65">
        <v>35461</v>
      </c>
      <c r="B261" s="76">
        <v>-3.35</v>
      </c>
      <c r="F261" s="1061"/>
      <c r="G261" s="14"/>
    </row>
    <row r="262" spans="1:7" x14ac:dyDescent="0.2">
      <c r="A262" s="65">
        <v>35489</v>
      </c>
      <c r="B262" s="76">
        <v>1.29</v>
      </c>
      <c r="F262" s="1061"/>
      <c r="G262" s="14"/>
    </row>
    <row r="263" spans="1:7" x14ac:dyDescent="0.2">
      <c r="A263" s="65">
        <v>35520</v>
      </c>
      <c r="B263" s="76">
        <v>-0.17</v>
      </c>
      <c r="F263" s="1061"/>
      <c r="G263" s="14"/>
    </row>
    <row r="264" spans="1:7" x14ac:dyDescent="0.2">
      <c r="A264" s="65">
        <v>35550</v>
      </c>
      <c r="B264" s="76">
        <v>1.1499999999999999</v>
      </c>
      <c r="F264" s="1061"/>
      <c r="G264" s="14"/>
    </row>
    <row r="265" spans="1:7" x14ac:dyDescent="0.2">
      <c r="A265" s="65">
        <v>35581</v>
      </c>
      <c r="B265" s="76">
        <v>6.74</v>
      </c>
      <c r="F265" s="1061"/>
      <c r="G265" s="14"/>
    </row>
    <row r="266" spans="1:7" x14ac:dyDescent="0.2">
      <c r="A266" s="65">
        <v>35611</v>
      </c>
      <c r="B266" s="76">
        <v>5.9</v>
      </c>
      <c r="F266" s="1061"/>
      <c r="G266" s="14"/>
    </row>
    <row r="267" spans="1:7" x14ac:dyDescent="0.2">
      <c r="A267" s="65">
        <v>35642</v>
      </c>
      <c r="B267" s="76">
        <v>1.43</v>
      </c>
      <c r="F267" s="1061"/>
      <c r="G267" s="14"/>
    </row>
    <row r="268" spans="1:7" x14ac:dyDescent="0.2">
      <c r="A268" s="65">
        <v>35673</v>
      </c>
      <c r="B268" s="76">
        <v>-7.35</v>
      </c>
      <c r="F268" s="1061"/>
      <c r="G268" s="14"/>
    </row>
    <row r="269" spans="1:7" x14ac:dyDescent="0.2">
      <c r="A269" s="65">
        <v>35703</v>
      </c>
      <c r="B269" s="76">
        <v>5.49</v>
      </c>
      <c r="F269" s="1061"/>
      <c r="G269" s="14"/>
    </row>
    <row r="270" spans="1:7" x14ac:dyDescent="0.2">
      <c r="A270" s="65">
        <v>35734</v>
      </c>
      <c r="B270" s="76">
        <v>-7.78</v>
      </c>
      <c r="F270" s="1061"/>
      <c r="G270" s="14"/>
    </row>
    <row r="271" spans="1:7" x14ac:dyDescent="0.2">
      <c r="A271" s="65">
        <v>35764</v>
      </c>
      <c r="B271" s="76">
        <v>-1.0900000000000001</v>
      </c>
      <c r="F271" s="1061"/>
      <c r="G271" s="14"/>
    </row>
    <row r="272" spans="1:7" x14ac:dyDescent="0.2">
      <c r="A272" s="65">
        <v>35795</v>
      </c>
      <c r="B272" s="76">
        <v>0.65</v>
      </c>
      <c r="F272" s="1061"/>
      <c r="G272" s="14"/>
    </row>
    <row r="273" spans="1:7" x14ac:dyDescent="0.2">
      <c r="A273" s="65">
        <v>35826</v>
      </c>
      <c r="B273" s="76">
        <v>4.32</v>
      </c>
      <c r="F273" s="1061"/>
      <c r="G273" s="14"/>
    </row>
    <row r="274" spans="1:7" x14ac:dyDescent="0.2">
      <c r="A274" s="65">
        <v>35854</v>
      </c>
      <c r="B274" s="76">
        <v>6.47</v>
      </c>
      <c r="F274" s="1061"/>
      <c r="G274" s="14"/>
    </row>
    <row r="275" spans="1:7" x14ac:dyDescent="0.2">
      <c r="A275" s="65">
        <v>35885</v>
      </c>
      <c r="B275" s="76">
        <v>3.66</v>
      </c>
      <c r="F275" s="1061"/>
      <c r="G275" s="14"/>
    </row>
    <row r="276" spans="1:7" x14ac:dyDescent="0.2">
      <c r="A276" s="65">
        <v>35915</v>
      </c>
      <c r="B276" s="76">
        <v>0.97</v>
      </c>
      <c r="F276" s="1061"/>
      <c r="G276" s="14"/>
    </row>
    <row r="277" spans="1:7" x14ac:dyDescent="0.2">
      <c r="A277" s="65">
        <v>35946</v>
      </c>
      <c r="B277" s="76">
        <v>0.01</v>
      </c>
      <c r="F277" s="1061"/>
      <c r="G277" s="14"/>
    </row>
    <row r="278" spans="1:7" x14ac:dyDescent="0.2">
      <c r="A278" s="65">
        <v>35976</v>
      </c>
      <c r="B278" s="76">
        <v>0.77</v>
      </c>
      <c r="F278" s="1061"/>
      <c r="G278" s="14"/>
    </row>
    <row r="279" spans="1:7" x14ac:dyDescent="0.2">
      <c r="A279" s="65">
        <v>36007</v>
      </c>
      <c r="B279" s="76">
        <v>0.66</v>
      </c>
      <c r="F279" s="1061"/>
      <c r="G279" s="14"/>
    </row>
    <row r="280" spans="1:7" x14ac:dyDescent="0.2">
      <c r="A280" s="65">
        <v>36038</v>
      </c>
      <c r="B280" s="76">
        <v>-13.2</v>
      </c>
      <c r="F280" s="1061"/>
      <c r="G280" s="14"/>
    </row>
    <row r="281" spans="1:7" x14ac:dyDescent="0.2">
      <c r="A281" s="65">
        <v>36068</v>
      </c>
      <c r="B281" s="76">
        <v>-2.4900000000000002</v>
      </c>
      <c r="F281" s="1061"/>
      <c r="G281" s="14"/>
    </row>
    <row r="282" spans="1:7" x14ac:dyDescent="0.2">
      <c r="A282" s="65">
        <v>36099</v>
      </c>
      <c r="B282" s="76">
        <v>9.8699999999999992</v>
      </c>
      <c r="F282" s="1061"/>
      <c r="G282" s="14"/>
    </row>
    <row r="283" spans="1:7" x14ac:dyDescent="0.2">
      <c r="A283" s="65">
        <v>36129</v>
      </c>
      <c r="B283" s="76">
        <v>5.25</v>
      </c>
      <c r="F283" s="1061"/>
      <c r="G283" s="14"/>
    </row>
    <row r="284" spans="1:7" x14ac:dyDescent="0.2">
      <c r="A284" s="65">
        <v>36160</v>
      </c>
      <c r="B284" s="76">
        <v>2.9</v>
      </c>
      <c r="F284" s="1061"/>
      <c r="G284" s="14"/>
    </row>
    <row r="285" spans="1:7" x14ac:dyDescent="0.2">
      <c r="A285" s="65">
        <v>36191</v>
      </c>
      <c r="B285" s="76">
        <v>2.1800000000000002</v>
      </c>
      <c r="F285" s="1061"/>
      <c r="G285" s="14"/>
    </row>
    <row r="286" spans="1:7" x14ac:dyDescent="0.2">
      <c r="A286" s="65">
        <v>36219</v>
      </c>
      <c r="B286" s="76">
        <v>-2.06</v>
      </c>
      <c r="F286" s="1061"/>
      <c r="G286" s="14"/>
    </row>
    <row r="287" spans="1:7" x14ac:dyDescent="0.2">
      <c r="A287" s="65">
        <v>36250</v>
      </c>
      <c r="B287" s="76">
        <v>4.9800000000000004</v>
      </c>
      <c r="F287" s="1061"/>
      <c r="G287" s="14"/>
    </row>
    <row r="288" spans="1:7" x14ac:dyDescent="0.2">
      <c r="A288" s="65">
        <v>36280</v>
      </c>
      <c r="B288" s="76">
        <v>6</v>
      </c>
      <c r="F288" s="1061"/>
      <c r="G288" s="14"/>
    </row>
    <row r="289" spans="1:7" x14ac:dyDescent="0.2">
      <c r="A289" s="65">
        <v>36311</v>
      </c>
      <c r="B289" s="76">
        <v>-3.31</v>
      </c>
      <c r="F289" s="1061"/>
      <c r="G289" s="14"/>
    </row>
    <row r="290" spans="1:7" x14ac:dyDescent="0.2">
      <c r="A290" s="65">
        <v>36341</v>
      </c>
      <c r="B290" s="76">
        <v>4.5199999999999996</v>
      </c>
      <c r="F290" s="1061"/>
      <c r="G290" s="14"/>
    </row>
    <row r="291" spans="1:7" x14ac:dyDescent="0.2">
      <c r="A291" s="65">
        <v>36372</v>
      </c>
      <c r="B291" s="76">
        <v>2.73</v>
      </c>
      <c r="F291" s="1061"/>
      <c r="G291" s="14"/>
    </row>
    <row r="292" spans="1:7" x14ac:dyDescent="0.2">
      <c r="A292" s="65">
        <v>36403</v>
      </c>
      <c r="B292" s="76">
        <v>1.07</v>
      </c>
      <c r="F292" s="1061"/>
      <c r="G292" s="14"/>
    </row>
    <row r="293" spans="1:7" x14ac:dyDescent="0.2">
      <c r="A293" s="65">
        <v>36433</v>
      </c>
      <c r="B293" s="76">
        <v>0.37</v>
      </c>
      <c r="F293" s="1061"/>
      <c r="G293" s="14"/>
    </row>
    <row r="294" spans="1:7" x14ac:dyDescent="0.2">
      <c r="A294" s="65">
        <v>36464</v>
      </c>
      <c r="B294" s="76">
        <v>3.96</v>
      </c>
      <c r="F294" s="1061"/>
      <c r="G294" s="14"/>
    </row>
    <row r="295" spans="1:7" x14ac:dyDescent="0.2">
      <c r="A295" s="65">
        <v>36494</v>
      </c>
      <c r="B295" s="76">
        <v>5.96</v>
      </c>
      <c r="F295" s="1061"/>
      <c r="G295" s="14"/>
    </row>
    <row r="296" spans="1:7" x14ac:dyDescent="0.2">
      <c r="A296" s="65">
        <v>36525</v>
      </c>
      <c r="B296" s="76">
        <v>12.14</v>
      </c>
      <c r="F296" s="1061"/>
      <c r="G296" s="14"/>
    </row>
    <row r="297" spans="1:7" x14ac:dyDescent="0.2">
      <c r="A297" s="65">
        <v>36556</v>
      </c>
      <c r="B297" s="76">
        <v>-6.1</v>
      </c>
      <c r="F297" s="1061"/>
      <c r="G297" s="14"/>
    </row>
    <row r="298" spans="1:7" x14ac:dyDescent="0.2">
      <c r="A298" s="65">
        <v>36585</v>
      </c>
      <c r="B298" s="76">
        <v>3.27</v>
      </c>
      <c r="F298" s="1061"/>
      <c r="G298" s="14"/>
    </row>
    <row r="299" spans="1:7" x14ac:dyDescent="0.2">
      <c r="A299" s="65">
        <v>36616</v>
      </c>
      <c r="B299" s="76">
        <v>3.88</v>
      </c>
      <c r="F299" s="1061"/>
      <c r="G299" s="14"/>
    </row>
    <row r="300" spans="1:7" x14ac:dyDescent="0.2">
      <c r="A300" s="65">
        <v>36646</v>
      </c>
      <c r="B300" s="76">
        <v>-4.54</v>
      </c>
      <c r="F300" s="1061"/>
      <c r="G300" s="14"/>
    </row>
    <row r="301" spans="1:7" x14ac:dyDescent="0.2">
      <c r="A301" s="65">
        <v>36677</v>
      </c>
      <c r="B301" s="76">
        <v>-1.23</v>
      </c>
      <c r="F301" s="1061"/>
      <c r="G301" s="14"/>
    </row>
    <row r="302" spans="1:7" x14ac:dyDescent="0.2">
      <c r="A302" s="65">
        <v>36707</v>
      </c>
      <c r="B302" s="76">
        <v>4.88</v>
      </c>
      <c r="F302" s="1061"/>
      <c r="G302" s="14"/>
    </row>
    <row r="303" spans="1:7" x14ac:dyDescent="0.2">
      <c r="A303" s="65">
        <v>36738</v>
      </c>
      <c r="B303" s="76">
        <v>-3.54</v>
      </c>
      <c r="F303" s="1061"/>
      <c r="G303" s="14"/>
    </row>
    <row r="304" spans="1:7" x14ac:dyDescent="0.2">
      <c r="A304" s="65">
        <v>36769</v>
      </c>
      <c r="B304" s="76">
        <v>1.6</v>
      </c>
      <c r="F304" s="1061"/>
      <c r="G304" s="14"/>
    </row>
    <row r="305" spans="1:7" x14ac:dyDescent="0.2">
      <c r="A305" s="65">
        <v>36799</v>
      </c>
      <c r="B305" s="76">
        <v>-5.4</v>
      </c>
      <c r="F305" s="1061"/>
      <c r="G305" s="14"/>
    </row>
    <row r="306" spans="1:7" x14ac:dyDescent="0.2">
      <c r="A306" s="65">
        <v>36830</v>
      </c>
      <c r="B306" s="76">
        <v>-2.0299999999999998</v>
      </c>
      <c r="F306" s="1061"/>
      <c r="G306" s="14"/>
    </row>
    <row r="307" spans="1:7" x14ac:dyDescent="0.2">
      <c r="A307" s="65">
        <v>36860</v>
      </c>
      <c r="B307" s="76">
        <v>-3.16</v>
      </c>
      <c r="F307" s="1061"/>
      <c r="G307" s="14"/>
    </row>
    <row r="308" spans="1:7" x14ac:dyDescent="0.2">
      <c r="A308" s="65">
        <v>36891</v>
      </c>
      <c r="B308" s="76">
        <v>3.47</v>
      </c>
      <c r="F308" s="1061"/>
      <c r="G308" s="14"/>
    </row>
    <row r="309" spans="1:7" x14ac:dyDescent="0.2">
      <c r="A309" s="65">
        <v>36922</v>
      </c>
      <c r="B309" s="76">
        <v>1.03</v>
      </c>
      <c r="F309" s="1061"/>
      <c r="G309" s="14"/>
    </row>
    <row r="310" spans="1:7" x14ac:dyDescent="0.2">
      <c r="A310" s="65">
        <v>36950</v>
      </c>
      <c r="B310" s="76">
        <v>-7.25</v>
      </c>
      <c r="F310" s="1061"/>
      <c r="G310" s="14"/>
    </row>
    <row r="311" spans="1:7" x14ac:dyDescent="0.2">
      <c r="A311" s="65">
        <v>36981</v>
      </c>
      <c r="B311" s="76">
        <v>-6.16</v>
      </c>
      <c r="F311" s="1061"/>
      <c r="G311" s="14"/>
    </row>
    <row r="312" spans="1:7" x14ac:dyDescent="0.2">
      <c r="A312" s="65">
        <v>37011</v>
      </c>
      <c r="B312" s="76">
        <v>7.41</v>
      </c>
      <c r="F312" s="1061"/>
      <c r="G312" s="14"/>
    </row>
    <row r="313" spans="1:7" x14ac:dyDescent="0.2">
      <c r="A313" s="65">
        <v>37042</v>
      </c>
      <c r="B313" s="76">
        <v>-3.12</v>
      </c>
      <c r="F313" s="1061"/>
      <c r="G313" s="14"/>
    </row>
    <row r="314" spans="1:7" x14ac:dyDescent="0.2">
      <c r="A314" s="65">
        <v>37072</v>
      </c>
      <c r="B314" s="76">
        <v>-3.48</v>
      </c>
      <c r="F314" s="1061"/>
      <c r="G314" s="14"/>
    </row>
    <row r="315" spans="1:7" x14ac:dyDescent="0.2">
      <c r="A315" s="65">
        <v>37103</v>
      </c>
      <c r="B315" s="76">
        <v>-2.48</v>
      </c>
      <c r="F315" s="1061"/>
      <c r="G315" s="14"/>
    </row>
    <row r="316" spans="1:7" x14ac:dyDescent="0.2">
      <c r="A316" s="65">
        <v>37134</v>
      </c>
      <c r="B316" s="76">
        <v>-1.94</v>
      </c>
      <c r="F316" s="1061"/>
      <c r="G316" s="14"/>
    </row>
    <row r="317" spans="1:7" x14ac:dyDescent="0.2">
      <c r="A317" s="65">
        <v>37164</v>
      </c>
      <c r="B317" s="76">
        <v>-11.04</v>
      </c>
      <c r="F317" s="1061"/>
      <c r="G317" s="14"/>
    </row>
    <row r="318" spans="1:7" x14ac:dyDescent="0.2">
      <c r="A318" s="65">
        <v>37195</v>
      </c>
      <c r="B318" s="76">
        <v>3</v>
      </c>
      <c r="F318" s="1061"/>
      <c r="G318" s="14"/>
    </row>
    <row r="319" spans="1:7" x14ac:dyDescent="0.2">
      <c r="A319" s="65">
        <v>37225</v>
      </c>
      <c r="B319" s="76">
        <v>4.32</v>
      </c>
      <c r="F319" s="1061"/>
      <c r="G319" s="14"/>
    </row>
    <row r="320" spans="1:7" x14ac:dyDescent="0.2">
      <c r="A320" s="65">
        <v>37256</v>
      </c>
      <c r="B320" s="76">
        <v>1.26</v>
      </c>
      <c r="F320" s="1061"/>
      <c r="G320" s="14"/>
    </row>
    <row r="321" spans="1:7" x14ac:dyDescent="0.2">
      <c r="A321" s="65">
        <v>37287</v>
      </c>
      <c r="B321" s="76">
        <v>-4.45</v>
      </c>
      <c r="F321" s="1061"/>
      <c r="G321" s="14"/>
    </row>
    <row r="322" spans="1:7" x14ac:dyDescent="0.2">
      <c r="A322" s="65">
        <v>37315</v>
      </c>
      <c r="B322" s="76">
        <v>0.79</v>
      </c>
      <c r="F322" s="1061"/>
      <c r="G322" s="14"/>
    </row>
    <row r="323" spans="1:7" x14ac:dyDescent="0.2">
      <c r="A323" s="65">
        <v>37346</v>
      </c>
      <c r="B323" s="76">
        <v>5.59</v>
      </c>
      <c r="F323" s="1061"/>
      <c r="G323" s="14"/>
    </row>
    <row r="324" spans="1:7" x14ac:dyDescent="0.2">
      <c r="A324" s="65">
        <v>37376</v>
      </c>
      <c r="B324" s="76">
        <v>0.83</v>
      </c>
      <c r="C324" s="231">
        <v>3322596561</v>
      </c>
      <c r="F324" s="1061"/>
      <c r="G324" s="14"/>
    </row>
    <row r="325" spans="1:7" x14ac:dyDescent="0.2">
      <c r="A325" s="65">
        <v>37407</v>
      </c>
      <c r="B325" s="76">
        <v>1.31</v>
      </c>
      <c r="C325" s="231">
        <v>3365520414</v>
      </c>
      <c r="F325" s="1061"/>
      <c r="G325" s="14"/>
    </row>
    <row r="326" spans="1:7" x14ac:dyDescent="0.2">
      <c r="A326" s="65">
        <v>37437</v>
      </c>
      <c r="B326" s="76">
        <v>-4.8099999999999996</v>
      </c>
      <c r="C326" s="231">
        <v>3203712904</v>
      </c>
      <c r="F326" s="1061"/>
      <c r="G326" s="14"/>
    </row>
    <row r="327" spans="1:7" x14ac:dyDescent="0.2">
      <c r="A327" s="65">
        <v>37468</v>
      </c>
      <c r="B327" s="76">
        <v>-9.8917999999999999</v>
      </c>
      <c r="C327" s="231">
        <v>2886754568.4699998</v>
      </c>
      <c r="F327" s="1061"/>
      <c r="G327" s="14"/>
    </row>
    <row r="328" spans="1:7" x14ac:dyDescent="0.2">
      <c r="A328" s="65">
        <v>37499</v>
      </c>
      <c r="B328" s="76">
        <v>-0.22320000000000001</v>
      </c>
      <c r="C328" s="231">
        <v>2880406065.8400002</v>
      </c>
      <c r="F328" s="1061"/>
      <c r="G328" s="14"/>
    </row>
    <row r="329" spans="1:7" x14ac:dyDescent="0.2">
      <c r="A329" s="65">
        <v>37529</v>
      </c>
      <c r="B329" s="76">
        <v>-11.570399999999999</v>
      </c>
      <c r="C329" s="231">
        <v>2612630794.9299998</v>
      </c>
      <c r="F329" s="1061"/>
      <c r="G329" s="14"/>
    </row>
    <row r="330" spans="1:7" x14ac:dyDescent="0.2">
      <c r="A330" s="65">
        <v>37560</v>
      </c>
      <c r="B330" s="76">
        <v>6.5061999999999998</v>
      </c>
      <c r="C330" s="231">
        <v>2782584669.8699999</v>
      </c>
      <c r="F330" s="1061"/>
      <c r="G330" s="14"/>
    </row>
    <row r="331" spans="1:7" x14ac:dyDescent="0.2">
      <c r="A331" s="65">
        <v>37590</v>
      </c>
      <c r="B331" s="76">
        <v>4.8849999999999998</v>
      </c>
      <c r="C331" s="231">
        <v>2919317111.5100002</v>
      </c>
      <c r="F331" s="1061"/>
      <c r="G331" s="14"/>
    </row>
    <row r="332" spans="1:7" x14ac:dyDescent="0.2">
      <c r="A332" s="65">
        <v>37621</v>
      </c>
      <c r="B332" s="76">
        <v>-4.2828999999999997</v>
      </c>
      <c r="C332" s="231">
        <v>2796458152.25</v>
      </c>
      <c r="F332" s="1061"/>
      <c r="G332" s="14"/>
    </row>
    <row r="333" spans="1:7" x14ac:dyDescent="0.2">
      <c r="A333" s="65">
        <v>37652</v>
      </c>
      <c r="B333" s="76">
        <v>-3.0354000000000001</v>
      </c>
      <c r="C333" s="231">
        <v>2711546756.7600002</v>
      </c>
      <c r="F333" s="1061"/>
      <c r="G333" s="14"/>
    </row>
    <row r="334" spans="1:7" x14ac:dyDescent="0.2">
      <c r="A334" s="65">
        <v>37680</v>
      </c>
      <c r="B334" s="76">
        <v>-3.6701000000000001</v>
      </c>
      <c r="C334" s="231">
        <v>2612022392.4299998</v>
      </c>
      <c r="F334" s="1061"/>
      <c r="G334" s="14"/>
    </row>
    <row r="335" spans="1:7" x14ac:dyDescent="0.2">
      <c r="A335" s="65">
        <v>37711</v>
      </c>
      <c r="B335" s="76">
        <v>-2.5981999999999998</v>
      </c>
      <c r="C335" s="231">
        <v>2546132114.7800002</v>
      </c>
      <c r="F335" s="1061"/>
      <c r="G335" s="14"/>
    </row>
    <row r="336" spans="1:7" x14ac:dyDescent="0.2">
      <c r="A336" s="65">
        <v>37741</v>
      </c>
      <c r="B336" s="76">
        <v>10.645799999999999</v>
      </c>
      <c r="C336" s="231">
        <v>2818150728.3899999</v>
      </c>
      <c r="F336" s="1061"/>
      <c r="G336" s="14"/>
    </row>
    <row r="337" spans="1:7" x14ac:dyDescent="0.2">
      <c r="A337" s="65">
        <v>37772</v>
      </c>
      <c r="B337" s="76">
        <v>6.5303000000000004</v>
      </c>
      <c r="C337" s="231">
        <v>3002136356.2800002</v>
      </c>
      <c r="F337" s="1061"/>
      <c r="G337" s="14"/>
    </row>
    <row r="338" spans="1:7" x14ac:dyDescent="0.2">
      <c r="A338" s="65">
        <v>37802</v>
      </c>
      <c r="B338" s="76">
        <v>2.5249000000000001</v>
      </c>
      <c r="C338" s="231">
        <v>3079562736.3499999</v>
      </c>
      <c r="F338" s="1061"/>
      <c r="G338" s="14"/>
    </row>
    <row r="339" spans="1:7" x14ac:dyDescent="0.2">
      <c r="A339" s="65">
        <v>37833</v>
      </c>
      <c r="B339" s="76">
        <v>3.26</v>
      </c>
      <c r="C339" s="231">
        <v>3180407933.4499998</v>
      </c>
      <c r="F339" s="1061"/>
      <c r="G339" s="14"/>
    </row>
    <row r="340" spans="1:7" x14ac:dyDescent="0.2">
      <c r="A340" s="65">
        <v>37864</v>
      </c>
      <c r="B340" s="76">
        <v>3.1871</v>
      </c>
      <c r="C340" s="231">
        <v>3281754612.3600001</v>
      </c>
      <c r="F340" s="1061"/>
      <c r="G340" s="14"/>
    </row>
    <row r="341" spans="1:7" x14ac:dyDescent="0.2">
      <c r="A341" s="65">
        <v>37894</v>
      </c>
      <c r="B341" s="76">
        <v>2.0063</v>
      </c>
      <c r="C341" s="231">
        <v>3349456047.73</v>
      </c>
      <c r="F341" s="1061"/>
      <c r="G341" s="14"/>
    </row>
    <row r="342" spans="1:7" x14ac:dyDescent="0.2">
      <c r="A342" s="65">
        <v>37925</v>
      </c>
      <c r="B342" s="76">
        <v>6.5148999999999999</v>
      </c>
      <c r="C342" s="231">
        <v>3522270805.21</v>
      </c>
      <c r="F342" s="1061"/>
      <c r="G342" s="14"/>
    </row>
    <row r="343" spans="1:7" x14ac:dyDescent="0.2">
      <c r="A343" s="65">
        <v>37955</v>
      </c>
      <c r="B343" s="76">
        <v>2.5733000000000001</v>
      </c>
      <c r="C343" s="231">
        <v>3612893682.2800002</v>
      </c>
      <c r="F343" s="1061"/>
      <c r="G343" s="14"/>
    </row>
    <row r="344" spans="1:7" x14ac:dyDescent="0.2">
      <c r="A344" s="65">
        <v>37986</v>
      </c>
      <c r="B344" s="76">
        <v>7.3667999999999996</v>
      </c>
      <c r="C344" s="231">
        <v>3839724703.3299999</v>
      </c>
      <c r="F344" s="1061"/>
      <c r="G344" s="14"/>
    </row>
    <row r="345" spans="1:7" x14ac:dyDescent="0.2">
      <c r="A345" s="65">
        <v>38017</v>
      </c>
      <c r="B345" s="76">
        <v>2.2262</v>
      </c>
      <c r="C345" s="231">
        <v>3524050584.1999998</v>
      </c>
      <c r="F345" s="1061"/>
      <c r="G345" s="14"/>
    </row>
    <row r="346" spans="1:7" x14ac:dyDescent="0.2">
      <c r="A346" s="65">
        <v>38046</v>
      </c>
      <c r="B346" s="76">
        <v>2.2201</v>
      </c>
      <c r="C346" s="231">
        <v>3568145788.6399999</v>
      </c>
      <c r="F346" s="1061"/>
      <c r="G346" s="14"/>
    </row>
    <row r="347" spans="1:7" x14ac:dyDescent="0.2">
      <c r="A347" s="65">
        <v>38077</v>
      </c>
      <c r="B347" s="76">
        <v>0.42130000000000001</v>
      </c>
      <c r="C347" s="231">
        <v>3555402663.2800002</v>
      </c>
      <c r="F347" s="1061"/>
      <c r="G347" s="14"/>
    </row>
    <row r="348" spans="1:7" x14ac:dyDescent="0.2">
      <c r="A348" s="65">
        <v>38107</v>
      </c>
      <c r="B348" s="76">
        <v>-2.2993999999999999</v>
      </c>
      <c r="C348" s="231">
        <v>3428745911.1599998</v>
      </c>
      <c r="F348" s="1061"/>
      <c r="G348" s="14"/>
    </row>
    <row r="349" spans="1:7" x14ac:dyDescent="0.2">
      <c r="A349" s="65">
        <v>38138</v>
      </c>
      <c r="B349" s="76">
        <v>0.33500000000000002</v>
      </c>
      <c r="C349" s="231">
        <v>3394167159.7399998</v>
      </c>
      <c r="F349" s="1061"/>
      <c r="G349" s="14"/>
    </row>
    <row r="350" spans="1:7" x14ac:dyDescent="0.2">
      <c r="A350" s="65">
        <v>38168</v>
      </c>
      <c r="B350" s="76">
        <v>2.3668</v>
      </c>
      <c r="C350" s="231">
        <v>3476771029.1599998</v>
      </c>
      <c r="F350" s="1061"/>
      <c r="G350" s="14"/>
    </row>
    <row r="351" spans="1:7" x14ac:dyDescent="0.2">
      <c r="A351" s="65">
        <v>38199</v>
      </c>
      <c r="B351" s="76">
        <v>-3.2244999999999999</v>
      </c>
      <c r="C351" s="231">
        <v>3215888837.4099998</v>
      </c>
      <c r="F351" s="1061"/>
      <c r="G351" s="14"/>
    </row>
    <row r="352" spans="1:7" x14ac:dyDescent="0.2">
      <c r="A352" s="65">
        <v>38230</v>
      </c>
      <c r="B352" s="76">
        <v>2.06E-2</v>
      </c>
      <c r="C352" s="231">
        <v>3155531732.3000002</v>
      </c>
      <c r="F352" s="1061"/>
      <c r="G352" s="14"/>
    </row>
    <row r="353" spans="1:7" x14ac:dyDescent="0.2">
      <c r="A353" s="65">
        <v>38260</v>
      </c>
      <c r="B353" s="76">
        <v>2.1314000000000002</v>
      </c>
      <c r="C353" s="231">
        <v>3225014110.25</v>
      </c>
      <c r="F353" s="1061"/>
      <c r="G353" s="14"/>
    </row>
    <row r="354" spans="1:7" x14ac:dyDescent="0.2">
      <c r="A354" s="65">
        <v>38291</v>
      </c>
      <c r="B354" s="76">
        <v>3.8843999999999999</v>
      </c>
      <c r="C354" s="8">
        <v>3350258758.96</v>
      </c>
      <c r="F354" s="1061"/>
      <c r="G354" s="14"/>
    </row>
    <row r="355" spans="1:7" x14ac:dyDescent="0.2">
      <c r="A355" s="65">
        <v>38321</v>
      </c>
      <c r="B355" s="76">
        <v>6.3738000000000001</v>
      </c>
      <c r="C355" s="8">
        <v>3563782288.3299999</v>
      </c>
      <c r="F355" s="1061"/>
      <c r="G355" s="14"/>
    </row>
    <row r="356" spans="1:7" x14ac:dyDescent="0.2">
      <c r="A356" s="65">
        <v>38352</v>
      </c>
      <c r="B356" s="76">
        <v>3.3485</v>
      </c>
      <c r="C356" s="231">
        <v>3639243309.0700002</v>
      </c>
      <c r="F356" s="1061"/>
      <c r="G356" s="14"/>
    </row>
    <row r="357" spans="1:7" x14ac:dyDescent="0.2">
      <c r="A357" s="65">
        <v>38383</v>
      </c>
      <c r="B357" s="76">
        <v>-1.9374</v>
      </c>
      <c r="C357" s="231">
        <v>3566314057.3899999</v>
      </c>
      <c r="F357" s="1061"/>
      <c r="G357" s="14"/>
    </row>
    <row r="358" spans="1:7" x14ac:dyDescent="0.2">
      <c r="A358" s="65">
        <v>38411</v>
      </c>
      <c r="B358" s="76">
        <v>4.2609000000000004</v>
      </c>
      <c r="C358" s="231">
        <v>3654985776.9499998</v>
      </c>
      <c r="F358" s="1061"/>
      <c r="G358" s="14"/>
    </row>
    <row r="359" spans="1:7" x14ac:dyDescent="0.2">
      <c r="A359" s="65">
        <v>38442</v>
      </c>
      <c r="B359" s="76">
        <v>-2.5179999999999998</v>
      </c>
      <c r="C359" s="232">
        <v>3521373277.3499999</v>
      </c>
      <c r="F359" s="1061"/>
      <c r="G359" s="14"/>
    </row>
    <row r="360" spans="1:7" x14ac:dyDescent="0.2">
      <c r="A360" s="65">
        <v>38472</v>
      </c>
      <c r="B360" s="76">
        <v>-2.4075000000000002</v>
      </c>
      <c r="C360" s="232">
        <v>3390323605.5300002</v>
      </c>
      <c r="F360" s="1061"/>
      <c r="G360" s="14"/>
    </row>
    <row r="361" spans="1:7" x14ac:dyDescent="0.2">
      <c r="A361" s="65">
        <v>38503</v>
      </c>
      <c r="B361" s="76">
        <v>0.21879999999999999</v>
      </c>
      <c r="C361" s="232">
        <v>3397740903.3200002</v>
      </c>
      <c r="F361" s="1061"/>
      <c r="G361" s="14"/>
    </row>
    <row r="362" spans="1:7" x14ac:dyDescent="0.2">
      <c r="A362" s="65">
        <v>38533</v>
      </c>
      <c r="B362" s="76">
        <v>0.93</v>
      </c>
      <c r="C362" s="232">
        <v>3430732278.9200001</v>
      </c>
      <c r="F362" s="1061"/>
      <c r="G362" s="14"/>
    </row>
    <row r="363" spans="1:7" x14ac:dyDescent="0.2">
      <c r="A363" s="65">
        <v>38564</v>
      </c>
      <c r="B363" s="76">
        <v>3.0908000000000002</v>
      </c>
      <c r="C363" s="232">
        <v>3539275609.4699998</v>
      </c>
      <c r="F363" s="1061"/>
      <c r="G363" s="14"/>
    </row>
    <row r="364" spans="1:7" x14ac:dyDescent="0.2">
      <c r="A364" s="65">
        <v>38595</v>
      </c>
      <c r="B364" s="76">
        <v>2.0596000000000001</v>
      </c>
      <c r="C364" s="232">
        <v>3541321604.8899999</v>
      </c>
      <c r="F364" s="1061"/>
      <c r="G364" s="14"/>
    </row>
    <row r="365" spans="1:7" x14ac:dyDescent="0.2">
      <c r="A365" s="65">
        <v>38625</v>
      </c>
      <c r="B365" s="253">
        <v>4.0796999999999999</v>
      </c>
      <c r="C365" s="256">
        <v>3557428414.5700002</v>
      </c>
      <c r="F365" s="1061"/>
      <c r="G365" s="14"/>
    </row>
    <row r="366" spans="1:7" x14ac:dyDescent="0.2">
      <c r="A366" s="65">
        <v>38656</v>
      </c>
      <c r="B366" s="253">
        <v>-2.7387999999999999</v>
      </c>
      <c r="C366" s="256">
        <v>3441630328.3499999</v>
      </c>
      <c r="F366" s="1061"/>
      <c r="G366" s="14"/>
    </row>
    <row r="367" spans="1:7" x14ac:dyDescent="0.2">
      <c r="A367" s="65">
        <v>38686</v>
      </c>
      <c r="B367" s="253">
        <v>2.6280000000000001</v>
      </c>
      <c r="C367" s="256">
        <v>3529608712.98</v>
      </c>
      <c r="F367" s="1061"/>
      <c r="G367" s="14"/>
    </row>
    <row r="368" spans="1:7" x14ac:dyDescent="0.2">
      <c r="A368" s="65">
        <v>38717</v>
      </c>
      <c r="B368" s="253">
        <v>4.3567999999999998</v>
      </c>
      <c r="C368" s="256">
        <v>3686178273.0599999</v>
      </c>
      <c r="F368" s="1061"/>
      <c r="G368" s="14"/>
    </row>
    <row r="369" spans="1:7" x14ac:dyDescent="0.2">
      <c r="A369" s="65">
        <v>38748</v>
      </c>
      <c r="B369" s="253">
        <v>5.1250999999999998</v>
      </c>
      <c r="C369" s="256">
        <v>3870568974.0799999</v>
      </c>
      <c r="F369" s="1061"/>
      <c r="G369" s="14"/>
    </row>
    <row r="370" spans="1:7" x14ac:dyDescent="0.2">
      <c r="A370" s="65">
        <v>38776</v>
      </c>
      <c r="B370" s="253">
        <v>0.34050000000000002</v>
      </c>
      <c r="C370" s="256">
        <v>3883749535.4899998</v>
      </c>
      <c r="F370" s="1061"/>
      <c r="G370" s="14"/>
    </row>
    <row r="371" spans="1:7" x14ac:dyDescent="0.2">
      <c r="A371" s="65">
        <v>38807</v>
      </c>
      <c r="B371" s="128">
        <v>3.3761000000000001</v>
      </c>
      <c r="C371" s="366">
        <v>4018362231.5900002</v>
      </c>
      <c r="F371" s="1061"/>
      <c r="G371" s="14"/>
    </row>
    <row r="372" spans="1:7" x14ac:dyDescent="0.2">
      <c r="A372" s="65">
        <v>38837</v>
      </c>
      <c r="B372" s="128">
        <v>4.7615999999999996</v>
      </c>
      <c r="C372" s="366">
        <v>4161881750.98</v>
      </c>
      <c r="F372" s="1061"/>
      <c r="G372" s="14"/>
    </row>
    <row r="373" spans="1:7" x14ac:dyDescent="0.2">
      <c r="A373" s="65">
        <v>38868</v>
      </c>
      <c r="B373" s="128">
        <v>-4.1844000000000001</v>
      </c>
      <c r="C373" s="366">
        <v>3993180656.7199998</v>
      </c>
      <c r="F373" s="1061"/>
      <c r="G373" s="14"/>
    </row>
    <row r="374" spans="1:7" x14ac:dyDescent="0.2">
      <c r="A374" s="65">
        <v>38898</v>
      </c>
      <c r="B374" s="128">
        <v>-0.42120000000000002</v>
      </c>
      <c r="C374" s="612">
        <v>3940176124.0500002</v>
      </c>
      <c r="D374" s="253"/>
      <c r="F374" s="1061"/>
      <c r="G374" s="14"/>
    </row>
    <row r="375" spans="1:7" x14ac:dyDescent="0.2">
      <c r="A375" s="65">
        <v>38929</v>
      </c>
      <c r="B375" s="253">
        <v>0.877</v>
      </c>
      <c r="C375" s="34">
        <v>3975510833.6300001</v>
      </c>
      <c r="D375" s="253"/>
      <c r="F375" s="1061"/>
      <c r="G375" s="14"/>
    </row>
    <row r="376" spans="1:7" x14ac:dyDescent="0.2">
      <c r="A376" s="65">
        <v>38960</v>
      </c>
      <c r="B376" s="253">
        <v>3.1017000000000001</v>
      </c>
      <c r="C376" s="34">
        <v>4098272765.0300002</v>
      </c>
      <c r="D376" s="253"/>
      <c r="F376" s="1061"/>
      <c r="G376" s="14"/>
    </row>
    <row r="377" spans="1:7" x14ac:dyDescent="0.2">
      <c r="A377" s="65">
        <v>38990</v>
      </c>
      <c r="B377" s="253">
        <v>0.69040000000000001</v>
      </c>
      <c r="C377" s="34">
        <v>4130325140.98</v>
      </c>
      <c r="D377" s="253"/>
      <c r="F377" s="1061"/>
      <c r="G377" s="14"/>
    </row>
    <row r="378" spans="1:7" x14ac:dyDescent="0.2">
      <c r="A378" s="65">
        <v>39021</v>
      </c>
      <c r="B378" s="14">
        <v>3.2658999999999998</v>
      </c>
      <c r="C378" s="8">
        <v>4226335240.5</v>
      </c>
      <c r="F378" s="1061"/>
      <c r="G378" s="14"/>
    </row>
    <row r="379" spans="1:7" x14ac:dyDescent="0.2">
      <c r="A379" s="65">
        <v>39051</v>
      </c>
      <c r="B379" s="14">
        <v>3.3386</v>
      </c>
      <c r="C379" s="8">
        <v>4367408156.2700005</v>
      </c>
      <c r="F379" s="1061"/>
      <c r="G379" s="14"/>
    </row>
    <row r="380" spans="1:7" x14ac:dyDescent="0.2">
      <c r="A380" s="65">
        <v>39082</v>
      </c>
      <c r="B380" s="14">
        <v>3.0556999999999999</v>
      </c>
      <c r="C380" s="352">
        <v>4504886464.0500002</v>
      </c>
      <c r="F380" s="1061"/>
      <c r="G380" s="14"/>
    </row>
    <row r="381" spans="1:7" x14ac:dyDescent="0.2">
      <c r="A381" s="65">
        <v>39113</v>
      </c>
      <c r="B381" s="14">
        <v>0.56659999999999999</v>
      </c>
      <c r="C381" s="352">
        <v>4528362392.1099997</v>
      </c>
      <c r="F381" s="1061"/>
      <c r="G381" s="14"/>
    </row>
    <row r="382" spans="1:7" x14ac:dyDescent="0.2">
      <c r="A382" s="65">
        <v>39141</v>
      </c>
      <c r="B382" s="14">
        <v>1.2807999999999999</v>
      </c>
      <c r="C382" s="352">
        <v>4586333793.7299995</v>
      </c>
      <c r="F382" s="1061"/>
      <c r="G382" s="14"/>
    </row>
    <row r="383" spans="1:7" x14ac:dyDescent="0.2">
      <c r="A383" s="65">
        <v>39172</v>
      </c>
      <c r="B383" s="14">
        <v>2.5741000000000001</v>
      </c>
      <c r="C383" s="352">
        <v>4708759603.21</v>
      </c>
      <c r="F383" s="1061"/>
      <c r="G383" s="14"/>
    </row>
    <row r="384" spans="1:7" x14ac:dyDescent="0.2">
      <c r="A384" s="65">
        <v>39202</v>
      </c>
      <c r="B384" s="14">
        <v>4.3381999999999996</v>
      </c>
      <c r="C384" s="352">
        <v>4913030627.3299999</v>
      </c>
      <c r="F384" s="1061"/>
      <c r="G384" s="14"/>
    </row>
    <row r="385" spans="1:7" x14ac:dyDescent="0.2">
      <c r="A385" s="65">
        <v>39233</v>
      </c>
      <c r="B385" s="14">
        <v>2.0188000000000001</v>
      </c>
      <c r="C385" s="352">
        <v>5012215775.0100002</v>
      </c>
      <c r="F385" s="1061"/>
      <c r="G385" s="14"/>
    </row>
    <row r="386" spans="1:7" x14ac:dyDescent="0.2">
      <c r="A386" s="65">
        <v>39263</v>
      </c>
      <c r="B386" s="14">
        <v>-0.15140000000000001</v>
      </c>
      <c r="C386" s="352">
        <v>5009126315.04</v>
      </c>
      <c r="F386" s="1061"/>
      <c r="G386" s="14"/>
    </row>
    <row r="387" spans="1:7" x14ac:dyDescent="0.2">
      <c r="A387" s="65">
        <v>39294</v>
      </c>
      <c r="B387" s="14">
        <v>-1.0879000000000001</v>
      </c>
      <c r="C387" s="352">
        <v>4954599535.6599998</v>
      </c>
      <c r="F387" s="1061"/>
      <c r="G387" s="14"/>
    </row>
    <row r="388" spans="1:7" x14ac:dyDescent="0.2">
      <c r="A388" s="65">
        <v>39325</v>
      </c>
      <c r="B388" s="14">
        <v>-1.4652000000000001</v>
      </c>
      <c r="C388" s="8">
        <v>4881978216.8400002</v>
      </c>
      <c r="F388" s="1061"/>
      <c r="G388" s="14"/>
    </row>
    <row r="389" spans="1:7" x14ac:dyDescent="0.2">
      <c r="A389" s="65">
        <v>39355</v>
      </c>
      <c r="B389" s="14">
        <v>3.7444999999999999</v>
      </c>
      <c r="C389" s="8">
        <v>5069637757.3800001</v>
      </c>
      <c r="F389" s="1061"/>
      <c r="G389" s="14"/>
    </row>
    <row r="390" spans="1:7" x14ac:dyDescent="0.2">
      <c r="A390" s="65">
        <v>39386</v>
      </c>
      <c r="B390" s="14">
        <v>4.0937999999999999</v>
      </c>
      <c r="C390" s="8">
        <v>5277175303.4200001</v>
      </c>
      <c r="F390" s="1061"/>
      <c r="G390" s="14"/>
    </row>
    <row r="391" spans="1:7" x14ac:dyDescent="0.2">
      <c r="A391" s="65">
        <v>39416</v>
      </c>
      <c r="B391" s="14">
        <v>-3.2761</v>
      </c>
      <c r="C391" s="8">
        <v>5104282210.5</v>
      </c>
      <c r="F391" s="1061"/>
      <c r="G391" s="14"/>
    </row>
    <row r="392" spans="1:7" x14ac:dyDescent="0.2">
      <c r="A392" s="65">
        <v>39447</v>
      </c>
      <c r="B392" s="14">
        <v>-2.2772000000000001</v>
      </c>
      <c r="C392" s="8">
        <v>4992779999.6599998</v>
      </c>
      <c r="F392" s="1061"/>
      <c r="G392" s="14"/>
    </row>
    <row r="393" spans="1:7" x14ac:dyDescent="0.2">
      <c r="A393" s="65">
        <v>39478</v>
      </c>
      <c r="B393" s="14">
        <v>-7.9383999999999997</v>
      </c>
      <c r="C393" s="8">
        <v>4596438271.3699999</v>
      </c>
    </row>
    <row r="394" spans="1:7" x14ac:dyDescent="0.2">
      <c r="A394" s="65">
        <v>39507</v>
      </c>
      <c r="B394" s="14">
        <v>0.83750000000000002</v>
      </c>
      <c r="C394" s="8">
        <v>4634934690.6000004</v>
      </c>
    </row>
    <row r="395" spans="1:7" x14ac:dyDescent="0.2">
      <c r="A395" s="65">
        <v>39538</v>
      </c>
      <c r="B395" s="14">
        <v>-2.1051000000000002</v>
      </c>
      <c r="C395" s="8">
        <v>4541945500.46</v>
      </c>
    </row>
    <row r="396" spans="1:7" x14ac:dyDescent="0.2">
      <c r="A396" s="65">
        <v>39568</v>
      </c>
      <c r="B396" s="14">
        <v>6.0137</v>
      </c>
      <c r="C396" s="8">
        <v>4815080469.6400003</v>
      </c>
    </row>
    <row r="397" spans="1:7" x14ac:dyDescent="0.2">
      <c r="A397" s="65">
        <v>39599</v>
      </c>
      <c r="B397" s="240">
        <v>1.7822</v>
      </c>
      <c r="C397" s="8">
        <v>4699626614.6000004</v>
      </c>
    </row>
    <row r="398" spans="1:7" x14ac:dyDescent="0.2">
      <c r="A398" s="65">
        <v>39629</v>
      </c>
      <c r="B398" s="240">
        <v>-8.6592000000000002</v>
      </c>
      <c r="C398" s="8">
        <v>4296806576</v>
      </c>
    </row>
    <row r="399" spans="1:7" x14ac:dyDescent="0.2">
      <c r="A399" s="65">
        <v>39660</v>
      </c>
      <c r="B399" s="240">
        <v>-2.4927000000000001</v>
      </c>
      <c r="C399" s="1207">
        <v>4189698032.8000002</v>
      </c>
    </row>
    <row r="400" spans="1:7" x14ac:dyDescent="0.2">
      <c r="A400" s="65">
        <v>39691</v>
      </c>
      <c r="B400" s="240">
        <v>-3.4552</v>
      </c>
      <c r="C400" s="1207">
        <v>4044933059.73</v>
      </c>
    </row>
    <row r="401" spans="1:3" x14ac:dyDescent="0.2">
      <c r="A401" s="65">
        <v>39721</v>
      </c>
      <c r="B401" s="240">
        <v>-13.8873</v>
      </c>
      <c r="C401" s="1207">
        <v>3486910831.9099998</v>
      </c>
    </row>
    <row r="402" spans="1:3" x14ac:dyDescent="0.2">
      <c r="A402" s="65">
        <v>39752</v>
      </c>
      <c r="B402" s="14">
        <v>-20.614100000000001</v>
      </c>
      <c r="C402" s="8">
        <v>2768114471</v>
      </c>
    </row>
    <row r="403" spans="1:3" x14ac:dyDescent="0.2">
      <c r="A403" s="65">
        <v>39782</v>
      </c>
      <c r="B403" s="14">
        <v>-5.6535000000000002</v>
      </c>
      <c r="C403" s="8">
        <v>2611618917</v>
      </c>
    </row>
    <row r="404" spans="1:3" x14ac:dyDescent="0.2">
      <c r="A404" s="65">
        <v>39813</v>
      </c>
      <c r="B404" s="14">
        <v>7.4630000000000001</v>
      </c>
      <c r="C404" s="8">
        <v>2809780108</v>
      </c>
    </row>
    <row r="405" spans="1:3" x14ac:dyDescent="0.2">
      <c r="A405" s="65">
        <v>39844</v>
      </c>
      <c r="B405" s="14">
        <v>-8.81</v>
      </c>
    </row>
    <row r="406" spans="1:3" x14ac:dyDescent="0.2">
      <c r="A406" s="65">
        <v>39872</v>
      </c>
      <c r="B406" s="14">
        <v>-9.9499999999999993</v>
      </c>
    </row>
    <row r="407" spans="1:3" x14ac:dyDescent="0.2">
      <c r="A407" s="65">
        <v>39903</v>
      </c>
      <c r="B407" s="243">
        <v>6.86</v>
      </c>
    </row>
    <row r="408" spans="1:3" x14ac:dyDescent="0.2">
      <c r="A408" s="65">
        <v>39933</v>
      </c>
      <c r="B408" s="14">
        <v>12.77999999999999</v>
      </c>
    </row>
    <row r="409" spans="1:3" x14ac:dyDescent="0.2">
      <c r="A409" s="65">
        <v>39964</v>
      </c>
      <c r="B409" s="243">
        <v>11.810000000000009</v>
      </c>
    </row>
    <row r="410" spans="1:3" x14ac:dyDescent="0.2">
      <c r="A410" s="65">
        <v>39994</v>
      </c>
      <c r="B410" s="243">
        <v>-0.71999999999999842</v>
      </c>
    </row>
    <row r="411" spans="1:3" x14ac:dyDescent="0.2">
      <c r="A411" s="65">
        <v>40025</v>
      </c>
      <c r="B411" s="1177">
        <v>9.0300000000000047</v>
      </c>
    </row>
    <row r="412" spans="1:3" x14ac:dyDescent="0.2">
      <c r="A412" s="65">
        <v>40056</v>
      </c>
      <c r="B412" s="14">
        <v>4.489999999999994</v>
      </c>
    </row>
    <row r="413" spans="1:3" x14ac:dyDescent="0.2">
      <c r="A413" s="65">
        <v>40086</v>
      </c>
      <c r="B413" s="14">
        <v>4.4300000000000006</v>
      </c>
    </row>
    <row r="414" spans="1:3" x14ac:dyDescent="0.2">
      <c r="A414" s="65">
        <v>40117</v>
      </c>
    </row>
    <row r="415" spans="1:3" x14ac:dyDescent="0.2">
      <c r="A415" s="65">
        <v>40147</v>
      </c>
    </row>
    <row r="416" spans="1:3" x14ac:dyDescent="0.2">
      <c r="A416" s="65">
        <v>40178</v>
      </c>
    </row>
    <row r="417" spans="1:1" x14ac:dyDescent="0.2">
      <c r="A417" s="65">
        <v>40209</v>
      </c>
    </row>
    <row r="418" spans="1:1" x14ac:dyDescent="0.2">
      <c r="A418" s="65">
        <v>40237</v>
      </c>
    </row>
    <row r="419" spans="1:1" x14ac:dyDescent="0.2">
      <c r="A419" s="65">
        <v>40268</v>
      </c>
    </row>
    <row r="420" spans="1:1" x14ac:dyDescent="0.2">
      <c r="A420" s="65">
        <v>40298</v>
      </c>
    </row>
    <row r="421" spans="1:1" x14ac:dyDescent="0.2">
      <c r="A421" s="65">
        <v>40329</v>
      </c>
    </row>
    <row r="422" spans="1:1" x14ac:dyDescent="0.2">
      <c r="A422" s="65">
        <v>40359</v>
      </c>
    </row>
    <row r="423" spans="1:1" x14ac:dyDescent="0.2">
      <c r="A423" s="65">
        <v>40390</v>
      </c>
    </row>
    <row r="424" spans="1:1" x14ac:dyDescent="0.2">
      <c r="A424" s="65">
        <v>40421</v>
      </c>
    </row>
    <row r="425" spans="1:1" x14ac:dyDescent="0.2">
      <c r="A425" s="65">
        <v>40451</v>
      </c>
    </row>
    <row r="426" spans="1:1" x14ac:dyDescent="0.2">
      <c r="A426" s="65">
        <v>40482</v>
      </c>
    </row>
    <row r="427" spans="1:1" x14ac:dyDescent="0.2">
      <c r="A427" s="65">
        <v>40512</v>
      </c>
    </row>
    <row r="428" spans="1:1" x14ac:dyDescent="0.2">
      <c r="A428" s="65">
        <v>40543</v>
      </c>
    </row>
  </sheetData>
  <phoneticPr fontId="3" type="noConversion"/>
  <pageMargins left="0.75" right="0.75" top="1" bottom="1" header="0.5" footer="0.5"/>
  <headerFooter alignWithMargins="0"/>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H428"/>
  <sheetViews>
    <sheetView workbookViewId="0">
      <pane ySplit="2" topLeftCell="A382" activePane="bottomLeft" state="frozen"/>
      <selection activeCell="B410" sqref="B410"/>
      <selection pane="bottomLeft" activeCell="D411" sqref="D411:F411"/>
    </sheetView>
  </sheetViews>
  <sheetFormatPr defaultRowHeight="12.75" x14ac:dyDescent="0.2"/>
  <cols>
    <col min="1" max="1" width="18.7109375" customWidth="1"/>
    <col min="2" max="2" width="18.7109375" style="14" customWidth="1"/>
    <col min="3" max="3" width="18.7109375" style="8" customWidth="1"/>
    <col min="8" max="8" width="9.140625" style="352"/>
  </cols>
  <sheetData>
    <row r="1" spans="1:3" x14ac:dyDescent="0.2">
      <c r="A1" s="223" t="s">
        <v>103</v>
      </c>
      <c r="B1" s="321" t="s">
        <v>446</v>
      </c>
      <c r="C1" s="323"/>
    </row>
    <row r="2" spans="1:3" x14ac:dyDescent="0.2">
      <c r="A2" s="3" t="s">
        <v>27</v>
      </c>
      <c r="B2" s="71" t="s">
        <v>91</v>
      </c>
      <c r="C2" s="3" t="s">
        <v>92</v>
      </c>
    </row>
    <row r="3" spans="1:3" x14ac:dyDescent="0.2">
      <c r="A3" s="65">
        <v>27606</v>
      </c>
      <c r="B3" s="76">
        <v>-0.81</v>
      </c>
      <c r="C3" s="231"/>
    </row>
    <row r="4" spans="1:3" x14ac:dyDescent="0.2">
      <c r="A4" s="65">
        <v>27637</v>
      </c>
      <c r="B4" s="76">
        <v>-0.81</v>
      </c>
      <c r="C4" s="231"/>
    </row>
    <row r="5" spans="1:3" x14ac:dyDescent="0.2">
      <c r="A5" s="65">
        <v>27667</v>
      </c>
      <c r="B5" s="76">
        <v>-0.81</v>
      </c>
      <c r="C5" s="231"/>
    </row>
    <row r="6" spans="1:3" x14ac:dyDescent="0.2">
      <c r="A6" s="65">
        <v>27698</v>
      </c>
      <c r="B6" s="76">
        <v>2.27</v>
      </c>
      <c r="C6" s="231"/>
    </row>
    <row r="7" spans="1:3" x14ac:dyDescent="0.2">
      <c r="A7" s="65">
        <v>27728</v>
      </c>
      <c r="B7" s="76">
        <v>2.27</v>
      </c>
      <c r="C7" s="231"/>
    </row>
    <row r="8" spans="1:3" x14ac:dyDescent="0.2">
      <c r="A8" s="65">
        <v>27759</v>
      </c>
      <c r="B8" s="76">
        <v>2.27</v>
      </c>
      <c r="C8" s="231"/>
    </row>
    <row r="9" spans="1:3" x14ac:dyDescent="0.2">
      <c r="A9" s="65">
        <v>27790</v>
      </c>
      <c r="B9" s="76">
        <v>1.24</v>
      </c>
      <c r="C9" s="231"/>
    </row>
    <row r="10" spans="1:3" x14ac:dyDescent="0.2">
      <c r="A10" s="65">
        <v>27819</v>
      </c>
      <c r="B10" s="76">
        <v>1.24</v>
      </c>
      <c r="C10" s="231"/>
    </row>
    <row r="11" spans="1:3" x14ac:dyDescent="0.2">
      <c r="A11" s="65">
        <v>27850</v>
      </c>
      <c r="B11" s="76">
        <v>1.24</v>
      </c>
      <c r="C11" s="231"/>
    </row>
    <row r="12" spans="1:3" x14ac:dyDescent="0.2">
      <c r="A12" s="65">
        <v>27880</v>
      </c>
      <c r="B12" s="76">
        <v>0.67</v>
      </c>
      <c r="C12" s="231"/>
    </row>
    <row r="13" spans="1:3" x14ac:dyDescent="0.2">
      <c r="A13" s="65">
        <v>27911</v>
      </c>
      <c r="B13" s="76">
        <v>0.67</v>
      </c>
      <c r="C13" s="231"/>
    </row>
    <row r="14" spans="1:3" x14ac:dyDescent="0.2">
      <c r="A14" s="65">
        <v>27941</v>
      </c>
      <c r="B14" s="76">
        <v>0.67</v>
      </c>
      <c r="C14" s="231"/>
    </row>
    <row r="15" spans="1:3" x14ac:dyDescent="0.2">
      <c r="A15" s="65">
        <v>27972</v>
      </c>
      <c r="B15" s="76">
        <v>1.48</v>
      </c>
      <c r="C15" s="231"/>
    </row>
    <row r="16" spans="1:3" x14ac:dyDescent="0.2">
      <c r="A16" s="65">
        <v>28003</v>
      </c>
      <c r="B16" s="76">
        <v>1.48</v>
      </c>
      <c r="C16" s="231"/>
    </row>
    <row r="17" spans="1:3" x14ac:dyDescent="0.2">
      <c r="A17" s="65">
        <v>28033</v>
      </c>
      <c r="B17" s="76">
        <v>1.48</v>
      </c>
      <c r="C17" s="231"/>
    </row>
    <row r="18" spans="1:3" x14ac:dyDescent="0.2">
      <c r="A18" s="65">
        <v>28064</v>
      </c>
      <c r="B18" s="76">
        <v>2.13</v>
      </c>
      <c r="C18" s="231"/>
    </row>
    <row r="19" spans="1:3" x14ac:dyDescent="0.2">
      <c r="A19" s="65">
        <v>28094</v>
      </c>
      <c r="B19" s="76">
        <v>2.13</v>
      </c>
      <c r="C19" s="231"/>
    </row>
    <row r="20" spans="1:3" x14ac:dyDescent="0.2">
      <c r="A20" s="65">
        <v>28125</v>
      </c>
      <c r="B20" s="76">
        <v>2.13</v>
      </c>
      <c r="C20" s="231"/>
    </row>
    <row r="21" spans="1:3" x14ac:dyDescent="0.2">
      <c r="A21" s="65">
        <v>28156</v>
      </c>
      <c r="B21" s="76">
        <v>-0.39</v>
      </c>
      <c r="C21" s="231"/>
    </row>
    <row r="22" spans="1:3" x14ac:dyDescent="0.2">
      <c r="A22" s="65">
        <v>28184</v>
      </c>
      <c r="B22" s="76">
        <v>-0.39</v>
      </c>
      <c r="C22" s="231"/>
    </row>
    <row r="23" spans="1:3" x14ac:dyDescent="0.2">
      <c r="A23" s="65">
        <v>28215</v>
      </c>
      <c r="B23" s="76">
        <v>-0.39</v>
      </c>
      <c r="C23" s="231"/>
    </row>
    <row r="24" spans="1:3" x14ac:dyDescent="0.2">
      <c r="A24" s="65">
        <v>28245</v>
      </c>
      <c r="B24" s="76">
        <v>1.1100000000000001</v>
      </c>
      <c r="C24" s="231"/>
    </row>
    <row r="25" spans="1:3" x14ac:dyDescent="0.2">
      <c r="A25" s="65">
        <v>28276</v>
      </c>
      <c r="B25" s="76">
        <v>1.1100000000000001</v>
      </c>
      <c r="C25" s="231"/>
    </row>
    <row r="26" spans="1:3" x14ac:dyDescent="0.2">
      <c r="A26" s="65">
        <v>28306</v>
      </c>
      <c r="B26" s="76">
        <v>1.1100000000000001</v>
      </c>
      <c r="C26" s="231"/>
    </row>
    <row r="27" spans="1:3" x14ac:dyDescent="0.2">
      <c r="A27" s="65">
        <v>28337</v>
      </c>
      <c r="B27" s="76">
        <v>0.34</v>
      </c>
      <c r="C27" s="231"/>
    </row>
    <row r="28" spans="1:3" x14ac:dyDescent="0.2">
      <c r="A28" s="65">
        <v>28368</v>
      </c>
      <c r="B28" s="76">
        <v>0.34</v>
      </c>
      <c r="C28" s="231"/>
    </row>
    <row r="29" spans="1:3" x14ac:dyDescent="0.2">
      <c r="A29" s="65">
        <v>28398</v>
      </c>
      <c r="B29" s="76">
        <v>0.34</v>
      </c>
      <c r="C29" s="231"/>
    </row>
    <row r="30" spans="1:3" x14ac:dyDescent="0.2">
      <c r="A30" s="65">
        <v>28429</v>
      </c>
      <c r="B30" s="76">
        <v>-0.14000000000000001</v>
      </c>
      <c r="C30" s="231"/>
    </row>
    <row r="31" spans="1:3" x14ac:dyDescent="0.2">
      <c r="A31" s="65">
        <v>28459</v>
      </c>
      <c r="B31" s="76">
        <v>-0.14000000000000001</v>
      </c>
      <c r="C31" s="231"/>
    </row>
    <row r="32" spans="1:3" x14ac:dyDescent="0.2">
      <c r="A32" s="65">
        <v>28490</v>
      </c>
      <c r="B32" s="76">
        <v>-0.14000000000000001</v>
      </c>
      <c r="C32" s="231"/>
    </row>
    <row r="33" spans="1:3" x14ac:dyDescent="0.2">
      <c r="A33" s="65">
        <v>28521</v>
      </c>
      <c r="B33" s="76">
        <v>-0.04</v>
      </c>
      <c r="C33" s="231"/>
    </row>
    <row r="34" spans="1:3" x14ac:dyDescent="0.2">
      <c r="A34" s="65">
        <v>28549</v>
      </c>
      <c r="B34" s="76">
        <v>-0.04</v>
      </c>
      <c r="C34" s="231"/>
    </row>
    <row r="35" spans="1:3" x14ac:dyDescent="0.2">
      <c r="A35" s="65">
        <v>28580</v>
      </c>
      <c r="B35" s="76">
        <v>-0.04</v>
      </c>
      <c r="C35" s="231"/>
    </row>
    <row r="36" spans="1:3" x14ac:dyDescent="0.2">
      <c r="A36" s="65">
        <v>28610</v>
      </c>
      <c r="B36" s="76">
        <v>-0.08</v>
      </c>
      <c r="C36" s="231"/>
    </row>
    <row r="37" spans="1:3" x14ac:dyDescent="0.2">
      <c r="A37" s="65">
        <v>28641</v>
      </c>
      <c r="B37" s="76">
        <v>-0.08</v>
      </c>
      <c r="C37" s="231"/>
    </row>
    <row r="38" spans="1:3" x14ac:dyDescent="0.2">
      <c r="A38" s="65">
        <v>28671</v>
      </c>
      <c r="B38" s="76">
        <v>-0.08</v>
      </c>
      <c r="C38" s="231"/>
    </row>
    <row r="39" spans="1:3" x14ac:dyDescent="0.2">
      <c r="A39" s="65">
        <v>28702</v>
      </c>
      <c r="B39" s="76">
        <v>0.8</v>
      </c>
      <c r="C39" s="231"/>
    </row>
    <row r="40" spans="1:3" x14ac:dyDescent="0.2">
      <c r="A40" s="65">
        <v>28733</v>
      </c>
      <c r="B40" s="76">
        <v>0.8</v>
      </c>
      <c r="C40" s="231"/>
    </row>
    <row r="41" spans="1:3" x14ac:dyDescent="0.2">
      <c r="A41" s="65">
        <v>28763</v>
      </c>
      <c r="B41" s="76">
        <v>0.8</v>
      </c>
      <c r="C41" s="231"/>
    </row>
    <row r="42" spans="1:3" x14ac:dyDescent="0.2">
      <c r="A42" s="65">
        <v>28794</v>
      </c>
      <c r="B42" s="76">
        <v>-0.4</v>
      </c>
      <c r="C42" s="231"/>
    </row>
    <row r="43" spans="1:3" x14ac:dyDescent="0.2">
      <c r="A43" s="65">
        <v>28824</v>
      </c>
      <c r="B43" s="76">
        <v>-0.4</v>
      </c>
      <c r="C43" s="231"/>
    </row>
    <row r="44" spans="1:3" x14ac:dyDescent="0.2">
      <c r="A44" s="65">
        <v>28855</v>
      </c>
      <c r="B44" s="76">
        <v>-0.4</v>
      </c>
      <c r="C44" s="231"/>
    </row>
    <row r="45" spans="1:3" x14ac:dyDescent="0.2">
      <c r="A45" s="65">
        <v>28886</v>
      </c>
      <c r="B45" s="76">
        <v>0.81</v>
      </c>
      <c r="C45" s="231"/>
    </row>
    <row r="46" spans="1:3" x14ac:dyDescent="0.2">
      <c r="A46" s="65">
        <v>28914</v>
      </c>
      <c r="B46" s="76">
        <v>0.81</v>
      </c>
      <c r="C46" s="231"/>
    </row>
    <row r="47" spans="1:3" x14ac:dyDescent="0.2">
      <c r="A47" s="65">
        <v>28945</v>
      </c>
      <c r="B47" s="76">
        <v>0.81</v>
      </c>
      <c r="C47" s="231"/>
    </row>
    <row r="48" spans="1:3" x14ac:dyDescent="0.2">
      <c r="A48" s="65">
        <v>28975</v>
      </c>
      <c r="B48" s="76">
        <v>1.28</v>
      </c>
      <c r="C48" s="231"/>
    </row>
    <row r="49" spans="1:3" x14ac:dyDescent="0.2">
      <c r="A49" s="65">
        <v>29006</v>
      </c>
      <c r="B49" s="76">
        <v>1.28</v>
      </c>
      <c r="C49" s="231"/>
    </row>
    <row r="50" spans="1:3" x14ac:dyDescent="0.2">
      <c r="A50" s="65">
        <v>29036</v>
      </c>
      <c r="B50" s="76">
        <v>1.28</v>
      </c>
      <c r="C50" s="231"/>
    </row>
    <row r="51" spans="1:3" x14ac:dyDescent="0.2">
      <c r="A51" s="65">
        <v>29067</v>
      </c>
      <c r="B51" s="76">
        <v>-0.42</v>
      </c>
      <c r="C51" s="231"/>
    </row>
    <row r="52" spans="1:3" x14ac:dyDescent="0.2">
      <c r="A52" s="65">
        <v>29098</v>
      </c>
      <c r="B52" s="76">
        <v>-0.42</v>
      </c>
      <c r="C52" s="231"/>
    </row>
    <row r="53" spans="1:3" x14ac:dyDescent="0.2">
      <c r="A53" s="65">
        <v>29128</v>
      </c>
      <c r="B53" s="76">
        <v>-0.42</v>
      </c>
      <c r="C53" s="231"/>
    </row>
    <row r="54" spans="1:3" x14ac:dyDescent="0.2">
      <c r="A54" s="65">
        <v>29159</v>
      </c>
      <c r="B54" s="76">
        <v>-1.32</v>
      </c>
      <c r="C54" s="231"/>
    </row>
    <row r="55" spans="1:3" x14ac:dyDescent="0.2">
      <c r="A55" s="65">
        <v>29189</v>
      </c>
      <c r="B55" s="76">
        <v>-1.32</v>
      </c>
      <c r="C55" s="231"/>
    </row>
    <row r="56" spans="1:3" x14ac:dyDescent="0.2">
      <c r="A56" s="65">
        <v>29220</v>
      </c>
      <c r="B56" s="76">
        <v>-1.32</v>
      </c>
      <c r="C56" s="231"/>
    </row>
    <row r="57" spans="1:3" x14ac:dyDescent="0.2">
      <c r="A57" s="65">
        <v>29251</v>
      </c>
      <c r="B57" s="76">
        <v>-3.84</v>
      </c>
      <c r="C57" s="231"/>
    </row>
    <row r="58" spans="1:3" x14ac:dyDescent="0.2">
      <c r="A58" s="65">
        <v>29280</v>
      </c>
      <c r="B58" s="76">
        <v>-3.84</v>
      </c>
      <c r="C58" s="231"/>
    </row>
    <row r="59" spans="1:3" x14ac:dyDescent="0.2">
      <c r="A59" s="65">
        <v>29311</v>
      </c>
      <c r="B59" s="76">
        <v>-3.84</v>
      </c>
      <c r="C59" s="231"/>
    </row>
    <row r="60" spans="1:3" x14ac:dyDescent="0.2">
      <c r="A60" s="65">
        <v>29341</v>
      </c>
      <c r="B60" s="76">
        <v>6.81</v>
      </c>
      <c r="C60" s="231"/>
    </row>
    <row r="61" spans="1:3" x14ac:dyDescent="0.2">
      <c r="A61" s="65">
        <v>29372</v>
      </c>
      <c r="B61" s="76">
        <v>6.81</v>
      </c>
      <c r="C61" s="231"/>
    </row>
    <row r="62" spans="1:3" x14ac:dyDescent="0.2">
      <c r="A62" s="65">
        <v>29402</v>
      </c>
      <c r="B62" s="76">
        <v>6.81</v>
      </c>
      <c r="C62" s="231"/>
    </row>
    <row r="63" spans="1:3" x14ac:dyDescent="0.2">
      <c r="A63" s="65">
        <v>29433</v>
      </c>
      <c r="B63" s="76">
        <v>-2.79</v>
      </c>
      <c r="C63" s="231"/>
    </row>
    <row r="64" spans="1:3" x14ac:dyDescent="0.2">
      <c r="A64" s="65">
        <v>29464</v>
      </c>
      <c r="B64" s="76">
        <v>-2.79</v>
      </c>
      <c r="C64" s="231"/>
    </row>
    <row r="65" spans="1:3" x14ac:dyDescent="0.2">
      <c r="A65" s="65">
        <v>29494</v>
      </c>
      <c r="B65" s="76">
        <v>-2.79</v>
      </c>
      <c r="C65" s="231"/>
    </row>
    <row r="66" spans="1:3" x14ac:dyDescent="0.2">
      <c r="A66" s="65">
        <v>29525</v>
      </c>
      <c r="B66" s="76">
        <v>0.53</v>
      </c>
      <c r="C66" s="231"/>
    </row>
    <row r="67" spans="1:3" x14ac:dyDescent="0.2">
      <c r="A67" s="65">
        <v>29555</v>
      </c>
      <c r="B67" s="76">
        <v>0.53</v>
      </c>
      <c r="C67" s="231"/>
    </row>
    <row r="68" spans="1:3" x14ac:dyDescent="0.2">
      <c r="A68" s="65">
        <v>29586</v>
      </c>
      <c r="B68" s="76">
        <v>0.53</v>
      </c>
      <c r="C68" s="231"/>
    </row>
    <row r="69" spans="1:3" x14ac:dyDescent="0.2">
      <c r="A69" s="65">
        <v>29617</v>
      </c>
      <c r="B69" s="76">
        <v>-0.31</v>
      </c>
      <c r="C69" s="231"/>
    </row>
    <row r="70" spans="1:3" x14ac:dyDescent="0.2">
      <c r="A70" s="65">
        <v>29645</v>
      </c>
      <c r="B70" s="76">
        <v>-0.31</v>
      </c>
      <c r="C70" s="231"/>
    </row>
    <row r="71" spans="1:3" x14ac:dyDescent="0.2">
      <c r="A71" s="65">
        <v>29676</v>
      </c>
      <c r="B71" s="76">
        <v>-0.31</v>
      </c>
      <c r="C71" s="231"/>
    </row>
    <row r="72" spans="1:3" x14ac:dyDescent="0.2">
      <c r="A72" s="65">
        <v>29706</v>
      </c>
      <c r="B72" s="76">
        <v>0.24</v>
      </c>
      <c r="C72" s="231"/>
    </row>
    <row r="73" spans="1:3" x14ac:dyDescent="0.2">
      <c r="A73" s="65">
        <v>29737</v>
      </c>
      <c r="B73" s="76">
        <v>0.24</v>
      </c>
      <c r="C73" s="231"/>
    </row>
    <row r="74" spans="1:3" x14ac:dyDescent="0.2">
      <c r="A74" s="65">
        <v>29767</v>
      </c>
      <c r="B74" s="76">
        <v>0.24</v>
      </c>
      <c r="C74" s="231"/>
    </row>
    <row r="75" spans="1:3" x14ac:dyDescent="0.2">
      <c r="A75" s="65">
        <v>29798</v>
      </c>
      <c r="B75" s="76">
        <v>-2.62</v>
      </c>
      <c r="C75" s="231"/>
    </row>
    <row r="76" spans="1:3" x14ac:dyDescent="0.2">
      <c r="A76" s="65">
        <v>29829</v>
      </c>
      <c r="B76" s="76">
        <v>-2.62</v>
      </c>
      <c r="C76" s="231"/>
    </row>
    <row r="77" spans="1:3" x14ac:dyDescent="0.2">
      <c r="A77" s="65">
        <v>29859</v>
      </c>
      <c r="B77" s="76">
        <v>-2.62</v>
      </c>
      <c r="C77" s="231"/>
    </row>
    <row r="78" spans="1:3" x14ac:dyDescent="0.2">
      <c r="A78" s="65">
        <v>29890</v>
      </c>
      <c r="B78" s="76">
        <v>3.49</v>
      </c>
      <c r="C78" s="231"/>
    </row>
    <row r="79" spans="1:3" x14ac:dyDescent="0.2">
      <c r="A79" s="65">
        <v>29920</v>
      </c>
      <c r="B79" s="76">
        <v>3.49</v>
      </c>
      <c r="C79" s="231"/>
    </row>
    <row r="80" spans="1:3" x14ac:dyDescent="0.2">
      <c r="A80" s="65">
        <v>29951</v>
      </c>
      <c r="B80" s="76">
        <v>3.49</v>
      </c>
      <c r="C80" s="231"/>
    </row>
    <row r="81" spans="1:3" x14ac:dyDescent="0.2">
      <c r="A81" s="65">
        <v>29982</v>
      </c>
      <c r="B81" s="76">
        <v>0.98</v>
      </c>
      <c r="C81" s="231"/>
    </row>
    <row r="82" spans="1:3" x14ac:dyDescent="0.2">
      <c r="A82" s="65">
        <v>30010</v>
      </c>
      <c r="B82" s="76">
        <v>0.98</v>
      </c>
      <c r="C82" s="231"/>
    </row>
    <row r="83" spans="1:3" x14ac:dyDescent="0.2">
      <c r="A83" s="65">
        <v>30041</v>
      </c>
      <c r="B83" s="76">
        <v>0.98</v>
      </c>
      <c r="C83" s="231"/>
    </row>
    <row r="84" spans="1:3" x14ac:dyDescent="0.2">
      <c r="A84" s="65">
        <v>30071</v>
      </c>
      <c r="B84" s="76">
        <v>1.3</v>
      </c>
      <c r="C84" s="231"/>
    </row>
    <row r="85" spans="1:3" x14ac:dyDescent="0.2">
      <c r="A85" s="65">
        <v>30102</v>
      </c>
      <c r="B85" s="76">
        <v>1.3</v>
      </c>
      <c r="C85" s="231"/>
    </row>
    <row r="86" spans="1:3" x14ac:dyDescent="0.2">
      <c r="A86" s="65">
        <v>30132</v>
      </c>
      <c r="B86" s="76">
        <v>1.3</v>
      </c>
      <c r="C86" s="231"/>
    </row>
    <row r="87" spans="1:3" x14ac:dyDescent="0.2">
      <c r="A87" s="65">
        <v>30163</v>
      </c>
      <c r="B87" s="76">
        <v>5</v>
      </c>
      <c r="C87" s="231"/>
    </row>
    <row r="88" spans="1:3" x14ac:dyDescent="0.2">
      <c r="A88" s="65">
        <v>30194</v>
      </c>
      <c r="B88" s="76">
        <v>5</v>
      </c>
      <c r="C88" s="231"/>
    </row>
    <row r="89" spans="1:3" x14ac:dyDescent="0.2">
      <c r="A89" s="65">
        <v>30224</v>
      </c>
      <c r="B89" s="76">
        <v>5</v>
      </c>
      <c r="C89" s="231"/>
    </row>
    <row r="90" spans="1:3" x14ac:dyDescent="0.2">
      <c r="A90" s="65">
        <v>30255</v>
      </c>
      <c r="B90" s="76">
        <v>2.85</v>
      </c>
      <c r="C90" s="231"/>
    </row>
    <row r="91" spans="1:3" x14ac:dyDescent="0.2">
      <c r="A91" s="65">
        <v>30285</v>
      </c>
      <c r="B91" s="76">
        <v>2.85</v>
      </c>
      <c r="C91" s="231"/>
    </row>
    <row r="92" spans="1:3" x14ac:dyDescent="0.2">
      <c r="A92" s="65">
        <v>30316</v>
      </c>
      <c r="B92" s="76">
        <v>2.85</v>
      </c>
      <c r="C92" s="231"/>
    </row>
    <row r="93" spans="1:3" x14ac:dyDescent="0.2">
      <c r="A93" s="65">
        <v>30347</v>
      </c>
      <c r="B93" s="76">
        <v>1.1100000000000001</v>
      </c>
      <c r="C93" s="231"/>
    </row>
    <row r="94" spans="1:3" x14ac:dyDescent="0.2">
      <c r="A94" s="65">
        <v>30375</v>
      </c>
      <c r="B94" s="76">
        <v>1.1100000000000001</v>
      </c>
      <c r="C94" s="231"/>
    </row>
    <row r="95" spans="1:3" x14ac:dyDescent="0.2">
      <c r="A95" s="65">
        <v>30406</v>
      </c>
      <c r="B95" s="76">
        <v>1.1100000000000001</v>
      </c>
      <c r="C95" s="231"/>
    </row>
    <row r="96" spans="1:3" x14ac:dyDescent="0.2">
      <c r="A96" s="65">
        <v>30436</v>
      </c>
      <c r="B96" s="76">
        <v>0.79</v>
      </c>
      <c r="C96" s="231"/>
    </row>
    <row r="97" spans="1:3" x14ac:dyDescent="0.2">
      <c r="A97" s="65">
        <v>30467</v>
      </c>
      <c r="B97" s="76">
        <v>0.79</v>
      </c>
      <c r="C97" s="231"/>
    </row>
    <row r="98" spans="1:3" x14ac:dyDescent="0.2">
      <c r="A98" s="65">
        <v>30497</v>
      </c>
      <c r="B98" s="76">
        <v>0.79</v>
      </c>
      <c r="C98" s="231"/>
    </row>
    <row r="99" spans="1:3" x14ac:dyDescent="0.2">
      <c r="A99" s="65">
        <v>30528</v>
      </c>
      <c r="B99" s="76">
        <v>0.02</v>
      </c>
      <c r="C99" s="231"/>
    </row>
    <row r="100" spans="1:3" x14ac:dyDescent="0.2">
      <c r="A100" s="65">
        <v>30559</v>
      </c>
      <c r="B100" s="76">
        <v>0.02</v>
      </c>
      <c r="C100" s="231"/>
    </row>
    <row r="101" spans="1:3" x14ac:dyDescent="0.2">
      <c r="A101" s="65">
        <v>30589</v>
      </c>
      <c r="B101" s="76">
        <v>0.02</v>
      </c>
      <c r="C101" s="231"/>
    </row>
    <row r="102" spans="1:3" x14ac:dyDescent="0.2">
      <c r="A102" s="65">
        <v>30620</v>
      </c>
      <c r="B102" s="76">
        <v>0.5</v>
      </c>
      <c r="C102" s="231"/>
    </row>
    <row r="103" spans="1:3" x14ac:dyDescent="0.2">
      <c r="A103" s="65">
        <v>30650</v>
      </c>
      <c r="B103" s="76">
        <v>0.5</v>
      </c>
      <c r="C103" s="231"/>
    </row>
    <row r="104" spans="1:3" x14ac:dyDescent="0.2">
      <c r="A104" s="65">
        <v>30681</v>
      </c>
      <c r="B104" s="76">
        <v>0.5</v>
      </c>
      <c r="C104" s="231"/>
    </row>
    <row r="105" spans="1:3" x14ac:dyDescent="0.2">
      <c r="A105" s="65">
        <v>30712</v>
      </c>
      <c r="B105" s="76">
        <v>-0.06</v>
      </c>
      <c r="C105" s="231"/>
    </row>
    <row r="106" spans="1:3" x14ac:dyDescent="0.2">
      <c r="A106" s="65">
        <v>30741</v>
      </c>
      <c r="B106" s="76">
        <v>-0.06</v>
      </c>
      <c r="C106" s="231"/>
    </row>
    <row r="107" spans="1:3" x14ac:dyDescent="0.2">
      <c r="A107" s="65">
        <v>30772</v>
      </c>
      <c r="B107" s="76">
        <v>-0.06</v>
      </c>
      <c r="C107" s="231"/>
    </row>
    <row r="108" spans="1:3" x14ac:dyDescent="0.2">
      <c r="A108" s="65">
        <v>30802</v>
      </c>
      <c r="B108" s="76">
        <v>-1.7</v>
      </c>
      <c r="C108" s="231"/>
    </row>
    <row r="109" spans="1:3" x14ac:dyDescent="0.2">
      <c r="A109" s="65">
        <v>30833</v>
      </c>
      <c r="B109" s="76">
        <v>-1.7</v>
      </c>
      <c r="C109" s="231"/>
    </row>
    <row r="110" spans="1:3" x14ac:dyDescent="0.2">
      <c r="A110" s="65">
        <v>30863</v>
      </c>
      <c r="B110" s="76">
        <v>-1.7</v>
      </c>
      <c r="C110" s="231"/>
    </row>
    <row r="111" spans="1:3" x14ac:dyDescent="0.2">
      <c r="A111" s="65">
        <v>30894</v>
      </c>
      <c r="B111" s="76">
        <v>3.61</v>
      </c>
      <c r="C111" s="231"/>
    </row>
    <row r="112" spans="1:3" x14ac:dyDescent="0.2">
      <c r="A112" s="65">
        <v>30925</v>
      </c>
      <c r="B112" s="76">
        <v>3.61</v>
      </c>
      <c r="C112" s="231"/>
    </row>
    <row r="113" spans="1:3" x14ac:dyDescent="0.2">
      <c r="A113" s="65">
        <v>30955</v>
      </c>
      <c r="B113" s="76">
        <v>3.61</v>
      </c>
      <c r="C113" s="231"/>
    </row>
    <row r="114" spans="1:3" x14ac:dyDescent="0.2">
      <c r="A114" s="65">
        <v>30986</v>
      </c>
      <c r="B114" s="76">
        <v>3.37</v>
      </c>
      <c r="C114" s="231"/>
    </row>
    <row r="115" spans="1:3" x14ac:dyDescent="0.2">
      <c r="A115" s="65">
        <v>31016</v>
      </c>
      <c r="B115" s="76">
        <v>3.37</v>
      </c>
      <c r="C115" s="231"/>
    </row>
    <row r="116" spans="1:3" x14ac:dyDescent="0.2">
      <c r="A116" s="65">
        <v>31047</v>
      </c>
      <c r="B116" s="76">
        <v>3.37</v>
      </c>
      <c r="C116" s="231"/>
    </row>
    <row r="117" spans="1:3" x14ac:dyDescent="0.2">
      <c r="A117" s="65">
        <v>31078</v>
      </c>
      <c r="B117" s="76">
        <v>7.0000000000000007E-2</v>
      </c>
      <c r="C117" s="231"/>
    </row>
    <row r="118" spans="1:3" x14ac:dyDescent="0.2">
      <c r="A118" s="65">
        <v>31106</v>
      </c>
      <c r="B118" s="76">
        <v>7.0000000000000007E-2</v>
      </c>
      <c r="C118" s="231"/>
    </row>
    <row r="119" spans="1:3" x14ac:dyDescent="0.2">
      <c r="A119" s="65">
        <v>31137</v>
      </c>
      <c r="B119" s="76">
        <v>7.0000000000000007E-2</v>
      </c>
      <c r="C119" s="231"/>
    </row>
    <row r="120" spans="1:3" x14ac:dyDescent="0.2">
      <c r="A120" s="65">
        <v>31167</v>
      </c>
      <c r="B120" s="76">
        <v>3.94</v>
      </c>
      <c r="C120" s="231"/>
    </row>
    <row r="121" spans="1:3" x14ac:dyDescent="0.2">
      <c r="A121" s="65">
        <v>31198</v>
      </c>
      <c r="B121" s="76">
        <v>3.94</v>
      </c>
      <c r="C121" s="231"/>
    </row>
    <row r="122" spans="1:3" x14ac:dyDescent="0.2">
      <c r="A122" s="65">
        <v>31228</v>
      </c>
      <c r="B122" s="76">
        <v>3.94</v>
      </c>
      <c r="C122" s="231"/>
    </row>
    <row r="123" spans="1:3" x14ac:dyDescent="0.2">
      <c r="A123" s="65">
        <v>31259</v>
      </c>
      <c r="B123" s="76">
        <v>0.7</v>
      </c>
      <c r="C123" s="231"/>
    </row>
    <row r="124" spans="1:3" x14ac:dyDescent="0.2">
      <c r="A124" s="65">
        <v>31290</v>
      </c>
      <c r="B124" s="76">
        <v>0.7</v>
      </c>
      <c r="C124" s="231"/>
    </row>
    <row r="125" spans="1:3" x14ac:dyDescent="0.2">
      <c r="A125" s="65">
        <v>31320</v>
      </c>
      <c r="B125" s="76">
        <v>0.7</v>
      </c>
      <c r="C125" s="231"/>
    </row>
    <row r="126" spans="1:3" x14ac:dyDescent="0.2">
      <c r="A126" s="65">
        <v>31351</v>
      </c>
      <c r="B126" s="76">
        <v>4.32</v>
      </c>
      <c r="C126" s="231"/>
    </row>
    <row r="127" spans="1:3" x14ac:dyDescent="0.2">
      <c r="A127" s="65">
        <v>31381</v>
      </c>
      <c r="B127" s="76">
        <v>4.32</v>
      </c>
      <c r="C127" s="231"/>
    </row>
    <row r="128" spans="1:3" x14ac:dyDescent="0.2">
      <c r="A128" s="65">
        <v>31412</v>
      </c>
      <c r="B128" s="76">
        <v>4.32</v>
      </c>
      <c r="C128" s="231"/>
    </row>
    <row r="129" spans="1:3" x14ac:dyDescent="0.2">
      <c r="A129" s="65">
        <v>31443</v>
      </c>
      <c r="B129" s="76">
        <v>5.3</v>
      </c>
      <c r="C129" s="231"/>
    </row>
    <row r="130" spans="1:3" x14ac:dyDescent="0.2">
      <c r="A130" s="65">
        <v>31471</v>
      </c>
      <c r="B130" s="76">
        <v>5.3</v>
      </c>
      <c r="C130" s="231"/>
    </row>
    <row r="131" spans="1:3" x14ac:dyDescent="0.2">
      <c r="A131" s="65">
        <v>31502</v>
      </c>
      <c r="B131" s="76">
        <v>5.3</v>
      </c>
      <c r="C131" s="231"/>
    </row>
    <row r="132" spans="1:3" x14ac:dyDescent="0.2">
      <c r="A132" s="65">
        <v>31532</v>
      </c>
      <c r="B132" s="76">
        <v>0.19</v>
      </c>
      <c r="C132" s="231"/>
    </row>
    <row r="133" spans="1:3" x14ac:dyDescent="0.2">
      <c r="A133" s="65">
        <v>31563</v>
      </c>
      <c r="B133" s="76">
        <v>0.19</v>
      </c>
      <c r="C133" s="231"/>
    </row>
    <row r="134" spans="1:3" x14ac:dyDescent="0.2">
      <c r="A134" s="65">
        <v>31593</v>
      </c>
      <c r="B134" s="76">
        <v>0.19</v>
      </c>
      <c r="C134" s="231"/>
    </row>
    <row r="135" spans="1:3" x14ac:dyDescent="0.2">
      <c r="A135" s="65">
        <v>31624</v>
      </c>
      <c r="B135" s="76">
        <v>0.1</v>
      </c>
      <c r="C135" s="231"/>
    </row>
    <row r="136" spans="1:3" x14ac:dyDescent="0.2">
      <c r="A136" s="65">
        <v>31655</v>
      </c>
      <c r="B136" s="76">
        <v>0.1</v>
      </c>
      <c r="C136" s="231"/>
    </row>
    <row r="137" spans="1:3" x14ac:dyDescent="0.2">
      <c r="A137" s="65">
        <v>31685</v>
      </c>
      <c r="B137" s="76">
        <v>0.1</v>
      </c>
      <c r="C137" s="231"/>
    </row>
    <row r="138" spans="1:3" x14ac:dyDescent="0.2">
      <c r="A138" s="65">
        <v>31716</v>
      </c>
      <c r="B138" s="76">
        <v>1.89</v>
      </c>
      <c r="C138" s="231"/>
    </row>
    <row r="139" spans="1:3" x14ac:dyDescent="0.2">
      <c r="A139" s="65">
        <v>31746</v>
      </c>
      <c r="B139" s="76">
        <v>1.89</v>
      </c>
      <c r="C139" s="231"/>
    </row>
    <row r="140" spans="1:3" x14ac:dyDescent="0.2">
      <c r="A140" s="65">
        <v>31777</v>
      </c>
      <c r="B140" s="76">
        <v>1.89</v>
      </c>
      <c r="C140" s="231"/>
    </row>
    <row r="141" spans="1:3" x14ac:dyDescent="0.2">
      <c r="A141" s="65">
        <v>31808</v>
      </c>
      <c r="B141" s="76">
        <v>0.6</v>
      </c>
      <c r="C141" s="231"/>
    </row>
    <row r="142" spans="1:3" x14ac:dyDescent="0.2">
      <c r="A142" s="65">
        <v>31836</v>
      </c>
      <c r="B142" s="76">
        <v>0.6</v>
      </c>
      <c r="C142" s="231"/>
    </row>
    <row r="143" spans="1:3" x14ac:dyDescent="0.2">
      <c r="A143" s="65">
        <v>31867</v>
      </c>
      <c r="B143" s="76">
        <v>0.6</v>
      </c>
      <c r="C143" s="231"/>
    </row>
    <row r="144" spans="1:3" x14ac:dyDescent="0.2">
      <c r="A144" s="65">
        <v>31897</v>
      </c>
      <c r="B144" s="76">
        <v>-1.6</v>
      </c>
      <c r="C144" s="231"/>
    </row>
    <row r="145" spans="1:3" x14ac:dyDescent="0.2">
      <c r="A145" s="65">
        <v>31928</v>
      </c>
      <c r="B145" s="76">
        <v>-1.6</v>
      </c>
      <c r="C145" s="231"/>
    </row>
    <row r="146" spans="1:3" x14ac:dyDescent="0.2">
      <c r="A146" s="65">
        <v>31958</v>
      </c>
      <c r="B146" s="76">
        <v>-1.6</v>
      </c>
      <c r="C146" s="231"/>
    </row>
    <row r="147" spans="1:3" x14ac:dyDescent="0.2">
      <c r="A147" s="65">
        <v>31989</v>
      </c>
      <c r="B147" s="76">
        <v>-2.67</v>
      </c>
      <c r="C147" s="231"/>
    </row>
    <row r="148" spans="1:3" x14ac:dyDescent="0.2">
      <c r="A148" s="65">
        <v>32020</v>
      </c>
      <c r="B148" s="76">
        <v>-2.67</v>
      </c>
      <c r="C148" s="231"/>
    </row>
    <row r="149" spans="1:3" x14ac:dyDescent="0.2">
      <c r="A149" s="65">
        <v>32050</v>
      </c>
      <c r="B149" s="76">
        <v>-2.67</v>
      </c>
      <c r="C149" s="231"/>
    </row>
    <row r="150" spans="1:3" x14ac:dyDescent="0.2">
      <c r="A150" s="65">
        <v>32081</v>
      </c>
      <c r="B150" s="76">
        <v>3.04</v>
      </c>
      <c r="C150" s="231"/>
    </row>
    <row r="151" spans="1:3" x14ac:dyDescent="0.2">
      <c r="A151" s="65">
        <v>32111</v>
      </c>
      <c r="B151" s="76">
        <v>3.04</v>
      </c>
      <c r="C151" s="231"/>
    </row>
    <row r="152" spans="1:3" x14ac:dyDescent="0.2">
      <c r="A152" s="65">
        <v>32142</v>
      </c>
      <c r="B152" s="76">
        <v>3.04</v>
      </c>
      <c r="C152" s="231"/>
    </row>
    <row r="153" spans="1:3" x14ac:dyDescent="0.2">
      <c r="A153" s="65">
        <v>32173</v>
      </c>
      <c r="B153" s="76">
        <v>1.54</v>
      </c>
      <c r="C153" s="231"/>
    </row>
    <row r="154" spans="1:3" x14ac:dyDescent="0.2">
      <c r="A154" s="65">
        <v>32202</v>
      </c>
      <c r="B154" s="76">
        <v>1.54</v>
      </c>
      <c r="C154" s="231"/>
    </row>
    <row r="155" spans="1:3" x14ac:dyDescent="0.2">
      <c r="A155" s="65">
        <v>32233</v>
      </c>
      <c r="B155" s="76">
        <v>1.54</v>
      </c>
      <c r="C155" s="231"/>
    </row>
    <row r="156" spans="1:3" x14ac:dyDescent="0.2">
      <c r="A156" s="65">
        <v>32263</v>
      </c>
      <c r="B156" s="76">
        <v>0.62</v>
      </c>
      <c r="C156" s="231"/>
    </row>
    <row r="157" spans="1:3" x14ac:dyDescent="0.2">
      <c r="A157" s="65">
        <v>32294</v>
      </c>
      <c r="B157" s="76">
        <v>0.62</v>
      </c>
      <c r="C157" s="231"/>
    </row>
    <row r="158" spans="1:3" x14ac:dyDescent="0.2">
      <c r="A158" s="65">
        <v>32324</v>
      </c>
      <c r="B158" s="76">
        <v>0.62</v>
      </c>
      <c r="C158" s="231"/>
    </row>
    <row r="159" spans="1:3" x14ac:dyDescent="0.2">
      <c r="A159" s="65">
        <v>32355</v>
      </c>
      <c r="B159" s="76">
        <v>0.73</v>
      </c>
      <c r="C159" s="231"/>
    </row>
    <row r="160" spans="1:3" x14ac:dyDescent="0.2">
      <c r="A160" s="65">
        <v>32386</v>
      </c>
      <c r="B160" s="76">
        <v>0.73</v>
      </c>
      <c r="C160" s="231"/>
    </row>
    <row r="161" spans="1:3" x14ac:dyDescent="0.2">
      <c r="A161" s="65">
        <v>32416</v>
      </c>
      <c r="B161" s="76">
        <v>0.73</v>
      </c>
      <c r="C161" s="231"/>
    </row>
    <row r="162" spans="1:3" x14ac:dyDescent="0.2">
      <c r="A162" s="65">
        <v>32447</v>
      </c>
      <c r="B162" s="76">
        <v>0.6</v>
      </c>
      <c r="C162" s="231"/>
    </row>
    <row r="163" spans="1:3" x14ac:dyDescent="0.2">
      <c r="A163" s="65">
        <v>32477</v>
      </c>
      <c r="B163" s="76">
        <v>0.6</v>
      </c>
      <c r="C163" s="231"/>
    </row>
    <row r="164" spans="1:3" x14ac:dyDescent="0.2">
      <c r="A164" s="65">
        <v>32508</v>
      </c>
      <c r="B164" s="76">
        <v>0.6</v>
      </c>
      <c r="C164" s="231"/>
    </row>
    <row r="165" spans="1:3" x14ac:dyDescent="0.2">
      <c r="A165" s="65">
        <v>32539</v>
      </c>
      <c r="B165" s="76">
        <v>0.37</v>
      </c>
      <c r="C165" s="231"/>
    </row>
    <row r="166" spans="1:3" x14ac:dyDescent="0.2">
      <c r="A166" s="65">
        <v>32567</v>
      </c>
      <c r="B166" s="76">
        <v>0.37</v>
      </c>
      <c r="C166" s="231"/>
    </row>
    <row r="167" spans="1:3" x14ac:dyDescent="0.2">
      <c r="A167" s="65">
        <v>32598</v>
      </c>
      <c r="B167" s="76">
        <v>0.37</v>
      </c>
      <c r="C167" s="231"/>
    </row>
    <row r="168" spans="1:3" x14ac:dyDescent="0.2">
      <c r="A168" s="65">
        <v>32628</v>
      </c>
      <c r="B168" s="76">
        <v>3.55</v>
      </c>
      <c r="C168" s="231"/>
    </row>
    <row r="169" spans="1:3" x14ac:dyDescent="0.2">
      <c r="A169" s="65">
        <v>32659</v>
      </c>
      <c r="B169" s="76">
        <v>3.55</v>
      </c>
      <c r="C169" s="231"/>
    </row>
    <row r="170" spans="1:3" x14ac:dyDescent="0.2">
      <c r="A170" s="65">
        <v>32689</v>
      </c>
      <c r="B170" s="76">
        <v>3.55</v>
      </c>
      <c r="C170" s="231"/>
    </row>
    <row r="171" spans="1:3" x14ac:dyDescent="0.2">
      <c r="A171" s="65">
        <v>32720</v>
      </c>
      <c r="B171" s="76">
        <v>-0.02</v>
      </c>
      <c r="C171" s="231"/>
    </row>
    <row r="172" spans="1:3" x14ac:dyDescent="0.2">
      <c r="A172" s="65">
        <v>32751</v>
      </c>
      <c r="B172" s="76">
        <v>-0.02</v>
      </c>
      <c r="C172" s="231"/>
    </row>
    <row r="173" spans="1:3" x14ac:dyDescent="0.2">
      <c r="A173" s="65">
        <v>32781</v>
      </c>
      <c r="B173" s="76">
        <v>-0.02</v>
      </c>
      <c r="C173" s="231"/>
    </row>
    <row r="174" spans="1:3" x14ac:dyDescent="0.2">
      <c r="A174" s="65">
        <v>32812</v>
      </c>
      <c r="B174" s="76">
        <v>1.43</v>
      </c>
      <c r="C174" s="231"/>
    </row>
    <row r="175" spans="1:3" x14ac:dyDescent="0.2">
      <c r="A175" s="65">
        <v>32842</v>
      </c>
      <c r="B175" s="76">
        <v>1.43</v>
      </c>
      <c r="C175" s="231"/>
    </row>
    <row r="176" spans="1:3" x14ac:dyDescent="0.2">
      <c r="A176" s="65">
        <v>32873</v>
      </c>
      <c r="B176" s="76">
        <v>1.43</v>
      </c>
      <c r="C176" s="231"/>
    </row>
    <row r="177" spans="1:3" x14ac:dyDescent="0.2">
      <c r="A177" s="65">
        <v>32904</v>
      </c>
      <c r="B177" s="76">
        <v>-1.07</v>
      </c>
      <c r="C177" s="231"/>
    </row>
    <row r="178" spans="1:3" x14ac:dyDescent="0.2">
      <c r="A178" s="65">
        <v>32932</v>
      </c>
      <c r="B178" s="76">
        <v>-1.07</v>
      </c>
      <c r="C178" s="231"/>
    </row>
    <row r="179" spans="1:3" x14ac:dyDescent="0.2">
      <c r="A179" s="65">
        <v>32963</v>
      </c>
      <c r="B179" s="76">
        <v>-1.07</v>
      </c>
      <c r="C179" s="231"/>
    </row>
    <row r="180" spans="1:3" x14ac:dyDescent="0.2">
      <c r="A180" s="65">
        <v>32993</v>
      </c>
      <c r="B180" s="76">
        <v>1.3827</v>
      </c>
      <c r="C180" s="231"/>
    </row>
    <row r="181" spans="1:3" x14ac:dyDescent="0.2">
      <c r="A181" s="65">
        <v>33024</v>
      </c>
      <c r="B181" s="76">
        <v>1.3883000000000001</v>
      </c>
      <c r="C181" s="231"/>
    </row>
    <row r="182" spans="1:3" x14ac:dyDescent="0.2">
      <c r="A182" s="65">
        <v>33054</v>
      </c>
      <c r="B182" s="76">
        <v>1.3827</v>
      </c>
      <c r="C182" s="231"/>
    </row>
    <row r="183" spans="1:3" x14ac:dyDescent="0.2">
      <c r="A183" s="65">
        <v>33085</v>
      </c>
      <c r="B183" s="76">
        <v>-0.50870000000000004</v>
      </c>
      <c r="C183" s="231"/>
    </row>
    <row r="184" spans="1:3" x14ac:dyDescent="0.2">
      <c r="A184" s="65">
        <v>33116</v>
      </c>
      <c r="B184" s="76">
        <v>-0.50870000000000004</v>
      </c>
      <c r="C184" s="231"/>
    </row>
    <row r="185" spans="1:3" x14ac:dyDescent="0.2">
      <c r="A185" s="65">
        <v>33146</v>
      </c>
      <c r="B185" s="76">
        <v>-0.50870000000000004</v>
      </c>
      <c r="C185" s="231"/>
    </row>
    <row r="186" spans="1:3" x14ac:dyDescent="0.2">
      <c r="A186" s="65">
        <v>33177</v>
      </c>
      <c r="B186" s="76">
        <v>2.5299999999999998</v>
      </c>
      <c r="C186" s="231"/>
    </row>
    <row r="187" spans="1:3" x14ac:dyDescent="0.2">
      <c r="A187" s="65">
        <v>33207</v>
      </c>
      <c r="B187" s="76">
        <v>2.5299999999999998</v>
      </c>
      <c r="C187" s="231"/>
    </row>
    <row r="188" spans="1:3" x14ac:dyDescent="0.2">
      <c r="A188" s="65">
        <v>33238</v>
      </c>
      <c r="B188" s="76">
        <v>2.5299999999999998</v>
      </c>
      <c r="C188" s="231"/>
    </row>
    <row r="189" spans="1:3" x14ac:dyDescent="0.2">
      <c r="A189" s="65">
        <v>33269</v>
      </c>
      <c r="B189" s="76">
        <v>0.76</v>
      </c>
      <c r="C189" s="231"/>
    </row>
    <row r="190" spans="1:3" x14ac:dyDescent="0.2">
      <c r="A190" s="65">
        <v>33297</v>
      </c>
      <c r="B190" s="76">
        <v>0.76</v>
      </c>
      <c r="C190" s="231"/>
    </row>
    <row r="191" spans="1:3" x14ac:dyDescent="0.2">
      <c r="A191" s="65">
        <v>33328</v>
      </c>
      <c r="B191" s="76">
        <v>0.76</v>
      </c>
      <c r="C191" s="231"/>
    </row>
    <row r="192" spans="1:3" x14ac:dyDescent="0.2">
      <c r="A192" s="65">
        <v>33358</v>
      </c>
      <c r="B192" s="76">
        <v>0.32</v>
      </c>
      <c r="C192" s="231"/>
    </row>
    <row r="193" spans="1:3" x14ac:dyDescent="0.2">
      <c r="A193" s="65">
        <v>33389</v>
      </c>
      <c r="B193" s="76">
        <v>0.32</v>
      </c>
      <c r="C193" s="231"/>
    </row>
    <row r="194" spans="1:3" x14ac:dyDescent="0.2">
      <c r="A194" s="65">
        <v>33419</v>
      </c>
      <c r="B194" s="76">
        <v>0.32</v>
      </c>
      <c r="C194" s="231"/>
    </row>
    <row r="195" spans="1:3" x14ac:dyDescent="0.2">
      <c r="A195" s="65">
        <v>33450</v>
      </c>
      <c r="B195" s="76">
        <v>2.56</v>
      </c>
      <c r="C195" s="231"/>
    </row>
    <row r="196" spans="1:3" x14ac:dyDescent="0.2">
      <c r="A196" s="65">
        <v>33481</v>
      </c>
      <c r="B196" s="76">
        <v>2.56</v>
      </c>
      <c r="C196" s="231"/>
    </row>
    <row r="197" spans="1:3" x14ac:dyDescent="0.2">
      <c r="A197" s="65">
        <v>33511</v>
      </c>
      <c r="B197" s="76">
        <v>2.56</v>
      </c>
      <c r="C197" s="231"/>
    </row>
    <row r="198" spans="1:3" x14ac:dyDescent="0.2">
      <c r="A198" s="65">
        <v>33542</v>
      </c>
      <c r="B198" s="76">
        <v>2.113</v>
      </c>
      <c r="C198" s="231"/>
    </row>
    <row r="199" spans="1:3" x14ac:dyDescent="0.2">
      <c r="A199" s="65">
        <v>33572</v>
      </c>
      <c r="B199" s="76">
        <v>2.113</v>
      </c>
      <c r="C199" s="231"/>
    </row>
    <row r="200" spans="1:3" x14ac:dyDescent="0.2">
      <c r="A200" s="65">
        <v>33603</v>
      </c>
      <c r="B200" s="76">
        <v>2.113</v>
      </c>
      <c r="C200" s="231"/>
    </row>
    <row r="201" spans="1:3" x14ac:dyDescent="0.2">
      <c r="A201" s="65">
        <v>33634</v>
      </c>
      <c r="B201" s="76">
        <v>-1.0159</v>
      </c>
      <c r="C201" s="231"/>
    </row>
    <row r="202" spans="1:3" x14ac:dyDescent="0.2">
      <c r="A202" s="65">
        <v>33663</v>
      </c>
      <c r="B202" s="76">
        <v>-1.0159</v>
      </c>
      <c r="C202" s="231"/>
    </row>
    <row r="203" spans="1:3" x14ac:dyDescent="0.2">
      <c r="A203" s="65">
        <v>33694</v>
      </c>
      <c r="B203" s="76">
        <v>-1.0159</v>
      </c>
      <c r="C203" s="231"/>
    </row>
    <row r="204" spans="1:3" x14ac:dyDescent="0.2">
      <c r="A204" s="65">
        <v>33724</v>
      </c>
      <c r="B204" s="76">
        <v>1.5</v>
      </c>
      <c r="C204" s="231"/>
    </row>
    <row r="205" spans="1:3" x14ac:dyDescent="0.2">
      <c r="A205" s="65">
        <v>33755</v>
      </c>
      <c r="B205" s="76">
        <v>1.5</v>
      </c>
      <c r="C205" s="231"/>
    </row>
    <row r="206" spans="1:3" x14ac:dyDescent="0.2">
      <c r="A206" s="65">
        <v>33785</v>
      </c>
      <c r="B206" s="76">
        <v>1.5</v>
      </c>
      <c r="C206" s="231"/>
    </row>
    <row r="207" spans="1:3" x14ac:dyDescent="0.2">
      <c r="A207" s="65">
        <v>33816</v>
      </c>
      <c r="B207" s="76">
        <v>2.2299000000000002</v>
      </c>
      <c r="C207" s="231"/>
    </row>
    <row r="208" spans="1:3" x14ac:dyDescent="0.2">
      <c r="A208" s="65">
        <v>33847</v>
      </c>
      <c r="B208" s="76">
        <v>2.2299000000000002</v>
      </c>
      <c r="C208" s="231"/>
    </row>
    <row r="209" spans="1:3" x14ac:dyDescent="0.2">
      <c r="A209" s="65">
        <v>33877</v>
      </c>
      <c r="B209" s="76">
        <v>2.2229000000000001</v>
      </c>
      <c r="C209" s="231"/>
    </row>
    <row r="210" spans="1:3" x14ac:dyDescent="0.2">
      <c r="A210" s="65">
        <v>33908</v>
      </c>
      <c r="B210" s="76">
        <v>0.04</v>
      </c>
      <c r="C210" s="231"/>
    </row>
    <row r="211" spans="1:3" x14ac:dyDescent="0.2">
      <c r="A211" s="65">
        <v>33938</v>
      </c>
      <c r="B211" s="76">
        <v>0.04</v>
      </c>
      <c r="C211" s="231"/>
    </row>
    <row r="212" spans="1:3" x14ac:dyDescent="0.2">
      <c r="A212" s="65">
        <v>33969</v>
      </c>
      <c r="B212" s="76">
        <v>0.04</v>
      </c>
      <c r="C212" s="231"/>
    </row>
    <row r="213" spans="1:3" x14ac:dyDescent="0.2">
      <c r="A213" s="65">
        <v>34000</v>
      </c>
      <c r="B213" s="76">
        <v>2.0379999999999998</v>
      </c>
      <c r="C213" s="231"/>
    </row>
    <row r="214" spans="1:3" x14ac:dyDescent="0.2">
      <c r="A214" s="65">
        <v>34028</v>
      </c>
      <c r="B214" s="76">
        <v>2.0379999999999998</v>
      </c>
      <c r="C214" s="231"/>
    </row>
    <row r="215" spans="1:3" x14ac:dyDescent="0.2">
      <c r="A215" s="65">
        <v>34059</v>
      </c>
      <c r="B215" s="76">
        <v>2.0379999999999998</v>
      </c>
      <c r="C215" s="231"/>
    </row>
    <row r="216" spans="1:3" x14ac:dyDescent="0.2">
      <c r="A216" s="65">
        <v>34089</v>
      </c>
      <c r="B216" s="76">
        <v>1.4554</v>
      </c>
      <c r="C216" s="231"/>
    </row>
    <row r="217" spans="1:3" x14ac:dyDescent="0.2">
      <c r="A217" s="65">
        <v>34120</v>
      </c>
      <c r="B217" s="76">
        <v>1.4554</v>
      </c>
      <c r="C217" s="231"/>
    </row>
    <row r="218" spans="1:3" x14ac:dyDescent="0.2">
      <c r="A218" s="65">
        <v>34150</v>
      </c>
      <c r="B218" s="76">
        <v>1.4554</v>
      </c>
      <c r="C218" s="231"/>
    </row>
    <row r="219" spans="1:3" x14ac:dyDescent="0.2">
      <c r="A219" s="65">
        <v>34181</v>
      </c>
      <c r="B219" s="76">
        <v>1.3160000000000001</v>
      </c>
      <c r="C219" s="231"/>
    </row>
    <row r="220" spans="1:3" x14ac:dyDescent="0.2">
      <c r="A220" s="65">
        <v>34212</v>
      </c>
      <c r="B220" s="76">
        <v>1.3160000000000001</v>
      </c>
      <c r="C220" s="231"/>
    </row>
    <row r="221" spans="1:3" x14ac:dyDescent="0.2">
      <c r="A221" s="65">
        <v>34242</v>
      </c>
      <c r="B221" s="76">
        <v>1.3160000000000001</v>
      </c>
      <c r="C221" s="231"/>
    </row>
    <row r="222" spans="1:3" x14ac:dyDescent="0.2">
      <c r="A222" s="65">
        <v>34273</v>
      </c>
      <c r="B222" s="76">
        <v>-0.1837</v>
      </c>
      <c r="C222" s="231"/>
    </row>
    <row r="223" spans="1:3" x14ac:dyDescent="0.2">
      <c r="A223" s="65">
        <v>34303</v>
      </c>
      <c r="B223" s="76">
        <v>-0.1837</v>
      </c>
      <c r="C223" s="231"/>
    </row>
    <row r="224" spans="1:3" x14ac:dyDescent="0.2">
      <c r="A224" s="65">
        <v>34334</v>
      </c>
      <c r="B224" s="76">
        <v>-0.1837</v>
      </c>
      <c r="C224" s="231"/>
    </row>
    <row r="225" spans="1:3" x14ac:dyDescent="0.2">
      <c r="A225" s="65">
        <v>34365</v>
      </c>
      <c r="B225" s="76">
        <v>-1.3926000000000001</v>
      </c>
      <c r="C225" s="231"/>
    </row>
    <row r="226" spans="1:3" x14ac:dyDescent="0.2">
      <c r="A226" s="65">
        <v>34393</v>
      </c>
      <c r="B226" s="76">
        <v>-1.3926000000000001</v>
      </c>
      <c r="C226" s="231"/>
    </row>
    <row r="227" spans="1:3" x14ac:dyDescent="0.2">
      <c r="A227" s="65">
        <v>34424</v>
      </c>
      <c r="B227" s="76">
        <v>-1.3926000000000001</v>
      </c>
      <c r="C227" s="231"/>
    </row>
    <row r="228" spans="1:3" x14ac:dyDescent="0.2">
      <c r="A228" s="65">
        <v>34454</v>
      </c>
      <c r="B228" s="76">
        <v>-0.58679999999999999</v>
      </c>
      <c r="C228" s="231"/>
    </row>
    <row r="229" spans="1:3" x14ac:dyDescent="0.2">
      <c r="A229" s="65">
        <v>34485</v>
      </c>
      <c r="B229" s="76">
        <v>-0.58679999999999999</v>
      </c>
      <c r="C229" s="231"/>
    </row>
    <row r="230" spans="1:3" x14ac:dyDescent="0.2">
      <c r="A230" s="65">
        <v>34515</v>
      </c>
      <c r="B230" s="76">
        <v>-0.58679999999999999</v>
      </c>
      <c r="C230" s="231"/>
    </row>
    <row r="231" spans="1:3" x14ac:dyDescent="0.2">
      <c r="A231" s="65">
        <v>34546</v>
      </c>
      <c r="B231" s="76">
        <v>0.05</v>
      </c>
      <c r="C231" s="231"/>
    </row>
    <row r="232" spans="1:3" x14ac:dyDescent="0.2">
      <c r="A232" s="65">
        <v>34577</v>
      </c>
      <c r="B232" s="76">
        <v>0.05</v>
      </c>
      <c r="C232" s="231"/>
    </row>
    <row r="233" spans="1:3" x14ac:dyDescent="0.2">
      <c r="A233" s="65">
        <v>34607</v>
      </c>
      <c r="B233" s="76">
        <v>0.05</v>
      </c>
      <c r="C233" s="231"/>
    </row>
    <row r="234" spans="1:3" x14ac:dyDescent="0.2">
      <c r="A234" s="65">
        <v>34638</v>
      </c>
      <c r="B234" s="76">
        <v>0.3024</v>
      </c>
      <c r="C234" s="231"/>
    </row>
    <row r="235" spans="1:3" x14ac:dyDescent="0.2">
      <c r="A235" s="65">
        <v>34668</v>
      </c>
      <c r="B235" s="76">
        <v>0.3024</v>
      </c>
      <c r="C235" s="231"/>
    </row>
    <row r="236" spans="1:3" x14ac:dyDescent="0.2">
      <c r="A236" s="65">
        <v>34699</v>
      </c>
      <c r="B236" s="76">
        <v>0.3024</v>
      </c>
      <c r="C236" s="231"/>
    </row>
    <row r="237" spans="1:3" x14ac:dyDescent="0.2">
      <c r="A237" s="65">
        <v>34730</v>
      </c>
      <c r="B237" s="76">
        <v>1.8875</v>
      </c>
      <c r="C237" s="231"/>
    </row>
    <row r="238" spans="1:3" x14ac:dyDescent="0.2">
      <c r="A238" s="65">
        <v>34758</v>
      </c>
      <c r="B238" s="76">
        <v>1.8875</v>
      </c>
      <c r="C238" s="231"/>
    </row>
    <row r="239" spans="1:3" x14ac:dyDescent="0.2">
      <c r="A239" s="65">
        <v>34789</v>
      </c>
      <c r="B239" s="76">
        <v>1.8875</v>
      </c>
      <c r="C239" s="231"/>
    </row>
    <row r="240" spans="1:3" x14ac:dyDescent="0.2">
      <c r="A240" s="65">
        <v>34819</v>
      </c>
      <c r="B240" s="76">
        <v>2.5573999999999999</v>
      </c>
      <c r="C240" s="231"/>
    </row>
    <row r="241" spans="1:3" x14ac:dyDescent="0.2">
      <c r="A241" s="65">
        <v>34850</v>
      </c>
      <c r="B241" s="76">
        <v>2.5573999999999999</v>
      </c>
      <c r="C241" s="231"/>
    </row>
    <row r="242" spans="1:3" x14ac:dyDescent="0.2">
      <c r="A242" s="65">
        <v>34880</v>
      </c>
      <c r="B242" s="76">
        <v>2.5573999999999999</v>
      </c>
      <c r="C242" s="231"/>
    </row>
    <row r="243" spans="1:3" x14ac:dyDescent="0.2">
      <c r="A243" s="65">
        <v>34911</v>
      </c>
      <c r="B243" s="76">
        <v>0.61619999999999997</v>
      </c>
      <c r="C243" s="231"/>
    </row>
    <row r="244" spans="1:3" x14ac:dyDescent="0.2">
      <c r="A244" s="65">
        <v>34942</v>
      </c>
      <c r="B244" s="76">
        <v>0.61619999999999997</v>
      </c>
      <c r="C244" s="231"/>
    </row>
    <row r="245" spans="1:3" x14ac:dyDescent="0.2">
      <c r="A245" s="65">
        <v>34972</v>
      </c>
      <c r="B245" s="76">
        <v>0.61619999999999997</v>
      </c>
      <c r="C245" s="231"/>
    </row>
    <row r="246" spans="1:3" x14ac:dyDescent="0.2">
      <c r="A246" s="65">
        <v>35003</v>
      </c>
      <c r="B246" s="76">
        <v>1.6879999999999999</v>
      </c>
      <c r="C246" s="231"/>
    </row>
    <row r="247" spans="1:3" x14ac:dyDescent="0.2">
      <c r="A247" s="65">
        <v>35033</v>
      </c>
      <c r="B247" s="76">
        <v>1.6879999999999999</v>
      </c>
      <c r="C247" s="231"/>
    </row>
    <row r="248" spans="1:3" x14ac:dyDescent="0.2">
      <c r="A248" s="65">
        <v>35064</v>
      </c>
      <c r="B248" s="76">
        <v>1.6879999999999999</v>
      </c>
      <c r="C248" s="231"/>
    </row>
    <row r="249" spans="1:3" x14ac:dyDescent="0.2">
      <c r="A249" s="65">
        <v>35095</v>
      </c>
      <c r="B249" s="76">
        <v>-0.87090000000000001</v>
      </c>
      <c r="C249" s="231"/>
    </row>
    <row r="250" spans="1:3" x14ac:dyDescent="0.2">
      <c r="A250" s="65">
        <v>35124</v>
      </c>
      <c r="B250" s="76">
        <v>-0.87090000000000001</v>
      </c>
      <c r="C250" s="231"/>
    </row>
    <row r="251" spans="1:3" x14ac:dyDescent="0.2">
      <c r="A251" s="65">
        <v>35155</v>
      </c>
      <c r="B251" s="76">
        <v>-0.87090000000000001</v>
      </c>
      <c r="C251" s="231"/>
    </row>
    <row r="252" spans="1:3" x14ac:dyDescent="0.2">
      <c r="A252" s="65">
        <v>35185</v>
      </c>
      <c r="B252" s="76">
        <v>0.22950000000000001</v>
      </c>
      <c r="C252" s="231"/>
    </row>
    <row r="253" spans="1:3" x14ac:dyDescent="0.2">
      <c r="A253" s="65">
        <v>35216</v>
      </c>
      <c r="B253" s="76">
        <v>0.22950000000000001</v>
      </c>
      <c r="C253" s="231"/>
    </row>
    <row r="254" spans="1:3" x14ac:dyDescent="0.2">
      <c r="A254" s="65">
        <v>35246</v>
      </c>
      <c r="B254" s="76">
        <v>0.22950000000000001</v>
      </c>
      <c r="C254" s="231"/>
    </row>
    <row r="255" spans="1:3" x14ac:dyDescent="0.2">
      <c r="A255" s="65">
        <v>35277</v>
      </c>
      <c r="B255" s="76">
        <v>0.4909</v>
      </c>
      <c r="C255" s="231"/>
    </row>
    <row r="256" spans="1:3" x14ac:dyDescent="0.2">
      <c r="A256" s="65">
        <v>35308</v>
      </c>
      <c r="B256" s="76">
        <v>0.4909</v>
      </c>
      <c r="C256" s="231"/>
    </row>
    <row r="257" spans="1:3" x14ac:dyDescent="0.2">
      <c r="A257" s="65">
        <v>35338</v>
      </c>
      <c r="B257" s="76">
        <v>0.4909</v>
      </c>
      <c r="C257" s="231"/>
    </row>
    <row r="258" spans="1:3" x14ac:dyDescent="0.2">
      <c r="A258" s="65">
        <v>35369</v>
      </c>
      <c r="B258" s="76">
        <v>1.1696</v>
      </c>
      <c r="C258" s="231"/>
    </row>
    <row r="259" spans="1:3" x14ac:dyDescent="0.2">
      <c r="A259" s="65">
        <v>35399</v>
      </c>
      <c r="B259" s="76">
        <v>1.1696</v>
      </c>
      <c r="C259" s="231"/>
    </row>
    <row r="260" spans="1:3" x14ac:dyDescent="0.2">
      <c r="A260" s="65">
        <v>35430</v>
      </c>
      <c r="B260" s="76">
        <v>1.1696</v>
      </c>
      <c r="C260" s="231"/>
    </row>
    <row r="261" spans="1:3" x14ac:dyDescent="0.2">
      <c r="A261" s="65">
        <v>35461</v>
      </c>
      <c r="B261" s="76">
        <v>0.28999999999999998</v>
      </c>
      <c r="C261" s="231"/>
    </row>
    <row r="262" spans="1:3" x14ac:dyDescent="0.2">
      <c r="A262" s="65">
        <v>35489</v>
      </c>
      <c r="B262" s="76">
        <v>0.15</v>
      </c>
      <c r="C262" s="231"/>
    </row>
    <row r="263" spans="1:3" x14ac:dyDescent="0.2">
      <c r="A263" s="65">
        <v>35520</v>
      </c>
      <c r="B263" s="76">
        <v>-1.66</v>
      </c>
      <c r="C263" s="231"/>
    </row>
    <row r="264" spans="1:3" x14ac:dyDescent="0.2">
      <c r="A264" s="65">
        <v>35550</v>
      </c>
      <c r="B264" s="76">
        <v>1.7</v>
      </c>
      <c r="C264" s="231"/>
    </row>
    <row r="265" spans="1:3" x14ac:dyDescent="0.2">
      <c r="A265" s="65">
        <v>35581</v>
      </c>
      <c r="B265" s="76">
        <v>1.04</v>
      </c>
      <c r="C265" s="231"/>
    </row>
    <row r="266" spans="1:3" x14ac:dyDescent="0.2">
      <c r="A266" s="65">
        <v>35611</v>
      </c>
      <c r="B266" s="76">
        <v>1.43</v>
      </c>
      <c r="C266" s="231"/>
    </row>
    <row r="267" spans="1:3" x14ac:dyDescent="0.2">
      <c r="A267" s="65">
        <v>35642</v>
      </c>
      <c r="B267" s="76">
        <v>3.36</v>
      </c>
      <c r="C267" s="231"/>
    </row>
    <row r="268" spans="1:3" x14ac:dyDescent="0.2">
      <c r="A268" s="65">
        <v>35673</v>
      </c>
      <c r="B268" s="76">
        <v>-1.29</v>
      </c>
      <c r="C268" s="231"/>
    </row>
    <row r="269" spans="1:3" x14ac:dyDescent="0.2">
      <c r="A269" s="65">
        <v>35703</v>
      </c>
      <c r="B269" s="76">
        <v>1.71</v>
      </c>
      <c r="C269" s="231"/>
    </row>
    <row r="270" spans="1:3" x14ac:dyDescent="0.2">
      <c r="A270" s="65">
        <v>35734</v>
      </c>
      <c r="B270" s="76">
        <v>1.53</v>
      </c>
      <c r="C270" s="231"/>
    </row>
    <row r="271" spans="1:3" x14ac:dyDescent="0.2">
      <c r="A271" s="65">
        <v>35764</v>
      </c>
      <c r="B271" s="76">
        <v>0.51</v>
      </c>
      <c r="C271" s="231"/>
    </row>
    <row r="272" spans="1:3" x14ac:dyDescent="0.2">
      <c r="A272" s="65">
        <v>35795</v>
      </c>
      <c r="B272" s="76">
        <v>1.02</v>
      </c>
      <c r="C272" s="231"/>
    </row>
    <row r="273" spans="1:3" x14ac:dyDescent="0.2">
      <c r="A273" s="65">
        <v>35826</v>
      </c>
      <c r="B273" s="76">
        <v>1.32</v>
      </c>
      <c r="C273" s="231"/>
    </row>
    <row r="274" spans="1:3" x14ac:dyDescent="0.2">
      <c r="A274" s="65">
        <v>35854</v>
      </c>
      <c r="B274" s="76">
        <v>-0.1</v>
      </c>
      <c r="C274" s="231"/>
    </row>
    <row r="275" spans="1:3" x14ac:dyDescent="0.2">
      <c r="A275" s="65">
        <v>35885</v>
      </c>
      <c r="B275" s="76">
        <v>0.28000000000000003</v>
      </c>
      <c r="C275" s="231"/>
    </row>
    <row r="276" spans="1:3" x14ac:dyDescent="0.2">
      <c r="A276" s="65">
        <v>35915</v>
      </c>
      <c r="B276" s="76">
        <v>0.61</v>
      </c>
      <c r="C276" s="231"/>
    </row>
    <row r="277" spans="1:3" x14ac:dyDescent="0.2">
      <c r="A277" s="65">
        <v>35946</v>
      </c>
      <c r="B277" s="76">
        <v>0.94</v>
      </c>
      <c r="C277" s="231"/>
    </row>
    <row r="278" spans="1:3" x14ac:dyDescent="0.2">
      <c r="A278" s="65">
        <v>35976</v>
      </c>
      <c r="B278" s="76">
        <v>0.76</v>
      </c>
      <c r="C278" s="231"/>
    </row>
    <row r="279" spans="1:3" x14ac:dyDescent="0.2">
      <c r="A279" s="65">
        <v>36007</v>
      </c>
      <c r="B279" s="76">
        <v>0.2</v>
      </c>
      <c r="C279" s="231"/>
    </row>
    <row r="280" spans="1:3" x14ac:dyDescent="0.2">
      <c r="A280" s="65">
        <v>36038</v>
      </c>
      <c r="B280" s="76">
        <v>1.48</v>
      </c>
      <c r="C280" s="231"/>
    </row>
    <row r="281" spans="1:3" x14ac:dyDescent="0.2">
      <c r="A281" s="65">
        <v>36068</v>
      </c>
      <c r="B281" s="76">
        <v>2.58</v>
      </c>
      <c r="C281" s="231"/>
    </row>
    <row r="282" spans="1:3" x14ac:dyDescent="0.2">
      <c r="A282" s="65">
        <v>36099</v>
      </c>
      <c r="B282" s="76">
        <v>-0.52</v>
      </c>
      <c r="C282" s="231"/>
    </row>
    <row r="283" spans="1:3" x14ac:dyDescent="0.2">
      <c r="A283" s="65">
        <v>36129</v>
      </c>
      <c r="B283" s="76">
        <v>0.54</v>
      </c>
      <c r="C283" s="231"/>
    </row>
    <row r="284" spans="1:3" x14ac:dyDescent="0.2">
      <c r="A284" s="65">
        <v>36160</v>
      </c>
      <c r="B284" s="76">
        <v>0.34</v>
      </c>
      <c r="C284" s="231"/>
    </row>
    <row r="285" spans="1:3" x14ac:dyDescent="0.2">
      <c r="A285" s="65">
        <v>36191</v>
      </c>
      <c r="B285" s="76">
        <v>0.72</v>
      </c>
      <c r="C285" s="231"/>
    </row>
    <row r="286" spans="1:3" x14ac:dyDescent="0.2">
      <c r="A286" s="65">
        <v>36219</v>
      </c>
      <c r="B286" s="76">
        <v>-1.83</v>
      </c>
      <c r="C286" s="231"/>
    </row>
    <row r="287" spans="1:3" x14ac:dyDescent="0.2">
      <c r="A287" s="65">
        <v>36250</v>
      </c>
      <c r="B287" s="76">
        <v>0.55000000000000004</v>
      </c>
      <c r="C287" s="231"/>
    </row>
    <row r="288" spans="1:3" x14ac:dyDescent="0.2">
      <c r="A288" s="65">
        <v>36280</v>
      </c>
      <c r="B288" s="76">
        <v>0.3</v>
      </c>
      <c r="C288" s="231"/>
    </row>
    <row r="289" spans="1:3" x14ac:dyDescent="0.2">
      <c r="A289" s="65">
        <v>36311</v>
      </c>
      <c r="B289" s="76">
        <v>-1.08</v>
      </c>
      <c r="C289" s="231"/>
    </row>
    <row r="290" spans="1:3" x14ac:dyDescent="0.2">
      <c r="A290" s="65">
        <v>36341</v>
      </c>
      <c r="B290" s="76">
        <v>-0.35</v>
      </c>
      <c r="C290" s="231"/>
    </row>
    <row r="291" spans="1:3" x14ac:dyDescent="0.2">
      <c r="A291" s="65">
        <v>36372</v>
      </c>
      <c r="B291" s="76">
        <v>-0.44</v>
      </c>
      <c r="C291" s="231"/>
    </row>
    <row r="292" spans="1:3" x14ac:dyDescent="0.2">
      <c r="A292" s="65">
        <v>36403</v>
      </c>
      <c r="B292" s="76">
        <v>-0.11</v>
      </c>
      <c r="C292" s="231"/>
    </row>
    <row r="293" spans="1:3" x14ac:dyDescent="0.2">
      <c r="A293" s="65">
        <v>36433</v>
      </c>
      <c r="B293" s="76">
        <v>1.2</v>
      </c>
      <c r="C293" s="231"/>
    </row>
    <row r="294" spans="1:3" x14ac:dyDescent="0.2">
      <c r="A294" s="65">
        <v>36464</v>
      </c>
      <c r="B294" s="76">
        <v>0.35</v>
      </c>
      <c r="C294" s="231"/>
    </row>
    <row r="295" spans="1:3" x14ac:dyDescent="0.2">
      <c r="A295" s="65">
        <v>36494</v>
      </c>
      <c r="B295" s="76">
        <v>-0.06</v>
      </c>
      <c r="C295" s="231"/>
    </row>
    <row r="296" spans="1:3" x14ac:dyDescent="0.2">
      <c r="A296" s="65">
        <v>36525</v>
      </c>
      <c r="B296" s="76">
        <v>-0.53</v>
      </c>
      <c r="C296" s="231"/>
    </row>
    <row r="297" spans="1:3" x14ac:dyDescent="0.2">
      <c r="A297" s="65">
        <v>36556</v>
      </c>
      <c r="B297" s="76">
        <v>-0.22</v>
      </c>
      <c r="C297" s="231"/>
    </row>
    <row r="298" spans="1:3" x14ac:dyDescent="0.2">
      <c r="A298" s="65">
        <v>36585</v>
      </c>
      <c r="B298" s="76">
        <v>1.1299999999999999</v>
      </c>
      <c r="C298" s="231"/>
    </row>
    <row r="299" spans="1:3" x14ac:dyDescent="0.2">
      <c r="A299" s="65">
        <v>36616</v>
      </c>
      <c r="B299" s="76">
        <v>1.38</v>
      </c>
      <c r="C299" s="231"/>
    </row>
    <row r="300" spans="1:3" x14ac:dyDescent="0.2">
      <c r="A300" s="65">
        <v>36646</v>
      </c>
      <c r="B300" s="76">
        <v>-0.42</v>
      </c>
      <c r="C300" s="231"/>
    </row>
    <row r="301" spans="1:3" x14ac:dyDescent="0.2">
      <c r="A301" s="65">
        <v>36677</v>
      </c>
      <c r="B301" s="76">
        <v>-0.1</v>
      </c>
      <c r="C301" s="231"/>
    </row>
    <row r="302" spans="1:3" x14ac:dyDescent="0.2">
      <c r="A302" s="65">
        <v>36707</v>
      </c>
      <c r="B302" s="76">
        <v>2.17</v>
      </c>
      <c r="C302" s="231"/>
    </row>
    <row r="303" spans="1:3" x14ac:dyDescent="0.2">
      <c r="A303" s="65">
        <v>36738</v>
      </c>
      <c r="B303" s="76">
        <v>0.98</v>
      </c>
      <c r="C303" s="231"/>
    </row>
    <row r="304" spans="1:3" x14ac:dyDescent="0.2">
      <c r="A304" s="65">
        <v>36769</v>
      </c>
      <c r="B304" s="76">
        <v>1.44</v>
      </c>
      <c r="C304" s="231"/>
    </row>
    <row r="305" spans="1:3" x14ac:dyDescent="0.2">
      <c r="A305" s="65">
        <v>36799</v>
      </c>
      <c r="B305" s="76">
        <v>0.6</v>
      </c>
      <c r="C305" s="231"/>
    </row>
    <row r="306" spans="1:3" x14ac:dyDescent="0.2">
      <c r="A306" s="65">
        <v>36830</v>
      </c>
      <c r="B306" s="76">
        <v>0.68</v>
      </c>
      <c r="C306" s="231"/>
    </row>
    <row r="307" spans="1:3" x14ac:dyDescent="0.2">
      <c r="A307" s="65">
        <v>36860</v>
      </c>
      <c r="B307" s="76">
        <v>1.71</v>
      </c>
      <c r="C307" s="231"/>
    </row>
    <row r="308" spans="1:3" x14ac:dyDescent="0.2">
      <c r="A308" s="65">
        <v>36891</v>
      </c>
      <c r="B308" s="76">
        <v>1.89</v>
      </c>
      <c r="C308" s="231"/>
    </row>
    <row r="309" spans="1:3" x14ac:dyDescent="0.2">
      <c r="A309" s="65">
        <v>36922</v>
      </c>
      <c r="B309" s="76">
        <v>1.67</v>
      </c>
      <c r="C309" s="231"/>
    </row>
    <row r="310" spans="1:3" x14ac:dyDescent="0.2">
      <c r="A310" s="65">
        <v>36950</v>
      </c>
      <c r="B310" s="76">
        <v>0.91</v>
      </c>
      <c r="C310" s="231"/>
    </row>
    <row r="311" spans="1:3" x14ac:dyDescent="0.2">
      <c r="A311" s="65">
        <v>36981</v>
      </c>
      <c r="B311" s="76">
        <v>0.45</v>
      </c>
      <c r="C311" s="231"/>
    </row>
    <row r="312" spans="1:3" x14ac:dyDescent="0.2">
      <c r="A312" s="65">
        <v>37011</v>
      </c>
      <c r="B312" s="76">
        <v>-0.47</v>
      </c>
      <c r="C312" s="231"/>
    </row>
    <row r="313" spans="1:3" x14ac:dyDescent="0.2">
      <c r="A313" s="65">
        <v>37042</v>
      </c>
      <c r="B313" s="76">
        <v>0.6</v>
      </c>
      <c r="C313" s="231"/>
    </row>
    <row r="314" spans="1:3" x14ac:dyDescent="0.2">
      <c r="A314" s="65">
        <v>37072</v>
      </c>
      <c r="B314" s="76">
        <v>0.35</v>
      </c>
      <c r="C314" s="231"/>
    </row>
    <row r="315" spans="1:3" x14ac:dyDescent="0.2">
      <c r="A315" s="65">
        <v>37103</v>
      </c>
      <c r="B315" s="76">
        <v>2.33</v>
      </c>
      <c r="C315" s="231"/>
    </row>
    <row r="316" spans="1:3" x14ac:dyDescent="0.2">
      <c r="A316" s="65">
        <v>37134</v>
      </c>
      <c r="B316" s="76">
        <v>1.1399999999999999</v>
      </c>
      <c r="C316" s="231"/>
    </row>
    <row r="317" spans="1:3" x14ac:dyDescent="0.2">
      <c r="A317" s="65">
        <v>37164</v>
      </c>
      <c r="B317" s="76">
        <v>1.23</v>
      </c>
      <c r="C317" s="231"/>
    </row>
    <row r="318" spans="1:3" x14ac:dyDescent="0.2">
      <c r="A318" s="65">
        <v>37195</v>
      </c>
      <c r="B318" s="76">
        <v>2.12</v>
      </c>
      <c r="C318" s="231"/>
    </row>
    <row r="319" spans="1:3" x14ac:dyDescent="0.2">
      <c r="A319" s="65">
        <v>37225</v>
      </c>
      <c r="B319" s="76">
        <v>-1.46</v>
      </c>
      <c r="C319" s="231"/>
    </row>
    <row r="320" spans="1:3" x14ac:dyDescent="0.2">
      <c r="A320" s="65">
        <v>37256</v>
      </c>
      <c r="B320" s="76">
        <v>-0.68</v>
      </c>
      <c r="C320" s="231"/>
    </row>
    <row r="321" spans="1:3" x14ac:dyDescent="0.2">
      <c r="A321" s="65">
        <v>37287</v>
      </c>
      <c r="B321" s="76">
        <v>0.84</v>
      </c>
      <c r="C321" s="231"/>
    </row>
    <row r="322" spans="1:3" x14ac:dyDescent="0.2">
      <c r="A322" s="65">
        <v>37315</v>
      </c>
      <c r="B322" s="76">
        <v>1.02</v>
      </c>
      <c r="C322" s="231"/>
    </row>
    <row r="323" spans="1:3" x14ac:dyDescent="0.2">
      <c r="A323" s="65">
        <v>37346</v>
      </c>
      <c r="B323" s="76">
        <v>-1.79</v>
      </c>
      <c r="C323" s="231"/>
    </row>
    <row r="324" spans="1:3" x14ac:dyDescent="0.2">
      <c r="A324" s="65">
        <v>37376</v>
      </c>
      <c r="B324" s="76">
        <v>1.83</v>
      </c>
      <c r="C324" s="231">
        <v>5815987843</v>
      </c>
    </row>
    <row r="325" spans="1:3" x14ac:dyDescent="0.2">
      <c r="A325" s="65">
        <v>37407</v>
      </c>
      <c r="B325" s="76">
        <v>0.92</v>
      </c>
      <c r="C325" s="231">
        <v>5800831571</v>
      </c>
    </row>
    <row r="326" spans="1:3" x14ac:dyDescent="0.2">
      <c r="A326" s="65">
        <v>37437</v>
      </c>
      <c r="B326" s="76">
        <v>0.73</v>
      </c>
      <c r="C326" s="231">
        <v>5783433106</v>
      </c>
    </row>
    <row r="327" spans="1:3" x14ac:dyDescent="0.2">
      <c r="A327" s="65">
        <v>37468</v>
      </c>
      <c r="B327" s="76">
        <v>1.1581999999999999</v>
      </c>
      <c r="C327" s="231">
        <v>5664168135.3999996</v>
      </c>
    </row>
    <row r="328" spans="1:3" x14ac:dyDescent="0.2">
      <c r="A328" s="65">
        <v>37499</v>
      </c>
      <c r="B328" s="76">
        <v>1.978</v>
      </c>
      <c r="C328" s="231">
        <v>5327844296.9499998</v>
      </c>
    </row>
    <row r="329" spans="1:3" x14ac:dyDescent="0.2">
      <c r="A329" s="65">
        <v>37529</v>
      </c>
      <c r="B329" s="76">
        <v>1.6034999999999999</v>
      </c>
      <c r="C329" s="231">
        <v>5192284585.29</v>
      </c>
    </row>
    <row r="330" spans="1:3" x14ac:dyDescent="0.2">
      <c r="A330" s="65">
        <v>37560</v>
      </c>
      <c r="B330" s="76">
        <v>-0.33250000000000002</v>
      </c>
      <c r="C330" s="231">
        <v>5089205183.8900003</v>
      </c>
    </row>
    <row r="331" spans="1:3" x14ac:dyDescent="0.2">
      <c r="A331" s="65">
        <v>37590</v>
      </c>
      <c r="B331" s="76">
        <v>-2.9700000000000001E-2</v>
      </c>
      <c r="C331" s="231">
        <v>4958058395.6000004</v>
      </c>
    </row>
    <row r="332" spans="1:3" x14ac:dyDescent="0.2">
      <c r="A332" s="65">
        <v>37621</v>
      </c>
      <c r="B332" s="76">
        <v>2.0295000000000001</v>
      </c>
      <c r="C332" s="231">
        <v>5059906406.3500004</v>
      </c>
    </row>
    <row r="333" spans="1:3" x14ac:dyDescent="0.2">
      <c r="A333" s="65">
        <v>37652</v>
      </c>
      <c r="B333" s="76">
        <v>8.4400000000000003E-2</v>
      </c>
      <c r="C333" s="231">
        <v>4979171478.7299995</v>
      </c>
    </row>
    <row r="334" spans="1:3" x14ac:dyDescent="0.2">
      <c r="A334" s="65">
        <v>37680</v>
      </c>
      <c r="B334" s="76">
        <v>1.4601</v>
      </c>
      <c r="C334" s="231">
        <v>4976793630.6700001</v>
      </c>
    </row>
    <row r="335" spans="1:3" x14ac:dyDescent="0.2">
      <c r="A335" s="65">
        <v>37711</v>
      </c>
      <c r="B335" s="76">
        <v>-0.13819999999999999</v>
      </c>
      <c r="C335" s="231">
        <v>4900656793.9399996</v>
      </c>
    </row>
    <row r="336" spans="1:3" x14ac:dyDescent="0.2">
      <c r="A336" s="65">
        <v>37741</v>
      </c>
      <c r="B336" s="76">
        <v>0.80030000000000001</v>
      </c>
      <c r="C336" s="231">
        <v>4865264207.8299999</v>
      </c>
    </row>
    <row r="337" spans="1:3" x14ac:dyDescent="0.2">
      <c r="A337" s="65">
        <v>37772</v>
      </c>
      <c r="B337" s="76">
        <v>1.8202</v>
      </c>
      <c r="C337" s="231">
        <v>5028011750.8900003</v>
      </c>
    </row>
    <row r="338" spans="1:3" x14ac:dyDescent="0.2">
      <c r="A338" s="65">
        <v>37802</v>
      </c>
      <c r="B338" s="76">
        <v>-0.21829999999999999</v>
      </c>
      <c r="C338" s="231">
        <v>4941388265.5100002</v>
      </c>
    </row>
    <row r="339" spans="1:3" x14ac:dyDescent="0.2">
      <c r="A339" s="65">
        <v>37833</v>
      </c>
      <c r="B339" s="76">
        <v>-3.6745999999999999</v>
      </c>
      <c r="C339" s="231">
        <v>4759812176.7200003</v>
      </c>
    </row>
    <row r="340" spans="1:3" x14ac:dyDescent="0.2">
      <c r="A340" s="65">
        <v>37864</v>
      </c>
      <c r="B340" s="76">
        <v>0.84560000000000002</v>
      </c>
      <c r="C340" s="231">
        <v>4800061763.8999996</v>
      </c>
    </row>
    <row r="341" spans="1:3" x14ac:dyDescent="0.2">
      <c r="A341" s="65">
        <v>37894</v>
      </c>
      <c r="B341" s="76">
        <v>2.7543000000000002</v>
      </c>
      <c r="C341" s="231">
        <v>4932860222.2799997</v>
      </c>
    </row>
    <row r="342" spans="1:3" x14ac:dyDescent="0.2">
      <c r="A342" s="65">
        <v>37925</v>
      </c>
      <c r="B342" s="76">
        <v>-0.93869999999999998</v>
      </c>
      <c r="C342" s="231">
        <v>4886557352.9300003</v>
      </c>
    </row>
    <row r="343" spans="1:3" x14ac:dyDescent="0.2">
      <c r="A343" s="65">
        <v>37955</v>
      </c>
      <c r="B343" s="76">
        <v>0.2334</v>
      </c>
      <c r="C343" s="231">
        <v>4899963752.8599997</v>
      </c>
    </row>
    <row r="344" spans="1:3" x14ac:dyDescent="0.2">
      <c r="A344" s="65">
        <v>37986</v>
      </c>
      <c r="B344" s="76">
        <v>0.97309999999999997</v>
      </c>
      <c r="C344" s="231">
        <v>4948276190.6899996</v>
      </c>
    </row>
    <row r="345" spans="1:3" x14ac:dyDescent="0.2">
      <c r="A345" s="65">
        <v>38017</v>
      </c>
      <c r="B345" s="76">
        <v>0.80159999999999998</v>
      </c>
      <c r="C345" s="231">
        <v>5098053264.8100004</v>
      </c>
    </row>
    <row r="346" spans="1:3" x14ac:dyDescent="0.2">
      <c r="A346" s="65">
        <v>38046</v>
      </c>
      <c r="B346" s="76">
        <v>1.0781000000000001</v>
      </c>
      <c r="C346" s="231">
        <v>5153018958.8400002</v>
      </c>
    </row>
    <row r="347" spans="1:3" x14ac:dyDescent="0.2">
      <c r="A347" s="65">
        <v>38077</v>
      </c>
      <c r="B347" s="76">
        <v>0.77959999999999996</v>
      </c>
      <c r="C347" s="231">
        <v>5193985630.3299999</v>
      </c>
    </row>
    <row r="348" spans="1:3" x14ac:dyDescent="0.2">
      <c r="A348" s="65">
        <v>38107</v>
      </c>
      <c r="B348" s="76">
        <v>-2.6465000000000001</v>
      </c>
      <c r="C348" s="231">
        <v>5056539916.0900002</v>
      </c>
    </row>
    <row r="349" spans="1:3" x14ac:dyDescent="0.2">
      <c r="A349" s="65">
        <v>38138</v>
      </c>
      <c r="B349" s="76">
        <v>-0.44140000000000001</v>
      </c>
      <c r="C349" s="231">
        <v>5034218703.29</v>
      </c>
    </row>
    <row r="350" spans="1:3" x14ac:dyDescent="0.2">
      <c r="A350" s="65">
        <v>38168</v>
      </c>
      <c r="B350" s="76">
        <v>0.60119999999999996</v>
      </c>
      <c r="C350" s="231">
        <v>5068323958.8800001</v>
      </c>
    </row>
    <row r="351" spans="1:3" x14ac:dyDescent="0.2">
      <c r="A351" s="65">
        <v>38199</v>
      </c>
      <c r="B351" s="76">
        <v>0.99419999999999997</v>
      </c>
      <c r="C351" s="231">
        <v>5118635243.6400003</v>
      </c>
    </row>
    <row r="352" spans="1:3" x14ac:dyDescent="0.2">
      <c r="A352" s="65">
        <v>38230</v>
      </c>
      <c r="B352" s="76">
        <v>1.9422999999999999</v>
      </c>
      <c r="C352" s="231">
        <v>5216530655.6099997</v>
      </c>
    </row>
    <row r="353" spans="1:3" x14ac:dyDescent="0.2">
      <c r="A353" s="65">
        <v>38260</v>
      </c>
      <c r="B353" s="76">
        <v>0.29699999999999999</v>
      </c>
      <c r="C353" s="231">
        <v>5026326219.9099998</v>
      </c>
    </row>
    <row r="354" spans="1:3" x14ac:dyDescent="0.2">
      <c r="A354" s="65">
        <v>38291</v>
      </c>
      <c r="B354" s="76">
        <v>0.87809999999999999</v>
      </c>
      <c r="C354" s="231">
        <v>5070420265.4700003</v>
      </c>
    </row>
    <row r="355" spans="1:3" x14ac:dyDescent="0.2">
      <c r="A355" s="65">
        <v>38321</v>
      </c>
      <c r="B355" s="76">
        <v>-0.70630000000000004</v>
      </c>
      <c r="C355" s="231">
        <v>5034608360.8699999</v>
      </c>
    </row>
    <row r="356" spans="1:3" x14ac:dyDescent="0.2">
      <c r="A356" s="65">
        <v>38352</v>
      </c>
      <c r="B356" s="76">
        <v>0.90810000000000002</v>
      </c>
      <c r="C356" s="231">
        <v>5042716797.0600004</v>
      </c>
    </row>
    <row r="357" spans="1:3" x14ac:dyDescent="0.2">
      <c r="A357" s="65">
        <v>38383</v>
      </c>
      <c r="B357" s="76">
        <v>0.61799999999999999</v>
      </c>
      <c r="C357" s="231">
        <v>5073879061.6099997</v>
      </c>
    </row>
    <row r="358" spans="1:3" x14ac:dyDescent="0.2">
      <c r="A358" s="65">
        <v>38411</v>
      </c>
      <c r="B358" s="76">
        <v>-0.53029999999999999</v>
      </c>
      <c r="C358" s="231">
        <v>5046974020.7600002</v>
      </c>
    </row>
    <row r="359" spans="1:3" x14ac:dyDescent="0.2">
      <c r="A359" s="65">
        <v>38442</v>
      </c>
      <c r="B359" s="76">
        <v>-0.54910000000000003</v>
      </c>
      <c r="C359" s="232">
        <v>5020228766.9200001</v>
      </c>
    </row>
    <row r="360" spans="1:3" x14ac:dyDescent="0.2">
      <c r="A360" s="65">
        <v>38472</v>
      </c>
      <c r="B360" s="76">
        <v>1.2876000000000001</v>
      </c>
      <c r="C360" s="232">
        <v>5084866850</v>
      </c>
    </row>
    <row r="361" spans="1:3" x14ac:dyDescent="0.2">
      <c r="A361" s="65">
        <v>38503</v>
      </c>
      <c r="B361" s="76">
        <v>1.0387999999999999</v>
      </c>
      <c r="C361" s="232">
        <v>5137687805.5699997</v>
      </c>
    </row>
    <row r="362" spans="1:3" x14ac:dyDescent="0.2">
      <c r="A362" s="65">
        <v>38533</v>
      </c>
      <c r="B362" s="76">
        <v>0.55000000000000004</v>
      </c>
      <c r="C362" s="232">
        <v>5166879116.5200005</v>
      </c>
    </row>
    <row r="363" spans="1:3" x14ac:dyDescent="0.2">
      <c r="A363" s="65">
        <v>38564</v>
      </c>
      <c r="B363" s="76">
        <v>-0.76390000000000002</v>
      </c>
      <c r="C363" s="232">
        <v>5127411171.5</v>
      </c>
    </row>
    <row r="364" spans="1:3" x14ac:dyDescent="0.2">
      <c r="A364" s="65">
        <v>38595</v>
      </c>
      <c r="B364" s="76">
        <v>1.1857</v>
      </c>
      <c r="C364" s="232">
        <v>5188207791.5600004</v>
      </c>
    </row>
    <row r="365" spans="1:3" x14ac:dyDescent="0.2">
      <c r="A365" s="65">
        <v>38625</v>
      </c>
      <c r="B365" s="253">
        <v>-0.95799999999999996</v>
      </c>
      <c r="C365" s="256">
        <v>5109481840.3100004</v>
      </c>
    </row>
    <row r="366" spans="1:3" x14ac:dyDescent="0.2">
      <c r="A366" s="65">
        <v>38656</v>
      </c>
      <c r="B366" s="253">
        <v>-0.73939999999999995</v>
      </c>
      <c r="C366" s="256">
        <v>5101536461.1400003</v>
      </c>
    </row>
    <row r="367" spans="1:3" x14ac:dyDescent="0.2">
      <c r="A367" s="65">
        <v>38686</v>
      </c>
      <c r="B367" s="253">
        <v>0.4677</v>
      </c>
      <c r="C367" s="256">
        <v>5125395382.7399998</v>
      </c>
    </row>
    <row r="368" spans="1:3" x14ac:dyDescent="0.2">
      <c r="A368" s="65">
        <v>38717</v>
      </c>
      <c r="B368" s="253">
        <v>0.93240000000000001</v>
      </c>
      <c r="C368" s="256">
        <v>5174153557.0799999</v>
      </c>
    </row>
    <row r="369" spans="1:4" x14ac:dyDescent="0.2">
      <c r="A369" s="65">
        <v>38748</v>
      </c>
      <c r="B369" s="253">
        <v>5.7099999999999998E-2</v>
      </c>
      <c r="C369" s="256">
        <v>5177108945</v>
      </c>
    </row>
    <row r="370" spans="1:4" x14ac:dyDescent="0.2">
      <c r="A370" s="65">
        <v>38776</v>
      </c>
      <c r="B370" s="253">
        <v>0.37040000000000001</v>
      </c>
      <c r="C370" s="256">
        <v>5196285918.8800001</v>
      </c>
    </row>
    <row r="371" spans="1:4" x14ac:dyDescent="0.2">
      <c r="A371" s="65">
        <v>38807</v>
      </c>
      <c r="B371" s="128">
        <v>-0.94599999999999995</v>
      </c>
      <c r="C371" s="366">
        <v>5148117134.5</v>
      </c>
    </row>
    <row r="372" spans="1:4" x14ac:dyDescent="0.2">
      <c r="A372" s="65">
        <v>38837</v>
      </c>
      <c r="B372" s="128">
        <v>-0.1145</v>
      </c>
      <c r="C372" s="366">
        <v>5142221137.5299997</v>
      </c>
    </row>
    <row r="373" spans="1:4" x14ac:dyDescent="0.2">
      <c r="A373" s="65">
        <v>38868</v>
      </c>
      <c r="B373" s="128">
        <v>-9.8500000000000004E-2</v>
      </c>
      <c r="C373" s="366">
        <v>5137155857.6400003</v>
      </c>
    </row>
    <row r="374" spans="1:4" x14ac:dyDescent="0.2">
      <c r="A374" s="65">
        <v>38898</v>
      </c>
      <c r="B374" s="128">
        <v>0.18870000000000001</v>
      </c>
      <c r="C374" s="612">
        <v>5147789198.9700003</v>
      </c>
      <c r="D374" s="253"/>
    </row>
    <row r="375" spans="1:4" x14ac:dyDescent="0.2">
      <c r="A375" s="65">
        <v>38929</v>
      </c>
      <c r="B375" s="253">
        <v>1.3814</v>
      </c>
      <c r="C375" s="34">
        <v>5218901662.3500004</v>
      </c>
      <c r="D375" s="253"/>
    </row>
    <row r="376" spans="1:4" x14ac:dyDescent="0.2">
      <c r="A376" s="65">
        <v>38960</v>
      </c>
      <c r="B376" s="253">
        <v>1.4762999999999999</v>
      </c>
      <c r="C376" s="34">
        <v>5295948458.1599998</v>
      </c>
      <c r="D376" s="253"/>
    </row>
    <row r="377" spans="1:4" x14ac:dyDescent="0.2">
      <c r="A377" s="65">
        <v>38990</v>
      </c>
      <c r="B377" s="253">
        <v>0.85209999999999997</v>
      </c>
      <c r="C377" s="34">
        <v>5342021641</v>
      </c>
      <c r="D377" s="253"/>
    </row>
    <row r="378" spans="1:4" x14ac:dyDescent="0.2">
      <c r="A378" s="65">
        <v>39021</v>
      </c>
      <c r="B378" s="14">
        <v>0.69499999999999995</v>
      </c>
      <c r="C378" s="8">
        <v>5379149480.1700001</v>
      </c>
    </row>
    <row r="379" spans="1:4" x14ac:dyDescent="0.2">
      <c r="A379" s="65">
        <v>39051</v>
      </c>
      <c r="B379" s="14">
        <v>1.1231</v>
      </c>
      <c r="C379" s="8">
        <v>5439560535.7399998</v>
      </c>
    </row>
    <row r="380" spans="1:4" x14ac:dyDescent="0.2">
      <c r="A380" s="65">
        <v>39082</v>
      </c>
      <c r="B380" s="14">
        <v>-0.57130000000000003</v>
      </c>
      <c r="C380" s="352">
        <v>5409471585.46</v>
      </c>
    </row>
    <row r="381" spans="1:4" x14ac:dyDescent="0.2">
      <c r="A381" s="65">
        <v>39113</v>
      </c>
      <c r="B381" s="14">
        <v>6.8500000000000005E-2</v>
      </c>
      <c r="C381" s="352">
        <v>5413178139.54</v>
      </c>
    </row>
    <row r="382" spans="1:4" x14ac:dyDescent="0.2">
      <c r="A382" s="65">
        <v>39141</v>
      </c>
      <c r="B382" s="14">
        <v>1.5170999999999999</v>
      </c>
      <c r="C382" s="352">
        <v>5495301208.9499998</v>
      </c>
    </row>
    <row r="383" spans="1:4" x14ac:dyDescent="0.2">
      <c r="A383" s="65">
        <v>39172</v>
      </c>
      <c r="B383" s="14">
        <v>-1.67E-2</v>
      </c>
      <c r="C383" s="352">
        <v>5495411736.3900003</v>
      </c>
    </row>
    <row r="384" spans="1:4" x14ac:dyDescent="0.2">
      <c r="A384" s="65">
        <v>39202</v>
      </c>
      <c r="B384" s="14">
        <v>0.55559999999999998</v>
      </c>
      <c r="C384" s="352">
        <v>5625963895.9499998</v>
      </c>
    </row>
    <row r="385" spans="1:3" x14ac:dyDescent="0.2">
      <c r="A385" s="65">
        <v>39233</v>
      </c>
      <c r="B385" s="14">
        <v>-0.78410000000000002</v>
      </c>
      <c r="C385" s="352">
        <v>5581853301.8699999</v>
      </c>
    </row>
    <row r="386" spans="1:3" x14ac:dyDescent="0.2">
      <c r="A386" s="65">
        <v>39263</v>
      </c>
      <c r="B386" s="14">
        <v>-0.33960000000000001</v>
      </c>
      <c r="C386" s="352">
        <v>5563885049.79</v>
      </c>
    </row>
    <row r="387" spans="1:3" x14ac:dyDescent="0.2">
      <c r="A387" s="65">
        <v>39294</v>
      </c>
      <c r="B387" s="14">
        <v>0.76739999999999997</v>
      </c>
      <c r="C387" s="352">
        <v>5606584167.1599998</v>
      </c>
    </row>
    <row r="388" spans="1:3" x14ac:dyDescent="0.2">
      <c r="A388" s="65">
        <v>39325</v>
      </c>
      <c r="B388" s="14">
        <v>1.1948000000000001</v>
      </c>
      <c r="C388" s="8">
        <v>5673571707.9300003</v>
      </c>
    </row>
    <row r="389" spans="1:3" x14ac:dyDescent="0.2">
      <c r="A389" s="65">
        <v>39355</v>
      </c>
      <c r="B389" s="14">
        <v>0.75939999999999996</v>
      </c>
      <c r="C389" s="8">
        <v>5717679065.6300001</v>
      </c>
    </row>
    <row r="390" spans="1:3" x14ac:dyDescent="0.2">
      <c r="A390" s="65">
        <v>39386</v>
      </c>
      <c r="B390" s="14">
        <v>0.9052</v>
      </c>
      <c r="C390" s="8">
        <v>5769435736.3400002</v>
      </c>
    </row>
    <row r="391" spans="1:3" x14ac:dyDescent="0.2">
      <c r="A391" s="65">
        <v>39416</v>
      </c>
      <c r="B391" s="14">
        <v>1.6244000000000001</v>
      </c>
      <c r="C391" s="8">
        <v>5876661761.3400002</v>
      </c>
    </row>
    <row r="392" spans="1:3" x14ac:dyDescent="0.2">
      <c r="A392" s="65">
        <v>39447</v>
      </c>
      <c r="B392" s="14">
        <v>0.25790000000000002</v>
      </c>
      <c r="C392" s="8">
        <v>5905917772.8199997</v>
      </c>
    </row>
    <row r="393" spans="1:3" x14ac:dyDescent="0.2">
      <c r="A393" s="65">
        <v>39478</v>
      </c>
      <c r="B393" s="14">
        <v>1.5486</v>
      </c>
      <c r="C393" s="8">
        <v>5997376752.1000004</v>
      </c>
    </row>
    <row r="394" spans="1:3" x14ac:dyDescent="0.2">
      <c r="A394" s="65">
        <v>39507</v>
      </c>
      <c r="B394" s="14">
        <v>4.3799999999999999E-2</v>
      </c>
      <c r="C394" s="8">
        <v>6000006261.1700001</v>
      </c>
    </row>
    <row r="395" spans="1:3" x14ac:dyDescent="0.2">
      <c r="A395" s="65">
        <v>39538</v>
      </c>
      <c r="B395" s="14">
        <v>8.4199999999999997E-2</v>
      </c>
      <c r="C395" s="8">
        <v>5931335194.3999996</v>
      </c>
    </row>
    <row r="396" spans="1:3" x14ac:dyDescent="0.2">
      <c r="A396" s="65">
        <v>39568</v>
      </c>
      <c r="B396" s="14">
        <v>1.3599999999999999E-2</v>
      </c>
      <c r="C396" s="8">
        <v>5932144375.8900003</v>
      </c>
    </row>
    <row r="397" spans="1:3" x14ac:dyDescent="0.2">
      <c r="A397" s="65">
        <v>39599</v>
      </c>
      <c r="B397" s="240">
        <v>-0.67379999999999995</v>
      </c>
      <c r="C397" s="8">
        <v>6090823780.7799997</v>
      </c>
    </row>
    <row r="398" spans="1:3" x14ac:dyDescent="0.2">
      <c r="A398" s="65">
        <v>39629</v>
      </c>
      <c r="B398" s="240">
        <v>-7.8200000000000006E-2</v>
      </c>
      <c r="C398" s="8">
        <v>6087146299.29</v>
      </c>
    </row>
    <row r="399" spans="1:3" x14ac:dyDescent="0.2">
      <c r="A399" s="65">
        <v>39660</v>
      </c>
      <c r="B399" s="240">
        <v>-0.19389999999999999</v>
      </c>
      <c r="C399" s="1207">
        <v>6050383435.6099997</v>
      </c>
    </row>
    <row r="400" spans="1:3" x14ac:dyDescent="0.2">
      <c r="A400" s="65">
        <v>39691</v>
      </c>
      <c r="B400" s="240">
        <v>0.5071</v>
      </c>
      <c r="C400" s="1207">
        <v>6081063361.1899996</v>
      </c>
    </row>
    <row r="401" spans="1:3" x14ac:dyDescent="0.2">
      <c r="A401" s="65">
        <v>39721</v>
      </c>
      <c r="B401" s="240">
        <v>-1.3669</v>
      </c>
      <c r="C401" s="1207">
        <v>5934000477.3000002</v>
      </c>
    </row>
    <row r="402" spans="1:3" x14ac:dyDescent="0.2">
      <c r="A402" s="65">
        <v>39752</v>
      </c>
      <c r="B402" s="1250">
        <v>-3.0206</v>
      </c>
      <c r="C402" s="1249">
        <v>5318186566</v>
      </c>
    </row>
    <row r="403" spans="1:3" x14ac:dyDescent="0.2">
      <c r="A403" s="65">
        <v>39782</v>
      </c>
      <c r="B403" s="1250">
        <v>1.7584</v>
      </c>
      <c r="C403" s="1249">
        <v>5245868890</v>
      </c>
    </row>
    <row r="404" spans="1:3" x14ac:dyDescent="0.2">
      <c r="A404" s="65">
        <v>39813</v>
      </c>
      <c r="B404" s="1250">
        <v>3.9937</v>
      </c>
      <c r="C404" s="1249">
        <v>5365537911</v>
      </c>
    </row>
    <row r="405" spans="1:3" x14ac:dyDescent="0.2">
      <c r="A405" s="65">
        <v>39844</v>
      </c>
      <c r="B405" s="14">
        <v>-0.44</v>
      </c>
    </row>
    <row r="406" spans="1:3" x14ac:dyDescent="0.2">
      <c r="A406" s="65">
        <v>39872</v>
      </c>
      <c r="B406" s="14">
        <v>-0.62</v>
      </c>
    </row>
    <row r="407" spans="1:3" x14ac:dyDescent="0.2">
      <c r="A407" s="65">
        <v>39903</v>
      </c>
      <c r="B407" s="243">
        <v>1.56</v>
      </c>
    </row>
    <row r="408" spans="1:3" x14ac:dyDescent="0.2">
      <c r="A408" s="65">
        <v>39933</v>
      </c>
      <c r="B408" s="243">
        <v>1.6100000000000003</v>
      </c>
    </row>
    <row r="409" spans="1:3" x14ac:dyDescent="0.2">
      <c r="A409" s="65">
        <v>39964</v>
      </c>
      <c r="B409" s="243">
        <v>1.4599999999999946</v>
      </c>
    </row>
    <row r="410" spans="1:3" x14ac:dyDescent="0.2">
      <c r="A410" s="65">
        <v>39994</v>
      </c>
      <c r="B410" s="243">
        <v>0.9100000000000108</v>
      </c>
    </row>
    <row r="411" spans="1:3" x14ac:dyDescent="0.2">
      <c r="A411" s="65">
        <v>40025</v>
      </c>
      <c r="B411" s="1177">
        <v>2.750000000000008</v>
      </c>
    </row>
    <row r="412" spans="1:3" x14ac:dyDescent="0.2">
      <c r="A412" s="65">
        <v>40056</v>
      </c>
      <c r="B412" s="14">
        <v>1.1800000000000033</v>
      </c>
    </row>
    <row r="413" spans="1:3" x14ac:dyDescent="0.2">
      <c r="A413" s="65">
        <v>40086</v>
      </c>
      <c r="B413" s="14">
        <v>1.2799999999999923</v>
      </c>
    </row>
    <row r="414" spans="1:3" x14ac:dyDescent="0.2">
      <c r="A414" s="65">
        <v>40117</v>
      </c>
    </row>
    <row r="415" spans="1:3" x14ac:dyDescent="0.2">
      <c r="A415" s="65">
        <v>40147</v>
      </c>
    </row>
    <row r="416" spans="1:3" x14ac:dyDescent="0.2">
      <c r="A416" s="65">
        <v>40178</v>
      </c>
    </row>
    <row r="417" spans="1:1" x14ac:dyDescent="0.2">
      <c r="A417" s="65">
        <v>40209</v>
      </c>
    </row>
    <row r="418" spans="1:1" x14ac:dyDescent="0.2">
      <c r="A418" s="65">
        <v>40237</v>
      </c>
    </row>
    <row r="419" spans="1:1" x14ac:dyDescent="0.2">
      <c r="A419" s="65">
        <v>40268</v>
      </c>
    </row>
    <row r="420" spans="1:1" x14ac:dyDescent="0.2">
      <c r="A420" s="65">
        <v>40298</v>
      </c>
    </row>
    <row r="421" spans="1:1" x14ac:dyDescent="0.2">
      <c r="A421" s="65">
        <v>40329</v>
      </c>
    </row>
    <row r="422" spans="1:1" x14ac:dyDescent="0.2">
      <c r="A422" s="65">
        <v>40359</v>
      </c>
    </row>
    <row r="423" spans="1:1" x14ac:dyDescent="0.2">
      <c r="A423" s="65">
        <v>40390</v>
      </c>
    </row>
    <row r="424" spans="1:1" x14ac:dyDescent="0.2">
      <c r="A424" s="65">
        <v>40421</v>
      </c>
    </row>
    <row r="425" spans="1:1" x14ac:dyDescent="0.2">
      <c r="A425" s="65">
        <v>40451</v>
      </c>
    </row>
    <row r="426" spans="1:1" x14ac:dyDescent="0.2">
      <c r="A426" s="65">
        <v>40482</v>
      </c>
    </row>
    <row r="427" spans="1:1" x14ac:dyDescent="0.2">
      <c r="A427" s="65">
        <v>40512</v>
      </c>
    </row>
    <row r="428" spans="1:1" x14ac:dyDescent="0.2">
      <c r="A428" s="65">
        <v>40543</v>
      </c>
    </row>
  </sheetData>
  <phoneticPr fontId="3" type="noConversion"/>
  <pageMargins left="0.75" right="0.75" top="1" bottom="1" header="0.5" footer="0.5"/>
  <headerFooter alignWithMargins="0"/>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28"/>
  <sheetViews>
    <sheetView workbookViewId="0">
      <pane ySplit="2" topLeftCell="A392" activePane="bottomLeft" state="frozen"/>
      <selection activeCell="B410" sqref="B410"/>
      <selection pane="bottomLeft" activeCell="B413" sqref="B413"/>
    </sheetView>
  </sheetViews>
  <sheetFormatPr defaultRowHeight="12.75" x14ac:dyDescent="0.2"/>
  <cols>
    <col min="1" max="1" width="18.7109375" customWidth="1"/>
    <col min="2" max="2" width="18.7109375" style="14" customWidth="1"/>
    <col min="3" max="3" width="18.7109375" style="8" customWidth="1"/>
    <col min="8" max="8" width="9.140625" style="352"/>
  </cols>
  <sheetData>
    <row r="1" spans="1:3" x14ac:dyDescent="0.2">
      <c r="A1" s="223" t="s">
        <v>71</v>
      </c>
      <c r="B1" s="321" t="s">
        <v>456</v>
      </c>
      <c r="C1" s="323"/>
    </row>
    <row r="2" spans="1:3" x14ac:dyDescent="0.2">
      <c r="A2" s="3" t="s">
        <v>27</v>
      </c>
      <c r="B2" s="71" t="s">
        <v>91</v>
      </c>
      <c r="C2" s="3" t="s">
        <v>92</v>
      </c>
    </row>
    <row r="3" spans="1:3" x14ac:dyDescent="0.2">
      <c r="A3" s="65">
        <v>27606</v>
      </c>
      <c r="B3" s="71"/>
      <c r="C3" s="226"/>
    </row>
    <row r="4" spans="1:3" x14ac:dyDescent="0.2">
      <c r="A4" s="65">
        <v>27637</v>
      </c>
      <c r="B4" s="71"/>
      <c r="C4" s="226"/>
    </row>
    <row r="5" spans="1:3" x14ac:dyDescent="0.2">
      <c r="A5" s="65">
        <v>27667</v>
      </c>
      <c r="B5" s="71"/>
      <c r="C5" s="226"/>
    </row>
    <row r="6" spans="1:3" x14ac:dyDescent="0.2">
      <c r="A6" s="65">
        <v>27698</v>
      </c>
      <c r="B6" s="71"/>
      <c r="C6" s="226"/>
    </row>
    <row r="7" spans="1:3" x14ac:dyDescent="0.2">
      <c r="A7" s="65">
        <v>27728</v>
      </c>
      <c r="B7" s="71"/>
      <c r="C7" s="226"/>
    </row>
    <row r="8" spans="1:3" x14ac:dyDescent="0.2">
      <c r="A8" s="65">
        <v>27759</v>
      </c>
      <c r="B8" s="71"/>
      <c r="C8" s="226"/>
    </row>
    <row r="9" spans="1:3" x14ac:dyDescent="0.2">
      <c r="A9" s="65">
        <v>27790</v>
      </c>
      <c r="B9" s="71"/>
      <c r="C9" s="226"/>
    </row>
    <row r="10" spans="1:3" x14ac:dyDescent="0.2">
      <c r="A10" s="65">
        <v>27819</v>
      </c>
      <c r="B10" s="71"/>
      <c r="C10" s="226"/>
    </row>
    <row r="11" spans="1:3" x14ac:dyDescent="0.2">
      <c r="A11" s="65">
        <v>27850</v>
      </c>
      <c r="B11" s="71"/>
      <c r="C11" s="226"/>
    </row>
    <row r="12" spans="1:3" x14ac:dyDescent="0.2">
      <c r="A12" s="65">
        <v>27880</v>
      </c>
      <c r="B12" s="71"/>
      <c r="C12" s="226"/>
    </row>
    <row r="13" spans="1:3" x14ac:dyDescent="0.2">
      <c r="A13" s="65">
        <v>27911</v>
      </c>
      <c r="B13" s="71"/>
      <c r="C13" s="226"/>
    </row>
    <row r="14" spans="1:3" x14ac:dyDescent="0.2">
      <c r="A14" s="65">
        <v>27941</v>
      </c>
      <c r="B14" s="71"/>
      <c r="C14" s="226"/>
    </row>
    <row r="15" spans="1:3" x14ac:dyDescent="0.2">
      <c r="A15" s="65">
        <v>27972</v>
      </c>
      <c r="B15" s="71"/>
      <c r="C15" s="226"/>
    </row>
    <row r="16" spans="1:3" x14ac:dyDescent="0.2">
      <c r="A16" s="65">
        <v>28003</v>
      </c>
      <c r="B16" s="71"/>
      <c r="C16" s="226"/>
    </row>
    <row r="17" spans="1:3" x14ac:dyDescent="0.2">
      <c r="A17" s="65">
        <v>28033</v>
      </c>
      <c r="B17" s="71"/>
      <c r="C17" s="226"/>
    </row>
    <row r="18" spans="1:3" x14ac:dyDescent="0.2">
      <c r="A18" s="65">
        <v>28064</v>
      </c>
      <c r="B18" s="71"/>
      <c r="C18" s="226"/>
    </row>
    <row r="19" spans="1:3" x14ac:dyDescent="0.2">
      <c r="A19" s="65">
        <v>28094</v>
      </c>
      <c r="B19" s="71"/>
      <c r="C19" s="226"/>
    </row>
    <row r="20" spans="1:3" x14ac:dyDescent="0.2">
      <c r="A20" s="65">
        <v>28125</v>
      </c>
      <c r="B20" s="71"/>
      <c r="C20" s="226"/>
    </row>
    <row r="21" spans="1:3" x14ac:dyDescent="0.2">
      <c r="A21" s="65">
        <v>28156</v>
      </c>
      <c r="B21" s="71"/>
      <c r="C21" s="226"/>
    </row>
    <row r="22" spans="1:3" x14ac:dyDescent="0.2">
      <c r="A22" s="65">
        <v>28184</v>
      </c>
      <c r="B22" s="71"/>
      <c r="C22" s="226"/>
    </row>
    <row r="23" spans="1:3" x14ac:dyDescent="0.2">
      <c r="A23" s="65">
        <v>28215</v>
      </c>
      <c r="B23" s="71"/>
      <c r="C23" s="226"/>
    </row>
    <row r="24" spans="1:3" x14ac:dyDescent="0.2">
      <c r="A24" s="65">
        <v>28245</v>
      </c>
      <c r="B24" s="71"/>
      <c r="C24" s="226"/>
    </row>
    <row r="25" spans="1:3" x14ac:dyDescent="0.2">
      <c r="A25" s="65">
        <v>28276</v>
      </c>
      <c r="B25" s="71"/>
      <c r="C25" s="226"/>
    </row>
    <row r="26" spans="1:3" x14ac:dyDescent="0.2">
      <c r="A26" s="65">
        <v>28306</v>
      </c>
      <c r="B26" s="71"/>
      <c r="C26" s="226"/>
    </row>
    <row r="27" spans="1:3" x14ac:dyDescent="0.2">
      <c r="A27" s="65">
        <v>28337</v>
      </c>
      <c r="B27" s="71"/>
      <c r="C27" s="226"/>
    </row>
    <row r="28" spans="1:3" x14ac:dyDescent="0.2">
      <c r="A28" s="65">
        <v>28368</v>
      </c>
      <c r="B28" s="71"/>
      <c r="C28" s="226"/>
    </row>
    <row r="29" spans="1:3" x14ac:dyDescent="0.2">
      <c r="A29" s="65">
        <v>28398</v>
      </c>
      <c r="B29" s="71"/>
      <c r="C29" s="226"/>
    </row>
    <row r="30" spans="1:3" x14ac:dyDescent="0.2">
      <c r="A30" s="65">
        <v>28429</v>
      </c>
      <c r="B30" s="71"/>
      <c r="C30" s="226"/>
    </row>
    <row r="31" spans="1:3" x14ac:dyDescent="0.2">
      <c r="A31" s="65">
        <v>28459</v>
      </c>
      <c r="B31" s="71"/>
      <c r="C31" s="226"/>
    </row>
    <row r="32" spans="1:3" x14ac:dyDescent="0.2">
      <c r="A32" s="65">
        <v>28490</v>
      </c>
      <c r="B32" s="71"/>
      <c r="C32" s="226"/>
    </row>
    <row r="33" spans="1:3" x14ac:dyDescent="0.2">
      <c r="A33" s="65">
        <v>28521</v>
      </c>
      <c r="B33" s="71"/>
      <c r="C33" s="226"/>
    </row>
    <row r="34" spans="1:3" x14ac:dyDescent="0.2">
      <c r="A34" s="65">
        <v>28549</v>
      </c>
      <c r="B34" s="71"/>
      <c r="C34" s="226"/>
    </row>
    <row r="35" spans="1:3" x14ac:dyDescent="0.2">
      <c r="A35" s="65">
        <v>28580</v>
      </c>
      <c r="B35" s="71"/>
      <c r="C35" s="226"/>
    </row>
    <row r="36" spans="1:3" x14ac:dyDescent="0.2">
      <c r="A36" s="65">
        <v>28610</v>
      </c>
      <c r="B36" s="71"/>
      <c r="C36" s="226"/>
    </row>
    <row r="37" spans="1:3" x14ac:dyDescent="0.2">
      <c r="A37" s="65">
        <v>28641</v>
      </c>
      <c r="B37" s="71"/>
      <c r="C37" s="226"/>
    </row>
    <row r="38" spans="1:3" x14ac:dyDescent="0.2">
      <c r="A38" s="65">
        <v>28671</v>
      </c>
      <c r="B38" s="71"/>
      <c r="C38" s="226"/>
    </row>
    <row r="39" spans="1:3" x14ac:dyDescent="0.2">
      <c r="A39" s="65">
        <v>28702</v>
      </c>
      <c r="B39" s="71"/>
      <c r="C39" s="226"/>
    </row>
    <row r="40" spans="1:3" x14ac:dyDescent="0.2">
      <c r="A40" s="65">
        <v>28733</v>
      </c>
      <c r="B40" s="71"/>
      <c r="C40" s="226"/>
    </row>
    <row r="41" spans="1:3" x14ac:dyDescent="0.2">
      <c r="A41" s="65">
        <v>28763</v>
      </c>
      <c r="B41" s="71"/>
      <c r="C41" s="226"/>
    </row>
    <row r="42" spans="1:3" x14ac:dyDescent="0.2">
      <c r="A42" s="65">
        <v>28794</v>
      </c>
      <c r="B42" s="71"/>
      <c r="C42" s="226"/>
    </row>
    <row r="43" spans="1:3" x14ac:dyDescent="0.2">
      <c r="A43" s="65">
        <v>28824</v>
      </c>
      <c r="B43" s="71"/>
      <c r="C43" s="226"/>
    </row>
    <row r="44" spans="1:3" x14ac:dyDescent="0.2">
      <c r="A44" s="65">
        <v>28855</v>
      </c>
      <c r="B44" s="71"/>
      <c r="C44" s="226"/>
    </row>
    <row r="45" spans="1:3" x14ac:dyDescent="0.2">
      <c r="A45" s="65">
        <v>28886</v>
      </c>
      <c r="B45" s="71"/>
      <c r="C45" s="226"/>
    </row>
    <row r="46" spans="1:3" x14ac:dyDescent="0.2">
      <c r="A46" s="65">
        <v>28914</v>
      </c>
      <c r="B46" s="71"/>
      <c r="C46" s="226"/>
    </row>
    <row r="47" spans="1:3" x14ac:dyDescent="0.2">
      <c r="A47" s="65">
        <v>28945</v>
      </c>
      <c r="B47" s="71"/>
      <c r="C47" s="226"/>
    </row>
    <row r="48" spans="1:3" x14ac:dyDescent="0.2">
      <c r="A48" s="65">
        <v>28975</v>
      </c>
      <c r="B48" s="71"/>
      <c r="C48" s="226"/>
    </row>
    <row r="49" spans="1:3" x14ac:dyDescent="0.2">
      <c r="A49" s="65">
        <v>29006</v>
      </c>
      <c r="B49" s="71"/>
      <c r="C49" s="226"/>
    </row>
    <row r="50" spans="1:3" x14ac:dyDescent="0.2">
      <c r="A50" s="65">
        <v>29036</v>
      </c>
      <c r="B50" s="71"/>
      <c r="C50" s="226"/>
    </row>
    <row r="51" spans="1:3" x14ac:dyDescent="0.2">
      <c r="A51" s="65">
        <v>29067</v>
      </c>
      <c r="B51" s="71"/>
      <c r="C51" s="226"/>
    </row>
    <row r="52" spans="1:3" x14ac:dyDescent="0.2">
      <c r="A52" s="65">
        <v>29098</v>
      </c>
      <c r="B52" s="71"/>
      <c r="C52" s="226"/>
    </row>
    <row r="53" spans="1:3" x14ac:dyDescent="0.2">
      <c r="A53" s="65">
        <v>29128</v>
      </c>
      <c r="B53" s="71"/>
      <c r="C53" s="226"/>
    </row>
    <row r="54" spans="1:3" x14ac:dyDescent="0.2">
      <c r="A54" s="65">
        <v>29159</v>
      </c>
      <c r="B54" s="71"/>
      <c r="C54" s="226"/>
    </row>
    <row r="55" spans="1:3" x14ac:dyDescent="0.2">
      <c r="A55" s="65">
        <v>29189</v>
      </c>
      <c r="B55" s="71"/>
      <c r="C55" s="226"/>
    </row>
    <row r="56" spans="1:3" x14ac:dyDescent="0.2">
      <c r="A56" s="65">
        <v>29220</v>
      </c>
      <c r="B56" s="71"/>
      <c r="C56" s="226"/>
    </row>
    <row r="57" spans="1:3" x14ac:dyDescent="0.2">
      <c r="A57" s="65">
        <v>29251</v>
      </c>
      <c r="B57" s="71"/>
      <c r="C57" s="226"/>
    </row>
    <row r="58" spans="1:3" x14ac:dyDescent="0.2">
      <c r="A58" s="65">
        <v>29280</v>
      </c>
      <c r="B58" s="71"/>
      <c r="C58" s="226"/>
    </row>
    <row r="59" spans="1:3" x14ac:dyDescent="0.2">
      <c r="A59" s="65">
        <v>29311</v>
      </c>
      <c r="B59" s="71"/>
      <c r="C59" s="226"/>
    </row>
    <row r="60" spans="1:3" x14ac:dyDescent="0.2">
      <c r="A60" s="65">
        <v>29341</v>
      </c>
      <c r="B60" s="71"/>
      <c r="C60" s="226"/>
    </row>
    <row r="61" spans="1:3" x14ac:dyDescent="0.2">
      <c r="A61" s="65">
        <v>29372</v>
      </c>
      <c r="B61" s="71"/>
      <c r="C61" s="226"/>
    </row>
    <row r="62" spans="1:3" x14ac:dyDescent="0.2">
      <c r="A62" s="65">
        <v>29402</v>
      </c>
      <c r="B62" s="71"/>
      <c r="C62" s="226"/>
    </row>
    <row r="63" spans="1:3" x14ac:dyDescent="0.2">
      <c r="A63" s="65">
        <v>29433</v>
      </c>
      <c r="B63" s="71"/>
      <c r="C63" s="226"/>
    </row>
    <row r="64" spans="1:3" x14ac:dyDescent="0.2">
      <c r="A64" s="65">
        <v>29464</v>
      </c>
      <c r="B64" s="71"/>
      <c r="C64" s="226"/>
    </row>
    <row r="65" spans="1:3" x14ac:dyDescent="0.2">
      <c r="A65" s="65">
        <v>29494</v>
      </c>
      <c r="B65" s="71"/>
      <c r="C65" s="226"/>
    </row>
    <row r="66" spans="1:3" x14ac:dyDescent="0.2">
      <c r="A66" s="65">
        <v>29525</v>
      </c>
      <c r="B66" s="71"/>
      <c r="C66" s="226"/>
    </row>
    <row r="67" spans="1:3" x14ac:dyDescent="0.2">
      <c r="A67" s="65">
        <v>29555</v>
      </c>
      <c r="B67" s="71"/>
      <c r="C67" s="226"/>
    </row>
    <row r="68" spans="1:3" x14ac:dyDescent="0.2">
      <c r="A68" s="65">
        <v>29586</v>
      </c>
      <c r="B68" s="71"/>
      <c r="C68" s="226"/>
    </row>
    <row r="69" spans="1:3" x14ac:dyDescent="0.2">
      <c r="A69" s="65">
        <v>29617</v>
      </c>
      <c r="B69" s="71"/>
      <c r="C69" s="226"/>
    </row>
    <row r="70" spans="1:3" x14ac:dyDescent="0.2">
      <c r="A70" s="65">
        <v>29645</v>
      </c>
      <c r="B70" s="71"/>
      <c r="C70" s="226"/>
    </row>
    <row r="71" spans="1:3" x14ac:dyDescent="0.2">
      <c r="A71" s="65">
        <v>29676</v>
      </c>
      <c r="B71" s="71"/>
      <c r="C71" s="226"/>
    </row>
    <row r="72" spans="1:3" x14ac:dyDescent="0.2">
      <c r="A72" s="65">
        <v>29706</v>
      </c>
      <c r="B72" s="71"/>
      <c r="C72" s="226"/>
    </row>
    <row r="73" spans="1:3" x14ac:dyDescent="0.2">
      <c r="A73" s="65">
        <v>29737</v>
      </c>
      <c r="B73" s="71"/>
      <c r="C73" s="226"/>
    </row>
    <row r="74" spans="1:3" x14ac:dyDescent="0.2">
      <c r="A74" s="65">
        <v>29767</v>
      </c>
      <c r="B74" s="71"/>
      <c r="C74" s="226"/>
    </row>
    <row r="75" spans="1:3" x14ac:dyDescent="0.2">
      <c r="A75" s="65">
        <v>29798</v>
      </c>
      <c r="B75" s="71"/>
      <c r="C75" s="226"/>
    </row>
    <row r="76" spans="1:3" x14ac:dyDescent="0.2">
      <c r="A76" s="65">
        <v>29829</v>
      </c>
      <c r="B76" s="71"/>
      <c r="C76" s="226"/>
    </row>
    <row r="77" spans="1:3" x14ac:dyDescent="0.2">
      <c r="A77" s="65">
        <v>29859</v>
      </c>
      <c r="B77" s="71"/>
      <c r="C77" s="226"/>
    </row>
    <row r="78" spans="1:3" x14ac:dyDescent="0.2">
      <c r="A78" s="65">
        <v>29890</v>
      </c>
      <c r="B78" s="71"/>
      <c r="C78" s="226"/>
    </row>
    <row r="79" spans="1:3" x14ac:dyDescent="0.2">
      <c r="A79" s="65">
        <v>29920</v>
      </c>
      <c r="B79" s="71"/>
      <c r="C79" s="226"/>
    </row>
    <row r="80" spans="1:3" x14ac:dyDescent="0.2">
      <c r="A80" s="65">
        <v>29951</v>
      </c>
      <c r="B80" s="71"/>
      <c r="C80" s="226"/>
    </row>
    <row r="81" spans="1:3" x14ac:dyDescent="0.2">
      <c r="A81" s="65">
        <v>29982</v>
      </c>
      <c r="B81" s="71"/>
      <c r="C81" s="226"/>
    </row>
    <row r="82" spans="1:3" x14ac:dyDescent="0.2">
      <c r="A82" s="65">
        <v>30010</v>
      </c>
      <c r="B82" s="71"/>
      <c r="C82" s="226"/>
    </row>
    <row r="83" spans="1:3" x14ac:dyDescent="0.2">
      <c r="A83" s="65">
        <v>30041</v>
      </c>
      <c r="B83" s="71"/>
      <c r="C83" s="226"/>
    </row>
    <row r="84" spans="1:3" x14ac:dyDescent="0.2">
      <c r="A84" s="65">
        <v>30071</v>
      </c>
      <c r="B84" s="71"/>
      <c r="C84" s="226"/>
    </row>
    <row r="85" spans="1:3" x14ac:dyDescent="0.2">
      <c r="A85" s="65">
        <v>30102</v>
      </c>
      <c r="B85" s="71"/>
      <c r="C85" s="226"/>
    </row>
    <row r="86" spans="1:3" x14ac:dyDescent="0.2">
      <c r="A86" s="65">
        <v>30132</v>
      </c>
      <c r="B86" s="71"/>
      <c r="C86" s="226"/>
    </row>
    <row r="87" spans="1:3" x14ac:dyDescent="0.2">
      <c r="A87" s="65">
        <v>30163</v>
      </c>
      <c r="B87" s="71"/>
      <c r="C87" s="226"/>
    </row>
    <row r="88" spans="1:3" x14ac:dyDescent="0.2">
      <c r="A88" s="65">
        <v>30194</v>
      </c>
      <c r="B88" s="71"/>
      <c r="C88" s="226"/>
    </row>
    <row r="89" spans="1:3" x14ac:dyDescent="0.2">
      <c r="A89" s="65">
        <v>30224</v>
      </c>
      <c r="B89" s="71"/>
      <c r="C89" s="226"/>
    </row>
    <row r="90" spans="1:3" x14ac:dyDescent="0.2">
      <c r="A90" s="65">
        <v>30255</v>
      </c>
      <c r="B90" s="71"/>
      <c r="C90" s="226"/>
    </row>
    <row r="91" spans="1:3" x14ac:dyDescent="0.2">
      <c r="A91" s="65">
        <v>30285</v>
      </c>
      <c r="B91" s="71"/>
      <c r="C91" s="226"/>
    </row>
    <row r="92" spans="1:3" x14ac:dyDescent="0.2">
      <c r="A92" s="65">
        <v>30316</v>
      </c>
      <c r="B92" s="71"/>
      <c r="C92" s="226"/>
    </row>
    <row r="93" spans="1:3" x14ac:dyDescent="0.2">
      <c r="A93" s="65">
        <v>30347</v>
      </c>
      <c r="B93" s="71"/>
      <c r="C93" s="226"/>
    </row>
    <row r="94" spans="1:3" x14ac:dyDescent="0.2">
      <c r="A94" s="65">
        <v>30375</v>
      </c>
      <c r="B94" s="71"/>
      <c r="C94" s="226"/>
    </row>
    <row r="95" spans="1:3" x14ac:dyDescent="0.2">
      <c r="A95" s="65">
        <v>30406</v>
      </c>
      <c r="B95" s="71"/>
      <c r="C95" s="226"/>
    </row>
    <row r="96" spans="1:3" x14ac:dyDescent="0.2">
      <c r="A96" s="65">
        <v>30436</v>
      </c>
      <c r="B96" s="71"/>
      <c r="C96" s="226"/>
    </row>
    <row r="97" spans="1:3" x14ac:dyDescent="0.2">
      <c r="A97" s="65">
        <v>30467</v>
      </c>
      <c r="B97" s="71"/>
      <c r="C97" s="226"/>
    </row>
    <row r="98" spans="1:3" x14ac:dyDescent="0.2">
      <c r="A98" s="65">
        <v>30497</v>
      </c>
      <c r="B98" s="71"/>
      <c r="C98" s="226"/>
    </row>
    <row r="99" spans="1:3" x14ac:dyDescent="0.2">
      <c r="A99" s="65">
        <v>30528</v>
      </c>
      <c r="B99" s="71"/>
      <c r="C99" s="226"/>
    </row>
    <row r="100" spans="1:3" x14ac:dyDescent="0.2">
      <c r="A100" s="65">
        <v>30559</v>
      </c>
      <c r="B100" s="71"/>
      <c r="C100" s="226"/>
    </row>
    <row r="101" spans="1:3" x14ac:dyDescent="0.2">
      <c r="A101" s="65">
        <v>30589</v>
      </c>
      <c r="B101" s="71"/>
      <c r="C101" s="226"/>
    </row>
    <row r="102" spans="1:3" x14ac:dyDescent="0.2">
      <c r="A102" s="65">
        <v>30620</v>
      </c>
      <c r="B102" s="71"/>
      <c r="C102" s="226"/>
    </row>
    <row r="103" spans="1:3" x14ac:dyDescent="0.2">
      <c r="A103" s="65">
        <v>30650</v>
      </c>
      <c r="B103" s="71"/>
      <c r="C103" s="226"/>
    </row>
    <row r="104" spans="1:3" x14ac:dyDescent="0.2">
      <c r="A104" s="65">
        <v>30681</v>
      </c>
      <c r="B104" s="71"/>
      <c r="C104" s="226"/>
    </row>
    <row r="105" spans="1:3" x14ac:dyDescent="0.2">
      <c r="A105" s="65">
        <v>30712</v>
      </c>
      <c r="B105" s="71"/>
      <c r="C105" s="226"/>
    </row>
    <row r="106" spans="1:3" x14ac:dyDescent="0.2">
      <c r="A106" s="65">
        <v>30741</v>
      </c>
      <c r="B106" s="71"/>
      <c r="C106" s="226"/>
    </row>
    <row r="107" spans="1:3" x14ac:dyDescent="0.2">
      <c r="A107" s="65">
        <v>30772</v>
      </c>
      <c r="B107" s="71"/>
      <c r="C107" s="226"/>
    </row>
    <row r="108" spans="1:3" x14ac:dyDescent="0.2">
      <c r="A108" s="65">
        <v>30802</v>
      </c>
      <c r="B108" s="71"/>
      <c r="C108" s="226"/>
    </row>
    <row r="109" spans="1:3" x14ac:dyDescent="0.2">
      <c r="A109" s="65">
        <v>30833</v>
      </c>
      <c r="B109" s="71"/>
      <c r="C109" s="226"/>
    </row>
    <row r="110" spans="1:3" x14ac:dyDescent="0.2">
      <c r="A110" s="65">
        <v>30863</v>
      </c>
      <c r="B110" s="71"/>
      <c r="C110" s="226"/>
    </row>
    <row r="111" spans="1:3" x14ac:dyDescent="0.2">
      <c r="A111" s="65">
        <v>30894</v>
      </c>
      <c r="B111" s="71"/>
      <c r="C111" s="226"/>
    </row>
    <row r="112" spans="1:3" x14ac:dyDescent="0.2">
      <c r="A112" s="65">
        <v>30925</v>
      </c>
      <c r="B112" s="71"/>
      <c r="C112" s="226"/>
    </row>
    <row r="113" spans="1:3" x14ac:dyDescent="0.2">
      <c r="A113" s="65">
        <v>30955</v>
      </c>
      <c r="B113" s="71"/>
      <c r="C113" s="226"/>
    </row>
    <row r="114" spans="1:3" x14ac:dyDescent="0.2">
      <c r="A114" s="65">
        <v>30986</v>
      </c>
      <c r="B114" s="71"/>
      <c r="C114" s="226"/>
    </row>
    <row r="115" spans="1:3" x14ac:dyDescent="0.2">
      <c r="A115" s="65">
        <v>31016</v>
      </c>
      <c r="B115" s="71"/>
      <c r="C115" s="226"/>
    </row>
    <row r="116" spans="1:3" x14ac:dyDescent="0.2">
      <c r="A116" s="65">
        <v>31047</v>
      </c>
      <c r="B116" s="71"/>
      <c r="C116" s="226"/>
    </row>
    <row r="117" spans="1:3" x14ac:dyDescent="0.2">
      <c r="A117" s="65">
        <v>31078</v>
      </c>
      <c r="B117" s="71"/>
      <c r="C117" s="226"/>
    </row>
    <row r="118" spans="1:3" x14ac:dyDescent="0.2">
      <c r="A118" s="65">
        <v>31106</v>
      </c>
      <c r="B118" s="71"/>
      <c r="C118" s="226"/>
    </row>
    <row r="119" spans="1:3" x14ac:dyDescent="0.2">
      <c r="A119" s="65">
        <v>31137</v>
      </c>
      <c r="B119" s="71"/>
      <c r="C119" s="226"/>
    </row>
    <row r="120" spans="1:3" x14ac:dyDescent="0.2">
      <c r="A120" s="65">
        <v>31167</v>
      </c>
      <c r="B120" s="71"/>
      <c r="C120" s="226"/>
    </row>
    <row r="121" spans="1:3" x14ac:dyDescent="0.2">
      <c r="A121" s="65">
        <v>31198</v>
      </c>
      <c r="B121" s="71"/>
      <c r="C121" s="226"/>
    </row>
    <row r="122" spans="1:3" x14ac:dyDescent="0.2">
      <c r="A122" s="65">
        <v>31228</v>
      </c>
      <c r="B122" s="71"/>
      <c r="C122" s="226"/>
    </row>
    <row r="123" spans="1:3" x14ac:dyDescent="0.2">
      <c r="A123" s="65">
        <v>31259</v>
      </c>
      <c r="B123" s="71"/>
      <c r="C123" s="226"/>
    </row>
    <row r="124" spans="1:3" x14ac:dyDescent="0.2">
      <c r="A124" s="65">
        <v>31290</v>
      </c>
      <c r="B124" s="71"/>
      <c r="C124" s="226"/>
    </row>
    <row r="125" spans="1:3" x14ac:dyDescent="0.2">
      <c r="A125" s="65">
        <v>31320</v>
      </c>
      <c r="B125" s="71"/>
      <c r="C125" s="226"/>
    </row>
    <row r="126" spans="1:3" x14ac:dyDescent="0.2">
      <c r="A126" s="65">
        <v>31351</v>
      </c>
      <c r="B126" s="71"/>
      <c r="C126" s="226"/>
    </row>
    <row r="127" spans="1:3" x14ac:dyDescent="0.2">
      <c r="A127" s="65">
        <v>31381</v>
      </c>
      <c r="B127" s="71"/>
      <c r="C127" s="226"/>
    </row>
    <row r="128" spans="1:3" x14ac:dyDescent="0.2">
      <c r="A128" s="65">
        <v>31412</v>
      </c>
      <c r="B128" s="71"/>
      <c r="C128" s="226"/>
    </row>
    <row r="129" spans="1:3" x14ac:dyDescent="0.2">
      <c r="A129" s="65">
        <v>31443</v>
      </c>
      <c r="B129" s="71"/>
      <c r="C129" s="226"/>
    </row>
    <row r="130" spans="1:3" x14ac:dyDescent="0.2">
      <c r="A130" s="65">
        <v>31471</v>
      </c>
      <c r="B130" s="71"/>
      <c r="C130" s="226"/>
    </row>
    <row r="131" spans="1:3" x14ac:dyDescent="0.2">
      <c r="A131" s="65">
        <v>31502</v>
      </c>
      <c r="B131" s="71"/>
      <c r="C131" s="226"/>
    </row>
    <row r="132" spans="1:3" x14ac:dyDescent="0.2">
      <c r="A132" s="65">
        <v>31532</v>
      </c>
      <c r="B132" s="71"/>
      <c r="C132" s="226"/>
    </row>
    <row r="133" spans="1:3" x14ac:dyDescent="0.2">
      <c r="A133" s="65">
        <v>31563</v>
      </c>
      <c r="B133" s="71"/>
      <c r="C133" s="226"/>
    </row>
    <row r="134" spans="1:3" x14ac:dyDescent="0.2">
      <c r="A134" s="65">
        <v>31593</v>
      </c>
      <c r="B134" s="71"/>
      <c r="C134" s="226"/>
    </row>
    <row r="135" spans="1:3" x14ac:dyDescent="0.2">
      <c r="A135" s="65">
        <v>31624</v>
      </c>
      <c r="B135" s="71"/>
      <c r="C135" s="226"/>
    </row>
    <row r="136" spans="1:3" x14ac:dyDescent="0.2">
      <c r="A136" s="65">
        <v>31655</v>
      </c>
      <c r="B136" s="71"/>
      <c r="C136" s="226"/>
    </row>
    <row r="137" spans="1:3" x14ac:dyDescent="0.2">
      <c r="A137" s="65">
        <v>31685</v>
      </c>
      <c r="B137" s="71"/>
      <c r="C137" s="226"/>
    </row>
    <row r="138" spans="1:3" x14ac:dyDescent="0.2">
      <c r="A138" s="65">
        <v>31716</v>
      </c>
      <c r="B138" s="71"/>
      <c r="C138" s="226"/>
    </row>
    <row r="139" spans="1:3" x14ac:dyDescent="0.2">
      <c r="A139" s="65">
        <v>31746</v>
      </c>
      <c r="B139" s="71"/>
      <c r="C139" s="226"/>
    </row>
    <row r="140" spans="1:3" x14ac:dyDescent="0.2">
      <c r="A140" s="65">
        <v>31777</v>
      </c>
      <c r="B140" s="71"/>
      <c r="C140" s="226"/>
    </row>
    <row r="141" spans="1:3" x14ac:dyDescent="0.2">
      <c r="A141" s="65">
        <v>31808</v>
      </c>
      <c r="B141" s="71"/>
      <c r="C141" s="226"/>
    </row>
    <row r="142" spans="1:3" x14ac:dyDescent="0.2">
      <c r="A142" s="65">
        <v>31836</v>
      </c>
      <c r="B142" s="71"/>
      <c r="C142" s="226"/>
    </row>
    <row r="143" spans="1:3" x14ac:dyDescent="0.2">
      <c r="A143" s="65">
        <v>31867</v>
      </c>
      <c r="B143" s="71"/>
      <c r="C143" s="226"/>
    </row>
    <row r="144" spans="1:3" x14ac:dyDescent="0.2">
      <c r="A144" s="65">
        <v>31897</v>
      </c>
      <c r="B144" s="71"/>
      <c r="C144" s="226"/>
    </row>
    <row r="145" spans="1:3" x14ac:dyDescent="0.2">
      <c r="A145" s="65">
        <v>31928</v>
      </c>
      <c r="B145" s="71"/>
      <c r="C145" s="226"/>
    </row>
    <row r="146" spans="1:3" x14ac:dyDescent="0.2">
      <c r="A146" s="65">
        <v>31958</v>
      </c>
      <c r="B146" s="71"/>
      <c r="C146" s="226"/>
    </row>
    <row r="147" spans="1:3" x14ac:dyDescent="0.2">
      <c r="A147" s="65">
        <v>31989</v>
      </c>
      <c r="B147" s="71"/>
      <c r="C147" s="226"/>
    </row>
    <row r="148" spans="1:3" x14ac:dyDescent="0.2">
      <c r="A148" s="65">
        <v>32020</v>
      </c>
      <c r="B148" s="71"/>
      <c r="C148" s="226"/>
    </row>
    <row r="149" spans="1:3" x14ac:dyDescent="0.2">
      <c r="A149" s="65">
        <v>32050</v>
      </c>
      <c r="B149" s="71"/>
      <c r="C149" s="226"/>
    </row>
    <row r="150" spans="1:3" x14ac:dyDescent="0.2">
      <c r="A150" s="65">
        <v>32081</v>
      </c>
      <c r="B150" s="71"/>
      <c r="C150" s="226"/>
    </row>
    <row r="151" spans="1:3" x14ac:dyDescent="0.2">
      <c r="A151" s="65">
        <v>32111</v>
      </c>
      <c r="B151" s="71"/>
      <c r="C151" s="226"/>
    </row>
    <row r="152" spans="1:3" x14ac:dyDescent="0.2">
      <c r="A152" s="65">
        <v>32142</v>
      </c>
      <c r="B152" s="71"/>
      <c r="C152" s="226"/>
    </row>
    <row r="153" spans="1:3" x14ac:dyDescent="0.2">
      <c r="A153" s="65">
        <v>32173</v>
      </c>
      <c r="B153" s="71"/>
      <c r="C153" s="226"/>
    </row>
    <row r="154" spans="1:3" x14ac:dyDescent="0.2">
      <c r="A154" s="65">
        <v>32202</v>
      </c>
      <c r="B154" s="71"/>
      <c r="C154" s="226"/>
    </row>
    <row r="155" spans="1:3" x14ac:dyDescent="0.2">
      <c r="A155" s="65">
        <v>32233</v>
      </c>
      <c r="B155" s="71"/>
      <c r="C155" s="226"/>
    </row>
    <row r="156" spans="1:3" x14ac:dyDescent="0.2">
      <c r="A156" s="65">
        <v>32263</v>
      </c>
      <c r="B156" s="71"/>
      <c r="C156" s="226"/>
    </row>
    <row r="157" spans="1:3" x14ac:dyDescent="0.2">
      <c r="A157" s="65">
        <v>32294</v>
      </c>
      <c r="B157" s="71"/>
      <c r="C157" s="226"/>
    </row>
    <row r="158" spans="1:3" x14ac:dyDescent="0.2">
      <c r="A158" s="65">
        <v>32324</v>
      </c>
      <c r="B158" s="71"/>
      <c r="C158" s="226"/>
    </row>
    <row r="159" spans="1:3" x14ac:dyDescent="0.2">
      <c r="A159" s="65">
        <v>32355</v>
      </c>
      <c r="B159" s="71"/>
      <c r="C159" s="226"/>
    </row>
    <row r="160" spans="1:3" x14ac:dyDescent="0.2">
      <c r="A160" s="65">
        <v>32386</v>
      </c>
      <c r="B160" s="71"/>
      <c r="C160" s="226"/>
    </row>
    <row r="161" spans="1:3" x14ac:dyDescent="0.2">
      <c r="A161" s="65">
        <v>32416</v>
      </c>
      <c r="B161" s="71"/>
      <c r="C161" s="226"/>
    </row>
    <row r="162" spans="1:3" x14ac:dyDescent="0.2">
      <c r="A162" s="65">
        <v>32447</v>
      </c>
      <c r="B162" s="71"/>
      <c r="C162" s="226"/>
    </row>
    <row r="163" spans="1:3" x14ac:dyDescent="0.2">
      <c r="A163" s="65">
        <v>32477</v>
      </c>
      <c r="B163" s="71"/>
      <c r="C163" s="226"/>
    </row>
    <row r="164" spans="1:3" x14ac:dyDescent="0.2">
      <c r="A164" s="65">
        <v>32508</v>
      </c>
      <c r="B164" s="71"/>
      <c r="C164" s="226"/>
    </row>
    <row r="165" spans="1:3" x14ac:dyDescent="0.2">
      <c r="A165" s="65">
        <v>32539</v>
      </c>
      <c r="B165" s="71"/>
      <c r="C165" s="226"/>
    </row>
    <row r="166" spans="1:3" x14ac:dyDescent="0.2">
      <c r="A166" s="65">
        <v>32567</v>
      </c>
      <c r="B166" s="71"/>
      <c r="C166" s="226"/>
    </row>
    <row r="167" spans="1:3" x14ac:dyDescent="0.2">
      <c r="A167" s="65">
        <v>32598</v>
      </c>
      <c r="B167" s="71"/>
      <c r="C167" s="226"/>
    </row>
    <row r="168" spans="1:3" x14ac:dyDescent="0.2">
      <c r="A168" s="65">
        <v>32628</v>
      </c>
      <c r="B168" s="71"/>
      <c r="C168" s="226"/>
    </row>
    <row r="169" spans="1:3" x14ac:dyDescent="0.2">
      <c r="A169" s="65">
        <v>32659</v>
      </c>
      <c r="B169" s="71"/>
      <c r="C169" s="226"/>
    </row>
    <row r="170" spans="1:3" x14ac:dyDescent="0.2">
      <c r="A170" s="65">
        <v>32689</v>
      </c>
      <c r="B170" s="71"/>
      <c r="C170" s="226"/>
    </row>
    <row r="171" spans="1:3" x14ac:dyDescent="0.2">
      <c r="A171" s="65">
        <v>32720</v>
      </c>
      <c r="B171" s="71"/>
      <c r="C171" s="226"/>
    </row>
    <row r="172" spans="1:3" x14ac:dyDescent="0.2">
      <c r="A172" s="65">
        <v>32751</v>
      </c>
      <c r="B172" s="71"/>
      <c r="C172" s="226"/>
    </row>
    <row r="173" spans="1:3" x14ac:dyDescent="0.2">
      <c r="A173" s="65">
        <v>32781</v>
      </c>
      <c r="B173" s="71"/>
      <c r="C173" s="226"/>
    </row>
    <row r="174" spans="1:3" x14ac:dyDescent="0.2">
      <c r="A174" s="65">
        <v>32812</v>
      </c>
      <c r="B174" s="71"/>
      <c r="C174" s="226"/>
    </row>
    <row r="175" spans="1:3" x14ac:dyDescent="0.2">
      <c r="A175" s="65">
        <v>32842</v>
      </c>
      <c r="B175" s="71"/>
      <c r="C175" s="226"/>
    </row>
    <row r="176" spans="1:3" x14ac:dyDescent="0.2">
      <c r="A176" s="65">
        <v>32873</v>
      </c>
      <c r="B176" s="71"/>
      <c r="C176" s="226"/>
    </row>
    <row r="177" spans="1:3" x14ac:dyDescent="0.2">
      <c r="A177" s="65">
        <v>32904</v>
      </c>
      <c r="B177" s="71"/>
      <c r="C177" s="226"/>
    </row>
    <row r="178" spans="1:3" x14ac:dyDescent="0.2">
      <c r="A178" s="65">
        <v>32932</v>
      </c>
      <c r="B178" s="71"/>
      <c r="C178" s="226"/>
    </row>
    <row r="179" spans="1:3" x14ac:dyDescent="0.2">
      <c r="A179" s="65">
        <v>32963</v>
      </c>
      <c r="B179" s="71"/>
      <c r="C179" s="226"/>
    </row>
    <row r="180" spans="1:3" x14ac:dyDescent="0.2">
      <c r="A180" s="65">
        <v>32993</v>
      </c>
      <c r="B180" s="71"/>
      <c r="C180" s="226"/>
    </row>
    <row r="181" spans="1:3" x14ac:dyDescent="0.2">
      <c r="A181" s="65">
        <v>33024</v>
      </c>
      <c r="B181" s="71"/>
      <c r="C181" s="226"/>
    </row>
    <row r="182" spans="1:3" x14ac:dyDescent="0.2">
      <c r="A182" s="65">
        <v>33054</v>
      </c>
      <c r="B182" s="71"/>
      <c r="C182" s="226"/>
    </row>
    <row r="183" spans="1:3" x14ac:dyDescent="0.2">
      <c r="A183" s="65">
        <v>33085</v>
      </c>
      <c r="B183" s="71"/>
      <c r="C183" s="226"/>
    </row>
    <row r="184" spans="1:3" x14ac:dyDescent="0.2">
      <c r="A184" s="65">
        <v>33116</v>
      </c>
      <c r="B184" s="71"/>
      <c r="C184" s="226"/>
    </row>
    <row r="185" spans="1:3" x14ac:dyDescent="0.2">
      <c r="A185" s="65">
        <v>33146</v>
      </c>
      <c r="B185" s="71"/>
      <c r="C185" s="226"/>
    </row>
    <row r="186" spans="1:3" x14ac:dyDescent="0.2">
      <c r="A186" s="65">
        <v>33177</v>
      </c>
      <c r="B186" s="71"/>
      <c r="C186" s="226"/>
    </row>
    <row r="187" spans="1:3" x14ac:dyDescent="0.2">
      <c r="A187" s="65">
        <v>33207</v>
      </c>
      <c r="B187" s="71"/>
      <c r="C187" s="226"/>
    </row>
    <row r="188" spans="1:3" x14ac:dyDescent="0.2">
      <c r="A188" s="65">
        <v>33238</v>
      </c>
      <c r="B188" s="71"/>
      <c r="C188" s="226"/>
    </row>
    <row r="189" spans="1:3" x14ac:dyDescent="0.2">
      <c r="A189" s="65">
        <v>33269</v>
      </c>
      <c r="B189" s="71"/>
      <c r="C189" s="226"/>
    </row>
    <row r="190" spans="1:3" x14ac:dyDescent="0.2">
      <c r="A190" s="65">
        <v>33297</v>
      </c>
      <c r="B190" s="71"/>
      <c r="C190" s="226"/>
    </row>
    <row r="191" spans="1:3" x14ac:dyDescent="0.2">
      <c r="A191" s="65">
        <v>33328</v>
      </c>
      <c r="B191" s="71"/>
      <c r="C191" s="226"/>
    </row>
    <row r="192" spans="1:3" x14ac:dyDescent="0.2">
      <c r="A192" s="65">
        <v>33358</v>
      </c>
      <c r="B192" s="71"/>
      <c r="C192" s="226"/>
    </row>
    <row r="193" spans="1:3" x14ac:dyDescent="0.2">
      <c r="A193" s="65">
        <v>33389</v>
      </c>
      <c r="B193" s="71"/>
      <c r="C193" s="226"/>
    </row>
    <row r="194" spans="1:3" x14ac:dyDescent="0.2">
      <c r="A194" s="65">
        <v>33419</v>
      </c>
      <c r="B194" s="71"/>
      <c r="C194" s="226"/>
    </row>
    <row r="195" spans="1:3" x14ac:dyDescent="0.2">
      <c r="A195" s="65">
        <v>33450</v>
      </c>
      <c r="B195" s="71"/>
      <c r="C195" s="226"/>
    </row>
    <row r="196" spans="1:3" x14ac:dyDescent="0.2">
      <c r="A196" s="65">
        <v>33481</v>
      </c>
      <c r="B196" s="71"/>
      <c r="C196" s="226"/>
    </row>
    <row r="197" spans="1:3" x14ac:dyDescent="0.2">
      <c r="A197" s="65">
        <v>33511</v>
      </c>
      <c r="B197" s="71"/>
      <c r="C197" s="226"/>
    </row>
    <row r="198" spans="1:3" x14ac:dyDescent="0.2">
      <c r="A198" s="65">
        <v>33542</v>
      </c>
      <c r="B198" s="71"/>
      <c r="C198" s="226"/>
    </row>
    <row r="199" spans="1:3" x14ac:dyDescent="0.2">
      <c r="A199" s="65">
        <v>33572</v>
      </c>
      <c r="B199" s="71"/>
      <c r="C199" s="226"/>
    </row>
    <row r="200" spans="1:3" x14ac:dyDescent="0.2">
      <c r="A200" s="65">
        <v>33603</v>
      </c>
      <c r="B200" s="71"/>
      <c r="C200" s="226"/>
    </row>
    <row r="201" spans="1:3" x14ac:dyDescent="0.2">
      <c r="A201" s="65">
        <v>33634</v>
      </c>
      <c r="B201" s="71"/>
      <c r="C201" s="226"/>
    </row>
    <row r="202" spans="1:3" x14ac:dyDescent="0.2">
      <c r="A202" s="65">
        <v>33663</v>
      </c>
      <c r="B202" s="71"/>
      <c r="C202" s="226"/>
    </row>
    <row r="203" spans="1:3" x14ac:dyDescent="0.2">
      <c r="A203" s="65">
        <v>33694</v>
      </c>
      <c r="B203" s="71"/>
      <c r="C203" s="226"/>
    </row>
    <row r="204" spans="1:3" x14ac:dyDescent="0.2">
      <c r="A204" s="65">
        <v>33724</v>
      </c>
      <c r="B204" s="71"/>
      <c r="C204" s="226"/>
    </row>
    <row r="205" spans="1:3" x14ac:dyDescent="0.2">
      <c r="A205" s="65">
        <v>33755</v>
      </c>
      <c r="B205" s="71"/>
      <c r="C205" s="226"/>
    </row>
    <row r="206" spans="1:3" x14ac:dyDescent="0.2">
      <c r="A206" s="65">
        <v>33785</v>
      </c>
      <c r="B206" s="71"/>
      <c r="C206" s="226"/>
    </row>
    <row r="207" spans="1:3" x14ac:dyDescent="0.2">
      <c r="A207" s="65">
        <v>33816</v>
      </c>
      <c r="B207" s="71"/>
      <c r="C207" s="226"/>
    </row>
    <row r="208" spans="1:3" x14ac:dyDescent="0.2">
      <c r="A208" s="65">
        <v>33847</v>
      </c>
      <c r="B208" s="71"/>
      <c r="C208" s="226"/>
    </row>
    <row r="209" spans="1:3" x14ac:dyDescent="0.2">
      <c r="A209" s="65">
        <v>33877</v>
      </c>
      <c r="B209" s="71"/>
      <c r="C209" s="226"/>
    </row>
    <row r="210" spans="1:3" x14ac:dyDescent="0.2">
      <c r="A210" s="65">
        <v>33908</v>
      </c>
      <c r="B210" s="71"/>
      <c r="C210" s="226"/>
    </row>
    <row r="211" spans="1:3" x14ac:dyDescent="0.2">
      <c r="A211" s="65">
        <v>33938</v>
      </c>
      <c r="B211" s="71"/>
      <c r="C211" s="226"/>
    </row>
    <row r="212" spans="1:3" x14ac:dyDescent="0.2">
      <c r="A212" s="65">
        <v>33969</v>
      </c>
      <c r="B212" s="71"/>
      <c r="C212" s="226"/>
    </row>
    <row r="213" spans="1:3" x14ac:dyDescent="0.2">
      <c r="A213" s="65">
        <v>34000</v>
      </c>
      <c r="B213" s="71"/>
      <c r="C213" s="226"/>
    </row>
    <row r="214" spans="1:3" x14ac:dyDescent="0.2">
      <c r="A214" s="65">
        <v>34028</v>
      </c>
      <c r="B214" s="71"/>
      <c r="C214" s="226"/>
    </row>
    <row r="215" spans="1:3" x14ac:dyDescent="0.2">
      <c r="A215" s="65">
        <v>34059</v>
      </c>
      <c r="B215" s="71"/>
      <c r="C215" s="226"/>
    </row>
    <row r="216" spans="1:3" x14ac:dyDescent="0.2">
      <c r="A216" s="65">
        <v>34089</v>
      </c>
      <c r="B216" s="71"/>
      <c r="C216" s="226"/>
    </row>
    <row r="217" spans="1:3" x14ac:dyDescent="0.2">
      <c r="A217" s="65">
        <v>34120</v>
      </c>
      <c r="B217" s="71"/>
      <c r="C217" s="226"/>
    </row>
    <row r="218" spans="1:3" x14ac:dyDescent="0.2">
      <c r="A218" s="65">
        <v>34150</v>
      </c>
      <c r="B218" s="71"/>
      <c r="C218" s="226"/>
    </row>
    <row r="219" spans="1:3" x14ac:dyDescent="0.2">
      <c r="A219" s="65">
        <v>34181</v>
      </c>
      <c r="B219" s="71"/>
      <c r="C219" s="226"/>
    </row>
    <row r="220" spans="1:3" x14ac:dyDescent="0.2">
      <c r="A220" s="65">
        <v>34212</v>
      </c>
      <c r="B220" s="71"/>
      <c r="C220" s="226"/>
    </row>
    <row r="221" spans="1:3" x14ac:dyDescent="0.2">
      <c r="A221" s="65">
        <v>34242</v>
      </c>
      <c r="B221" s="71"/>
      <c r="C221" s="226"/>
    </row>
    <row r="222" spans="1:3" x14ac:dyDescent="0.2">
      <c r="A222" s="65">
        <v>34273</v>
      </c>
      <c r="B222" s="71"/>
      <c r="C222" s="226"/>
    </row>
    <row r="223" spans="1:3" x14ac:dyDescent="0.2">
      <c r="A223" s="65">
        <v>34303</v>
      </c>
      <c r="B223" s="71"/>
      <c r="C223" s="226"/>
    </row>
    <row r="224" spans="1:3" x14ac:dyDescent="0.2">
      <c r="A224" s="65">
        <v>34334</v>
      </c>
      <c r="B224" s="71"/>
      <c r="C224" s="226"/>
    </row>
    <row r="225" spans="1:3" x14ac:dyDescent="0.2">
      <c r="A225" s="65">
        <v>34365</v>
      </c>
      <c r="B225" s="71"/>
      <c r="C225" s="226"/>
    </row>
    <row r="226" spans="1:3" x14ac:dyDescent="0.2">
      <c r="A226" s="65">
        <v>34393</v>
      </c>
      <c r="B226" s="71"/>
      <c r="C226" s="226"/>
    </row>
    <row r="227" spans="1:3" x14ac:dyDescent="0.2">
      <c r="A227" s="65">
        <v>34424</v>
      </c>
      <c r="B227" s="71"/>
      <c r="C227" s="226"/>
    </row>
    <row r="228" spans="1:3" x14ac:dyDescent="0.2">
      <c r="A228" s="65">
        <v>34454</v>
      </c>
      <c r="B228" s="71"/>
      <c r="C228" s="226"/>
    </row>
    <row r="229" spans="1:3" x14ac:dyDescent="0.2">
      <c r="A229" s="65">
        <v>34485</v>
      </c>
      <c r="B229" s="71"/>
      <c r="C229" s="226"/>
    </row>
    <row r="230" spans="1:3" x14ac:dyDescent="0.2">
      <c r="A230" s="65">
        <v>34515</v>
      </c>
      <c r="B230" s="71"/>
      <c r="C230" s="226"/>
    </row>
    <row r="231" spans="1:3" x14ac:dyDescent="0.2">
      <c r="A231" s="65">
        <v>34546</v>
      </c>
      <c r="B231" s="71"/>
      <c r="C231" s="226"/>
    </row>
    <row r="232" spans="1:3" x14ac:dyDescent="0.2">
      <c r="A232" s="65">
        <v>34577</v>
      </c>
      <c r="B232" s="71"/>
      <c r="C232" s="226"/>
    </row>
    <row r="233" spans="1:3" x14ac:dyDescent="0.2">
      <c r="A233" s="65">
        <v>34607</v>
      </c>
      <c r="B233" s="71"/>
      <c r="C233" s="226"/>
    </row>
    <row r="234" spans="1:3" x14ac:dyDescent="0.2">
      <c r="A234" s="65">
        <v>34638</v>
      </c>
      <c r="B234" s="71"/>
      <c r="C234" s="226"/>
    </row>
    <row r="235" spans="1:3" x14ac:dyDescent="0.2">
      <c r="A235" s="65">
        <v>34668</v>
      </c>
      <c r="B235" s="71"/>
      <c r="C235" s="226"/>
    </row>
    <row r="236" spans="1:3" x14ac:dyDescent="0.2">
      <c r="A236" s="65">
        <v>34699</v>
      </c>
      <c r="B236" s="71"/>
      <c r="C236" s="226"/>
    </row>
    <row r="237" spans="1:3" x14ac:dyDescent="0.2">
      <c r="A237" s="65">
        <v>34730</v>
      </c>
      <c r="B237" s="71"/>
      <c r="C237" s="226"/>
    </row>
    <row r="238" spans="1:3" x14ac:dyDescent="0.2">
      <c r="A238" s="65">
        <v>34758</v>
      </c>
      <c r="B238" s="71"/>
      <c r="C238" s="226"/>
    </row>
    <row r="239" spans="1:3" x14ac:dyDescent="0.2">
      <c r="A239" s="65">
        <v>34789</v>
      </c>
      <c r="B239" s="71"/>
      <c r="C239" s="226"/>
    </row>
    <row r="240" spans="1:3" x14ac:dyDescent="0.2">
      <c r="A240" s="65">
        <v>34819</v>
      </c>
      <c r="B240" s="71"/>
      <c r="C240" s="226"/>
    </row>
    <row r="241" spans="1:3" x14ac:dyDescent="0.2">
      <c r="A241" s="65">
        <v>34850</v>
      </c>
      <c r="B241" s="71"/>
      <c r="C241" s="226"/>
    </row>
    <row r="242" spans="1:3" x14ac:dyDescent="0.2">
      <c r="A242" s="65">
        <v>34880</v>
      </c>
      <c r="B242" s="71"/>
      <c r="C242" s="226"/>
    </row>
    <row r="243" spans="1:3" x14ac:dyDescent="0.2">
      <c r="A243" s="65">
        <v>34911</v>
      </c>
      <c r="B243" s="71"/>
      <c r="C243" s="226"/>
    </row>
    <row r="244" spans="1:3" x14ac:dyDescent="0.2">
      <c r="A244" s="65">
        <v>34942</v>
      </c>
      <c r="B244" s="71"/>
      <c r="C244" s="226"/>
    </row>
    <row r="245" spans="1:3" x14ac:dyDescent="0.2">
      <c r="A245" s="65">
        <v>34972</v>
      </c>
      <c r="B245" s="71"/>
      <c r="C245" s="226"/>
    </row>
    <row r="246" spans="1:3" x14ac:dyDescent="0.2">
      <c r="A246" s="65">
        <v>35003</v>
      </c>
      <c r="B246" s="71"/>
      <c r="C246" s="226"/>
    </row>
    <row r="247" spans="1:3" x14ac:dyDescent="0.2">
      <c r="A247" s="65">
        <v>35033</v>
      </c>
      <c r="B247" s="71"/>
      <c r="C247" s="226"/>
    </row>
    <row r="248" spans="1:3" x14ac:dyDescent="0.2">
      <c r="A248" s="65">
        <v>35064</v>
      </c>
      <c r="B248" s="71"/>
      <c r="C248" s="226"/>
    </row>
    <row r="249" spans="1:3" x14ac:dyDescent="0.2">
      <c r="A249" s="65">
        <v>35095</v>
      </c>
      <c r="B249" s="71"/>
      <c r="C249" s="226"/>
    </row>
    <row r="250" spans="1:3" x14ac:dyDescent="0.2">
      <c r="A250" s="65">
        <v>35124</v>
      </c>
      <c r="B250" s="71"/>
      <c r="C250" s="226"/>
    </row>
    <row r="251" spans="1:3" x14ac:dyDescent="0.2">
      <c r="A251" s="65">
        <v>35155</v>
      </c>
      <c r="B251" s="71"/>
      <c r="C251" s="226"/>
    </row>
    <row r="252" spans="1:3" x14ac:dyDescent="0.2">
      <c r="A252" s="65">
        <v>35185</v>
      </c>
      <c r="B252" s="71"/>
      <c r="C252" s="226"/>
    </row>
    <row r="253" spans="1:3" x14ac:dyDescent="0.2">
      <c r="A253" s="65">
        <v>35216</v>
      </c>
      <c r="B253" s="71"/>
      <c r="C253" s="226"/>
    </row>
    <row r="254" spans="1:3" x14ac:dyDescent="0.2">
      <c r="A254" s="65">
        <v>35246</v>
      </c>
      <c r="B254" s="71"/>
      <c r="C254" s="226"/>
    </row>
    <row r="255" spans="1:3" x14ac:dyDescent="0.2">
      <c r="A255" s="65">
        <v>35277</v>
      </c>
      <c r="B255" s="71"/>
      <c r="C255" s="226"/>
    </row>
    <row r="256" spans="1:3" x14ac:dyDescent="0.2">
      <c r="A256" s="65">
        <v>35308</v>
      </c>
      <c r="B256" s="71"/>
      <c r="C256" s="226"/>
    </row>
    <row r="257" spans="1:3" x14ac:dyDescent="0.2">
      <c r="A257" s="65">
        <v>35338</v>
      </c>
      <c r="B257" s="71"/>
      <c r="C257" s="226"/>
    </row>
    <row r="258" spans="1:3" x14ac:dyDescent="0.2">
      <c r="A258" s="65">
        <v>35369</v>
      </c>
      <c r="B258" s="71"/>
      <c r="C258" s="226"/>
    </row>
    <row r="259" spans="1:3" x14ac:dyDescent="0.2">
      <c r="A259" s="65">
        <v>35399</v>
      </c>
      <c r="B259" s="71"/>
      <c r="C259" s="226"/>
    </row>
    <row r="260" spans="1:3" x14ac:dyDescent="0.2">
      <c r="A260" s="65">
        <v>35430</v>
      </c>
      <c r="B260" s="71"/>
      <c r="C260" s="226"/>
    </row>
    <row r="261" spans="1:3" x14ac:dyDescent="0.2">
      <c r="A261" s="65">
        <v>35461</v>
      </c>
      <c r="B261" s="71"/>
      <c r="C261" s="226"/>
    </row>
    <row r="262" spans="1:3" x14ac:dyDescent="0.2">
      <c r="A262" s="65">
        <v>35489</v>
      </c>
      <c r="B262" s="71"/>
      <c r="C262" s="226"/>
    </row>
    <row r="263" spans="1:3" x14ac:dyDescent="0.2">
      <c r="A263" s="65">
        <v>35520</v>
      </c>
      <c r="B263" s="71"/>
      <c r="C263" s="226"/>
    </row>
    <row r="264" spans="1:3" x14ac:dyDescent="0.2">
      <c r="A264" s="65">
        <v>35550</v>
      </c>
      <c r="B264" s="71"/>
      <c r="C264" s="226"/>
    </row>
    <row r="265" spans="1:3" x14ac:dyDescent="0.2">
      <c r="A265" s="65">
        <v>35581</v>
      </c>
      <c r="B265" s="71"/>
      <c r="C265" s="226"/>
    </row>
    <row r="266" spans="1:3" x14ac:dyDescent="0.2">
      <c r="A266" s="65">
        <v>35611</v>
      </c>
      <c r="B266" s="71"/>
      <c r="C266" s="226"/>
    </row>
    <row r="267" spans="1:3" x14ac:dyDescent="0.2">
      <c r="A267" s="65">
        <v>35642</v>
      </c>
      <c r="B267" s="71"/>
      <c r="C267" s="226"/>
    </row>
    <row r="268" spans="1:3" x14ac:dyDescent="0.2">
      <c r="A268" s="65">
        <v>35673</v>
      </c>
      <c r="B268" s="71"/>
      <c r="C268" s="226"/>
    </row>
    <row r="269" spans="1:3" x14ac:dyDescent="0.2">
      <c r="A269" s="65">
        <v>35703</v>
      </c>
      <c r="B269" s="71"/>
      <c r="C269" s="226"/>
    </row>
    <row r="270" spans="1:3" x14ac:dyDescent="0.2">
      <c r="A270" s="65">
        <v>35734</v>
      </c>
      <c r="B270" s="71"/>
      <c r="C270" s="226"/>
    </row>
    <row r="271" spans="1:3" x14ac:dyDescent="0.2">
      <c r="A271" s="65">
        <v>35764</v>
      </c>
      <c r="B271" s="71"/>
      <c r="C271" s="226"/>
    </row>
    <row r="272" spans="1:3" x14ac:dyDescent="0.2">
      <c r="A272" s="65">
        <v>35795</v>
      </c>
      <c r="B272" s="71"/>
      <c r="C272" s="226"/>
    </row>
    <row r="273" spans="1:3" x14ac:dyDescent="0.2">
      <c r="A273" s="65">
        <v>35826</v>
      </c>
      <c r="B273" s="71"/>
      <c r="C273" s="226"/>
    </row>
    <row r="274" spans="1:3" x14ac:dyDescent="0.2">
      <c r="A274" s="65">
        <v>35854</v>
      </c>
      <c r="B274" s="71"/>
      <c r="C274" s="226"/>
    </row>
    <row r="275" spans="1:3" x14ac:dyDescent="0.2">
      <c r="A275" s="65">
        <v>35885</v>
      </c>
      <c r="B275" s="71"/>
      <c r="C275" s="226"/>
    </row>
    <row r="276" spans="1:3" x14ac:dyDescent="0.2">
      <c r="A276" s="65">
        <v>35915</v>
      </c>
      <c r="B276" s="71"/>
      <c r="C276" s="226"/>
    </row>
    <row r="277" spans="1:3" x14ac:dyDescent="0.2">
      <c r="A277" s="65">
        <v>35946</v>
      </c>
      <c r="B277" s="71"/>
      <c r="C277" s="226"/>
    </row>
    <row r="278" spans="1:3" x14ac:dyDescent="0.2">
      <c r="A278" s="65">
        <v>35976</v>
      </c>
      <c r="B278" s="71"/>
      <c r="C278" s="226"/>
    </row>
    <row r="279" spans="1:3" x14ac:dyDescent="0.2">
      <c r="A279" s="65">
        <v>36007</v>
      </c>
      <c r="B279" s="71"/>
      <c r="C279" s="226"/>
    </row>
    <row r="280" spans="1:3" x14ac:dyDescent="0.2">
      <c r="A280" s="65">
        <v>36038</v>
      </c>
      <c r="B280" s="71"/>
      <c r="C280" s="226"/>
    </row>
    <row r="281" spans="1:3" x14ac:dyDescent="0.2">
      <c r="A281" s="65">
        <v>36068</v>
      </c>
      <c r="B281" s="71"/>
      <c r="C281" s="226"/>
    </row>
    <row r="282" spans="1:3" x14ac:dyDescent="0.2">
      <c r="A282" s="65">
        <v>36099</v>
      </c>
      <c r="B282" s="71"/>
      <c r="C282" s="226"/>
    </row>
    <row r="283" spans="1:3" x14ac:dyDescent="0.2">
      <c r="A283" s="65">
        <v>36129</v>
      </c>
      <c r="B283" s="71"/>
      <c r="C283" s="226"/>
    </row>
    <row r="284" spans="1:3" x14ac:dyDescent="0.2">
      <c r="A284" s="65">
        <v>36160</v>
      </c>
      <c r="B284" s="71"/>
      <c r="C284" s="226"/>
    </row>
    <row r="285" spans="1:3" x14ac:dyDescent="0.2">
      <c r="A285" s="65">
        <v>36191</v>
      </c>
      <c r="B285" s="71"/>
      <c r="C285" s="226"/>
    </row>
    <row r="286" spans="1:3" x14ac:dyDescent="0.2">
      <c r="A286" s="65">
        <v>36219</v>
      </c>
      <c r="B286" s="71"/>
      <c r="C286" s="226"/>
    </row>
    <row r="287" spans="1:3" x14ac:dyDescent="0.2">
      <c r="A287" s="65">
        <v>36250</v>
      </c>
      <c r="B287" s="71"/>
      <c r="C287" s="226"/>
    </row>
    <row r="288" spans="1:3" x14ac:dyDescent="0.2">
      <c r="A288" s="65">
        <v>36280</v>
      </c>
      <c r="B288" s="71"/>
      <c r="C288" s="226"/>
    </row>
    <row r="289" spans="1:3" x14ac:dyDescent="0.2">
      <c r="A289" s="65">
        <v>36311</v>
      </c>
      <c r="B289" s="71"/>
      <c r="C289" s="226"/>
    </row>
    <row r="290" spans="1:3" x14ac:dyDescent="0.2">
      <c r="A290" s="65">
        <v>36341</v>
      </c>
      <c r="B290" s="71"/>
      <c r="C290" s="226"/>
    </row>
    <row r="291" spans="1:3" x14ac:dyDescent="0.2">
      <c r="A291" s="65">
        <v>36372</v>
      </c>
      <c r="B291" s="71"/>
      <c r="C291" s="226"/>
    </row>
    <row r="292" spans="1:3" x14ac:dyDescent="0.2">
      <c r="A292" s="65">
        <v>36403</v>
      </c>
      <c r="B292" s="71"/>
      <c r="C292" s="226"/>
    </row>
    <row r="293" spans="1:3" x14ac:dyDescent="0.2">
      <c r="A293" s="65">
        <v>36433</v>
      </c>
      <c r="B293" s="71"/>
      <c r="C293" s="226"/>
    </row>
    <row r="294" spans="1:3" x14ac:dyDescent="0.2">
      <c r="A294" s="65">
        <v>36464</v>
      </c>
      <c r="B294" s="71"/>
      <c r="C294" s="226"/>
    </row>
    <row r="295" spans="1:3" x14ac:dyDescent="0.2">
      <c r="A295" s="65">
        <v>36494</v>
      </c>
      <c r="B295" s="71"/>
      <c r="C295" s="226"/>
    </row>
    <row r="296" spans="1:3" x14ac:dyDescent="0.2">
      <c r="A296" s="65">
        <v>36525</v>
      </c>
      <c r="B296" s="71"/>
      <c r="C296" s="226"/>
    </row>
    <row r="297" spans="1:3" x14ac:dyDescent="0.2">
      <c r="A297" s="65">
        <v>36556</v>
      </c>
      <c r="B297" s="71"/>
      <c r="C297" s="226"/>
    </row>
    <row r="298" spans="1:3" x14ac:dyDescent="0.2">
      <c r="A298" s="65">
        <v>36585</v>
      </c>
      <c r="B298" s="71"/>
      <c r="C298" s="226"/>
    </row>
    <row r="299" spans="1:3" x14ac:dyDescent="0.2">
      <c r="A299" s="65">
        <v>36616</v>
      </c>
      <c r="B299" s="71"/>
      <c r="C299" s="226"/>
    </row>
    <row r="300" spans="1:3" x14ac:dyDescent="0.2">
      <c r="A300" s="65">
        <v>36646</v>
      </c>
      <c r="B300" s="71"/>
      <c r="C300" s="226"/>
    </row>
    <row r="301" spans="1:3" x14ac:dyDescent="0.2">
      <c r="A301" s="65">
        <v>36677</v>
      </c>
      <c r="B301" s="71"/>
      <c r="C301" s="226"/>
    </row>
    <row r="302" spans="1:3" x14ac:dyDescent="0.2">
      <c r="A302" s="65">
        <v>36707</v>
      </c>
      <c r="B302" s="71"/>
      <c r="C302" s="226"/>
    </row>
    <row r="303" spans="1:3" x14ac:dyDescent="0.2">
      <c r="A303" s="65">
        <v>36738</v>
      </c>
      <c r="B303" s="71"/>
      <c r="C303" s="226"/>
    </row>
    <row r="304" spans="1:3" x14ac:dyDescent="0.2">
      <c r="A304" s="65">
        <v>36769</v>
      </c>
      <c r="B304" s="71"/>
      <c r="C304" s="226"/>
    </row>
    <row r="305" spans="1:3" x14ac:dyDescent="0.2">
      <c r="A305" s="65">
        <v>36799</v>
      </c>
      <c r="B305" s="71"/>
      <c r="C305" s="226"/>
    </row>
    <row r="306" spans="1:3" x14ac:dyDescent="0.2">
      <c r="A306" s="65">
        <v>36830</v>
      </c>
      <c r="B306" s="71"/>
      <c r="C306" s="226"/>
    </row>
    <row r="307" spans="1:3" x14ac:dyDescent="0.2">
      <c r="A307" s="65">
        <v>36860</v>
      </c>
      <c r="B307" s="71"/>
      <c r="C307" s="226"/>
    </row>
    <row r="308" spans="1:3" x14ac:dyDescent="0.2">
      <c r="A308" s="65">
        <v>36891</v>
      </c>
      <c r="B308" s="71"/>
      <c r="C308" s="226"/>
    </row>
    <row r="309" spans="1:3" x14ac:dyDescent="0.2">
      <c r="A309" s="65">
        <v>36922</v>
      </c>
      <c r="B309" s="71"/>
      <c r="C309" s="226"/>
    </row>
    <row r="310" spans="1:3" x14ac:dyDescent="0.2">
      <c r="A310" s="65">
        <v>36950</v>
      </c>
      <c r="B310" s="71"/>
      <c r="C310" s="226"/>
    </row>
    <row r="311" spans="1:3" x14ac:dyDescent="0.2">
      <c r="A311" s="65">
        <v>36981</v>
      </c>
      <c r="B311" s="71"/>
      <c r="C311" s="226"/>
    </row>
    <row r="312" spans="1:3" x14ac:dyDescent="0.2">
      <c r="A312" s="65">
        <v>37011</v>
      </c>
      <c r="B312" s="71"/>
      <c r="C312" s="226"/>
    </row>
    <row r="313" spans="1:3" x14ac:dyDescent="0.2">
      <c r="A313" s="65">
        <v>37042</v>
      </c>
      <c r="B313" s="71"/>
      <c r="C313" s="226"/>
    </row>
    <row r="314" spans="1:3" x14ac:dyDescent="0.2">
      <c r="A314" s="65">
        <v>37072</v>
      </c>
      <c r="B314" s="71"/>
      <c r="C314" s="226"/>
    </row>
    <row r="315" spans="1:3" x14ac:dyDescent="0.2">
      <c r="A315" s="65">
        <v>37103</v>
      </c>
      <c r="B315" s="71"/>
      <c r="C315" s="226"/>
    </row>
    <row r="316" spans="1:3" x14ac:dyDescent="0.2">
      <c r="A316" s="65">
        <v>37134</v>
      </c>
      <c r="B316" s="71"/>
      <c r="C316" s="226"/>
    </row>
    <row r="317" spans="1:3" x14ac:dyDescent="0.2">
      <c r="A317" s="65">
        <v>37164</v>
      </c>
      <c r="B317" s="71"/>
      <c r="C317" s="226"/>
    </row>
    <row r="318" spans="1:3" x14ac:dyDescent="0.2">
      <c r="A318" s="65">
        <v>37195</v>
      </c>
      <c r="B318" s="71"/>
      <c r="C318" s="226"/>
    </row>
    <row r="319" spans="1:3" x14ac:dyDescent="0.2">
      <c r="A319" s="65">
        <v>37225</v>
      </c>
      <c r="B319" s="71"/>
      <c r="C319" s="226"/>
    </row>
    <row r="320" spans="1:3" x14ac:dyDescent="0.2">
      <c r="A320" s="65">
        <v>37256</v>
      </c>
      <c r="B320" s="71"/>
      <c r="C320" s="226"/>
    </row>
    <row r="321" spans="1:3" x14ac:dyDescent="0.2">
      <c r="A321" s="65">
        <v>37287</v>
      </c>
      <c r="B321" s="71"/>
      <c r="C321" s="226"/>
    </row>
    <row r="322" spans="1:3" x14ac:dyDescent="0.2">
      <c r="A322" s="65">
        <v>37315</v>
      </c>
      <c r="B322" s="71"/>
      <c r="C322" s="226"/>
    </row>
    <row r="323" spans="1:3" x14ac:dyDescent="0.2">
      <c r="A323" s="65">
        <v>37346</v>
      </c>
      <c r="B323" s="71"/>
      <c r="C323" s="226"/>
    </row>
    <row r="324" spans="1:3" x14ac:dyDescent="0.2">
      <c r="A324" s="65">
        <v>37376</v>
      </c>
      <c r="B324" s="71"/>
      <c r="C324" s="226"/>
    </row>
    <row r="325" spans="1:3" x14ac:dyDescent="0.2">
      <c r="A325" s="65">
        <v>37407</v>
      </c>
      <c r="B325" s="71"/>
      <c r="C325" s="226"/>
    </row>
    <row r="326" spans="1:3" x14ac:dyDescent="0.2">
      <c r="A326" s="65">
        <v>37437</v>
      </c>
      <c r="B326" s="71"/>
      <c r="C326" s="226"/>
    </row>
    <row r="327" spans="1:3" x14ac:dyDescent="0.2">
      <c r="A327" s="65">
        <v>37468</v>
      </c>
      <c r="B327" s="71"/>
      <c r="C327" s="226"/>
    </row>
    <row r="328" spans="1:3" x14ac:dyDescent="0.2">
      <c r="A328" s="65">
        <v>37499</v>
      </c>
      <c r="B328" s="71"/>
      <c r="C328" s="226"/>
    </row>
    <row r="329" spans="1:3" x14ac:dyDescent="0.2">
      <c r="A329" s="65">
        <v>37529</v>
      </c>
      <c r="B329" s="71"/>
      <c r="C329" s="226"/>
    </row>
    <row r="330" spans="1:3" x14ac:dyDescent="0.2">
      <c r="A330" s="65">
        <v>37560</v>
      </c>
      <c r="B330" s="71"/>
      <c r="C330" s="226"/>
    </row>
    <row r="331" spans="1:3" x14ac:dyDescent="0.2">
      <c r="A331" s="65">
        <v>37590</v>
      </c>
      <c r="B331" s="71"/>
      <c r="C331" s="226"/>
    </row>
    <row r="332" spans="1:3" x14ac:dyDescent="0.2">
      <c r="A332" s="65">
        <v>37621</v>
      </c>
      <c r="B332" s="71"/>
      <c r="C332" s="226"/>
    </row>
    <row r="333" spans="1:3" x14ac:dyDescent="0.2">
      <c r="A333" s="65">
        <v>37652</v>
      </c>
      <c r="B333" s="76"/>
      <c r="C333" s="231"/>
    </row>
    <row r="334" spans="1:3" x14ac:dyDescent="0.2">
      <c r="A334" s="65">
        <v>37680</v>
      </c>
      <c r="B334" s="76"/>
      <c r="C334" s="231"/>
    </row>
    <row r="335" spans="1:3" x14ac:dyDescent="0.2">
      <c r="A335" s="65">
        <v>37711</v>
      </c>
      <c r="B335" s="76"/>
      <c r="C335" s="231"/>
    </row>
    <row r="336" spans="1:3" x14ac:dyDescent="0.2">
      <c r="A336" s="65">
        <v>37741</v>
      </c>
      <c r="B336" s="76"/>
      <c r="C336" s="231"/>
    </row>
    <row r="337" spans="1:5" x14ac:dyDescent="0.2">
      <c r="A337" s="65">
        <v>37772</v>
      </c>
      <c r="B337" s="76"/>
      <c r="C337" s="231"/>
    </row>
    <row r="338" spans="1:5" x14ac:dyDescent="0.2">
      <c r="A338" s="65">
        <v>37802</v>
      </c>
      <c r="B338" s="76"/>
      <c r="C338" s="231"/>
    </row>
    <row r="339" spans="1:5" x14ac:dyDescent="0.2">
      <c r="A339" s="65">
        <v>37833</v>
      </c>
      <c r="B339" s="76"/>
      <c r="C339" s="231"/>
    </row>
    <row r="340" spans="1:5" x14ac:dyDescent="0.2">
      <c r="A340" s="65">
        <v>37864</v>
      </c>
      <c r="B340" s="76"/>
      <c r="C340" s="231"/>
    </row>
    <row r="341" spans="1:5" x14ac:dyDescent="0.2">
      <c r="A341" s="65">
        <v>37894</v>
      </c>
      <c r="B341" s="76"/>
      <c r="C341" s="231"/>
    </row>
    <row r="342" spans="1:5" x14ac:dyDescent="0.2">
      <c r="A342" s="65">
        <v>37925</v>
      </c>
      <c r="B342" s="76"/>
      <c r="C342" s="231"/>
    </row>
    <row r="343" spans="1:5" x14ac:dyDescent="0.2">
      <c r="A343" s="65">
        <v>37955</v>
      </c>
      <c r="B343" s="76"/>
      <c r="C343" s="231"/>
    </row>
    <row r="344" spans="1:5" x14ac:dyDescent="0.2">
      <c r="A344" s="65">
        <v>37986</v>
      </c>
      <c r="B344" s="76"/>
      <c r="C344" s="231"/>
    </row>
    <row r="345" spans="1:5" x14ac:dyDescent="0.2">
      <c r="A345" s="65">
        <v>38017</v>
      </c>
      <c r="B345" s="76">
        <v>1.7438518039905886</v>
      </c>
      <c r="C345" s="231">
        <v>1935457803.6600001</v>
      </c>
      <c r="E345" s="14"/>
    </row>
    <row r="346" spans="1:5" x14ac:dyDescent="0.2">
      <c r="A346" s="65">
        <v>38046</v>
      </c>
      <c r="B346" s="76">
        <v>1.3619999760165515</v>
      </c>
      <c r="C346" s="231">
        <v>1959072698.1800001</v>
      </c>
      <c r="E346" s="14"/>
    </row>
    <row r="347" spans="1:5" x14ac:dyDescent="0.2">
      <c r="A347" s="65">
        <v>38077</v>
      </c>
      <c r="B347" s="76">
        <v>-0.1103130916393476</v>
      </c>
      <c r="C347" s="231">
        <v>1963687912.74</v>
      </c>
      <c r="E347" s="14"/>
    </row>
    <row r="348" spans="1:5" x14ac:dyDescent="0.2">
      <c r="A348" s="65">
        <v>38107</v>
      </c>
      <c r="B348" s="76">
        <v>-2.7971230992862264</v>
      </c>
      <c r="C348" s="231">
        <v>1902070623.4200001</v>
      </c>
      <c r="E348" s="14"/>
    </row>
    <row r="349" spans="1:5" x14ac:dyDescent="0.2">
      <c r="A349" s="65">
        <v>38138</v>
      </c>
      <c r="B349" s="76">
        <v>0.19750646428135929</v>
      </c>
      <c r="C349" s="231">
        <v>1915385949.6400001</v>
      </c>
      <c r="E349" s="14"/>
    </row>
    <row r="350" spans="1:5" x14ac:dyDescent="0.2">
      <c r="A350" s="65">
        <v>38168</v>
      </c>
      <c r="B350" s="76">
        <v>1.1778663254836941</v>
      </c>
      <c r="C350" s="231">
        <v>1947239616.1199999</v>
      </c>
      <c r="E350" s="14"/>
    </row>
    <row r="351" spans="1:5" x14ac:dyDescent="0.2">
      <c r="A351" s="65">
        <v>38199</v>
      </c>
      <c r="B351" s="76">
        <v>-2.4847918316504654</v>
      </c>
      <c r="C351" s="231">
        <v>1899359687.3</v>
      </c>
      <c r="E351" s="14"/>
    </row>
    <row r="352" spans="1:5" x14ac:dyDescent="0.2">
      <c r="A352" s="65">
        <v>38230</v>
      </c>
      <c r="B352" s="76">
        <v>0.70261438202022508</v>
      </c>
      <c r="C352" s="231">
        <v>1919158933.9000001</v>
      </c>
      <c r="E352" s="14"/>
    </row>
    <row r="353" spans="1:5" x14ac:dyDescent="0.2">
      <c r="A353" s="65">
        <v>38260</v>
      </c>
      <c r="B353" s="76">
        <v>0.78300000000000003</v>
      </c>
      <c r="C353" s="231">
        <v>2115727034</v>
      </c>
      <c r="E353" s="14"/>
    </row>
    <row r="354" spans="1:5" x14ac:dyDescent="0.2">
      <c r="A354" s="65">
        <v>38291</v>
      </c>
      <c r="B354" s="76">
        <v>2.0049999999999999</v>
      </c>
      <c r="C354" s="231">
        <v>2158197850.9099998</v>
      </c>
      <c r="E354" s="14"/>
    </row>
    <row r="355" spans="1:5" x14ac:dyDescent="0.2">
      <c r="A355" s="65">
        <v>38321</v>
      </c>
      <c r="B355" s="76">
        <v>3.7776000000000001</v>
      </c>
      <c r="C355" s="231">
        <v>2239725743.0500002</v>
      </c>
      <c r="E355" s="14"/>
    </row>
    <row r="356" spans="1:5" x14ac:dyDescent="0.2">
      <c r="A356" s="65">
        <v>38352</v>
      </c>
      <c r="B356" s="76">
        <v>2.5693000000000001</v>
      </c>
      <c r="C356" s="231">
        <v>2299149144.6700001</v>
      </c>
      <c r="E356" s="14"/>
    </row>
    <row r="357" spans="1:5" x14ac:dyDescent="0.2">
      <c r="A357" s="65">
        <v>38383</v>
      </c>
      <c r="B357" s="76">
        <v>-1.0241</v>
      </c>
      <c r="C357" s="231">
        <v>2275603682.5799999</v>
      </c>
      <c r="E357" s="14"/>
    </row>
    <row r="358" spans="1:5" x14ac:dyDescent="0.2">
      <c r="A358" s="65">
        <v>38411</v>
      </c>
      <c r="B358" s="76">
        <v>1.8923000000000001</v>
      </c>
      <c r="C358" s="231">
        <v>2318664963.2800002</v>
      </c>
      <c r="E358" s="14"/>
    </row>
    <row r="359" spans="1:5" x14ac:dyDescent="0.2">
      <c r="A359" s="65">
        <v>38442</v>
      </c>
      <c r="B359" s="76">
        <v>-1.5604</v>
      </c>
      <c r="C359" s="232">
        <v>2283550917.3099999</v>
      </c>
      <c r="E359" s="14"/>
    </row>
    <row r="360" spans="1:5" x14ac:dyDescent="0.2">
      <c r="A360" s="65">
        <v>38472</v>
      </c>
      <c r="B360" s="76">
        <v>-0.77390000000000003</v>
      </c>
      <c r="C360" s="232">
        <v>2265878170.6100001</v>
      </c>
      <c r="E360" s="14"/>
    </row>
    <row r="361" spans="1:5" x14ac:dyDescent="0.2">
      <c r="A361" s="65">
        <v>38503</v>
      </c>
      <c r="B361" s="76">
        <v>2.2932000000000001</v>
      </c>
      <c r="C361" s="232">
        <v>2317839615.5900002</v>
      </c>
      <c r="E361" s="14"/>
    </row>
    <row r="362" spans="1:5" x14ac:dyDescent="0.2">
      <c r="A362" s="65">
        <v>38533</v>
      </c>
      <c r="B362" s="76">
        <v>0.51959999999999995</v>
      </c>
      <c r="C362" s="232">
        <v>2331928298.5100002</v>
      </c>
      <c r="E362" s="14"/>
    </row>
    <row r="363" spans="1:5" x14ac:dyDescent="0.2">
      <c r="A363" s="65">
        <v>38564</v>
      </c>
      <c r="B363" s="76">
        <v>2.7138</v>
      </c>
      <c r="C363" s="232">
        <v>2395212217.02</v>
      </c>
      <c r="E363" s="14"/>
    </row>
    <row r="364" spans="1:5" x14ac:dyDescent="0.2">
      <c r="A364" s="65">
        <v>38595</v>
      </c>
      <c r="B364" s="76">
        <v>-0.29730000000000001</v>
      </c>
      <c r="C364" s="232">
        <v>2388091193.3400002</v>
      </c>
      <c r="E364" s="14"/>
    </row>
    <row r="365" spans="1:5" x14ac:dyDescent="0.2">
      <c r="A365" s="65">
        <v>38625</v>
      </c>
      <c r="B365" s="253">
        <v>1.4353</v>
      </c>
      <c r="C365" s="256">
        <v>2424467830.5700002</v>
      </c>
      <c r="E365" s="14"/>
    </row>
    <row r="366" spans="1:5" x14ac:dyDescent="0.2">
      <c r="A366" s="65">
        <v>38656</v>
      </c>
      <c r="B366" s="253">
        <v>-1.4309000000000001</v>
      </c>
      <c r="C366" s="256">
        <v>2389775637.9000001</v>
      </c>
      <c r="E366" s="14"/>
    </row>
    <row r="367" spans="1:5" x14ac:dyDescent="0.2">
      <c r="A367" s="65">
        <v>38686</v>
      </c>
      <c r="B367" s="253">
        <v>2.7210000000000001</v>
      </c>
      <c r="C367" s="256">
        <v>2454801084.3600001</v>
      </c>
      <c r="E367" s="14"/>
    </row>
    <row r="368" spans="1:5" x14ac:dyDescent="0.2">
      <c r="A368" s="65">
        <v>38717</v>
      </c>
      <c r="B368" s="253">
        <v>1.1692</v>
      </c>
      <c r="C368" s="256">
        <v>2485637141.04</v>
      </c>
      <c r="E368" s="14"/>
    </row>
    <row r="369" spans="1:5" x14ac:dyDescent="0.2">
      <c r="A369" s="65">
        <v>38748</v>
      </c>
      <c r="B369" s="253">
        <v>2.2846000000000002</v>
      </c>
      <c r="C369" s="256">
        <v>2542424720.3800001</v>
      </c>
      <c r="E369" s="14"/>
    </row>
    <row r="370" spans="1:5" x14ac:dyDescent="0.2">
      <c r="A370" s="65">
        <v>38776</v>
      </c>
      <c r="B370" s="253">
        <v>0.52969999999999995</v>
      </c>
      <c r="C370" s="256">
        <v>2555892186.29</v>
      </c>
      <c r="E370" s="14"/>
    </row>
    <row r="371" spans="1:5" x14ac:dyDescent="0.2">
      <c r="A371" s="65">
        <v>38807</v>
      </c>
      <c r="B371" s="128">
        <v>1.0547</v>
      </c>
      <c r="C371" s="366">
        <v>2585037223.1500001</v>
      </c>
      <c r="E371" s="14"/>
    </row>
    <row r="372" spans="1:5" x14ac:dyDescent="0.2">
      <c r="A372" s="65">
        <v>38837</v>
      </c>
      <c r="B372" s="128">
        <v>1.4085000000000001</v>
      </c>
      <c r="C372" s="366">
        <v>2621446445.0100002</v>
      </c>
      <c r="E372" s="14"/>
    </row>
    <row r="373" spans="1:5" x14ac:dyDescent="0.2">
      <c r="A373" s="65">
        <v>38868</v>
      </c>
      <c r="B373" s="128">
        <v>-2.1112000000000002</v>
      </c>
      <c r="C373" s="366">
        <v>2566101858.9699998</v>
      </c>
      <c r="E373" s="14"/>
    </row>
    <row r="374" spans="1:5" x14ac:dyDescent="0.2">
      <c r="A374" s="65">
        <v>38898</v>
      </c>
      <c r="B374" s="128">
        <v>-0.19089999999999999</v>
      </c>
      <c r="C374" s="366">
        <v>2563462614.9899998</v>
      </c>
      <c r="E374" s="14"/>
    </row>
    <row r="375" spans="1:5" x14ac:dyDescent="0.2">
      <c r="A375" s="65">
        <v>38929</v>
      </c>
      <c r="B375" s="128">
        <v>0.99460000000000004</v>
      </c>
      <c r="C375" s="366">
        <v>2588958783.3400002</v>
      </c>
      <c r="E375" s="14"/>
    </row>
    <row r="376" spans="1:5" x14ac:dyDescent="0.2">
      <c r="A376" s="65">
        <v>38960</v>
      </c>
      <c r="B376" s="128">
        <v>1.3898999999999999</v>
      </c>
      <c r="C376" s="366">
        <v>2624943478.0999999</v>
      </c>
      <c r="E376" s="14"/>
    </row>
    <row r="377" spans="1:5" x14ac:dyDescent="0.2">
      <c r="A377" s="65">
        <v>38990</v>
      </c>
      <c r="B377" s="128">
        <v>1.1163000000000001</v>
      </c>
      <c r="C377" s="366">
        <v>2656503194.48</v>
      </c>
      <c r="E377" s="14"/>
    </row>
    <row r="378" spans="1:5" x14ac:dyDescent="0.2">
      <c r="A378" s="65">
        <v>39021</v>
      </c>
      <c r="B378" s="14">
        <v>2.3321999999999998</v>
      </c>
      <c r="C378" s="8">
        <v>2718457363.27</v>
      </c>
      <c r="E378" s="14"/>
    </row>
    <row r="379" spans="1:5" x14ac:dyDescent="0.2">
      <c r="A379" s="65">
        <v>39051</v>
      </c>
      <c r="B379" s="14">
        <v>1.1651</v>
      </c>
      <c r="C379" s="8">
        <v>2750130358.8499999</v>
      </c>
      <c r="E379" s="14"/>
    </row>
    <row r="380" spans="1:5" x14ac:dyDescent="0.2">
      <c r="A380" s="65">
        <v>39082</v>
      </c>
      <c r="B380" s="14">
        <v>1.3914</v>
      </c>
      <c r="C380" s="352">
        <v>2790672601.3000002</v>
      </c>
      <c r="E380" s="14"/>
    </row>
    <row r="381" spans="1:5" x14ac:dyDescent="0.2">
      <c r="A381" s="65">
        <v>39113</v>
      </c>
      <c r="B381" s="14">
        <v>0.91610000000000003</v>
      </c>
      <c r="C381" s="352">
        <v>2816237407.8499999</v>
      </c>
      <c r="E381" s="14"/>
    </row>
    <row r="382" spans="1:5" x14ac:dyDescent="0.2">
      <c r="A382" s="65">
        <v>39141</v>
      </c>
      <c r="B382" s="14">
        <v>-0.42580000000000001</v>
      </c>
      <c r="C382" s="352">
        <v>2804245085.2800002</v>
      </c>
      <c r="E382" s="14"/>
    </row>
    <row r="383" spans="1:5" x14ac:dyDescent="0.2">
      <c r="A383" s="65">
        <v>39172</v>
      </c>
      <c r="B383" s="14">
        <v>1.1988000000000001</v>
      </c>
      <c r="C383" s="352">
        <v>2840201334.1300001</v>
      </c>
      <c r="E383" s="14"/>
    </row>
    <row r="384" spans="1:5" x14ac:dyDescent="0.2">
      <c r="A384" s="65">
        <v>39202</v>
      </c>
      <c r="B384" s="14">
        <v>3.4948000000000001</v>
      </c>
      <c r="C384" s="352">
        <v>2939461108.2600002</v>
      </c>
      <c r="E384" s="14"/>
    </row>
    <row r="385" spans="1:12" x14ac:dyDescent="0.2">
      <c r="A385" s="65">
        <v>39233</v>
      </c>
      <c r="B385" s="14">
        <v>2.1356999999999999</v>
      </c>
      <c r="C385" s="352">
        <v>3002240259.7399998</v>
      </c>
      <c r="E385" s="14"/>
      <c r="F385" s="52"/>
      <c r="G385" s="52"/>
      <c r="H385" s="782"/>
      <c r="I385" s="52"/>
      <c r="J385" s="52"/>
    </row>
    <row r="386" spans="1:12" x14ac:dyDescent="0.2">
      <c r="A386" s="65">
        <v>39263</v>
      </c>
      <c r="B386" s="14">
        <v>-1.0062</v>
      </c>
      <c r="C386" s="352">
        <v>2974192006.1900001</v>
      </c>
      <c r="E386" s="14"/>
      <c r="F386" s="783"/>
      <c r="G386" s="783"/>
      <c r="H386" s="783"/>
      <c r="I386" s="783"/>
      <c r="J386" s="784"/>
      <c r="L386" s="780"/>
    </row>
    <row r="387" spans="1:12" x14ac:dyDescent="0.2">
      <c r="A387" s="65">
        <v>39294</v>
      </c>
      <c r="B387" s="785">
        <v>-1.7438</v>
      </c>
      <c r="C387" s="786">
        <v>2922327186.6300001</v>
      </c>
      <c r="D387" s="52"/>
      <c r="E387" s="781"/>
      <c r="F387" s="52"/>
      <c r="G387" s="52"/>
      <c r="H387" s="782"/>
      <c r="I387" s="52"/>
      <c r="J387" s="784"/>
      <c r="L387" s="780"/>
    </row>
    <row r="388" spans="1:12" x14ac:dyDescent="0.2">
      <c r="A388" s="65">
        <v>39325</v>
      </c>
      <c r="B388" s="785">
        <v>1.2048000000000001</v>
      </c>
      <c r="C388" s="47">
        <v>2957536035.8400002</v>
      </c>
      <c r="D388" s="52"/>
      <c r="E388" s="781"/>
      <c r="F388" s="52"/>
      <c r="G388" s="52"/>
      <c r="H388" s="782"/>
      <c r="I388" s="52"/>
      <c r="J388" s="784"/>
      <c r="L388" s="780"/>
    </row>
    <row r="389" spans="1:12" x14ac:dyDescent="0.2">
      <c r="A389" s="65">
        <v>39355</v>
      </c>
      <c r="B389" s="785">
        <v>3.3022</v>
      </c>
      <c r="C389" s="786">
        <v>3057606236.6799998</v>
      </c>
      <c r="D389" s="52"/>
      <c r="E389" s="781"/>
      <c r="F389" s="52"/>
    </row>
    <row r="390" spans="1:12" x14ac:dyDescent="0.2">
      <c r="A390" s="65">
        <v>39386</v>
      </c>
      <c r="B390" s="14">
        <v>1.9608000000000001</v>
      </c>
      <c r="C390" s="8">
        <v>3117560760.2199998</v>
      </c>
    </row>
    <row r="391" spans="1:12" x14ac:dyDescent="0.2">
      <c r="A391" s="65">
        <v>39416</v>
      </c>
      <c r="B391" s="14">
        <v>-2.8443000000000001</v>
      </c>
      <c r="C391" s="8">
        <v>3028887871.23</v>
      </c>
    </row>
    <row r="392" spans="1:12" x14ac:dyDescent="0.2">
      <c r="A392" s="65">
        <v>39447</v>
      </c>
      <c r="B392" s="14">
        <v>-0.71099999999999997</v>
      </c>
      <c r="C392" s="8">
        <v>3010267913.5700002</v>
      </c>
    </row>
    <row r="393" spans="1:12" x14ac:dyDescent="0.2">
      <c r="A393" s="65">
        <v>39478</v>
      </c>
      <c r="B393" s="14">
        <v>-3.8553999999999999</v>
      </c>
      <c r="C393" s="8">
        <v>2894209427.8699999</v>
      </c>
    </row>
    <row r="394" spans="1:12" x14ac:dyDescent="0.2">
      <c r="A394" s="65">
        <v>39507</v>
      </c>
      <c r="B394" s="14">
        <v>-1.2319</v>
      </c>
      <c r="C394" s="8">
        <v>2858555093.1599998</v>
      </c>
    </row>
    <row r="395" spans="1:12" x14ac:dyDescent="0.2">
      <c r="A395" s="65">
        <v>39538</v>
      </c>
      <c r="B395" s="14">
        <v>-0.156</v>
      </c>
      <c r="C395" s="8">
        <v>2856497727.8899999</v>
      </c>
    </row>
    <row r="396" spans="1:12" x14ac:dyDescent="0.2">
      <c r="A396" s="65">
        <v>39568</v>
      </c>
      <c r="B396" s="14">
        <v>2.4954999999999998</v>
      </c>
      <c r="C396" s="8">
        <v>2927772091.8899999</v>
      </c>
    </row>
    <row r="397" spans="1:12" x14ac:dyDescent="0.2">
      <c r="A397" s="65">
        <v>39599</v>
      </c>
      <c r="B397" s="14">
        <v>1.1943999999999999</v>
      </c>
      <c r="C397" s="8">
        <v>2965471799.27</v>
      </c>
    </row>
    <row r="398" spans="1:12" x14ac:dyDescent="0.2">
      <c r="A398" s="65">
        <v>39629</v>
      </c>
      <c r="B398" s="14">
        <v>-5.3487</v>
      </c>
      <c r="C398" s="8">
        <v>2809233762.8200002</v>
      </c>
    </row>
    <row r="399" spans="1:12" x14ac:dyDescent="0.2">
      <c r="A399" s="65">
        <v>39660</v>
      </c>
      <c r="B399" s="14">
        <v>-1.5373000000000001</v>
      </c>
      <c r="C399" s="1007">
        <v>2766047348.52</v>
      </c>
    </row>
    <row r="400" spans="1:12" x14ac:dyDescent="0.2">
      <c r="A400" s="65">
        <v>39691</v>
      </c>
      <c r="B400" s="14">
        <v>0.97519999999999996</v>
      </c>
      <c r="C400" s="1007">
        <v>2793021732.0700002</v>
      </c>
    </row>
    <row r="401" spans="1:7" x14ac:dyDescent="0.2">
      <c r="A401" s="65">
        <v>39721</v>
      </c>
      <c r="B401" s="14">
        <v>-7.9218999999999999</v>
      </c>
      <c r="C401" s="1007">
        <v>2574427085.79</v>
      </c>
      <c r="E401">
        <f t="array" ref="E401">(GEOMEAN(B390:B401/100+1)^12-1)*100</f>
        <v>-16.189796091665187</v>
      </c>
      <c r="F401">
        <f t="array" ref="F401">(GEOMEAN(Index_Returns!AD390:AD401/100+1)^12-1)*100</f>
        <v>-16.661605691063052</v>
      </c>
      <c r="G401">
        <f>E401-F401</f>
        <v>0.47180959939786504</v>
      </c>
    </row>
    <row r="402" spans="1:7" x14ac:dyDescent="0.2">
      <c r="A402" s="65">
        <v>39752</v>
      </c>
      <c r="B402" s="14">
        <v>-11.6652</v>
      </c>
      <c r="C402" s="8">
        <v>2274059500</v>
      </c>
      <c r="E402">
        <f t="array" ref="E402">(GEOMEAN(B366:B401/100+1)^12-1)*100</f>
        <v>1.6404277294211456</v>
      </c>
      <c r="F402">
        <f t="array" ref="F402">(GEOMEAN(Index_Returns!AD366:AD401/100+1)^12-1)*100</f>
        <v>1.7204949008823522</v>
      </c>
      <c r="G402">
        <f>E402-F402</f>
        <v>-8.0067171461206676E-2</v>
      </c>
    </row>
    <row r="403" spans="1:7" x14ac:dyDescent="0.2">
      <c r="A403" s="65">
        <v>39782</v>
      </c>
      <c r="B403" s="14">
        <v>-2.1882999999999999</v>
      </c>
      <c r="C403" s="8">
        <v>2226088777</v>
      </c>
      <c r="E403">
        <f t="array" ref="E403">(GEOMEAN(B345:B401/100+1)^12-1)*100</f>
        <v>4.0074832843095765</v>
      </c>
      <c r="F403">
        <f t="array" ref="F403">(GEOMEAN(Index_Returns!AD345:AD401/100+1)^12-1)*100</f>
        <v>4.0284821605584442</v>
      </c>
      <c r="G403">
        <f>E403-F403</f>
        <v>-2.0998876248867759E-2</v>
      </c>
    </row>
    <row r="404" spans="1:7" x14ac:dyDescent="0.2">
      <c r="A404" s="65">
        <v>39813</v>
      </c>
      <c r="B404" s="14">
        <v>2.9685000000000001</v>
      </c>
      <c r="C404" s="8">
        <v>2294337892</v>
      </c>
    </row>
    <row r="405" spans="1:7" x14ac:dyDescent="0.2">
      <c r="A405" s="65">
        <v>39844</v>
      </c>
      <c r="B405" s="14">
        <v>-6.06</v>
      </c>
    </row>
    <row r="406" spans="1:7" x14ac:dyDescent="0.2">
      <c r="A406" s="65">
        <v>39872</v>
      </c>
      <c r="B406" s="14">
        <v>-7.65</v>
      </c>
    </row>
    <row r="407" spans="1:7" x14ac:dyDescent="0.2">
      <c r="A407" s="65">
        <v>39903</v>
      </c>
      <c r="B407" s="14">
        <v>5.99</v>
      </c>
    </row>
    <row r="408" spans="1:7" x14ac:dyDescent="0.2">
      <c r="A408" s="65">
        <v>39933</v>
      </c>
      <c r="B408" s="14">
        <v>7.3499999999999899</v>
      </c>
    </row>
    <row r="409" spans="1:7" x14ac:dyDescent="0.2">
      <c r="A409" s="65">
        <v>39964</v>
      </c>
      <c r="B409" s="14">
        <v>5.380000000000007</v>
      </c>
    </row>
    <row r="410" spans="1:7" x14ac:dyDescent="0.2">
      <c r="A410" s="65">
        <v>39994</v>
      </c>
      <c r="B410" s="14">
        <v>-0.51999999999999824</v>
      </c>
    </row>
    <row r="411" spans="1:7" x14ac:dyDescent="0.2">
      <c r="A411" s="65">
        <v>40025</v>
      </c>
      <c r="B411" s="14">
        <v>6.5199999999999925</v>
      </c>
    </row>
    <row r="412" spans="1:7" x14ac:dyDescent="0.2">
      <c r="A412" s="65">
        <v>40056</v>
      </c>
      <c r="B412" s="14">
        <v>3.4200000000000008</v>
      </c>
    </row>
    <row r="413" spans="1:7" x14ac:dyDescent="0.2">
      <c r="A413" s="65">
        <v>40086</v>
      </c>
      <c r="B413" s="14">
        <v>3.8200000000000012</v>
      </c>
    </row>
    <row r="414" spans="1:7" x14ac:dyDescent="0.2">
      <c r="A414" s="65">
        <v>40117</v>
      </c>
    </row>
    <row r="415" spans="1:7" x14ac:dyDescent="0.2">
      <c r="A415" s="65">
        <v>40147</v>
      </c>
    </row>
    <row r="416" spans="1:7" x14ac:dyDescent="0.2">
      <c r="A416" s="65">
        <v>40178</v>
      </c>
    </row>
    <row r="417" spans="1:1" x14ac:dyDescent="0.2">
      <c r="A417" s="65">
        <v>40209</v>
      </c>
    </row>
    <row r="418" spans="1:1" x14ac:dyDescent="0.2">
      <c r="A418" s="65">
        <v>40237</v>
      </c>
    </row>
    <row r="419" spans="1:1" x14ac:dyDescent="0.2">
      <c r="A419" s="65">
        <v>40268</v>
      </c>
    </row>
    <row r="420" spans="1:1" x14ac:dyDescent="0.2">
      <c r="A420" s="65">
        <v>40298</v>
      </c>
    </row>
    <row r="421" spans="1:1" x14ac:dyDescent="0.2">
      <c r="A421" s="65">
        <v>40329</v>
      </c>
    </row>
    <row r="422" spans="1:1" x14ac:dyDescent="0.2">
      <c r="A422" s="65">
        <v>40359</v>
      </c>
    </row>
    <row r="423" spans="1:1" x14ac:dyDescent="0.2">
      <c r="A423" s="65">
        <v>40390</v>
      </c>
    </row>
    <row r="424" spans="1:1" x14ac:dyDescent="0.2">
      <c r="A424" s="65">
        <v>40421</v>
      </c>
    </row>
    <row r="425" spans="1:1" x14ac:dyDescent="0.2">
      <c r="A425" s="65">
        <v>40451</v>
      </c>
    </row>
    <row r="426" spans="1:1" x14ac:dyDescent="0.2">
      <c r="A426" s="65">
        <v>40482</v>
      </c>
    </row>
    <row r="427" spans="1:1" x14ac:dyDescent="0.2">
      <c r="A427" s="65">
        <v>40512</v>
      </c>
    </row>
    <row r="428" spans="1:1" x14ac:dyDescent="0.2">
      <c r="A428" s="65">
        <v>40543</v>
      </c>
    </row>
  </sheetData>
  <phoneticPr fontId="3" type="noConversion"/>
  <pageMargins left="0.75" right="0.75" top="1" bottom="1" header="0.5" footer="0.5"/>
  <headerFooter alignWithMargins="0"/>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E428"/>
  <sheetViews>
    <sheetView workbookViewId="0">
      <pane ySplit="2" topLeftCell="A385" activePane="bottomLeft" state="frozen"/>
      <selection activeCell="B410" sqref="B410"/>
      <selection pane="bottomLeft" activeCell="B413" sqref="B413"/>
    </sheetView>
  </sheetViews>
  <sheetFormatPr defaultRowHeight="12.75" x14ac:dyDescent="0.2"/>
  <cols>
    <col min="1" max="1" width="18.7109375" customWidth="1"/>
    <col min="2" max="2" width="18.7109375" style="14" customWidth="1"/>
    <col min="3" max="3" width="18.7109375" style="8" customWidth="1"/>
  </cols>
  <sheetData>
    <row r="1" spans="1:3" x14ac:dyDescent="0.2">
      <c r="A1" s="223" t="s">
        <v>247</v>
      </c>
      <c r="B1" s="321" t="s">
        <v>450</v>
      </c>
      <c r="C1" s="323"/>
    </row>
    <row r="2" spans="1:3" x14ac:dyDescent="0.2">
      <c r="A2" s="3" t="s">
        <v>27</v>
      </c>
      <c r="B2" s="71" t="s">
        <v>91</v>
      </c>
      <c r="C2" s="3" t="s">
        <v>92</v>
      </c>
    </row>
    <row r="3" spans="1:3" x14ac:dyDescent="0.2">
      <c r="A3" s="65">
        <v>27606</v>
      </c>
      <c r="B3" s="71"/>
      <c r="C3" s="226"/>
    </row>
    <row r="4" spans="1:3" x14ac:dyDescent="0.2">
      <c r="A4" s="65">
        <v>27637</v>
      </c>
      <c r="B4" s="71"/>
      <c r="C4" s="226"/>
    </row>
    <row r="5" spans="1:3" x14ac:dyDescent="0.2">
      <c r="A5" s="65">
        <v>27667</v>
      </c>
      <c r="B5" s="71"/>
      <c r="C5" s="226"/>
    </row>
    <row r="6" spans="1:3" x14ac:dyDescent="0.2">
      <c r="A6" s="65">
        <v>27698</v>
      </c>
      <c r="B6" s="71"/>
      <c r="C6" s="226"/>
    </row>
    <row r="7" spans="1:3" x14ac:dyDescent="0.2">
      <c r="A7" s="65">
        <v>27728</v>
      </c>
      <c r="B7" s="71"/>
      <c r="C7" s="226"/>
    </row>
    <row r="8" spans="1:3" x14ac:dyDescent="0.2">
      <c r="A8" s="65">
        <v>27759</v>
      </c>
      <c r="B8" s="71"/>
      <c r="C8" s="226"/>
    </row>
    <row r="9" spans="1:3" x14ac:dyDescent="0.2">
      <c r="A9" s="65">
        <v>27790</v>
      </c>
      <c r="B9" s="71"/>
      <c r="C9" s="226"/>
    </row>
    <row r="10" spans="1:3" x14ac:dyDescent="0.2">
      <c r="A10" s="65">
        <v>27819</v>
      </c>
      <c r="B10" s="71"/>
      <c r="C10" s="226"/>
    </row>
    <row r="11" spans="1:3" x14ac:dyDescent="0.2">
      <c r="A11" s="65">
        <v>27850</v>
      </c>
      <c r="B11" s="71"/>
      <c r="C11" s="226"/>
    </row>
    <row r="12" spans="1:3" x14ac:dyDescent="0.2">
      <c r="A12" s="65">
        <v>27880</v>
      </c>
      <c r="B12" s="71"/>
      <c r="C12" s="226"/>
    </row>
    <row r="13" spans="1:3" x14ac:dyDescent="0.2">
      <c r="A13" s="65">
        <v>27911</v>
      </c>
      <c r="B13" s="71"/>
      <c r="C13" s="226"/>
    </row>
    <row r="14" spans="1:3" x14ac:dyDescent="0.2">
      <c r="A14" s="65">
        <v>27941</v>
      </c>
      <c r="B14" s="71"/>
      <c r="C14" s="226"/>
    </row>
    <row r="15" spans="1:3" x14ac:dyDescent="0.2">
      <c r="A15" s="65">
        <v>27972</v>
      </c>
      <c r="B15" s="71"/>
      <c r="C15" s="226"/>
    </row>
    <row r="16" spans="1:3" x14ac:dyDescent="0.2">
      <c r="A16" s="65">
        <v>28003</v>
      </c>
      <c r="B16" s="71"/>
      <c r="C16" s="226"/>
    </row>
    <row r="17" spans="1:3" x14ac:dyDescent="0.2">
      <c r="A17" s="65">
        <v>28033</v>
      </c>
      <c r="B17" s="71"/>
      <c r="C17" s="226"/>
    </row>
    <row r="18" spans="1:3" x14ac:dyDescent="0.2">
      <c r="A18" s="65">
        <v>28064</v>
      </c>
      <c r="B18" s="71"/>
      <c r="C18" s="226"/>
    </row>
    <row r="19" spans="1:3" x14ac:dyDescent="0.2">
      <c r="A19" s="65">
        <v>28094</v>
      </c>
      <c r="B19" s="71"/>
      <c r="C19" s="226"/>
    </row>
    <row r="20" spans="1:3" x14ac:dyDescent="0.2">
      <c r="A20" s="65">
        <v>28125</v>
      </c>
      <c r="B20" s="71"/>
      <c r="C20" s="226"/>
    </row>
    <row r="21" spans="1:3" x14ac:dyDescent="0.2">
      <c r="A21" s="65">
        <v>28156</v>
      </c>
      <c r="B21" s="71"/>
      <c r="C21" s="226"/>
    </row>
    <row r="22" spans="1:3" x14ac:dyDescent="0.2">
      <c r="A22" s="65">
        <v>28184</v>
      </c>
      <c r="B22" s="71"/>
      <c r="C22" s="226"/>
    </row>
    <row r="23" spans="1:3" x14ac:dyDescent="0.2">
      <c r="A23" s="65">
        <v>28215</v>
      </c>
      <c r="B23" s="71"/>
      <c r="C23" s="226"/>
    </row>
    <row r="24" spans="1:3" x14ac:dyDescent="0.2">
      <c r="A24" s="65">
        <v>28245</v>
      </c>
      <c r="B24" s="71"/>
      <c r="C24" s="226"/>
    </row>
    <row r="25" spans="1:3" x14ac:dyDescent="0.2">
      <c r="A25" s="65">
        <v>28276</v>
      </c>
      <c r="B25" s="71"/>
      <c r="C25" s="226"/>
    </row>
    <row r="26" spans="1:3" x14ac:dyDescent="0.2">
      <c r="A26" s="65">
        <v>28306</v>
      </c>
      <c r="B26" s="71"/>
      <c r="C26" s="226"/>
    </row>
    <row r="27" spans="1:3" x14ac:dyDescent="0.2">
      <c r="A27" s="65">
        <v>28337</v>
      </c>
      <c r="B27" s="71"/>
      <c r="C27" s="226"/>
    </row>
    <row r="28" spans="1:3" x14ac:dyDescent="0.2">
      <c r="A28" s="65">
        <v>28368</v>
      </c>
      <c r="B28" s="71"/>
      <c r="C28" s="226"/>
    </row>
    <row r="29" spans="1:3" x14ac:dyDescent="0.2">
      <c r="A29" s="65">
        <v>28398</v>
      </c>
      <c r="B29" s="71"/>
      <c r="C29" s="226"/>
    </row>
    <row r="30" spans="1:3" x14ac:dyDescent="0.2">
      <c r="A30" s="65">
        <v>28429</v>
      </c>
      <c r="B30" s="71"/>
      <c r="C30" s="226"/>
    </row>
    <row r="31" spans="1:3" x14ac:dyDescent="0.2">
      <c r="A31" s="65">
        <v>28459</v>
      </c>
      <c r="B31" s="71"/>
      <c r="C31" s="226"/>
    </row>
    <row r="32" spans="1:3" x14ac:dyDescent="0.2">
      <c r="A32" s="65">
        <v>28490</v>
      </c>
      <c r="B32" s="71"/>
      <c r="C32" s="226"/>
    </row>
    <row r="33" spans="1:3" x14ac:dyDescent="0.2">
      <c r="A33" s="65">
        <v>28521</v>
      </c>
      <c r="B33" s="71"/>
      <c r="C33" s="226"/>
    </row>
    <row r="34" spans="1:3" x14ac:dyDescent="0.2">
      <c r="A34" s="65">
        <v>28549</v>
      </c>
      <c r="B34" s="71"/>
      <c r="C34" s="226"/>
    </row>
    <row r="35" spans="1:3" x14ac:dyDescent="0.2">
      <c r="A35" s="65">
        <v>28580</v>
      </c>
      <c r="B35" s="71"/>
      <c r="C35" s="226"/>
    </row>
    <row r="36" spans="1:3" x14ac:dyDescent="0.2">
      <c r="A36" s="65">
        <v>28610</v>
      </c>
      <c r="B36" s="71"/>
      <c r="C36" s="226"/>
    </row>
    <row r="37" spans="1:3" x14ac:dyDescent="0.2">
      <c r="A37" s="65">
        <v>28641</v>
      </c>
      <c r="B37" s="71"/>
      <c r="C37" s="226"/>
    </row>
    <row r="38" spans="1:3" x14ac:dyDescent="0.2">
      <c r="A38" s="65">
        <v>28671</v>
      </c>
      <c r="B38" s="71"/>
      <c r="C38" s="226"/>
    </row>
    <row r="39" spans="1:3" x14ac:dyDescent="0.2">
      <c r="A39" s="65">
        <v>28702</v>
      </c>
      <c r="B39" s="71"/>
      <c r="C39" s="226"/>
    </row>
    <row r="40" spans="1:3" x14ac:dyDescent="0.2">
      <c r="A40" s="65">
        <v>28733</v>
      </c>
      <c r="B40" s="71"/>
      <c r="C40" s="226"/>
    </row>
    <row r="41" spans="1:3" x14ac:dyDescent="0.2">
      <c r="A41" s="65">
        <v>28763</v>
      </c>
      <c r="B41" s="71"/>
      <c r="C41" s="226"/>
    </row>
    <row r="42" spans="1:3" x14ac:dyDescent="0.2">
      <c r="A42" s="65">
        <v>28794</v>
      </c>
      <c r="B42" s="71"/>
      <c r="C42" s="226"/>
    </row>
    <row r="43" spans="1:3" x14ac:dyDescent="0.2">
      <c r="A43" s="65">
        <v>28824</v>
      </c>
      <c r="B43" s="71"/>
      <c r="C43" s="226"/>
    </row>
    <row r="44" spans="1:3" x14ac:dyDescent="0.2">
      <c r="A44" s="65">
        <v>28855</v>
      </c>
      <c r="B44" s="71"/>
      <c r="C44" s="226"/>
    </row>
    <row r="45" spans="1:3" x14ac:dyDescent="0.2">
      <c r="A45" s="65">
        <v>28886</v>
      </c>
      <c r="B45" s="71"/>
      <c r="C45" s="226"/>
    </row>
    <row r="46" spans="1:3" x14ac:dyDescent="0.2">
      <c r="A46" s="65">
        <v>28914</v>
      </c>
      <c r="B46" s="71"/>
      <c r="C46" s="226"/>
    </row>
    <row r="47" spans="1:3" x14ac:dyDescent="0.2">
      <c r="A47" s="65">
        <v>28945</v>
      </c>
      <c r="B47" s="71"/>
      <c r="C47" s="226"/>
    </row>
    <row r="48" spans="1:3" x14ac:dyDescent="0.2">
      <c r="A48" s="65">
        <v>28975</v>
      </c>
      <c r="B48" s="71"/>
      <c r="C48" s="226"/>
    </row>
    <row r="49" spans="1:3" x14ac:dyDescent="0.2">
      <c r="A49" s="65">
        <v>29006</v>
      </c>
      <c r="B49" s="71"/>
      <c r="C49" s="226"/>
    </row>
    <row r="50" spans="1:3" x14ac:dyDescent="0.2">
      <c r="A50" s="65">
        <v>29036</v>
      </c>
      <c r="B50" s="71"/>
      <c r="C50" s="226"/>
    </row>
    <row r="51" spans="1:3" x14ac:dyDescent="0.2">
      <c r="A51" s="65">
        <v>29067</v>
      </c>
      <c r="B51" s="71"/>
      <c r="C51" s="226"/>
    </row>
    <row r="52" spans="1:3" x14ac:dyDescent="0.2">
      <c r="A52" s="65">
        <v>29098</v>
      </c>
      <c r="B52" s="71"/>
      <c r="C52" s="226"/>
    </row>
    <row r="53" spans="1:3" x14ac:dyDescent="0.2">
      <c r="A53" s="65">
        <v>29128</v>
      </c>
      <c r="B53" s="71"/>
      <c r="C53" s="226"/>
    </row>
    <row r="54" spans="1:3" x14ac:dyDescent="0.2">
      <c r="A54" s="65">
        <v>29159</v>
      </c>
      <c r="B54" s="71"/>
      <c r="C54" s="226"/>
    </row>
    <row r="55" spans="1:3" x14ac:dyDescent="0.2">
      <c r="A55" s="65">
        <v>29189</v>
      </c>
      <c r="B55" s="71"/>
      <c r="C55" s="226"/>
    </row>
    <row r="56" spans="1:3" x14ac:dyDescent="0.2">
      <c r="A56" s="65">
        <v>29220</v>
      </c>
      <c r="B56" s="71"/>
      <c r="C56" s="226"/>
    </row>
    <row r="57" spans="1:3" x14ac:dyDescent="0.2">
      <c r="A57" s="65">
        <v>29251</v>
      </c>
      <c r="B57" s="71"/>
      <c r="C57" s="226"/>
    </row>
    <row r="58" spans="1:3" x14ac:dyDescent="0.2">
      <c r="A58" s="65">
        <v>29280</v>
      </c>
      <c r="B58" s="71"/>
      <c r="C58" s="226"/>
    </row>
    <row r="59" spans="1:3" x14ac:dyDescent="0.2">
      <c r="A59" s="65">
        <v>29311</v>
      </c>
      <c r="B59" s="71"/>
      <c r="C59" s="226"/>
    </row>
    <row r="60" spans="1:3" x14ac:dyDescent="0.2">
      <c r="A60" s="65">
        <v>29341</v>
      </c>
      <c r="B60" s="71"/>
      <c r="C60" s="226"/>
    </row>
    <row r="61" spans="1:3" x14ac:dyDescent="0.2">
      <c r="A61" s="65">
        <v>29372</v>
      </c>
      <c r="B61" s="71"/>
      <c r="C61" s="226"/>
    </row>
    <row r="62" spans="1:3" x14ac:dyDescent="0.2">
      <c r="A62" s="65">
        <v>29402</v>
      </c>
      <c r="B62" s="71"/>
      <c r="C62" s="226"/>
    </row>
    <row r="63" spans="1:3" x14ac:dyDescent="0.2">
      <c r="A63" s="65">
        <v>29433</v>
      </c>
      <c r="B63" s="71"/>
      <c r="C63" s="226"/>
    </row>
    <row r="64" spans="1:3" x14ac:dyDescent="0.2">
      <c r="A64" s="65">
        <v>29464</v>
      </c>
      <c r="B64" s="71"/>
      <c r="C64" s="226"/>
    </row>
    <row r="65" spans="1:3" x14ac:dyDescent="0.2">
      <c r="A65" s="65">
        <v>29494</v>
      </c>
      <c r="B65" s="71"/>
      <c r="C65" s="226"/>
    </row>
    <row r="66" spans="1:3" x14ac:dyDescent="0.2">
      <c r="A66" s="65">
        <v>29525</v>
      </c>
      <c r="B66" s="71"/>
      <c r="C66" s="226"/>
    </row>
    <row r="67" spans="1:3" x14ac:dyDescent="0.2">
      <c r="A67" s="65">
        <v>29555</v>
      </c>
      <c r="B67" s="71"/>
      <c r="C67" s="226"/>
    </row>
    <row r="68" spans="1:3" x14ac:dyDescent="0.2">
      <c r="A68" s="65">
        <v>29586</v>
      </c>
      <c r="B68" s="71"/>
      <c r="C68" s="226"/>
    </row>
    <row r="69" spans="1:3" x14ac:dyDescent="0.2">
      <c r="A69" s="65">
        <v>29617</v>
      </c>
      <c r="B69" s="71"/>
      <c r="C69" s="226"/>
    </row>
    <row r="70" spans="1:3" x14ac:dyDescent="0.2">
      <c r="A70" s="65">
        <v>29645</v>
      </c>
      <c r="B70" s="71"/>
      <c r="C70" s="226"/>
    </row>
    <row r="71" spans="1:3" x14ac:dyDescent="0.2">
      <c r="A71" s="65">
        <v>29676</v>
      </c>
      <c r="B71" s="71"/>
      <c r="C71" s="226"/>
    </row>
    <row r="72" spans="1:3" x14ac:dyDescent="0.2">
      <c r="A72" s="65">
        <v>29706</v>
      </c>
      <c r="B72" s="71"/>
      <c r="C72" s="226"/>
    </row>
    <row r="73" spans="1:3" x14ac:dyDescent="0.2">
      <c r="A73" s="65">
        <v>29737</v>
      </c>
      <c r="B73" s="71"/>
      <c r="C73" s="226"/>
    </row>
    <row r="74" spans="1:3" x14ac:dyDescent="0.2">
      <c r="A74" s="65">
        <v>29767</v>
      </c>
      <c r="B74" s="71"/>
      <c r="C74" s="226"/>
    </row>
    <row r="75" spans="1:3" x14ac:dyDescent="0.2">
      <c r="A75" s="65">
        <v>29798</v>
      </c>
      <c r="B75" s="71"/>
      <c r="C75" s="226"/>
    </row>
    <row r="76" spans="1:3" x14ac:dyDescent="0.2">
      <c r="A76" s="65">
        <v>29829</v>
      </c>
      <c r="B76" s="71"/>
      <c r="C76" s="226"/>
    </row>
    <row r="77" spans="1:3" x14ac:dyDescent="0.2">
      <c r="A77" s="65">
        <v>29859</v>
      </c>
      <c r="B77" s="71"/>
      <c r="C77" s="226"/>
    </row>
    <row r="78" spans="1:3" x14ac:dyDescent="0.2">
      <c r="A78" s="65">
        <v>29890</v>
      </c>
      <c r="B78" s="71"/>
      <c r="C78" s="226"/>
    </row>
    <row r="79" spans="1:3" x14ac:dyDescent="0.2">
      <c r="A79" s="65">
        <v>29920</v>
      </c>
      <c r="B79" s="71"/>
      <c r="C79" s="226"/>
    </row>
    <row r="80" spans="1:3" x14ac:dyDescent="0.2">
      <c r="A80" s="65">
        <v>29951</v>
      </c>
      <c r="B80" s="71"/>
      <c r="C80" s="226"/>
    </row>
    <row r="81" spans="1:3" x14ac:dyDescent="0.2">
      <c r="A81" s="65">
        <v>29982</v>
      </c>
      <c r="B81" s="71"/>
      <c r="C81" s="226"/>
    </row>
    <row r="82" spans="1:3" x14ac:dyDescent="0.2">
      <c r="A82" s="65">
        <v>30010</v>
      </c>
      <c r="B82" s="71"/>
      <c r="C82" s="226"/>
    </row>
    <row r="83" spans="1:3" x14ac:dyDescent="0.2">
      <c r="A83" s="65">
        <v>30041</v>
      </c>
      <c r="B83" s="71"/>
      <c r="C83" s="226"/>
    </row>
    <row r="84" spans="1:3" x14ac:dyDescent="0.2">
      <c r="A84" s="65">
        <v>30071</v>
      </c>
      <c r="B84" s="71"/>
      <c r="C84" s="226"/>
    </row>
    <row r="85" spans="1:3" x14ac:dyDescent="0.2">
      <c r="A85" s="65">
        <v>30102</v>
      </c>
      <c r="B85" s="71"/>
      <c r="C85" s="226"/>
    </row>
    <row r="86" spans="1:3" x14ac:dyDescent="0.2">
      <c r="A86" s="65">
        <v>30132</v>
      </c>
      <c r="B86" s="71"/>
      <c r="C86" s="226"/>
    </row>
    <row r="87" spans="1:3" x14ac:dyDescent="0.2">
      <c r="A87" s="65">
        <v>30163</v>
      </c>
      <c r="B87" s="71"/>
      <c r="C87" s="226"/>
    </row>
    <row r="88" spans="1:3" x14ac:dyDescent="0.2">
      <c r="A88" s="65">
        <v>30194</v>
      </c>
      <c r="B88" s="71"/>
      <c r="C88" s="226"/>
    </row>
    <row r="89" spans="1:3" x14ac:dyDescent="0.2">
      <c r="A89" s="65">
        <v>30224</v>
      </c>
      <c r="B89" s="71"/>
      <c r="C89" s="226"/>
    </row>
    <row r="90" spans="1:3" x14ac:dyDescent="0.2">
      <c r="A90" s="65">
        <v>30255</v>
      </c>
      <c r="B90" s="71"/>
      <c r="C90" s="226"/>
    </row>
    <row r="91" spans="1:3" x14ac:dyDescent="0.2">
      <c r="A91" s="65">
        <v>30285</v>
      </c>
      <c r="B91" s="71"/>
      <c r="C91" s="226"/>
    </row>
    <row r="92" spans="1:3" x14ac:dyDescent="0.2">
      <c r="A92" s="65">
        <v>30316</v>
      </c>
      <c r="B92" s="71"/>
      <c r="C92" s="226"/>
    </row>
    <row r="93" spans="1:3" x14ac:dyDescent="0.2">
      <c r="A93" s="65">
        <v>30347</v>
      </c>
      <c r="B93" s="71"/>
      <c r="C93" s="226"/>
    </row>
    <row r="94" spans="1:3" x14ac:dyDescent="0.2">
      <c r="A94" s="65">
        <v>30375</v>
      </c>
      <c r="B94" s="71"/>
      <c r="C94" s="226"/>
    </row>
    <row r="95" spans="1:3" x14ac:dyDescent="0.2">
      <c r="A95" s="65">
        <v>30406</v>
      </c>
      <c r="B95" s="71"/>
      <c r="C95" s="226"/>
    </row>
    <row r="96" spans="1:3" x14ac:dyDescent="0.2">
      <c r="A96" s="65">
        <v>30436</v>
      </c>
      <c r="B96" s="71"/>
      <c r="C96" s="226"/>
    </row>
    <row r="97" spans="1:3" x14ac:dyDescent="0.2">
      <c r="A97" s="65">
        <v>30467</v>
      </c>
      <c r="B97" s="71"/>
      <c r="C97" s="226"/>
    </row>
    <row r="98" spans="1:3" x14ac:dyDescent="0.2">
      <c r="A98" s="65">
        <v>30497</v>
      </c>
      <c r="B98" s="71"/>
      <c r="C98" s="226"/>
    </row>
    <row r="99" spans="1:3" x14ac:dyDescent="0.2">
      <c r="A99" s="65">
        <v>30528</v>
      </c>
      <c r="B99" s="71"/>
      <c r="C99" s="226"/>
    </row>
    <row r="100" spans="1:3" x14ac:dyDescent="0.2">
      <c r="A100" s="65">
        <v>30559</v>
      </c>
      <c r="B100" s="71"/>
      <c r="C100" s="226"/>
    </row>
    <row r="101" spans="1:3" x14ac:dyDescent="0.2">
      <c r="A101" s="65">
        <v>30589</v>
      </c>
      <c r="B101" s="71"/>
      <c r="C101" s="226"/>
    </row>
    <row r="102" spans="1:3" x14ac:dyDescent="0.2">
      <c r="A102" s="65">
        <v>30620</v>
      </c>
      <c r="B102" s="71"/>
      <c r="C102" s="226"/>
    </row>
    <row r="103" spans="1:3" x14ac:dyDescent="0.2">
      <c r="A103" s="65">
        <v>30650</v>
      </c>
      <c r="B103" s="71"/>
      <c r="C103" s="226"/>
    </row>
    <row r="104" spans="1:3" x14ac:dyDescent="0.2">
      <c r="A104" s="65">
        <v>30681</v>
      </c>
      <c r="B104" s="71"/>
      <c r="C104" s="226"/>
    </row>
    <row r="105" spans="1:3" x14ac:dyDescent="0.2">
      <c r="A105" s="65">
        <v>30712</v>
      </c>
      <c r="B105" s="71"/>
      <c r="C105" s="226"/>
    </row>
    <row r="106" spans="1:3" x14ac:dyDescent="0.2">
      <c r="A106" s="65">
        <v>30741</v>
      </c>
      <c r="B106" s="71"/>
      <c r="C106" s="226"/>
    </row>
    <row r="107" spans="1:3" x14ac:dyDescent="0.2">
      <c r="A107" s="65">
        <v>30772</v>
      </c>
      <c r="B107" s="71"/>
      <c r="C107" s="226"/>
    </row>
    <row r="108" spans="1:3" x14ac:dyDescent="0.2">
      <c r="A108" s="65">
        <v>30802</v>
      </c>
      <c r="B108" s="71"/>
      <c r="C108" s="226"/>
    </row>
    <row r="109" spans="1:3" x14ac:dyDescent="0.2">
      <c r="A109" s="65">
        <v>30833</v>
      </c>
      <c r="B109" s="71"/>
      <c r="C109" s="226"/>
    </row>
    <row r="110" spans="1:3" x14ac:dyDescent="0.2">
      <c r="A110" s="65">
        <v>30863</v>
      </c>
      <c r="B110" s="71"/>
      <c r="C110" s="226"/>
    </row>
    <row r="111" spans="1:3" x14ac:dyDescent="0.2">
      <c r="A111" s="65">
        <v>30894</v>
      </c>
      <c r="B111" s="71"/>
      <c r="C111" s="226"/>
    </row>
    <row r="112" spans="1:3" x14ac:dyDescent="0.2">
      <c r="A112" s="65">
        <v>30925</v>
      </c>
      <c r="B112" s="71"/>
      <c r="C112" s="226"/>
    </row>
    <row r="113" spans="1:3" x14ac:dyDescent="0.2">
      <c r="A113" s="65">
        <v>30955</v>
      </c>
      <c r="B113" s="71"/>
      <c r="C113" s="226"/>
    </row>
    <row r="114" spans="1:3" x14ac:dyDescent="0.2">
      <c r="A114" s="65">
        <v>30986</v>
      </c>
      <c r="B114" s="71"/>
      <c r="C114" s="226"/>
    </row>
    <row r="115" spans="1:3" x14ac:dyDescent="0.2">
      <c r="A115" s="65">
        <v>31016</v>
      </c>
      <c r="B115" s="71"/>
      <c r="C115" s="226"/>
    </row>
    <row r="116" spans="1:3" x14ac:dyDescent="0.2">
      <c r="A116" s="65">
        <v>31047</v>
      </c>
      <c r="B116" s="71"/>
      <c r="C116" s="226"/>
    </row>
    <row r="117" spans="1:3" x14ac:dyDescent="0.2">
      <c r="A117" s="65">
        <v>31078</v>
      </c>
      <c r="B117" s="71"/>
      <c r="C117" s="226"/>
    </row>
    <row r="118" spans="1:3" x14ac:dyDescent="0.2">
      <c r="A118" s="65">
        <v>31106</v>
      </c>
      <c r="B118" s="71"/>
      <c r="C118" s="226"/>
    </row>
    <row r="119" spans="1:3" x14ac:dyDescent="0.2">
      <c r="A119" s="65">
        <v>31137</v>
      </c>
      <c r="B119" s="71"/>
      <c r="C119" s="226"/>
    </row>
    <row r="120" spans="1:3" x14ac:dyDescent="0.2">
      <c r="A120" s="65">
        <v>31167</v>
      </c>
      <c r="B120" s="71"/>
      <c r="C120" s="226"/>
    </row>
    <row r="121" spans="1:3" x14ac:dyDescent="0.2">
      <c r="A121" s="65">
        <v>31198</v>
      </c>
      <c r="B121" s="71"/>
      <c r="C121" s="226"/>
    </row>
    <row r="122" spans="1:3" x14ac:dyDescent="0.2">
      <c r="A122" s="65">
        <v>31228</v>
      </c>
      <c r="B122" s="71"/>
      <c r="C122" s="226"/>
    </row>
    <row r="123" spans="1:3" x14ac:dyDescent="0.2">
      <c r="A123" s="65">
        <v>31259</v>
      </c>
      <c r="B123" s="71"/>
      <c r="C123" s="226"/>
    </row>
    <row r="124" spans="1:3" x14ac:dyDescent="0.2">
      <c r="A124" s="65">
        <v>31290</v>
      </c>
      <c r="B124" s="71"/>
      <c r="C124" s="226"/>
    </row>
    <row r="125" spans="1:3" x14ac:dyDescent="0.2">
      <c r="A125" s="65">
        <v>31320</v>
      </c>
      <c r="B125" s="71"/>
      <c r="C125" s="226"/>
    </row>
    <row r="126" spans="1:3" x14ac:dyDescent="0.2">
      <c r="A126" s="65">
        <v>31351</v>
      </c>
      <c r="B126" s="71"/>
      <c r="C126" s="226"/>
    </row>
    <row r="127" spans="1:3" x14ac:dyDescent="0.2">
      <c r="A127" s="65">
        <v>31381</v>
      </c>
      <c r="B127" s="71"/>
      <c r="C127" s="226"/>
    </row>
    <row r="128" spans="1:3" x14ac:dyDescent="0.2">
      <c r="A128" s="65">
        <v>31412</v>
      </c>
      <c r="B128" s="71"/>
      <c r="C128" s="226"/>
    </row>
    <row r="129" spans="1:3" x14ac:dyDescent="0.2">
      <c r="A129" s="65">
        <v>31443</v>
      </c>
      <c r="B129" s="71"/>
      <c r="C129" s="226"/>
    </row>
    <row r="130" spans="1:3" x14ac:dyDescent="0.2">
      <c r="A130" s="65">
        <v>31471</v>
      </c>
      <c r="B130" s="71"/>
      <c r="C130" s="226"/>
    </row>
    <row r="131" spans="1:3" x14ac:dyDescent="0.2">
      <c r="A131" s="65">
        <v>31502</v>
      </c>
      <c r="B131" s="71"/>
      <c r="C131" s="226"/>
    </row>
    <row r="132" spans="1:3" x14ac:dyDescent="0.2">
      <c r="A132" s="65">
        <v>31532</v>
      </c>
      <c r="B132" s="71"/>
      <c r="C132" s="226"/>
    </row>
    <row r="133" spans="1:3" x14ac:dyDescent="0.2">
      <c r="A133" s="65">
        <v>31563</v>
      </c>
      <c r="B133" s="71"/>
      <c r="C133" s="226"/>
    </row>
    <row r="134" spans="1:3" x14ac:dyDescent="0.2">
      <c r="A134" s="65">
        <v>31593</v>
      </c>
      <c r="B134" s="71"/>
      <c r="C134" s="226"/>
    </row>
    <row r="135" spans="1:3" x14ac:dyDescent="0.2">
      <c r="A135" s="65">
        <v>31624</v>
      </c>
      <c r="B135" s="71"/>
      <c r="C135" s="226"/>
    </row>
    <row r="136" spans="1:3" x14ac:dyDescent="0.2">
      <c r="A136" s="65">
        <v>31655</v>
      </c>
      <c r="B136" s="71"/>
      <c r="C136" s="226"/>
    </row>
    <row r="137" spans="1:3" x14ac:dyDescent="0.2">
      <c r="A137" s="65">
        <v>31685</v>
      </c>
      <c r="B137" s="71"/>
      <c r="C137" s="226"/>
    </row>
    <row r="138" spans="1:3" x14ac:dyDescent="0.2">
      <c r="A138" s="65">
        <v>31716</v>
      </c>
      <c r="B138" s="71"/>
      <c r="C138" s="226"/>
    </row>
    <row r="139" spans="1:3" x14ac:dyDescent="0.2">
      <c r="A139" s="65">
        <v>31746</v>
      </c>
      <c r="B139" s="71"/>
      <c r="C139" s="226"/>
    </row>
    <row r="140" spans="1:3" x14ac:dyDescent="0.2">
      <c r="A140" s="65">
        <v>31777</v>
      </c>
      <c r="B140" s="71"/>
      <c r="C140" s="226"/>
    </row>
    <row r="141" spans="1:3" x14ac:dyDescent="0.2">
      <c r="A141" s="65">
        <v>31808</v>
      </c>
      <c r="B141" s="71"/>
      <c r="C141" s="226"/>
    </row>
    <row r="142" spans="1:3" x14ac:dyDescent="0.2">
      <c r="A142" s="65">
        <v>31836</v>
      </c>
      <c r="B142" s="71"/>
      <c r="C142" s="226"/>
    </row>
    <row r="143" spans="1:3" x14ac:dyDescent="0.2">
      <c r="A143" s="65">
        <v>31867</v>
      </c>
      <c r="B143" s="71"/>
      <c r="C143" s="226"/>
    </row>
    <row r="144" spans="1:3" x14ac:dyDescent="0.2">
      <c r="A144" s="65">
        <v>31897</v>
      </c>
      <c r="B144" s="71"/>
      <c r="C144" s="226"/>
    </row>
    <row r="145" spans="1:3" x14ac:dyDescent="0.2">
      <c r="A145" s="65">
        <v>31928</v>
      </c>
      <c r="B145" s="71"/>
      <c r="C145" s="226"/>
    </row>
    <row r="146" spans="1:3" x14ac:dyDescent="0.2">
      <c r="A146" s="65">
        <v>31958</v>
      </c>
      <c r="B146" s="71"/>
      <c r="C146" s="226"/>
    </row>
    <row r="147" spans="1:3" x14ac:dyDescent="0.2">
      <c r="A147" s="65">
        <v>31989</v>
      </c>
      <c r="B147" s="71"/>
      <c r="C147" s="226"/>
    </row>
    <row r="148" spans="1:3" x14ac:dyDescent="0.2">
      <c r="A148" s="65">
        <v>32020</v>
      </c>
      <c r="B148" s="71"/>
      <c r="C148" s="226"/>
    </row>
    <row r="149" spans="1:3" x14ac:dyDescent="0.2">
      <c r="A149" s="65">
        <v>32050</v>
      </c>
      <c r="B149" s="71"/>
      <c r="C149" s="226"/>
    </row>
    <row r="150" spans="1:3" x14ac:dyDescent="0.2">
      <c r="A150" s="65">
        <v>32081</v>
      </c>
      <c r="B150" s="71"/>
      <c r="C150" s="226"/>
    </row>
    <row r="151" spans="1:3" x14ac:dyDescent="0.2">
      <c r="A151" s="65">
        <v>32111</v>
      </c>
      <c r="B151" s="71"/>
      <c r="C151" s="226"/>
    </row>
    <row r="152" spans="1:3" x14ac:dyDescent="0.2">
      <c r="A152" s="65">
        <v>32142</v>
      </c>
      <c r="B152" s="71"/>
      <c r="C152" s="226"/>
    </row>
    <row r="153" spans="1:3" x14ac:dyDescent="0.2">
      <c r="A153" s="65">
        <v>32173</v>
      </c>
      <c r="B153" s="71"/>
      <c r="C153" s="226"/>
    </row>
    <row r="154" spans="1:3" x14ac:dyDescent="0.2">
      <c r="A154" s="65">
        <v>32202</v>
      </c>
      <c r="B154" s="71"/>
      <c r="C154" s="226"/>
    </row>
    <row r="155" spans="1:3" x14ac:dyDescent="0.2">
      <c r="A155" s="65">
        <v>32233</v>
      </c>
      <c r="B155" s="71"/>
      <c r="C155" s="226"/>
    </row>
    <row r="156" spans="1:3" x14ac:dyDescent="0.2">
      <c r="A156" s="65">
        <v>32263</v>
      </c>
      <c r="B156" s="71"/>
      <c r="C156" s="226"/>
    </row>
    <row r="157" spans="1:3" x14ac:dyDescent="0.2">
      <c r="A157" s="65">
        <v>32294</v>
      </c>
      <c r="B157" s="71"/>
      <c r="C157" s="226"/>
    </row>
    <row r="158" spans="1:3" x14ac:dyDescent="0.2">
      <c r="A158" s="65">
        <v>32324</v>
      </c>
      <c r="B158" s="71"/>
      <c r="C158" s="226"/>
    </row>
    <row r="159" spans="1:3" x14ac:dyDescent="0.2">
      <c r="A159" s="65">
        <v>32355</v>
      </c>
      <c r="B159" s="71"/>
      <c r="C159" s="226"/>
    </row>
    <row r="160" spans="1:3" x14ac:dyDescent="0.2">
      <c r="A160" s="65">
        <v>32386</v>
      </c>
      <c r="B160" s="71"/>
      <c r="C160" s="226"/>
    </row>
    <row r="161" spans="1:3" x14ac:dyDescent="0.2">
      <c r="A161" s="65">
        <v>32416</v>
      </c>
      <c r="B161" s="71"/>
      <c r="C161" s="226"/>
    </row>
    <row r="162" spans="1:3" x14ac:dyDescent="0.2">
      <c r="A162" s="65">
        <v>32447</v>
      </c>
      <c r="B162" s="71"/>
      <c r="C162" s="226"/>
    </row>
    <row r="163" spans="1:3" x14ac:dyDescent="0.2">
      <c r="A163" s="65">
        <v>32477</v>
      </c>
      <c r="B163" s="71"/>
      <c r="C163" s="226"/>
    </row>
    <row r="164" spans="1:3" x14ac:dyDescent="0.2">
      <c r="A164" s="65">
        <v>32508</v>
      </c>
      <c r="B164" s="71"/>
      <c r="C164" s="226"/>
    </row>
    <row r="165" spans="1:3" x14ac:dyDescent="0.2">
      <c r="A165" s="65">
        <v>32539</v>
      </c>
      <c r="B165" s="71"/>
      <c r="C165" s="226"/>
    </row>
    <row r="166" spans="1:3" x14ac:dyDescent="0.2">
      <c r="A166" s="65">
        <v>32567</v>
      </c>
      <c r="B166" s="71"/>
      <c r="C166" s="226"/>
    </row>
    <row r="167" spans="1:3" x14ac:dyDescent="0.2">
      <c r="A167" s="65">
        <v>32598</v>
      </c>
      <c r="B167" s="71"/>
      <c r="C167" s="226"/>
    </row>
    <row r="168" spans="1:3" x14ac:dyDescent="0.2">
      <c r="A168" s="65">
        <v>32628</v>
      </c>
      <c r="B168" s="71"/>
      <c r="C168" s="226"/>
    </row>
    <row r="169" spans="1:3" x14ac:dyDescent="0.2">
      <c r="A169" s="65">
        <v>32659</v>
      </c>
      <c r="B169" s="71"/>
      <c r="C169" s="226"/>
    </row>
    <row r="170" spans="1:3" x14ac:dyDescent="0.2">
      <c r="A170" s="65">
        <v>32689</v>
      </c>
      <c r="B170" s="71"/>
      <c r="C170" s="226"/>
    </row>
    <row r="171" spans="1:3" x14ac:dyDescent="0.2">
      <c r="A171" s="65">
        <v>32720</v>
      </c>
      <c r="B171" s="71"/>
      <c r="C171" s="226"/>
    </row>
    <row r="172" spans="1:3" x14ac:dyDescent="0.2">
      <c r="A172" s="65">
        <v>32751</v>
      </c>
      <c r="B172" s="71"/>
      <c r="C172" s="226"/>
    </row>
    <row r="173" spans="1:3" x14ac:dyDescent="0.2">
      <c r="A173" s="65">
        <v>32781</v>
      </c>
      <c r="B173" s="71"/>
      <c r="C173" s="226"/>
    </row>
    <row r="174" spans="1:3" x14ac:dyDescent="0.2">
      <c r="A174" s="65">
        <v>32812</v>
      </c>
      <c r="B174" s="71"/>
      <c r="C174" s="226"/>
    </row>
    <row r="175" spans="1:3" x14ac:dyDescent="0.2">
      <c r="A175" s="65">
        <v>32842</v>
      </c>
      <c r="B175" s="71"/>
      <c r="C175" s="226"/>
    </row>
    <row r="176" spans="1:3" x14ac:dyDescent="0.2">
      <c r="A176" s="65">
        <v>32873</v>
      </c>
      <c r="B176" s="71"/>
      <c r="C176" s="226"/>
    </row>
    <row r="177" spans="1:3" x14ac:dyDescent="0.2">
      <c r="A177" s="65">
        <v>32904</v>
      </c>
      <c r="B177" s="71"/>
      <c r="C177" s="226"/>
    </row>
    <row r="178" spans="1:3" x14ac:dyDescent="0.2">
      <c r="A178" s="65">
        <v>32932</v>
      </c>
      <c r="B178" s="71"/>
      <c r="C178" s="226"/>
    </row>
    <row r="179" spans="1:3" x14ac:dyDescent="0.2">
      <c r="A179" s="65">
        <v>32963</v>
      </c>
      <c r="B179" s="71"/>
      <c r="C179" s="226"/>
    </row>
    <row r="180" spans="1:3" x14ac:dyDescent="0.2">
      <c r="A180" s="65">
        <v>32993</v>
      </c>
      <c r="B180" s="71"/>
      <c r="C180" s="226"/>
    </row>
    <row r="181" spans="1:3" x14ac:dyDescent="0.2">
      <c r="A181" s="65">
        <v>33024</v>
      </c>
      <c r="B181" s="71"/>
      <c r="C181" s="226"/>
    </row>
    <row r="182" spans="1:3" x14ac:dyDescent="0.2">
      <c r="A182" s="65">
        <v>33054</v>
      </c>
      <c r="B182" s="71"/>
      <c r="C182" s="226"/>
    </row>
    <row r="183" spans="1:3" x14ac:dyDescent="0.2">
      <c r="A183" s="65">
        <v>33085</v>
      </c>
      <c r="B183" s="71"/>
      <c r="C183" s="226"/>
    </row>
    <row r="184" spans="1:3" x14ac:dyDescent="0.2">
      <c r="A184" s="65">
        <v>33116</v>
      </c>
      <c r="B184" s="71"/>
      <c r="C184" s="226"/>
    </row>
    <row r="185" spans="1:3" x14ac:dyDescent="0.2">
      <c r="A185" s="65">
        <v>33146</v>
      </c>
      <c r="B185" s="71"/>
      <c r="C185" s="226"/>
    </row>
    <row r="186" spans="1:3" x14ac:dyDescent="0.2">
      <c r="A186" s="65">
        <v>33177</v>
      </c>
      <c r="B186" s="71"/>
      <c r="C186" s="226"/>
    </row>
    <row r="187" spans="1:3" x14ac:dyDescent="0.2">
      <c r="A187" s="65">
        <v>33207</v>
      </c>
      <c r="B187" s="71"/>
      <c r="C187" s="226"/>
    </row>
    <row r="188" spans="1:3" x14ac:dyDescent="0.2">
      <c r="A188" s="65">
        <v>33238</v>
      </c>
      <c r="B188" s="71"/>
      <c r="C188" s="226"/>
    </row>
    <row r="189" spans="1:3" x14ac:dyDescent="0.2">
      <c r="A189" s="65">
        <v>33269</v>
      </c>
      <c r="B189" s="71"/>
      <c r="C189" s="226"/>
    </row>
    <row r="190" spans="1:3" x14ac:dyDescent="0.2">
      <c r="A190" s="65">
        <v>33297</v>
      </c>
      <c r="B190" s="71"/>
      <c r="C190" s="226"/>
    </row>
    <row r="191" spans="1:3" x14ac:dyDescent="0.2">
      <c r="A191" s="65">
        <v>33328</v>
      </c>
      <c r="B191" s="71"/>
      <c r="C191" s="226"/>
    </row>
    <row r="192" spans="1:3" x14ac:dyDescent="0.2">
      <c r="A192" s="65">
        <v>33358</v>
      </c>
      <c r="B192" s="71"/>
      <c r="C192" s="226"/>
    </row>
    <row r="193" spans="1:3" x14ac:dyDescent="0.2">
      <c r="A193" s="65">
        <v>33389</v>
      </c>
      <c r="B193" s="71"/>
      <c r="C193" s="226"/>
    </row>
    <row r="194" spans="1:3" x14ac:dyDescent="0.2">
      <c r="A194" s="65">
        <v>33419</v>
      </c>
      <c r="B194" s="71"/>
      <c r="C194" s="226"/>
    </row>
    <row r="195" spans="1:3" x14ac:dyDescent="0.2">
      <c r="A195" s="65">
        <v>33450</v>
      </c>
      <c r="B195" s="71"/>
      <c r="C195" s="226"/>
    </row>
    <row r="196" spans="1:3" x14ac:dyDescent="0.2">
      <c r="A196" s="65">
        <v>33481</v>
      </c>
      <c r="B196" s="71"/>
      <c r="C196" s="226"/>
    </row>
    <row r="197" spans="1:3" x14ac:dyDescent="0.2">
      <c r="A197" s="65">
        <v>33511</v>
      </c>
      <c r="B197" s="71"/>
      <c r="C197" s="226"/>
    </row>
    <row r="198" spans="1:3" x14ac:dyDescent="0.2">
      <c r="A198" s="65">
        <v>33542</v>
      </c>
      <c r="B198" s="71"/>
      <c r="C198" s="226"/>
    </row>
    <row r="199" spans="1:3" x14ac:dyDescent="0.2">
      <c r="A199" s="65">
        <v>33572</v>
      </c>
      <c r="B199" s="71"/>
      <c r="C199" s="226"/>
    </row>
    <row r="200" spans="1:3" x14ac:dyDescent="0.2">
      <c r="A200" s="65">
        <v>33603</v>
      </c>
      <c r="B200" s="71"/>
      <c r="C200" s="226"/>
    </row>
    <row r="201" spans="1:3" x14ac:dyDescent="0.2">
      <c r="A201" s="65">
        <v>33634</v>
      </c>
      <c r="B201" s="71"/>
      <c r="C201" s="226"/>
    </row>
    <row r="202" spans="1:3" x14ac:dyDescent="0.2">
      <c r="A202" s="65">
        <v>33663</v>
      </c>
      <c r="B202" s="71"/>
      <c r="C202" s="226"/>
    </row>
    <row r="203" spans="1:3" x14ac:dyDescent="0.2">
      <c r="A203" s="65">
        <v>33694</v>
      </c>
      <c r="B203" s="71"/>
      <c r="C203" s="226"/>
    </row>
    <row r="204" spans="1:3" x14ac:dyDescent="0.2">
      <c r="A204" s="65">
        <v>33724</v>
      </c>
      <c r="B204" s="71"/>
      <c r="C204" s="226"/>
    </row>
    <row r="205" spans="1:3" x14ac:dyDescent="0.2">
      <c r="A205" s="65">
        <v>33755</v>
      </c>
      <c r="B205" s="71"/>
      <c r="C205" s="226"/>
    </row>
    <row r="206" spans="1:3" x14ac:dyDescent="0.2">
      <c r="A206" s="65">
        <v>33785</v>
      </c>
      <c r="B206" s="71"/>
      <c r="C206" s="226"/>
    </row>
    <row r="207" spans="1:3" x14ac:dyDescent="0.2">
      <c r="A207" s="65">
        <v>33816</v>
      </c>
      <c r="B207" s="71"/>
      <c r="C207" s="226"/>
    </row>
    <row r="208" spans="1:3" x14ac:dyDescent="0.2">
      <c r="A208" s="65">
        <v>33847</v>
      </c>
      <c r="B208" s="71"/>
      <c r="C208" s="226"/>
    </row>
    <row r="209" spans="1:3" x14ac:dyDescent="0.2">
      <c r="A209" s="65">
        <v>33877</v>
      </c>
      <c r="B209" s="71"/>
      <c r="C209" s="226"/>
    </row>
    <row r="210" spans="1:3" x14ac:dyDescent="0.2">
      <c r="A210" s="65">
        <v>33908</v>
      </c>
      <c r="B210" s="71"/>
      <c r="C210" s="226"/>
    </row>
    <row r="211" spans="1:3" x14ac:dyDescent="0.2">
      <c r="A211" s="65">
        <v>33938</v>
      </c>
      <c r="B211" s="71"/>
      <c r="C211" s="226"/>
    </row>
    <row r="212" spans="1:3" x14ac:dyDescent="0.2">
      <c r="A212" s="65">
        <v>33969</v>
      </c>
      <c r="B212" s="71"/>
      <c r="C212" s="226"/>
    </row>
    <row r="213" spans="1:3" x14ac:dyDescent="0.2">
      <c r="A213" s="65">
        <v>34000</v>
      </c>
      <c r="B213" s="71"/>
      <c r="C213" s="226"/>
    </row>
    <row r="214" spans="1:3" x14ac:dyDescent="0.2">
      <c r="A214" s="65">
        <v>34028</v>
      </c>
      <c r="B214" s="71"/>
      <c r="C214" s="226"/>
    </row>
    <row r="215" spans="1:3" x14ac:dyDescent="0.2">
      <c r="A215" s="65">
        <v>34059</v>
      </c>
      <c r="B215" s="71"/>
      <c r="C215" s="226"/>
    </row>
    <row r="216" spans="1:3" x14ac:dyDescent="0.2">
      <c r="A216" s="65">
        <v>34089</v>
      </c>
      <c r="B216" s="71"/>
      <c r="C216" s="226"/>
    </row>
    <row r="217" spans="1:3" x14ac:dyDescent="0.2">
      <c r="A217" s="65">
        <v>34120</v>
      </c>
      <c r="B217" s="71"/>
      <c r="C217" s="226"/>
    </row>
    <row r="218" spans="1:3" x14ac:dyDescent="0.2">
      <c r="A218" s="65">
        <v>34150</v>
      </c>
      <c r="B218" s="71"/>
      <c r="C218" s="226"/>
    </row>
    <row r="219" spans="1:3" x14ac:dyDescent="0.2">
      <c r="A219" s="65">
        <v>34181</v>
      </c>
      <c r="B219" s="71"/>
      <c r="C219" s="226"/>
    </row>
    <row r="220" spans="1:3" x14ac:dyDescent="0.2">
      <c r="A220" s="65">
        <v>34212</v>
      </c>
      <c r="B220" s="71"/>
      <c r="C220" s="226"/>
    </row>
    <row r="221" spans="1:3" x14ac:dyDescent="0.2">
      <c r="A221" s="65">
        <v>34242</v>
      </c>
      <c r="B221" s="71"/>
      <c r="C221" s="226"/>
    </row>
    <row r="222" spans="1:3" x14ac:dyDescent="0.2">
      <c r="A222" s="65">
        <v>34273</v>
      </c>
      <c r="B222" s="71"/>
      <c r="C222" s="226"/>
    </row>
    <row r="223" spans="1:3" x14ac:dyDescent="0.2">
      <c r="A223" s="65">
        <v>34303</v>
      </c>
      <c r="B223" s="71"/>
      <c r="C223" s="226"/>
    </row>
    <row r="224" spans="1:3" x14ac:dyDescent="0.2">
      <c r="A224" s="65">
        <v>34334</v>
      </c>
      <c r="B224" s="71"/>
      <c r="C224" s="226"/>
    </row>
    <row r="225" spans="1:3" x14ac:dyDescent="0.2">
      <c r="A225" s="65">
        <v>34365</v>
      </c>
      <c r="B225" s="71"/>
      <c r="C225" s="226"/>
    </row>
    <row r="226" spans="1:3" x14ac:dyDescent="0.2">
      <c r="A226" s="65">
        <v>34393</v>
      </c>
      <c r="B226" s="71"/>
      <c r="C226" s="226"/>
    </row>
    <row r="227" spans="1:3" x14ac:dyDescent="0.2">
      <c r="A227" s="65">
        <v>34424</v>
      </c>
      <c r="B227" s="71"/>
      <c r="C227" s="226"/>
    </row>
    <row r="228" spans="1:3" x14ac:dyDescent="0.2">
      <c r="A228" s="65">
        <v>34454</v>
      </c>
      <c r="B228" s="71"/>
      <c r="C228" s="226"/>
    </row>
    <row r="229" spans="1:3" x14ac:dyDescent="0.2">
      <c r="A229" s="65">
        <v>34485</v>
      </c>
      <c r="B229" s="71"/>
      <c r="C229" s="226"/>
    </row>
    <row r="230" spans="1:3" x14ac:dyDescent="0.2">
      <c r="A230" s="65">
        <v>34515</v>
      </c>
      <c r="B230" s="71"/>
      <c r="C230" s="226"/>
    </row>
    <row r="231" spans="1:3" x14ac:dyDescent="0.2">
      <c r="A231" s="65">
        <v>34546</v>
      </c>
      <c r="B231" s="71"/>
      <c r="C231" s="226"/>
    </row>
    <row r="232" spans="1:3" x14ac:dyDescent="0.2">
      <c r="A232" s="65">
        <v>34577</v>
      </c>
      <c r="B232" s="71"/>
      <c r="C232" s="226"/>
    </row>
    <row r="233" spans="1:3" x14ac:dyDescent="0.2">
      <c r="A233" s="65">
        <v>34607</v>
      </c>
      <c r="B233" s="71"/>
      <c r="C233" s="226"/>
    </row>
    <row r="234" spans="1:3" x14ac:dyDescent="0.2">
      <c r="A234" s="65">
        <v>34638</v>
      </c>
      <c r="B234" s="71"/>
      <c r="C234" s="226"/>
    </row>
    <row r="235" spans="1:3" x14ac:dyDescent="0.2">
      <c r="A235" s="65">
        <v>34668</v>
      </c>
      <c r="B235" s="71"/>
      <c r="C235" s="226"/>
    </row>
    <row r="236" spans="1:3" x14ac:dyDescent="0.2">
      <c r="A236" s="65">
        <v>34699</v>
      </c>
      <c r="B236" s="71"/>
      <c r="C236" s="226"/>
    </row>
    <row r="237" spans="1:3" x14ac:dyDescent="0.2">
      <c r="A237" s="65">
        <v>34730</v>
      </c>
      <c r="B237" s="71"/>
      <c r="C237" s="226"/>
    </row>
    <row r="238" spans="1:3" x14ac:dyDescent="0.2">
      <c r="A238" s="65">
        <v>34758</v>
      </c>
      <c r="B238" s="71"/>
      <c r="C238" s="226"/>
    </row>
    <row r="239" spans="1:3" x14ac:dyDescent="0.2">
      <c r="A239" s="65">
        <v>34789</v>
      </c>
      <c r="B239" s="71"/>
      <c r="C239" s="226"/>
    </row>
    <row r="240" spans="1:3" x14ac:dyDescent="0.2">
      <c r="A240" s="65">
        <v>34819</v>
      </c>
      <c r="B240" s="71"/>
      <c r="C240" s="226"/>
    </row>
    <row r="241" spans="1:3" x14ac:dyDescent="0.2">
      <c r="A241" s="65">
        <v>34850</v>
      </c>
      <c r="B241" s="71"/>
      <c r="C241" s="226"/>
    </row>
    <row r="242" spans="1:3" x14ac:dyDescent="0.2">
      <c r="A242" s="65">
        <v>34880</v>
      </c>
      <c r="B242" s="71"/>
      <c r="C242" s="226"/>
    </row>
    <row r="243" spans="1:3" x14ac:dyDescent="0.2">
      <c r="A243" s="65">
        <v>34911</v>
      </c>
      <c r="B243" s="71"/>
      <c r="C243" s="226"/>
    </row>
    <row r="244" spans="1:3" x14ac:dyDescent="0.2">
      <c r="A244" s="65">
        <v>34942</v>
      </c>
      <c r="B244" s="71"/>
      <c r="C244" s="226"/>
    </row>
    <row r="245" spans="1:3" x14ac:dyDescent="0.2">
      <c r="A245" s="65">
        <v>34972</v>
      </c>
      <c r="B245" s="71"/>
      <c r="C245" s="226"/>
    </row>
    <row r="246" spans="1:3" x14ac:dyDescent="0.2">
      <c r="A246" s="65">
        <v>35003</v>
      </c>
      <c r="B246" s="71"/>
      <c r="C246" s="226"/>
    </row>
    <row r="247" spans="1:3" x14ac:dyDescent="0.2">
      <c r="A247" s="65">
        <v>35033</v>
      </c>
      <c r="B247" s="71"/>
      <c r="C247" s="226"/>
    </row>
    <row r="248" spans="1:3" x14ac:dyDescent="0.2">
      <c r="A248" s="65">
        <v>35064</v>
      </c>
      <c r="B248" s="71"/>
      <c r="C248" s="226"/>
    </row>
    <row r="249" spans="1:3" x14ac:dyDescent="0.2">
      <c r="A249" s="65">
        <v>35095</v>
      </c>
      <c r="B249" s="71"/>
      <c r="C249" s="226"/>
    </row>
    <row r="250" spans="1:3" x14ac:dyDescent="0.2">
      <c r="A250" s="65">
        <v>35124</v>
      </c>
      <c r="B250" s="71"/>
      <c r="C250" s="226"/>
    </row>
    <row r="251" spans="1:3" x14ac:dyDescent="0.2">
      <c r="A251" s="65">
        <v>35155</v>
      </c>
      <c r="B251" s="71"/>
      <c r="C251" s="226"/>
    </row>
    <row r="252" spans="1:3" x14ac:dyDescent="0.2">
      <c r="A252" s="65">
        <v>35185</v>
      </c>
      <c r="B252" s="71"/>
      <c r="C252" s="226"/>
    </row>
    <row r="253" spans="1:3" x14ac:dyDescent="0.2">
      <c r="A253" s="65">
        <v>35216</v>
      </c>
      <c r="B253" s="71"/>
      <c r="C253" s="226"/>
    </row>
    <row r="254" spans="1:3" x14ac:dyDescent="0.2">
      <c r="A254" s="65">
        <v>35246</v>
      </c>
      <c r="B254" s="71"/>
      <c r="C254" s="226"/>
    </row>
    <row r="255" spans="1:3" x14ac:dyDescent="0.2">
      <c r="A255" s="65">
        <v>35277</v>
      </c>
      <c r="B255" s="71"/>
      <c r="C255" s="226"/>
    </row>
    <row r="256" spans="1:3" x14ac:dyDescent="0.2">
      <c r="A256" s="65">
        <v>35308</v>
      </c>
      <c r="B256" s="71"/>
      <c r="C256" s="226"/>
    </row>
    <row r="257" spans="1:3" x14ac:dyDescent="0.2">
      <c r="A257" s="65">
        <v>35338</v>
      </c>
      <c r="B257" s="71"/>
      <c r="C257" s="226"/>
    </row>
    <row r="258" spans="1:3" x14ac:dyDescent="0.2">
      <c r="A258" s="65">
        <v>35369</v>
      </c>
      <c r="B258" s="71"/>
      <c r="C258" s="226"/>
    </row>
    <row r="259" spans="1:3" x14ac:dyDescent="0.2">
      <c r="A259" s="65">
        <v>35399</v>
      </c>
      <c r="B259" s="71"/>
      <c r="C259" s="226"/>
    </row>
    <row r="260" spans="1:3" x14ac:dyDescent="0.2">
      <c r="A260" s="65">
        <v>35430</v>
      </c>
      <c r="B260" s="71"/>
      <c r="C260" s="226"/>
    </row>
    <row r="261" spans="1:3" x14ac:dyDescent="0.2">
      <c r="A261" s="65">
        <v>35461</v>
      </c>
      <c r="B261" s="71"/>
      <c r="C261" s="226"/>
    </row>
    <row r="262" spans="1:3" x14ac:dyDescent="0.2">
      <c r="A262" s="65">
        <v>35489</v>
      </c>
      <c r="B262" s="71"/>
      <c r="C262" s="226"/>
    </row>
    <row r="263" spans="1:3" x14ac:dyDescent="0.2">
      <c r="A263" s="65">
        <v>35520</v>
      </c>
      <c r="B263" s="71"/>
      <c r="C263" s="226"/>
    </row>
    <row r="264" spans="1:3" x14ac:dyDescent="0.2">
      <c r="A264" s="65">
        <v>35550</v>
      </c>
      <c r="B264" s="71"/>
      <c r="C264" s="226"/>
    </row>
    <row r="265" spans="1:3" x14ac:dyDescent="0.2">
      <c r="A265" s="65">
        <v>35581</v>
      </c>
      <c r="B265" s="71"/>
      <c r="C265" s="226"/>
    </row>
    <row r="266" spans="1:3" x14ac:dyDescent="0.2">
      <c r="A266" s="65">
        <v>35611</v>
      </c>
      <c r="B266" s="71"/>
      <c r="C266" s="226"/>
    </row>
    <row r="267" spans="1:3" x14ac:dyDescent="0.2">
      <c r="A267" s="65">
        <v>35642</v>
      </c>
      <c r="B267" s="71"/>
      <c r="C267" s="226"/>
    </row>
    <row r="268" spans="1:3" x14ac:dyDescent="0.2">
      <c r="A268" s="65">
        <v>35673</v>
      </c>
      <c r="B268" s="71"/>
      <c r="C268" s="226"/>
    </row>
    <row r="269" spans="1:3" x14ac:dyDescent="0.2">
      <c r="A269" s="65">
        <v>35703</v>
      </c>
      <c r="B269" s="71"/>
      <c r="C269" s="226"/>
    </row>
    <row r="270" spans="1:3" x14ac:dyDescent="0.2">
      <c r="A270" s="65">
        <v>35734</v>
      </c>
      <c r="B270" s="71"/>
      <c r="C270" s="226"/>
    </row>
    <row r="271" spans="1:3" x14ac:dyDescent="0.2">
      <c r="A271" s="65">
        <v>35764</v>
      </c>
      <c r="B271" s="71"/>
      <c r="C271" s="226"/>
    </row>
    <row r="272" spans="1:3" x14ac:dyDescent="0.2">
      <c r="A272" s="65">
        <v>35795</v>
      </c>
      <c r="B272" s="71"/>
      <c r="C272" s="226"/>
    </row>
    <row r="273" spans="1:3" x14ac:dyDescent="0.2">
      <c r="A273" s="65">
        <v>35826</v>
      </c>
      <c r="B273" s="71"/>
      <c r="C273" s="226"/>
    </row>
    <row r="274" spans="1:3" x14ac:dyDescent="0.2">
      <c r="A274" s="65">
        <v>35854</v>
      </c>
      <c r="B274" s="71"/>
      <c r="C274" s="226"/>
    </row>
    <row r="275" spans="1:3" x14ac:dyDescent="0.2">
      <c r="A275" s="65">
        <v>35885</v>
      </c>
      <c r="B275" s="71"/>
      <c r="C275" s="226"/>
    </row>
    <row r="276" spans="1:3" x14ac:dyDescent="0.2">
      <c r="A276" s="65">
        <v>35915</v>
      </c>
      <c r="B276" s="71"/>
      <c r="C276" s="226"/>
    </row>
    <row r="277" spans="1:3" x14ac:dyDescent="0.2">
      <c r="A277" s="65">
        <v>35946</v>
      </c>
      <c r="B277" s="71"/>
      <c r="C277" s="226"/>
    </row>
    <row r="278" spans="1:3" x14ac:dyDescent="0.2">
      <c r="A278" s="65">
        <v>35976</v>
      </c>
      <c r="B278" s="71"/>
      <c r="C278" s="226"/>
    </row>
    <row r="279" spans="1:3" x14ac:dyDescent="0.2">
      <c r="A279" s="65">
        <v>36007</v>
      </c>
      <c r="B279" s="71"/>
      <c r="C279" s="226"/>
    </row>
    <row r="280" spans="1:3" x14ac:dyDescent="0.2">
      <c r="A280" s="65">
        <v>36038</v>
      </c>
      <c r="B280" s="71"/>
      <c r="C280" s="226"/>
    </row>
    <row r="281" spans="1:3" x14ac:dyDescent="0.2">
      <c r="A281" s="65">
        <v>36068</v>
      </c>
      <c r="B281" s="71"/>
      <c r="C281" s="226"/>
    </row>
    <row r="282" spans="1:3" x14ac:dyDescent="0.2">
      <c r="A282" s="65">
        <v>36099</v>
      </c>
      <c r="B282" s="71"/>
      <c r="C282" s="226"/>
    </row>
    <row r="283" spans="1:3" x14ac:dyDescent="0.2">
      <c r="A283" s="65">
        <v>36129</v>
      </c>
      <c r="B283" s="71"/>
      <c r="C283" s="226"/>
    </row>
    <row r="284" spans="1:3" x14ac:dyDescent="0.2">
      <c r="A284" s="65">
        <v>36160</v>
      </c>
      <c r="B284" s="71"/>
      <c r="C284" s="226"/>
    </row>
    <row r="285" spans="1:3" x14ac:dyDescent="0.2">
      <c r="A285" s="65">
        <v>36191</v>
      </c>
      <c r="B285" s="71"/>
      <c r="C285" s="226"/>
    </row>
    <row r="286" spans="1:3" x14ac:dyDescent="0.2">
      <c r="A286" s="65">
        <v>36219</v>
      </c>
      <c r="B286" s="71"/>
      <c r="C286" s="226"/>
    </row>
    <row r="287" spans="1:3" x14ac:dyDescent="0.2">
      <c r="A287" s="65">
        <v>36250</v>
      </c>
      <c r="B287" s="71"/>
      <c r="C287" s="226"/>
    </row>
    <row r="288" spans="1:3" x14ac:dyDescent="0.2">
      <c r="A288" s="65">
        <v>36280</v>
      </c>
      <c r="B288" s="71"/>
      <c r="C288" s="226"/>
    </row>
    <row r="289" spans="1:3" x14ac:dyDescent="0.2">
      <c r="A289" s="65">
        <v>36311</v>
      </c>
      <c r="B289" s="71"/>
      <c r="C289" s="226"/>
    </row>
    <row r="290" spans="1:3" x14ac:dyDescent="0.2">
      <c r="A290" s="65">
        <v>36341</v>
      </c>
      <c r="B290" s="71"/>
      <c r="C290" s="226"/>
    </row>
    <row r="291" spans="1:3" x14ac:dyDescent="0.2">
      <c r="A291" s="65">
        <v>36372</v>
      </c>
      <c r="B291" s="71"/>
      <c r="C291" s="226"/>
    </row>
    <row r="292" spans="1:3" x14ac:dyDescent="0.2">
      <c r="A292" s="65">
        <v>36403</v>
      </c>
      <c r="B292" s="71"/>
      <c r="C292" s="226"/>
    </row>
    <row r="293" spans="1:3" x14ac:dyDescent="0.2">
      <c r="A293" s="65">
        <v>36433</v>
      </c>
      <c r="B293" s="71"/>
      <c r="C293" s="226"/>
    </row>
    <row r="294" spans="1:3" x14ac:dyDescent="0.2">
      <c r="A294" s="65">
        <v>36464</v>
      </c>
      <c r="B294" s="71"/>
      <c r="C294" s="226"/>
    </row>
    <row r="295" spans="1:3" x14ac:dyDescent="0.2">
      <c r="A295" s="65">
        <v>36494</v>
      </c>
      <c r="B295" s="71"/>
      <c r="C295" s="226"/>
    </row>
    <row r="296" spans="1:3" x14ac:dyDescent="0.2">
      <c r="A296" s="65">
        <v>36525</v>
      </c>
      <c r="B296" s="71"/>
      <c r="C296" s="226"/>
    </row>
    <row r="297" spans="1:3" x14ac:dyDescent="0.2">
      <c r="A297" s="65">
        <v>36556</v>
      </c>
      <c r="B297" s="71"/>
      <c r="C297" s="226"/>
    </row>
    <row r="298" spans="1:3" x14ac:dyDescent="0.2">
      <c r="A298" s="65">
        <v>36585</v>
      </c>
      <c r="B298" s="71"/>
      <c r="C298" s="226"/>
    </row>
    <row r="299" spans="1:3" x14ac:dyDescent="0.2">
      <c r="A299" s="65">
        <v>36616</v>
      </c>
      <c r="B299" s="71"/>
      <c r="C299" s="226"/>
    </row>
    <row r="300" spans="1:3" x14ac:dyDescent="0.2">
      <c r="A300" s="65">
        <v>36646</v>
      </c>
      <c r="B300" s="71"/>
      <c r="C300" s="226"/>
    </row>
    <row r="301" spans="1:3" x14ac:dyDescent="0.2">
      <c r="A301" s="65">
        <v>36677</v>
      </c>
      <c r="B301" s="71"/>
      <c r="C301" s="226"/>
    </row>
    <row r="302" spans="1:3" x14ac:dyDescent="0.2">
      <c r="A302" s="65">
        <v>36707</v>
      </c>
      <c r="B302" s="71"/>
      <c r="C302" s="226"/>
    </row>
    <row r="303" spans="1:3" x14ac:dyDescent="0.2">
      <c r="A303" s="65">
        <v>36738</v>
      </c>
      <c r="B303" s="71"/>
      <c r="C303" s="226"/>
    </row>
    <row r="304" spans="1:3" x14ac:dyDescent="0.2">
      <c r="A304" s="65">
        <v>36769</v>
      </c>
      <c r="B304" s="71"/>
      <c r="C304" s="226"/>
    </row>
    <row r="305" spans="1:3" x14ac:dyDescent="0.2">
      <c r="A305" s="65">
        <v>36799</v>
      </c>
      <c r="B305" s="71"/>
      <c r="C305" s="226"/>
    </row>
    <row r="306" spans="1:3" x14ac:dyDescent="0.2">
      <c r="A306" s="65">
        <v>36830</v>
      </c>
      <c r="B306" s="71"/>
      <c r="C306" s="226"/>
    </row>
    <row r="307" spans="1:3" x14ac:dyDescent="0.2">
      <c r="A307" s="65">
        <v>36860</v>
      </c>
      <c r="B307" s="71"/>
      <c r="C307" s="226"/>
    </row>
    <row r="308" spans="1:3" x14ac:dyDescent="0.2">
      <c r="A308" s="65">
        <v>36891</v>
      </c>
      <c r="B308" s="71"/>
      <c r="C308" s="226"/>
    </row>
    <row r="309" spans="1:3" x14ac:dyDescent="0.2">
      <c r="A309" s="65">
        <v>36922</v>
      </c>
      <c r="B309" s="71"/>
      <c r="C309" s="226"/>
    </row>
    <row r="310" spans="1:3" x14ac:dyDescent="0.2">
      <c r="A310" s="65">
        <v>36950</v>
      </c>
      <c r="B310" s="71"/>
      <c r="C310" s="226"/>
    </row>
    <row r="311" spans="1:3" x14ac:dyDescent="0.2">
      <c r="A311" s="65">
        <v>36981</v>
      </c>
      <c r="B311" s="71"/>
      <c r="C311" s="226"/>
    </row>
    <row r="312" spans="1:3" x14ac:dyDescent="0.2">
      <c r="A312" s="65">
        <v>37011</v>
      </c>
      <c r="B312" s="71"/>
      <c r="C312" s="226"/>
    </row>
    <row r="313" spans="1:3" x14ac:dyDescent="0.2">
      <c r="A313" s="65">
        <v>37042</v>
      </c>
      <c r="B313" s="71"/>
      <c r="C313" s="226"/>
    </row>
    <row r="314" spans="1:3" x14ac:dyDescent="0.2">
      <c r="A314" s="65">
        <v>37072</v>
      </c>
      <c r="B314" s="71"/>
      <c r="C314" s="226"/>
    </row>
    <row r="315" spans="1:3" x14ac:dyDescent="0.2">
      <c r="A315" s="65">
        <v>37103</v>
      </c>
      <c r="B315" s="71"/>
      <c r="C315" s="226"/>
    </row>
    <row r="316" spans="1:3" x14ac:dyDescent="0.2">
      <c r="A316" s="65">
        <v>37134</v>
      </c>
      <c r="B316" s="71"/>
      <c r="C316" s="226"/>
    </row>
    <row r="317" spans="1:3" x14ac:dyDescent="0.2">
      <c r="A317" s="65">
        <v>37164</v>
      </c>
      <c r="B317" s="71"/>
      <c r="C317" s="226"/>
    </row>
    <row r="318" spans="1:3" x14ac:dyDescent="0.2">
      <c r="A318" s="65">
        <v>37195</v>
      </c>
      <c r="B318" s="71"/>
      <c r="C318" s="226"/>
    </row>
    <row r="319" spans="1:3" x14ac:dyDescent="0.2">
      <c r="A319" s="65">
        <v>37225</v>
      </c>
      <c r="B319" s="71"/>
      <c r="C319" s="226"/>
    </row>
    <row r="320" spans="1:3" x14ac:dyDescent="0.2">
      <c r="A320" s="65">
        <v>37256</v>
      </c>
      <c r="B320" s="71"/>
      <c r="C320" s="226"/>
    </row>
    <row r="321" spans="1:3" x14ac:dyDescent="0.2">
      <c r="A321" s="65">
        <v>37287</v>
      </c>
      <c r="B321" s="71"/>
      <c r="C321" s="226"/>
    </row>
    <row r="322" spans="1:3" x14ac:dyDescent="0.2">
      <c r="A322" s="65">
        <v>37315</v>
      </c>
      <c r="B322" s="71"/>
      <c r="C322" s="226"/>
    </row>
    <row r="323" spans="1:3" x14ac:dyDescent="0.2">
      <c r="A323" s="65">
        <v>37346</v>
      </c>
      <c r="B323" s="71"/>
      <c r="C323" s="226"/>
    </row>
    <row r="324" spans="1:3" x14ac:dyDescent="0.2">
      <c r="A324" s="65">
        <v>37376</v>
      </c>
      <c r="B324" s="71"/>
      <c r="C324" s="226"/>
    </row>
    <row r="325" spans="1:3" x14ac:dyDescent="0.2">
      <c r="A325" s="65">
        <v>37407</v>
      </c>
      <c r="B325" s="71"/>
      <c r="C325" s="226"/>
    </row>
    <row r="326" spans="1:3" x14ac:dyDescent="0.2">
      <c r="A326" s="65">
        <v>37437</v>
      </c>
      <c r="B326" s="71"/>
      <c r="C326" s="226"/>
    </row>
    <row r="327" spans="1:3" x14ac:dyDescent="0.2">
      <c r="A327" s="65">
        <v>37468</v>
      </c>
      <c r="B327" s="71"/>
      <c r="C327" s="226"/>
    </row>
    <row r="328" spans="1:3" x14ac:dyDescent="0.2">
      <c r="A328" s="65">
        <v>37499</v>
      </c>
      <c r="B328" s="71"/>
      <c r="C328" s="226"/>
    </row>
    <row r="329" spans="1:3" x14ac:dyDescent="0.2">
      <c r="A329" s="65">
        <v>37529</v>
      </c>
      <c r="B329" s="71"/>
      <c r="C329" s="226"/>
    </row>
    <row r="330" spans="1:3" x14ac:dyDescent="0.2">
      <c r="A330" s="65">
        <v>37560</v>
      </c>
      <c r="B330" s="71"/>
      <c r="C330" s="226"/>
    </row>
    <row r="331" spans="1:3" x14ac:dyDescent="0.2">
      <c r="A331" s="65">
        <v>37590</v>
      </c>
      <c r="B331" s="71"/>
      <c r="C331" s="226"/>
    </row>
    <row r="332" spans="1:3" x14ac:dyDescent="0.2">
      <c r="A332" s="65">
        <v>37621</v>
      </c>
      <c r="B332" s="71"/>
      <c r="C332" s="226"/>
    </row>
    <row r="333" spans="1:3" x14ac:dyDescent="0.2">
      <c r="A333" s="65">
        <v>37652</v>
      </c>
      <c r="B333" s="76"/>
      <c r="C333" s="231"/>
    </row>
    <row r="334" spans="1:3" x14ac:dyDescent="0.2">
      <c r="A334" s="65">
        <v>37680</v>
      </c>
      <c r="B334" s="76"/>
      <c r="C334" s="231"/>
    </row>
    <row r="335" spans="1:3" x14ac:dyDescent="0.2">
      <c r="A335" s="65">
        <v>37711</v>
      </c>
      <c r="B335" s="76"/>
      <c r="C335" s="231"/>
    </row>
    <row r="336" spans="1:3" x14ac:dyDescent="0.2">
      <c r="A336" s="65">
        <v>37741</v>
      </c>
      <c r="B336" s="76"/>
      <c r="C336" s="231"/>
    </row>
    <row r="337" spans="1:3" x14ac:dyDescent="0.2">
      <c r="A337" s="65">
        <v>37772</v>
      </c>
      <c r="B337" s="76"/>
      <c r="C337" s="231"/>
    </row>
    <row r="338" spans="1:3" x14ac:dyDescent="0.2">
      <c r="A338" s="65">
        <v>37802</v>
      </c>
      <c r="B338" s="76"/>
      <c r="C338" s="231"/>
    </row>
    <row r="339" spans="1:3" x14ac:dyDescent="0.2">
      <c r="A339" s="65">
        <v>37833</v>
      </c>
      <c r="B339" s="76"/>
      <c r="C339" s="231"/>
    </row>
    <row r="340" spans="1:3" x14ac:dyDescent="0.2">
      <c r="A340" s="65">
        <v>37864</v>
      </c>
      <c r="B340" s="76"/>
      <c r="C340" s="231"/>
    </row>
    <row r="341" spans="1:3" x14ac:dyDescent="0.2">
      <c r="A341" s="65">
        <v>37894</v>
      </c>
      <c r="B341" s="76"/>
      <c r="C341" s="231"/>
    </row>
    <row r="342" spans="1:3" x14ac:dyDescent="0.2">
      <c r="A342" s="65">
        <v>37925</v>
      </c>
      <c r="B342" s="76"/>
      <c r="C342" s="231"/>
    </row>
    <row r="343" spans="1:3" x14ac:dyDescent="0.2">
      <c r="A343" s="65">
        <v>37955</v>
      </c>
      <c r="B343" s="76"/>
      <c r="C343" s="231"/>
    </row>
    <row r="344" spans="1:3" x14ac:dyDescent="0.2">
      <c r="A344" s="65">
        <v>37986</v>
      </c>
      <c r="B344" s="76"/>
      <c r="C344" s="231"/>
    </row>
    <row r="345" spans="1:3" x14ac:dyDescent="0.2">
      <c r="A345" s="65">
        <v>38017</v>
      </c>
      <c r="B345" s="76"/>
      <c r="C345" s="231"/>
    </row>
    <row r="346" spans="1:3" x14ac:dyDescent="0.2">
      <c r="A346" s="65">
        <v>38046</v>
      </c>
      <c r="B346" s="76"/>
      <c r="C346" s="231"/>
    </row>
    <row r="347" spans="1:3" x14ac:dyDescent="0.2">
      <c r="A347" s="65">
        <v>38077</v>
      </c>
      <c r="B347" s="76"/>
      <c r="C347" s="231"/>
    </row>
    <row r="348" spans="1:3" x14ac:dyDescent="0.2">
      <c r="A348" s="65">
        <v>38107</v>
      </c>
      <c r="B348" s="76"/>
      <c r="C348" s="231"/>
    </row>
    <row r="349" spans="1:3" x14ac:dyDescent="0.2">
      <c r="A349" s="65">
        <v>38138</v>
      </c>
      <c r="B349" s="76"/>
      <c r="C349" s="231"/>
    </row>
    <row r="350" spans="1:3" x14ac:dyDescent="0.2">
      <c r="A350" s="65">
        <v>38168</v>
      </c>
      <c r="B350" s="76"/>
      <c r="C350" s="231"/>
    </row>
    <row r="351" spans="1:3" x14ac:dyDescent="0.2">
      <c r="A351" s="65">
        <v>38199</v>
      </c>
      <c r="B351" s="76"/>
      <c r="C351" s="231"/>
    </row>
    <row r="352" spans="1:3" x14ac:dyDescent="0.2">
      <c r="A352" s="65">
        <v>38230</v>
      </c>
      <c r="B352" s="76"/>
      <c r="C352" s="231"/>
    </row>
    <row r="353" spans="1:3" x14ac:dyDescent="0.2">
      <c r="A353" s="65">
        <v>38260</v>
      </c>
      <c r="B353" s="76"/>
      <c r="C353" s="231"/>
    </row>
    <row r="354" spans="1:3" x14ac:dyDescent="0.2">
      <c r="A354" s="65">
        <v>38291</v>
      </c>
      <c r="B354" s="76"/>
      <c r="C354" s="231"/>
    </row>
    <row r="355" spans="1:3" x14ac:dyDescent="0.2">
      <c r="A355" s="65">
        <v>38321</v>
      </c>
      <c r="B355" s="76"/>
      <c r="C355" s="231"/>
    </row>
    <row r="356" spans="1:3" x14ac:dyDescent="0.2">
      <c r="A356" s="65">
        <v>38352</v>
      </c>
      <c r="B356" s="76"/>
      <c r="C356" s="231"/>
    </row>
    <row r="357" spans="1:3" x14ac:dyDescent="0.2">
      <c r="A357" s="65">
        <v>38383</v>
      </c>
      <c r="B357" s="76"/>
      <c r="C357" s="231"/>
    </row>
    <row r="358" spans="1:3" x14ac:dyDescent="0.2">
      <c r="A358" s="65">
        <v>38411</v>
      </c>
      <c r="B358" s="76"/>
      <c r="C358" s="231"/>
    </row>
    <row r="359" spans="1:3" x14ac:dyDescent="0.2">
      <c r="A359" s="65">
        <v>38442</v>
      </c>
      <c r="B359" s="76"/>
      <c r="C359" s="232"/>
    </row>
    <row r="360" spans="1:3" x14ac:dyDescent="0.2">
      <c r="A360" s="65">
        <v>38472</v>
      </c>
      <c r="B360" s="76"/>
      <c r="C360" s="232"/>
    </row>
    <row r="361" spans="1:3" x14ac:dyDescent="0.2">
      <c r="A361" s="65">
        <v>38503</v>
      </c>
      <c r="B361" s="76"/>
      <c r="C361" s="232"/>
    </row>
    <row r="362" spans="1:3" x14ac:dyDescent="0.2">
      <c r="A362" s="65">
        <v>38533</v>
      </c>
      <c r="B362" s="76"/>
      <c r="C362" s="232"/>
    </row>
    <row r="363" spans="1:3" x14ac:dyDescent="0.2">
      <c r="A363" s="65">
        <v>38564</v>
      </c>
      <c r="B363" s="76"/>
      <c r="C363" s="232"/>
    </row>
    <row r="364" spans="1:3" x14ac:dyDescent="0.2">
      <c r="A364" s="65">
        <v>38595</v>
      </c>
      <c r="B364" s="76"/>
      <c r="C364" s="232"/>
    </row>
    <row r="365" spans="1:3" x14ac:dyDescent="0.2">
      <c r="A365" s="65">
        <v>38625</v>
      </c>
      <c r="B365" s="253"/>
      <c r="C365" s="256" t="e">
        <f>#REF!+#REF!+#REF!</f>
        <v>#REF!</v>
      </c>
    </row>
    <row r="366" spans="1:3" x14ac:dyDescent="0.2">
      <c r="A366" s="65">
        <v>38656</v>
      </c>
      <c r="B366" s="14">
        <f>((1+0.0234)^(1/3)-1)*100</f>
        <v>0.77399387895922267</v>
      </c>
      <c r="C366" s="256" t="e">
        <f>#REF!+#REF!+#REF!</f>
        <v>#REF!</v>
      </c>
    </row>
    <row r="367" spans="1:3" x14ac:dyDescent="0.2">
      <c r="A367" s="65">
        <v>38686</v>
      </c>
      <c r="B367" s="14">
        <f>((1+0.0234)^(1/3)-1)*100</f>
        <v>0.77399387895922267</v>
      </c>
      <c r="C367" s="256" t="e">
        <f>#REF!+#REF!+#REF!</f>
        <v>#REF!</v>
      </c>
    </row>
    <row r="368" spans="1:3" x14ac:dyDescent="0.2">
      <c r="A368" s="65">
        <v>38717</v>
      </c>
      <c r="B368" s="253">
        <v>0</v>
      </c>
      <c r="C368" s="256">
        <v>178881317.72</v>
      </c>
    </row>
    <row r="369" spans="1:5" x14ac:dyDescent="0.2">
      <c r="A369" s="65">
        <v>38748</v>
      </c>
      <c r="B369" s="253">
        <v>0</v>
      </c>
      <c r="C369" s="256">
        <v>190855167.33000001</v>
      </c>
    </row>
    <row r="370" spans="1:5" x14ac:dyDescent="0.2">
      <c r="A370" s="65">
        <v>38776</v>
      </c>
      <c r="B370" s="253">
        <v>0</v>
      </c>
      <c r="C370" s="256">
        <v>190261172.87</v>
      </c>
    </row>
    <row r="371" spans="1:5" x14ac:dyDescent="0.2">
      <c r="A371" s="65">
        <v>38807</v>
      </c>
      <c r="B371" s="128">
        <v>4.2215999999999996</v>
      </c>
      <c r="C371" s="256">
        <v>200568914.41999999</v>
      </c>
      <c r="D371" s="65"/>
      <c r="E371" s="128"/>
    </row>
    <row r="372" spans="1:5" x14ac:dyDescent="0.2">
      <c r="A372" s="65">
        <v>38837</v>
      </c>
      <c r="B372" s="128">
        <v>0.2</v>
      </c>
      <c r="C372" s="366">
        <v>206429818</v>
      </c>
      <c r="D372" s="65"/>
      <c r="E372" s="128"/>
    </row>
    <row r="373" spans="1:5" x14ac:dyDescent="0.2">
      <c r="A373" s="65">
        <v>38868</v>
      </c>
      <c r="B373" s="128">
        <v>0.2</v>
      </c>
      <c r="C373" s="366">
        <v>206429818</v>
      </c>
      <c r="D373" s="65"/>
      <c r="E373" s="128"/>
    </row>
    <row r="374" spans="1:5" x14ac:dyDescent="0.2">
      <c r="A374" s="65">
        <v>38898</v>
      </c>
      <c r="B374" s="128">
        <v>0.2</v>
      </c>
      <c r="C374" s="366">
        <v>206429818</v>
      </c>
      <c r="D374" s="65"/>
      <c r="E374" s="128"/>
    </row>
    <row r="375" spans="1:5" x14ac:dyDescent="0.2">
      <c r="A375" s="65">
        <v>38929</v>
      </c>
      <c r="B375" s="128">
        <v>0</v>
      </c>
      <c r="C375" s="366">
        <v>209448602</v>
      </c>
    </row>
    <row r="376" spans="1:5" x14ac:dyDescent="0.2">
      <c r="A376" s="65">
        <v>38960</v>
      </c>
      <c r="B376" s="128">
        <v>0</v>
      </c>
      <c r="C376" s="366">
        <v>209448602</v>
      </c>
    </row>
    <row r="377" spans="1:5" x14ac:dyDescent="0.2">
      <c r="A377" s="65">
        <v>38990</v>
      </c>
      <c r="B377" s="128">
        <v>5.843</v>
      </c>
      <c r="C377" s="366">
        <v>237676208</v>
      </c>
    </row>
    <row r="378" spans="1:5" x14ac:dyDescent="0.2">
      <c r="A378" s="65">
        <v>39021</v>
      </c>
    </row>
    <row r="379" spans="1:5" x14ac:dyDescent="0.2">
      <c r="A379" s="65">
        <v>39051</v>
      </c>
    </row>
    <row r="380" spans="1:5" x14ac:dyDescent="0.2">
      <c r="A380" s="65">
        <v>39082</v>
      </c>
      <c r="C380" s="352"/>
    </row>
    <row r="381" spans="1:5" x14ac:dyDescent="0.2">
      <c r="A381" s="65">
        <v>39113</v>
      </c>
      <c r="C381" s="352"/>
    </row>
    <row r="382" spans="1:5" x14ac:dyDescent="0.2">
      <c r="A382" s="65">
        <v>39141</v>
      </c>
      <c r="C382" s="352"/>
    </row>
    <row r="383" spans="1:5" x14ac:dyDescent="0.2">
      <c r="A383" s="65">
        <v>39172</v>
      </c>
      <c r="C383" s="352"/>
    </row>
    <row r="384" spans="1:5" x14ac:dyDescent="0.2">
      <c r="A384" s="65">
        <v>39202</v>
      </c>
      <c r="B384" s="777"/>
      <c r="C384" s="778"/>
    </row>
    <row r="385" spans="1:3" x14ac:dyDescent="0.2">
      <c r="A385" s="65">
        <v>39233</v>
      </c>
      <c r="B385" s="777"/>
      <c r="C385" s="778"/>
    </row>
    <row r="386" spans="1:3" x14ac:dyDescent="0.2">
      <c r="A386" s="65">
        <v>39263</v>
      </c>
      <c r="B386" s="777"/>
      <c r="C386" s="778"/>
    </row>
    <row r="387" spans="1:3" x14ac:dyDescent="0.2">
      <c r="A387" s="65">
        <v>39294</v>
      </c>
      <c r="C387" s="352"/>
    </row>
    <row r="388" spans="1:3" x14ac:dyDescent="0.2">
      <c r="A388" s="65">
        <v>39325</v>
      </c>
    </row>
    <row r="389" spans="1:3" x14ac:dyDescent="0.2">
      <c r="A389" s="65">
        <v>39355</v>
      </c>
    </row>
    <row r="390" spans="1:3" x14ac:dyDescent="0.2">
      <c r="A390" s="65">
        <v>39386</v>
      </c>
    </row>
    <row r="391" spans="1:3" x14ac:dyDescent="0.2">
      <c r="A391" s="65">
        <v>39416</v>
      </c>
    </row>
    <row r="392" spans="1:3" x14ac:dyDescent="0.2">
      <c r="A392" s="65">
        <v>39447</v>
      </c>
    </row>
    <row r="393" spans="1:3" x14ac:dyDescent="0.2">
      <c r="A393" s="65">
        <v>39478</v>
      </c>
    </row>
    <row r="394" spans="1:3" x14ac:dyDescent="0.2">
      <c r="A394" s="65">
        <v>39507</v>
      </c>
    </row>
    <row r="395" spans="1:3" x14ac:dyDescent="0.2">
      <c r="A395" s="65">
        <v>39538</v>
      </c>
    </row>
    <row r="396" spans="1:3" x14ac:dyDescent="0.2">
      <c r="A396" s="65">
        <v>39568</v>
      </c>
    </row>
    <row r="397" spans="1:3" x14ac:dyDescent="0.2">
      <c r="A397" s="65">
        <v>39599</v>
      </c>
    </row>
    <row r="398" spans="1:3" x14ac:dyDescent="0.2">
      <c r="A398" s="65">
        <v>39629</v>
      </c>
    </row>
    <row r="399" spans="1:3" x14ac:dyDescent="0.2">
      <c r="A399" s="65">
        <v>39660</v>
      </c>
      <c r="B399" s="14" t="e">
        <v>#N/A</v>
      </c>
      <c r="C399" s="1007" t="e">
        <v>#N/A</v>
      </c>
    </row>
    <row r="400" spans="1:3" x14ac:dyDescent="0.2">
      <c r="A400" s="65">
        <v>39691</v>
      </c>
      <c r="B400" s="14" t="e">
        <v>#N/A</v>
      </c>
      <c r="C400" s="1007" t="e">
        <v>#N/A</v>
      </c>
    </row>
    <row r="401" spans="1:3" x14ac:dyDescent="0.2">
      <c r="A401" s="65">
        <v>39721</v>
      </c>
      <c r="B401" s="14" t="e">
        <v>#N/A</v>
      </c>
      <c r="C401" s="1007" t="e">
        <v>#N/A</v>
      </c>
    </row>
    <row r="402" spans="1:3" x14ac:dyDescent="0.2">
      <c r="A402" s="65">
        <v>39752</v>
      </c>
      <c r="B402" s="14" t="e">
        <v>#N/A</v>
      </c>
      <c r="C402" s="8" t="e">
        <v>#N/A</v>
      </c>
    </row>
    <row r="403" spans="1:3" x14ac:dyDescent="0.2">
      <c r="A403" s="65">
        <v>39782</v>
      </c>
      <c r="B403" s="14" t="e">
        <v>#N/A</v>
      </c>
      <c r="C403" s="8" t="e">
        <v>#N/A</v>
      </c>
    </row>
    <row r="404" spans="1:3" x14ac:dyDescent="0.2">
      <c r="A404" s="65">
        <v>39813</v>
      </c>
      <c r="B404" s="14" t="e">
        <v>#N/A</v>
      </c>
      <c r="C404" s="8" t="e">
        <v>#N/A</v>
      </c>
    </row>
    <row r="405" spans="1:3" x14ac:dyDescent="0.2">
      <c r="A405" s="65">
        <v>39844</v>
      </c>
    </row>
    <row r="406" spans="1:3" x14ac:dyDescent="0.2">
      <c r="A406" s="65">
        <v>39872</v>
      </c>
    </row>
    <row r="407" spans="1:3" x14ac:dyDescent="0.2">
      <c r="A407" s="65">
        <v>39903</v>
      </c>
    </row>
    <row r="408" spans="1:3" x14ac:dyDescent="0.2">
      <c r="A408" s="65">
        <v>39933</v>
      </c>
      <c r="B408" s="14">
        <v>0</v>
      </c>
    </row>
    <row r="409" spans="1:3" x14ac:dyDescent="0.2">
      <c r="A409" s="65">
        <v>39964</v>
      </c>
      <c r="B409" s="14">
        <v>0</v>
      </c>
    </row>
    <row r="410" spans="1:3" x14ac:dyDescent="0.2">
      <c r="A410" s="65">
        <v>39994</v>
      </c>
      <c r="B410" s="14">
        <v>-10.060000000000002</v>
      </c>
    </row>
    <row r="411" spans="1:3" x14ac:dyDescent="0.2">
      <c r="A411" s="65">
        <v>40025</v>
      </c>
      <c r="B411" s="14">
        <v>0</v>
      </c>
    </row>
    <row r="412" spans="1:3" x14ac:dyDescent="0.2">
      <c r="A412" s="65">
        <v>40056</v>
      </c>
      <c r="B412" s="14">
        <v>0</v>
      </c>
    </row>
    <row r="413" spans="1:3" x14ac:dyDescent="0.2">
      <c r="A413" s="65">
        <v>40086</v>
      </c>
      <c r="B413" s="14">
        <v>-1.27</v>
      </c>
    </row>
    <row r="414" spans="1:3" x14ac:dyDescent="0.2">
      <c r="A414" s="65">
        <v>40117</v>
      </c>
    </row>
    <row r="415" spans="1:3" x14ac:dyDescent="0.2">
      <c r="A415" s="65">
        <v>40147</v>
      </c>
    </row>
    <row r="416" spans="1:3" x14ac:dyDescent="0.2">
      <c r="A416" s="65">
        <v>40178</v>
      </c>
    </row>
    <row r="417" spans="1:1" x14ac:dyDescent="0.2">
      <c r="A417" s="65">
        <v>40209</v>
      </c>
    </row>
    <row r="418" spans="1:1" x14ac:dyDescent="0.2">
      <c r="A418" s="65">
        <v>40237</v>
      </c>
    </row>
    <row r="419" spans="1:1" x14ac:dyDescent="0.2">
      <c r="A419" s="65">
        <v>40268</v>
      </c>
    </row>
    <row r="420" spans="1:1" x14ac:dyDescent="0.2">
      <c r="A420" s="65">
        <v>40298</v>
      </c>
    </row>
    <row r="421" spans="1:1" x14ac:dyDescent="0.2">
      <c r="A421" s="65">
        <v>40329</v>
      </c>
    </row>
    <row r="422" spans="1:1" x14ac:dyDescent="0.2">
      <c r="A422" s="65">
        <v>40359</v>
      </c>
    </row>
    <row r="423" spans="1:1" x14ac:dyDescent="0.2">
      <c r="A423" s="65">
        <v>40390</v>
      </c>
    </row>
    <row r="424" spans="1:1" x14ac:dyDescent="0.2">
      <c r="A424" s="65">
        <v>40421</v>
      </c>
    </row>
    <row r="425" spans="1:1" x14ac:dyDescent="0.2">
      <c r="A425" s="65">
        <v>40451</v>
      </c>
    </row>
    <row r="426" spans="1:1" x14ac:dyDescent="0.2">
      <c r="A426" s="65">
        <v>40482</v>
      </c>
    </row>
    <row r="427" spans="1:1" x14ac:dyDescent="0.2">
      <c r="A427" s="65">
        <v>40512</v>
      </c>
    </row>
    <row r="428" spans="1:1" x14ac:dyDescent="0.2">
      <c r="A428" s="65">
        <v>40543</v>
      </c>
    </row>
  </sheetData>
  <phoneticPr fontId="3" type="noConversion"/>
  <pageMargins left="0.75" right="0.75" top="1" bottom="1" header="0.5" footer="0.5"/>
  <headerFooter alignWithMargins="0"/>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H428"/>
  <sheetViews>
    <sheetView workbookViewId="0">
      <pane ySplit="2" topLeftCell="A387" activePane="bottomLeft" state="frozen"/>
      <selection activeCell="A401" sqref="A401"/>
      <selection pane="bottomLeft" activeCell="B414" sqref="B414"/>
    </sheetView>
  </sheetViews>
  <sheetFormatPr defaultRowHeight="12.75" x14ac:dyDescent="0.2"/>
  <cols>
    <col min="1" max="1" width="18.7109375" style="12" customWidth="1"/>
    <col min="2" max="2" width="18.7109375" style="224" customWidth="1"/>
    <col min="3" max="3" width="17.7109375" style="12" bestFit="1" customWidth="1"/>
    <col min="4" max="4" width="17" style="734" bestFit="1" customWidth="1"/>
    <col min="5" max="5" width="17" style="12" bestFit="1" customWidth="1"/>
    <col min="6" max="16384" width="9.140625" style="12"/>
  </cols>
  <sheetData>
    <row r="1" spans="1:6" x14ac:dyDescent="0.2">
      <c r="A1" s="223" t="s">
        <v>241</v>
      </c>
      <c r="B1" s="321" t="s">
        <v>169</v>
      </c>
    </row>
    <row r="2" spans="1:6" customFormat="1" x14ac:dyDescent="0.2">
      <c r="A2" s="3" t="s">
        <v>27</v>
      </c>
      <c r="B2" s="71" t="s">
        <v>90</v>
      </c>
      <c r="D2" s="14"/>
    </row>
    <row r="3" spans="1:6" s="227" customFormat="1" x14ac:dyDescent="0.2">
      <c r="A3" s="228">
        <v>27606</v>
      </c>
      <c r="B3" s="229">
        <v>-1.41</v>
      </c>
      <c r="D3" s="797"/>
      <c r="E3" s="1180"/>
      <c r="F3" s="797"/>
    </row>
    <row r="4" spans="1:6" s="227" customFormat="1" x14ac:dyDescent="0.2">
      <c r="A4" s="228">
        <v>27637</v>
      </c>
      <c r="B4" s="229">
        <v>-1.41</v>
      </c>
      <c r="D4" s="797"/>
      <c r="E4" s="1180"/>
      <c r="F4" s="797"/>
    </row>
    <row r="5" spans="1:6" s="227" customFormat="1" x14ac:dyDescent="0.2">
      <c r="A5" s="228">
        <v>27667</v>
      </c>
      <c r="B5" s="229">
        <v>-1.41</v>
      </c>
      <c r="D5" s="797"/>
      <c r="E5" s="1180"/>
      <c r="F5" s="797"/>
    </row>
    <row r="6" spans="1:6" s="227" customFormat="1" x14ac:dyDescent="0.2">
      <c r="A6" s="228">
        <v>27698</v>
      </c>
      <c r="B6" s="229">
        <v>2.16</v>
      </c>
      <c r="D6" s="797"/>
      <c r="E6" s="1180"/>
      <c r="F6" s="797"/>
    </row>
    <row r="7" spans="1:6" s="227" customFormat="1" x14ac:dyDescent="0.2">
      <c r="A7" s="228">
        <v>27728</v>
      </c>
      <c r="B7" s="229">
        <v>2.16</v>
      </c>
      <c r="D7" s="797"/>
      <c r="E7" s="1180"/>
      <c r="F7" s="797"/>
    </row>
    <row r="8" spans="1:6" s="227" customFormat="1" x14ac:dyDescent="0.2">
      <c r="A8" s="228">
        <v>27759</v>
      </c>
      <c r="B8" s="229">
        <v>2.16</v>
      </c>
      <c r="D8" s="797"/>
      <c r="E8" s="1180"/>
      <c r="F8" s="797"/>
    </row>
    <row r="9" spans="1:6" s="227" customFormat="1" x14ac:dyDescent="0.2">
      <c r="A9" s="228">
        <v>27790</v>
      </c>
      <c r="B9" s="229">
        <v>1.96</v>
      </c>
      <c r="D9" s="797"/>
      <c r="E9" s="1180"/>
      <c r="F9" s="797"/>
    </row>
    <row r="10" spans="1:6" s="227" customFormat="1" x14ac:dyDescent="0.2">
      <c r="A10" s="228">
        <v>27819</v>
      </c>
      <c r="B10" s="229">
        <v>1.96</v>
      </c>
      <c r="D10" s="797"/>
      <c r="E10" s="1180"/>
      <c r="F10" s="797"/>
    </row>
    <row r="11" spans="1:6" s="227" customFormat="1" x14ac:dyDescent="0.2">
      <c r="A11" s="228">
        <v>27850</v>
      </c>
      <c r="B11" s="229">
        <v>1.96</v>
      </c>
      <c r="D11" s="797"/>
      <c r="E11" s="1180"/>
      <c r="F11" s="797"/>
    </row>
    <row r="12" spans="1:6" s="227" customFormat="1" x14ac:dyDescent="0.2">
      <c r="A12" s="228">
        <v>27880</v>
      </c>
      <c r="B12" s="229">
        <v>0.76</v>
      </c>
      <c r="D12" s="797"/>
      <c r="E12" s="1180"/>
      <c r="F12" s="797"/>
    </row>
    <row r="13" spans="1:6" s="227" customFormat="1" x14ac:dyDescent="0.2">
      <c r="A13" s="228">
        <v>27911</v>
      </c>
      <c r="B13" s="229">
        <v>0.76</v>
      </c>
      <c r="D13" s="797"/>
      <c r="E13" s="1180"/>
      <c r="F13" s="797"/>
    </row>
    <row r="14" spans="1:6" s="227" customFormat="1" x14ac:dyDescent="0.2">
      <c r="A14" s="228">
        <v>27941</v>
      </c>
      <c r="B14" s="229">
        <v>0.76</v>
      </c>
      <c r="D14" s="797"/>
      <c r="E14" s="1180"/>
      <c r="F14" s="797"/>
    </row>
    <row r="15" spans="1:6" s="227" customFormat="1" x14ac:dyDescent="0.2">
      <c r="A15" s="228">
        <v>27972</v>
      </c>
      <c r="B15" s="229">
        <v>1</v>
      </c>
      <c r="D15" s="797"/>
      <c r="E15" s="1180"/>
      <c r="F15" s="797"/>
    </row>
    <row r="16" spans="1:6" s="227" customFormat="1" x14ac:dyDescent="0.2">
      <c r="A16" s="228">
        <v>28003</v>
      </c>
      <c r="B16" s="229">
        <v>1</v>
      </c>
      <c r="D16" s="797"/>
      <c r="E16" s="1180"/>
      <c r="F16" s="797"/>
    </row>
    <row r="17" spans="1:6" s="227" customFormat="1" x14ac:dyDescent="0.2">
      <c r="A17" s="228">
        <v>28033</v>
      </c>
      <c r="B17" s="229">
        <v>1</v>
      </c>
      <c r="D17" s="797"/>
      <c r="E17" s="1180"/>
      <c r="F17" s="797"/>
    </row>
    <row r="18" spans="1:6" s="227" customFormat="1" x14ac:dyDescent="0.2">
      <c r="A18" s="228">
        <v>28064</v>
      </c>
      <c r="B18" s="229">
        <v>1.54</v>
      </c>
      <c r="D18" s="797"/>
      <c r="E18" s="1180"/>
      <c r="F18" s="797"/>
    </row>
    <row r="19" spans="1:6" s="227" customFormat="1" x14ac:dyDescent="0.2">
      <c r="A19" s="228">
        <v>28094</v>
      </c>
      <c r="B19" s="229">
        <v>1.54</v>
      </c>
      <c r="D19" s="797"/>
      <c r="E19" s="1180"/>
      <c r="F19" s="797"/>
    </row>
    <row r="20" spans="1:6" s="227" customFormat="1" x14ac:dyDescent="0.2">
      <c r="A20" s="228">
        <v>28125</v>
      </c>
      <c r="B20" s="229">
        <v>1.54</v>
      </c>
      <c r="D20" s="797"/>
      <c r="E20" s="1180"/>
      <c r="F20" s="797"/>
    </row>
    <row r="21" spans="1:6" s="227" customFormat="1" x14ac:dyDescent="0.2">
      <c r="A21" s="228">
        <v>28156</v>
      </c>
      <c r="B21" s="229">
        <v>-0.88</v>
      </c>
      <c r="D21" s="797"/>
      <c r="E21" s="1180"/>
      <c r="F21" s="797"/>
    </row>
    <row r="22" spans="1:6" s="227" customFormat="1" x14ac:dyDescent="0.2">
      <c r="A22" s="228">
        <v>28184</v>
      </c>
      <c r="B22" s="229">
        <v>-0.88</v>
      </c>
      <c r="D22" s="797"/>
      <c r="E22" s="1180"/>
      <c r="F22" s="797"/>
    </row>
    <row r="23" spans="1:6" s="227" customFormat="1" x14ac:dyDescent="0.2">
      <c r="A23" s="228">
        <v>28215</v>
      </c>
      <c r="B23" s="229">
        <v>-0.88</v>
      </c>
      <c r="D23" s="797"/>
      <c r="E23" s="1180"/>
      <c r="F23" s="797"/>
    </row>
    <row r="24" spans="1:6" s="227" customFormat="1" x14ac:dyDescent="0.2">
      <c r="A24" s="228">
        <v>28245</v>
      </c>
      <c r="B24" s="229">
        <v>1.17</v>
      </c>
      <c r="D24" s="797"/>
      <c r="E24" s="1180"/>
      <c r="F24" s="797"/>
    </row>
    <row r="25" spans="1:6" s="227" customFormat="1" x14ac:dyDescent="0.2">
      <c r="A25" s="228">
        <v>28276</v>
      </c>
      <c r="B25" s="229">
        <v>1.17</v>
      </c>
      <c r="D25" s="797"/>
      <c r="E25" s="1180"/>
      <c r="F25" s="797"/>
    </row>
    <row r="26" spans="1:6" s="227" customFormat="1" x14ac:dyDescent="0.2">
      <c r="A26" s="228">
        <v>28306</v>
      </c>
      <c r="B26" s="229">
        <v>1.17</v>
      </c>
      <c r="D26" s="797"/>
      <c r="E26" s="1180"/>
      <c r="F26" s="797"/>
    </row>
    <row r="27" spans="1:6" s="227" customFormat="1" x14ac:dyDescent="0.2">
      <c r="A27" s="228">
        <v>28337</v>
      </c>
      <c r="B27" s="229">
        <v>-0.23</v>
      </c>
      <c r="D27" s="797"/>
      <c r="E27" s="1180"/>
      <c r="F27" s="797"/>
    </row>
    <row r="28" spans="1:6" s="227" customFormat="1" x14ac:dyDescent="0.2">
      <c r="A28" s="228">
        <v>28368</v>
      </c>
      <c r="B28" s="229">
        <v>-0.23</v>
      </c>
      <c r="D28" s="797"/>
      <c r="E28" s="1180"/>
      <c r="F28" s="797"/>
    </row>
    <row r="29" spans="1:6" s="227" customFormat="1" x14ac:dyDescent="0.2">
      <c r="A29" s="228">
        <v>28398</v>
      </c>
      <c r="B29" s="229">
        <v>-0.23</v>
      </c>
      <c r="D29" s="797"/>
      <c r="E29" s="1180"/>
      <c r="F29" s="797"/>
    </row>
    <row r="30" spans="1:6" s="227" customFormat="1" x14ac:dyDescent="0.2">
      <c r="A30" s="228">
        <v>28429</v>
      </c>
      <c r="B30" s="229">
        <v>0.09</v>
      </c>
      <c r="D30" s="797"/>
      <c r="E30" s="1180"/>
      <c r="F30" s="797"/>
    </row>
    <row r="31" spans="1:6" s="227" customFormat="1" x14ac:dyDescent="0.2">
      <c r="A31" s="228">
        <v>28459</v>
      </c>
      <c r="B31" s="229">
        <v>0.09</v>
      </c>
      <c r="D31" s="797"/>
      <c r="E31" s="1180"/>
      <c r="F31" s="797"/>
    </row>
    <row r="32" spans="1:6" s="227" customFormat="1" x14ac:dyDescent="0.2">
      <c r="A32" s="228">
        <v>28490</v>
      </c>
      <c r="B32" s="229">
        <v>0.09</v>
      </c>
      <c r="D32" s="797"/>
      <c r="E32" s="1180"/>
      <c r="F32" s="797"/>
    </row>
    <row r="33" spans="1:6" s="227" customFormat="1" x14ac:dyDescent="0.2">
      <c r="A33" s="228">
        <v>28521</v>
      </c>
      <c r="B33" s="229">
        <v>-0.45</v>
      </c>
      <c r="D33" s="797"/>
      <c r="E33" s="1180"/>
      <c r="F33" s="797"/>
    </row>
    <row r="34" spans="1:6" s="227" customFormat="1" x14ac:dyDescent="0.2">
      <c r="A34" s="228">
        <v>28549</v>
      </c>
      <c r="B34" s="229">
        <v>-0.45</v>
      </c>
      <c r="D34" s="797"/>
      <c r="E34" s="1180"/>
      <c r="F34" s="797"/>
    </row>
    <row r="35" spans="1:6" s="227" customFormat="1" x14ac:dyDescent="0.2">
      <c r="A35" s="228">
        <v>28580</v>
      </c>
      <c r="B35" s="229">
        <v>-0.45</v>
      </c>
      <c r="D35" s="797"/>
      <c r="E35" s="1180"/>
      <c r="F35" s="797"/>
    </row>
    <row r="36" spans="1:6" s="227" customFormat="1" x14ac:dyDescent="0.2">
      <c r="A36" s="228">
        <v>28610</v>
      </c>
      <c r="B36" s="229">
        <v>0.98</v>
      </c>
      <c r="D36" s="797"/>
      <c r="E36" s="1180"/>
      <c r="F36" s="797"/>
    </row>
    <row r="37" spans="1:6" s="227" customFormat="1" x14ac:dyDescent="0.2">
      <c r="A37" s="228">
        <v>28641</v>
      </c>
      <c r="B37" s="229">
        <v>0.98</v>
      </c>
      <c r="D37" s="797"/>
      <c r="E37" s="1180"/>
      <c r="F37" s="797"/>
    </row>
    <row r="38" spans="1:6" s="227" customFormat="1" x14ac:dyDescent="0.2">
      <c r="A38" s="228">
        <v>28671</v>
      </c>
      <c r="B38" s="229">
        <v>0.98</v>
      </c>
      <c r="D38" s="797"/>
      <c r="E38" s="1180"/>
      <c r="F38" s="797"/>
    </row>
    <row r="39" spans="1:6" s="227" customFormat="1" x14ac:dyDescent="0.2">
      <c r="A39" s="228">
        <v>28702</v>
      </c>
      <c r="B39" s="229">
        <v>1.1599999999999999</v>
      </c>
      <c r="D39" s="797"/>
      <c r="E39" s="1180"/>
      <c r="F39" s="797"/>
    </row>
    <row r="40" spans="1:6" s="227" customFormat="1" x14ac:dyDescent="0.2">
      <c r="A40" s="228">
        <v>28733</v>
      </c>
      <c r="B40" s="229">
        <v>1.1599999999999999</v>
      </c>
      <c r="D40" s="797"/>
      <c r="E40" s="1180"/>
      <c r="F40" s="797"/>
    </row>
    <row r="41" spans="1:6" s="227" customFormat="1" x14ac:dyDescent="0.2">
      <c r="A41" s="228">
        <v>28763</v>
      </c>
      <c r="B41" s="229">
        <v>1.1599999999999999</v>
      </c>
      <c r="D41" s="797"/>
      <c r="E41" s="1180"/>
      <c r="F41" s="797"/>
    </row>
    <row r="42" spans="1:6" s="227" customFormat="1" x14ac:dyDescent="0.2">
      <c r="A42" s="228">
        <v>28794</v>
      </c>
      <c r="B42" s="229">
        <v>-0.59</v>
      </c>
      <c r="D42" s="797"/>
      <c r="E42" s="1180"/>
      <c r="F42" s="797"/>
    </row>
    <row r="43" spans="1:6" s="227" customFormat="1" x14ac:dyDescent="0.2">
      <c r="A43" s="228">
        <v>28824</v>
      </c>
      <c r="B43" s="229">
        <v>-0.59</v>
      </c>
      <c r="D43" s="797"/>
      <c r="E43" s="1180"/>
      <c r="F43" s="797"/>
    </row>
    <row r="44" spans="1:6" s="227" customFormat="1" x14ac:dyDescent="0.2">
      <c r="A44" s="228">
        <v>28855</v>
      </c>
      <c r="B44" s="229">
        <v>-0.59</v>
      </c>
      <c r="D44" s="797"/>
      <c r="E44" s="1180"/>
      <c r="F44" s="797"/>
    </row>
    <row r="45" spans="1:6" s="227" customFormat="1" x14ac:dyDescent="0.2">
      <c r="A45" s="228">
        <v>28886</v>
      </c>
      <c r="B45" s="229">
        <v>1.1399999999999999</v>
      </c>
      <c r="D45" s="797"/>
      <c r="E45" s="1180"/>
      <c r="F45" s="797"/>
    </row>
    <row r="46" spans="1:6" s="227" customFormat="1" x14ac:dyDescent="0.2">
      <c r="A46" s="228">
        <v>28914</v>
      </c>
      <c r="B46" s="229">
        <v>1.1399999999999999</v>
      </c>
      <c r="D46" s="797"/>
      <c r="E46" s="1180"/>
      <c r="F46" s="797"/>
    </row>
    <row r="47" spans="1:6" s="227" customFormat="1" x14ac:dyDescent="0.2">
      <c r="A47" s="228">
        <v>28945</v>
      </c>
      <c r="B47" s="229">
        <v>1.1399999999999999</v>
      </c>
      <c r="D47" s="797"/>
      <c r="E47" s="1180"/>
      <c r="F47" s="797"/>
    </row>
    <row r="48" spans="1:6" s="227" customFormat="1" x14ac:dyDescent="0.2">
      <c r="A48" s="228">
        <v>28975</v>
      </c>
      <c r="B48" s="229">
        <v>1.07</v>
      </c>
      <c r="D48" s="797"/>
      <c r="E48" s="1180"/>
      <c r="F48" s="797"/>
    </row>
    <row r="49" spans="1:6" s="227" customFormat="1" x14ac:dyDescent="0.2">
      <c r="A49" s="228">
        <v>29006</v>
      </c>
      <c r="B49" s="229">
        <v>1.07</v>
      </c>
      <c r="D49" s="797"/>
      <c r="E49" s="1180"/>
      <c r="F49" s="797"/>
    </row>
    <row r="50" spans="1:6" s="227" customFormat="1" x14ac:dyDescent="0.2">
      <c r="A50" s="228">
        <v>29036</v>
      </c>
      <c r="B50" s="229">
        <v>1.07</v>
      </c>
      <c r="D50" s="797"/>
      <c r="E50" s="1180"/>
      <c r="F50" s="797"/>
    </row>
    <row r="51" spans="1:6" s="227" customFormat="1" x14ac:dyDescent="0.2">
      <c r="A51" s="228">
        <v>29067</v>
      </c>
      <c r="B51" s="229">
        <v>0.77</v>
      </c>
      <c r="D51" s="797"/>
      <c r="E51" s="1180"/>
      <c r="F51" s="797"/>
    </row>
    <row r="52" spans="1:6" s="227" customFormat="1" x14ac:dyDescent="0.2">
      <c r="A52" s="228">
        <v>29098</v>
      </c>
      <c r="B52" s="229">
        <v>0.77</v>
      </c>
      <c r="D52" s="797"/>
      <c r="E52" s="1180"/>
      <c r="F52" s="797"/>
    </row>
    <row r="53" spans="1:6" s="227" customFormat="1" x14ac:dyDescent="0.2">
      <c r="A53" s="228">
        <v>29128</v>
      </c>
      <c r="B53" s="229">
        <v>0.77</v>
      </c>
      <c r="D53" s="797"/>
      <c r="E53" s="1180"/>
      <c r="F53" s="797"/>
    </row>
    <row r="54" spans="1:6" s="227" customFormat="1" x14ac:dyDescent="0.2">
      <c r="A54" s="228">
        <v>29159</v>
      </c>
      <c r="B54" s="229">
        <v>-7.0000000000000007E-2</v>
      </c>
      <c r="D54" s="797"/>
      <c r="E54" s="1180"/>
      <c r="F54" s="797"/>
    </row>
    <row r="55" spans="1:6" s="227" customFormat="1" x14ac:dyDescent="0.2">
      <c r="A55" s="228">
        <v>29189</v>
      </c>
      <c r="B55" s="229">
        <v>-7.0000000000000007E-2</v>
      </c>
      <c r="D55" s="797"/>
      <c r="E55" s="1180"/>
      <c r="F55" s="797"/>
    </row>
    <row r="56" spans="1:6" s="227" customFormat="1" x14ac:dyDescent="0.2">
      <c r="A56" s="228">
        <v>29220</v>
      </c>
      <c r="B56" s="229">
        <v>-7.0000000000000007E-2</v>
      </c>
      <c r="D56" s="797"/>
      <c r="E56" s="1180"/>
      <c r="F56" s="797"/>
    </row>
    <row r="57" spans="1:6" s="227" customFormat="1" x14ac:dyDescent="0.2">
      <c r="A57" s="228">
        <v>29251</v>
      </c>
      <c r="B57" s="229">
        <v>-1.92</v>
      </c>
      <c r="D57" s="797"/>
      <c r="E57" s="1180"/>
      <c r="F57" s="797"/>
    </row>
    <row r="58" spans="1:6" s="227" customFormat="1" x14ac:dyDescent="0.2">
      <c r="A58" s="228">
        <v>29280</v>
      </c>
      <c r="B58" s="229">
        <v>-1.92</v>
      </c>
      <c r="D58" s="797"/>
      <c r="E58" s="1180"/>
      <c r="F58" s="797"/>
    </row>
    <row r="59" spans="1:6" s="227" customFormat="1" x14ac:dyDescent="0.2">
      <c r="A59" s="228">
        <v>29311</v>
      </c>
      <c r="B59" s="229">
        <v>-1.92</v>
      </c>
      <c r="D59" s="797"/>
      <c r="E59" s="1180"/>
      <c r="F59" s="797"/>
    </row>
    <row r="60" spans="1:6" s="227" customFormat="1" x14ac:dyDescent="0.2">
      <c r="A60" s="228">
        <v>29341</v>
      </c>
      <c r="B60" s="229">
        <v>4.38</v>
      </c>
      <c r="D60" s="797"/>
      <c r="E60" s="1180"/>
      <c r="F60" s="797"/>
    </row>
    <row r="61" spans="1:6" s="227" customFormat="1" x14ac:dyDescent="0.2">
      <c r="A61" s="228">
        <v>29372</v>
      </c>
      <c r="B61" s="229">
        <v>4.38</v>
      </c>
      <c r="D61" s="797"/>
      <c r="E61" s="1180"/>
      <c r="F61" s="797"/>
    </row>
    <row r="62" spans="1:6" s="227" customFormat="1" x14ac:dyDescent="0.2">
      <c r="A62" s="228">
        <v>29402</v>
      </c>
      <c r="B62" s="229">
        <v>4.38</v>
      </c>
      <c r="D62" s="797"/>
      <c r="E62" s="1180"/>
      <c r="F62" s="797"/>
    </row>
    <row r="63" spans="1:6" s="227" customFormat="1" x14ac:dyDescent="0.2">
      <c r="A63" s="228">
        <v>29433</v>
      </c>
      <c r="B63" s="229">
        <v>-0.17</v>
      </c>
      <c r="D63" s="797"/>
      <c r="E63" s="1180"/>
      <c r="F63" s="797"/>
    </row>
    <row r="64" spans="1:6" s="227" customFormat="1" x14ac:dyDescent="0.2">
      <c r="A64" s="228">
        <v>29464</v>
      </c>
      <c r="B64" s="229">
        <v>-0.17</v>
      </c>
      <c r="D64" s="797"/>
      <c r="E64" s="1180"/>
      <c r="F64" s="797"/>
    </row>
    <row r="65" spans="1:6" s="227" customFormat="1" x14ac:dyDescent="0.2">
      <c r="A65" s="228">
        <v>29494</v>
      </c>
      <c r="B65" s="229">
        <v>-0.17</v>
      </c>
      <c r="D65" s="797"/>
      <c r="E65" s="1180"/>
      <c r="F65" s="797"/>
    </row>
    <row r="66" spans="1:6" s="227" customFormat="1" x14ac:dyDescent="0.2">
      <c r="A66" s="228">
        <v>29525</v>
      </c>
      <c r="B66" s="229">
        <v>1.46</v>
      </c>
      <c r="D66" s="797"/>
      <c r="E66" s="1180"/>
      <c r="F66" s="797"/>
    </row>
    <row r="67" spans="1:6" s="227" customFormat="1" x14ac:dyDescent="0.2">
      <c r="A67" s="228">
        <v>29555</v>
      </c>
      <c r="B67" s="229">
        <v>1.46</v>
      </c>
      <c r="D67" s="797"/>
      <c r="E67" s="1180"/>
      <c r="F67" s="797"/>
    </row>
    <row r="68" spans="1:6" s="227" customFormat="1" x14ac:dyDescent="0.2">
      <c r="A68" s="228">
        <v>29586</v>
      </c>
      <c r="B68" s="229">
        <v>1.46</v>
      </c>
      <c r="D68" s="797"/>
      <c r="E68" s="1180"/>
      <c r="F68" s="797"/>
    </row>
    <row r="69" spans="1:6" s="227" customFormat="1" x14ac:dyDescent="0.2">
      <c r="A69" s="228">
        <v>29617</v>
      </c>
      <c r="B69" s="229">
        <v>0.37</v>
      </c>
      <c r="D69" s="797"/>
      <c r="E69" s="1180"/>
      <c r="F69" s="797"/>
    </row>
    <row r="70" spans="1:6" s="227" customFormat="1" x14ac:dyDescent="0.2">
      <c r="A70" s="228">
        <v>29645</v>
      </c>
      <c r="B70" s="229">
        <v>0.37</v>
      </c>
      <c r="D70" s="797"/>
      <c r="E70" s="1180"/>
      <c r="F70" s="797"/>
    </row>
    <row r="71" spans="1:6" s="227" customFormat="1" x14ac:dyDescent="0.2">
      <c r="A71" s="228">
        <v>29676</v>
      </c>
      <c r="B71" s="229">
        <v>0.37</v>
      </c>
      <c r="D71" s="797"/>
      <c r="E71" s="1180"/>
      <c r="F71" s="797"/>
    </row>
    <row r="72" spans="1:6" s="227" customFormat="1" x14ac:dyDescent="0.2">
      <c r="A72" s="228">
        <v>29706</v>
      </c>
      <c r="B72" s="229">
        <v>-0.03</v>
      </c>
      <c r="D72" s="797"/>
      <c r="E72" s="1180"/>
      <c r="F72" s="797"/>
    </row>
    <row r="73" spans="1:6" s="227" customFormat="1" x14ac:dyDescent="0.2">
      <c r="A73" s="228">
        <v>29737</v>
      </c>
      <c r="B73" s="229">
        <v>-0.03</v>
      </c>
      <c r="D73" s="797"/>
      <c r="E73" s="1180"/>
      <c r="F73" s="797"/>
    </row>
    <row r="74" spans="1:6" s="227" customFormat="1" x14ac:dyDescent="0.2">
      <c r="A74" s="228">
        <v>29767</v>
      </c>
      <c r="B74" s="229">
        <v>-0.03</v>
      </c>
      <c r="D74" s="797"/>
      <c r="E74" s="1180"/>
      <c r="F74" s="797"/>
    </row>
    <row r="75" spans="1:6" s="227" customFormat="1" x14ac:dyDescent="0.2">
      <c r="A75" s="228">
        <v>29798</v>
      </c>
      <c r="B75" s="229">
        <v>-2.27</v>
      </c>
      <c r="D75" s="797"/>
      <c r="E75" s="1180"/>
      <c r="F75" s="797"/>
    </row>
    <row r="76" spans="1:6" s="227" customFormat="1" x14ac:dyDescent="0.2">
      <c r="A76" s="228">
        <v>29829</v>
      </c>
      <c r="B76" s="229">
        <v>-2.27</v>
      </c>
      <c r="D76" s="797"/>
      <c r="E76" s="1180"/>
      <c r="F76" s="797"/>
    </row>
    <row r="77" spans="1:6" s="227" customFormat="1" x14ac:dyDescent="0.2">
      <c r="A77" s="228">
        <v>29859</v>
      </c>
      <c r="B77" s="229">
        <v>-2.27</v>
      </c>
      <c r="D77" s="797"/>
      <c r="E77" s="1180"/>
      <c r="F77" s="797"/>
    </row>
    <row r="78" spans="1:6" s="227" customFormat="1" x14ac:dyDescent="0.2">
      <c r="A78" s="228">
        <v>29890</v>
      </c>
      <c r="B78" s="229">
        <v>2.5299999999999998</v>
      </c>
      <c r="D78" s="797"/>
      <c r="E78" s="1180"/>
      <c r="F78" s="797"/>
    </row>
    <row r="79" spans="1:6" s="227" customFormat="1" x14ac:dyDescent="0.2">
      <c r="A79" s="228">
        <v>29920</v>
      </c>
      <c r="B79" s="229">
        <v>2.5299999999999998</v>
      </c>
      <c r="D79" s="797"/>
      <c r="E79" s="1180"/>
      <c r="F79" s="797"/>
    </row>
    <row r="80" spans="1:6" s="227" customFormat="1" x14ac:dyDescent="0.2">
      <c r="A80" s="228">
        <v>29951</v>
      </c>
      <c r="B80" s="229">
        <v>2.5299999999999998</v>
      </c>
      <c r="D80" s="797"/>
      <c r="E80" s="1180"/>
      <c r="F80" s="797"/>
    </row>
    <row r="81" spans="1:6" s="227" customFormat="1" x14ac:dyDescent="0.2">
      <c r="A81" s="228">
        <v>29982</v>
      </c>
      <c r="B81" s="229">
        <v>-0.08</v>
      </c>
      <c r="D81" s="797"/>
      <c r="E81" s="1180"/>
      <c r="F81" s="797"/>
    </row>
    <row r="82" spans="1:6" s="227" customFormat="1" x14ac:dyDescent="0.2">
      <c r="A82" s="228">
        <v>30010</v>
      </c>
      <c r="B82" s="229">
        <v>-0.08</v>
      </c>
      <c r="D82" s="797"/>
      <c r="E82" s="1180"/>
      <c r="F82" s="797"/>
    </row>
    <row r="83" spans="1:6" s="227" customFormat="1" x14ac:dyDescent="0.2">
      <c r="A83" s="228">
        <v>30041</v>
      </c>
      <c r="B83" s="229">
        <v>-0.08</v>
      </c>
      <c r="D83" s="797"/>
      <c r="E83" s="1180"/>
      <c r="F83" s="797"/>
    </row>
    <row r="84" spans="1:6" s="227" customFormat="1" x14ac:dyDescent="0.2">
      <c r="A84" s="228">
        <v>30071</v>
      </c>
      <c r="B84" s="229">
        <v>0.66</v>
      </c>
      <c r="D84" s="797"/>
      <c r="E84" s="1180"/>
      <c r="F84" s="797"/>
    </row>
    <row r="85" spans="1:6" s="227" customFormat="1" x14ac:dyDescent="0.2">
      <c r="A85" s="228">
        <v>30102</v>
      </c>
      <c r="B85" s="229">
        <v>0.66</v>
      </c>
      <c r="D85" s="797"/>
      <c r="E85" s="1180"/>
      <c r="F85" s="797"/>
    </row>
    <row r="86" spans="1:6" s="227" customFormat="1" x14ac:dyDescent="0.2">
      <c r="A86" s="228">
        <v>30132</v>
      </c>
      <c r="B86" s="229">
        <v>0.66</v>
      </c>
      <c r="D86" s="797"/>
      <c r="E86" s="1180"/>
      <c r="F86" s="797"/>
    </row>
    <row r="87" spans="1:6" s="227" customFormat="1" x14ac:dyDescent="0.2">
      <c r="A87" s="228">
        <v>30163</v>
      </c>
      <c r="B87" s="229">
        <v>3.6</v>
      </c>
      <c r="D87" s="797"/>
      <c r="E87" s="1180"/>
      <c r="F87" s="797"/>
    </row>
    <row r="88" spans="1:6" s="227" customFormat="1" x14ac:dyDescent="0.2">
      <c r="A88" s="228">
        <v>30194</v>
      </c>
      <c r="B88" s="229">
        <v>3.6</v>
      </c>
      <c r="D88" s="797"/>
      <c r="E88" s="1180"/>
      <c r="F88" s="797"/>
    </row>
    <row r="89" spans="1:6" s="227" customFormat="1" x14ac:dyDescent="0.2">
      <c r="A89" s="228">
        <v>30224</v>
      </c>
      <c r="B89" s="229">
        <v>3.6</v>
      </c>
      <c r="D89" s="797"/>
      <c r="E89" s="1180"/>
      <c r="F89" s="797"/>
    </row>
    <row r="90" spans="1:6" s="227" customFormat="1" x14ac:dyDescent="0.2">
      <c r="A90" s="228">
        <v>30255</v>
      </c>
      <c r="B90" s="229">
        <v>3.67</v>
      </c>
      <c r="D90" s="797"/>
      <c r="E90" s="1180"/>
      <c r="F90" s="797"/>
    </row>
    <row r="91" spans="1:6" s="227" customFormat="1" x14ac:dyDescent="0.2">
      <c r="A91" s="228">
        <v>30285</v>
      </c>
      <c r="B91" s="229">
        <v>3.67</v>
      </c>
      <c r="D91" s="797"/>
      <c r="E91" s="1180"/>
      <c r="F91" s="797"/>
    </row>
    <row r="92" spans="1:6" s="227" customFormat="1" x14ac:dyDescent="0.2">
      <c r="A92" s="228">
        <v>30316</v>
      </c>
      <c r="B92" s="229">
        <v>3.67</v>
      </c>
      <c r="D92" s="797"/>
      <c r="E92" s="1180"/>
      <c r="F92" s="797"/>
    </row>
    <row r="93" spans="1:6" s="227" customFormat="1" x14ac:dyDescent="0.2">
      <c r="A93" s="228">
        <v>30347</v>
      </c>
      <c r="B93" s="229">
        <v>2.1</v>
      </c>
      <c r="D93" s="797"/>
      <c r="E93" s="1180"/>
      <c r="F93" s="797"/>
    </row>
    <row r="94" spans="1:6" s="227" customFormat="1" x14ac:dyDescent="0.2">
      <c r="A94" s="228">
        <v>30375</v>
      </c>
      <c r="B94" s="229">
        <v>2.1</v>
      </c>
      <c r="D94" s="797"/>
      <c r="E94" s="1180"/>
      <c r="F94" s="797"/>
    </row>
    <row r="95" spans="1:6" s="227" customFormat="1" x14ac:dyDescent="0.2">
      <c r="A95" s="228">
        <v>30406</v>
      </c>
      <c r="B95" s="229">
        <v>2.1</v>
      </c>
      <c r="D95" s="797"/>
      <c r="E95" s="1180"/>
      <c r="F95" s="797"/>
    </row>
    <row r="96" spans="1:6" s="227" customFormat="1" x14ac:dyDescent="0.2">
      <c r="A96" s="228">
        <v>30436</v>
      </c>
      <c r="B96" s="229">
        <v>2.0499999999999998</v>
      </c>
      <c r="D96" s="797"/>
      <c r="E96" s="1180"/>
      <c r="F96" s="797"/>
    </row>
    <row r="97" spans="1:6" s="227" customFormat="1" x14ac:dyDescent="0.2">
      <c r="A97" s="228">
        <v>30467</v>
      </c>
      <c r="B97" s="229">
        <v>2.0499999999999998</v>
      </c>
      <c r="D97" s="797"/>
      <c r="E97" s="1180"/>
      <c r="F97" s="797"/>
    </row>
    <row r="98" spans="1:6" s="227" customFormat="1" x14ac:dyDescent="0.2">
      <c r="A98" s="228">
        <v>30497</v>
      </c>
      <c r="B98" s="229">
        <v>2.0499999999999998</v>
      </c>
      <c r="D98" s="797"/>
      <c r="E98" s="1180"/>
      <c r="F98" s="797"/>
    </row>
    <row r="99" spans="1:6" s="227" customFormat="1" x14ac:dyDescent="0.2">
      <c r="A99" s="228">
        <v>30528</v>
      </c>
      <c r="B99" s="229">
        <v>-0.18</v>
      </c>
      <c r="D99" s="797"/>
      <c r="E99" s="1180"/>
      <c r="F99" s="797"/>
    </row>
    <row r="100" spans="1:6" s="227" customFormat="1" x14ac:dyDescent="0.2">
      <c r="A100" s="228">
        <v>30559</v>
      </c>
      <c r="B100" s="229">
        <v>-0.18</v>
      </c>
      <c r="D100" s="797"/>
      <c r="E100" s="1180"/>
      <c r="F100" s="797"/>
    </row>
    <row r="101" spans="1:6" s="227" customFormat="1" x14ac:dyDescent="0.2">
      <c r="A101" s="228">
        <v>30589</v>
      </c>
      <c r="B101" s="229">
        <v>-0.18</v>
      </c>
      <c r="D101" s="797"/>
      <c r="E101" s="1180"/>
      <c r="F101" s="797"/>
    </row>
    <row r="102" spans="1:6" s="227" customFormat="1" x14ac:dyDescent="0.2">
      <c r="A102" s="228">
        <v>30620</v>
      </c>
      <c r="B102" s="229">
        <v>0.25</v>
      </c>
      <c r="D102" s="797"/>
      <c r="E102" s="1180"/>
      <c r="F102" s="797"/>
    </row>
    <row r="103" spans="1:6" s="227" customFormat="1" x14ac:dyDescent="0.2">
      <c r="A103" s="228">
        <v>30650</v>
      </c>
      <c r="B103" s="229">
        <v>0.25</v>
      </c>
      <c r="D103" s="797"/>
      <c r="E103" s="1180"/>
      <c r="F103" s="797"/>
    </row>
    <row r="104" spans="1:6" s="227" customFormat="1" x14ac:dyDescent="0.2">
      <c r="A104" s="228">
        <v>30681</v>
      </c>
      <c r="B104" s="229">
        <v>0.25</v>
      </c>
      <c r="D104" s="797"/>
      <c r="E104" s="1180"/>
      <c r="F104" s="797"/>
    </row>
    <row r="105" spans="1:6" s="227" customFormat="1" x14ac:dyDescent="0.2">
      <c r="A105" s="228">
        <v>30712</v>
      </c>
      <c r="B105" s="229">
        <v>-0.88</v>
      </c>
      <c r="D105" s="797"/>
      <c r="E105" s="1180"/>
      <c r="F105" s="797"/>
    </row>
    <row r="106" spans="1:6" s="227" customFormat="1" x14ac:dyDescent="0.2">
      <c r="A106" s="228">
        <v>30741</v>
      </c>
      <c r="B106" s="229">
        <v>-0.88</v>
      </c>
      <c r="D106" s="797"/>
      <c r="E106" s="1180"/>
      <c r="F106" s="797"/>
    </row>
    <row r="107" spans="1:6" s="227" customFormat="1" x14ac:dyDescent="0.2">
      <c r="A107" s="228">
        <v>30772</v>
      </c>
      <c r="B107" s="229">
        <v>-0.88</v>
      </c>
      <c r="D107" s="797"/>
      <c r="E107" s="1180"/>
      <c r="F107" s="797"/>
    </row>
    <row r="108" spans="1:6" s="227" customFormat="1" x14ac:dyDescent="0.2">
      <c r="A108" s="228">
        <v>30802</v>
      </c>
      <c r="B108" s="229">
        <v>-0.96</v>
      </c>
      <c r="D108" s="797"/>
      <c r="E108" s="1180"/>
      <c r="F108" s="797"/>
    </row>
    <row r="109" spans="1:6" s="227" customFormat="1" x14ac:dyDescent="0.2">
      <c r="A109" s="228">
        <v>30833</v>
      </c>
      <c r="B109" s="229">
        <v>-0.96</v>
      </c>
      <c r="D109" s="797"/>
      <c r="E109" s="1180"/>
      <c r="F109" s="797"/>
    </row>
    <row r="110" spans="1:6" s="227" customFormat="1" x14ac:dyDescent="0.2">
      <c r="A110" s="228">
        <v>30863</v>
      </c>
      <c r="B110" s="229">
        <v>-0.96</v>
      </c>
      <c r="D110" s="797"/>
      <c r="E110" s="1180"/>
      <c r="F110" s="797"/>
    </row>
    <row r="111" spans="1:6" s="227" customFormat="1" x14ac:dyDescent="0.2">
      <c r="A111" s="228">
        <v>30894</v>
      </c>
      <c r="B111" s="229">
        <v>3.13</v>
      </c>
      <c r="D111" s="797"/>
      <c r="E111" s="1180"/>
      <c r="F111" s="797"/>
    </row>
    <row r="112" spans="1:6" s="227" customFormat="1" x14ac:dyDescent="0.2">
      <c r="A112" s="228">
        <v>30925</v>
      </c>
      <c r="B112" s="229">
        <v>3.13</v>
      </c>
      <c r="D112" s="797"/>
      <c r="E112" s="1180"/>
      <c r="F112" s="797"/>
    </row>
    <row r="113" spans="1:6" s="227" customFormat="1" x14ac:dyDescent="0.2">
      <c r="A113" s="228">
        <v>30955</v>
      </c>
      <c r="B113" s="229">
        <v>3.13</v>
      </c>
      <c r="D113" s="797"/>
      <c r="E113" s="1180"/>
      <c r="F113" s="797"/>
    </row>
    <row r="114" spans="1:6" s="227" customFormat="1" x14ac:dyDescent="0.2">
      <c r="A114" s="228">
        <v>30986</v>
      </c>
      <c r="B114" s="229">
        <v>1.9</v>
      </c>
      <c r="D114" s="797"/>
      <c r="E114" s="1180"/>
      <c r="F114" s="797"/>
    </row>
    <row r="115" spans="1:6" s="227" customFormat="1" x14ac:dyDescent="0.2">
      <c r="A115" s="228">
        <v>31016</v>
      </c>
      <c r="B115" s="229">
        <v>1.9</v>
      </c>
      <c r="D115" s="797"/>
      <c r="E115" s="1180"/>
      <c r="F115" s="797"/>
    </row>
    <row r="116" spans="1:6" s="227" customFormat="1" x14ac:dyDescent="0.2">
      <c r="A116" s="228">
        <v>31047</v>
      </c>
      <c r="B116" s="229">
        <v>1.9</v>
      </c>
      <c r="D116" s="797"/>
      <c r="E116" s="1180"/>
      <c r="F116" s="797"/>
    </row>
    <row r="117" spans="1:6" s="227" customFormat="1" x14ac:dyDescent="0.2">
      <c r="A117" s="228">
        <v>31078</v>
      </c>
      <c r="B117" s="229">
        <v>1.54</v>
      </c>
      <c r="D117" s="797"/>
      <c r="E117" s="1180"/>
      <c r="F117" s="797"/>
    </row>
    <row r="118" spans="1:6" s="227" customFormat="1" x14ac:dyDescent="0.2">
      <c r="A118" s="228">
        <v>31106</v>
      </c>
      <c r="B118" s="229">
        <v>1.54</v>
      </c>
      <c r="D118" s="797"/>
      <c r="E118" s="1180"/>
      <c r="F118" s="797"/>
    </row>
    <row r="119" spans="1:6" s="227" customFormat="1" x14ac:dyDescent="0.2">
      <c r="A119" s="228">
        <v>31137</v>
      </c>
      <c r="B119" s="229">
        <v>1.54</v>
      </c>
      <c r="D119" s="797"/>
      <c r="E119" s="1180"/>
      <c r="F119" s="797"/>
    </row>
    <row r="120" spans="1:6" s="227" customFormat="1" x14ac:dyDescent="0.2">
      <c r="A120" s="228">
        <v>31167</v>
      </c>
      <c r="B120" s="229">
        <v>2.9771000000000001</v>
      </c>
      <c r="D120" s="797"/>
      <c r="E120" s="1180"/>
      <c r="F120" s="797"/>
    </row>
    <row r="121" spans="1:6" s="227" customFormat="1" x14ac:dyDescent="0.2">
      <c r="A121" s="228">
        <v>31198</v>
      </c>
      <c r="B121" s="229">
        <v>2.9771000000000001</v>
      </c>
      <c r="D121" s="797"/>
      <c r="E121" s="1180"/>
      <c r="F121" s="797"/>
    </row>
    <row r="122" spans="1:6" s="227" customFormat="1" x14ac:dyDescent="0.2">
      <c r="A122" s="228">
        <v>31228</v>
      </c>
      <c r="B122" s="229">
        <v>2.9771000000000001</v>
      </c>
      <c r="D122" s="797"/>
      <c r="E122" s="1180"/>
      <c r="F122" s="797"/>
    </row>
    <row r="123" spans="1:6" s="227" customFormat="1" x14ac:dyDescent="0.2">
      <c r="A123" s="228">
        <v>31259</v>
      </c>
      <c r="B123" s="229">
        <v>-0.60360000000000003</v>
      </c>
      <c r="D123" s="797"/>
      <c r="E123" s="1180"/>
      <c r="F123" s="797"/>
    </row>
    <row r="124" spans="1:6" s="227" customFormat="1" x14ac:dyDescent="0.2">
      <c r="A124" s="228">
        <v>31290</v>
      </c>
      <c r="B124" s="229">
        <v>-0.60360000000000003</v>
      </c>
      <c r="D124" s="797"/>
      <c r="E124" s="1180"/>
      <c r="F124" s="797"/>
    </row>
    <row r="125" spans="1:6" s="227" customFormat="1" x14ac:dyDescent="0.2">
      <c r="A125" s="228">
        <v>31320</v>
      </c>
      <c r="B125" s="229">
        <v>-0.60360000000000003</v>
      </c>
      <c r="D125" s="797"/>
      <c r="E125" s="1180"/>
      <c r="F125" s="797"/>
    </row>
    <row r="126" spans="1:6" s="227" customFormat="1" x14ac:dyDescent="0.2">
      <c r="A126" s="228">
        <v>31351</v>
      </c>
      <c r="B126" s="229">
        <v>4.43</v>
      </c>
      <c r="D126" s="797"/>
      <c r="E126" s="1180"/>
      <c r="F126" s="797"/>
    </row>
    <row r="127" spans="1:6" s="227" customFormat="1" x14ac:dyDescent="0.2">
      <c r="A127" s="228">
        <v>31381</v>
      </c>
      <c r="B127" s="229">
        <v>4.43</v>
      </c>
      <c r="D127" s="797"/>
      <c r="E127" s="1180"/>
      <c r="F127" s="797"/>
    </row>
    <row r="128" spans="1:6" s="227" customFormat="1" x14ac:dyDescent="0.2">
      <c r="A128" s="228">
        <v>31412</v>
      </c>
      <c r="B128" s="229">
        <v>4.43</v>
      </c>
      <c r="D128" s="797"/>
      <c r="E128" s="1180"/>
      <c r="F128" s="797"/>
    </row>
    <row r="129" spans="1:6" s="227" customFormat="1" x14ac:dyDescent="0.2">
      <c r="A129" s="228">
        <v>31443</v>
      </c>
      <c r="B129" s="229">
        <v>4.59</v>
      </c>
      <c r="D129" s="797"/>
      <c r="E129" s="1180"/>
      <c r="F129" s="797"/>
    </row>
    <row r="130" spans="1:6" s="227" customFormat="1" x14ac:dyDescent="0.2">
      <c r="A130" s="228">
        <v>31471</v>
      </c>
      <c r="B130" s="229">
        <v>4.59</v>
      </c>
      <c r="D130" s="797"/>
      <c r="E130" s="1180"/>
      <c r="F130" s="797"/>
    </row>
    <row r="131" spans="1:6" s="227" customFormat="1" x14ac:dyDescent="0.2">
      <c r="A131" s="228">
        <v>31502</v>
      </c>
      <c r="B131" s="229">
        <v>4.59</v>
      </c>
      <c r="D131" s="797"/>
      <c r="E131" s="1180"/>
      <c r="F131" s="797"/>
    </row>
    <row r="132" spans="1:6" s="227" customFormat="1" x14ac:dyDescent="0.2">
      <c r="A132" s="228">
        <v>31532</v>
      </c>
      <c r="B132" s="229">
        <v>0.96</v>
      </c>
      <c r="D132" s="797"/>
      <c r="E132" s="1180"/>
      <c r="F132" s="797"/>
    </row>
    <row r="133" spans="1:6" s="227" customFormat="1" x14ac:dyDescent="0.2">
      <c r="A133" s="228">
        <v>31563</v>
      </c>
      <c r="B133" s="229">
        <v>0.96</v>
      </c>
      <c r="D133" s="797"/>
      <c r="E133" s="1180"/>
      <c r="F133" s="797"/>
    </row>
    <row r="134" spans="1:6" s="227" customFormat="1" x14ac:dyDescent="0.2">
      <c r="A134" s="228">
        <v>31593</v>
      </c>
      <c r="B134" s="229">
        <v>0.96</v>
      </c>
      <c r="D134" s="797"/>
      <c r="E134" s="1180"/>
      <c r="F134" s="797"/>
    </row>
    <row r="135" spans="1:6" s="227" customFormat="1" x14ac:dyDescent="0.2">
      <c r="A135" s="228">
        <v>31624</v>
      </c>
      <c r="B135" s="229">
        <v>-1.0442</v>
      </c>
      <c r="D135" s="797"/>
      <c r="E135" s="1180"/>
      <c r="F135" s="797"/>
    </row>
    <row r="136" spans="1:6" s="227" customFormat="1" x14ac:dyDescent="0.2">
      <c r="A136" s="228">
        <v>31655</v>
      </c>
      <c r="B136" s="229">
        <v>-1.0442</v>
      </c>
      <c r="D136" s="797"/>
      <c r="E136" s="1180"/>
      <c r="F136" s="797"/>
    </row>
    <row r="137" spans="1:6" s="227" customFormat="1" x14ac:dyDescent="0.2">
      <c r="A137" s="228">
        <v>31685</v>
      </c>
      <c r="B137" s="229">
        <v>-1.0442</v>
      </c>
      <c r="D137" s="797"/>
      <c r="E137" s="1180"/>
      <c r="F137" s="797"/>
    </row>
    <row r="138" spans="1:6" s="227" customFormat="1" x14ac:dyDescent="0.2">
      <c r="A138" s="228">
        <v>31716</v>
      </c>
      <c r="B138" s="229">
        <v>1.7</v>
      </c>
      <c r="D138" s="797"/>
      <c r="E138" s="1180"/>
      <c r="F138" s="797"/>
    </row>
    <row r="139" spans="1:6" s="227" customFormat="1" x14ac:dyDescent="0.2">
      <c r="A139" s="228">
        <v>31746</v>
      </c>
      <c r="B139" s="229">
        <v>1.7</v>
      </c>
      <c r="D139" s="797"/>
      <c r="E139" s="1180"/>
      <c r="F139" s="797"/>
    </row>
    <row r="140" spans="1:6" s="227" customFormat="1" x14ac:dyDescent="0.2">
      <c r="A140" s="228">
        <v>31777</v>
      </c>
      <c r="B140" s="229">
        <v>1.7</v>
      </c>
      <c r="D140" s="797"/>
      <c r="E140" s="1180"/>
      <c r="F140" s="797"/>
    </row>
    <row r="141" spans="1:6" s="227" customFormat="1" x14ac:dyDescent="0.2">
      <c r="A141" s="228">
        <v>31808</v>
      </c>
      <c r="B141" s="229">
        <v>3.23</v>
      </c>
      <c r="D141" s="797"/>
      <c r="E141" s="1180"/>
      <c r="F141" s="797"/>
    </row>
    <row r="142" spans="1:6" s="227" customFormat="1" x14ac:dyDescent="0.2">
      <c r="A142" s="228">
        <v>31836</v>
      </c>
      <c r="B142" s="229">
        <v>3.23</v>
      </c>
      <c r="D142" s="797"/>
      <c r="E142" s="1180"/>
      <c r="F142" s="797"/>
    </row>
    <row r="143" spans="1:6" s="227" customFormat="1" x14ac:dyDescent="0.2">
      <c r="A143" s="228">
        <v>31867</v>
      </c>
      <c r="B143" s="229">
        <v>3.23</v>
      </c>
      <c r="D143" s="797"/>
      <c r="E143" s="1180"/>
      <c r="F143" s="797"/>
    </row>
    <row r="144" spans="1:6" s="227" customFormat="1" x14ac:dyDescent="0.2">
      <c r="A144" s="228">
        <v>31897</v>
      </c>
      <c r="B144" s="229">
        <v>-0.1</v>
      </c>
      <c r="D144" s="797"/>
      <c r="E144" s="1180"/>
      <c r="F144" s="797"/>
    </row>
    <row r="145" spans="1:6" s="227" customFormat="1" x14ac:dyDescent="0.2">
      <c r="A145" s="228">
        <v>31928</v>
      </c>
      <c r="B145" s="229">
        <v>-0.1</v>
      </c>
      <c r="D145" s="797"/>
      <c r="E145" s="1180"/>
      <c r="F145" s="797"/>
    </row>
    <row r="146" spans="1:6" s="227" customFormat="1" x14ac:dyDescent="0.2">
      <c r="A146" s="228">
        <v>31958</v>
      </c>
      <c r="B146" s="229">
        <v>-0.1</v>
      </c>
      <c r="D146" s="797"/>
      <c r="E146" s="1180"/>
      <c r="F146" s="797"/>
    </row>
    <row r="147" spans="1:6" s="227" customFormat="1" x14ac:dyDescent="0.2">
      <c r="A147" s="228">
        <v>31989</v>
      </c>
      <c r="B147" s="229">
        <v>0.1</v>
      </c>
      <c r="D147" s="797"/>
      <c r="E147" s="1180"/>
      <c r="F147" s="797"/>
    </row>
    <row r="148" spans="1:6" s="227" customFormat="1" x14ac:dyDescent="0.2">
      <c r="A148" s="228">
        <v>32020</v>
      </c>
      <c r="B148" s="229">
        <v>0.1</v>
      </c>
      <c r="D148" s="797"/>
      <c r="E148" s="1180"/>
      <c r="F148" s="797"/>
    </row>
    <row r="149" spans="1:6" s="227" customFormat="1" x14ac:dyDescent="0.2">
      <c r="A149" s="228">
        <v>32050</v>
      </c>
      <c r="B149" s="229">
        <v>0.1</v>
      </c>
      <c r="D149" s="797"/>
      <c r="E149" s="1180"/>
      <c r="F149" s="797"/>
    </row>
    <row r="150" spans="1:6" s="227" customFormat="1" x14ac:dyDescent="0.2">
      <c r="A150" s="228">
        <v>32081</v>
      </c>
      <c r="B150" s="229">
        <v>-1.73</v>
      </c>
      <c r="D150" s="797"/>
      <c r="E150" s="1180"/>
      <c r="F150" s="797"/>
    </row>
    <row r="151" spans="1:6" s="227" customFormat="1" x14ac:dyDescent="0.2">
      <c r="A151" s="228">
        <v>32111</v>
      </c>
      <c r="B151" s="229">
        <v>-1.73</v>
      </c>
      <c r="D151" s="797"/>
      <c r="E151" s="1180"/>
      <c r="F151" s="797"/>
    </row>
    <row r="152" spans="1:6" s="227" customFormat="1" x14ac:dyDescent="0.2">
      <c r="A152" s="228">
        <v>32142</v>
      </c>
      <c r="B152" s="229">
        <v>-1.73</v>
      </c>
      <c r="D152" s="797"/>
      <c r="E152" s="1180"/>
      <c r="F152" s="797"/>
    </row>
    <row r="153" spans="1:6" s="227" customFormat="1" x14ac:dyDescent="0.2">
      <c r="A153" s="228">
        <v>32173</v>
      </c>
      <c r="B153" s="229">
        <v>1.62</v>
      </c>
      <c r="D153" s="797"/>
      <c r="E153" s="1180"/>
      <c r="F153" s="797"/>
    </row>
    <row r="154" spans="1:6" s="227" customFormat="1" x14ac:dyDescent="0.2">
      <c r="A154" s="228">
        <v>32202</v>
      </c>
      <c r="B154" s="229">
        <v>1.62</v>
      </c>
      <c r="D154" s="797"/>
      <c r="E154" s="1180"/>
      <c r="F154" s="797"/>
    </row>
    <row r="155" spans="1:6" s="227" customFormat="1" x14ac:dyDescent="0.2">
      <c r="A155" s="228">
        <v>32233</v>
      </c>
      <c r="B155" s="229">
        <v>1.62</v>
      </c>
      <c r="D155" s="797"/>
      <c r="E155" s="1180"/>
      <c r="F155" s="797"/>
    </row>
    <row r="156" spans="1:6" s="227" customFormat="1" x14ac:dyDescent="0.2">
      <c r="A156" s="228">
        <v>32263</v>
      </c>
      <c r="B156" s="229">
        <v>1.05</v>
      </c>
      <c r="D156" s="797"/>
      <c r="E156" s="1180"/>
      <c r="F156" s="797"/>
    </row>
    <row r="157" spans="1:6" s="227" customFormat="1" x14ac:dyDescent="0.2">
      <c r="A157" s="228">
        <v>32294</v>
      </c>
      <c r="B157" s="229">
        <v>1.05</v>
      </c>
      <c r="D157" s="797"/>
      <c r="E157" s="1180"/>
      <c r="F157" s="797"/>
    </row>
    <row r="158" spans="1:6" s="227" customFormat="1" x14ac:dyDescent="0.2">
      <c r="A158" s="228">
        <v>32324</v>
      </c>
      <c r="B158" s="229">
        <v>1.05</v>
      </c>
      <c r="D158" s="797"/>
      <c r="E158" s="1180"/>
      <c r="F158" s="797"/>
    </row>
    <row r="159" spans="1:6" s="227" customFormat="1" x14ac:dyDescent="0.2">
      <c r="A159" s="228">
        <v>32355</v>
      </c>
      <c r="B159" s="229">
        <v>0.28999999999999998</v>
      </c>
      <c r="D159" s="797"/>
      <c r="E159" s="1180"/>
      <c r="F159" s="797"/>
    </row>
    <row r="160" spans="1:6" s="227" customFormat="1" x14ac:dyDescent="0.2">
      <c r="A160" s="228">
        <v>32386</v>
      </c>
      <c r="B160" s="229">
        <v>0.28999999999999998</v>
      </c>
      <c r="D160" s="797"/>
      <c r="E160" s="1180"/>
      <c r="F160" s="797"/>
    </row>
    <row r="161" spans="1:6" s="227" customFormat="1" x14ac:dyDescent="0.2">
      <c r="A161" s="228">
        <v>32416</v>
      </c>
      <c r="B161" s="229">
        <v>0.28999999999999998</v>
      </c>
      <c r="D161" s="797"/>
      <c r="E161" s="1180"/>
      <c r="F161" s="797"/>
    </row>
    <row r="162" spans="1:6" s="227" customFormat="1" x14ac:dyDescent="0.2">
      <c r="A162" s="228">
        <v>32447</v>
      </c>
      <c r="B162" s="229">
        <v>0.93</v>
      </c>
      <c r="D162" s="797"/>
      <c r="E162" s="1180"/>
      <c r="F162" s="797"/>
    </row>
    <row r="163" spans="1:6" s="227" customFormat="1" x14ac:dyDescent="0.2">
      <c r="A163" s="228">
        <v>32477</v>
      </c>
      <c r="B163" s="229">
        <v>0.93</v>
      </c>
      <c r="D163" s="797"/>
      <c r="E163" s="1180"/>
      <c r="F163" s="797"/>
    </row>
    <row r="164" spans="1:6" s="227" customFormat="1" x14ac:dyDescent="0.2">
      <c r="A164" s="228">
        <v>32508</v>
      </c>
      <c r="B164" s="229">
        <v>0.93</v>
      </c>
      <c r="D164" s="797"/>
      <c r="E164" s="1180"/>
      <c r="F164" s="797"/>
    </row>
    <row r="165" spans="1:6" s="227" customFormat="1" x14ac:dyDescent="0.2">
      <c r="A165" s="228">
        <v>32539</v>
      </c>
      <c r="B165" s="229">
        <v>1.0900000000000001</v>
      </c>
      <c r="D165" s="797"/>
      <c r="E165" s="1180"/>
      <c r="F165" s="797"/>
    </row>
    <row r="166" spans="1:6" s="227" customFormat="1" x14ac:dyDescent="0.2">
      <c r="A166" s="228">
        <v>32567</v>
      </c>
      <c r="B166" s="229">
        <v>1.0900000000000001</v>
      </c>
      <c r="D166" s="797"/>
      <c r="E166" s="1180"/>
      <c r="F166" s="797"/>
    </row>
    <row r="167" spans="1:6" s="227" customFormat="1" x14ac:dyDescent="0.2">
      <c r="A167" s="228">
        <v>32598</v>
      </c>
      <c r="B167" s="229">
        <v>1.0900000000000001</v>
      </c>
      <c r="D167" s="797"/>
      <c r="E167" s="1180"/>
      <c r="F167" s="797"/>
    </row>
    <row r="168" spans="1:6" s="227" customFormat="1" x14ac:dyDescent="0.2">
      <c r="A168" s="228">
        <v>32628</v>
      </c>
      <c r="B168" s="229">
        <v>2.1800000000000002</v>
      </c>
      <c r="D168" s="797"/>
      <c r="E168" s="1180"/>
      <c r="F168" s="797"/>
    </row>
    <row r="169" spans="1:6" s="227" customFormat="1" x14ac:dyDescent="0.2">
      <c r="A169" s="228">
        <v>32659</v>
      </c>
      <c r="B169" s="229">
        <v>2.1800000000000002</v>
      </c>
      <c r="D169" s="797"/>
      <c r="E169" s="1180"/>
      <c r="F169" s="797"/>
    </row>
    <row r="170" spans="1:6" s="227" customFormat="1" x14ac:dyDescent="0.2">
      <c r="A170" s="228">
        <v>32689</v>
      </c>
      <c r="B170" s="229">
        <v>2.1800000000000002</v>
      </c>
      <c r="D170" s="797"/>
      <c r="E170" s="1180"/>
      <c r="F170" s="797"/>
    </row>
    <row r="171" spans="1:6" s="227" customFormat="1" x14ac:dyDescent="0.2">
      <c r="A171" s="228">
        <v>32720</v>
      </c>
      <c r="B171" s="229">
        <v>1.42</v>
      </c>
      <c r="D171" s="797"/>
      <c r="E171" s="1180"/>
      <c r="F171" s="797"/>
    </row>
    <row r="172" spans="1:6" s="227" customFormat="1" x14ac:dyDescent="0.2">
      <c r="A172" s="228">
        <v>32751</v>
      </c>
      <c r="B172" s="229">
        <v>1.42</v>
      </c>
      <c r="D172" s="797"/>
      <c r="E172" s="1180"/>
      <c r="F172" s="797"/>
    </row>
    <row r="173" spans="1:6" s="227" customFormat="1" x14ac:dyDescent="0.2">
      <c r="A173" s="228">
        <v>32781</v>
      </c>
      <c r="B173" s="229">
        <v>1.42</v>
      </c>
      <c r="D173" s="797"/>
      <c r="E173" s="1180"/>
      <c r="F173" s="797"/>
    </row>
    <row r="174" spans="1:6" s="227" customFormat="1" x14ac:dyDescent="0.2">
      <c r="A174" s="228">
        <v>32812</v>
      </c>
      <c r="B174" s="229">
        <v>1.03</v>
      </c>
      <c r="D174" s="797"/>
      <c r="E174" s="1180"/>
      <c r="F174" s="797"/>
    </row>
    <row r="175" spans="1:6" s="227" customFormat="1" x14ac:dyDescent="0.2">
      <c r="A175" s="228">
        <v>32842</v>
      </c>
      <c r="B175" s="229">
        <v>1.03</v>
      </c>
      <c r="D175" s="797"/>
      <c r="E175" s="1180"/>
      <c r="F175" s="797"/>
    </row>
    <row r="176" spans="1:6" s="227" customFormat="1" x14ac:dyDescent="0.2">
      <c r="A176" s="228">
        <v>32873</v>
      </c>
      <c r="B176" s="229">
        <v>1.03</v>
      </c>
      <c r="D176" s="797"/>
      <c r="E176" s="1180"/>
      <c r="F176" s="797"/>
    </row>
    <row r="177" spans="1:6" s="227" customFormat="1" x14ac:dyDescent="0.2">
      <c r="A177" s="228">
        <v>32904</v>
      </c>
      <c r="B177" s="229">
        <v>-1.0067999999999999</v>
      </c>
      <c r="D177" s="797"/>
      <c r="E177" s="1180"/>
      <c r="F177" s="797"/>
    </row>
    <row r="178" spans="1:6" s="227" customFormat="1" x14ac:dyDescent="0.2">
      <c r="A178" s="228">
        <v>32932</v>
      </c>
      <c r="B178" s="229">
        <v>-1.0067999999999999</v>
      </c>
      <c r="D178" s="797"/>
      <c r="E178" s="1180"/>
      <c r="F178" s="797"/>
    </row>
    <row r="179" spans="1:6" s="227" customFormat="1" x14ac:dyDescent="0.2">
      <c r="A179" s="228">
        <v>32963</v>
      </c>
      <c r="B179" s="229">
        <v>-0.98740000000000006</v>
      </c>
      <c r="D179" s="797"/>
      <c r="E179" s="1180"/>
      <c r="F179" s="797"/>
    </row>
    <row r="180" spans="1:6" s="227" customFormat="1" x14ac:dyDescent="0.2">
      <c r="A180" s="228">
        <v>32993</v>
      </c>
      <c r="B180" s="229">
        <v>1.6</v>
      </c>
      <c r="D180" s="797"/>
      <c r="E180" s="1180"/>
      <c r="F180" s="797"/>
    </row>
    <row r="181" spans="1:6" s="227" customFormat="1" x14ac:dyDescent="0.2">
      <c r="A181" s="228">
        <v>33024</v>
      </c>
      <c r="B181" s="229">
        <v>1.6</v>
      </c>
      <c r="D181" s="797"/>
      <c r="E181" s="1180"/>
      <c r="F181" s="797"/>
    </row>
    <row r="182" spans="1:6" s="227" customFormat="1" x14ac:dyDescent="0.2">
      <c r="A182" s="228">
        <v>33054</v>
      </c>
      <c r="B182" s="229">
        <v>1.6194</v>
      </c>
      <c r="D182" s="797"/>
      <c r="E182" s="1180"/>
      <c r="F182" s="797"/>
    </row>
    <row r="183" spans="1:6" s="227" customFormat="1" x14ac:dyDescent="0.2">
      <c r="A183" s="228">
        <v>33085</v>
      </c>
      <c r="B183" s="229">
        <v>-2.3898999999999999</v>
      </c>
      <c r="D183" s="797"/>
      <c r="E183" s="1180"/>
      <c r="F183" s="797"/>
    </row>
    <row r="184" spans="1:6" s="227" customFormat="1" x14ac:dyDescent="0.2">
      <c r="A184" s="228">
        <v>33116</v>
      </c>
      <c r="B184" s="229">
        <v>-2.3898999999999999</v>
      </c>
      <c r="D184" s="797"/>
      <c r="E184" s="1180"/>
      <c r="F184" s="797"/>
    </row>
    <row r="185" spans="1:6" s="227" customFormat="1" x14ac:dyDescent="0.2">
      <c r="A185" s="228">
        <v>33146</v>
      </c>
      <c r="B185" s="229">
        <v>-2.3704999999999998</v>
      </c>
      <c r="D185" s="797"/>
      <c r="E185" s="1180"/>
      <c r="F185" s="797"/>
    </row>
    <row r="186" spans="1:6" s="227" customFormat="1" x14ac:dyDescent="0.2">
      <c r="A186" s="228">
        <v>33177</v>
      </c>
      <c r="B186" s="229">
        <v>2.4689999999999999</v>
      </c>
      <c r="D186" s="797"/>
      <c r="E186" s="1180"/>
      <c r="F186" s="797"/>
    </row>
    <row r="187" spans="1:6" s="227" customFormat="1" x14ac:dyDescent="0.2">
      <c r="A187" s="228">
        <v>33207</v>
      </c>
      <c r="B187" s="229">
        <v>2.4689999999999999</v>
      </c>
      <c r="D187" s="797"/>
      <c r="E187" s="1180"/>
      <c r="F187" s="797"/>
    </row>
    <row r="188" spans="1:6" s="227" customFormat="1" x14ac:dyDescent="0.2">
      <c r="A188" s="228">
        <v>33238</v>
      </c>
      <c r="B188" s="229">
        <v>2.4883999999999999</v>
      </c>
      <c r="D188" s="797"/>
      <c r="E188" s="1180"/>
      <c r="F188" s="797"/>
    </row>
    <row r="189" spans="1:6" s="227" customFormat="1" x14ac:dyDescent="0.2">
      <c r="A189" s="228">
        <v>33269</v>
      </c>
      <c r="B189" s="229">
        <v>2.4900000000000002</v>
      </c>
      <c r="D189" s="797"/>
      <c r="E189" s="1180"/>
      <c r="F189" s="797"/>
    </row>
    <row r="190" spans="1:6" s="227" customFormat="1" x14ac:dyDescent="0.2">
      <c r="A190" s="228">
        <v>33297</v>
      </c>
      <c r="B190" s="229">
        <v>2.4900000000000002</v>
      </c>
      <c r="D190" s="797"/>
      <c r="E190" s="1180"/>
      <c r="F190" s="797"/>
    </row>
    <row r="191" spans="1:6" s="227" customFormat="1" x14ac:dyDescent="0.2">
      <c r="A191" s="228">
        <v>33328</v>
      </c>
      <c r="B191" s="229">
        <v>2.5093999999999999</v>
      </c>
      <c r="D191" s="797"/>
      <c r="E191" s="1180"/>
      <c r="F191" s="797"/>
    </row>
    <row r="192" spans="1:6" s="227" customFormat="1" x14ac:dyDescent="0.2">
      <c r="A192" s="228">
        <v>33358</v>
      </c>
      <c r="B192" s="229">
        <v>5.6500000000000002E-2</v>
      </c>
      <c r="D192" s="797"/>
      <c r="E192" s="1180"/>
      <c r="F192" s="797"/>
    </row>
    <row r="193" spans="1:6" s="227" customFormat="1" x14ac:dyDescent="0.2">
      <c r="A193" s="228">
        <v>33389</v>
      </c>
      <c r="B193" s="229">
        <v>5.6500000000000002E-2</v>
      </c>
      <c r="D193" s="797"/>
      <c r="E193" s="1180"/>
      <c r="F193" s="797"/>
    </row>
    <row r="194" spans="1:6" s="227" customFormat="1" x14ac:dyDescent="0.2">
      <c r="A194" s="228">
        <v>33419</v>
      </c>
      <c r="B194" s="229">
        <v>7.5899999999999995E-2</v>
      </c>
      <c r="D194" s="797"/>
      <c r="E194" s="1180"/>
      <c r="F194" s="797"/>
    </row>
    <row r="195" spans="1:6" s="227" customFormat="1" x14ac:dyDescent="0.2">
      <c r="A195" s="228">
        <v>33450</v>
      </c>
      <c r="B195" s="229">
        <v>2.1890000000000001</v>
      </c>
      <c r="D195" s="797"/>
      <c r="E195" s="1180"/>
      <c r="F195" s="797"/>
    </row>
    <row r="196" spans="1:6" s="227" customFormat="1" x14ac:dyDescent="0.2">
      <c r="A196" s="228">
        <v>33481</v>
      </c>
      <c r="B196" s="229">
        <v>2.1894</v>
      </c>
      <c r="D196" s="797"/>
      <c r="E196" s="1180"/>
      <c r="F196" s="797"/>
    </row>
    <row r="197" spans="1:6" s="227" customFormat="1" x14ac:dyDescent="0.2">
      <c r="A197" s="228">
        <v>33511</v>
      </c>
      <c r="B197" s="229">
        <v>2.2088000000000001</v>
      </c>
      <c r="D197" s="797"/>
      <c r="E197" s="1180"/>
      <c r="F197" s="797"/>
    </row>
    <row r="198" spans="1:6" s="227" customFormat="1" x14ac:dyDescent="0.2">
      <c r="A198" s="228">
        <v>33542</v>
      </c>
      <c r="B198" s="229">
        <v>2.15</v>
      </c>
      <c r="D198" s="797"/>
      <c r="E198" s="1180"/>
      <c r="F198" s="797"/>
    </row>
    <row r="199" spans="1:6" s="227" customFormat="1" x14ac:dyDescent="0.2">
      <c r="A199" s="228">
        <v>33572</v>
      </c>
      <c r="B199" s="229">
        <v>2.15</v>
      </c>
      <c r="D199" s="797"/>
      <c r="E199" s="1180"/>
      <c r="F199" s="797"/>
    </row>
    <row r="200" spans="1:6" s="227" customFormat="1" x14ac:dyDescent="0.2">
      <c r="A200" s="228">
        <v>33603</v>
      </c>
      <c r="B200" s="229">
        <v>2.1494</v>
      </c>
      <c r="D200" s="797"/>
      <c r="E200" s="1180"/>
      <c r="F200" s="797"/>
    </row>
    <row r="201" spans="1:6" s="227" customFormat="1" x14ac:dyDescent="0.2">
      <c r="A201" s="228">
        <v>33634</v>
      </c>
      <c r="B201" s="229">
        <v>-0.70150000000000001</v>
      </c>
      <c r="D201" s="797"/>
      <c r="E201" s="1180"/>
      <c r="F201" s="797"/>
    </row>
    <row r="202" spans="1:6" s="227" customFormat="1" x14ac:dyDescent="0.2">
      <c r="A202" s="228">
        <v>33663</v>
      </c>
      <c r="B202" s="229">
        <v>-0.70150000000000001</v>
      </c>
      <c r="D202" s="797"/>
      <c r="E202" s="1180"/>
      <c r="F202" s="797"/>
    </row>
    <row r="203" spans="1:6" s="227" customFormat="1" x14ac:dyDescent="0.2">
      <c r="A203" s="228">
        <v>33694</v>
      </c>
      <c r="B203" s="229">
        <v>-0.68210000000000004</v>
      </c>
      <c r="D203" s="797"/>
      <c r="E203" s="1180"/>
      <c r="F203" s="797"/>
    </row>
    <row r="204" spans="1:6" s="227" customFormat="1" x14ac:dyDescent="0.2">
      <c r="A204" s="228">
        <v>33724</v>
      </c>
      <c r="B204" s="229">
        <v>0.97</v>
      </c>
      <c r="D204" s="797"/>
      <c r="E204" s="1180"/>
      <c r="F204" s="797"/>
    </row>
    <row r="205" spans="1:6" s="227" customFormat="1" x14ac:dyDescent="0.2">
      <c r="A205" s="228">
        <v>33755</v>
      </c>
      <c r="B205" s="229">
        <v>0.97</v>
      </c>
      <c r="D205" s="797"/>
      <c r="E205" s="1180"/>
      <c r="F205" s="797"/>
    </row>
    <row r="206" spans="1:6" s="227" customFormat="1" x14ac:dyDescent="0.2">
      <c r="A206" s="228">
        <v>33785</v>
      </c>
      <c r="B206" s="229">
        <v>0.98939999999999995</v>
      </c>
      <c r="D206" s="797"/>
      <c r="E206" s="1180"/>
      <c r="F206" s="797"/>
    </row>
    <row r="207" spans="1:6" s="227" customFormat="1" x14ac:dyDescent="0.2">
      <c r="A207" s="228">
        <v>33816</v>
      </c>
      <c r="B207" s="229">
        <v>1.4572000000000001</v>
      </c>
      <c r="D207" s="797"/>
      <c r="E207" s="1180"/>
      <c r="F207" s="797"/>
    </row>
    <row r="208" spans="1:6" s="227" customFormat="1" x14ac:dyDescent="0.2">
      <c r="A208" s="228">
        <v>33847</v>
      </c>
      <c r="B208" s="229">
        <v>1.4572000000000001</v>
      </c>
      <c r="D208" s="797"/>
      <c r="E208" s="1180"/>
      <c r="F208" s="797"/>
    </row>
    <row r="209" spans="1:6" s="227" customFormat="1" x14ac:dyDescent="0.2">
      <c r="A209" s="228">
        <v>33877</v>
      </c>
      <c r="B209" s="229">
        <v>1.4765999999999999</v>
      </c>
      <c r="D209" s="797"/>
      <c r="E209" s="1180"/>
      <c r="F209" s="797"/>
    </row>
    <row r="210" spans="1:6" s="227" customFormat="1" x14ac:dyDescent="0.2">
      <c r="A210" s="228">
        <v>33908</v>
      </c>
      <c r="B210" s="229">
        <v>0.90180000000000005</v>
      </c>
      <c r="D210" s="797"/>
      <c r="E210" s="1180"/>
      <c r="F210" s="797"/>
    </row>
    <row r="211" spans="1:6" s="227" customFormat="1" x14ac:dyDescent="0.2">
      <c r="A211" s="228">
        <v>33938</v>
      </c>
      <c r="B211" s="229">
        <v>0.90180000000000005</v>
      </c>
      <c r="D211" s="797"/>
      <c r="E211" s="1180"/>
      <c r="F211" s="797"/>
    </row>
    <row r="212" spans="1:6" s="227" customFormat="1" x14ac:dyDescent="0.2">
      <c r="A212" s="228">
        <v>33969</v>
      </c>
      <c r="B212" s="229">
        <v>0.92120000000000002</v>
      </c>
      <c r="D212" s="797"/>
      <c r="E212" s="1180"/>
      <c r="F212" s="797"/>
    </row>
    <row r="213" spans="1:6" s="227" customFormat="1" x14ac:dyDescent="0.2">
      <c r="A213" s="228">
        <v>34000</v>
      </c>
      <c r="B213" s="229">
        <v>1.8714</v>
      </c>
      <c r="D213" s="797"/>
      <c r="E213" s="1180"/>
      <c r="F213" s="797"/>
    </row>
    <row r="214" spans="1:6" s="227" customFormat="1" x14ac:dyDescent="0.2">
      <c r="A214" s="228">
        <v>34028</v>
      </c>
      <c r="B214" s="229">
        <v>1.8714</v>
      </c>
      <c r="D214" s="797"/>
      <c r="E214" s="1180"/>
      <c r="F214" s="797"/>
    </row>
    <row r="215" spans="1:6" s="227" customFormat="1" x14ac:dyDescent="0.2">
      <c r="A215" s="228">
        <v>34059</v>
      </c>
      <c r="B215" s="229">
        <v>1.8908</v>
      </c>
      <c r="D215" s="797"/>
      <c r="E215" s="1180"/>
      <c r="F215" s="797"/>
    </row>
    <row r="216" spans="1:6" s="227" customFormat="1" x14ac:dyDescent="0.2">
      <c r="A216" s="228">
        <v>34089</v>
      </c>
      <c r="B216" s="229">
        <v>0.94440000000000002</v>
      </c>
      <c r="D216" s="797"/>
      <c r="E216" s="1180"/>
      <c r="F216" s="797"/>
    </row>
    <row r="217" spans="1:6" s="227" customFormat="1" x14ac:dyDescent="0.2">
      <c r="A217" s="228">
        <v>34120</v>
      </c>
      <c r="B217" s="229">
        <v>0.94440000000000002</v>
      </c>
      <c r="D217" s="797"/>
      <c r="E217" s="1180"/>
      <c r="F217" s="797"/>
    </row>
    <row r="218" spans="1:6" s="227" customFormat="1" x14ac:dyDescent="0.2">
      <c r="A218" s="228">
        <v>34150</v>
      </c>
      <c r="B218" s="229">
        <v>0.96379999999999999</v>
      </c>
      <c r="D218" s="797"/>
      <c r="E218" s="1180"/>
      <c r="F218" s="797"/>
    </row>
    <row r="219" spans="1:6" s="227" customFormat="1" x14ac:dyDescent="0.2">
      <c r="A219" s="228">
        <v>34181</v>
      </c>
      <c r="B219" s="229">
        <v>1.3159000000000001</v>
      </c>
      <c r="D219" s="797"/>
      <c r="E219" s="1180"/>
      <c r="F219" s="797"/>
    </row>
    <row r="220" spans="1:6" s="227" customFormat="1" x14ac:dyDescent="0.2">
      <c r="A220" s="228">
        <v>34212</v>
      </c>
      <c r="B220" s="229">
        <v>1.3159000000000001</v>
      </c>
      <c r="D220" s="797"/>
      <c r="E220" s="1180"/>
      <c r="F220" s="797"/>
    </row>
    <row r="221" spans="1:6" s="227" customFormat="1" x14ac:dyDescent="0.2">
      <c r="A221" s="228">
        <v>34242</v>
      </c>
      <c r="B221" s="229">
        <v>1.3352999999999999</v>
      </c>
      <c r="D221" s="797"/>
      <c r="E221" s="1180"/>
      <c r="F221" s="797"/>
    </row>
    <row r="222" spans="1:6" s="227" customFormat="1" x14ac:dyDescent="0.2">
      <c r="A222" s="228">
        <v>34273</v>
      </c>
      <c r="B222" s="229">
        <v>0.4546</v>
      </c>
      <c r="D222" s="797"/>
      <c r="E222" s="1180"/>
      <c r="F222" s="797"/>
    </row>
    <row r="223" spans="1:6" s="227" customFormat="1" x14ac:dyDescent="0.2">
      <c r="A223" s="228">
        <v>34303</v>
      </c>
      <c r="B223" s="229">
        <v>0.4546</v>
      </c>
      <c r="D223" s="797"/>
      <c r="E223" s="1180"/>
      <c r="F223" s="797"/>
    </row>
    <row r="224" spans="1:6" s="227" customFormat="1" x14ac:dyDescent="0.2">
      <c r="A224" s="228">
        <v>34334</v>
      </c>
      <c r="B224" s="229">
        <v>0.47399999999999998</v>
      </c>
      <c r="D224" s="797"/>
      <c r="E224" s="1180"/>
      <c r="F224" s="797"/>
    </row>
    <row r="225" spans="1:6" s="227" customFormat="1" x14ac:dyDescent="0.2">
      <c r="A225" s="228">
        <v>34365</v>
      </c>
      <c r="B225" s="229">
        <v>-1.0136000000000001</v>
      </c>
      <c r="D225" s="797"/>
      <c r="E225" s="1180"/>
      <c r="F225" s="797"/>
    </row>
    <row r="226" spans="1:6" s="227" customFormat="1" x14ac:dyDescent="0.2">
      <c r="A226" s="228">
        <v>34393</v>
      </c>
      <c r="B226" s="229">
        <v>-1.0136000000000001</v>
      </c>
      <c r="D226" s="797"/>
      <c r="E226" s="1180"/>
      <c r="F226" s="797"/>
    </row>
    <row r="227" spans="1:6" s="227" customFormat="1" x14ac:dyDescent="0.2">
      <c r="A227" s="228">
        <v>34424</v>
      </c>
      <c r="B227" s="229">
        <v>-0.99419999999999997</v>
      </c>
      <c r="D227" s="797"/>
      <c r="E227" s="1180"/>
      <c r="F227" s="797"/>
    </row>
    <row r="228" spans="1:6" s="227" customFormat="1" x14ac:dyDescent="0.2">
      <c r="A228" s="228">
        <v>34454</v>
      </c>
      <c r="B228" s="229">
        <v>-9.3399999999999997E-2</v>
      </c>
      <c r="D228" s="797"/>
      <c r="E228" s="1180"/>
      <c r="F228" s="797"/>
    </row>
    <row r="229" spans="1:6" s="227" customFormat="1" x14ac:dyDescent="0.2">
      <c r="A229" s="228">
        <v>34485</v>
      </c>
      <c r="B229" s="229">
        <v>-9.3399999999999997E-2</v>
      </c>
      <c r="D229" s="797"/>
      <c r="E229" s="1180"/>
      <c r="F229" s="797"/>
    </row>
    <row r="230" spans="1:6" s="227" customFormat="1" x14ac:dyDescent="0.2">
      <c r="A230" s="228">
        <v>34515</v>
      </c>
      <c r="B230" s="229">
        <v>-7.3999999999999996E-2</v>
      </c>
      <c r="D230" s="797"/>
      <c r="E230" s="1180"/>
      <c r="F230" s="797"/>
    </row>
    <row r="231" spans="1:6" s="227" customFormat="1" x14ac:dyDescent="0.2">
      <c r="A231" s="228">
        <v>34546</v>
      </c>
      <c r="B231" s="229">
        <v>0.81659999999999999</v>
      </c>
      <c r="D231" s="797"/>
      <c r="E231" s="1180"/>
      <c r="F231" s="797"/>
    </row>
    <row r="232" spans="1:6" s="227" customFormat="1" x14ac:dyDescent="0.2">
      <c r="A232" s="228">
        <v>34577</v>
      </c>
      <c r="B232" s="229">
        <v>0.81659999999999999</v>
      </c>
      <c r="D232" s="797"/>
      <c r="E232" s="1180"/>
      <c r="F232" s="797"/>
    </row>
    <row r="233" spans="1:6" s="227" customFormat="1" x14ac:dyDescent="0.2">
      <c r="A233" s="228">
        <v>34607</v>
      </c>
      <c r="B233" s="229">
        <v>0.83599999999999997</v>
      </c>
      <c r="D233" s="797"/>
      <c r="E233" s="1180"/>
      <c r="F233" s="797"/>
    </row>
    <row r="234" spans="1:6" s="227" customFormat="1" x14ac:dyDescent="0.2">
      <c r="A234" s="228">
        <v>34638</v>
      </c>
      <c r="B234" s="229">
        <v>0.04</v>
      </c>
      <c r="D234" s="797"/>
      <c r="E234" s="1180"/>
      <c r="F234" s="797"/>
    </row>
    <row r="235" spans="1:6" s="227" customFormat="1" x14ac:dyDescent="0.2">
      <c r="A235" s="228">
        <v>34668</v>
      </c>
      <c r="B235" s="229">
        <v>0.04</v>
      </c>
      <c r="D235" s="797"/>
      <c r="E235" s="1180"/>
      <c r="F235" s="797"/>
    </row>
    <row r="236" spans="1:6" s="227" customFormat="1" x14ac:dyDescent="0.2">
      <c r="A236" s="228">
        <v>34699</v>
      </c>
      <c r="B236" s="229">
        <v>5.9400000000000001E-2</v>
      </c>
      <c r="D236" s="797"/>
      <c r="E236" s="1180"/>
      <c r="F236" s="797"/>
    </row>
    <row r="237" spans="1:6" s="227" customFormat="1" x14ac:dyDescent="0.2">
      <c r="A237" s="228">
        <v>34730</v>
      </c>
      <c r="B237" s="229">
        <v>2.1404999999999998</v>
      </c>
      <c r="D237" s="797"/>
      <c r="E237" s="1180"/>
      <c r="F237" s="797"/>
    </row>
    <row r="238" spans="1:6" s="227" customFormat="1" x14ac:dyDescent="0.2">
      <c r="A238" s="228">
        <v>34758</v>
      </c>
      <c r="B238" s="229">
        <v>2.1404999999999998</v>
      </c>
      <c r="D238" s="797"/>
      <c r="E238" s="1180"/>
      <c r="F238" s="797"/>
    </row>
    <row r="239" spans="1:6" s="227" customFormat="1" x14ac:dyDescent="0.2">
      <c r="A239" s="228">
        <v>34789</v>
      </c>
      <c r="B239" s="229">
        <v>2.1598999999999999</v>
      </c>
      <c r="D239" s="797"/>
      <c r="E239" s="1180"/>
      <c r="F239" s="797"/>
    </row>
    <row r="240" spans="1:6" s="227" customFormat="1" x14ac:dyDescent="0.2">
      <c r="A240" s="228">
        <v>34819</v>
      </c>
      <c r="B240" s="229">
        <v>2.5192999999999999</v>
      </c>
      <c r="D240" s="797"/>
      <c r="E240" s="1180"/>
      <c r="F240" s="797"/>
    </row>
    <row r="241" spans="1:6" s="227" customFormat="1" x14ac:dyDescent="0.2">
      <c r="A241" s="228">
        <v>34850</v>
      </c>
      <c r="B241" s="229">
        <v>2.5192999999999999</v>
      </c>
      <c r="D241" s="797"/>
      <c r="E241" s="1180"/>
      <c r="F241" s="797"/>
    </row>
    <row r="242" spans="1:6" s="227" customFormat="1" x14ac:dyDescent="0.2">
      <c r="A242" s="228">
        <v>34880</v>
      </c>
      <c r="B242" s="229">
        <v>2.5387</v>
      </c>
      <c r="D242" s="797"/>
      <c r="E242" s="1180"/>
      <c r="F242" s="797"/>
    </row>
    <row r="243" spans="1:6" s="227" customFormat="1" x14ac:dyDescent="0.2">
      <c r="A243" s="228">
        <v>34911</v>
      </c>
      <c r="B243" s="229">
        <v>1.7749999999999999</v>
      </c>
      <c r="D243" s="797"/>
      <c r="E243" s="1180"/>
      <c r="F243" s="797"/>
    </row>
    <row r="244" spans="1:6" s="227" customFormat="1" x14ac:dyDescent="0.2">
      <c r="A244" s="228">
        <v>34942</v>
      </c>
      <c r="B244" s="229">
        <v>1.7749999999999999</v>
      </c>
      <c r="D244" s="797"/>
      <c r="E244" s="1180"/>
      <c r="F244" s="797"/>
    </row>
    <row r="245" spans="1:6" s="227" customFormat="1" x14ac:dyDescent="0.2">
      <c r="A245" s="228">
        <v>34972</v>
      </c>
      <c r="B245" s="229">
        <v>1.7944</v>
      </c>
      <c r="D245" s="797"/>
      <c r="E245" s="1180"/>
      <c r="F245" s="797"/>
    </row>
    <row r="246" spans="1:6" s="227" customFormat="1" x14ac:dyDescent="0.2">
      <c r="A246" s="228">
        <v>35003</v>
      </c>
      <c r="B246" s="229">
        <v>1.6977</v>
      </c>
      <c r="D246" s="797"/>
      <c r="E246" s="1180"/>
      <c r="F246" s="797"/>
    </row>
    <row r="247" spans="1:6" s="227" customFormat="1" x14ac:dyDescent="0.2">
      <c r="A247" s="228">
        <v>35033</v>
      </c>
      <c r="B247" s="229">
        <v>1.6977</v>
      </c>
      <c r="D247" s="797"/>
      <c r="E247" s="1180"/>
      <c r="F247" s="797"/>
    </row>
    <row r="248" spans="1:6" s="227" customFormat="1" x14ac:dyDescent="0.2">
      <c r="A248" s="228">
        <v>35064</v>
      </c>
      <c r="B248" s="229">
        <v>1.7171000000000001</v>
      </c>
      <c r="D248" s="797"/>
      <c r="E248" s="1180"/>
      <c r="F248" s="797"/>
    </row>
    <row r="249" spans="1:6" s="227" customFormat="1" x14ac:dyDescent="0.2">
      <c r="A249" s="228">
        <v>35095</v>
      </c>
      <c r="B249" s="229">
        <v>0.88219999999999998</v>
      </c>
      <c r="D249" s="797"/>
      <c r="E249" s="1180"/>
      <c r="F249" s="797"/>
    </row>
    <row r="250" spans="1:6" s="227" customFormat="1" x14ac:dyDescent="0.2">
      <c r="A250" s="228">
        <v>35124</v>
      </c>
      <c r="B250" s="229">
        <v>0.88219999999999998</v>
      </c>
      <c r="D250" s="797"/>
      <c r="E250" s="1180"/>
      <c r="F250" s="797"/>
    </row>
    <row r="251" spans="1:6" s="227" customFormat="1" x14ac:dyDescent="0.2">
      <c r="A251" s="228">
        <v>35155</v>
      </c>
      <c r="B251" s="229">
        <v>0.90159999999999996</v>
      </c>
      <c r="D251" s="797"/>
      <c r="E251" s="1180"/>
      <c r="F251" s="797"/>
    </row>
    <row r="252" spans="1:6" s="227" customFormat="1" x14ac:dyDescent="0.2">
      <c r="A252" s="228">
        <v>35185</v>
      </c>
      <c r="B252" s="229">
        <v>0.81989999999999996</v>
      </c>
      <c r="D252" s="797"/>
      <c r="E252" s="1180"/>
      <c r="F252" s="797"/>
    </row>
    <row r="253" spans="1:6" s="227" customFormat="1" x14ac:dyDescent="0.2">
      <c r="A253" s="228">
        <v>35216</v>
      </c>
      <c r="B253" s="229">
        <v>0.81989999999999996</v>
      </c>
      <c r="D253" s="797"/>
      <c r="E253" s="1180"/>
      <c r="F253" s="797"/>
    </row>
    <row r="254" spans="1:6" s="227" customFormat="1" x14ac:dyDescent="0.2">
      <c r="A254" s="228">
        <v>35246</v>
      </c>
      <c r="B254" s="229">
        <v>0.83930000000000005</v>
      </c>
      <c r="D254" s="797"/>
      <c r="E254" s="1180"/>
      <c r="F254" s="797"/>
    </row>
    <row r="255" spans="1:6" s="227" customFormat="1" x14ac:dyDescent="0.2">
      <c r="A255" s="228">
        <v>35277</v>
      </c>
      <c r="B255" s="229">
        <v>0.74119999999999997</v>
      </c>
      <c r="D255" s="797"/>
      <c r="E255" s="1180"/>
      <c r="F255" s="797"/>
    </row>
    <row r="256" spans="1:6" s="227" customFormat="1" x14ac:dyDescent="0.2">
      <c r="A256" s="228">
        <v>35308</v>
      </c>
      <c r="B256" s="229">
        <v>0.74119999999999997</v>
      </c>
      <c r="D256" s="797"/>
      <c r="E256" s="1180"/>
      <c r="F256" s="797"/>
    </row>
    <row r="257" spans="1:6" s="227" customFormat="1" x14ac:dyDescent="0.2">
      <c r="A257" s="228">
        <v>35338</v>
      </c>
      <c r="B257" s="229">
        <v>0.76060000000000005</v>
      </c>
      <c r="D257" s="797"/>
      <c r="E257" s="1180"/>
      <c r="F257" s="797"/>
    </row>
    <row r="258" spans="1:6" s="227" customFormat="1" x14ac:dyDescent="0.2">
      <c r="A258" s="228">
        <v>35369</v>
      </c>
      <c r="B258" s="229">
        <v>1.7492000000000001</v>
      </c>
      <c r="D258" s="797"/>
      <c r="E258" s="1180"/>
      <c r="F258" s="797"/>
    </row>
    <row r="259" spans="1:6" s="227" customFormat="1" x14ac:dyDescent="0.2">
      <c r="A259" s="228">
        <v>35399</v>
      </c>
      <c r="B259" s="229">
        <v>1.7492000000000001</v>
      </c>
      <c r="D259" s="797"/>
      <c r="E259" s="1180"/>
      <c r="F259" s="797"/>
    </row>
    <row r="260" spans="1:6" s="227" customFormat="1" x14ac:dyDescent="0.2">
      <c r="A260" s="228">
        <v>35430</v>
      </c>
      <c r="B260" s="229">
        <v>1.7685999999999999</v>
      </c>
      <c r="D260" s="797"/>
      <c r="E260" s="1180"/>
      <c r="F260" s="797"/>
    </row>
    <row r="261" spans="1:6" s="227" customFormat="1" x14ac:dyDescent="0.2">
      <c r="A261" s="228">
        <v>35461</v>
      </c>
      <c r="B261" s="229">
        <v>2.4500000000000002</v>
      </c>
      <c r="D261" s="797"/>
      <c r="E261" s="1180"/>
      <c r="F261" s="797"/>
    </row>
    <row r="262" spans="1:6" s="227" customFormat="1" x14ac:dyDescent="0.2">
      <c r="A262" s="228">
        <v>35489</v>
      </c>
      <c r="B262" s="229">
        <v>0.36</v>
      </c>
      <c r="D262" s="797"/>
      <c r="E262" s="1180"/>
      <c r="F262" s="797"/>
    </row>
    <row r="263" spans="1:6" s="227" customFormat="1" x14ac:dyDescent="0.2">
      <c r="A263" s="228">
        <v>35520</v>
      </c>
      <c r="B263" s="229">
        <v>-2.6006</v>
      </c>
      <c r="D263" s="797"/>
      <c r="E263" s="1180"/>
      <c r="F263" s="797"/>
    </row>
    <row r="264" spans="1:6" s="227" customFormat="1" x14ac:dyDescent="0.2">
      <c r="A264" s="228">
        <v>35550</v>
      </c>
      <c r="B264" s="229">
        <v>3.15</v>
      </c>
      <c r="D264" s="797"/>
      <c r="E264" s="1180"/>
      <c r="F264" s="797"/>
    </row>
    <row r="265" spans="1:6" s="227" customFormat="1" x14ac:dyDescent="0.2">
      <c r="A265" s="228">
        <v>35581</v>
      </c>
      <c r="B265" s="229">
        <v>4.8</v>
      </c>
      <c r="D265" s="797"/>
      <c r="E265" s="1180"/>
      <c r="F265" s="797"/>
    </row>
    <row r="266" spans="1:6" s="227" customFormat="1" x14ac:dyDescent="0.2">
      <c r="A266" s="228">
        <v>35611</v>
      </c>
      <c r="B266" s="229">
        <v>3.4794</v>
      </c>
      <c r="D266" s="797"/>
      <c r="E266" s="1180"/>
      <c r="F266" s="797"/>
    </row>
    <row r="267" spans="1:6" s="227" customFormat="1" x14ac:dyDescent="0.2">
      <c r="A267" s="228">
        <v>35642</v>
      </c>
      <c r="B267" s="229">
        <v>5.88</v>
      </c>
      <c r="D267" s="797"/>
      <c r="E267" s="1180"/>
      <c r="F267" s="797"/>
    </row>
    <row r="268" spans="1:6" s="227" customFormat="1" x14ac:dyDescent="0.2">
      <c r="A268" s="228">
        <v>35673</v>
      </c>
      <c r="B268" s="229">
        <v>-3.84</v>
      </c>
      <c r="D268" s="797"/>
      <c r="E268" s="1180"/>
      <c r="F268" s="797"/>
    </row>
    <row r="269" spans="1:6" s="227" customFormat="1" x14ac:dyDescent="0.2">
      <c r="A269" s="228">
        <v>35703</v>
      </c>
      <c r="B269" s="229">
        <v>4.2694000000000001</v>
      </c>
      <c r="D269" s="797"/>
      <c r="E269" s="1180"/>
      <c r="F269" s="797"/>
    </row>
    <row r="270" spans="1:6" s="227" customFormat="1" x14ac:dyDescent="0.2">
      <c r="A270" s="228">
        <v>35734</v>
      </c>
      <c r="B270" s="229">
        <v>-2.4900000000000002</v>
      </c>
      <c r="D270" s="797"/>
      <c r="E270" s="1180"/>
      <c r="F270" s="797"/>
    </row>
    <row r="271" spans="1:6" s="227" customFormat="1" x14ac:dyDescent="0.2">
      <c r="A271" s="228">
        <v>35764</v>
      </c>
      <c r="B271" s="229">
        <v>2.21</v>
      </c>
      <c r="D271" s="797"/>
      <c r="E271" s="1180"/>
      <c r="F271" s="797"/>
    </row>
    <row r="272" spans="1:6" s="227" customFormat="1" x14ac:dyDescent="0.2">
      <c r="A272" s="228">
        <v>35795</v>
      </c>
      <c r="B272" s="229">
        <v>1.3694</v>
      </c>
      <c r="D272" s="797"/>
      <c r="E272" s="1180"/>
      <c r="F272" s="797"/>
    </row>
    <row r="273" spans="1:6" s="227" customFormat="1" x14ac:dyDescent="0.2">
      <c r="A273" s="228">
        <v>35826</v>
      </c>
      <c r="B273" s="229">
        <v>1.44</v>
      </c>
      <c r="D273" s="797"/>
      <c r="E273" s="1180"/>
      <c r="F273" s="797"/>
    </row>
    <row r="274" spans="1:6" s="227" customFormat="1" x14ac:dyDescent="0.2">
      <c r="A274" s="228">
        <v>35854</v>
      </c>
      <c r="B274" s="229">
        <v>5.0599999999999996</v>
      </c>
      <c r="D274" s="797"/>
      <c r="E274" s="1180"/>
      <c r="F274" s="797"/>
    </row>
    <row r="275" spans="1:6" s="227" customFormat="1" x14ac:dyDescent="0.2">
      <c r="A275" s="228">
        <v>35885</v>
      </c>
      <c r="B275" s="229">
        <v>3.6294</v>
      </c>
      <c r="D275" s="797"/>
      <c r="E275" s="1180"/>
      <c r="F275" s="797"/>
    </row>
    <row r="276" spans="1:6" s="227" customFormat="1" x14ac:dyDescent="0.2">
      <c r="A276" s="228">
        <v>35915</v>
      </c>
      <c r="B276" s="229">
        <v>0.98</v>
      </c>
      <c r="D276" s="797"/>
      <c r="E276" s="1180"/>
      <c r="F276" s="797"/>
    </row>
    <row r="277" spans="1:6" s="227" customFormat="1" x14ac:dyDescent="0.2">
      <c r="A277" s="228">
        <v>35946</v>
      </c>
      <c r="B277" s="229">
        <v>-0.82</v>
      </c>
      <c r="D277" s="797"/>
      <c r="E277" s="1180"/>
      <c r="F277" s="797"/>
    </row>
    <row r="278" spans="1:6" s="227" customFormat="1" x14ac:dyDescent="0.2">
      <c r="A278" s="228">
        <v>35976</v>
      </c>
      <c r="B278" s="229">
        <v>2.2894000000000001</v>
      </c>
      <c r="D278" s="797"/>
      <c r="E278" s="1180"/>
      <c r="F278" s="797"/>
    </row>
    <row r="279" spans="1:6" s="227" customFormat="1" x14ac:dyDescent="0.2">
      <c r="A279" s="228">
        <v>36007</v>
      </c>
      <c r="B279" s="229">
        <v>-0.75</v>
      </c>
      <c r="D279" s="797"/>
      <c r="E279" s="1180"/>
      <c r="F279" s="797"/>
    </row>
    <row r="280" spans="1:6" s="227" customFormat="1" x14ac:dyDescent="0.2">
      <c r="A280" s="228">
        <v>36038</v>
      </c>
      <c r="B280" s="229">
        <v>-9.3000000000000007</v>
      </c>
      <c r="D280" s="797"/>
      <c r="E280" s="1180"/>
      <c r="F280" s="797"/>
    </row>
    <row r="281" spans="1:6" s="227" customFormat="1" x14ac:dyDescent="0.2">
      <c r="A281" s="228">
        <v>36068</v>
      </c>
      <c r="B281" s="229">
        <v>3.9394</v>
      </c>
      <c r="D281" s="797"/>
      <c r="E281" s="1180"/>
      <c r="F281" s="797"/>
    </row>
    <row r="282" spans="1:6" s="227" customFormat="1" x14ac:dyDescent="0.2">
      <c r="A282" s="228">
        <v>36099</v>
      </c>
      <c r="B282" s="229">
        <v>5.7</v>
      </c>
      <c r="D282" s="797"/>
      <c r="E282" s="1180"/>
      <c r="F282" s="797"/>
    </row>
    <row r="283" spans="1:6" s="227" customFormat="1" x14ac:dyDescent="0.2">
      <c r="A283" s="228">
        <v>36129</v>
      </c>
      <c r="B283" s="229">
        <v>7.87</v>
      </c>
      <c r="D283" s="797"/>
      <c r="E283" s="1180"/>
      <c r="F283" s="797"/>
    </row>
    <row r="284" spans="1:6" s="227" customFormat="1" x14ac:dyDescent="0.2">
      <c r="A284" s="228">
        <v>36160</v>
      </c>
      <c r="B284" s="229">
        <v>1.3093999999999999</v>
      </c>
      <c r="D284" s="797"/>
      <c r="E284" s="1180"/>
      <c r="F284" s="797"/>
    </row>
    <row r="285" spans="1:6" x14ac:dyDescent="0.2">
      <c r="A285" s="228">
        <v>36191</v>
      </c>
      <c r="B285" s="229">
        <v>2.6</v>
      </c>
      <c r="E285" s="1180"/>
      <c r="F285" s="797"/>
    </row>
    <row r="286" spans="1:6" x14ac:dyDescent="0.2">
      <c r="A286" s="228">
        <v>36219</v>
      </c>
      <c r="B286" s="229">
        <v>-2.73</v>
      </c>
      <c r="E286" s="1180"/>
      <c r="F286" s="797"/>
    </row>
    <row r="287" spans="1:6" x14ac:dyDescent="0.2">
      <c r="A287" s="228">
        <v>36250</v>
      </c>
      <c r="B287" s="229">
        <v>2.9794</v>
      </c>
      <c r="E287" s="1180"/>
      <c r="F287" s="797"/>
    </row>
    <row r="288" spans="1:6" x14ac:dyDescent="0.2">
      <c r="A288" s="228">
        <v>36280</v>
      </c>
      <c r="B288" s="229">
        <v>3.41</v>
      </c>
      <c r="E288" s="1180"/>
      <c r="F288" s="797"/>
    </row>
    <row r="289" spans="1:6" x14ac:dyDescent="0.2">
      <c r="A289" s="228">
        <v>36311</v>
      </c>
      <c r="B289" s="229">
        <v>-1.78</v>
      </c>
      <c r="E289" s="1180"/>
      <c r="F289" s="797"/>
    </row>
    <row r="290" spans="1:6" x14ac:dyDescent="0.2">
      <c r="A290" s="228">
        <v>36341</v>
      </c>
      <c r="B290" s="229">
        <v>3.6394000000000002</v>
      </c>
      <c r="E290" s="1180"/>
      <c r="F290" s="797"/>
    </row>
    <row r="291" spans="1:6" x14ac:dyDescent="0.2">
      <c r="A291" s="228">
        <v>36372</v>
      </c>
      <c r="B291" s="229">
        <v>-1.28</v>
      </c>
      <c r="E291" s="1180"/>
      <c r="F291" s="797"/>
    </row>
    <row r="292" spans="1:6" x14ac:dyDescent="0.2">
      <c r="A292" s="228">
        <v>36403</v>
      </c>
      <c r="B292" s="229">
        <v>-0.33</v>
      </c>
      <c r="E292" s="1180"/>
      <c r="F292" s="797"/>
    </row>
    <row r="293" spans="1:6" x14ac:dyDescent="0.2">
      <c r="A293" s="228">
        <v>36433</v>
      </c>
      <c r="B293" s="229">
        <v>-1.0105999999999999</v>
      </c>
      <c r="E293" s="1180"/>
      <c r="F293" s="797"/>
    </row>
    <row r="294" spans="1:6" x14ac:dyDescent="0.2">
      <c r="A294" s="228">
        <v>36464</v>
      </c>
      <c r="B294" s="229">
        <v>3.82</v>
      </c>
      <c r="E294" s="1180"/>
      <c r="F294" s="797"/>
    </row>
    <row r="295" spans="1:6" x14ac:dyDescent="0.2">
      <c r="A295" s="228">
        <v>36494</v>
      </c>
      <c r="B295" s="229">
        <v>2.06</v>
      </c>
      <c r="E295" s="1180"/>
      <c r="F295" s="797"/>
    </row>
    <row r="296" spans="1:6" x14ac:dyDescent="0.2">
      <c r="A296" s="228">
        <v>36525</v>
      </c>
      <c r="B296" s="229">
        <v>5.0994000000000002</v>
      </c>
      <c r="E296" s="1180"/>
      <c r="F296" s="797"/>
    </row>
    <row r="297" spans="1:6" x14ac:dyDescent="0.2">
      <c r="A297" s="228">
        <v>36556</v>
      </c>
      <c r="B297" s="229">
        <v>-3.67</v>
      </c>
      <c r="E297" s="1180"/>
      <c r="F297" s="797"/>
    </row>
    <row r="298" spans="1:6" x14ac:dyDescent="0.2">
      <c r="A298" s="228">
        <v>36585</v>
      </c>
      <c r="B298" s="229">
        <v>0.82</v>
      </c>
      <c r="E298" s="1180"/>
      <c r="F298" s="797"/>
    </row>
    <row r="299" spans="1:6" x14ac:dyDescent="0.2">
      <c r="A299" s="228">
        <v>36616</v>
      </c>
      <c r="B299" s="229">
        <v>6.0793999999999997</v>
      </c>
      <c r="E299" s="1180"/>
      <c r="F299" s="797"/>
    </row>
    <row r="300" spans="1:6" x14ac:dyDescent="0.2">
      <c r="A300" s="228">
        <v>36646</v>
      </c>
      <c r="B300" s="229">
        <v>-2.84</v>
      </c>
      <c r="E300" s="1180"/>
      <c r="F300" s="797"/>
    </row>
    <row r="301" spans="1:6" x14ac:dyDescent="0.2">
      <c r="A301" s="228">
        <v>36677</v>
      </c>
      <c r="B301" s="229">
        <v>-1.47</v>
      </c>
      <c r="E301" s="1180"/>
      <c r="F301" s="797"/>
    </row>
    <row r="302" spans="1:6" x14ac:dyDescent="0.2">
      <c r="A302" s="228">
        <v>36707</v>
      </c>
      <c r="B302" s="229">
        <v>2.8794</v>
      </c>
      <c r="E302" s="1180"/>
      <c r="F302" s="797"/>
    </row>
    <row r="303" spans="1:6" x14ac:dyDescent="0.2">
      <c r="A303" s="228">
        <v>36738</v>
      </c>
      <c r="B303" s="229">
        <v>-1.04</v>
      </c>
      <c r="E303" s="1180"/>
      <c r="F303" s="797"/>
    </row>
    <row r="304" spans="1:6" x14ac:dyDescent="0.2">
      <c r="A304" s="228">
        <v>36769</v>
      </c>
      <c r="B304" s="229">
        <v>4.3899999999999997</v>
      </c>
      <c r="E304" s="1180"/>
      <c r="F304" s="797"/>
    </row>
    <row r="305" spans="1:8" x14ac:dyDescent="0.2">
      <c r="A305" s="228">
        <v>36799</v>
      </c>
      <c r="B305" s="229">
        <v>-3.3906000000000001</v>
      </c>
      <c r="E305" s="1180"/>
      <c r="F305" s="797"/>
    </row>
    <row r="306" spans="1:8" x14ac:dyDescent="0.2">
      <c r="A306" s="228">
        <v>36830</v>
      </c>
      <c r="B306" s="229">
        <v>-0.56999999999999995</v>
      </c>
      <c r="E306" s="1180"/>
      <c r="F306" s="797"/>
    </row>
    <row r="307" spans="1:8" x14ac:dyDescent="0.2">
      <c r="A307" s="228">
        <v>36860</v>
      </c>
      <c r="B307" s="229">
        <v>-4.55</v>
      </c>
      <c r="E307" s="1180"/>
      <c r="F307" s="797"/>
    </row>
    <row r="308" spans="1:8" x14ac:dyDescent="0.2">
      <c r="A308" s="228">
        <v>36891</v>
      </c>
      <c r="B308" s="229">
        <v>2.0293999999999999</v>
      </c>
      <c r="E308" s="1180"/>
      <c r="F308" s="797"/>
    </row>
    <row r="309" spans="1:8" x14ac:dyDescent="0.2">
      <c r="A309" s="228">
        <v>36922</v>
      </c>
      <c r="B309" s="229">
        <v>2.62</v>
      </c>
      <c r="E309" s="1180"/>
      <c r="F309" s="797"/>
    </row>
    <row r="310" spans="1:8" x14ac:dyDescent="0.2">
      <c r="A310" s="228">
        <v>36950</v>
      </c>
      <c r="B310" s="229">
        <v>-5.66</v>
      </c>
      <c r="E310" s="1180"/>
      <c r="F310" s="797"/>
    </row>
    <row r="311" spans="1:8" x14ac:dyDescent="0.2">
      <c r="A311" s="228">
        <v>36981</v>
      </c>
      <c r="B311" s="229">
        <v>-4.2405999999999997</v>
      </c>
      <c r="E311" s="1180"/>
      <c r="F311" s="797"/>
    </row>
    <row r="312" spans="1:8" x14ac:dyDescent="0.2">
      <c r="A312" s="228">
        <v>37011</v>
      </c>
      <c r="B312" s="229">
        <v>5.53</v>
      </c>
      <c r="E312" s="1180"/>
      <c r="F312" s="797"/>
    </row>
    <row r="313" spans="1:8" x14ac:dyDescent="0.2">
      <c r="A313" s="228">
        <v>37042</v>
      </c>
      <c r="B313" s="229">
        <v>0.25</v>
      </c>
      <c r="E313" s="1180"/>
      <c r="F313" s="797"/>
    </row>
    <row r="314" spans="1:8" x14ac:dyDescent="0.2">
      <c r="A314" s="228">
        <v>37072</v>
      </c>
      <c r="B314" s="229">
        <v>-1.4705999999999999</v>
      </c>
      <c r="E314" s="1180"/>
      <c r="F314" s="797"/>
    </row>
    <row r="315" spans="1:8" x14ac:dyDescent="0.2">
      <c r="A315" s="228">
        <v>37103</v>
      </c>
      <c r="B315" s="229">
        <v>-0.49</v>
      </c>
      <c r="E315" s="1180"/>
      <c r="F315" s="797"/>
    </row>
    <row r="316" spans="1:8" x14ac:dyDescent="0.2">
      <c r="A316" s="228">
        <v>37134</v>
      </c>
      <c r="B316" s="229">
        <v>-3.19</v>
      </c>
      <c r="E316" s="1180"/>
      <c r="F316" s="797"/>
    </row>
    <row r="317" spans="1:8" x14ac:dyDescent="0.2">
      <c r="A317" s="228">
        <v>37164</v>
      </c>
      <c r="B317" s="229">
        <v>-6.2506000000000004</v>
      </c>
      <c r="E317" s="1180"/>
      <c r="F317" s="797"/>
    </row>
    <row r="318" spans="1:8" x14ac:dyDescent="0.2">
      <c r="A318" s="228">
        <v>37195</v>
      </c>
      <c r="B318" s="229">
        <v>2.4</v>
      </c>
      <c r="E318" s="1180"/>
      <c r="F318" s="797"/>
    </row>
    <row r="319" spans="1:8" x14ac:dyDescent="0.2">
      <c r="A319" s="228">
        <v>37225</v>
      </c>
      <c r="B319" s="229">
        <v>4.5199999999999996</v>
      </c>
      <c r="E319" s="1180"/>
      <c r="F319" s="797"/>
    </row>
    <row r="320" spans="1:8" x14ac:dyDescent="0.2">
      <c r="A320" s="228">
        <v>37256</v>
      </c>
      <c r="B320" s="229">
        <v>0.9194</v>
      </c>
      <c r="D320" s="65"/>
      <c r="E320" s="1180"/>
      <c r="F320" s="797"/>
      <c r="G320" s="128"/>
      <c r="H320" s="14"/>
    </row>
    <row r="321" spans="1:8" x14ac:dyDescent="0.2">
      <c r="A321" s="228">
        <v>37287</v>
      </c>
      <c r="B321" s="229">
        <v>-1.38</v>
      </c>
      <c r="D321" s="65"/>
      <c r="E321" s="1180"/>
      <c r="F321" s="797"/>
      <c r="G321" s="128"/>
      <c r="H321" s="14"/>
    </row>
    <row r="322" spans="1:8" x14ac:dyDescent="0.2">
      <c r="A322" s="228">
        <v>37315</v>
      </c>
      <c r="B322" s="229">
        <v>-0.66</v>
      </c>
      <c r="D322" s="65"/>
      <c r="E322" s="1180"/>
      <c r="F322" s="797"/>
      <c r="G322" s="128"/>
      <c r="H322" s="14"/>
    </row>
    <row r="323" spans="1:8" x14ac:dyDescent="0.2">
      <c r="A323" s="228">
        <v>37346</v>
      </c>
      <c r="B323" s="229">
        <v>2.8094000000000001</v>
      </c>
      <c r="D323" s="65"/>
      <c r="E323" s="1180"/>
      <c r="F323" s="797"/>
      <c r="G323" s="128"/>
      <c r="H323" s="14"/>
    </row>
    <row r="324" spans="1:8" x14ac:dyDescent="0.2">
      <c r="A324" s="228">
        <v>37376</v>
      </c>
      <c r="B324" s="229">
        <v>-2.1800000000000002</v>
      </c>
      <c r="D324" s="65"/>
      <c r="E324" s="1180"/>
      <c r="F324" s="797"/>
      <c r="G324" s="128"/>
      <c r="H324" s="14"/>
    </row>
    <row r="325" spans="1:8" x14ac:dyDescent="0.2">
      <c r="A325" s="228">
        <v>37407</v>
      </c>
      <c r="B325" s="229">
        <v>-0.09</v>
      </c>
      <c r="D325" s="65"/>
      <c r="E325" s="1180"/>
      <c r="F325" s="797"/>
      <c r="G325" s="128"/>
      <c r="H325" s="14"/>
    </row>
    <row r="326" spans="1:8" x14ac:dyDescent="0.2">
      <c r="A326" s="228">
        <v>37437</v>
      </c>
      <c r="B326" s="229">
        <v>-4.3506</v>
      </c>
      <c r="D326" s="65"/>
      <c r="E326" s="1180"/>
      <c r="F326" s="797"/>
      <c r="G326" s="128"/>
      <c r="H326" s="14"/>
    </row>
    <row r="327" spans="1:8" x14ac:dyDescent="0.2">
      <c r="A327" s="228">
        <v>37468</v>
      </c>
      <c r="B327" s="229">
        <v>-5.8208000000000002</v>
      </c>
      <c r="D327" s="65"/>
      <c r="E327" s="1180"/>
      <c r="F327" s="797"/>
      <c r="G327" s="128"/>
      <c r="H327" s="14"/>
    </row>
    <row r="328" spans="1:8" x14ac:dyDescent="0.2">
      <c r="A328" s="228">
        <v>37499</v>
      </c>
      <c r="B328" s="229">
        <v>0.90510000000000002</v>
      </c>
      <c r="D328" s="65"/>
      <c r="E328" s="1180"/>
      <c r="F328" s="797"/>
      <c r="G328" s="128"/>
      <c r="H328" s="14"/>
    </row>
    <row r="329" spans="1:8" x14ac:dyDescent="0.2">
      <c r="A329" s="228">
        <v>37529</v>
      </c>
      <c r="B329" s="229">
        <v>-7.0640000000000001</v>
      </c>
      <c r="D329" s="65"/>
      <c r="E329" s="1180"/>
      <c r="F329" s="797"/>
      <c r="G329" s="128"/>
      <c r="H329" s="14"/>
    </row>
    <row r="330" spans="1:8" x14ac:dyDescent="0.2">
      <c r="A330" s="228">
        <v>37560</v>
      </c>
      <c r="B330" s="229">
        <v>5.0042</v>
      </c>
      <c r="D330" s="65"/>
      <c r="E330" s="1180"/>
      <c r="F330" s="797"/>
      <c r="G330" s="128"/>
      <c r="H330" s="14"/>
    </row>
    <row r="331" spans="1:8" x14ac:dyDescent="0.2">
      <c r="A331" s="228">
        <v>37590</v>
      </c>
      <c r="B331" s="229">
        <v>4.1382000000000003</v>
      </c>
      <c r="D331" s="65"/>
      <c r="E331" s="1180"/>
      <c r="F331" s="797"/>
      <c r="G331" s="128"/>
      <c r="H331" s="14"/>
    </row>
    <row r="332" spans="1:8" x14ac:dyDescent="0.2">
      <c r="A332" s="228">
        <v>37621</v>
      </c>
      <c r="B332" s="229">
        <v>-3.3262999999999998</v>
      </c>
      <c r="D332" s="65"/>
      <c r="E332" s="1180"/>
      <c r="F332" s="797"/>
      <c r="G332" s="128"/>
      <c r="H332" s="14"/>
    </row>
    <row r="333" spans="1:8" x14ac:dyDescent="0.2">
      <c r="A333" s="228">
        <v>37652</v>
      </c>
      <c r="B333" s="229">
        <v>-1.8814</v>
      </c>
      <c r="D333" s="65"/>
      <c r="E333" s="1180"/>
      <c r="F333" s="797"/>
      <c r="G333" s="128"/>
      <c r="H333" s="14"/>
    </row>
    <row r="334" spans="1:8" x14ac:dyDescent="0.2">
      <c r="A334" s="228">
        <v>37680</v>
      </c>
      <c r="B334" s="229">
        <v>-1.1241000000000001</v>
      </c>
      <c r="D334" s="65"/>
      <c r="E334" s="1180"/>
      <c r="F334" s="797"/>
      <c r="G334" s="128"/>
      <c r="H334" s="14"/>
    </row>
    <row r="335" spans="1:8" x14ac:dyDescent="0.2">
      <c r="A335" s="228">
        <v>37711</v>
      </c>
      <c r="B335" s="229">
        <v>4.2799999999999998E-2</v>
      </c>
      <c r="D335" s="65"/>
      <c r="E335" s="1180"/>
      <c r="F335" s="797"/>
      <c r="G335" s="128"/>
      <c r="H335" s="14"/>
    </row>
    <row r="336" spans="1:8" x14ac:dyDescent="0.2">
      <c r="A336" s="228">
        <v>37741</v>
      </c>
      <c r="B336" s="229">
        <v>6.4743000000000004</v>
      </c>
      <c r="D336" s="65"/>
      <c r="E336" s="1180"/>
      <c r="F336" s="797"/>
      <c r="G336" s="128"/>
      <c r="H336" s="14"/>
    </row>
    <row r="337" spans="1:8" x14ac:dyDescent="0.2">
      <c r="A337" s="228">
        <v>37772</v>
      </c>
      <c r="B337" s="229">
        <v>4.9223999999999997</v>
      </c>
      <c r="D337" s="65"/>
      <c r="E337" s="1180"/>
      <c r="F337" s="797"/>
      <c r="G337" s="128"/>
      <c r="H337" s="14"/>
    </row>
    <row r="338" spans="1:8" x14ac:dyDescent="0.2">
      <c r="A338" s="228">
        <v>37802</v>
      </c>
      <c r="B338" s="229">
        <v>1.1628000000000001</v>
      </c>
      <c r="D338" s="65"/>
      <c r="E338" s="1180"/>
      <c r="F338" s="797"/>
      <c r="G338" s="128"/>
      <c r="H338" s="14"/>
    </row>
    <row r="339" spans="1:8" x14ac:dyDescent="0.2">
      <c r="A339" s="228">
        <v>37833</v>
      </c>
      <c r="B339" s="229">
        <v>0.74939999999999996</v>
      </c>
      <c r="D339" s="65"/>
      <c r="E339" s="1180"/>
      <c r="F339" s="797"/>
      <c r="G339" s="128"/>
      <c r="H339" s="14"/>
    </row>
    <row r="340" spans="1:8" x14ac:dyDescent="0.2">
      <c r="A340" s="228">
        <v>37864</v>
      </c>
      <c r="B340" s="229">
        <v>2.2328999999999999</v>
      </c>
      <c r="D340" s="65"/>
      <c r="E340" s="1180"/>
      <c r="F340" s="797"/>
      <c r="G340" s="128"/>
      <c r="H340" s="14"/>
    </row>
    <row r="341" spans="1:8" x14ac:dyDescent="0.2">
      <c r="A341" s="228">
        <v>37894</v>
      </c>
      <c r="B341" s="229">
        <v>0.49940000000000001</v>
      </c>
      <c r="D341" s="65"/>
      <c r="E341" s="1180"/>
      <c r="F341" s="797"/>
      <c r="G341" s="128"/>
      <c r="H341" s="14"/>
    </row>
    <row r="342" spans="1:8" x14ac:dyDescent="0.2">
      <c r="A342" s="228">
        <v>37925</v>
      </c>
      <c r="B342" s="229">
        <v>4.2836999999999996</v>
      </c>
      <c r="D342" s="65"/>
      <c r="E342" s="1180"/>
      <c r="F342" s="797"/>
      <c r="G342" s="128"/>
      <c r="H342" s="14"/>
    </row>
    <row r="343" spans="1:8" x14ac:dyDescent="0.2">
      <c r="A343" s="228">
        <v>37955</v>
      </c>
      <c r="B343" s="229">
        <v>1.3168</v>
      </c>
      <c r="D343" s="65"/>
      <c r="E343" s="1180"/>
      <c r="F343" s="797"/>
      <c r="G343" s="128"/>
      <c r="H343" s="14"/>
    </row>
    <row r="344" spans="1:8" x14ac:dyDescent="0.2">
      <c r="A344" s="228">
        <v>37986</v>
      </c>
      <c r="B344" s="229">
        <v>4.1098999999999997</v>
      </c>
      <c r="D344" s="65"/>
      <c r="E344" s="1180"/>
      <c r="F344" s="797"/>
      <c r="G344" s="128"/>
      <c r="H344" s="14"/>
    </row>
    <row r="345" spans="1:8" x14ac:dyDescent="0.2">
      <c r="A345" s="228">
        <v>38017</v>
      </c>
      <c r="B345" s="229">
        <v>1.7925</v>
      </c>
      <c r="D345" s="65"/>
      <c r="E345" s="1180"/>
      <c r="F345" s="797"/>
      <c r="G345" s="128"/>
      <c r="H345" s="14"/>
    </row>
    <row r="346" spans="1:8" x14ac:dyDescent="0.2">
      <c r="A346" s="228">
        <v>38046</v>
      </c>
      <c r="B346" s="229">
        <v>1.5204</v>
      </c>
      <c r="D346" s="65"/>
      <c r="E346" s="1180"/>
      <c r="F346" s="797"/>
      <c r="G346" s="128"/>
      <c r="H346" s="14"/>
    </row>
    <row r="347" spans="1:8" x14ac:dyDescent="0.2">
      <c r="A347" s="228">
        <v>38077</v>
      </c>
      <c r="B347" s="229">
        <v>-0.14349999999999999</v>
      </c>
      <c r="D347" s="65"/>
      <c r="E347" s="1180"/>
      <c r="F347" s="797"/>
      <c r="G347" s="128"/>
      <c r="H347" s="14"/>
    </row>
    <row r="348" spans="1:8" x14ac:dyDescent="0.2">
      <c r="A348" s="228">
        <v>38107</v>
      </c>
      <c r="B348" s="229">
        <v>-2.3422999999999998</v>
      </c>
      <c r="D348" s="65"/>
      <c r="E348" s="1180"/>
      <c r="F348" s="797"/>
      <c r="G348" s="128"/>
      <c r="H348" s="14"/>
    </row>
    <row r="349" spans="1:8" x14ac:dyDescent="0.2">
      <c r="A349" s="228">
        <v>38138</v>
      </c>
      <c r="B349" s="229">
        <v>0.64100000000000001</v>
      </c>
      <c r="D349" s="65"/>
      <c r="E349" s="1180"/>
      <c r="F349" s="797"/>
      <c r="G349" s="128"/>
      <c r="H349" s="14"/>
    </row>
    <row r="350" spans="1:8" x14ac:dyDescent="0.2">
      <c r="A350" s="228">
        <v>38168</v>
      </c>
      <c r="B350" s="229">
        <v>1.8536999999999999</v>
      </c>
      <c r="D350" s="65"/>
      <c r="E350" s="1180"/>
      <c r="F350" s="797"/>
      <c r="G350" s="128"/>
      <c r="H350" s="14"/>
    </row>
    <row r="351" spans="1:8" x14ac:dyDescent="0.2">
      <c r="A351" s="228">
        <v>38199</v>
      </c>
      <c r="B351" s="229">
        <v>-2.4714999999999998</v>
      </c>
      <c r="D351" s="65"/>
      <c r="E351" s="1180"/>
      <c r="F351" s="797"/>
      <c r="G351" s="128"/>
      <c r="H351" s="14"/>
    </row>
    <row r="352" spans="1:8" x14ac:dyDescent="0.2">
      <c r="A352" s="228">
        <v>38230</v>
      </c>
      <c r="B352" s="229">
        <v>0.69389999999999996</v>
      </c>
      <c r="D352" s="65"/>
      <c r="E352" s="1180"/>
      <c r="F352" s="797"/>
      <c r="G352" s="128"/>
      <c r="H352" s="14"/>
    </row>
    <row r="353" spans="1:8" x14ac:dyDescent="0.2">
      <c r="A353" s="228">
        <v>38260</v>
      </c>
      <c r="B353" s="224">
        <v>1.4890000000000001</v>
      </c>
      <c r="D353" s="65"/>
      <c r="E353" s="1180"/>
      <c r="F353" s="797"/>
      <c r="G353" s="128"/>
      <c r="H353" s="14"/>
    </row>
    <row r="354" spans="1:8" x14ac:dyDescent="0.2">
      <c r="A354" s="228">
        <v>38291</v>
      </c>
      <c r="B354" s="224">
        <v>1.7734000000000001</v>
      </c>
      <c r="D354" s="65"/>
      <c r="E354" s="1180"/>
      <c r="F354" s="797"/>
      <c r="G354" s="128"/>
      <c r="H354" s="14"/>
    </row>
    <row r="355" spans="1:8" x14ac:dyDescent="0.2">
      <c r="A355" s="228">
        <v>38321</v>
      </c>
      <c r="B355" s="224">
        <v>3.6774</v>
      </c>
      <c r="D355" s="65"/>
      <c r="E355" s="1180"/>
      <c r="F355" s="797"/>
      <c r="G355" s="128"/>
      <c r="H355" s="14"/>
    </row>
    <row r="356" spans="1:8" x14ac:dyDescent="0.2">
      <c r="A356" s="228">
        <v>38352</v>
      </c>
      <c r="B356" s="76">
        <v>2.7584</v>
      </c>
      <c r="D356" s="65"/>
      <c r="E356" s="1180"/>
      <c r="F356" s="797"/>
      <c r="G356" s="128"/>
      <c r="H356" s="14"/>
    </row>
    <row r="357" spans="1:8" x14ac:dyDescent="0.2">
      <c r="A357" s="228">
        <v>38383</v>
      </c>
      <c r="B357" s="76">
        <v>-1.5459000000000001</v>
      </c>
      <c r="D357" s="65"/>
      <c r="E357" s="1180"/>
      <c r="F357" s="797"/>
      <c r="G357" s="128"/>
      <c r="H357" s="14"/>
    </row>
    <row r="358" spans="1:8" x14ac:dyDescent="0.2">
      <c r="A358" s="228">
        <v>38411</v>
      </c>
      <c r="B358" s="76">
        <v>1.917</v>
      </c>
      <c r="D358" s="65"/>
      <c r="E358" s="1180"/>
      <c r="F358" s="797"/>
      <c r="G358" s="128"/>
      <c r="H358" s="14"/>
    </row>
    <row r="359" spans="1:8" x14ac:dyDescent="0.2">
      <c r="A359" s="228">
        <v>38442</v>
      </c>
      <c r="B359" s="128">
        <v>-1.5781000000000001</v>
      </c>
      <c r="D359" s="65"/>
      <c r="E359" s="1180"/>
      <c r="F359" s="797"/>
      <c r="G359" s="128"/>
      <c r="H359" s="14"/>
    </row>
    <row r="360" spans="1:8" x14ac:dyDescent="0.2">
      <c r="A360" s="228">
        <v>38472</v>
      </c>
      <c r="B360" s="128">
        <v>-1.5354000000000001</v>
      </c>
      <c r="D360" s="65"/>
      <c r="E360" s="1180"/>
      <c r="F360" s="797"/>
      <c r="G360" s="128"/>
      <c r="H360" s="14"/>
    </row>
    <row r="361" spans="1:8" x14ac:dyDescent="0.2">
      <c r="A361" s="228">
        <v>38503</v>
      </c>
      <c r="B361" s="128">
        <v>2.4990000000000001</v>
      </c>
      <c r="D361" s="65"/>
      <c r="E361" s="1180"/>
      <c r="F361" s="797"/>
      <c r="G361" s="128"/>
      <c r="H361" s="14"/>
    </row>
    <row r="362" spans="1:8" x14ac:dyDescent="0.2">
      <c r="A362" s="228">
        <v>38533</v>
      </c>
      <c r="B362" s="128">
        <v>0.8175</v>
      </c>
      <c r="D362" s="65"/>
      <c r="E362" s="1180"/>
      <c r="F362" s="797"/>
      <c r="G362" s="128"/>
      <c r="H362" s="14"/>
    </row>
    <row r="363" spans="1:8" x14ac:dyDescent="0.2">
      <c r="A363" s="228">
        <v>38564</v>
      </c>
      <c r="B363" s="128">
        <v>2.6720999999999999</v>
      </c>
      <c r="D363" s="65"/>
      <c r="E363" s="1180"/>
      <c r="F363" s="797"/>
      <c r="G363" s="128"/>
      <c r="H363" s="14"/>
    </row>
    <row r="364" spans="1:8" x14ac:dyDescent="0.2">
      <c r="A364" s="228">
        <v>38595</v>
      </c>
      <c r="B364" s="128">
        <v>6.0299999999999999E-2</v>
      </c>
      <c r="D364" s="65"/>
      <c r="E364" s="1180"/>
      <c r="F364" s="797"/>
      <c r="G364" s="128"/>
      <c r="H364" s="14"/>
    </row>
    <row r="365" spans="1:8" x14ac:dyDescent="0.2">
      <c r="A365" s="228">
        <v>38625</v>
      </c>
      <c r="B365" s="128">
        <v>0.95909999999999995</v>
      </c>
      <c r="D365" s="65"/>
      <c r="E365" s="1180"/>
      <c r="F365" s="797"/>
      <c r="G365" s="128"/>
      <c r="H365" s="14"/>
    </row>
    <row r="366" spans="1:8" x14ac:dyDescent="0.2">
      <c r="A366" s="228">
        <v>38656</v>
      </c>
      <c r="B366" s="128">
        <v>-1.6886000000000001</v>
      </c>
      <c r="D366" s="65"/>
      <c r="E366" s="1180"/>
      <c r="F366" s="797"/>
      <c r="G366" s="128"/>
      <c r="H366" s="14"/>
    </row>
    <row r="367" spans="1:8" x14ac:dyDescent="0.2">
      <c r="A367" s="228">
        <v>38686</v>
      </c>
      <c r="B367" s="128">
        <v>2.9089</v>
      </c>
      <c r="D367" s="65"/>
      <c r="E367" s="1180"/>
      <c r="F367" s="797"/>
      <c r="G367" s="128"/>
      <c r="H367" s="14"/>
    </row>
    <row r="368" spans="1:8" x14ac:dyDescent="0.2">
      <c r="A368" s="228">
        <v>38717</v>
      </c>
      <c r="B368" s="128">
        <v>1.1549</v>
      </c>
      <c r="C368" s="256"/>
      <c r="D368" s="65"/>
      <c r="E368" s="1180"/>
      <c r="F368" s="797"/>
      <c r="G368" s="128"/>
      <c r="H368" s="14"/>
    </row>
    <row r="369" spans="1:8" x14ac:dyDescent="0.2">
      <c r="A369" s="228">
        <v>38748</v>
      </c>
      <c r="B369" s="128">
        <v>3.0903999999999998</v>
      </c>
      <c r="C369" s="256"/>
      <c r="D369" s="65"/>
      <c r="E369" s="1180"/>
      <c r="F369" s="797"/>
      <c r="G369" s="128"/>
      <c r="H369" s="14"/>
    </row>
    <row r="370" spans="1:8" x14ac:dyDescent="0.2">
      <c r="A370" s="228">
        <v>38776</v>
      </c>
      <c r="B370" s="128">
        <v>0.16089999999999999</v>
      </c>
      <c r="C370" s="256"/>
      <c r="D370" s="65"/>
      <c r="E370" s="1180"/>
      <c r="F370" s="797"/>
      <c r="G370" s="128"/>
      <c r="H370" s="14"/>
    </row>
    <row r="371" spans="1:8" x14ac:dyDescent="0.2">
      <c r="A371" s="228">
        <v>38807</v>
      </c>
      <c r="B371" s="128">
        <v>1.4495</v>
      </c>
      <c r="C371" s="364"/>
      <c r="D371" s="65"/>
      <c r="E371" s="1180"/>
      <c r="F371" s="797"/>
      <c r="G371" s="128"/>
      <c r="H371" s="14"/>
    </row>
    <row r="372" spans="1:8" x14ac:dyDescent="0.2">
      <c r="A372" s="228">
        <v>38837</v>
      </c>
      <c r="B372" s="128">
        <v>1.5168999999999999</v>
      </c>
      <c r="C372" s="365"/>
      <c r="D372" s="65"/>
      <c r="E372" s="1180"/>
      <c r="F372" s="797"/>
      <c r="G372" s="128"/>
      <c r="H372" s="14"/>
    </row>
    <row r="373" spans="1:8" x14ac:dyDescent="0.2">
      <c r="A373" s="228">
        <v>38868</v>
      </c>
      <c r="B373" s="128">
        <v>-2.6738</v>
      </c>
      <c r="C373" s="365"/>
      <c r="D373" s="65"/>
      <c r="E373" s="1180"/>
      <c r="F373" s="797"/>
      <c r="G373" s="128"/>
      <c r="H373" s="14"/>
    </row>
    <row r="374" spans="1:8" x14ac:dyDescent="0.2">
      <c r="A374" s="228">
        <v>38898</v>
      </c>
      <c r="B374" s="128">
        <v>0.10929999999999999</v>
      </c>
      <c r="C374" s="365"/>
      <c r="D374" s="65"/>
      <c r="E374" s="1180"/>
      <c r="F374" s="797"/>
      <c r="G374" s="128"/>
      <c r="H374" s="14"/>
    </row>
    <row r="375" spans="1:8" x14ac:dyDescent="0.2">
      <c r="A375" s="228">
        <v>38929</v>
      </c>
      <c r="B375" s="128">
        <v>0.3402</v>
      </c>
      <c r="D375" s="65"/>
      <c r="E375" s="1180"/>
      <c r="F375" s="797"/>
      <c r="G375" s="128"/>
      <c r="H375" s="14"/>
    </row>
    <row r="376" spans="1:8" x14ac:dyDescent="0.2">
      <c r="A376" s="228">
        <v>38960</v>
      </c>
      <c r="B376" s="128">
        <v>2.0718999999999999</v>
      </c>
      <c r="D376" s="65"/>
      <c r="E376" s="1180"/>
      <c r="F376" s="797"/>
      <c r="G376" s="128"/>
      <c r="H376" s="14"/>
    </row>
    <row r="377" spans="1:8" x14ac:dyDescent="0.2">
      <c r="A377" s="228">
        <v>38990</v>
      </c>
      <c r="B377" s="128">
        <v>1.5406</v>
      </c>
      <c r="D377" s="65"/>
      <c r="E377" s="1180"/>
      <c r="F377" s="797"/>
      <c r="G377" s="128"/>
      <c r="H377" s="14"/>
    </row>
    <row r="378" spans="1:8" x14ac:dyDescent="0.2">
      <c r="A378" s="228">
        <v>39021</v>
      </c>
      <c r="B378" s="128">
        <v>2.7227000000000001</v>
      </c>
      <c r="D378" s="65"/>
      <c r="E378" s="1180"/>
      <c r="F378" s="797"/>
      <c r="G378" s="128"/>
      <c r="H378" s="14"/>
    </row>
    <row r="379" spans="1:8" x14ac:dyDescent="0.2">
      <c r="A379" s="228">
        <v>39051</v>
      </c>
      <c r="B379" s="128">
        <v>1.9994000000000001</v>
      </c>
      <c r="D379" s="65"/>
      <c r="E379" s="1180"/>
      <c r="F379" s="797"/>
      <c r="G379" s="128"/>
      <c r="H379" s="14"/>
    </row>
    <row r="380" spans="1:8" x14ac:dyDescent="0.2">
      <c r="A380" s="228">
        <v>39082</v>
      </c>
      <c r="B380" s="128">
        <v>1.1708000000000001</v>
      </c>
      <c r="C380" s="795"/>
      <c r="D380" s="65"/>
      <c r="E380" s="1180"/>
      <c r="F380" s="797"/>
      <c r="G380" s="128"/>
      <c r="H380" s="14"/>
    </row>
    <row r="381" spans="1:8" x14ac:dyDescent="0.2">
      <c r="A381" s="228">
        <v>39113</v>
      </c>
      <c r="B381" s="128">
        <v>1.1852</v>
      </c>
      <c r="C381" s="795">
        <v>26714725302.919998</v>
      </c>
      <c r="D381" s="65"/>
      <c r="E381" s="1180"/>
      <c r="F381" s="797"/>
      <c r="G381" s="128"/>
      <c r="H381" s="14"/>
    </row>
    <row r="382" spans="1:8" x14ac:dyDescent="0.2">
      <c r="A382" s="228">
        <v>39141</v>
      </c>
      <c r="B382" s="128">
        <v>-0.21190000000000001</v>
      </c>
      <c r="C382" s="795">
        <v>26635760075.27</v>
      </c>
      <c r="D382" s="65"/>
      <c r="E382" s="1180"/>
      <c r="F382" s="797"/>
      <c r="G382" s="128"/>
      <c r="H382" s="14"/>
    </row>
    <row r="383" spans="1:8" x14ac:dyDescent="0.2">
      <c r="A383" s="228">
        <v>39172</v>
      </c>
      <c r="B383" s="128">
        <v>1.3320000000000001</v>
      </c>
      <c r="C383" s="795">
        <v>26780342585</v>
      </c>
      <c r="D383" s="65"/>
      <c r="E383" s="1180"/>
      <c r="F383" s="797"/>
      <c r="G383" s="128"/>
      <c r="H383" s="14"/>
    </row>
    <row r="384" spans="1:8" x14ac:dyDescent="0.2">
      <c r="A384" s="228">
        <v>39202</v>
      </c>
      <c r="B384" s="128">
        <v>3.1926999999999999</v>
      </c>
      <c r="C384" s="796">
        <v>27746391816.189999</v>
      </c>
      <c r="D384" s="65"/>
      <c r="E384" s="1180"/>
      <c r="F384" s="797"/>
      <c r="G384" s="128"/>
      <c r="H384" s="14"/>
    </row>
    <row r="385" spans="1:8" x14ac:dyDescent="0.2">
      <c r="A385" s="228">
        <v>39233</v>
      </c>
      <c r="B385" s="128">
        <v>2.3611</v>
      </c>
      <c r="C385" s="796">
        <v>28409719186.5</v>
      </c>
      <c r="D385" s="65"/>
      <c r="E385" s="1180"/>
      <c r="F385" s="797"/>
      <c r="G385" s="128"/>
      <c r="H385" s="14"/>
    </row>
    <row r="386" spans="1:8" x14ac:dyDescent="0.2">
      <c r="A386" s="228">
        <v>39263</v>
      </c>
      <c r="B386" s="1180">
        <v>-0.996</v>
      </c>
      <c r="C386" s="796">
        <v>27994227157.18</v>
      </c>
      <c r="D386" s="65"/>
      <c r="F386" s="797"/>
      <c r="G386" s="128"/>
      <c r="H386" s="14"/>
    </row>
    <row r="387" spans="1:8" x14ac:dyDescent="0.2">
      <c r="A387" s="228">
        <v>39294</v>
      </c>
      <c r="B387" s="128">
        <v>-2.0560999999999998</v>
      </c>
      <c r="C387" s="800">
        <v>27467271304.799999</v>
      </c>
      <c r="D387" s="65"/>
      <c r="E387" s="1180"/>
      <c r="F387" s="797"/>
      <c r="G387" s="128"/>
      <c r="H387" s="14"/>
    </row>
    <row r="388" spans="1:8" x14ac:dyDescent="0.2">
      <c r="A388" s="228">
        <v>39325</v>
      </c>
      <c r="B388" s="128">
        <v>0.77359999999999995</v>
      </c>
      <c r="C388" s="800">
        <v>27324965543.650002</v>
      </c>
      <c r="D388" s="65"/>
      <c r="E388" s="1180"/>
      <c r="F388" s="797"/>
      <c r="G388" s="128"/>
      <c r="H388" s="14"/>
    </row>
    <row r="389" spans="1:8" x14ac:dyDescent="0.2">
      <c r="A389" s="228">
        <v>39355</v>
      </c>
      <c r="B389" s="1180">
        <v>2.8123999999999998</v>
      </c>
      <c r="C389" s="800">
        <v>28140964937.169998</v>
      </c>
      <c r="D389" s="65"/>
      <c r="F389" s="797"/>
      <c r="G389" s="128"/>
      <c r="H389" s="14"/>
    </row>
    <row r="390" spans="1:8" x14ac:dyDescent="0.2">
      <c r="A390" s="228">
        <v>39386</v>
      </c>
      <c r="B390" s="224">
        <v>1.9775</v>
      </c>
      <c r="C390" s="1006">
        <v>28683803739.900002</v>
      </c>
      <c r="E390" s="1180"/>
      <c r="F390" s="797"/>
    </row>
    <row r="391" spans="1:8" x14ac:dyDescent="0.2">
      <c r="A391" s="228">
        <v>39416</v>
      </c>
      <c r="B391" s="224">
        <v>-2.8692000000000002</v>
      </c>
      <c r="C391" s="1006">
        <v>27788733369.299999</v>
      </c>
      <c r="D391" s="797"/>
      <c r="E391" s="1180"/>
      <c r="F391" s="797"/>
    </row>
    <row r="392" spans="1:8" x14ac:dyDescent="0.2">
      <c r="A392" s="228">
        <v>39447</v>
      </c>
      <c r="B392" s="1180">
        <v>-0.69830000000000003</v>
      </c>
      <c r="C392" s="1007">
        <v>27639100854.59</v>
      </c>
      <c r="D392" s="798"/>
      <c r="F392" s="797"/>
    </row>
    <row r="393" spans="1:8" x14ac:dyDescent="0.2">
      <c r="A393" s="228">
        <v>39478</v>
      </c>
      <c r="B393" s="1174">
        <v>-4.4953000000000003</v>
      </c>
      <c r="C393" s="225">
        <v>26341379359.419998</v>
      </c>
      <c r="D393" s="798"/>
      <c r="E393" s="1180"/>
      <c r="F393" s="797"/>
    </row>
    <row r="394" spans="1:8" x14ac:dyDescent="0.2">
      <c r="A394" s="228">
        <v>39507</v>
      </c>
      <c r="B394" s="1174">
        <v>-1.3081</v>
      </c>
      <c r="C394" s="225">
        <v>25816961700.169998</v>
      </c>
      <c r="D394" s="798"/>
      <c r="E394" s="1180"/>
      <c r="F394" s="797"/>
    </row>
    <row r="395" spans="1:8" x14ac:dyDescent="0.2">
      <c r="A395" s="228">
        <v>39538</v>
      </c>
      <c r="B395" s="1180">
        <v>-0.57579999999999998</v>
      </c>
      <c r="C395" s="225">
        <v>25821628362.599998</v>
      </c>
      <c r="D395" s="798"/>
      <c r="F395" s="797"/>
    </row>
    <row r="396" spans="1:8" x14ac:dyDescent="0.2">
      <c r="A396" s="228">
        <v>39568</v>
      </c>
      <c r="B396" s="224">
        <v>3.8523000000000001</v>
      </c>
      <c r="C396" s="1178">
        <v>26773845874.650002</v>
      </c>
      <c r="E396" s="1180"/>
      <c r="F396" s="797"/>
      <c r="G396" s="128"/>
    </row>
    <row r="397" spans="1:8" x14ac:dyDescent="0.2">
      <c r="A397" s="228">
        <v>39599</v>
      </c>
      <c r="B397" s="224">
        <v>1.3537999999999999</v>
      </c>
      <c r="C397" s="1178">
        <v>26990649566.77</v>
      </c>
      <c r="E397" s="1180"/>
      <c r="F397" s="797"/>
      <c r="G397" s="128"/>
    </row>
    <row r="398" spans="1:8" x14ac:dyDescent="0.2">
      <c r="A398" s="228">
        <v>39629</v>
      </c>
      <c r="B398" s="224">
        <v>-5.8884999999999996</v>
      </c>
      <c r="C398" s="1178">
        <v>25478442469.790001</v>
      </c>
      <c r="E398" s="1180"/>
      <c r="F398" s="797"/>
      <c r="G398" s="128"/>
    </row>
    <row r="399" spans="1:8" x14ac:dyDescent="0.2">
      <c r="A399" s="228">
        <v>39660</v>
      </c>
      <c r="B399" s="1177">
        <v>-0.97950000000000004</v>
      </c>
      <c r="C399" s="1038">
        <v>25111581457.889999</v>
      </c>
      <c r="G399" s="128"/>
    </row>
    <row r="400" spans="1:8" x14ac:dyDescent="0.2">
      <c r="A400" s="228">
        <v>39691</v>
      </c>
      <c r="B400" s="1177">
        <v>0.44950000000000001</v>
      </c>
      <c r="C400" s="1038">
        <v>24991271258.689999</v>
      </c>
      <c r="G400" s="128"/>
    </row>
    <row r="401" spans="1:3" x14ac:dyDescent="0.2">
      <c r="A401" s="228">
        <v>39721</v>
      </c>
      <c r="B401" s="1177">
        <v>-7.6106999999999996</v>
      </c>
      <c r="C401" s="1038">
        <v>23208501898.5</v>
      </c>
    </row>
    <row r="402" spans="1:3" x14ac:dyDescent="0.2">
      <c r="A402" s="228">
        <v>39752</v>
      </c>
      <c r="B402" s="224">
        <v>-13.2516</v>
      </c>
      <c r="C402" s="341"/>
    </row>
    <row r="403" spans="1:3" x14ac:dyDescent="0.2">
      <c r="A403" s="228">
        <v>39782</v>
      </c>
      <c r="B403" s="224">
        <v>-4.1036000000000001</v>
      </c>
      <c r="C403" s="341"/>
    </row>
    <row r="404" spans="1:3" x14ac:dyDescent="0.2">
      <c r="A404" s="228">
        <v>39813</v>
      </c>
      <c r="B404" s="224">
        <v>3.3763999999999998</v>
      </c>
      <c r="C404" s="341"/>
    </row>
    <row r="405" spans="1:3" x14ac:dyDescent="0.2">
      <c r="A405" s="228">
        <v>39844</v>
      </c>
      <c r="B405" s="224">
        <v>-5.48</v>
      </c>
    </row>
    <row r="406" spans="1:3" x14ac:dyDescent="0.2">
      <c r="A406" s="228">
        <v>39872</v>
      </c>
      <c r="B406" s="224">
        <v>-6.7</v>
      </c>
    </row>
    <row r="407" spans="1:3" x14ac:dyDescent="0.2">
      <c r="A407" s="228">
        <v>39903</v>
      </c>
      <c r="B407" s="224">
        <v>4.6399999999999997</v>
      </c>
    </row>
    <row r="408" spans="1:3" x14ac:dyDescent="0.2">
      <c r="A408" s="228">
        <v>39933</v>
      </c>
      <c r="B408" s="224">
        <v>7.7</v>
      </c>
    </row>
    <row r="409" spans="1:3" x14ac:dyDescent="0.2">
      <c r="A409" s="228">
        <v>39964</v>
      </c>
      <c r="B409" s="224">
        <v>4.5599999999999996</v>
      </c>
    </row>
    <row r="410" spans="1:3" x14ac:dyDescent="0.2">
      <c r="A410" s="228">
        <v>39994</v>
      </c>
      <c r="B410" s="224">
        <v>0.05</v>
      </c>
    </row>
    <row r="411" spans="1:3" x14ac:dyDescent="0.2">
      <c r="A411" s="228">
        <v>40025</v>
      </c>
      <c r="B411" s="224">
        <v>6.3</v>
      </c>
    </row>
    <row r="412" spans="1:3" x14ac:dyDescent="0.2">
      <c r="A412" s="228">
        <v>40056</v>
      </c>
      <c r="B412" s="224">
        <v>2.96</v>
      </c>
    </row>
    <row r="413" spans="1:3" x14ac:dyDescent="0.2">
      <c r="A413" s="228">
        <v>40086</v>
      </c>
      <c r="B413" s="224">
        <v>3.49</v>
      </c>
    </row>
    <row r="414" spans="1:3" x14ac:dyDescent="0.2">
      <c r="A414" s="228">
        <v>40117</v>
      </c>
    </row>
    <row r="415" spans="1:3" x14ac:dyDescent="0.2">
      <c r="A415" s="228">
        <v>40147</v>
      </c>
    </row>
    <row r="416" spans="1:3" x14ac:dyDescent="0.2">
      <c r="A416" s="228">
        <v>40178</v>
      </c>
    </row>
    <row r="417" spans="1:1" x14ac:dyDescent="0.2">
      <c r="A417" s="228">
        <v>40209</v>
      </c>
    </row>
    <row r="418" spans="1:1" x14ac:dyDescent="0.2">
      <c r="A418" s="228">
        <v>40237</v>
      </c>
    </row>
    <row r="419" spans="1:1" x14ac:dyDescent="0.2">
      <c r="A419" s="228">
        <v>40268</v>
      </c>
    </row>
    <row r="420" spans="1:1" x14ac:dyDescent="0.2">
      <c r="A420" s="228">
        <v>40298</v>
      </c>
    </row>
    <row r="421" spans="1:1" x14ac:dyDescent="0.2">
      <c r="A421" s="228">
        <v>40329</v>
      </c>
    </row>
    <row r="422" spans="1:1" x14ac:dyDescent="0.2">
      <c r="A422" s="228">
        <v>40359</v>
      </c>
    </row>
    <row r="423" spans="1:1" x14ac:dyDescent="0.2">
      <c r="A423" s="228">
        <v>40390</v>
      </c>
    </row>
    <row r="424" spans="1:1" x14ac:dyDescent="0.2">
      <c r="A424" s="228">
        <v>40421</v>
      </c>
    </row>
    <row r="425" spans="1:1" x14ac:dyDescent="0.2">
      <c r="A425" s="228">
        <v>40451</v>
      </c>
    </row>
    <row r="426" spans="1:1" x14ac:dyDescent="0.2">
      <c r="A426" s="228">
        <v>40482</v>
      </c>
    </row>
    <row r="427" spans="1:1" x14ac:dyDescent="0.2">
      <c r="A427" s="228">
        <v>40512</v>
      </c>
    </row>
    <row r="428" spans="1:1" x14ac:dyDescent="0.2">
      <c r="A428" s="228">
        <v>40543</v>
      </c>
    </row>
  </sheetData>
  <phoneticPr fontId="3" type="noConversion"/>
  <pageMargins left="0.75" right="0.75" top="1" bottom="1" header="0.5" footer="0.5"/>
  <pageSetup orientation="portrait" r:id="rId1"/>
  <headerFooter alignWithMargins="0"/>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K255"/>
  <sheetViews>
    <sheetView topLeftCell="A43" workbookViewId="0">
      <selection activeCell="B33" sqref="B33"/>
    </sheetView>
  </sheetViews>
  <sheetFormatPr defaultRowHeight="12.75" x14ac:dyDescent="0.2"/>
  <cols>
    <col min="1" max="1" width="12.7109375" style="89" customWidth="1"/>
    <col min="2" max="2" width="14.7109375" style="89" customWidth="1"/>
    <col min="3" max="3" width="12.7109375" style="89" customWidth="1"/>
    <col min="4" max="4" width="16.7109375" style="89" customWidth="1"/>
    <col min="5" max="5" width="14.7109375" style="89" customWidth="1"/>
    <col min="6" max="6" width="10.7109375" style="89" customWidth="1"/>
    <col min="7" max="8" width="9.140625" style="89"/>
    <col min="9" max="9" width="15" style="89" bestFit="1" customWidth="1"/>
    <col min="10" max="10" width="9.140625" style="89"/>
    <col min="11" max="11" width="11.28515625" style="89" bestFit="1" customWidth="1"/>
    <col min="12" max="16384" width="9.140625" style="89"/>
  </cols>
  <sheetData>
    <row r="1" spans="1:6" ht="18" x14ac:dyDescent="0.25">
      <c r="A1" s="88" t="s">
        <v>121</v>
      </c>
    </row>
    <row r="2" spans="1:6" ht="15.75" x14ac:dyDescent="0.25">
      <c r="A2" s="1494">
        <f>Home!C10</f>
        <v>41882</v>
      </c>
      <c r="B2" s="1494"/>
    </row>
    <row r="4" spans="1:6" x14ac:dyDescent="0.2">
      <c r="B4" s="90"/>
    </row>
    <row r="5" spans="1:6" x14ac:dyDescent="0.2">
      <c r="A5" s="357" t="s">
        <v>271</v>
      </c>
      <c r="B5" s="355"/>
      <c r="C5" s="358"/>
      <c r="D5" s="358"/>
      <c r="E5" s="358"/>
      <c r="F5" s="358"/>
    </row>
    <row r="6" spans="1:6" x14ac:dyDescent="0.2">
      <c r="A6" s="359"/>
      <c r="B6" s="360"/>
      <c r="C6" s="361"/>
      <c r="D6" s="361"/>
      <c r="E6" s="361"/>
      <c r="F6" s="361"/>
    </row>
    <row r="7" spans="1:6" x14ac:dyDescent="0.2">
      <c r="B7" s="90"/>
    </row>
    <row r="8" spans="1:6" x14ac:dyDescent="0.2">
      <c r="A8" s="91" t="s">
        <v>37</v>
      </c>
      <c r="B8" s="90"/>
    </row>
    <row r="9" spans="1:6" x14ac:dyDescent="0.2">
      <c r="B9" s="92"/>
    </row>
    <row r="10" spans="1:6" x14ac:dyDescent="0.2">
      <c r="A10" s="89" t="s">
        <v>92</v>
      </c>
      <c r="B10" s="93" t="e">
        <f>'Return Summary'!#REF!*1000000</f>
        <v>#REF!</v>
      </c>
    </row>
    <row r="11" spans="1:6" x14ac:dyDescent="0.2">
      <c r="B11" s="90"/>
      <c r="D11" s="94"/>
      <c r="E11" s="94"/>
      <c r="F11" s="94" t="s">
        <v>122</v>
      </c>
    </row>
    <row r="12" spans="1:6" x14ac:dyDescent="0.2">
      <c r="A12" s="95" t="s">
        <v>123</v>
      </c>
      <c r="B12" s="96" t="s">
        <v>124</v>
      </c>
      <c r="C12" s="96" t="s">
        <v>125</v>
      </c>
      <c r="D12" s="97" t="s">
        <v>126</v>
      </c>
      <c r="E12" s="97" t="s">
        <v>127</v>
      </c>
      <c r="F12" s="98" t="s">
        <v>128</v>
      </c>
    </row>
    <row r="13" spans="1:6" x14ac:dyDescent="0.2">
      <c r="A13" s="89" t="s">
        <v>129</v>
      </c>
      <c r="B13" s="93">
        <v>100000000</v>
      </c>
      <c r="C13" s="107">
        <v>3.0000000000000001E-3</v>
      </c>
      <c r="D13" s="113"/>
      <c r="E13" s="90"/>
    </row>
    <row r="14" spans="1:6" x14ac:dyDescent="0.2">
      <c r="A14" s="89" t="s">
        <v>130</v>
      </c>
      <c r="B14" s="93">
        <v>400000000</v>
      </c>
      <c r="C14" s="107">
        <v>1.5E-3</v>
      </c>
      <c r="D14" s="93" t="e">
        <f>IF(B10&lt;B14,B10,B14)</f>
        <v>#REF!</v>
      </c>
      <c r="E14" s="90" t="e">
        <f>D14*C14</f>
        <v>#REF!</v>
      </c>
    </row>
    <row r="15" spans="1:6" x14ac:dyDescent="0.2">
      <c r="A15" s="89" t="s">
        <v>130</v>
      </c>
      <c r="B15" s="93">
        <v>500000000</v>
      </c>
      <c r="C15" s="107">
        <v>1E-3</v>
      </c>
      <c r="D15" s="93" t="e">
        <f>IF(B10-D14&lt;B15,B10-D14,B15)</f>
        <v>#REF!</v>
      </c>
      <c r="E15" s="90" t="e">
        <f>D15*C15</f>
        <v>#REF!</v>
      </c>
    </row>
    <row r="16" spans="1:6" x14ac:dyDescent="0.2">
      <c r="A16" s="100" t="s">
        <v>131</v>
      </c>
      <c r="B16" s="101"/>
      <c r="C16" s="108">
        <v>8.0000000000000004E-4</v>
      </c>
      <c r="D16" s="103" t="e">
        <f>B10-D15-D14-D13</f>
        <v>#REF!</v>
      </c>
      <c r="E16" s="101" t="e">
        <f>D16*C16</f>
        <v>#REF!</v>
      </c>
    </row>
    <row r="17" spans="1:6" x14ac:dyDescent="0.2">
      <c r="B17" s="90"/>
      <c r="D17" s="101" t="e">
        <f>SUM(D13:D16)</f>
        <v>#REF!</v>
      </c>
      <c r="E17" s="101" t="e">
        <f>SUM(E13:E16)</f>
        <v>#REF!</v>
      </c>
      <c r="F17" s="104" t="e">
        <f>(E17/D17)*10000</f>
        <v>#REF!</v>
      </c>
    </row>
    <row r="18" spans="1:6" x14ac:dyDescent="0.2">
      <c r="D18" s="105" t="e">
        <f>IF(D17=B10,"OK","ERR")</f>
        <v>#REF!</v>
      </c>
    </row>
    <row r="19" spans="1:6" x14ac:dyDescent="0.2">
      <c r="B19" s="90"/>
    </row>
    <row r="20" spans="1:6" x14ac:dyDescent="0.2">
      <c r="A20" s="91" t="s">
        <v>39</v>
      </c>
      <c r="B20" s="90"/>
    </row>
    <row r="21" spans="1:6" x14ac:dyDescent="0.2">
      <c r="B21" s="92"/>
    </row>
    <row r="22" spans="1:6" x14ac:dyDescent="0.2">
      <c r="A22" s="89" t="s">
        <v>92</v>
      </c>
      <c r="B22" s="93">
        <f>'Return Summary'!E16*1000000</f>
        <v>473805298.47000003</v>
      </c>
    </row>
    <row r="23" spans="1:6" x14ac:dyDescent="0.2">
      <c r="B23" s="90"/>
      <c r="D23" s="94"/>
      <c r="E23" s="94"/>
      <c r="F23" s="94" t="s">
        <v>122</v>
      </c>
    </row>
    <row r="24" spans="1:6" x14ac:dyDescent="0.2">
      <c r="A24" s="95" t="s">
        <v>123</v>
      </c>
      <c r="B24" s="96" t="s">
        <v>124</v>
      </c>
      <c r="C24" s="96" t="s">
        <v>125</v>
      </c>
      <c r="D24" s="97" t="s">
        <v>126</v>
      </c>
      <c r="E24" s="97" t="s">
        <v>127</v>
      </c>
      <c r="F24" s="98" t="s">
        <v>128</v>
      </c>
    </row>
    <row r="25" spans="1:6" x14ac:dyDescent="0.2">
      <c r="A25" s="89" t="s">
        <v>129</v>
      </c>
      <c r="B25" s="93">
        <v>300000000</v>
      </c>
      <c r="C25" s="107">
        <v>4.3169999999999997E-3</v>
      </c>
      <c r="D25" s="93">
        <f>IF(B22&lt;B25,B22,B25)</f>
        <v>300000000</v>
      </c>
      <c r="E25" s="90">
        <f>D25*C25</f>
        <v>1295100</v>
      </c>
    </row>
    <row r="26" spans="1:6" x14ac:dyDescent="0.2">
      <c r="A26" s="89" t="s">
        <v>130</v>
      </c>
      <c r="B26" s="93">
        <v>200000000</v>
      </c>
      <c r="C26" s="107">
        <v>3.0000000000000001E-3</v>
      </c>
      <c r="D26" s="93">
        <f>IF(B22-D25&lt;B26,B22-D25,B26)</f>
        <v>173805298.47000003</v>
      </c>
      <c r="E26" s="90">
        <f>D26*C26</f>
        <v>521415.89541000011</v>
      </c>
    </row>
    <row r="27" spans="1:6" x14ac:dyDescent="0.2">
      <c r="A27" s="100" t="s">
        <v>131</v>
      </c>
      <c r="B27" s="103"/>
      <c r="C27" s="108">
        <v>2.5000000000000001E-3</v>
      </c>
      <c r="D27" s="103">
        <f>B22-D26-D25</f>
        <v>0</v>
      </c>
      <c r="E27" s="101">
        <f>D27*C27</f>
        <v>0</v>
      </c>
      <c r="F27" s="100"/>
    </row>
    <row r="28" spans="1:6" x14ac:dyDescent="0.2">
      <c r="B28" s="90"/>
      <c r="D28" s="101">
        <f>SUM(D25:D27)</f>
        <v>473805298.47000003</v>
      </c>
      <c r="E28" s="101">
        <f>SUM(E25:E27)</f>
        <v>1816515.8954100001</v>
      </c>
      <c r="F28" s="109">
        <f>(E28/D28)*10000</f>
        <v>38.338868334226035</v>
      </c>
    </row>
    <row r="29" spans="1:6" x14ac:dyDescent="0.2">
      <c r="D29" s="105" t="str">
        <f>IF(D28=B22,"OK","ERR")</f>
        <v>OK</v>
      </c>
      <c r="E29" s="106"/>
    </row>
    <row r="30" spans="1:6" x14ac:dyDescent="0.2">
      <c r="D30" s="105"/>
      <c r="E30" s="106"/>
    </row>
    <row r="31" spans="1:6" x14ac:dyDescent="0.2">
      <c r="A31" s="91" t="s">
        <v>12</v>
      </c>
      <c r="B31" s="90"/>
    </row>
    <row r="32" spans="1:6" x14ac:dyDescent="0.2">
      <c r="B32" s="92"/>
    </row>
    <row r="33" spans="1:6" x14ac:dyDescent="0.2">
      <c r="A33" s="89" t="s">
        <v>92</v>
      </c>
      <c r="B33" s="93">
        <f>'Return Summary'!E19*1000000</f>
        <v>822175409.96000004</v>
      </c>
    </row>
    <row r="34" spans="1:6" x14ac:dyDescent="0.2">
      <c r="B34" s="90"/>
      <c r="D34" s="94"/>
      <c r="E34" s="94"/>
      <c r="F34" s="94" t="s">
        <v>122</v>
      </c>
    </row>
    <row r="35" spans="1:6" x14ac:dyDescent="0.2">
      <c r="A35" s="95" t="s">
        <v>123</v>
      </c>
      <c r="B35" s="96" t="s">
        <v>124</v>
      </c>
      <c r="C35" s="96" t="s">
        <v>125</v>
      </c>
      <c r="D35" s="97" t="s">
        <v>126</v>
      </c>
      <c r="E35" s="97" t="s">
        <v>127</v>
      </c>
      <c r="F35" s="98" t="s">
        <v>128</v>
      </c>
    </row>
    <row r="36" spans="1:6" x14ac:dyDescent="0.2">
      <c r="A36" s="89" t="s">
        <v>129</v>
      </c>
      <c r="B36" s="93">
        <v>350000000</v>
      </c>
      <c r="C36" s="107">
        <v>3.0000000000000001E-3</v>
      </c>
      <c r="D36" s="93">
        <f>IF(B33&lt;B36,B33,B36)</f>
        <v>350000000</v>
      </c>
      <c r="E36" s="90">
        <f>D36*C36</f>
        <v>1050000</v>
      </c>
    </row>
    <row r="37" spans="1:6" x14ac:dyDescent="0.2">
      <c r="A37" s="89" t="s">
        <v>130</v>
      </c>
      <c r="B37" s="93">
        <v>350000000</v>
      </c>
      <c r="C37" s="107">
        <v>2.5000000000000001E-3</v>
      </c>
      <c r="D37" s="93">
        <f>IF(B33-D36&lt;B37,B33-D36,B37)</f>
        <v>350000000</v>
      </c>
      <c r="E37" s="90">
        <f>D37*C37</f>
        <v>875000</v>
      </c>
    </row>
    <row r="38" spans="1:6" x14ac:dyDescent="0.2">
      <c r="A38" s="100" t="s">
        <v>131</v>
      </c>
      <c r="B38" s="103"/>
      <c r="C38" s="108">
        <v>2E-3</v>
      </c>
      <c r="D38" s="103">
        <f>B33-D37-D36</f>
        <v>122175409.96000004</v>
      </c>
      <c r="E38" s="101">
        <f>D38*C38</f>
        <v>244350.81992000007</v>
      </c>
      <c r="F38" s="100"/>
    </row>
    <row r="39" spans="1:6" x14ac:dyDescent="0.2">
      <c r="B39" s="90"/>
      <c r="D39" s="101">
        <f>SUM(D36:D38)</f>
        <v>822175409.96000004</v>
      </c>
      <c r="E39" s="101">
        <f>SUM(E36:E38)</f>
        <v>2169350.8199200002</v>
      </c>
      <c r="F39" s="109">
        <f>(E39/D39)*10000</f>
        <v>26.385498686047324</v>
      </c>
    </row>
    <row r="40" spans="1:6" x14ac:dyDescent="0.2">
      <c r="D40" s="105" t="str">
        <f>IF(D39=B33,"OK","ERR")</f>
        <v>OK</v>
      </c>
      <c r="E40" s="106"/>
    </row>
    <row r="41" spans="1:6" x14ac:dyDescent="0.2">
      <c r="D41" s="105"/>
      <c r="E41" s="106"/>
    </row>
    <row r="42" spans="1:6" x14ac:dyDescent="0.2">
      <c r="A42" s="91" t="s">
        <v>135</v>
      </c>
      <c r="B42" s="90"/>
    </row>
    <row r="43" spans="1:6" x14ac:dyDescent="0.2">
      <c r="B43" s="92"/>
    </row>
    <row r="44" spans="1:6" x14ac:dyDescent="0.2">
      <c r="A44" s="89" t="s">
        <v>92</v>
      </c>
      <c r="B44" s="93" t="e">
        <f>'Return Summary'!#REF!*1000000</f>
        <v>#REF!</v>
      </c>
    </row>
    <row r="45" spans="1:6" x14ac:dyDescent="0.2">
      <c r="B45" s="90"/>
      <c r="D45" s="94"/>
      <c r="E45" s="94"/>
      <c r="F45" s="94" t="s">
        <v>122</v>
      </c>
    </row>
    <row r="46" spans="1:6" x14ac:dyDescent="0.2">
      <c r="A46" s="95" t="s">
        <v>123</v>
      </c>
      <c r="B46" s="96" t="s">
        <v>124</v>
      </c>
      <c r="C46" s="96" t="s">
        <v>125</v>
      </c>
      <c r="D46" s="97" t="s">
        <v>126</v>
      </c>
      <c r="E46" s="97" t="s">
        <v>127</v>
      </c>
      <c r="F46" s="98" t="s">
        <v>128</v>
      </c>
    </row>
    <row r="47" spans="1:6" x14ac:dyDescent="0.2">
      <c r="A47" s="89" t="s">
        <v>129</v>
      </c>
      <c r="B47" s="93">
        <v>100000000</v>
      </c>
      <c r="C47" s="107">
        <v>2.5000000000000001E-3</v>
      </c>
      <c r="D47" s="93" t="e">
        <f>IF(B44&lt;B47,B44,B47)</f>
        <v>#REF!</v>
      </c>
      <c r="E47" s="90" t="e">
        <f>D47*C47</f>
        <v>#REF!</v>
      </c>
    </row>
    <row r="48" spans="1:6" x14ac:dyDescent="0.2">
      <c r="A48" s="100" t="s">
        <v>131</v>
      </c>
      <c r="B48" s="103"/>
      <c r="C48" s="108">
        <v>2E-3</v>
      </c>
      <c r="D48" s="103" t="e">
        <f>B44-D47</f>
        <v>#REF!</v>
      </c>
      <c r="E48" s="101" t="e">
        <f>D48*C48</f>
        <v>#REF!</v>
      </c>
      <c r="F48" s="100"/>
    </row>
    <row r="49" spans="1:11" x14ac:dyDescent="0.2">
      <c r="A49" s="110"/>
      <c r="B49" s="111"/>
      <c r="C49" s="110"/>
      <c r="D49" s="111" t="e">
        <f>SUM(D47:D48)</f>
        <v>#REF!</v>
      </c>
      <c r="E49" s="111" t="e">
        <f>SUM(E47:E48)</f>
        <v>#REF!</v>
      </c>
      <c r="F49" s="112" t="e">
        <f>(E49/D49)*10000</f>
        <v>#REF!</v>
      </c>
    </row>
    <row r="50" spans="1:11" x14ac:dyDescent="0.2">
      <c r="D50" s="105" t="e">
        <f>IF(D49=B44,"OK","ERR")</f>
        <v>#REF!</v>
      </c>
      <c r="E50" s="106"/>
    </row>
    <row r="51" spans="1:11" x14ac:dyDescent="0.2">
      <c r="D51" s="105"/>
      <c r="E51" s="106"/>
    </row>
    <row r="52" spans="1:11" x14ac:dyDescent="0.2">
      <c r="D52" s="105"/>
      <c r="E52" s="106"/>
    </row>
    <row r="53" spans="1:11" x14ac:dyDescent="0.2">
      <c r="A53" s="357" t="s">
        <v>272</v>
      </c>
      <c r="B53" s="355"/>
      <c r="C53" s="358"/>
      <c r="D53" s="358"/>
      <c r="E53" s="358"/>
      <c r="F53" s="358"/>
    </row>
    <row r="54" spans="1:11" x14ac:dyDescent="0.2">
      <c r="D54" s="105"/>
      <c r="E54" s="106"/>
    </row>
    <row r="55" spans="1:11" x14ac:dyDescent="0.2">
      <c r="B55" s="90"/>
    </row>
    <row r="56" spans="1:11" x14ac:dyDescent="0.2">
      <c r="A56" s="91" t="s">
        <v>95</v>
      </c>
      <c r="B56" s="90"/>
    </row>
    <row r="57" spans="1:11" x14ac:dyDescent="0.2">
      <c r="B57" s="92"/>
    </row>
    <row r="58" spans="1:11" x14ac:dyDescent="0.2">
      <c r="A58" s="89" t="s">
        <v>92</v>
      </c>
      <c r="B58" s="93">
        <f>'Return Summary'!E32*1000000</f>
        <v>417799504.41000003</v>
      </c>
    </row>
    <row r="59" spans="1:11" x14ac:dyDescent="0.2">
      <c r="B59" s="90"/>
      <c r="D59" s="94"/>
      <c r="E59" s="94"/>
      <c r="F59" s="94" t="s">
        <v>122</v>
      </c>
    </row>
    <row r="60" spans="1:11" x14ac:dyDescent="0.2">
      <c r="A60" s="95" t="s">
        <v>123</v>
      </c>
      <c r="B60" s="96" t="s">
        <v>124</v>
      </c>
      <c r="C60" s="96" t="s">
        <v>125</v>
      </c>
      <c r="D60" s="97" t="s">
        <v>126</v>
      </c>
      <c r="E60" s="97" t="s">
        <v>127</v>
      </c>
      <c r="F60" s="98" t="s">
        <v>128</v>
      </c>
    </row>
    <row r="61" spans="1:11" x14ac:dyDescent="0.2">
      <c r="A61" s="89" t="s">
        <v>129</v>
      </c>
      <c r="B61" s="93">
        <v>100000000</v>
      </c>
      <c r="C61" s="107">
        <v>6.0000000000000001E-3</v>
      </c>
      <c r="D61" s="93">
        <f>IF(B58&lt;B61,B58,B61)</f>
        <v>100000000</v>
      </c>
      <c r="E61" s="90">
        <f>D61*C61</f>
        <v>600000</v>
      </c>
      <c r="I61" s="755"/>
      <c r="K61" s="756"/>
    </row>
    <row r="62" spans="1:11" x14ac:dyDescent="0.2">
      <c r="A62" s="100" t="s">
        <v>131</v>
      </c>
      <c r="B62" s="103"/>
      <c r="C62" s="108">
        <v>5.0000000000000001E-3</v>
      </c>
      <c r="D62" s="103">
        <f>B58-D61</f>
        <v>317799504.41000003</v>
      </c>
      <c r="E62" s="101">
        <f>D62*C62</f>
        <v>1588997.5220500003</v>
      </c>
      <c r="F62" s="100"/>
      <c r="I62" s="755"/>
      <c r="K62" s="756"/>
    </row>
    <row r="63" spans="1:11" x14ac:dyDescent="0.2">
      <c r="A63" s="110"/>
      <c r="B63" s="111"/>
      <c r="C63" s="110"/>
      <c r="D63" s="111">
        <f>SUM(D61:D62)</f>
        <v>417799504.41000003</v>
      </c>
      <c r="E63" s="111">
        <f>SUM(E61:E62)</f>
        <v>2188997.5220500003</v>
      </c>
      <c r="F63" s="112">
        <f>(E63/D63)*10000</f>
        <v>52.393492547130137</v>
      </c>
    </row>
    <row r="64" spans="1:11" x14ac:dyDescent="0.2">
      <c r="D64" s="105" t="str">
        <f>IF(D63=B58,"OK","ERR")</f>
        <v>OK</v>
      </c>
      <c r="E64" s="106"/>
    </row>
    <row r="66" spans="1:6" x14ac:dyDescent="0.2">
      <c r="A66" s="91" t="s">
        <v>134</v>
      </c>
      <c r="B66" s="90"/>
    </row>
    <row r="67" spans="1:6" x14ac:dyDescent="0.2">
      <c r="B67" s="92"/>
    </row>
    <row r="68" spans="1:6" x14ac:dyDescent="0.2">
      <c r="A68" s="89" t="s">
        <v>92</v>
      </c>
      <c r="B68" s="93" t="e">
        <f>'Return Summary'!#REF!*1000000</f>
        <v>#REF!</v>
      </c>
    </row>
    <row r="69" spans="1:6" x14ac:dyDescent="0.2">
      <c r="B69" s="90"/>
      <c r="D69" s="94"/>
      <c r="E69" s="94"/>
      <c r="F69" s="94" t="s">
        <v>122</v>
      </c>
    </row>
    <row r="70" spans="1:6" x14ac:dyDescent="0.2">
      <c r="A70" s="95" t="s">
        <v>123</v>
      </c>
      <c r="B70" s="96" t="s">
        <v>124</v>
      </c>
      <c r="C70" s="96" t="s">
        <v>125</v>
      </c>
      <c r="D70" s="97" t="s">
        <v>126</v>
      </c>
      <c r="E70" s="97" t="s">
        <v>127</v>
      </c>
      <c r="F70" s="98" t="s">
        <v>128</v>
      </c>
    </row>
    <row r="71" spans="1:6" x14ac:dyDescent="0.2">
      <c r="A71" s="89" t="s">
        <v>129</v>
      </c>
      <c r="B71" s="93">
        <v>50000000</v>
      </c>
      <c r="C71" s="107">
        <v>4.0000000000000002E-4</v>
      </c>
      <c r="D71" s="93" t="e">
        <f>IF(B68&lt;B71,B68,B71)</f>
        <v>#REF!</v>
      </c>
      <c r="E71" s="90" t="e">
        <f>D71*C71</f>
        <v>#REF!</v>
      </c>
    </row>
    <row r="72" spans="1:6" x14ac:dyDescent="0.2">
      <c r="A72" s="89" t="s">
        <v>130</v>
      </c>
      <c r="B72" s="93">
        <v>50000000</v>
      </c>
      <c r="C72" s="107">
        <v>2.9999999999999997E-4</v>
      </c>
      <c r="D72" s="93" t="e">
        <f>IF(B68-D71&lt;B72,B68-D71,B72)</f>
        <v>#REF!</v>
      </c>
      <c r="E72" s="90" t="e">
        <f>D72*C72</f>
        <v>#REF!</v>
      </c>
    </row>
    <row r="73" spans="1:6" x14ac:dyDescent="0.2">
      <c r="A73" s="100" t="s">
        <v>131</v>
      </c>
      <c r="B73" s="103"/>
      <c r="C73" s="108">
        <v>2.0000000000000001E-4</v>
      </c>
      <c r="D73" s="103" t="e">
        <f>B68-D72-D71</f>
        <v>#REF!</v>
      </c>
      <c r="E73" s="101" t="e">
        <f>D73*C73</f>
        <v>#REF!</v>
      </c>
      <c r="F73" s="100"/>
    </row>
    <row r="74" spans="1:6" x14ac:dyDescent="0.2">
      <c r="B74" s="90"/>
      <c r="D74" s="101" t="e">
        <f>SUM(D71:D73)</f>
        <v>#REF!</v>
      </c>
      <c r="E74" s="101" t="e">
        <f>SUM(E71:E73)</f>
        <v>#REF!</v>
      </c>
      <c r="F74" s="109" t="e">
        <f>(E74/D74)*10000</f>
        <v>#REF!</v>
      </c>
    </row>
    <row r="75" spans="1:6" x14ac:dyDescent="0.2">
      <c r="D75" s="105" t="e">
        <f>IF(D74=B68,"OK","ERR")</f>
        <v>#REF!</v>
      </c>
      <c r="E75" s="106"/>
    </row>
    <row r="76" spans="1:6" x14ac:dyDescent="0.2">
      <c r="B76" s="90"/>
    </row>
    <row r="77" spans="1:6" x14ac:dyDescent="0.2">
      <c r="A77" s="91" t="s">
        <v>222</v>
      </c>
      <c r="B77" s="90"/>
    </row>
    <row r="78" spans="1:6" x14ac:dyDescent="0.2">
      <c r="B78" s="92"/>
    </row>
    <row r="79" spans="1:6" x14ac:dyDescent="0.2">
      <c r="A79" s="89" t="s">
        <v>92</v>
      </c>
      <c r="B79" s="93" t="e">
        <f>'Return Summary'!#REF!*1000000</f>
        <v>#REF!</v>
      </c>
    </row>
    <row r="80" spans="1:6" x14ac:dyDescent="0.2">
      <c r="B80" s="90"/>
      <c r="D80" s="94"/>
      <c r="E80" s="94"/>
      <c r="F80" s="94" t="s">
        <v>122</v>
      </c>
    </row>
    <row r="81" spans="1:11" x14ac:dyDescent="0.2">
      <c r="A81" s="95" t="s">
        <v>123</v>
      </c>
      <c r="B81" s="96" t="s">
        <v>124</v>
      </c>
      <c r="C81" s="96" t="s">
        <v>125</v>
      </c>
      <c r="D81" s="97" t="s">
        <v>126</v>
      </c>
      <c r="E81" s="97" t="s">
        <v>127</v>
      </c>
      <c r="F81" s="98" t="s">
        <v>128</v>
      </c>
    </row>
    <row r="82" spans="1:11" x14ac:dyDescent="0.2">
      <c r="A82" s="89" t="s">
        <v>129</v>
      </c>
      <c r="B82" s="93">
        <v>10000000</v>
      </c>
      <c r="C82" s="107">
        <v>8.0000000000000002E-3</v>
      </c>
      <c r="D82" s="93" t="e">
        <f>IF(B79&lt;B82,B79,B82)</f>
        <v>#REF!</v>
      </c>
      <c r="E82" s="90" t="e">
        <f>D82*C82</f>
        <v>#REF!</v>
      </c>
    </row>
    <row r="83" spans="1:11" x14ac:dyDescent="0.2">
      <c r="A83" s="89" t="s">
        <v>130</v>
      </c>
      <c r="B83" s="93">
        <v>40000000</v>
      </c>
      <c r="C83" s="107">
        <v>7.0000000000000001E-3</v>
      </c>
      <c r="D83" s="93" t="e">
        <f>IF(B79-D82&lt;B83,B79-D82,B83)</f>
        <v>#REF!</v>
      </c>
      <c r="E83" s="90" t="e">
        <f>D83*C83</f>
        <v>#REF!</v>
      </c>
    </row>
    <row r="84" spans="1:11" x14ac:dyDescent="0.2">
      <c r="A84" s="89" t="s">
        <v>130</v>
      </c>
      <c r="B84" s="93">
        <v>50000000</v>
      </c>
      <c r="C84" s="107">
        <v>5.0000000000000001E-3</v>
      </c>
      <c r="D84" s="93" t="e">
        <f>IF(B79-D82-D83&lt;B84,B79-D82-D83,B84)</f>
        <v>#REF!</v>
      </c>
      <c r="E84" s="90" t="e">
        <f>D84*C84</f>
        <v>#REF!</v>
      </c>
    </row>
    <row r="85" spans="1:11" x14ac:dyDescent="0.2">
      <c r="A85" s="100" t="s">
        <v>131</v>
      </c>
      <c r="B85" s="101"/>
      <c r="C85" s="108">
        <v>3.5000000000000001E-3</v>
      </c>
      <c r="D85" s="103" t="e">
        <f>B79-D84-D83-D82</f>
        <v>#REF!</v>
      </c>
      <c r="E85" s="101" t="e">
        <f>D85*C85</f>
        <v>#REF!</v>
      </c>
    </row>
    <row r="86" spans="1:11" x14ac:dyDescent="0.2">
      <c r="B86" s="90"/>
      <c r="D86" s="101" t="e">
        <f>SUM(D82:D85)</f>
        <v>#REF!</v>
      </c>
      <c r="E86" s="101" t="e">
        <f>SUM(E82:E85)</f>
        <v>#REF!</v>
      </c>
      <c r="F86" s="104" t="e">
        <f>(E86/D86)*10000</f>
        <v>#REF!</v>
      </c>
    </row>
    <row r="87" spans="1:11" x14ac:dyDescent="0.2">
      <c r="D87" s="105" t="e">
        <f>IF(D86=B79,"OK","ERR")</f>
        <v>#REF!</v>
      </c>
    </row>
    <row r="89" spans="1:11" x14ac:dyDescent="0.2">
      <c r="A89" s="91" t="s">
        <v>65</v>
      </c>
      <c r="B89" s="90"/>
    </row>
    <row r="90" spans="1:11" x14ac:dyDescent="0.2">
      <c r="B90" s="92"/>
      <c r="I90" s="755">
        <v>10000000</v>
      </c>
      <c r="J90" s="89">
        <v>1</v>
      </c>
      <c r="K90" s="89">
        <f>I90*(J90/400)</f>
        <v>25000</v>
      </c>
    </row>
    <row r="91" spans="1:11" x14ac:dyDescent="0.2">
      <c r="A91" s="89" t="s">
        <v>92</v>
      </c>
      <c r="B91" s="93">
        <f>'Return Summary'!E38*1000000</f>
        <v>102061070.13</v>
      </c>
      <c r="I91" s="755">
        <v>15000000</v>
      </c>
      <c r="J91" s="89">
        <v>0.7</v>
      </c>
      <c r="K91" s="89">
        <f>I91*(J91/400)</f>
        <v>26249.999999999996</v>
      </c>
    </row>
    <row r="92" spans="1:11" x14ac:dyDescent="0.2">
      <c r="B92" s="90"/>
      <c r="D92" s="94"/>
      <c r="E92" s="94"/>
      <c r="F92" s="94" t="s">
        <v>122</v>
      </c>
      <c r="I92" s="755">
        <v>25000000</v>
      </c>
      <c r="J92" s="89">
        <v>0.55000000000000004</v>
      </c>
      <c r="K92" s="89">
        <f>I92*(J92/400)</f>
        <v>34375</v>
      </c>
    </row>
    <row r="93" spans="1:11" x14ac:dyDescent="0.2">
      <c r="A93" s="95" t="s">
        <v>123</v>
      </c>
      <c r="B93" s="96" t="s">
        <v>124</v>
      </c>
      <c r="C93" s="96" t="s">
        <v>125</v>
      </c>
      <c r="D93" s="97" t="s">
        <v>126</v>
      </c>
      <c r="E93" s="97" t="s">
        <v>127</v>
      </c>
      <c r="F93" s="98" t="s">
        <v>128</v>
      </c>
      <c r="I93" s="755">
        <f>70020878</f>
        <v>70020878</v>
      </c>
      <c r="J93" s="89">
        <v>0.4</v>
      </c>
      <c r="K93" s="89">
        <f>I93*(J93/400)</f>
        <v>70020.877999999997</v>
      </c>
    </row>
    <row r="94" spans="1:11" x14ac:dyDescent="0.2">
      <c r="A94" s="89" t="s">
        <v>129</v>
      </c>
      <c r="B94" s="93">
        <v>10000000</v>
      </c>
      <c r="C94" s="107">
        <v>0.01</v>
      </c>
      <c r="D94" s="93">
        <f>IF(B91&lt;B94,B91,B94)</f>
        <v>10000000</v>
      </c>
      <c r="E94" s="90">
        <f>D94*C94</f>
        <v>100000</v>
      </c>
      <c r="I94" s="1251" t="s">
        <v>407</v>
      </c>
    </row>
    <row r="95" spans="1:11" x14ac:dyDescent="0.2">
      <c r="A95" s="89" t="s">
        <v>130</v>
      </c>
      <c r="B95" s="93">
        <v>15000000</v>
      </c>
      <c r="C95" s="107">
        <v>7.0000000000000001E-3</v>
      </c>
      <c r="D95" s="93">
        <f>IF(B91-D94&lt;B95,B91-D94,B95)</f>
        <v>15000000</v>
      </c>
      <c r="E95" s="90">
        <f>D95*C95</f>
        <v>105000</v>
      </c>
      <c r="J95" s="89">
        <f>K95*4</f>
        <v>622583.51199999999</v>
      </c>
      <c r="K95" s="89">
        <f>SUM(K90:K93)</f>
        <v>155645.878</v>
      </c>
    </row>
    <row r="96" spans="1:11" x14ac:dyDescent="0.2">
      <c r="A96" s="89" t="s">
        <v>130</v>
      </c>
      <c r="B96" s="93">
        <v>25000000</v>
      </c>
      <c r="C96" s="107">
        <v>5.4999999999999997E-3</v>
      </c>
      <c r="D96" s="93">
        <f>IF(B91-D94-D95&lt;B96,B91-D94-D95,B96)</f>
        <v>25000000</v>
      </c>
      <c r="E96" s="90">
        <f>D96*C96</f>
        <v>137500</v>
      </c>
      <c r="J96" s="89">
        <f>J95*0.95</f>
        <v>591454.33639999991</v>
      </c>
      <c r="K96" s="89">
        <f>K95-127302.11</f>
        <v>28343.767999999996</v>
      </c>
    </row>
    <row r="97" spans="1:10" x14ac:dyDescent="0.2">
      <c r="A97" s="100" t="s">
        <v>131</v>
      </c>
      <c r="B97" s="101"/>
      <c r="C97" s="108">
        <v>4.0000000000000001E-3</v>
      </c>
      <c r="D97" s="103">
        <f>B91-D96-D95-D94</f>
        <v>52061070.129999995</v>
      </c>
      <c r="E97" s="101">
        <f>D97*C97</f>
        <v>208244.28051999997</v>
      </c>
      <c r="J97" s="89">
        <f>J95-J96</f>
        <v>31129.175600000075</v>
      </c>
    </row>
    <row r="98" spans="1:10" x14ac:dyDescent="0.2">
      <c r="B98" s="90"/>
      <c r="D98" s="101">
        <f>SUM(D94:D97)</f>
        <v>102061070.13</v>
      </c>
      <c r="E98" s="101">
        <f>SUM(E94:E97)</f>
        <v>550744.28052000003</v>
      </c>
      <c r="F98" s="104">
        <f>(E98/D98)*10000</f>
        <v>53.962228675291286</v>
      </c>
    </row>
    <row r="99" spans="1:10" x14ac:dyDescent="0.2">
      <c r="D99" s="105" t="str">
        <f>IF(D98=B91,"OK","ERR")</f>
        <v>OK</v>
      </c>
    </row>
    <row r="100" spans="1:10" x14ac:dyDescent="0.2">
      <c r="D100" s="105"/>
    </row>
    <row r="101" spans="1:10" x14ac:dyDescent="0.2">
      <c r="D101" s="105"/>
    </row>
    <row r="102" spans="1:10" x14ac:dyDescent="0.2">
      <c r="A102" s="357" t="s">
        <v>273</v>
      </c>
      <c r="B102" s="355"/>
      <c r="C102" s="358"/>
      <c r="D102" s="358"/>
      <c r="E102" s="358"/>
      <c r="F102" s="358"/>
    </row>
    <row r="103" spans="1:10" x14ac:dyDescent="0.2">
      <c r="D103" s="105"/>
    </row>
    <row r="105" spans="1:10" x14ac:dyDescent="0.2">
      <c r="A105" s="91" t="s">
        <v>152</v>
      </c>
      <c r="B105" s="90"/>
    </row>
    <row r="106" spans="1:10" x14ac:dyDescent="0.2">
      <c r="B106" s="92"/>
    </row>
    <row r="107" spans="1:10" x14ac:dyDescent="0.2">
      <c r="A107" s="89" t="s">
        <v>92</v>
      </c>
      <c r="B107" s="93">
        <f>'Return Summary'!E50*1000000</f>
        <v>454216340.02999997</v>
      </c>
    </row>
    <row r="108" spans="1:10" x14ac:dyDescent="0.2">
      <c r="B108" s="90"/>
      <c r="D108" s="94"/>
      <c r="E108" s="94"/>
      <c r="F108" s="94" t="s">
        <v>122</v>
      </c>
    </row>
    <row r="109" spans="1:10" x14ac:dyDescent="0.2">
      <c r="A109" s="95" t="s">
        <v>123</v>
      </c>
      <c r="B109" s="96" t="s">
        <v>124</v>
      </c>
      <c r="C109" s="96" t="s">
        <v>125</v>
      </c>
      <c r="D109" s="97" t="s">
        <v>126</v>
      </c>
      <c r="E109" s="97" t="s">
        <v>127</v>
      </c>
      <c r="F109" s="98" t="s">
        <v>128</v>
      </c>
    </row>
    <row r="110" spans="1:10" x14ac:dyDescent="0.2">
      <c r="A110" s="89" t="s">
        <v>129</v>
      </c>
      <c r="B110" s="93">
        <v>120000000</v>
      </c>
      <c r="C110" s="107">
        <v>8.6E-3</v>
      </c>
      <c r="D110" s="93">
        <f>IF(B107&lt;B110,B107,B110)</f>
        <v>120000000</v>
      </c>
      <c r="E110" s="90">
        <f>D110*C110</f>
        <v>1032000</v>
      </c>
    </row>
    <row r="111" spans="1:10" x14ac:dyDescent="0.2">
      <c r="A111" s="100" t="s">
        <v>131</v>
      </c>
      <c r="B111" s="103"/>
      <c r="C111" s="108">
        <v>8.0000000000000002E-3</v>
      </c>
      <c r="D111" s="103">
        <f>B107-D110</f>
        <v>334216340.02999997</v>
      </c>
      <c r="E111" s="101">
        <f>D111*C111</f>
        <v>2673730.7202399997</v>
      </c>
      <c r="F111" s="100"/>
    </row>
    <row r="112" spans="1:10" x14ac:dyDescent="0.2">
      <c r="A112" s="110"/>
      <c r="B112" s="111"/>
      <c r="C112" s="110"/>
      <c r="D112" s="111">
        <f>SUM(D110:D111)</f>
        <v>454216340.02999997</v>
      </c>
      <c r="E112" s="111">
        <f>SUM(E110:E111)</f>
        <v>3705730.7202399997</v>
      </c>
      <c r="F112" s="112">
        <f>(E112/D112)*10000</f>
        <v>81.585147729279058</v>
      </c>
    </row>
    <row r="113" spans="1:6" x14ac:dyDescent="0.2">
      <c r="D113" s="105" t="str">
        <f>IF(D112=B107,"OK","ERR")</f>
        <v>OK</v>
      </c>
      <c r="E113" s="106"/>
    </row>
    <row r="114" spans="1:6" x14ac:dyDescent="0.2">
      <c r="D114" s="105"/>
      <c r="E114" s="106"/>
    </row>
    <row r="115" spans="1:6" x14ac:dyDescent="0.2">
      <c r="A115" s="91" t="s">
        <v>23</v>
      </c>
      <c r="B115" s="90"/>
    </row>
    <row r="116" spans="1:6" x14ac:dyDescent="0.2">
      <c r="B116" s="92"/>
    </row>
    <row r="117" spans="1:6" x14ac:dyDescent="0.2">
      <c r="A117" s="89" t="s">
        <v>92</v>
      </c>
      <c r="B117" s="93">
        <f>'Return Summary'!E53*1000000</f>
        <v>403082635.92000002</v>
      </c>
    </row>
    <row r="118" spans="1:6" x14ac:dyDescent="0.2">
      <c r="B118" s="90"/>
      <c r="D118" s="94"/>
      <c r="E118" s="94"/>
      <c r="F118" s="94" t="s">
        <v>122</v>
      </c>
    </row>
    <row r="119" spans="1:6" x14ac:dyDescent="0.2">
      <c r="A119" s="95" t="s">
        <v>123</v>
      </c>
      <c r="B119" s="96" t="s">
        <v>124</v>
      </c>
      <c r="C119" s="96" t="s">
        <v>125</v>
      </c>
      <c r="D119" s="97" t="s">
        <v>126</v>
      </c>
      <c r="E119" s="97" t="s">
        <v>127</v>
      </c>
      <c r="F119" s="98" t="s">
        <v>128</v>
      </c>
    </row>
    <row r="120" spans="1:6" x14ac:dyDescent="0.2">
      <c r="A120" s="89" t="s">
        <v>129</v>
      </c>
      <c r="B120" s="93">
        <v>300000000</v>
      </c>
      <c r="C120" s="107">
        <v>2.3E-3</v>
      </c>
      <c r="D120" s="93">
        <f>IF(B117&lt;B120,B117,B120)</f>
        <v>300000000</v>
      </c>
      <c r="E120" s="90">
        <f>D120*C120</f>
        <v>690000</v>
      </c>
    </row>
    <row r="121" spans="1:6" x14ac:dyDescent="0.2">
      <c r="A121" s="100" t="s">
        <v>131</v>
      </c>
      <c r="B121" s="103"/>
      <c r="C121" s="108">
        <v>1.8500000000000001E-3</v>
      </c>
      <c r="D121" s="103">
        <f>B117-D120</f>
        <v>103082635.92000002</v>
      </c>
      <c r="E121" s="101">
        <f>D121*C121</f>
        <v>190702.87645200003</v>
      </c>
      <c r="F121" s="100"/>
    </row>
    <row r="122" spans="1:6" x14ac:dyDescent="0.2">
      <c r="A122" s="110"/>
      <c r="B122" s="111"/>
      <c r="C122" s="110"/>
      <c r="D122" s="111">
        <f>SUM(D120:D121)</f>
        <v>403082635.92000002</v>
      </c>
      <c r="E122" s="111">
        <f>SUM(E120:E121)</f>
        <v>880702.876452</v>
      </c>
      <c r="F122" s="112">
        <f>(E122/D122)*10000</f>
        <v>21.849189172881996</v>
      </c>
    </row>
    <row r="123" spans="1:6" x14ac:dyDescent="0.2">
      <c r="D123" s="105" t="str">
        <f>IF(D122=B117,"OK","ERR")</f>
        <v>OK</v>
      </c>
      <c r="E123" s="106"/>
    </row>
    <row r="124" spans="1:6" x14ac:dyDescent="0.2">
      <c r="D124" s="105"/>
      <c r="E124" s="106"/>
    </row>
    <row r="125" spans="1:6" x14ac:dyDescent="0.2">
      <c r="A125" s="91" t="s">
        <v>133</v>
      </c>
      <c r="B125" s="90"/>
    </row>
    <row r="126" spans="1:6" x14ac:dyDescent="0.2">
      <c r="B126" s="92"/>
    </row>
    <row r="127" spans="1:6" x14ac:dyDescent="0.2">
      <c r="A127" s="89" t="s">
        <v>92</v>
      </c>
      <c r="B127" s="93">
        <f>'Return Summary'!E46*1000000</f>
        <v>477558967.30000001</v>
      </c>
    </row>
    <row r="128" spans="1:6" x14ac:dyDescent="0.2">
      <c r="B128" s="90"/>
      <c r="D128" s="94"/>
      <c r="E128" s="94"/>
      <c r="F128" s="94" t="s">
        <v>122</v>
      </c>
    </row>
    <row r="129" spans="1:6" x14ac:dyDescent="0.2">
      <c r="A129" s="95" t="s">
        <v>123</v>
      </c>
      <c r="B129" s="96" t="s">
        <v>124</v>
      </c>
      <c r="C129" s="96" t="s">
        <v>125</v>
      </c>
      <c r="D129" s="97" t="s">
        <v>126</v>
      </c>
      <c r="E129" s="97" t="s">
        <v>127</v>
      </c>
      <c r="F129" s="98" t="s">
        <v>128</v>
      </c>
    </row>
    <row r="130" spans="1:6" x14ac:dyDescent="0.2">
      <c r="A130" s="89" t="s">
        <v>129</v>
      </c>
      <c r="B130" s="93">
        <v>500000000</v>
      </c>
      <c r="C130" s="107">
        <v>2.5000000000000001E-4</v>
      </c>
      <c r="D130" s="93">
        <f>IF(B127&lt;B130,B127,B130)</f>
        <v>477558967.30000001</v>
      </c>
      <c r="E130" s="90">
        <f>D130*C130</f>
        <v>119389.741825</v>
      </c>
    </row>
    <row r="131" spans="1:6" x14ac:dyDescent="0.2">
      <c r="A131" s="89" t="s">
        <v>130</v>
      </c>
      <c r="B131" s="93">
        <v>500000000</v>
      </c>
      <c r="C131" s="107">
        <v>2.0000000000000001E-4</v>
      </c>
      <c r="D131" s="93">
        <f>IF(B127-D130&lt;B131,B127-D130,B131)</f>
        <v>0</v>
      </c>
      <c r="E131" s="90">
        <f>D131*C131</f>
        <v>0</v>
      </c>
    </row>
    <row r="132" spans="1:6" x14ac:dyDescent="0.2">
      <c r="A132" s="100" t="s">
        <v>131</v>
      </c>
      <c r="B132" s="103"/>
      <c r="C132" s="108">
        <v>1.4999999999999999E-4</v>
      </c>
      <c r="D132" s="103">
        <f>B127-D131-D130</f>
        <v>0</v>
      </c>
      <c r="E132" s="101">
        <f>D132*C132</f>
        <v>0</v>
      </c>
      <c r="F132" s="100"/>
    </row>
    <row r="133" spans="1:6" x14ac:dyDescent="0.2">
      <c r="B133" s="90"/>
      <c r="D133" s="101">
        <f>SUM(D130:D132)</f>
        <v>477558967.30000001</v>
      </c>
      <c r="E133" s="101">
        <f>SUM(E130:E132)</f>
        <v>119389.741825</v>
      </c>
      <c r="F133" s="109">
        <f>(E133/D133)*10000</f>
        <v>2.5</v>
      </c>
    </row>
    <row r="134" spans="1:6" x14ac:dyDescent="0.2">
      <c r="D134" s="105" t="str">
        <f>IF(D133=B127,"OK","ERR")</f>
        <v>OK</v>
      </c>
      <c r="E134" s="106"/>
    </row>
    <row r="135" spans="1:6" x14ac:dyDescent="0.2">
      <c r="D135" s="105"/>
      <c r="E135" s="106"/>
    </row>
    <row r="136" spans="1:6" x14ac:dyDescent="0.2">
      <c r="D136" s="105"/>
      <c r="E136" s="106"/>
    </row>
    <row r="137" spans="1:6" x14ac:dyDescent="0.2">
      <c r="A137" s="91" t="s">
        <v>352</v>
      </c>
      <c r="D137" s="105"/>
      <c r="E137" s="106"/>
    </row>
    <row r="138" spans="1:6" x14ac:dyDescent="0.2">
      <c r="D138" s="105"/>
      <c r="E138" s="106"/>
    </row>
    <row r="139" spans="1:6" x14ac:dyDescent="0.2">
      <c r="A139" s="89" t="s">
        <v>92</v>
      </c>
      <c r="B139" s="89">
        <f>'Return Summary'!E47*1000000</f>
        <v>90392461.980000004</v>
      </c>
      <c r="D139" s="105"/>
      <c r="E139" s="106"/>
    </row>
    <row r="140" spans="1:6" x14ac:dyDescent="0.2">
      <c r="B140" s="90"/>
      <c r="D140" s="94"/>
      <c r="E140" s="94"/>
      <c r="F140" s="94" t="s">
        <v>122</v>
      </c>
    </row>
    <row r="141" spans="1:6" x14ac:dyDescent="0.2">
      <c r="A141" s="95" t="s">
        <v>123</v>
      </c>
      <c r="B141" s="96" t="s">
        <v>124</v>
      </c>
      <c r="C141" s="96" t="s">
        <v>125</v>
      </c>
      <c r="D141" s="97" t="s">
        <v>126</v>
      </c>
      <c r="E141" s="97" t="s">
        <v>127</v>
      </c>
      <c r="F141" s="98" t="s">
        <v>128</v>
      </c>
    </row>
    <row r="142" spans="1:6" x14ac:dyDescent="0.2">
      <c r="A142" s="89" t="s">
        <v>129</v>
      </c>
      <c r="B142" s="93">
        <v>100000000</v>
      </c>
      <c r="C142" s="107">
        <v>8.5000000000000006E-3</v>
      </c>
      <c r="D142" s="93">
        <f>IF(B139&lt;B142,B139,B142)</f>
        <v>90392461.980000004</v>
      </c>
      <c r="E142" s="90">
        <f>D142*C142</f>
        <v>768335.92683000013</v>
      </c>
    </row>
    <row r="143" spans="1:6" x14ac:dyDescent="0.2">
      <c r="A143" s="100" t="s">
        <v>131</v>
      </c>
      <c r="B143" s="103"/>
      <c r="C143" s="108">
        <v>7.4999999999999997E-3</v>
      </c>
      <c r="D143" s="103">
        <f>B139-D142</f>
        <v>0</v>
      </c>
      <c r="E143" s="101">
        <f>D143*C143</f>
        <v>0</v>
      </c>
      <c r="F143" s="100"/>
    </row>
    <row r="144" spans="1:6" x14ac:dyDescent="0.2">
      <c r="A144" s="110"/>
      <c r="B144" s="111"/>
      <c r="C144" s="110"/>
      <c r="D144" s="111">
        <f>SUM(D142:D143)</f>
        <v>90392461.980000004</v>
      </c>
      <c r="E144" s="111">
        <f>SUM(E142:E143)</f>
        <v>768335.92683000013</v>
      </c>
      <c r="F144" s="112">
        <f>(E144/D144)*10000</f>
        <v>85</v>
      </c>
    </row>
    <row r="145" spans="1:6" x14ac:dyDescent="0.2">
      <c r="D145" s="105"/>
      <c r="E145" s="106"/>
    </row>
    <row r="146" spans="1:6" x14ac:dyDescent="0.2">
      <c r="D146" s="105"/>
      <c r="E146" s="106"/>
    </row>
    <row r="147" spans="1:6" x14ac:dyDescent="0.2">
      <c r="A147" s="91" t="s">
        <v>350</v>
      </c>
      <c r="D147" s="105"/>
      <c r="E147" s="106"/>
    </row>
    <row r="148" spans="1:6" x14ac:dyDescent="0.2">
      <c r="A148" s="91"/>
      <c r="D148" s="105"/>
      <c r="E148" s="106"/>
    </row>
    <row r="149" spans="1:6" x14ac:dyDescent="0.2">
      <c r="A149" s="89" t="s">
        <v>92</v>
      </c>
      <c r="B149" s="93" t="e">
        <f>'Return Summary'!#REF!*1000000</f>
        <v>#REF!</v>
      </c>
    </row>
    <row r="150" spans="1:6" x14ac:dyDescent="0.2">
      <c r="B150" s="90"/>
      <c r="D150" s="94"/>
      <c r="E150" s="94"/>
      <c r="F150" s="94" t="s">
        <v>122</v>
      </c>
    </row>
    <row r="151" spans="1:6" x14ac:dyDescent="0.2">
      <c r="A151" s="95" t="s">
        <v>123</v>
      </c>
      <c r="B151" s="96" t="s">
        <v>124</v>
      </c>
      <c r="C151" s="96" t="s">
        <v>125</v>
      </c>
      <c r="D151" s="97" t="s">
        <v>126</v>
      </c>
      <c r="E151" s="97" t="s">
        <v>127</v>
      </c>
      <c r="F151" s="98" t="s">
        <v>128</v>
      </c>
    </row>
    <row r="152" spans="1:6" x14ac:dyDescent="0.2">
      <c r="A152" s="89" t="s">
        <v>129</v>
      </c>
      <c r="B152" s="93">
        <v>100000000</v>
      </c>
      <c r="C152" s="107">
        <v>8.5000000000000006E-3</v>
      </c>
      <c r="D152" s="93" t="e">
        <f>IF(B149&lt;B152,B149,B152)</f>
        <v>#REF!</v>
      </c>
      <c r="E152" s="90" t="e">
        <f>D152*C152</f>
        <v>#REF!</v>
      </c>
    </row>
    <row r="153" spans="1:6" x14ac:dyDescent="0.2">
      <c r="A153" s="89" t="s">
        <v>130</v>
      </c>
      <c r="B153" s="93">
        <v>100000000</v>
      </c>
      <c r="C153" s="107">
        <v>7.4999999999999997E-3</v>
      </c>
      <c r="D153" s="93" t="e">
        <f>IF(B149-D152&lt;B153,B149-D152,B153)</f>
        <v>#REF!</v>
      </c>
      <c r="E153" s="90" t="e">
        <f>D153*C153</f>
        <v>#REF!</v>
      </c>
    </row>
    <row r="154" spans="1:6" x14ac:dyDescent="0.2">
      <c r="A154" s="89" t="s">
        <v>130</v>
      </c>
      <c r="B154" s="93">
        <v>100000000</v>
      </c>
      <c r="C154" s="107">
        <v>7.0000000000000001E-3</v>
      </c>
      <c r="D154" s="93" t="e">
        <f>IF(B149-D152-D153&lt;B154,B149-D152-D153,B154)</f>
        <v>#REF!</v>
      </c>
      <c r="E154" s="90" t="e">
        <f>D154*C154</f>
        <v>#REF!</v>
      </c>
    </row>
    <row r="155" spans="1:6" x14ac:dyDescent="0.2">
      <c r="A155" s="100" t="s">
        <v>131</v>
      </c>
      <c r="B155" s="101"/>
      <c r="C155" s="108">
        <v>6.4999999999999997E-3</v>
      </c>
      <c r="D155" s="103" t="e">
        <f>B149-D154-D153-D152</f>
        <v>#REF!</v>
      </c>
      <c r="E155" s="101" t="e">
        <f>D155*C155</f>
        <v>#REF!</v>
      </c>
    </row>
    <row r="156" spans="1:6" x14ac:dyDescent="0.2">
      <c r="B156" s="90"/>
      <c r="D156" s="101" t="e">
        <f>SUM(D152:D155)</f>
        <v>#REF!</v>
      </c>
      <c r="E156" s="101" t="e">
        <f>SUM(E152:E155)</f>
        <v>#REF!</v>
      </c>
      <c r="F156" s="104" t="e">
        <f>(E156/D156)*10000</f>
        <v>#REF!</v>
      </c>
    </row>
    <row r="157" spans="1:6" x14ac:dyDescent="0.2">
      <c r="D157" s="105"/>
    </row>
    <row r="158" spans="1:6" x14ac:dyDescent="0.2">
      <c r="D158" s="105"/>
      <c r="E158" s="106"/>
    </row>
    <row r="159" spans="1:6" x14ac:dyDescent="0.2">
      <c r="A159" s="91" t="s">
        <v>353</v>
      </c>
      <c r="D159" s="105"/>
      <c r="E159" s="106"/>
    </row>
    <row r="160" spans="1:6" x14ac:dyDescent="0.2">
      <c r="D160" s="105"/>
      <c r="E160" s="106"/>
    </row>
    <row r="161" spans="1:6" x14ac:dyDescent="0.2">
      <c r="A161" s="89" t="s">
        <v>92</v>
      </c>
      <c r="B161" s="89" t="e">
        <f>'Return Summary'!#REF!*1000000</f>
        <v>#REF!</v>
      </c>
      <c r="D161" s="105"/>
      <c r="E161" s="106"/>
    </row>
    <row r="162" spans="1:6" x14ac:dyDescent="0.2">
      <c r="B162" s="90"/>
      <c r="D162" s="94"/>
      <c r="E162" s="94"/>
      <c r="F162" s="94" t="s">
        <v>122</v>
      </c>
    </row>
    <row r="163" spans="1:6" x14ac:dyDescent="0.2">
      <c r="A163" s="95" t="s">
        <v>123</v>
      </c>
      <c r="B163" s="96" t="s">
        <v>124</v>
      </c>
      <c r="C163" s="96" t="s">
        <v>125</v>
      </c>
      <c r="D163" s="97" t="s">
        <v>126</v>
      </c>
      <c r="E163" s="97" t="s">
        <v>127</v>
      </c>
      <c r="F163" s="98" t="s">
        <v>128</v>
      </c>
    </row>
    <row r="164" spans="1:6" x14ac:dyDescent="0.2">
      <c r="A164" s="89" t="s">
        <v>129</v>
      </c>
      <c r="B164" s="93">
        <v>100000000</v>
      </c>
      <c r="C164" s="107">
        <v>7.4999999999999997E-3</v>
      </c>
      <c r="D164" s="93" t="e">
        <f>IF(B161&lt;B164,B161,B164)</f>
        <v>#REF!</v>
      </c>
      <c r="E164" s="90" t="e">
        <f>D164*C164</f>
        <v>#REF!</v>
      </c>
    </row>
    <row r="165" spans="1:6" x14ac:dyDescent="0.2">
      <c r="A165" s="100" t="s">
        <v>131</v>
      </c>
      <c r="B165" s="103"/>
      <c r="C165" s="108">
        <v>4.4999999999999997E-3</v>
      </c>
      <c r="D165" s="103" t="e">
        <f>B161-D164</f>
        <v>#REF!</v>
      </c>
      <c r="E165" s="101" t="e">
        <f>D165*C165</f>
        <v>#REF!</v>
      </c>
      <c r="F165" s="100"/>
    </row>
    <row r="166" spans="1:6" x14ac:dyDescent="0.2">
      <c r="A166" s="110"/>
      <c r="B166" s="111"/>
      <c r="C166" s="110"/>
      <c r="D166" s="111" t="e">
        <f>SUM(D164:D165)</f>
        <v>#REF!</v>
      </c>
      <c r="E166" s="111" t="e">
        <f>SUM(E164:E165)</f>
        <v>#REF!</v>
      </c>
      <c r="F166" s="112" t="e">
        <f>(E166/D166)*10000</f>
        <v>#REF!</v>
      </c>
    </row>
    <row r="167" spans="1:6" x14ac:dyDescent="0.2">
      <c r="A167" s="804"/>
      <c r="B167" s="805"/>
      <c r="C167" s="804"/>
      <c r="D167" s="805"/>
      <c r="E167" s="805"/>
      <c r="F167" s="806"/>
    </row>
    <row r="168" spans="1:6" x14ac:dyDescent="0.2">
      <c r="A168" s="804"/>
      <c r="B168" s="805"/>
      <c r="C168" s="804"/>
      <c r="D168" s="805"/>
      <c r="E168" s="805"/>
      <c r="F168" s="806"/>
    </row>
    <row r="169" spans="1:6" x14ac:dyDescent="0.2">
      <c r="A169" s="804"/>
      <c r="B169" s="805"/>
      <c r="C169" s="804"/>
      <c r="D169" s="805"/>
      <c r="E169" s="805"/>
      <c r="F169" s="806"/>
    </row>
    <row r="170" spans="1:6" x14ac:dyDescent="0.2">
      <c r="A170" s="804"/>
      <c r="B170" s="805"/>
      <c r="C170" s="804"/>
      <c r="D170" s="805"/>
      <c r="E170" s="805"/>
      <c r="F170" s="806"/>
    </row>
    <row r="171" spans="1:6" x14ac:dyDescent="0.2">
      <c r="A171" s="357" t="s">
        <v>56</v>
      </c>
      <c r="B171" s="355"/>
      <c r="C171" s="358"/>
      <c r="D171" s="358"/>
      <c r="E171" s="358"/>
      <c r="F171" s="358"/>
    </row>
    <row r="172" spans="1:6" x14ac:dyDescent="0.2">
      <c r="A172" s="362"/>
      <c r="B172" s="106"/>
      <c r="C172" s="363"/>
      <c r="D172" s="363"/>
      <c r="E172" s="363"/>
      <c r="F172" s="363"/>
    </row>
    <row r="173" spans="1:6" x14ac:dyDescent="0.2">
      <c r="D173" s="105"/>
      <c r="E173" s="106"/>
    </row>
    <row r="174" spans="1:6" x14ac:dyDescent="0.2">
      <c r="A174" s="91" t="s">
        <v>1</v>
      </c>
      <c r="B174" s="90"/>
    </row>
    <row r="175" spans="1:6" x14ac:dyDescent="0.2">
      <c r="B175" s="92"/>
    </row>
    <row r="176" spans="1:6" x14ac:dyDescent="0.2">
      <c r="A176" s="89" t="s">
        <v>92</v>
      </c>
      <c r="B176" s="93">
        <f>'Return Summary'!E62*1000000</f>
        <v>596188766.16999996</v>
      </c>
    </row>
    <row r="177" spans="1:6" x14ac:dyDescent="0.2">
      <c r="B177" s="90"/>
      <c r="D177" s="94"/>
      <c r="E177" s="94"/>
      <c r="F177" s="94" t="s">
        <v>122</v>
      </c>
    </row>
    <row r="178" spans="1:6" x14ac:dyDescent="0.2">
      <c r="A178" s="95" t="s">
        <v>123</v>
      </c>
      <c r="B178" s="96" t="s">
        <v>124</v>
      </c>
      <c r="C178" s="96" t="s">
        <v>125</v>
      </c>
      <c r="D178" s="97" t="s">
        <v>126</v>
      </c>
      <c r="E178" s="97" t="s">
        <v>127</v>
      </c>
      <c r="F178" s="98" t="s">
        <v>128</v>
      </c>
    </row>
    <row r="179" spans="1:6" x14ac:dyDescent="0.2">
      <c r="A179" s="89" t="s">
        <v>129</v>
      </c>
      <c r="B179" s="93">
        <v>50000000</v>
      </c>
      <c r="C179" s="107">
        <v>5.4999999999999997E-3</v>
      </c>
      <c r="D179" s="93">
        <f>IF(B176&lt;B179,B176,B179)</f>
        <v>50000000</v>
      </c>
      <c r="E179" s="90">
        <f>D179*C179</f>
        <v>275000</v>
      </c>
    </row>
    <row r="180" spans="1:6" x14ac:dyDescent="0.2">
      <c r="A180" s="89" t="s">
        <v>130</v>
      </c>
      <c r="B180" s="93">
        <v>50000000</v>
      </c>
      <c r="C180" s="107">
        <v>5.0000000000000001E-3</v>
      </c>
      <c r="D180" s="93">
        <f>IF(B176-D179&lt;B180,B176-D179,B180)</f>
        <v>50000000</v>
      </c>
      <c r="E180" s="90">
        <f>D180*C180</f>
        <v>250000</v>
      </c>
    </row>
    <row r="181" spans="1:6" x14ac:dyDescent="0.2">
      <c r="A181" s="89" t="s">
        <v>130</v>
      </c>
      <c r="B181" s="93">
        <v>50000000</v>
      </c>
      <c r="C181" s="107">
        <v>4.4999999999999997E-3</v>
      </c>
      <c r="D181" s="93">
        <f>IF(B176-D179-D180&lt;B181,B176-D179-D180,B181)</f>
        <v>50000000</v>
      </c>
      <c r="E181" s="90">
        <f>D181*C181</f>
        <v>224999.99999999997</v>
      </c>
    </row>
    <row r="182" spans="1:6" x14ac:dyDescent="0.2">
      <c r="A182" s="89" t="s">
        <v>130</v>
      </c>
      <c r="B182" s="93">
        <v>50000000</v>
      </c>
      <c r="C182" s="107">
        <v>4.0000000000000001E-3</v>
      </c>
      <c r="D182" s="93">
        <f>IF(B176-D179-D180-D181&lt;B182,B176-D179-D180-D181,B182)</f>
        <v>50000000</v>
      </c>
      <c r="E182" s="90">
        <f>D182*C182</f>
        <v>200000</v>
      </c>
    </row>
    <row r="183" spans="1:6" x14ac:dyDescent="0.2">
      <c r="A183" s="100" t="s">
        <v>131</v>
      </c>
      <c r="B183" s="101"/>
      <c r="C183" s="108">
        <v>3.5000000000000001E-3</v>
      </c>
      <c r="D183" s="103">
        <f>B176-D182-D181-D180-D179</f>
        <v>396188766.16999996</v>
      </c>
      <c r="E183" s="101">
        <f>D183*C183</f>
        <v>1386660.681595</v>
      </c>
    </row>
    <row r="184" spans="1:6" x14ac:dyDescent="0.2">
      <c r="B184" s="90"/>
      <c r="D184" s="101">
        <f>SUM(D179:D183)</f>
        <v>596188766.16999996</v>
      </c>
      <c r="E184" s="101">
        <f>SUM(E179:E183)</f>
        <v>2336660.681595</v>
      </c>
      <c r="F184" s="104">
        <f>(E184/D184)*10000</f>
        <v>39.193302762244841</v>
      </c>
    </row>
    <row r="185" spans="1:6" x14ac:dyDescent="0.2">
      <c r="D185" s="105" t="str">
        <f>IF(D184=B176,"OK","ERR")</f>
        <v>OK</v>
      </c>
      <c r="E185" s="106"/>
    </row>
    <row r="186" spans="1:6" x14ac:dyDescent="0.2">
      <c r="D186" s="105"/>
      <c r="E186" s="106"/>
    </row>
    <row r="187" spans="1:6" x14ac:dyDescent="0.2">
      <c r="A187" s="91" t="s">
        <v>176</v>
      </c>
      <c r="B187" s="90"/>
    </row>
    <row r="188" spans="1:6" x14ac:dyDescent="0.2">
      <c r="B188" s="92"/>
    </row>
    <row r="189" spans="1:6" x14ac:dyDescent="0.2">
      <c r="A189" s="89" t="s">
        <v>92</v>
      </c>
      <c r="B189" s="93" t="e">
        <f>'Return Summary'!#REF!*1000000</f>
        <v>#REF!</v>
      </c>
    </row>
    <row r="190" spans="1:6" x14ac:dyDescent="0.2">
      <c r="B190" s="90"/>
      <c r="D190" s="94"/>
      <c r="E190" s="94"/>
      <c r="F190" s="94" t="s">
        <v>122</v>
      </c>
    </row>
    <row r="191" spans="1:6" x14ac:dyDescent="0.2">
      <c r="A191" s="95" t="s">
        <v>123</v>
      </c>
      <c r="B191" s="96" t="s">
        <v>124</v>
      </c>
      <c r="C191" s="96" t="s">
        <v>125</v>
      </c>
      <c r="D191" s="97" t="s">
        <v>126</v>
      </c>
      <c r="E191" s="97" t="s">
        <v>127</v>
      </c>
      <c r="F191" s="98" t="s">
        <v>128</v>
      </c>
    </row>
    <row r="192" spans="1:6" x14ac:dyDescent="0.2">
      <c r="A192" s="89" t="s">
        <v>129</v>
      </c>
      <c r="B192" s="93">
        <v>100000000</v>
      </c>
      <c r="C192" s="107">
        <v>5.0000000000000001E-3</v>
      </c>
      <c r="D192" s="93" t="e">
        <f>IF(B189&lt;B192,B189,B192)</f>
        <v>#REF!</v>
      </c>
      <c r="E192" s="90" t="e">
        <f>D192*C192</f>
        <v>#REF!</v>
      </c>
    </row>
    <row r="193" spans="1:6" x14ac:dyDescent="0.2">
      <c r="A193" s="89" t="s">
        <v>130</v>
      </c>
      <c r="B193" s="93">
        <v>100000000</v>
      </c>
      <c r="C193" s="107">
        <v>4.0000000000000001E-3</v>
      </c>
      <c r="D193" s="93" t="e">
        <f>IF(B189-D192&lt;B193,B189-D192,B193)</f>
        <v>#REF!</v>
      </c>
      <c r="E193" s="90" t="e">
        <f>D193*C193</f>
        <v>#REF!</v>
      </c>
    </row>
    <row r="194" spans="1:6" x14ac:dyDescent="0.2">
      <c r="A194" s="89" t="s">
        <v>130</v>
      </c>
      <c r="B194" s="93">
        <v>300000000</v>
      </c>
      <c r="C194" s="107">
        <v>3.0000000000000001E-3</v>
      </c>
      <c r="D194" s="93" t="e">
        <f>IF(B189-D192-D193&lt;B194,B189-D192-D193,B194)</f>
        <v>#REF!</v>
      </c>
      <c r="E194" s="90" t="e">
        <f>D194*C194</f>
        <v>#REF!</v>
      </c>
    </row>
    <row r="195" spans="1:6" x14ac:dyDescent="0.2">
      <c r="A195" s="100" t="s">
        <v>131</v>
      </c>
      <c r="B195" s="101"/>
      <c r="C195" s="108">
        <v>2.5000000000000001E-3</v>
      </c>
      <c r="D195" s="103" t="e">
        <f>B189-D194-D193-D192</f>
        <v>#REF!</v>
      </c>
      <c r="E195" s="101" t="e">
        <f>D195*C195</f>
        <v>#REF!</v>
      </c>
    </row>
    <row r="196" spans="1:6" x14ac:dyDescent="0.2">
      <c r="B196" s="90"/>
      <c r="D196" s="101" t="e">
        <f>SUM(D192:D195)</f>
        <v>#REF!</v>
      </c>
      <c r="E196" s="101" t="e">
        <f>SUM(E192:E195)</f>
        <v>#REF!</v>
      </c>
      <c r="F196" s="104" t="e">
        <f>(E196/D196)*10000</f>
        <v>#REF!</v>
      </c>
    </row>
    <row r="197" spans="1:6" x14ac:dyDescent="0.2">
      <c r="D197" s="105" t="e">
        <f>IF(D196=B189,"OK","ERR")</f>
        <v>#REF!</v>
      </c>
    </row>
    <row r="198" spans="1:6" x14ac:dyDescent="0.2">
      <c r="A198" s="91" t="s">
        <v>177</v>
      </c>
      <c r="B198" s="90"/>
    </row>
    <row r="199" spans="1:6" x14ac:dyDescent="0.2">
      <c r="B199" s="92"/>
    </row>
    <row r="200" spans="1:6" x14ac:dyDescent="0.2">
      <c r="A200" s="89" t="s">
        <v>92</v>
      </c>
      <c r="B200" s="93" t="e">
        <f>'Return Summary'!#REF!*1000000</f>
        <v>#REF!</v>
      </c>
    </row>
    <row r="201" spans="1:6" x14ac:dyDescent="0.2">
      <c r="B201" s="90"/>
      <c r="D201" s="94"/>
      <c r="E201" s="94"/>
      <c r="F201" s="94" t="s">
        <v>122</v>
      </c>
    </row>
    <row r="202" spans="1:6" x14ac:dyDescent="0.2">
      <c r="A202" s="95" t="s">
        <v>123</v>
      </c>
      <c r="B202" s="96" t="s">
        <v>124</v>
      </c>
      <c r="C202" s="96" t="s">
        <v>125</v>
      </c>
      <c r="D202" s="97" t="s">
        <v>126</v>
      </c>
      <c r="E202" s="97" t="s">
        <v>127</v>
      </c>
      <c r="F202" s="98" t="s">
        <v>128</v>
      </c>
    </row>
    <row r="203" spans="1:6" x14ac:dyDescent="0.2">
      <c r="A203" s="89" t="s">
        <v>129</v>
      </c>
      <c r="B203" s="93">
        <v>100000000</v>
      </c>
      <c r="C203" s="107">
        <v>5.4999999999999997E-3</v>
      </c>
      <c r="D203" s="93" t="e">
        <f>IF(B200&lt;B203,B200,B203)</f>
        <v>#REF!</v>
      </c>
      <c r="E203" s="90" t="e">
        <f>D203*C203</f>
        <v>#REF!</v>
      </c>
    </row>
    <row r="204" spans="1:6" x14ac:dyDescent="0.2">
      <c r="A204" s="100" t="s">
        <v>131</v>
      </c>
      <c r="B204" s="103"/>
      <c r="C204" s="108">
        <v>3.0000000000000001E-3</v>
      </c>
      <c r="D204" s="103" t="e">
        <f>B200-D203</f>
        <v>#REF!</v>
      </c>
      <c r="E204" s="101" t="e">
        <f>D204*C204</f>
        <v>#REF!</v>
      </c>
      <c r="F204" s="100"/>
    </row>
    <row r="205" spans="1:6" x14ac:dyDescent="0.2">
      <c r="A205" s="110"/>
      <c r="B205" s="111"/>
      <c r="C205" s="110"/>
      <c r="D205" s="111" t="e">
        <f>SUM(D203:D204)</f>
        <v>#REF!</v>
      </c>
      <c r="E205" s="111" t="e">
        <f>SUM(E203:E204)</f>
        <v>#REF!</v>
      </c>
      <c r="F205" s="112" t="e">
        <f>(E205/D205)*10000</f>
        <v>#REF!</v>
      </c>
    </row>
    <row r="206" spans="1:6" x14ac:dyDescent="0.2">
      <c r="D206" s="105" t="e">
        <f>IF(D205=B200,"OK","ERR")</f>
        <v>#REF!</v>
      </c>
      <c r="E206" s="106"/>
    </row>
    <row r="207" spans="1:6" x14ac:dyDescent="0.2">
      <c r="A207" s="91" t="s">
        <v>182</v>
      </c>
      <c r="B207" s="90"/>
    </row>
    <row r="208" spans="1:6" x14ac:dyDescent="0.2">
      <c r="B208" s="92"/>
    </row>
    <row r="209" spans="1:6" x14ac:dyDescent="0.2">
      <c r="A209" s="89" t="s">
        <v>92</v>
      </c>
      <c r="B209" s="93">
        <f>'Return Summary'!E73*1000000</f>
        <v>465007602.17000002</v>
      </c>
    </row>
    <row r="210" spans="1:6" x14ac:dyDescent="0.2">
      <c r="B210" s="90"/>
      <c r="D210" s="94"/>
      <c r="E210" s="94"/>
      <c r="F210" s="94" t="s">
        <v>122</v>
      </c>
    </row>
    <row r="211" spans="1:6" x14ac:dyDescent="0.2">
      <c r="A211" s="95" t="s">
        <v>123</v>
      </c>
      <c r="B211" s="96" t="s">
        <v>124</v>
      </c>
      <c r="C211" s="96" t="s">
        <v>125</v>
      </c>
      <c r="D211" s="97" t="s">
        <v>126</v>
      </c>
      <c r="E211" s="97" t="s">
        <v>127</v>
      </c>
      <c r="F211" s="98" t="s">
        <v>128</v>
      </c>
    </row>
    <row r="212" spans="1:6" x14ac:dyDescent="0.2">
      <c r="A212" s="89" t="s">
        <v>129</v>
      </c>
      <c r="B212" s="93">
        <v>50000000</v>
      </c>
      <c r="C212" s="107">
        <v>8.5000000000000006E-3</v>
      </c>
      <c r="D212" s="93">
        <f>IF(B209&lt;B212,B209,B212)</f>
        <v>50000000</v>
      </c>
      <c r="E212" s="90">
        <f>D212*C212</f>
        <v>425000.00000000006</v>
      </c>
    </row>
    <row r="213" spans="1:6" x14ac:dyDescent="0.2">
      <c r="A213" s="89" t="s">
        <v>130</v>
      </c>
      <c r="B213" s="93">
        <v>50000000</v>
      </c>
      <c r="C213" s="107">
        <v>7.4999999999999997E-3</v>
      </c>
      <c r="D213" s="93">
        <f>IF(B209-D212&lt;B213,B209-D212,B213)</f>
        <v>50000000</v>
      </c>
      <c r="E213" s="90">
        <f>D213*C213</f>
        <v>375000</v>
      </c>
    </row>
    <row r="214" spans="1:6" x14ac:dyDescent="0.2">
      <c r="A214" s="89" t="s">
        <v>130</v>
      </c>
      <c r="B214" s="93">
        <v>150000000</v>
      </c>
      <c r="C214" s="107">
        <v>6.4999999999999997E-3</v>
      </c>
      <c r="D214" s="93">
        <f>IF(B209-D212-D213&lt;B214,B209-D212-D213,B214)</f>
        <v>150000000</v>
      </c>
      <c r="E214" s="90">
        <f>D214*C214</f>
        <v>975000</v>
      </c>
    </row>
    <row r="215" spans="1:6" x14ac:dyDescent="0.2">
      <c r="A215" s="100" t="s">
        <v>131</v>
      </c>
      <c r="B215" s="101"/>
      <c r="C215" s="108">
        <v>6.0000000000000001E-3</v>
      </c>
      <c r="D215" s="103">
        <f>B209-D214-D213-D212</f>
        <v>215007602.17000002</v>
      </c>
      <c r="E215" s="101">
        <f>D215*C215</f>
        <v>1290045.61302</v>
      </c>
    </row>
    <row r="216" spans="1:6" x14ac:dyDescent="0.2">
      <c r="B216" s="90"/>
      <c r="D216" s="101">
        <f>SUM(D212:D215)</f>
        <v>465007602.17000002</v>
      </c>
      <c r="E216" s="101">
        <f>SUM(E212:E215)</f>
        <v>3065045.61302</v>
      </c>
      <c r="F216" s="104">
        <f>(E216/D216)*10000</f>
        <v>65.913881810032521</v>
      </c>
    </row>
    <row r="217" spans="1:6" x14ac:dyDescent="0.2">
      <c r="D217" s="105" t="str">
        <f>IF(D216=B209,"OK","ERR")</f>
        <v>OK</v>
      </c>
    </row>
    <row r="218" spans="1:6" x14ac:dyDescent="0.2">
      <c r="A218" s="91" t="s">
        <v>183</v>
      </c>
      <c r="B218" s="90"/>
    </row>
    <row r="219" spans="1:6" x14ac:dyDescent="0.2">
      <c r="B219" s="92"/>
    </row>
    <row r="220" spans="1:6" x14ac:dyDescent="0.2">
      <c r="A220" s="89" t="s">
        <v>92</v>
      </c>
      <c r="B220" s="93">
        <f>'Return Summary'!E74*1000000</f>
        <v>224090617.62</v>
      </c>
    </row>
    <row r="221" spans="1:6" x14ac:dyDescent="0.2">
      <c r="B221" s="90"/>
      <c r="D221" s="94"/>
      <c r="E221" s="94"/>
      <c r="F221" s="94" t="s">
        <v>122</v>
      </c>
    </row>
    <row r="222" spans="1:6" x14ac:dyDescent="0.2">
      <c r="A222" s="95" t="s">
        <v>123</v>
      </c>
      <c r="B222" s="96" t="s">
        <v>124</v>
      </c>
      <c r="C222" s="96" t="s">
        <v>125</v>
      </c>
      <c r="D222" s="97" t="s">
        <v>126</v>
      </c>
      <c r="E222" s="97" t="s">
        <v>127</v>
      </c>
      <c r="F222" s="98" t="s">
        <v>128</v>
      </c>
    </row>
    <row r="223" spans="1:6" x14ac:dyDescent="0.2">
      <c r="A223" s="89" t="s">
        <v>129</v>
      </c>
      <c r="B223" s="93">
        <v>150000000</v>
      </c>
      <c r="C223" s="107">
        <v>7.0000000000000001E-3</v>
      </c>
      <c r="D223" s="93">
        <f>IF(B220&lt;B223,B220,B223)</f>
        <v>150000000</v>
      </c>
      <c r="E223" s="90">
        <f>D223*C223</f>
        <v>1050000</v>
      </c>
    </row>
    <row r="224" spans="1:6" x14ac:dyDescent="0.2">
      <c r="A224" s="100" t="s">
        <v>131</v>
      </c>
      <c r="B224" s="103"/>
      <c r="C224" s="108">
        <v>6.4999999999999997E-3</v>
      </c>
      <c r="D224" s="103">
        <f>B220-D223</f>
        <v>74090617.620000005</v>
      </c>
      <c r="E224" s="101">
        <f>D224*C224</f>
        <v>481589.01452999999</v>
      </c>
      <c r="F224" s="100"/>
    </row>
    <row r="225" spans="1:11" x14ac:dyDescent="0.2">
      <c r="A225" s="110"/>
      <c r="B225" s="111"/>
      <c r="C225" s="110"/>
      <c r="D225" s="111">
        <f>SUM(D223:D224)</f>
        <v>224090617.62</v>
      </c>
      <c r="E225" s="111">
        <f>SUM(E223:E224)</f>
        <v>1531589.01453</v>
      </c>
      <c r="F225" s="112">
        <f>(E225/D225)*10000</f>
        <v>68.346860336972284</v>
      </c>
    </row>
    <row r="226" spans="1:11" x14ac:dyDescent="0.2">
      <c r="D226" s="105" t="str">
        <f>IF(D225=B220,"OK","ERR")</f>
        <v>OK</v>
      </c>
      <c r="E226" s="106"/>
    </row>
    <row r="227" spans="1:11" x14ac:dyDescent="0.2">
      <c r="B227" s="90"/>
    </row>
    <row r="228" spans="1:11" x14ac:dyDescent="0.2">
      <c r="B228" s="90"/>
    </row>
    <row r="229" spans="1:11" x14ac:dyDescent="0.2">
      <c r="A229" s="357" t="s">
        <v>60</v>
      </c>
      <c r="B229" s="355"/>
      <c r="C229" s="358"/>
      <c r="D229" s="358"/>
      <c r="E229" s="358"/>
      <c r="F229" s="358"/>
    </row>
    <row r="230" spans="1:11" x14ac:dyDescent="0.2">
      <c r="B230" s="90"/>
      <c r="K230" s="99"/>
    </row>
    <row r="231" spans="1:11" x14ac:dyDescent="0.2">
      <c r="B231" s="90"/>
    </row>
    <row r="232" spans="1:11" x14ac:dyDescent="0.2">
      <c r="A232" s="91" t="s">
        <v>63</v>
      </c>
      <c r="B232" s="90"/>
    </row>
    <row r="233" spans="1:11" x14ac:dyDescent="0.2">
      <c r="B233" s="92"/>
    </row>
    <row r="234" spans="1:11" x14ac:dyDescent="0.2">
      <c r="A234" s="89" t="s">
        <v>92</v>
      </c>
      <c r="B234" s="93" t="e">
        <f>'Return Summary'!#REF!*1000000</f>
        <v>#REF!</v>
      </c>
    </row>
    <row r="235" spans="1:11" x14ac:dyDescent="0.2">
      <c r="B235" s="90"/>
      <c r="D235" s="94"/>
      <c r="E235" s="94"/>
      <c r="F235" s="94" t="s">
        <v>122</v>
      </c>
    </row>
    <row r="236" spans="1:11" x14ac:dyDescent="0.2">
      <c r="A236" s="95" t="s">
        <v>123</v>
      </c>
      <c r="B236" s="96" t="s">
        <v>124</v>
      </c>
      <c r="C236" s="96" t="s">
        <v>125</v>
      </c>
      <c r="D236" s="97" t="s">
        <v>126</v>
      </c>
      <c r="E236" s="97" t="s">
        <v>127</v>
      </c>
      <c r="F236" s="98" t="s">
        <v>128</v>
      </c>
    </row>
    <row r="237" spans="1:11" x14ac:dyDescent="0.2">
      <c r="A237" s="89" t="s">
        <v>129</v>
      </c>
      <c r="B237" s="93" t="e">
        <f>B234</f>
        <v>#REF!</v>
      </c>
      <c r="C237" s="99">
        <f>0.001938</f>
        <v>1.9380000000000001E-3</v>
      </c>
      <c r="D237" s="93" t="e">
        <f>IF(B234&lt;B237,B234,B237)</f>
        <v>#REF!</v>
      </c>
      <c r="E237" s="90" t="e">
        <f>D237*C237</f>
        <v>#REF!</v>
      </c>
    </row>
    <row r="238" spans="1:11" x14ac:dyDescent="0.2">
      <c r="A238" s="89" t="s">
        <v>130</v>
      </c>
      <c r="B238" s="93"/>
      <c r="C238" s="99">
        <v>0</v>
      </c>
      <c r="D238" s="93" t="e">
        <f>IF(B234-D237&lt;B238,B234-D237,B238)</f>
        <v>#REF!</v>
      </c>
      <c r="E238" s="90" t="e">
        <f>D238*C238</f>
        <v>#REF!</v>
      </c>
    </row>
    <row r="239" spans="1:11" x14ac:dyDescent="0.2">
      <c r="A239" s="89" t="s">
        <v>130</v>
      </c>
      <c r="B239" s="93"/>
      <c r="C239" s="99">
        <v>0</v>
      </c>
      <c r="D239" s="93" t="e">
        <f>IF(B234-D237-D238&lt;B239,B234-D237-D238,B239)</f>
        <v>#REF!</v>
      </c>
      <c r="E239" s="90" t="e">
        <f>D239*C239</f>
        <v>#REF!</v>
      </c>
    </row>
    <row r="240" spans="1:11" x14ac:dyDescent="0.2">
      <c r="A240" s="100" t="s">
        <v>131</v>
      </c>
      <c r="B240" s="101"/>
      <c r="C240" s="102">
        <v>0</v>
      </c>
      <c r="D240" s="103" t="e">
        <f>B234-D239-D238-D237</f>
        <v>#REF!</v>
      </c>
      <c r="E240" s="101" t="e">
        <f>D240*C240</f>
        <v>#REF!</v>
      </c>
    </row>
    <row r="241" spans="1:6" x14ac:dyDescent="0.2">
      <c r="B241" s="90"/>
      <c r="D241" s="101" t="e">
        <f>SUM(D237:D240)</f>
        <v>#REF!</v>
      </c>
      <c r="E241" s="101" t="e">
        <f>SUM(E237:E240)</f>
        <v>#REF!</v>
      </c>
      <c r="F241" s="104" t="e">
        <f>(E241/D241)*10000</f>
        <v>#REF!</v>
      </c>
    </row>
    <row r="242" spans="1:6" x14ac:dyDescent="0.2">
      <c r="D242" s="105" t="e">
        <f>IF(D241=B234,"OK","ERR")</f>
        <v>#REF!</v>
      </c>
      <c r="E242" s="106"/>
    </row>
    <row r="245" spans="1:6" x14ac:dyDescent="0.2">
      <c r="A245" s="357" t="s">
        <v>71</v>
      </c>
      <c r="B245" s="358"/>
      <c r="C245" s="358"/>
      <c r="D245" s="358"/>
      <c r="E245" s="358"/>
      <c r="F245" s="358"/>
    </row>
    <row r="247" spans="1:6" x14ac:dyDescent="0.2">
      <c r="A247" s="91" t="s">
        <v>155</v>
      </c>
    </row>
    <row r="249" spans="1:6" x14ac:dyDescent="0.2">
      <c r="A249" s="89" t="s">
        <v>92</v>
      </c>
      <c r="B249" s="757">
        <f>'Return Summary'!E122*1000000</f>
        <v>3208847291.5700002</v>
      </c>
    </row>
    <row r="250" spans="1:6" x14ac:dyDescent="0.2">
      <c r="B250" s="90"/>
      <c r="D250" s="94"/>
      <c r="E250" s="94"/>
      <c r="F250" s="94" t="s">
        <v>122</v>
      </c>
    </row>
    <row r="251" spans="1:6" x14ac:dyDescent="0.2">
      <c r="A251" s="95" t="s">
        <v>123</v>
      </c>
      <c r="B251" s="96" t="s">
        <v>124</v>
      </c>
      <c r="C251" s="96" t="s">
        <v>125</v>
      </c>
      <c r="D251" s="97" t="s">
        <v>126</v>
      </c>
      <c r="E251" s="97" t="s">
        <v>127</v>
      </c>
      <c r="F251" s="98" t="s">
        <v>128</v>
      </c>
    </row>
    <row r="252" spans="1:6" x14ac:dyDescent="0.2">
      <c r="A252" s="89" t="s">
        <v>129</v>
      </c>
      <c r="B252" s="93">
        <v>1437000000</v>
      </c>
      <c r="C252" s="99">
        <v>3.5000000000000001E-3</v>
      </c>
      <c r="D252" s="93">
        <f>IF(B249&lt;B252,B249,B252)</f>
        <v>1437000000</v>
      </c>
      <c r="E252" s="90">
        <f>D252*C252</f>
        <v>5029500</v>
      </c>
    </row>
    <row r="253" spans="1:6" x14ac:dyDescent="0.2">
      <c r="A253" s="100" t="s">
        <v>131</v>
      </c>
      <c r="B253" s="101"/>
      <c r="C253" s="102">
        <v>8.5000000000000006E-3</v>
      </c>
      <c r="D253" s="103">
        <f>B249-D252</f>
        <v>1771847291.5700002</v>
      </c>
      <c r="E253" s="101">
        <f>D253*C253</f>
        <v>15060701.978345003</v>
      </c>
    </row>
    <row r="254" spans="1:6" x14ac:dyDescent="0.2">
      <c r="B254" s="90"/>
      <c r="D254" s="101">
        <f>SUM(D252:D253)</f>
        <v>3208847291.5700002</v>
      </c>
      <c r="E254" s="101">
        <f>SUM(E252:E253)</f>
        <v>20090201.978345003</v>
      </c>
      <c r="F254" s="104">
        <f>(E254/D254)*10000</f>
        <v>62.608781761363979</v>
      </c>
    </row>
    <row r="255" spans="1:6" x14ac:dyDescent="0.2">
      <c r="D255" s="105" t="str">
        <f>IF(D254=B249,"OK","ERR")</f>
        <v>OK</v>
      </c>
    </row>
  </sheetData>
  <mergeCells count="1">
    <mergeCell ref="A2:B2"/>
  </mergeCells>
  <phoneticPr fontId="3" type="noConversion"/>
  <pageMargins left="0.75" right="0.75" top="1" bottom="1" header="0.5" footer="0.5"/>
  <pageSetup scale="60" fitToHeight="2" orientation="portrait" r:id="rId1"/>
  <headerFooter alignWithMargins="0"/>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105"/>
  <sheetViews>
    <sheetView topLeftCell="A4" workbookViewId="0">
      <selection activeCell="D28" sqref="D28"/>
    </sheetView>
  </sheetViews>
  <sheetFormatPr defaultRowHeight="12.75" x14ac:dyDescent="0.2"/>
  <cols>
    <col min="1" max="1" width="20.7109375" customWidth="1"/>
    <col min="2" max="2" width="10.7109375" style="965" customWidth="1"/>
    <col min="3" max="3" width="10.7109375" style="982" customWidth="1"/>
    <col min="4" max="4" width="14.28515625" customWidth="1"/>
    <col min="5" max="5" width="11.140625" bestFit="1" customWidth="1"/>
    <col min="6" max="6" width="14.7109375" customWidth="1"/>
    <col min="7" max="7" width="2.7109375" customWidth="1"/>
    <col min="8" max="8" width="14.7109375" customWidth="1"/>
    <col min="9" max="10" width="11.28515625" bestFit="1" customWidth="1"/>
    <col min="11" max="11" width="10.28515625" bestFit="1" customWidth="1"/>
    <col min="12" max="12" width="10.7109375" customWidth="1"/>
    <col min="13" max="13" width="11.5703125" customWidth="1"/>
  </cols>
  <sheetData>
    <row r="1" spans="1:13" ht="20.25" x14ac:dyDescent="0.3">
      <c r="A1" s="22" t="s">
        <v>143</v>
      </c>
    </row>
    <row r="2" spans="1:13" ht="18" x14ac:dyDescent="0.25">
      <c r="A2" s="23" t="s">
        <v>357</v>
      </c>
    </row>
    <row r="3" spans="1:13" ht="15.75" x14ac:dyDescent="0.25">
      <c r="A3" s="24" t="s">
        <v>389</v>
      </c>
      <c r="B3" s="966"/>
      <c r="C3" s="1496">
        <f>Home!C10</f>
        <v>41882</v>
      </c>
      <c r="D3" s="1496"/>
    </row>
    <row r="4" spans="1:13" x14ac:dyDescent="0.2">
      <c r="B4" s="967"/>
      <c r="M4" s="14"/>
    </row>
    <row r="5" spans="1:13" x14ac:dyDescent="0.2">
      <c r="M5" s="14"/>
    </row>
    <row r="6" spans="1:13" x14ac:dyDescent="0.2">
      <c r="A6" s="52"/>
      <c r="B6" s="968"/>
      <c r="C6" s="983"/>
      <c r="D6" s="52"/>
      <c r="E6" s="52"/>
      <c r="F6" s="52"/>
      <c r="G6" s="52"/>
      <c r="H6" s="52"/>
      <c r="I6" s="52"/>
    </row>
    <row r="7" spans="1:13" x14ac:dyDescent="0.2">
      <c r="A7" s="36"/>
      <c r="B7" s="1497" t="s">
        <v>87</v>
      </c>
      <c r="C7" s="1497"/>
      <c r="D7" s="37"/>
      <c r="E7" s="1498" t="str">
        <f>"Time Period:  "&amp;M4&amp;" yrs. "&amp;M5&amp;" mos."</f>
        <v>Time Period:   yrs.  mos.</v>
      </c>
      <c r="F7" s="1498"/>
      <c r="G7" s="37"/>
      <c r="H7" s="37"/>
      <c r="I7" s="1497" t="s">
        <v>360</v>
      </c>
      <c r="J7" s="1497"/>
    </row>
    <row r="8" spans="1:13" ht="25.5" x14ac:dyDescent="0.2">
      <c r="A8" s="53" t="s">
        <v>93</v>
      </c>
      <c r="B8" s="969" t="s">
        <v>115</v>
      </c>
      <c r="C8" s="984" t="s">
        <v>142</v>
      </c>
      <c r="D8" s="54" t="s">
        <v>116</v>
      </c>
      <c r="E8" s="54" t="s">
        <v>118</v>
      </c>
      <c r="F8" s="54" t="s">
        <v>164</v>
      </c>
      <c r="G8" s="54"/>
      <c r="H8" s="55" t="s">
        <v>88</v>
      </c>
      <c r="I8" s="54" t="s">
        <v>146</v>
      </c>
      <c r="J8" s="54" t="s">
        <v>47</v>
      </c>
    </row>
    <row r="10" spans="1:13" ht="13.5" thickBot="1" x14ac:dyDescent="0.25">
      <c r="A10" s="44" t="s">
        <v>85</v>
      </c>
      <c r="B10" s="970"/>
      <c r="C10" s="985"/>
      <c r="D10" s="45"/>
      <c r="E10" s="45"/>
      <c r="F10" s="45"/>
      <c r="G10" s="45"/>
      <c r="H10" s="45"/>
      <c r="I10" s="45"/>
      <c r="J10" s="45"/>
      <c r="M10" s="309"/>
    </row>
    <row r="11" spans="1:13" x14ac:dyDescent="0.2">
      <c r="A11" s="38"/>
      <c r="B11" s="971"/>
      <c r="C11" s="986"/>
      <c r="D11" s="38"/>
      <c r="E11" s="38"/>
      <c r="F11" s="38"/>
      <c r="G11" s="38"/>
      <c r="H11" s="38"/>
      <c r="I11" s="38"/>
      <c r="L11" s="69" t="s">
        <v>238</v>
      </c>
      <c r="M11" s="14"/>
    </row>
    <row r="12" spans="1:13" x14ac:dyDescent="0.2">
      <c r="A12" s="946" t="s">
        <v>86</v>
      </c>
      <c r="B12" s="971"/>
      <c r="C12" s="986"/>
      <c r="D12" s="38"/>
      <c r="E12" s="38"/>
      <c r="F12" s="39"/>
      <c r="G12" s="38"/>
      <c r="H12" s="38"/>
      <c r="I12" s="38"/>
      <c r="L12" s="356">
        <v>37680</v>
      </c>
    </row>
    <row r="13" spans="1:13" x14ac:dyDescent="0.2">
      <c r="A13" s="527" t="s">
        <v>361</v>
      </c>
      <c r="B13" s="972">
        <f>L12</f>
        <v>37680</v>
      </c>
      <c r="C13" s="987" t="s">
        <v>34</v>
      </c>
      <c r="D13" s="119">
        <f t="shared" ref="D13:D18" si="0">(C$3-B13)/30.4167</f>
        <v>138.14779381063693</v>
      </c>
      <c r="E13" s="85" t="e">
        <f>IF((D13&gt;59),'Return Summary'!#REF!,'Return Summary'!#REF!)</f>
        <v>#REF!</v>
      </c>
      <c r="F13" s="40">
        <f>SUMPRODUCT(ASRS_E1!C335:C394,ASRS_E1!E335:E394)/100</f>
        <v>6301945.0598626807</v>
      </c>
      <c r="G13" s="40"/>
      <c r="H13" s="40">
        <f>AVERAGE(ASRS_E1!C335:C394)</f>
        <v>1148773131.9666667</v>
      </c>
      <c r="I13" s="38"/>
      <c r="L13" t="str">
        <f t="shared" ref="L13:L21" si="1">IF(B13&lt;L$12,"ERR","OK")</f>
        <v>OK</v>
      </c>
    </row>
    <row r="14" spans="1:13" x14ac:dyDescent="0.2">
      <c r="A14" s="527" t="s">
        <v>362</v>
      </c>
      <c r="B14" s="972">
        <f>L12</f>
        <v>37680</v>
      </c>
      <c r="C14" s="987" t="s">
        <v>34</v>
      </c>
      <c r="D14" s="119">
        <f t="shared" si="0"/>
        <v>138.14779381063693</v>
      </c>
      <c r="E14" s="85">
        <f>IF((D14&gt;59),'Return Summary'!Y12,'Return Summary'!AC12)</f>
        <v>-2.5770230383351134</v>
      </c>
      <c r="F14" s="40">
        <f>SUMPRODUCT(ASRS_E2!C335:C394,ASRS_E2!E335:E394)/100</f>
        <v>10333706.719359554</v>
      </c>
      <c r="G14" s="40"/>
      <c r="H14" s="40">
        <f>AVERAGE(ASRS_E2!C335:C394)</f>
        <v>3108807565.5423336</v>
      </c>
      <c r="I14" s="38"/>
      <c r="L14" t="str">
        <f t="shared" si="1"/>
        <v>OK</v>
      </c>
    </row>
    <row r="15" spans="1:13" x14ac:dyDescent="0.2">
      <c r="A15" s="527" t="s">
        <v>368</v>
      </c>
      <c r="B15" s="972">
        <f>L12</f>
        <v>37680</v>
      </c>
      <c r="C15" s="988" t="s">
        <v>338</v>
      </c>
      <c r="D15" s="119">
        <f t="shared" si="0"/>
        <v>138.14779381063693</v>
      </c>
      <c r="E15" s="85" t="e">
        <f>IF((D15&gt;59),'Return Summary'!Y13,'Return Summary'!AC13)</f>
        <v>#N/A</v>
      </c>
      <c r="F15" s="40">
        <f>SUMPRODUCT(BR_LC_Equity!C335:C394,BR_LC_Equity!E335:E394)/100</f>
        <v>4008568.3786257138</v>
      </c>
      <c r="G15" s="40"/>
      <c r="H15" s="40">
        <f>AVERAGE(BR_LC_Equity!C335:C394)</f>
        <v>2077656105.7009997</v>
      </c>
      <c r="I15" s="38"/>
      <c r="L15" t="str">
        <f t="shared" si="1"/>
        <v>OK</v>
      </c>
    </row>
    <row r="16" spans="1:13" x14ac:dyDescent="0.2">
      <c r="A16" s="38" t="s">
        <v>39</v>
      </c>
      <c r="B16" s="972">
        <f>L12</f>
        <v>37680</v>
      </c>
      <c r="C16" s="987" t="s">
        <v>34</v>
      </c>
      <c r="D16" s="119">
        <f t="shared" si="0"/>
        <v>138.14779381063693</v>
      </c>
      <c r="E16" s="85">
        <f>IF((D16&gt;59),'Return Summary'!Y16,'Return Summary'!AC226)</f>
        <v>-70.771566155687538</v>
      </c>
      <c r="F16" s="40">
        <f>SUMPRODUCT(Intech!C335:C394,Intech!E335:E394)/100</f>
        <v>3032588.3316440736</v>
      </c>
      <c r="G16" s="40"/>
      <c r="H16" s="40">
        <f>AVERAGE(Intech!C335:C394)</f>
        <v>517402463.94900006</v>
      </c>
      <c r="I16" s="38"/>
      <c r="L16" t="str">
        <f t="shared" si="1"/>
        <v>OK</v>
      </c>
    </row>
    <row r="17" spans="1:13" x14ac:dyDescent="0.2">
      <c r="A17" s="38" t="s">
        <v>12</v>
      </c>
      <c r="B17" s="972">
        <f>L12</f>
        <v>37680</v>
      </c>
      <c r="C17" s="987" t="s">
        <v>34</v>
      </c>
      <c r="D17" s="119">
        <f t="shared" si="0"/>
        <v>138.14779381063693</v>
      </c>
      <c r="E17" s="85">
        <f>IF((D17&gt;59),'Return Summary'!Y19,'Return Summary'!AC19)</f>
        <v>244.57427358444565</v>
      </c>
      <c r="F17" s="40">
        <f>SUMPRODUCT(LSV!C335:C394,LSV!E335:E394)/100</f>
        <v>51973724.837680027</v>
      </c>
      <c r="G17" s="40"/>
      <c r="H17" s="40">
        <f>AVERAGE(LSV!C335:C394)</f>
        <v>513935256.37666667</v>
      </c>
      <c r="I17" s="38"/>
      <c r="L17" t="str">
        <f t="shared" si="1"/>
        <v>OK</v>
      </c>
    </row>
    <row r="18" spans="1:13" x14ac:dyDescent="0.2">
      <c r="A18" s="38" t="s">
        <v>340</v>
      </c>
      <c r="B18" s="972">
        <v>39021</v>
      </c>
      <c r="C18" s="987" t="s">
        <v>34</v>
      </c>
      <c r="D18" s="119">
        <f t="shared" si="0"/>
        <v>94.060170892963413</v>
      </c>
      <c r="E18" s="85" t="e">
        <f>IF((D18&gt;59),'Return Summary'!#REF!,'Return Summary'!#REF!)</f>
        <v>#REF!</v>
      </c>
      <c r="F18" s="40">
        <f>SUMPRODUCT(JLEM_LC!C379:C394,JLEM_LC!E379:E394)/100</f>
        <v>-9080213.7782816775</v>
      </c>
      <c r="G18" s="40"/>
      <c r="H18" s="40">
        <f>AVERAGE(JLEM_LC!C379:C394)</f>
        <v>213112818.72437504</v>
      </c>
      <c r="I18" s="38"/>
      <c r="L18" t="str">
        <f t="shared" si="1"/>
        <v>OK</v>
      </c>
    </row>
    <row r="19" spans="1:13" s="947" customFormat="1" x14ac:dyDescent="0.2">
      <c r="A19" s="1040" t="s">
        <v>239</v>
      </c>
      <c r="B19" s="1041">
        <f>L12</f>
        <v>37680</v>
      </c>
      <c r="C19" s="1042">
        <v>39478</v>
      </c>
      <c r="D19" s="1043">
        <f>(C19-B19)/30.4167</f>
        <v>59.112263986560016</v>
      </c>
      <c r="E19" s="1044">
        <f>'Terminated Managers'!M199</f>
        <v>-13.913447887816766</v>
      </c>
      <c r="F19" s="1045">
        <f>'Terminated Managers'!M195</f>
        <v>-4446248.4987187171</v>
      </c>
      <c r="G19" s="1045"/>
      <c r="H19" s="1045">
        <f>'Terminated Managers'!M196</f>
        <v>768045829.4809835</v>
      </c>
      <c r="I19" s="1029"/>
      <c r="L19" s="947" t="str">
        <f t="shared" si="1"/>
        <v>OK</v>
      </c>
    </row>
    <row r="20" spans="1:13" s="947" customFormat="1" x14ac:dyDescent="0.2">
      <c r="A20" s="1040" t="s">
        <v>82</v>
      </c>
      <c r="B20" s="1041">
        <f>L12</f>
        <v>37680</v>
      </c>
      <c r="C20" s="1042">
        <v>39478</v>
      </c>
      <c r="D20" s="1043">
        <f>(C20-B20)/30.4167</f>
        <v>59.112263986560016</v>
      </c>
      <c r="E20" s="1044">
        <f>'Terminated Managers'!O199</f>
        <v>-65.092669536219816</v>
      </c>
      <c r="F20" s="1045">
        <f>'Terminated Managers'!O195</f>
        <v>-10800655.652893759</v>
      </c>
      <c r="G20" s="1045"/>
      <c r="H20" s="1045">
        <f>'Terminated Managers'!O196</f>
        <v>308637848.75360656</v>
      </c>
      <c r="I20" s="1029"/>
      <c r="L20" s="947" t="str">
        <f t="shared" si="1"/>
        <v>OK</v>
      </c>
    </row>
    <row r="21" spans="1:13" x14ac:dyDescent="0.2">
      <c r="A21" s="1046" t="s">
        <v>9</v>
      </c>
      <c r="B21" s="1047">
        <f>L12</f>
        <v>37680</v>
      </c>
      <c r="C21" s="1048">
        <v>38472</v>
      </c>
      <c r="D21" s="1043">
        <f>(C21-B21)/30.4167</f>
        <v>26.038327629229997</v>
      </c>
      <c r="E21" s="1049">
        <f>'Terminated Managers'!I199</f>
        <v>-322.07387766805198</v>
      </c>
      <c r="F21" s="1050">
        <f>'Terminated Managers'!I195</f>
        <v>-22082949.051537815</v>
      </c>
      <c r="G21" s="1051"/>
      <c r="H21" s="1050">
        <f>'Terminated Managers'!I196</f>
        <v>364605259.99749988</v>
      </c>
      <c r="I21" s="38"/>
      <c r="L21" t="str">
        <f t="shared" si="1"/>
        <v>OK</v>
      </c>
      <c r="M21" t="str">
        <f>IF(D21&lt;12,"ERR","OK")</f>
        <v>OK</v>
      </c>
    </row>
    <row r="22" spans="1:13" x14ac:dyDescent="0.2">
      <c r="A22" s="133"/>
      <c r="B22" s="974"/>
      <c r="C22" s="134"/>
    </row>
    <row r="23" spans="1:13" x14ac:dyDescent="0.2">
      <c r="A23" s="133"/>
      <c r="B23" s="974"/>
      <c r="C23" s="134"/>
      <c r="D23" s="944" t="s">
        <v>366</v>
      </c>
      <c r="E23" s="944"/>
      <c r="F23" s="43">
        <f>SUM(F16:F21)</f>
        <v>8596246.1878921352</v>
      </c>
      <c r="G23" s="38"/>
      <c r="H23" s="47"/>
      <c r="I23" s="48"/>
      <c r="J23" s="48"/>
    </row>
    <row r="24" spans="1:13" x14ac:dyDescent="0.2">
      <c r="A24" s="133"/>
      <c r="B24" s="974"/>
      <c r="C24" s="134"/>
      <c r="D24" s="944" t="s">
        <v>379</v>
      </c>
      <c r="E24" s="944"/>
      <c r="F24" s="43">
        <f>F13+F14</f>
        <v>16635651.779222235</v>
      </c>
      <c r="G24" s="38"/>
      <c r="H24" s="47"/>
      <c r="I24" s="48"/>
      <c r="J24" s="48"/>
    </row>
    <row r="25" spans="1:13" x14ac:dyDescent="0.2">
      <c r="A25" s="133"/>
      <c r="B25" s="974"/>
      <c r="C25" s="134"/>
      <c r="D25" s="944" t="s">
        <v>367</v>
      </c>
      <c r="E25" s="944"/>
      <c r="F25" s="43">
        <f>F15</f>
        <v>4008568.3786257138</v>
      </c>
      <c r="G25" s="38"/>
      <c r="H25" s="1032"/>
      <c r="I25" s="1033"/>
      <c r="J25" s="1033"/>
    </row>
    <row r="26" spans="1:13" x14ac:dyDescent="0.2">
      <c r="A26" s="38"/>
      <c r="B26" s="972"/>
      <c r="C26" s="49"/>
      <c r="D26" s="1013" t="s">
        <v>359</v>
      </c>
      <c r="E26" s="1013"/>
      <c r="F26" s="1015">
        <f>SUM(F13:F21)</f>
        <v>29240466.345740076</v>
      </c>
      <c r="G26" s="1016"/>
      <c r="H26" s="1015">
        <f>AVERAGE(LCE!C327:C394)</f>
        <v>8421590400.9955873</v>
      </c>
      <c r="I26" s="1017">
        <f>F26/H26</f>
        <v>3.472083650884198E-3</v>
      </c>
      <c r="J26" s="1017">
        <f>(1+I26)^(1/10)-1</f>
        <v>3.4666706360519939E-4</v>
      </c>
      <c r="K26" s="116"/>
    </row>
    <row r="27" spans="1:13" x14ac:dyDescent="0.2">
      <c r="A27" s="38"/>
      <c r="B27" s="972"/>
      <c r="C27" s="49"/>
      <c r="D27" s="120"/>
      <c r="E27" s="38"/>
      <c r="F27" s="38"/>
      <c r="G27" s="38"/>
      <c r="H27" s="38"/>
      <c r="I27" s="38"/>
    </row>
    <row r="28" spans="1:13" x14ac:dyDescent="0.2">
      <c r="A28" s="946" t="s">
        <v>94</v>
      </c>
      <c r="B28" s="972"/>
      <c r="C28" s="49"/>
      <c r="D28" s="120"/>
      <c r="E28" s="38"/>
      <c r="F28" s="38"/>
      <c r="G28" s="38"/>
      <c r="H28" s="38"/>
      <c r="I28" s="38"/>
    </row>
    <row r="29" spans="1:13" x14ac:dyDescent="0.2">
      <c r="A29" s="38" t="s">
        <v>95</v>
      </c>
      <c r="B29" s="972">
        <f>L12</f>
        <v>37680</v>
      </c>
      <c r="C29" s="987" t="s">
        <v>34</v>
      </c>
      <c r="D29" s="119">
        <f t="shared" ref="D29:D34" si="2">(C$3-B29)/30.4167</f>
        <v>138.14779381063693</v>
      </c>
      <c r="E29" s="85">
        <f>IF((D29&gt;59),'Return Summary'!Y32,'Return Summary'!AC32)</f>
        <v>-62.295587634182326</v>
      </c>
      <c r="F29" s="40">
        <f>SUMPRODUCT(Well!C335:C394,Well!E335:E394)/100</f>
        <v>40512370.042889386</v>
      </c>
      <c r="G29" s="38"/>
      <c r="H29" s="40">
        <f>AVERAGE(Well!C335:C394)</f>
        <v>185704282.05583334</v>
      </c>
      <c r="I29" s="38"/>
      <c r="L29" t="str">
        <f t="shared" ref="L29:L37" si="3">IF(B29&lt;L$12,"ERR","OK")</f>
        <v>OK</v>
      </c>
    </row>
    <row r="30" spans="1:13" x14ac:dyDescent="0.2">
      <c r="A30" s="527" t="s">
        <v>363</v>
      </c>
      <c r="B30" s="972">
        <f>L12</f>
        <v>37680</v>
      </c>
      <c r="C30" s="987" t="s">
        <v>34</v>
      </c>
      <c r="D30" s="119">
        <f t="shared" si="2"/>
        <v>138.14779381063693</v>
      </c>
      <c r="E30" s="85" t="e">
        <f>IF((D30&gt;59),'Return Summary'!#REF!,'Return Summary'!#REF!)</f>
        <v>#REF!</v>
      </c>
      <c r="F30" s="40">
        <f>SUMPRODUCT(SSGA_MC!C335:C394,SSGA_MC!E335:E394)/100</f>
        <v>276737.49229934753</v>
      </c>
      <c r="G30" s="38"/>
      <c r="H30" s="40">
        <f>AVERAGE((SSGA_MC!C335:C394))</f>
        <v>189383320.67716658</v>
      </c>
      <c r="I30" s="38"/>
      <c r="L30" t="str">
        <f>IF(B30&lt;L$12,"ERR","OK")</f>
        <v>OK</v>
      </c>
    </row>
    <row r="31" spans="1:13" x14ac:dyDescent="0.2">
      <c r="A31" s="38" t="s">
        <v>65</v>
      </c>
      <c r="B31" s="972">
        <v>37986</v>
      </c>
      <c r="C31" s="987" t="s">
        <v>34</v>
      </c>
      <c r="D31" s="119">
        <f t="shared" si="2"/>
        <v>128.08753086297989</v>
      </c>
      <c r="E31" s="85">
        <f>IF((D31&gt;59),'Return Summary'!Y38,'Return Summary'!AC38)</f>
        <v>-370.38895946340114</v>
      </c>
      <c r="F31" s="40">
        <f>SUMPRODUCT(CRM!C345:C394,CRM!E345:E394)/100</f>
        <v>17756498.126969017</v>
      </c>
      <c r="G31" s="40"/>
      <c r="H31" s="40">
        <f>AVERAGE(CRM!C345:C394)</f>
        <v>112171384.56660002</v>
      </c>
      <c r="I31" s="38"/>
      <c r="L31" t="str">
        <f t="shared" si="3"/>
        <v>OK</v>
      </c>
    </row>
    <row r="32" spans="1:13" x14ac:dyDescent="0.2">
      <c r="A32" s="527" t="s">
        <v>369</v>
      </c>
      <c r="B32" s="972">
        <f>L12</f>
        <v>37680</v>
      </c>
      <c r="C32" s="987" t="s">
        <v>34</v>
      </c>
      <c r="D32" s="119">
        <f t="shared" si="2"/>
        <v>138.14779381063693</v>
      </c>
      <c r="E32" s="85">
        <f>IF((D32&gt;59),'Return Summary'!Y39,'Return Summary'!AC39)</f>
        <v>-4.2192025542963307</v>
      </c>
      <c r="F32" s="40">
        <f>SUMPRODUCT(ASRS_E4!C335:C394,ASRS_E4!E335:E394)/100</f>
        <v>961352.85535483586</v>
      </c>
      <c r="G32" s="38"/>
      <c r="H32" s="40">
        <f>AVERAGE(ASRS_E4!C335:C394)</f>
        <v>285655498.09233332</v>
      </c>
      <c r="I32" s="38"/>
      <c r="L32" t="str">
        <f>IF(B32&lt;L$12,"ERR","OK")</f>
        <v>OK</v>
      </c>
    </row>
    <row r="33" spans="1:13" x14ac:dyDescent="0.2">
      <c r="A33" s="38" t="s">
        <v>222</v>
      </c>
      <c r="B33" s="972">
        <v>38686</v>
      </c>
      <c r="C33" s="987" t="s">
        <v>34</v>
      </c>
      <c r="D33" s="119">
        <f t="shared" si="2"/>
        <v>105.0738574533069</v>
      </c>
      <c r="E33" s="85" t="e">
        <f>IF((D33&gt;59),'Return Summary'!#REF!,'Return Summary'!#REF!)</f>
        <v>#REF!</v>
      </c>
      <c r="F33" s="40" t="e">
        <f>SUMPRODUCT(#REF!,#REF!)/100</f>
        <v>#REF!</v>
      </c>
      <c r="G33" s="40"/>
      <c r="H33" s="40" t="e">
        <f>AVERAGE(#REF!)</f>
        <v>#REF!</v>
      </c>
      <c r="I33" s="38"/>
      <c r="L33" t="str">
        <f>IF(B33&lt;L$12,"ERR","OK")</f>
        <v>OK</v>
      </c>
    </row>
    <row r="34" spans="1:13" x14ac:dyDescent="0.2">
      <c r="A34" s="527" t="s">
        <v>370</v>
      </c>
      <c r="B34" s="972">
        <f>L12</f>
        <v>37680</v>
      </c>
      <c r="C34" s="987" t="s">
        <v>34</v>
      </c>
      <c r="D34" s="119">
        <f t="shared" si="2"/>
        <v>138.14779381063693</v>
      </c>
      <c r="E34" s="85">
        <f>IF((D34&gt;59),'Return Summary'!Y35,'Return Summary'!AC35)</f>
        <v>49.225940769395038</v>
      </c>
      <c r="F34" s="40">
        <f>SUMPRODUCT(ASRS_E3!C335:C394,ASRS_E3!E335:E394)/100</f>
        <v>2126750.5458343877</v>
      </c>
      <c r="G34" s="40"/>
      <c r="H34" s="40">
        <f>AVERAGE(ASRS_E3!C335:C394)</f>
        <v>206878220.96766663</v>
      </c>
      <c r="I34" s="38"/>
      <c r="L34" t="str">
        <f>IF(B34&lt;L$12,"ERR","OK")</f>
        <v>OK</v>
      </c>
    </row>
    <row r="35" spans="1:13" x14ac:dyDescent="0.2">
      <c r="A35" s="1046" t="s">
        <v>239</v>
      </c>
      <c r="B35" s="1047">
        <f>L12</f>
        <v>37680</v>
      </c>
      <c r="C35" s="1052">
        <v>39416</v>
      </c>
      <c r="D35" s="1043">
        <f>(C35-B35)/30.4167</f>
        <v>57.073910055988982</v>
      </c>
      <c r="E35" s="1053">
        <f>'Terminated Managers'!U199</f>
        <v>-89.587223903635589</v>
      </c>
      <c r="F35" s="1051">
        <f>'Terminated Managers'!U195</f>
        <v>-18901514.070774186</v>
      </c>
      <c r="G35" s="1051"/>
      <c r="H35" s="1051">
        <f>'Terminated Managers'!U196</f>
        <v>291132730.14553857</v>
      </c>
      <c r="I35" s="38"/>
      <c r="L35" t="str">
        <f>IF(B35&lt;L$12,"ERR","OK")</f>
        <v>OK</v>
      </c>
      <c r="M35" t="str">
        <f>IF(D35&lt;12,"ERR","OK")</f>
        <v>OK</v>
      </c>
    </row>
    <row r="36" spans="1:13" x14ac:dyDescent="0.2">
      <c r="A36" s="1046" t="s">
        <v>96</v>
      </c>
      <c r="B36" s="1047">
        <f>L12</f>
        <v>37680</v>
      </c>
      <c r="C36" s="1048">
        <v>38564</v>
      </c>
      <c r="D36" s="1043">
        <f>(C36-B36)/30.4167</f>
        <v>29.062981848787015</v>
      </c>
      <c r="E36" s="1054">
        <f>'Terminated Managers'!W199</f>
        <v>-381.19272120539893</v>
      </c>
      <c r="F36" s="1051">
        <f>'Terminated Managers'!W195</f>
        <v>-4921411.7639168901</v>
      </c>
      <c r="G36" s="1051"/>
      <c r="H36" s="1051">
        <f>'Terminated Managers'!W196</f>
        <v>69974384.873783797</v>
      </c>
      <c r="I36" s="38"/>
      <c r="L36" t="str">
        <f t="shared" si="3"/>
        <v>OK</v>
      </c>
      <c r="M36" t="str">
        <f>IF(D36&lt;12,"ERR","OK")</f>
        <v>OK</v>
      </c>
    </row>
    <row r="37" spans="1:13" x14ac:dyDescent="0.2">
      <c r="A37" s="1046" t="s">
        <v>15</v>
      </c>
      <c r="B37" s="1047">
        <f>L12</f>
        <v>37680</v>
      </c>
      <c r="C37" s="1048">
        <v>38564</v>
      </c>
      <c r="D37" s="1043">
        <f>(C37-B37)/30.4167</f>
        <v>29.062981848787015</v>
      </c>
      <c r="E37" s="1054">
        <f>'Terminated Managers'!Y199</f>
        <v>-207.42966668281238</v>
      </c>
      <c r="F37" s="1051">
        <f>'Terminated Managers'!Y195</f>
        <v>-2805662.614954209</v>
      </c>
      <c r="G37" s="1051"/>
      <c r="H37" s="1051">
        <f>'Terminated Managers'!Y196</f>
        <v>74376454.095135123</v>
      </c>
      <c r="I37" s="38"/>
      <c r="L37" t="str">
        <f t="shared" si="3"/>
        <v>OK</v>
      </c>
      <c r="M37" t="str">
        <f>IF(D37&lt;12,"ERR","OK")</f>
        <v>OK</v>
      </c>
    </row>
    <row r="38" spans="1:13" x14ac:dyDescent="0.2">
      <c r="A38" s="11"/>
      <c r="B38" s="973"/>
      <c r="C38" s="50"/>
      <c r="D38" s="136"/>
      <c r="E38" s="86"/>
      <c r="F38" s="41"/>
      <c r="G38" s="41"/>
      <c r="H38" s="41"/>
      <c r="I38" s="38"/>
    </row>
    <row r="39" spans="1:13" x14ac:dyDescent="0.2">
      <c r="A39" s="11"/>
      <c r="B39" s="973"/>
      <c r="C39" s="50"/>
      <c r="D39" s="944" t="s">
        <v>366</v>
      </c>
      <c r="E39" s="42"/>
      <c r="F39" s="43" t="e">
        <f>SUM(F29+F31+F33+SUM(F35:F37))</f>
        <v>#REF!</v>
      </c>
      <c r="G39" s="38"/>
      <c r="H39" s="47"/>
      <c r="I39" s="48"/>
      <c r="J39" s="48"/>
    </row>
    <row r="40" spans="1:13" x14ac:dyDescent="0.2">
      <c r="A40" s="11"/>
      <c r="B40" s="973"/>
      <c r="C40" s="50"/>
      <c r="D40" s="944" t="s">
        <v>379</v>
      </c>
      <c r="E40" s="42"/>
      <c r="F40" s="43">
        <f>F32+F34</f>
        <v>3088103.4011892234</v>
      </c>
      <c r="G40" s="38"/>
      <c r="H40" s="47"/>
      <c r="I40" s="48"/>
      <c r="J40" s="48"/>
    </row>
    <row r="41" spans="1:13" x14ac:dyDescent="0.2">
      <c r="A41" s="11"/>
      <c r="B41" s="973"/>
      <c r="C41" s="50"/>
      <c r="D41" s="944" t="s">
        <v>367</v>
      </c>
      <c r="E41" s="42"/>
      <c r="F41" s="43">
        <f>F30</f>
        <v>276737.49229934753</v>
      </c>
      <c r="G41" s="38"/>
      <c r="H41" s="1032"/>
      <c r="I41" s="1033"/>
      <c r="J41" s="1033"/>
    </row>
    <row r="42" spans="1:13" x14ac:dyDescent="0.2">
      <c r="A42" s="38"/>
      <c r="B42" s="972"/>
      <c r="C42" s="49"/>
      <c r="D42" s="1013" t="s">
        <v>371</v>
      </c>
      <c r="E42" s="1014"/>
      <c r="F42" s="1015" t="e">
        <f>SUM(F29:F37)</f>
        <v>#REF!</v>
      </c>
      <c r="G42" s="1016"/>
      <c r="H42" s="1034">
        <f>AVERAGE(MCE!C327:C394)</f>
        <v>1332900311.9852939</v>
      </c>
      <c r="I42" s="1035" t="e">
        <f>F42/H42</f>
        <v>#REF!</v>
      </c>
      <c r="J42" s="1035" t="e">
        <f>(1+I42)^(1/10)-1</f>
        <v>#REF!</v>
      </c>
      <c r="K42" s="116"/>
    </row>
    <row r="43" spans="1:13" x14ac:dyDescent="0.2">
      <c r="A43" s="38"/>
      <c r="B43" s="972"/>
      <c r="C43" s="49"/>
      <c r="D43" s="120"/>
      <c r="E43" s="38"/>
      <c r="F43" s="40"/>
      <c r="G43" s="38"/>
      <c r="H43" s="38"/>
      <c r="I43" s="38"/>
    </row>
    <row r="44" spans="1:13" x14ac:dyDescent="0.2">
      <c r="A44" s="946" t="s">
        <v>98</v>
      </c>
      <c r="B44" s="972"/>
      <c r="C44" s="49"/>
      <c r="D44" s="120"/>
      <c r="E44" s="38"/>
      <c r="F44" s="38"/>
      <c r="G44" s="38"/>
      <c r="H44" s="38"/>
      <c r="I44" s="38"/>
    </row>
    <row r="45" spans="1:13" x14ac:dyDescent="0.2">
      <c r="A45" s="527" t="s">
        <v>352</v>
      </c>
      <c r="B45" s="972">
        <v>39447</v>
      </c>
      <c r="C45" s="988" t="s">
        <v>34</v>
      </c>
      <c r="D45" s="119">
        <f t="shared" ref="D45:D50" si="4">(C$3-B45)/30.4167</f>
        <v>80.054706789362427</v>
      </c>
      <c r="E45" s="85">
        <f>IF((D45&gt;59),'Return Summary'!Y47,'Return Summary'!AC47)</f>
        <v>-253.42669353585663</v>
      </c>
      <c r="F45" s="1037">
        <f>SUMPRODUCT(Champlain!E393:E394,Champlain!C393:C394)/100</f>
        <v>-962114.90592599963</v>
      </c>
      <c r="G45" s="38"/>
      <c r="H45" s="40">
        <f>AVERAGE(Champlain!C393:C394)</f>
        <v>114349134.5</v>
      </c>
      <c r="I45" s="38"/>
      <c r="L45" t="str">
        <f>IF(B45&lt;L$12,"ERR","OK")</f>
        <v>OK</v>
      </c>
    </row>
    <row r="46" spans="1:13" x14ac:dyDescent="0.2">
      <c r="A46" s="527" t="s">
        <v>353</v>
      </c>
      <c r="B46" s="972">
        <v>39447</v>
      </c>
      <c r="C46" s="988" t="s">
        <v>34</v>
      </c>
      <c r="D46" s="119">
        <f t="shared" si="4"/>
        <v>80.054706789362427</v>
      </c>
      <c r="E46" s="85" t="e">
        <f>IF((D46&gt;59),'Return Summary'!#REF!,'Return Summary'!#REF!)</f>
        <v>#REF!</v>
      </c>
      <c r="F46" s="1037">
        <f>SUMPRODUCT(Iron!E393:E394,Iron!C393:C394)/100</f>
        <v>-92592.88039699971</v>
      </c>
      <c r="G46" s="38"/>
      <c r="H46" s="40">
        <f>AVERAGE(Iron!C393:C394)</f>
        <v>146893844.5</v>
      </c>
      <c r="I46" s="38"/>
      <c r="L46" t="str">
        <f>IF(B46&lt;L$12,"ERR","OK")</f>
        <v>OK</v>
      </c>
    </row>
    <row r="47" spans="1:13" x14ac:dyDescent="0.2">
      <c r="A47" s="527" t="s">
        <v>372</v>
      </c>
      <c r="B47" s="972">
        <v>39114</v>
      </c>
      <c r="C47" s="988" t="s">
        <v>34</v>
      </c>
      <c r="D47" s="119">
        <f t="shared" si="4"/>
        <v>91.002639997106854</v>
      </c>
      <c r="E47" s="85">
        <f>IF((D47&gt;59),'Return Summary'!Y46,'Return Summary'!AC46)</f>
        <v>-17.16590563403777</v>
      </c>
      <c r="F47" s="1038">
        <f>SUMPRODUCT('E6'!E382:E394,'E6'!C382:C394)/100</f>
        <v>1842945.0222998005</v>
      </c>
      <c r="G47" s="38"/>
      <c r="H47" s="39">
        <f>AVERAGE('E6'!C382:C394)</f>
        <v>827859208.63999999</v>
      </c>
      <c r="I47" s="38"/>
      <c r="L47" t="str">
        <f>IF(B47&lt;L$12,"ERR","OK")</f>
        <v>OK</v>
      </c>
    </row>
    <row r="48" spans="1:13" x14ac:dyDescent="0.2">
      <c r="A48" s="38" t="s">
        <v>23</v>
      </c>
      <c r="B48" s="972">
        <f>L12</f>
        <v>37680</v>
      </c>
      <c r="C48" s="987" t="s">
        <v>34</v>
      </c>
      <c r="D48" s="119">
        <f t="shared" si="4"/>
        <v>138.14779381063693</v>
      </c>
      <c r="E48" s="85">
        <f>IF((D48&gt;59),'Return Summary'!Y53,'Return Summary'!AC53)</f>
        <v>209.2254855249486</v>
      </c>
      <c r="F48" s="1036">
        <f>SUMPRODUCT(DFA!C335:C394,DFA!E335:E394)/100</f>
        <v>53230090.533363812</v>
      </c>
      <c r="G48" s="40"/>
      <c r="H48" s="40">
        <f>AVERAGE(DFA!C335:C394)</f>
        <v>440091976.76799989</v>
      </c>
      <c r="I48" s="38"/>
      <c r="L48" t="str">
        <f t="shared" ref="L48:L53" si="5">IF(B48&lt;L$12,"ERR","OK")</f>
        <v>OK</v>
      </c>
    </row>
    <row r="49" spans="1:13" x14ac:dyDescent="0.2">
      <c r="A49" s="38" t="s">
        <v>152</v>
      </c>
      <c r="B49" s="972">
        <v>38442</v>
      </c>
      <c r="C49" s="987" t="s">
        <v>34</v>
      </c>
      <c r="D49" s="119">
        <f t="shared" si="4"/>
        <v>113.09576647039292</v>
      </c>
      <c r="E49" s="85">
        <f>IF((D49&gt;59),'Return Summary'!Y50,'Return Summary'!AC50)</f>
        <v>72.646340270803123</v>
      </c>
      <c r="F49" s="1036">
        <f>SUMPRODUCT(TS!C360:C394,TS!E360:E394)/100</f>
        <v>40911482.974522561</v>
      </c>
      <c r="G49" s="40"/>
      <c r="H49" s="40">
        <f>AVERAGE(TS!C360:C394)</f>
        <v>250056898.46714288</v>
      </c>
      <c r="I49" s="38"/>
      <c r="L49" t="str">
        <f t="shared" si="5"/>
        <v>OK</v>
      </c>
    </row>
    <row r="50" spans="1:13" x14ac:dyDescent="0.2">
      <c r="A50" s="945" t="s">
        <v>350</v>
      </c>
      <c r="B50" s="972">
        <v>39447</v>
      </c>
      <c r="C50" s="988" t="s">
        <v>34</v>
      </c>
      <c r="D50" s="119">
        <f t="shared" si="4"/>
        <v>80.054706789362427</v>
      </c>
      <c r="E50" s="85" t="e">
        <f>IF((D50&gt;59),'Return Summary'!#REF!,'Return Summary'!#REF!)</f>
        <v>#REF!</v>
      </c>
      <c r="F50" s="1036">
        <f>SUMPRODUCT(Copper!E393:E394,Copper!C393:C394)/100</f>
        <v>-8026414.3807777576</v>
      </c>
      <c r="G50" s="40"/>
      <c r="H50" s="40">
        <f>AVERAGE(Copper!C393:C394)</f>
        <v>85462223.455000013</v>
      </c>
      <c r="I50" s="38"/>
      <c r="L50" t="str">
        <f t="shared" si="5"/>
        <v>OK</v>
      </c>
    </row>
    <row r="51" spans="1:13" x14ac:dyDescent="0.2">
      <c r="A51" s="1046" t="s">
        <v>147</v>
      </c>
      <c r="B51" s="1047">
        <v>38352</v>
      </c>
      <c r="C51" s="1048">
        <v>39113</v>
      </c>
      <c r="D51" s="1055">
        <f>(C51-B51)/30.4167</f>
        <v>25.01915066394448</v>
      </c>
      <c r="E51" s="1054">
        <f>'Terminated Managers'!AI199</f>
        <v>-316.30717123946931</v>
      </c>
      <c r="F51" s="1051">
        <f>'Terminated Managers'!AI195</f>
        <v>-7854860.3081171894</v>
      </c>
      <c r="G51" s="1051"/>
      <c r="H51" s="1051">
        <f>'Terminated Managers'!AI196</f>
        <v>131199903.63920002</v>
      </c>
      <c r="I51" s="38"/>
      <c r="L51" t="str">
        <f t="shared" si="5"/>
        <v>OK</v>
      </c>
      <c r="M51" t="str">
        <f>IF(D51&lt;12,"ERR","OK")</f>
        <v>OK</v>
      </c>
    </row>
    <row r="52" spans="1:13" x14ac:dyDescent="0.2">
      <c r="A52" s="1046" t="s">
        <v>20</v>
      </c>
      <c r="B52" s="1047">
        <f>L12</f>
        <v>37680</v>
      </c>
      <c r="C52" s="1048">
        <v>38748</v>
      </c>
      <c r="D52" s="1055">
        <f>(C$3-B52)/30.4167</f>
        <v>138.14779381063693</v>
      </c>
      <c r="E52" s="1054">
        <f>'Terminated Managers'!AG199</f>
        <v>507.06685739585265</v>
      </c>
      <c r="F52" s="1051">
        <f>'Terminated Managers'!AG195</f>
        <v>38606907.28037186</v>
      </c>
      <c r="G52" s="1051"/>
      <c r="H52" s="1051">
        <f>'Terminated Managers'!AG196</f>
        <v>150007732.73292133</v>
      </c>
      <c r="I52" s="38"/>
      <c r="L52" t="str">
        <f t="shared" si="5"/>
        <v>OK</v>
      </c>
      <c r="M52" t="str">
        <f>IF(D52&lt;12,"ERR","OK")</f>
        <v>OK</v>
      </c>
    </row>
    <row r="53" spans="1:13" x14ac:dyDescent="0.2">
      <c r="A53" s="1046" t="s">
        <v>21</v>
      </c>
      <c r="B53" s="1047">
        <v>37256</v>
      </c>
      <c r="C53" s="1052">
        <v>38168</v>
      </c>
      <c r="D53" s="1043">
        <f>(C53-B53)/30.4167</f>
        <v>29.983528785173934</v>
      </c>
      <c r="E53" s="1053">
        <f>'Terminated Managers'!AK199</f>
        <v>102.92302481341275</v>
      </c>
      <c r="F53" s="1051">
        <f>'Terminated Managers'!AK195</f>
        <v>-2318076.2678768346</v>
      </c>
      <c r="G53" s="1051"/>
      <c r="H53" s="1051">
        <f>'Terminated Managers'!AK196</f>
        <v>189395933.97999996</v>
      </c>
      <c r="I53" s="38"/>
      <c r="L53" t="str">
        <f t="shared" si="5"/>
        <v>ERR</v>
      </c>
      <c r="M53" t="str">
        <f>IF(D53&lt;12,"ERR","OK")</f>
        <v>OK</v>
      </c>
    </row>
    <row r="54" spans="1:13" x14ac:dyDescent="0.2">
      <c r="A54" s="11"/>
      <c r="B54" s="973"/>
      <c r="C54" s="50"/>
      <c r="D54" s="136"/>
      <c r="E54" s="86"/>
      <c r="F54" s="41"/>
      <c r="G54" s="41"/>
      <c r="H54" s="41"/>
      <c r="I54" s="38"/>
    </row>
    <row r="55" spans="1:13" x14ac:dyDescent="0.2">
      <c r="A55" s="11"/>
      <c r="B55" s="973"/>
      <c r="C55" s="50"/>
      <c r="D55" s="944" t="s">
        <v>366</v>
      </c>
      <c r="E55" s="42"/>
      <c r="F55" s="43">
        <f>+F45+F46+F48+F49+F51+F52+F53+F50</f>
        <v>113494422.04516344</v>
      </c>
      <c r="G55" s="38"/>
      <c r="H55" s="47"/>
      <c r="I55" s="48"/>
      <c r="J55" s="48"/>
    </row>
    <row r="56" spans="1:13" x14ac:dyDescent="0.2">
      <c r="A56" s="11"/>
      <c r="B56" s="973"/>
      <c r="C56" s="50"/>
      <c r="D56" s="944" t="s">
        <v>379</v>
      </c>
      <c r="E56" s="42"/>
      <c r="F56" s="43">
        <f>F47</f>
        <v>1842945.0222998005</v>
      </c>
      <c r="G56" s="38"/>
      <c r="H56" s="1032"/>
      <c r="I56" s="1033"/>
      <c r="J56" s="1033"/>
    </row>
    <row r="57" spans="1:13" x14ac:dyDescent="0.2">
      <c r="A57" s="38"/>
      <c r="B57" s="972"/>
      <c r="C57" s="49"/>
      <c r="D57" s="1013" t="s">
        <v>373</v>
      </c>
      <c r="E57" s="1014"/>
      <c r="F57" s="1015">
        <f>SUM(F45:F53)</f>
        <v>115337367.06746323</v>
      </c>
      <c r="G57" s="1016"/>
      <c r="H57" s="1034">
        <f>AVERAGE(SCE!C327:C394)</f>
        <v>1380288384.5657349</v>
      </c>
      <c r="I57" s="1035">
        <f>F57/H57</f>
        <v>8.3560340257264845E-2</v>
      </c>
      <c r="J57" s="1035">
        <f>(1+I57)^(1/10)-1</f>
        <v>8.0575114761809452E-3</v>
      </c>
      <c r="K57" s="116"/>
    </row>
    <row r="58" spans="1:13" x14ac:dyDescent="0.2">
      <c r="A58" s="38"/>
      <c r="B58" s="972"/>
      <c r="C58" s="49"/>
      <c r="D58" s="120"/>
      <c r="E58" s="46"/>
      <c r="F58" s="47"/>
      <c r="G58" s="38"/>
      <c r="H58" s="47"/>
      <c r="I58" s="48"/>
    </row>
    <row r="59" spans="1:13" x14ac:dyDescent="0.2">
      <c r="A59" s="38"/>
      <c r="B59" s="972"/>
      <c r="C59" s="49"/>
      <c r="D59" s="120"/>
      <c r="E59" s="38"/>
      <c r="F59" s="38"/>
      <c r="G59" s="38"/>
      <c r="H59" s="38"/>
      <c r="I59" s="38"/>
    </row>
    <row r="60" spans="1:13" ht="13.5" thickBot="1" x14ac:dyDescent="0.25">
      <c r="A60" s="44" t="s">
        <v>100</v>
      </c>
      <c r="B60" s="975"/>
      <c r="C60" s="989"/>
      <c r="D60" s="121"/>
      <c r="E60" s="45"/>
      <c r="F60" s="45"/>
      <c r="G60" s="45"/>
      <c r="H60" s="45"/>
      <c r="I60" s="45"/>
      <c r="J60" s="45"/>
    </row>
    <row r="61" spans="1:13" x14ac:dyDescent="0.2">
      <c r="A61" s="38"/>
      <c r="B61" s="972"/>
      <c r="C61" s="49"/>
      <c r="D61" s="120"/>
      <c r="E61" s="38"/>
      <c r="F61" s="38"/>
      <c r="G61" s="38"/>
      <c r="H61" s="38"/>
      <c r="I61" s="38"/>
    </row>
    <row r="62" spans="1:13" x14ac:dyDescent="0.2">
      <c r="A62" s="38" t="s">
        <v>1</v>
      </c>
      <c r="B62" s="972">
        <f>L12</f>
        <v>37680</v>
      </c>
      <c r="C62" s="987" t="s">
        <v>34</v>
      </c>
      <c r="D62" s="119">
        <f t="shared" ref="D62:D67" si="6">(C$3-B62)/30.4167</f>
        <v>138.14779381063693</v>
      </c>
      <c r="E62" s="85">
        <f>IF((D62&gt;59),'Return Summary'!Y62,'Return Summary'!AC62)</f>
        <v>-176.78351553827918</v>
      </c>
      <c r="F62" s="40">
        <f>SUMPRODUCT(Brandes!C335:C394,Brandes!E335:E394)/100</f>
        <v>-100863196.52522381</v>
      </c>
      <c r="G62" s="38"/>
      <c r="H62" s="40">
        <f>AVERAGE(Brandes!C335:C394)</f>
        <v>1311389764.1131666</v>
      </c>
      <c r="I62" s="38"/>
      <c r="L62" t="str">
        <f t="shared" ref="L62:L70" si="7">IF(B62&lt;L$12,"ERR","OK")</f>
        <v>OK</v>
      </c>
    </row>
    <row r="63" spans="1:13" x14ac:dyDescent="0.2">
      <c r="A63" s="38" t="s">
        <v>176</v>
      </c>
      <c r="B63" s="972">
        <v>38564</v>
      </c>
      <c r="C63" s="987" t="s">
        <v>34</v>
      </c>
      <c r="D63" s="119">
        <f t="shared" si="6"/>
        <v>109.08481196184991</v>
      </c>
      <c r="E63" s="85" t="e">
        <f>IF((D63&gt;59),'Return Summary'!#REF!,'Return Summary'!#REF!)</f>
        <v>#REF!</v>
      </c>
      <c r="F63" s="40">
        <f>SUMPRODUCT(MFS!C364:C394,MFS!E364:E394)/100</f>
        <v>-55788399.525288165</v>
      </c>
      <c r="G63" s="38"/>
      <c r="H63" s="40">
        <f>AVERAGE(MFS!C364:C394)</f>
        <v>806356800.13741934</v>
      </c>
      <c r="I63" s="38"/>
      <c r="L63" t="str">
        <f t="shared" si="7"/>
        <v>OK</v>
      </c>
    </row>
    <row r="64" spans="1:13" x14ac:dyDescent="0.2">
      <c r="A64" s="38" t="s">
        <v>194</v>
      </c>
      <c r="B64" s="972">
        <v>38564</v>
      </c>
      <c r="C64" s="987" t="s">
        <v>34</v>
      </c>
      <c r="D64" s="119">
        <f t="shared" si="6"/>
        <v>109.08481196184991</v>
      </c>
      <c r="E64" s="85" t="e">
        <f>IF((D64&gt;59),'Return Summary'!#REF!,'Return Summary'!#REF!)</f>
        <v>#REF!</v>
      </c>
      <c r="F64" s="40">
        <f>SUMPRODUCT(HGI!C364:C394,HGI!E364:E394)/100</f>
        <v>11887276.081591604</v>
      </c>
      <c r="G64" s="38"/>
      <c r="H64" s="40">
        <f>AVERAGE(HGI!C364:C394)</f>
        <v>659912553.90322578</v>
      </c>
      <c r="I64" s="38"/>
      <c r="L64" t="str">
        <f t="shared" si="7"/>
        <v>OK</v>
      </c>
    </row>
    <row r="65" spans="1:13" x14ac:dyDescent="0.2">
      <c r="A65" s="945" t="s">
        <v>383</v>
      </c>
      <c r="B65" s="972" t="e">
        <f>'Return Summary'!#REF!</f>
        <v>#REF!</v>
      </c>
      <c r="C65" s="987" t="s">
        <v>34</v>
      </c>
      <c r="D65" s="119" t="e">
        <f t="shared" si="6"/>
        <v>#REF!</v>
      </c>
      <c r="E65" s="85" t="e">
        <f>IF((D65&gt;59),'Return Summary'!#REF!,'Return Summary'!#REF!)</f>
        <v>#REF!</v>
      </c>
      <c r="F65" s="40">
        <f>SUMPRODUCT(BR_ACWI!C366:C394,BR_ACWI!E366:E394)/100</f>
        <v>-14723156.975423686</v>
      </c>
      <c r="G65" s="38"/>
      <c r="H65" s="40">
        <f>AVERAGE(BR_ACWI!C366:C394)</f>
        <v>741153391.45620692</v>
      </c>
      <c r="I65" s="38"/>
      <c r="L65" t="e">
        <f t="shared" si="7"/>
        <v>#REF!</v>
      </c>
    </row>
    <row r="66" spans="1:13" x14ac:dyDescent="0.2">
      <c r="A66" s="38" t="s">
        <v>196</v>
      </c>
      <c r="B66" s="972">
        <v>38595</v>
      </c>
      <c r="C66" s="987" t="s">
        <v>34</v>
      </c>
      <c r="D66" s="119">
        <f t="shared" si="6"/>
        <v>108.0656349965644</v>
      </c>
      <c r="E66" s="85" t="str">
        <f>IF((D66&gt;59),'Return Summary'!Y73,'Return Summary'!AC73)</f>
        <v>---</v>
      </c>
      <c r="F66" s="40">
        <f>SUMPRODUCT(AXA!C365:C394,AXA!E365:E394)/100</f>
        <v>-19487366.625277691</v>
      </c>
      <c r="G66" s="38"/>
      <c r="H66" s="40">
        <f>AVERAGE(AXA!C365:C394)</f>
        <v>305940185.31666666</v>
      </c>
      <c r="I66" s="38"/>
      <c r="L66" t="str">
        <f t="shared" si="7"/>
        <v>OK</v>
      </c>
    </row>
    <row r="67" spans="1:13" x14ac:dyDescent="0.2">
      <c r="A67" s="38" t="s">
        <v>195</v>
      </c>
      <c r="B67" s="976">
        <v>38595</v>
      </c>
      <c r="C67" s="987" t="s">
        <v>34</v>
      </c>
      <c r="D67" s="119">
        <f t="shared" si="6"/>
        <v>108.0656349965644</v>
      </c>
      <c r="E67" s="85">
        <f>IF((D67&gt;59),'Return Summary'!Y74,'Return Summary'!AC74)</f>
        <v>-196.37171015747691</v>
      </c>
      <c r="F67" s="40">
        <f>SUMPRODUCT(DFA_INTL!C365:C394,DFA_INTL!E365:E394)/100</f>
        <v>11965232.601558767</v>
      </c>
      <c r="G67" s="38"/>
      <c r="H67" s="40">
        <f>AVERAGE(DFA_INTL!C365:C394)</f>
        <v>162876071.71766666</v>
      </c>
      <c r="I67" s="38"/>
      <c r="L67" t="str">
        <f t="shared" si="7"/>
        <v>OK</v>
      </c>
    </row>
    <row r="68" spans="1:13" x14ac:dyDescent="0.2">
      <c r="A68" s="1046" t="s">
        <v>102</v>
      </c>
      <c r="B68" s="1047">
        <f>L12</f>
        <v>37680</v>
      </c>
      <c r="C68" s="1052">
        <v>38837</v>
      </c>
      <c r="D68" s="1043">
        <f>(C68-B68)/30.4167</f>
        <v>38.038314478559478</v>
      </c>
      <c r="E68" s="1056">
        <f>'Terminated Managers'!AO199</f>
        <v>91.950908846711869</v>
      </c>
      <c r="F68" s="1051">
        <f>'Terminated Managers'!AO195</f>
        <v>75411762.59952186</v>
      </c>
      <c r="G68" s="1046"/>
      <c r="H68" s="1051">
        <f>'Terminated Managers'!AO196</f>
        <v>971201163.90295482</v>
      </c>
      <c r="I68" s="38"/>
      <c r="L68" t="str">
        <f t="shared" si="7"/>
        <v>OK</v>
      </c>
      <c r="M68" t="str">
        <f>IF(D68&lt;12,"ERR","OK")</f>
        <v>OK</v>
      </c>
    </row>
    <row r="69" spans="1:13" x14ac:dyDescent="0.2">
      <c r="A69" s="1046" t="s">
        <v>0</v>
      </c>
      <c r="B69" s="1047">
        <f>L12</f>
        <v>37680</v>
      </c>
      <c r="C69" s="1052">
        <v>38321</v>
      </c>
      <c r="D69" s="1043">
        <f>(C69-B69)/30.4167</f>
        <v>21.073949508000538</v>
      </c>
      <c r="E69" s="1056">
        <f>'Terminated Managers'!AS199</f>
        <v>2.309783306282398</v>
      </c>
      <c r="F69" s="1051">
        <f>'Terminated Managers'!AS195</f>
        <v>22267175.731474504</v>
      </c>
      <c r="G69" s="1046"/>
      <c r="H69" s="1051">
        <f>'Terminated Managers'!AS196</f>
        <v>553787454.91040564</v>
      </c>
      <c r="I69" s="11"/>
      <c r="L69" t="str">
        <f t="shared" si="7"/>
        <v>OK</v>
      </c>
      <c r="M69" t="str">
        <f>IF(D69&lt;12,"ERR","OK")</f>
        <v>OK</v>
      </c>
    </row>
    <row r="70" spans="1:13" x14ac:dyDescent="0.2">
      <c r="A70" s="1057" t="s">
        <v>101</v>
      </c>
      <c r="B70" s="1047">
        <f>L12</f>
        <v>37680</v>
      </c>
      <c r="C70" s="1058">
        <v>38321</v>
      </c>
      <c r="D70" s="1043">
        <f>(C70-B70)/30.4167</f>
        <v>21.073949508000538</v>
      </c>
      <c r="E70" s="1059">
        <f>'Terminated Managers'!AQ199</f>
        <v>424.07411039951273</v>
      </c>
      <c r="F70" s="1050">
        <f>'Terminated Managers'!AQ195</f>
        <v>199970859.7030724</v>
      </c>
      <c r="G70" s="1057"/>
      <c r="H70" s="1050">
        <f>'Terminated Managers'!AQ196</f>
        <v>662834191.56925917</v>
      </c>
      <c r="I70" s="11"/>
      <c r="L70" t="str">
        <f t="shared" si="7"/>
        <v>OK</v>
      </c>
      <c r="M70" t="str">
        <f>IF(D70&lt;12,"ERR","OK")</f>
        <v>OK</v>
      </c>
    </row>
    <row r="71" spans="1:13" x14ac:dyDescent="0.2">
      <c r="A71" s="133"/>
      <c r="B71" s="977"/>
      <c r="C71" s="135"/>
      <c r="D71" s="136"/>
      <c r="E71" s="139"/>
      <c r="F71" s="138"/>
      <c r="G71" s="138"/>
      <c r="H71" s="138"/>
      <c r="I71" s="11"/>
    </row>
    <row r="72" spans="1:13" x14ac:dyDescent="0.2">
      <c r="A72" s="38"/>
      <c r="B72" s="972"/>
      <c r="C72" s="49"/>
      <c r="D72" s="944" t="s">
        <v>366</v>
      </c>
      <c r="E72" s="944"/>
      <c r="F72" s="43">
        <f>SUM(F62:F64,F66:F70)</f>
        <v>145363344.04142949</v>
      </c>
      <c r="G72" s="38"/>
      <c r="H72" s="47"/>
      <c r="I72" s="48"/>
      <c r="J72" s="48"/>
      <c r="K72" s="116"/>
    </row>
    <row r="73" spans="1:13" x14ac:dyDescent="0.2">
      <c r="A73" s="38"/>
      <c r="B73" s="972"/>
      <c r="C73" s="49"/>
      <c r="D73" s="944" t="s">
        <v>367</v>
      </c>
      <c r="E73" s="944"/>
      <c r="F73" s="43">
        <f>F65</f>
        <v>-14723156.975423686</v>
      </c>
      <c r="G73" s="38"/>
      <c r="H73" s="1032"/>
      <c r="I73" s="1033"/>
      <c r="J73" s="1033"/>
      <c r="K73" s="116"/>
    </row>
    <row r="74" spans="1:13" x14ac:dyDescent="0.2">
      <c r="A74" s="38"/>
      <c r="B74" s="972"/>
      <c r="C74" s="49"/>
      <c r="D74" s="1013" t="s">
        <v>374</v>
      </c>
      <c r="E74" s="1013"/>
      <c r="F74" s="1015">
        <f>SUM(F62:F70)</f>
        <v>130640187.0660058</v>
      </c>
      <c r="G74" s="1016"/>
      <c r="H74" s="1034">
        <f>AVERAGE('NonUS Eq'!C324:C394)</f>
        <v>3734088274.5314093</v>
      </c>
      <c r="I74" s="1035">
        <f>F74/H74</f>
        <v>3.4985832540983468E-2</v>
      </c>
      <c r="J74" s="1035">
        <f>(1+I74)^(1/10)-1</f>
        <v>3.4446931916323198E-3</v>
      </c>
    </row>
    <row r="75" spans="1:13" x14ac:dyDescent="0.2">
      <c r="A75" s="38"/>
      <c r="B75" s="972"/>
      <c r="C75" s="49"/>
      <c r="D75" s="120"/>
      <c r="E75" s="38"/>
      <c r="F75" s="38"/>
      <c r="G75" s="38"/>
      <c r="H75" s="38"/>
      <c r="I75" s="38"/>
    </row>
    <row r="76" spans="1:13" ht="13.5" thickBot="1" x14ac:dyDescent="0.25">
      <c r="A76" s="44" t="s">
        <v>103</v>
      </c>
      <c r="B76" s="975"/>
      <c r="C76" s="989"/>
      <c r="D76" s="121"/>
      <c r="E76" s="45"/>
      <c r="F76" s="45"/>
      <c r="G76" s="45"/>
      <c r="H76" s="45"/>
      <c r="I76" s="45"/>
      <c r="J76" s="45"/>
    </row>
    <row r="77" spans="1:13" x14ac:dyDescent="0.2">
      <c r="B77" s="978"/>
      <c r="C77" s="51"/>
      <c r="D77" s="122"/>
    </row>
    <row r="78" spans="1:13" x14ac:dyDescent="0.2">
      <c r="A78" t="s">
        <v>83</v>
      </c>
      <c r="B78" s="978">
        <f>L12</f>
        <v>37680</v>
      </c>
      <c r="C78" s="987" t="s">
        <v>34</v>
      </c>
      <c r="D78" s="119">
        <f t="shared" ref="D78:D83" si="8">(C$3-B78)/30.4167</f>
        <v>138.14779381063693</v>
      </c>
      <c r="E78" s="85" t="e">
        <f>IF((D78&gt;59),'Return Summary'!#REF!,'Return Summary'!#REF!)</f>
        <v>#REF!</v>
      </c>
      <c r="F78" s="8">
        <f>SUMPRODUCT(JPM_Fixed!C335:C394,JPM_Fixed!E335:E394)/100</f>
        <v>-9040881.7454922777</v>
      </c>
      <c r="G78" s="8"/>
      <c r="H78" s="8">
        <f>AVERAGE(JPM_Fixed!C335:C394)</f>
        <v>605729157.80050004</v>
      </c>
      <c r="L78" t="str">
        <f t="shared" ref="L78:L85" si="9">IF(B78&lt;L$12,"ERR","OK")</f>
        <v>OK</v>
      </c>
    </row>
    <row r="79" spans="1:13" x14ac:dyDescent="0.2">
      <c r="A79" t="s">
        <v>105</v>
      </c>
      <c r="B79" s="978">
        <f>L12</f>
        <v>37680</v>
      </c>
      <c r="C79" s="987" t="s">
        <v>34</v>
      </c>
      <c r="D79" s="119">
        <f t="shared" si="8"/>
        <v>138.14779381063693</v>
      </c>
      <c r="E79" s="85" t="e">
        <f>IF((D79&gt;59),'Return Summary'!#REF!,'Return Summary'!#REF!)</f>
        <v>#REF!</v>
      </c>
      <c r="F79" s="8">
        <f>SUMPRODUCT(BR_Core_Plus!C335:C394,BR_Core_Plus!E335:E394)/100</f>
        <v>-2889455.0810880526</v>
      </c>
      <c r="G79" s="8"/>
      <c r="H79" s="8">
        <f>AVERAGE(BR_Core_Plus!C335:C394)</f>
        <v>904263333.25450003</v>
      </c>
      <c r="L79" t="str">
        <f t="shared" si="9"/>
        <v>OK</v>
      </c>
    </row>
    <row r="80" spans="1:13" x14ac:dyDescent="0.2">
      <c r="A80" t="s">
        <v>343</v>
      </c>
      <c r="B80" s="978">
        <v>37986</v>
      </c>
      <c r="C80" s="987" t="s">
        <v>34</v>
      </c>
      <c r="D80" s="119">
        <f t="shared" si="8"/>
        <v>128.08753086297989</v>
      </c>
      <c r="E80" s="85" t="e">
        <f>IF((D80&gt;59),'Return Summary'!#REF!,'Return Summary'!#REF!)</f>
        <v>#REF!</v>
      </c>
      <c r="F80" s="8">
        <f>SUMPRODUCT(Fidelity!C345:C394,Fidelity!E345:E394)/100</f>
        <v>-947580.01604162692</v>
      </c>
      <c r="G80" s="8"/>
      <c r="H80" s="8">
        <f>AVERAGE(Fidelity!C345:C394)</f>
        <v>437750975.00419998</v>
      </c>
      <c r="L80" t="str">
        <f t="shared" si="9"/>
        <v>OK</v>
      </c>
    </row>
    <row r="81" spans="1:13" x14ac:dyDescent="0.2">
      <c r="A81" t="s">
        <v>375</v>
      </c>
      <c r="B81" s="978">
        <v>39416</v>
      </c>
      <c r="C81" s="987" t="s">
        <v>34</v>
      </c>
      <c r="D81" s="119">
        <f t="shared" si="8"/>
        <v>81.073883754647937</v>
      </c>
      <c r="E81" s="85">
        <f>IF((D81&gt;59),'Return Summary'!Y102,'Return Summary'!AC102)</f>
        <v>8.7316094149803014</v>
      </c>
      <c r="F81" s="40">
        <f>SUMPRODUCT(JPM_INT_AGG!E394,JPM_INT_AGG!C394)/100</f>
        <v>-37644.377530480007</v>
      </c>
      <c r="G81" s="40"/>
      <c r="H81" s="40">
        <f>AVERAGE(JPM_INT_AGG!C392:C394)</f>
        <v>26970383.97666667</v>
      </c>
      <c r="L81" t="str">
        <f t="shared" si="9"/>
        <v>OK</v>
      </c>
    </row>
    <row r="82" spans="1:13" x14ac:dyDescent="0.2">
      <c r="A82" s="12" t="s">
        <v>380</v>
      </c>
      <c r="B82" s="978">
        <f>L12</f>
        <v>37680</v>
      </c>
      <c r="C82" s="987" t="s">
        <v>34</v>
      </c>
      <c r="D82" s="119">
        <f t="shared" si="8"/>
        <v>138.14779381063693</v>
      </c>
      <c r="E82" s="85">
        <f>IF((D82&gt;59),'Return Summary'!Y95,'Return Summary'!AC95)</f>
        <v>15.878036147893848</v>
      </c>
      <c r="F82" s="8">
        <f>SUMPRODUCT(ASRS_F2!C335:C394,ASRS_F2!E335:E394)/100</f>
        <v>-3804622.9111036127</v>
      </c>
      <c r="G82" s="8"/>
      <c r="H82" s="8">
        <f>AVERAGE(ASRS_F2!C335:C394)</f>
        <v>2109266602.4508333</v>
      </c>
      <c r="L82" t="str">
        <f t="shared" si="9"/>
        <v>OK</v>
      </c>
    </row>
    <row r="83" spans="1:13" x14ac:dyDescent="0.2">
      <c r="A83" s="12" t="s">
        <v>382</v>
      </c>
      <c r="B83" s="978" t="e">
        <f>'Return Summary'!#REF!</f>
        <v>#REF!</v>
      </c>
      <c r="C83" s="987" t="s">
        <v>34</v>
      </c>
      <c r="D83" s="119" t="e">
        <f t="shared" si="8"/>
        <v>#REF!</v>
      </c>
      <c r="E83" s="85" t="e">
        <f>IF((D83&gt;59),'Return Summary'!#REF!,'Return Summary'!#REF!)</f>
        <v>#REF!</v>
      </c>
      <c r="F83" s="8">
        <f>SUMPRODUCT(BR_Enh!C354:C394,BR_Enh!E354:E394)/100</f>
        <v>3606883.8256171234</v>
      </c>
      <c r="G83" s="8"/>
      <c r="H83" s="8">
        <f>AVERAGE(BR_Enh!C354:C394)</f>
        <v>1077740703.3314636</v>
      </c>
      <c r="L83" t="e">
        <f t="shared" si="9"/>
        <v>#REF!</v>
      </c>
    </row>
    <row r="84" spans="1:13" s="947" customFormat="1" x14ac:dyDescent="0.2">
      <c r="A84" s="1040" t="s">
        <v>381</v>
      </c>
      <c r="B84" s="1041">
        <f>L12</f>
        <v>37680</v>
      </c>
      <c r="C84" s="1042">
        <v>38230</v>
      </c>
      <c r="D84" s="1043">
        <f>(C84-B84)/30.4167</f>
        <v>18.082171964743054</v>
      </c>
      <c r="E84" s="1044">
        <f>'Terminated Managers'!AU199</f>
        <v>-6.8635928837146309</v>
      </c>
      <c r="F84" s="1045">
        <f>'Terminated Managers'!AU195</f>
        <v>-4534855.9157219939</v>
      </c>
      <c r="G84" s="1045"/>
      <c r="H84" s="1045">
        <f>'Terminated Managers'!AU196</f>
        <v>1204875192.4996107</v>
      </c>
      <c r="L84" t="str">
        <f>IF(B84&lt;L$12,"ERR","OK")</f>
        <v>OK</v>
      </c>
      <c r="M84" t="str">
        <f>IF(D84&lt;12,"ERR","OK")</f>
        <v>OK</v>
      </c>
    </row>
    <row r="85" spans="1:13" x14ac:dyDescent="0.2">
      <c r="A85" s="1046" t="s">
        <v>104</v>
      </c>
      <c r="B85" s="1047">
        <v>36129</v>
      </c>
      <c r="C85" s="1052">
        <v>37711</v>
      </c>
      <c r="D85" s="1043">
        <f>(C85-B85)/30.4167</f>
        <v>52.010901905860926</v>
      </c>
      <c r="E85" s="1053">
        <f>'Terminated Managers'!AW199</f>
        <v>-18.753340197374957</v>
      </c>
      <c r="F85" s="1051">
        <f>'Terminated Managers'!AW195</f>
        <v>-2133242.5922684269</v>
      </c>
      <c r="G85" s="1046"/>
      <c r="H85" s="1051">
        <f>'Terminated Managers'!AW196</f>
        <v>507517259.12269241</v>
      </c>
      <c r="L85" t="str">
        <f t="shared" si="9"/>
        <v>ERR</v>
      </c>
      <c r="M85" t="str">
        <f>IF(D85&lt;12,"ERR","OK")</f>
        <v>OK</v>
      </c>
    </row>
    <row r="86" spans="1:13" x14ac:dyDescent="0.2">
      <c r="A86" s="133"/>
      <c r="B86" s="977"/>
      <c r="C86" s="134"/>
      <c r="D86" s="136"/>
      <c r="E86" s="155"/>
      <c r="F86" s="156"/>
      <c r="G86" s="156"/>
      <c r="H86" s="138"/>
    </row>
    <row r="87" spans="1:13" x14ac:dyDescent="0.2">
      <c r="D87" s="944" t="s">
        <v>366</v>
      </c>
      <c r="E87" s="42"/>
      <c r="F87" s="43">
        <f>+F78+F79+F80+F85+F81</f>
        <v>-15048803.812420866</v>
      </c>
      <c r="G87" s="38"/>
      <c r="H87" s="47"/>
      <c r="I87" s="48"/>
      <c r="J87" s="48"/>
      <c r="K87" s="116"/>
    </row>
    <row r="88" spans="1:13" x14ac:dyDescent="0.2">
      <c r="D88" s="944" t="s">
        <v>379</v>
      </c>
      <c r="E88" s="42"/>
      <c r="F88" s="43">
        <f>+F82+F84</f>
        <v>-8339478.8268256066</v>
      </c>
      <c r="G88" s="38"/>
      <c r="H88" s="47"/>
      <c r="I88" s="48"/>
      <c r="J88" s="48"/>
    </row>
    <row r="89" spans="1:13" x14ac:dyDescent="0.2">
      <c r="D89" s="944" t="s">
        <v>367</v>
      </c>
      <c r="E89" s="42"/>
      <c r="F89" s="43">
        <f>F83</f>
        <v>3606883.8256171234</v>
      </c>
      <c r="G89" s="38"/>
      <c r="H89" s="1032"/>
      <c r="I89" s="1033"/>
      <c r="J89" s="1033"/>
    </row>
    <row r="90" spans="1:13" x14ac:dyDescent="0.2">
      <c r="D90" s="1013" t="s">
        <v>373</v>
      </c>
      <c r="E90" s="1014"/>
      <c r="F90" s="1015">
        <f>SUM(F78:F85)</f>
        <v>-19781398.813629348</v>
      </c>
      <c r="G90" s="1016"/>
      <c r="H90" s="1034">
        <f>AVERAGE('Fx Inc'!C324:C394)</f>
        <v>5251227817.2298584</v>
      </c>
      <c r="I90" s="1035">
        <f>F90/H90</f>
        <v>-3.7670044991619661E-3</v>
      </c>
      <c r="J90" s="1035">
        <f>(1+I90)^(1/10)-1</f>
        <v>-3.7734054208726775E-4</v>
      </c>
    </row>
    <row r="91" spans="1:13" ht="13.5" thickBot="1" x14ac:dyDescent="0.25">
      <c r="A91" s="44" t="s">
        <v>79</v>
      </c>
      <c r="B91" s="975"/>
      <c r="C91" s="989"/>
      <c r="D91" s="121"/>
      <c r="E91" s="45"/>
      <c r="F91" s="45"/>
      <c r="G91" s="45"/>
      <c r="H91" s="45"/>
      <c r="I91" s="45"/>
      <c r="J91" s="45"/>
    </row>
    <row r="92" spans="1:13" x14ac:dyDescent="0.2">
      <c r="B92" s="978"/>
      <c r="C92" s="51"/>
      <c r="D92" s="122"/>
    </row>
    <row r="93" spans="1:13" x14ac:dyDescent="0.2">
      <c r="A93" t="s">
        <v>155</v>
      </c>
      <c r="B93" s="978">
        <v>37986</v>
      </c>
      <c r="C93" s="987" t="s">
        <v>34</v>
      </c>
      <c r="D93" s="119">
        <f>(C$3-B93)/30.4167</f>
        <v>128.08753086297989</v>
      </c>
      <c r="E93" s="85">
        <f>IF((D93&gt;59),'Return Summary'!Y122,'Return Summary'!AC122)</f>
        <v>380.44963785015983</v>
      </c>
      <c r="F93" s="8">
        <f>SUMPRODUCT(Bridge_GTAA!C345:C394,Bridge_GTAA!E345:E394)/100</f>
        <v>32067404.135157023</v>
      </c>
      <c r="G93" s="8"/>
      <c r="H93" s="8">
        <f>AVERAGE(Bridge_GTAA!C345:C394)</f>
        <v>1374170571.5624001</v>
      </c>
      <c r="L93" t="str">
        <f>IF(B93&lt;L$12,"ERR","OK")</f>
        <v>OK</v>
      </c>
    </row>
    <row r="94" spans="1:13" x14ac:dyDescent="0.2">
      <c r="A94" s="1046" t="s">
        <v>111</v>
      </c>
      <c r="B94" s="1047">
        <v>37986</v>
      </c>
      <c r="C94" s="1048">
        <v>39113</v>
      </c>
      <c r="D94" s="1055">
        <f>(C94-B94)/30.4167</f>
        <v>37.052014189573491</v>
      </c>
      <c r="E94" s="1054">
        <f>'Terminated Managers'!BE199</f>
        <v>-103.33208577310913</v>
      </c>
      <c r="F94" s="1051">
        <f>'Terminated Managers'!BE195</f>
        <v>-30317559.239184417</v>
      </c>
      <c r="G94" s="1051"/>
      <c r="H94" s="1051">
        <f>'Terminated Managers'!BE196</f>
        <v>1157849875.7148645</v>
      </c>
      <c r="I94" s="1046"/>
      <c r="J94" s="10"/>
      <c r="L94" t="str">
        <f>IF(B94&lt;L$12,"ERR","OK")</f>
        <v>OK</v>
      </c>
    </row>
    <row r="95" spans="1:13" x14ac:dyDescent="0.2">
      <c r="D95" s="944" t="s">
        <v>366</v>
      </c>
      <c r="E95" s="42"/>
      <c r="F95" s="43">
        <f>SUM(F93:F94)</f>
        <v>1749844.8959726058</v>
      </c>
      <c r="G95" s="38"/>
      <c r="H95" s="1032"/>
      <c r="I95" s="1033"/>
      <c r="J95" s="1033"/>
    </row>
    <row r="96" spans="1:13" x14ac:dyDescent="0.2">
      <c r="D96" s="1013" t="s">
        <v>377</v>
      </c>
      <c r="E96" s="1018"/>
      <c r="F96" s="1015">
        <f>SUM(F93:F94)</f>
        <v>1749844.8959726058</v>
      </c>
      <c r="G96" s="1016"/>
      <c r="H96" s="1034">
        <f>AVERAGE(GTAA!C345:C394)</f>
        <v>2507464846.0896006</v>
      </c>
      <c r="I96" s="1035">
        <f>F96/H96</f>
        <v>6.9785420868471776E-4</v>
      </c>
      <c r="J96" s="1035">
        <f>(1+I96)^(1/10)-1</f>
        <v>6.9763515527121456E-5</v>
      </c>
    </row>
    <row r="97" spans="1:10" x14ac:dyDescent="0.2">
      <c r="A97" s="221"/>
      <c r="B97" s="981"/>
      <c r="C97" s="991"/>
      <c r="D97" s="221"/>
      <c r="E97" s="221"/>
      <c r="F97" s="221"/>
    </row>
    <row r="98" spans="1:10" x14ac:dyDescent="0.2">
      <c r="A98" s="12" t="s">
        <v>163</v>
      </c>
    </row>
    <row r="99" spans="1:10" x14ac:dyDescent="0.2">
      <c r="A99" s="1499" t="s">
        <v>168</v>
      </c>
      <c r="B99" s="1499"/>
      <c r="C99" s="1499"/>
      <c r="D99" s="1499"/>
      <c r="E99" s="1499"/>
      <c r="F99" s="1499"/>
      <c r="G99" s="1499"/>
      <c r="H99" s="1499"/>
      <c r="I99" s="1499"/>
      <c r="J99" s="1499"/>
    </row>
    <row r="100" spans="1:10" x14ac:dyDescent="0.2">
      <c r="A100" s="1495" t="s">
        <v>167</v>
      </c>
      <c r="B100" s="1495"/>
      <c r="C100" s="1495"/>
      <c r="D100" s="1495"/>
      <c r="E100" s="1495"/>
      <c r="F100" s="1495"/>
      <c r="G100" s="1495"/>
      <c r="H100" s="1495"/>
      <c r="I100" s="1495"/>
      <c r="J100" s="1495"/>
    </row>
    <row r="101" spans="1:10" ht="12.75" customHeight="1" x14ac:dyDescent="0.2">
      <c r="A101" s="1495" t="s">
        <v>166</v>
      </c>
      <c r="B101" s="1495"/>
      <c r="C101" s="1495"/>
      <c r="D101" s="1495"/>
      <c r="E101" s="1495"/>
      <c r="F101" s="1495"/>
      <c r="G101" s="1495"/>
      <c r="H101" s="1495"/>
      <c r="I101" s="1495"/>
      <c r="J101" s="1495"/>
    </row>
    <row r="102" spans="1:10" s="222" customFormat="1" ht="26.1" customHeight="1" x14ac:dyDescent="0.2">
      <c r="A102" s="1495" t="s">
        <v>165</v>
      </c>
      <c r="B102" s="1495"/>
      <c r="C102" s="1495"/>
      <c r="D102" s="1495"/>
      <c r="E102" s="1495"/>
      <c r="F102" s="1495"/>
      <c r="G102" s="1495"/>
      <c r="H102" s="1495"/>
      <c r="I102" s="1495"/>
      <c r="J102" s="1495"/>
    </row>
    <row r="104" spans="1:10" x14ac:dyDescent="0.2">
      <c r="A104" s="12" t="s">
        <v>365</v>
      </c>
    </row>
    <row r="105" spans="1:10" x14ac:dyDescent="0.2">
      <c r="A105" s="12" t="s">
        <v>364</v>
      </c>
    </row>
  </sheetData>
  <mergeCells count="8">
    <mergeCell ref="A101:J101"/>
    <mergeCell ref="A102:J102"/>
    <mergeCell ref="C3:D3"/>
    <mergeCell ref="B7:C7"/>
    <mergeCell ref="E7:F7"/>
    <mergeCell ref="I7:J7"/>
    <mergeCell ref="A99:J99"/>
    <mergeCell ref="A100:J100"/>
  </mergeCells>
  <pageMargins left="0.7" right="0.7" top="0.75" bottom="0.75" header="0.3" footer="0.3"/>
  <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M115"/>
  <sheetViews>
    <sheetView workbookViewId="0">
      <selection sqref="A1:IV65536"/>
    </sheetView>
  </sheetViews>
  <sheetFormatPr defaultRowHeight="12.75" x14ac:dyDescent="0.2"/>
  <cols>
    <col min="1" max="1" width="20.7109375" customWidth="1"/>
    <col min="2" max="2" width="10.7109375" style="965" customWidth="1"/>
    <col min="3" max="3" width="10.7109375" style="982" customWidth="1"/>
    <col min="4" max="4" width="14.28515625" customWidth="1"/>
    <col min="5" max="5" width="11.140625" bestFit="1" customWidth="1"/>
    <col min="6" max="6" width="14.7109375" customWidth="1"/>
    <col min="7" max="7" width="2.7109375" customWidth="1"/>
    <col min="8" max="8" width="14.7109375" customWidth="1"/>
    <col min="9" max="10" width="11.28515625" bestFit="1" customWidth="1"/>
    <col min="11" max="11" width="10.28515625" bestFit="1" customWidth="1"/>
    <col min="12" max="12" width="10.7109375" customWidth="1"/>
    <col min="13" max="13" width="11.5703125" customWidth="1"/>
  </cols>
  <sheetData>
    <row r="1" spans="1:13" ht="20.25" x14ac:dyDescent="0.3">
      <c r="A1" s="22" t="s">
        <v>143</v>
      </c>
    </row>
    <row r="2" spans="1:13" ht="18" x14ac:dyDescent="0.25">
      <c r="A2" s="23" t="s">
        <v>357</v>
      </c>
    </row>
    <row r="3" spans="1:13" ht="15.75" x14ac:dyDescent="0.25">
      <c r="A3" s="24" t="s">
        <v>220</v>
      </c>
      <c r="B3" s="966"/>
      <c r="C3" s="1496">
        <f>Home!C10</f>
        <v>41882</v>
      </c>
      <c r="D3" s="1496"/>
    </row>
    <row r="4" spans="1:13" x14ac:dyDescent="0.2">
      <c r="B4" s="967"/>
      <c r="M4" s="14"/>
    </row>
    <row r="5" spans="1:13" x14ac:dyDescent="0.2">
      <c r="M5" s="14"/>
    </row>
    <row r="6" spans="1:13" x14ac:dyDescent="0.2">
      <c r="A6" s="52"/>
      <c r="B6" s="968"/>
      <c r="C6" s="983"/>
      <c r="D6" s="52"/>
      <c r="E6" s="52"/>
      <c r="F6" s="52"/>
      <c r="G6" s="52"/>
      <c r="H6" s="52"/>
      <c r="I6" s="52"/>
    </row>
    <row r="7" spans="1:13" x14ac:dyDescent="0.2">
      <c r="A7" s="36"/>
      <c r="B7" s="1497" t="s">
        <v>87</v>
      </c>
      <c r="C7" s="1497"/>
      <c r="D7" s="37"/>
      <c r="E7" s="1498" t="str">
        <f>"Time Period:  "&amp;M4&amp;" yrs. "&amp;M5&amp;" mos."</f>
        <v>Time Period:   yrs.  mos.</v>
      </c>
      <c r="F7" s="1498"/>
      <c r="G7" s="37"/>
      <c r="H7" s="37"/>
      <c r="I7" s="1497" t="s">
        <v>360</v>
      </c>
      <c r="J7" s="1497"/>
    </row>
    <row r="8" spans="1:13" ht="25.5" x14ac:dyDescent="0.2">
      <c r="A8" s="53" t="s">
        <v>93</v>
      </c>
      <c r="B8" s="969" t="s">
        <v>115</v>
      </c>
      <c r="C8" s="984" t="s">
        <v>142</v>
      </c>
      <c r="D8" s="54" t="s">
        <v>116</v>
      </c>
      <c r="E8" s="54" t="s">
        <v>118</v>
      </c>
      <c r="F8" s="54" t="s">
        <v>164</v>
      </c>
      <c r="G8" s="54"/>
      <c r="H8" s="55" t="s">
        <v>88</v>
      </c>
      <c r="I8" s="54" t="s">
        <v>146</v>
      </c>
      <c r="J8" s="54" t="s">
        <v>47</v>
      </c>
    </row>
    <row r="10" spans="1:13" ht="13.5" thickBot="1" x14ac:dyDescent="0.25">
      <c r="A10" s="44" t="s">
        <v>85</v>
      </c>
      <c r="B10" s="970"/>
      <c r="C10" s="985"/>
      <c r="D10" s="45"/>
      <c r="E10" s="45"/>
      <c r="F10" s="45"/>
      <c r="G10" s="45"/>
      <c r="H10" s="45"/>
      <c r="I10" s="45"/>
      <c r="J10" s="45"/>
      <c r="M10" s="309"/>
    </row>
    <row r="11" spans="1:13" x14ac:dyDescent="0.2">
      <c r="A11" s="38"/>
      <c r="B11" s="971"/>
      <c r="C11" s="986"/>
      <c r="D11" s="38"/>
      <c r="E11" s="38"/>
      <c r="F11" s="38"/>
      <c r="G11" s="38"/>
      <c r="H11" s="38"/>
      <c r="I11" s="38"/>
      <c r="L11" s="69" t="s">
        <v>238</v>
      </c>
      <c r="M11" s="14"/>
    </row>
    <row r="12" spans="1:13" x14ac:dyDescent="0.2">
      <c r="A12" s="946" t="s">
        <v>86</v>
      </c>
      <c r="B12" s="971"/>
      <c r="C12" s="986"/>
      <c r="D12" s="38"/>
      <c r="E12" s="38"/>
      <c r="F12" s="39"/>
      <c r="G12" s="38"/>
      <c r="H12" s="38"/>
      <c r="I12" s="38"/>
      <c r="L12" s="356">
        <v>35854</v>
      </c>
    </row>
    <row r="13" spans="1:13" x14ac:dyDescent="0.2">
      <c r="A13" s="527" t="s">
        <v>361</v>
      </c>
      <c r="B13" s="972">
        <f>L12</f>
        <v>35854</v>
      </c>
      <c r="C13" s="987" t="s">
        <v>34</v>
      </c>
      <c r="D13" s="119">
        <f t="shared" ref="D13:D18" si="0">(C$3-B13)/30.4167</f>
        <v>198.18060473358386</v>
      </c>
      <c r="E13" s="85" t="e">
        <f>'Return Summary'!#REF!</f>
        <v>#REF!</v>
      </c>
      <c r="F13" s="40">
        <f>SUMPRODUCT(ASRS_E1!C275:C394,ASRS_E1!E275:E394)/100</f>
        <v>-27311863.795707308</v>
      </c>
      <c r="G13" s="40"/>
      <c r="H13" s="40">
        <f>AVERAGE(ASRS_E1!C275:C394)</f>
        <v>1409957664.7416666</v>
      </c>
      <c r="I13" s="38"/>
      <c r="L13" t="str">
        <f t="shared" ref="L13:L25" si="1">IF(B13&lt;L$12,"ERR","OK")</f>
        <v>OK</v>
      </c>
    </row>
    <row r="14" spans="1:13" x14ac:dyDescent="0.2">
      <c r="A14" s="527" t="s">
        <v>362</v>
      </c>
      <c r="B14" s="972">
        <f>L12</f>
        <v>35854</v>
      </c>
      <c r="C14" s="987" t="s">
        <v>34</v>
      </c>
      <c r="D14" s="119">
        <f t="shared" si="0"/>
        <v>198.18060473358386</v>
      </c>
      <c r="E14" s="85">
        <f>'Return Summary'!AB12</f>
        <v>4.1290345184584964</v>
      </c>
      <c r="F14" s="40">
        <f>SUMPRODUCT(ASRS_E2!C275:C394,ASRS_E2!E275:E394)/100</f>
        <v>29055434.714891996</v>
      </c>
      <c r="G14" s="40"/>
      <c r="H14" s="40">
        <f>AVERAGE(ASRS_E2!C275:C394)</f>
        <v>2922858376.5445828</v>
      </c>
      <c r="I14" s="38"/>
      <c r="L14" t="str">
        <f t="shared" si="1"/>
        <v>OK</v>
      </c>
    </row>
    <row r="15" spans="1:13" x14ac:dyDescent="0.2">
      <c r="A15" s="527" t="s">
        <v>368</v>
      </c>
      <c r="B15" s="972">
        <f>L12</f>
        <v>35854</v>
      </c>
      <c r="C15" s="988" t="s">
        <v>338</v>
      </c>
      <c r="D15" s="119">
        <f t="shared" si="0"/>
        <v>198.18060473358386</v>
      </c>
      <c r="E15" s="85" t="e">
        <f>'Return Summary'!AB13</f>
        <v>#N/A</v>
      </c>
      <c r="F15" s="40">
        <f>SUMPRODUCT(BR_LC_Equity!C292:C394,BR_LC_Equity!E292:E394)/100</f>
        <v>4640513.7329636607</v>
      </c>
      <c r="G15" s="40"/>
      <c r="H15" s="40">
        <f>AVERAGE(BR_LC_Equity!C275:C394)</f>
        <v>1667198541.647917</v>
      </c>
      <c r="I15" s="38"/>
      <c r="L15" t="str">
        <f t="shared" si="1"/>
        <v>OK</v>
      </c>
    </row>
    <row r="16" spans="1:13" x14ac:dyDescent="0.2">
      <c r="A16" s="38" t="s">
        <v>39</v>
      </c>
      <c r="B16" s="972">
        <v>37621</v>
      </c>
      <c r="C16" s="987" t="s">
        <v>34</v>
      </c>
      <c r="D16" s="119">
        <f t="shared" si="0"/>
        <v>140.08751771230936</v>
      </c>
      <c r="E16" s="85">
        <f>'Return Summary'!AC16</f>
        <v>55.787173461538941</v>
      </c>
      <c r="F16" s="40">
        <f>SUMPRODUCT(Intech!C333:C394,Intech!E333:E394)/100</f>
        <v>3872287.8681693231</v>
      </c>
      <c r="G16" s="40"/>
      <c r="H16" s="40">
        <f>AVERAGE(Intech!C333:C394)</f>
        <v>505360166.3061291</v>
      </c>
      <c r="I16" s="38"/>
      <c r="L16" t="str">
        <f t="shared" si="1"/>
        <v>OK</v>
      </c>
    </row>
    <row r="17" spans="1:13" x14ac:dyDescent="0.2">
      <c r="A17" s="38" t="s">
        <v>12</v>
      </c>
      <c r="B17" s="972">
        <v>37621</v>
      </c>
      <c r="C17" s="987" t="s">
        <v>34</v>
      </c>
      <c r="D17" s="119">
        <f t="shared" si="0"/>
        <v>140.08751771230936</v>
      </c>
      <c r="E17" s="85">
        <f>'Return Summary'!AC19</f>
        <v>251.93990354442485</v>
      </c>
      <c r="F17" s="40">
        <f>SUMPRODUCT(LSV!C333:C394,LSV!E333:E394)/100</f>
        <v>50398773.111598022</v>
      </c>
      <c r="G17" s="40"/>
      <c r="H17" s="40">
        <f>AVERAGE(LSV!C333:C394)</f>
        <v>506433173.30322582</v>
      </c>
      <c r="I17" s="38"/>
      <c r="L17" t="str">
        <f t="shared" si="1"/>
        <v>OK</v>
      </c>
    </row>
    <row r="18" spans="1:13" x14ac:dyDescent="0.2">
      <c r="A18" s="38" t="s">
        <v>340</v>
      </c>
      <c r="B18" s="972">
        <v>39021</v>
      </c>
      <c r="C18" s="987" t="s">
        <v>34</v>
      </c>
      <c r="D18" s="119">
        <f t="shared" si="0"/>
        <v>94.060170892963413</v>
      </c>
      <c r="E18" s="85" t="e">
        <f>'Return Summary'!#REF!</f>
        <v>#REF!</v>
      </c>
      <c r="F18" s="40">
        <f>SUMPRODUCT(JLEM_LC!C379:C394,JLEM_LC!E379:E394)/100</f>
        <v>-9080213.7782816775</v>
      </c>
      <c r="G18" s="40"/>
      <c r="H18" s="40">
        <f>AVERAGE(JLEM_LC!C379:C394)</f>
        <v>213112818.72437504</v>
      </c>
      <c r="I18" s="38"/>
      <c r="L18" t="str">
        <f t="shared" si="1"/>
        <v>OK</v>
      </c>
    </row>
    <row r="19" spans="1:13" s="947" customFormat="1" x14ac:dyDescent="0.2">
      <c r="A19" s="1029" t="s">
        <v>239</v>
      </c>
      <c r="B19" s="1030">
        <v>37621</v>
      </c>
      <c r="C19" s="990">
        <v>39478</v>
      </c>
      <c r="D19" s="136">
        <f t="shared" ref="D19:D25" si="2">(C19-B19)/30.4167</f>
        <v>61.051987888232453</v>
      </c>
      <c r="E19" s="948">
        <f>'Terminated Managers'!M199</f>
        <v>-13.913447887816766</v>
      </c>
      <c r="F19" s="1031">
        <f>'Terminated Managers'!M195</f>
        <v>-4446248.4987187171</v>
      </c>
      <c r="G19" s="1031"/>
      <c r="H19" s="1031">
        <f>'Terminated Managers'!M196</f>
        <v>768045829.4809835</v>
      </c>
      <c r="I19" s="1029"/>
      <c r="L19" s="947" t="str">
        <f t="shared" si="1"/>
        <v>OK</v>
      </c>
    </row>
    <row r="20" spans="1:13" s="947" customFormat="1" x14ac:dyDescent="0.2">
      <c r="A20" s="1029" t="s">
        <v>82</v>
      </c>
      <c r="B20" s="1030">
        <v>37621</v>
      </c>
      <c r="C20" s="990">
        <v>39478</v>
      </c>
      <c r="D20" s="136">
        <f t="shared" si="2"/>
        <v>61.051987888232453</v>
      </c>
      <c r="E20" s="948">
        <f>'Terminated Managers'!O199</f>
        <v>-65.092669536219816</v>
      </c>
      <c r="F20" s="1031">
        <f>'Terminated Managers'!O195</f>
        <v>-10800655.652893759</v>
      </c>
      <c r="G20" s="1031"/>
      <c r="H20" s="1031">
        <f>'Terminated Managers'!O196</f>
        <v>308637848.75360656</v>
      </c>
      <c r="I20" s="1029"/>
      <c r="L20" s="947" t="str">
        <f t="shared" si="1"/>
        <v>OK</v>
      </c>
    </row>
    <row r="21" spans="1:13" x14ac:dyDescent="0.2">
      <c r="A21" s="11" t="s">
        <v>9</v>
      </c>
      <c r="B21" s="973">
        <v>37621</v>
      </c>
      <c r="C21" s="220">
        <v>38472</v>
      </c>
      <c r="D21" s="136">
        <f t="shared" si="2"/>
        <v>27.978051530902434</v>
      </c>
      <c r="E21" s="139">
        <f>'Terminated Managers'!I199</f>
        <v>-322.07387766805198</v>
      </c>
      <c r="F21" s="138">
        <f>'Terminated Managers'!I195</f>
        <v>-22082949.051537815</v>
      </c>
      <c r="G21" s="41"/>
      <c r="H21" s="138">
        <f>'Terminated Managers'!I196</f>
        <v>364605259.99749988</v>
      </c>
      <c r="I21" s="38"/>
      <c r="L21" t="str">
        <f t="shared" si="1"/>
        <v>OK</v>
      </c>
      <c r="M21" t="str">
        <f>IF(D21&lt;12,"ERR","OK")</f>
        <v>OK</v>
      </c>
    </row>
    <row r="22" spans="1:13" x14ac:dyDescent="0.2">
      <c r="A22" s="133" t="s">
        <v>84</v>
      </c>
      <c r="B22" s="974">
        <v>35976</v>
      </c>
      <c r="C22" s="134">
        <v>37590</v>
      </c>
      <c r="D22" s="136">
        <f t="shared" si="2"/>
        <v>53.062955547445981</v>
      </c>
      <c r="E22" s="139">
        <f>'Terminated Managers'!K199</f>
        <v>-297.45911586927627</v>
      </c>
      <c r="F22" s="138">
        <f>'Terminated Managers'!K195</f>
        <v>-132465634.39523607</v>
      </c>
      <c r="G22" s="138"/>
      <c r="H22" s="138">
        <f>'Terminated Managers'!K196</f>
        <v>1049661720.1090742</v>
      </c>
      <c r="I22" s="115"/>
      <c r="L22" t="str">
        <f t="shared" si="1"/>
        <v>OK</v>
      </c>
      <c r="M22" t="str">
        <f>IF(D22&lt;12,"ERR","OK")</f>
        <v>OK</v>
      </c>
    </row>
    <row r="23" spans="1:13" x14ac:dyDescent="0.2">
      <c r="A23" s="133" t="s">
        <v>83</v>
      </c>
      <c r="B23" s="974">
        <f>L12</f>
        <v>35854</v>
      </c>
      <c r="C23" s="134">
        <v>37590</v>
      </c>
      <c r="D23" s="136">
        <f t="shared" si="2"/>
        <v>57.073910055988982</v>
      </c>
      <c r="E23" s="139">
        <f>'Terminated Managers'!C199</f>
        <v>-24.378332248468084</v>
      </c>
      <c r="F23" s="138">
        <f>'Terminated Managers'!C195</f>
        <v>26904402.282630932</v>
      </c>
      <c r="G23" s="138"/>
      <c r="H23" s="138">
        <f>'Terminated Managers'!C196</f>
        <v>1128986956.5335088</v>
      </c>
      <c r="I23" s="38"/>
      <c r="L23" t="str">
        <f t="shared" si="1"/>
        <v>OK</v>
      </c>
      <c r="M23" t="str">
        <f>IF(D23&lt;12,"ERR","OK")</f>
        <v>OK</v>
      </c>
    </row>
    <row r="24" spans="1:13" x14ac:dyDescent="0.2">
      <c r="A24" s="133" t="s">
        <v>117</v>
      </c>
      <c r="B24" s="974">
        <f>L12</f>
        <v>35854</v>
      </c>
      <c r="C24" s="135">
        <v>36160</v>
      </c>
      <c r="D24" s="136">
        <f t="shared" si="2"/>
        <v>10.060262947657044</v>
      </c>
      <c r="E24" s="137">
        <f>'Terminated Managers'!G199</f>
        <v>-46.462630619054934</v>
      </c>
      <c r="F24" s="138">
        <f>'Terminated Managers'!G195</f>
        <v>-10711750.993670201</v>
      </c>
      <c r="G24" s="138"/>
      <c r="H24" s="138">
        <f>'Terminated Managers'!G196</f>
        <v>2046270557.595</v>
      </c>
      <c r="I24" s="38"/>
      <c r="L24" t="str">
        <f t="shared" si="1"/>
        <v>OK</v>
      </c>
      <c r="M24" t="str">
        <f>IF(D24&lt;12,"ERR","OK")</f>
        <v>ERR</v>
      </c>
    </row>
    <row r="25" spans="1:13" x14ac:dyDescent="0.2">
      <c r="A25" s="133" t="s">
        <v>156</v>
      </c>
      <c r="B25" s="974">
        <f>L12</f>
        <v>35854</v>
      </c>
      <c r="C25" s="134">
        <v>35885</v>
      </c>
      <c r="D25" s="136">
        <f t="shared" si="2"/>
        <v>1.0191769652855176</v>
      </c>
      <c r="E25" s="139">
        <f>'Terminated Managers'!E199</f>
        <v>-184.28012809753369</v>
      </c>
      <c r="F25" s="138">
        <f>'Terminated Managers'!E195</f>
        <v>-177682.90227584424</v>
      </c>
      <c r="G25" s="138"/>
      <c r="H25" s="138">
        <f>'Terminated Managers'!E196</f>
        <v>9642000.1500000004</v>
      </c>
      <c r="I25" s="38"/>
      <c r="L25" t="str">
        <f t="shared" si="1"/>
        <v>OK</v>
      </c>
      <c r="M25" t="str">
        <f>IF(D25&lt;12,"ERR","OK")</f>
        <v>ERR</v>
      </c>
    </row>
    <row r="26" spans="1:13" x14ac:dyDescent="0.2">
      <c r="A26" s="133"/>
      <c r="B26" s="974"/>
      <c r="C26" s="134"/>
    </row>
    <row r="27" spans="1:13" x14ac:dyDescent="0.2">
      <c r="A27" s="133"/>
      <c r="B27" s="974"/>
      <c r="C27" s="134"/>
      <c r="D27" s="944" t="s">
        <v>366</v>
      </c>
      <c r="E27" s="944"/>
      <c r="F27" s="43">
        <f>SUM(F16:F25)</f>
        <v>-108589672.0102158</v>
      </c>
      <c r="G27" s="38"/>
      <c r="H27" s="47"/>
      <c r="I27" s="48"/>
      <c r="J27" s="48"/>
    </row>
    <row r="28" spans="1:13" x14ac:dyDescent="0.2">
      <c r="A28" s="133"/>
      <c r="B28" s="974"/>
      <c r="C28" s="134"/>
      <c r="D28" s="944" t="s">
        <v>379</v>
      </c>
      <c r="E28" s="944"/>
      <c r="F28" s="43">
        <f>F13+F14</f>
        <v>1743570.9191846885</v>
      </c>
      <c r="G28" s="38"/>
      <c r="H28" s="47"/>
      <c r="I28" s="48"/>
      <c r="J28" s="48"/>
    </row>
    <row r="29" spans="1:13" x14ac:dyDescent="0.2">
      <c r="A29" s="133"/>
      <c r="B29" s="974"/>
      <c r="C29" s="134"/>
      <c r="D29" s="944" t="s">
        <v>367</v>
      </c>
      <c r="E29" s="944"/>
      <c r="F29" s="43">
        <f>F15</f>
        <v>4640513.7329636607</v>
      </c>
      <c r="G29" s="38"/>
      <c r="H29" s="1032"/>
      <c r="I29" s="1033"/>
      <c r="J29" s="1033"/>
    </row>
    <row r="30" spans="1:13" x14ac:dyDescent="0.2">
      <c r="A30" s="38"/>
      <c r="B30" s="972"/>
      <c r="C30" s="49"/>
      <c r="D30" s="1013" t="s">
        <v>359</v>
      </c>
      <c r="E30" s="1013"/>
      <c r="F30" s="1015">
        <f>SUM(F13:F25)</f>
        <v>-102205587.35806745</v>
      </c>
      <c r="G30" s="1016"/>
      <c r="H30" s="1015">
        <f>AVERAGE(LCE!C327:C394)</f>
        <v>8421590400.9955873</v>
      </c>
      <c r="I30" s="1017">
        <f>F30/H30</f>
        <v>-1.2136138483532144E-2</v>
      </c>
      <c r="J30" s="1017">
        <f>(1+I30)^(1/10)-1</f>
        <v>-1.2202931076755741E-3</v>
      </c>
      <c r="K30" s="116"/>
    </row>
    <row r="31" spans="1:13" x14ac:dyDescent="0.2">
      <c r="A31" s="38"/>
      <c r="B31" s="972"/>
      <c r="C31" s="49"/>
      <c r="D31" s="120"/>
      <c r="E31" s="38"/>
      <c r="F31" s="38"/>
      <c r="G31" s="38"/>
      <c r="H31" s="38"/>
      <c r="I31" s="38"/>
    </row>
    <row r="32" spans="1:13" x14ac:dyDescent="0.2">
      <c r="A32" s="946" t="s">
        <v>94</v>
      </c>
      <c r="B32" s="972"/>
      <c r="C32" s="49"/>
      <c r="D32" s="120"/>
      <c r="E32" s="38"/>
      <c r="F32" s="38"/>
      <c r="G32" s="38"/>
      <c r="H32" s="38"/>
      <c r="I32" s="38"/>
    </row>
    <row r="33" spans="1:13" x14ac:dyDescent="0.2">
      <c r="A33" s="38" t="s">
        <v>95</v>
      </c>
      <c r="B33" s="972">
        <v>37437</v>
      </c>
      <c r="C33" s="987" t="s">
        <v>34</v>
      </c>
      <c r="D33" s="119">
        <f t="shared" ref="D33:D38" si="3">(C$3-B33)/30.4167</f>
        <v>146.13682615142341</v>
      </c>
      <c r="E33" s="85">
        <f>'Return Summary'!AC32</f>
        <v>118.45992236336099</v>
      </c>
      <c r="F33" s="40">
        <f>SUMPRODUCT(Well!C327:C394,Well!E327:E394)/100</f>
        <v>42663028.663640767</v>
      </c>
      <c r="G33" s="38"/>
      <c r="H33" s="40">
        <f>AVERAGE(Well!C327:C394)</f>
        <v>173176966.11735296</v>
      </c>
      <c r="I33" s="38"/>
      <c r="L33" t="str">
        <f t="shared" ref="L33:L43" si="4">IF(B33&lt;L$12,"ERR","OK")</f>
        <v>OK</v>
      </c>
    </row>
    <row r="34" spans="1:13" x14ac:dyDescent="0.2">
      <c r="A34" s="527" t="s">
        <v>363</v>
      </c>
      <c r="B34" s="972">
        <v>36556</v>
      </c>
      <c r="C34" s="987" t="s">
        <v>34</v>
      </c>
      <c r="D34" s="119">
        <f t="shared" si="3"/>
        <v>175.10117797131181</v>
      </c>
      <c r="E34" s="85" t="e">
        <f>'Return Summary'!#REF!</f>
        <v>#REF!</v>
      </c>
      <c r="F34" s="40">
        <f>SUMPRODUCT(SSGA_MC!C298:C394,SSGA_MC!E298:E394)/100</f>
        <v>2676753.1317452434</v>
      </c>
      <c r="G34" s="38"/>
      <c r="H34" s="40">
        <f>AVERAGE((SSGA_MC!C298:C394))</f>
        <v>238767300.09412375</v>
      </c>
      <c r="I34" s="38"/>
      <c r="L34" t="str">
        <f>IF(B34&lt;L$12,"ERR","OK")</f>
        <v>OK</v>
      </c>
    </row>
    <row r="35" spans="1:13" x14ac:dyDescent="0.2">
      <c r="A35" s="38" t="s">
        <v>65</v>
      </c>
      <c r="B35" s="972">
        <v>37986</v>
      </c>
      <c r="C35" s="987" t="s">
        <v>34</v>
      </c>
      <c r="D35" s="119">
        <f t="shared" si="3"/>
        <v>128.08753086297989</v>
      </c>
      <c r="E35" s="85">
        <f>'Return Summary'!AC38</f>
        <v>-16.37502880877939</v>
      </c>
      <c r="F35" s="40">
        <f>SUMPRODUCT(CRM!C345:C394,CRM!E345:E394)/100</f>
        <v>17756498.126969017</v>
      </c>
      <c r="G35" s="40"/>
      <c r="H35" s="40">
        <f>AVERAGE(CRM!C345:C394)</f>
        <v>112171384.56660002</v>
      </c>
      <c r="I35" s="38"/>
      <c r="L35" t="str">
        <f t="shared" si="4"/>
        <v>OK</v>
      </c>
    </row>
    <row r="36" spans="1:13" x14ac:dyDescent="0.2">
      <c r="A36" s="527" t="s">
        <v>369</v>
      </c>
      <c r="B36" s="972">
        <v>37437</v>
      </c>
      <c r="C36" s="987" t="s">
        <v>34</v>
      </c>
      <c r="D36" s="119">
        <f t="shared" si="3"/>
        <v>146.13682615142341</v>
      </c>
      <c r="E36" s="85">
        <f>'Return Summary'!AC39</f>
        <v>21.157545765344565</v>
      </c>
      <c r="F36" s="40">
        <f>SUMPRODUCT(ASRS_E4!C327:C394,ASRS_E4!E327:E394)/100</f>
        <v>925894.993564534</v>
      </c>
      <c r="G36" s="38"/>
      <c r="H36" s="40">
        <f>AVERAGE(ASRS_E4!C327:C394)</f>
        <v>277624984.18529415</v>
      </c>
      <c r="I36" s="38"/>
      <c r="L36" t="str">
        <f>IF(B36&lt;L$12,"ERR","OK")</f>
        <v>OK</v>
      </c>
    </row>
    <row r="37" spans="1:13" x14ac:dyDescent="0.2">
      <c r="A37" s="38" t="s">
        <v>222</v>
      </c>
      <c r="B37" s="972">
        <v>38686</v>
      </c>
      <c r="C37" s="987" t="s">
        <v>34</v>
      </c>
      <c r="D37" s="119">
        <f t="shared" si="3"/>
        <v>105.0738574533069</v>
      </c>
      <c r="E37" s="85" t="e">
        <f>'Return Summary'!#REF!</f>
        <v>#REF!</v>
      </c>
      <c r="F37" s="40" t="e">
        <f>SUMPRODUCT(#REF!,#REF!)/100</f>
        <v>#REF!</v>
      </c>
      <c r="G37" s="40"/>
      <c r="H37" s="40" t="e">
        <f>AVERAGE(#REF!)</f>
        <v>#REF!</v>
      </c>
      <c r="I37" s="38"/>
      <c r="L37" t="str">
        <f>IF(B37&lt;L$12,"ERR","OK")</f>
        <v>OK</v>
      </c>
    </row>
    <row r="38" spans="1:13" x14ac:dyDescent="0.2">
      <c r="A38" s="527" t="s">
        <v>370</v>
      </c>
      <c r="B38" s="972">
        <v>36860</v>
      </c>
      <c r="C38" s="987" t="s">
        <v>34</v>
      </c>
      <c r="D38" s="119">
        <f t="shared" si="3"/>
        <v>165.10666837625385</v>
      </c>
      <c r="E38" s="85">
        <f>'Return Summary'!AC35</f>
        <v>57.118861977669596</v>
      </c>
      <c r="F38" s="40">
        <f>SUMPRODUCT(ASRS_E3!C308:C394,ASRS_E3!E308:E394)/100</f>
        <v>5961499.0525344433</v>
      </c>
      <c r="G38" s="40"/>
      <c r="H38" s="40">
        <f>AVERAGE(ASRS_E3!C308:C394)</f>
        <v>215579853.34045976</v>
      </c>
      <c r="I38" s="38"/>
      <c r="L38" t="str">
        <f>IF(B38&lt;L$12,"ERR","OK")</f>
        <v>OK</v>
      </c>
    </row>
    <row r="39" spans="1:13" x14ac:dyDescent="0.2">
      <c r="A39" s="11" t="s">
        <v>239</v>
      </c>
      <c r="B39" s="973">
        <v>37437</v>
      </c>
      <c r="C39" s="50">
        <v>39416</v>
      </c>
      <c r="D39" s="136">
        <f>(C39-B39)/30.4167</f>
        <v>65.062942396775455</v>
      </c>
      <c r="E39" s="86">
        <f>'Terminated Managers'!U199</f>
        <v>-89.587223903635589</v>
      </c>
      <c r="F39" s="41">
        <f>'Terminated Managers'!U195</f>
        <v>-18901514.070774186</v>
      </c>
      <c r="G39" s="41"/>
      <c r="H39" s="41">
        <f>'Terminated Managers'!U196</f>
        <v>291132730.14553857</v>
      </c>
      <c r="I39" s="38"/>
      <c r="L39" t="str">
        <f>IF(B39&lt;L$12,"ERR","OK")</f>
        <v>OK</v>
      </c>
      <c r="M39" t="str">
        <f>IF(D39&lt;12,"ERR","OK")</f>
        <v>OK</v>
      </c>
    </row>
    <row r="40" spans="1:13" x14ac:dyDescent="0.2">
      <c r="A40" s="11" t="s">
        <v>96</v>
      </c>
      <c r="B40" s="973">
        <v>37437</v>
      </c>
      <c r="C40" s="220">
        <v>38564</v>
      </c>
      <c r="D40" s="136">
        <f>(C40-B40)/30.4167</f>
        <v>37.052014189573491</v>
      </c>
      <c r="E40" s="238">
        <f>'Terminated Managers'!W199</f>
        <v>-381.19272120539893</v>
      </c>
      <c r="F40" s="41">
        <f>'Terminated Managers'!W195</f>
        <v>-4921411.7639168901</v>
      </c>
      <c r="G40" s="41"/>
      <c r="H40" s="41">
        <f>'Terminated Managers'!W196</f>
        <v>69974384.873783797</v>
      </c>
      <c r="I40" s="38"/>
      <c r="L40" t="str">
        <f t="shared" si="4"/>
        <v>OK</v>
      </c>
      <c r="M40" t="str">
        <f>IF(D40&lt;12,"ERR","OK")</f>
        <v>OK</v>
      </c>
    </row>
    <row r="41" spans="1:13" x14ac:dyDescent="0.2">
      <c r="A41" s="11" t="s">
        <v>15</v>
      </c>
      <c r="B41" s="973">
        <v>37437</v>
      </c>
      <c r="C41" s="220">
        <v>38564</v>
      </c>
      <c r="D41" s="136">
        <f>(C41-B41)/30.4167</f>
        <v>37.052014189573491</v>
      </c>
      <c r="E41" s="238">
        <f>'Terminated Managers'!Y199</f>
        <v>-207.42966668281238</v>
      </c>
      <c r="F41" s="41">
        <f>'Terminated Managers'!Y195</f>
        <v>-2805662.614954209</v>
      </c>
      <c r="G41" s="41"/>
      <c r="H41" s="41">
        <f>'Terminated Managers'!Y196</f>
        <v>74376454.095135123</v>
      </c>
      <c r="I41" s="38"/>
      <c r="L41" t="str">
        <f t="shared" si="4"/>
        <v>OK</v>
      </c>
      <c r="M41" t="str">
        <f>IF(D41&lt;12,"ERR","OK")</f>
        <v>OK</v>
      </c>
    </row>
    <row r="42" spans="1:13" x14ac:dyDescent="0.2">
      <c r="A42" s="11" t="s">
        <v>84</v>
      </c>
      <c r="B42" s="973">
        <v>36311</v>
      </c>
      <c r="C42" s="50">
        <v>37407</v>
      </c>
      <c r="D42" s="136">
        <f>(C42-B42)/30.4167</f>
        <v>36.032837224287974</v>
      </c>
      <c r="E42" s="86">
        <f>'Terminated Managers'!S199</f>
        <v>-301.1386527590675</v>
      </c>
      <c r="F42" s="41">
        <f>'Terminated Managers'!S195</f>
        <v>-20167369.975767769</v>
      </c>
      <c r="G42" s="41"/>
      <c r="H42" s="41">
        <f>'Terminated Managers'!S196</f>
        <v>235062869.23333335</v>
      </c>
      <c r="I42" s="38"/>
      <c r="L42" t="str">
        <f t="shared" si="4"/>
        <v>OK</v>
      </c>
      <c r="M42" t="str">
        <f>IF(D42&lt;12,"ERR","OK")</f>
        <v>OK</v>
      </c>
    </row>
    <row r="43" spans="1:13" x14ac:dyDescent="0.2">
      <c r="A43" s="11" t="s">
        <v>97</v>
      </c>
      <c r="B43" s="973">
        <v>36311</v>
      </c>
      <c r="C43" s="50">
        <v>36860</v>
      </c>
      <c r="D43" s="136">
        <f>(C43-B43)/30.4167</f>
        <v>18.04929528844352</v>
      </c>
      <c r="E43" s="86">
        <f>'Terminated Managers'!Q199</f>
        <v>931.82539843442487</v>
      </c>
      <c r="F43" s="41">
        <f>'Terminated Managers'!Q195</f>
        <v>48535262.836772107</v>
      </c>
      <c r="G43" s="41"/>
      <c r="H43" s="41">
        <f>'Terminated Managers'!Q196</f>
        <v>322225062.31055558</v>
      </c>
      <c r="I43" s="38"/>
      <c r="L43" t="str">
        <f t="shared" si="4"/>
        <v>OK</v>
      </c>
      <c r="M43" t="str">
        <f>IF(D43&lt;12,"ERR","OK")</f>
        <v>OK</v>
      </c>
    </row>
    <row r="44" spans="1:13" x14ac:dyDescent="0.2">
      <c r="A44" s="11"/>
      <c r="B44" s="973"/>
      <c r="C44" s="50"/>
      <c r="D44" s="136"/>
      <c r="E44" s="86"/>
      <c r="F44" s="41"/>
      <c r="G44" s="41"/>
      <c r="H44" s="41"/>
      <c r="I44" s="38"/>
    </row>
    <row r="45" spans="1:13" x14ac:dyDescent="0.2">
      <c r="A45" s="11"/>
      <c r="B45" s="973"/>
      <c r="C45" s="50"/>
      <c r="D45" s="944" t="s">
        <v>366</v>
      </c>
      <c r="E45" s="42"/>
      <c r="F45" s="43" t="e">
        <f>SUM(F33+F35+F37+SUM(F39:F43))</f>
        <v>#REF!</v>
      </c>
      <c r="G45" s="38"/>
      <c r="H45" s="47"/>
      <c r="I45" s="48"/>
      <c r="J45" s="48"/>
    </row>
    <row r="46" spans="1:13" x14ac:dyDescent="0.2">
      <c r="A46" s="11"/>
      <c r="B46" s="973"/>
      <c r="C46" s="50"/>
      <c r="D46" s="944" t="s">
        <v>379</v>
      </c>
      <c r="E46" s="42"/>
      <c r="F46" s="43">
        <f>F36+F38</f>
        <v>6887394.0460989773</v>
      </c>
      <c r="G46" s="38"/>
      <c r="H46" s="47"/>
      <c r="I46" s="48"/>
      <c r="J46" s="48"/>
    </row>
    <row r="47" spans="1:13" x14ac:dyDescent="0.2">
      <c r="A47" s="11"/>
      <c r="B47" s="973"/>
      <c r="C47" s="50"/>
      <c r="D47" s="944" t="s">
        <v>367</v>
      </c>
      <c r="E47" s="42"/>
      <c r="F47" s="43">
        <f>F34</f>
        <v>2676753.1317452434</v>
      </c>
      <c r="G47" s="38"/>
      <c r="H47" s="1032"/>
      <c r="I47" s="1033"/>
      <c r="J47" s="1033"/>
    </row>
    <row r="48" spans="1:13" x14ac:dyDescent="0.2">
      <c r="A48" s="38"/>
      <c r="B48" s="972"/>
      <c r="C48" s="49"/>
      <c r="D48" s="1013" t="s">
        <v>371</v>
      </c>
      <c r="E48" s="1014"/>
      <c r="F48" s="1015" t="e">
        <f>SUM(F33:F43)</f>
        <v>#REF!</v>
      </c>
      <c r="G48" s="1016"/>
      <c r="H48" s="1034">
        <f>AVERAGE(MCE!C327:C394)</f>
        <v>1332900311.9852939</v>
      </c>
      <c r="I48" s="1035" t="e">
        <f>F48/H48</f>
        <v>#REF!</v>
      </c>
      <c r="J48" s="1035" t="e">
        <f>(1+I48)^(1/10)-1</f>
        <v>#REF!</v>
      </c>
      <c r="K48" s="116"/>
    </row>
    <row r="49" spans="1:13" x14ac:dyDescent="0.2">
      <c r="A49" s="38"/>
      <c r="B49" s="972"/>
      <c r="C49" s="49"/>
      <c r="D49" s="120"/>
      <c r="E49" s="38"/>
      <c r="F49" s="40"/>
      <c r="G49" s="38"/>
      <c r="H49" s="38"/>
      <c r="I49" s="38"/>
    </row>
    <row r="50" spans="1:13" x14ac:dyDescent="0.2">
      <c r="A50" s="946" t="s">
        <v>98</v>
      </c>
      <c r="B50" s="972"/>
      <c r="C50" s="49"/>
      <c r="D50" s="120"/>
      <c r="E50" s="38"/>
      <c r="F50" s="38"/>
      <c r="G50" s="38"/>
      <c r="H50" s="38"/>
      <c r="I50" s="38"/>
    </row>
    <row r="51" spans="1:13" x14ac:dyDescent="0.2">
      <c r="A51" s="527" t="s">
        <v>352</v>
      </c>
      <c r="B51" s="972">
        <v>39447</v>
      </c>
      <c r="C51" s="988" t="s">
        <v>34</v>
      </c>
      <c r="D51" s="119">
        <f t="shared" ref="D51:D56" si="5">(C$3-B51)/30.4167</f>
        <v>80.054706789362427</v>
      </c>
      <c r="E51" s="1036">
        <f>'Return Summary'!AC47</f>
        <v>10.44430868089492</v>
      </c>
      <c r="F51" s="1037">
        <f>SUMPRODUCT(Champlain!E393:E394,Champlain!C393:C394)/100</f>
        <v>-962114.90592599963</v>
      </c>
      <c r="G51" s="38"/>
      <c r="H51" s="40">
        <f>AVERAGE(Champlain!C393:C394)</f>
        <v>114349134.5</v>
      </c>
      <c r="I51" s="38"/>
      <c r="L51" t="str">
        <f>IF(B51&lt;L$12,"ERR","OK")</f>
        <v>OK</v>
      </c>
    </row>
    <row r="52" spans="1:13" x14ac:dyDescent="0.2">
      <c r="A52" s="527" t="s">
        <v>353</v>
      </c>
      <c r="B52" s="972">
        <v>39447</v>
      </c>
      <c r="C52" s="988" t="s">
        <v>34</v>
      </c>
      <c r="D52" s="119">
        <f t="shared" si="5"/>
        <v>80.054706789362427</v>
      </c>
      <c r="E52" s="1036" t="e">
        <f>'Return Summary'!#REF!</f>
        <v>#REF!</v>
      </c>
      <c r="F52" s="1037">
        <f>SUMPRODUCT(Iron!E393:E394,Iron!C393:C394)/100</f>
        <v>-92592.88039699971</v>
      </c>
      <c r="G52" s="38"/>
      <c r="H52" s="40">
        <f>AVERAGE(Iron!C393:C394)</f>
        <v>146893844.5</v>
      </c>
      <c r="I52" s="38"/>
      <c r="L52" t="str">
        <f>IF(B52&lt;L$12,"ERR","OK")</f>
        <v>OK</v>
      </c>
    </row>
    <row r="53" spans="1:13" x14ac:dyDescent="0.2">
      <c r="A53" s="527" t="s">
        <v>372</v>
      </c>
      <c r="B53" s="972">
        <v>39114</v>
      </c>
      <c r="C53" s="988" t="s">
        <v>34</v>
      </c>
      <c r="D53" s="119">
        <f t="shared" si="5"/>
        <v>91.002639997106854</v>
      </c>
      <c r="E53" s="1036">
        <f>'Return Summary'!AC46</f>
        <v>36.582180453215152</v>
      </c>
      <c r="F53" s="1038">
        <f>SUMPRODUCT('E6'!E382:E394,'E6'!C382:C394)/100</f>
        <v>1842945.0222998005</v>
      </c>
      <c r="G53" s="38"/>
      <c r="H53" s="39">
        <f>AVERAGE('E6'!C382:C394)</f>
        <v>827859208.63999999</v>
      </c>
      <c r="I53" s="38"/>
      <c r="L53" t="str">
        <f>IF(B53&lt;L$12,"ERR","OK")</f>
        <v>OK</v>
      </c>
    </row>
    <row r="54" spans="1:13" x14ac:dyDescent="0.2">
      <c r="A54" s="38" t="s">
        <v>23</v>
      </c>
      <c r="B54" s="972">
        <v>36038</v>
      </c>
      <c r="C54" s="987" t="s">
        <v>34</v>
      </c>
      <c r="D54" s="119">
        <f t="shared" si="5"/>
        <v>192.13129629446982</v>
      </c>
      <c r="E54" s="1039">
        <f>'Return Summary'!AC53</f>
        <v>131.92053523187076</v>
      </c>
      <c r="F54" s="1036">
        <f>SUMPRODUCT(DFA!C281:C394,DFA!E281:E394)/100</f>
        <v>64689882.821608096</v>
      </c>
      <c r="G54" s="40"/>
      <c r="H54" s="40">
        <f>AVERAGE(DFA!C281:C394)</f>
        <v>331263008.10447359</v>
      </c>
      <c r="I54" s="38"/>
      <c r="L54" t="str">
        <f t="shared" ref="L54:L60" si="6">IF(B54&lt;L$12,"ERR","OK")</f>
        <v>OK</v>
      </c>
    </row>
    <row r="55" spans="1:13" x14ac:dyDescent="0.2">
      <c r="A55" s="38" t="s">
        <v>152</v>
      </c>
      <c r="B55" s="972">
        <v>38442</v>
      </c>
      <c r="C55" s="987" t="s">
        <v>34</v>
      </c>
      <c r="D55" s="119">
        <f t="shared" si="5"/>
        <v>113.09576647039292</v>
      </c>
      <c r="E55" s="1039">
        <f>'Return Summary'!AC50</f>
        <v>264.38911806870635</v>
      </c>
      <c r="F55" s="1036">
        <f>SUMPRODUCT(TS!C360:C394,TS!E360:E394)/100</f>
        <v>40911482.974522561</v>
      </c>
      <c r="G55" s="40"/>
      <c r="H55" s="40">
        <f>AVERAGE(TS!C360:C394)</f>
        <v>250056898.46714288</v>
      </c>
      <c r="I55" s="38"/>
      <c r="L55" t="str">
        <f t="shared" si="6"/>
        <v>OK</v>
      </c>
    </row>
    <row r="56" spans="1:13" x14ac:dyDescent="0.2">
      <c r="A56" s="945" t="s">
        <v>350</v>
      </c>
      <c r="B56" s="972">
        <v>39447</v>
      </c>
      <c r="C56" s="988" t="s">
        <v>34</v>
      </c>
      <c r="D56" s="119">
        <f t="shared" si="5"/>
        <v>80.054706789362427</v>
      </c>
      <c r="E56" s="1039" t="e">
        <f>'Return Summary'!#REF!</f>
        <v>#REF!</v>
      </c>
      <c r="F56" s="1036">
        <f>SUMPRODUCT(Copper!E393:E394,Copper!C393:C394)/100</f>
        <v>-8026414.3807777576</v>
      </c>
      <c r="G56" s="40"/>
      <c r="H56" s="40">
        <f>AVERAGE(Copper!C393:C394)</f>
        <v>85462223.455000013</v>
      </c>
      <c r="I56" s="38"/>
      <c r="L56" t="str">
        <f t="shared" si="6"/>
        <v>OK</v>
      </c>
    </row>
    <row r="57" spans="1:13" x14ac:dyDescent="0.2">
      <c r="A57" s="11" t="s">
        <v>147</v>
      </c>
      <c r="B57" s="973">
        <v>38352</v>
      </c>
      <c r="C57" s="220">
        <v>39113</v>
      </c>
      <c r="D57" s="336">
        <f>(C57-B57)/30.4167</f>
        <v>25.01915066394448</v>
      </c>
      <c r="E57" s="238">
        <f>'Terminated Managers'!AI199</f>
        <v>-316.30717123946931</v>
      </c>
      <c r="F57" s="41">
        <f>'Terminated Managers'!AI195</f>
        <v>-7854860.3081171894</v>
      </c>
      <c r="G57" s="41"/>
      <c r="H57" s="41">
        <f>'Terminated Managers'!AI196</f>
        <v>131199903.63920002</v>
      </c>
      <c r="I57" s="38"/>
      <c r="L57" t="str">
        <f t="shared" si="6"/>
        <v>OK</v>
      </c>
      <c r="M57" t="str">
        <f>IF(D57&lt;12,"ERR","OK")</f>
        <v>OK</v>
      </c>
    </row>
    <row r="58" spans="1:13" x14ac:dyDescent="0.2">
      <c r="A58" s="11" t="s">
        <v>20</v>
      </c>
      <c r="B58" s="973">
        <v>36038</v>
      </c>
      <c r="C58" s="220">
        <v>38748</v>
      </c>
      <c r="D58" s="336">
        <f>(C$3-B58)/30.4167</f>
        <v>192.13129629446982</v>
      </c>
      <c r="E58" s="238">
        <f>'Terminated Managers'!AG199</f>
        <v>507.06685739585265</v>
      </c>
      <c r="F58" s="41">
        <f>'Terminated Managers'!AG195</f>
        <v>38606907.28037186</v>
      </c>
      <c r="G58" s="41"/>
      <c r="H58" s="41">
        <f>'Terminated Managers'!AG196</f>
        <v>150007732.73292133</v>
      </c>
      <c r="I58" s="38"/>
      <c r="L58" t="str">
        <f t="shared" si="6"/>
        <v>OK</v>
      </c>
      <c r="M58" t="str">
        <f>IF(D58&lt;12,"ERR","OK")</f>
        <v>OK</v>
      </c>
    </row>
    <row r="59" spans="1:13" x14ac:dyDescent="0.2">
      <c r="A59" s="11" t="s">
        <v>21</v>
      </c>
      <c r="B59" s="973">
        <v>37256</v>
      </c>
      <c r="C59" s="50">
        <v>38168</v>
      </c>
      <c r="D59" s="136">
        <f>(C59-B59)/30.4167</f>
        <v>29.983528785173934</v>
      </c>
      <c r="E59" s="86">
        <f>'Terminated Managers'!AK199</f>
        <v>102.92302481341275</v>
      </c>
      <c r="F59" s="41">
        <f>'Terminated Managers'!AK195</f>
        <v>-2318076.2678768346</v>
      </c>
      <c r="G59" s="41"/>
      <c r="H59" s="41">
        <f>'Terminated Managers'!AK196</f>
        <v>189395933.97999996</v>
      </c>
      <c r="I59" s="38"/>
      <c r="L59" t="str">
        <f t="shared" si="6"/>
        <v>OK</v>
      </c>
      <c r="M59" t="str">
        <f>IF(D59&lt;12,"ERR","OK")</f>
        <v>OK</v>
      </c>
    </row>
    <row r="60" spans="1:13" x14ac:dyDescent="0.2">
      <c r="A60" s="11" t="s">
        <v>99</v>
      </c>
      <c r="B60" s="973">
        <v>36007</v>
      </c>
      <c r="C60" s="50">
        <v>37225</v>
      </c>
      <c r="D60" s="136">
        <f>(C60-B60)/30.4167</f>
        <v>40.043791732830982</v>
      </c>
      <c r="E60" s="86">
        <f>'Terminated Managers'!AC199</f>
        <v>-264.54934366250791</v>
      </c>
      <c r="F60" s="41">
        <f>'Terminated Managers'!AC195</f>
        <v>-3374415.5389495315</v>
      </c>
      <c r="G60" s="41"/>
      <c r="H60" s="41">
        <f>'Terminated Managers'!AC196</f>
        <v>183902724.68250003</v>
      </c>
      <c r="I60" s="38"/>
      <c r="L60" t="str">
        <f t="shared" si="6"/>
        <v>OK</v>
      </c>
      <c r="M60" t="str">
        <f>IF(D60&lt;12,"ERR","OK")</f>
        <v>OK</v>
      </c>
    </row>
    <row r="61" spans="1:13" x14ac:dyDescent="0.2">
      <c r="A61" s="11"/>
      <c r="B61" s="973"/>
      <c r="C61" s="50"/>
      <c r="D61" s="136"/>
      <c r="E61" s="86"/>
      <c r="F61" s="41"/>
      <c r="G61" s="41"/>
      <c r="H61" s="41"/>
      <c r="I61" s="38"/>
    </row>
    <row r="62" spans="1:13" x14ac:dyDescent="0.2">
      <c r="A62" s="11"/>
      <c r="B62" s="973"/>
      <c r="C62" s="50"/>
      <c r="D62" s="944" t="s">
        <v>366</v>
      </c>
      <c r="E62" s="42"/>
      <c r="F62" s="43">
        <f>+F51+F52+F54+F55+F57+F58+F59+F60+F56</f>
        <v>121579798.79445821</v>
      </c>
      <c r="G62" s="38"/>
      <c r="H62" s="47"/>
      <c r="I62" s="48"/>
      <c r="J62" s="48"/>
    </row>
    <row r="63" spans="1:13" x14ac:dyDescent="0.2">
      <c r="A63" s="11"/>
      <c r="B63" s="973"/>
      <c r="C63" s="50"/>
      <c r="D63" s="944" t="s">
        <v>379</v>
      </c>
      <c r="E63" s="42"/>
      <c r="F63" s="43">
        <f>F53</f>
        <v>1842945.0222998005</v>
      </c>
      <c r="G63" s="38"/>
      <c r="H63" s="1032"/>
      <c r="I63" s="1033"/>
      <c r="J63" s="1033"/>
    </row>
    <row r="64" spans="1:13" x14ac:dyDescent="0.2">
      <c r="A64" s="38"/>
      <c r="B64" s="972"/>
      <c r="C64" s="49"/>
      <c r="D64" s="1013" t="s">
        <v>373</v>
      </c>
      <c r="E64" s="1014"/>
      <c r="F64" s="1015">
        <f>SUM(F51:F60)</f>
        <v>123422743.81675799</v>
      </c>
      <c r="G64" s="1016"/>
      <c r="H64" s="1034">
        <f>AVERAGE(SCE!C327:C394)</f>
        <v>1380288384.5657349</v>
      </c>
      <c r="I64" s="1035">
        <f>F64/H64</f>
        <v>8.9418084797974404E-2</v>
      </c>
      <c r="J64" s="1035">
        <f>(1+I64)^(1/10)-1</f>
        <v>8.601147779438767E-3</v>
      </c>
      <c r="K64" s="116"/>
    </row>
    <row r="65" spans="1:13" x14ac:dyDescent="0.2">
      <c r="A65" s="38"/>
      <c r="B65" s="972"/>
      <c r="C65" s="49"/>
      <c r="D65" s="120"/>
      <c r="E65" s="46"/>
      <c r="F65" s="47"/>
      <c r="G65" s="38"/>
      <c r="H65" s="47"/>
      <c r="I65" s="48"/>
    </row>
    <row r="66" spans="1:13" x14ac:dyDescent="0.2">
      <c r="A66" s="38"/>
      <c r="B66" s="972"/>
      <c r="C66" s="49"/>
      <c r="D66" s="120"/>
      <c r="E66" s="38"/>
      <c r="F66" s="38"/>
      <c r="G66" s="38"/>
      <c r="H66" s="38"/>
      <c r="I66" s="38"/>
    </row>
    <row r="67" spans="1:13" ht="13.5" thickBot="1" x14ac:dyDescent="0.25">
      <c r="A67" s="44" t="s">
        <v>100</v>
      </c>
      <c r="B67" s="975"/>
      <c r="C67" s="989"/>
      <c r="D67" s="121"/>
      <c r="E67" s="45"/>
      <c r="F67" s="45"/>
      <c r="G67" s="45"/>
      <c r="H67" s="45"/>
      <c r="I67" s="45"/>
      <c r="J67" s="45"/>
    </row>
    <row r="68" spans="1:13" x14ac:dyDescent="0.2">
      <c r="A68" s="38"/>
      <c r="B68" s="972"/>
      <c r="C68" s="49"/>
      <c r="D68" s="120"/>
      <c r="E68" s="38"/>
      <c r="F68" s="38"/>
      <c r="G68" s="38"/>
      <c r="H68" s="38"/>
      <c r="I68" s="38"/>
    </row>
    <row r="69" spans="1:13" x14ac:dyDescent="0.2">
      <c r="A69" s="38" t="s">
        <v>1</v>
      </c>
      <c r="B69" s="972">
        <v>36068</v>
      </c>
      <c r="C69" s="987" t="s">
        <v>34</v>
      </c>
      <c r="D69" s="119">
        <f t="shared" ref="D69:D74" si="7">(C$3-B69)/30.4167</f>
        <v>191.14499600548385</v>
      </c>
      <c r="E69" s="117">
        <f>'Return Summary'!AC62</f>
        <v>298.53525127769399</v>
      </c>
      <c r="F69" s="40">
        <f>SUMPRODUCT(Brandes!C282:C394,Brandes!E282:E394)/100</f>
        <v>256393955.01217061</v>
      </c>
      <c r="G69" s="38"/>
      <c r="H69" s="40">
        <f>AVERAGE(Brandes!C282:C394)</f>
        <v>1028445750.3012388</v>
      </c>
      <c r="I69" s="38"/>
      <c r="L69" t="str">
        <f t="shared" ref="L69:L78" si="8">IF(B69&lt;L$12,"ERR","OK")</f>
        <v>OK</v>
      </c>
    </row>
    <row r="70" spans="1:13" x14ac:dyDescent="0.2">
      <c r="A70" s="38" t="s">
        <v>176</v>
      </c>
      <c r="B70" s="972">
        <v>38564</v>
      </c>
      <c r="C70" s="987" t="s">
        <v>34</v>
      </c>
      <c r="D70" s="119">
        <f t="shared" si="7"/>
        <v>109.08481196184991</v>
      </c>
      <c r="E70" s="117" t="e">
        <f>'Return Summary'!#REF!</f>
        <v>#REF!</v>
      </c>
      <c r="F70" s="40">
        <f>SUMPRODUCT(MFS!C364:C394,MFS!E364:E394)/100</f>
        <v>-55788399.525288165</v>
      </c>
      <c r="G70" s="38"/>
      <c r="H70" s="40">
        <f>AVERAGE(MFS!C364:C394)</f>
        <v>806356800.13741934</v>
      </c>
      <c r="I70" s="38"/>
      <c r="L70" t="str">
        <f t="shared" si="8"/>
        <v>OK</v>
      </c>
    </row>
    <row r="71" spans="1:13" x14ac:dyDescent="0.2">
      <c r="A71" s="38" t="s">
        <v>194</v>
      </c>
      <c r="B71" s="972">
        <v>38564</v>
      </c>
      <c r="C71" s="987" t="s">
        <v>34</v>
      </c>
      <c r="D71" s="119">
        <f t="shared" si="7"/>
        <v>109.08481196184991</v>
      </c>
      <c r="E71" s="117" t="e">
        <f>'Return Summary'!#REF!</f>
        <v>#REF!</v>
      </c>
      <c r="F71" s="40">
        <f>SUMPRODUCT(HGI!C364:C394,HGI!E364:E394)/100</f>
        <v>11887276.081591604</v>
      </c>
      <c r="G71" s="38"/>
      <c r="H71" s="40">
        <f>AVERAGE(HGI!C364:C394)</f>
        <v>659912553.90322578</v>
      </c>
      <c r="I71" s="38"/>
      <c r="L71" t="str">
        <f t="shared" si="8"/>
        <v>OK</v>
      </c>
    </row>
    <row r="72" spans="1:13" x14ac:dyDescent="0.2">
      <c r="A72" s="945" t="s">
        <v>383</v>
      </c>
      <c r="B72" s="972" t="e">
        <f>'Return Summary'!#REF!</f>
        <v>#REF!</v>
      </c>
      <c r="C72" s="987" t="s">
        <v>34</v>
      </c>
      <c r="D72" s="119" t="e">
        <f t="shared" si="7"/>
        <v>#REF!</v>
      </c>
      <c r="E72" s="117" t="e">
        <f>'Return Summary'!#REF!</f>
        <v>#REF!</v>
      </c>
      <c r="F72" s="40">
        <f>SUMPRODUCT(BR_ACWI!C366:C394,BR_ACWI!E366:E394)/100</f>
        <v>-14723156.975423686</v>
      </c>
      <c r="G72" s="38"/>
      <c r="H72" s="40">
        <f>AVERAGE(BR_ACWI!C366:C394)</f>
        <v>741153391.45620692</v>
      </c>
      <c r="I72" s="38"/>
      <c r="L72" t="e">
        <f t="shared" si="8"/>
        <v>#REF!</v>
      </c>
    </row>
    <row r="73" spans="1:13" x14ac:dyDescent="0.2">
      <c r="A73" s="38" t="s">
        <v>196</v>
      </c>
      <c r="B73" s="972">
        <v>38595</v>
      </c>
      <c r="C73" s="987" t="s">
        <v>34</v>
      </c>
      <c r="D73" s="119">
        <f t="shared" si="7"/>
        <v>108.0656349965644</v>
      </c>
      <c r="E73" s="117">
        <f>'Return Summary'!AC73</f>
        <v>-23.953407740511068</v>
      </c>
      <c r="F73" s="40">
        <f>SUMPRODUCT(AXA!C365:C394,AXA!E365:E394)/100</f>
        <v>-19487366.625277691</v>
      </c>
      <c r="G73" s="38"/>
      <c r="H73" s="40">
        <f>AVERAGE(AXA!C365:C394)</f>
        <v>305940185.31666666</v>
      </c>
      <c r="I73" s="38"/>
      <c r="L73" t="str">
        <f t="shared" si="8"/>
        <v>OK</v>
      </c>
    </row>
    <row r="74" spans="1:13" x14ac:dyDescent="0.2">
      <c r="A74" s="38" t="s">
        <v>195</v>
      </c>
      <c r="B74" s="976">
        <v>38595</v>
      </c>
      <c r="C74" s="987" t="s">
        <v>34</v>
      </c>
      <c r="D74" s="119">
        <f t="shared" si="7"/>
        <v>108.0656349965644</v>
      </c>
      <c r="E74" s="117">
        <f>'Return Summary'!AC74</f>
        <v>18.534107761483121</v>
      </c>
      <c r="F74" s="40">
        <f>SUMPRODUCT(DFA_INTL!C365:C394,DFA_INTL!E365:E394)/100</f>
        <v>11965232.601558767</v>
      </c>
      <c r="G74" s="38"/>
      <c r="H74" s="40">
        <f>AVERAGE(DFA_INTL!C365:C394)</f>
        <v>162876071.71766666</v>
      </c>
      <c r="I74" s="38"/>
      <c r="L74" t="str">
        <f t="shared" si="8"/>
        <v>OK</v>
      </c>
    </row>
    <row r="75" spans="1:13" x14ac:dyDescent="0.2">
      <c r="A75" s="11" t="s">
        <v>102</v>
      </c>
      <c r="B75" s="973">
        <f>L12</f>
        <v>35854</v>
      </c>
      <c r="C75" s="50">
        <v>38837</v>
      </c>
      <c r="D75" s="136">
        <f>(C75-B75)/30.4167</f>
        <v>98.071125401506407</v>
      </c>
      <c r="E75" s="118">
        <f>'Terminated Managers'!AO199</f>
        <v>91.950908846711869</v>
      </c>
      <c r="F75" s="41">
        <f>'Terminated Managers'!AO195</f>
        <v>75411762.59952186</v>
      </c>
      <c r="G75" s="11"/>
      <c r="H75" s="41">
        <f>'Terminated Managers'!AO196</f>
        <v>971201163.90295482</v>
      </c>
      <c r="I75" s="38"/>
      <c r="L75" t="str">
        <f t="shared" si="8"/>
        <v>OK</v>
      </c>
      <c r="M75" t="str">
        <f>IF(D75&lt;12,"ERR","OK")</f>
        <v>OK</v>
      </c>
    </row>
    <row r="76" spans="1:13" x14ac:dyDescent="0.2">
      <c r="A76" s="11" t="s">
        <v>0</v>
      </c>
      <c r="B76" s="973">
        <v>36068</v>
      </c>
      <c r="C76" s="50">
        <v>38321</v>
      </c>
      <c r="D76" s="136">
        <f>(C76-B76)/30.4167</f>
        <v>74.071151702847459</v>
      </c>
      <c r="E76" s="118">
        <f>'Terminated Managers'!AS199</f>
        <v>2.309783306282398</v>
      </c>
      <c r="F76" s="41">
        <f>'Terminated Managers'!AS195</f>
        <v>22267175.731474504</v>
      </c>
      <c r="G76" s="11"/>
      <c r="H76" s="41">
        <f>'Terminated Managers'!AS196</f>
        <v>553787454.91040564</v>
      </c>
      <c r="I76" s="11"/>
      <c r="L76" t="str">
        <f t="shared" si="8"/>
        <v>OK</v>
      </c>
      <c r="M76" t="str">
        <f>IF(D76&lt;12,"ERR","OK")</f>
        <v>OK</v>
      </c>
    </row>
    <row r="77" spans="1:13" x14ac:dyDescent="0.2">
      <c r="A77" s="133" t="s">
        <v>101</v>
      </c>
      <c r="B77" s="973">
        <f>L12</f>
        <v>35854</v>
      </c>
      <c r="C77" s="134">
        <v>38321</v>
      </c>
      <c r="D77" s="136">
        <f>(C77-B77)/30.4167</f>
        <v>81.106760430947475</v>
      </c>
      <c r="E77" s="153">
        <f>'Terminated Managers'!AQ199</f>
        <v>424.07411039951273</v>
      </c>
      <c r="F77" s="138">
        <f>'Terminated Managers'!AQ195</f>
        <v>199970859.7030724</v>
      </c>
      <c r="G77" s="133"/>
      <c r="H77" s="138">
        <f>'Terminated Managers'!AQ196</f>
        <v>662834191.56925917</v>
      </c>
      <c r="I77" s="11"/>
      <c r="L77" t="str">
        <f t="shared" si="8"/>
        <v>OK</v>
      </c>
      <c r="M77" t="str">
        <f>IF(D77&lt;12,"ERR","OK")</f>
        <v>OK</v>
      </c>
    </row>
    <row r="78" spans="1:13" x14ac:dyDescent="0.2">
      <c r="A78" s="133" t="s">
        <v>148</v>
      </c>
      <c r="B78" s="973">
        <f>L12</f>
        <v>35854</v>
      </c>
      <c r="C78" s="135">
        <v>36068</v>
      </c>
      <c r="D78" s="136">
        <f>(C78-B78)/30.4167</f>
        <v>7.0356087281000246</v>
      </c>
      <c r="E78" s="139">
        <f>'Terminated Managers'!AM199</f>
        <v>-133.74083446717754</v>
      </c>
      <c r="F78" s="138">
        <f>'Terminated Managers'!AM195</f>
        <v>-1604133.9730475266</v>
      </c>
      <c r="G78" s="138"/>
      <c r="H78" s="138">
        <f>'Terminated Managers'!AM196</f>
        <v>118839867.93857144</v>
      </c>
      <c r="I78" s="11"/>
      <c r="L78" t="str">
        <f t="shared" si="8"/>
        <v>OK</v>
      </c>
      <c r="M78" t="str">
        <f>IF(D78&lt;12,"ERR","OK")</f>
        <v>ERR</v>
      </c>
    </row>
    <row r="79" spans="1:13" x14ac:dyDescent="0.2">
      <c r="A79" s="133"/>
      <c r="B79" s="977"/>
      <c r="C79" s="135"/>
      <c r="D79" s="136"/>
      <c r="E79" s="139"/>
      <c r="F79" s="138"/>
      <c r="G79" s="138"/>
      <c r="H79" s="138"/>
      <c r="I79" s="11"/>
    </row>
    <row r="80" spans="1:13" x14ac:dyDescent="0.2">
      <c r="A80" s="38"/>
      <c r="B80" s="972"/>
      <c r="C80" s="49"/>
      <c r="D80" s="944" t="s">
        <v>366</v>
      </c>
      <c r="E80" s="944"/>
      <c r="F80" s="43">
        <f>SUM(F69:F71,F73:F78)</f>
        <v>501016361.60577637</v>
      </c>
      <c r="G80" s="38"/>
      <c r="H80" s="47"/>
      <c r="I80" s="48"/>
      <c r="J80" s="48"/>
      <c r="K80" s="116"/>
    </row>
    <row r="81" spans="1:13" x14ac:dyDescent="0.2">
      <c r="A81" s="38"/>
      <c r="B81" s="972"/>
      <c r="C81" s="49"/>
      <c r="D81" s="944" t="s">
        <v>367</v>
      </c>
      <c r="E81" s="944"/>
      <c r="F81" s="43">
        <f>F72</f>
        <v>-14723156.975423686</v>
      </c>
      <c r="G81" s="38"/>
      <c r="H81" s="1032"/>
      <c r="I81" s="1033"/>
      <c r="J81" s="1033"/>
      <c r="K81" s="116"/>
    </row>
    <row r="82" spans="1:13" x14ac:dyDescent="0.2">
      <c r="A82" s="38"/>
      <c r="B82" s="972"/>
      <c r="C82" s="49"/>
      <c r="D82" s="1013" t="s">
        <v>374</v>
      </c>
      <c r="E82" s="1013"/>
      <c r="F82" s="1015">
        <f>SUM(F69:F78)</f>
        <v>486293204.63035268</v>
      </c>
      <c r="G82" s="1016"/>
      <c r="H82" s="1034">
        <f>AVERAGE('NonUS Eq'!C324:C394)</f>
        <v>3734088274.5314093</v>
      </c>
      <c r="I82" s="1035">
        <f>F82/H82</f>
        <v>0.13023077358592375</v>
      </c>
      <c r="J82" s="1035">
        <f>(1+I82)^(1/10)-1</f>
        <v>1.2317425888249467E-2</v>
      </c>
    </row>
    <row r="83" spans="1:13" x14ac:dyDescent="0.2">
      <c r="A83" s="38"/>
      <c r="B83" s="972"/>
      <c r="C83" s="49"/>
      <c r="D83" s="120"/>
      <c r="E83" s="38"/>
      <c r="F83" s="38"/>
      <c r="G83" s="38"/>
      <c r="H83" s="38"/>
      <c r="I83" s="38"/>
    </row>
    <row r="84" spans="1:13" ht="13.5" thickBot="1" x14ac:dyDescent="0.25">
      <c r="A84" s="44" t="s">
        <v>103</v>
      </c>
      <c r="B84" s="975"/>
      <c r="C84" s="989"/>
      <c r="D84" s="121"/>
      <c r="E84" s="45"/>
      <c r="F84" s="45"/>
      <c r="G84" s="45"/>
      <c r="H84" s="45"/>
      <c r="I84" s="45"/>
      <c r="J84" s="45"/>
    </row>
    <row r="85" spans="1:13" x14ac:dyDescent="0.2">
      <c r="B85" s="978"/>
      <c r="C85" s="51"/>
      <c r="D85" s="122"/>
    </row>
    <row r="86" spans="1:13" x14ac:dyDescent="0.2">
      <c r="A86" t="s">
        <v>83</v>
      </c>
      <c r="B86" s="978">
        <f>L12</f>
        <v>35854</v>
      </c>
      <c r="C86" s="987" t="s">
        <v>34</v>
      </c>
      <c r="D86" s="119">
        <f t="shared" ref="D86:D91" si="9">(C$3-B86)/30.4167</f>
        <v>198.18060473358386</v>
      </c>
      <c r="E86" s="85" t="e">
        <f>'Return Summary'!#REF!</f>
        <v>#REF!</v>
      </c>
      <c r="F86" s="8">
        <f>SUMPRODUCT(JPM_Fixed!C275:C394,JPM_Fixed!E275:E394)/100</f>
        <v>-3193046.499003558</v>
      </c>
      <c r="G86" s="8"/>
      <c r="H86" s="8">
        <f>AVERAGE(JPM_Fixed!C275:C394)</f>
        <v>577043734.49525011</v>
      </c>
      <c r="L86" t="str">
        <f t="shared" ref="L86:L95" si="10">IF(B86&lt;L$12,"ERR","OK")</f>
        <v>OK</v>
      </c>
    </row>
    <row r="87" spans="1:13" x14ac:dyDescent="0.2">
      <c r="A87" t="s">
        <v>105</v>
      </c>
      <c r="B87" s="978">
        <v>36129</v>
      </c>
      <c r="C87" s="987" t="s">
        <v>34</v>
      </c>
      <c r="D87" s="119">
        <f t="shared" si="9"/>
        <v>189.13951875121234</v>
      </c>
      <c r="E87" s="85" t="e">
        <f>'Return Summary'!#REF!</f>
        <v>#REF!</v>
      </c>
      <c r="F87" s="8">
        <f>SUMPRODUCT(BR_Core_Plus!C284:C394,BR_Core_Plus!E284:E394)/100</f>
        <v>3405674.8453867529</v>
      </c>
      <c r="G87" s="8"/>
      <c r="H87" s="8">
        <f>AVERAGE(BR_Core_Plus!C284:C394)</f>
        <v>823453836.61477506</v>
      </c>
      <c r="L87" t="str">
        <f t="shared" si="10"/>
        <v>OK</v>
      </c>
    </row>
    <row r="88" spans="1:13" x14ac:dyDescent="0.2">
      <c r="A88" t="s">
        <v>343</v>
      </c>
      <c r="B88" s="978">
        <v>37986</v>
      </c>
      <c r="C88" s="987" t="s">
        <v>34</v>
      </c>
      <c r="D88" s="119">
        <f t="shared" si="9"/>
        <v>128.08753086297989</v>
      </c>
      <c r="E88" s="85" t="e">
        <f>'Return Summary'!#REF!</f>
        <v>#REF!</v>
      </c>
      <c r="F88" s="8">
        <f>SUMPRODUCT(Fidelity!C345:C394,Fidelity!E345:E394)/100</f>
        <v>-947580.01604162692</v>
      </c>
      <c r="G88" s="8"/>
      <c r="H88" s="8">
        <f>AVERAGE(Fidelity!C345:C394)</f>
        <v>437750975.00419998</v>
      </c>
      <c r="L88" t="str">
        <f t="shared" si="10"/>
        <v>OK</v>
      </c>
    </row>
    <row r="89" spans="1:13" x14ac:dyDescent="0.2">
      <c r="A89" t="s">
        <v>375</v>
      </c>
      <c r="B89" s="978">
        <v>39416</v>
      </c>
      <c r="C89" s="987" t="s">
        <v>34</v>
      </c>
      <c r="D89" s="119">
        <f t="shared" si="9"/>
        <v>81.073883754647937</v>
      </c>
      <c r="E89" s="85">
        <f>'Return Summary'!AC102</f>
        <v>9.9525994391158612</v>
      </c>
      <c r="F89" s="40">
        <f>SUMPRODUCT(JPM_INT_AGG!E394,JPM_INT_AGG!C394)/100</f>
        <v>-37644.377530480007</v>
      </c>
      <c r="G89" s="40"/>
      <c r="H89" s="40">
        <f>JPM_INT_AGG!C394</f>
        <v>27121309.460000001</v>
      </c>
      <c r="L89" t="str">
        <f t="shared" si="10"/>
        <v>OK</v>
      </c>
    </row>
    <row r="90" spans="1:13" x14ac:dyDescent="0.2">
      <c r="A90" s="12" t="s">
        <v>380</v>
      </c>
      <c r="B90" s="978">
        <v>36799</v>
      </c>
      <c r="C90" s="987" t="s">
        <v>34</v>
      </c>
      <c r="D90" s="119">
        <f t="shared" si="9"/>
        <v>167.11214563052533</v>
      </c>
      <c r="E90" s="85">
        <f>'Return Summary'!AC95</f>
        <v>15.054696961811498</v>
      </c>
      <c r="F90" s="8">
        <f>SUMPRODUCT(ASRS_F2!C306:C394,ASRS_F2!E306:E394)/100</f>
        <v>108425.71589060142</v>
      </c>
      <c r="G90" s="8"/>
      <c r="H90" s="8">
        <f>AVERAGE(ASRS_F2!C306:C394)</f>
        <v>1987162038.9061801</v>
      </c>
      <c r="L90" t="str">
        <f t="shared" si="10"/>
        <v>OK</v>
      </c>
    </row>
    <row r="91" spans="1:13" x14ac:dyDescent="0.2">
      <c r="A91" s="12" t="s">
        <v>382</v>
      </c>
      <c r="B91" s="978" t="e">
        <f>'Return Summary'!#REF!</f>
        <v>#REF!</v>
      </c>
      <c r="C91" s="987" t="s">
        <v>34</v>
      </c>
      <c r="D91" s="119" t="e">
        <f t="shared" si="9"/>
        <v>#REF!</v>
      </c>
      <c r="E91" s="85" t="e">
        <f>'Return Summary'!#REF!</f>
        <v>#REF!</v>
      </c>
      <c r="F91" s="8">
        <f>SUMPRODUCT(BR_Enh!C354:C394,BR_Enh!E354:E394)/100</f>
        <v>3606883.8256171234</v>
      </c>
      <c r="G91" s="8"/>
      <c r="H91" s="8">
        <f>AVERAGE(BR_Enh!C354:C394)</f>
        <v>1077740703.3314636</v>
      </c>
      <c r="L91" t="e">
        <f t="shared" si="10"/>
        <v>#REF!</v>
      </c>
    </row>
    <row r="92" spans="1:13" s="947" customFormat="1" x14ac:dyDescent="0.2">
      <c r="A92" s="947" t="s">
        <v>381</v>
      </c>
      <c r="B92" s="979">
        <v>35915</v>
      </c>
      <c r="C92" s="990">
        <v>38230</v>
      </c>
      <c r="D92" s="136">
        <f>(C92-B92)/30.4167</f>
        <v>76.109505633418493</v>
      </c>
      <c r="E92" s="948">
        <f>'Terminated Managers'!AU199</f>
        <v>-6.8635928837146309</v>
      </c>
      <c r="F92" s="949">
        <f>'Terminated Managers'!AU195</f>
        <v>-4534855.9157219939</v>
      </c>
      <c r="G92" s="949"/>
      <c r="H92" s="949">
        <f>'Terminated Managers'!AU196</f>
        <v>1204875192.4996107</v>
      </c>
      <c r="L92" t="str">
        <f>IF(B92&lt;L$12,"ERR","OK")</f>
        <v>OK</v>
      </c>
      <c r="M92" t="str">
        <f>IF(D92&lt;12,"ERR","OK")</f>
        <v>OK</v>
      </c>
    </row>
    <row r="93" spans="1:13" x14ac:dyDescent="0.2">
      <c r="A93" s="10" t="s">
        <v>104</v>
      </c>
      <c r="B93" s="980">
        <v>36129</v>
      </c>
      <c r="C93" s="50">
        <v>37711</v>
      </c>
      <c r="D93" s="136">
        <f>(C93-B93)/30.4167</f>
        <v>52.010901905860926</v>
      </c>
      <c r="E93" s="86">
        <f>'Terminated Managers'!AW199</f>
        <v>-18.753340197374957</v>
      </c>
      <c r="F93" s="41">
        <f>'Terminated Managers'!AW195</f>
        <v>-2133242.5922684269</v>
      </c>
      <c r="G93" s="10"/>
      <c r="H93" s="41">
        <f>'Terminated Managers'!AW196</f>
        <v>507517259.12269241</v>
      </c>
      <c r="L93" t="str">
        <f t="shared" si="10"/>
        <v>OK</v>
      </c>
      <c r="M93" t="str">
        <f>IF(D93&lt;12,"ERR","OK")</f>
        <v>OK</v>
      </c>
    </row>
    <row r="94" spans="1:13" x14ac:dyDescent="0.2">
      <c r="A94" s="133" t="s">
        <v>117</v>
      </c>
      <c r="B94" s="973">
        <f>L12</f>
        <v>35854</v>
      </c>
      <c r="C94" s="134">
        <v>36129</v>
      </c>
      <c r="D94" s="136">
        <f>(C94-B94)/30.4167</f>
        <v>9.0410859823715271</v>
      </c>
      <c r="E94" s="155">
        <f>'Terminated Managers'!AY199</f>
        <v>-118.8886419799462</v>
      </c>
      <c r="F94" s="156">
        <f>'Terminated Managers'!AY195</f>
        <v>-5760048.1907833051</v>
      </c>
      <c r="G94" s="156"/>
      <c r="H94" s="138">
        <f>'Terminated Managers'!AY196</f>
        <v>507410571.3888889</v>
      </c>
      <c r="L94" t="str">
        <f t="shared" si="10"/>
        <v>OK</v>
      </c>
      <c r="M94" t="str">
        <f>IF(D94&lt;12,"ERR","OK")</f>
        <v>ERR</v>
      </c>
    </row>
    <row r="95" spans="1:13" x14ac:dyDescent="0.2">
      <c r="A95" s="133" t="s">
        <v>156</v>
      </c>
      <c r="B95" s="973">
        <f>L12</f>
        <v>35854</v>
      </c>
      <c r="C95" s="134">
        <v>35885</v>
      </c>
      <c r="D95" s="136">
        <f>(C95-B95)/30.4167</f>
        <v>1.0191769652855176</v>
      </c>
      <c r="E95" s="155">
        <f>'Terminated Managers'!BA199</f>
        <v>45.221164458679738</v>
      </c>
      <c r="F95" s="156">
        <f>'Terminated Managers'!BA195</f>
        <v>364621.19877023355</v>
      </c>
      <c r="G95" s="156"/>
      <c r="H95" s="138">
        <f>'Terminated Managers'!BA196</f>
        <v>1006824869.7800002</v>
      </c>
      <c r="L95" t="str">
        <f t="shared" si="10"/>
        <v>OK</v>
      </c>
      <c r="M95" t="str">
        <f>IF(D95&lt;12,"ERR","OK")</f>
        <v>ERR</v>
      </c>
    </row>
    <row r="96" spans="1:13" x14ac:dyDescent="0.2">
      <c r="A96" s="133"/>
      <c r="B96" s="977"/>
      <c r="C96" s="134"/>
      <c r="D96" s="136"/>
      <c r="E96" s="155"/>
      <c r="F96" s="156"/>
      <c r="G96" s="156"/>
      <c r="H96" s="138"/>
    </row>
    <row r="97" spans="1:12" x14ac:dyDescent="0.2">
      <c r="D97" s="944" t="s">
        <v>366</v>
      </c>
      <c r="E97" s="42"/>
      <c r="F97" s="43">
        <f>+F86+F87+F88+F93+F94+F95+F89</f>
        <v>-8301265.6314704092</v>
      </c>
      <c r="G97" s="38"/>
      <c r="H97" s="47"/>
      <c r="I97" s="48"/>
      <c r="J97" s="48"/>
      <c r="K97" s="116"/>
    </row>
    <row r="98" spans="1:12" x14ac:dyDescent="0.2">
      <c r="D98" s="944" t="s">
        <v>379</v>
      </c>
      <c r="E98" s="42"/>
      <c r="F98" s="43">
        <f>+F90+F92</f>
        <v>-4426430.1998313926</v>
      </c>
      <c r="G98" s="38"/>
      <c r="H98" s="47"/>
      <c r="I98" s="48"/>
      <c r="J98" s="48"/>
    </row>
    <row r="99" spans="1:12" x14ac:dyDescent="0.2">
      <c r="D99" s="944" t="s">
        <v>367</v>
      </c>
      <c r="E99" s="42"/>
      <c r="F99" s="43">
        <f>F91</f>
        <v>3606883.8256171234</v>
      </c>
      <c r="G99" s="38"/>
      <c r="H99" s="1032"/>
      <c r="I99" s="1033"/>
      <c r="J99" s="1033"/>
    </row>
    <row r="100" spans="1:12" x14ac:dyDescent="0.2">
      <c r="D100" s="1013" t="s">
        <v>373</v>
      </c>
      <c r="E100" s="1014"/>
      <c r="F100" s="1015">
        <f>SUM(F86:F95)</f>
        <v>-9120812.0056846794</v>
      </c>
      <c r="G100" s="1016"/>
      <c r="H100" s="1034">
        <f>AVERAGE('Fx Inc'!C324:C394)</f>
        <v>5251227817.2298584</v>
      </c>
      <c r="I100" s="1035">
        <f>F100/H100</f>
        <v>-1.7368913182091029E-3</v>
      </c>
      <c r="J100" s="1035">
        <f>(1+I100)^(1/10)-1</f>
        <v>-1.7382503695995144E-4</v>
      </c>
    </row>
    <row r="101" spans="1:12" ht="13.5" thickBot="1" x14ac:dyDescent="0.25">
      <c r="A101" s="44" t="s">
        <v>79</v>
      </c>
      <c r="B101" s="975"/>
      <c r="C101" s="989"/>
      <c r="D101" s="121"/>
      <c r="E101" s="45"/>
      <c r="F101" s="45"/>
      <c r="G101" s="45"/>
      <c r="H101" s="45"/>
      <c r="I101" s="45"/>
      <c r="J101" s="45"/>
    </row>
    <row r="102" spans="1:12" x14ac:dyDescent="0.2">
      <c r="B102" s="978"/>
      <c r="C102" s="51"/>
      <c r="D102" s="122"/>
    </row>
    <row r="103" spans="1:12" x14ac:dyDescent="0.2">
      <c r="A103" t="s">
        <v>155</v>
      </c>
      <c r="B103" s="978">
        <v>37986</v>
      </c>
      <c r="C103" s="987" t="s">
        <v>34</v>
      </c>
      <c r="D103" s="119">
        <f>(C$3-B103)/30.4167</f>
        <v>128.08753086297989</v>
      </c>
      <c r="E103" s="85">
        <f>'Return Summary'!AC122</f>
        <v>256.93170044732926</v>
      </c>
      <c r="F103" s="8">
        <f>SUMPRODUCT(Bridge_GTAA!C345:C394,Bridge_GTAA!E345:E394)/100</f>
        <v>32067404.135157023</v>
      </c>
      <c r="G103" s="8"/>
      <c r="H103" s="8">
        <f>AVERAGE(Bridge_GTAA!C345:C394)</f>
        <v>1374170571.5624001</v>
      </c>
      <c r="L103" t="str">
        <f>IF(B103&lt;L$12,"ERR","OK")</f>
        <v>OK</v>
      </c>
    </row>
    <row r="104" spans="1:12" x14ac:dyDescent="0.2">
      <c r="A104" s="10" t="s">
        <v>111</v>
      </c>
      <c r="B104" s="980">
        <v>37986</v>
      </c>
      <c r="C104" s="220">
        <v>39113</v>
      </c>
      <c r="D104" s="336">
        <f>(C104-B104)/30.4167</f>
        <v>37.052014189573491</v>
      </c>
      <c r="E104" s="238">
        <f>'Terminated Managers'!BE199</f>
        <v>-103.33208577310913</v>
      </c>
      <c r="F104" s="746">
        <f>'Terminated Managers'!BE195</f>
        <v>-30317559.239184417</v>
      </c>
      <c r="G104" s="746"/>
      <c r="H104" s="746">
        <f>'Terminated Managers'!BE196</f>
        <v>1157849875.7148645</v>
      </c>
      <c r="I104" s="10"/>
      <c r="J104" s="10"/>
      <c r="L104" t="str">
        <f>IF(B104&lt;L$12,"ERR","OK")</f>
        <v>OK</v>
      </c>
    </row>
    <row r="105" spans="1:12" x14ac:dyDescent="0.2">
      <c r="D105" s="944" t="s">
        <v>366</v>
      </c>
      <c r="E105" s="42"/>
      <c r="F105" s="43">
        <f>SUM(F103:F104)</f>
        <v>1749844.8959726058</v>
      </c>
      <c r="G105" s="38"/>
      <c r="H105" s="1032"/>
      <c r="I105" s="1033"/>
      <c r="J105" s="1033"/>
    </row>
    <row r="106" spans="1:12" x14ac:dyDescent="0.2">
      <c r="D106" s="1013" t="s">
        <v>377</v>
      </c>
      <c r="E106" s="1018"/>
      <c r="F106" s="1015">
        <f>SUM(F103:F104)</f>
        <v>1749844.8959726058</v>
      </c>
      <c r="G106" s="1016"/>
      <c r="H106" s="1034">
        <f>AVERAGE(GTAA!C345:C394)</f>
        <v>2507464846.0896006</v>
      </c>
      <c r="I106" s="1035">
        <f>F106/H106</f>
        <v>6.9785420868471776E-4</v>
      </c>
      <c r="J106" s="1035">
        <f>(1+I106)^(1/10)-1</f>
        <v>6.9763515527121456E-5</v>
      </c>
    </row>
    <row r="107" spans="1:12" x14ac:dyDescent="0.2">
      <c r="A107" s="221"/>
      <c r="B107" s="981"/>
      <c r="C107" s="991"/>
      <c r="D107" s="221"/>
      <c r="E107" s="221"/>
      <c r="F107" s="221"/>
    </row>
    <row r="108" spans="1:12" x14ac:dyDescent="0.2">
      <c r="A108" s="12" t="s">
        <v>163</v>
      </c>
    </row>
    <row r="109" spans="1:12" x14ac:dyDescent="0.2">
      <c r="A109" s="1499" t="s">
        <v>168</v>
      </c>
      <c r="B109" s="1499"/>
      <c r="C109" s="1499"/>
      <c r="D109" s="1499"/>
      <c r="E109" s="1499"/>
      <c r="F109" s="1499"/>
      <c r="G109" s="1499"/>
      <c r="H109" s="1499"/>
      <c r="I109" s="1499"/>
      <c r="J109" s="1499"/>
    </row>
    <row r="110" spans="1:12" x14ac:dyDescent="0.2">
      <c r="A110" s="1495" t="s">
        <v>167</v>
      </c>
      <c r="B110" s="1495"/>
      <c r="C110" s="1495"/>
      <c r="D110" s="1495"/>
      <c r="E110" s="1495"/>
      <c r="F110" s="1495"/>
      <c r="G110" s="1495"/>
      <c r="H110" s="1495"/>
      <c r="I110" s="1495"/>
      <c r="J110" s="1495"/>
    </row>
    <row r="111" spans="1:12" ht="12.75" customHeight="1" x14ac:dyDescent="0.2">
      <c r="A111" s="1495" t="s">
        <v>166</v>
      </c>
      <c r="B111" s="1495"/>
      <c r="C111" s="1495"/>
      <c r="D111" s="1495"/>
      <c r="E111" s="1495"/>
      <c r="F111" s="1495"/>
      <c r="G111" s="1495"/>
      <c r="H111" s="1495"/>
      <c r="I111" s="1495"/>
      <c r="J111" s="1495"/>
    </row>
    <row r="112" spans="1:12" s="222" customFormat="1" ht="26.1" customHeight="1" x14ac:dyDescent="0.2">
      <c r="A112" s="1495" t="s">
        <v>165</v>
      </c>
      <c r="B112" s="1495"/>
      <c r="C112" s="1495"/>
      <c r="D112" s="1495"/>
      <c r="E112" s="1495"/>
      <c r="F112" s="1495"/>
      <c r="G112" s="1495"/>
      <c r="H112" s="1495"/>
      <c r="I112" s="1495"/>
      <c r="J112" s="1495"/>
    </row>
    <row r="114" spans="1:1" x14ac:dyDescent="0.2">
      <c r="A114" s="12" t="s">
        <v>365</v>
      </c>
    </row>
    <row r="115" spans="1:1" x14ac:dyDescent="0.2">
      <c r="A115" s="12" t="s">
        <v>364</v>
      </c>
    </row>
  </sheetData>
  <mergeCells count="8">
    <mergeCell ref="C3:D3"/>
    <mergeCell ref="A110:J110"/>
    <mergeCell ref="A111:J111"/>
    <mergeCell ref="A112:J112"/>
    <mergeCell ref="E7:F7"/>
    <mergeCell ref="B7:C7"/>
    <mergeCell ref="I7:J7"/>
    <mergeCell ref="A109:J109"/>
  </mergeCells>
  <phoneticPr fontId="3" type="noConversion"/>
  <conditionalFormatting sqref="F56">
    <cfRule type="cellIs" dxfId="3" priority="1" stopIfTrue="1" operator="lessThan">
      <formula>-11762730</formula>
    </cfRule>
    <cfRule type="cellIs" dxfId="2" priority="5" stopIfTrue="1" operator="lessThan">
      <formula>-7782186.332</formula>
    </cfRule>
  </conditionalFormatting>
  <conditionalFormatting sqref="F56">
    <cfRule type="cellIs" dxfId="1" priority="4" stopIfTrue="1" operator="lessThan">
      <formula>-7782186.332</formula>
    </cfRule>
  </conditionalFormatting>
  <printOptions horizontalCentered="1"/>
  <pageMargins left="0.39370078740157483" right="0.39370078740157483" top="0.59055118110236227" bottom="0.59055118110236227" header="0.19685039370078741" footer="0.19685039370078741"/>
  <pageSetup scale="49" orientation="portrait" r:id="rId1"/>
  <headerFooter alignWithMargins="0">
    <oddFooter>&amp;LPrepared by the Investment Management Division&amp;R&amp;D</oddFooter>
  </headerFooter>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autoPageBreaks="0"/>
  </sheetPr>
  <dimension ref="A1:DB221"/>
  <sheetViews>
    <sheetView workbookViewId="0">
      <pane xSplit="1" ySplit="1" topLeftCell="CL135" activePane="bottomRight" state="frozen"/>
      <selection pane="topRight" activeCell="B1" sqref="B1"/>
      <selection pane="bottomLeft" activeCell="A2" sqref="A2"/>
      <selection pane="bottomRight" activeCell="CO153" sqref="CO153"/>
    </sheetView>
  </sheetViews>
  <sheetFormatPr defaultRowHeight="12.75" x14ac:dyDescent="0.2"/>
  <cols>
    <col min="1" max="1" width="18.7109375" style="61" customWidth="1"/>
    <col min="2" max="2" width="16.7109375" style="61" customWidth="1"/>
    <col min="3" max="5" width="16.7109375" style="62" customWidth="1"/>
    <col min="6" max="6" width="16.7109375" style="61" customWidth="1"/>
    <col min="7" max="9" width="16.7109375" style="62" customWidth="1"/>
    <col min="10" max="10" width="16.7109375" style="61" customWidth="1"/>
    <col min="11" max="11" width="16.7109375" style="62" customWidth="1"/>
    <col min="12" max="12" width="16.7109375" style="61" customWidth="1"/>
    <col min="13" max="13" width="16.7109375" style="62" customWidth="1"/>
    <col min="14" max="14" width="16.7109375" style="61" customWidth="1"/>
    <col min="15" max="15" width="16.7109375" style="62" customWidth="1"/>
    <col min="16" max="16" width="16.7109375" style="61" customWidth="1"/>
    <col min="17" max="17" width="16.7109375" style="28" customWidth="1"/>
    <col min="18" max="18" width="16.7109375" style="61" customWidth="1"/>
    <col min="19" max="20" width="16.7109375" style="59" customWidth="1"/>
    <col min="21" max="21" width="16.7109375" style="198" customWidth="1"/>
    <col min="22" max="25" width="16.7109375" style="59" customWidth="1"/>
    <col min="26" max="26" width="16.7109375" style="961" customWidth="1"/>
    <col min="27" max="27" width="16.7109375" style="59" customWidth="1"/>
    <col min="28" max="28" width="16.7109375" style="16" customWidth="1"/>
    <col min="29" max="29" width="16.7109375" style="59" customWidth="1"/>
    <col min="30" max="30" width="16.7109375" style="579" customWidth="1"/>
    <col min="31" max="35" width="16.7109375" style="59" customWidth="1"/>
    <col min="36" max="36" width="16.7109375" style="16" customWidth="1"/>
    <col min="37" max="37" width="16.7109375" style="59" customWidth="1"/>
    <col min="38" max="38" width="16.7109375" style="16" customWidth="1"/>
    <col min="39" max="45" width="16.7109375" style="59" customWidth="1"/>
    <col min="46" max="46" width="16.7109375" style="961" customWidth="1"/>
    <col min="47" max="47" width="16.7109375" style="198" customWidth="1"/>
    <col min="48" max="48" width="16.7109375" style="16" customWidth="1"/>
    <col min="49" max="49" width="16.7109375" style="59" customWidth="1"/>
    <col min="50" max="50" width="16.7109375" style="16" customWidth="1"/>
    <col min="51" max="51" width="16.7109375" style="59" customWidth="1"/>
    <col min="52" max="52" width="14.7109375" style="16" customWidth="1"/>
    <col min="53" max="57" width="14.7109375" style="59" customWidth="1"/>
    <col min="58" max="58" width="20.7109375" style="59" customWidth="1"/>
    <col min="59" max="97" width="14.7109375" style="16" customWidth="1"/>
    <col min="98" max="98" width="17.28515625" style="16" bestFit="1" customWidth="1"/>
    <col min="99" max="99" width="12.140625" style="16" bestFit="1" customWidth="1"/>
    <col min="100" max="16384" width="9.140625" style="16"/>
  </cols>
  <sheetData>
    <row r="1" spans="1:101" ht="12.75" customHeight="1" thickBot="1" x14ac:dyDescent="0.25">
      <c r="A1" s="181" t="s">
        <v>106</v>
      </c>
      <c r="B1" s="317" t="s">
        <v>107</v>
      </c>
      <c r="C1" s="202"/>
      <c r="D1" s="317" t="s">
        <v>156</v>
      </c>
      <c r="E1" s="202"/>
      <c r="F1" s="317" t="s">
        <v>150</v>
      </c>
      <c r="G1" s="202"/>
      <c r="H1" s="173" t="s">
        <v>160</v>
      </c>
      <c r="I1" s="173"/>
      <c r="J1" s="211" t="s">
        <v>108</v>
      </c>
      <c r="K1" s="174"/>
      <c r="L1" s="1019" t="s">
        <v>386</v>
      </c>
      <c r="M1" s="174"/>
      <c r="N1" s="1019" t="s">
        <v>387</v>
      </c>
      <c r="O1" s="174"/>
      <c r="P1" s="189" t="s">
        <v>109</v>
      </c>
      <c r="Q1" s="196"/>
      <c r="R1" s="190" t="s">
        <v>110</v>
      </c>
      <c r="S1" s="196"/>
      <c r="T1" s="809" t="s">
        <v>40</v>
      </c>
      <c r="U1" s="196"/>
      <c r="V1" s="190" t="s">
        <v>187</v>
      </c>
      <c r="W1" s="196"/>
      <c r="X1" s="190" t="s">
        <v>188</v>
      </c>
      <c r="Y1" s="190"/>
      <c r="Z1" s="1190" t="s">
        <v>393</v>
      </c>
      <c r="AA1" s="190"/>
      <c r="AB1" s="191" t="s">
        <v>145</v>
      </c>
      <c r="AC1" s="197"/>
      <c r="AD1" s="992" t="s">
        <v>384</v>
      </c>
      <c r="AE1" s="197"/>
      <c r="AF1" s="192" t="s">
        <v>20</v>
      </c>
      <c r="AG1" s="197"/>
      <c r="AH1" s="192" t="s">
        <v>147</v>
      </c>
      <c r="AI1" s="192"/>
      <c r="AJ1" s="192" t="s">
        <v>151</v>
      </c>
      <c r="AK1" s="193"/>
      <c r="AL1" s="318" t="s">
        <v>158</v>
      </c>
      <c r="AM1" s="199"/>
      <c r="AN1" s="319" t="s">
        <v>174</v>
      </c>
      <c r="AO1" s="199"/>
      <c r="AP1" s="319" t="s">
        <v>144</v>
      </c>
      <c r="AQ1" s="199"/>
      <c r="AR1" s="194" t="s">
        <v>132</v>
      </c>
      <c r="AS1" s="194"/>
      <c r="AT1" s="955" t="s">
        <v>376</v>
      </c>
      <c r="AU1" s="200"/>
      <c r="AV1" s="953" t="s">
        <v>104</v>
      </c>
      <c r="AW1" s="200"/>
      <c r="AX1" s="320" t="s">
        <v>157</v>
      </c>
      <c r="AY1" s="201"/>
      <c r="AZ1" s="320" t="s">
        <v>156</v>
      </c>
      <c r="BA1" s="195"/>
      <c r="BB1" s="1212" t="s">
        <v>398</v>
      </c>
      <c r="BC1" s="1212"/>
      <c r="BD1" s="745" t="s">
        <v>68</v>
      </c>
      <c r="BE1" s="739"/>
      <c r="BF1" s="313"/>
      <c r="BG1" s="185" t="s">
        <v>119</v>
      </c>
      <c r="BH1" s="175" t="str">
        <f>B1</f>
        <v>JPM LC</v>
      </c>
      <c r="BI1" s="176" t="str">
        <f>D1</f>
        <v>IDS Advisory</v>
      </c>
      <c r="BJ1" s="175" t="str">
        <f>F1</f>
        <v>AXE-H LC</v>
      </c>
      <c r="BK1" s="175" t="str">
        <f>J1</f>
        <v>MELLON LC</v>
      </c>
      <c r="BL1" s="175" t="s">
        <v>386</v>
      </c>
      <c r="BM1" s="219" t="s">
        <v>388</v>
      </c>
      <c r="BN1" s="175" t="s">
        <v>387</v>
      </c>
      <c r="BO1" s="219" t="s">
        <v>161</v>
      </c>
      <c r="BP1" s="177" t="s">
        <v>162</v>
      </c>
      <c r="BQ1" s="186" t="s">
        <v>137</v>
      </c>
      <c r="BR1" s="178" t="s">
        <v>138</v>
      </c>
      <c r="BS1" s="178" t="s">
        <v>139</v>
      </c>
      <c r="BT1" s="178" t="s">
        <v>239</v>
      </c>
      <c r="BU1" s="186" t="s">
        <v>189</v>
      </c>
      <c r="BV1" s="178" t="s">
        <v>43</v>
      </c>
      <c r="BW1" s="1203" t="s">
        <v>15</v>
      </c>
      <c r="BX1" s="1194" t="s">
        <v>222</v>
      </c>
      <c r="BY1" s="315" t="s">
        <v>140</v>
      </c>
      <c r="BZ1" s="315" t="s">
        <v>147</v>
      </c>
      <c r="CA1" s="316" t="str">
        <f>AJ1</f>
        <v>CMC SC Gr</v>
      </c>
      <c r="CB1" s="315" t="s">
        <v>260</v>
      </c>
      <c r="CC1" s="315" t="s">
        <v>246</v>
      </c>
      <c r="CD1" s="251" t="s">
        <v>20</v>
      </c>
      <c r="CE1" s="315" t="s">
        <v>270</v>
      </c>
      <c r="CF1" s="251" t="s">
        <v>99</v>
      </c>
      <c r="CG1" s="335" t="s">
        <v>149</v>
      </c>
      <c r="CH1" s="179" t="str">
        <f>AL1</f>
        <v>AXE (PAC)</v>
      </c>
      <c r="CI1" s="187" t="s">
        <v>29</v>
      </c>
      <c r="CJ1" s="179" t="str">
        <f>AN1</f>
        <v>BNY</v>
      </c>
      <c r="CK1" s="179" t="str">
        <f>AP1</f>
        <v>CAP GUARD</v>
      </c>
      <c r="CL1" s="179" t="str">
        <f>AR1</f>
        <v>BIAM</v>
      </c>
      <c r="CM1" s="188" t="s">
        <v>28</v>
      </c>
      <c r="CN1" s="950" t="s">
        <v>376</v>
      </c>
      <c r="CO1" s="180" t="str">
        <f>AV1</f>
        <v>WAMCO</v>
      </c>
      <c r="CP1" s="204" t="str">
        <f>AX1</f>
        <v>AXE-HOUGH</v>
      </c>
      <c r="CQ1" s="203" t="str">
        <f>AZ1</f>
        <v>IDS Advisory</v>
      </c>
      <c r="CR1" s="1213" t="s">
        <v>399</v>
      </c>
      <c r="CS1" s="1213"/>
      <c r="CT1" s="735" t="s">
        <v>337</v>
      </c>
      <c r="CU1" s="736" t="s">
        <v>68</v>
      </c>
    </row>
    <row r="2" spans="1:101" s="132" customFormat="1" ht="12.75" customHeight="1" x14ac:dyDescent="0.2">
      <c r="A2" s="182"/>
      <c r="B2" s="129"/>
      <c r="C2" s="166"/>
      <c r="D2" s="124"/>
      <c r="E2" s="166"/>
      <c r="F2" s="129"/>
      <c r="G2" s="166"/>
      <c r="H2" s="141"/>
      <c r="I2" s="141"/>
      <c r="J2" s="212"/>
      <c r="K2" s="144"/>
      <c r="L2" s="212"/>
      <c r="M2" s="144"/>
      <c r="N2" s="212"/>
      <c r="O2" s="144"/>
      <c r="P2" s="129"/>
      <c r="Q2" s="166"/>
      <c r="R2" s="129"/>
      <c r="S2" s="166"/>
      <c r="T2" s="141"/>
      <c r="U2" s="166"/>
      <c r="V2" s="141"/>
      <c r="W2" s="166"/>
      <c r="X2" s="141"/>
      <c r="Y2" s="141"/>
      <c r="Z2" s="956"/>
      <c r="AA2" s="141"/>
      <c r="AB2" s="236"/>
      <c r="AC2" s="166"/>
      <c r="AD2" s="993"/>
      <c r="AE2" s="166"/>
      <c r="AF2" s="141"/>
      <c r="AG2" s="166"/>
      <c r="AH2" s="141"/>
      <c r="AI2" s="141"/>
      <c r="AJ2" s="129"/>
      <c r="AK2" s="144"/>
      <c r="AL2" s="129"/>
      <c r="AM2" s="166"/>
      <c r="AN2" s="141"/>
      <c r="AO2" s="166"/>
      <c r="AP2" s="124"/>
      <c r="AQ2" s="166"/>
      <c r="AR2" s="124"/>
      <c r="AS2" s="141"/>
      <c r="AT2" s="956"/>
      <c r="AU2" s="166"/>
      <c r="AV2" s="129"/>
      <c r="AW2" s="166"/>
      <c r="AX2" s="129"/>
      <c r="AY2" s="166"/>
      <c r="AZ2" s="129"/>
      <c r="BA2" s="141"/>
      <c r="BB2" s="141"/>
      <c r="BC2" s="141"/>
      <c r="BD2" s="740"/>
      <c r="BE2" s="144"/>
      <c r="BF2" s="124"/>
      <c r="BG2" s="149"/>
      <c r="BK2" s="164"/>
      <c r="BL2" s="164"/>
      <c r="BM2" s="164"/>
      <c r="BN2" s="164"/>
      <c r="BO2" s="164"/>
      <c r="BP2" s="147"/>
      <c r="BS2" s="164"/>
      <c r="BT2" s="807"/>
      <c r="BU2" s="164"/>
      <c r="BV2" s="164"/>
      <c r="BW2" s="164"/>
      <c r="BX2" s="807"/>
      <c r="CA2" s="147"/>
      <c r="CB2" s="164"/>
      <c r="CC2" s="164"/>
      <c r="CD2" s="164"/>
      <c r="CE2" s="149"/>
      <c r="CF2" s="164"/>
      <c r="CG2" s="149"/>
      <c r="CM2" s="149"/>
      <c r="CN2" s="164"/>
      <c r="CQ2" s="147"/>
      <c r="CR2" s="164"/>
      <c r="CS2" s="164"/>
      <c r="CT2" s="149"/>
      <c r="CU2" s="147"/>
    </row>
    <row r="3" spans="1:101" s="132" customFormat="1" ht="12.75" customHeight="1" x14ac:dyDescent="0.2">
      <c r="A3" s="183">
        <v>34730</v>
      </c>
      <c r="B3" s="130"/>
      <c r="C3" s="172"/>
      <c r="D3" s="165"/>
      <c r="E3" s="171"/>
      <c r="F3" s="130"/>
      <c r="G3" s="167"/>
      <c r="H3" s="205"/>
      <c r="I3" s="205"/>
      <c r="J3" s="213"/>
      <c r="K3" s="144"/>
      <c r="L3" s="213"/>
      <c r="M3" s="144"/>
      <c r="N3" s="213"/>
      <c r="O3" s="144"/>
      <c r="P3" s="129"/>
      <c r="Q3" s="166"/>
      <c r="R3" s="129"/>
      <c r="S3" s="166"/>
      <c r="T3" s="141"/>
      <c r="U3" s="166"/>
      <c r="V3" s="141"/>
      <c r="W3" s="166"/>
      <c r="X3" s="141"/>
      <c r="Y3" s="141"/>
      <c r="Z3" s="956"/>
      <c r="AA3" s="141"/>
      <c r="AB3" s="236"/>
      <c r="AC3" s="166"/>
      <c r="AD3" s="993"/>
      <c r="AE3" s="166"/>
      <c r="AF3" s="141"/>
      <c r="AG3" s="166"/>
      <c r="AH3" s="141"/>
      <c r="AI3" s="141"/>
      <c r="AJ3" s="129"/>
      <c r="AK3" s="144"/>
      <c r="AL3" s="130"/>
      <c r="AM3" s="166"/>
      <c r="AN3" s="72"/>
      <c r="AO3" s="234"/>
      <c r="AP3" s="130"/>
      <c r="AQ3" s="166"/>
      <c r="AR3" s="124"/>
      <c r="AS3" s="141"/>
      <c r="AT3" s="956"/>
      <c r="AU3" s="166"/>
      <c r="AV3" s="129"/>
      <c r="AW3" s="166"/>
      <c r="AX3" s="157"/>
      <c r="AY3" s="166"/>
      <c r="AZ3" s="157"/>
      <c r="BA3" s="737"/>
      <c r="BB3" s="737"/>
      <c r="BC3" s="737"/>
      <c r="BD3" s="741"/>
      <c r="BE3" s="161"/>
      <c r="BF3" s="160"/>
      <c r="BG3" s="150"/>
      <c r="BH3" s="84"/>
      <c r="BI3" s="84"/>
      <c r="BJ3" s="84"/>
      <c r="BK3" s="164"/>
      <c r="BL3" s="164"/>
      <c r="BM3" s="164"/>
      <c r="BN3" s="164"/>
      <c r="BO3" s="164"/>
      <c r="BP3" s="147"/>
      <c r="BS3" s="164"/>
      <c r="BT3" s="807"/>
      <c r="BU3" s="164"/>
      <c r="BV3" s="164"/>
      <c r="BW3" s="164"/>
      <c r="BX3" s="807"/>
      <c r="CA3" s="147"/>
      <c r="CB3" s="164"/>
      <c r="CC3" s="164"/>
      <c r="CD3" s="164"/>
      <c r="CE3" s="149"/>
      <c r="CF3" s="164"/>
      <c r="CG3" s="150"/>
      <c r="CH3" s="84"/>
      <c r="CI3" s="84"/>
      <c r="CJ3" s="84"/>
      <c r="CK3" s="84"/>
      <c r="CL3" s="84"/>
      <c r="CM3" s="150"/>
      <c r="CN3" s="158"/>
      <c r="CP3" s="84"/>
      <c r="CQ3" s="159"/>
      <c r="CR3" s="158">
        <v>1.84</v>
      </c>
      <c r="CS3" s="158"/>
      <c r="CT3" s="149"/>
      <c r="CU3" s="147"/>
    </row>
    <row r="4" spans="1:101" s="132" customFormat="1" ht="12.75" customHeight="1" x14ac:dyDescent="0.2">
      <c r="A4" s="183" t="e">
        <f>#N/A</f>
        <v>#N/A</v>
      </c>
      <c r="B4" s="130"/>
      <c r="C4" s="172"/>
      <c r="D4" s="165"/>
      <c r="E4" s="171"/>
      <c r="F4" s="130"/>
      <c r="G4" s="167"/>
      <c r="H4" s="205"/>
      <c r="I4" s="205"/>
      <c r="J4" s="213"/>
      <c r="K4" s="144"/>
      <c r="L4" s="213"/>
      <c r="M4" s="144"/>
      <c r="N4" s="213"/>
      <c r="O4" s="144"/>
      <c r="P4" s="129"/>
      <c r="Q4" s="166"/>
      <c r="R4" s="129"/>
      <c r="S4" s="166"/>
      <c r="T4" s="141"/>
      <c r="U4" s="166"/>
      <c r="V4" s="141"/>
      <c r="W4" s="166"/>
      <c r="X4" s="141"/>
      <c r="Y4" s="141"/>
      <c r="Z4" s="956"/>
      <c r="AA4" s="141"/>
      <c r="AB4" s="236"/>
      <c r="AC4" s="166"/>
      <c r="AD4" s="993"/>
      <c r="AE4" s="166"/>
      <c r="AF4" s="141"/>
      <c r="AG4" s="166"/>
      <c r="AH4" s="141"/>
      <c r="AI4" s="141"/>
      <c r="AJ4" s="129"/>
      <c r="AK4" s="144"/>
      <c r="AL4" s="130"/>
      <c r="AM4" s="166"/>
      <c r="AN4" s="72"/>
      <c r="AO4" s="234"/>
      <c r="AP4" s="130"/>
      <c r="AQ4" s="166"/>
      <c r="AR4" s="124"/>
      <c r="AS4" s="141"/>
      <c r="AT4" s="956"/>
      <c r="AU4" s="166"/>
      <c r="AV4" s="129"/>
      <c r="AW4" s="166"/>
      <c r="AX4" s="157"/>
      <c r="AY4" s="166"/>
      <c r="AZ4" s="157"/>
      <c r="BA4" s="737"/>
      <c r="BB4" s="737"/>
      <c r="BC4" s="737"/>
      <c r="BD4" s="741"/>
      <c r="BE4" s="161"/>
      <c r="BF4" s="160"/>
      <c r="BG4" s="150"/>
      <c r="BH4" s="84"/>
      <c r="BI4" s="84"/>
      <c r="BJ4" s="84"/>
      <c r="BK4" s="164"/>
      <c r="BL4" s="164"/>
      <c r="BM4" s="164"/>
      <c r="BN4" s="164"/>
      <c r="BO4" s="164"/>
      <c r="BP4" s="147"/>
      <c r="BS4" s="164"/>
      <c r="BT4" s="807"/>
      <c r="BU4" s="164"/>
      <c r="BV4" s="164"/>
      <c r="BW4" s="164"/>
      <c r="BX4" s="807"/>
      <c r="CA4" s="147"/>
      <c r="CB4" s="164"/>
      <c r="CC4" s="164"/>
      <c r="CD4" s="164"/>
      <c r="CE4" s="149"/>
      <c r="CF4" s="164"/>
      <c r="CG4" s="150"/>
      <c r="CH4" s="84"/>
      <c r="CI4" s="84"/>
      <c r="CJ4" s="84"/>
      <c r="CK4" s="84"/>
      <c r="CL4" s="84"/>
      <c r="CM4" s="150"/>
      <c r="CN4" s="158"/>
      <c r="CP4" s="84"/>
      <c r="CQ4" s="159"/>
      <c r="CR4" s="158">
        <v>2.2400000000000002</v>
      </c>
      <c r="CS4" s="158"/>
      <c r="CT4" s="149"/>
      <c r="CU4" s="147"/>
    </row>
    <row r="5" spans="1:101" s="132" customFormat="1" ht="12.75" customHeight="1" x14ac:dyDescent="0.2">
      <c r="A5" s="183" t="e">
        <f t="shared" ref="A5:A26" si="0">#N/A</f>
        <v>#N/A</v>
      </c>
      <c r="B5" s="130"/>
      <c r="C5" s="172"/>
      <c r="D5" s="165"/>
      <c r="E5" s="171"/>
      <c r="F5" s="130"/>
      <c r="G5" s="168"/>
      <c r="H5" s="208"/>
      <c r="I5" s="208"/>
      <c r="J5" s="214"/>
      <c r="K5" s="144"/>
      <c r="L5" s="214"/>
      <c r="M5" s="144"/>
      <c r="N5" s="214"/>
      <c r="O5" s="144"/>
      <c r="P5" s="129"/>
      <c r="Q5" s="166"/>
      <c r="R5" s="129"/>
      <c r="S5" s="166"/>
      <c r="T5" s="141"/>
      <c r="U5" s="166"/>
      <c r="V5" s="141"/>
      <c r="W5" s="166"/>
      <c r="X5" s="141"/>
      <c r="Y5" s="141"/>
      <c r="Z5" s="956"/>
      <c r="AA5" s="141"/>
      <c r="AB5" s="236"/>
      <c r="AC5" s="166"/>
      <c r="AD5" s="993"/>
      <c r="AE5" s="166"/>
      <c r="AF5" s="141"/>
      <c r="AG5" s="166"/>
      <c r="AH5" s="141"/>
      <c r="AI5" s="141"/>
      <c r="AJ5" s="129"/>
      <c r="AK5" s="144"/>
      <c r="AL5" s="130"/>
      <c r="AM5" s="166"/>
      <c r="AN5" s="72"/>
      <c r="AO5" s="234"/>
      <c r="AP5" s="130"/>
      <c r="AQ5" s="166"/>
      <c r="AR5" s="131"/>
      <c r="AS5" s="141"/>
      <c r="AT5" s="956"/>
      <c r="AU5" s="166"/>
      <c r="AV5" s="129"/>
      <c r="AW5" s="166"/>
      <c r="AX5" s="157"/>
      <c r="AY5" s="166"/>
      <c r="AZ5" s="157"/>
      <c r="BA5" s="737"/>
      <c r="BB5" s="737"/>
      <c r="BC5" s="737"/>
      <c r="BD5" s="741"/>
      <c r="BE5" s="161"/>
      <c r="BF5" s="160"/>
      <c r="BG5" s="150"/>
      <c r="BH5" s="84"/>
      <c r="BI5" s="84"/>
      <c r="BJ5" s="84"/>
      <c r="BK5" s="164"/>
      <c r="BL5" s="164"/>
      <c r="BM5" s="164"/>
      <c r="BN5" s="164"/>
      <c r="BO5" s="164"/>
      <c r="BP5" s="147"/>
      <c r="BS5" s="164"/>
      <c r="BT5" s="807"/>
      <c r="BU5" s="164"/>
      <c r="BV5" s="164"/>
      <c r="BW5" s="164"/>
      <c r="BX5" s="807"/>
      <c r="CA5" s="147"/>
      <c r="CB5" s="164"/>
      <c r="CC5" s="164"/>
      <c r="CD5" s="164"/>
      <c r="CE5" s="149"/>
      <c r="CF5" s="164"/>
      <c r="CG5" s="150"/>
      <c r="CH5" s="84"/>
      <c r="CI5" s="84"/>
      <c r="CJ5" s="84"/>
      <c r="CK5" s="84"/>
      <c r="CL5" s="84"/>
      <c r="CM5" s="150"/>
      <c r="CN5" s="158"/>
      <c r="CP5" s="84"/>
      <c r="CQ5" s="159"/>
      <c r="CR5" s="158">
        <v>0.54</v>
      </c>
      <c r="CS5" s="158"/>
      <c r="CT5" s="149"/>
      <c r="CU5" s="147"/>
    </row>
    <row r="6" spans="1:101" s="164" customFormat="1" ht="12.75" customHeight="1" x14ac:dyDescent="0.2">
      <c r="A6" s="183" t="e">
        <f t="shared" si="0"/>
        <v>#N/A</v>
      </c>
      <c r="B6" s="140"/>
      <c r="C6" s="172"/>
      <c r="D6" s="165"/>
      <c r="E6" s="171"/>
      <c r="F6" s="140"/>
      <c r="G6" s="168"/>
      <c r="H6" s="208"/>
      <c r="I6" s="208"/>
      <c r="J6" s="214"/>
      <c r="K6" s="144"/>
      <c r="L6" s="214"/>
      <c r="M6" s="144"/>
      <c r="N6" s="214"/>
      <c r="O6" s="144"/>
      <c r="P6" s="162"/>
      <c r="Q6" s="166"/>
      <c r="R6" s="162"/>
      <c r="S6" s="166"/>
      <c r="T6" s="141"/>
      <c r="U6" s="166"/>
      <c r="V6" s="141"/>
      <c r="W6" s="166"/>
      <c r="X6" s="141"/>
      <c r="Y6" s="141"/>
      <c r="Z6" s="956"/>
      <c r="AA6" s="141"/>
      <c r="AB6" s="236"/>
      <c r="AC6" s="166"/>
      <c r="AD6" s="993"/>
      <c r="AE6" s="166"/>
      <c r="AF6" s="141"/>
      <c r="AG6" s="166"/>
      <c r="AH6" s="141"/>
      <c r="AI6" s="141"/>
      <c r="AJ6" s="162"/>
      <c r="AK6" s="144"/>
      <c r="AL6" s="140"/>
      <c r="AM6" s="166"/>
      <c r="AN6" s="72"/>
      <c r="AO6" s="234"/>
      <c r="AP6" s="140"/>
      <c r="AQ6" s="166"/>
      <c r="AR6" s="163"/>
      <c r="AS6" s="141"/>
      <c r="AT6" s="956"/>
      <c r="AU6" s="166"/>
      <c r="AV6" s="162"/>
      <c r="AW6" s="166"/>
      <c r="AX6" s="157"/>
      <c r="AY6" s="166"/>
      <c r="AZ6" s="157"/>
      <c r="BA6" s="737"/>
      <c r="BB6" s="737"/>
      <c r="BC6" s="737"/>
      <c r="BD6" s="741"/>
      <c r="BE6" s="161"/>
      <c r="BF6" s="160"/>
      <c r="BG6" s="150"/>
      <c r="BH6" s="158"/>
      <c r="BI6" s="84"/>
      <c r="BJ6" s="158"/>
      <c r="BP6" s="147"/>
      <c r="BT6" s="807"/>
      <c r="BX6" s="807"/>
      <c r="CA6" s="147"/>
      <c r="CE6" s="149"/>
      <c r="CG6" s="150"/>
      <c r="CH6" s="158"/>
      <c r="CI6" s="158"/>
      <c r="CJ6" s="84"/>
      <c r="CK6" s="158"/>
      <c r="CL6" s="158"/>
      <c r="CM6" s="150"/>
      <c r="CN6" s="158"/>
      <c r="CP6" s="158"/>
      <c r="CQ6" s="159"/>
      <c r="CR6" s="158">
        <v>1.3</v>
      </c>
      <c r="CS6" s="158"/>
      <c r="CT6" s="149"/>
      <c r="CU6" s="147"/>
    </row>
    <row r="7" spans="1:101" s="132" customFormat="1" ht="12.75" customHeight="1" x14ac:dyDescent="0.2">
      <c r="A7" s="183" t="e">
        <f t="shared" si="0"/>
        <v>#N/A</v>
      </c>
      <c r="B7" s="130"/>
      <c r="C7" s="172"/>
      <c r="D7" s="165"/>
      <c r="E7" s="171"/>
      <c r="F7" s="130"/>
      <c r="G7" s="168"/>
      <c r="H7" s="208"/>
      <c r="I7" s="208"/>
      <c r="J7" s="214"/>
      <c r="K7" s="144"/>
      <c r="L7" s="214"/>
      <c r="M7" s="144"/>
      <c r="N7" s="214"/>
      <c r="O7" s="144"/>
      <c r="P7" s="129"/>
      <c r="Q7" s="166"/>
      <c r="R7" s="129"/>
      <c r="S7" s="166"/>
      <c r="T7" s="141"/>
      <c r="U7" s="166"/>
      <c r="V7" s="141"/>
      <c r="W7" s="166"/>
      <c r="X7" s="141"/>
      <c r="Y7" s="141"/>
      <c r="Z7" s="956"/>
      <c r="AA7" s="141"/>
      <c r="AB7" s="236"/>
      <c r="AC7" s="166"/>
      <c r="AD7" s="993"/>
      <c r="AE7" s="166"/>
      <c r="AF7" s="141"/>
      <c r="AG7" s="166"/>
      <c r="AH7" s="141"/>
      <c r="AI7" s="141"/>
      <c r="AJ7" s="129"/>
      <c r="AK7" s="144"/>
      <c r="AL7" s="130"/>
      <c r="AM7" s="166"/>
      <c r="AN7" s="72"/>
      <c r="AO7" s="234"/>
      <c r="AP7" s="130"/>
      <c r="AQ7" s="166"/>
      <c r="AR7" s="131"/>
      <c r="AS7" s="141"/>
      <c r="AT7" s="956"/>
      <c r="AU7" s="166"/>
      <c r="AV7" s="129"/>
      <c r="AW7" s="166"/>
      <c r="AX7" s="157"/>
      <c r="AY7" s="166"/>
      <c r="AZ7" s="157"/>
      <c r="BA7" s="737"/>
      <c r="BB7" s="737"/>
      <c r="BC7" s="737"/>
      <c r="BD7" s="741"/>
      <c r="BE7" s="161"/>
      <c r="BF7" s="160"/>
      <c r="BG7" s="150"/>
      <c r="BH7" s="84"/>
      <c r="BI7" s="84"/>
      <c r="BJ7" s="84"/>
      <c r="BK7" s="164"/>
      <c r="BL7" s="164"/>
      <c r="BM7" s="164"/>
      <c r="BN7" s="164"/>
      <c r="BO7" s="164"/>
      <c r="BP7" s="147"/>
      <c r="BS7" s="164"/>
      <c r="BT7" s="807"/>
      <c r="BU7" s="164"/>
      <c r="BV7" s="164"/>
      <c r="BW7" s="164"/>
      <c r="BX7" s="807"/>
      <c r="CA7" s="147"/>
      <c r="CB7" s="164"/>
      <c r="CC7" s="164"/>
      <c r="CD7" s="164"/>
      <c r="CE7" s="149"/>
      <c r="CF7" s="164"/>
      <c r="CG7" s="150"/>
      <c r="CH7" s="84"/>
      <c r="CI7" s="84"/>
      <c r="CJ7" s="84"/>
      <c r="CK7" s="84"/>
      <c r="CL7" s="84"/>
      <c r="CM7" s="150"/>
      <c r="CN7" s="158"/>
      <c r="CP7" s="84"/>
      <c r="CQ7" s="159"/>
      <c r="CR7" s="158">
        <v>3.06</v>
      </c>
      <c r="CS7" s="158"/>
      <c r="CT7" s="149"/>
      <c r="CU7" s="147"/>
    </row>
    <row r="8" spans="1:101" s="132" customFormat="1" ht="12.75" customHeight="1" x14ac:dyDescent="0.2">
      <c r="A8" s="183" t="e">
        <f t="shared" si="0"/>
        <v>#N/A</v>
      </c>
      <c r="B8" s="130"/>
      <c r="C8" s="172"/>
      <c r="D8" s="165"/>
      <c r="E8" s="171"/>
      <c r="F8" s="130"/>
      <c r="G8" s="168"/>
      <c r="H8" s="208"/>
      <c r="I8" s="208"/>
      <c r="J8" s="214"/>
      <c r="K8" s="144"/>
      <c r="L8" s="214"/>
      <c r="M8" s="144"/>
      <c r="N8" s="214"/>
      <c r="O8" s="144"/>
      <c r="P8" s="129"/>
      <c r="Q8" s="166"/>
      <c r="R8" s="129"/>
      <c r="S8" s="166"/>
      <c r="T8" s="141"/>
      <c r="U8" s="166"/>
      <c r="V8" s="141"/>
      <c r="W8" s="166"/>
      <c r="X8" s="141"/>
      <c r="Y8" s="141"/>
      <c r="Z8" s="956"/>
      <c r="AA8" s="141"/>
      <c r="AB8" s="236"/>
      <c r="AC8" s="166"/>
      <c r="AD8" s="993"/>
      <c r="AE8" s="166"/>
      <c r="AF8" s="141"/>
      <c r="AG8" s="166"/>
      <c r="AH8" s="141"/>
      <c r="AI8" s="141"/>
      <c r="AJ8" s="129"/>
      <c r="AK8" s="144"/>
      <c r="AL8" s="130"/>
      <c r="AM8" s="166"/>
      <c r="AN8" s="72"/>
      <c r="AO8" s="234"/>
      <c r="AP8" s="130"/>
      <c r="AQ8" s="166"/>
      <c r="AR8" s="131"/>
      <c r="AS8" s="141"/>
      <c r="AT8" s="956"/>
      <c r="AU8" s="166"/>
      <c r="AV8" s="129"/>
      <c r="AW8" s="166"/>
      <c r="AX8" s="157"/>
      <c r="AY8" s="166"/>
      <c r="AZ8" s="157"/>
      <c r="BA8" s="737"/>
      <c r="BB8" s="737"/>
      <c r="BC8" s="737"/>
      <c r="BD8" s="741"/>
      <c r="BE8" s="161"/>
      <c r="BF8" s="160"/>
      <c r="BG8" s="150"/>
      <c r="BH8" s="84"/>
      <c r="BI8" s="84"/>
      <c r="BJ8" s="84"/>
      <c r="BK8" s="164"/>
      <c r="BL8" s="164"/>
      <c r="BM8" s="164"/>
      <c r="BN8" s="164"/>
      <c r="BO8" s="164"/>
      <c r="BP8" s="147"/>
      <c r="BS8" s="164"/>
      <c r="BT8" s="807"/>
      <c r="BU8" s="164"/>
      <c r="BV8" s="164"/>
      <c r="BW8" s="164"/>
      <c r="BX8" s="807"/>
      <c r="CA8" s="147"/>
      <c r="CB8" s="164"/>
      <c r="CC8" s="164"/>
      <c r="CD8" s="164"/>
      <c r="CE8" s="149"/>
      <c r="CF8" s="164"/>
      <c r="CG8" s="150"/>
      <c r="CH8" s="84"/>
      <c r="CI8" s="84"/>
      <c r="CJ8" s="84"/>
      <c r="CK8" s="84"/>
      <c r="CL8" s="84"/>
      <c r="CM8" s="150"/>
      <c r="CN8" s="158"/>
      <c r="CP8" s="84"/>
      <c r="CQ8" s="159"/>
      <c r="CR8" s="158">
        <v>0.64</v>
      </c>
      <c r="CS8" s="158"/>
      <c r="CT8" s="149"/>
      <c r="CU8" s="147"/>
    </row>
    <row r="9" spans="1:101" s="132" customFormat="1" ht="12.75" customHeight="1" x14ac:dyDescent="0.2">
      <c r="A9" s="183" t="e">
        <f t="shared" si="0"/>
        <v>#N/A</v>
      </c>
      <c r="B9" s="130"/>
      <c r="C9" s="172"/>
      <c r="D9" s="165"/>
      <c r="E9" s="171"/>
      <c r="F9" s="130"/>
      <c r="G9" s="168"/>
      <c r="H9" s="208"/>
      <c r="I9" s="208"/>
      <c r="J9" s="214"/>
      <c r="K9" s="144"/>
      <c r="L9" s="214"/>
      <c r="M9" s="144"/>
      <c r="N9" s="214"/>
      <c r="O9" s="144"/>
      <c r="P9" s="129"/>
      <c r="Q9" s="166"/>
      <c r="R9" s="129"/>
      <c r="S9" s="166"/>
      <c r="T9" s="141"/>
      <c r="U9" s="166"/>
      <c r="V9" s="141"/>
      <c r="W9" s="166"/>
      <c r="X9" s="141"/>
      <c r="Y9" s="141"/>
      <c r="Z9" s="956"/>
      <c r="AA9" s="141"/>
      <c r="AB9" s="236"/>
      <c r="AC9" s="166"/>
      <c r="AD9" s="993"/>
      <c r="AE9" s="166"/>
      <c r="AF9" s="141"/>
      <c r="AG9" s="166"/>
      <c r="AH9" s="141"/>
      <c r="AI9" s="141"/>
      <c r="AJ9" s="129"/>
      <c r="AK9" s="144"/>
      <c r="AL9" s="130"/>
      <c r="AM9" s="166"/>
      <c r="AN9" s="72"/>
      <c r="AO9" s="234"/>
      <c r="AP9" s="130"/>
      <c r="AQ9" s="166"/>
      <c r="AR9" s="131"/>
      <c r="AS9" s="141"/>
      <c r="AT9" s="956"/>
      <c r="AU9" s="166"/>
      <c r="AV9" s="129"/>
      <c r="AW9" s="166"/>
      <c r="AX9" s="157"/>
      <c r="AY9" s="166"/>
      <c r="AZ9" s="157"/>
      <c r="BA9" s="737"/>
      <c r="BB9" s="737"/>
      <c r="BC9" s="737"/>
      <c r="BD9" s="741"/>
      <c r="BE9" s="161"/>
      <c r="BF9" s="160"/>
      <c r="BG9" s="150"/>
      <c r="BH9" s="84"/>
      <c r="BI9" s="84"/>
      <c r="BJ9" s="84"/>
      <c r="BK9" s="164"/>
      <c r="BL9" s="164"/>
      <c r="BM9" s="164"/>
      <c r="BN9" s="164"/>
      <c r="BO9" s="164"/>
      <c r="BP9" s="147"/>
      <c r="BS9" s="164"/>
      <c r="BT9" s="807"/>
      <c r="BU9" s="164"/>
      <c r="BV9" s="164"/>
      <c r="BW9" s="164"/>
      <c r="BX9" s="807"/>
      <c r="CA9" s="147"/>
      <c r="CB9" s="164"/>
      <c r="CC9" s="164"/>
      <c r="CD9" s="164"/>
      <c r="CE9" s="149"/>
      <c r="CF9" s="164"/>
      <c r="CG9" s="150"/>
      <c r="CH9" s="84"/>
      <c r="CI9" s="84"/>
      <c r="CJ9" s="84"/>
      <c r="CK9" s="84"/>
      <c r="CL9" s="84"/>
      <c r="CM9" s="150"/>
      <c r="CN9" s="158"/>
      <c r="CP9" s="84"/>
      <c r="CQ9" s="159"/>
      <c r="CR9" s="158">
        <v>7.0000000000000007E-2</v>
      </c>
      <c r="CS9" s="158"/>
      <c r="CT9" s="149"/>
      <c r="CU9" s="147"/>
    </row>
    <row r="10" spans="1:101" s="132" customFormat="1" ht="12.75" customHeight="1" x14ac:dyDescent="0.2">
      <c r="A10" s="183" t="e">
        <f t="shared" si="0"/>
        <v>#N/A</v>
      </c>
      <c r="B10" s="130"/>
      <c r="C10" s="172"/>
      <c r="D10" s="165"/>
      <c r="E10" s="171"/>
      <c r="F10" s="130"/>
      <c r="G10" s="168"/>
      <c r="H10" s="208"/>
      <c r="I10" s="208"/>
      <c r="J10" s="214"/>
      <c r="K10" s="144"/>
      <c r="L10" s="214"/>
      <c r="M10" s="144"/>
      <c r="N10" s="214"/>
      <c r="O10" s="144"/>
      <c r="P10" s="129"/>
      <c r="Q10" s="166"/>
      <c r="R10" s="129"/>
      <c r="S10" s="166"/>
      <c r="T10" s="141"/>
      <c r="U10" s="166"/>
      <c r="V10" s="141"/>
      <c r="W10" s="166"/>
      <c r="X10" s="141"/>
      <c r="Y10" s="141"/>
      <c r="Z10" s="956"/>
      <c r="AA10" s="141"/>
      <c r="AB10" s="236"/>
      <c r="AC10" s="166"/>
      <c r="AD10" s="993"/>
      <c r="AE10" s="166"/>
      <c r="AF10" s="141"/>
      <c r="AG10" s="166"/>
      <c r="AH10" s="141"/>
      <c r="AI10" s="141"/>
      <c r="AJ10" s="129"/>
      <c r="AK10" s="144"/>
      <c r="AL10" s="130"/>
      <c r="AM10" s="166"/>
      <c r="AN10" s="72"/>
      <c r="AO10" s="234"/>
      <c r="AP10" s="130"/>
      <c r="AQ10" s="166"/>
      <c r="AR10" s="131"/>
      <c r="AS10" s="141"/>
      <c r="AT10" s="956"/>
      <c r="AU10" s="166"/>
      <c r="AV10" s="129"/>
      <c r="AW10" s="166"/>
      <c r="AX10" s="157"/>
      <c r="AY10" s="166"/>
      <c r="AZ10" s="157"/>
      <c r="BA10" s="737"/>
      <c r="BB10" s="737"/>
      <c r="BC10" s="737"/>
      <c r="BD10" s="741"/>
      <c r="BE10" s="161"/>
      <c r="BF10" s="160"/>
      <c r="BG10" s="150"/>
      <c r="BH10" s="84"/>
      <c r="BI10" s="84"/>
      <c r="BJ10" s="84"/>
      <c r="BK10" s="164"/>
      <c r="BL10" s="164"/>
      <c r="BM10" s="164"/>
      <c r="BN10" s="164"/>
      <c r="BO10" s="164"/>
      <c r="BP10" s="147"/>
      <c r="BS10" s="164"/>
      <c r="BT10" s="807"/>
      <c r="BU10" s="164"/>
      <c r="BV10" s="164"/>
      <c r="BW10" s="164"/>
      <c r="BX10" s="807"/>
      <c r="CA10" s="147"/>
      <c r="CB10" s="164"/>
      <c r="CC10" s="164"/>
      <c r="CD10" s="164"/>
      <c r="CE10" s="149"/>
      <c r="CF10" s="164"/>
      <c r="CG10" s="150"/>
      <c r="CH10" s="84"/>
      <c r="CI10" s="84"/>
      <c r="CJ10" s="84"/>
      <c r="CK10" s="84"/>
      <c r="CL10" s="84"/>
      <c r="CM10" s="150"/>
      <c r="CN10" s="158"/>
      <c r="CP10" s="84"/>
      <c r="CQ10" s="159"/>
      <c r="CR10" s="158">
        <v>0.95</v>
      </c>
      <c r="CS10" s="158"/>
      <c r="CT10" s="149"/>
      <c r="CU10" s="147"/>
    </row>
    <row r="11" spans="1:101" s="132" customFormat="1" ht="12.75" customHeight="1" x14ac:dyDescent="0.2">
      <c r="A11" s="183" t="e">
        <f t="shared" si="0"/>
        <v>#N/A</v>
      </c>
      <c r="B11" s="130"/>
      <c r="C11" s="172"/>
      <c r="D11" s="165"/>
      <c r="E11" s="171"/>
      <c r="F11" s="130"/>
      <c r="G11" s="168"/>
      <c r="H11" s="208"/>
      <c r="I11" s="208"/>
      <c r="J11" s="214"/>
      <c r="K11" s="144"/>
      <c r="L11" s="214"/>
      <c r="M11" s="144"/>
      <c r="N11" s="214"/>
      <c r="O11" s="144"/>
      <c r="P11" s="129"/>
      <c r="Q11" s="166"/>
      <c r="R11" s="129"/>
      <c r="S11" s="166"/>
      <c r="T11" s="141"/>
      <c r="U11" s="166"/>
      <c r="V11" s="141"/>
      <c r="W11" s="166"/>
      <c r="X11" s="141"/>
      <c r="Y11" s="141"/>
      <c r="Z11" s="956"/>
      <c r="AA11" s="141"/>
      <c r="AB11" s="236"/>
      <c r="AC11" s="166"/>
      <c r="AD11" s="993"/>
      <c r="AE11" s="166"/>
      <c r="AF11" s="141"/>
      <c r="AG11" s="166"/>
      <c r="AH11" s="141"/>
      <c r="AI11" s="141"/>
      <c r="AJ11" s="129"/>
      <c r="AK11" s="144"/>
      <c r="AL11" s="130"/>
      <c r="AM11" s="166"/>
      <c r="AN11" s="72"/>
      <c r="AO11" s="234"/>
      <c r="AP11" s="130"/>
      <c r="AQ11" s="166"/>
      <c r="AR11" s="131"/>
      <c r="AS11" s="141"/>
      <c r="AT11" s="956"/>
      <c r="AU11" s="166"/>
      <c r="AV11" s="129"/>
      <c r="AW11" s="166"/>
      <c r="AX11" s="157"/>
      <c r="AY11" s="166"/>
      <c r="AZ11" s="157"/>
      <c r="BA11" s="737"/>
      <c r="BB11" s="737"/>
      <c r="BC11" s="737"/>
      <c r="BD11" s="741"/>
      <c r="BE11" s="161"/>
      <c r="BF11" s="160"/>
      <c r="BG11" s="150"/>
      <c r="BH11" s="84"/>
      <c r="BI11" s="84"/>
      <c r="BJ11" s="84"/>
      <c r="BK11" s="164"/>
      <c r="BL11" s="164"/>
      <c r="BM11" s="164"/>
      <c r="BN11" s="164"/>
      <c r="BO11" s="164"/>
      <c r="BP11" s="147"/>
      <c r="BS11" s="164"/>
      <c r="BT11" s="807"/>
      <c r="BU11" s="164"/>
      <c r="BV11" s="164"/>
      <c r="BW11" s="164"/>
      <c r="BX11" s="807"/>
      <c r="CA11" s="147"/>
      <c r="CB11" s="164"/>
      <c r="CC11" s="164"/>
      <c r="CD11" s="164"/>
      <c r="CE11" s="149"/>
      <c r="CF11" s="164"/>
      <c r="CG11" s="150"/>
      <c r="CH11" s="84"/>
      <c r="CI11" s="84"/>
      <c r="CJ11" s="84"/>
      <c r="CK11" s="84"/>
      <c r="CL11" s="84"/>
      <c r="CM11" s="150"/>
      <c r="CN11" s="158"/>
      <c r="CP11" s="84"/>
      <c r="CQ11" s="159"/>
      <c r="CR11" s="158">
        <v>0.78</v>
      </c>
      <c r="CS11" s="158"/>
      <c r="CT11" s="149"/>
      <c r="CU11" s="147"/>
    </row>
    <row r="12" spans="1:101" s="132" customFormat="1" ht="12.75" customHeight="1" x14ac:dyDescent="0.2">
      <c r="A12" s="183" t="e">
        <f t="shared" si="0"/>
        <v>#N/A</v>
      </c>
      <c r="B12" s="140"/>
      <c r="C12" s="172"/>
      <c r="D12" s="206"/>
      <c r="E12" s="171"/>
      <c r="F12" s="140"/>
      <c r="G12" s="168"/>
      <c r="H12" s="208"/>
      <c r="I12" s="208"/>
      <c r="J12" s="214"/>
      <c r="K12" s="144"/>
      <c r="L12" s="214"/>
      <c r="M12" s="144"/>
      <c r="N12" s="214"/>
      <c r="O12" s="144"/>
      <c r="P12" s="162"/>
      <c r="Q12" s="166"/>
      <c r="R12" s="162"/>
      <c r="S12" s="166"/>
      <c r="T12" s="141"/>
      <c r="U12" s="166"/>
      <c r="V12" s="141"/>
      <c r="W12" s="166"/>
      <c r="X12" s="141"/>
      <c r="Y12" s="141"/>
      <c r="Z12" s="956"/>
      <c r="AA12" s="141"/>
      <c r="AB12" s="236"/>
      <c r="AC12" s="166"/>
      <c r="AD12" s="993"/>
      <c r="AE12" s="166"/>
      <c r="AF12" s="141"/>
      <c r="AG12" s="166"/>
      <c r="AH12" s="141"/>
      <c r="AI12" s="141"/>
      <c r="AJ12" s="162"/>
      <c r="AK12" s="144"/>
      <c r="AL12" s="140"/>
      <c r="AM12" s="166"/>
      <c r="AN12" s="282"/>
      <c r="AO12" s="234"/>
      <c r="AP12" s="140"/>
      <c r="AQ12" s="166"/>
      <c r="AR12" s="163"/>
      <c r="AS12" s="141"/>
      <c r="AT12" s="956"/>
      <c r="AU12" s="166"/>
      <c r="AV12" s="162"/>
      <c r="AW12" s="166"/>
      <c r="AX12" s="157"/>
      <c r="AY12" s="166"/>
      <c r="AZ12" s="157"/>
      <c r="BA12" s="737"/>
      <c r="BB12" s="737"/>
      <c r="BC12" s="737"/>
      <c r="BD12" s="741"/>
      <c r="BE12" s="161"/>
      <c r="BF12" s="160"/>
      <c r="BG12" s="150"/>
      <c r="BH12" s="158"/>
      <c r="BI12" s="158"/>
      <c r="BJ12" s="158"/>
      <c r="BK12" s="164"/>
      <c r="BL12" s="164"/>
      <c r="BM12" s="164"/>
      <c r="BN12" s="164"/>
      <c r="BO12" s="164"/>
      <c r="BP12" s="147"/>
      <c r="BQ12" s="164"/>
      <c r="BR12" s="164"/>
      <c r="BS12" s="164"/>
      <c r="BT12" s="807"/>
      <c r="BU12" s="164"/>
      <c r="BV12" s="164"/>
      <c r="BW12" s="164"/>
      <c r="BX12" s="807"/>
      <c r="BY12" s="164"/>
      <c r="BZ12" s="164"/>
      <c r="CA12" s="147"/>
      <c r="CB12" s="164"/>
      <c r="CC12" s="164"/>
      <c r="CD12" s="164"/>
      <c r="CE12" s="149"/>
      <c r="CF12" s="164"/>
      <c r="CG12" s="150"/>
      <c r="CH12" s="158"/>
      <c r="CI12" s="158"/>
      <c r="CJ12" s="158"/>
      <c r="CK12" s="158"/>
      <c r="CL12" s="158"/>
      <c r="CM12" s="150"/>
      <c r="CN12" s="158"/>
      <c r="CO12" s="164"/>
      <c r="CP12" s="158"/>
      <c r="CQ12" s="159"/>
      <c r="CR12" s="158">
        <v>1.03</v>
      </c>
      <c r="CS12" s="158"/>
      <c r="CT12" s="149"/>
      <c r="CU12" s="147"/>
      <c r="CV12" s="164"/>
      <c r="CW12" s="164"/>
    </row>
    <row r="13" spans="1:101" s="132" customFormat="1" ht="12.75" customHeight="1" x14ac:dyDescent="0.2">
      <c r="A13" s="183" t="e">
        <f t="shared" si="0"/>
        <v>#N/A</v>
      </c>
      <c r="B13" s="130"/>
      <c r="C13" s="172"/>
      <c r="D13" s="165"/>
      <c r="E13" s="171"/>
      <c r="F13" s="130"/>
      <c r="G13" s="168"/>
      <c r="H13" s="208"/>
      <c r="I13" s="208"/>
      <c r="J13" s="214"/>
      <c r="K13" s="144"/>
      <c r="L13" s="214"/>
      <c r="M13" s="144"/>
      <c r="N13" s="214"/>
      <c r="O13" s="144"/>
      <c r="P13" s="129"/>
      <c r="Q13" s="166"/>
      <c r="R13" s="129"/>
      <c r="S13" s="166"/>
      <c r="T13" s="141"/>
      <c r="U13" s="166"/>
      <c r="V13" s="141"/>
      <c r="W13" s="166"/>
      <c r="X13" s="141"/>
      <c r="Y13" s="141"/>
      <c r="Z13" s="956"/>
      <c r="AA13" s="141"/>
      <c r="AB13" s="236"/>
      <c r="AC13" s="166"/>
      <c r="AD13" s="993"/>
      <c r="AE13" s="166"/>
      <c r="AF13" s="141"/>
      <c r="AG13" s="166"/>
      <c r="AH13" s="141"/>
      <c r="AI13" s="141"/>
      <c r="AJ13" s="129"/>
      <c r="AK13" s="144"/>
      <c r="AL13" s="130"/>
      <c r="AM13" s="166"/>
      <c r="AN13" s="72"/>
      <c r="AO13" s="234"/>
      <c r="AP13" s="130"/>
      <c r="AQ13" s="166"/>
      <c r="AR13" s="154"/>
      <c r="AS13" s="141"/>
      <c r="AT13" s="956"/>
      <c r="AU13" s="166"/>
      <c r="AV13" s="129"/>
      <c r="AW13" s="166"/>
      <c r="AX13" s="157"/>
      <c r="AY13" s="166"/>
      <c r="AZ13" s="157"/>
      <c r="BA13" s="737"/>
      <c r="BB13" s="737"/>
      <c r="BC13" s="737"/>
      <c r="BD13" s="741"/>
      <c r="BE13" s="161"/>
      <c r="BF13" s="160"/>
      <c r="BG13" s="150"/>
      <c r="BH13" s="84"/>
      <c r="BI13" s="84"/>
      <c r="BJ13" s="84"/>
      <c r="BK13" s="164"/>
      <c r="BL13" s="164"/>
      <c r="BM13" s="164"/>
      <c r="BN13" s="164"/>
      <c r="BO13" s="164"/>
      <c r="BP13" s="147"/>
      <c r="BS13" s="164"/>
      <c r="BT13" s="807"/>
      <c r="BU13" s="164"/>
      <c r="BV13" s="164"/>
      <c r="BW13" s="164"/>
      <c r="BX13" s="807"/>
      <c r="CA13" s="147"/>
      <c r="CB13" s="164"/>
      <c r="CC13" s="164"/>
      <c r="CD13" s="164"/>
      <c r="CE13" s="149"/>
      <c r="CF13" s="164"/>
      <c r="CG13" s="150"/>
      <c r="CH13" s="84"/>
      <c r="CI13" s="84"/>
      <c r="CJ13" s="84"/>
      <c r="CK13" s="84"/>
      <c r="CL13" s="84"/>
      <c r="CM13" s="150"/>
      <c r="CN13" s="158"/>
      <c r="CP13" s="84"/>
      <c r="CQ13" s="159"/>
      <c r="CR13" s="158">
        <v>1.25</v>
      </c>
      <c r="CS13" s="158"/>
      <c r="CT13" s="149"/>
      <c r="CU13" s="147"/>
    </row>
    <row r="14" spans="1:101" s="132" customFormat="1" ht="12.75" customHeight="1" x14ac:dyDescent="0.2">
      <c r="A14" s="183" t="e">
        <f t="shared" si="0"/>
        <v>#N/A</v>
      </c>
      <c r="B14" s="140"/>
      <c r="C14" s="172"/>
      <c r="D14" s="206"/>
      <c r="E14" s="171"/>
      <c r="F14" s="140"/>
      <c r="G14" s="168"/>
      <c r="H14" s="208"/>
      <c r="I14" s="208"/>
      <c r="J14" s="214"/>
      <c r="K14" s="144"/>
      <c r="L14" s="214"/>
      <c r="M14" s="144"/>
      <c r="N14" s="214"/>
      <c r="O14" s="144"/>
      <c r="P14" s="162"/>
      <c r="Q14" s="166"/>
      <c r="R14" s="162"/>
      <c r="S14" s="166"/>
      <c r="T14" s="141"/>
      <c r="U14" s="166"/>
      <c r="V14" s="141"/>
      <c r="W14" s="166"/>
      <c r="X14" s="141"/>
      <c r="Y14" s="141"/>
      <c r="Z14" s="956"/>
      <c r="AA14" s="141"/>
      <c r="AB14" s="236"/>
      <c r="AC14" s="166"/>
      <c r="AD14" s="993"/>
      <c r="AE14" s="166"/>
      <c r="AF14" s="141"/>
      <c r="AG14" s="166"/>
      <c r="AH14" s="141"/>
      <c r="AI14" s="141"/>
      <c r="AJ14" s="162"/>
      <c r="AK14" s="144"/>
      <c r="AL14" s="140"/>
      <c r="AM14" s="166"/>
      <c r="AN14" s="282"/>
      <c r="AO14" s="234"/>
      <c r="AP14" s="140"/>
      <c r="AQ14" s="166"/>
      <c r="AR14" s="141"/>
      <c r="AS14" s="141"/>
      <c r="AT14" s="956"/>
      <c r="AU14" s="166"/>
      <c r="AV14" s="162"/>
      <c r="AW14" s="166"/>
      <c r="AX14" s="157"/>
      <c r="AY14" s="166"/>
      <c r="AZ14" s="157"/>
      <c r="BA14" s="737"/>
      <c r="BB14" s="737"/>
      <c r="BC14" s="737"/>
      <c r="BD14" s="741"/>
      <c r="BE14" s="161"/>
      <c r="BF14" s="738"/>
      <c r="BG14" s="150"/>
      <c r="BH14" s="158"/>
      <c r="BI14" s="158"/>
      <c r="BJ14" s="158"/>
      <c r="BK14" s="164"/>
      <c r="BL14" s="164"/>
      <c r="BM14" s="164"/>
      <c r="BN14" s="164"/>
      <c r="BO14" s="164"/>
      <c r="BP14" s="147"/>
      <c r="BQ14" s="164"/>
      <c r="BR14" s="164"/>
      <c r="BS14" s="164"/>
      <c r="BT14" s="807"/>
      <c r="BU14" s="164"/>
      <c r="BV14" s="164"/>
      <c r="BW14" s="164"/>
      <c r="BX14" s="807"/>
      <c r="BY14" s="164"/>
      <c r="BZ14" s="164"/>
      <c r="CA14" s="147"/>
      <c r="CB14" s="164"/>
      <c r="CC14" s="164"/>
      <c r="CD14" s="164"/>
      <c r="CE14" s="149"/>
      <c r="CF14" s="164"/>
      <c r="CG14" s="150"/>
      <c r="CH14" s="158"/>
      <c r="CI14" s="158"/>
      <c r="CJ14" s="158"/>
      <c r="CK14" s="158"/>
      <c r="CL14" s="158"/>
      <c r="CM14" s="150"/>
      <c r="CN14" s="158"/>
      <c r="CO14" s="164"/>
      <c r="CP14" s="158"/>
      <c r="CQ14" s="159"/>
      <c r="CR14" s="158">
        <v>1.1200000000000001</v>
      </c>
      <c r="CS14" s="158"/>
      <c r="CT14" s="149"/>
      <c r="CU14" s="147"/>
      <c r="CV14" s="164"/>
    </row>
    <row r="15" spans="1:101" s="132" customFormat="1" ht="12.75" customHeight="1" x14ac:dyDescent="0.2">
      <c r="A15" s="183" t="e">
        <f t="shared" si="0"/>
        <v>#N/A</v>
      </c>
      <c r="B15" s="130">
        <v>2.2027999999999937</v>
      </c>
      <c r="C15" s="172">
        <v>830487149.30999994</v>
      </c>
      <c r="D15" s="165">
        <v>1.0146999999999906</v>
      </c>
      <c r="E15" s="171">
        <v>801630823.59000003</v>
      </c>
      <c r="F15" s="130">
        <v>1.7652999999999919</v>
      </c>
      <c r="G15" s="168">
        <v>857493371.97000003</v>
      </c>
      <c r="H15" s="208"/>
      <c r="I15" s="208"/>
      <c r="J15" s="214"/>
      <c r="K15" s="144"/>
      <c r="L15" s="214"/>
      <c r="M15" s="144"/>
      <c r="N15" s="214"/>
      <c r="O15" s="144"/>
      <c r="P15" s="129"/>
      <c r="Q15" s="166"/>
      <c r="R15" s="129"/>
      <c r="S15" s="166"/>
      <c r="T15" s="141"/>
      <c r="U15" s="166"/>
      <c r="V15" s="141"/>
      <c r="W15" s="166"/>
      <c r="X15" s="141"/>
      <c r="Y15" s="141"/>
      <c r="Z15" s="956"/>
      <c r="AA15" s="141"/>
      <c r="AB15" s="236"/>
      <c r="AC15" s="166"/>
      <c r="AD15" s="993"/>
      <c r="AE15" s="166"/>
      <c r="AF15" s="141"/>
      <c r="AG15" s="166"/>
      <c r="AH15" s="141"/>
      <c r="AI15" s="141"/>
      <c r="AJ15" s="129"/>
      <c r="AK15" s="144"/>
      <c r="AL15" s="130">
        <v>0.58329999999999771</v>
      </c>
      <c r="AM15" s="166">
        <v>189092497.14000002</v>
      </c>
      <c r="AN15" s="72">
        <v>0.90180000000000005</v>
      </c>
      <c r="AO15" s="234">
        <v>609063090.62</v>
      </c>
      <c r="AP15" s="130">
        <v>2.4380999999999999</v>
      </c>
      <c r="AQ15" s="166">
        <v>183240138.22999999</v>
      </c>
      <c r="AR15" s="124"/>
      <c r="AS15" s="141"/>
      <c r="AT15" s="956"/>
      <c r="AU15" s="166"/>
      <c r="AV15" s="129"/>
      <c r="AW15" s="166"/>
      <c r="AX15" s="157">
        <v>-0.33450000000000424</v>
      </c>
      <c r="AY15" s="166">
        <v>433207422.10999995</v>
      </c>
      <c r="AZ15" s="157">
        <v>-1.0322999999999971</v>
      </c>
      <c r="BA15" s="737">
        <v>437267422.16000003</v>
      </c>
      <c r="BB15" s="737"/>
      <c r="BC15" s="737"/>
      <c r="BD15" s="741"/>
      <c r="BE15" s="161"/>
      <c r="BF15" s="160"/>
      <c r="BG15" s="150"/>
      <c r="BH15" s="84"/>
      <c r="BI15" s="84"/>
      <c r="BJ15" s="84"/>
      <c r="BK15" s="164"/>
      <c r="BL15" s="164"/>
      <c r="BM15" s="164"/>
      <c r="BN15" s="164"/>
      <c r="BO15" s="164"/>
      <c r="BP15" s="147"/>
      <c r="BS15" s="164"/>
      <c r="BT15" s="807"/>
      <c r="BU15" s="164"/>
      <c r="BV15" s="164"/>
      <c r="BW15" s="164"/>
      <c r="BX15" s="807"/>
      <c r="CA15" s="147"/>
      <c r="CB15" s="164"/>
      <c r="CC15" s="164"/>
      <c r="CD15" s="164"/>
      <c r="CE15" s="149"/>
      <c r="CF15" s="164"/>
      <c r="CG15" s="150"/>
      <c r="CH15" s="84"/>
      <c r="CI15" s="84"/>
      <c r="CJ15" s="84"/>
      <c r="CK15" s="84"/>
      <c r="CL15" s="84"/>
      <c r="CM15" s="150"/>
      <c r="CN15" s="158"/>
      <c r="CP15" s="84"/>
      <c r="CQ15" s="159"/>
      <c r="CR15" s="158">
        <v>0.82</v>
      </c>
      <c r="CS15" s="158"/>
      <c r="CT15" s="149"/>
      <c r="CU15" s="147"/>
    </row>
    <row r="16" spans="1:101" s="132" customFormat="1" ht="12.75" customHeight="1" x14ac:dyDescent="0.2">
      <c r="A16" s="183" t="e">
        <f t="shared" si="0"/>
        <v>#N/A</v>
      </c>
      <c r="B16" s="130">
        <v>2.2027999999999937</v>
      </c>
      <c r="C16" s="172">
        <v>845781635.7700001</v>
      </c>
      <c r="D16" s="165">
        <v>1.0146999999999906</v>
      </c>
      <c r="E16" s="171">
        <v>818794526.62999988</v>
      </c>
      <c r="F16" s="130">
        <v>1.7652999999999919</v>
      </c>
      <c r="G16" s="168">
        <v>864615472.50999987</v>
      </c>
      <c r="H16" s="208"/>
      <c r="I16" s="208"/>
      <c r="J16" s="214"/>
      <c r="K16" s="144"/>
      <c r="L16" s="214"/>
      <c r="M16" s="144"/>
      <c r="N16" s="214"/>
      <c r="O16" s="144"/>
      <c r="P16" s="129"/>
      <c r="Q16" s="166"/>
      <c r="R16" s="129"/>
      <c r="S16" s="166"/>
      <c r="T16" s="141"/>
      <c r="U16" s="166"/>
      <c r="V16" s="141"/>
      <c r="W16" s="166"/>
      <c r="X16" s="141"/>
      <c r="Y16" s="141"/>
      <c r="Z16" s="956"/>
      <c r="AA16" s="141"/>
      <c r="AB16" s="236"/>
      <c r="AC16" s="166"/>
      <c r="AD16" s="993"/>
      <c r="AE16" s="166"/>
      <c r="AF16" s="141"/>
      <c r="AG16" s="166"/>
      <c r="AH16" s="141"/>
      <c r="AI16" s="141"/>
      <c r="AJ16" s="129"/>
      <c r="AK16" s="144"/>
      <c r="AL16" s="130">
        <v>0.58329999999999771</v>
      </c>
      <c r="AM16" s="166">
        <v>186595140.07000005</v>
      </c>
      <c r="AN16" s="72">
        <v>0.90180000000000005</v>
      </c>
      <c r="AO16" s="234">
        <v>605538815.28999996</v>
      </c>
      <c r="AP16" s="130">
        <v>2.4380999999999999</v>
      </c>
      <c r="AQ16" s="166">
        <v>190139692.55000001</v>
      </c>
      <c r="AR16" s="124"/>
      <c r="AS16" s="141"/>
      <c r="AT16" s="956"/>
      <c r="AU16" s="166"/>
      <c r="AV16" s="129"/>
      <c r="AW16" s="166"/>
      <c r="AX16" s="157">
        <v>-0.33450000000000424</v>
      </c>
      <c r="AY16" s="166">
        <v>428640564.20999998</v>
      </c>
      <c r="AZ16" s="157">
        <v>-1.0322999999999971</v>
      </c>
      <c r="BA16" s="737">
        <v>425664158.94</v>
      </c>
      <c r="BB16" s="737"/>
      <c r="BC16" s="737"/>
      <c r="BD16" s="741"/>
      <c r="BE16" s="161"/>
      <c r="BF16" s="160"/>
      <c r="BG16" s="150"/>
      <c r="BH16" s="84"/>
      <c r="BI16" s="84"/>
      <c r="BJ16" s="84"/>
      <c r="BK16" s="164"/>
      <c r="BL16" s="164"/>
      <c r="BM16" s="164"/>
      <c r="BN16" s="164"/>
      <c r="BO16" s="164"/>
      <c r="BP16" s="147"/>
      <c r="BS16" s="164"/>
      <c r="BT16" s="807"/>
      <c r="BU16" s="164"/>
      <c r="BV16" s="164"/>
      <c r="BW16" s="164"/>
      <c r="BX16" s="807"/>
      <c r="CA16" s="147"/>
      <c r="CB16" s="164"/>
      <c r="CC16" s="164"/>
      <c r="CD16" s="164"/>
      <c r="CE16" s="149"/>
      <c r="CF16" s="164"/>
      <c r="CG16" s="150"/>
      <c r="CH16" s="84"/>
      <c r="CI16" s="84"/>
      <c r="CJ16" s="84"/>
      <c r="CK16" s="84"/>
      <c r="CL16" s="84"/>
      <c r="CM16" s="150"/>
      <c r="CN16" s="158"/>
      <c r="CP16" s="84"/>
      <c r="CQ16" s="159"/>
      <c r="CR16" s="158">
        <v>-1.05</v>
      </c>
      <c r="CS16" s="158"/>
      <c r="CT16" s="149"/>
      <c r="CU16" s="147"/>
    </row>
    <row r="17" spans="1:99" s="132" customFormat="1" ht="12.75" customHeight="1" x14ac:dyDescent="0.2">
      <c r="A17" s="183" t="e">
        <f t="shared" si="0"/>
        <v>#N/A</v>
      </c>
      <c r="B17" s="140">
        <v>2.2027999999999937</v>
      </c>
      <c r="C17" s="172">
        <v>861912369.01999998</v>
      </c>
      <c r="D17" s="206">
        <v>1.0146999999999906</v>
      </c>
      <c r="E17" s="171">
        <v>811927799.05999994</v>
      </c>
      <c r="F17" s="140">
        <v>1.7652999999999919</v>
      </c>
      <c r="G17" s="168">
        <v>872403694.75000012</v>
      </c>
      <c r="H17" s="208"/>
      <c r="I17" s="208"/>
      <c r="J17" s="214"/>
      <c r="K17" s="144"/>
      <c r="L17" s="214"/>
      <c r="M17" s="144"/>
      <c r="N17" s="214"/>
      <c r="O17" s="144"/>
      <c r="P17" s="162"/>
      <c r="Q17" s="166"/>
      <c r="R17" s="162"/>
      <c r="S17" s="166"/>
      <c r="T17" s="141"/>
      <c r="U17" s="166"/>
      <c r="V17" s="141"/>
      <c r="W17" s="166"/>
      <c r="X17" s="141"/>
      <c r="Y17" s="141"/>
      <c r="Z17" s="956"/>
      <c r="AA17" s="141"/>
      <c r="AB17" s="236"/>
      <c r="AC17" s="166"/>
      <c r="AD17" s="993"/>
      <c r="AE17" s="166"/>
      <c r="AF17" s="141"/>
      <c r="AG17" s="166"/>
      <c r="AH17" s="141"/>
      <c r="AI17" s="141"/>
      <c r="AJ17" s="162"/>
      <c r="AK17" s="144"/>
      <c r="AL17" s="140">
        <v>0.58329999999999771</v>
      </c>
      <c r="AM17" s="166">
        <v>192111588.86000004</v>
      </c>
      <c r="AN17" s="282">
        <v>0.90180000000000005</v>
      </c>
      <c r="AO17" s="234">
        <v>622150948.53999996</v>
      </c>
      <c r="AP17" s="140">
        <v>2.4380999999999999</v>
      </c>
      <c r="AQ17" s="166">
        <v>194060539.53</v>
      </c>
      <c r="AR17" s="141"/>
      <c r="AS17" s="141"/>
      <c r="AT17" s="956"/>
      <c r="AU17" s="166"/>
      <c r="AV17" s="162"/>
      <c r="AW17" s="166"/>
      <c r="AX17" s="157">
        <v>-0.33450000000000424</v>
      </c>
      <c r="AY17" s="166">
        <v>426488446.34000003</v>
      </c>
      <c r="AZ17" s="157">
        <v>-1.0322999999999971</v>
      </c>
      <c r="BA17" s="737">
        <v>421443174.03000003</v>
      </c>
      <c r="BB17" s="737"/>
      <c r="BC17" s="737"/>
      <c r="BD17" s="741"/>
      <c r="BE17" s="161"/>
      <c r="BF17" s="160"/>
      <c r="BG17" s="150"/>
      <c r="BH17" s="158"/>
      <c r="BI17" s="158"/>
      <c r="BJ17" s="158"/>
      <c r="BK17" s="164"/>
      <c r="BL17" s="164"/>
      <c r="BM17" s="164"/>
      <c r="BN17" s="164"/>
      <c r="BO17" s="164"/>
      <c r="BP17" s="147"/>
      <c r="BQ17" s="164"/>
      <c r="BR17" s="164"/>
      <c r="BS17" s="164"/>
      <c r="BT17" s="807"/>
      <c r="BU17" s="164"/>
      <c r="BV17" s="164"/>
      <c r="BW17" s="164"/>
      <c r="BX17" s="807"/>
      <c r="BY17" s="164"/>
      <c r="BZ17" s="164"/>
      <c r="CA17" s="147"/>
      <c r="CB17" s="164"/>
      <c r="CC17" s="164"/>
      <c r="CD17" s="164"/>
      <c r="CE17" s="149"/>
      <c r="CF17" s="164"/>
      <c r="CG17" s="150"/>
      <c r="CH17" s="158"/>
      <c r="CI17" s="158"/>
      <c r="CJ17" s="158"/>
      <c r="CK17" s="158"/>
      <c r="CL17" s="158"/>
      <c r="CM17" s="150"/>
      <c r="CN17" s="158"/>
      <c r="CO17" s="164"/>
      <c r="CP17" s="158"/>
      <c r="CQ17" s="159"/>
      <c r="CR17" s="158">
        <v>-0.46</v>
      </c>
      <c r="CS17" s="158"/>
      <c r="CT17" s="149"/>
      <c r="CU17" s="147"/>
    </row>
    <row r="18" spans="1:99" s="132" customFormat="1" ht="12.75" customHeight="1" x14ac:dyDescent="0.2">
      <c r="A18" s="183" t="e">
        <f t="shared" si="0"/>
        <v>#N/A</v>
      </c>
      <c r="B18" s="130">
        <v>0.873999999999997</v>
      </c>
      <c r="C18" s="172">
        <v>873991724.10000002</v>
      </c>
      <c r="D18" s="165">
        <v>1.1028000000000038</v>
      </c>
      <c r="E18" s="171">
        <v>836235895.27999997</v>
      </c>
      <c r="F18" s="130">
        <v>1.519500000000007</v>
      </c>
      <c r="G18" s="168">
        <v>883815365.23000002</v>
      </c>
      <c r="H18" s="208"/>
      <c r="I18" s="208"/>
      <c r="J18" s="214"/>
      <c r="K18" s="144"/>
      <c r="L18" s="214"/>
      <c r="M18" s="144"/>
      <c r="N18" s="214"/>
      <c r="O18" s="144"/>
      <c r="P18" s="129"/>
      <c r="Q18" s="166"/>
      <c r="R18" s="129"/>
      <c r="S18" s="166"/>
      <c r="T18" s="141"/>
      <c r="U18" s="166"/>
      <c r="V18" s="141"/>
      <c r="W18" s="166"/>
      <c r="X18" s="141"/>
      <c r="Y18" s="141"/>
      <c r="Z18" s="956"/>
      <c r="AA18" s="141"/>
      <c r="AB18" s="236"/>
      <c r="AC18" s="166"/>
      <c r="AD18" s="993"/>
      <c r="AE18" s="166"/>
      <c r="AF18" s="141"/>
      <c r="AG18" s="166"/>
      <c r="AH18" s="141"/>
      <c r="AI18" s="141"/>
      <c r="AJ18" s="129"/>
      <c r="AK18" s="144"/>
      <c r="AL18" s="130">
        <v>0.52060000000000439</v>
      </c>
      <c r="AM18" s="166">
        <v>202364086.51000002</v>
      </c>
      <c r="AN18" s="72">
        <v>0.58330000000000004</v>
      </c>
      <c r="AO18" s="234">
        <v>640793790.69000006</v>
      </c>
      <c r="AP18" s="130">
        <v>1.502</v>
      </c>
      <c r="AQ18" s="166">
        <v>198819749.93000001</v>
      </c>
      <c r="AR18" s="124"/>
      <c r="AS18" s="141"/>
      <c r="AT18" s="956"/>
      <c r="AU18" s="166"/>
      <c r="AV18" s="129"/>
      <c r="AW18" s="166"/>
      <c r="AX18" s="157">
        <v>0.14849999999999586</v>
      </c>
      <c r="AY18" s="166">
        <v>423857993.99000007</v>
      </c>
      <c r="AZ18" s="157">
        <v>3.1699999999990069E-2</v>
      </c>
      <c r="BA18" s="737">
        <v>417641509.74999994</v>
      </c>
      <c r="BB18" s="737"/>
      <c r="BC18" s="737"/>
      <c r="BD18" s="741"/>
      <c r="BE18" s="161"/>
      <c r="BF18" s="160"/>
      <c r="BG18" s="150"/>
      <c r="BH18" s="84"/>
      <c r="BI18" s="84"/>
      <c r="BJ18" s="84"/>
      <c r="BK18" s="164"/>
      <c r="BL18" s="164"/>
      <c r="BM18" s="164"/>
      <c r="BN18" s="164"/>
      <c r="BO18" s="164"/>
      <c r="BP18" s="147"/>
      <c r="BS18" s="164"/>
      <c r="BT18" s="807"/>
      <c r="BU18" s="164"/>
      <c r="BV18" s="164"/>
      <c r="BW18" s="164"/>
      <c r="BX18" s="807"/>
      <c r="CA18" s="147"/>
      <c r="CB18" s="164"/>
      <c r="CC18" s="164"/>
      <c r="CD18" s="164"/>
      <c r="CE18" s="149"/>
      <c r="CF18" s="164"/>
      <c r="CG18" s="150"/>
      <c r="CH18" s="84"/>
      <c r="CI18" s="84"/>
      <c r="CJ18" s="84"/>
      <c r="CK18" s="84"/>
      <c r="CL18" s="84"/>
      <c r="CM18" s="150"/>
      <c r="CN18" s="158"/>
      <c r="CP18" s="84"/>
      <c r="CQ18" s="159"/>
      <c r="CR18" s="158">
        <v>-0.32</v>
      </c>
      <c r="CS18" s="158"/>
      <c r="CT18" s="149"/>
      <c r="CU18" s="147"/>
    </row>
    <row r="19" spans="1:99" s="132" customFormat="1" ht="12.75" customHeight="1" x14ac:dyDescent="0.2">
      <c r="A19" s="183" t="e">
        <f t="shared" si="0"/>
        <v>#N/A</v>
      </c>
      <c r="B19" s="130">
        <v>0.873999999999997</v>
      </c>
      <c r="C19" s="172">
        <v>893243846.73999989</v>
      </c>
      <c r="D19" s="165">
        <v>1.1028000000000038</v>
      </c>
      <c r="E19" s="171">
        <v>853306871.99000001</v>
      </c>
      <c r="F19" s="130">
        <v>1.519500000000007</v>
      </c>
      <c r="G19" s="168">
        <v>907792442.83999991</v>
      </c>
      <c r="H19" s="208"/>
      <c r="I19" s="208"/>
      <c r="J19" s="214"/>
      <c r="K19" s="144"/>
      <c r="L19" s="214"/>
      <c r="M19" s="144"/>
      <c r="N19" s="214"/>
      <c r="O19" s="144"/>
      <c r="P19" s="129"/>
      <c r="Q19" s="166"/>
      <c r="R19" s="129"/>
      <c r="S19" s="166"/>
      <c r="T19" s="141"/>
      <c r="U19" s="166"/>
      <c r="V19" s="141"/>
      <c r="W19" s="166"/>
      <c r="X19" s="141"/>
      <c r="Y19" s="141"/>
      <c r="Z19" s="956"/>
      <c r="AA19" s="141"/>
      <c r="AB19" s="236"/>
      <c r="AC19" s="166"/>
      <c r="AD19" s="993"/>
      <c r="AE19" s="166"/>
      <c r="AF19" s="141"/>
      <c r="AG19" s="166"/>
      <c r="AH19" s="141"/>
      <c r="AI19" s="141"/>
      <c r="AJ19" s="129"/>
      <c r="AK19" s="144"/>
      <c r="AL19" s="130">
        <v>0.52060000000000439</v>
      </c>
      <c r="AM19" s="166">
        <v>193797610.82999998</v>
      </c>
      <c r="AN19" s="72">
        <v>0.58330000000000004</v>
      </c>
      <c r="AO19" s="234">
        <v>629938704.36000001</v>
      </c>
      <c r="AP19" s="130">
        <v>1.502</v>
      </c>
      <c r="AQ19" s="166">
        <v>200569924.93000001</v>
      </c>
      <c r="AR19" s="124"/>
      <c r="AS19" s="141"/>
      <c r="AT19" s="956"/>
      <c r="AU19" s="166"/>
      <c r="AV19" s="129"/>
      <c r="AW19" s="166"/>
      <c r="AX19" s="157">
        <v>0.14849999999999586</v>
      </c>
      <c r="AY19" s="166">
        <v>423441899.28000009</v>
      </c>
      <c r="AZ19" s="157">
        <v>3.1699999999990069E-2</v>
      </c>
      <c r="BA19" s="737">
        <v>416307267.75</v>
      </c>
      <c r="BB19" s="737"/>
      <c r="BC19" s="737"/>
      <c r="BD19" s="741"/>
      <c r="BE19" s="161"/>
      <c r="BF19" s="160"/>
      <c r="BG19" s="150"/>
      <c r="BH19" s="84"/>
      <c r="BI19" s="84"/>
      <c r="BJ19" s="84"/>
      <c r="BK19" s="164"/>
      <c r="BL19" s="164"/>
      <c r="BM19" s="164"/>
      <c r="BN19" s="164"/>
      <c r="BO19" s="164"/>
      <c r="BP19" s="147"/>
      <c r="BS19" s="164"/>
      <c r="BT19" s="807"/>
      <c r="BU19" s="164"/>
      <c r="BV19" s="164"/>
      <c r="BW19" s="164"/>
      <c r="BX19" s="807"/>
      <c r="CA19" s="147"/>
      <c r="CB19" s="164"/>
      <c r="CC19" s="164"/>
      <c r="CD19" s="164"/>
      <c r="CE19" s="149"/>
      <c r="CF19" s="164"/>
      <c r="CG19" s="150"/>
      <c r="CH19" s="84"/>
      <c r="CI19" s="84"/>
      <c r="CJ19" s="84"/>
      <c r="CK19" s="84"/>
      <c r="CL19" s="84"/>
      <c r="CM19" s="150"/>
      <c r="CN19" s="158"/>
      <c r="CP19" s="84"/>
      <c r="CQ19" s="159"/>
      <c r="CR19" s="158">
        <v>-0.15</v>
      </c>
      <c r="CS19" s="158"/>
      <c r="CT19" s="149"/>
      <c r="CU19" s="147"/>
    </row>
    <row r="20" spans="1:99" s="164" customFormat="1" ht="12.75" customHeight="1" x14ac:dyDescent="0.2">
      <c r="A20" s="183" t="e">
        <f t="shared" si="0"/>
        <v>#N/A</v>
      </c>
      <c r="B20" s="140">
        <v>0.873999999999997</v>
      </c>
      <c r="C20" s="172">
        <v>884960455.94000006</v>
      </c>
      <c r="D20" s="206">
        <v>1.1028000000000038</v>
      </c>
      <c r="E20" s="171">
        <v>839377428.67000008</v>
      </c>
      <c r="F20" s="140">
        <v>1.519500000000007</v>
      </c>
      <c r="G20" s="168">
        <v>912987115.59000015</v>
      </c>
      <c r="H20" s="208"/>
      <c r="I20" s="208"/>
      <c r="J20" s="214"/>
      <c r="K20" s="144"/>
      <c r="L20" s="214"/>
      <c r="M20" s="144"/>
      <c r="N20" s="214"/>
      <c r="O20" s="144"/>
      <c r="P20" s="162"/>
      <c r="Q20" s="166"/>
      <c r="R20" s="162"/>
      <c r="S20" s="166"/>
      <c r="T20" s="141"/>
      <c r="U20" s="166"/>
      <c r="V20" s="141"/>
      <c r="W20" s="166"/>
      <c r="X20" s="141"/>
      <c r="Y20" s="141"/>
      <c r="Z20" s="956"/>
      <c r="AA20" s="141"/>
      <c r="AB20" s="236"/>
      <c r="AC20" s="166"/>
      <c r="AD20" s="993"/>
      <c r="AE20" s="166"/>
      <c r="AF20" s="141"/>
      <c r="AG20" s="166"/>
      <c r="AH20" s="141"/>
      <c r="AI20" s="141"/>
      <c r="AJ20" s="162"/>
      <c r="AK20" s="144"/>
      <c r="AL20" s="140">
        <v>0.52060000000000439</v>
      </c>
      <c r="AM20" s="166">
        <v>195089633.91000006</v>
      </c>
      <c r="AN20" s="282">
        <v>0.58330000000000004</v>
      </c>
      <c r="AO20" s="234">
        <v>633424949.84000003</v>
      </c>
      <c r="AP20" s="140">
        <v>1.502</v>
      </c>
      <c r="AQ20" s="166">
        <v>203089078.59999999</v>
      </c>
      <c r="AR20" s="141"/>
      <c r="AS20" s="141"/>
      <c r="AT20" s="956"/>
      <c r="AU20" s="166"/>
      <c r="AV20" s="162"/>
      <c r="AW20" s="166"/>
      <c r="AX20" s="157">
        <v>0.14849999999999586</v>
      </c>
      <c r="AY20" s="166">
        <v>428456047.51999998</v>
      </c>
      <c r="AZ20" s="157">
        <v>3.1699999999990069E-2</v>
      </c>
      <c r="BA20" s="737">
        <v>421930045.58000004</v>
      </c>
      <c r="BB20" s="737"/>
      <c r="BC20" s="737"/>
      <c r="BD20" s="741"/>
      <c r="BE20" s="161"/>
      <c r="BF20" s="160"/>
      <c r="BG20" s="150"/>
      <c r="BH20" s="158"/>
      <c r="BI20" s="158"/>
      <c r="BJ20" s="158"/>
      <c r="BP20" s="147"/>
      <c r="BT20" s="807"/>
      <c r="BX20" s="807"/>
      <c r="CA20" s="147"/>
      <c r="CE20" s="149"/>
      <c r="CG20" s="150"/>
      <c r="CH20" s="158"/>
      <c r="CI20" s="158"/>
      <c r="CJ20" s="158"/>
      <c r="CK20" s="158"/>
      <c r="CL20" s="158"/>
      <c r="CM20" s="150"/>
      <c r="CN20" s="158"/>
      <c r="CP20" s="158"/>
      <c r="CQ20" s="159"/>
      <c r="CR20" s="158">
        <v>1.18</v>
      </c>
      <c r="CS20" s="158"/>
      <c r="CT20" s="149"/>
      <c r="CU20" s="147"/>
    </row>
    <row r="21" spans="1:99" s="132" customFormat="1" ht="12.75" customHeight="1" x14ac:dyDescent="0.2">
      <c r="A21" s="183" t="e">
        <f t="shared" si="0"/>
        <v>#N/A</v>
      </c>
      <c r="B21" s="130">
        <v>0.97869999999999902</v>
      </c>
      <c r="C21" s="172">
        <v>840306323.37</v>
      </c>
      <c r="D21" s="165">
        <v>2.3206999999999978</v>
      </c>
      <c r="E21" s="171">
        <v>807342797.20000005</v>
      </c>
      <c r="F21" s="130">
        <v>0.97869999999999902</v>
      </c>
      <c r="G21" s="168">
        <v>873472428.14999998</v>
      </c>
      <c r="H21" s="208"/>
      <c r="I21" s="208"/>
      <c r="J21" s="214"/>
      <c r="K21" s="144"/>
      <c r="L21" s="214"/>
      <c r="M21" s="144"/>
      <c r="N21" s="214"/>
      <c r="O21" s="144"/>
      <c r="P21" s="129"/>
      <c r="Q21" s="166"/>
      <c r="R21" s="129"/>
      <c r="S21" s="166"/>
      <c r="T21" s="141"/>
      <c r="U21" s="166"/>
      <c r="V21" s="141"/>
      <c r="W21" s="166"/>
      <c r="X21" s="141"/>
      <c r="Y21" s="141"/>
      <c r="Z21" s="956"/>
      <c r="AA21" s="141"/>
      <c r="AB21" s="236"/>
      <c r="AC21" s="166"/>
      <c r="AD21" s="993"/>
      <c r="AE21" s="166"/>
      <c r="AF21" s="141"/>
      <c r="AG21" s="166"/>
      <c r="AH21" s="141"/>
      <c r="AI21" s="141"/>
      <c r="AJ21" s="129"/>
      <c r="AK21" s="144"/>
      <c r="AL21" s="130">
        <v>-1.5333999999999959</v>
      </c>
      <c r="AM21" s="166">
        <v>184693058.52999991</v>
      </c>
      <c r="AN21" s="72">
        <v>8.6599999999999996E-2</v>
      </c>
      <c r="AO21" s="234">
        <v>613052424.07000005</v>
      </c>
      <c r="AP21" s="130">
        <v>0.78189999999999993</v>
      </c>
      <c r="AQ21" s="166">
        <v>197959392.21000001</v>
      </c>
      <c r="AR21" s="124"/>
      <c r="AS21" s="141"/>
      <c r="AT21" s="956"/>
      <c r="AU21" s="166"/>
      <c r="AV21" s="129"/>
      <c r="AW21" s="166"/>
      <c r="AX21" s="157">
        <v>0.53870000000000307</v>
      </c>
      <c r="AY21" s="166">
        <v>429498149.1500001</v>
      </c>
      <c r="AZ21" s="157">
        <v>0.56840000000000224</v>
      </c>
      <c r="BA21" s="737">
        <v>422630385.95999998</v>
      </c>
      <c r="BB21" s="737"/>
      <c r="BC21" s="737"/>
      <c r="BD21" s="741"/>
      <c r="BE21" s="161"/>
      <c r="BF21" s="160"/>
      <c r="BG21" s="150">
        <v>1.0197752136206217</v>
      </c>
      <c r="BH21" s="84">
        <f t="shared" ref="BH21:BH52" si="1">B21-BG21</f>
        <v>-4.1075213620622719E-2</v>
      </c>
      <c r="BI21" s="84">
        <f t="shared" ref="BI21:BI41" si="2">D21-BG21</f>
        <v>1.300924786379376</v>
      </c>
      <c r="BJ21" s="84">
        <f t="shared" ref="BJ21:BJ50" si="3">F21-BG21</f>
        <v>-4.1075213620622719E-2</v>
      </c>
      <c r="BK21" s="164"/>
      <c r="BL21" s="164"/>
      <c r="BM21" s="164"/>
      <c r="BN21" s="164"/>
      <c r="BO21" s="164"/>
      <c r="BP21" s="147"/>
      <c r="BS21" s="164"/>
      <c r="BT21" s="807"/>
      <c r="BU21" s="164"/>
      <c r="BV21" s="164"/>
      <c r="BW21" s="164"/>
      <c r="BX21" s="807"/>
      <c r="CA21" s="147"/>
      <c r="CB21" s="164"/>
      <c r="CC21" s="164"/>
      <c r="CD21" s="164"/>
      <c r="CE21" s="149"/>
      <c r="CF21" s="164"/>
      <c r="CG21" s="150">
        <v>-1.3614999999999999</v>
      </c>
      <c r="CH21" s="84">
        <f t="shared" ref="CH21:CH47" si="4">AL21-CG21</f>
        <v>-0.17189999999999594</v>
      </c>
      <c r="CI21" s="84">
        <v>-1.6484045315523499E-2</v>
      </c>
      <c r="CJ21" s="84">
        <f t="shared" ref="CJ21:CJ52" si="5">AN21-CI21</f>
        <v>0.1030840453155235</v>
      </c>
      <c r="CK21" s="84">
        <f t="shared" ref="CK21:CK52" si="6">AP21-CI21</f>
        <v>0.79838404531552343</v>
      </c>
      <c r="CL21" s="84"/>
      <c r="CM21" s="150">
        <v>0.61253414677318041</v>
      </c>
      <c r="CN21" s="158"/>
      <c r="CP21" s="84">
        <f t="shared" ref="CP21:CP49" si="7">AX21-CM21</f>
        <v>-7.3834146773177345E-2</v>
      </c>
      <c r="CQ21" s="159">
        <f t="shared" ref="CQ21:CQ41" si="8">AZ21-CM21</f>
        <v>-4.4134146773178173E-2</v>
      </c>
      <c r="CR21" s="158">
        <v>0.32</v>
      </c>
      <c r="CS21" s="158"/>
      <c r="CT21" s="149"/>
      <c r="CU21" s="147"/>
    </row>
    <row r="22" spans="1:99" s="132" customFormat="1" ht="12.75" customHeight="1" x14ac:dyDescent="0.2">
      <c r="A22" s="183" t="e">
        <f t="shared" si="0"/>
        <v>#N/A</v>
      </c>
      <c r="B22" s="130">
        <v>0.97869999999999902</v>
      </c>
      <c r="C22" s="172">
        <v>864595007.58999991</v>
      </c>
      <c r="D22" s="165">
        <v>2.3206999999999978</v>
      </c>
      <c r="E22" s="171">
        <v>837173142.3499999</v>
      </c>
      <c r="F22" s="130">
        <v>0.97869999999999902</v>
      </c>
      <c r="G22" s="168">
        <v>890960637.74000001</v>
      </c>
      <c r="H22" s="208"/>
      <c r="I22" s="208"/>
      <c r="J22" s="214"/>
      <c r="K22" s="144"/>
      <c r="L22" s="214"/>
      <c r="M22" s="144"/>
      <c r="N22" s="214"/>
      <c r="O22" s="144"/>
      <c r="P22" s="129"/>
      <c r="Q22" s="166"/>
      <c r="R22" s="129"/>
      <c r="S22" s="166"/>
      <c r="T22" s="141"/>
      <c r="U22" s="166"/>
      <c r="V22" s="141"/>
      <c r="W22" s="166"/>
      <c r="X22" s="141"/>
      <c r="Y22" s="141"/>
      <c r="Z22" s="956"/>
      <c r="AA22" s="141"/>
      <c r="AB22" s="236"/>
      <c r="AC22" s="166"/>
      <c r="AD22" s="993"/>
      <c r="AE22" s="166"/>
      <c r="AF22" s="141"/>
      <c r="AG22" s="166"/>
      <c r="AH22" s="141"/>
      <c r="AI22" s="141"/>
      <c r="AJ22" s="129"/>
      <c r="AK22" s="144"/>
      <c r="AL22" s="130">
        <v>-1.5333999999999959</v>
      </c>
      <c r="AM22" s="166">
        <v>179790780.26999998</v>
      </c>
      <c r="AN22" s="72">
        <v>8.6599999999999996E-2</v>
      </c>
      <c r="AO22" s="234">
        <v>616115532.55999994</v>
      </c>
      <c r="AP22" s="130">
        <v>0.78189999999999993</v>
      </c>
      <c r="AQ22" s="166">
        <v>204679298.61000001</v>
      </c>
      <c r="AR22" s="124"/>
      <c r="AS22" s="141"/>
      <c r="AT22" s="956"/>
      <c r="AU22" s="166"/>
      <c r="AV22" s="129"/>
      <c r="AW22" s="166"/>
      <c r="AX22" s="157">
        <v>0.53870000000000307</v>
      </c>
      <c r="AY22" s="166">
        <v>428168864.99999988</v>
      </c>
      <c r="AZ22" s="157">
        <v>0.56840000000000224</v>
      </c>
      <c r="BA22" s="737">
        <v>422044066.20999998</v>
      </c>
      <c r="BB22" s="737"/>
      <c r="BC22" s="737"/>
      <c r="BD22" s="741"/>
      <c r="BE22" s="161"/>
      <c r="BF22" s="160"/>
      <c r="BG22" s="150">
        <v>1.0197752136206217</v>
      </c>
      <c r="BH22" s="84">
        <f t="shared" si="1"/>
        <v>-4.1075213620622719E-2</v>
      </c>
      <c r="BI22" s="84">
        <f t="shared" si="2"/>
        <v>1.300924786379376</v>
      </c>
      <c r="BJ22" s="84">
        <f t="shared" si="3"/>
        <v>-4.1075213620622719E-2</v>
      </c>
      <c r="BK22" s="164"/>
      <c r="BL22" s="164"/>
      <c r="BM22" s="164"/>
      <c r="BN22" s="164"/>
      <c r="BO22" s="164"/>
      <c r="BP22" s="147"/>
      <c r="BS22" s="164"/>
      <c r="BT22" s="807"/>
      <c r="BU22" s="164"/>
      <c r="BV22" s="164"/>
      <c r="BW22" s="164"/>
      <c r="BX22" s="807"/>
      <c r="CA22" s="147"/>
      <c r="CB22" s="164"/>
      <c r="CC22" s="164"/>
      <c r="CD22" s="164"/>
      <c r="CE22" s="149"/>
      <c r="CF22" s="164"/>
      <c r="CG22" s="150">
        <v>-1.3614999999999999</v>
      </c>
      <c r="CH22" s="84">
        <f t="shared" si="4"/>
        <v>-0.17189999999999594</v>
      </c>
      <c r="CI22" s="84">
        <v>-1.6484045315523499E-2</v>
      </c>
      <c r="CJ22" s="84">
        <f t="shared" si="5"/>
        <v>0.1030840453155235</v>
      </c>
      <c r="CK22" s="84">
        <f t="shared" si="6"/>
        <v>0.79838404531552343</v>
      </c>
      <c r="CL22" s="84"/>
      <c r="CM22" s="150">
        <v>0.61253414677318041</v>
      </c>
      <c r="CN22" s="158"/>
      <c r="CP22" s="84">
        <f t="shared" si="7"/>
        <v>-7.3834146773177345E-2</v>
      </c>
      <c r="CQ22" s="159">
        <f t="shared" si="8"/>
        <v>-4.4134146773178173E-2</v>
      </c>
      <c r="CR22" s="158">
        <v>0.05</v>
      </c>
      <c r="CS22" s="158"/>
      <c r="CT22" s="149"/>
      <c r="CU22" s="147"/>
    </row>
    <row r="23" spans="1:99" s="132" customFormat="1" ht="12.75" customHeight="1" x14ac:dyDescent="0.2">
      <c r="A23" s="183" t="e">
        <f t="shared" si="0"/>
        <v>#N/A</v>
      </c>
      <c r="B23" s="130">
        <v>0.97869999999999902</v>
      </c>
      <c r="C23" s="172">
        <v>911504155</v>
      </c>
      <c r="D23" s="165">
        <v>2.3206999999999978</v>
      </c>
      <c r="E23" s="171">
        <v>899503825.92000008</v>
      </c>
      <c r="F23" s="130">
        <v>0.97869999999999902</v>
      </c>
      <c r="G23" s="168">
        <v>940348708.71000016</v>
      </c>
      <c r="H23" s="208"/>
      <c r="I23" s="208"/>
      <c r="J23" s="214"/>
      <c r="K23" s="144"/>
      <c r="L23" s="214"/>
      <c r="M23" s="144"/>
      <c r="N23" s="214"/>
      <c r="O23" s="144"/>
      <c r="P23" s="129"/>
      <c r="Q23" s="166"/>
      <c r="R23" s="129"/>
      <c r="S23" s="166"/>
      <c r="T23" s="141"/>
      <c r="U23" s="166"/>
      <c r="V23" s="141"/>
      <c r="W23" s="166"/>
      <c r="X23" s="141"/>
      <c r="Y23" s="141"/>
      <c r="Z23" s="956"/>
      <c r="AA23" s="141"/>
      <c r="AB23" s="236"/>
      <c r="AC23" s="166"/>
      <c r="AD23" s="993"/>
      <c r="AE23" s="166"/>
      <c r="AF23" s="141"/>
      <c r="AG23" s="166"/>
      <c r="AH23" s="141"/>
      <c r="AI23" s="141"/>
      <c r="AJ23" s="129"/>
      <c r="AK23" s="144"/>
      <c r="AL23" s="130">
        <v>-1.5333999999999959</v>
      </c>
      <c r="AM23" s="166">
        <v>186137494.41</v>
      </c>
      <c r="AN23" s="72">
        <v>8.6599999999999996E-2</v>
      </c>
      <c r="AO23" s="234">
        <v>634491739.48000002</v>
      </c>
      <c r="AP23" s="130">
        <v>0.78189999999999993</v>
      </c>
      <c r="AQ23" s="166">
        <v>208142799.13</v>
      </c>
      <c r="AR23" s="124"/>
      <c r="AS23" s="141"/>
      <c r="AT23" s="956"/>
      <c r="AU23" s="166"/>
      <c r="AV23" s="129"/>
      <c r="AW23" s="166"/>
      <c r="AX23" s="157">
        <v>0.53870000000000307</v>
      </c>
      <c r="AY23" s="166">
        <v>434583164.65999997</v>
      </c>
      <c r="AZ23" s="157">
        <v>0.56840000000000224</v>
      </c>
      <c r="BA23" s="737">
        <v>429283826.62</v>
      </c>
      <c r="BB23" s="737"/>
      <c r="BC23" s="737"/>
      <c r="BD23" s="741"/>
      <c r="BE23" s="161"/>
      <c r="BF23" s="160"/>
      <c r="BG23" s="150">
        <v>1.0197752136206217</v>
      </c>
      <c r="BH23" s="84">
        <f t="shared" si="1"/>
        <v>-4.1075213620622719E-2</v>
      </c>
      <c r="BI23" s="84">
        <f t="shared" si="2"/>
        <v>1.300924786379376</v>
      </c>
      <c r="BJ23" s="84">
        <f t="shared" si="3"/>
        <v>-4.1075213620622719E-2</v>
      </c>
      <c r="BK23" s="164"/>
      <c r="BL23" s="164"/>
      <c r="BM23" s="164"/>
      <c r="BN23" s="164"/>
      <c r="BO23" s="164"/>
      <c r="BP23" s="147"/>
      <c r="BS23" s="164"/>
      <c r="BT23" s="807"/>
      <c r="BU23" s="164"/>
      <c r="BV23" s="164"/>
      <c r="BW23" s="164"/>
      <c r="BX23" s="807"/>
      <c r="CA23" s="147"/>
      <c r="CB23" s="164"/>
      <c r="CC23" s="164"/>
      <c r="CD23" s="164"/>
      <c r="CE23" s="149"/>
      <c r="CF23" s="164"/>
      <c r="CG23" s="150">
        <v>-1.3614999999999999</v>
      </c>
      <c r="CH23" s="84">
        <f t="shared" si="4"/>
        <v>-0.17189999999999594</v>
      </c>
      <c r="CI23" s="84">
        <v>-1.6484045315523499E-2</v>
      </c>
      <c r="CJ23" s="84">
        <f t="shared" si="5"/>
        <v>0.1030840453155235</v>
      </c>
      <c r="CK23" s="84">
        <f t="shared" si="6"/>
        <v>0.79838404531552343</v>
      </c>
      <c r="CL23" s="84"/>
      <c r="CM23" s="150">
        <v>0.61253414677318041</v>
      </c>
      <c r="CN23" s="158"/>
      <c r="CP23" s="84">
        <f t="shared" si="7"/>
        <v>-7.3834146773177345E-2</v>
      </c>
      <c r="CQ23" s="159">
        <f t="shared" si="8"/>
        <v>-4.4134146773178173E-2</v>
      </c>
      <c r="CR23" s="158">
        <v>1.5</v>
      </c>
      <c r="CS23" s="158"/>
      <c r="CT23" s="149"/>
      <c r="CU23" s="147"/>
    </row>
    <row r="24" spans="1:99" s="132" customFormat="1" ht="12.75" customHeight="1" x14ac:dyDescent="0.2">
      <c r="A24" s="183" t="e">
        <f t="shared" si="0"/>
        <v>#N/A</v>
      </c>
      <c r="B24" s="130">
        <v>2.7330000000000076</v>
      </c>
      <c r="C24" s="172">
        <v>932287306.10000014</v>
      </c>
      <c r="D24" s="165">
        <v>2.7803000000000022</v>
      </c>
      <c r="E24" s="171">
        <v>912104495.86000001</v>
      </c>
      <c r="F24" s="130">
        <v>2.7865000000000029</v>
      </c>
      <c r="G24" s="168">
        <v>967119249.18999994</v>
      </c>
      <c r="H24" s="208"/>
      <c r="I24" s="208"/>
      <c r="J24" s="214"/>
      <c r="K24" s="144"/>
      <c r="L24" s="214"/>
      <c r="M24" s="144"/>
      <c r="N24" s="214"/>
      <c r="O24" s="144"/>
      <c r="P24" s="129"/>
      <c r="Q24" s="166"/>
      <c r="R24" s="129"/>
      <c r="S24" s="166"/>
      <c r="T24" s="141"/>
      <c r="U24" s="166"/>
      <c r="V24" s="141"/>
      <c r="W24" s="166"/>
      <c r="X24" s="141"/>
      <c r="Y24" s="141"/>
      <c r="Z24" s="956"/>
      <c r="AA24" s="141"/>
      <c r="AB24" s="236"/>
      <c r="AC24" s="166"/>
      <c r="AD24" s="993"/>
      <c r="AE24" s="166"/>
      <c r="AF24" s="141"/>
      <c r="AG24" s="166"/>
      <c r="AH24" s="141"/>
      <c r="AI24" s="141"/>
      <c r="AJ24" s="129"/>
      <c r="AK24" s="144"/>
      <c r="AL24" s="130">
        <v>-2.466999999999997</v>
      </c>
      <c r="AM24" s="166">
        <v>178269963.30999994</v>
      </c>
      <c r="AN24" s="72">
        <v>0.44140000000000001</v>
      </c>
      <c r="AO24" s="234">
        <v>628722498.62</v>
      </c>
      <c r="AP24" s="130">
        <v>3.6312000000000002</v>
      </c>
      <c r="AQ24" s="166">
        <v>214610969.05000001</v>
      </c>
      <c r="AR24" s="124"/>
      <c r="AS24" s="141"/>
      <c r="AT24" s="956"/>
      <c r="AU24" s="166"/>
      <c r="AV24" s="129"/>
      <c r="AW24" s="166"/>
      <c r="AX24" s="157">
        <v>0.96560000000001089</v>
      </c>
      <c r="AY24" s="166">
        <v>443128362.62</v>
      </c>
      <c r="AZ24" s="157">
        <v>1.0407999999999973</v>
      </c>
      <c r="BA24" s="737">
        <v>439352502.44</v>
      </c>
      <c r="BB24" s="737"/>
      <c r="BC24" s="737"/>
      <c r="BD24" s="741"/>
      <c r="BE24" s="161"/>
      <c r="BF24" s="160"/>
      <c r="BG24" s="150">
        <v>2.704834889986274</v>
      </c>
      <c r="BH24" s="84">
        <f t="shared" si="1"/>
        <v>2.8165110013733674E-2</v>
      </c>
      <c r="BI24" s="84">
        <f t="shared" si="2"/>
        <v>7.5465110013728243E-2</v>
      </c>
      <c r="BJ24" s="84">
        <f t="shared" si="3"/>
        <v>8.1665110013728892E-2</v>
      </c>
      <c r="BK24" s="164"/>
      <c r="BL24" s="164"/>
      <c r="BM24" s="164"/>
      <c r="BN24" s="164"/>
      <c r="BO24" s="164"/>
      <c r="BP24" s="147"/>
      <c r="BS24" s="164"/>
      <c r="BT24" s="807"/>
      <c r="BU24" s="164"/>
      <c r="BV24" s="164"/>
      <c r="BW24" s="164"/>
      <c r="BX24" s="807"/>
      <c r="CA24" s="147"/>
      <c r="CB24" s="164"/>
      <c r="CC24" s="164"/>
      <c r="CD24" s="164"/>
      <c r="CE24" s="149"/>
      <c r="CF24" s="164"/>
      <c r="CG24" s="150">
        <v>-2.4241999999999999</v>
      </c>
      <c r="CH24" s="84">
        <f t="shared" si="4"/>
        <v>-4.2799999999997063E-2</v>
      </c>
      <c r="CI24" s="84">
        <v>0.55247827448623443</v>
      </c>
      <c r="CJ24" s="84">
        <f t="shared" si="5"/>
        <v>-0.11107827448623442</v>
      </c>
      <c r="CK24" s="84">
        <f t="shared" si="6"/>
        <v>3.0787217255137658</v>
      </c>
      <c r="CL24" s="84"/>
      <c r="CM24" s="150">
        <v>0.99025216738406474</v>
      </c>
      <c r="CN24" s="158"/>
      <c r="CP24" s="84">
        <f t="shared" si="7"/>
        <v>-2.4652167384053847E-2</v>
      </c>
      <c r="CQ24" s="159">
        <f t="shared" si="8"/>
        <v>5.0547832615932542E-2</v>
      </c>
      <c r="CR24" s="158">
        <v>1.84</v>
      </c>
      <c r="CS24" s="158"/>
      <c r="CT24" s="149"/>
      <c r="CU24" s="147"/>
    </row>
    <row r="25" spans="1:99" s="132" customFormat="1" ht="12.75" customHeight="1" x14ac:dyDescent="0.2">
      <c r="A25" s="183" t="e">
        <f t="shared" si="0"/>
        <v>#N/A</v>
      </c>
      <c r="B25" s="130">
        <v>2.7330000000000076</v>
      </c>
      <c r="C25" s="172">
        <v>1005259514.55</v>
      </c>
      <c r="D25" s="165">
        <v>2.7803000000000022</v>
      </c>
      <c r="E25" s="171">
        <v>996579354</v>
      </c>
      <c r="F25" s="130">
        <v>2.7865000000000029</v>
      </c>
      <c r="G25" s="168">
        <v>1043202231.67</v>
      </c>
      <c r="H25" s="208"/>
      <c r="I25" s="208"/>
      <c r="J25" s="214"/>
      <c r="K25" s="144"/>
      <c r="L25" s="214"/>
      <c r="M25" s="144"/>
      <c r="N25" s="214"/>
      <c r="O25" s="144"/>
      <c r="P25" s="129"/>
      <c r="Q25" s="166"/>
      <c r="R25" s="129"/>
      <c r="S25" s="166"/>
      <c r="T25" s="141"/>
      <c r="U25" s="166"/>
      <c r="V25" s="141"/>
      <c r="W25" s="166"/>
      <c r="X25" s="141"/>
      <c r="Y25" s="141"/>
      <c r="Z25" s="956"/>
      <c r="AA25" s="141"/>
      <c r="AB25" s="236"/>
      <c r="AC25" s="166"/>
      <c r="AD25" s="993"/>
      <c r="AE25" s="166"/>
      <c r="AF25" s="141"/>
      <c r="AG25" s="166"/>
      <c r="AH25" s="141"/>
      <c r="AI25" s="141"/>
      <c r="AJ25" s="129"/>
      <c r="AK25" s="144"/>
      <c r="AL25" s="130">
        <v>-2.466999999999997</v>
      </c>
      <c r="AM25" s="166">
        <v>182425242.91</v>
      </c>
      <c r="AN25" s="72">
        <v>0.44140000000000001</v>
      </c>
      <c r="AO25" s="234">
        <v>656006951.07000005</v>
      </c>
      <c r="AP25" s="130">
        <v>3.6312000000000002</v>
      </c>
      <c r="AQ25" s="166">
        <v>226711865.11000001</v>
      </c>
      <c r="AR25" s="124"/>
      <c r="AS25" s="141"/>
      <c r="AT25" s="956"/>
      <c r="AU25" s="166"/>
      <c r="AV25" s="129"/>
      <c r="AW25" s="166"/>
      <c r="AX25" s="157">
        <v>0.96560000000001089</v>
      </c>
      <c r="AY25" s="166">
        <v>450093275.56</v>
      </c>
      <c r="AZ25" s="157">
        <v>1.0407999999999973</v>
      </c>
      <c r="BA25" s="737">
        <v>448031336.23000002</v>
      </c>
      <c r="BB25" s="737"/>
      <c r="BC25" s="737"/>
      <c r="BD25" s="741"/>
      <c r="BE25" s="161"/>
      <c r="BF25" s="160"/>
      <c r="BG25" s="150">
        <v>2.704834889986274</v>
      </c>
      <c r="BH25" s="84">
        <f t="shared" si="1"/>
        <v>2.8165110013733674E-2</v>
      </c>
      <c r="BI25" s="84">
        <f t="shared" si="2"/>
        <v>7.5465110013728243E-2</v>
      </c>
      <c r="BJ25" s="84">
        <f t="shared" si="3"/>
        <v>8.1665110013728892E-2</v>
      </c>
      <c r="BK25" s="164"/>
      <c r="BL25" s="164"/>
      <c r="BM25" s="164"/>
      <c r="BN25" s="164"/>
      <c r="BO25" s="164"/>
      <c r="BP25" s="147"/>
      <c r="BS25" s="164"/>
      <c r="BT25" s="807"/>
      <c r="BU25" s="164"/>
      <c r="BV25" s="164"/>
      <c r="BW25" s="164"/>
      <c r="BX25" s="807"/>
      <c r="CA25" s="147"/>
      <c r="CB25" s="164"/>
      <c r="CC25" s="164"/>
      <c r="CD25" s="164"/>
      <c r="CE25" s="149"/>
      <c r="CF25" s="164"/>
      <c r="CG25" s="150">
        <v>-2.4241999999999999</v>
      </c>
      <c r="CH25" s="84">
        <f t="shared" si="4"/>
        <v>-4.2799999999997063E-2</v>
      </c>
      <c r="CI25" s="84">
        <v>0.55247827448623443</v>
      </c>
      <c r="CJ25" s="84">
        <f t="shared" si="5"/>
        <v>-0.11107827448623442</v>
      </c>
      <c r="CK25" s="84">
        <f t="shared" si="6"/>
        <v>3.0787217255137658</v>
      </c>
      <c r="CL25" s="84"/>
      <c r="CM25" s="150">
        <v>0.99025216738406474</v>
      </c>
      <c r="CN25" s="158"/>
      <c r="CP25" s="84">
        <f t="shared" si="7"/>
        <v>-2.4652167384053847E-2</v>
      </c>
      <c r="CQ25" s="159">
        <f t="shared" si="8"/>
        <v>5.0547832615932542E-2</v>
      </c>
      <c r="CR25" s="158">
        <v>1.36</v>
      </c>
      <c r="CS25" s="158"/>
      <c r="CT25" s="149"/>
      <c r="CU25" s="147"/>
    </row>
    <row r="26" spans="1:99" s="164" customFormat="1" ht="12.75" customHeight="1" x14ac:dyDescent="0.2">
      <c r="A26" s="183" t="e">
        <f t="shared" si="0"/>
        <v>#N/A</v>
      </c>
      <c r="B26" s="140">
        <v>2.7330000000000076</v>
      </c>
      <c r="C26" s="172">
        <v>988640345.66000009</v>
      </c>
      <c r="D26" s="206">
        <v>2.7803000000000022</v>
      </c>
      <c r="E26" s="171">
        <v>976935220.63999999</v>
      </c>
      <c r="F26" s="140">
        <v>2.7865000000000029</v>
      </c>
      <c r="G26" s="168">
        <v>1021293778.0400001</v>
      </c>
      <c r="H26" s="208"/>
      <c r="I26" s="208"/>
      <c r="J26" s="214"/>
      <c r="K26" s="144"/>
      <c r="L26" s="214"/>
      <c r="M26" s="144"/>
      <c r="N26" s="214"/>
      <c r="O26" s="144"/>
      <c r="P26" s="162"/>
      <c r="Q26" s="166"/>
      <c r="R26" s="162"/>
      <c r="S26" s="166"/>
      <c r="T26" s="141"/>
      <c r="U26" s="166"/>
      <c r="V26" s="141"/>
      <c r="W26" s="166"/>
      <c r="X26" s="141"/>
      <c r="Y26" s="141"/>
      <c r="Z26" s="956"/>
      <c r="AA26" s="141"/>
      <c r="AB26" s="236"/>
      <c r="AC26" s="166"/>
      <c r="AD26" s="993"/>
      <c r="AE26" s="166"/>
      <c r="AF26" s="141"/>
      <c r="AG26" s="166"/>
      <c r="AH26" s="141"/>
      <c r="AI26" s="141"/>
      <c r="AJ26" s="162"/>
      <c r="AK26" s="144"/>
      <c r="AL26" s="759">
        <v>-2.466999999999997</v>
      </c>
      <c r="AM26" s="166">
        <v>172589890.60999995</v>
      </c>
      <c r="AN26" s="760">
        <v>0.44140000000000001</v>
      </c>
      <c r="AO26" s="234">
        <v>642695729.48000002</v>
      </c>
      <c r="AP26" s="140">
        <v>3.6312000000000002</v>
      </c>
      <c r="AQ26" s="166">
        <v>232007928.63</v>
      </c>
      <c r="AR26" s="141"/>
      <c r="AS26" s="141"/>
      <c r="AT26" s="956"/>
      <c r="AU26" s="166"/>
      <c r="AV26" s="162"/>
      <c r="AW26" s="166"/>
      <c r="AX26" s="157">
        <v>0.96560000000001089</v>
      </c>
      <c r="AY26" s="166">
        <v>447438985.57999992</v>
      </c>
      <c r="AZ26" s="157">
        <v>1.0407999999999973</v>
      </c>
      <c r="BA26" s="737">
        <v>443016209.63999993</v>
      </c>
      <c r="BB26" s="737"/>
      <c r="BC26" s="737"/>
      <c r="BD26" s="741"/>
      <c r="BE26" s="161"/>
      <c r="BF26" s="738"/>
      <c r="BG26" s="150">
        <v>2.704834889986274</v>
      </c>
      <c r="BH26" s="158">
        <f t="shared" si="1"/>
        <v>2.8165110013733674E-2</v>
      </c>
      <c r="BI26" s="158">
        <f t="shared" si="2"/>
        <v>7.5465110013728243E-2</v>
      </c>
      <c r="BJ26" s="158">
        <f t="shared" si="3"/>
        <v>8.1665110013728892E-2</v>
      </c>
      <c r="BP26" s="147"/>
      <c r="BT26" s="807"/>
      <c r="BX26" s="807"/>
      <c r="CA26" s="147"/>
      <c r="CE26" s="149"/>
      <c r="CG26" s="150">
        <v>-2.4241999999999999</v>
      </c>
      <c r="CH26" s="158">
        <f t="shared" si="4"/>
        <v>-4.2799999999997063E-2</v>
      </c>
      <c r="CI26" s="158">
        <v>0.55247827448623443</v>
      </c>
      <c r="CJ26" s="158">
        <f t="shared" si="5"/>
        <v>-0.11107827448623442</v>
      </c>
      <c r="CK26" s="158">
        <f t="shared" si="6"/>
        <v>3.0787217255137658</v>
      </c>
      <c r="CL26" s="158"/>
      <c r="CM26" s="150">
        <v>0.99025216738406474</v>
      </c>
      <c r="CN26" s="158"/>
      <c r="CP26" s="158">
        <f t="shared" si="7"/>
        <v>-2.4652167384053847E-2</v>
      </c>
      <c r="CQ26" s="159">
        <f t="shared" si="8"/>
        <v>5.0547832615932542E-2</v>
      </c>
      <c r="CR26" s="158">
        <v>-0.59</v>
      </c>
      <c r="CS26" s="158"/>
      <c r="CT26" s="149"/>
      <c r="CU26" s="147"/>
    </row>
    <row r="27" spans="1:99" s="132" customFormat="1" ht="12.75" customHeight="1" x14ac:dyDescent="0.2">
      <c r="A27" s="184">
        <v>35461</v>
      </c>
      <c r="B27" s="83">
        <v>6.7982999999999905</v>
      </c>
      <c r="C27" s="169">
        <v>1055886364.1899998</v>
      </c>
      <c r="D27" s="165">
        <v>5.658300000000005</v>
      </c>
      <c r="E27" s="171">
        <v>1032320164.5600001</v>
      </c>
      <c r="F27" s="83">
        <v>6.3441000000000081</v>
      </c>
      <c r="G27" s="169">
        <v>1086231875.6600001</v>
      </c>
      <c r="H27" s="60"/>
      <c r="I27" s="60"/>
      <c r="J27" s="215"/>
      <c r="K27" s="145"/>
      <c r="L27" s="215"/>
      <c r="M27" s="145"/>
      <c r="N27" s="215"/>
      <c r="O27" s="145"/>
      <c r="P27" s="142"/>
      <c r="Q27" s="166"/>
      <c r="R27" s="56"/>
      <c r="S27" s="166"/>
      <c r="T27" s="141"/>
      <c r="U27" s="166"/>
      <c r="V27" s="141"/>
      <c r="W27" s="166"/>
      <c r="X27" s="141"/>
      <c r="Y27" s="141"/>
      <c r="Z27" s="956"/>
      <c r="AA27" s="141"/>
      <c r="AB27" s="237"/>
      <c r="AC27" s="167"/>
      <c r="AD27" s="994"/>
      <c r="AE27" s="167"/>
      <c r="AF27" s="205"/>
      <c r="AG27" s="167"/>
      <c r="AH27" s="205"/>
      <c r="AI27" s="205"/>
      <c r="AJ27" s="80"/>
      <c r="AK27" s="152"/>
      <c r="AL27" s="84">
        <v>-8.2967000000000013</v>
      </c>
      <c r="AM27" s="166">
        <v>158275478.37000003</v>
      </c>
      <c r="AN27" s="72">
        <v>-2.7867000000000002</v>
      </c>
      <c r="AO27" s="234">
        <v>624735590.71000004</v>
      </c>
      <c r="AP27" s="130">
        <v>1.9247000000000001</v>
      </c>
      <c r="AQ27" s="166">
        <v>236569769.31</v>
      </c>
      <c r="AR27" s="81"/>
      <c r="AS27" s="205"/>
      <c r="AT27" s="957"/>
      <c r="AU27" s="167"/>
      <c r="AV27" s="143"/>
      <c r="AW27" s="166"/>
      <c r="AX27" s="158">
        <v>0.33240000000001046</v>
      </c>
      <c r="AY27" s="166">
        <v>448929231.47000003</v>
      </c>
      <c r="AZ27" s="158">
        <v>0.2383000000000024</v>
      </c>
      <c r="BA27" s="737">
        <v>444080936.41000009</v>
      </c>
      <c r="BB27" s="737"/>
      <c r="BC27" s="737"/>
      <c r="BD27" s="741"/>
      <c r="BE27" s="161"/>
      <c r="BF27" s="160"/>
      <c r="BG27" s="151">
        <f>Index_Returns!B261</f>
        <v>6.2480000000000002</v>
      </c>
      <c r="BH27" s="84">
        <f t="shared" si="1"/>
        <v>0.55029999999999024</v>
      </c>
      <c r="BI27" s="84">
        <f t="shared" si="2"/>
        <v>-0.58969999999999523</v>
      </c>
      <c r="BJ27" s="84">
        <f t="shared" si="3"/>
        <v>9.6100000000007846E-2</v>
      </c>
      <c r="BK27" s="210"/>
      <c r="BL27" s="210"/>
      <c r="BM27" s="210"/>
      <c r="BN27" s="210"/>
      <c r="BO27" s="210"/>
      <c r="BP27" s="148"/>
      <c r="BQ27" s="87"/>
      <c r="BR27" s="87"/>
      <c r="BS27" s="210"/>
      <c r="BT27" s="808"/>
      <c r="BU27" s="210"/>
      <c r="BV27" s="210"/>
      <c r="BW27" s="210"/>
      <c r="BX27" s="808"/>
      <c r="CA27" s="147"/>
      <c r="CB27" s="164"/>
      <c r="CC27" s="164"/>
      <c r="CD27" s="164"/>
      <c r="CE27" s="149"/>
      <c r="CF27" s="164"/>
      <c r="CG27" s="150">
        <v>-8.3979999999999997</v>
      </c>
      <c r="CH27" s="84">
        <f t="shared" si="4"/>
        <v>0.10129999999999839</v>
      </c>
      <c r="CI27" s="84">
        <f>Index_Returns!AA261</f>
        <v>-3.47662</v>
      </c>
      <c r="CJ27" s="84">
        <f t="shared" si="5"/>
        <v>0.68991999999999987</v>
      </c>
      <c r="CK27" s="84">
        <f t="shared" si="6"/>
        <v>5.4013200000000001</v>
      </c>
      <c r="CL27" s="114"/>
      <c r="CM27" s="150">
        <f>Index_Returns!W261</f>
        <v>0.30620000000000003</v>
      </c>
      <c r="CN27" s="158"/>
      <c r="CP27" s="84">
        <f t="shared" si="7"/>
        <v>2.6200000000010437E-2</v>
      </c>
      <c r="CQ27" s="159">
        <f t="shared" si="8"/>
        <v>-6.7899999999997629E-2</v>
      </c>
      <c r="CR27" s="158">
        <v>0.52</v>
      </c>
      <c r="CS27" s="158"/>
      <c r="CT27" s="149"/>
      <c r="CU27" s="147"/>
    </row>
    <row r="28" spans="1:99" s="132" customFormat="1" ht="12.75" customHeight="1" x14ac:dyDescent="0.2">
      <c r="A28" s="184">
        <v>35489</v>
      </c>
      <c r="B28" s="83">
        <v>0.33829999999999139</v>
      </c>
      <c r="C28" s="169">
        <v>1059535454.15</v>
      </c>
      <c r="D28" s="165">
        <v>-1.141700000000001</v>
      </c>
      <c r="E28" s="171">
        <v>1020616629.2499999</v>
      </c>
      <c r="F28" s="83">
        <v>1.0359999999999925</v>
      </c>
      <c r="G28" s="169">
        <v>1097694499.8599999</v>
      </c>
      <c r="H28" s="60"/>
      <c r="I28" s="60"/>
      <c r="J28" s="215"/>
      <c r="K28" s="145"/>
      <c r="L28" s="215"/>
      <c r="M28" s="145"/>
      <c r="N28" s="215"/>
      <c r="O28" s="145"/>
      <c r="P28" s="142"/>
      <c r="Q28" s="166"/>
      <c r="R28" s="56"/>
      <c r="S28" s="166"/>
      <c r="T28" s="141"/>
      <c r="U28" s="166"/>
      <c r="V28" s="141"/>
      <c r="W28" s="166"/>
      <c r="X28" s="141"/>
      <c r="Y28" s="141"/>
      <c r="Z28" s="956"/>
      <c r="AA28" s="141"/>
      <c r="AB28" s="237"/>
      <c r="AC28" s="167"/>
      <c r="AD28" s="994"/>
      <c r="AE28" s="167"/>
      <c r="AF28" s="205"/>
      <c r="AG28" s="167"/>
      <c r="AH28" s="205"/>
      <c r="AI28" s="205"/>
      <c r="AJ28" s="80"/>
      <c r="AK28" s="152"/>
      <c r="AL28" s="84">
        <v>1.6232999999999942</v>
      </c>
      <c r="AM28" s="167">
        <v>160852742.11000001</v>
      </c>
      <c r="AN28" s="72">
        <v>1.4733000000000001</v>
      </c>
      <c r="AO28" s="234">
        <v>633954521.90999997</v>
      </c>
      <c r="AP28" s="123">
        <v>0.4047</v>
      </c>
      <c r="AQ28" s="167">
        <v>237635667.38999999</v>
      </c>
      <c r="AR28" s="81"/>
      <c r="AS28" s="205"/>
      <c r="AT28" s="957"/>
      <c r="AU28" s="167"/>
      <c r="AV28" s="143"/>
      <c r="AW28" s="166"/>
      <c r="AX28" s="158">
        <v>0.25759999999999117</v>
      </c>
      <c r="AY28" s="166">
        <v>450088242.72000003</v>
      </c>
      <c r="AZ28" s="84">
        <v>0.16830000000001011</v>
      </c>
      <c r="BA28" s="205">
        <v>444900263.55000001</v>
      </c>
      <c r="BB28" s="205"/>
      <c r="BC28" s="205"/>
      <c r="BD28" s="742"/>
      <c r="BE28" s="152"/>
      <c r="BF28" s="81"/>
      <c r="BG28" s="151">
        <f>Index_Returns!B262</f>
        <v>0.78400000000000003</v>
      </c>
      <c r="BH28" s="84">
        <f t="shared" si="1"/>
        <v>-0.44570000000000864</v>
      </c>
      <c r="BI28" s="84">
        <f t="shared" si="2"/>
        <v>-1.9257000000000011</v>
      </c>
      <c r="BJ28" s="84">
        <f t="shared" si="3"/>
        <v>0.25199999999999245</v>
      </c>
      <c r="BK28" s="210"/>
      <c r="BL28" s="210"/>
      <c r="BM28" s="210"/>
      <c r="BN28" s="210"/>
      <c r="BO28" s="210"/>
      <c r="BP28" s="148"/>
      <c r="BQ28" s="87"/>
      <c r="BR28" s="87"/>
      <c r="BS28" s="210"/>
      <c r="BT28" s="808"/>
      <c r="BU28" s="210"/>
      <c r="BV28" s="210"/>
      <c r="BW28" s="210"/>
      <c r="BX28" s="808"/>
      <c r="CA28" s="147"/>
      <c r="CB28" s="164"/>
      <c r="CC28" s="164"/>
      <c r="CD28" s="164"/>
      <c r="CE28" s="149"/>
      <c r="CF28" s="164"/>
      <c r="CG28" s="150">
        <v>2.0990000000000002</v>
      </c>
      <c r="CH28" s="84">
        <f t="shared" si="4"/>
        <v>-0.47570000000000601</v>
      </c>
      <c r="CI28" s="84">
        <f>Index_Returns!AA262</f>
        <v>1.65974</v>
      </c>
      <c r="CJ28" s="84">
        <f t="shared" si="5"/>
        <v>-0.18643999999999994</v>
      </c>
      <c r="CK28" s="84">
        <f t="shared" si="6"/>
        <v>-1.2550399999999999</v>
      </c>
      <c r="CL28" s="114"/>
      <c r="CM28" s="150">
        <f>Index_Returns!W262</f>
        <v>0.24879999999999999</v>
      </c>
      <c r="CN28" s="158"/>
      <c r="CO28" s="87"/>
      <c r="CP28" s="84">
        <f t="shared" si="7"/>
        <v>8.799999999991176E-3</v>
      </c>
      <c r="CQ28" s="159">
        <f t="shared" si="8"/>
        <v>-8.0499999999989885E-2</v>
      </c>
      <c r="CR28" s="158">
        <v>0.24</v>
      </c>
      <c r="CS28" s="158"/>
      <c r="CT28" s="149"/>
      <c r="CU28" s="147"/>
    </row>
    <row r="29" spans="1:99" s="132" customFormat="1" ht="12.75" customHeight="1" x14ac:dyDescent="0.2">
      <c r="A29" s="184">
        <v>35520</v>
      </c>
      <c r="B29" s="83">
        <v>-3.5217000000000054</v>
      </c>
      <c r="C29" s="169">
        <v>1022316712.58</v>
      </c>
      <c r="D29" s="165">
        <v>-5.1317000000000057</v>
      </c>
      <c r="E29" s="171">
        <v>968401813.75999999</v>
      </c>
      <c r="F29" s="83">
        <v>-4.1243000000000034</v>
      </c>
      <c r="G29" s="169">
        <v>1052556941.96</v>
      </c>
      <c r="H29" s="60"/>
      <c r="I29" s="60"/>
      <c r="J29" s="215"/>
      <c r="K29" s="145"/>
      <c r="L29" s="215"/>
      <c r="M29" s="145"/>
      <c r="N29" s="215"/>
      <c r="O29" s="145"/>
      <c r="P29" s="142"/>
      <c r="Q29" s="166"/>
      <c r="R29" s="56"/>
      <c r="S29" s="166"/>
      <c r="T29" s="141"/>
      <c r="U29" s="166"/>
      <c r="V29" s="141"/>
      <c r="W29" s="166"/>
      <c r="X29" s="141"/>
      <c r="Y29" s="141"/>
      <c r="Z29" s="956"/>
      <c r="AA29" s="141"/>
      <c r="AB29" s="237"/>
      <c r="AC29" s="167"/>
      <c r="AD29" s="994"/>
      <c r="AE29" s="167"/>
      <c r="AF29" s="205"/>
      <c r="AG29" s="167"/>
      <c r="AH29" s="205"/>
      <c r="AI29" s="205"/>
      <c r="AJ29" s="80"/>
      <c r="AK29" s="152"/>
      <c r="AL29" s="84">
        <v>-3.6766999999999994</v>
      </c>
      <c r="AM29" s="167">
        <v>154924939.53</v>
      </c>
      <c r="AN29" s="72">
        <v>-0.42669999999999997</v>
      </c>
      <c r="AO29" s="234">
        <v>631331251.76999998</v>
      </c>
      <c r="AP29" s="123">
        <v>1.1647000000000001</v>
      </c>
      <c r="AQ29" s="167">
        <v>240513076.25999999</v>
      </c>
      <c r="AR29" s="81"/>
      <c r="AS29" s="205"/>
      <c r="AT29" s="957"/>
      <c r="AU29" s="167"/>
      <c r="AV29" s="143"/>
      <c r="AW29" s="166"/>
      <c r="AX29" s="158">
        <v>-0.82989999999999453</v>
      </c>
      <c r="AY29" s="167">
        <v>446356038.19999999</v>
      </c>
      <c r="AZ29" s="84">
        <v>-1.1816999999999966</v>
      </c>
      <c r="BA29" s="205">
        <v>439693989</v>
      </c>
      <c r="BB29" s="205"/>
      <c r="BC29" s="205"/>
      <c r="BD29" s="742"/>
      <c r="BE29" s="152"/>
      <c r="BF29" s="81"/>
      <c r="BG29" s="151">
        <f>Index_Returns!B263</f>
        <v>-4.109</v>
      </c>
      <c r="BH29" s="84">
        <f t="shared" si="1"/>
        <v>0.5872999999999946</v>
      </c>
      <c r="BI29" s="84">
        <f t="shared" si="2"/>
        <v>-1.0227000000000057</v>
      </c>
      <c r="BJ29" s="84">
        <f t="shared" si="3"/>
        <v>-1.5300000000003422E-2</v>
      </c>
      <c r="BK29" s="210"/>
      <c r="BL29" s="210"/>
      <c r="BM29" s="210"/>
      <c r="BN29" s="210"/>
      <c r="BO29" s="210"/>
      <c r="BP29" s="148"/>
      <c r="BQ29" s="87"/>
      <c r="BR29" s="87"/>
      <c r="BS29" s="210"/>
      <c r="BT29" s="808"/>
      <c r="BU29" s="210"/>
      <c r="BV29" s="210"/>
      <c r="BW29" s="210"/>
      <c r="BX29" s="808"/>
      <c r="CA29" s="147"/>
      <c r="CB29" s="164"/>
      <c r="CC29" s="164"/>
      <c r="CD29" s="164"/>
      <c r="CE29" s="149"/>
      <c r="CF29" s="164"/>
      <c r="CG29" s="150">
        <v>-3.6469999999999998</v>
      </c>
      <c r="CH29" s="84">
        <f t="shared" si="4"/>
        <v>-2.9699999999999616E-2</v>
      </c>
      <c r="CI29" s="84">
        <f>Index_Returns!AA263</f>
        <v>0.38675999999999999</v>
      </c>
      <c r="CJ29" s="84">
        <f t="shared" si="5"/>
        <v>-0.81345999999999996</v>
      </c>
      <c r="CK29" s="84">
        <f t="shared" si="6"/>
        <v>0.77794000000000008</v>
      </c>
      <c r="CL29" s="114"/>
      <c r="CM29" s="150">
        <f>Index_Returns!W263</f>
        <v>-1.1082000000000001</v>
      </c>
      <c r="CN29" s="158"/>
      <c r="CO29" s="87"/>
      <c r="CP29" s="84">
        <f t="shared" si="7"/>
        <v>0.27830000000000554</v>
      </c>
      <c r="CQ29" s="159">
        <f t="shared" si="8"/>
        <v>-7.3499999999996568E-2</v>
      </c>
      <c r="CR29" s="158">
        <v>-0.78</v>
      </c>
      <c r="CS29" s="158"/>
      <c r="CT29" s="149"/>
      <c r="CU29" s="147"/>
    </row>
    <row r="30" spans="1:99" s="132" customFormat="1" ht="12.75" customHeight="1" thickBot="1" x14ac:dyDescent="0.25">
      <c r="A30" s="184">
        <v>35550</v>
      </c>
      <c r="B30" s="83">
        <v>4.5582999999999929</v>
      </c>
      <c r="C30" s="169">
        <v>1069012558.2200001</v>
      </c>
      <c r="D30" s="165">
        <v>5.2883000000000013</v>
      </c>
      <c r="E30" s="171">
        <v>1019616452.692</v>
      </c>
      <c r="F30" s="83">
        <v>5.912699999999993</v>
      </c>
      <c r="G30" s="169">
        <v>1114867277.1600001</v>
      </c>
      <c r="H30" s="60"/>
      <c r="I30" s="60"/>
      <c r="J30" s="215"/>
      <c r="K30" s="145"/>
      <c r="L30" s="215"/>
      <c r="M30" s="145"/>
      <c r="N30" s="215"/>
      <c r="O30" s="145"/>
      <c r="P30" s="142"/>
      <c r="Q30" s="166"/>
      <c r="R30" s="56"/>
      <c r="S30" s="166"/>
      <c r="T30" s="141"/>
      <c r="U30" s="166"/>
      <c r="V30" s="141"/>
      <c r="W30" s="166"/>
      <c r="X30" s="141"/>
      <c r="Y30" s="141"/>
      <c r="Z30" s="956"/>
      <c r="AA30" s="141"/>
      <c r="AB30" s="237"/>
      <c r="AC30" s="167"/>
      <c r="AD30" s="994"/>
      <c r="AE30" s="167"/>
      <c r="AF30" s="205"/>
      <c r="AG30" s="167"/>
      <c r="AH30" s="205"/>
      <c r="AI30" s="205"/>
      <c r="AJ30" s="80"/>
      <c r="AK30" s="152"/>
      <c r="AL30" s="84">
        <v>2.963300000000002</v>
      </c>
      <c r="AM30" s="167">
        <v>159493732.50999999</v>
      </c>
      <c r="AN30" s="72">
        <v>2.0733000000000001</v>
      </c>
      <c r="AO30" s="234">
        <v>644299821.73000002</v>
      </c>
      <c r="AP30" s="123">
        <v>-6.5299999999999997E-2</v>
      </c>
      <c r="AQ30" s="167">
        <v>240432750.62</v>
      </c>
      <c r="AR30" s="81"/>
      <c r="AS30" s="205"/>
      <c r="AT30" s="957"/>
      <c r="AU30" s="167"/>
      <c r="AV30" s="143"/>
      <c r="AW30" s="166"/>
      <c r="AX30" s="158">
        <v>1.4480999999999966</v>
      </c>
      <c r="AY30" s="167">
        <v>452819815.49000001</v>
      </c>
      <c r="AZ30" s="84">
        <v>1.488299999999998</v>
      </c>
      <c r="BA30" s="205">
        <v>446277832.58999997</v>
      </c>
      <c r="BB30" s="205"/>
      <c r="BC30" s="205"/>
      <c r="BD30" s="742"/>
      <c r="BE30" s="152"/>
      <c r="BF30" s="81"/>
      <c r="BG30" s="151">
        <f>Index_Returns!B264</f>
        <v>5.97</v>
      </c>
      <c r="BH30" s="84">
        <f t="shared" si="1"/>
        <v>-1.4117000000000068</v>
      </c>
      <c r="BI30" s="84">
        <f t="shared" si="2"/>
        <v>-0.68169999999999842</v>
      </c>
      <c r="BJ30" s="84">
        <f t="shared" si="3"/>
        <v>-5.730000000000679E-2</v>
      </c>
      <c r="BK30" s="210"/>
      <c r="BL30" s="210"/>
      <c r="BM30" s="210"/>
      <c r="BN30" s="210"/>
      <c r="BO30" s="210"/>
      <c r="BP30" s="148"/>
      <c r="BQ30" s="87"/>
      <c r="BR30" s="87"/>
      <c r="BS30" s="210"/>
      <c r="BT30" s="808"/>
      <c r="BU30" s="210"/>
      <c r="BV30" s="210"/>
      <c r="BW30" s="210"/>
      <c r="BX30" s="808"/>
      <c r="CA30" s="147"/>
      <c r="CB30" s="164"/>
      <c r="CC30" s="164"/>
      <c r="CD30" s="164"/>
      <c r="CE30" s="149"/>
      <c r="CF30" s="164"/>
      <c r="CG30" s="150">
        <v>2.0950000000000002</v>
      </c>
      <c r="CH30" s="84">
        <f t="shared" si="4"/>
        <v>0.86830000000000185</v>
      </c>
      <c r="CI30" s="84">
        <f>Index_Returns!AA264</f>
        <v>0.55478000000000005</v>
      </c>
      <c r="CJ30" s="84">
        <f t="shared" si="5"/>
        <v>1.5185200000000001</v>
      </c>
      <c r="CK30" s="84">
        <f t="shared" si="6"/>
        <v>-0.62008000000000008</v>
      </c>
      <c r="CL30" s="114"/>
      <c r="CM30" s="150">
        <f>Index_Returns!W264</f>
        <v>1.4968999999999999</v>
      </c>
      <c r="CN30" s="158"/>
      <c r="CO30" s="87"/>
      <c r="CP30" s="84">
        <f t="shared" si="7"/>
        <v>-4.8800000000003285E-2</v>
      </c>
      <c r="CQ30" s="159">
        <f t="shared" si="8"/>
        <v>-8.6000000000019394E-3</v>
      </c>
      <c r="CR30" s="158">
        <v>1.33</v>
      </c>
      <c r="CS30" s="158"/>
      <c r="CT30" s="149"/>
      <c r="CU30" s="147"/>
    </row>
    <row r="31" spans="1:99" s="761" customFormat="1" ht="12.75" customHeight="1" x14ac:dyDescent="0.2">
      <c r="A31" s="184">
        <v>35581</v>
      </c>
      <c r="B31" s="289">
        <v>6.3682999999999934</v>
      </c>
      <c r="C31" s="169">
        <v>1137264468.6800001</v>
      </c>
      <c r="D31" s="206">
        <v>7.5282999999999989</v>
      </c>
      <c r="E31" s="171">
        <v>1096534103.6799998</v>
      </c>
      <c r="F31" s="289">
        <v>5.9865999999999975</v>
      </c>
      <c r="G31" s="169">
        <v>1181690659.9300001</v>
      </c>
      <c r="H31" s="60"/>
      <c r="I31" s="60"/>
      <c r="J31" s="215"/>
      <c r="K31" s="145"/>
      <c r="L31" s="215"/>
      <c r="M31" s="145"/>
      <c r="N31" s="215"/>
      <c r="O31" s="145"/>
      <c r="P31" s="142"/>
      <c r="Q31" s="166"/>
      <c r="R31" s="766"/>
      <c r="S31" s="166"/>
      <c r="T31" s="141"/>
      <c r="U31" s="166"/>
      <c r="V31" s="141"/>
      <c r="W31" s="166"/>
      <c r="X31" s="141"/>
      <c r="Y31" s="141"/>
      <c r="Z31" s="956"/>
      <c r="AA31" s="141"/>
      <c r="AB31" s="237"/>
      <c r="AC31" s="167"/>
      <c r="AD31" s="994"/>
      <c r="AE31" s="167"/>
      <c r="AF31" s="205"/>
      <c r="AG31" s="167"/>
      <c r="AH31" s="205"/>
      <c r="AI31" s="205"/>
      <c r="AJ31" s="290"/>
      <c r="AK31" s="152"/>
      <c r="AL31" s="158">
        <v>9.4033000000000033</v>
      </c>
      <c r="AM31" s="167">
        <v>174497645.46000004</v>
      </c>
      <c r="AN31" s="282">
        <v>7.1532999999999998</v>
      </c>
      <c r="AO31" s="234">
        <v>690129951.51999998</v>
      </c>
      <c r="AP31" s="291">
        <v>4.1246999999999998</v>
      </c>
      <c r="AQ31" s="167">
        <v>250415593.44999999</v>
      </c>
      <c r="AR31" s="205"/>
      <c r="AS31" s="205"/>
      <c r="AT31" s="957"/>
      <c r="AU31" s="167"/>
      <c r="AV31" s="767"/>
      <c r="AW31" s="166"/>
      <c r="AX31" s="158">
        <v>0.76240000000000752</v>
      </c>
      <c r="AY31" s="167">
        <v>456271538.97000003</v>
      </c>
      <c r="AZ31" s="158">
        <v>0.84830000000000183</v>
      </c>
      <c r="BA31" s="205">
        <v>450134326.1400001</v>
      </c>
      <c r="BB31" s="205"/>
      <c r="BC31" s="205"/>
      <c r="BD31" s="742"/>
      <c r="BE31" s="152"/>
      <c r="BF31" s="205"/>
      <c r="BG31" s="151">
        <f>Index_Returns!B265</f>
        <v>6.0880000000000001</v>
      </c>
      <c r="BH31" s="158">
        <f t="shared" si="1"/>
        <v>0.28029999999999333</v>
      </c>
      <c r="BI31" s="158">
        <f t="shared" si="2"/>
        <v>1.4402999999999988</v>
      </c>
      <c r="BJ31" s="158">
        <f t="shared" si="3"/>
        <v>-0.1014000000000026</v>
      </c>
      <c r="BK31" s="210"/>
      <c r="BL31" s="210"/>
      <c r="BM31" s="210"/>
      <c r="BN31" s="210"/>
      <c r="BO31" s="210"/>
      <c r="BP31" s="148"/>
      <c r="BQ31" s="210"/>
      <c r="BR31" s="210"/>
      <c r="BS31" s="210"/>
      <c r="BT31" s="808"/>
      <c r="BU31" s="210"/>
      <c r="BV31" s="210"/>
      <c r="BW31" s="210"/>
      <c r="BX31" s="808"/>
      <c r="BY31" s="164"/>
      <c r="BZ31" s="164"/>
      <c r="CA31" s="147"/>
      <c r="CB31" s="164"/>
      <c r="CC31" s="164"/>
      <c r="CD31" s="164"/>
      <c r="CE31" s="149"/>
      <c r="CF31" s="164"/>
      <c r="CG31" s="150">
        <v>9.8000000000000007</v>
      </c>
      <c r="CH31" s="158">
        <f t="shared" si="4"/>
        <v>-0.39669999999999739</v>
      </c>
      <c r="CI31" s="158">
        <f>Index_Returns!AA265</f>
        <v>6.5321699999999998</v>
      </c>
      <c r="CJ31" s="158">
        <f t="shared" si="5"/>
        <v>0.62112999999999996</v>
      </c>
      <c r="CK31" s="158">
        <f t="shared" si="6"/>
        <v>-2.40747</v>
      </c>
      <c r="CL31" s="292"/>
      <c r="CM31" s="150">
        <f>Index_Returns!W265</f>
        <v>0.94530000000000003</v>
      </c>
      <c r="CN31" s="158"/>
      <c r="CO31" s="210"/>
      <c r="CP31" s="158">
        <f t="shared" si="7"/>
        <v>-0.18289999999999251</v>
      </c>
      <c r="CQ31" s="159">
        <f t="shared" si="8"/>
        <v>-9.6999999999998199E-2</v>
      </c>
      <c r="CR31" s="158">
        <v>0.88</v>
      </c>
      <c r="CS31" s="158"/>
      <c r="CT31" s="149"/>
      <c r="CU31" s="147"/>
    </row>
    <row r="32" spans="1:99" s="164" customFormat="1" ht="12.75" customHeight="1" x14ac:dyDescent="0.2">
      <c r="A32" s="766">
        <v>35611</v>
      </c>
      <c r="B32" s="289">
        <v>3.8883000000000001</v>
      </c>
      <c r="C32" s="60">
        <v>1181506241.2699997</v>
      </c>
      <c r="D32" s="206">
        <v>2.0782999999999996</v>
      </c>
      <c r="E32" s="933">
        <v>1119510524.4300001</v>
      </c>
      <c r="F32" s="289">
        <v>4.4097000000000053</v>
      </c>
      <c r="G32" s="60">
        <v>1233881580.3100007</v>
      </c>
      <c r="H32" s="60"/>
      <c r="I32" s="60"/>
      <c r="J32" s="934"/>
      <c r="K32" s="60"/>
      <c r="L32" s="934"/>
      <c r="M32" s="60"/>
      <c r="N32" s="934"/>
      <c r="O32" s="60"/>
      <c r="P32" s="142"/>
      <c r="Q32" s="141"/>
      <c r="R32" s="766"/>
      <c r="S32" s="141"/>
      <c r="T32" s="141"/>
      <c r="U32" s="141"/>
      <c r="V32" s="141"/>
      <c r="W32" s="141"/>
      <c r="X32" s="141"/>
      <c r="Y32" s="141"/>
      <c r="Z32" s="956"/>
      <c r="AA32" s="141"/>
      <c r="AB32" s="935"/>
      <c r="AC32" s="205"/>
      <c r="AD32" s="995"/>
      <c r="AE32" s="205"/>
      <c r="AF32" s="205"/>
      <c r="AG32" s="205"/>
      <c r="AH32" s="205"/>
      <c r="AI32" s="205"/>
      <c r="AJ32" s="290"/>
      <c r="AK32" s="205"/>
      <c r="AL32" s="158">
        <v>7.023299999999999</v>
      </c>
      <c r="AM32" s="205">
        <v>186744700.43999997</v>
      </c>
      <c r="AN32" s="282">
        <v>5.8733000000000004</v>
      </c>
      <c r="AO32" s="489">
        <v>730280885.51999998</v>
      </c>
      <c r="AP32" s="291">
        <v>6.6646999999999998</v>
      </c>
      <c r="AQ32" s="205">
        <v>267210904.58000001</v>
      </c>
      <c r="AR32" s="205"/>
      <c r="AS32" s="205"/>
      <c r="AT32" s="957"/>
      <c r="AU32" s="167"/>
      <c r="AV32" s="767"/>
      <c r="AW32" s="141"/>
      <c r="AX32" s="158">
        <v>1.0154999999999914</v>
      </c>
      <c r="AY32" s="205">
        <v>460966975.52999991</v>
      </c>
      <c r="AZ32" s="158">
        <v>1.2083000000000066</v>
      </c>
      <c r="BA32" s="205">
        <v>455596014.67000008</v>
      </c>
      <c r="BB32" s="205"/>
      <c r="BC32" s="205"/>
      <c r="BD32" s="205"/>
      <c r="BE32" s="205"/>
      <c r="BF32" s="205"/>
      <c r="BG32" s="218">
        <f>Index_Returns!B266</f>
        <v>4.4800000000000004</v>
      </c>
      <c r="BH32" s="158">
        <f t="shared" si="1"/>
        <v>-0.59170000000000034</v>
      </c>
      <c r="BI32" s="158">
        <f t="shared" si="2"/>
        <v>-2.4017000000000008</v>
      </c>
      <c r="BJ32" s="158">
        <f t="shared" si="3"/>
        <v>-7.0299999999995144E-2</v>
      </c>
      <c r="BK32" s="210"/>
      <c r="BL32" s="210"/>
      <c r="BM32" s="210"/>
      <c r="BN32" s="210"/>
      <c r="BO32" s="210"/>
      <c r="BP32" s="210"/>
      <c r="BQ32" s="210"/>
      <c r="BR32" s="210"/>
      <c r="BS32" s="210"/>
      <c r="BT32" s="210"/>
      <c r="BU32" s="210"/>
      <c r="BV32" s="210"/>
      <c r="BW32" s="210"/>
      <c r="BX32" s="808"/>
      <c r="CG32" s="158">
        <v>6.2080000000000002</v>
      </c>
      <c r="CH32" s="158">
        <f t="shared" si="4"/>
        <v>0.8152999999999988</v>
      </c>
      <c r="CI32" s="158">
        <f>Index_Returns!AA266</f>
        <v>5.53749</v>
      </c>
      <c r="CJ32" s="158">
        <f t="shared" si="5"/>
        <v>0.33581000000000039</v>
      </c>
      <c r="CK32" s="158">
        <f t="shared" si="6"/>
        <v>1.1272099999999998</v>
      </c>
      <c r="CL32" s="292"/>
      <c r="CM32" s="158">
        <f>Index_Returns!W266</f>
        <v>1.1869000000000001</v>
      </c>
      <c r="CN32" s="158"/>
      <c r="CO32" s="210"/>
      <c r="CP32" s="158">
        <f t="shared" si="7"/>
        <v>-0.17140000000000866</v>
      </c>
      <c r="CQ32" s="158">
        <f t="shared" si="8"/>
        <v>2.1400000000006525E-2</v>
      </c>
      <c r="CR32" s="158">
        <v>1.01</v>
      </c>
      <c r="CS32" s="158"/>
    </row>
    <row r="33" spans="1:99" s="132" customFormat="1" ht="12.75" customHeight="1" x14ac:dyDescent="0.2">
      <c r="A33" s="184">
        <v>35642</v>
      </c>
      <c r="B33" s="83">
        <v>9.708300000000003</v>
      </c>
      <c r="C33" s="169">
        <v>1296437134.6500001</v>
      </c>
      <c r="D33" s="165">
        <v>10.83829999999999</v>
      </c>
      <c r="E33" s="171">
        <v>1241033958.8300002</v>
      </c>
      <c r="F33" s="83">
        <v>7.9314000000000107</v>
      </c>
      <c r="G33" s="169">
        <v>1331765471.1700003</v>
      </c>
      <c r="H33" s="60"/>
      <c r="I33" s="60"/>
      <c r="J33" s="215"/>
      <c r="K33" s="145"/>
      <c r="L33" s="215"/>
      <c r="M33" s="145"/>
      <c r="N33" s="215"/>
      <c r="O33" s="145"/>
      <c r="P33" s="142"/>
      <c r="Q33" s="166"/>
      <c r="R33" s="56"/>
      <c r="S33" s="166"/>
      <c r="T33" s="141"/>
      <c r="U33" s="166"/>
      <c r="V33" s="141"/>
      <c r="W33" s="166"/>
      <c r="X33" s="141"/>
      <c r="Y33" s="141"/>
      <c r="Z33" s="956"/>
      <c r="AA33" s="141"/>
      <c r="AB33" s="237"/>
      <c r="AC33" s="167"/>
      <c r="AD33" s="994"/>
      <c r="AE33" s="167"/>
      <c r="AF33" s="205"/>
      <c r="AG33" s="167"/>
      <c r="AH33" s="205"/>
      <c r="AI33" s="205"/>
      <c r="AJ33" s="80"/>
      <c r="AK33" s="152"/>
      <c r="AL33" s="84">
        <v>-2.0666999999999991</v>
      </c>
      <c r="AM33" s="167">
        <v>182797208.41999993</v>
      </c>
      <c r="AN33" s="72">
        <v>1.4133</v>
      </c>
      <c r="AO33" s="234">
        <v>740233766.19000006</v>
      </c>
      <c r="AP33" s="123">
        <v>3.0247000000000002</v>
      </c>
      <c r="AQ33" s="167">
        <v>275431747.39999998</v>
      </c>
      <c r="AR33" s="81"/>
      <c r="AS33" s="205"/>
      <c r="AT33" s="957"/>
      <c r="AU33" s="167"/>
      <c r="AV33" s="143"/>
      <c r="AW33" s="166"/>
      <c r="AX33" s="158">
        <v>2.8097000000000039</v>
      </c>
      <c r="AY33" s="167">
        <v>473918689.46000004</v>
      </c>
      <c r="AZ33" s="84">
        <v>2.7983000000000091</v>
      </c>
      <c r="BA33" s="205">
        <v>468416785.03000009</v>
      </c>
      <c r="BB33" s="205"/>
      <c r="BC33" s="205"/>
      <c r="BD33" s="742"/>
      <c r="BE33" s="152"/>
      <c r="BF33" s="81"/>
      <c r="BG33" s="151">
        <f>Index_Returns!B267</f>
        <v>7.9569999999999999</v>
      </c>
      <c r="BH33" s="84">
        <f t="shared" si="1"/>
        <v>1.7513000000000032</v>
      </c>
      <c r="BI33" s="84">
        <f t="shared" si="2"/>
        <v>2.8812999999999898</v>
      </c>
      <c r="BJ33" s="84">
        <f t="shared" si="3"/>
        <v>-2.5599999999989187E-2</v>
      </c>
      <c r="BK33" s="210"/>
      <c r="BL33" s="210"/>
      <c r="BM33" s="210"/>
      <c r="BN33" s="210"/>
      <c r="BO33" s="210"/>
      <c r="BP33" s="148"/>
      <c r="BQ33" s="87"/>
      <c r="BR33" s="87"/>
      <c r="BS33" s="210"/>
      <c r="BT33" s="808"/>
      <c r="BU33" s="210"/>
      <c r="BV33" s="210"/>
      <c r="BW33" s="210"/>
      <c r="BX33" s="808"/>
      <c r="CA33" s="147"/>
      <c r="CB33" s="164"/>
      <c r="CC33" s="164"/>
      <c r="CD33" s="164"/>
      <c r="CE33" s="149"/>
      <c r="CF33" s="164"/>
      <c r="CG33" s="150">
        <v>-2.3769999999999998</v>
      </c>
      <c r="CH33" s="84">
        <f t="shared" si="4"/>
        <v>0.31030000000000069</v>
      </c>
      <c r="CI33" s="84">
        <f>Index_Returns!AA267</f>
        <v>1.6383300000000001</v>
      </c>
      <c r="CJ33" s="84">
        <f t="shared" si="5"/>
        <v>-0.22503000000000006</v>
      </c>
      <c r="CK33" s="84">
        <f t="shared" si="6"/>
        <v>1.3863700000000001</v>
      </c>
      <c r="CL33" s="114"/>
      <c r="CM33" s="150">
        <f>Index_Returns!W267</f>
        <v>2.6966999999999999</v>
      </c>
      <c r="CN33" s="158"/>
      <c r="CO33" s="87"/>
      <c r="CP33" s="84">
        <f t="shared" si="7"/>
        <v>0.11300000000000399</v>
      </c>
      <c r="CQ33" s="159">
        <f t="shared" si="8"/>
        <v>0.10160000000000924</v>
      </c>
      <c r="CR33" s="158">
        <v>1.97</v>
      </c>
      <c r="CS33" s="158"/>
      <c r="CT33" s="149"/>
      <c r="CU33" s="147"/>
    </row>
    <row r="34" spans="1:99" s="132" customFormat="1" ht="12.75" customHeight="1" x14ac:dyDescent="0.2">
      <c r="A34" s="184">
        <v>35673</v>
      </c>
      <c r="B34" s="83">
        <v>-4.2517000000000031</v>
      </c>
      <c r="C34" s="169">
        <v>1241407028.8600001</v>
      </c>
      <c r="D34" s="165">
        <v>-4.5417000000000041</v>
      </c>
      <c r="E34" s="171">
        <v>1184887793.5600002</v>
      </c>
      <c r="F34" s="83">
        <v>-5.8022000000000018</v>
      </c>
      <c r="G34" s="169">
        <v>1253710140.6899998</v>
      </c>
      <c r="H34" s="60"/>
      <c r="I34" s="60"/>
      <c r="J34" s="215"/>
      <c r="K34" s="145"/>
      <c r="L34" s="215"/>
      <c r="M34" s="145"/>
      <c r="N34" s="215"/>
      <c r="O34" s="145"/>
      <c r="P34" s="142"/>
      <c r="Q34" s="166"/>
      <c r="R34" s="56"/>
      <c r="S34" s="166"/>
      <c r="T34" s="141"/>
      <c r="U34" s="166"/>
      <c r="V34" s="141"/>
      <c r="W34" s="166"/>
      <c r="X34" s="141"/>
      <c r="Y34" s="141"/>
      <c r="Z34" s="956"/>
      <c r="AA34" s="141"/>
      <c r="AB34" s="237"/>
      <c r="AC34" s="167"/>
      <c r="AD34" s="994"/>
      <c r="AE34" s="167"/>
      <c r="AF34" s="205"/>
      <c r="AG34" s="167"/>
      <c r="AH34" s="205"/>
      <c r="AI34" s="205"/>
      <c r="AJ34" s="80"/>
      <c r="AK34" s="152"/>
      <c r="AL34" s="84">
        <v>-9.8566999999999965</v>
      </c>
      <c r="AM34" s="167">
        <v>164772291.71999997</v>
      </c>
      <c r="AN34" s="72">
        <v>-7.6566999999999998</v>
      </c>
      <c r="AO34" s="234">
        <v>683678079.01999998</v>
      </c>
      <c r="AP34" s="123">
        <v>-3.6953</v>
      </c>
      <c r="AQ34" s="167">
        <v>265364948.09</v>
      </c>
      <c r="AR34" s="81"/>
      <c r="AS34" s="205"/>
      <c r="AT34" s="957"/>
      <c r="AU34" s="167"/>
      <c r="AV34" s="143"/>
      <c r="AW34" s="166"/>
      <c r="AX34" s="158">
        <v>-1.1704000000000048</v>
      </c>
      <c r="AY34" s="167">
        <v>468371804.83999997</v>
      </c>
      <c r="AZ34" s="84">
        <v>-1.0017000000000054</v>
      </c>
      <c r="BA34" s="205">
        <v>463793988.88999993</v>
      </c>
      <c r="BB34" s="205"/>
      <c r="BC34" s="205"/>
      <c r="BD34" s="742"/>
      <c r="BE34" s="152"/>
      <c r="BF34" s="81"/>
      <c r="BG34" s="151">
        <f>Index_Returns!B268</f>
        <v>-5.6020000000000003</v>
      </c>
      <c r="BH34" s="84">
        <f t="shared" si="1"/>
        <v>1.3502999999999972</v>
      </c>
      <c r="BI34" s="84">
        <f t="shared" si="2"/>
        <v>1.0602999999999962</v>
      </c>
      <c r="BJ34" s="84">
        <f t="shared" si="3"/>
        <v>-0.20020000000000149</v>
      </c>
      <c r="BK34" s="210"/>
      <c r="BL34" s="210"/>
      <c r="BM34" s="210"/>
      <c r="BN34" s="210"/>
      <c r="BO34" s="210"/>
      <c r="BP34" s="148"/>
      <c r="BQ34" s="87"/>
      <c r="BR34" s="87"/>
      <c r="BS34" s="210"/>
      <c r="BT34" s="808"/>
      <c r="BU34" s="210"/>
      <c r="BV34" s="210"/>
      <c r="BW34" s="210"/>
      <c r="BX34" s="808"/>
      <c r="CA34" s="147"/>
      <c r="CB34" s="164"/>
      <c r="CC34" s="164"/>
      <c r="CD34" s="164"/>
      <c r="CE34" s="149"/>
      <c r="CF34" s="164"/>
      <c r="CG34" s="150">
        <v>-9.9049999999999994</v>
      </c>
      <c r="CH34" s="84">
        <f t="shared" si="4"/>
        <v>4.8300000000002896E-2</v>
      </c>
      <c r="CI34" s="84">
        <f>Index_Returns!AA268</f>
        <v>-7.4478799999999996</v>
      </c>
      <c r="CJ34" s="84">
        <f t="shared" si="5"/>
        <v>-0.20882000000000023</v>
      </c>
      <c r="CK34" s="84">
        <f t="shared" si="6"/>
        <v>3.7525799999999996</v>
      </c>
      <c r="CL34" s="114"/>
      <c r="CM34" s="150">
        <f>Index_Returns!W268</f>
        <v>-0.85299999999999998</v>
      </c>
      <c r="CN34" s="158"/>
      <c r="CO34" s="87"/>
      <c r="CP34" s="84">
        <f t="shared" si="7"/>
        <v>-0.31740000000000479</v>
      </c>
      <c r="CQ34" s="159">
        <f t="shared" si="8"/>
        <v>-0.14870000000000538</v>
      </c>
      <c r="CR34" s="158">
        <v>-0.4</v>
      </c>
      <c r="CS34" s="158"/>
      <c r="CT34" s="149"/>
      <c r="CU34" s="147"/>
    </row>
    <row r="35" spans="1:99" s="132" customFormat="1" ht="12.75" customHeight="1" x14ac:dyDescent="0.2">
      <c r="A35" s="184">
        <v>35703</v>
      </c>
      <c r="B35" s="83">
        <v>4.7482999999999942</v>
      </c>
      <c r="C35" s="169">
        <v>1300414712.1600001</v>
      </c>
      <c r="D35" s="165">
        <v>3.9482999999999935</v>
      </c>
      <c r="E35" s="171">
        <v>1231843703.1999998</v>
      </c>
      <c r="F35" s="83">
        <v>5.1549000000000067</v>
      </c>
      <c r="G35" s="169">
        <v>1317800026.0800002</v>
      </c>
      <c r="H35" s="60"/>
      <c r="I35" s="60"/>
      <c r="J35" s="215"/>
      <c r="K35" s="145"/>
      <c r="L35" s="215"/>
      <c r="M35" s="145"/>
      <c r="N35" s="215"/>
      <c r="O35" s="145"/>
      <c r="P35" s="142"/>
      <c r="Q35" s="166"/>
      <c r="R35" s="56"/>
      <c r="S35" s="166"/>
      <c r="T35" s="141"/>
      <c r="U35" s="166"/>
      <c r="V35" s="141"/>
      <c r="W35" s="166"/>
      <c r="X35" s="141"/>
      <c r="Y35" s="141"/>
      <c r="Z35" s="956"/>
      <c r="AA35" s="141"/>
      <c r="AB35" s="237"/>
      <c r="AC35" s="167"/>
      <c r="AD35" s="994"/>
      <c r="AE35" s="167"/>
      <c r="AF35" s="205"/>
      <c r="AG35" s="167"/>
      <c r="AH35" s="205"/>
      <c r="AI35" s="205"/>
      <c r="AJ35" s="80"/>
      <c r="AK35" s="152"/>
      <c r="AL35" s="84">
        <v>-0.57669999999999666</v>
      </c>
      <c r="AM35" s="167">
        <v>163821631.05999997</v>
      </c>
      <c r="AN35" s="72">
        <v>5.4432999999999998</v>
      </c>
      <c r="AO35" s="234">
        <v>720766195.25</v>
      </c>
      <c r="AP35" s="123">
        <v>8.5946999999999996</v>
      </c>
      <c r="AQ35" s="167">
        <v>288256231.75999999</v>
      </c>
      <c r="AR35" s="81"/>
      <c r="AS35" s="205"/>
      <c r="AT35" s="957"/>
      <c r="AU35" s="167"/>
      <c r="AV35" s="143"/>
      <c r="AW35" s="166"/>
      <c r="AX35" s="158">
        <v>1.3168999999999986</v>
      </c>
      <c r="AY35" s="167">
        <v>474541575.30999994</v>
      </c>
      <c r="AZ35" s="84">
        <v>1.5783000000000103</v>
      </c>
      <c r="BA35" s="205">
        <v>471153921.99000001</v>
      </c>
      <c r="BB35" s="205"/>
      <c r="BC35" s="205"/>
      <c r="BD35" s="742"/>
      <c r="BE35" s="152"/>
      <c r="BF35" s="81"/>
      <c r="BG35" s="151">
        <f>Index_Returns!B269</f>
        <v>5.4770000000000003</v>
      </c>
      <c r="BH35" s="84">
        <f t="shared" si="1"/>
        <v>-0.72870000000000612</v>
      </c>
      <c r="BI35" s="84">
        <f t="shared" si="2"/>
        <v>-1.5287000000000068</v>
      </c>
      <c r="BJ35" s="84">
        <f t="shared" si="3"/>
        <v>-0.32209999999999361</v>
      </c>
      <c r="BK35" s="210"/>
      <c r="BL35" s="210"/>
      <c r="BM35" s="210"/>
      <c r="BN35" s="210"/>
      <c r="BO35" s="210"/>
      <c r="BP35" s="148"/>
      <c r="BQ35" s="87"/>
      <c r="BR35" s="87"/>
      <c r="BS35" s="210"/>
      <c r="BT35" s="808"/>
      <c r="BU35" s="210"/>
      <c r="BV35" s="210"/>
      <c r="BW35" s="210"/>
      <c r="BX35" s="808"/>
      <c r="CA35" s="147"/>
      <c r="CB35" s="164"/>
      <c r="CC35" s="164"/>
      <c r="CD35" s="164"/>
      <c r="CE35" s="149"/>
      <c r="CF35" s="164"/>
      <c r="CG35" s="150">
        <v>-0.36909999999999998</v>
      </c>
      <c r="CH35" s="84">
        <f t="shared" si="4"/>
        <v>-0.20759999999999668</v>
      </c>
      <c r="CI35" s="84">
        <f>Index_Returns!AA269</f>
        <v>5.6244500000000004</v>
      </c>
      <c r="CJ35" s="84">
        <f t="shared" si="5"/>
        <v>-0.18115000000000059</v>
      </c>
      <c r="CK35" s="84">
        <f t="shared" si="6"/>
        <v>2.9702499999999992</v>
      </c>
      <c r="CL35" s="114"/>
      <c r="CM35" s="150">
        <f>Index_Returns!W269</f>
        <v>1.4748000000000001</v>
      </c>
      <c r="CN35" s="158"/>
      <c r="CO35" s="87"/>
      <c r="CP35" s="84">
        <f t="shared" si="7"/>
        <v>-0.15790000000000148</v>
      </c>
      <c r="CQ35" s="159">
        <f t="shared" si="8"/>
        <v>0.10350000000001014</v>
      </c>
      <c r="CR35" s="158">
        <v>1.2</v>
      </c>
      <c r="CS35" s="158"/>
      <c r="CT35" s="149"/>
      <c r="CU35" s="147"/>
    </row>
    <row r="36" spans="1:99" s="132" customFormat="1" ht="12.75" customHeight="1" x14ac:dyDescent="0.2">
      <c r="A36" s="184">
        <v>35734</v>
      </c>
      <c r="B36" s="83">
        <v>-4.2317000000000053</v>
      </c>
      <c r="C36" s="169">
        <v>1245506947.1400001</v>
      </c>
      <c r="D36" s="165">
        <v>-2.0417000000000018</v>
      </c>
      <c r="E36" s="171">
        <v>1206794516.48</v>
      </c>
      <c r="F36" s="83">
        <v>-3.1003000000000003</v>
      </c>
      <c r="G36" s="169">
        <v>1276934413.6800001</v>
      </c>
      <c r="H36" s="60"/>
      <c r="I36" s="60"/>
      <c r="J36" s="215"/>
      <c r="K36" s="145"/>
      <c r="L36" s="215"/>
      <c r="M36" s="145"/>
      <c r="N36" s="215"/>
      <c r="O36" s="145"/>
      <c r="P36" s="142"/>
      <c r="Q36" s="166"/>
      <c r="R36" s="56"/>
      <c r="S36" s="166"/>
      <c r="T36" s="141"/>
      <c r="U36" s="166"/>
      <c r="V36" s="141"/>
      <c r="W36" s="166"/>
      <c r="X36" s="141"/>
      <c r="Y36" s="141"/>
      <c r="Z36" s="956"/>
      <c r="AA36" s="141"/>
      <c r="AB36" s="237"/>
      <c r="AC36" s="167"/>
      <c r="AD36" s="994"/>
      <c r="AE36" s="167"/>
      <c r="AF36" s="205"/>
      <c r="AG36" s="167"/>
      <c r="AH36" s="205"/>
      <c r="AI36" s="205"/>
      <c r="AJ36" s="80"/>
      <c r="AK36" s="152"/>
      <c r="AL36" s="84">
        <v>-11.506700000000002</v>
      </c>
      <c r="AM36" s="167">
        <v>144977878.41000003</v>
      </c>
      <c r="AN36" s="72">
        <v>-8.1767000000000003</v>
      </c>
      <c r="AO36" s="234">
        <v>661893049.36000001</v>
      </c>
      <c r="AP36" s="123">
        <v>-5.1852999999999998</v>
      </c>
      <c r="AQ36" s="167">
        <v>273405552.47000003</v>
      </c>
      <c r="AR36" s="81"/>
      <c r="AS36" s="205"/>
      <c r="AT36" s="957"/>
      <c r="AU36" s="167"/>
      <c r="AV36" s="143"/>
      <c r="AW36" s="166"/>
      <c r="AX36" s="158">
        <v>1.2906000000000084</v>
      </c>
      <c r="AY36" s="167">
        <v>480697445.96999997</v>
      </c>
      <c r="AZ36" s="84">
        <v>1.5682999999999891</v>
      </c>
      <c r="BA36" s="205">
        <v>478600373.15999991</v>
      </c>
      <c r="BB36" s="205"/>
      <c r="BC36" s="205"/>
      <c r="BD36" s="742"/>
      <c r="BE36" s="152"/>
      <c r="BF36" s="81"/>
      <c r="BG36" s="151">
        <f>Index_Returns!B270</f>
        <v>-3.34</v>
      </c>
      <c r="BH36" s="84">
        <f t="shared" si="1"/>
        <v>-0.89170000000000549</v>
      </c>
      <c r="BI36" s="84">
        <f t="shared" si="2"/>
        <v>1.298299999999998</v>
      </c>
      <c r="BJ36" s="84">
        <f t="shared" si="3"/>
        <v>0.23969999999999958</v>
      </c>
      <c r="BK36" s="210"/>
      <c r="BL36" s="210"/>
      <c r="BM36" s="210"/>
      <c r="BN36" s="210"/>
      <c r="BO36" s="210"/>
      <c r="BP36" s="148"/>
      <c r="BQ36" s="87"/>
      <c r="BR36" s="87"/>
      <c r="BS36" s="210"/>
      <c r="BT36" s="808"/>
      <c r="BU36" s="210"/>
      <c r="BV36" s="210"/>
      <c r="BW36" s="210"/>
      <c r="BX36" s="808"/>
      <c r="CA36" s="147"/>
      <c r="CB36" s="164"/>
      <c r="CC36" s="164"/>
      <c r="CD36" s="164"/>
      <c r="CE36" s="149"/>
      <c r="CF36" s="164"/>
      <c r="CG36" s="150">
        <v>-12.1272</v>
      </c>
      <c r="CH36" s="84">
        <f t="shared" si="4"/>
        <v>0.62049999999999805</v>
      </c>
      <c r="CI36" s="84">
        <f>Index_Returns!AA270</f>
        <v>-7.6645700000000003</v>
      </c>
      <c r="CJ36" s="84">
        <f t="shared" si="5"/>
        <v>-0.51212999999999997</v>
      </c>
      <c r="CK36" s="84">
        <f t="shared" si="6"/>
        <v>2.4792700000000005</v>
      </c>
      <c r="CL36" s="114"/>
      <c r="CM36" s="150">
        <f>Index_Returns!W270</f>
        <v>1.4507000000000001</v>
      </c>
      <c r="CN36" s="158"/>
      <c r="CO36" s="87"/>
      <c r="CP36" s="84">
        <f t="shared" si="7"/>
        <v>-0.16009999999999169</v>
      </c>
      <c r="CQ36" s="159">
        <f t="shared" si="8"/>
        <v>0.11759999999998905</v>
      </c>
      <c r="CR36" s="158">
        <v>1.1100000000000001</v>
      </c>
      <c r="CS36" s="158"/>
      <c r="CT36" s="149"/>
      <c r="CU36" s="147"/>
    </row>
    <row r="37" spans="1:99" s="132" customFormat="1" ht="12.75" customHeight="1" x14ac:dyDescent="0.2">
      <c r="A37" s="184">
        <v>35764</v>
      </c>
      <c r="B37" s="83">
        <v>3.0083000000000082</v>
      </c>
      <c r="C37" s="169">
        <v>1283087180.96</v>
      </c>
      <c r="D37" s="165">
        <v>4.2683000000000026</v>
      </c>
      <c r="E37" s="171">
        <v>1258459992.6799998</v>
      </c>
      <c r="F37" s="83">
        <v>4.5508000000000104</v>
      </c>
      <c r="G37" s="169">
        <v>1335066677.1300001</v>
      </c>
      <c r="H37" s="60"/>
      <c r="I37" s="60"/>
      <c r="J37" s="215"/>
      <c r="K37" s="145"/>
      <c r="L37" s="215"/>
      <c r="M37" s="145"/>
      <c r="N37" s="215"/>
      <c r="O37" s="145"/>
      <c r="P37" s="142"/>
      <c r="Q37" s="166"/>
      <c r="R37" s="56"/>
      <c r="S37" s="166"/>
      <c r="T37" s="141"/>
      <c r="U37" s="166"/>
      <c r="V37" s="141"/>
      <c r="W37" s="166"/>
      <c r="X37" s="141"/>
      <c r="Y37" s="141"/>
      <c r="Z37" s="956"/>
      <c r="AA37" s="141"/>
      <c r="AB37" s="237"/>
      <c r="AC37" s="167"/>
      <c r="AD37" s="994"/>
      <c r="AE37" s="167"/>
      <c r="AF37" s="205"/>
      <c r="AG37" s="167"/>
      <c r="AH37" s="205"/>
      <c r="AI37" s="205"/>
      <c r="AJ37" s="80"/>
      <c r="AK37" s="152"/>
      <c r="AL37" s="84">
        <v>-6.3767000000000014</v>
      </c>
      <c r="AM37" s="167">
        <v>135727713.89000002</v>
      </c>
      <c r="AN37" s="72">
        <v>-0.70669999999999999</v>
      </c>
      <c r="AO37" s="234">
        <v>657342962.37</v>
      </c>
      <c r="AP37" s="123">
        <v>0.60470000000000002</v>
      </c>
      <c r="AQ37" s="167">
        <v>275157793.18000001</v>
      </c>
      <c r="AR37" s="81"/>
      <c r="AS37" s="205"/>
      <c r="AT37" s="957"/>
      <c r="AU37" s="167"/>
      <c r="AV37" s="143"/>
      <c r="AW37" s="166"/>
      <c r="AX37" s="158">
        <v>0.26889999999999414</v>
      </c>
      <c r="AY37" s="167">
        <v>482021762.47000009</v>
      </c>
      <c r="AZ37" s="84">
        <v>0.35829999999998918</v>
      </c>
      <c r="BA37" s="205">
        <v>480368730.55000001</v>
      </c>
      <c r="BB37" s="205"/>
      <c r="BC37" s="205"/>
      <c r="BD37" s="742"/>
      <c r="BE37" s="152"/>
      <c r="BF37" s="81"/>
      <c r="BG37" s="151">
        <f>Index_Returns!B271</f>
        <v>4.6289999999999996</v>
      </c>
      <c r="BH37" s="84">
        <f t="shared" si="1"/>
        <v>-1.6206999999999914</v>
      </c>
      <c r="BI37" s="84">
        <f t="shared" si="2"/>
        <v>-0.36069999999999691</v>
      </c>
      <c r="BJ37" s="84">
        <f t="shared" si="3"/>
        <v>-7.8199999999989167E-2</v>
      </c>
      <c r="BK37" s="210"/>
      <c r="BL37" s="210"/>
      <c r="BM37" s="210"/>
      <c r="BN37" s="210"/>
      <c r="BO37" s="210"/>
      <c r="BP37" s="148"/>
      <c r="BQ37" s="87"/>
      <c r="BR37" s="87"/>
      <c r="BS37" s="210"/>
      <c r="BT37" s="808"/>
      <c r="BU37" s="210"/>
      <c r="BV37" s="210"/>
      <c r="BW37" s="210"/>
      <c r="BX37" s="808"/>
      <c r="CA37" s="147"/>
      <c r="CB37" s="164"/>
      <c r="CC37" s="164"/>
      <c r="CD37" s="164"/>
      <c r="CE37" s="149"/>
      <c r="CF37" s="164"/>
      <c r="CG37" s="150">
        <v>-5.4884000000000004</v>
      </c>
      <c r="CH37" s="84">
        <f t="shared" si="4"/>
        <v>-0.88830000000000098</v>
      </c>
      <c r="CI37" s="84">
        <f>Index_Returns!AA271</f>
        <v>-0.99634999999999996</v>
      </c>
      <c r="CJ37" s="84">
        <f t="shared" si="5"/>
        <v>0.28964999999999996</v>
      </c>
      <c r="CK37" s="84">
        <f t="shared" si="6"/>
        <v>1.6010499999999999</v>
      </c>
      <c r="CL37" s="114"/>
      <c r="CM37" s="150">
        <f>Index_Returns!W271</f>
        <v>0.46050000000000002</v>
      </c>
      <c r="CN37" s="158"/>
      <c r="CO37" s="87"/>
      <c r="CP37" s="84">
        <f t="shared" si="7"/>
        <v>-0.19160000000000588</v>
      </c>
      <c r="CQ37" s="159">
        <f t="shared" si="8"/>
        <v>-0.10220000000001084</v>
      </c>
      <c r="CR37" s="158">
        <v>0.26</v>
      </c>
      <c r="CS37" s="158"/>
      <c r="CT37" s="149"/>
      <c r="CU37" s="147"/>
    </row>
    <row r="38" spans="1:99" s="132" customFormat="1" ht="12.75" customHeight="1" x14ac:dyDescent="0.2">
      <c r="A38" s="184">
        <v>35795</v>
      </c>
      <c r="B38" s="83">
        <v>1.7582999999999904</v>
      </c>
      <c r="C38" s="169">
        <v>1305781918.3</v>
      </c>
      <c r="D38" s="165">
        <v>0.99830000000000751</v>
      </c>
      <c r="E38" s="171">
        <v>1271129668.2399998</v>
      </c>
      <c r="F38" s="83">
        <v>1.5219889311134382</v>
      </c>
      <c r="G38" s="169">
        <v>1355374682.0000002</v>
      </c>
      <c r="H38" s="60"/>
      <c r="I38" s="60"/>
      <c r="J38" s="215"/>
      <c r="K38" s="145"/>
      <c r="L38" s="215"/>
      <c r="M38" s="145"/>
      <c r="N38" s="215"/>
      <c r="O38" s="145"/>
      <c r="P38" s="142"/>
      <c r="Q38" s="166"/>
      <c r="R38" s="56"/>
      <c r="S38" s="166"/>
      <c r="T38" s="141"/>
      <c r="U38" s="166"/>
      <c r="V38" s="141"/>
      <c r="W38" s="166"/>
      <c r="X38" s="141"/>
      <c r="Y38" s="141"/>
      <c r="Z38" s="956"/>
      <c r="AA38" s="141"/>
      <c r="AB38" s="237"/>
      <c r="AC38" s="167"/>
      <c r="AD38" s="994"/>
      <c r="AE38" s="167"/>
      <c r="AF38" s="205"/>
      <c r="AG38" s="167"/>
      <c r="AH38" s="205"/>
      <c r="AI38" s="205"/>
      <c r="AJ38" s="80"/>
      <c r="AK38" s="152"/>
      <c r="AL38" s="84">
        <v>-4.6467000000000036</v>
      </c>
      <c r="AM38" s="167">
        <v>129357070.05000001</v>
      </c>
      <c r="AN38" s="72">
        <v>0.89329999999999998</v>
      </c>
      <c r="AO38" s="234">
        <v>663016316.36000001</v>
      </c>
      <c r="AP38" s="123">
        <v>1.8247</v>
      </c>
      <c r="AQ38" s="167">
        <v>280271353.54000002</v>
      </c>
      <c r="AR38" s="81"/>
      <c r="AS38" s="205"/>
      <c r="AT38" s="957"/>
      <c r="AU38" s="167"/>
      <c r="AV38" s="143"/>
      <c r="AW38" s="166"/>
      <c r="AX38" s="158">
        <v>0.78810000000000269</v>
      </c>
      <c r="AY38" s="167">
        <v>485852738.75000012</v>
      </c>
      <c r="AZ38" s="84">
        <v>1.0782999999999987</v>
      </c>
      <c r="BA38" s="205">
        <v>485616915.32000005</v>
      </c>
      <c r="BB38" s="205"/>
      <c r="BC38" s="205"/>
      <c r="BD38" s="742"/>
      <c r="BE38" s="152"/>
      <c r="BF38" s="81"/>
      <c r="BG38" s="151">
        <f>Index_Returns!B272</f>
        <v>1.7170000000000001</v>
      </c>
      <c r="BH38" s="84">
        <f t="shared" si="1"/>
        <v>4.1299999999990344E-2</v>
      </c>
      <c r="BI38" s="84">
        <f t="shared" si="2"/>
        <v>-0.71869999999999257</v>
      </c>
      <c r="BJ38" s="84">
        <f t="shared" si="3"/>
        <v>-0.19501106888656183</v>
      </c>
      <c r="BK38" s="210"/>
      <c r="BL38" s="210"/>
      <c r="BM38" s="210"/>
      <c r="BN38" s="210"/>
      <c r="BO38" s="210"/>
      <c r="BP38" s="148"/>
      <c r="BQ38" s="87"/>
      <c r="BR38" s="87"/>
      <c r="BS38" s="210"/>
      <c r="BT38" s="808"/>
      <c r="BU38" s="210"/>
      <c r="BV38" s="210"/>
      <c r="BW38" s="210"/>
      <c r="BX38" s="808"/>
      <c r="CA38" s="147"/>
      <c r="CB38" s="164"/>
      <c r="CC38" s="164"/>
      <c r="CD38" s="164"/>
      <c r="CE38" s="149"/>
      <c r="CF38" s="164"/>
      <c r="CG38" s="150">
        <v>-4.3773</v>
      </c>
      <c r="CH38" s="84">
        <f t="shared" si="4"/>
        <v>-0.26940000000000364</v>
      </c>
      <c r="CI38" s="84">
        <f>Index_Returns!AA272</f>
        <v>0.89524000000000004</v>
      </c>
      <c r="CJ38" s="84">
        <f t="shared" si="5"/>
        <v>-1.9400000000000528E-3</v>
      </c>
      <c r="CK38" s="84">
        <f t="shared" si="6"/>
        <v>0.92945999999999995</v>
      </c>
      <c r="CL38" s="114"/>
      <c r="CM38" s="150">
        <f>Index_Returns!W272</f>
        <v>1.0067999999999999</v>
      </c>
      <c r="CN38" s="158"/>
      <c r="CO38" s="87"/>
      <c r="CP38" s="84">
        <f t="shared" si="7"/>
        <v>-0.21869999999999723</v>
      </c>
      <c r="CQ38" s="159">
        <f t="shared" si="8"/>
        <v>7.1499999999998787E-2</v>
      </c>
      <c r="CR38" s="158">
        <v>0.84</v>
      </c>
      <c r="CS38" s="158"/>
      <c r="CT38" s="149"/>
      <c r="CU38" s="147"/>
    </row>
    <row r="39" spans="1:99" s="132" customFormat="1" ht="12.75" customHeight="1" x14ac:dyDescent="0.2">
      <c r="A39" s="810">
        <v>35826</v>
      </c>
      <c r="B39" s="811">
        <v>1.2183000000000055</v>
      </c>
      <c r="C39" s="812">
        <v>1321879370.6199999</v>
      </c>
      <c r="D39" s="813">
        <v>1.3783000000000101</v>
      </c>
      <c r="E39" s="814">
        <v>1286187771.4000003</v>
      </c>
      <c r="F39" s="811">
        <v>1.198800000000011</v>
      </c>
      <c r="G39" s="812">
        <v>1372627232.3300002</v>
      </c>
      <c r="H39" s="815"/>
      <c r="I39" s="815"/>
      <c r="J39" s="816"/>
      <c r="K39" s="817"/>
      <c r="L39" s="816"/>
      <c r="M39" s="817"/>
      <c r="N39" s="816"/>
      <c r="O39" s="817"/>
      <c r="P39" s="818"/>
      <c r="Q39" s="819"/>
      <c r="R39" s="818"/>
      <c r="S39" s="819"/>
      <c r="T39" s="820"/>
      <c r="U39" s="819"/>
      <c r="V39" s="820"/>
      <c r="W39" s="819"/>
      <c r="X39" s="820"/>
      <c r="Y39" s="820"/>
      <c r="Z39" s="1183"/>
      <c r="AA39" s="820"/>
      <c r="AB39" s="821"/>
      <c r="AC39" s="822"/>
      <c r="AD39" s="996"/>
      <c r="AE39" s="822"/>
      <c r="AF39" s="823"/>
      <c r="AG39" s="822"/>
      <c r="AH39" s="823"/>
      <c r="AI39" s="823"/>
      <c r="AJ39" s="824"/>
      <c r="AK39" s="825"/>
      <c r="AL39" s="826">
        <v>6.7833000000000032</v>
      </c>
      <c r="AM39" s="822">
        <v>138143700.60999998</v>
      </c>
      <c r="AN39" s="827">
        <v>3.8732999999999995</v>
      </c>
      <c r="AO39" s="828">
        <v>688631836.32000005</v>
      </c>
      <c r="AP39" s="829">
        <v>3.3547000000000002</v>
      </c>
      <c r="AQ39" s="822">
        <v>289784172.18000001</v>
      </c>
      <c r="AR39" s="830"/>
      <c r="AS39" s="823"/>
      <c r="AT39" s="958"/>
      <c r="AU39" s="822"/>
      <c r="AV39" s="831"/>
      <c r="AW39" s="819"/>
      <c r="AX39" s="826">
        <v>1.1821999999999999</v>
      </c>
      <c r="AY39" s="822">
        <v>491649573.8499999</v>
      </c>
      <c r="AZ39" s="826">
        <v>1.2483000000000022</v>
      </c>
      <c r="BA39" s="823">
        <v>491737756.10999995</v>
      </c>
      <c r="BB39" s="823"/>
      <c r="BC39" s="823"/>
      <c r="BD39" s="832"/>
      <c r="BE39" s="825"/>
      <c r="BF39" s="830"/>
      <c r="BG39" s="833">
        <f>Index_Returns!B273</f>
        <v>1.1060000000000001</v>
      </c>
      <c r="BH39" s="826">
        <f t="shared" si="1"/>
        <v>0.1123000000000054</v>
      </c>
      <c r="BI39" s="826">
        <f t="shared" si="2"/>
        <v>0.27230000000000998</v>
      </c>
      <c r="BJ39" s="826">
        <f t="shared" si="3"/>
        <v>9.2800000000010874E-2</v>
      </c>
      <c r="BK39" s="834"/>
      <c r="BL39" s="834"/>
      <c r="BM39" s="834"/>
      <c r="BN39" s="834"/>
      <c r="BO39" s="834"/>
      <c r="BP39" s="835"/>
      <c r="BQ39" s="836"/>
      <c r="BR39" s="836"/>
      <c r="BS39" s="834"/>
      <c r="BT39" s="837"/>
      <c r="BU39" s="834"/>
      <c r="BV39" s="834"/>
      <c r="BW39" s="834"/>
      <c r="BX39" s="837"/>
      <c r="BY39" s="838"/>
      <c r="BZ39" s="838"/>
      <c r="CA39" s="839"/>
      <c r="CB39" s="840"/>
      <c r="CC39" s="840"/>
      <c r="CD39" s="840"/>
      <c r="CE39" s="841"/>
      <c r="CF39" s="840"/>
      <c r="CG39" s="842">
        <v>5.4389000000000003</v>
      </c>
      <c r="CH39" s="826">
        <f t="shared" si="4"/>
        <v>1.3444000000000029</v>
      </c>
      <c r="CI39" s="826">
        <f>Index_Returns!AA273</f>
        <v>4.59659</v>
      </c>
      <c r="CJ39" s="826">
        <f t="shared" si="5"/>
        <v>-0.72329000000000043</v>
      </c>
      <c r="CK39" s="826">
        <f t="shared" si="6"/>
        <v>-1.2418899999999997</v>
      </c>
      <c r="CL39" s="843"/>
      <c r="CM39" s="842">
        <f>Index_Returns!W273</f>
        <v>1.2838000000000001</v>
      </c>
      <c r="CN39" s="889"/>
      <c r="CO39" s="836"/>
      <c r="CP39" s="826">
        <f t="shared" si="7"/>
        <v>-0.10160000000000013</v>
      </c>
      <c r="CQ39" s="844">
        <f t="shared" si="8"/>
        <v>-3.5499999999997867E-2</v>
      </c>
      <c r="CR39" s="889">
        <v>1.1904999999999999</v>
      </c>
      <c r="CS39" s="889"/>
      <c r="CT39" s="841"/>
      <c r="CU39" s="839"/>
    </row>
    <row r="40" spans="1:99" x14ac:dyDescent="0.2">
      <c r="A40" s="810">
        <v>35854</v>
      </c>
      <c r="B40" s="811">
        <v>7.1882999999999919</v>
      </c>
      <c r="C40" s="812">
        <v>1417108754.5</v>
      </c>
      <c r="D40" s="813">
        <v>8.5293568845990375</v>
      </c>
      <c r="E40" s="814">
        <v>914829218.03000009</v>
      </c>
      <c r="F40" s="811">
        <v>7.1989999999999998</v>
      </c>
      <c r="G40" s="812">
        <v>1936769968.26</v>
      </c>
      <c r="H40" s="815"/>
      <c r="I40" s="815"/>
      <c r="J40" s="816"/>
      <c r="K40" s="817"/>
      <c r="L40" s="816"/>
      <c r="M40" s="817"/>
      <c r="N40" s="816"/>
      <c r="O40" s="817"/>
      <c r="P40" s="818"/>
      <c r="Q40" s="845"/>
      <c r="R40" s="818"/>
      <c r="S40" s="845"/>
      <c r="T40" s="846"/>
      <c r="U40" s="847"/>
      <c r="V40" s="848"/>
      <c r="W40" s="845"/>
      <c r="X40" s="848"/>
      <c r="Y40" s="848"/>
      <c r="Z40" s="1184"/>
      <c r="AA40" s="848"/>
      <c r="AB40" s="849"/>
      <c r="AC40" s="828"/>
      <c r="AD40" s="997"/>
      <c r="AE40" s="828"/>
      <c r="AF40" s="850"/>
      <c r="AG40" s="828"/>
      <c r="AH40" s="850"/>
      <c r="AI40" s="850"/>
      <c r="AJ40" s="824"/>
      <c r="AK40" s="825"/>
      <c r="AL40" s="826">
        <v>2.0432999999999923</v>
      </c>
      <c r="AM40" s="822">
        <v>140965276.94000003</v>
      </c>
      <c r="AN40" s="827">
        <v>6.5833000000000004</v>
      </c>
      <c r="AO40" s="828">
        <v>735524992.80999994</v>
      </c>
      <c r="AP40" s="829">
        <v>8.8346999999999998</v>
      </c>
      <c r="AQ40" s="822">
        <v>315481989.98000002</v>
      </c>
      <c r="AR40" s="830"/>
      <c r="AS40" s="823"/>
      <c r="AT40" s="958"/>
      <c r="AU40" s="822"/>
      <c r="AV40" s="851"/>
      <c r="AW40" s="845"/>
      <c r="AX40" s="826">
        <v>-7.699999999999374E-3</v>
      </c>
      <c r="AY40" s="822">
        <v>491641991.37</v>
      </c>
      <c r="AZ40" s="826">
        <v>-7.511132653331698E-2</v>
      </c>
      <c r="BA40" s="823">
        <v>1003019333.52</v>
      </c>
      <c r="BB40" s="823"/>
      <c r="BC40" s="823"/>
      <c r="BD40" s="832"/>
      <c r="BE40" s="825"/>
      <c r="BF40" s="830"/>
      <c r="BG40" s="833">
        <f>Index_Returns!B274</f>
        <v>7.2119999999999997</v>
      </c>
      <c r="BH40" s="826">
        <f t="shared" si="1"/>
        <v>-2.3700000000007826E-2</v>
      </c>
      <c r="BI40" s="826">
        <f t="shared" si="2"/>
        <v>1.3173568845990378</v>
      </c>
      <c r="BJ40" s="826">
        <f t="shared" si="3"/>
        <v>-1.2999999999999901E-2</v>
      </c>
      <c r="BK40" s="834"/>
      <c r="BL40" s="834"/>
      <c r="BM40" s="834"/>
      <c r="BN40" s="834"/>
      <c r="BO40" s="834"/>
      <c r="BP40" s="835"/>
      <c r="BQ40" s="836"/>
      <c r="BR40" s="836"/>
      <c r="BS40" s="834"/>
      <c r="BT40" s="837"/>
      <c r="BU40" s="834"/>
      <c r="BV40" s="834"/>
      <c r="BW40" s="834"/>
      <c r="BX40" s="837"/>
      <c r="BY40" s="852"/>
      <c r="BZ40" s="852"/>
      <c r="CA40" s="853"/>
      <c r="CB40" s="854"/>
      <c r="CC40" s="854"/>
      <c r="CD40" s="854"/>
      <c r="CE40" s="855"/>
      <c r="CF40" s="854"/>
      <c r="CG40" s="842">
        <v>3.6046999999999998</v>
      </c>
      <c r="CH40" s="826">
        <f t="shared" si="4"/>
        <v>-1.5614000000000074</v>
      </c>
      <c r="CI40" s="826">
        <f>Index_Returns!AA274</f>
        <v>6.4398099999999996</v>
      </c>
      <c r="CJ40" s="826">
        <f t="shared" si="5"/>
        <v>0.14349000000000078</v>
      </c>
      <c r="CK40" s="826">
        <f t="shared" si="6"/>
        <v>2.3948900000000002</v>
      </c>
      <c r="CL40" s="843"/>
      <c r="CM40" s="842">
        <f>Index_Returns!W274</f>
        <v>-7.5300000000000006E-2</v>
      </c>
      <c r="CN40" s="889"/>
      <c r="CO40" s="836"/>
      <c r="CP40" s="826">
        <f t="shared" si="7"/>
        <v>6.7600000000000632E-2</v>
      </c>
      <c r="CQ40" s="844">
        <f t="shared" si="8"/>
        <v>1.8867346668302587E-4</v>
      </c>
      <c r="CR40" s="889">
        <v>3.4799999999999998E-2</v>
      </c>
      <c r="CS40" s="889"/>
      <c r="CT40" s="855"/>
      <c r="CU40" s="853"/>
    </row>
    <row r="41" spans="1:99" x14ac:dyDescent="0.2">
      <c r="A41" s="856">
        <v>35885</v>
      </c>
      <c r="B41" s="811">
        <v>5.9082999999999997</v>
      </c>
      <c r="C41" s="812">
        <v>1501041208.55</v>
      </c>
      <c r="D41" s="813">
        <v>3.27819871902466</v>
      </c>
      <c r="E41" s="812">
        <v>9642000.1500000004</v>
      </c>
      <c r="F41" s="811">
        <v>5.089100000000002</v>
      </c>
      <c r="G41" s="812">
        <v>2039855487.0199997</v>
      </c>
      <c r="H41" s="815"/>
      <c r="I41" s="815"/>
      <c r="J41" s="816"/>
      <c r="K41" s="817"/>
      <c r="L41" s="816"/>
      <c r="M41" s="817"/>
      <c r="N41" s="816"/>
      <c r="O41" s="817"/>
      <c r="P41" s="857"/>
      <c r="Q41" s="845"/>
      <c r="R41" s="857"/>
      <c r="S41" s="845"/>
      <c r="T41" s="846"/>
      <c r="U41" s="847"/>
      <c r="V41" s="848"/>
      <c r="W41" s="845"/>
      <c r="X41" s="848"/>
      <c r="Y41" s="848"/>
      <c r="Z41" s="1184"/>
      <c r="AA41" s="848"/>
      <c r="AB41" s="849"/>
      <c r="AC41" s="828"/>
      <c r="AD41" s="997"/>
      <c r="AE41" s="828"/>
      <c r="AF41" s="850"/>
      <c r="AG41" s="828"/>
      <c r="AH41" s="850"/>
      <c r="AI41" s="850"/>
      <c r="AJ41" s="824"/>
      <c r="AK41" s="825"/>
      <c r="AL41" s="826">
        <v>-5.4066999999999972</v>
      </c>
      <c r="AM41" s="822">
        <v>133348621.10000005</v>
      </c>
      <c r="AN41" s="827">
        <v>3.0933000000000002</v>
      </c>
      <c r="AO41" s="845">
        <v>758398952.07000005</v>
      </c>
      <c r="AP41" s="829">
        <v>10.1347</v>
      </c>
      <c r="AQ41" s="822">
        <v>347560845.32999998</v>
      </c>
      <c r="AR41" s="830"/>
      <c r="AS41" s="823"/>
      <c r="AT41" s="958"/>
      <c r="AU41" s="822"/>
      <c r="AV41" s="851"/>
      <c r="AW41" s="845"/>
      <c r="AX41" s="826">
        <v>0.18240000000000478</v>
      </c>
      <c r="AY41" s="822">
        <v>492593937.35000008</v>
      </c>
      <c r="AZ41" s="826">
        <v>0.38031495750794342</v>
      </c>
      <c r="BA41" s="823">
        <v>1006824869.7800002</v>
      </c>
      <c r="BB41" s="823"/>
      <c r="BC41" s="823"/>
      <c r="BD41" s="832"/>
      <c r="BE41" s="825"/>
      <c r="BF41" s="830"/>
      <c r="BG41" s="833">
        <f>Index_Returns!B275</f>
        <v>5.1210000000000004</v>
      </c>
      <c r="BH41" s="826">
        <f t="shared" si="1"/>
        <v>0.78729999999999922</v>
      </c>
      <c r="BI41" s="826">
        <f t="shared" si="2"/>
        <v>-1.8428012809753405</v>
      </c>
      <c r="BJ41" s="826">
        <f t="shared" si="3"/>
        <v>-3.1899999999998485E-2</v>
      </c>
      <c r="BK41" s="834"/>
      <c r="BL41" s="834"/>
      <c r="BM41" s="834"/>
      <c r="BN41" s="834"/>
      <c r="BO41" s="834"/>
      <c r="BP41" s="835"/>
      <c r="BQ41" s="836"/>
      <c r="BR41" s="836"/>
      <c r="BS41" s="834"/>
      <c r="BT41" s="837"/>
      <c r="BU41" s="834"/>
      <c r="BV41" s="834"/>
      <c r="BW41" s="834"/>
      <c r="BX41" s="837"/>
      <c r="BY41" s="852"/>
      <c r="BZ41" s="852"/>
      <c r="CA41" s="853"/>
      <c r="CB41" s="854"/>
      <c r="CC41" s="854"/>
      <c r="CD41" s="854"/>
      <c r="CE41" s="855"/>
      <c r="CF41" s="854"/>
      <c r="CG41" s="842">
        <v>-5.4953000000000003</v>
      </c>
      <c r="CH41" s="826">
        <f t="shared" si="4"/>
        <v>8.8600000000003121E-2</v>
      </c>
      <c r="CI41" s="826">
        <f>Index_Returns!AA275</f>
        <v>3.1017600000000001</v>
      </c>
      <c r="CJ41" s="826">
        <f t="shared" si="5"/>
        <v>-8.459999999999912E-3</v>
      </c>
      <c r="CK41" s="826">
        <f t="shared" si="6"/>
        <v>7.03294</v>
      </c>
      <c r="CL41" s="843"/>
      <c r="CM41" s="842">
        <f>Index_Returns!W275</f>
        <v>0.34410000000000002</v>
      </c>
      <c r="CN41" s="889"/>
      <c r="CO41" s="836"/>
      <c r="CP41" s="826">
        <f t="shared" si="7"/>
        <v>-0.16169999999999524</v>
      </c>
      <c r="CQ41" s="844">
        <f t="shared" si="8"/>
        <v>3.6214957507943402E-2</v>
      </c>
      <c r="CR41" s="889">
        <v>0.36130000000000001</v>
      </c>
      <c r="CS41" s="889"/>
      <c r="CT41" s="855"/>
      <c r="CU41" s="853"/>
    </row>
    <row r="42" spans="1:99" x14ac:dyDescent="0.2">
      <c r="A42" s="856">
        <v>35915</v>
      </c>
      <c r="B42" s="811">
        <v>2.2383000000000042</v>
      </c>
      <c r="C42" s="812">
        <v>1534805808.0999999</v>
      </c>
      <c r="D42" s="858"/>
      <c r="E42" s="812"/>
      <c r="F42" s="811">
        <v>1.0494000000000003</v>
      </c>
      <c r="G42" s="812">
        <v>2065890480.47</v>
      </c>
      <c r="H42" s="815"/>
      <c r="I42" s="815"/>
      <c r="J42" s="816"/>
      <c r="K42" s="817"/>
      <c r="L42" s="816"/>
      <c r="M42" s="817"/>
      <c r="N42" s="816"/>
      <c r="O42" s="817"/>
      <c r="P42" s="857"/>
      <c r="Q42" s="845"/>
      <c r="R42" s="857"/>
      <c r="S42" s="845"/>
      <c r="T42" s="846"/>
      <c r="U42" s="847"/>
      <c r="V42" s="848"/>
      <c r="W42" s="845"/>
      <c r="X42" s="848"/>
      <c r="Y42" s="848"/>
      <c r="Z42" s="1184"/>
      <c r="AA42" s="848"/>
      <c r="AB42" s="849"/>
      <c r="AC42" s="828"/>
      <c r="AD42" s="997"/>
      <c r="AE42" s="828"/>
      <c r="AF42" s="850"/>
      <c r="AG42" s="828"/>
      <c r="AH42" s="850"/>
      <c r="AI42" s="850"/>
      <c r="AJ42" s="824"/>
      <c r="AK42" s="825"/>
      <c r="AL42" s="826">
        <v>-2.3367000000000027</v>
      </c>
      <c r="AM42" s="822">
        <v>130227460.70000002</v>
      </c>
      <c r="AN42" s="827">
        <v>0.93330000000000013</v>
      </c>
      <c r="AO42" s="845">
        <v>766331302.22000003</v>
      </c>
      <c r="AP42" s="829">
        <v>2.9746999999999999</v>
      </c>
      <c r="AQ42" s="822">
        <v>358034089.97000003</v>
      </c>
      <c r="AR42" s="830"/>
      <c r="AS42" s="823"/>
      <c r="AT42" s="959">
        <v>0.59140000000000004</v>
      </c>
      <c r="AU42" s="822">
        <v>1012780833.49</v>
      </c>
      <c r="AV42" s="851"/>
      <c r="AW42" s="845"/>
      <c r="AX42" s="826">
        <v>0.43269999999999698</v>
      </c>
      <c r="AY42" s="822">
        <v>494739657.15999991</v>
      </c>
      <c r="AZ42" s="826"/>
      <c r="BA42" s="823"/>
      <c r="BB42" s="823"/>
      <c r="BC42" s="823"/>
      <c r="BD42" s="832"/>
      <c r="BE42" s="825"/>
      <c r="BF42" s="830"/>
      <c r="BG42" s="833">
        <f>Index_Returns!B276</f>
        <v>1.006</v>
      </c>
      <c r="BH42" s="826">
        <f t="shared" si="1"/>
        <v>1.2323000000000042</v>
      </c>
      <c r="BI42" s="826"/>
      <c r="BJ42" s="826">
        <f t="shared" si="3"/>
        <v>4.3400000000000327E-2</v>
      </c>
      <c r="BK42" s="834"/>
      <c r="BL42" s="834"/>
      <c r="BM42" s="834"/>
      <c r="BN42" s="834"/>
      <c r="BO42" s="834"/>
      <c r="BP42" s="835"/>
      <c r="BQ42" s="836"/>
      <c r="BR42" s="836"/>
      <c r="BS42" s="834"/>
      <c r="BT42" s="837"/>
      <c r="BU42" s="834"/>
      <c r="BV42" s="834"/>
      <c r="BW42" s="834"/>
      <c r="BX42" s="837"/>
      <c r="BY42" s="852"/>
      <c r="BZ42" s="852"/>
      <c r="CA42" s="853"/>
      <c r="CB42" s="854"/>
      <c r="CC42" s="854"/>
      <c r="CD42" s="854"/>
      <c r="CE42" s="855"/>
      <c r="CF42" s="854"/>
      <c r="CG42" s="842">
        <v>-1.9645999999999999</v>
      </c>
      <c r="CH42" s="826">
        <f t="shared" si="4"/>
        <v>-0.37210000000000276</v>
      </c>
      <c r="CI42" s="826">
        <f>Index_Returns!AA276</f>
        <v>0.81428</v>
      </c>
      <c r="CJ42" s="826">
        <f t="shared" si="5"/>
        <v>0.11902000000000013</v>
      </c>
      <c r="CK42" s="826">
        <f t="shared" si="6"/>
        <v>2.1604199999999998</v>
      </c>
      <c r="CL42" s="843"/>
      <c r="CM42" s="842">
        <f>Index_Returns!W276</f>
        <v>0.52229999999999999</v>
      </c>
      <c r="CN42" s="889">
        <f t="shared" ref="CN42:CN73" si="9">AT42-CM42</f>
        <v>6.910000000000005E-2</v>
      </c>
      <c r="CO42" s="836"/>
      <c r="CP42" s="826">
        <f t="shared" si="7"/>
        <v>-8.9600000000003011E-2</v>
      </c>
      <c r="CQ42" s="859"/>
      <c r="CR42" s="890">
        <v>0.5272</v>
      </c>
      <c r="CS42" s="890"/>
      <c r="CT42" s="855"/>
      <c r="CU42" s="853"/>
    </row>
    <row r="43" spans="1:99" x14ac:dyDescent="0.2">
      <c r="A43" s="856">
        <v>35946</v>
      </c>
      <c r="B43" s="860">
        <v>-1.0017</v>
      </c>
      <c r="C43" s="812">
        <v>1519520874.1400001</v>
      </c>
      <c r="D43" s="861"/>
      <c r="E43" s="812"/>
      <c r="F43" s="811">
        <v>-1.5306000000000042</v>
      </c>
      <c r="G43" s="812">
        <v>2034307177.6999998</v>
      </c>
      <c r="H43" s="815"/>
      <c r="I43" s="815"/>
      <c r="J43" s="816"/>
      <c r="K43" s="817"/>
      <c r="L43" s="816"/>
      <c r="M43" s="817"/>
      <c r="N43" s="816"/>
      <c r="O43" s="817"/>
      <c r="P43" s="857"/>
      <c r="Q43" s="845"/>
      <c r="R43" s="857"/>
      <c r="S43" s="845"/>
      <c r="T43" s="846"/>
      <c r="U43" s="847"/>
      <c r="V43" s="848"/>
      <c r="W43" s="845"/>
      <c r="X43" s="848"/>
      <c r="Y43" s="848"/>
      <c r="Z43" s="1184"/>
      <c r="AA43" s="848"/>
      <c r="AB43" s="849"/>
      <c r="AC43" s="828"/>
      <c r="AD43" s="997"/>
      <c r="AE43" s="828"/>
      <c r="AF43" s="850"/>
      <c r="AG43" s="828"/>
      <c r="AH43" s="850"/>
      <c r="AI43" s="850"/>
      <c r="AJ43" s="824"/>
      <c r="AK43" s="825"/>
      <c r="AL43" s="826">
        <v>-6.5867000000000004</v>
      </c>
      <c r="AM43" s="822">
        <v>121642053.04000001</v>
      </c>
      <c r="AN43" s="827">
        <v>-0.34670000000000001</v>
      </c>
      <c r="AO43" s="845">
        <v>763727472.60000002</v>
      </c>
      <c r="AP43" s="829">
        <v>3.9447000000000001</v>
      </c>
      <c r="AQ43" s="822">
        <v>372282958.52999997</v>
      </c>
      <c r="AR43" s="830"/>
      <c r="AS43" s="823"/>
      <c r="AT43" s="959">
        <v>0.87170000000000003</v>
      </c>
      <c r="AU43" s="822">
        <v>1021608731.8099999</v>
      </c>
      <c r="AV43" s="851"/>
      <c r="AW43" s="845"/>
      <c r="AX43" s="826">
        <v>0.77270000000000394</v>
      </c>
      <c r="AY43" s="822">
        <v>498570435.49000001</v>
      </c>
      <c r="AZ43" s="826"/>
      <c r="BA43" s="823"/>
      <c r="BB43" s="823"/>
      <c r="BC43" s="823"/>
      <c r="BD43" s="832"/>
      <c r="BE43" s="825"/>
      <c r="BF43" s="830"/>
      <c r="BG43" s="833">
        <f>Index_Returns!B277</f>
        <v>-1.7190000000000001</v>
      </c>
      <c r="BH43" s="826">
        <f t="shared" si="1"/>
        <v>0.71730000000000005</v>
      </c>
      <c r="BI43" s="826"/>
      <c r="BJ43" s="826">
        <f t="shared" si="3"/>
        <v>0.1883999999999959</v>
      </c>
      <c r="BK43" s="834"/>
      <c r="BL43" s="834"/>
      <c r="BM43" s="834"/>
      <c r="BN43" s="834"/>
      <c r="BO43" s="834"/>
      <c r="BP43" s="835"/>
      <c r="BQ43" s="836"/>
      <c r="BR43" s="836"/>
      <c r="BS43" s="834"/>
      <c r="BT43" s="837"/>
      <c r="BU43" s="834"/>
      <c r="BV43" s="834"/>
      <c r="BW43" s="834"/>
      <c r="BX43" s="837"/>
      <c r="BY43" s="852"/>
      <c r="BZ43" s="852"/>
      <c r="CA43" s="853"/>
      <c r="CB43" s="854"/>
      <c r="CC43" s="854"/>
      <c r="CD43" s="854"/>
      <c r="CE43" s="855"/>
      <c r="CF43" s="854"/>
      <c r="CG43" s="842">
        <v>-6.7748999999999997</v>
      </c>
      <c r="CH43" s="826">
        <f t="shared" si="4"/>
        <v>0.18819999999999926</v>
      </c>
      <c r="CI43" s="826">
        <f>Index_Returns!AA277</f>
        <v>-0.46266000000000002</v>
      </c>
      <c r="CJ43" s="826">
        <f t="shared" si="5"/>
        <v>0.11596000000000001</v>
      </c>
      <c r="CK43" s="826">
        <f t="shared" si="6"/>
        <v>4.4073599999999997</v>
      </c>
      <c r="CL43" s="843"/>
      <c r="CM43" s="842">
        <f>Index_Returns!W277</f>
        <v>0.94810000000000005</v>
      </c>
      <c r="CN43" s="889">
        <f t="shared" si="9"/>
        <v>-7.6400000000000023E-2</v>
      </c>
      <c r="CO43" s="836"/>
      <c r="CP43" s="826">
        <f t="shared" si="7"/>
        <v>-0.17539999999999611</v>
      </c>
      <c r="CQ43" s="859"/>
      <c r="CR43" s="890">
        <v>0.70679999999999998</v>
      </c>
      <c r="CS43" s="890"/>
      <c r="CT43" s="855"/>
      <c r="CU43" s="853"/>
    </row>
    <row r="44" spans="1:99" x14ac:dyDescent="0.2">
      <c r="A44" s="856">
        <v>35976</v>
      </c>
      <c r="B44" s="862">
        <v>2.1282999999999999</v>
      </c>
      <c r="C44" s="812">
        <v>1056123014.65</v>
      </c>
      <c r="D44" s="815"/>
      <c r="E44" s="812"/>
      <c r="F44" s="811">
        <v>3.6993999999999971</v>
      </c>
      <c r="G44" s="812">
        <v>2110129506.1300004</v>
      </c>
      <c r="H44" s="815"/>
      <c r="I44" s="815"/>
      <c r="J44" s="863">
        <v>0.27751922607421903</v>
      </c>
      <c r="K44" s="817">
        <v>500970184.02999997</v>
      </c>
      <c r="L44" s="863"/>
      <c r="M44" s="817"/>
      <c r="N44" s="863"/>
      <c r="O44" s="817"/>
      <c r="P44" s="864"/>
      <c r="Q44" s="845"/>
      <c r="R44" s="864"/>
      <c r="S44" s="845"/>
      <c r="T44" s="846"/>
      <c r="U44" s="847"/>
      <c r="V44" s="848"/>
      <c r="W44" s="845"/>
      <c r="X44" s="848"/>
      <c r="Y44" s="848"/>
      <c r="Z44" s="1184"/>
      <c r="AA44" s="848"/>
      <c r="AB44" s="849"/>
      <c r="AC44" s="828"/>
      <c r="AD44" s="997"/>
      <c r="AE44" s="828"/>
      <c r="AF44" s="850"/>
      <c r="AG44" s="828"/>
      <c r="AH44" s="850"/>
      <c r="AI44" s="850"/>
      <c r="AJ44" s="824"/>
      <c r="AK44" s="825"/>
      <c r="AL44" s="826">
        <v>0.56329999999999991</v>
      </c>
      <c r="AM44" s="822">
        <v>122326839.61999999</v>
      </c>
      <c r="AN44" s="827">
        <v>1.2433000000000001</v>
      </c>
      <c r="AO44" s="845">
        <v>773303427.04999995</v>
      </c>
      <c r="AP44" s="829">
        <v>-0.49530000000000002</v>
      </c>
      <c r="AQ44" s="822">
        <v>370574128.00999999</v>
      </c>
      <c r="AR44" s="830"/>
      <c r="AS44" s="823"/>
      <c r="AT44" s="959">
        <v>0.84299999999999997</v>
      </c>
      <c r="AU44" s="822">
        <v>1030220867.11</v>
      </c>
      <c r="AV44" s="851"/>
      <c r="AW44" s="845"/>
      <c r="AX44" s="826">
        <v>0.64269999999999605</v>
      </c>
      <c r="AY44" s="822">
        <v>501820499.92999995</v>
      </c>
      <c r="AZ44" s="826"/>
      <c r="BA44" s="823"/>
      <c r="BB44" s="823"/>
      <c r="BC44" s="823"/>
      <c r="BD44" s="832"/>
      <c r="BE44" s="825"/>
      <c r="BF44" s="830"/>
      <c r="BG44" s="833">
        <f>Index_Returns!B278</f>
        <v>4.0620000000000003</v>
      </c>
      <c r="BH44" s="826">
        <f t="shared" si="1"/>
        <v>-1.9337000000000004</v>
      </c>
      <c r="BI44" s="826"/>
      <c r="BJ44" s="826">
        <f t="shared" si="3"/>
        <v>-0.36260000000000314</v>
      </c>
      <c r="BK44" s="865">
        <f t="shared" ref="BK44:BK75" si="10">J44-BG44</f>
        <v>-3.7844807739257811</v>
      </c>
      <c r="BL44" s="865"/>
      <c r="BM44" s="865"/>
      <c r="BN44" s="865"/>
      <c r="BO44" s="865"/>
      <c r="BP44" s="866"/>
      <c r="BQ44" s="836"/>
      <c r="BR44" s="836"/>
      <c r="BS44" s="834"/>
      <c r="BT44" s="837"/>
      <c r="BU44" s="834"/>
      <c r="BV44" s="834"/>
      <c r="BW44" s="834"/>
      <c r="BX44" s="837"/>
      <c r="BY44" s="852"/>
      <c r="BZ44" s="852"/>
      <c r="CA44" s="853"/>
      <c r="CB44" s="854"/>
      <c r="CC44" s="854"/>
      <c r="CD44" s="854"/>
      <c r="CE44" s="855"/>
      <c r="CF44" s="854"/>
      <c r="CG44" s="842">
        <v>-0.1792</v>
      </c>
      <c r="CH44" s="826">
        <f t="shared" si="4"/>
        <v>0.74249999999999994</v>
      </c>
      <c r="CI44" s="826">
        <f>Index_Returns!AA278</f>
        <v>0.77927999999999997</v>
      </c>
      <c r="CJ44" s="826">
        <f t="shared" si="5"/>
        <v>0.4640200000000001</v>
      </c>
      <c r="CK44" s="826">
        <f t="shared" si="6"/>
        <v>-1.27458</v>
      </c>
      <c r="CL44" s="843"/>
      <c r="CM44" s="842">
        <f>Index_Returns!W278</f>
        <v>0.84830000000000005</v>
      </c>
      <c r="CN44" s="889">
        <f t="shared" si="9"/>
        <v>-5.3000000000000824E-3</v>
      </c>
      <c r="CO44" s="836"/>
      <c r="CP44" s="826">
        <f t="shared" si="7"/>
        <v>-0.205600000000004</v>
      </c>
      <c r="CQ44" s="859"/>
      <c r="CR44" s="890">
        <v>0.57569999999999999</v>
      </c>
      <c r="CS44" s="890"/>
      <c r="CT44" s="855"/>
      <c r="CU44" s="853"/>
    </row>
    <row r="45" spans="1:99" x14ac:dyDescent="0.2">
      <c r="A45" s="856">
        <v>36007</v>
      </c>
      <c r="B45" s="860">
        <v>-1.4317</v>
      </c>
      <c r="C45" s="812">
        <v>989148300.52999997</v>
      </c>
      <c r="D45" s="861"/>
      <c r="E45" s="812"/>
      <c r="F45" s="811">
        <v>-1.1407999999999974</v>
      </c>
      <c r="G45" s="812">
        <v>2079312920.3200002</v>
      </c>
      <c r="H45" s="815"/>
      <c r="I45" s="815"/>
      <c r="J45" s="863">
        <v>-1.91</v>
      </c>
      <c r="K45" s="817">
        <v>982057475.52999997</v>
      </c>
      <c r="L45" s="863"/>
      <c r="M45" s="817"/>
      <c r="N45" s="863"/>
      <c r="O45" s="817"/>
      <c r="P45" s="857"/>
      <c r="Q45" s="845"/>
      <c r="R45" s="857"/>
      <c r="S45" s="845"/>
      <c r="T45" s="846"/>
      <c r="U45" s="847"/>
      <c r="V45" s="848"/>
      <c r="W45" s="845"/>
      <c r="X45" s="848"/>
      <c r="Y45" s="848"/>
      <c r="Z45" s="1184"/>
      <c r="AA45" s="848"/>
      <c r="AB45" s="867"/>
      <c r="AC45" s="828"/>
      <c r="AD45" s="997"/>
      <c r="AE45" s="828"/>
      <c r="AF45" s="850"/>
      <c r="AG45" s="828"/>
      <c r="AH45" s="850"/>
      <c r="AI45" s="850"/>
      <c r="AJ45" s="824"/>
      <c r="AK45" s="825"/>
      <c r="AL45" s="826">
        <v>-2.8866999999999976</v>
      </c>
      <c r="AM45" s="822">
        <v>118806821.77000003</v>
      </c>
      <c r="AN45" s="827">
        <v>1.1633</v>
      </c>
      <c r="AO45" s="845">
        <v>782293382.60000002</v>
      </c>
      <c r="AP45" s="829">
        <v>-0.46529999999999999</v>
      </c>
      <c r="AQ45" s="822">
        <v>370140250.76999998</v>
      </c>
      <c r="AR45" s="830"/>
      <c r="AS45" s="823"/>
      <c r="AT45" s="959">
        <v>0.2233</v>
      </c>
      <c r="AU45" s="822">
        <v>1032487807.4400001</v>
      </c>
      <c r="AV45" s="851"/>
      <c r="AW45" s="845"/>
      <c r="AX45" s="826">
        <v>0.28250000000000774</v>
      </c>
      <c r="AY45" s="822">
        <v>503261644.14000005</v>
      </c>
      <c r="AZ45" s="826"/>
      <c r="BA45" s="823"/>
      <c r="BB45" s="823"/>
      <c r="BC45" s="823"/>
      <c r="BD45" s="832"/>
      <c r="BE45" s="825"/>
      <c r="BF45" s="830"/>
      <c r="BG45" s="833">
        <f>Index_Returns!B279</f>
        <v>-1.0649999999999999</v>
      </c>
      <c r="BH45" s="826">
        <f t="shared" si="1"/>
        <v>-0.36670000000000003</v>
      </c>
      <c r="BI45" s="826"/>
      <c r="BJ45" s="826">
        <f t="shared" si="3"/>
        <v>-7.5799999999997425E-2</v>
      </c>
      <c r="BK45" s="865">
        <f t="shared" si="10"/>
        <v>-0.84499999999999997</v>
      </c>
      <c r="BL45" s="865"/>
      <c r="BM45" s="865"/>
      <c r="BN45" s="865"/>
      <c r="BO45" s="865"/>
      <c r="BP45" s="866"/>
      <c r="BQ45" s="836"/>
      <c r="BR45" s="836"/>
      <c r="BS45" s="834"/>
      <c r="BT45" s="837"/>
      <c r="BU45" s="834"/>
      <c r="BV45" s="834"/>
      <c r="BW45" s="834"/>
      <c r="BX45" s="837"/>
      <c r="BY45" s="852"/>
      <c r="BZ45" s="852"/>
      <c r="CA45" s="853"/>
      <c r="CB45" s="854"/>
      <c r="CC45" s="854"/>
      <c r="CD45" s="854"/>
      <c r="CE45" s="855"/>
      <c r="CF45" s="854"/>
      <c r="CG45" s="842">
        <v>-1.7255</v>
      </c>
      <c r="CH45" s="826">
        <f t="shared" si="4"/>
        <v>-1.1611999999999976</v>
      </c>
      <c r="CI45" s="826">
        <f>Index_Returns!AA279</f>
        <v>1.03603</v>
      </c>
      <c r="CJ45" s="826">
        <f t="shared" si="5"/>
        <v>0.12726999999999999</v>
      </c>
      <c r="CK45" s="826">
        <f t="shared" si="6"/>
        <v>-1.5013300000000001</v>
      </c>
      <c r="CL45" s="843"/>
      <c r="CM45" s="842">
        <f>Index_Returns!W279</f>
        <v>0.2122</v>
      </c>
      <c r="CN45" s="889">
        <f t="shared" si="9"/>
        <v>1.1099999999999999E-2</v>
      </c>
      <c r="CO45" s="836"/>
      <c r="CP45" s="826">
        <f t="shared" si="7"/>
        <v>7.0300000000007745E-2</v>
      </c>
      <c r="CQ45" s="859"/>
      <c r="CR45" s="890">
        <v>0.41249999999999998</v>
      </c>
      <c r="CS45" s="890"/>
      <c r="CT45" s="855"/>
      <c r="CU45" s="853"/>
    </row>
    <row r="46" spans="1:99" s="15" customFormat="1" x14ac:dyDescent="0.2">
      <c r="A46" s="856">
        <v>36038</v>
      </c>
      <c r="B46" s="862">
        <v>-15.781700000000001</v>
      </c>
      <c r="C46" s="812">
        <v>833207453.22000003</v>
      </c>
      <c r="D46" s="815"/>
      <c r="E46" s="812"/>
      <c r="F46" s="811">
        <v>-14.1409</v>
      </c>
      <c r="G46" s="812">
        <v>1777558608.2000005</v>
      </c>
      <c r="H46" s="815"/>
      <c r="I46" s="815"/>
      <c r="J46" s="863">
        <v>-15.14</v>
      </c>
      <c r="K46" s="817">
        <v>833502275.94000006</v>
      </c>
      <c r="L46" s="863"/>
      <c r="M46" s="817"/>
      <c r="N46" s="863"/>
      <c r="O46" s="817"/>
      <c r="P46" s="864"/>
      <c r="Q46" s="845"/>
      <c r="R46" s="864"/>
      <c r="S46" s="845"/>
      <c r="T46" s="846"/>
      <c r="U46" s="847"/>
      <c r="V46" s="848"/>
      <c r="W46" s="845"/>
      <c r="X46" s="848"/>
      <c r="Y46" s="848"/>
      <c r="Z46" s="1184"/>
      <c r="AA46" s="848"/>
      <c r="AB46" s="868">
        <v>-17.143302917480469</v>
      </c>
      <c r="AC46" s="812">
        <v>155234202.15000001</v>
      </c>
      <c r="AD46" s="998">
        <v>-19.986999999999998</v>
      </c>
      <c r="AE46" s="812">
        <v>218862302.44999999</v>
      </c>
      <c r="AF46" s="815"/>
      <c r="AG46" s="812"/>
      <c r="AH46" s="815"/>
      <c r="AI46" s="815"/>
      <c r="AJ46" s="824"/>
      <c r="AK46" s="825"/>
      <c r="AL46" s="826">
        <v>-13.826700000000002</v>
      </c>
      <c r="AM46" s="822">
        <v>102389881.25</v>
      </c>
      <c r="AN46" s="827">
        <v>-14.596700000000002</v>
      </c>
      <c r="AO46" s="845">
        <v>668197090.75</v>
      </c>
      <c r="AP46" s="829">
        <v>-13.9053</v>
      </c>
      <c r="AQ46" s="822">
        <v>318806641.32999998</v>
      </c>
      <c r="AR46" s="830"/>
      <c r="AS46" s="823"/>
      <c r="AT46" s="959">
        <v>1.6439999999999999</v>
      </c>
      <c r="AU46" s="822">
        <v>1049496834.66</v>
      </c>
      <c r="AV46" s="869"/>
      <c r="AW46" s="845"/>
      <c r="AX46" s="826">
        <v>1.7125000000000057</v>
      </c>
      <c r="AY46" s="822">
        <v>511901242.56000012</v>
      </c>
      <c r="AZ46" s="870"/>
      <c r="BA46" s="850"/>
      <c r="BB46" s="850"/>
      <c r="BC46" s="850"/>
      <c r="BD46" s="871"/>
      <c r="BE46" s="872"/>
      <c r="BF46" s="873"/>
      <c r="BG46" s="833">
        <f>Index_Returns!B280</f>
        <v>-14.458</v>
      </c>
      <c r="BH46" s="826">
        <f t="shared" si="1"/>
        <v>-1.3237000000000005</v>
      </c>
      <c r="BI46" s="826"/>
      <c r="BJ46" s="826">
        <f t="shared" si="3"/>
        <v>0.31709999999999994</v>
      </c>
      <c r="BK46" s="865">
        <f t="shared" si="10"/>
        <v>-0.68200000000000038</v>
      </c>
      <c r="BL46" s="865"/>
      <c r="BM46" s="865"/>
      <c r="BN46" s="865"/>
      <c r="BO46" s="865"/>
      <c r="BP46" s="866"/>
      <c r="BQ46" s="836"/>
      <c r="BR46" s="836"/>
      <c r="BS46" s="834"/>
      <c r="BT46" s="837"/>
      <c r="BU46" s="834"/>
      <c r="BV46" s="834"/>
      <c r="BW46" s="834"/>
      <c r="BX46" s="837"/>
      <c r="BY46" s="854"/>
      <c r="BZ46" s="854"/>
      <c r="CA46" s="853"/>
      <c r="CB46" s="854">
        <f>Index_Returns!H280</f>
        <v>-19.417999999999999</v>
      </c>
      <c r="CC46" s="1002">
        <f t="shared" ref="CC46:CC77" si="11">AD46-CB46</f>
        <v>-0.56899999999999906</v>
      </c>
      <c r="CD46" s="854"/>
      <c r="CE46" s="855">
        <f>Index_Returns!J280</f>
        <v>-15.661</v>
      </c>
      <c r="CF46" s="874">
        <f t="shared" ref="CF46:CF85" si="12">AB46-CE46</f>
        <v>-1.4823029174804692</v>
      </c>
      <c r="CG46" s="842">
        <v>-11.805300000000001</v>
      </c>
      <c r="CH46" s="826">
        <f t="shared" si="4"/>
        <v>-2.0214000000000016</v>
      </c>
      <c r="CI46" s="826">
        <f>Index_Returns!AA280</f>
        <v>-12.366860000000001</v>
      </c>
      <c r="CJ46" s="826">
        <f t="shared" si="5"/>
        <v>-2.2298400000000012</v>
      </c>
      <c r="CK46" s="826">
        <f t="shared" si="6"/>
        <v>-1.5384399999999996</v>
      </c>
      <c r="CL46" s="843"/>
      <c r="CM46" s="842">
        <f>Index_Returns!W280</f>
        <v>1.6276999999999999</v>
      </c>
      <c r="CN46" s="889">
        <f t="shared" si="9"/>
        <v>1.6299999999999981E-2</v>
      </c>
      <c r="CO46" s="836"/>
      <c r="CP46" s="826">
        <f t="shared" si="7"/>
        <v>8.480000000000576E-2</v>
      </c>
      <c r="CQ46" s="859"/>
      <c r="CR46" s="890">
        <v>1.3104</v>
      </c>
      <c r="CS46" s="890"/>
      <c r="CT46" s="855"/>
      <c r="CU46" s="853"/>
    </row>
    <row r="47" spans="1:99" x14ac:dyDescent="0.2">
      <c r="A47" s="856">
        <v>36068</v>
      </c>
      <c r="B47" s="860">
        <v>6.8682999999999996</v>
      </c>
      <c r="C47" s="812">
        <v>890469905.30999994</v>
      </c>
      <c r="D47" s="861"/>
      <c r="E47" s="812"/>
      <c r="F47" s="811">
        <v>5.8191000000000104</v>
      </c>
      <c r="G47" s="812">
        <v>1880361907.21</v>
      </c>
      <c r="H47" s="815"/>
      <c r="I47" s="815"/>
      <c r="J47" s="863">
        <v>6.07</v>
      </c>
      <c r="K47" s="817">
        <v>884168975.58000004</v>
      </c>
      <c r="L47" s="863"/>
      <c r="M47" s="817"/>
      <c r="N47" s="863"/>
      <c r="O47" s="817"/>
      <c r="P47" s="857"/>
      <c r="Q47" s="845"/>
      <c r="R47" s="857"/>
      <c r="S47" s="845"/>
      <c r="T47" s="846"/>
      <c r="U47" s="847"/>
      <c r="V47" s="848"/>
      <c r="W47" s="845"/>
      <c r="X47" s="848"/>
      <c r="Y47" s="875"/>
      <c r="Z47" s="1185"/>
      <c r="AA47" s="875"/>
      <c r="AB47" s="868">
        <v>2.3567261695861816</v>
      </c>
      <c r="AC47" s="812">
        <v>158938886.47999999</v>
      </c>
      <c r="AD47" s="998">
        <v>7.6571999999999996</v>
      </c>
      <c r="AE47" s="812">
        <v>235618355.06999999</v>
      </c>
      <c r="AF47" s="846">
        <v>0.48170000000000002</v>
      </c>
      <c r="AG47" s="847">
        <v>76297827.170000002</v>
      </c>
      <c r="AH47" s="876"/>
      <c r="AI47" s="876"/>
      <c r="AJ47" s="824"/>
      <c r="AK47" s="825"/>
      <c r="AL47" s="826">
        <v>0.73330000000000339</v>
      </c>
      <c r="AM47" s="822">
        <v>103137398.08999994</v>
      </c>
      <c r="AN47" s="827">
        <v>-1.6466999999999998</v>
      </c>
      <c r="AO47" s="845">
        <v>657234169.99000001</v>
      </c>
      <c r="AP47" s="829">
        <v>-3.4752999999999998</v>
      </c>
      <c r="AQ47" s="822">
        <v>307838139.44999999</v>
      </c>
      <c r="AR47" s="830"/>
      <c r="AS47" s="823"/>
      <c r="AT47" s="959">
        <v>2.3591000000000002</v>
      </c>
      <c r="AU47" s="822">
        <v>1074255065.9100001</v>
      </c>
      <c r="AV47" s="851"/>
      <c r="AW47" s="845"/>
      <c r="AX47" s="826">
        <v>1.9624999999999999</v>
      </c>
      <c r="AY47" s="822">
        <v>521962235.98999995</v>
      </c>
      <c r="AZ47" s="870"/>
      <c r="BA47" s="850"/>
      <c r="BB47" s="850"/>
      <c r="BC47" s="850"/>
      <c r="BD47" s="871"/>
      <c r="BE47" s="872"/>
      <c r="BF47" s="873"/>
      <c r="BG47" s="833">
        <f>Index_Returns!B281</f>
        <v>6.4059999999999997</v>
      </c>
      <c r="BH47" s="826">
        <f t="shared" si="1"/>
        <v>0.46229999999999993</v>
      </c>
      <c r="BI47" s="826"/>
      <c r="BJ47" s="826">
        <f t="shared" si="3"/>
        <v>-0.58689999999998932</v>
      </c>
      <c r="BK47" s="865">
        <f t="shared" si="10"/>
        <v>-0.33599999999999941</v>
      </c>
      <c r="BL47" s="865"/>
      <c r="BM47" s="865"/>
      <c r="BN47" s="865"/>
      <c r="BO47" s="865"/>
      <c r="BP47" s="866"/>
      <c r="BQ47" s="836"/>
      <c r="BR47" s="836"/>
      <c r="BS47" s="834"/>
      <c r="BT47" s="837"/>
      <c r="BU47" s="834"/>
      <c r="BV47" s="834"/>
      <c r="BW47" s="834"/>
      <c r="BX47" s="837"/>
      <c r="BY47" s="852"/>
      <c r="BZ47" s="852"/>
      <c r="CA47" s="853"/>
      <c r="CB47" s="854">
        <f>Index_Returns!H281</f>
        <v>7.8259999999999996</v>
      </c>
      <c r="CC47" s="1002">
        <f t="shared" si="11"/>
        <v>-0.16880000000000006</v>
      </c>
      <c r="CD47" s="877">
        <f t="shared" ref="CD47:CD78" si="13">AF47-CB47</f>
        <v>-7.3442999999999996</v>
      </c>
      <c r="CE47" s="855">
        <f>Index_Returns!J281</f>
        <v>5.6470000000000002</v>
      </c>
      <c r="CF47" s="874">
        <f t="shared" si="12"/>
        <v>-3.2902738304138186</v>
      </c>
      <c r="CG47" s="842">
        <v>-0.30840000000000001</v>
      </c>
      <c r="CH47" s="826">
        <f t="shared" si="4"/>
        <v>1.0417000000000034</v>
      </c>
      <c r="CI47" s="826">
        <f>Index_Returns!AA281</f>
        <v>-3.0396899999999998</v>
      </c>
      <c r="CJ47" s="826">
        <f t="shared" si="5"/>
        <v>1.39299</v>
      </c>
      <c r="CK47" s="826">
        <f t="shared" si="6"/>
        <v>-0.43561000000000005</v>
      </c>
      <c r="CL47" s="843"/>
      <c r="CM47" s="842">
        <f>Index_Returns!W281</f>
        <v>2.3412000000000002</v>
      </c>
      <c r="CN47" s="889">
        <f t="shared" si="9"/>
        <v>1.7900000000000027E-2</v>
      </c>
      <c r="CO47" s="836"/>
      <c r="CP47" s="826">
        <f t="shared" si="7"/>
        <v>-0.37870000000000026</v>
      </c>
      <c r="CQ47" s="859"/>
      <c r="CR47" s="890">
        <v>1.9907999999999999</v>
      </c>
      <c r="CS47" s="890"/>
      <c r="CT47" s="855"/>
      <c r="CU47" s="853"/>
    </row>
    <row r="48" spans="1:99" x14ac:dyDescent="0.2">
      <c r="A48" s="856">
        <v>36099</v>
      </c>
      <c r="B48" s="860">
        <v>7.811799999999999</v>
      </c>
      <c r="C48" s="812">
        <v>960160380.25</v>
      </c>
      <c r="D48" s="861"/>
      <c r="E48" s="812"/>
      <c r="F48" s="811">
        <v>8.3452000000000091</v>
      </c>
      <c r="G48" s="812">
        <v>2037582907.8400002</v>
      </c>
      <c r="H48" s="815"/>
      <c r="I48" s="815"/>
      <c r="J48" s="863">
        <v>8.4898000000000007</v>
      </c>
      <c r="K48" s="817">
        <v>959321280.61000001</v>
      </c>
      <c r="L48" s="863"/>
      <c r="M48" s="817"/>
      <c r="N48" s="863"/>
      <c r="O48" s="817"/>
      <c r="P48" s="857"/>
      <c r="Q48" s="845"/>
      <c r="R48" s="857"/>
      <c r="S48" s="845"/>
      <c r="T48" s="846"/>
      <c r="U48" s="847"/>
      <c r="V48" s="848"/>
      <c r="W48" s="845"/>
      <c r="X48" s="848"/>
      <c r="Y48" s="875"/>
      <c r="Z48" s="1185"/>
      <c r="AA48" s="875"/>
      <c r="AB48" s="868">
        <v>5.7066760063171387</v>
      </c>
      <c r="AC48" s="812">
        <v>168070622.94999999</v>
      </c>
      <c r="AD48" s="998">
        <v>4.2556000000000003</v>
      </c>
      <c r="AE48" s="812">
        <v>245645355.41999999</v>
      </c>
      <c r="AF48" s="846">
        <v>3.2231000000000001</v>
      </c>
      <c r="AG48" s="847">
        <v>78763308.180000007</v>
      </c>
      <c r="AH48" s="876"/>
      <c r="AI48" s="876"/>
      <c r="AJ48" s="824"/>
      <c r="AK48" s="825"/>
      <c r="AL48" s="826"/>
      <c r="AM48" s="822"/>
      <c r="AN48" s="827">
        <v>12.4221</v>
      </c>
      <c r="AO48" s="845">
        <v>863627264.10000002</v>
      </c>
      <c r="AP48" s="829">
        <v>8.6746999999999996</v>
      </c>
      <c r="AQ48" s="822">
        <v>504098346.00999999</v>
      </c>
      <c r="AR48" s="827">
        <v>10.487399999999999</v>
      </c>
      <c r="AS48" s="848">
        <v>497305744.69</v>
      </c>
      <c r="AT48" s="959">
        <v>-0.38929999999999998</v>
      </c>
      <c r="AU48" s="822">
        <v>1070073287.84</v>
      </c>
      <c r="AV48" s="851"/>
      <c r="AW48" s="845"/>
      <c r="AX48" s="826">
        <v>-0.187499999999996</v>
      </c>
      <c r="AY48" s="822">
        <v>521034978.09000003</v>
      </c>
      <c r="AZ48" s="870"/>
      <c r="BA48" s="850"/>
      <c r="BB48" s="850"/>
      <c r="BC48" s="850"/>
      <c r="BD48" s="871"/>
      <c r="BE48" s="872"/>
      <c r="BF48" s="873"/>
      <c r="BG48" s="833">
        <f>Index_Returns!B282</f>
        <v>8.1340000000000003</v>
      </c>
      <c r="BH48" s="826">
        <f t="shared" si="1"/>
        <v>-0.32220000000000137</v>
      </c>
      <c r="BI48" s="826"/>
      <c r="BJ48" s="826">
        <f t="shared" si="3"/>
        <v>0.21120000000000871</v>
      </c>
      <c r="BK48" s="865">
        <f t="shared" si="10"/>
        <v>0.35580000000000034</v>
      </c>
      <c r="BL48" s="865"/>
      <c r="BM48" s="865"/>
      <c r="BN48" s="865"/>
      <c r="BO48" s="865"/>
      <c r="BP48" s="866"/>
      <c r="BQ48" s="836"/>
      <c r="BR48" s="836"/>
      <c r="BS48" s="834"/>
      <c r="BT48" s="837"/>
      <c r="BU48" s="834"/>
      <c r="BV48" s="834"/>
      <c r="BW48" s="834"/>
      <c r="BX48" s="837"/>
      <c r="BY48" s="852"/>
      <c r="BZ48" s="852"/>
      <c r="CA48" s="853"/>
      <c r="CB48" s="854">
        <f>Index_Returns!H282</f>
        <v>4.0780000000000003</v>
      </c>
      <c r="CC48" s="1002">
        <f t="shared" si="11"/>
        <v>0.17759999999999998</v>
      </c>
      <c r="CD48" s="877">
        <f t="shared" si="13"/>
        <v>-0.85490000000000022</v>
      </c>
      <c r="CE48" s="855">
        <f>Index_Returns!J282</f>
        <v>2.9689999999999999</v>
      </c>
      <c r="CF48" s="874">
        <f t="shared" si="12"/>
        <v>2.7376760063171388</v>
      </c>
      <c r="CG48" s="878"/>
      <c r="CH48" s="843"/>
      <c r="CI48" s="826">
        <f>Index_Returns!AA282</f>
        <v>10.452</v>
      </c>
      <c r="CJ48" s="826">
        <f t="shared" si="5"/>
        <v>1.9701000000000004</v>
      </c>
      <c r="CK48" s="826">
        <f t="shared" si="6"/>
        <v>-1.7773000000000003</v>
      </c>
      <c r="CL48" s="826">
        <f t="shared" ref="CL48:CL79" si="14">AR48-CI48</f>
        <v>3.539999999999921E-2</v>
      </c>
      <c r="CM48" s="842">
        <f>Index_Returns!W282</f>
        <v>-0.52759999999999996</v>
      </c>
      <c r="CN48" s="889">
        <f t="shared" si="9"/>
        <v>0.13829999999999998</v>
      </c>
      <c r="CO48" s="836"/>
      <c r="CP48" s="826">
        <f t="shared" si="7"/>
        <v>0.34010000000000395</v>
      </c>
      <c r="CQ48" s="859"/>
      <c r="CR48" s="890">
        <v>-0.1166</v>
      </c>
      <c r="CS48" s="890"/>
      <c r="CT48" s="855"/>
      <c r="CU48" s="853"/>
    </row>
    <row r="49" spans="1:99" x14ac:dyDescent="0.2">
      <c r="A49" s="856">
        <v>36129</v>
      </c>
      <c r="B49" s="860">
        <v>8.2258999999999993</v>
      </c>
      <c r="C49" s="812">
        <v>1039254259.89</v>
      </c>
      <c r="D49" s="861"/>
      <c r="E49" s="812"/>
      <c r="F49" s="811">
        <v>6.1185999999999963</v>
      </c>
      <c r="G49" s="812">
        <v>2159342631.0800004</v>
      </c>
      <c r="H49" s="815"/>
      <c r="I49" s="815"/>
      <c r="J49" s="863">
        <v>5.9805000000000001</v>
      </c>
      <c r="K49" s="817">
        <v>1016789610.76</v>
      </c>
      <c r="L49" s="863"/>
      <c r="M49" s="817"/>
      <c r="N49" s="863"/>
      <c r="O49" s="817"/>
      <c r="P49" s="857"/>
      <c r="Q49" s="845"/>
      <c r="R49" s="857"/>
      <c r="S49" s="845"/>
      <c r="T49" s="846"/>
      <c r="U49" s="847"/>
      <c r="V49" s="848"/>
      <c r="W49" s="845"/>
      <c r="X49" s="848"/>
      <c r="Y49" s="875"/>
      <c r="Z49" s="1185"/>
      <c r="AA49" s="875"/>
      <c r="AB49" s="868">
        <v>1.6967277526855469</v>
      </c>
      <c r="AC49" s="812">
        <v>171247311.27000001</v>
      </c>
      <c r="AD49" s="998">
        <v>5.3094999999999999</v>
      </c>
      <c r="AE49" s="812">
        <v>258688003.27000001</v>
      </c>
      <c r="AF49" s="846">
        <v>3.5987</v>
      </c>
      <c r="AG49" s="847">
        <v>81604318.560000002</v>
      </c>
      <c r="AH49" s="876"/>
      <c r="AI49" s="876"/>
      <c r="AJ49" s="824"/>
      <c r="AK49" s="825"/>
      <c r="AL49" s="826"/>
      <c r="AM49" s="822"/>
      <c r="AN49" s="827">
        <v>4.9504999999999999</v>
      </c>
      <c r="AO49" s="845">
        <v>911440974.36000001</v>
      </c>
      <c r="AP49" s="829">
        <v>5.6147</v>
      </c>
      <c r="AQ49" s="822">
        <v>532589719.66000003</v>
      </c>
      <c r="AR49" s="827">
        <v>6.5674999999999999</v>
      </c>
      <c r="AS49" s="848">
        <v>530706051.38</v>
      </c>
      <c r="AT49" s="959">
        <v>0.4662</v>
      </c>
      <c r="AU49" s="822">
        <v>1075061332.6600001</v>
      </c>
      <c r="AV49" s="851"/>
      <c r="AW49" s="845"/>
      <c r="AX49" s="826">
        <v>-4.750000000000032E-2</v>
      </c>
      <c r="AY49" s="822">
        <v>520810511.78999996</v>
      </c>
      <c r="AZ49" s="870"/>
      <c r="BA49" s="850"/>
      <c r="BB49" s="850"/>
      <c r="BC49" s="850"/>
      <c r="BD49" s="871"/>
      <c r="BE49" s="872"/>
      <c r="BF49" s="873"/>
      <c r="BG49" s="833">
        <f>Index_Returns!B283</f>
        <v>6.06</v>
      </c>
      <c r="BH49" s="826">
        <f t="shared" si="1"/>
        <v>2.1658999999999997</v>
      </c>
      <c r="BI49" s="826"/>
      <c r="BJ49" s="826">
        <f t="shared" si="3"/>
        <v>5.8599999999996655E-2</v>
      </c>
      <c r="BK49" s="865">
        <f t="shared" si="10"/>
        <v>-7.949999999999946E-2</v>
      </c>
      <c r="BL49" s="865"/>
      <c r="BM49" s="865"/>
      <c r="BN49" s="865"/>
      <c r="BO49" s="865"/>
      <c r="BP49" s="866"/>
      <c r="BQ49" s="836"/>
      <c r="BR49" s="836"/>
      <c r="BS49" s="834"/>
      <c r="BT49" s="837"/>
      <c r="BU49" s="834"/>
      <c r="BV49" s="834"/>
      <c r="BW49" s="834"/>
      <c r="BX49" s="837"/>
      <c r="BY49" s="852"/>
      <c r="BZ49" s="852"/>
      <c r="CA49" s="853"/>
      <c r="CB49" s="854">
        <f>Index_Returns!H283</f>
        <v>5.2389999999999999</v>
      </c>
      <c r="CC49" s="1002">
        <f t="shared" si="11"/>
        <v>7.0500000000000007E-2</v>
      </c>
      <c r="CD49" s="877">
        <f t="shared" si="13"/>
        <v>-1.6402999999999999</v>
      </c>
      <c r="CE49" s="855">
        <f>Index_Returns!J283</f>
        <v>2.7069999999999999</v>
      </c>
      <c r="CF49" s="874">
        <f t="shared" si="12"/>
        <v>-1.010272247314453</v>
      </c>
      <c r="CG49" s="879"/>
      <c r="CH49" s="843"/>
      <c r="CI49" s="826">
        <f>Index_Returns!AA283</f>
        <v>5.1479999999999997</v>
      </c>
      <c r="CJ49" s="826">
        <f t="shared" si="5"/>
        <v>-0.19749999999999979</v>
      </c>
      <c r="CK49" s="826">
        <f t="shared" si="6"/>
        <v>0.46670000000000034</v>
      </c>
      <c r="CL49" s="826">
        <f t="shared" si="14"/>
        <v>1.4195000000000002</v>
      </c>
      <c r="CM49" s="842">
        <f>Index_Returns!W283</f>
        <v>0.56640000000000001</v>
      </c>
      <c r="CN49" s="889">
        <f t="shared" si="9"/>
        <v>-0.10020000000000001</v>
      </c>
      <c r="CO49" s="836"/>
      <c r="CP49" s="826">
        <f t="shared" si="7"/>
        <v>-0.61390000000000033</v>
      </c>
      <c r="CQ49" s="859"/>
      <c r="CR49" s="890">
        <v>0.20039999999999999</v>
      </c>
      <c r="CS49" s="890"/>
      <c r="CT49" s="855"/>
      <c r="CU49" s="853"/>
    </row>
    <row r="50" spans="1:99" x14ac:dyDescent="0.2">
      <c r="A50" s="856">
        <v>36160</v>
      </c>
      <c r="B50" s="860">
        <v>5.8804999999999996</v>
      </c>
      <c r="C50" s="812">
        <v>1100489673.5</v>
      </c>
      <c r="D50" s="861"/>
      <c r="E50" s="812"/>
      <c r="F50" s="811">
        <v>5.5104000000000042</v>
      </c>
      <c r="G50" s="812">
        <v>2278363949.980001</v>
      </c>
      <c r="H50" s="815"/>
      <c r="I50" s="815"/>
      <c r="J50" s="863">
        <v>8.2321000000000009</v>
      </c>
      <c r="K50" s="817">
        <v>1100594481.24</v>
      </c>
      <c r="L50" s="863"/>
      <c r="M50" s="817"/>
      <c r="N50" s="863"/>
      <c r="O50" s="817"/>
      <c r="P50" s="857"/>
      <c r="Q50" s="845"/>
      <c r="R50" s="857"/>
      <c r="S50" s="845"/>
      <c r="T50" s="846"/>
      <c r="U50" s="847"/>
      <c r="V50" s="848"/>
      <c r="W50" s="845"/>
      <c r="X50" s="848"/>
      <c r="Y50" s="875"/>
      <c r="Z50" s="1185"/>
      <c r="AA50" s="875"/>
      <c r="AB50" s="868">
        <v>2.4466283321380615</v>
      </c>
      <c r="AC50" s="812">
        <v>175501569.24000001</v>
      </c>
      <c r="AD50" s="998">
        <v>6.2111000000000001</v>
      </c>
      <c r="AE50" s="812">
        <v>274755397.18000001</v>
      </c>
      <c r="AF50" s="846">
        <v>2.9102000000000001</v>
      </c>
      <c r="AG50" s="847">
        <v>83985940.450000003</v>
      </c>
      <c r="AH50" s="876"/>
      <c r="AI50" s="876"/>
      <c r="AJ50" s="824"/>
      <c r="AK50" s="825"/>
      <c r="AL50" s="826"/>
      <c r="AM50" s="822"/>
      <c r="AN50" s="827">
        <v>2.1192000000000002</v>
      </c>
      <c r="AO50" s="845">
        <v>931485438.65999997</v>
      </c>
      <c r="AP50" s="829">
        <v>3.6747000000000001</v>
      </c>
      <c r="AQ50" s="822">
        <v>552515105.84000003</v>
      </c>
      <c r="AR50" s="827">
        <v>2.8650000000000002</v>
      </c>
      <c r="AS50" s="848">
        <v>546058102.64999998</v>
      </c>
      <c r="AT50" s="959">
        <v>0.3533</v>
      </c>
      <c r="AU50" s="822">
        <v>1078859004.25</v>
      </c>
      <c r="AV50" s="811">
        <v>-0.1333</v>
      </c>
      <c r="AW50" s="845">
        <v>499641030.06</v>
      </c>
      <c r="AX50" s="826"/>
      <c r="AY50" s="822"/>
      <c r="AZ50" s="870"/>
      <c r="BA50" s="850"/>
      <c r="BB50" s="850"/>
      <c r="BC50" s="850"/>
      <c r="BD50" s="871"/>
      <c r="BE50" s="872"/>
      <c r="BF50" s="873"/>
      <c r="BG50" s="833">
        <f>Index_Returns!B284</f>
        <v>5.7619999999999996</v>
      </c>
      <c r="BH50" s="826">
        <f t="shared" si="1"/>
        <v>0.11850000000000005</v>
      </c>
      <c r="BI50" s="826"/>
      <c r="BJ50" s="826">
        <f t="shared" si="3"/>
        <v>-0.25159999999999538</v>
      </c>
      <c r="BK50" s="865">
        <f t="shared" si="10"/>
        <v>2.4701000000000013</v>
      </c>
      <c r="BL50" s="865"/>
      <c r="BM50" s="865"/>
      <c r="BN50" s="865"/>
      <c r="BO50" s="865"/>
      <c r="BP50" s="866"/>
      <c r="BQ50" s="836"/>
      <c r="BR50" s="836"/>
      <c r="BS50" s="834"/>
      <c r="BT50" s="837"/>
      <c r="BU50" s="834"/>
      <c r="BV50" s="834"/>
      <c r="BW50" s="834"/>
      <c r="BX50" s="837"/>
      <c r="BY50" s="852"/>
      <c r="BZ50" s="852"/>
      <c r="CA50" s="853"/>
      <c r="CB50" s="854">
        <f>Index_Returns!H284</f>
        <v>6.1879999999999997</v>
      </c>
      <c r="CC50" s="1002">
        <f t="shared" si="11"/>
        <v>2.3100000000000342E-2</v>
      </c>
      <c r="CD50" s="877">
        <f t="shared" si="13"/>
        <v>-3.2777999999999996</v>
      </c>
      <c r="CE50" s="855">
        <f>Index_Returns!J284</f>
        <v>3.1360000000000001</v>
      </c>
      <c r="CF50" s="874">
        <f t="shared" si="12"/>
        <v>-0.6893716678619386</v>
      </c>
      <c r="CG50" s="879"/>
      <c r="CH50" s="843"/>
      <c r="CI50" s="826">
        <f>Index_Returns!AA284</f>
        <v>3.9689999999999999</v>
      </c>
      <c r="CJ50" s="826">
        <f t="shared" si="5"/>
        <v>-1.8497999999999997</v>
      </c>
      <c r="CK50" s="826">
        <f t="shared" si="6"/>
        <v>-0.29429999999999978</v>
      </c>
      <c r="CL50" s="826">
        <f t="shared" si="14"/>
        <v>-1.1039999999999996</v>
      </c>
      <c r="CM50" s="842">
        <f>Index_Returns!W284</f>
        <v>0.30070000000000002</v>
      </c>
      <c r="CN50" s="889">
        <f t="shared" si="9"/>
        <v>5.259999999999998E-2</v>
      </c>
      <c r="CO50" s="880">
        <f t="shared" ref="CO50:CO81" si="15">AV50-CM50</f>
        <v>-0.43400000000000005</v>
      </c>
      <c r="CP50" s="843"/>
      <c r="CQ50" s="859"/>
      <c r="CR50" s="890">
        <v>0.4098</v>
      </c>
      <c r="CS50" s="890"/>
      <c r="CT50" s="855"/>
      <c r="CU50" s="853"/>
    </row>
    <row r="51" spans="1:99" x14ac:dyDescent="0.2">
      <c r="A51" s="856">
        <v>36191</v>
      </c>
      <c r="B51" s="860">
        <v>2.5183</v>
      </c>
      <c r="C51" s="812">
        <v>1128272543.7</v>
      </c>
      <c r="D51" s="861"/>
      <c r="E51" s="812"/>
      <c r="F51" s="811"/>
      <c r="G51" s="812"/>
      <c r="H51" s="815"/>
      <c r="I51" s="815"/>
      <c r="J51" s="863">
        <v>4.59</v>
      </c>
      <c r="K51" s="817">
        <v>1151208241.99</v>
      </c>
      <c r="L51" s="863"/>
      <c r="M51" s="817"/>
      <c r="N51" s="863"/>
      <c r="O51" s="817"/>
      <c r="P51" s="857"/>
      <c r="Q51" s="845"/>
      <c r="R51" s="857"/>
      <c r="S51" s="845"/>
      <c r="T51" s="846"/>
      <c r="U51" s="847"/>
      <c r="V51" s="848"/>
      <c r="W51" s="845"/>
      <c r="X51" s="848"/>
      <c r="Y51" s="875"/>
      <c r="Z51" s="1185"/>
      <c r="AA51" s="875"/>
      <c r="AB51" s="868">
        <v>-0.70331066846847534</v>
      </c>
      <c r="AC51" s="812">
        <v>174331975.00999999</v>
      </c>
      <c r="AD51" s="998">
        <v>1.2371000000000001</v>
      </c>
      <c r="AE51" s="812">
        <v>278154447.89999998</v>
      </c>
      <c r="AF51" s="846">
        <v>-2.7982999999999998</v>
      </c>
      <c r="AG51" s="847">
        <v>81642101.540000007</v>
      </c>
      <c r="AH51" s="876"/>
      <c r="AI51" s="876"/>
      <c r="AJ51" s="824"/>
      <c r="AK51" s="825"/>
      <c r="AL51" s="826"/>
      <c r="AM51" s="822"/>
      <c r="AN51" s="827">
        <v>1.1733</v>
      </c>
      <c r="AO51" s="845">
        <v>941978761.12</v>
      </c>
      <c r="AP51" s="829">
        <v>5.3147000000000002</v>
      </c>
      <c r="AQ51" s="822">
        <v>582047575.70000005</v>
      </c>
      <c r="AR51" s="827">
        <v>1.115</v>
      </c>
      <c r="AS51" s="848">
        <v>552298200.58000004</v>
      </c>
      <c r="AT51" s="959">
        <v>0.69740000000000002</v>
      </c>
      <c r="AU51" s="822">
        <v>1086383374.1400001</v>
      </c>
      <c r="AV51" s="811">
        <v>1.0066999999999999</v>
      </c>
      <c r="AW51" s="845">
        <v>504741816.56999999</v>
      </c>
      <c r="AX51" s="826"/>
      <c r="AY51" s="822"/>
      <c r="AZ51" s="870"/>
      <c r="BA51" s="850"/>
      <c r="BB51" s="850"/>
      <c r="BC51" s="850"/>
      <c r="BD51" s="871"/>
      <c r="BE51" s="872"/>
      <c r="BF51" s="873"/>
      <c r="BG51" s="833">
        <f>Index_Returns!B285</f>
        <v>4.1820000000000004</v>
      </c>
      <c r="BH51" s="826">
        <f t="shared" si="1"/>
        <v>-1.6637000000000004</v>
      </c>
      <c r="BI51" s="826"/>
      <c r="BJ51" s="836"/>
      <c r="BK51" s="865">
        <f t="shared" si="10"/>
        <v>0.40799999999999947</v>
      </c>
      <c r="BL51" s="865"/>
      <c r="BM51" s="865"/>
      <c r="BN51" s="865"/>
      <c r="BO51" s="865"/>
      <c r="BP51" s="866"/>
      <c r="BQ51" s="836"/>
      <c r="BR51" s="836"/>
      <c r="BS51" s="834"/>
      <c r="BT51" s="837"/>
      <c r="BU51" s="834"/>
      <c r="BV51" s="834"/>
      <c r="BW51" s="834"/>
      <c r="BX51" s="837"/>
      <c r="BY51" s="852"/>
      <c r="BZ51" s="852"/>
      <c r="CA51" s="853"/>
      <c r="CB51" s="854">
        <f>Index_Returns!H285</f>
        <v>1.329</v>
      </c>
      <c r="CC51" s="1002">
        <f t="shared" si="11"/>
        <v>-9.1899999999999871E-2</v>
      </c>
      <c r="CD51" s="877">
        <f t="shared" si="13"/>
        <v>-4.1273</v>
      </c>
      <c r="CE51" s="855">
        <f>Index_Returns!J285</f>
        <v>-2.27</v>
      </c>
      <c r="CF51" s="874">
        <f t="shared" si="12"/>
        <v>1.5666893315315247</v>
      </c>
      <c r="CG51" s="879"/>
      <c r="CH51" s="843"/>
      <c r="CI51" s="826">
        <f>Index_Returns!AA285</f>
        <v>-0.27300000000000002</v>
      </c>
      <c r="CJ51" s="826">
        <f t="shared" si="5"/>
        <v>1.4462999999999999</v>
      </c>
      <c r="CK51" s="826">
        <f t="shared" si="6"/>
        <v>5.5876999999999999</v>
      </c>
      <c r="CL51" s="826">
        <f t="shared" si="14"/>
        <v>1.3879999999999999</v>
      </c>
      <c r="CM51" s="842">
        <f>Index_Returns!W285</f>
        <v>0.71430000000000005</v>
      </c>
      <c r="CN51" s="889">
        <f t="shared" si="9"/>
        <v>-1.6900000000000026E-2</v>
      </c>
      <c r="CO51" s="880">
        <f t="shared" si="15"/>
        <v>0.29239999999999988</v>
      </c>
      <c r="CP51" s="843"/>
      <c r="CQ51" s="859"/>
      <c r="CR51" s="890">
        <v>0.61880000000000002</v>
      </c>
      <c r="CS51" s="890"/>
      <c r="CT51" s="855"/>
      <c r="CU51" s="853"/>
    </row>
    <row r="52" spans="1:99" x14ac:dyDescent="0.2">
      <c r="A52" s="856">
        <v>36219</v>
      </c>
      <c r="B52" s="860">
        <v>-3.6216999999999997</v>
      </c>
      <c r="C52" s="812">
        <v>1087515185.75</v>
      </c>
      <c r="D52" s="861"/>
      <c r="E52" s="812"/>
      <c r="F52" s="811"/>
      <c r="G52" s="812"/>
      <c r="H52" s="815"/>
      <c r="I52" s="815"/>
      <c r="J52" s="863">
        <v>-3.56</v>
      </c>
      <c r="K52" s="817">
        <v>1110371962.6199999</v>
      </c>
      <c r="L52" s="863"/>
      <c r="M52" s="817"/>
      <c r="N52" s="863"/>
      <c r="O52" s="817"/>
      <c r="P52" s="857"/>
      <c r="Q52" s="845"/>
      <c r="R52" s="857"/>
      <c r="S52" s="845"/>
      <c r="T52" s="846"/>
      <c r="U52" s="847"/>
      <c r="V52" s="848"/>
      <c r="W52" s="845"/>
      <c r="X52" s="848"/>
      <c r="Y52" s="875"/>
      <c r="Z52" s="1185"/>
      <c r="AA52" s="875"/>
      <c r="AB52" s="868">
        <v>-7.8833155632019034</v>
      </c>
      <c r="AC52" s="812">
        <v>160641985.74000001</v>
      </c>
      <c r="AD52" s="998">
        <v>-8.0578000000000003</v>
      </c>
      <c r="AE52" s="812">
        <v>255741305</v>
      </c>
      <c r="AF52" s="846">
        <v>-6.0583</v>
      </c>
      <c r="AG52" s="847">
        <v>76704350.790000007</v>
      </c>
      <c r="AH52" s="876"/>
      <c r="AI52" s="876"/>
      <c r="AJ52" s="824"/>
      <c r="AK52" s="825"/>
      <c r="AL52" s="826"/>
      <c r="AM52" s="822"/>
      <c r="AN52" s="827">
        <v>-2.3367</v>
      </c>
      <c r="AO52" s="845">
        <v>920048789.26999998</v>
      </c>
      <c r="AP52" s="829">
        <v>-2.6353</v>
      </c>
      <c r="AQ52" s="822">
        <v>566932804.83000004</v>
      </c>
      <c r="AR52" s="827">
        <v>-0.61499999999999999</v>
      </c>
      <c r="AS52" s="848">
        <v>549019117.99000001</v>
      </c>
      <c r="AT52" s="959">
        <v>-1.8952</v>
      </c>
      <c r="AU52" s="822">
        <v>1065794199.09</v>
      </c>
      <c r="AV52" s="811">
        <v>-2.2833000000000001</v>
      </c>
      <c r="AW52" s="845">
        <v>493302336.42000002</v>
      </c>
      <c r="AX52" s="826"/>
      <c r="AY52" s="822"/>
      <c r="AZ52" s="870"/>
      <c r="BA52" s="850"/>
      <c r="BB52" s="850"/>
      <c r="BC52" s="850"/>
      <c r="BD52" s="871"/>
      <c r="BE52" s="872"/>
      <c r="BF52" s="873"/>
      <c r="BG52" s="833">
        <f>Index_Returns!B286</f>
        <v>-3.1080000000000001</v>
      </c>
      <c r="BH52" s="826">
        <f t="shared" si="1"/>
        <v>-0.5136999999999996</v>
      </c>
      <c r="BI52" s="826"/>
      <c r="BJ52" s="836"/>
      <c r="BK52" s="865">
        <f t="shared" si="10"/>
        <v>-0.45199999999999996</v>
      </c>
      <c r="BL52" s="865"/>
      <c r="BM52" s="865"/>
      <c r="BN52" s="865"/>
      <c r="BO52" s="865"/>
      <c r="BP52" s="866"/>
      <c r="BQ52" s="836"/>
      <c r="BR52" s="836"/>
      <c r="BS52" s="834"/>
      <c r="BT52" s="837"/>
      <c r="BU52" s="834"/>
      <c r="BV52" s="834"/>
      <c r="BW52" s="834"/>
      <c r="BX52" s="837"/>
      <c r="BY52" s="852"/>
      <c r="BZ52" s="852"/>
      <c r="CA52" s="853"/>
      <c r="CB52" s="854">
        <f>Index_Returns!H286</f>
        <v>-8.0990000000000002</v>
      </c>
      <c r="CC52" s="1002">
        <f t="shared" si="11"/>
        <v>4.1199999999999903E-2</v>
      </c>
      <c r="CD52" s="877">
        <f t="shared" si="13"/>
        <v>2.0407000000000002</v>
      </c>
      <c r="CE52" s="855">
        <f>Index_Returns!J286</f>
        <v>-6.827</v>
      </c>
      <c r="CF52" s="874">
        <f t="shared" si="12"/>
        <v>-1.0563155632019035</v>
      </c>
      <c r="CG52" s="879"/>
      <c r="CH52" s="843"/>
      <c r="CI52" s="826">
        <f>Index_Returns!AA286</f>
        <v>-2.3601299999999998</v>
      </c>
      <c r="CJ52" s="826">
        <f t="shared" si="5"/>
        <v>2.342999999999984E-2</v>
      </c>
      <c r="CK52" s="826">
        <f t="shared" si="6"/>
        <v>-0.27517000000000014</v>
      </c>
      <c r="CL52" s="826">
        <f t="shared" si="14"/>
        <v>1.7451299999999998</v>
      </c>
      <c r="CM52" s="842">
        <f>Index_Returns!W286</f>
        <v>-1.746</v>
      </c>
      <c r="CN52" s="889">
        <f t="shared" si="9"/>
        <v>-0.1492</v>
      </c>
      <c r="CO52" s="880">
        <f t="shared" si="15"/>
        <v>-0.53730000000000011</v>
      </c>
      <c r="CP52" s="843"/>
      <c r="CQ52" s="859"/>
      <c r="CR52" s="890">
        <v>-1.0385</v>
      </c>
      <c r="CS52" s="890"/>
      <c r="CT52" s="855"/>
      <c r="CU52" s="853"/>
    </row>
    <row r="53" spans="1:99" x14ac:dyDescent="0.2">
      <c r="A53" s="856">
        <v>36250</v>
      </c>
      <c r="B53" s="860">
        <v>3.8883000000000001</v>
      </c>
      <c r="C53" s="812">
        <v>1129932211.2</v>
      </c>
      <c r="D53" s="861"/>
      <c r="E53" s="812"/>
      <c r="F53" s="881"/>
      <c r="G53" s="812"/>
      <c r="H53" s="815"/>
      <c r="I53" s="815"/>
      <c r="J53" s="863">
        <v>3.59</v>
      </c>
      <c r="K53" s="817">
        <v>1150314278.74</v>
      </c>
      <c r="L53" s="863"/>
      <c r="M53" s="817"/>
      <c r="N53" s="863"/>
      <c r="O53" s="817"/>
      <c r="P53" s="857"/>
      <c r="Q53" s="845"/>
      <c r="R53" s="857"/>
      <c r="S53" s="845"/>
      <c r="T53" s="846"/>
      <c r="U53" s="847"/>
      <c r="V53" s="848"/>
      <c r="W53" s="845"/>
      <c r="X53" s="848"/>
      <c r="Y53" s="875"/>
      <c r="Z53" s="1185"/>
      <c r="AA53" s="875"/>
      <c r="AB53" s="868">
        <v>-1.1946237087249756</v>
      </c>
      <c r="AC53" s="812">
        <v>158722846.66999999</v>
      </c>
      <c r="AD53" s="998">
        <v>1.3713</v>
      </c>
      <c r="AE53" s="812">
        <v>259236508.78</v>
      </c>
      <c r="AF53" s="846">
        <v>-1.9682999999999999</v>
      </c>
      <c r="AG53" s="847">
        <v>75204277.900000006</v>
      </c>
      <c r="AH53" s="876"/>
      <c r="AI53" s="876"/>
      <c r="AJ53" s="824"/>
      <c r="AK53" s="825"/>
      <c r="AL53" s="826"/>
      <c r="AM53" s="822"/>
      <c r="AN53" s="827">
        <v>4.5033000000000003</v>
      </c>
      <c r="AO53" s="845">
        <v>961560549.82000005</v>
      </c>
      <c r="AP53" s="829">
        <v>5.2146999999999997</v>
      </c>
      <c r="AQ53" s="822">
        <v>596696114.53999996</v>
      </c>
      <c r="AR53" s="827">
        <v>2.3650000000000002</v>
      </c>
      <c r="AS53" s="848">
        <v>562164846.20000005</v>
      </c>
      <c r="AT53" s="959">
        <v>0.62570000000000003</v>
      </c>
      <c r="AU53" s="822">
        <v>1072463254.51</v>
      </c>
      <c r="AV53" s="811">
        <v>0.35670000000000002</v>
      </c>
      <c r="AW53" s="845">
        <v>495122110.97000003</v>
      </c>
      <c r="AX53" s="826"/>
      <c r="AY53" s="822"/>
      <c r="AZ53" s="870"/>
      <c r="BA53" s="850"/>
      <c r="BB53" s="850"/>
      <c r="BC53" s="850"/>
      <c r="BD53" s="871"/>
      <c r="BE53" s="872"/>
      <c r="BF53" s="873"/>
      <c r="BG53" s="833">
        <f>Index_Returns!B287</f>
        <v>4.0010000000000003</v>
      </c>
      <c r="BH53" s="826">
        <f t="shared" ref="BH53:BH84" si="16">B53-BG53</f>
        <v>-0.11270000000000024</v>
      </c>
      <c r="BI53" s="826"/>
      <c r="BJ53" s="836"/>
      <c r="BK53" s="865">
        <f t="shared" si="10"/>
        <v>-0.41100000000000048</v>
      </c>
      <c r="BL53" s="865"/>
      <c r="BM53" s="865"/>
      <c r="BN53" s="865"/>
      <c r="BO53" s="865"/>
      <c r="BP53" s="866"/>
      <c r="BQ53" s="836"/>
      <c r="BR53" s="836"/>
      <c r="BS53" s="834"/>
      <c r="BT53" s="837"/>
      <c r="BU53" s="834"/>
      <c r="BV53" s="834"/>
      <c r="BW53" s="834"/>
      <c r="BX53" s="837"/>
      <c r="BY53" s="852"/>
      <c r="BZ53" s="852"/>
      <c r="CA53" s="853"/>
      <c r="CB53" s="854">
        <f>Index_Returns!H287</f>
        <v>1.5609999999999999</v>
      </c>
      <c r="CC53" s="1002">
        <f t="shared" si="11"/>
        <v>-0.18969999999999998</v>
      </c>
      <c r="CD53" s="877">
        <f t="shared" si="13"/>
        <v>-3.5293000000000001</v>
      </c>
      <c r="CE53" s="855">
        <f>Index_Returns!J287</f>
        <v>-0.82499999999999996</v>
      </c>
      <c r="CF53" s="874">
        <f t="shared" si="12"/>
        <v>-0.36962370872497563</v>
      </c>
      <c r="CG53" s="879"/>
      <c r="CH53" s="843"/>
      <c r="CI53" s="826">
        <f>Index_Returns!AA287</f>
        <v>4.1980000000000004</v>
      </c>
      <c r="CJ53" s="826">
        <f t="shared" ref="CJ53:CJ84" si="17">AN53-CI53</f>
        <v>0.3052999999999999</v>
      </c>
      <c r="CK53" s="826">
        <f t="shared" ref="CK53:CK84" si="18">AP53-CI53</f>
        <v>1.0166999999999993</v>
      </c>
      <c r="CL53" s="826">
        <f t="shared" si="14"/>
        <v>-1.8330000000000002</v>
      </c>
      <c r="CM53" s="842">
        <f>Index_Returns!W287</f>
        <v>0.55479999999999996</v>
      </c>
      <c r="CN53" s="889">
        <f t="shared" si="9"/>
        <v>7.0900000000000074E-2</v>
      </c>
      <c r="CO53" s="880">
        <f t="shared" si="15"/>
        <v>-0.19809999999999994</v>
      </c>
      <c r="CP53" s="843"/>
      <c r="CQ53" s="859"/>
      <c r="CR53" s="890">
        <v>0.71619999999999995</v>
      </c>
      <c r="CS53" s="890"/>
      <c r="CT53" s="855"/>
      <c r="CU53" s="853"/>
    </row>
    <row r="54" spans="1:99" x14ac:dyDescent="0.2">
      <c r="A54" s="856">
        <v>36280</v>
      </c>
      <c r="B54" s="860">
        <v>5.6283000000000003</v>
      </c>
      <c r="C54" s="812">
        <v>1193683051.01</v>
      </c>
      <c r="D54" s="861"/>
      <c r="E54" s="812"/>
      <c r="F54" s="881"/>
      <c r="G54" s="812"/>
      <c r="H54" s="815"/>
      <c r="I54" s="815"/>
      <c r="J54" s="863">
        <v>3.95</v>
      </c>
      <c r="K54" s="817">
        <v>1195826539.0599999</v>
      </c>
      <c r="L54" s="863"/>
      <c r="M54" s="817"/>
      <c r="N54" s="863"/>
      <c r="O54" s="817"/>
      <c r="P54" s="857"/>
      <c r="Q54" s="845"/>
      <c r="R54" s="857"/>
      <c r="S54" s="845"/>
      <c r="T54" s="846"/>
      <c r="U54" s="882"/>
      <c r="V54" s="848"/>
      <c r="W54" s="845"/>
      <c r="X54" s="848"/>
      <c r="Y54" s="875"/>
      <c r="Z54" s="1185"/>
      <c r="AA54" s="875"/>
      <c r="AB54" s="868">
        <v>12.80669689178467</v>
      </c>
      <c r="AC54" s="812">
        <v>179107518.31</v>
      </c>
      <c r="AD54" s="998">
        <v>8.7223000000000006</v>
      </c>
      <c r="AE54" s="812">
        <v>281848006.33999997</v>
      </c>
      <c r="AF54" s="846">
        <v>10.1172</v>
      </c>
      <c r="AG54" s="847">
        <v>82812809.370000005</v>
      </c>
      <c r="AH54" s="876"/>
      <c r="AI54" s="876"/>
      <c r="AJ54" s="824"/>
      <c r="AK54" s="825"/>
      <c r="AL54" s="852"/>
      <c r="AM54" s="828"/>
      <c r="AN54" s="827">
        <v>5.0133000000000001</v>
      </c>
      <c r="AO54" s="845">
        <v>1009791039.01</v>
      </c>
      <c r="AP54" s="829">
        <v>5.1847000000000003</v>
      </c>
      <c r="AQ54" s="822">
        <v>627827397.64999998</v>
      </c>
      <c r="AR54" s="827">
        <v>4.3859000000000004</v>
      </c>
      <c r="AS54" s="848">
        <v>587081668.19000006</v>
      </c>
      <c r="AT54" s="959">
        <v>0.35830000000000001</v>
      </c>
      <c r="AU54" s="822">
        <v>1076305423.24</v>
      </c>
      <c r="AV54" s="811">
        <v>0.51500000000000001</v>
      </c>
      <c r="AW54" s="845">
        <v>497736089.43000001</v>
      </c>
      <c r="AX54" s="826"/>
      <c r="AY54" s="822"/>
      <c r="AZ54" s="870"/>
      <c r="BA54" s="850"/>
      <c r="BB54" s="850"/>
      <c r="BC54" s="850"/>
      <c r="BD54" s="871"/>
      <c r="BE54" s="872"/>
      <c r="BF54" s="873"/>
      <c r="BG54" s="833">
        <f>Index_Returns!B288</f>
        <v>3.8730000000000002</v>
      </c>
      <c r="BH54" s="826">
        <f t="shared" si="16"/>
        <v>1.7553000000000001</v>
      </c>
      <c r="BI54" s="826"/>
      <c r="BJ54" s="836"/>
      <c r="BK54" s="865">
        <f t="shared" si="10"/>
        <v>7.6999999999999957E-2</v>
      </c>
      <c r="BL54" s="865"/>
      <c r="BM54" s="865"/>
      <c r="BN54" s="865"/>
      <c r="BO54" s="865"/>
      <c r="BP54" s="866"/>
      <c r="BQ54" s="836"/>
      <c r="BR54" s="836"/>
      <c r="BS54" s="834"/>
      <c r="BT54" s="837"/>
      <c r="BU54" s="834"/>
      <c r="BV54" s="834"/>
      <c r="BW54" s="834"/>
      <c r="BX54" s="837"/>
      <c r="BY54" s="852"/>
      <c r="BZ54" s="852"/>
      <c r="CA54" s="853"/>
      <c r="CB54" s="854">
        <f>Index_Returns!H288</f>
        <v>8.9610000000000003</v>
      </c>
      <c r="CC54" s="1002">
        <f t="shared" si="11"/>
        <v>-0.23869999999999969</v>
      </c>
      <c r="CD54" s="877">
        <f t="shared" si="13"/>
        <v>1.1562000000000001</v>
      </c>
      <c r="CE54" s="855">
        <f>Index_Returns!J288</f>
        <v>9.1289999999999996</v>
      </c>
      <c r="CF54" s="874">
        <f t="shared" si="12"/>
        <v>3.6776968917846702</v>
      </c>
      <c r="CG54" s="879"/>
      <c r="CH54" s="843"/>
      <c r="CI54" s="826">
        <f>Index_Returns!AA288</f>
        <v>4.07</v>
      </c>
      <c r="CJ54" s="826">
        <f t="shared" si="17"/>
        <v>0.94329999999999981</v>
      </c>
      <c r="CK54" s="826">
        <f t="shared" si="18"/>
        <v>1.1147</v>
      </c>
      <c r="CL54" s="826">
        <f t="shared" si="14"/>
        <v>0.31590000000000007</v>
      </c>
      <c r="CM54" s="842">
        <f>Index_Returns!W288</f>
        <v>0.317</v>
      </c>
      <c r="CN54" s="889">
        <f t="shared" si="9"/>
        <v>4.1300000000000003E-2</v>
      </c>
      <c r="CO54" s="880">
        <f t="shared" si="15"/>
        <v>0.19800000000000001</v>
      </c>
      <c r="CP54" s="843"/>
      <c r="CQ54" s="859"/>
      <c r="CR54" s="890">
        <v>0.36890000000000001</v>
      </c>
      <c r="CS54" s="890"/>
      <c r="CT54" s="855"/>
      <c r="CU54" s="853"/>
    </row>
    <row r="55" spans="1:99" x14ac:dyDescent="0.2">
      <c r="A55" s="856">
        <v>36311</v>
      </c>
      <c r="B55" s="860">
        <v>-1.1416999999999999</v>
      </c>
      <c r="C55" s="812">
        <v>1180152945.25</v>
      </c>
      <c r="D55" s="861"/>
      <c r="E55" s="812"/>
      <c r="F55" s="881"/>
      <c r="G55" s="812"/>
      <c r="H55" s="815"/>
      <c r="I55" s="815"/>
      <c r="J55" s="863">
        <v>-2.3199999999999998</v>
      </c>
      <c r="K55" s="817">
        <v>1168214585.6500001</v>
      </c>
      <c r="L55" s="863"/>
      <c r="M55" s="817"/>
      <c r="N55" s="863"/>
      <c r="O55" s="817"/>
      <c r="P55" s="857"/>
      <c r="Q55" s="845"/>
      <c r="R55" s="857"/>
      <c r="S55" s="845"/>
      <c r="T55" s="846"/>
      <c r="U55" s="882"/>
      <c r="V55" s="848"/>
      <c r="W55" s="845"/>
      <c r="X55" s="848"/>
      <c r="Y55" s="875"/>
      <c r="Z55" s="1185"/>
      <c r="AA55" s="875"/>
      <c r="AB55" s="868">
        <v>3.8066570758819576</v>
      </c>
      <c r="AC55" s="812">
        <v>185991983.88</v>
      </c>
      <c r="AD55" s="998">
        <v>1.4539</v>
      </c>
      <c r="AE55" s="812">
        <v>285945869.05000001</v>
      </c>
      <c r="AF55" s="846">
        <v>7.7047000000000008</v>
      </c>
      <c r="AG55" s="847">
        <v>89193328.790000007</v>
      </c>
      <c r="AH55" s="876"/>
      <c r="AI55" s="876"/>
      <c r="AJ55" s="824"/>
      <c r="AK55" s="825"/>
      <c r="AL55" s="852"/>
      <c r="AM55" s="828"/>
      <c r="AN55" s="827">
        <v>-4.9566999999999997</v>
      </c>
      <c r="AO55" s="845">
        <v>959829092.05999994</v>
      </c>
      <c r="AP55" s="829">
        <v>1.3247</v>
      </c>
      <c r="AQ55" s="822">
        <v>636389958.96000004</v>
      </c>
      <c r="AR55" s="827">
        <v>-4.1044</v>
      </c>
      <c r="AS55" s="848">
        <v>563240034.53999996</v>
      </c>
      <c r="AT55" s="959">
        <v>-1.0245</v>
      </c>
      <c r="AU55" s="822">
        <v>1065279090.09</v>
      </c>
      <c r="AV55" s="811">
        <v>-0.88500000000000001</v>
      </c>
      <c r="AW55" s="845">
        <v>493411255.23000002</v>
      </c>
      <c r="AX55" s="826"/>
      <c r="AY55" s="822"/>
      <c r="AZ55" s="870"/>
      <c r="BA55" s="850"/>
      <c r="BB55" s="850"/>
      <c r="BC55" s="850"/>
      <c r="BD55" s="871"/>
      <c r="BE55" s="872"/>
      <c r="BF55" s="873"/>
      <c r="BG55" s="833">
        <f>Index_Returns!B289</f>
        <v>-2.3610000000000002</v>
      </c>
      <c r="BH55" s="826">
        <f t="shared" si="16"/>
        <v>1.2193000000000003</v>
      </c>
      <c r="BI55" s="826"/>
      <c r="BJ55" s="836"/>
      <c r="BK55" s="865">
        <f t="shared" si="10"/>
        <v>4.1000000000000369E-2</v>
      </c>
      <c r="BL55" s="865"/>
      <c r="BM55" s="865"/>
      <c r="BN55" s="865"/>
      <c r="BO55" s="865"/>
      <c r="BP55" s="866"/>
      <c r="BQ55" s="836"/>
      <c r="BR55" s="836"/>
      <c r="BS55" s="834"/>
      <c r="BT55" s="837"/>
      <c r="BU55" s="834"/>
      <c r="BV55" s="834"/>
      <c r="BW55" s="834"/>
      <c r="BX55" s="837"/>
      <c r="BY55" s="852"/>
      <c r="BZ55" s="852"/>
      <c r="CA55" s="853"/>
      <c r="CB55" s="854">
        <f>Index_Returns!H289</f>
        <v>1.4610000000000001</v>
      </c>
      <c r="CC55" s="1002">
        <f t="shared" si="11"/>
        <v>-7.1000000000001062E-3</v>
      </c>
      <c r="CD55" s="877">
        <f t="shared" si="13"/>
        <v>6.2437000000000005</v>
      </c>
      <c r="CE55" s="855">
        <f>Index_Returns!J289</f>
        <v>3.0739999999999998</v>
      </c>
      <c r="CF55" s="874">
        <f t="shared" si="12"/>
        <v>0.73265707588195772</v>
      </c>
      <c r="CG55" s="879"/>
      <c r="CH55" s="843"/>
      <c r="CI55" s="826">
        <f>Index_Returns!AA289</f>
        <v>-5.1280000000000001</v>
      </c>
      <c r="CJ55" s="826">
        <f t="shared" si="17"/>
        <v>0.17130000000000045</v>
      </c>
      <c r="CK55" s="826">
        <f t="shared" si="18"/>
        <v>6.4527000000000001</v>
      </c>
      <c r="CL55" s="826">
        <f t="shared" si="14"/>
        <v>1.0236000000000001</v>
      </c>
      <c r="CM55" s="842">
        <f>Index_Returns!W289</f>
        <v>-0.87629999999999997</v>
      </c>
      <c r="CN55" s="889">
        <f t="shared" si="9"/>
        <v>-0.1482</v>
      </c>
      <c r="CO55" s="880">
        <f t="shared" si="15"/>
        <v>-8.700000000000041E-3</v>
      </c>
      <c r="CP55" s="843"/>
      <c r="CQ55" s="859"/>
      <c r="CR55" s="890">
        <v>-0.68310000000000004</v>
      </c>
      <c r="CS55" s="890"/>
      <c r="CT55" s="855"/>
      <c r="CU55" s="853"/>
    </row>
    <row r="56" spans="1:99" x14ac:dyDescent="0.2">
      <c r="A56" s="856">
        <v>36341</v>
      </c>
      <c r="B56" s="860">
        <v>5.5583</v>
      </c>
      <c r="C56" s="812">
        <v>1245887502.3699999</v>
      </c>
      <c r="D56" s="861"/>
      <c r="E56" s="812"/>
      <c r="F56" s="881"/>
      <c r="G56" s="812"/>
      <c r="H56" s="815"/>
      <c r="I56" s="815"/>
      <c r="J56" s="863">
        <v>5.03</v>
      </c>
      <c r="K56" s="817">
        <v>1227131369.4300001</v>
      </c>
      <c r="L56" s="863"/>
      <c r="M56" s="817"/>
      <c r="N56" s="863"/>
      <c r="O56" s="817"/>
      <c r="P56" s="811">
        <v>8.73</v>
      </c>
      <c r="Q56" s="812">
        <v>217041640.36000001</v>
      </c>
      <c r="R56" s="811">
        <v>6.1233000000000004</v>
      </c>
      <c r="S56" s="845">
        <v>211816761.11000001</v>
      </c>
      <c r="T56" s="846"/>
      <c r="U56" s="882"/>
      <c r="V56" s="848"/>
      <c r="W56" s="845"/>
      <c r="X56" s="848"/>
      <c r="Y56" s="875"/>
      <c r="Z56" s="1185"/>
      <c r="AA56" s="875"/>
      <c r="AB56" s="868">
        <v>3.6167945861816402</v>
      </c>
      <c r="AC56" s="812">
        <v>192789898.06</v>
      </c>
      <c r="AD56" s="998">
        <v>5.0957999999999997</v>
      </c>
      <c r="AE56" s="812">
        <v>300517131.49000001</v>
      </c>
      <c r="AF56" s="846">
        <v>2.9319000000000002</v>
      </c>
      <c r="AG56" s="847">
        <v>91808369.319999993</v>
      </c>
      <c r="AH56" s="876"/>
      <c r="AI56" s="876"/>
      <c r="AJ56" s="824"/>
      <c r="AK56" s="825"/>
      <c r="AL56" s="852"/>
      <c r="AM56" s="828"/>
      <c r="AN56" s="827">
        <v>5.3033000000000001</v>
      </c>
      <c r="AO56" s="845">
        <v>1010840299.78</v>
      </c>
      <c r="AP56" s="829">
        <v>3.0647000000000002</v>
      </c>
      <c r="AQ56" s="822">
        <v>656118795.29999995</v>
      </c>
      <c r="AR56" s="827">
        <v>3.2958000000000003</v>
      </c>
      <c r="AS56" s="848">
        <v>581934548.51999998</v>
      </c>
      <c r="AT56" s="959">
        <v>-0.29360000000000003</v>
      </c>
      <c r="AU56" s="822">
        <v>1062151070.83</v>
      </c>
      <c r="AV56" s="811">
        <v>-0.53500000000000003</v>
      </c>
      <c r="AW56" s="845">
        <v>490861396.62</v>
      </c>
      <c r="AX56" s="826"/>
      <c r="AY56" s="822"/>
      <c r="AZ56" s="870"/>
      <c r="BA56" s="850"/>
      <c r="BB56" s="850"/>
      <c r="BC56" s="850"/>
      <c r="BD56" s="871"/>
      <c r="BE56" s="872"/>
      <c r="BF56" s="873"/>
      <c r="BG56" s="833">
        <f>Index_Returns!B290</f>
        <v>5.55</v>
      </c>
      <c r="BH56" s="826">
        <f t="shared" si="16"/>
        <v>8.3000000000001961E-3</v>
      </c>
      <c r="BI56" s="826"/>
      <c r="BJ56" s="836"/>
      <c r="BK56" s="865">
        <f t="shared" si="10"/>
        <v>-0.51999999999999957</v>
      </c>
      <c r="BL56" s="865"/>
      <c r="BM56" s="865"/>
      <c r="BN56" s="865"/>
      <c r="BO56" s="865"/>
      <c r="BP56" s="866"/>
      <c r="BQ56" s="880">
        <f>Index_Returns!E290</f>
        <v>5.3545999999999996</v>
      </c>
      <c r="BR56" s="880">
        <f t="shared" ref="BR56:BR73" si="19">P56-BQ56</f>
        <v>3.3754000000000008</v>
      </c>
      <c r="BS56" s="865">
        <f t="shared" ref="BS56:BS91" si="20">R56-BQ56</f>
        <v>0.76870000000000083</v>
      </c>
      <c r="BT56" s="883"/>
      <c r="BU56" s="865"/>
      <c r="BV56" s="865"/>
      <c r="BW56" s="865"/>
      <c r="BX56" s="1195"/>
      <c r="BY56" s="852"/>
      <c r="BZ56" s="852"/>
      <c r="CA56" s="853"/>
      <c r="CB56" s="854">
        <f>Index_Returns!H290</f>
        <v>4.5220000000000002</v>
      </c>
      <c r="CC56" s="1002">
        <f t="shared" si="11"/>
        <v>0.57379999999999942</v>
      </c>
      <c r="CD56" s="877">
        <f t="shared" si="13"/>
        <v>-1.5901000000000001</v>
      </c>
      <c r="CE56" s="855">
        <f>Index_Returns!J290</f>
        <v>3.621</v>
      </c>
      <c r="CF56" s="874">
        <f t="shared" si="12"/>
        <v>-4.2054138183598155E-3</v>
      </c>
      <c r="CG56" s="879"/>
      <c r="CH56" s="843"/>
      <c r="CI56" s="826">
        <f>Index_Returns!AA290</f>
        <v>3.9220000000000002</v>
      </c>
      <c r="CJ56" s="826">
        <f t="shared" si="17"/>
        <v>1.3813</v>
      </c>
      <c r="CK56" s="826">
        <f t="shared" si="18"/>
        <v>-0.85729999999999995</v>
      </c>
      <c r="CL56" s="826">
        <f t="shared" si="14"/>
        <v>-0.62619999999999987</v>
      </c>
      <c r="CM56" s="842">
        <f>Index_Returns!W290</f>
        <v>-0.31940000000000002</v>
      </c>
      <c r="CN56" s="889">
        <f t="shared" si="9"/>
        <v>2.579999999999999E-2</v>
      </c>
      <c r="CO56" s="880">
        <f t="shared" si="15"/>
        <v>-0.21560000000000001</v>
      </c>
      <c r="CP56" s="843"/>
      <c r="CQ56" s="859"/>
      <c r="CR56" s="890">
        <v>-0.1017</v>
      </c>
      <c r="CS56" s="890"/>
      <c r="CT56" s="855"/>
      <c r="CU56" s="853"/>
    </row>
    <row r="57" spans="1:99" x14ac:dyDescent="0.2">
      <c r="A57" s="856">
        <v>36372</v>
      </c>
      <c r="B57" s="860">
        <v>-3.7816999999999998</v>
      </c>
      <c r="C57" s="812">
        <v>1198856868.8699999</v>
      </c>
      <c r="D57" s="861"/>
      <c r="E57" s="812"/>
      <c r="F57" s="881"/>
      <c r="G57" s="812"/>
      <c r="H57" s="815"/>
      <c r="I57" s="815"/>
      <c r="J57" s="863">
        <v>-2.09</v>
      </c>
      <c r="K57" s="817">
        <v>1201552840.25</v>
      </c>
      <c r="L57" s="863"/>
      <c r="M57" s="817"/>
      <c r="N57" s="863"/>
      <c r="O57" s="817"/>
      <c r="P57" s="811">
        <v>1.1399999999999999</v>
      </c>
      <c r="Q57" s="812">
        <v>219554956.58000001</v>
      </c>
      <c r="R57" s="811">
        <v>-2.2067000000000001</v>
      </c>
      <c r="S57" s="845">
        <v>207170455.30000001</v>
      </c>
      <c r="T57" s="846"/>
      <c r="U57" s="882"/>
      <c r="V57" s="848"/>
      <c r="W57" s="845"/>
      <c r="X57" s="848"/>
      <c r="Y57" s="875"/>
      <c r="Z57" s="1185"/>
      <c r="AA57" s="875"/>
      <c r="AB57" s="868">
        <v>-1.0248714685440063</v>
      </c>
      <c r="AC57" s="812">
        <v>190814176.66</v>
      </c>
      <c r="AD57" s="998">
        <v>-1.9587000000000001</v>
      </c>
      <c r="AE57" s="812">
        <v>294630776.44999999</v>
      </c>
      <c r="AF57" s="846">
        <v>0.60170000000000001</v>
      </c>
      <c r="AG57" s="847">
        <v>92369310.980000004</v>
      </c>
      <c r="AH57" s="876"/>
      <c r="AI57" s="876"/>
      <c r="AJ57" s="824"/>
      <c r="AK57" s="825"/>
      <c r="AL57" s="852"/>
      <c r="AM57" s="828"/>
      <c r="AN57" s="827">
        <v>1.2633000000000001</v>
      </c>
      <c r="AO57" s="845">
        <v>1023679462.3200001</v>
      </c>
      <c r="AP57" s="829">
        <v>5.1746999999999996</v>
      </c>
      <c r="AQ57" s="822">
        <v>690296454.19000006</v>
      </c>
      <c r="AR57" s="827">
        <v>2.2959999999999998</v>
      </c>
      <c r="AS57" s="848">
        <v>595508068.13999999</v>
      </c>
      <c r="AT57" s="959">
        <v>-0.25530000000000003</v>
      </c>
      <c r="AU57" s="822">
        <v>1059439208.71</v>
      </c>
      <c r="AV57" s="811">
        <v>-0.61499999999999999</v>
      </c>
      <c r="AW57" s="845">
        <v>487927504.44999999</v>
      </c>
      <c r="AX57" s="873"/>
      <c r="AY57" s="822"/>
      <c r="AZ57" s="870"/>
      <c r="BA57" s="850"/>
      <c r="BB57" s="850"/>
      <c r="BC57" s="850"/>
      <c r="BD57" s="871"/>
      <c r="BE57" s="872"/>
      <c r="BF57" s="873"/>
      <c r="BG57" s="833">
        <f>Index_Returns!B291</f>
        <v>-3.1219999999999999</v>
      </c>
      <c r="BH57" s="826">
        <f t="shared" si="16"/>
        <v>-0.65969999999999995</v>
      </c>
      <c r="BI57" s="826"/>
      <c r="BJ57" s="836"/>
      <c r="BK57" s="865">
        <f t="shared" si="10"/>
        <v>1.032</v>
      </c>
      <c r="BL57" s="865"/>
      <c r="BM57" s="865"/>
      <c r="BN57" s="865"/>
      <c r="BO57" s="865"/>
      <c r="BP57" s="866"/>
      <c r="BQ57" s="880">
        <f>Index_Returns!E291</f>
        <v>-2.125</v>
      </c>
      <c r="BR57" s="880">
        <f t="shared" si="19"/>
        <v>3.2649999999999997</v>
      </c>
      <c r="BS57" s="865">
        <f t="shared" si="20"/>
        <v>-8.1700000000000106E-2</v>
      </c>
      <c r="BT57" s="883"/>
      <c r="BU57" s="865"/>
      <c r="BV57" s="865"/>
      <c r="BW57" s="865"/>
      <c r="BX57" s="1195"/>
      <c r="BY57" s="852"/>
      <c r="BZ57" s="852"/>
      <c r="CA57" s="853"/>
      <c r="CB57" s="854">
        <f>Index_Returns!H291</f>
        <v>-2.7440000000000002</v>
      </c>
      <c r="CC57" s="1002">
        <f t="shared" si="11"/>
        <v>0.78530000000000011</v>
      </c>
      <c r="CD57" s="877">
        <f t="shared" si="13"/>
        <v>3.3457000000000003</v>
      </c>
      <c r="CE57" s="855">
        <f>Index_Returns!J291</f>
        <v>-2.3730000000000002</v>
      </c>
      <c r="CF57" s="874">
        <f t="shared" si="12"/>
        <v>1.3481285314559939</v>
      </c>
      <c r="CG57" s="879"/>
      <c r="CH57" s="852"/>
      <c r="CI57" s="826">
        <f>Index_Returns!AA291</f>
        <v>2.9950000000000001</v>
      </c>
      <c r="CJ57" s="826">
        <f t="shared" si="17"/>
        <v>-1.7317</v>
      </c>
      <c r="CK57" s="826">
        <f t="shared" si="18"/>
        <v>2.1796999999999995</v>
      </c>
      <c r="CL57" s="826">
        <f t="shared" si="14"/>
        <v>-0.69900000000000029</v>
      </c>
      <c r="CM57" s="842">
        <f>Index_Returns!W291</f>
        <v>-0.42480000000000001</v>
      </c>
      <c r="CN57" s="889">
        <f t="shared" si="9"/>
        <v>0.16949999999999998</v>
      </c>
      <c r="CO57" s="880">
        <f t="shared" si="15"/>
        <v>-0.19019999999999998</v>
      </c>
      <c r="CP57" s="843"/>
      <c r="CQ57" s="859"/>
      <c r="CR57" s="890">
        <v>-0.35639999999999999</v>
      </c>
      <c r="CS57" s="890"/>
      <c r="CT57" s="855"/>
      <c r="CU57" s="853"/>
    </row>
    <row r="58" spans="1:99" x14ac:dyDescent="0.2">
      <c r="A58" s="856">
        <v>36403</v>
      </c>
      <c r="B58" s="860">
        <v>-2.4217</v>
      </c>
      <c r="C58" s="812">
        <v>1169945681.8800001</v>
      </c>
      <c r="D58" s="861"/>
      <c r="E58" s="812"/>
      <c r="F58" s="881"/>
      <c r="G58" s="812"/>
      <c r="H58" s="815"/>
      <c r="I58" s="815"/>
      <c r="J58" s="863">
        <v>-0.08</v>
      </c>
      <c r="K58" s="817">
        <v>1200689073.5699999</v>
      </c>
      <c r="L58" s="863"/>
      <c r="M58" s="817"/>
      <c r="N58" s="863"/>
      <c r="O58" s="817"/>
      <c r="P58" s="811">
        <v>0.53</v>
      </c>
      <c r="Q58" s="812">
        <v>220758321.80000001</v>
      </c>
      <c r="R58" s="811">
        <v>-1.6267</v>
      </c>
      <c r="S58" s="845">
        <v>203827060.09</v>
      </c>
      <c r="T58" s="846"/>
      <c r="U58" s="882"/>
      <c r="V58" s="848"/>
      <c r="W58" s="845"/>
      <c r="X58" s="848"/>
      <c r="Y58" s="875"/>
      <c r="Z58" s="1185"/>
      <c r="AA58" s="875"/>
      <c r="AB58" s="868">
        <v>-5.2838754653930664</v>
      </c>
      <c r="AC58" s="812">
        <v>180733097.69</v>
      </c>
      <c r="AD58" s="998">
        <v>-3.5981999999999998</v>
      </c>
      <c r="AE58" s="812">
        <v>284029314.36000001</v>
      </c>
      <c r="AF58" s="846">
        <v>-4.1982999999999997</v>
      </c>
      <c r="AG58" s="847">
        <v>88500813.420000002</v>
      </c>
      <c r="AH58" s="876"/>
      <c r="AI58" s="876"/>
      <c r="AJ58" s="824"/>
      <c r="AK58" s="825"/>
      <c r="AL58" s="852"/>
      <c r="AM58" s="828"/>
      <c r="AN58" s="827">
        <v>1.2932999999999999</v>
      </c>
      <c r="AO58" s="845">
        <v>1037013147.2</v>
      </c>
      <c r="AP58" s="829">
        <v>2.2947000000000002</v>
      </c>
      <c r="AQ58" s="822">
        <v>706371923.38999999</v>
      </c>
      <c r="AR58" s="827">
        <v>-9.4E-2</v>
      </c>
      <c r="AS58" s="848">
        <v>595125477.94000006</v>
      </c>
      <c r="AT58" s="959">
        <v>-0.2878</v>
      </c>
      <c r="AU58" s="822">
        <v>1056390274.48</v>
      </c>
      <c r="AV58" s="811">
        <v>-0.155</v>
      </c>
      <c r="AW58" s="845">
        <v>487277052.66000003</v>
      </c>
      <c r="AX58" s="873"/>
      <c r="AY58" s="822"/>
      <c r="AZ58" s="870"/>
      <c r="BA58" s="850"/>
      <c r="BB58" s="850"/>
      <c r="BC58" s="850"/>
      <c r="BD58" s="871"/>
      <c r="BE58" s="872"/>
      <c r="BF58" s="873"/>
      <c r="BG58" s="833">
        <f>Index_Returns!B292</f>
        <v>-0.5</v>
      </c>
      <c r="BH58" s="826">
        <f t="shared" si="16"/>
        <v>-1.9217</v>
      </c>
      <c r="BI58" s="826"/>
      <c r="BJ58" s="836"/>
      <c r="BK58" s="865">
        <f t="shared" si="10"/>
        <v>0.42</v>
      </c>
      <c r="BL58" s="865"/>
      <c r="BM58" s="865"/>
      <c r="BN58" s="865"/>
      <c r="BO58" s="865"/>
      <c r="BP58" s="866"/>
      <c r="BQ58" s="880">
        <f>Index_Returns!E292</f>
        <v>-3.4279999999999999</v>
      </c>
      <c r="BR58" s="880">
        <f t="shared" si="19"/>
        <v>3.9580000000000002</v>
      </c>
      <c r="BS58" s="865">
        <f t="shared" si="20"/>
        <v>1.8012999999999999</v>
      </c>
      <c r="BT58" s="883"/>
      <c r="BU58" s="865"/>
      <c r="BV58" s="865"/>
      <c r="BW58" s="865"/>
      <c r="BX58" s="1195"/>
      <c r="BY58" s="852"/>
      <c r="BZ58" s="852"/>
      <c r="CA58" s="853"/>
      <c r="CB58" s="854">
        <f>Index_Returns!H292</f>
        <v>-3.7010000000000001</v>
      </c>
      <c r="CC58" s="1002">
        <f t="shared" si="11"/>
        <v>0.10280000000000022</v>
      </c>
      <c r="CD58" s="877">
        <f t="shared" si="13"/>
        <v>-0.49729999999999963</v>
      </c>
      <c r="CE58" s="855">
        <f>Index_Returns!J292</f>
        <v>-3.6549999999999998</v>
      </c>
      <c r="CF58" s="874">
        <f t="shared" si="12"/>
        <v>-1.6288754653930666</v>
      </c>
      <c r="CG58" s="879"/>
      <c r="CH58" s="852"/>
      <c r="CI58" s="826">
        <f>Index_Returns!AA292</f>
        <v>0.38800000000000001</v>
      </c>
      <c r="CJ58" s="826">
        <f t="shared" si="17"/>
        <v>0.90529999999999988</v>
      </c>
      <c r="CK58" s="826">
        <f t="shared" si="18"/>
        <v>1.9067000000000003</v>
      </c>
      <c r="CL58" s="826">
        <f t="shared" si="14"/>
        <v>-0.48199999999999998</v>
      </c>
      <c r="CM58" s="842">
        <f>Index_Returns!W292</f>
        <v>-5.0799999999999998E-2</v>
      </c>
      <c r="CN58" s="889">
        <f t="shared" si="9"/>
        <v>-0.23699999999999999</v>
      </c>
      <c r="CO58" s="880">
        <f t="shared" si="15"/>
        <v>-0.1042</v>
      </c>
      <c r="CP58" s="843"/>
      <c r="CQ58" s="859"/>
      <c r="CR58" s="890">
        <v>4.2200000000000001E-2</v>
      </c>
      <c r="CS58" s="890"/>
      <c r="CT58" s="855"/>
      <c r="CU58" s="853"/>
    </row>
    <row r="59" spans="1:99" x14ac:dyDescent="0.2">
      <c r="A59" s="856">
        <v>36433</v>
      </c>
      <c r="B59" s="860">
        <v>-2.7416999999999998</v>
      </c>
      <c r="C59" s="812">
        <v>1137997014.6300001</v>
      </c>
      <c r="D59" s="861"/>
      <c r="E59" s="812"/>
      <c r="F59" s="861"/>
      <c r="G59" s="812"/>
      <c r="H59" s="815"/>
      <c r="I59" s="815"/>
      <c r="J59" s="863">
        <v>-2.92</v>
      </c>
      <c r="K59" s="817">
        <v>1165791946.74</v>
      </c>
      <c r="L59" s="863"/>
      <c r="M59" s="817"/>
      <c r="N59" s="863"/>
      <c r="O59" s="817"/>
      <c r="P59" s="811">
        <v>0.89</v>
      </c>
      <c r="Q59" s="812">
        <v>222768212</v>
      </c>
      <c r="R59" s="811">
        <v>-3.6767000000000003</v>
      </c>
      <c r="S59" s="845">
        <v>196369704.38</v>
      </c>
      <c r="T59" s="846"/>
      <c r="U59" s="882"/>
      <c r="V59" s="848"/>
      <c r="W59" s="845"/>
      <c r="X59" s="848"/>
      <c r="Y59" s="875"/>
      <c r="Z59" s="1185"/>
      <c r="AA59" s="875"/>
      <c r="AB59" s="868">
        <v>-4.1610569953918457</v>
      </c>
      <c r="AC59" s="812">
        <v>173213845</v>
      </c>
      <c r="AD59" s="998">
        <v>-0.17630000000000001</v>
      </c>
      <c r="AE59" s="812">
        <v>283528619.44</v>
      </c>
      <c r="AF59" s="846">
        <v>-3.4182999999999999</v>
      </c>
      <c r="AG59" s="847">
        <v>85483852.099999994</v>
      </c>
      <c r="AH59" s="876"/>
      <c r="AI59" s="876"/>
      <c r="AJ59" s="824"/>
      <c r="AK59" s="825"/>
      <c r="AL59" s="852"/>
      <c r="AM59" s="828"/>
      <c r="AN59" s="827">
        <v>0.39329999999999998</v>
      </c>
      <c r="AO59" s="845">
        <v>1046889872.13</v>
      </c>
      <c r="AP59" s="829">
        <v>1.5447</v>
      </c>
      <c r="AQ59" s="822">
        <v>717509559.00999999</v>
      </c>
      <c r="AR59" s="827">
        <v>0.46600000000000003</v>
      </c>
      <c r="AS59" s="848">
        <v>598044377.64999998</v>
      </c>
      <c r="AT59" s="959">
        <v>1.2248000000000001</v>
      </c>
      <c r="AU59" s="822">
        <v>1069328765.35</v>
      </c>
      <c r="AV59" s="811">
        <v>1.385</v>
      </c>
      <c r="AW59" s="845">
        <v>494080134.95999998</v>
      </c>
      <c r="AX59" s="873"/>
      <c r="AY59" s="822"/>
      <c r="AZ59" s="870"/>
      <c r="BA59" s="850"/>
      <c r="BB59" s="850"/>
      <c r="BC59" s="850"/>
      <c r="BD59" s="871"/>
      <c r="BE59" s="872"/>
      <c r="BF59" s="873"/>
      <c r="BG59" s="833">
        <f>Index_Returns!B293</f>
        <v>-2.74</v>
      </c>
      <c r="BH59" s="826">
        <f t="shared" si="16"/>
        <v>-1.6999999999995907E-3</v>
      </c>
      <c r="BI59" s="826"/>
      <c r="BJ59" s="836"/>
      <c r="BK59" s="865">
        <f t="shared" si="10"/>
        <v>-0.17999999999999972</v>
      </c>
      <c r="BL59" s="865"/>
      <c r="BM59" s="865"/>
      <c r="BN59" s="865"/>
      <c r="BO59" s="865"/>
      <c r="BP59" s="866"/>
      <c r="BQ59" s="880">
        <f>Index_Returns!E293</f>
        <v>-3.0874999999999999</v>
      </c>
      <c r="BR59" s="880">
        <f t="shared" si="19"/>
        <v>3.9775</v>
      </c>
      <c r="BS59" s="865">
        <f t="shared" si="20"/>
        <v>-0.58920000000000039</v>
      </c>
      <c r="BT59" s="883"/>
      <c r="BU59" s="865"/>
      <c r="BV59" s="865"/>
      <c r="BW59" s="865"/>
      <c r="BX59" s="1195"/>
      <c r="BY59" s="852"/>
      <c r="BZ59" s="852"/>
      <c r="CA59" s="853"/>
      <c r="CB59" s="854">
        <f>Index_Returns!H293</f>
        <v>2.1999999999999999E-2</v>
      </c>
      <c r="CC59" s="1002">
        <f t="shared" si="11"/>
        <v>-0.1983</v>
      </c>
      <c r="CD59" s="877">
        <f t="shared" si="13"/>
        <v>-3.4402999999999997</v>
      </c>
      <c r="CE59" s="855">
        <f>Index_Returns!J293</f>
        <v>-1.9990000000000001</v>
      </c>
      <c r="CF59" s="874">
        <f t="shared" si="12"/>
        <v>-2.1620569953918456</v>
      </c>
      <c r="CG59" s="879"/>
      <c r="CH59" s="852"/>
      <c r="CI59" s="826">
        <f>Index_Returns!AA293</f>
        <v>1.0289999999999999</v>
      </c>
      <c r="CJ59" s="826">
        <f t="shared" si="17"/>
        <v>-0.63569999999999993</v>
      </c>
      <c r="CK59" s="826">
        <f t="shared" si="18"/>
        <v>0.51570000000000005</v>
      </c>
      <c r="CL59" s="826">
        <f t="shared" si="14"/>
        <v>-0.56299999999999994</v>
      </c>
      <c r="CM59" s="842">
        <f>Index_Returns!W293</f>
        <v>1.1604000000000001</v>
      </c>
      <c r="CN59" s="889">
        <f t="shared" si="9"/>
        <v>6.4400000000000013E-2</v>
      </c>
      <c r="CO59" s="880">
        <f t="shared" si="15"/>
        <v>0.22459999999999991</v>
      </c>
      <c r="CP59" s="843"/>
      <c r="CQ59" s="859"/>
      <c r="CR59" s="890">
        <v>1.2388999999999999</v>
      </c>
      <c r="CS59" s="890"/>
      <c r="CT59" s="855"/>
      <c r="CU59" s="853"/>
    </row>
    <row r="60" spans="1:99" x14ac:dyDescent="0.2">
      <c r="A60" s="856">
        <v>36464</v>
      </c>
      <c r="B60" s="860">
        <v>4.5282999999999998</v>
      </c>
      <c r="C60" s="812">
        <v>1189696605.97</v>
      </c>
      <c r="D60" s="861"/>
      <c r="E60" s="812"/>
      <c r="F60" s="861"/>
      <c r="G60" s="812"/>
      <c r="H60" s="815"/>
      <c r="I60" s="815"/>
      <c r="J60" s="863">
        <v>6.96</v>
      </c>
      <c r="K60" s="817">
        <v>1247050996.4200001</v>
      </c>
      <c r="L60" s="863"/>
      <c r="M60" s="817"/>
      <c r="N60" s="863"/>
      <c r="O60" s="817"/>
      <c r="P60" s="811">
        <v>6.5</v>
      </c>
      <c r="Q60" s="812">
        <v>237288229.94999999</v>
      </c>
      <c r="R60" s="811">
        <v>4.8632999999999997</v>
      </c>
      <c r="S60" s="845">
        <v>205953442.62</v>
      </c>
      <c r="T60" s="846"/>
      <c r="U60" s="882"/>
      <c r="V60" s="848"/>
      <c r="W60" s="845"/>
      <c r="X60" s="848"/>
      <c r="Y60" s="875"/>
      <c r="Z60" s="1185"/>
      <c r="AA60" s="875"/>
      <c r="AB60" s="868">
        <v>-4.0033321380615234</v>
      </c>
      <c r="AC60" s="812">
        <v>166329962.16999999</v>
      </c>
      <c r="AD60" s="998">
        <v>0.50929999999999997</v>
      </c>
      <c r="AE60" s="812">
        <v>284972603.06</v>
      </c>
      <c r="AF60" s="846">
        <v>-1.0883</v>
      </c>
      <c r="AG60" s="847">
        <v>84562849.969999999</v>
      </c>
      <c r="AH60" s="876"/>
      <c r="AI60" s="876"/>
      <c r="AJ60" s="824"/>
      <c r="AK60" s="825"/>
      <c r="AL60" s="852"/>
      <c r="AM60" s="828"/>
      <c r="AN60" s="827">
        <v>4.4032999999999998</v>
      </c>
      <c r="AO60" s="845">
        <v>1093042661.53</v>
      </c>
      <c r="AP60" s="829">
        <v>5.1447000000000003</v>
      </c>
      <c r="AQ60" s="822">
        <v>754671127.39999998</v>
      </c>
      <c r="AR60" s="827">
        <v>4.1173000000000002</v>
      </c>
      <c r="AS60" s="848">
        <v>622835195.19000006</v>
      </c>
      <c r="AT60" s="959">
        <v>0.31180000000000002</v>
      </c>
      <c r="AU60" s="822">
        <v>1072663412.3</v>
      </c>
      <c r="AV60" s="811">
        <v>0.30499999999999999</v>
      </c>
      <c r="AW60" s="845">
        <v>495645086.13999999</v>
      </c>
      <c r="AX60" s="873"/>
      <c r="AY60" s="822"/>
      <c r="AZ60" s="870"/>
      <c r="BA60" s="850"/>
      <c r="BB60" s="850"/>
      <c r="BC60" s="850"/>
      <c r="BD60" s="871"/>
      <c r="BE60" s="872"/>
      <c r="BF60" s="873"/>
      <c r="BG60" s="833">
        <f>Index_Returns!B294</f>
        <v>6.33</v>
      </c>
      <c r="BH60" s="826">
        <f t="shared" si="16"/>
        <v>-1.8017000000000003</v>
      </c>
      <c r="BI60" s="826"/>
      <c r="BJ60" s="836"/>
      <c r="BK60" s="865">
        <f t="shared" si="10"/>
        <v>0.62999999999999989</v>
      </c>
      <c r="BL60" s="865"/>
      <c r="BM60" s="865"/>
      <c r="BN60" s="865"/>
      <c r="BO60" s="865"/>
      <c r="BP60" s="866"/>
      <c r="BQ60" s="880">
        <f>Index_Returns!E294</f>
        <v>5.0959000000000003</v>
      </c>
      <c r="BR60" s="880">
        <f t="shared" si="19"/>
        <v>1.4040999999999997</v>
      </c>
      <c r="BS60" s="865">
        <f t="shared" si="20"/>
        <v>-0.23260000000000058</v>
      </c>
      <c r="BT60" s="883"/>
      <c r="BU60" s="865"/>
      <c r="BV60" s="865"/>
      <c r="BW60" s="865"/>
      <c r="BX60" s="1195"/>
      <c r="BY60" s="852"/>
      <c r="BZ60" s="852"/>
      <c r="CA60" s="853"/>
      <c r="CB60" s="854">
        <f>Index_Returns!H294</f>
        <v>0.40500000000000003</v>
      </c>
      <c r="CC60" s="1002">
        <f t="shared" si="11"/>
        <v>0.10429999999999995</v>
      </c>
      <c r="CD60" s="877">
        <f t="shared" si="13"/>
        <v>-1.4933000000000001</v>
      </c>
      <c r="CE60" s="855">
        <f>Index_Returns!J294</f>
        <v>-2.0009999999999999</v>
      </c>
      <c r="CF60" s="874">
        <f t="shared" si="12"/>
        <v>-2.0023321380615235</v>
      </c>
      <c r="CG60" s="879"/>
      <c r="CH60" s="852"/>
      <c r="CI60" s="826">
        <f>Index_Returns!AA294</f>
        <v>3.7669999999999999</v>
      </c>
      <c r="CJ60" s="826">
        <f t="shared" si="17"/>
        <v>0.63629999999999987</v>
      </c>
      <c r="CK60" s="826">
        <f t="shared" si="18"/>
        <v>1.3777000000000004</v>
      </c>
      <c r="CL60" s="826">
        <f t="shared" si="14"/>
        <v>0.35030000000000028</v>
      </c>
      <c r="CM60" s="842">
        <f>Index_Returns!W294</f>
        <v>0.36890000000000001</v>
      </c>
      <c r="CN60" s="889">
        <f t="shared" si="9"/>
        <v>-5.7099999999999984E-2</v>
      </c>
      <c r="CO60" s="880">
        <f t="shared" si="15"/>
        <v>-6.3900000000000012E-2</v>
      </c>
      <c r="CP60" s="843"/>
      <c r="CQ60" s="859"/>
      <c r="CR60" s="890">
        <v>0.39400000000000002</v>
      </c>
      <c r="CS60" s="890"/>
      <c r="CT60" s="855"/>
      <c r="CU60" s="853"/>
    </row>
    <row r="61" spans="1:99" x14ac:dyDescent="0.2">
      <c r="A61" s="856">
        <v>36494</v>
      </c>
      <c r="B61" s="860">
        <v>2.3382999999999998</v>
      </c>
      <c r="C61" s="812">
        <v>1217645686.21</v>
      </c>
      <c r="D61" s="861"/>
      <c r="E61" s="812"/>
      <c r="F61" s="861"/>
      <c r="G61" s="812"/>
      <c r="H61" s="815"/>
      <c r="I61" s="815"/>
      <c r="J61" s="863">
        <v>0.42</v>
      </c>
      <c r="K61" s="817">
        <v>1252363814.3</v>
      </c>
      <c r="L61" s="863"/>
      <c r="M61" s="817"/>
      <c r="N61" s="863"/>
      <c r="O61" s="817"/>
      <c r="P61" s="811">
        <v>8.07</v>
      </c>
      <c r="Q61" s="812">
        <v>256496604.05000001</v>
      </c>
      <c r="R61" s="811">
        <v>3.5033000000000003</v>
      </c>
      <c r="S61" s="845">
        <v>213198351.31</v>
      </c>
      <c r="T61" s="846"/>
      <c r="U61" s="882"/>
      <c r="V61" s="848"/>
      <c r="W61" s="845"/>
      <c r="X61" s="848"/>
      <c r="Y61" s="875"/>
      <c r="Z61" s="1185"/>
      <c r="AA61" s="875"/>
      <c r="AB61" s="868">
        <v>2.4467635154724121</v>
      </c>
      <c r="AC61" s="812">
        <v>170448218.83000001</v>
      </c>
      <c r="AD61" s="998">
        <v>5.976</v>
      </c>
      <c r="AE61" s="812">
        <v>302002562.69999999</v>
      </c>
      <c r="AF61" s="846">
        <v>5.2617000000000003</v>
      </c>
      <c r="AG61" s="847">
        <v>89023515.079999998</v>
      </c>
      <c r="AH61" s="876"/>
      <c r="AI61" s="876"/>
      <c r="AJ61" s="824"/>
      <c r="AK61" s="825"/>
      <c r="AL61" s="852"/>
      <c r="AM61" s="828"/>
      <c r="AN61" s="827">
        <v>3.4333</v>
      </c>
      <c r="AO61" s="845">
        <v>1130692588.24</v>
      </c>
      <c r="AP61" s="829">
        <v>10.124700000000001</v>
      </c>
      <c r="AQ61" s="822">
        <v>831323415.46000004</v>
      </c>
      <c r="AR61" s="827">
        <v>5.4573</v>
      </c>
      <c r="AS61" s="848">
        <v>656999604.74000001</v>
      </c>
      <c r="AT61" s="959">
        <v>6.6400000000000001E-2</v>
      </c>
      <c r="AU61" s="822">
        <v>1073376057.03</v>
      </c>
      <c r="AV61" s="811">
        <v>2.5000000000000001E-2</v>
      </c>
      <c r="AW61" s="845">
        <v>495841680.92000002</v>
      </c>
      <c r="AX61" s="873"/>
      <c r="AY61" s="822"/>
      <c r="AZ61" s="870"/>
      <c r="BA61" s="850"/>
      <c r="BB61" s="850"/>
      <c r="BC61" s="850"/>
      <c r="BD61" s="871"/>
      <c r="BE61" s="872"/>
      <c r="BF61" s="873"/>
      <c r="BG61" s="833">
        <f>Index_Returns!B295</f>
        <v>2.0299999999999998</v>
      </c>
      <c r="BH61" s="826">
        <f t="shared" si="16"/>
        <v>0.30830000000000002</v>
      </c>
      <c r="BI61" s="826"/>
      <c r="BJ61" s="836"/>
      <c r="BK61" s="865">
        <f t="shared" si="10"/>
        <v>-1.6099999999999999</v>
      </c>
      <c r="BL61" s="865"/>
      <c r="BM61" s="865"/>
      <c r="BN61" s="865"/>
      <c r="BO61" s="865"/>
      <c r="BP61" s="866"/>
      <c r="BQ61" s="880">
        <f>Index_Returns!E295</f>
        <v>5.2485999999999997</v>
      </c>
      <c r="BR61" s="880">
        <f t="shared" si="19"/>
        <v>2.8214000000000006</v>
      </c>
      <c r="BS61" s="865">
        <f t="shared" si="20"/>
        <v>-1.7452999999999994</v>
      </c>
      <c r="BT61" s="883"/>
      <c r="BU61" s="865"/>
      <c r="BV61" s="865"/>
      <c r="BW61" s="865"/>
      <c r="BX61" s="1195"/>
      <c r="BY61" s="852"/>
      <c r="BZ61" s="852"/>
      <c r="CA61" s="853"/>
      <c r="CB61" s="854">
        <f>Index_Returns!H295</f>
        <v>5.9710000000000001</v>
      </c>
      <c r="CC61" s="1002">
        <f t="shared" si="11"/>
        <v>4.9999999999998934E-3</v>
      </c>
      <c r="CD61" s="877">
        <f t="shared" si="13"/>
        <v>-0.70929999999999982</v>
      </c>
      <c r="CE61" s="855">
        <f>Index_Returns!J295</f>
        <v>0.51800000000000002</v>
      </c>
      <c r="CF61" s="874">
        <f t="shared" si="12"/>
        <v>1.9287635154724121</v>
      </c>
      <c r="CG61" s="879"/>
      <c r="CH61" s="852"/>
      <c r="CI61" s="826">
        <f>Index_Returns!AA295</f>
        <v>3.4950700000000001</v>
      </c>
      <c r="CJ61" s="826">
        <f t="shared" si="17"/>
        <v>-6.1770000000000103E-2</v>
      </c>
      <c r="CK61" s="826">
        <f t="shared" si="18"/>
        <v>6.6296300000000006</v>
      </c>
      <c r="CL61" s="826">
        <f t="shared" si="14"/>
        <v>1.9622299999999999</v>
      </c>
      <c r="CM61" s="842">
        <f>Index_Returns!W295</f>
        <v>-6.8999999999999999E-3</v>
      </c>
      <c r="CN61" s="889">
        <f t="shared" si="9"/>
        <v>7.3300000000000004E-2</v>
      </c>
      <c r="CO61" s="880">
        <f t="shared" si="15"/>
        <v>3.1899999999999998E-2</v>
      </c>
      <c r="CP61" s="843"/>
      <c r="CQ61" s="859"/>
      <c r="CR61" s="890">
        <v>0.10340000000000001</v>
      </c>
      <c r="CS61" s="890"/>
      <c r="CT61" s="855"/>
      <c r="CU61" s="853"/>
    </row>
    <row r="62" spans="1:99" x14ac:dyDescent="0.2">
      <c r="A62" s="856">
        <v>36525</v>
      </c>
      <c r="B62" s="860">
        <v>3.2982999999999998</v>
      </c>
      <c r="C62" s="812">
        <v>1257956392.8900001</v>
      </c>
      <c r="D62" s="861"/>
      <c r="E62" s="812"/>
      <c r="F62" s="861"/>
      <c r="G62" s="812"/>
      <c r="H62" s="815"/>
      <c r="I62" s="815"/>
      <c r="J62" s="863">
        <v>5.45</v>
      </c>
      <c r="K62" s="817">
        <v>1320708767</v>
      </c>
      <c r="L62" s="863"/>
      <c r="M62" s="817"/>
      <c r="N62" s="863"/>
      <c r="O62" s="817"/>
      <c r="P62" s="811">
        <v>14.28</v>
      </c>
      <c r="Q62" s="812">
        <v>293178613.64999998</v>
      </c>
      <c r="R62" s="811">
        <v>6.4632999999999994</v>
      </c>
      <c r="S62" s="845">
        <v>227004697.55000001</v>
      </c>
      <c r="T62" s="846"/>
      <c r="U62" s="882"/>
      <c r="V62" s="848"/>
      <c r="W62" s="845"/>
      <c r="X62" s="848"/>
      <c r="Y62" s="875"/>
      <c r="Z62" s="1185"/>
      <c r="AA62" s="875"/>
      <c r="AB62" s="868">
        <v>1.686663746833801</v>
      </c>
      <c r="AC62" s="812">
        <v>173384128.36000001</v>
      </c>
      <c r="AD62" s="998">
        <v>11.334300000000001</v>
      </c>
      <c r="AE62" s="812">
        <v>336232546.37</v>
      </c>
      <c r="AF62" s="846">
        <v>5.9116999999999997</v>
      </c>
      <c r="AG62" s="847">
        <v>94296206.829999998</v>
      </c>
      <c r="AH62" s="876"/>
      <c r="AI62" s="876"/>
      <c r="AJ62" s="824"/>
      <c r="AK62" s="825"/>
      <c r="AL62" s="852"/>
      <c r="AM62" s="828"/>
      <c r="AN62" s="827">
        <v>10.1633</v>
      </c>
      <c r="AO62" s="845">
        <v>1245648865.6300001</v>
      </c>
      <c r="AP62" s="829">
        <v>15.8247</v>
      </c>
      <c r="AQ62" s="822">
        <v>963160165.94000006</v>
      </c>
      <c r="AR62" s="827">
        <v>10.5573</v>
      </c>
      <c r="AS62" s="848">
        <v>726561177.71000004</v>
      </c>
      <c r="AT62" s="959">
        <v>-0.4995</v>
      </c>
      <c r="AU62" s="822">
        <v>1068015050.37</v>
      </c>
      <c r="AV62" s="811">
        <v>-0.63500000000000001</v>
      </c>
      <c r="AW62" s="845">
        <v>492747048.49000001</v>
      </c>
      <c r="AX62" s="873"/>
      <c r="AY62" s="822"/>
      <c r="AZ62" s="870"/>
      <c r="BA62" s="850"/>
      <c r="BB62" s="850"/>
      <c r="BC62" s="850"/>
      <c r="BD62" s="871"/>
      <c r="BE62" s="872"/>
      <c r="BF62" s="873"/>
      <c r="BG62" s="833">
        <f>Index_Returns!B296</f>
        <v>5.89</v>
      </c>
      <c r="BH62" s="826">
        <f t="shared" si="16"/>
        <v>-2.5916999999999999</v>
      </c>
      <c r="BI62" s="826"/>
      <c r="BJ62" s="836"/>
      <c r="BK62" s="865">
        <f t="shared" si="10"/>
        <v>-0.4399999999999995</v>
      </c>
      <c r="BL62" s="865"/>
      <c r="BM62" s="865"/>
      <c r="BN62" s="865"/>
      <c r="BO62" s="865"/>
      <c r="BP62" s="866"/>
      <c r="BQ62" s="880">
        <f>Index_Returns!E296</f>
        <v>5.9427000000000003</v>
      </c>
      <c r="BR62" s="880">
        <f t="shared" si="19"/>
        <v>8.337299999999999</v>
      </c>
      <c r="BS62" s="865">
        <f t="shared" si="20"/>
        <v>0.52059999999999906</v>
      </c>
      <c r="BT62" s="883"/>
      <c r="BU62" s="865"/>
      <c r="BV62" s="865"/>
      <c r="BW62" s="865"/>
      <c r="BX62" s="1195"/>
      <c r="BY62" s="852"/>
      <c r="BZ62" s="852"/>
      <c r="CA62" s="853"/>
      <c r="CB62" s="854">
        <f>Index_Returns!H296</f>
        <v>11.32</v>
      </c>
      <c r="CC62" s="1002">
        <f t="shared" si="11"/>
        <v>1.4300000000000423E-2</v>
      </c>
      <c r="CD62" s="877">
        <f t="shared" si="13"/>
        <v>-5.4083000000000006</v>
      </c>
      <c r="CE62" s="855">
        <f>Index_Returns!J296</f>
        <v>3.0720000000000001</v>
      </c>
      <c r="CF62" s="874">
        <f t="shared" si="12"/>
        <v>-1.385336253166199</v>
      </c>
      <c r="CG62" s="879"/>
      <c r="CH62" s="852"/>
      <c r="CI62" s="826">
        <f>Index_Returns!AA296</f>
        <v>8.9947599999999994</v>
      </c>
      <c r="CJ62" s="826">
        <f t="shared" si="17"/>
        <v>1.1685400000000001</v>
      </c>
      <c r="CK62" s="826">
        <f t="shared" si="18"/>
        <v>6.8299400000000006</v>
      </c>
      <c r="CL62" s="826">
        <f t="shared" si="14"/>
        <v>1.5625400000000003</v>
      </c>
      <c r="CM62" s="842">
        <f>Index_Returns!W296</f>
        <v>-0.48220000000000002</v>
      </c>
      <c r="CN62" s="889">
        <f t="shared" si="9"/>
        <v>-1.7299999999999982E-2</v>
      </c>
      <c r="CO62" s="880">
        <f t="shared" si="15"/>
        <v>-0.15279999999999999</v>
      </c>
      <c r="CP62" s="843"/>
      <c r="CQ62" s="859"/>
      <c r="CR62" s="890">
        <v>-0.29970000000000002</v>
      </c>
      <c r="CS62" s="890"/>
      <c r="CT62" s="855"/>
      <c r="CU62" s="853"/>
    </row>
    <row r="63" spans="1:99" x14ac:dyDescent="0.2">
      <c r="A63" s="856">
        <v>36556</v>
      </c>
      <c r="B63" s="860">
        <v>-3.2917000000000001</v>
      </c>
      <c r="C63" s="812">
        <v>1216724645.73</v>
      </c>
      <c r="D63" s="861"/>
      <c r="E63" s="812"/>
      <c r="F63" s="861"/>
      <c r="G63" s="812"/>
      <c r="H63" s="815"/>
      <c r="I63" s="815"/>
      <c r="J63" s="863">
        <v>-6.87</v>
      </c>
      <c r="K63" s="817">
        <v>1230144756.8</v>
      </c>
      <c r="L63" s="863"/>
      <c r="M63" s="817"/>
      <c r="N63" s="863"/>
      <c r="O63" s="817"/>
      <c r="P63" s="811">
        <v>-0.38</v>
      </c>
      <c r="Q63" s="812">
        <v>292055285.07999998</v>
      </c>
      <c r="R63" s="811">
        <v>-4.4566999999999997</v>
      </c>
      <c r="S63" s="845">
        <v>216927511.34</v>
      </c>
      <c r="T63" s="846"/>
      <c r="U63" s="882"/>
      <c r="V63" s="848"/>
      <c r="W63" s="845"/>
      <c r="X63" s="848"/>
      <c r="Y63" s="875"/>
      <c r="Z63" s="1185"/>
      <c r="AA63" s="875"/>
      <c r="AB63" s="868">
        <v>-4.4145660400390625</v>
      </c>
      <c r="AC63" s="812">
        <v>165731173.09999999</v>
      </c>
      <c r="AD63" s="998">
        <v>-1.667</v>
      </c>
      <c r="AE63" s="812">
        <v>330627502.99000001</v>
      </c>
      <c r="AF63" s="846">
        <v>-1.1183000000000001</v>
      </c>
      <c r="AG63" s="847">
        <v>93245024.700000003</v>
      </c>
      <c r="AH63" s="876"/>
      <c r="AI63" s="876"/>
      <c r="AJ63" s="824"/>
      <c r="AK63" s="825"/>
      <c r="AL63" s="852"/>
      <c r="AM63" s="828"/>
      <c r="AN63" s="827">
        <v>-5.0766999999999998</v>
      </c>
      <c r="AO63" s="845">
        <v>1182539776.4300001</v>
      </c>
      <c r="AP63" s="829">
        <v>-4.3952999999999998</v>
      </c>
      <c r="AQ63" s="822">
        <v>921132183.14999998</v>
      </c>
      <c r="AR63" s="827">
        <v>-6.6031000000000004</v>
      </c>
      <c r="AS63" s="848">
        <v>678775262.38</v>
      </c>
      <c r="AT63" s="959">
        <v>-0.29470000000000002</v>
      </c>
      <c r="AU63" s="822">
        <v>1064868008.38</v>
      </c>
      <c r="AV63" s="811">
        <v>4.4999999999999998E-2</v>
      </c>
      <c r="AW63" s="845">
        <v>493034210.37</v>
      </c>
      <c r="AX63" s="873"/>
      <c r="AY63" s="822"/>
      <c r="AZ63" s="870"/>
      <c r="BA63" s="850"/>
      <c r="BB63" s="850"/>
      <c r="BC63" s="850"/>
      <c r="BD63" s="871"/>
      <c r="BE63" s="872"/>
      <c r="BF63" s="873"/>
      <c r="BG63" s="833">
        <f>Index_Returns!B297</f>
        <v>-5.024</v>
      </c>
      <c r="BH63" s="826">
        <f t="shared" si="16"/>
        <v>1.7323</v>
      </c>
      <c r="BI63" s="826"/>
      <c r="BJ63" s="836"/>
      <c r="BK63" s="865">
        <f t="shared" si="10"/>
        <v>-1.8460000000000001</v>
      </c>
      <c r="BL63" s="865"/>
      <c r="BM63" s="865"/>
      <c r="BN63" s="865"/>
      <c r="BO63" s="865"/>
      <c r="BP63" s="866"/>
      <c r="BQ63" s="880">
        <f>Index_Returns!E297</f>
        <v>-2.8155999999999999</v>
      </c>
      <c r="BR63" s="880">
        <f t="shared" si="19"/>
        <v>2.4356</v>
      </c>
      <c r="BS63" s="865">
        <f t="shared" si="20"/>
        <v>-1.6410999999999998</v>
      </c>
      <c r="BT63" s="883"/>
      <c r="BU63" s="865"/>
      <c r="BV63" s="865"/>
      <c r="BW63" s="865"/>
      <c r="BX63" s="1195"/>
      <c r="BY63" s="852"/>
      <c r="BZ63" s="852"/>
      <c r="CA63" s="853"/>
      <c r="CB63" s="854">
        <f>Index_Returns!H297</f>
        <v>-1.6060000000000001</v>
      </c>
      <c r="CC63" s="1002">
        <f t="shared" si="11"/>
        <v>-6.0999999999999943E-2</v>
      </c>
      <c r="CD63" s="877">
        <f t="shared" si="13"/>
        <v>0.48770000000000002</v>
      </c>
      <c r="CE63" s="855">
        <f>Index_Returns!J297</f>
        <v>-2.6150000000000002</v>
      </c>
      <c r="CF63" s="874">
        <f t="shared" si="12"/>
        <v>-1.7995660400390623</v>
      </c>
      <c r="CG63" s="879"/>
      <c r="CH63" s="852"/>
      <c r="CI63" s="826">
        <f>Index_Returns!AA297</f>
        <v>-6.3364500000000001</v>
      </c>
      <c r="CJ63" s="826">
        <f t="shared" si="17"/>
        <v>1.2597500000000004</v>
      </c>
      <c r="CK63" s="826">
        <f t="shared" si="18"/>
        <v>1.9411500000000004</v>
      </c>
      <c r="CL63" s="826">
        <f t="shared" si="14"/>
        <v>-0.26665000000000028</v>
      </c>
      <c r="CM63" s="842">
        <f>Index_Returns!W297</f>
        <v>-0.32719999999999999</v>
      </c>
      <c r="CN63" s="889">
        <f t="shared" si="9"/>
        <v>3.2499999999999973E-2</v>
      </c>
      <c r="CO63" s="880">
        <f t="shared" si="15"/>
        <v>0.37219999999999998</v>
      </c>
      <c r="CP63" s="843"/>
      <c r="CQ63" s="859"/>
      <c r="CR63" s="890">
        <v>-0.57950000000000002</v>
      </c>
      <c r="CS63" s="890"/>
      <c r="CT63" s="855"/>
      <c r="CU63" s="853"/>
    </row>
    <row r="64" spans="1:99" x14ac:dyDescent="0.2">
      <c r="A64" s="856">
        <v>36585</v>
      </c>
      <c r="B64" s="860">
        <v>-1.8916999999999999</v>
      </c>
      <c r="C64" s="812">
        <v>1193874353.1400001</v>
      </c>
      <c r="D64" s="861"/>
      <c r="E64" s="812"/>
      <c r="F64" s="861"/>
      <c r="G64" s="812"/>
      <c r="H64" s="815"/>
      <c r="I64" s="815"/>
      <c r="J64" s="863">
        <v>-2.8</v>
      </c>
      <c r="K64" s="817">
        <v>1195818207.3900001</v>
      </c>
      <c r="L64" s="863"/>
      <c r="M64" s="817"/>
      <c r="N64" s="863"/>
      <c r="O64" s="817"/>
      <c r="P64" s="811">
        <v>28.75</v>
      </c>
      <c r="Q64" s="812">
        <v>376031144.75999999</v>
      </c>
      <c r="R64" s="811">
        <v>8.0233000000000008</v>
      </c>
      <c r="S64" s="845">
        <v>234371176.81999999</v>
      </c>
      <c r="T64" s="846"/>
      <c r="U64" s="882"/>
      <c r="V64" s="848"/>
      <c r="W64" s="845"/>
      <c r="X64" s="848"/>
      <c r="Y64" s="875"/>
      <c r="Z64" s="1185"/>
      <c r="AA64" s="875"/>
      <c r="AB64" s="868">
        <v>-4.2381792068481445</v>
      </c>
      <c r="AC64" s="812">
        <v>158708320.41</v>
      </c>
      <c r="AD64" s="998">
        <v>16.228400000000001</v>
      </c>
      <c r="AE64" s="812">
        <v>384283127.74000001</v>
      </c>
      <c r="AF64" s="846">
        <v>1.6717</v>
      </c>
      <c r="AG64" s="847">
        <v>94813664.340000004</v>
      </c>
      <c r="AH64" s="876"/>
      <c r="AI64" s="876"/>
      <c r="AJ64" s="824"/>
      <c r="AK64" s="825"/>
      <c r="AL64" s="852"/>
      <c r="AM64" s="828"/>
      <c r="AN64" s="827">
        <v>1.9833000000000001</v>
      </c>
      <c r="AO64" s="845">
        <v>1206097802.8699999</v>
      </c>
      <c r="AP64" s="829">
        <v>5.3547000000000002</v>
      </c>
      <c r="AQ64" s="822">
        <v>970793873.16999996</v>
      </c>
      <c r="AR64" s="827">
        <v>4.4771999999999998</v>
      </c>
      <c r="AS64" s="848">
        <v>709351421.36000001</v>
      </c>
      <c r="AT64" s="959">
        <v>1.1920999999999999</v>
      </c>
      <c r="AU64" s="822">
        <v>1077562577.45</v>
      </c>
      <c r="AV64" s="811">
        <v>0.745</v>
      </c>
      <c r="AW64" s="845">
        <v>496779985.30000001</v>
      </c>
      <c r="AX64" s="873"/>
      <c r="AY64" s="822"/>
      <c r="AZ64" s="870"/>
      <c r="BA64" s="850"/>
      <c r="BB64" s="850"/>
      <c r="BC64" s="850"/>
      <c r="BD64" s="871"/>
      <c r="BE64" s="872"/>
      <c r="BF64" s="873"/>
      <c r="BG64" s="833">
        <f>Index_Returns!B298</f>
        <v>-1.893</v>
      </c>
      <c r="BH64" s="826">
        <f t="shared" si="16"/>
        <v>1.3000000000000789E-3</v>
      </c>
      <c r="BI64" s="826"/>
      <c r="BJ64" s="836"/>
      <c r="BK64" s="865">
        <f t="shared" si="10"/>
        <v>-0.90699999999999981</v>
      </c>
      <c r="BL64" s="865"/>
      <c r="BM64" s="865"/>
      <c r="BN64" s="865"/>
      <c r="BO64" s="865"/>
      <c r="BP64" s="866"/>
      <c r="BQ64" s="880">
        <f>Index_Returns!E298</f>
        <v>6.9984999999999999</v>
      </c>
      <c r="BR64" s="880">
        <f t="shared" si="19"/>
        <v>21.7515</v>
      </c>
      <c r="BS64" s="865">
        <f t="shared" si="20"/>
        <v>1.0248000000000008</v>
      </c>
      <c r="BT64" s="883"/>
      <c r="BU64" s="865"/>
      <c r="BV64" s="865"/>
      <c r="BW64" s="865"/>
      <c r="BX64" s="1195"/>
      <c r="BY64" s="852"/>
      <c r="BZ64" s="852"/>
      <c r="CA64" s="853"/>
      <c r="CB64" s="854">
        <f>Index_Returns!H298</f>
        <v>16.513999999999999</v>
      </c>
      <c r="CC64" s="1002">
        <f t="shared" si="11"/>
        <v>-0.28559999999999874</v>
      </c>
      <c r="CD64" s="877">
        <f t="shared" si="13"/>
        <v>-14.8423</v>
      </c>
      <c r="CE64" s="855">
        <f>Index_Returns!J298</f>
        <v>6.1120000000000001</v>
      </c>
      <c r="CF64" s="874">
        <f t="shared" si="12"/>
        <v>-10.350179206848145</v>
      </c>
      <c r="CG64" s="879"/>
      <c r="CH64" s="852"/>
      <c r="CI64" s="826">
        <f>Index_Returns!AA298</f>
        <v>2.71088</v>
      </c>
      <c r="CJ64" s="826">
        <f t="shared" si="17"/>
        <v>-0.72757999999999989</v>
      </c>
      <c r="CK64" s="826">
        <f t="shared" si="18"/>
        <v>2.6438200000000003</v>
      </c>
      <c r="CL64" s="826">
        <f t="shared" si="14"/>
        <v>1.7663199999999999</v>
      </c>
      <c r="CM64" s="842">
        <f>Index_Returns!W298</f>
        <v>1.2092000000000001</v>
      </c>
      <c r="CN64" s="889">
        <f t="shared" si="9"/>
        <v>-1.7100000000000115E-2</v>
      </c>
      <c r="CO64" s="880">
        <f t="shared" si="15"/>
        <v>-0.46420000000000006</v>
      </c>
      <c r="CP64" s="843"/>
      <c r="CQ64" s="859"/>
      <c r="CR64" s="890">
        <v>0.96279999999999999</v>
      </c>
      <c r="CS64" s="890"/>
      <c r="CT64" s="855"/>
      <c r="CU64" s="853"/>
    </row>
    <row r="65" spans="1:106" x14ac:dyDescent="0.2">
      <c r="A65" s="856">
        <v>36616</v>
      </c>
      <c r="B65" s="860">
        <v>10.808299999999999</v>
      </c>
      <c r="C65" s="812">
        <v>1323013094.9400001</v>
      </c>
      <c r="D65" s="861"/>
      <c r="E65" s="812"/>
      <c r="F65" s="861"/>
      <c r="G65" s="812"/>
      <c r="H65" s="815"/>
      <c r="I65" s="815"/>
      <c r="J65" s="863">
        <v>9.19</v>
      </c>
      <c r="K65" s="817">
        <v>1305845607.0699999</v>
      </c>
      <c r="L65" s="863"/>
      <c r="M65" s="817"/>
      <c r="N65" s="863"/>
      <c r="O65" s="817"/>
      <c r="P65" s="811">
        <v>-3.13</v>
      </c>
      <c r="Q65" s="812">
        <v>412813816.01999998</v>
      </c>
      <c r="R65" s="811">
        <v>6.9633000000000003</v>
      </c>
      <c r="S65" s="845">
        <v>250735608.27000001</v>
      </c>
      <c r="T65" s="846"/>
      <c r="U65" s="882"/>
      <c r="V65" s="848"/>
      <c r="W65" s="845"/>
      <c r="X65" s="848"/>
      <c r="Y65" s="875"/>
      <c r="Z65" s="1185"/>
      <c r="AA65" s="875"/>
      <c r="AB65" s="868">
        <v>3.5685007572174068</v>
      </c>
      <c r="AC65" s="812">
        <v>164373014.58000001</v>
      </c>
      <c r="AD65" s="998">
        <v>-6.4151999999999996</v>
      </c>
      <c r="AE65" s="812">
        <v>359630505.05000001</v>
      </c>
      <c r="AF65" s="846">
        <v>5.0816999999999997</v>
      </c>
      <c r="AG65" s="847">
        <v>99640184.269999996</v>
      </c>
      <c r="AH65" s="876"/>
      <c r="AI65" s="876"/>
      <c r="AJ65" s="824"/>
      <c r="AK65" s="825"/>
      <c r="AL65" s="852"/>
      <c r="AM65" s="828"/>
      <c r="AN65" s="827">
        <v>4.3333000000000004</v>
      </c>
      <c r="AO65" s="845">
        <v>1258472241.72</v>
      </c>
      <c r="AP65" s="829">
        <v>2.0647000000000002</v>
      </c>
      <c r="AQ65" s="822">
        <v>991193967.15999997</v>
      </c>
      <c r="AR65" s="827">
        <v>3.8974000000000002</v>
      </c>
      <c r="AS65" s="848">
        <v>737188638.54999995</v>
      </c>
      <c r="AT65" s="959">
        <v>1.3226</v>
      </c>
      <c r="AU65" s="822">
        <v>1091814720.8900001</v>
      </c>
      <c r="AV65" s="811">
        <v>1.625</v>
      </c>
      <c r="AW65" s="845">
        <v>504941345.92000002</v>
      </c>
      <c r="AX65" s="873"/>
      <c r="AY65" s="822"/>
      <c r="AZ65" s="870"/>
      <c r="BA65" s="850"/>
      <c r="BB65" s="850"/>
      <c r="BC65" s="850"/>
      <c r="BD65" s="871"/>
      <c r="BE65" s="872"/>
      <c r="BF65" s="873"/>
      <c r="BG65" s="833">
        <f>Index_Returns!B299</f>
        <v>9.7829999999999995</v>
      </c>
      <c r="BH65" s="826">
        <f t="shared" si="16"/>
        <v>1.0252999999999997</v>
      </c>
      <c r="BI65" s="826"/>
      <c r="BJ65" s="836"/>
      <c r="BK65" s="865">
        <f t="shared" si="10"/>
        <v>-0.59299999999999997</v>
      </c>
      <c r="BL65" s="865"/>
      <c r="BM65" s="865"/>
      <c r="BN65" s="865"/>
      <c r="BO65" s="865"/>
      <c r="BP65" s="866"/>
      <c r="BQ65" s="880">
        <f>Index_Returns!E299</f>
        <v>8.3691999999999993</v>
      </c>
      <c r="BR65" s="880">
        <f t="shared" si="19"/>
        <v>-11.499199999999998</v>
      </c>
      <c r="BS65" s="865">
        <f t="shared" si="20"/>
        <v>-1.405899999999999</v>
      </c>
      <c r="BT65" s="883"/>
      <c r="BU65" s="865"/>
      <c r="BV65" s="865"/>
      <c r="BW65" s="865"/>
      <c r="BX65" s="1195"/>
      <c r="BY65" s="852"/>
      <c r="BZ65" s="852"/>
      <c r="CA65" s="853"/>
      <c r="CB65" s="854">
        <f>Index_Returns!H299</f>
        <v>-6.593</v>
      </c>
      <c r="CC65" s="1002">
        <f t="shared" si="11"/>
        <v>0.1778000000000004</v>
      </c>
      <c r="CD65" s="877">
        <f t="shared" si="13"/>
        <v>11.6747</v>
      </c>
      <c r="CE65" s="855">
        <f>Index_Returns!J299</f>
        <v>0.46899999999999997</v>
      </c>
      <c r="CF65" s="874">
        <f t="shared" si="12"/>
        <v>3.0995007572174069</v>
      </c>
      <c r="CG65" s="879"/>
      <c r="CH65" s="852"/>
      <c r="CI65" s="826">
        <f>Index_Returns!AA299</f>
        <v>3.8959999999999999</v>
      </c>
      <c r="CJ65" s="826">
        <f t="shared" si="17"/>
        <v>0.43730000000000047</v>
      </c>
      <c r="CK65" s="826">
        <f t="shared" si="18"/>
        <v>-1.8312999999999997</v>
      </c>
      <c r="CL65" s="826">
        <f t="shared" si="14"/>
        <v>1.4000000000002899E-3</v>
      </c>
      <c r="CM65" s="842">
        <f>Index_Returns!W299</f>
        <v>1.3166</v>
      </c>
      <c r="CN65" s="889">
        <f t="shared" si="9"/>
        <v>6.0000000000000053E-3</v>
      </c>
      <c r="CO65" s="880">
        <f t="shared" si="15"/>
        <v>0.30840000000000001</v>
      </c>
      <c r="CP65" s="843"/>
      <c r="CQ65" s="859"/>
      <c r="CR65" s="890">
        <v>1.0669999999999999</v>
      </c>
      <c r="CS65" s="890"/>
      <c r="CT65" s="855"/>
      <c r="CU65" s="853"/>
    </row>
    <row r="66" spans="1:106" x14ac:dyDescent="0.2">
      <c r="A66" s="856">
        <v>36646</v>
      </c>
      <c r="B66" s="860">
        <v>-4.9817</v>
      </c>
      <c r="C66" s="812">
        <v>1257212331.8699999</v>
      </c>
      <c r="D66" s="861"/>
      <c r="E66" s="812"/>
      <c r="F66" s="861"/>
      <c r="G66" s="812"/>
      <c r="H66" s="815"/>
      <c r="I66" s="815"/>
      <c r="J66" s="863">
        <v>-4.01</v>
      </c>
      <c r="K66" s="817">
        <v>1253665272.04</v>
      </c>
      <c r="L66" s="863"/>
      <c r="M66" s="817"/>
      <c r="N66" s="863"/>
      <c r="O66" s="817"/>
      <c r="P66" s="811">
        <v>-10.87</v>
      </c>
      <c r="Q66" s="812">
        <v>368036618.83999997</v>
      </c>
      <c r="R66" s="811">
        <v>-3.2566999999999999</v>
      </c>
      <c r="S66" s="845">
        <v>242616682.18000001</v>
      </c>
      <c r="T66" s="846"/>
      <c r="U66" s="882"/>
      <c r="V66" s="848"/>
      <c r="W66" s="845"/>
      <c r="X66" s="848"/>
      <c r="Y66" s="875"/>
      <c r="Z66" s="1185"/>
      <c r="AA66" s="875"/>
      <c r="AB66" s="868">
        <v>0.89671313762664795</v>
      </c>
      <c r="AC66" s="812">
        <v>165904028.75999999</v>
      </c>
      <c r="AD66" s="998">
        <v>-5.7975000000000003</v>
      </c>
      <c r="AE66" s="812">
        <v>338780889.01999998</v>
      </c>
      <c r="AF66" s="846">
        <v>-1.5583</v>
      </c>
      <c r="AG66" s="847">
        <v>98092524.879999995</v>
      </c>
      <c r="AH66" s="876"/>
      <c r="AI66" s="876"/>
      <c r="AJ66" s="824"/>
      <c r="AK66" s="825"/>
      <c r="AL66" s="852"/>
      <c r="AM66" s="828"/>
      <c r="AN66" s="827">
        <v>-4.2667000000000002</v>
      </c>
      <c r="AO66" s="845">
        <v>1204857202.1500001</v>
      </c>
      <c r="AP66" s="829">
        <v>-5.4352999999999998</v>
      </c>
      <c r="AQ66" s="822">
        <v>937671121.97000003</v>
      </c>
      <c r="AR66" s="827">
        <v>-4.8929</v>
      </c>
      <c r="AS66" s="848">
        <v>701306906.38</v>
      </c>
      <c r="AT66" s="959">
        <v>-0.2792</v>
      </c>
      <c r="AU66" s="822">
        <v>1088766048.71</v>
      </c>
      <c r="AV66" s="811">
        <v>-0.47499999999999998</v>
      </c>
      <c r="AW66" s="845">
        <v>502588623.56999999</v>
      </c>
      <c r="AX66" s="873"/>
      <c r="AY66" s="822"/>
      <c r="AZ66" s="870"/>
      <c r="BA66" s="850"/>
      <c r="BB66" s="850"/>
      <c r="BC66" s="850"/>
      <c r="BD66" s="871"/>
      <c r="BE66" s="872"/>
      <c r="BF66" s="873"/>
      <c r="BG66" s="833">
        <f>Index_Returns!B300</f>
        <v>-3.0089999999999999</v>
      </c>
      <c r="BH66" s="826">
        <f t="shared" si="16"/>
        <v>-1.9727000000000001</v>
      </c>
      <c r="BI66" s="826"/>
      <c r="BJ66" s="836"/>
      <c r="BK66" s="865">
        <f t="shared" si="10"/>
        <v>-1.0009999999999999</v>
      </c>
      <c r="BL66" s="865"/>
      <c r="BM66" s="865"/>
      <c r="BN66" s="865"/>
      <c r="BO66" s="865"/>
      <c r="BP66" s="866"/>
      <c r="BQ66" s="880">
        <f>Index_Returns!E300</f>
        <v>-3.4918</v>
      </c>
      <c r="BR66" s="880">
        <f t="shared" si="19"/>
        <v>-7.3781999999999996</v>
      </c>
      <c r="BS66" s="865">
        <f t="shared" si="20"/>
        <v>0.23510000000000009</v>
      </c>
      <c r="BT66" s="883"/>
      <c r="BU66" s="865"/>
      <c r="BV66" s="865"/>
      <c r="BW66" s="865"/>
      <c r="BX66" s="1195"/>
      <c r="BY66" s="852"/>
      <c r="BZ66" s="852"/>
      <c r="CA66" s="853"/>
      <c r="CB66" s="854">
        <f>Index_Returns!H300</f>
        <v>-6.0179999999999998</v>
      </c>
      <c r="CC66" s="1002">
        <f t="shared" si="11"/>
        <v>0.22049999999999947</v>
      </c>
      <c r="CD66" s="877">
        <f t="shared" si="13"/>
        <v>4.4596999999999998</v>
      </c>
      <c r="CE66" s="855">
        <f>Index_Returns!J300</f>
        <v>0.59199999999999997</v>
      </c>
      <c r="CF66" s="874">
        <f t="shared" si="12"/>
        <v>0.30471313762664798</v>
      </c>
      <c r="CG66" s="879"/>
      <c r="CH66" s="852"/>
      <c r="CI66" s="826">
        <f>Index_Returns!AA300</f>
        <v>-5.2443</v>
      </c>
      <c r="CJ66" s="826">
        <f t="shared" si="17"/>
        <v>0.9775999999999998</v>
      </c>
      <c r="CK66" s="826">
        <f t="shared" si="18"/>
        <v>-0.19099999999999984</v>
      </c>
      <c r="CL66" s="826">
        <f t="shared" si="14"/>
        <v>0.35139999999999993</v>
      </c>
      <c r="CM66" s="842">
        <f>Index_Returns!W300</f>
        <v>-0.28539999999999999</v>
      </c>
      <c r="CN66" s="889">
        <f t="shared" si="9"/>
        <v>6.1999999999999833E-3</v>
      </c>
      <c r="CO66" s="880">
        <f t="shared" si="15"/>
        <v>-0.18959999999999999</v>
      </c>
      <c r="CP66" s="843"/>
      <c r="CQ66" s="859"/>
      <c r="CR66" s="890">
        <v>-9.5299999999999996E-2</v>
      </c>
      <c r="CS66" s="890"/>
      <c r="CT66" s="855"/>
      <c r="CU66" s="853"/>
    </row>
    <row r="67" spans="1:106" x14ac:dyDescent="0.2">
      <c r="A67" s="856">
        <v>36677</v>
      </c>
      <c r="B67" s="860">
        <v>-1.7517</v>
      </c>
      <c r="C67" s="812">
        <v>1235292503.8699999</v>
      </c>
      <c r="D67" s="861"/>
      <c r="E67" s="812"/>
      <c r="F67" s="861"/>
      <c r="G67" s="812"/>
      <c r="H67" s="815"/>
      <c r="I67" s="815"/>
      <c r="J67" s="863">
        <v>-2.68</v>
      </c>
      <c r="K67" s="817">
        <v>1220225664.8499999</v>
      </c>
      <c r="L67" s="863"/>
      <c r="M67" s="817"/>
      <c r="N67" s="863"/>
      <c r="O67" s="817"/>
      <c r="P67" s="811">
        <v>-7.42</v>
      </c>
      <c r="Q67" s="812">
        <v>340797247.38</v>
      </c>
      <c r="R67" s="811">
        <v>-1.7566999999999999</v>
      </c>
      <c r="S67" s="845">
        <v>238400198.63999999</v>
      </c>
      <c r="T67" s="846"/>
      <c r="U67" s="882"/>
      <c r="V67" s="848"/>
      <c r="W67" s="845"/>
      <c r="X67" s="848"/>
      <c r="Y67" s="875"/>
      <c r="Z67" s="1185"/>
      <c r="AA67" s="875"/>
      <c r="AB67" s="868">
        <v>-2.1233134269714355</v>
      </c>
      <c r="AC67" s="812">
        <v>162440043.13999999</v>
      </c>
      <c r="AD67" s="998">
        <v>-5.7041000000000004</v>
      </c>
      <c r="AE67" s="812">
        <v>319456391.94</v>
      </c>
      <c r="AF67" s="846">
        <v>-3.2082999999999999</v>
      </c>
      <c r="AG67" s="847">
        <v>94953110.549999997</v>
      </c>
      <c r="AH67" s="876"/>
      <c r="AI67" s="876"/>
      <c r="AJ67" s="824"/>
      <c r="AK67" s="825"/>
      <c r="AL67" s="852"/>
      <c r="AM67" s="828"/>
      <c r="AN67" s="827">
        <v>-2.4167000000000001</v>
      </c>
      <c r="AO67" s="845">
        <v>1175832588.9300001</v>
      </c>
      <c r="AP67" s="829">
        <v>-4.6553000000000004</v>
      </c>
      <c r="AQ67" s="822">
        <v>894370008.19000006</v>
      </c>
      <c r="AR67" s="827">
        <v>-6.2899999999999998E-2</v>
      </c>
      <c r="AS67" s="848">
        <v>701189610.70000005</v>
      </c>
      <c r="AT67" s="959">
        <v>-6.0400000000000002E-2</v>
      </c>
      <c r="AU67" s="822">
        <v>1088107910.1400001</v>
      </c>
      <c r="AV67" s="811">
        <v>5.5E-2</v>
      </c>
      <c r="AW67" s="845">
        <v>502964779.75999999</v>
      </c>
      <c r="AX67" s="873"/>
      <c r="AY67" s="822"/>
      <c r="AZ67" s="870"/>
      <c r="BA67" s="850"/>
      <c r="BB67" s="850"/>
      <c r="BC67" s="850"/>
      <c r="BD67" s="871"/>
      <c r="BE67" s="872"/>
      <c r="BF67" s="873"/>
      <c r="BG67" s="833">
        <f>Index_Returns!B301</f>
        <v>-2.052</v>
      </c>
      <c r="BH67" s="826">
        <f t="shared" si="16"/>
        <v>0.30030000000000001</v>
      </c>
      <c r="BI67" s="826"/>
      <c r="BJ67" s="836"/>
      <c r="BK67" s="865">
        <f t="shared" si="10"/>
        <v>-0.62800000000000011</v>
      </c>
      <c r="BL67" s="865"/>
      <c r="BM67" s="865"/>
      <c r="BN67" s="865"/>
      <c r="BO67" s="865"/>
      <c r="BP67" s="866"/>
      <c r="BQ67" s="880">
        <f>Index_Returns!E301</f>
        <v>-1.2478</v>
      </c>
      <c r="BR67" s="880">
        <f t="shared" si="19"/>
        <v>-6.1722000000000001</v>
      </c>
      <c r="BS67" s="865">
        <f t="shared" si="20"/>
        <v>-0.50889999999999991</v>
      </c>
      <c r="BT67" s="883"/>
      <c r="BU67" s="865"/>
      <c r="BV67" s="865"/>
      <c r="BW67" s="865"/>
      <c r="BX67" s="1195"/>
      <c r="BY67" s="852"/>
      <c r="BZ67" s="852"/>
      <c r="CA67" s="853"/>
      <c r="CB67" s="854">
        <f>Index_Returns!H301</f>
        <v>-5.8280000000000003</v>
      </c>
      <c r="CC67" s="1002">
        <f t="shared" si="11"/>
        <v>0.1238999999999999</v>
      </c>
      <c r="CD67" s="877">
        <f t="shared" si="13"/>
        <v>2.6197000000000004</v>
      </c>
      <c r="CE67" s="855">
        <f>Index_Returns!J301</f>
        <v>-1.526</v>
      </c>
      <c r="CF67" s="874">
        <f t="shared" si="12"/>
        <v>-0.59731342697143552</v>
      </c>
      <c r="CG67" s="879"/>
      <c r="CH67" s="852"/>
      <c r="CI67" s="826">
        <f>Index_Returns!AA301</f>
        <v>-2.4227300000000001</v>
      </c>
      <c r="CJ67" s="826">
        <f t="shared" si="17"/>
        <v>6.0299999999999798E-3</v>
      </c>
      <c r="CK67" s="826">
        <f t="shared" si="18"/>
        <v>-2.2325700000000004</v>
      </c>
      <c r="CL67" s="826">
        <f t="shared" si="14"/>
        <v>2.3598300000000001</v>
      </c>
      <c r="CM67" s="842">
        <f>Index_Returns!W301</f>
        <v>-4.5900000000000003E-2</v>
      </c>
      <c r="CN67" s="889">
        <f t="shared" si="9"/>
        <v>-1.4499999999999999E-2</v>
      </c>
      <c r="CO67" s="880">
        <f t="shared" si="15"/>
        <v>0.1009</v>
      </c>
      <c r="CP67" s="843"/>
      <c r="CQ67" s="859"/>
      <c r="CR67" s="890">
        <v>9.8699999999999996E-2</v>
      </c>
      <c r="CS67" s="890"/>
      <c r="CT67" s="855"/>
      <c r="CU67" s="853"/>
    </row>
    <row r="68" spans="1:106" x14ac:dyDescent="0.2">
      <c r="A68" s="856">
        <v>36707</v>
      </c>
      <c r="B68" s="860">
        <v>1.5682999999999998</v>
      </c>
      <c r="C68" s="812">
        <v>1254838815.3800001</v>
      </c>
      <c r="D68" s="861"/>
      <c r="E68" s="812"/>
      <c r="F68" s="861"/>
      <c r="G68" s="812"/>
      <c r="H68" s="815"/>
      <c r="I68" s="815"/>
      <c r="J68" s="863">
        <v>2.65</v>
      </c>
      <c r="K68" s="817">
        <v>1252668358.8599999</v>
      </c>
      <c r="L68" s="863"/>
      <c r="M68" s="817"/>
      <c r="N68" s="863"/>
      <c r="O68" s="817"/>
      <c r="P68" s="811">
        <v>14.73</v>
      </c>
      <c r="Q68" s="812">
        <v>391050487.85000002</v>
      </c>
      <c r="R68" s="811">
        <v>2.3332999999999999</v>
      </c>
      <c r="S68" s="845">
        <v>244010012.50999999</v>
      </c>
      <c r="T68" s="846"/>
      <c r="U68" s="882"/>
      <c r="V68" s="848"/>
      <c r="W68" s="845"/>
      <c r="X68" s="848"/>
      <c r="Y68" s="875"/>
      <c r="Z68" s="1185"/>
      <c r="AA68" s="875"/>
      <c r="AB68" s="868">
        <v>-1.0733219385147095</v>
      </c>
      <c r="AC68" s="812">
        <v>160753300.16</v>
      </c>
      <c r="AD68" s="998">
        <v>7.8468999999999998</v>
      </c>
      <c r="AE68" s="812">
        <v>344523817.39999998</v>
      </c>
      <c r="AF68" s="846">
        <v>1.8916999999999999</v>
      </c>
      <c r="AG68" s="847">
        <v>96758110.329999998</v>
      </c>
      <c r="AH68" s="876"/>
      <c r="AI68" s="876"/>
      <c r="AJ68" s="824"/>
      <c r="AK68" s="825"/>
      <c r="AL68" s="852"/>
      <c r="AM68" s="828"/>
      <c r="AN68" s="827">
        <v>4.3833000000000002</v>
      </c>
      <c r="AO68" s="845">
        <v>1227440650.02</v>
      </c>
      <c r="AP68" s="829">
        <v>5.2146999999999997</v>
      </c>
      <c r="AQ68" s="822">
        <v>941340840.16999996</v>
      </c>
      <c r="AR68" s="827">
        <v>2.8073000000000001</v>
      </c>
      <c r="AS68" s="848">
        <v>721003615.32000005</v>
      </c>
      <c r="AT68" s="959">
        <v>2.0383</v>
      </c>
      <c r="AU68" s="822">
        <v>1110286485.3900001</v>
      </c>
      <c r="AV68" s="811">
        <v>2.3752</v>
      </c>
      <c r="AW68" s="845">
        <v>514992167.58999997</v>
      </c>
      <c r="AX68" s="873"/>
      <c r="AY68" s="822"/>
      <c r="AZ68" s="870"/>
      <c r="BA68" s="850"/>
      <c r="BB68" s="850"/>
      <c r="BC68" s="850"/>
      <c r="BD68" s="871"/>
      <c r="BE68" s="872"/>
      <c r="BF68" s="873"/>
      <c r="BG68" s="833">
        <f>Index_Returns!B302</f>
        <v>2.4649999999999999</v>
      </c>
      <c r="BH68" s="826">
        <f t="shared" si="16"/>
        <v>-0.89670000000000005</v>
      </c>
      <c r="BI68" s="826"/>
      <c r="BJ68" s="836"/>
      <c r="BK68" s="865">
        <f t="shared" si="10"/>
        <v>0.18500000000000005</v>
      </c>
      <c r="BL68" s="865"/>
      <c r="BM68" s="865"/>
      <c r="BN68" s="865"/>
      <c r="BO68" s="865"/>
      <c r="BP68" s="866"/>
      <c r="BQ68" s="880">
        <f>Index_Returns!E302</f>
        <v>1.4686999999999999</v>
      </c>
      <c r="BR68" s="880">
        <f t="shared" si="19"/>
        <v>13.2613</v>
      </c>
      <c r="BS68" s="865">
        <f t="shared" si="20"/>
        <v>0.86460000000000004</v>
      </c>
      <c r="BT68" s="883"/>
      <c r="BU68" s="865"/>
      <c r="BV68" s="865"/>
      <c r="BW68" s="865"/>
      <c r="BX68" s="1195"/>
      <c r="BY68" s="852"/>
      <c r="BZ68" s="852"/>
      <c r="CA68" s="853"/>
      <c r="CB68" s="854">
        <f>Index_Returns!H302</f>
        <v>8.7170000000000005</v>
      </c>
      <c r="CC68" s="1002">
        <f t="shared" si="11"/>
        <v>-0.87010000000000076</v>
      </c>
      <c r="CD68" s="877">
        <f t="shared" si="13"/>
        <v>-6.8253000000000004</v>
      </c>
      <c r="CE68" s="855">
        <f>Index_Returns!J302</f>
        <v>2.9220000000000002</v>
      </c>
      <c r="CF68" s="874">
        <f t="shared" si="12"/>
        <v>-3.9953219385147096</v>
      </c>
      <c r="CG68" s="879"/>
      <c r="CH68" s="852"/>
      <c r="CI68" s="826">
        <f>Index_Returns!AA302</f>
        <v>3.9342100000000002</v>
      </c>
      <c r="CJ68" s="826">
        <f t="shared" si="17"/>
        <v>0.44908999999999999</v>
      </c>
      <c r="CK68" s="826">
        <f t="shared" si="18"/>
        <v>1.2804899999999995</v>
      </c>
      <c r="CL68" s="826">
        <f t="shared" si="14"/>
        <v>-1.1269100000000001</v>
      </c>
      <c r="CM68" s="842">
        <f>Index_Returns!W302</f>
        <v>2.0802999999999998</v>
      </c>
      <c r="CN68" s="889">
        <f t="shared" si="9"/>
        <v>-4.1999999999999815E-2</v>
      </c>
      <c r="CO68" s="880">
        <f t="shared" si="15"/>
        <v>0.29490000000000016</v>
      </c>
      <c r="CP68" s="843"/>
      <c r="CQ68" s="859"/>
      <c r="CR68" s="890">
        <v>1.9371</v>
      </c>
      <c r="CS68" s="890"/>
      <c r="CT68" s="855"/>
      <c r="CU68" s="853"/>
    </row>
    <row r="69" spans="1:106" x14ac:dyDescent="0.2">
      <c r="A69" s="856">
        <v>36738</v>
      </c>
      <c r="B69" s="860">
        <v>-0.7117</v>
      </c>
      <c r="C69" s="812">
        <v>1246063293.1099999</v>
      </c>
      <c r="D69" s="861"/>
      <c r="E69" s="812"/>
      <c r="F69" s="861"/>
      <c r="G69" s="812"/>
      <c r="H69" s="815"/>
      <c r="I69" s="815"/>
      <c r="J69" s="863">
        <v>-1.54</v>
      </c>
      <c r="K69" s="817">
        <v>1233467375.48</v>
      </c>
      <c r="L69" s="863"/>
      <c r="M69" s="817"/>
      <c r="N69" s="863"/>
      <c r="O69" s="817"/>
      <c r="P69" s="811">
        <v>-2.85</v>
      </c>
      <c r="Q69" s="812">
        <v>379995785.45999998</v>
      </c>
      <c r="R69" s="811">
        <v>0.22330000000000003</v>
      </c>
      <c r="S69" s="845">
        <v>244599998.38</v>
      </c>
      <c r="T69" s="846"/>
      <c r="U69" s="884"/>
      <c r="V69" s="848"/>
      <c r="W69" s="845"/>
      <c r="X69" s="848"/>
      <c r="Y69" s="875"/>
      <c r="Z69" s="1185"/>
      <c r="AA69" s="875"/>
      <c r="AB69" s="868">
        <v>3.146702766418457</v>
      </c>
      <c r="AC69" s="812">
        <v>165864335.69</v>
      </c>
      <c r="AD69" s="998">
        <v>-2.8321000000000001</v>
      </c>
      <c r="AE69" s="812">
        <v>334766562.93000001</v>
      </c>
      <c r="AF69" s="846">
        <v>3.7517</v>
      </c>
      <c r="AG69" s="847">
        <v>100397405.95999999</v>
      </c>
      <c r="AH69" s="876"/>
      <c r="AI69" s="876"/>
      <c r="AJ69" s="824"/>
      <c r="AK69" s="825"/>
      <c r="AL69" s="852"/>
      <c r="AM69" s="828"/>
      <c r="AN69" s="827">
        <v>-4.3867000000000003</v>
      </c>
      <c r="AO69" s="845">
        <v>1173671812.4100001</v>
      </c>
      <c r="AP69" s="829">
        <v>-5.2652999999999999</v>
      </c>
      <c r="AQ69" s="822">
        <v>892130147.11000001</v>
      </c>
      <c r="AR69" s="827">
        <v>-2.4828999999999999</v>
      </c>
      <c r="AS69" s="848">
        <v>703269950.16999996</v>
      </c>
      <c r="AT69" s="959">
        <v>0.89710000000000001</v>
      </c>
      <c r="AU69" s="822">
        <v>1120246692.6600001</v>
      </c>
      <c r="AV69" s="811">
        <v>0.93530000000000002</v>
      </c>
      <c r="AW69" s="845">
        <v>519859143.91000003</v>
      </c>
      <c r="AX69" s="873"/>
      <c r="AY69" s="822"/>
      <c r="AZ69" s="870"/>
      <c r="BA69" s="850"/>
      <c r="BB69" s="850"/>
      <c r="BC69" s="850"/>
      <c r="BD69" s="871"/>
      <c r="BE69" s="872"/>
      <c r="BF69" s="873"/>
      <c r="BG69" s="833">
        <f>Index_Returns!B303</f>
        <v>-1.5629999999999999</v>
      </c>
      <c r="BH69" s="826">
        <f t="shared" si="16"/>
        <v>0.85129999999999995</v>
      </c>
      <c r="BI69" s="826"/>
      <c r="BJ69" s="836"/>
      <c r="BK69" s="865">
        <f t="shared" si="10"/>
        <v>2.2999999999999909E-2</v>
      </c>
      <c r="BL69" s="865"/>
      <c r="BM69" s="865"/>
      <c r="BN69" s="865"/>
      <c r="BO69" s="865"/>
      <c r="BP69" s="866"/>
      <c r="BQ69" s="880">
        <f>Index_Returns!E303</f>
        <v>1.5797000000000001</v>
      </c>
      <c r="BR69" s="880">
        <f t="shared" si="19"/>
        <v>-4.4297000000000004</v>
      </c>
      <c r="BS69" s="865">
        <f t="shared" si="20"/>
        <v>-1.3564000000000001</v>
      </c>
      <c r="BT69" s="883"/>
      <c r="BU69" s="865"/>
      <c r="BV69" s="865"/>
      <c r="BW69" s="865"/>
      <c r="BX69" s="1195"/>
      <c r="BY69" s="852"/>
      <c r="BZ69" s="852"/>
      <c r="CA69" s="853"/>
      <c r="CB69" s="854">
        <f>Index_Returns!H303</f>
        <v>-3.2170000000000001</v>
      </c>
      <c r="CC69" s="1002">
        <f t="shared" si="11"/>
        <v>0.38490000000000002</v>
      </c>
      <c r="CD69" s="877">
        <f t="shared" si="13"/>
        <v>6.9687000000000001</v>
      </c>
      <c r="CE69" s="855">
        <f>Index_Returns!J303</f>
        <v>3.3319999999999999</v>
      </c>
      <c r="CF69" s="874">
        <f t="shared" si="12"/>
        <v>-0.18529723358154282</v>
      </c>
      <c r="CG69" s="879"/>
      <c r="CH69" s="852"/>
      <c r="CI69" s="826">
        <f>Index_Returns!AA303</f>
        <v>-4.1729399999999996</v>
      </c>
      <c r="CJ69" s="826">
        <f t="shared" si="17"/>
        <v>-0.21376000000000062</v>
      </c>
      <c r="CK69" s="826">
        <f t="shared" si="18"/>
        <v>-1.0923600000000002</v>
      </c>
      <c r="CL69" s="826">
        <f t="shared" si="14"/>
        <v>1.6900399999999998</v>
      </c>
      <c r="CM69" s="842">
        <f>Index_Returns!W303</f>
        <v>0.90769999999999995</v>
      </c>
      <c r="CN69" s="889">
        <f t="shared" si="9"/>
        <v>-1.0599999999999943E-2</v>
      </c>
      <c r="CO69" s="880">
        <f t="shared" si="15"/>
        <v>2.7600000000000069E-2</v>
      </c>
      <c r="CP69" s="843"/>
      <c r="CQ69" s="859"/>
      <c r="CR69" s="890">
        <v>0.71199999999999997</v>
      </c>
      <c r="CS69" s="890"/>
      <c r="CT69" s="855"/>
      <c r="CU69" s="853"/>
    </row>
    <row r="70" spans="1:106" x14ac:dyDescent="0.2">
      <c r="A70" s="856">
        <v>36769</v>
      </c>
      <c r="B70" s="860">
        <v>6.5382999999999996</v>
      </c>
      <c r="C70" s="812">
        <v>1327708701.49</v>
      </c>
      <c r="D70" s="861"/>
      <c r="E70" s="812"/>
      <c r="F70" s="861"/>
      <c r="G70" s="812"/>
      <c r="H70" s="815"/>
      <c r="I70" s="815"/>
      <c r="J70" s="863">
        <v>6.14</v>
      </c>
      <c r="K70" s="817">
        <v>1309298791.4100001</v>
      </c>
      <c r="L70" s="863"/>
      <c r="M70" s="817"/>
      <c r="N70" s="863"/>
      <c r="O70" s="817"/>
      <c r="P70" s="811">
        <v>16.07</v>
      </c>
      <c r="Q70" s="812">
        <v>441142142.88</v>
      </c>
      <c r="R70" s="811">
        <v>10.273300000000001</v>
      </c>
      <c r="S70" s="845">
        <v>269770163.00999999</v>
      </c>
      <c r="T70" s="846"/>
      <c r="U70" s="882"/>
      <c r="V70" s="848"/>
      <c r="W70" s="845"/>
      <c r="X70" s="848"/>
      <c r="Y70" s="875"/>
      <c r="Z70" s="1185"/>
      <c r="AA70" s="875"/>
      <c r="AB70" s="868">
        <v>7.3167405128479013</v>
      </c>
      <c r="AC70" s="812">
        <v>178050483.72999999</v>
      </c>
      <c r="AD70" s="998">
        <v>7.6791</v>
      </c>
      <c r="AE70" s="812">
        <v>360473634.06999999</v>
      </c>
      <c r="AF70" s="846">
        <v>5.5016999999999996</v>
      </c>
      <c r="AG70" s="847">
        <v>105930844.01000001</v>
      </c>
      <c r="AH70" s="876"/>
      <c r="AI70" s="876"/>
      <c r="AJ70" s="824"/>
      <c r="AK70" s="825"/>
      <c r="AL70" s="852"/>
      <c r="AM70" s="828"/>
      <c r="AN70" s="827">
        <v>1.8633</v>
      </c>
      <c r="AO70" s="845">
        <v>1195591841.3199999</v>
      </c>
      <c r="AP70" s="829">
        <v>2.8647</v>
      </c>
      <c r="AQ70" s="822">
        <v>918034402.85000002</v>
      </c>
      <c r="AR70" s="827">
        <v>0.74719999999999998</v>
      </c>
      <c r="AS70" s="848">
        <v>708671547.54999995</v>
      </c>
      <c r="AT70" s="959">
        <v>1.4329000000000001</v>
      </c>
      <c r="AU70" s="822">
        <v>1136298410.4100001</v>
      </c>
      <c r="AV70" s="811">
        <v>1.4453</v>
      </c>
      <c r="AW70" s="845">
        <v>527458293.54000002</v>
      </c>
      <c r="AX70" s="873"/>
      <c r="AY70" s="822"/>
      <c r="AZ70" s="870"/>
      <c r="BA70" s="850"/>
      <c r="BB70" s="850"/>
      <c r="BC70" s="850"/>
      <c r="BD70" s="871"/>
      <c r="BE70" s="872"/>
      <c r="BF70" s="873"/>
      <c r="BG70" s="833">
        <f>Index_Returns!B304</f>
        <v>6.2110000000000003</v>
      </c>
      <c r="BH70" s="826">
        <f t="shared" si="16"/>
        <v>0.32729999999999926</v>
      </c>
      <c r="BI70" s="826"/>
      <c r="BJ70" s="836"/>
      <c r="BK70" s="865">
        <f t="shared" si="10"/>
        <v>-7.1000000000000618E-2</v>
      </c>
      <c r="BL70" s="865"/>
      <c r="BM70" s="865"/>
      <c r="BN70" s="865"/>
      <c r="BO70" s="865"/>
      <c r="BP70" s="866"/>
      <c r="BQ70" s="880">
        <f>Index_Returns!E304</f>
        <v>11.1652</v>
      </c>
      <c r="BR70" s="880">
        <f t="shared" si="19"/>
        <v>4.9047999999999998</v>
      </c>
      <c r="BS70" s="865">
        <f t="shared" si="20"/>
        <v>-0.89189999999999969</v>
      </c>
      <c r="BT70" s="883"/>
      <c r="BU70" s="865"/>
      <c r="BV70" s="865"/>
      <c r="BW70" s="865"/>
      <c r="BX70" s="1195"/>
      <c r="BY70" s="852"/>
      <c r="BZ70" s="852"/>
      <c r="CA70" s="853"/>
      <c r="CB70" s="854">
        <f>Index_Returns!H304</f>
        <v>7.63</v>
      </c>
      <c r="CC70" s="1002">
        <f t="shared" si="11"/>
        <v>4.9100000000000144E-2</v>
      </c>
      <c r="CD70" s="877">
        <f t="shared" si="13"/>
        <v>-2.1283000000000003</v>
      </c>
      <c r="CE70" s="855">
        <f>Index_Returns!J304</f>
        <v>4.4710000000000001</v>
      </c>
      <c r="CF70" s="874">
        <f t="shared" si="12"/>
        <v>2.8457405128479012</v>
      </c>
      <c r="CG70" s="879"/>
      <c r="CH70" s="852"/>
      <c r="CI70" s="826">
        <f>Index_Returns!AA304</f>
        <v>0.88800000000000001</v>
      </c>
      <c r="CJ70" s="826">
        <f t="shared" si="17"/>
        <v>0.97529999999999994</v>
      </c>
      <c r="CK70" s="826">
        <f t="shared" si="18"/>
        <v>1.9767000000000001</v>
      </c>
      <c r="CL70" s="826">
        <f t="shared" si="14"/>
        <v>-0.14080000000000004</v>
      </c>
      <c r="CM70" s="842">
        <f>Index_Returns!W304</f>
        <v>1.4497</v>
      </c>
      <c r="CN70" s="889">
        <f t="shared" si="9"/>
        <v>-1.6799999999999926E-2</v>
      </c>
      <c r="CO70" s="880">
        <f t="shared" si="15"/>
        <v>-4.3999999999999595E-3</v>
      </c>
      <c r="CP70" s="843"/>
      <c r="CQ70" s="859"/>
      <c r="CR70" s="890">
        <v>1.3335999999999999</v>
      </c>
      <c r="CS70" s="890"/>
      <c r="CT70" s="855"/>
      <c r="CU70" s="853"/>
    </row>
    <row r="71" spans="1:106" x14ac:dyDescent="0.2">
      <c r="A71" s="856">
        <v>36799</v>
      </c>
      <c r="B71" s="860">
        <v>-4.6216999999999997</v>
      </c>
      <c r="C71" s="812">
        <v>1266506787.79</v>
      </c>
      <c r="D71" s="861"/>
      <c r="E71" s="812"/>
      <c r="F71" s="861"/>
      <c r="G71" s="812"/>
      <c r="H71" s="815"/>
      <c r="I71" s="815"/>
      <c r="J71" s="863">
        <v>-4.92</v>
      </c>
      <c r="K71" s="817">
        <v>1245015720.47</v>
      </c>
      <c r="L71" s="863"/>
      <c r="M71" s="817"/>
      <c r="N71" s="863"/>
      <c r="O71" s="817"/>
      <c r="P71" s="811">
        <v>-3.49</v>
      </c>
      <c r="Q71" s="812">
        <v>425826938.76999998</v>
      </c>
      <c r="R71" s="811">
        <v>-2.6667000000000001</v>
      </c>
      <c r="S71" s="845">
        <v>262630834.66</v>
      </c>
      <c r="T71" s="846"/>
      <c r="U71" s="882"/>
      <c r="V71" s="848"/>
      <c r="W71" s="845"/>
      <c r="X71" s="848"/>
      <c r="Y71" s="875"/>
      <c r="Z71" s="1185"/>
      <c r="AA71" s="875"/>
      <c r="AB71" s="868">
        <v>-1.663290858268738</v>
      </c>
      <c r="AC71" s="812">
        <v>175147617.12</v>
      </c>
      <c r="AD71" s="998">
        <v>-2.8214000000000001</v>
      </c>
      <c r="AE71" s="812">
        <v>350303079.77999997</v>
      </c>
      <c r="AF71" s="846">
        <v>1.4717</v>
      </c>
      <c r="AG71" s="847">
        <v>107499028.64</v>
      </c>
      <c r="AH71" s="876"/>
      <c r="AI71" s="876"/>
      <c r="AJ71" s="824"/>
      <c r="AK71" s="825"/>
      <c r="AL71" s="852"/>
      <c r="AM71" s="828"/>
      <c r="AN71" s="827">
        <v>-5.3067000000000002</v>
      </c>
      <c r="AO71" s="845">
        <v>1132196061.8099999</v>
      </c>
      <c r="AP71" s="829">
        <v>-8.5653000000000006</v>
      </c>
      <c r="AQ71" s="822">
        <v>839696728.38999999</v>
      </c>
      <c r="AR71" s="827">
        <v>-4.9432</v>
      </c>
      <c r="AS71" s="848">
        <v>673799728.09000003</v>
      </c>
      <c r="AT71" s="959">
        <v>0.65490000000000004</v>
      </c>
      <c r="AU71" s="822">
        <v>1143740260.3800001</v>
      </c>
      <c r="AV71" s="811">
        <v>0.68540000000000001</v>
      </c>
      <c r="AW71" s="845">
        <v>531160259.36000001</v>
      </c>
      <c r="AX71" s="873"/>
      <c r="AY71" s="828"/>
      <c r="AZ71" s="870"/>
      <c r="BA71" s="850"/>
      <c r="BB71" s="850"/>
      <c r="BC71" s="850"/>
      <c r="BD71" s="871"/>
      <c r="BE71" s="872"/>
      <c r="BF71" s="873"/>
      <c r="BG71" s="833">
        <f>Index_Returns!B305</f>
        <v>-5.2789999999999999</v>
      </c>
      <c r="BH71" s="826">
        <f t="shared" si="16"/>
        <v>0.65730000000000022</v>
      </c>
      <c r="BI71" s="826"/>
      <c r="BJ71" s="836"/>
      <c r="BK71" s="865">
        <f t="shared" si="10"/>
        <v>0.35899999999999999</v>
      </c>
      <c r="BL71" s="865"/>
      <c r="BM71" s="865"/>
      <c r="BN71" s="865"/>
      <c r="BO71" s="865"/>
      <c r="BP71" s="866"/>
      <c r="BQ71" s="880">
        <f>Index_Returns!E305</f>
        <v>-0.68459999999999999</v>
      </c>
      <c r="BR71" s="880">
        <f t="shared" si="19"/>
        <v>-2.8054000000000001</v>
      </c>
      <c r="BS71" s="865">
        <f t="shared" si="20"/>
        <v>-1.9821</v>
      </c>
      <c r="BT71" s="883"/>
      <c r="BU71" s="865"/>
      <c r="BV71" s="865"/>
      <c r="BW71" s="865"/>
      <c r="BX71" s="1195"/>
      <c r="BY71" s="852"/>
      <c r="BZ71" s="852"/>
      <c r="CA71" s="853"/>
      <c r="CB71" s="854">
        <f>Index_Returns!H305</f>
        <v>-2.9390000000000001</v>
      </c>
      <c r="CC71" s="1002">
        <f t="shared" si="11"/>
        <v>0.11759999999999993</v>
      </c>
      <c r="CD71" s="877">
        <f t="shared" si="13"/>
        <v>4.4107000000000003</v>
      </c>
      <c r="CE71" s="855">
        <f>Index_Returns!J305</f>
        <v>-0.56699999999999995</v>
      </c>
      <c r="CF71" s="874">
        <f t="shared" si="12"/>
        <v>-1.0962908582687381</v>
      </c>
      <c r="CG71" s="879"/>
      <c r="CH71" s="852"/>
      <c r="CI71" s="826">
        <f>Index_Returns!AA305</f>
        <v>-4.84938</v>
      </c>
      <c r="CJ71" s="826">
        <f t="shared" si="17"/>
        <v>-0.45732000000000017</v>
      </c>
      <c r="CK71" s="826">
        <f t="shared" si="18"/>
        <v>-3.7159200000000006</v>
      </c>
      <c r="CL71" s="826">
        <f t="shared" si="14"/>
        <v>-9.3820000000000014E-2</v>
      </c>
      <c r="CM71" s="842">
        <f>Index_Returns!W305</f>
        <v>0.62860000000000005</v>
      </c>
      <c r="CN71" s="889">
        <f t="shared" si="9"/>
        <v>2.629999999999999E-2</v>
      </c>
      <c r="CO71" s="880">
        <f t="shared" si="15"/>
        <v>5.6799999999999962E-2</v>
      </c>
      <c r="CP71" s="843"/>
      <c r="CQ71" s="859"/>
      <c r="CR71" s="890">
        <v>0.97370000000000001</v>
      </c>
      <c r="CS71" s="890"/>
      <c r="CT71" s="855"/>
      <c r="CU71" s="853"/>
    </row>
    <row r="72" spans="1:106" x14ac:dyDescent="0.2">
      <c r="A72" s="856">
        <v>36830</v>
      </c>
      <c r="B72" s="862">
        <v>1.9682999999999999</v>
      </c>
      <c r="C72" s="812">
        <v>1291634760.29</v>
      </c>
      <c r="D72" s="815"/>
      <c r="E72" s="812"/>
      <c r="F72" s="815"/>
      <c r="G72" s="812"/>
      <c r="H72" s="815"/>
      <c r="I72" s="815"/>
      <c r="J72" s="863">
        <v>-1.61</v>
      </c>
      <c r="K72" s="817">
        <v>1225036442.77</v>
      </c>
      <c r="L72" s="863"/>
      <c r="M72" s="817"/>
      <c r="N72" s="863"/>
      <c r="O72" s="817"/>
      <c r="P72" s="885">
        <v>-8.27</v>
      </c>
      <c r="Q72" s="812">
        <v>390611952.05000001</v>
      </c>
      <c r="R72" s="885">
        <v>-2.9666999999999999</v>
      </c>
      <c r="S72" s="845">
        <v>254880244.40000001</v>
      </c>
      <c r="T72" s="846"/>
      <c r="U72" s="884"/>
      <c r="V72" s="848"/>
      <c r="W72" s="845"/>
      <c r="X72" s="848"/>
      <c r="Y72" s="875"/>
      <c r="Z72" s="1185"/>
      <c r="AA72" s="875"/>
      <c r="AB72" s="868">
        <v>0.10671010613441467</v>
      </c>
      <c r="AC72" s="812">
        <v>175391506.22</v>
      </c>
      <c r="AD72" s="998">
        <v>-4.2957999999999998</v>
      </c>
      <c r="AE72" s="812">
        <v>335254886.73000002</v>
      </c>
      <c r="AF72" s="846">
        <v>0.42170000000000002</v>
      </c>
      <c r="AG72" s="847">
        <v>107964015.15000001</v>
      </c>
      <c r="AH72" s="876"/>
      <c r="AI72" s="876"/>
      <c r="AJ72" s="886"/>
      <c r="AK72" s="825"/>
      <c r="AL72" s="854"/>
      <c r="AM72" s="828"/>
      <c r="AN72" s="887">
        <v>-1.6667000000000001</v>
      </c>
      <c r="AO72" s="845">
        <v>1113439870.6400001</v>
      </c>
      <c r="AP72" s="888">
        <v>-4.5652999999999997</v>
      </c>
      <c r="AQ72" s="822">
        <v>801676513.57000005</v>
      </c>
      <c r="AR72" s="887">
        <v>-1.9233</v>
      </c>
      <c r="AS72" s="848">
        <v>661025835.75999999</v>
      </c>
      <c r="AT72" s="959">
        <v>0.66390000000000005</v>
      </c>
      <c r="AU72" s="822">
        <v>1151333687.8299999</v>
      </c>
      <c r="AV72" s="885">
        <v>0.82540000000000013</v>
      </c>
      <c r="AW72" s="845">
        <v>535629316.05000001</v>
      </c>
      <c r="AX72" s="850"/>
      <c r="AY72" s="828"/>
      <c r="AZ72" s="874"/>
      <c r="BA72" s="850"/>
      <c r="BB72" s="850"/>
      <c r="BC72" s="850"/>
      <c r="BD72" s="871"/>
      <c r="BE72" s="872"/>
      <c r="BF72" s="850"/>
      <c r="BG72" s="833">
        <f>Index_Returns!B306</f>
        <v>-0.42299999999999999</v>
      </c>
      <c r="BH72" s="889">
        <f t="shared" si="16"/>
        <v>2.3912999999999998</v>
      </c>
      <c r="BI72" s="889"/>
      <c r="BJ72" s="834"/>
      <c r="BK72" s="865">
        <f t="shared" si="10"/>
        <v>-1.1870000000000001</v>
      </c>
      <c r="BL72" s="865"/>
      <c r="BM72" s="865"/>
      <c r="BN72" s="865"/>
      <c r="BO72" s="865"/>
      <c r="BP72" s="866"/>
      <c r="BQ72" s="880">
        <f>Index_Returns!E306</f>
        <v>-3.3910999999999998</v>
      </c>
      <c r="BR72" s="865">
        <f t="shared" si="19"/>
        <v>-4.8788999999999998</v>
      </c>
      <c r="BS72" s="865">
        <f t="shared" si="20"/>
        <v>0.42439999999999989</v>
      </c>
      <c r="BT72" s="883"/>
      <c r="BU72" s="865"/>
      <c r="BV72" s="865"/>
      <c r="BW72" s="865"/>
      <c r="BX72" s="1195"/>
      <c r="BY72" s="854"/>
      <c r="BZ72" s="854"/>
      <c r="CA72" s="853"/>
      <c r="CB72" s="854">
        <f>Index_Returns!H306</f>
        <v>-4.4640000000000004</v>
      </c>
      <c r="CC72" s="1002">
        <f t="shared" si="11"/>
        <v>0.16820000000000057</v>
      </c>
      <c r="CD72" s="877">
        <f t="shared" si="13"/>
        <v>4.8857000000000008</v>
      </c>
      <c r="CE72" s="855">
        <f>Index_Returns!J306</f>
        <v>-0.35499999999999998</v>
      </c>
      <c r="CF72" s="874">
        <f t="shared" si="12"/>
        <v>0.46171010613441466</v>
      </c>
      <c r="CG72" s="879"/>
      <c r="CH72" s="854"/>
      <c r="CI72" s="826">
        <f>Index_Returns!AA306</f>
        <v>-2.3420000000000001</v>
      </c>
      <c r="CJ72" s="889">
        <f t="shared" si="17"/>
        <v>0.67530000000000001</v>
      </c>
      <c r="CK72" s="889">
        <f t="shared" si="18"/>
        <v>-2.2232999999999996</v>
      </c>
      <c r="CL72" s="889">
        <f t="shared" si="14"/>
        <v>0.41870000000000007</v>
      </c>
      <c r="CM72" s="842">
        <f>Index_Returns!W306</f>
        <v>0.66080000000000005</v>
      </c>
      <c r="CN72" s="889">
        <f t="shared" si="9"/>
        <v>3.0999999999999917E-3</v>
      </c>
      <c r="CO72" s="865">
        <f t="shared" si="15"/>
        <v>0.16460000000000008</v>
      </c>
      <c r="CP72" s="890"/>
      <c r="CQ72" s="859"/>
      <c r="CR72" s="890">
        <v>0.57609999999999995</v>
      </c>
      <c r="CS72" s="890"/>
      <c r="CT72" s="855"/>
      <c r="CU72" s="853"/>
      <c r="CV72" s="15"/>
      <c r="CW72" s="15"/>
      <c r="CX72" s="15"/>
      <c r="CY72" s="15"/>
      <c r="CZ72" s="15"/>
      <c r="DA72" s="15"/>
      <c r="DB72" s="15"/>
    </row>
    <row r="73" spans="1:106" x14ac:dyDescent="0.2">
      <c r="A73" s="856">
        <v>36860</v>
      </c>
      <c r="B73" s="860">
        <v>-7.5517000000000003</v>
      </c>
      <c r="C73" s="812">
        <v>1194211611.99</v>
      </c>
      <c r="D73" s="861"/>
      <c r="E73" s="812"/>
      <c r="F73" s="861"/>
      <c r="G73" s="812"/>
      <c r="H73" s="815"/>
      <c r="I73" s="815"/>
      <c r="J73" s="863">
        <v>-9.17</v>
      </c>
      <c r="K73" s="817">
        <v>1112766068.6800001</v>
      </c>
      <c r="L73" s="863"/>
      <c r="M73" s="817"/>
      <c r="N73" s="863"/>
      <c r="O73" s="817"/>
      <c r="P73" s="811">
        <v>-19.46</v>
      </c>
      <c r="Q73" s="812">
        <v>314603124.11000001</v>
      </c>
      <c r="R73" s="811">
        <v>-10.2067</v>
      </c>
      <c r="S73" s="845">
        <v>228906693.50999999</v>
      </c>
      <c r="T73" s="846"/>
      <c r="U73" s="884"/>
      <c r="V73" s="848"/>
      <c r="W73" s="845"/>
      <c r="X73" s="848"/>
      <c r="Y73" s="875"/>
      <c r="Z73" s="1185"/>
      <c r="AA73" s="875"/>
      <c r="AB73" s="868">
        <v>-2.3132708072662354</v>
      </c>
      <c r="AC73" s="812">
        <v>171397761.09</v>
      </c>
      <c r="AD73" s="998">
        <v>-9.9712999999999994</v>
      </c>
      <c r="AE73" s="812">
        <v>301825642.26999998</v>
      </c>
      <c r="AF73" s="846">
        <v>-3.0583</v>
      </c>
      <c r="AG73" s="847">
        <v>104673354.34999999</v>
      </c>
      <c r="AH73" s="876"/>
      <c r="AI73" s="876"/>
      <c r="AJ73" s="824"/>
      <c r="AK73" s="825"/>
      <c r="AL73" s="852"/>
      <c r="AM73" s="828"/>
      <c r="AN73" s="827">
        <v>-4.1467000000000001</v>
      </c>
      <c r="AO73" s="845">
        <v>1067281742.5599999</v>
      </c>
      <c r="AP73" s="829">
        <v>-4.6653000000000002</v>
      </c>
      <c r="AQ73" s="822">
        <v>764588786.38</v>
      </c>
      <c r="AR73" s="827">
        <v>-2.5935000000000001</v>
      </c>
      <c r="AS73" s="848">
        <v>644006101.13</v>
      </c>
      <c r="AT73" s="959">
        <v>1.6577</v>
      </c>
      <c r="AU73" s="822">
        <v>1170419459.3199999</v>
      </c>
      <c r="AV73" s="811">
        <v>1.7955999999999999</v>
      </c>
      <c r="AW73" s="845">
        <v>545314670.67999995</v>
      </c>
      <c r="AX73" s="873"/>
      <c r="AY73" s="828"/>
      <c r="AZ73" s="870"/>
      <c r="BA73" s="850"/>
      <c r="BB73" s="850"/>
      <c r="BC73" s="850"/>
      <c r="BD73" s="871"/>
      <c r="BE73" s="872"/>
      <c r="BF73" s="873"/>
      <c r="BG73" s="833">
        <f>Index_Returns!B307</f>
        <v>-7.8840000000000003</v>
      </c>
      <c r="BH73" s="826">
        <f t="shared" si="16"/>
        <v>0.33230000000000004</v>
      </c>
      <c r="BI73" s="826"/>
      <c r="BJ73" s="836"/>
      <c r="BK73" s="865">
        <f t="shared" si="10"/>
        <v>-1.2859999999999996</v>
      </c>
      <c r="BL73" s="865"/>
      <c r="BM73" s="865"/>
      <c r="BN73" s="865"/>
      <c r="BO73" s="865"/>
      <c r="BP73" s="866"/>
      <c r="BQ73" s="880">
        <f>Index_Returns!E307</f>
        <v>-7.5483000000000002</v>
      </c>
      <c r="BR73" s="880">
        <f t="shared" si="19"/>
        <v>-11.9117</v>
      </c>
      <c r="BS73" s="865">
        <f t="shared" si="20"/>
        <v>-2.6583999999999994</v>
      </c>
      <c r="BT73" s="883"/>
      <c r="BU73" s="865"/>
      <c r="BV73" s="865"/>
      <c r="BW73" s="865"/>
      <c r="BX73" s="1195"/>
      <c r="BY73" s="852"/>
      <c r="BZ73" s="852"/>
      <c r="CA73" s="853"/>
      <c r="CB73" s="854">
        <f>Index_Returns!H307</f>
        <v>-10.265000000000001</v>
      </c>
      <c r="CC73" s="1002">
        <f t="shared" si="11"/>
        <v>0.29370000000000118</v>
      </c>
      <c r="CD73" s="877">
        <f t="shared" si="13"/>
        <v>7.2067000000000005</v>
      </c>
      <c r="CE73" s="855">
        <f>Index_Returns!J307</f>
        <v>-2.036</v>
      </c>
      <c r="CF73" s="874">
        <f t="shared" si="12"/>
        <v>-0.27727080726623532</v>
      </c>
      <c r="CG73" s="879"/>
      <c r="CH73" s="852"/>
      <c r="CI73" s="826">
        <f>Index_Returns!AA307</f>
        <v>-3.7290000000000001</v>
      </c>
      <c r="CJ73" s="826">
        <f t="shared" si="17"/>
        <v>-0.41769999999999996</v>
      </c>
      <c r="CK73" s="826">
        <f t="shared" si="18"/>
        <v>-0.93630000000000013</v>
      </c>
      <c r="CL73" s="826">
        <f t="shared" si="14"/>
        <v>1.1355</v>
      </c>
      <c r="CM73" s="842">
        <f>Index_Returns!W307</f>
        <v>1.6355</v>
      </c>
      <c r="CN73" s="889">
        <f t="shared" si="9"/>
        <v>2.2199999999999998E-2</v>
      </c>
      <c r="CO73" s="880">
        <f t="shared" si="15"/>
        <v>0.16009999999999991</v>
      </c>
      <c r="CP73" s="843"/>
      <c r="CQ73" s="859"/>
      <c r="CR73" s="890">
        <v>1.4309000000000001</v>
      </c>
      <c r="CS73" s="890"/>
      <c r="CT73" s="855"/>
      <c r="CU73" s="853"/>
    </row>
    <row r="74" spans="1:106" x14ac:dyDescent="0.2">
      <c r="A74" s="856">
        <v>36891</v>
      </c>
      <c r="B74" s="860">
        <v>0.75829999999999997</v>
      </c>
      <c r="C74" s="812">
        <v>1203416009.5899999</v>
      </c>
      <c r="D74" s="861"/>
      <c r="E74" s="812"/>
      <c r="F74" s="861"/>
      <c r="G74" s="812"/>
      <c r="H74" s="815"/>
      <c r="I74" s="815"/>
      <c r="J74" s="863">
        <v>0.69</v>
      </c>
      <c r="K74" s="817">
        <v>1120567590.3299999</v>
      </c>
      <c r="L74" s="863"/>
      <c r="M74" s="817"/>
      <c r="N74" s="863"/>
      <c r="O74" s="817"/>
      <c r="P74" s="891"/>
      <c r="Q74" s="812"/>
      <c r="R74" s="811">
        <v>8.9132999999999996</v>
      </c>
      <c r="S74" s="845">
        <v>249347993.09</v>
      </c>
      <c r="T74" s="846"/>
      <c r="U74" s="884"/>
      <c r="V74" s="848"/>
      <c r="W74" s="845"/>
      <c r="X74" s="848"/>
      <c r="Y74" s="875"/>
      <c r="Z74" s="1185"/>
      <c r="AA74" s="875"/>
      <c r="AB74" s="868">
        <v>10.65666675567627</v>
      </c>
      <c r="AC74" s="812">
        <v>189724746</v>
      </c>
      <c r="AD74" s="998">
        <v>8.5775000000000006</v>
      </c>
      <c r="AE74" s="812">
        <v>327714881.62</v>
      </c>
      <c r="AF74" s="846">
        <v>7.8316999999999997</v>
      </c>
      <c r="AG74" s="847">
        <v>112879397.83</v>
      </c>
      <c r="AH74" s="876"/>
      <c r="AI74" s="876"/>
      <c r="AJ74" s="824"/>
      <c r="AK74" s="825"/>
      <c r="AL74" s="852"/>
      <c r="AM74" s="828"/>
      <c r="AN74" s="827">
        <v>2.8033000000000001</v>
      </c>
      <c r="AO74" s="845">
        <v>1097293995.6400001</v>
      </c>
      <c r="AP74" s="829">
        <v>1.4547000000000001</v>
      </c>
      <c r="AQ74" s="822">
        <v>775995653.45000005</v>
      </c>
      <c r="AR74" s="827">
        <v>4.3468</v>
      </c>
      <c r="AS74" s="848">
        <v>672122733.82000005</v>
      </c>
      <c r="AT74" s="959">
        <v>1.9257</v>
      </c>
      <c r="AU74" s="822">
        <v>1192958022.3399999</v>
      </c>
      <c r="AV74" s="811">
        <v>1.9557000000000002</v>
      </c>
      <c r="AW74" s="845">
        <v>556273409</v>
      </c>
      <c r="AX74" s="873"/>
      <c r="AY74" s="828"/>
      <c r="AZ74" s="870"/>
      <c r="BA74" s="850"/>
      <c r="BB74" s="850"/>
      <c r="BC74" s="850"/>
      <c r="BD74" s="871"/>
      <c r="BE74" s="872"/>
      <c r="BF74" s="873"/>
      <c r="BG74" s="833">
        <f>Index_Returns!B308</f>
        <v>0.48899999999999999</v>
      </c>
      <c r="BH74" s="826">
        <f t="shared" si="16"/>
        <v>0.26929999999999998</v>
      </c>
      <c r="BI74" s="826"/>
      <c r="BJ74" s="836"/>
      <c r="BK74" s="865">
        <f t="shared" si="10"/>
        <v>0.20099999999999996</v>
      </c>
      <c r="BL74" s="865"/>
      <c r="BM74" s="865"/>
      <c r="BN74" s="865"/>
      <c r="BO74" s="865"/>
      <c r="BP74" s="866"/>
      <c r="BQ74" s="880">
        <f>Index_Returns!E308</f>
        <v>7.6501999999999999</v>
      </c>
      <c r="BR74" s="836"/>
      <c r="BS74" s="865">
        <f t="shared" si="20"/>
        <v>1.2630999999999997</v>
      </c>
      <c r="BT74" s="883"/>
      <c r="BU74" s="865"/>
      <c r="BV74" s="865"/>
      <c r="BW74" s="865"/>
      <c r="BX74" s="1195"/>
      <c r="BY74" s="852"/>
      <c r="BZ74" s="852"/>
      <c r="CA74" s="853"/>
      <c r="CB74" s="854">
        <f>Index_Returns!H308</f>
        <v>8.5879999999999992</v>
      </c>
      <c r="CC74" s="1002">
        <f t="shared" si="11"/>
        <v>-1.0499999999998622E-2</v>
      </c>
      <c r="CD74" s="877">
        <f t="shared" si="13"/>
        <v>-0.75629999999999953</v>
      </c>
      <c r="CE74" s="855">
        <f>Index_Returns!J308</f>
        <v>10.744999999999999</v>
      </c>
      <c r="CF74" s="874">
        <f t="shared" si="12"/>
        <v>-8.8333244323729687E-2</v>
      </c>
      <c r="CG74" s="879"/>
      <c r="CH74" s="852"/>
      <c r="CI74" s="826">
        <f>Index_Returns!AA308</f>
        <v>3.5779999999999998</v>
      </c>
      <c r="CJ74" s="826">
        <f t="shared" si="17"/>
        <v>-0.77469999999999972</v>
      </c>
      <c r="CK74" s="826">
        <f t="shared" si="18"/>
        <v>-2.1232999999999995</v>
      </c>
      <c r="CL74" s="826">
        <f t="shared" si="14"/>
        <v>0.76880000000000015</v>
      </c>
      <c r="CM74" s="842">
        <f>Index_Returns!W308</f>
        <v>1.8553999999999999</v>
      </c>
      <c r="CN74" s="889">
        <f t="shared" ref="CN74:CN105" si="21">AT74-CM74</f>
        <v>7.0300000000000029E-2</v>
      </c>
      <c r="CO74" s="880">
        <f t="shared" si="15"/>
        <v>0.10030000000000028</v>
      </c>
      <c r="CP74" s="843"/>
      <c r="CQ74" s="859"/>
      <c r="CR74" s="890">
        <v>1.7601</v>
      </c>
      <c r="CS74" s="890"/>
      <c r="CT74" s="855"/>
      <c r="CU74" s="853"/>
    </row>
    <row r="75" spans="1:106" x14ac:dyDescent="0.2">
      <c r="A75" s="856">
        <v>36922</v>
      </c>
      <c r="B75" s="860">
        <v>5.5464000000000002</v>
      </c>
      <c r="C75" s="812">
        <v>1270310917.22</v>
      </c>
      <c r="D75" s="861"/>
      <c r="E75" s="812"/>
      <c r="F75" s="861"/>
      <c r="G75" s="812"/>
      <c r="H75" s="815"/>
      <c r="I75" s="815"/>
      <c r="J75" s="863">
        <v>1.9812000000000001</v>
      </c>
      <c r="K75" s="817">
        <v>1142880716.7</v>
      </c>
      <c r="L75" s="863"/>
      <c r="M75" s="817"/>
      <c r="N75" s="863"/>
      <c r="O75" s="817"/>
      <c r="P75" s="891"/>
      <c r="Q75" s="812"/>
      <c r="R75" s="811">
        <v>0.6996</v>
      </c>
      <c r="S75" s="845">
        <v>251134177.88999999</v>
      </c>
      <c r="T75" s="846"/>
      <c r="U75" s="884"/>
      <c r="V75" s="848"/>
      <c r="W75" s="845"/>
      <c r="X75" s="848"/>
      <c r="Y75" s="875"/>
      <c r="Z75" s="1185"/>
      <c r="AA75" s="875"/>
      <c r="AB75" s="868">
        <v>9.2390270233154297</v>
      </c>
      <c r="AC75" s="812">
        <v>207317106.84999999</v>
      </c>
      <c r="AD75" s="998">
        <v>5.0749000000000004</v>
      </c>
      <c r="AE75" s="812">
        <v>344346141.76999998</v>
      </c>
      <c r="AF75" s="846">
        <v>7.5903999999999998</v>
      </c>
      <c r="AG75" s="847">
        <v>121456756.19</v>
      </c>
      <c r="AH75" s="876"/>
      <c r="AI75" s="876"/>
      <c r="AJ75" s="824"/>
      <c r="AK75" s="825"/>
      <c r="AL75" s="852"/>
      <c r="AM75" s="828"/>
      <c r="AN75" s="827">
        <v>0.59219999999999995</v>
      </c>
      <c r="AO75" s="845">
        <v>1103866017.79</v>
      </c>
      <c r="AP75" s="829">
        <v>2.3887999999999998</v>
      </c>
      <c r="AQ75" s="822">
        <v>794806515.53999996</v>
      </c>
      <c r="AR75" s="827">
        <v>0.34560000000000002</v>
      </c>
      <c r="AS75" s="848">
        <v>674606221.55999994</v>
      </c>
      <c r="AT75" s="959">
        <v>1.6087</v>
      </c>
      <c r="AU75" s="822">
        <v>1212148882.77</v>
      </c>
      <c r="AV75" s="811">
        <v>2.0097</v>
      </c>
      <c r="AW75" s="845">
        <v>567531560.75999999</v>
      </c>
      <c r="AX75" s="873"/>
      <c r="AY75" s="828"/>
      <c r="AZ75" s="870"/>
      <c r="BA75" s="850"/>
      <c r="BB75" s="850"/>
      <c r="BC75" s="850"/>
      <c r="BD75" s="871"/>
      <c r="BE75" s="872"/>
      <c r="BF75" s="873"/>
      <c r="BG75" s="833">
        <f>Index_Returns!B309</f>
        <v>3.55</v>
      </c>
      <c r="BH75" s="826">
        <f t="shared" si="16"/>
        <v>1.9964000000000004</v>
      </c>
      <c r="BI75" s="826"/>
      <c r="BJ75" s="836"/>
      <c r="BK75" s="865">
        <f t="shared" si="10"/>
        <v>-1.5687999999999998</v>
      </c>
      <c r="BL75" s="865"/>
      <c r="BM75" s="865"/>
      <c r="BN75" s="865"/>
      <c r="BO75" s="865"/>
      <c r="BP75" s="866"/>
      <c r="BQ75" s="880">
        <f>Index_Returns!E309</f>
        <v>2.2271000000000001</v>
      </c>
      <c r="BR75" s="836"/>
      <c r="BS75" s="865">
        <f t="shared" si="20"/>
        <v>-1.5275000000000001</v>
      </c>
      <c r="BT75" s="883"/>
      <c r="BU75" s="865"/>
      <c r="BV75" s="865"/>
      <c r="BW75" s="865"/>
      <c r="BX75" s="1195"/>
      <c r="BY75" s="852"/>
      <c r="BZ75" s="852"/>
      <c r="CA75" s="853"/>
      <c r="CB75" s="854">
        <f>Index_Returns!H309</f>
        <v>5.2060000000000004</v>
      </c>
      <c r="CC75" s="1002">
        <f t="shared" si="11"/>
        <v>-0.13109999999999999</v>
      </c>
      <c r="CD75" s="877">
        <f t="shared" si="13"/>
        <v>2.3843999999999994</v>
      </c>
      <c r="CE75" s="855">
        <f>Index_Returns!J309</f>
        <v>2.76</v>
      </c>
      <c r="CF75" s="874">
        <f t="shared" si="12"/>
        <v>6.4790270233154299</v>
      </c>
      <c r="CG75" s="879"/>
      <c r="CH75" s="852"/>
      <c r="CI75" s="826">
        <f>Index_Returns!AA309</f>
        <v>-0.05</v>
      </c>
      <c r="CJ75" s="826">
        <f t="shared" si="17"/>
        <v>0.64219999999999999</v>
      </c>
      <c r="CK75" s="826">
        <f t="shared" si="18"/>
        <v>2.4387999999999996</v>
      </c>
      <c r="CL75" s="826">
        <f t="shared" si="14"/>
        <v>0.39560000000000001</v>
      </c>
      <c r="CM75" s="842">
        <f>Index_Returns!W309</f>
        <v>1.6346000000000001</v>
      </c>
      <c r="CN75" s="889">
        <f t="shared" si="21"/>
        <v>-2.5900000000000034E-2</v>
      </c>
      <c r="CO75" s="880">
        <f t="shared" si="15"/>
        <v>0.37509999999999999</v>
      </c>
      <c r="CP75" s="843"/>
      <c r="CQ75" s="859"/>
      <c r="CR75" s="890">
        <v>1.6062000000000001</v>
      </c>
      <c r="CS75" s="890"/>
      <c r="CT75" s="855"/>
      <c r="CU75" s="853"/>
    </row>
    <row r="76" spans="1:106" x14ac:dyDescent="0.2">
      <c r="A76" s="856">
        <v>36950</v>
      </c>
      <c r="B76" s="860">
        <v>-8.9913000000000007</v>
      </c>
      <c r="C76" s="812">
        <v>1156241946.22</v>
      </c>
      <c r="D76" s="861"/>
      <c r="E76" s="812"/>
      <c r="F76" s="861"/>
      <c r="G76" s="812"/>
      <c r="H76" s="815"/>
      <c r="I76" s="815"/>
      <c r="J76" s="863">
        <v>-8.8457000000000008</v>
      </c>
      <c r="K76" s="817">
        <v>1041899600.25</v>
      </c>
      <c r="L76" s="863"/>
      <c r="M76" s="817"/>
      <c r="N76" s="863"/>
      <c r="O76" s="817"/>
      <c r="P76" s="891"/>
      <c r="Q76" s="812"/>
      <c r="R76" s="811">
        <v>-7.0175000000000001</v>
      </c>
      <c r="S76" s="845">
        <v>233552805.34</v>
      </c>
      <c r="T76" s="846"/>
      <c r="U76" s="884"/>
      <c r="V76" s="848"/>
      <c r="W76" s="845"/>
      <c r="X76" s="848"/>
      <c r="Y76" s="875"/>
      <c r="Z76" s="1185"/>
      <c r="AA76" s="875"/>
      <c r="AB76" s="868">
        <v>-0.1800006777048111</v>
      </c>
      <c r="AC76" s="812">
        <v>207013508.78</v>
      </c>
      <c r="AD76" s="998">
        <v>-6.3451000000000004</v>
      </c>
      <c r="AE76" s="812">
        <v>322496865.24000001</v>
      </c>
      <c r="AF76" s="846">
        <v>-1.079</v>
      </c>
      <c r="AG76" s="847">
        <v>120155180.79000001</v>
      </c>
      <c r="AH76" s="876"/>
      <c r="AI76" s="876"/>
      <c r="AJ76" s="824"/>
      <c r="AK76" s="825"/>
      <c r="AL76" s="852"/>
      <c r="AM76" s="828"/>
      <c r="AN76" s="827">
        <v>-7.3418000000000001</v>
      </c>
      <c r="AO76" s="845">
        <v>1022896503.9</v>
      </c>
      <c r="AP76" s="829">
        <v>-9.1110000000000007</v>
      </c>
      <c r="AQ76" s="822">
        <v>722677553.80999994</v>
      </c>
      <c r="AR76" s="827">
        <v>-7.9523999999999999</v>
      </c>
      <c r="AS76" s="848">
        <v>621126491.92999995</v>
      </c>
      <c r="AT76" s="959">
        <v>0.87139999999999995</v>
      </c>
      <c r="AU76" s="822">
        <v>1222711583.53</v>
      </c>
      <c r="AV76" s="811">
        <v>0.90200000000000002</v>
      </c>
      <c r="AW76" s="845">
        <v>572731327.50999999</v>
      </c>
      <c r="AX76" s="873"/>
      <c r="AY76" s="828"/>
      <c r="AZ76" s="870"/>
      <c r="BA76" s="850"/>
      <c r="BB76" s="850"/>
      <c r="BC76" s="850"/>
      <c r="BD76" s="871"/>
      <c r="BE76" s="872"/>
      <c r="BF76" s="873"/>
      <c r="BG76" s="833">
        <f>Index_Returns!B310</f>
        <v>-9.1180000000000003</v>
      </c>
      <c r="BH76" s="826">
        <f t="shared" si="16"/>
        <v>0.12669999999999959</v>
      </c>
      <c r="BI76" s="826"/>
      <c r="BJ76" s="836"/>
      <c r="BK76" s="865">
        <f t="shared" ref="BK76:BK97" si="22">J76-BG76</f>
        <v>0.27229999999999954</v>
      </c>
      <c r="BL76" s="865"/>
      <c r="BM76" s="865"/>
      <c r="BN76" s="865"/>
      <c r="BO76" s="865"/>
      <c r="BP76" s="866"/>
      <c r="BQ76" s="880">
        <f>Index_Returns!E310</f>
        <v>-5.7068000000000003</v>
      </c>
      <c r="BR76" s="836"/>
      <c r="BS76" s="865">
        <f t="shared" si="20"/>
        <v>-1.3106999999999998</v>
      </c>
      <c r="BT76" s="883"/>
      <c r="BU76" s="865"/>
      <c r="BV76" s="865"/>
      <c r="BW76" s="865"/>
      <c r="BX76" s="1195"/>
      <c r="BY76" s="852"/>
      <c r="BZ76" s="852"/>
      <c r="CA76" s="853"/>
      <c r="CB76" s="854">
        <f>Index_Returns!H310</f>
        <v>-6.5609999999999999</v>
      </c>
      <c r="CC76" s="1002">
        <f t="shared" si="11"/>
        <v>0.21589999999999954</v>
      </c>
      <c r="CD76" s="877">
        <f t="shared" si="13"/>
        <v>5.4820000000000002</v>
      </c>
      <c r="CE76" s="855">
        <f>Index_Returns!J310</f>
        <v>-0.13800000000000001</v>
      </c>
      <c r="CF76" s="874">
        <f t="shared" si="12"/>
        <v>-4.2000677704811085E-2</v>
      </c>
      <c r="CG76" s="879"/>
      <c r="CH76" s="852"/>
      <c r="CI76" s="826">
        <f>Index_Returns!AA310</f>
        <v>-7.49</v>
      </c>
      <c r="CJ76" s="826">
        <f t="shared" si="17"/>
        <v>0.14820000000000011</v>
      </c>
      <c r="CK76" s="826">
        <f t="shared" si="18"/>
        <v>-1.6210000000000004</v>
      </c>
      <c r="CL76" s="826">
        <f t="shared" si="14"/>
        <v>-0.4623999999999997</v>
      </c>
      <c r="CM76" s="842">
        <f>Index_Returns!W310</f>
        <v>0.87129999999999996</v>
      </c>
      <c r="CN76" s="889">
        <f t="shared" si="21"/>
        <v>9.9999999999988987E-5</v>
      </c>
      <c r="CO76" s="880">
        <f t="shared" si="15"/>
        <v>3.0700000000000061E-2</v>
      </c>
      <c r="CP76" s="843"/>
      <c r="CQ76" s="859"/>
      <c r="CR76" s="890">
        <v>0.79039999999999999</v>
      </c>
      <c r="CS76" s="890"/>
      <c r="CT76" s="855"/>
      <c r="CU76" s="853"/>
    </row>
    <row r="77" spans="1:106" x14ac:dyDescent="0.2">
      <c r="A77" s="856">
        <v>36981</v>
      </c>
      <c r="B77" s="860">
        <v>-5.7506000000000004</v>
      </c>
      <c r="C77" s="812">
        <v>1089886235.29</v>
      </c>
      <c r="D77" s="861"/>
      <c r="E77" s="812"/>
      <c r="F77" s="861"/>
      <c r="G77" s="812"/>
      <c r="H77" s="815"/>
      <c r="I77" s="815"/>
      <c r="J77" s="863">
        <v>-6.0567000000000002</v>
      </c>
      <c r="K77" s="817">
        <v>978899183.97000003</v>
      </c>
      <c r="L77" s="863"/>
      <c r="M77" s="817"/>
      <c r="N77" s="863"/>
      <c r="O77" s="817"/>
      <c r="P77" s="891"/>
      <c r="Q77" s="812"/>
      <c r="R77" s="811">
        <v>-6.0319000000000003</v>
      </c>
      <c r="S77" s="845">
        <v>219504028.69999999</v>
      </c>
      <c r="T77" s="846"/>
      <c r="U77" s="884"/>
      <c r="V77" s="848"/>
      <c r="W77" s="845"/>
      <c r="X77" s="848"/>
      <c r="Y77" s="875"/>
      <c r="Z77" s="1185"/>
      <c r="AA77" s="875"/>
      <c r="AB77" s="868">
        <v>-2.7780084609985352</v>
      </c>
      <c r="AC77" s="812">
        <v>201331855.33000001</v>
      </c>
      <c r="AD77" s="998">
        <v>-4.8503999999999996</v>
      </c>
      <c r="AE77" s="812">
        <v>306854396.17000002</v>
      </c>
      <c r="AF77" s="846">
        <v>-3.0547</v>
      </c>
      <c r="AG77" s="847">
        <v>116495564.95</v>
      </c>
      <c r="AH77" s="876"/>
      <c r="AI77" s="876"/>
      <c r="AJ77" s="824"/>
      <c r="AK77" s="825"/>
      <c r="AL77" s="852"/>
      <c r="AM77" s="828"/>
      <c r="AN77" s="827">
        <v>-6.5180999999999987</v>
      </c>
      <c r="AO77" s="845">
        <v>956291680.45000005</v>
      </c>
      <c r="AP77" s="829">
        <v>-4.9644000000000004</v>
      </c>
      <c r="AQ77" s="822">
        <v>687056100.99000001</v>
      </c>
      <c r="AR77" s="827">
        <v>-6.7481</v>
      </c>
      <c r="AS77" s="848">
        <v>579369683.85000002</v>
      </c>
      <c r="AT77" s="959">
        <v>0.45689999999999997</v>
      </c>
      <c r="AU77" s="822">
        <v>1228298690.55</v>
      </c>
      <c r="AV77" s="811">
        <v>0.44669999999999999</v>
      </c>
      <c r="AW77" s="845">
        <v>575374530.75999999</v>
      </c>
      <c r="AX77" s="873"/>
      <c r="AY77" s="828"/>
      <c r="AZ77" s="870"/>
      <c r="BA77" s="850"/>
      <c r="BB77" s="850"/>
      <c r="BC77" s="850"/>
      <c r="BD77" s="871"/>
      <c r="BE77" s="872"/>
      <c r="BF77" s="873"/>
      <c r="BG77" s="833">
        <f>Index_Returns!B311</f>
        <v>-6.335</v>
      </c>
      <c r="BH77" s="826">
        <f t="shared" si="16"/>
        <v>0.58439999999999959</v>
      </c>
      <c r="BI77" s="826"/>
      <c r="BJ77" s="836"/>
      <c r="BK77" s="865">
        <f t="shared" si="22"/>
        <v>0.27829999999999977</v>
      </c>
      <c r="BL77" s="865"/>
      <c r="BM77" s="865"/>
      <c r="BN77" s="865"/>
      <c r="BO77" s="865"/>
      <c r="BP77" s="866"/>
      <c r="BQ77" s="880">
        <f>Index_Returns!E311</f>
        <v>-7.4348000000000001</v>
      </c>
      <c r="BR77" s="836"/>
      <c r="BS77" s="865">
        <f t="shared" si="20"/>
        <v>1.4028999999999998</v>
      </c>
      <c r="BT77" s="883"/>
      <c r="BU77" s="865"/>
      <c r="BV77" s="865"/>
      <c r="BW77" s="865"/>
      <c r="BX77" s="1195"/>
      <c r="BY77" s="852"/>
      <c r="BZ77" s="852"/>
      <c r="CA77" s="853"/>
      <c r="CB77" s="854">
        <f>Index_Returns!H311</f>
        <v>-4.8920000000000003</v>
      </c>
      <c r="CC77" s="1002">
        <f t="shared" si="11"/>
        <v>4.1600000000000747E-2</v>
      </c>
      <c r="CD77" s="877">
        <f t="shared" si="13"/>
        <v>1.8373000000000004</v>
      </c>
      <c r="CE77" s="855">
        <f>Index_Returns!J311</f>
        <v>-1.6040000000000001</v>
      </c>
      <c r="CF77" s="874">
        <f t="shared" si="12"/>
        <v>-1.1740084609985351</v>
      </c>
      <c r="CG77" s="879"/>
      <c r="CH77" s="852"/>
      <c r="CI77" s="826">
        <f>Index_Returns!AA311</f>
        <v>-6.6211000000000002</v>
      </c>
      <c r="CJ77" s="826">
        <f t="shared" si="17"/>
        <v>0.10300000000000153</v>
      </c>
      <c r="CK77" s="826">
        <f t="shared" si="18"/>
        <v>1.6566999999999998</v>
      </c>
      <c r="CL77" s="826">
        <f t="shared" si="14"/>
        <v>-0.12699999999999978</v>
      </c>
      <c r="CM77" s="842">
        <f>Index_Returns!W311</f>
        <v>0.50180000000000002</v>
      </c>
      <c r="CN77" s="889">
        <f t="shared" si="21"/>
        <v>-4.4900000000000051E-2</v>
      </c>
      <c r="CO77" s="880">
        <f t="shared" si="15"/>
        <v>-5.5100000000000038E-2</v>
      </c>
      <c r="CP77" s="843"/>
      <c r="CQ77" s="859"/>
      <c r="CR77" s="890">
        <v>0.67469999999999997</v>
      </c>
      <c r="CS77" s="890"/>
      <c r="CT77" s="855"/>
      <c r="CU77" s="853"/>
    </row>
    <row r="78" spans="1:106" x14ac:dyDescent="0.2">
      <c r="A78" s="856">
        <v>37011</v>
      </c>
      <c r="B78" s="860">
        <v>7.8716999999999997</v>
      </c>
      <c r="C78" s="812">
        <v>1175806464.48</v>
      </c>
      <c r="D78" s="861"/>
      <c r="E78" s="812"/>
      <c r="F78" s="861"/>
      <c r="G78" s="812"/>
      <c r="H78" s="815"/>
      <c r="I78" s="815"/>
      <c r="J78" s="863">
        <v>8.2993000000000006</v>
      </c>
      <c r="K78" s="817">
        <v>1060238757.39</v>
      </c>
      <c r="L78" s="863"/>
      <c r="M78" s="817"/>
      <c r="N78" s="863"/>
      <c r="O78" s="817"/>
      <c r="P78" s="891"/>
      <c r="Q78" s="812"/>
      <c r="R78" s="811">
        <v>11.8584</v>
      </c>
      <c r="S78" s="845">
        <v>245570281.50999999</v>
      </c>
      <c r="T78" s="846"/>
      <c r="U78" s="884"/>
      <c r="V78" s="848"/>
      <c r="W78" s="845"/>
      <c r="X78" s="848"/>
      <c r="Y78" s="875"/>
      <c r="Z78" s="1185"/>
      <c r="AA78" s="875"/>
      <c r="AB78" s="868">
        <v>6.4119534492492676</v>
      </c>
      <c r="AC78" s="812">
        <v>214240907.78999999</v>
      </c>
      <c r="AD78" s="998">
        <v>7.7842000000000002</v>
      </c>
      <c r="AE78" s="812">
        <v>330740565.93000001</v>
      </c>
      <c r="AF78" s="846">
        <v>6.0906000000000002</v>
      </c>
      <c r="AG78" s="847">
        <v>123600571.09</v>
      </c>
      <c r="AH78" s="876"/>
      <c r="AI78" s="876"/>
      <c r="AJ78" s="824"/>
      <c r="AK78" s="825"/>
      <c r="AL78" s="852"/>
      <c r="AM78" s="828"/>
      <c r="AN78" s="827">
        <v>7.7199</v>
      </c>
      <c r="AO78" s="845">
        <v>1030180014.61</v>
      </c>
      <c r="AP78" s="829">
        <v>9.0561000000000007</v>
      </c>
      <c r="AQ78" s="822">
        <v>749270552.71000004</v>
      </c>
      <c r="AR78" s="827">
        <v>6.3028000000000004</v>
      </c>
      <c r="AS78" s="848">
        <v>616024157.13999999</v>
      </c>
      <c r="AT78" s="959">
        <v>-0.43120000000000003</v>
      </c>
      <c r="AU78" s="822">
        <v>1223002664.55</v>
      </c>
      <c r="AV78" s="811">
        <v>-0.45329999999999998</v>
      </c>
      <c r="AW78" s="845">
        <v>572835538.65999997</v>
      </c>
      <c r="AX78" s="873"/>
      <c r="AY78" s="828"/>
      <c r="AZ78" s="870"/>
      <c r="BA78" s="850"/>
      <c r="BB78" s="850"/>
      <c r="BC78" s="850"/>
      <c r="BD78" s="871"/>
      <c r="BE78" s="872"/>
      <c r="BF78" s="873"/>
      <c r="BG78" s="833">
        <f>Index_Returns!B312</f>
        <v>7.7709999999999999</v>
      </c>
      <c r="BH78" s="826">
        <f t="shared" si="16"/>
        <v>0.10069999999999979</v>
      </c>
      <c r="BI78" s="826"/>
      <c r="BJ78" s="836"/>
      <c r="BK78" s="865">
        <f t="shared" si="22"/>
        <v>0.52830000000000066</v>
      </c>
      <c r="BL78" s="865"/>
      <c r="BM78" s="865"/>
      <c r="BN78" s="865"/>
      <c r="BO78" s="865"/>
      <c r="BP78" s="866"/>
      <c r="BQ78" s="880">
        <f>Index_Returns!E312</f>
        <v>11.031599999999999</v>
      </c>
      <c r="BR78" s="836"/>
      <c r="BS78" s="865">
        <f t="shared" si="20"/>
        <v>0.82680000000000042</v>
      </c>
      <c r="BT78" s="883"/>
      <c r="BU78" s="865"/>
      <c r="BV78" s="865"/>
      <c r="BW78" s="865"/>
      <c r="BX78" s="1195"/>
      <c r="BY78" s="852"/>
      <c r="BZ78" s="852"/>
      <c r="CA78" s="853"/>
      <c r="CB78" s="854">
        <f>Index_Returns!H312</f>
        <v>7.8230000000000004</v>
      </c>
      <c r="CC78" s="1002">
        <f t="shared" ref="CC78:CC109" si="23">AD78-CB78</f>
        <v>-3.8800000000000168E-2</v>
      </c>
      <c r="CD78" s="877">
        <f t="shared" si="13"/>
        <v>-1.7324000000000002</v>
      </c>
      <c r="CE78" s="855">
        <f>Index_Returns!J312</f>
        <v>4.6289999999999996</v>
      </c>
      <c r="CF78" s="874">
        <f t="shared" si="12"/>
        <v>1.782953449249268</v>
      </c>
      <c r="CG78" s="879"/>
      <c r="CH78" s="852"/>
      <c r="CI78" s="826">
        <f>Index_Returns!AA312</f>
        <v>7.0140000000000002</v>
      </c>
      <c r="CJ78" s="826">
        <f t="shared" si="17"/>
        <v>0.70589999999999975</v>
      </c>
      <c r="CK78" s="826">
        <f t="shared" si="18"/>
        <v>2.0421000000000005</v>
      </c>
      <c r="CL78" s="826">
        <f t="shared" si="14"/>
        <v>-0.71119999999999983</v>
      </c>
      <c r="CM78" s="842">
        <f>Index_Returns!W312</f>
        <v>-0.41510000000000002</v>
      </c>
      <c r="CN78" s="889">
        <f t="shared" si="21"/>
        <v>-1.6100000000000003E-2</v>
      </c>
      <c r="CO78" s="880">
        <f t="shared" si="15"/>
        <v>-3.8199999999999956E-2</v>
      </c>
      <c r="CP78" s="843"/>
      <c r="CQ78" s="859"/>
      <c r="CR78" s="890">
        <v>-8.4000000000000005E-2</v>
      </c>
      <c r="CS78" s="890"/>
      <c r="CT78" s="855"/>
      <c r="CU78" s="853"/>
    </row>
    <row r="79" spans="1:106" x14ac:dyDescent="0.2">
      <c r="A79" s="856">
        <v>37042</v>
      </c>
      <c r="B79" s="860">
        <v>1.3312999999999999</v>
      </c>
      <c r="C79" s="812">
        <v>1191596680.72</v>
      </c>
      <c r="D79" s="861"/>
      <c r="E79" s="812"/>
      <c r="F79" s="861"/>
      <c r="G79" s="812"/>
      <c r="H79" s="815"/>
      <c r="I79" s="815"/>
      <c r="J79" s="863">
        <v>0.54059999999999997</v>
      </c>
      <c r="K79" s="817">
        <v>1066076266.01</v>
      </c>
      <c r="L79" s="863"/>
      <c r="M79" s="817"/>
      <c r="N79" s="863"/>
      <c r="O79" s="817"/>
      <c r="P79" s="857"/>
      <c r="Q79" s="812"/>
      <c r="R79" s="811">
        <v>1.3563000000000001</v>
      </c>
      <c r="S79" s="845">
        <v>248941941.43000001</v>
      </c>
      <c r="T79" s="846"/>
      <c r="U79" s="884"/>
      <c r="V79" s="848"/>
      <c r="W79" s="845"/>
      <c r="X79" s="848"/>
      <c r="Y79" s="875"/>
      <c r="Z79" s="1185"/>
      <c r="AA79" s="875"/>
      <c r="AB79" s="868">
        <v>4.7840409278869629</v>
      </c>
      <c r="AC79" s="812">
        <v>224489759.25</v>
      </c>
      <c r="AD79" s="998">
        <v>2.4529000000000001</v>
      </c>
      <c r="AE79" s="812">
        <v>338853202.76999998</v>
      </c>
      <c r="AF79" s="846">
        <v>6.0087999999999999</v>
      </c>
      <c r="AG79" s="847">
        <v>131037742.98999999</v>
      </c>
      <c r="AH79" s="876"/>
      <c r="AI79" s="876"/>
      <c r="AJ79" s="824"/>
      <c r="AK79" s="825"/>
      <c r="AL79" s="852"/>
      <c r="AM79" s="828"/>
      <c r="AN79" s="827">
        <v>-3.5964000000000005</v>
      </c>
      <c r="AO79" s="845">
        <v>993199456.57000005</v>
      </c>
      <c r="AP79" s="829">
        <v>-3.5608</v>
      </c>
      <c r="AQ79" s="822">
        <v>722585168.45000005</v>
      </c>
      <c r="AR79" s="827">
        <v>-2.8997000000000002</v>
      </c>
      <c r="AS79" s="848">
        <v>598312475.51999998</v>
      </c>
      <c r="AT79" s="959">
        <v>0.55189999999999995</v>
      </c>
      <c r="AU79" s="822">
        <v>1229752560.47</v>
      </c>
      <c r="AV79" s="811">
        <v>0.7923</v>
      </c>
      <c r="AW79" s="845">
        <v>577532680.23000002</v>
      </c>
      <c r="AX79" s="873"/>
      <c r="AY79" s="828"/>
      <c r="AZ79" s="870"/>
      <c r="BA79" s="850"/>
      <c r="BB79" s="850"/>
      <c r="BC79" s="850"/>
      <c r="BD79" s="871"/>
      <c r="BE79" s="872"/>
      <c r="BF79" s="873"/>
      <c r="BG79" s="833">
        <f>Index_Returns!B313</f>
        <v>0.67</v>
      </c>
      <c r="BH79" s="826">
        <f t="shared" si="16"/>
        <v>0.66129999999999989</v>
      </c>
      <c r="BI79" s="826"/>
      <c r="BJ79" s="836"/>
      <c r="BK79" s="865">
        <f t="shared" si="22"/>
        <v>-0.12940000000000007</v>
      </c>
      <c r="BL79" s="865"/>
      <c r="BM79" s="865"/>
      <c r="BN79" s="865"/>
      <c r="BO79" s="865"/>
      <c r="BP79" s="866"/>
      <c r="BQ79" s="880">
        <f>Index_Returns!E313</f>
        <v>2.3289</v>
      </c>
      <c r="BR79" s="836"/>
      <c r="BS79" s="865">
        <f t="shared" si="20"/>
        <v>-0.97259999999999991</v>
      </c>
      <c r="BT79" s="883"/>
      <c r="BU79" s="865"/>
      <c r="BV79" s="865"/>
      <c r="BW79" s="865"/>
      <c r="BX79" s="1195"/>
      <c r="BY79" s="852"/>
      <c r="BZ79" s="852"/>
      <c r="CA79" s="853"/>
      <c r="CB79" s="854">
        <f>Index_Returns!H313</f>
        <v>2.4580000000000002</v>
      </c>
      <c r="CC79" s="1002">
        <f t="shared" si="23"/>
        <v>-5.1000000000001044E-3</v>
      </c>
      <c r="CD79" s="877">
        <f t="shared" ref="CD79:CD110" si="24">AF79-CB79</f>
        <v>3.5507999999999997</v>
      </c>
      <c r="CE79" s="855">
        <f>Index_Returns!J313</f>
        <v>2.5710000000000002</v>
      </c>
      <c r="CF79" s="874">
        <f t="shared" si="12"/>
        <v>2.2130409278869627</v>
      </c>
      <c r="CG79" s="879"/>
      <c r="CH79" s="852"/>
      <c r="CI79" s="826">
        <f>Index_Returns!AA313</f>
        <v>-3.45</v>
      </c>
      <c r="CJ79" s="826">
        <f t="shared" si="17"/>
        <v>-0.14640000000000031</v>
      </c>
      <c r="CK79" s="826">
        <f t="shared" si="18"/>
        <v>-0.11079999999999979</v>
      </c>
      <c r="CL79" s="826">
        <f t="shared" si="14"/>
        <v>0.55030000000000001</v>
      </c>
      <c r="CM79" s="842">
        <f>Index_Returns!W313</f>
        <v>0.60409999999999997</v>
      </c>
      <c r="CN79" s="889">
        <f t="shared" si="21"/>
        <v>-5.2200000000000024E-2</v>
      </c>
      <c r="CO79" s="880">
        <f t="shared" si="15"/>
        <v>0.18820000000000003</v>
      </c>
      <c r="CP79" s="843"/>
      <c r="CQ79" s="859"/>
      <c r="CR79" s="890">
        <v>0.60340000000000005</v>
      </c>
      <c r="CS79" s="890"/>
      <c r="CT79" s="855"/>
      <c r="CU79" s="853"/>
    </row>
    <row r="80" spans="1:106" x14ac:dyDescent="0.2">
      <c r="A80" s="856">
        <v>37072</v>
      </c>
      <c r="B80" s="860">
        <v>-1.5958000000000001</v>
      </c>
      <c r="C80" s="812">
        <v>1172720667.76</v>
      </c>
      <c r="D80" s="861"/>
      <c r="E80" s="812"/>
      <c r="F80" s="861"/>
      <c r="G80" s="812"/>
      <c r="H80" s="815"/>
      <c r="I80" s="815"/>
      <c r="J80" s="863">
        <v>-2.8241000000000001</v>
      </c>
      <c r="K80" s="817">
        <v>1036075875.04</v>
      </c>
      <c r="L80" s="863"/>
      <c r="M80" s="817"/>
      <c r="N80" s="863"/>
      <c r="O80" s="817"/>
      <c r="P80" s="857"/>
      <c r="Q80" s="812"/>
      <c r="R80" s="811">
        <v>-1.8332000000000002</v>
      </c>
      <c r="S80" s="845">
        <v>244419729.33000001</v>
      </c>
      <c r="T80" s="846"/>
      <c r="U80" s="884"/>
      <c r="V80" s="848"/>
      <c r="W80" s="845"/>
      <c r="X80" s="848"/>
      <c r="Y80" s="875"/>
      <c r="Z80" s="1185"/>
      <c r="AA80" s="875"/>
      <c r="AB80" s="868">
        <v>3.9429779052734379</v>
      </c>
      <c r="AC80" s="812">
        <v>233424090.27000001</v>
      </c>
      <c r="AD80" s="998">
        <v>4.3185000000000002</v>
      </c>
      <c r="AE80" s="812">
        <v>353486588.92000002</v>
      </c>
      <c r="AF80" s="846">
        <v>2.6901999999999999</v>
      </c>
      <c r="AG80" s="847">
        <v>134573913.06999999</v>
      </c>
      <c r="AH80" s="876"/>
      <c r="AI80" s="876"/>
      <c r="AJ80" s="824"/>
      <c r="AK80" s="825"/>
      <c r="AL80" s="852"/>
      <c r="AM80" s="828"/>
      <c r="AN80" s="827">
        <v>-3.0899000000000001</v>
      </c>
      <c r="AO80" s="845">
        <v>962577226.72000003</v>
      </c>
      <c r="AP80" s="829">
        <v>-4.4696999999999996</v>
      </c>
      <c r="AQ80" s="822">
        <v>690282837.23000002</v>
      </c>
      <c r="AR80" s="827">
        <v>-2.8468</v>
      </c>
      <c r="AS80" s="848">
        <v>581438897.80999994</v>
      </c>
      <c r="AT80" s="959">
        <v>0.36559999999999998</v>
      </c>
      <c r="AU80" s="822">
        <v>1234248334.8499999</v>
      </c>
      <c r="AV80" s="811">
        <v>0.24310000000000001</v>
      </c>
      <c r="AW80" s="845">
        <v>579149710.54999995</v>
      </c>
      <c r="AX80" s="873"/>
      <c r="AY80" s="828"/>
      <c r="AZ80" s="870"/>
      <c r="BA80" s="850"/>
      <c r="BB80" s="850"/>
      <c r="BC80" s="850"/>
      <c r="BD80" s="871"/>
      <c r="BE80" s="872"/>
      <c r="BF80" s="873"/>
      <c r="BG80" s="833">
        <f>Index_Returns!B314</f>
        <v>-2.4340000000000002</v>
      </c>
      <c r="BH80" s="826">
        <f t="shared" si="16"/>
        <v>0.83820000000000006</v>
      </c>
      <c r="BI80" s="826"/>
      <c r="BJ80" s="836"/>
      <c r="BK80" s="865">
        <f t="shared" si="22"/>
        <v>-0.39009999999999989</v>
      </c>
      <c r="BL80" s="865"/>
      <c r="BM80" s="865"/>
      <c r="BN80" s="865"/>
      <c r="BO80" s="865"/>
      <c r="BP80" s="866"/>
      <c r="BQ80" s="880">
        <f>Index_Returns!E314</f>
        <v>-0.4037</v>
      </c>
      <c r="BR80" s="836"/>
      <c r="BS80" s="865">
        <f t="shared" si="20"/>
        <v>-1.4295000000000002</v>
      </c>
      <c r="BT80" s="883"/>
      <c r="BU80" s="865"/>
      <c r="BV80" s="865"/>
      <c r="BW80" s="865"/>
      <c r="BX80" s="1195"/>
      <c r="BY80" s="852"/>
      <c r="BZ80" s="852"/>
      <c r="CA80" s="853"/>
      <c r="CB80" s="854">
        <f>Index_Returns!H314</f>
        <v>3.4529999999999998</v>
      </c>
      <c r="CC80" s="1002">
        <f t="shared" si="23"/>
        <v>0.86550000000000038</v>
      </c>
      <c r="CD80" s="877">
        <f t="shared" si="24"/>
        <v>-0.76279999999999992</v>
      </c>
      <c r="CE80" s="855">
        <f>Index_Returns!J314</f>
        <v>4.0229999999999997</v>
      </c>
      <c r="CF80" s="874">
        <f t="shared" si="12"/>
        <v>-8.0022094726561743E-2</v>
      </c>
      <c r="CG80" s="879"/>
      <c r="CH80" s="852"/>
      <c r="CI80" s="826">
        <f>Index_Returns!AA314</f>
        <v>-4.0519999999999996</v>
      </c>
      <c r="CJ80" s="826">
        <f t="shared" si="17"/>
        <v>0.96209999999999951</v>
      </c>
      <c r="CK80" s="826">
        <f t="shared" si="18"/>
        <v>-0.41769999999999996</v>
      </c>
      <c r="CL80" s="826">
        <f t="shared" ref="CL80:CL111" si="25">AR80-CI80</f>
        <v>1.2051999999999996</v>
      </c>
      <c r="CM80" s="842">
        <f>Index_Returns!W314</f>
        <v>0.37730000000000002</v>
      </c>
      <c r="CN80" s="889">
        <f t="shared" si="21"/>
        <v>-1.1700000000000044E-2</v>
      </c>
      <c r="CO80" s="880">
        <f t="shared" si="15"/>
        <v>-0.13420000000000001</v>
      </c>
      <c r="CP80" s="843"/>
      <c r="CQ80" s="859"/>
      <c r="CR80" s="890">
        <v>0.29909999999999998</v>
      </c>
      <c r="CS80" s="890"/>
      <c r="CT80" s="855"/>
      <c r="CU80" s="853"/>
    </row>
    <row r="81" spans="1:99" x14ac:dyDescent="0.2">
      <c r="A81" s="856">
        <v>37103</v>
      </c>
      <c r="B81" s="860">
        <v>-1.7072000000000001</v>
      </c>
      <c r="C81" s="812">
        <v>1152837072.77</v>
      </c>
      <c r="D81" s="861"/>
      <c r="E81" s="812"/>
      <c r="F81" s="861"/>
      <c r="G81" s="812"/>
      <c r="H81" s="815"/>
      <c r="I81" s="815"/>
      <c r="J81" s="863">
        <v>-1.6244999999999998</v>
      </c>
      <c r="K81" s="817">
        <v>1019348111.23</v>
      </c>
      <c r="L81" s="863"/>
      <c r="M81" s="817"/>
      <c r="N81" s="863"/>
      <c r="O81" s="817"/>
      <c r="P81" s="857"/>
      <c r="Q81" s="812"/>
      <c r="R81" s="811">
        <v>-1.6752</v>
      </c>
      <c r="S81" s="845">
        <v>240365829.31999999</v>
      </c>
      <c r="T81" s="846"/>
      <c r="U81" s="884"/>
      <c r="V81" s="848"/>
      <c r="W81" s="845"/>
      <c r="X81" s="848"/>
      <c r="Y81" s="875"/>
      <c r="Z81" s="1185"/>
      <c r="AA81" s="875"/>
      <c r="AB81" s="868">
        <v>0.8129652738571167</v>
      </c>
      <c r="AC81" s="812">
        <v>235400124.78999999</v>
      </c>
      <c r="AD81" s="998">
        <v>-5.0998000000000001</v>
      </c>
      <c r="AE81" s="812">
        <v>335459530.33999997</v>
      </c>
      <c r="AF81" s="846">
        <v>-0.51929999999999998</v>
      </c>
      <c r="AG81" s="847">
        <v>133886125.59</v>
      </c>
      <c r="AH81" s="876"/>
      <c r="AI81" s="876"/>
      <c r="AJ81" s="824"/>
      <c r="AK81" s="825"/>
      <c r="AL81" s="852"/>
      <c r="AM81" s="828"/>
      <c r="AN81" s="827">
        <v>-2.9296000000000002</v>
      </c>
      <c r="AO81" s="845">
        <v>934441269.83000004</v>
      </c>
      <c r="AP81" s="829">
        <v>-2.7671000000000001</v>
      </c>
      <c r="AQ81" s="822">
        <v>671367564.92999995</v>
      </c>
      <c r="AR81" s="827">
        <v>-2.2025999999999999</v>
      </c>
      <c r="AS81" s="848">
        <v>568866528.08000004</v>
      </c>
      <c r="AT81" s="959">
        <v>2.2256999999999998</v>
      </c>
      <c r="AU81" s="822">
        <v>1261718858.8399999</v>
      </c>
      <c r="AV81" s="811">
        <v>2.3853</v>
      </c>
      <c r="AW81" s="845">
        <v>593372674.16999996</v>
      </c>
      <c r="AX81" s="873"/>
      <c r="AY81" s="828"/>
      <c r="AZ81" s="870"/>
      <c r="BA81" s="850"/>
      <c r="BB81" s="850"/>
      <c r="BC81" s="850"/>
      <c r="BD81" s="871"/>
      <c r="BE81" s="872"/>
      <c r="BF81" s="873"/>
      <c r="BG81" s="833">
        <f>Index_Returns!B315</f>
        <v>-0.98399999999999999</v>
      </c>
      <c r="BH81" s="826">
        <f t="shared" si="16"/>
        <v>-0.72320000000000007</v>
      </c>
      <c r="BI81" s="826"/>
      <c r="BJ81" s="836"/>
      <c r="BK81" s="865">
        <f t="shared" si="22"/>
        <v>-0.64049999999999985</v>
      </c>
      <c r="BL81" s="865"/>
      <c r="BM81" s="865"/>
      <c r="BN81" s="865"/>
      <c r="BO81" s="865"/>
      <c r="BP81" s="866"/>
      <c r="BQ81" s="880">
        <f>Index_Returns!E315</f>
        <v>-1.4897</v>
      </c>
      <c r="BR81" s="836"/>
      <c r="BS81" s="865">
        <f t="shared" si="20"/>
        <v>-0.1855</v>
      </c>
      <c r="BT81" s="883"/>
      <c r="BU81" s="865"/>
      <c r="BV81" s="865"/>
      <c r="BW81" s="865"/>
      <c r="BX81" s="1195"/>
      <c r="BY81" s="852"/>
      <c r="BZ81" s="852"/>
      <c r="CA81" s="853"/>
      <c r="CB81" s="854">
        <f>Index_Returns!H315</f>
        <v>-5.4130000000000003</v>
      </c>
      <c r="CC81" s="1002">
        <f t="shared" si="23"/>
        <v>0.31320000000000014</v>
      </c>
      <c r="CD81" s="877">
        <f t="shared" si="24"/>
        <v>4.8936999999999999</v>
      </c>
      <c r="CE81" s="855">
        <f>Index_Returns!J315</f>
        <v>-2.242</v>
      </c>
      <c r="CF81" s="874">
        <f t="shared" si="12"/>
        <v>3.0549652738571167</v>
      </c>
      <c r="CG81" s="879"/>
      <c r="CH81" s="852"/>
      <c r="CI81" s="826">
        <f>Index_Returns!AA315</f>
        <v>-1.8120000000000001</v>
      </c>
      <c r="CJ81" s="826">
        <f t="shared" si="17"/>
        <v>-1.1176000000000001</v>
      </c>
      <c r="CK81" s="826">
        <f t="shared" si="18"/>
        <v>-0.95510000000000006</v>
      </c>
      <c r="CL81" s="826">
        <f t="shared" si="25"/>
        <v>-0.39059999999999984</v>
      </c>
      <c r="CM81" s="842">
        <f>Index_Returns!W315</f>
        <v>2.2357</v>
      </c>
      <c r="CN81" s="889">
        <f t="shared" si="21"/>
        <v>-1.0000000000000231E-2</v>
      </c>
      <c r="CO81" s="880">
        <f t="shared" si="15"/>
        <v>0.14959999999999996</v>
      </c>
      <c r="CP81" s="843"/>
      <c r="CQ81" s="859"/>
      <c r="CR81" s="890">
        <v>1.9631000000000001</v>
      </c>
      <c r="CS81" s="890"/>
      <c r="CT81" s="855"/>
      <c r="CU81" s="853"/>
    </row>
    <row r="82" spans="1:99" x14ac:dyDescent="0.2">
      <c r="A82" s="856">
        <v>37134</v>
      </c>
      <c r="B82" s="860">
        <v>-6.0178000000000003</v>
      </c>
      <c r="C82" s="812">
        <v>1083596211.4200001</v>
      </c>
      <c r="D82" s="861"/>
      <c r="E82" s="812"/>
      <c r="F82" s="861"/>
      <c r="G82" s="812"/>
      <c r="H82" s="815"/>
      <c r="I82" s="815"/>
      <c r="J82" s="863">
        <v>-6.5765000000000002</v>
      </c>
      <c r="K82" s="817">
        <v>952412559.95000005</v>
      </c>
      <c r="L82" s="863"/>
      <c r="M82" s="817"/>
      <c r="N82" s="863"/>
      <c r="O82" s="817"/>
      <c r="P82" s="857"/>
      <c r="Q82" s="812"/>
      <c r="R82" s="811">
        <v>-3.0510000000000002</v>
      </c>
      <c r="S82" s="845">
        <v>233072402.86000001</v>
      </c>
      <c r="T82" s="846"/>
      <c r="U82" s="884"/>
      <c r="V82" s="848"/>
      <c r="W82" s="845"/>
      <c r="X82" s="848"/>
      <c r="Y82" s="875"/>
      <c r="Z82" s="1185"/>
      <c r="AA82" s="875"/>
      <c r="AB82" s="868">
        <v>-1.5469571352005005</v>
      </c>
      <c r="AC82" s="812">
        <v>231845130.93000001</v>
      </c>
      <c r="AD82" s="998">
        <v>-3.1899000000000002</v>
      </c>
      <c r="AE82" s="812">
        <v>324758838.94999999</v>
      </c>
      <c r="AF82" s="846">
        <v>1.4326000000000001</v>
      </c>
      <c r="AG82" s="847">
        <v>135815292.74000001</v>
      </c>
      <c r="AH82" s="876"/>
      <c r="AI82" s="876"/>
      <c r="AJ82" s="824"/>
      <c r="AK82" s="825"/>
      <c r="AL82" s="852"/>
      <c r="AM82" s="828"/>
      <c r="AN82" s="827">
        <v>-1.9135</v>
      </c>
      <c r="AO82" s="845">
        <v>916622518.09000003</v>
      </c>
      <c r="AP82" s="829">
        <v>-3.4990000000000001</v>
      </c>
      <c r="AQ82" s="822">
        <v>648212440.48000002</v>
      </c>
      <c r="AR82" s="827">
        <v>-3.2040999999999999</v>
      </c>
      <c r="AS82" s="848">
        <v>550821390.27999997</v>
      </c>
      <c r="AT82" s="959">
        <v>1.1006</v>
      </c>
      <c r="AU82" s="822">
        <v>1275605238.4000001</v>
      </c>
      <c r="AV82" s="811">
        <v>1.0698000000000001</v>
      </c>
      <c r="AW82" s="845">
        <v>599837638.20000005</v>
      </c>
      <c r="AX82" s="873"/>
      <c r="AY82" s="828"/>
      <c r="AZ82" s="870"/>
      <c r="BA82" s="850"/>
      <c r="BB82" s="850"/>
      <c r="BC82" s="850"/>
      <c r="BD82" s="871"/>
      <c r="BE82" s="872"/>
      <c r="BF82" s="873"/>
      <c r="BG82" s="833">
        <f>Index_Returns!B316</f>
        <v>-6.26</v>
      </c>
      <c r="BH82" s="826">
        <f t="shared" si="16"/>
        <v>0.24219999999999953</v>
      </c>
      <c r="BI82" s="826"/>
      <c r="BJ82" s="836"/>
      <c r="BK82" s="865">
        <f t="shared" si="22"/>
        <v>-0.31650000000000045</v>
      </c>
      <c r="BL82" s="865"/>
      <c r="BM82" s="865"/>
      <c r="BN82" s="865"/>
      <c r="BO82" s="865"/>
      <c r="BP82" s="866"/>
      <c r="BQ82" s="880">
        <f>Index_Returns!E316</f>
        <v>-3.2707999999999999</v>
      </c>
      <c r="BR82" s="836"/>
      <c r="BS82" s="865">
        <f t="shared" si="20"/>
        <v>0.21979999999999977</v>
      </c>
      <c r="BT82" s="883"/>
      <c r="BU82" s="865"/>
      <c r="BV82" s="865"/>
      <c r="BW82" s="865"/>
      <c r="BX82" s="1195"/>
      <c r="BY82" s="852"/>
      <c r="BZ82" s="852"/>
      <c r="CA82" s="853"/>
      <c r="CB82" s="854">
        <f>Index_Returns!H316</f>
        <v>-3.23</v>
      </c>
      <c r="CC82" s="1002">
        <f t="shared" si="23"/>
        <v>4.0099999999999802E-2</v>
      </c>
      <c r="CD82" s="877">
        <f t="shared" si="24"/>
        <v>4.6626000000000003</v>
      </c>
      <c r="CE82" s="855">
        <f>Index_Returns!J316</f>
        <v>-0.34599999999999997</v>
      </c>
      <c r="CF82" s="874">
        <f t="shared" si="12"/>
        <v>-1.2009571352005004</v>
      </c>
      <c r="CG82" s="879"/>
      <c r="CH82" s="852"/>
      <c r="CI82" s="826">
        <f>Index_Returns!AA316</f>
        <v>-2.512</v>
      </c>
      <c r="CJ82" s="826">
        <f t="shared" si="17"/>
        <v>0.59850000000000003</v>
      </c>
      <c r="CK82" s="826">
        <f t="shared" si="18"/>
        <v>-0.9870000000000001</v>
      </c>
      <c r="CL82" s="826">
        <f t="shared" si="25"/>
        <v>-0.69209999999999994</v>
      </c>
      <c r="CM82" s="842">
        <f>Index_Returns!W316</f>
        <v>1.1457999999999999</v>
      </c>
      <c r="CN82" s="889">
        <f t="shared" si="21"/>
        <v>-4.5199999999999907E-2</v>
      </c>
      <c r="CO82" s="880">
        <f t="shared" ref="CO82:CO101" si="26">AV82-CM82</f>
        <v>-7.5999999999999845E-2</v>
      </c>
      <c r="CP82" s="843"/>
      <c r="CQ82" s="859"/>
      <c r="CR82" s="890">
        <v>0.96679999999999999</v>
      </c>
      <c r="CS82" s="890"/>
      <c r="CT82" s="855"/>
      <c r="CU82" s="853"/>
    </row>
    <row r="83" spans="1:99" x14ac:dyDescent="0.2">
      <c r="A83" s="856">
        <v>37164</v>
      </c>
      <c r="B83" s="860">
        <v>-8.3476999999999997</v>
      </c>
      <c r="C83" s="812">
        <v>993299089.29999995</v>
      </c>
      <c r="D83" s="861"/>
      <c r="E83" s="812"/>
      <c r="F83" s="861"/>
      <c r="G83" s="812"/>
      <c r="H83" s="815"/>
      <c r="I83" s="815"/>
      <c r="J83" s="863">
        <v>-8.5685000000000002</v>
      </c>
      <c r="K83" s="817">
        <v>870894716.70000005</v>
      </c>
      <c r="L83" s="863"/>
      <c r="M83" s="817"/>
      <c r="N83" s="863"/>
      <c r="O83" s="817"/>
      <c r="P83" s="857"/>
      <c r="Q83" s="812"/>
      <c r="R83" s="811">
        <v>-11.889699999999999</v>
      </c>
      <c r="S83" s="845">
        <v>205399522.34999999</v>
      </c>
      <c r="T83" s="846"/>
      <c r="U83" s="884"/>
      <c r="V83" s="848"/>
      <c r="W83" s="845"/>
      <c r="X83" s="848"/>
      <c r="Y83" s="875"/>
      <c r="Z83" s="1185"/>
      <c r="AA83" s="875"/>
      <c r="AB83" s="868">
        <v>-14.043046951293944</v>
      </c>
      <c r="AC83" s="812">
        <v>199373184.50999999</v>
      </c>
      <c r="AD83" s="998">
        <v>-13.380100000000001</v>
      </c>
      <c r="AE83" s="812">
        <v>281305792.10000002</v>
      </c>
      <c r="AF83" s="846">
        <v>-10.4011</v>
      </c>
      <c r="AG83" s="847">
        <v>121700243.93000001</v>
      </c>
      <c r="AH83" s="876"/>
      <c r="AI83" s="876"/>
      <c r="AJ83" s="824"/>
      <c r="AK83" s="825"/>
      <c r="AL83" s="852"/>
      <c r="AM83" s="828"/>
      <c r="AN83" s="827">
        <v>-11.21</v>
      </c>
      <c r="AO83" s="845">
        <v>813930002.97000003</v>
      </c>
      <c r="AP83" s="829">
        <v>-11.9453</v>
      </c>
      <c r="AQ83" s="822">
        <v>571068230.49000001</v>
      </c>
      <c r="AR83" s="827">
        <v>-8.8600999999999992</v>
      </c>
      <c r="AS83" s="848">
        <v>502159554.47000003</v>
      </c>
      <c r="AT83" s="959">
        <v>1.2113</v>
      </c>
      <c r="AU83" s="822">
        <v>1291056766.8099999</v>
      </c>
      <c r="AV83" s="811">
        <v>1</v>
      </c>
      <c r="AW83" s="845">
        <v>606008197.53999996</v>
      </c>
      <c r="AX83" s="873"/>
      <c r="AY83" s="828"/>
      <c r="AZ83" s="870"/>
      <c r="BA83" s="850"/>
      <c r="BB83" s="850"/>
      <c r="BC83" s="850"/>
      <c r="BD83" s="871"/>
      <c r="BE83" s="872"/>
      <c r="BF83" s="873"/>
      <c r="BG83" s="833">
        <f>Index_Returns!B317</f>
        <v>-8.0749999999999993</v>
      </c>
      <c r="BH83" s="826">
        <f t="shared" si="16"/>
        <v>-0.27270000000000039</v>
      </c>
      <c r="BI83" s="826"/>
      <c r="BJ83" s="836"/>
      <c r="BK83" s="865">
        <f t="shared" si="22"/>
        <v>-0.49350000000000094</v>
      </c>
      <c r="BL83" s="865"/>
      <c r="BM83" s="865"/>
      <c r="BN83" s="865"/>
      <c r="BO83" s="865"/>
      <c r="BP83" s="866"/>
      <c r="BQ83" s="880">
        <f>Index_Returns!E317</f>
        <v>-12.438700000000001</v>
      </c>
      <c r="BR83" s="836"/>
      <c r="BS83" s="865">
        <f t="shared" si="20"/>
        <v>0.54900000000000126</v>
      </c>
      <c r="BT83" s="883"/>
      <c r="BU83" s="865"/>
      <c r="BV83" s="865"/>
      <c r="BW83" s="865"/>
      <c r="BX83" s="1195"/>
      <c r="BY83" s="852"/>
      <c r="BZ83" s="852"/>
      <c r="CA83" s="853"/>
      <c r="CB83" s="854">
        <f>Index_Returns!H317</f>
        <v>-13.461</v>
      </c>
      <c r="CC83" s="1002">
        <f t="shared" si="23"/>
        <v>8.089999999999975E-2</v>
      </c>
      <c r="CD83" s="877">
        <f t="shared" si="24"/>
        <v>3.0599000000000007</v>
      </c>
      <c r="CE83" s="855">
        <f>Index_Returns!J317</f>
        <v>-11.039</v>
      </c>
      <c r="CF83" s="874">
        <f t="shared" si="12"/>
        <v>-3.0040469512939438</v>
      </c>
      <c r="CG83" s="879"/>
      <c r="CH83" s="852"/>
      <c r="CI83" s="826">
        <f>Index_Returns!AA317</f>
        <v>-10.106</v>
      </c>
      <c r="CJ83" s="826">
        <f t="shared" si="17"/>
        <v>-1.104000000000001</v>
      </c>
      <c r="CK83" s="826">
        <f t="shared" si="18"/>
        <v>-1.8392999999999997</v>
      </c>
      <c r="CL83" s="826">
        <f t="shared" si="25"/>
        <v>1.2459000000000007</v>
      </c>
      <c r="CM83" s="842">
        <f>Index_Returns!W317</f>
        <v>1.1647000000000001</v>
      </c>
      <c r="CN83" s="889">
        <f t="shared" si="21"/>
        <v>4.6599999999999975E-2</v>
      </c>
      <c r="CO83" s="880">
        <f t="shared" si="26"/>
        <v>-0.16470000000000007</v>
      </c>
      <c r="CP83" s="843"/>
      <c r="CQ83" s="859"/>
      <c r="CR83" s="890">
        <v>1.4993000000000001</v>
      </c>
      <c r="CS83" s="890"/>
      <c r="CT83" s="855"/>
      <c r="CU83" s="853"/>
    </row>
    <row r="84" spans="1:99" x14ac:dyDescent="0.2">
      <c r="A84" s="856">
        <v>37195</v>
      </c>
      <c r="B84" s="860">
        <v>2.0975999999999999</v>
      </c>
      <c r="C84" s="812">
        <v>1014251414.53</v>
      </c>
      <c r="D84" s="861"/>
      <c r="E84" s="812"/>
      <c r="F84" s="861"/>
      <c r="G84" s="812"/>
      <c r="H84" s="815"/>
      <c r="I84" s="815"/>
      <c r="J84" s="863">
        <v>1.9386000000000001</v>
      </c>
      <c r="K84" s="817">
        <v>887864971.79999995</v>
      </c>
      <c r="L84" s="863"/>
      <c r="M84" s="817"/>
      <c r="N84" s="863"/>
      <c r="O84" s="817"/>
      <c r="P84" s="857"/>
      <c r="Q84" s="812"/>
      <c r="R84" s="811">
        <v>4.8331</v>
      </c>
      <c r="S84" s="845">
        <v>215361018.25</v>
      </c>
      <c r="T84" s="846"/>
      <c r="U84" s="892"/>
      <c r="V84" s="848"/>
      <c r="W84" s="845"/>
      <c r="X84" s="848"/>
      <c r="Y84" s="875"/>
      <c r="Z84" s="1185"/>
      <c r="AA84" s="875"/>
      <c r="AB84" s="868">
        <v>3.3260118961334224</v>
      </c>
      <c r="AC84" s="812">
        <v>206068600.18000001</v>
      </c>
      <c r="AD84" s="998">
        <v>5.7557</v>
      </c>
      <c r="AE84" s="812">
        <v>297497034.69</v>
      </c>
      <c r="AF84" s="846">
        <v>3.8635000000000002</v>
      </c>
      <c r="AG84" s="847">
        <v>126412324.27</v>
      </c>
      <c r="AH84" s="876"/>
      <c r="AI84" s="876"/>
      <c r="AJ84" s="824"/>
      <c r="AK84" s="825"/>
      <c r="AL84" s="852"/>
      <c r="AM84" s="828"/>
      <c r="AN84" s="827">
        <v>2.4918</v>
      </c>
      <c r="AO84" s="845">
        <v>834266624.34000003</v>
      </c>
      <c r="AP84" s="829">
        <v>4.9160000000000004</v>
      </c>
      <c r="AQ84" s="822">
        <v>599348558.75</v>
      </c>
      <c r="AR84" s="827">
        <v>2.5905999999999998</v>
      </c>
      <c r="AS84" s="848">
        <v>515295211.16000003</v>
      </c>
      <c r="AT84" s="959">
        <v>2.1101000000000001</v>
      </c>
      <c r="AU84" s="822">
        <v>1318299196.0599999</v>
      </c>
      <c r="AV84" s="811">
        <v>2.4620000000000002</v>
      </c>
      <c r="AW84" s="845">
        <v>620997738.36000001</v>
      </c>
      <c r="AX84" s="873"/>
      <c r="AY84" s="828"/>
      <c r="AZ84" s="870"/>
      <c r="BA84" s="850"/>
      <c r="BB84" s="850"/>
      <c r="BC84" s="850"/>
      <c r="BD84" s="871"/>
      <c r="BE84" s="872"/>
      <c r="BF84" s="873"/>
      <c r="BG84" s="833">
        <f>Index_Returns!B318</f>
        <v>1.907</v>
      </c>
      <c r="BH84" s="826">
        <f t="shared" si="16"/>
        <v>0.19059999999999988</v>
      </c>
      <c r="BI84" s="826"/>
      <c r="BJ84" s="836"/>
      <c r="BK84" s="865">
        <f t="shared" si="22"/>
        <v>3.1600000000000072E-2</v>
      </c>
      <c r="BL84" s="865"/>
      <c r="BM84" s="865"/>
      <c r="BN84" s="865"/>
      <c r="BO84" s="865"/>
      <c r="BP84" s="866"/>
      <c r="BQ84" s="880">
        <f>Index_Returns!E318</f>
        <v>4.4234999999999998</v>
      </c>
      <c r="BR84" s="836"/>
      <c r="BS84" s="865">
        <f t="shared" si="20"/>
        <v>0.40960000000000019</v>
      </c>
      <c r="BT84" s="883"/>
      <c r="BU84" s="865"/>
      <c r="BV84" s="865"/>
      <c r="BW84" s="865"/>
      <c r="BX84" s="1195"/>
      <c r="BY84" s="852"/>
      <c r="BZ84" s="852"/>
      <c r="CA84" s="853"/>
      <c r="CB84" s="854">
        <f>Index_Returns!H318</f>
        <v>5.8520000000000003</v>
      </c>
      <c r="CC84" s="1002">
        <f t="shared" si="23"/>
        <v>-9.6300000000000274E-2</v>
      </c>
      <c r="CD84" s="877">
        <f t="shared" si="24"/>
        <v>-1.9885000000000002</v>
      </c>
      <c r="CE84" s="855">
        <f>Index_Returns!J318</f>
        <v>2.6120000000000001</v>
      </c>
      <c r="CF84" s="874">
        <f t="shared" si="12"/>
        <v>0.71401189613342231</v>
      </c>
      <c r="CG84" s="879"/>
      <c r="CH84" s="852"/>
      <c r="CI84" s="826">
        <f>Index_Returns!AA318</f>
        <v>2.5571000000000002</v>
      </c>
      <c r="CJ84" s="826">
        <f t="shared" si="17"/>
        <v>-6.5300000000000136E-2</v>
      </c>
      <c r="CK84" s="826">
        <f t="shared" si="18"/>
        <v>2.3589000000000002</v>
      </c>
      <c r="CL84" s="826">
        <f t="shared" si="25"/>
        <v>3.3499999999999641E-2</v>
      </c>
      <c r="CM84" s="842">
        <f>Index_Returns!W318</f>
        <v>2.093</v>
      </c>
      <c r="CN84" s="889">
        <f t="shared" si="21"/>
        <v>1.7100000000000115E-2</v>
      </c>
      <c r="CO84" s="880">
        <f t="shared" si="26"/>
        <v>0.36900000000000022</v>
      </c>
      <c r="CP84" s="843"/>
      <c r="CQ84" s="859"/>
      <c r="CR84" s="890">
        <v>1.5436000000000001</v>
      </c>
      <c r="CS84" s="890"/>
      <c r="CT84" s="855"/>
      <c r="CU84" s="853"/>
    </row>
    <row r="85" spans="1:99" x14ac:dyDescent="0.2">
      <c r="A85" s="856">
        <v>37225</v>
      </c>
      <c r="B85" s="860">
        <v>8.7163000000000004</v>
      </c>
      <c r="C85" s="812">
        <v>1102795985.04</v>
      </c>
      <c r="D85" s="861"/>
      <c r="E85" s="812"/>
      <c r="F85" s="861"/>
      <c r="G85" s="812"/>
      <c r="H85" s="815"/>
      <c r="I85" s="815"/>
      <c r="J85" s="863">
        <v>7.2389999999999999</v>
      </c>
      <c r="K85" s="817">
        <v>952226793.22000003</v>
      </c>
      <c r="L85" s="863"/>
      <c r="M85" s="817"/>
      <c r="N85" s="863"/>
      <c r="O85" s="817"/>
      <c r="P85" s="857"/>
      <c r="Q85" s="812"/>
      <c r="R85" s="811">
        <v>6.61</v>
      </c>
      <c r="S85" s="845">
        <v>229630171.28</v>
      </c>
      <c r="T85" s="846"/>
      <c r="U85" s="892"/>
      <c r="V85" s="848"/>
      <c r="W85" s="845"/>
      <c r="X85" s="848"/>
      <c r="Y85" s="848"/>
      <c r="Z85" s="1184"/>
      <c r="AA85" s="848"/>
      <c r="AB85" s="868">
        <v>6.9170384407043457</v>
      </c>
      <c r="AC85" s="812">
        <v>226616160.15000001</v>
      </c>
      <c r="AD85" s="998">
        <v>7.6163999999999996</v>
      </c>
      <c r="AE85" s="812">
        <v>320155607.30000001</v>
      </c>
      <c r="AF85" s="846">
        <v>8.7354000000000003</v>
      </c>
      <c r="AG85" s="847">
        <v>137465494.36000001</v>
      </c>
      <c r="AH85" s="876"/>
      <c r="AI85" s="876"/>
      <c r="AJ85" s="824"/>
      <c r="AK85" s="825"/>
      <c r="AL85" s="852"/>
      <c r="AM85" s="828"/>
      <c r="AN85" s="827">
        <v>3.8078000000000003</v>
      </c>
      <c r="AO85" s="845">
        <v>866090504.20000005</v>
      </c>
      <c r="AP85" s="829">
        <v>5.8160999999999996</v>
      </c>
      <c r="AQ85" s="822">
        <v>634419100.80999994</v>
      </c>
      <c r="AR85" s="827">
        <v>3.5879000000000003</v>
      </c>
      <c r="AS85" s="848">
        <v>533913666.38</v>
      </c>
      <c r="AT85" s="959">
        <v>-1.4539</v>
      </c>
      <c r="AU85" s="822">
        <v>1299132290.49</v>
      </c>
      <c r="AV85" s="811">
        <v>-1.61</v>
      </c>
      <c r="AW85" s="845">
        <v>611084216.47000003</v>
      </c>
      <c r="AX85" s="873"/>
      <c r="AY85" s="828"/>
      <c r="AZ85" s="870"/>
      <c r="BA85" s="850"/>
      <c r="BB85" s="850"/>
      <c r="BC85" s="850"/>
      <c r="BD85" s="871"/>
      <c r="BE85" s="872"/>
      <c r="BF85" s="873"/>
      <c r="BG85" s="833">
        <f>Index_Returns!B319</f>
        <v>7.6710000000000003</v>
      </c>
      <c r="BH85" s="826">
        <f t="shared" ref="BH85:BH97" si="27">B85-BG85</f>
        <v>1.0453000000000001</v>
      </c>
      <c r="BI85" s="826"/>
      <c r="BJ85" s="836"/>
      <c r="BK85" s="865">
        <f t="shared" si="22"/>
        <v>-0.43200000000000038</v>
      </c>
      <c r="BL85" s="865"/>
      <c r="BM85" s="865"/>
      <c r="BN85" s="865"/>
      <c r="BO85" s="865"/>
      <c r="BP85" s="866"/>
      <c r="BQ85" s="880">
        <f>Index_Returns!E319</f>
        <v>7.4390000000000001</v>
      </c>
      <c r="BR85" s="836"/>
      <c r="BS85" s="865">
        <f t="shared" si="20"/>
        <v>-0.82899999999999974</v>
      </c>
      <c r="BT85" s="883"/>
      <c r="BU85" s="865"/>
      <c r="BV85" s="865"/>
      <c r="BW85" s="865"/>
      <c r="BX85" s="1195"/>
      <c r="BY85" s="852"/>
      <c r="BZ85" s="852"/>
      <c r="CA85" s="853"/>
      <c r="CB85" s="854">
        <f>Index_Returns!H319</f>
        <v>7.742</v>
      </c>
      <c r="CC85" s="1002">
        <f t="shared" si="23"/>
        <v>-0.12560000000000038</v>
      </c>
      <c r="CD85" s="877">
        <f t="shared" si="24"/>
        <v>0.99340000000000028</v>
      </c>
      <c r="CE85" s="855">
        <f>Index_Returns!J319</f>
        <v>7.1859999999999999</v>
      </c>
      <c r="CF85" s="874">
        <f t="shared" si="12"/>
        <v>-0.26896155929565424</v>
      </c>
      <c r="CG85" s="879"/>
      <c r="CH85" s="852"/>
      <c r="CI85" s="826">
        <f>Index_Returns!AA319</f>
        <v>3.6930000000000001</v>
      </c>
      <c r="CJ85" s="826">
        <f t="shared" ref="CJ85:CJ116" si="28">AN85-CI85</f>
        <v>0.11480000000000024</v>
      </c>
      <c r="CK85" s="826">
        <f t="shared" ref="CK85:CK121" si="29">AP85-CI85</f>
        <v>2.1230999999999995</v>
      </c>
      <c r="CL85" s="826">
        <f t="shared" si="25"/>
        <v>-0.10509999999999975</v>
      </c>
      <c r="CM85" s="842">
        <f>Index_Returns!W319</f>
        <v>-1.3789</v>
      </c>
      <c r="CN85" s="889">
        <f t="shared" si="21"/>
        <v>-7.4999999999999956E-2</v>
      </c>
      <c r="CO85" s="880">
        <f t="shared" si="26"/>
        <v>-0.23110000000000008</v>
      </c>
      <c r="CP85" s="843"/>
      <c r="CQ85" s="859"/>
      <c r="CR85" s="890">
        <v>-0.98760000000000003</v>
      </c>
      <c r="CS85" s="890"/>
      <c r="CT85" s="855"/>
      <c r="CU85" s="853"/>
    </row>
    <row r="86" spans="1:99" x14ac:dyDescent="0.2">
      <c r="A86" s="856">
        <v>37256</v>
      </c>
      <c r="B86" s="860">
        <v>1.2970999999999999</v>
      </c>
      <c r="C86" s="812">
        <v>1117230391.54</v>
      </c>
      <c r="D86" s="861"/>
      <c r="E86" s="812"/>
      <c r="F86" s="861"/>
      <c r="G86" s="812"/>
      <c r="H86" s="815"/>
      <c r="I86" s="815"/>
      <c r="J86" s="863">
        <v>0.89549999999999996</v>
      </c>
      <c r="K86" s="817">
        <v>960841203.28999996</v>
      </c>
      <c r="L86" s="863"/>
      <c r="M86" s="817"/>
      <c r="N86" s="863"/>
      <c r="O86" s="817"/>
      <c r="P86" s="857"/>
      <c r="Q86" s="812"/>
      <c r="R86" s="811">
        <v>4.67</v>
      </c>
      <c r="S86" s="845">
        <v>240407827.09</v>
      </c>
      <c r="T86" s="846"/>
      <c r="U86" s="892"/>
      <c r="V86" s="848"/>
      <c r="W86" s="845"/>
      <c r="X86" s="848"/>
      <c r="Y86" s="848"/>
      <c r="Z86" s="1184"/>
      <c r="AA86" s="848"/>
      <c r="AB86" s="893"/>
      <c r="AC86" s="812"/>
      <c r="AD86" s="998">
        <v>6.1125999999999996</v>
      </c>
      <c r="AE86" s="812">
        <v>339725449.27999997</v>
      </c>
      <c r="AF86" s="846">
        <v>5.3992000000000004</v>
      </c>
      <c r="AG86" s="847">
        <v>144898962.88</v>
      </c>
      <c r="AH86" s="876"/>
      <c r="AI86" s="876"/>
      <c r="AJ86" s="824"/>
      <c r="AK86" s="825"/>
      <c r="AL86" s="852"/>
      <c r="AM86" s="828"/>
      <c r="AN86" s="827">
        <v>0.98980000000000001</v>
      </c>
      <c r="AO86" s="845">
        <v>874721175.98000002</v>
      </c>
      <c r="AP86" s="829">
        <v>1.046</v>
      </c>
      <c r="AQ86" s="822">
        <v>641279161.65999997</v>
      </c>
      <c r="AR86" s="827">
        <v>2.0857000000000001</v>
      </c>
      <c r="AS86" s="848">
        <v>545181578.64999998</v>
      </c>
      <c r="AT86" s="959">
        <v>-0.70050000000000001</v>
      </c>
      <c r="AU86" s="822">
        <v>1290031311.5899999</v>
      </c>
      <c r="AV86" s="811">
        <v>-0.67730000000000001</v>
      </c>
      <c r="AW86" s="845">
        <v>607029411.97000003</v>
      </c>
      <c r="AX86" s="873"/>
      <c r="AY86" s="828"/>
      <c r="AZ86" s="870"/>
      <c r="BA86" s="850"/>
      <c r="BB86" s="850"/>
      <c r="BC86" s="850"/>
      <c r="BD86" s="871"/>
      <c r="BE86" s="872"/>
      <c r="BF86" s="873"/>
      <c r="BG86" s="833">
        <f>Index_Returns!B320</f>
        <v>0.876</v>
      </c>
      <c r="BH86" s="826">
        <f t="shared" si="27"/>
        <v>0.42109999999999992</v>
      </c>
      <c r="BI86" s="826"/>
      <c r="BJ86" s="836"/>
      <c r="BK86" s="865">
        <f t="shared" si="22"/>
        <v>1.9499999999999962E-2</v>
      </c>
      <c r="BL86" s="865"/>
      <c r="BM86" s="865"/>
      <c r="BN86" s="865"/>
      <c r="BO86" s="865"/>
      <c r="BP86" s="866"/>
      <c r="BQ86" s="880">
        <f>Index_Returns!E320</f>
        <v>5.1658999999999997</v>
      </c>
      <c r="BR86" s="836"/>
      <c r="BS86" s="865">
        <f t="shared" si="20"/>
        <v>-0.49589999999999979</v>
      </c>
      <c r="BT86" s="883"/>
      <c r="BU86" s="865"/>
      <c r="BV86" s="865"/>
      <c r="BW86" s="865"/>
      <c r="BX86" s="1195"/>
      <c r="BY86" s="852"/>
      <c r="BZ86" s="852"/>
      <c r="CA86" s="853"/>
      <c r="CB86" s="854">
        <f>Index_Returns!H320</f>
        <v>6.1719999999999997</v>
      </c>
      <c r="CC86" s="1002">
        <f t="shared" si="23"/>
        <v>-5.9400000000000119E-2</v>
      </c>
      <c r="CD86" s="877">
        <f t="shared" si="24"/>
        <v>-0.77279999999999927</v>
      </c>
      <c r="CE86" s="894"/>
      <c r="CF86" s="877"/>
      <c r="CG86" s="879"/>
      <c r="CH86" s="852"/>
      <c r="CI86" s="826">
        <f>Index_Returns!AA320</f>
        <v>0.59613000000000005</v>
      </c>
      <c r="CJ86" s="826">
        <f t="shared" si="28"/>
        <v>0.39366999999999996</v>
      </c>
      <c r="CK86" s="826">
        <f t="shared" si="29"/>
        <v>0.44986999999999999</v>
      </c>
      <c r="CL86" s="826">
        <f t="shared" si="25"/>
        <v>1.4895700000000001</v>
      </c>
      <c r="CM86" s="842">
        <f>Index_Returns!W320</f>
        <v>-0.63570000000000004</v>
      </c>
      <c r="CN86" s="889">
        <f t="shared" si="21"/>
        <v>-6.4799999999999969E-2</v>
      </c>
      <c r="CO86" s="880">
        <f t="shared" si="26"/>
        <v>-4.159999999999997E-2</v>
      </c>
      <c r="CP86" s="852"/>
      <c r="CQ86" s="853"/>
      <c r="CR86" s="854">
        <v>-0.48149999999999998</v>
      </c>
      <c r="CS86" s="854"/>
      <c r="CT86" s="855"/>
      <c r="CU86" s="853"/>
    </row>
    <row r="87" spans="1:99" x14ac:dyDescent="0.2">
      <c r="A87" s="856">
        <v>37287</v>
      </c>
      <c r="B87" s="860">
        <v>-4.0312999999999999</v>
      </c>
      <c r="C87" s="812">
        <v>1072322026.8</v>
      </c>
      <c r="D87" s="861"/>
      <c r="E87" s="812"/>
      <c r="F87" s="861"/>
      <c r="G87" s="812"/>
      <c r="H87" s="815"/>
      <c r="I87" s="815"/>
      <c r="J87" s="863">
        <v>-1.8657999999999997</v>
      </c>
      <c r="K87" s="817">
        <v>943009084.21000004</v>
      </c>
      <c r="L87" s="863"/>
      <c r="M87" s="817"/>
      <c r="N87" s="863"/>
      <c r="O87" s="817"/>
      <c r="P87" s="857"/>
      <c r="Q87" s="812"/>
      <c r="R87" s="811">
        <v>-0.22450000000000001</v>
      </c>
      <c r="S87" s="845">
        <v>239908109.03999999</v>
      </c>
      <c r="T87" s="895"/>
      <c r="U87" s="896"/>
      <c r="V87" s="848"/>
      <c r="W87" s="845"/>
      <c r="X87" s="848"/>
      <c r="Y87" s="848"/>
      <c r="Z87" s="1184"/>
      <c r="AA87" s="848"/>
      <c r="AB87" s="893"/>
      <c r="AC87" s="812"/>
      <c r="AD87" s="998">
        <v>-0.96850000000000003</v>
      </c>
      <c r="AE87" s="812">
        <v>336435327.5</v>
      </c>
      <c r="AF87" s="846">
        <v>1.0118</v>
      </c>
      <c r="AG87" s="847">
        <v>146377180.96000001</v>
      </c>
      <c r="AH87" s="876"/>
      <c r="AI87" s="876"/>
      <c r="AJ87" s="880">
        <v>-3.0461999999999998</v>
      </c>
      <c r="AK87" s="825">
        <v>197979589.13999999</v>
      </c>
      <c r="AL87" s="851"/>
      <c r="AM87" s="828"/>
      <c r="AN87" s="827">
        <v>-4.4615999999999998</v>
      </c>
      <c r="AO87" s="845">
        <v>835752972.38999999</v>
      </c>
      <c r="AP87" s="829">
        <v>-4.7140000000000004</v>
      </c>
      <c r="AQ87" s="822">
        <v>611275048.40999997</v>
      </c>
      <c r="AR87" s="827">
        <v>-5.4820000000000002</v>
      </c>
      <c r="AS87" s="848">
        <v>515435649.54000002</v>
      </c>
      <c r="AT87" s="959">
        <v>0.72829999999999995</v>
      </c>
      <c r="AU87" s="822">
        <v>1299426076.9100001</v>
      </c>
      <c r="AV87" s="811">
        <v>0.81710000000000016</v>
      </c>
      <c r="AW87" s="845">
        <v>612073609.95000005</v>
      </c>
      <c r="AX87" s="873"/>
      <c r="AY87" s="828"/>
      <c r="AZ87" s="870"/>
      <c r="BA87" s="850"/>
      <c r="BB87" s="850"/>
      <c r="BC87" s="850"/>
      <c r="BD87" s="871"/>
      <c r="BE87" s="872"/>
      <c r="BF87" s="873"/>
      <c r="BG87" s="833">
        <f>Index_Returns!B321</f>
        <v>-1.4590000000000001</v>
      </c>
      <c r="BH87" s="826">
        <f t="shared" si="27"/>
        <v>-2.5722999999999998</v>
      </c>
      <c r="BI87" s="826"/>
      <c r="BJ87" s="836"/>
      <c r="BK87" s="865">
        <f t="shared" si="22"/>
        <v>-0.40679999999999961</v>
      </c>
      <c r="BL87" s="865"/>
      <c r="BM87" s="865"/>
      <c r="BN87" s="865"/>
      <c r="BO87" s="865"/>
      <c r="BP87" s="866"/>
      <c r="BQ87" s="880">
        <f>Index_Returns!E321</f>
        <v>-0.51939999999999997</v>
      </c>
      <c r="BR87" s="836"/>
      <c r="BS87" s="865">
        <f t="shared" si="20"/>
        <v>0.29489999999999994</v>
      </c>
      <c r="BT87" s="883"/>
      <c r="BU87" s="865"/>
      <c r="BV87" s="865"/>
      <c r="BW87" s="865"/>
      <c r="BX87" s="1195"/>
      <c r="BY87" s="880">
        <f>Index_Returns!I321</f>
        <v>-3.5579999999999998</v>
      </c>
      <c r="BZ87" s="880"/>
      <c r="CA87" s="897">
        <f t="shared" ref="CA87:CA116" si="30">AJ87-BY87</f>
        <v>0.51180000000000003</v>
      </c>
      <c r="CB87" s="854">
        <f>Index_Returns!H321</f>
        <v>-1.04</v>
      </c>
      <c r="CC87" s="1002">
        <f t="shared" si="23"/>
        <v>7.1500000000000008E-2</v>
      </c>
      <c r="CD87" s="877">
        <f t="shared" si="24"/>
        <v>2.0518000000000001</v>
      </c>
      <c r="CE87" s="894"/>
      <c r="CF87" s="877"/>
      <c r="CG87" s="879"/>
      <c r="CH87" s="852"/>
      <c r="CI87" s="826">
        <f>Index_Returns!AA321</f>
        <v>-5.3059000000000003</v>
      </c>
      <c r="CJ87" s="826">
        <f t="shared" si="28"/>
        <v>0.84430000000000049</v>
      </c>
      <c r="CK87" s="826">
        <f t="shared" si="29"/>
        <v>0.59189999999999987</v>
      </c>
      <c r="CL87" s="826">
        <f t="shared" si="25"/>
        <v>-0.17609999999999992</v>
      </c>
      <c r="CM87" s="842">
        <f>Index_Returns!W321</f>
        <v>0.80959999999999999</v>
      </c>
      <c r="CN87" s="889">
        <f t="shared" si="21"/>
        <v>-8.1300000000000039E-2</v>
      </c>
      <c r="CO87" s="880">
        <f t="shared" si="26"/>
        <v>7.5000000000001732E-3</v>
      </c>
      <c r="CP87" s="852"/>
      <c r="CQ87" s="853"/>
      <c r="CR87" s="854">
        <v>0.70809999999999995</v>
      </c>
      <c r="CS87" s="854"/>
      <c r="CT87" s="855"/>
      <c r="CU87" s="853"/>
    </row>
    <row r="88" spans="1:99" x14ac:dyDescent="0.2">
      <c r="A88" s="856">
        <v>37315</v>
      </c>
      <c r="B88" s="860">
        <v>-2.9047000000000001</v>
      </c>
      <c r="C88" s="812">
        <v>1041298847.27</v>
      </c>
      <c r="D88" s="861"/>
      <c r="E88" s="812"/>
      <c r="F88" s="861"/>
      <c r="G88" s="812"/>
      <c r="H88" s="815"/>
      <c r="I88" s="815"/>
      <c r="J88" s="863">
        <v>-2.0196000000000001</v>
      </c>
      <c r="K88" s="817">
        <v>924057562.54999995</v>
      </c>
      <c r="L88" s="863"/>
      <c r="M88" s="817"/>
      <c r="N88" s="863"/>
      <c r="O88" s="817"/>
      <c r="P88" s="857"/>
      <c r="Q88" s="812"/>
      <c r="R88" s="811">
        <v>0.73370000000000002</v>
      </c>
      <c r="S88" s="845">
        <v>241708525.46000001</v>
      </c>
      <c r="T88" s="846"/>
      <c r="U88" s="882"/>
      <c r="V88" s="848"/>
      <c r="W88" s="845"/>
      <c r="X88" s="848"/>
      <c r="Y88" s="848"/>
      <c r="Z88" s="1184"/>
      <c r="AA88" s="848"/>
      <c r="AB88" s="893"/>
      <c r="AC88" s="828"/>
      <c r="AD88" s="998">
        <v>-2.5969000000000002</v>
      </c>
      <c r="AE88" s="828">
        <v>327698291.66000003</v>
      </c>
      <c r="AF88" s="846">
        <v>-1.0545</v>
      </c>
      <c r="AG88" s="847">
        <v>144845683.28</v>
      </c>
      <c r="AH88" s="876"/>
      <c r="AI88" s="876"/>
      <c r="AJ88" s="880">
        <v>-5.2549999999999999</v>
      </c>
      <c r="AK88" s="825">
        <v>187676318.11000001</v>
      </c>
      <c r="AL88" s="852"/>
      <c r="AM88" s="828"/>
      <c r="AN88" s="827">
        <v>0.70089999999999997</v>
      </c>
      <c r="AO88" s="845">
        <v>841667206</v>
      </c>
      <c r="AP88" s="829">
        <v>0.97750000000000004</v>
      </c>
      <c r="AQ88" s="822">
        <v>617466396.04999995</v>
      </c>
      <c r="AR88" s="827">
        <v>-0.125</v>
      </c>
      <c r="AS88" s="848">
        <v>514922947.81999999</v>
      </c>
      <c r="AT88" s="959">
        <v>0.95960000000000001</v>
      </c>
      <c r="AU88" s="822">
        <v>1311895108.5</v>
      </c>
      <c r="AV88" s="811">
        <v>1.1029</v>
      </c>
      <c r="AW88" s="845">
        <v>618908592.92999995</v>
      </c>
      <c r="AX88" s="873"/>
      <c r="AY88" s="828"/>
      <c r="AZ88" s="870"/>
      <c r="BA88" s="850"/>
      <c r="BB88" s="850"/>
      <c r="BC88" s="850"/>
      <c r="BD88" s="871"/>
      <c r="BE88" s="872"/>
      <c r="BF88" s="873"/>
      <c r="BG88" s="833">
        <f>Index_Returns!B322</f>
        <v>-1.9279999999999999</v>
      </c>
      <c r="BH88" s="826">
        <f t="shared" si="27"/>
        <v>-0.97670000000000012</v>
      </c>
      <c r="BI88" s="826"/>
      <c r="BJ88" s="836"/>
      <c r="BK88" s="865">
        <f t="shared" si="22"/>
        <v>-9.1600000000000126E-2</v>
      </c>
      <c r="BL88" s="865"/>
      <c r="BM88" s="865"/>
      <c r="BN88" s="865"/>
      <c r="BO88" s="865"/>
      <c r="BP88" s="866"/>
      <c r="BQ88" s="880">
        <f>Index_Returns!E322</f>
        <v>0.1231</v>
      </c>
      <c r="BR88" s="836"/>
      <c r="BS88" s="865">
        <f t="shared" si="20"/>
        <v>0.61060000000000003</v>
      </c>
      <c r="BT88" s="883"/>
      <c r="BU88" s="865"/>
      <c r="BV88" s="865"/>
      <c r="BW88" s="865"/>
      <c r="BX88" s="1195"/>
      <c r="BY88" s="880">
        <f>Index_Returns!I322</f>
        <v>-6.4720000000000004</v>
      </c>
      <c r="BZ88" s="880"/>
      <c r="CA88" s="897">
        <f t="shared" si="30"/>
        <v>1.2170000000000005</v>
      </c>
      <c r="CB88" s="854">
        <f>Index_Returns!H322</f>
        <v>-2.7410000000000001</v>
      </c>
      <c r="CC88" s="1002">
        <f t="shared" si="23"/>
        <v>0.14409999999999989</v>
      </c>
      <c r="CD88" s="877">
        <f t="shared" si="24"/>
        <v>1.6865000000000001</v>
      </c>
      <c r="CE88" s="894"/>
      <c r="CF88" s="877"/>
      <c r="CG88" s="879"/>
      <c r="CH88" s="852"/>
      <c r="CI88" s="826">
        <f>Index_Returns!AA322</f>
        <v>0.70599999999999996</v>
      </c>
      <c r="CJ88" s="826">
        <f t="shared" si="28"/>
        <v>-5.0999999999999934E-3</v>
      </c>
      <c r="CK88" s="826">
        <f t="shared" si="29"/>
        <v>0.27150000000000007</v>
      </c>
      <c r="CL88" s="826">
        <f t="shared" si="25"/>
        <v>-0.83099999999999996</v>
      </c>
      <c r="CM88" s="842">
        <f>Index_Returns!W322</f>
        <v>0.96899999999999997</v>
      </c>
      <c r="CN88" s="889">
        <f t="shared" si="21"/>
        <v>-9.3999999999999639E-3</v>
      </c>
      <c r="CO88" s="880">
        <f t="shared" si="26"/>
        <v>0.13390000000000002</v>
      </c>
      <c r="CP88" s="852"/>
      <c r="CQ88" s="853"/>
      <c r="CR88" s="854">
        <v>0.96209999999999996</v>
      </c>
      <c r="CS88" s="854"/>
      <c r="CT88" s="855"/>
      <c r="CU88" s="853"/>
    </row>
    <row r="89" spans="1:99" x14ac:dyDescent="0.2">
      <c r="A89" s="856">
        <v>37346</v>
      </c>
      <c r="B89" s="860">
        <v>4.2572000000000001</v>
      </c>
      <c r="C89" s="812">
        <v>1085751276.3800001</v>
      </c>
      <c r="D89" s="861"/>
      <c r="E89" s="812"/>
      <c r="F89" s="861"/>
      <c r="G89" s="812"/>
      <c r="H89" s="815"/>
      <c r="I89" s="815"/>
      <c r="J89" s="863">
        <v>3.4763999999999995</v>
      </c>
      <c r="K89" s="817">
        <v>956273947.47000003</v>
      </c>
      <c r="L89" s="863"/>
      <c r="M89" s="817"/>
      <c r="N89" s="863"/>
      <c r="O89" s="817"/>
      <c r="P89" s="857"/>
      <c r="Q89" s="812"/>
      <c r="R89" s="811">
        <v>6.2095000000000002</v>
      </c>
      <c r="S89" s="845">
        <v>256757834.43000001</v>
      </c>
      <c r="T89" s="846"/>
      <c r="U89" s="882"/>
      <c r="V89" s="848"/>
      <c r="W89" s="845"/>
      <c r="X89" s="848"/>
      <c r="Y89" s="848"/>
      <c r="Z89" s="1184"/>
      <c r="AA89" s="848"/>
      <c r="AB89" s="893"/>
      <c r="AC89" s="828"/>
      <c r="AD89" s="998">
        <v>8.0389999999999997</v>
      </c>
      <c r="AE89" s="828">
        <v>354041982.35000002</v>
      </c>
      <c r="AF89" s="846">
        <v>6.7831000000000001</v>
      </c>
      <c r="AG89" s="847">
        <v>154682751.53</v>
      </c>
      <c r="AH89" s="876"/>
      <c r="AI89" s="876"/>
      <c r="AJ89" s="880">
        <v>6.8345000000000002</v>
      </c>
      <c r="AK89" s="825">
        <v>200596984.00999999</v>
      </c>
      <c r="AL89" s="852"/>
      <c r="AM89" s="828"/>
      <c r="AN89" s="827">
        <v>5.6490999999999998</v>
      </c>
      <c r="AO89" s="845">
        <v>889270699.27999997</v>
      </c>
      <c r="AP89" s="829">
        <v>5.3616000000000001</v>
      </c>
      <c r="AQ89" s="822">
        <v>650790503.28999996</v>
      </c>
      <c r="AR89" s="827">
        <v>4.88</v>
      </c>
      <c r="AS89" s="848">
        <v>540179290.47000003</v>
      </c>
      <c r="AT89" s="959">
        <v>-1.7206999999999999</v>
      </c>
      <c r="AU89" s="822">
        <v>1289321260.9400001</v>
      </c>
      <c r="AV89" s="811">
        <v>-1.7948999999999999</v>
      </c>
      <c r="AW89" s="845">
        <v>607884658.38999999</v>
      </c>
      <c r="AX89" s="873"/>
      <c r="AY89" s="828"/>
      <c r="AZ89" s="870"/>
      <c r="BA89" s="850"/>
      <c r="BB89" s="850"/>
      <c r="BC89" s="850"/>
      <c r="BD89" s="871"/>
      <c r="BE89" s="872"/>
      <c r="BF89" s="873"/>
      <c r="BG89" s="833">
        <f>Index_Returns!B323</f>
        <v>3.7610000000000001</v>
      </c>
      <c r="BH89" s="826">
        <f t="shared" si="27"/>
        <v>0.49619999999999997</v>
      </c>
      <c r="BI89" s="826"/>
      <c r="BJ89" s="836"/>
      <c r="BK89" s="865">
        <f t="shared" si="22"/>
        <v>-0.28460000000000063</v>
      </c>
      <c r="BL89" s="865"/>
      <c r="BM89" s="865"/>
      <c r="BN89" s="865"/>
      <c r="BO89" s="865"/>
      <c r="BP89" s="866"/>
      <c r="BQ89" s="880">
        <f>Index_Returns!E323</f>
        <v>7.1483999999999996</v>
      </c>
      <c r="BR89" s="836"/>
      <c r="BS89" s="865">
        <f t="shared" si="20"/>
        <v>-0.9388999999999994</v>
      </c>
      <c r="BT89" s="883"/>
      <c r="BU89" s="865"/>
      <c r="BV89" s="865"/>
      <c r="BW89" s="865"/>
      <c r="BX89" s="1195"/>
      <c r="BY89" s="880">
        <f>Index_Returns!I323</f>
        <v>8.6920000000000002</v>
      </c>
      <c r="BZ89" s="880"/>
      <c r="CA89" s="897">
        <f t="shared" si="30"/>
        <v>-1.8574999999999999</v>
      </c>
      <c r="CB89" s="854">
        <f>Index_Returns!H323</f>
        <v>8.0370000000000008</v>
      </c>
      <c r="CC89" s="1002">
        <f t="shared" si="23"/>
        <v>1.9999999999988916E-3</v>
      </c>
      <c r="CD89" s="877">
        <f t="shared" si="24"/>
        <v>-1.2539000000000007</v>
      </c>
      <c r="CE89" s="894"/>
      <c r="CF89" s="877"/>
      <c r="CG89" s="879"/>
      <c r="CH89" s="852"/>
      <c r="CI89" s="826">
        <f>Index_Returns!AA323</f>
        <v>5.4593999999999996</v>
      </c>
      <c r="CJ89" s="826">
        <f t="shared" si="28"/>
        <v>0.1897000000000002</v>
      </c>
      <c r="CK89" s="826">
        <f t="shared" si="29"/>
        <v>-9.7799999999999443E-2</v>
      </c>
      <c r="CL89" s="826">
        <f t="shared" si="25"/>
        <v>-0.57939999999999969</v>
      </c>
      <c r="CM89" s="842">
        <f>Index_Returns!W323</f>
        <v>-1.6632</v>
      </c>
      <c r="CN89" s="889">
        <f t="shared" si="21"/>
        <v>-5.7499999999999885E-2</v>
      </c>
      <c r="CO89" s="880">
        <f t="shared" si="26"/>
        <v>-0.13169999999999993</v>
      </c>
      <c r="CP89" s="852"/>
      <c r="CQ89" s="853"/>
      <c r="CR89" s="854">
        <v>-1.3265</v>
      </c>
      <c r="CS89" s="854"/>
      <c r="CT89" s="855"/>
      <c r="CU89" s="853"/>
    </row>
    <row r="90" spans="1:99" x14ac:dyDescent="0.2">
      <c r="A90" s="856">
        <v>37376</v>
      </c>
      <c r="B90" s="860">
        <v>-7.0149999999999997</v>
      </c>
      <c r="C90" s="812">
        <v>1009712206.9400001</v>
      </c>
      <c r="D90" s="861"/>
      <c r="E90" s="812"/>
      <c r="F90" s="861"/>
      <c r="G90" s="812"/>
      <c r="H90" s="815"/>
      <c r="I90" s="815"/>
      <c r="J90" s="863">
        <v>-5.0678999999999998</v>
      </c>
      <c r="K90" s="817">
        <v>907906305.29999995</v>
      </c>
      <c r="L90" s="863"/>
      <c r="M90" s="817"/>
      <c r="N90" s="863"/>
      <c r="O90" s="817"/>
      <c r="P90" s="857"/>
      <c r="Q90" s="812"/>
      <c r="R90" s="811">
        <v>0.82069999999999987</v>
      </c>
      <c r="S90" s="845">
        <v>258908020.33000001</v>
      </c>
      <c r="T90" s="846"/>
      <c r="U90" s="882"/>
      <c r="V90" s="848"/>
      <c r="W90" s="845"/>
      <c r="X90" s="848"/>
      <c r="Y90" s="848"/>
      <c r="Z90" s="1184"/>
      <c r="AA90" s="848"/>
      <c r="AB90" s="893"/>
      <c r="AC90" s="828"/>
      <c r="AD90" s="998">
        <v>0.98609999999999998</v>
      </c>
      <c r="AE90" s="828">
        <v>357533359.48000002</v>
      </c>
      <c r="AF90" s="846">
        <v>4.5984999999999996</v>
      </c>
      <c r="AG90" s="847">
        <v>161808804.69</v>
      </c>
      <c r="AH90" s="876"/>
      <c r="AI90" s="876"/>
      <c r="AJ90" s="880">
        <v>-3.3354000000000004</v>
      </c>
      <c r="AK90" s="825">
        <v>194007209.81</v>
      </c>
      <c r="AL90" s="852"/>
      <c r="AM90" s="828"/>
      <c r="AN90" s="827">
        <v>0.69969999999999999</v>
      </c>
      <c r="AO90" s="845">
        <v>895553167.57000005</v>
      </c>
      <c r="AP90" s="829">
        <v>0.39610000000000001</v>
      </c>
      <c r="AQ90" s="822">
        <v>653598367.71000004</v>
      </c>
      <c r="AR90" s="827">
        <v>1.7105999999999999</v>
      </c>
      <c r="AS90" s="848">
        <v>549552584.80999994</v>
      </c>
      <c r="AT90" s="959">
        <v>1.5322</v>
      </c>
      <c r="AU90" s="822">
        <v>1309076119.1700001</v>
      </c>
      <c r="AV90" s="811">
        <v>1.9331</v>
      </c>
      <c r="AW90" s="845">
        <v>619719270.70000005</v>
      </c>
      <c r="AX90" s="873"/>
      <c r="AY90" s="828"/>
      <c r="AZ90" s="870"/>
      <c r="BA90" s="850"/>
      <c r="BB90" s="850"/>
      <c r="BC90" s="850"/>
      <c r="BD90" s="871"/>
      <c r="BE90" s="872"/>
      <c r="BF90" s="873"/>
      <c r="BG90" s="833">
        <f>Index_Returns!B324</f>
        <v>-6.0629999999999997</v>
      </c>
      <c r="BH90" s="826">
        <f t="shared" si="27"/>
        <v>-0.95199999999999996</v>
      </c>
      <c r="BI90" s="826"/>
      <c r="BJ90" s="836"/>
      <c r="BK90" s="865">
        <f t="shared" si="22"/>
        <v>0.99509999999999987</v>
      </c>
      <c r="BL90" s="865"/>
      <c r="BM90" s="865"/>
      <c r="BN90" s="865"/>
      <c r="BO90" s="865"/>
      <c r="BP90" s="866"/>
      <c r="BQ90" s="880">
        <f>Index_Returns!E324</f>
        <v>-0.46750000000000003</v>
      </c>
      <c r="BR90" s="836"/>
      <c r="BS90" s="865">
        <f t="shared" si="20"/>
        <v>1.2881999999999998</v>
      </c>
      <c r="BT90" s="883"/>
      <c r="BU90" s="865"/>
      <c r="BV90" s="865"/>
      <c r="BW90" s="865"/>
      <c r="BX90" s="1195"/>
      <c r="BY90" s="880">
        <f>Index_Returns!I324</f>
        <v>-2.1640000000000001</v>
      </c>
      <c r="BZ90" s="880"/>
      <c r="CA90" s="897">
        <f t="shared" si="30"/>
        <v>-1.1714000000000002</v>
      </c>
      <c r="CB90" s="854">
        <f>Index_Returns!H324</f>
        <v>0.91100000000000003</v>
      </c>
      <c r="CC90" s="1002">
        <f t="shared" si="23"/>
        <v>7.5099999999999945E-2</v>
      </c>
      <c r="CD90" s="877">
        <f t="shared" si="24"/>
        <v>3.6874999999999996</v>
      </c>
      <c r="CE90" s="894"/>
      <c r="CF90" s="877"/>
      <c r="CG90" s="879"/>
      <c r="CH90" s="852"/>
      <c r="CI90" s="826">
        <f>Index_Returns!AA324</f>
        <v>0.72419999999999995</v>
      </c>
      <c r="CJ90" s="826">
        <f t="shared" si="28"/>
        <v>-2.4499999999999966E-2</v>
      </c>
      <c r="CK90" s="826">
        <f t="shared" si="29"/>
        <v>-0.32809999999999995</v>
      </c>
      <c r="CL90" s="826">
        <f t="shared" si="25"/>
        <v>0.98639999999999994</v>
      </c>
      <c r="CM90" s="842">
        <f>Index_Returns!W324</f>
        <v>1.9393</v>
      </c>
      <c r="CN90" s="889">
        <f t="shared" si="21"/>
        <v>-0.40710000000000002</v>
      </c>
      <c r="CO90" s="880">
        <f t="shared" si="26"/>
        <v>-6.1999999999999833E-3</v>
      </c>
      <c r="CP90" s="852"/>
      <c r="CQ90" s="853"/>
      <c r="CR90" s="854">
        <v>1.7892999999999999</v>
      </c>
      <c r="CS90" s="854"/>
      <c r="CT90" s="855"/>
      <c r="CU90" s="853"/>
    </row>
    <row r="91" spans="1:99" x14ac:dyDescent="0.2">
      <c r="A91" s="856">
        <v>37407</v>
      </c>
      <c r="B91" s="860">
        <v>-0.91400000000000003</v>
      </c>
      <c r="C91" s="812">
        <v>1000601216.9299999</v>
      </c>
      <c r="D91" s="861"/>
      <c r="E91" s="812"/>
      <c r="F91" s="861"/>
      <c r="G91" s="812"/>
      <c r="H91" s="815"/>
      <c r="I91" s="815"/>
      <c r="J91" s="863">
        <v>0.19989999999999999</v>
      </c>
      <c r="K91" s="817">
        <v>909812105.86000001</v>
      </c>
      <c r="L91" s="863"/>
      <c r="M91" s="817"/>
      <c r="N91" s="863"/>
      <c r="O91" s="817"/>
      <c r="P91" s="857"/>
      <c r="Q91" s="812"/>
      <c r="R91" s="811">
        <v>-1.4939</v>
      </c>
      <c r="S91" s="845">
        <v>255083478.62</v>
      </c>
      <c r="T91" s="846"/>
      <c r="U91" s="882"/>
      <c r="V91" s="848"/>
      <c r="W91" s="845"/>
      <c r="X91" s="848"/>
      <c r="Y91" s="848"/>
      <c r="Z91" s="1184"/>
      <c r="AA91" s="848"/>
      <c r="AB91" s="893"/>
      <c r="AC91" s="828"/>
      <c r="AD91" s="998">
        <v>-4.3791000000000002</v>
      </c>
      <c r="AE91" s="828">
        <v>341876686.22000003</v>
      </c>
      <c r="AF91" s="846">
        <v>-5.4480000000000004</v>
      </c>
      <c r="AG91" s="847">
        <v>153006883.33000001</v>
      </c>
      <c r="AH91" s="876"/>
      <c r="AI91" s="876"/>
      <c r="AJ91" s="880">
        <v>-3.8249</v>
      </c>
      <c r="AK91" s="825">
        <v>186685336.83000001</v>
      </c>
      <c r="AL91" s="852"/>
      <c r="AM91" s="828"/>
      <c r="AN91" s="827">
        <v>1.2412000000000001</v>
      </c>
      <c r="AO91" s="845">
        <v>911189194.72000003</v>
      </c>
      <c r="AP91" s="829">
        <v>0.3886</v>
      </c>
      <c r="AQ91" s="822">
        <v>656368931.33000004</v>
      </c>
      <c r="AR91" s="827">
        <v>-0.22850000000000001</v>
      </c>
      <c r="AS91" s="848">
        <v>548431889.66999996</v>
      </c>
      <c r="AT91" s="959">
        <v>1.0135000000000001</v>
      </c>
      <c r="AU91" s="822">
        <v>1322343998.9100001</v>
      </c>
      <c r="AV91" s="811">
        <v>0.94379999999999997</v>
      </c>
      <c r="AW91" s="845">
        <v>625652785.11000001</v>
      </c>
      <c r="AX91" s="873"/>
      <c r="AY91" s="828"/>
      <c r="AZ91" s="870"/>
      <c r="BA91" s="850"/>
      <c r="BB91" s="850"/>
      <c r="BC91" s="850"/>
      <c r="BD91" s="871"/>
      <c r="BE91" s="872"/>
      <c r="BF91" s="873"/>
      <c r="BG91" s="833">
        <f>Index_Returns!B325</f>
        <v>-0.73699999999999999</v>
      </c>
      <c r="BH91" s="826">
        <f t="shared" si="27"/>
        <v>-0.17700000000000005</v>
      </c>
      <c r="BI91" s="826"/>
      <c r="BJ91" s="836"/>
      <c r="BK91" s="865">
        <f t="shared" si="22"/>
        <v>0.93689999999999996</v>
      </c>
      <c r="BL91" s="865"/>
      <c r="BM91" s="865"/>
      <c r="BN91" s="865"/>
      <c r="BO91" s="865"/>
      <c r="BP91" s="866"/>
      <c r="BQ91" s="880">
        <f>Index_Returns!E325</f>
        <v>-1.6866000000000001</v>
      </c>
      <c r="BR91" s="836"/>
      <c r="BS91" s="865">
        <f t="shared" si="20"/>
        <v>0.19270000000000009</v>
      </c>
      <c r="BT91" s="883"/>
      <c r="BU91" s="865"/>
      <c r="BV91" s="865"/>
      <c r="BW91" s="865"/>
      <c r="BX91" s="1195"/>
      <c r="BY91" s="880">
        <f>Index_Returns!I325</f>
        <v>-5.8470000000000004</v>
      </c>
      <c r="BZ91" s="880"/>
      <c r="CA91" s="897">
        <f t="shared" si="30"/>
        <v>2.0221000000000005</v>
      </c>
      <c r="CB91" s="854">
        <f>Index_Returns!H325</f>
        <v>-4.4379999999999997</v>
      </c>
      <c r="CC91" s="1002">
        <f t="shared" si="23"/>
        <v>5.8899999999999508E-2</v>
      </c>
      <c r="CD91" s="877">
        <f t="shared" si="24"/>
        <v>-1.0100000000000007</v>
      </c>
      <c r="CE91" s="894"/>
      <c r="CF91" s="877"/>
      <c r="CG91" s="879"/>
      <c r="CH91" s="852"/>
      <c r="CI91" s="826">
        <f>Index_Returns!AA325</f>
        <v>1.357</v>
      </c>
      <c r="CJ91" s="826">
        <f t="shared" si="28"/>
        <v>-0.1157999999999999</v>
      </c>
      <c r="CK91" s="826">
        <f t="shared" si="29"/>
        <v>-0.96839999999999993</v>
      </c>
      <c r="CL91" s="826">
        <f t="shared" si="25"/>
        <v>-1.5854999999999999</v>
      </c>
      <c r="CM91" s="842">
        <f>Index_Returns!W325</f>
        <v>0.84950000000000003</v>
      </c>
      <c r="CN91" s="889">
        <f t="shared" si="21"/>
        <v>0.16400000000000003</v>
      </c>
      <c r="CO91" s="880">
        <f t="shared" si="26"/>
        <v>9.4299999999999939E-2</v>
      </c>
      <c r="CP91" s="852"/>
      <c r="CQ91" s="853"/>
      <c r="CR91" s="854">
        <v>0.87660000000000005</v>
      </c>
      <c r="CS91" s="854"/>
      <c r="CT91" s="855"/>
      <c r="CU91" s="853"/>
    </row>
    <row r="92" spans="1:99" x14ac:dyDescent="0.2">
      <c r="A92" s="856">
        <v>37437</v>
      </c>
      <c r="B92" s="860">
        <v>-8.2064000000000004</v>
      </c>
      <c r="C92" s="812">
        <v>918604930.10000002</v>
      </c>
      <c r="D92" s="861"/>
      <c r="E92" s="812"/>
      <c r="F92" s="861"/>
      <c r="G92" s="812"/>
      <c r="H92" s="815"/>
      <c r="I92" s="815"/>
      <c r="J92" s="863">
        <v>-7.4771000000000001</v>
      </c>
      <c r="K92" s="817">
        <v>841868109.94000006</v>
      </c>
      <c r="L92" s="863"/>
      <c r="M92" s="817"/>
      <c r="N92" s="863"/>
      <c r="O92" s="817"/>
      <c r="P92" s="857"/>
      <c r="Q92" s="812"/>
      <c r="R92" s="891"/>
      <c r="S92" s="845"/>
      <c r="T92" s="846"/>
      <c r="U92" s="882"/>
      <c r="V92" s="848"/>
      <c r="W92" s="845"/>
      <c r="X92" s="848"/>
      <c r="Y92" s="848"/>
      <c r="Z92" s="1184"/>
      <c r="AA92" s="848"/>
      <c r="AB92" s="893"/>
      <c r="AC92" s="828"/>
      <c r="AD92" s="998">
        <v>-4.6900000000000004</v>
      </c>
      <c r="AE92" s="828">
        <v>325842717.31</v>
      </c>
      <c r="AF92" s="846">
        <v>-2.9756999999999998</v>
      </c>
      <c r="AG92" s="847">
        <v>148466540.13999999</v>
      </c>
      <c r="AH92" s="876"/>
      <c r="AI92" s="876"/>
      <c r="AJ92" s="880">
        <v>-6.7891000000000004</v>
      </c>
      <c r="AK92" s="825">
        <v>174108047.91999999</v>
      </c>
      <c r="AL92" s="852"/>
      <c r="AM92" s="828"/>
      <c r="AN92" s="827">
        <v>-4.0509000000000004</v>
      </c>
      <c r="AO92" s="845">
        <v>874342177.97000003</v>
      </c>
      <c r="AP92" s="829">
        <v>-5.0206999999999997</v>
      </c>
      <c r="AQ92" s="822">
        <v>623646017.39999998</v>
      </c>
      <c r="AR92" s="827">
        <v>-3.3639999999999994</v>
      </c>
      <c r="AS92" s="848">
        <v>530127494.88</v>
      </c>
      <c r="AT92" s="959">
        <v>0.73529999999999995</v>
      </c>
      <c r="AU92" s="822">
        <v>1332067248.79</v>
      </c>
      <c r="AV92" s="811">
        <v>0.54710000000000003</v>
      </c>
      <c r="AW92" s="845">
        <v>629161014.54999995</v>
      </c>
      <c r="AX92" s="873"/>
      <c r="AY92" s="828"/>
      <c r="AZ92" s="870"/>
      <c r="BA92" s="850"/>
      <c r="BB92" s="850"/>
      <c r="BC92" s="850"/>
      <c r="BD92" s="871"/>
      <c r="BE92" s="872"/>
      <c r="BF92" s="873"/>
      <c r="BG92" s="833">
        <f>Index_Returns!B326</f>
        <v>-7.1239999999999997</v>
      </c>
      <c r="BH92" s="826">
        <f t="shared" si="27"/>
        <v>-1.0824000000000007</v>
      </c>
      <c r="BI92" s="826"/>
      <c r="BJ92" s="836"/>
      <c r="BK92" s="865">
        <f t="shared" si="22"/>
        <v>-0.35310000000000041</v>
      </c>
      <c r="BL92" s="865"/>
      <c r="BM92" s="865"/>
      <c r="BN92" s="865"/>
      <c r="BO92" s="865"/>
      <c r="BP92" s="866"/>
      <c r="BQ92" s="880">
        <f>Index_Returns!E326</f>
        <v>-7.3190999999999997</v>
      </c>
      <c r="BR92" s="836"/>
      <c r="BS92" s="834"/>
      <c r="BT92" s="883"/>
      <c r="BU92" s="834"/>
      <c r="BV92" s="834"/>
      <c r="BW92" s="834"/>
      <c r="BX92" s="837"/>
      <c r="BY92" s="880">
        <f>Index_Returns!I326</f>
        <v>-8.48</v>
      </c>
      <c r="BZ92" s="880"/>
      <c r="CA92" s="897">
        <f t="shared" si="30"/>
        <v>1.6909000000000001</v>
      </c>
      <c r="CB92" s="854">
        <f>Index_Returns!H326</f>
        <v>-4.9619999999999997</v>
      </c>
      <c r="CC92" s="1002">
        <f t="shared" si="23"/>
        <v>0.27199999999999935</v>
      </c>
      <c r="CD92" s="877">
        <f t="shared" si="24"/>
        <v>1.9863</v>
      </c>
      <c r="CE92" s="894"/>
      <c r="CF92" s="877"/>
      <c r="CG92" s="879"/>
      <c r="CH92" s="852"/>
      <c r="CI92" s="826">
        <f>Index_Returns!AA326</f>
        <v>-3.9430000000000001</v>
      </c>
      <c r="CJ92" s="826">
        <f t="shared" si="28"/>
        <v>-0.10790000000000033</v>
      </c>
      <c r="CK92" s="826">
        <f t="shared" si="29"/>
        <v>-1.0776999999999997</v>
      </c>
      <c r="CL92" s="826">
        <f t="shared" si="25"/>
        <v>0.57900000000000063</v>
      </c>
      <c r="CM92" s="842">
        <f>Index_Returns!W326</f>
        <v>0.86509999999999998</v>
      </c>
      <c r="CN92" s="889">
        <f t="shared" si="21"/>
        <v>-0.12980000000000003</v>
      </c>
      <c r="CO92" s="880">
        <f t="shared" si="26"/>
        <v>-0.31799999999999995</v>
      </c>
      <c r="CP92" s="852"/>
      <c r="CQ92" s="853"/>
      <c r="CR92" s="854">
        <v>0.875</v>
      </c>
      <c r="CS92" s="854"/>
      <c r="CT92" s="855"/>
      <c r="CU92" s="853"/>
    </row>
    <row r="93" spans="1:99" x14ac:dyDescent="0.2">
      <c r="A93" s="856">
        <v>37468</v>
      </c>
      <c r="B93" s="860">
        <v>-8.1454000000000004</v>
      </c>
      <c r="C93" s="812">
        <v>843838863.75</v>
      </c>
      <c r="D93" s="861"/>
      <c r="E93" s="812"/>
      <c r="F93" s="861"/>
      <c r="G93" s="812"/>
      <c r="H93" s="815"/>
      <c r="I93" s="815"/>
      <c r="J93" s="863">
        <v>-6.2885999999999997</v>
      </c>
      <c r="K93" s="817">
        <v>788926628.30999994</v>
      </c>
      <c r="L93" s="863"/>
      <c r="M93" s="817"/>
      <c r="N93" s="863"/>
      <c r="O93" s="817"/>
      <c r="P93" s="857"/>
      <c r="Q93" s="845"/>
      <c r="R93" s="891"/>
      <c r="S93" s="845"/>
      <c r="T93" s="846">
        <v>-9.5300999999999991</v>
      </c>
      <c r="U93" s="847">
        <v>185026631.31</v>
      </c>
      <c r="V93" s="898">
        <v>-13.375100000000002</v>
      </c>
      <c r="W93" s="845">
        <v>58725133.539999999</v>
      </c>
      <c r="X93" s="827">
        <v>-12.9903</v>
      </c>
      <c r="Y93" s="899">
        <v>58370897.780000001</v>
      </c>
      <c r="Z93" s="1184"/>
      <c r="AA93" s="899"/>
      <c r="AB93" s="893"/>
      <c r="AC93" s="828"/>
      <c r="AD93" s="998">
        <v>-14.7445</v>
      </c>
      <c r="AE93" s="828">
        <v>277798734.98000002</v>
      </c>
      <c r="AF93" s="846">
        <v>-12.2089</v>
      </c>
      <c r="AG93" s="847">
        <v>130340354.09999999</v>
      </c>
      <c r="AH93" s="876"/>
      <c r="AI93" s="876"/>
      <c r="AJ93" s="880">
        <v>-13.0822</v>
      </c>
      <c r="AK93" s="825">
        <v>151330860.06999999</v>
      </c>
      <c r="AL93" s="852"/>
      <c r="AM93" s="828"/>
      <c r="AN93" s="827">
        <v>-9.5556000000000001</v>
      </c>
      <c r="AO93" s="845">
        <v>790735630</v>
      </c>
      <c r="AP93" s="829">
        <v>-10.0085</v>
      </c>
      <c r="AQ93" s="822">
        <v>561228508.76999998</v>
      </c>
      <c r="AR93" s="827">
        <v>-9.7727000000000004</v>
      </c>
      <c r="AS93" s="848">
        <v>478319750.54000002</v>
      </c>
      <c r="AT93" s="959">
        <v>1.272</v>
      </c>
      <c r="AU93" s="822">
        <v>1349011300.23</v>
      </c>
      <c r="AV93" s="811">
        <v>0.33839999999999998</v>
      </c>
      <c r="AW93" s="845">
        <v>556274009.58000004</v>
      </c>
      <c r="AX93" s="873"/>
      <c r="AY93" s="828"/>
      <c r="AZ93" s="870"/>
      <c r="BA93" s="850"/>
      <c r="BB93" s="850"/>
      <c r="BC93" s="850"/>
      <c r="BD93" s="871"/>
      <c r="BE93" s="872"/>
      <c r="BF93" s="873"/>
      <c r="BG93" s="833">
        <f>Index_Returns!B327</f>
        <v>-7.7949999999999999</v>
      </c>
      <c r="BH93" s="826">
        <f t="shared" si="27"/>
        <v>-0.35040000000000049</v>
      </c>
      <c r="BI93" s="826"/>
      <c r="BJ93" s="836"/>
      <c r="BK93" s="865">
        <f t="shared" si="22"/>
        <v>1.5064000000000002</v>
      </c>
      <c r="BL93" s="865"/>
      <c r="BM93" s="865"/>
      <c r="BN93" s="865"/>
      <c r="BO93" s="865"/>
      <c r="BP93" s="866"/>
      <c r="BQ93" s="880">
        <f>Index_Returns!E327</f>
        <v>-9.6866000000000003</v>
      </c>
      <c r="BR93" s="836"/>
      <c r="BS93" s="834"/>
      <c r="BT93" s="883">
        <f t="shared" ref="BT93:BT124" si="31">T93-BQ93</f>
        <v>0.15650000000000119</v>
      </c>
      <c r="BU93" s="865">
        <f>Index_Returns!F327</f>
        <v>-8.9838000000000005</v>
      </c>
      <c r="BV93" s="865">
        <f t="shared" ref="BV93:BV129" si="32">V93-BU93</f>
        <v>-4.3913000000000011</v>
      </c>
      <c r="BW93" s="865">
        <f t="shared" ref="BW93:BW129" si="33">X93-BU93</f>
        <v>-4.0064999999999991</v>
      </c>
      <c r="BX93" s="1195"/>
      <c r="BY93" s="880">
        <f>Index_Returns!I327</f>
        <v>-15.369</v>
      </c>
      <c r="BZ93" s="880"/>
      <c r="CA93" s="897">
        <f t="shared" si="30"/>
        <v>2.2867999999999995</v>
      </c>
      <c r="CB93" s="854">
        <f>Index_Returns!H327</f>
        <v>-15.103</v>
      </c>
      <c r="CC93" s="1002">
        <f t="shared" si="23"/>
        <v>0.35849999999999937</v>
      </c>
      <c r="CD93" s="877">
        <f t="shared" si="24"/>
        <v>2.8940999999999999</v>
      </c>
      <c r="CE93" s="894"/>
      <c r="CF93" s="877"/>
      <c r="CG93" s="879"/>
      <c r="CH93" s="852"/>
      <c r="CI93" s="826">
        <f>Index_Returns!AA327</f>
        <v>-9.8640000000000008</v>
      </c>
      <c r="CJ93" s="826">
        <f t="shared" si="28"/>
        <v>0.30840000000000067</v>
      </c>
      <c r="CK93" s="826">
        <f t="shared" si="29"/>
        <v>-0.14449999999999896</v>
      </c>
      <c r="CL93" s="826">
        <f t="shared" si="25"/>
        <v>9.1300000000000381E-2</v>
      </c>
      <c r="CM93" s="842">
        <f>Index_Returns!W327</f>
        <v>1.2061999999999999</v>
      </c>
      <c r="CN93" s="889">
        <f t="shared" si="21"/>
        <v>6.5800000000000081E-2</v>
      </c>
      <c r="CO93" s="880">
        <f t="shared" si="26"/>
        <v>-0.8677999999999999</v>
      </c>
      <c r="CP93" s="852"/>
      <c r="CQ93" s="853"/>
      <c r="CR93" s="854">
        <v>1.1959</v>
      </c>
      <c r="CS93" s="854"/>
      <c r="CT93" s="855"/>
      <c r="CU93" s="853"/>
    </row>
    <row r="94" spans="1:99" x14ac:dyDescent="0.2">
      <c r="A94" s="856">
        <v>37499</v>
      </c>
      <c r="B94" s="860">
        <v>1.3311999999999999</v>
      </c>
      <c r="C94" s="812">
        <v>855085054.5</v>
      </c>
      <c r="D94" s="861"/>
      <c r="E94" s="812"/>
      <c r="F94" s="861"/>
      <c r="G94" s="812"/>
      <c r="H94" s="815"/>
      <c r="I94" s="815"/>
      <c r="J94" s="863">
        <v>0.58789999999999998</v>
      </c>
      <c r="K94" s="817">
        <v>793565054.92999995</v>
      </c>
      <c r="L94" s="863"/>
      <c r="M94" s="812"/>
      <c r="N94" s="885"/>
      <c r="O94" s="817"/>
      <c r="P94" s="857"/>
      <c r="Q94" s="845"/>
      <c r="R94" s="891"/>
      <c r="S94" s="845"/>
      <c r="T94" s="846">
        <v>1.0838000000000001</v>
      </c>
      <c r="U94" s="847">
        <v>187031993.62</v>
      </c>
      <c r="V94" s="898">
        <v>-1.3386</v>
      </c>
      <c r="W94" s="845">
        <v>57939043.460000001</v>
      </c>
      <c r="X94" s="827">
        <v>-2.0101</v>
      </c>
      <c r="Y94" s="899">
        <v>57197564.880000003</v>
      </c>
      <c r="Z94" s="1184"/>
      <c r="AA94" s="899"/>
      <c r="AB94" s="893"/>
      <c r="AC94" s="828"/>
      <c r="AD94" s="998">
        <v>-0.1351</v>
      </c>
      <c r="AE94" s="828">
        <v>277423361.94999999</v>
      </c>
      <c r="AF94" s="846">
        <v>0.16550000000000001</v>
      </c>
      <c r="AG94" s="847">
        <v>130556083.13</v>
      </c>
      <c r="AH94" s="876"/>
      <c r="AI94" s="876"/>
      <c r="AJ94" s="880">
        <v>2.5508999999999999</v>
      </c>
      <c r="AK94" s="825">
        <v>155225478.84</v>
      </c>
      <c r="AL94" s="852"/>
      <c r="AM94" s="828"/>
      <c r="AN94" s="827">
        <v>0.25209999999999999</v>
      </c>
      <c r="AO94" s="845">
        <v>792827698.97000003</v>
      </c>
      <c r="AP94" s="829">
        <v>-1.4505999999999999</v>
      </c>
      <c r="AQ94" s="822">
        <v>553086576.89999998</v>
      </c>
      <c r="AR94" s="827">
        <v>-0.71530000000000005</v>
      </c>
      <c r="AS94" s="848">
        <v>474898460.81</v>
      </c>
      <c r="AT94" s="959">
        <v>1.9617</v>
      </c>
      <c r="AU94" s="822">
        <v>1375475283.54</v>
      </c>
      <c r="AV94" s="811">
        <v>2.6044999999999998</v>
      </c>
      <c r="AW94" s="845">
        <v>500585914.06999999</v>
      </c>
      <c r="AX94" s="873"/>
      <c r="AY94" s="828"/>
      <c r="AZ94" s="870"/>
      <c r="BA94" s="850"/>
      <c r="BB94" s="850"/>
      <c r="BC94" s="850"/>
      <c r="BD94" s="871"/>
      <c r="BE94" s="872"/>
      <c r="BF94" s="873"/>
      <c r="BG94" s="833">
        <f>Index_Returns!B328</f>
        <v>0.65700000000000003</v>
      </c>
      <c r="BH94" s="826">
        <f t="shared" si="27"/>
        <v>0.67419999999999991</v>
      </c>
      <c r="BI94" s="826"/>
      <c r="BJ94" s="836"/>
      <c r="BK94" s="865">
        <f t="shared" si="22"/>
        <v>-6.910000000000005E-2</v>
      </c>
      <c r="BL94" s="865"/>
      <c r="BM94" s="865"/>
      <c r="BN94" s="865"/>
      <c r="BO94" s="865"/>
      <c r="BP94" s="866"/>
      <c r="BQ94" s="880">
        <f>Index_Returns!E328</f>
        <v>0.50309999999999999</v>
      </c>
      <c r="BR94" s="836"/>
      <c r="BS94" s="834"/>
      <c r="BT94" s="883">
        <f t="shared" si="31"/>
        <v>0.5807000000000001</v>
      </c>
      <c r="BU94" s="865">
        <f>Index_Returns!F328</f>
        <v>0.11219999999999999</v>
      </c>
      <c r="BV94" s="865">
        <f t="shared" si="32"/>
        <v>-1.4508000000000001</v>
      </c>
      <c r="BW94" s="865">
        <f t="shared" si="33"/>
        <v>-2.1223000000000001</v>
      </c>
      <c r="BX94" s="1195"/>
      <c r="BY94" s="880">
        <f>Index_Returns!I328</f>
        <v>-4.7E-2</v>
      </c>
      <c r="BZ94" s="880"/>
      <c r="CA94" s="897">
        <f t="shared" si="30"/>
        <v>2.5979000000000001</v>
      </c>
      <c r="CB94" s="854">
        <f>Index_Returns!H328</f>
        <v>-0.255</v>
      </c>
      <c r="CC94" s="1002">
        <f t="shared" si="23"/>
        <v>0.11990000000000001</v>
      </c>
      <c r="CD94" s="877">
        <f t="shared" si="24"/>
        <v>0.42049999999999998</v>
      </c>
      <c r="CE94" s="894"/>
      <c r="CF94" s="877"/>
      <c r="CG94" s="879"/>
      <c r="CH94" s="852"/>
      <c r="CI94" s="826">
        <f>Index_Returns!AA328</f>
        <v>-0.20330000000000001</v>
      </c>
      <c r="CJ94" s="826">
        <f t="shared" si="28"/>
        <v>0.45540000000000003</v>
      </c>
      <c r="CK94" s="826">
        <f t="shared" si="29"/>
        <v>-1.2472999999999999</v>
      </c>
      <c r="CL94" s="826">
        <f t="shared" si="25"/>
        <v>-0.51200000000000001</v>
      </c>
      <c r="CM94" s="842">
        <f>Index_Returns!W328</f>
        <v>1.6881999999999999</v>
      </c>
      <c r="CN94" s="889">
        <f t="shared" si="21"/>
        <v>0.27350000000000008</v>
      </c>
      <c r="CO94" s="880">
        <f t="shared" si="26"/>
        <v>0.91629999999999989</v>
      </c>
      <c r="CP94" s="852"/>
      <c r="CQ94" s="853"/>
      <c r="CR94" s="854">
        <v>1.1960999999999999</v>
      </c>
      <c r="CS94" s="854"/>
      <c r="CT94" s="855"/>
      <c r="CU94" s="853"/>
    </row>
    <row r="95" spans="1:99" x14ac:dyDescent="0.2">
      <c r="A95" s="856">
        <v>37529</v>
      </c>
      <c r="B95" s="860">
        <v>-11.8971</v>
      </c>
      <c r="C95" s="812">
        <v>753656145.17999995</v>
      </c>
      <c r="D95" s="861"/>
      <c r="E95" s="812"/>
      <c r="F95" s="861"/>
      <c r="G95" s="812"/>
      <c r="H95" s="815"/>
      <c r="I95" s="815"/>
      <c r="J95" s="863">
        <v>-10.3597</v>
      </c>
      <c r="K95" s="817">
        <v>711592655.03999996</v>
      </c>
      <c r="L95" s="863"/>
      <c r="M95" s="812"/>
      <c r="N95" s="885"/>
      <c r="O95" s="817"/>
      <c r="P95" s="857"/>
      <c r="Q95" s="845"/>
      <c r="R95" s="891"/>
      <c r="S95" s="845"/>
      <c r="T95" s="846">
        <v>-7.2317999999999998</v>
      </c>
      <c r="U95" s="847">
        <v>173555334.53999999</v>
      </c>
      <c r="V95" s="898">
        <v>-7.8151000000000002</v>
      </c>
      <c r="W95" s="845">
        <v>53459799.579999998</v>
      </c>
      <c r="X95" s="827">
        <v>-7.4869000000000003</v>
      </c>
      <c r="Y95" s="899">
        <v>53031899.310000002</v>
      </c>
      <c r="Z95" s="1184"/>
      <c r="AA95" s="899"/>
      <c r="AB95" s="893"/>
      <c r="AC95" s="828"/>
      <c r="AD95" s="998">
        <v>-7.1005000000000003</v>
      </c>
      <c r="AE95" s="828">
        <v>257725038.13</v>
      </c>
      <c r="AF95" s="846">
        <v>-6.658599999999999</v>
      </c>
      <c r="AG95" s="847">
        <v>121970303.29000001</v>
      </c>
      <c r="AH95" s="876"/>
      <c r="AI95" s="876"/>
      <c r="AJ95" s="880">
        <v>-4.5742000000000003</v>
      </c>
      <c r="AK95" s="825">
        <v>148386158.72999999</v>
      </c>
      <c r="AL95" s="852"/>
      <c r="AM95" s="828"/>
      <c r="AN95" s="827">
        <v>-10.6708</v>
      </c>
      <c r="AO95" s="845">
        <v>708394197.12</v>
      </c>
      <c r="AP95" s="829">
        <v>-11.0695</v>
      </c>
      <c r="AQ95" s="822">
        <v>492383272.31999999</v>
      </c>
      <c r="AR95" s="827">
        <v>-11.372</v>
      </c>
      <c r="AS95" s="848">
        <v>421265312.74000001</v>
      </c>
      <c r="AT95" s="959">
        <v>1.6551</v>
      </c>
      <c r="AU95" s="822">
        <v>1398241265.3900001</v>
      </c>
      <c r="AV95" s="811">
        <v>1.1435999999999999</v>
      </c>
      <c r="AW95" s="845">
        <v>416432216.77999997</v>
      </c>
      <c r="AX95" s="873"/>
      <c r="AY95" s="828"/>
      <c r="AZ95" s="870"/>
      <c r="BA95" s="850"/>
      <c r="BB95" s="850"/>
      <c r="BC95" s="850"/>
      <c r="BD95" s="871"/>
      <c r="BE95" s="872"/>
      <c r="BF95" s="873"/>
      <c r="BG95" s="833">
        <f>Index_Returns!B329</f>
        <v>-10.868</v>
      </c>
      <c r="BH95" s="826">
        <f t="shared" si="27"/>
        <v>-1.0290999999999997</v>
      </c>
      <c r="BI95" s="826"/>
      <c r="BJ95" s="836"/>
      <c r="BK95" s="865">
        <f t="shared" si="22"/>
        <v>0.5083000000000002</v>
      </c>
      <c r="BL95" s="865"/>
      <c r="BM95" s="865"/>
      <c r="BN95" s="865"/>
      <c r="BO95" s="865"/>
      <c r="BP95" s="866"/>
      <c r="BQ95" s="880">
        <f>Index_Returns!E329</f>
        <v>-8.0564999999999998</v>
      </c>
      <c r="BR95" s="836"/>
      <c r="BS95" s="834"/>
      <c r="BT95" s="883">
        <f t="shared" si="31"/>
        <v>0.82469999999999999</v>
      </c>
      <c r="BU95" s="865">
        <f>Index_Returns!F329</f>
        <v>-6.2329999999999997</v>
      </c>
      <c r="BV95" s="865">
        <f t="shared" si="32"/>
        <v>-1.5821000000000005</v>
      </c>
      <c r="BW95" s="865">
        <f t="shared" si="33"/>
        <v>-1.2539000000000007</v>
      </c>
      <c r="BX95" s="1195"/>
      <c r="BY95" s="880">
        <f>Index_Returns!I329</f>
        <v>-7.2229999999999999</v>
      </c>
      <c r="BZ95" s="880"/>
      <c r="CA95" s="897">
        <f t="shared" si="30"/>
        <v>2.6487999999999996</v>
      </c>
      <c r="CB95" s="854">
        <f>Index_Returns!H329</f>
        <v>-7.181</v>
      </c>
      <c r="CC95" s="1002">
        <f t="shared" si="23"/>
        <v>8.0499999999999794E-2</v>
      </c>
      <c r="CD95" s="877">
        <f t="shared" si="24"/>
        <v>0.52240000000000109</v>
      </c>
      <c r="CE95" s="894"/>
      <c r="CF95" s="877"/>
      <c r="CG95" s="879"/>
      <c r="CH95" s="852"/>
      <c r="CI95" s="826">
        <f>Index_Returns!AA329</f>
        <v>-10.715</v>
      </c>
      <c r="CJ95" s="826">
        <f t="shared" si="28"/>
        <v>4.4200000000000017E-2</v>
      </c>
      <c r="CK95" s="826">
        <f t="shared" si="29"/>
        <v>-0.35449999999999982</v>
      </c>
      <c r="CL95" s="826">
        <f t="shared" si="25"/>
        <v>-0.65700000000000003</v>
      </c>
      <c r="CM95" s="842">
        <f>Index_Returns!W329</f>
        <v>1.6198999999999999</v>
      </c>
      <c r="CN95" s="889">
        <f t="shared" si="21"/>
        <v>3.520000000000012E-2</v>
      </c>
      <c r="CO95" s="880">
        <f t="shared" si="26"/>
        <v>-0.47629999999999995</v>
      </c>
      <c r="CP95" s="852"/>
      <c r="CQ95" s="853"/>
      <c r="CR95" s="854">
        <v>1.3362000000000001</v>
      </c>
      <c r="CS95" s="854"/>
      <c r="CT95" s="855"/>
      <c r="CU95" s="853"/>
    </row>
    <row r="96" spans="1:99" x14ac:dyDescent="0.2">
      <c r="A96" s="856">
        <v>37560</v>
      </c>
      <c r="B96" s="860">
        <v>7.6363000000000003</v>
      </c>
      <c r="C96" s="812">
        <v>811207339.24000001</v>
      </c>
      <c r="D96" s="861"/>
      <c r="E96" s="812"/>
      <c r="F96" s="861"/>
      <c r="G96" s="812"/>
      <c r="H96" s="815"/>
      <c r="I96" s="815"/>
      <c r="J96" s="863">
        <v>7.5660000000000007</v>
      </c>
      <c r="K96" s="817">
        <v>765431535.39999998</v>
      </c>
      <c r="L96" s="863"/>
      <c r="M96" s="812"/>
      <c r="N96" s="885"/>
      <c r="O96" s="817"/>
      <c r="P96" s="857"/>
      <c r="Q96" s="845"/>
      <c r="R96" s="891"/>
      <c r="S96" s="845"/>
      <c r="T96" s="846">
        <v>3.3296000000000001</v>
      </c>
      <c r="U96" s="847">
        <v>179334003.78</v>
      </c>
      <c r="V96" s="898">
        <v>1.4306000000000001</v>
      </c>
      <c r="W96" s="845">
        <v>54224593.909999996</v>
      </c>
      <c r="X96" s="827">
        <v>6.2531999999999988</v>
      </c>
      <c r="Y96" s="899">
        <v>56348085.219999999</v>
      </c>
      <c r="Z96" s="1184"/>
      <c r="AA96" s="899"/>
      <c r="AB96" s="893"/>
      <c r="AC96" s="828"/>
      <c r="AD96" s="998">
        <v>3.0589</v>
      </c>
      <c r="AE96" s="828">
        <v>265608677.71000001</v>
      </c>
      <c r="AF96" s="846">
        <v>3.4971999999999994</v>
      </c>
      <c r="AG96" s="847">
        <v>126235807.36</v>
      </c>
      <c r="AH96" s="876"/>
      <c r="AI96" s="876"/>
      <c r="AJ96" s="880">
        <v>1.8878999999999999</v>
      </c>
      <c r="AK96" s="825">
        <v>151187554.02000001</v>
      </c>
      <c r="AL96" s="852"/>
      <c r="AM96" s="828"/>
      <c r="AN96" s="827">
        <v>5.3630000000000004</v>
      </c>
      <c r="AO96" s="845">
        <v>746357140.02999997</v>
      </c>
      <c r="AP96" s="829">
        <v>8.6449999999999996</v>
      </c>
      <c r="AQ96" s="822">
        <v>534949777.13</v>
      </c>
      <c r="AR96" s="827">
        <v>6.8910999999999998</v>
      </c>
      <c r="AS96" s="848">
        <v>450294991.75</v>
      </c>
      <c r="AT96" s="959">
        <v>-0.27550000000000002</v>
      </c>
      <c r="AU96" s="822">
        <v>1394389128.4100001</v>
      </c>
      <c r="AV96" s="811">
        <v>-0.77410000000000001</v>
      </c>
      <c r="AW96" s="845">
        <v>353238566.30000001</v>
      </c>
      <c r="AX96" s="873"/>
      <c r="AY96" s="828"/>
      <c r="AZ96" s="870"/>
      <c r="BA96" s="850"/>
      <c r="BB96" s="850"/>
      <c r="BC96" s="850"/>
      <c r="BD96" s="871"/>
      <c r="BE96" s="872"/>
      <c r="BF96" s="873"/>
      <c r="BG96" s="833">
        <f>Index_Returns!B330</f>
        <v>8.8019999999999996</v>
      </c>
      <c r="BH96" s="826">
        <f t="shared" si="27"/>
        <v>-1.1656999999999993</v>
      </c>
      <c r="BI96" s="826"/>
      <c r="BJ96" s="836"/>
      <c r="BK96" s="865">
        <f t="shared" si="22"/>
        <v>-1.2359999999999989</v>
      </c>
      <c r="BL96" s="865"/>
      <c r="BM96" s="865"/>
      <c r="BN96" s="865"/>
      <c r="BO96" s="865"/>
      <c r="BP96" s="866"/>
      <c r="BQ96" s="880">
        <f>Index_Returns!E330</f>
        <v>4.3331</v>
      </c>
      <c r="BR96" s="836"/>
      <c r="BS96" s="834"/>
      <c r="BT96" s="883">
        <f t="shared" si="31"/>
        <v>-1.0034999999999998</v>
      </c>
      <c r="BU96" s="865">
        <f>Index_Returns!F330</f>
        <v>4.6543000000000001</v>
      </c>
      <c r="BV96" s="865">
        <f t="shared" si="32"/>
        <v>-3.2237</v>
      </c>
      <c r="BW96" s="865">
        <f t="shared" si="33"/>
        <v>1.5988999999999987</v>
      </c>
      <c r="BX96" s="1195"/>
      <c r="BY96" s="880">
        <f>Index_Returns!I330</f>
        <v>5.0579999999999998</v>
      </c>
      <c r="BZ96" s="880"/>
      <c r="CA96" s="897">
        <f t="shared" si="30"/>
        <v>-3.1700999999999997</v>
      </c>
      <c r="CB96" s="854">
        <f>Index_Returns!H330</f>
        <v>3.206</v>
      </c>
      <c r="CC96" s="1002">
        <f t="shared" si="23"/>
        <v>-0.14710000000000001</v>
      </c>
      <c r="CD96" s="877">
        <f t="shared" si="24"/>
        <v>0.29119999999999946</v>
      </c>
      <c r="CE96" s="894"/>
      <c r="CF96" s="877"/>
      <c r="CG96" s="879"/>
      <c r="CH96" s="852"/>
      <c r="CI96" s="826">
        <f>Index_Returns!AA330</f>
        <v>5.3819999999999997</v>
      </c>
      <c r="CJ96" s="826">
        <f t="shared" si="28"/>
        <v>-1.899999999999924E-2</v>
      </c>
      <c r="CK96" s="826">
        <f t="shared" si="29"/>
        <v>3.2629999999999999</v>
      </c>
      <c r="CL96" s="826">
        <f t="shared" si="25"/>
        <v>1.5091000000000001</v>
      </c>
      <c r="CM96" s="842">
        <f>Index_Returns!W330</f>
        <v>-0.45590000000000003</v>
      </c>
      <c r="CN96" s="889">
        <f t="shared" si="21"/>
        <v>0.1804</v>
      </c>
      <c r="CO96" s="880">
        <f t="shared" si="26"/>
        <v>-0.31819999999999998</v>
      </c>
      <c r="CP96" s="852"/>
      <c r="CQ96" s="853"/>
      <c r="CR96" s="854">
        <v>-6.4699999999999994E-2</v>
      </c>
      <c r="CS96" s="854"/>
      <c r="CT96" s="855"/>
      <c r="CU96" s="853"/>
    </row>
    <row r="97" spans="1:100" x14ac:dyDescent="0.2">
      <c r="A97" s="856">
        <v>37590</v>
      </c>
      <c r="B97" s="860">
        <v>6.9203999999999999</v>
      </c>
      <c r="C97" s="812">
        <v>867346061.97000003</v>
      </c>
      <c r="D97" s="861"/>
      <c r="E97" s="812"/>
      <c r="F97" s="861"/>
      <c r="G97" s="812"/>
      <c r="H97" s="815"/>
      <c r="I97" s="815"/>
      <c r="J97" s="863">
        <v>4.0567000000000002</v>
      </c>
      <c r="K97" s="817">
        <v>796482585.72000003</v>
      </c>
      <c r="L97" s="863"/>
      <c r="M97" s="812"/>
      <c r="N97" s="885"/>
      <c r="O97" s="817"/>
      <c r="P97" s="857"/>
      <c r="Q97" s="845"/>
      <c r="R97" s="891"/>
      <c r="S97" s="845"/>
      <c r="T97" s="846">
        <v>5.6573000000000002</v>
      </c>
      <c r="U97" s="847">
        <v>189479403.40000001</v>
      </c>
      <c r="V97" s="898">
        <v>5.2144000000000004</v>
      </c>
      <c r="W97" s="845">
        <v>57052073.719999999</v>
      </c>
      <c r="X97" s="827">
        <v>6.7609000000000004</v>
      </c>
      <c r="Y97" s="899">
        <v>60157722.509999998</v>
      </c>
      <c r="Z97" s="1184"/>
      <c r="AA97" s="899"/>
      <c r="AB97" s="893"/>
      <c r="AC97" s="828"/>
      <c r="AD97" s="998">
        <v>8.7342999999999993</v>
      </c>
      <c r="AE97" s="828">
        <v>288807723.41000003</v>
      </c>
      <c r="AF97" s="846">
        <v>9.9571000000000005</v>
      </c>
      <c r="AG97" s="847">
        <v>138805197.69</v>
      </c>
      <c r="AH97" s="876"/>
      <c r="AI97" s="876"/>
      <c r="AJ97" s="880">
        <v>6.4088000000000003</v>
      </c>
      <c r="AK97" s="825">
        <v>160876886</v>
      </c>
      <c r="AL97" s="852"/>
      <c r="AM97" s="828"/>
      <c r="AN97" s="827">
        <v>4.7328000000000001</v>
      </c>
      <c r="AO97" s="845">
        <v>781677612.21000004</v>
      </c>
      <c r="AP97" s="829">
        <v>6.3628999999999989</v>
      </c>
      <c r="AQ97" s="822">
        <v>568988207.96000004</v>
      </c>
      <c r="AR97" s="827">
        <v>3.7056999999999998</v>
      </c>
      <c r="AS97" s="848">
        <v>466981429.95999998</v>
      </c>
      <c r="AT97" s="959">
        <v>-0.151</v>
      </c>
      <c r="AU97" s="822">
        <v>1392284076.4400001</v>
      </c>
      <c r="AV97" s="811">
        <v>0.80440000000000011</v>
      </c>
      <c r="AW97" s="845">
        <v>280999548.69</v>
      </c>
      <c r="AX97" s="873"/>
      <c r="AY97" s="828"/>
      <c r="AZ97" s="870"/>
      <c r="BA97" s="850"/>
      <c r="BB97" s="850"/>
      <c r="BC97" s="850"/>
      <c r="BD97" s="871"/>
      <c r="BE97" s="872"/>
      <c r="BF97" s="873"/>
      <c r="BG97" s="833">
        <f>Index_Returns!B331</f>
        <v>5.8860000000000001</v>
      </c>
      <c r="BH97" s="826">
        <f t="shared" si="27"/>
        <v>1.0343999999999998</v>
      </c>
      <c r="BI97" s="826"/>
      <c r="BJ97" s="836"/>
      <c r="BK97" s="865">
        <f t="shared" si="22"/>
        <v>-1.8292999999999999</v>
      </c>
      <c r="BL97" s="865"/>
      <c r="BM97" s="865"/>
      <c r="BN97" s="865"/>
      <c r="BO97" s="865"/>
      <c r="BP97" s="866"/>
      <c r="BQ97" s="880">
        <f>Index_Returns!E331</f>
        <v>5.7854999999999999</v>
      </c>
      <c r="BR97" s="836"/>
      <c r="BS97" s="834"/>
      <c r="BT97" s="883">
        <f t="shared" si="31"/>
        <v>-0.12819999999999965</v>
      </c>
      <c r="BU97" s="865">
        <f>Index_Returns!F331</f>
        <v>5.1982999999999997</v>
      </c>
      <c r="BV97" s="865">
        <f t="shared" si="32"/>
        <v>1.6100000000000669E-2</v>
      </c>
      <c r="BW97" s="865">
        <f t="shared" si="33"/>
        <v>1.5626000000000007</v>
      </c>
      <c r="BX97" s="1195"/>
      <c r="BY97" s="880">
        <f>Index_Returns!I331</f>
        <v>9.9139999999999997</v>
      </c>
      <c r="BZ97" s="880"/>
      <c r="CA97" s="897">
        <f t="shared" si="30"/>
        <v>-3.5051999999999994</v>
      </c>
      <c r="CB97" s="854">
        <f>Index_Returns!H331</f>
        <v>8.9239999999999995</v>
      </c>
      <c r="CC97" s="1002">
        <f t="shared" si="23"/>
        <v>-0.1897000000000002</v>
      </c>
      <c r="CD97" s="877">
        <f t="shared" si="24"/>
        <v>1.033100000000001</v>
      </c>
      <c r="CE97" s="894"/>
      <c r="CF97" s="877"/>
      <c r="CG97" s="879"/>
      <c r="CH97" s="852"/>
      <c r="CI97" s="826">
        <f>Index_Returns!AA331</f>
        <v>4.5510000000000002</v>
      </c>
      <c r="CJ97" s="826">
        <f t="shared" si="28"/>
        <v>0.18179999999999996</v>
      </c>
      <c r="CK97" s="826">
        <f t="shared" si="29"/>
        <v>1.8118999999999987</v>
      </c>
      <c r="CL97" s="826">
        <f t="shared" si="25"/>
        <v>-0.84530000000000038</v>
      </c>
      <c r="CM97" s="842">
        <f>Index_Returns!W331</f>
        <v>-2.64E-2</v>
      </c>
      <c r="CN97" s="889">
        <f t="shared" si="21"/>
        <v>-0.12459999999999999</v>
      </c>
      <c r="CO97" s="880">
        <f t="shared" si="26"/>
        <v>0.83080000000000009</v>
      </c>
      <c r="CP97" s="852"/>
      <c r="CQ97" s="853"/>
      <c r="CR97" s="854">
        <v>-0.1188</v>
      </c>
      <c r="CS97" s="854"/>
      <c r="CT97" s="855"/>
      <c r="CU97" s="853"/>
    </row>
    <row r="98" spans="1:100" x14ac:dyDescent="0.2">
      <c r="A98" s="856">
        <v>37621</v>
      </c>
      <c r="B98" s="900"/>
      <c r="C98" s="812"/>
      <c r="D98" s="861"/>
      <c r="E98" s="812"/>
      <c r="F98" s="861"/>
      <c r="G98" s="812"/>
      <c r="H98" s="815"/>
      <c r="I98" s="815"/>
      <c r="J98" s="901"/>
      <c r="K98" s="817"/>
      <c r="L98" s="901"/>
      <c r="M98" s="812"/>
      <c r="N98" s="1020"/>
      <c r="O98" s="817"/>
      <c r="P98" s="857"/>
      <c r="Q98" s="845"/>
      <c r="R98" s="857"/>
      <c r="S98" s="845"/>
      <c r="T98" s="846">
        <v>-3.7949000000000002</v>
      </c>
      <c r="U98" s="847">
        <v>182331411.03999999</v>
      </c>
      <c r="V98" s="898">
        <v>-8.0884999999999998</v>
      </c>
      <c r="W98" s="845">
        <v>52475736.789999999</v>
      </c>
      <c r="X98" s="827">
        <v>-6.1022999999999996</v>
      </c>
      <c r="Y98" s="899">
        <v>56582114.229999997</v>
      </c>
      <c r="Z98" s="1184"/>
      <c r="AA98" s="899"/>
      <c r="AB98" s="893"/>
      <c r="AC98" s="828"/>
      <c r="AD98" s="998">
        <v>-5.4878</v>
      </c>
      <c r="AE98" s="828">
        <v>272958430.66000003</v>
      </c>
      <c r="AF98" s="846">
        <v>-3.4668000000000005</v>
      </c>
      <c r="AG98" s="847">
        <v>134082815.01000001</v>
      </c>
      <c r="AH98" s="876"/>
      <c r="AI98" s="876"/>
      <c r="AJ98" s="880">
        <v>-5.4173</v>
      </c>
      <c r="AK98" s="825">
        <v>152390087.47</v>
      </c>
      <c r="AL98" s="852"/>
      <c r="AM98" s="828"/>
      <c r="AN98" s="827">
        <v>-4.2350000000000003</v>
      </c>
      <c r="AO98" s="845">
        <v>748699715.14999998</v>
      </c>
      <c r="AP98" s="829">
        <v>-5.1104000000000003</v>
      </c>
      <c r="AQ98" s="822">
        <v>540336965.91999996</v>
      </c>
      <c r="AR98" s="827">
        <v>-4.0350999999999999</v>
      </c>
      <c r="AS98" s="848">
        <v>448485750.63999999</v>
      </c>
      <c r="AT98" s="959">
        <v>2.1676000000000002</v>
      </c>
      <c r="AU98" s="822">
        <v>1422462954.8599999</v>
      </c>
      <c r="AV98" s="811">
        <v>1.8153999999999999</v>
      </c>
      <c r="AW98" s="845">
        <v>286296472.43000001</v>
      </c>
      <c r="AX98" s="873"/>
      <c r="AY98" s="828"/>
      <c r="AZ98" s="870"/>
      <c r="BA98" s="850"/>
      <c r="BB98" s="850"/>
      <c r="BC98" s="850"/>
      <c r="BD98" s="871"/>
      <c r="BE98" s="872"/>
      <c r="BF98" s="873"/>
      <c r="BG98" s="833">
        <f>Index_Returns!B332</f>
        <v>-5.875</v>
      </c>
      <c r="BH98" s="836"/>
      <c r="BI98" s="836"/>
      <c r="BJ98" s="836"/>
      <c r="BK98" s="834"/>
      <c r="BL98" s="834"/>
      <c r="BM98" s="834"/>
      <c r="BN98" s="834"/>
      <c r="BO98" s="834"/>
      <c r="BP98" s="835"/>
      <c r="BQ98" s="880">
        <f>Index_Returns!E332</f>
        <v>-4.1093999999999999</v>
      </c>
      <c r="BR98" s="836"/>
      <c r="BS98" s="834"/>
      <c r="BT98" s="883">
        <f t="shared" si="31"/>
        <v>0.31449999999999978</v>
      </c>
      <c r="BU98" s="865">
        <f>Index_Returns!F332</f>
        <v>-4.5172999999999996</v>
      </c>
      <c r="BV98" s="865">
        <f t="shared" si="32"/>
        <v>-3.5712000000000002</v>
      </c>
      <c r="BW98" s="865">
        <f t="shared" si="33"/>
        <v>-1.585</v>
      </c>
      <c r="BX98" s="1195"/>
      <c r="BY98" s="880">
        <f>Index_Returns!I332</f>
        <v>-6.8963999999999999</v>
      </c>
      <c r="BZ98" s="880"/>
      <c r="CA98" s="897">
        <f t="shared" si="30"/>
        <v>1.4790999999999999</v>
      </c>
      <c r="CB98" s="854">
        <f>Index_Returns!H332</f>
        <v>-5.5678999999999998</v>
      </c>
      <c r="CC98" s="1002">
        <f t="shared" si="23"/>
        <v>8.0099999999999838E-2</v>
      </c>
      <c r="CD98" s="877">
        <f t="shared" si="24"/>
        <v>2.1010999999999993</v>
      </c>
      <c r="CE98" s="894"/>
      <c r="CF98" s="877"/>
      <c r="CG98" s="879"/>
      <c r="CH98" s="852"/>
      <c r="CI98" s="826">
        <f>Index_Returns!AA332</f>
        <v>-3.355</v>
      </c>
      <c r="CJ98" s="826">
        <f t="shared" si="28"/>
        <v>-0.88000000000000034</v>
      </c>
      <c r="CK98" s="826">
        <f t="shared" si="29"/>
        <v>-1.7554000000000003</v>
      </c>
      <c r="CL98" s="826">
        <f t="shared" si="25"/>
        <v>-0.68009999999999993</v>
      </c>
      <c r="CM98" s="842">
        <f>Index_Returns!W332</f>
        <v>2.0653999999999999</v>
      </c>
      <c r="CN98" s="889">
        <f t="shared" si="21"/>
        <v>0.10220000000000029</v>
      </c>
      <c r="CO98" s="880">
        <f t="shared" si="26"/>
        <v>-0.25</v>
      </c>
      <c r="CP98" s="852"/>
      <c r="CQ98" s="853"/>
      <c r="CR98" s="854">
        <v>1.7142999999999999</v>
      </c>
      <c r="CS98" s="854"/>
      <c r="CT98" s="855"/>
      <c r="CU98" s="853"/>
    </row>
    <row r="99" spans="1:100" x14ac:dyDescent="0.2">
      <c r="A99" s="856">
        <v>37652</v>
      </c>
      <c r="B99" s="902"/>
      <c r="C99" s="812"/>
      <c r="D99" s="861"/>
      <c r="E99" s="812"/>
      <c r="F99" s="861"/>
      <c r="G99" s="812"/>
      <c r="H99" s="827">
        <v>-2.3010999999999999</v>
      </c>
      <c r="I99" s="899">
        <v>334893969.89999998</v>
      </c>
      <c r="J99" s="901"/>
      <c r="K99" s="817"/>
      <c r="L99" s="846">
        <v>-2.5472999999999999</v>
      </c>
      <c r="M99" s="847">
        <v>568072074.98000002</v>
      </c>
      <c r="N99" s="1021">
        <v>-1.6575</v>
      </c>
      <c r="O99" s="817">
        <v>191936544.47999999</v>
      </c>
      <c r="P99" s="857"/>
      <c r="Q99" s="845"/>
      <c r="R99" s="903"/>
      <c r="S99" s="845"/>
      <c r="T99" s="846">
        <v>-2.6579999999999999</v>
      </c>
      <c r="U99" s="847">
        <v>177485059.88999999</v>
      </c>
      <c r="V99" s="898">
        <v>0.18049999999999999</v>
      </c>
      <c r="W99" s="845">
        <v>52570465.020000003</v>
      </c>
      <c r="X99" s="827">
        <v>-2.2086000000000001</v>
      </c>
      <c r="Y99" s="899">
        <v>55332459.200000003</v>
      </c>
      <c r="Z99" s="1184"/>
      <c r="AA99" s="899"/>
      <c r="AB99" s="893"/>
      <c r="AC99" s="828"/>
      <c r="AD99" s="998">
        <v>-2.7452999999999999</v>
      </c>
      <c r="AE99" s="828">
        <v>265464955.88999999</v>
      </c>
      <c r="AF99" s="846">
        <v>-4.2347999999999999</v>
      </c>
      <c r="AG99" s="847">
        <v>128404669.7</v>
      </c>
      <c r="AH99" s="876"/>
      <c r="AI99" s="876"/>
      <c r="AJ99" s="880">
        <v>-0.1779</v>
      </c>
      <c r="AK99" s="825">
        <v>152118914.19</v>
      </c>
      <c r="AL99" s="852"/>
      <c r="AM99" s="828"/>
      <c r="AN99" s="827">
        <v>-2.5739999999999998</v>
      </c>
      <c r="AO99" s="845">
        <v>729398838.87</v>
      </c>
      <c r="AP99" s="829">
        <v>-4.1535000000000002</v>
      </c>
      <c r="AQ99" s="822">
        <v>517894072.89999998</v>
      </c>
      <c r="AR99" s="827">
        <v>-5.5316999999999998</v>
      </c>
      <c r="AS99" s="848">
        <v>423676993.73000002</v>
      </c>
      <c r="AT99" s="959">
        <v>1.67E-2</v>
      </c>
      <c r="AU99" s="822">
        <v>1422700548.76</v>
      </c>
      <c r="AV99" s="811">
        <v>0.28920000000000001</v>
      </c>
      <c r="AW99" s="845">
        <v>202108519.63999999</v>
      </c>
      <c r="AX99" s="873"/>
      <c r="AY99" s="828"/>
      <c r="AZ99" s="870"/>
      <c r="BA99" s="850"/>
      <c r="BB99" s="850"/>
      <c r="BC99" s="850"/>
      <c r="BD99" s="871"/>
      <c r="BE99" s="872"/>
      <c r="BF99" s="873"/>
      <c r="BG99" s="833">
        <f>Index_Returns!B333</f>
        <v>-2.62</v>
      </c>
      <c r="BH99" s="836"/>
      <c r="BI99" s="836"/>
      <c r="BJ99" s="836"/>
      <c r="BK99" s="834"/>
      <c r="BL99" s="1022">
        <f>L99-BG99</f>
        <v>7.2700000000000209E-2</v>
      </c>
      <c r="BM99" s="1022">
        <f>Index_Returns!D333</f>
        <v>-2.74</v>
      </c>
      <c r="BN99" s="1022">
        <f>N99-BM99</f>
        <v>1.0825000000000002</v>
      </c>
      <c r="BO99" s="865">
        <f>Index_Returns!C333</f>
        <v>-2.5044</v>
      </c>
      <c r="BP99" s="866">
        <f t="shared" ref="BP99:BP126" si="34">H99-BO99</f>
        <v>0.20330000000000004</v>
      </c>
      <c r="BQ99" s="880">
        <f>Index_Returns!E333</f>
        <v>-2.9224000000000001</v>
      </c>
      <c r="BR99" s="836"/>
      <c r="BS99" s="834"/>
      <c r="BT99" s="883">
        <f t="shared" si="31"/>
        <v>0.26440000000000019</v>
      </c>
      <c r="BU99" s="865">
        <f>Index_Returns!F333</f>
        <v>-2.3597000000000001</v>
      </c>
      <c r="BV99" s="865">
        <f t="shared" si="32"/>
        <v>2.5402</v>
      </c>
      <c r="BW99" s="865">
        <f t="shared" si="33"/>
        <v>0.15110000000000001</v>
      </c>
      <c r="BX99" s="1195"/>
      <c r="BY99" s="880">
        <f>Index_Returns!I333</f>
        <v>-2.7166999999999999</v>
      </c>
      <c r="BZ99" s="880"/>
      <c r="CA99" s="897">
        <f t="shared" si="30"/>
        <v>2.5387999999999997</v>
      </c>
      <c r="CB99" s="854">
        <f>Index_Returns!H333</f>
        <v>-2.7677</v>
      </c>
      <c r="CC99" s="1002">
        <f t="shared" si="23"/>
        <v>2.2400000000000198E-2</v>
      </c>
      <c r="CD99" s="877">
        <f t="shared" si="24"/>
        <v>-1.4670999999999998</v>
      </c>
      <c r="CE99" s="894"/>
      <c r="CF99" s="877"/>
      <c r="CG99" s="879"/>
      <c r="CH99" s="852"/>
      <c r="CI99" s="826">
        <f>Index_Returns!AA333</f>
        <v>-4.16716</v>
      </c>
      <c r="CJ99" s="826">
        <f t="shared" si="28"/>
        <v>1.5931600000000001</v>
      </c>
      <c r="CK99" s="826">
        <f t="shared" si="29"/>
        <v>1.3659999999999783E-2</v>
      </c>
      <c r="CL99" s="826">
        <f t="shared" si="25"/>
        <v>-1.3645399999999999</v>
      </c>
      <c r="CM99" s="842">
        <f>Index_Returns!W333</f>
        <v>8.5500000000000007E-2</v>
      </c>
      <c r="CN99" s="889">
        <f t="shared" si="21"/>
        <v>-6.88E-2</v>
      </c>
      <c r="CO99" s="880">
        <f t="shared" si="26"/>
        <v>0.20369999999999999</v>
      </c>
      <c r="CP99" s="852"/>
      <c r="CQ99" s="853"/>
      <c r="CR99" s="854">
        <v>9.9699999999999997E-2</v>
      </c>
      <c r="CS99" s="854"/>
      <c r="CT99" s="855"/>
      <c r="CU99" s="853"/>
    </row>
    <row r="100" spans="1:100" x14ac:dyDescent="0.2">
      <c r="A100" s="856">
        <v>37680</v>
      </c>
      <c r="B100" s="902"/>
      <c r="C100" s="812"/>
      <c r="D100" s="861"/>
      <c r="E100" s="812"/>
      <c r="F100" s="861"/>
      <c r="G100" s="812"/>
      <c r="H100" s="827">
        <v>-3.1073</v>
      </c>
      <c r="I100" s="899">
        <v>324487661.18000001</v>
      </c>
      <c r="J100" s="902"/>
      <c r="K100" s="817"/>
      <c r="L100" s="846">
        <v>-1.1835</v>
      </c>
      <c r="M100" s="847">
        <v>561348980.64999998</v>
      </c>
      <c r="N100" s="902">
        <v>-1.9477000000000002</v>
      </c>
      <c r="O100" s="817">
        <v>188198218.93000001</v>
      </c>
      <c r="P100" s="857"/>
      <c r="Q100" s="845"/>
      <c r="R100" s="857"/>
      <c r="S100" s="845"/>
      <c r="T100" s="846">
        <v>-2.4186999999999999</v>
      </c>
      <c r="U100" s="847">
        <v>173192204</v>
      </c>
      <c r="V100" s="898">
        <v>0.61119999999999997</v>
      </c>
      <c r="W100" s="845">
        <v>52891786.32</v>
      </c>
      <c r="X100" s="827">
        <v>-2.0125000000000002</v>
      </c>
      <c r="Y100" s="899">
        <v>54218884.729999997</v>
      </c>
      <c r="Z100" s="1184"/>
      <c r="AA100" s="899"/>
      <c r="AB100" s="893"/>
      <c r="AC100" s="828"/>
      <c r="AD100" s="998">
        <v>-3.0070000000000001</v>
      </c>
      <c r="AE100" s="828">
        <v>257482461.63999999</v>
      </c>
      <c r="AF100" s="846">
        <v>-4.7881999999999998</v>
      </c>
      <c r="AG100" s="847">
        <v>122256353.75</v>
      </c>
      <c r="AH100" s="876"/>
      <c r="AI100" s="876"/>
      <c r="AJ100" s="880">
        <v>-1.3604000000000001</v>
      </c>
      <c r="AK100" s="825">
        <v>150049460.53</v>
      </c>
      <c r="AL100" s="852"/>
      <c r="AM100" s="828"/>
      <c r="AN100" s="827">
        <v>-3.5012000000000003</v>
      </c>
      <c r="AO100" s="845">
        <v>703854474.5</v>
      </c>
      <c r="AP100" s="829">
        <v>-2.2757000000000001</v>
      </c>
      <c r="AQ100" s="822">
        <v>506108488.17000002</v>
      </c>
      <c r="AR100" s="827">
        <v>-3.7574999999999998</v>
      </c>
      <c r="AS100" s="848">
        <v>407757288.14999998</v>
      </c>
      <c r="AT100" s="959">
        <v>1.4577</v>
      </c>
      <c r="AU100" s="822">
        <v>1443439954.0799999</v>
      </c>
      <c r="AV100" s="811">
        <v>1.4902</v>
      </c>
      <c r="AW100" s="845">
        <v>205120379.46000001</v>
      </c>
      <c r="AX100" s="873"/>
      <c r="AY100" s="828"/>
      <c r="AZ100" s="870"/>
      <c r="BA100" s="850"/>
      <c r="BB100" s="850"/>
      <c r="BC100" s="850"/>
      <c r="BD100" s="871"/>
      <c r="BE100" s="872"/>
      <c r="BF100" s="873"/>
      <c r="BG100" s="833">
        <f>Index_Returns!B334</f>
        <v>-1.5</v>
      </c>
      <c r="BH100" s="836"/>
      <c r="BI100" s="836"/>
      <c r="BJ100" s="836"/>
      <c r="BK100" s="834"/>
      <c r="BL100" s="1022">
        <f t="shared" ref="BL100:BL159" si="35">L100-BG100</f>
        <v>0.3165</v>
      </c>
      <c r="BM100" s="1022">
        <f>Index_Returns!D334</f>
        <v>-2.72</v>
      </c>
      <c r="BN100" s="1022">
        <f t="shared" ref="BN100:BN159" si="36">N100-BM100</f>
        <v>0.77229999999999999</v>
      </c>
      <c r="BO100" s="865">
        <f>Index_Returns!C334</f>
        <v>-0.29770000000000002</v>
      </c>
      <c r="BP100" s="866">
        <f t="shared" si="34"/>
        <v>-2.8096000000000001</v>
      </c>
      <c r="BQ100" s="880">
        <f>Index_Returns!E334</f>
        <v>-2.3814000000000002</v>
      </c>
      <c r="BR100" s="836"/>
      <c r="BS100" s="834"/>
      <c r="BT100" s="883">
        <f t="shared" si="31"/>
        <v>-3.7299999999999667E-2</v>
      </c>
      <c r="BU100" s="865">
        <f>Index_Returns!F334</f>
        <v>-2.665</v>
      </c>
      <c r="BV100" s="865">
        <f t="shared" si="32"/>
        <v>3.2762000000000002</v>
      </c>
      <c r="BW100" s="865">
        <f t="shared" si="33"/>
        <v>0.65249999999999986</v>
      </c>
      <c r="BX100" s="1195"/>
      <c r="BY100" s="880">
        <f>Index_Returns!I334</f>
        <v>-2.6667000000000001</v>
      </c>
      <c r="BZ100" s="880"/>
      <c r="CA100" s="897">
        <f t="shared" si="30"/>
        <v>1.3063</v>
      </c>
      <c r="CB100" s="854">
        <f>Index_Returns!H334</f>
        <v>-3.0215000000000001</v>
      </c>
      <c r="CC100" s="1002">
        <f t="shared" si="23"/>
        <v>1.4499999999999957E-2</v>
      </c>
      <c r="CD100" s="877">
        <f t="shared" si="24"/>
        <v>-1.7666999999999997</v>
      </c>
      <c r="CE100" s="894"/>
      <c r="CF100" s="877"/>
      <c r="CG100" s="879"/>
      <c r="CH100" s="852"/>
      <c r="CI100" s="826">
        <f>Index_Returns!AA334</f>
        <v>-2.2859400000000001</v>
      </c>
      <c r="CJ100" s="826">
        <f t="shared" si="28"/>
        <v>-1.2152600000000002</v>
      </c>
      <c r="CK100" s="826">
        <f t="shared" si="29"/>
        <v>1.0240000000000027E-2</v>
      </c>
      <c r="CL100" s="826">
        <f t="shared" si="25"/>
        <v>-1.4715599999999998</v>
      </c>
      <c r="CM100" s="842">
        <f>Index_Returns!W334</f>
        <v>1.3843000000000001</v>
      </c>
      <c r="CN100" s="889">
        <f t="shared" si="21"/>
        <v>7.339999999999991E-2</v>
      </c>
      <c r="CO100" s="880">
        <f t="shared" si="26"/>
        <v>0.10589999999999988</v>
      </c>
      <c r="CP100" s="852"/>
      <c r="CQ100" s="853"/>
      <c r="CR100" s="854">
        <v>1.1135999999999999</v>
      </c>
      <c r="CS100" s="854"/>
      <c r="CT100" s="855"/>
      <c r="CU100" s="853"/>
    </row>
    <row r="101" spans="1:100" x14ac:dyDescent="0.2">
      <c r="A101" s="856">
        <v>37711</v>
      </c>
      <c r="B101" s="900"/>
      <c r="C101" s="812"/>
      <c r="D101" s="861"/>
      <c r="E101" s="812"/>
      <c r="F101" s="861"/>
      <c r="G101" s="812"/>
      <c r="H101" s="827">
        <v>0.93659999999999988</v>
      </c>
      <c r="I101" s="899">
        <v>327610675.13</v>
      </c>
      <c r="J101" s="901"/>
      <c r="K101" s="817"/>
      <c r="L101" s="846">
        <v>0.63200000000000001</v>
      </c>
      <c r="M101" s="847">
        <v>565011536.89999998</v>
      </c>
      <c r="N101" s="1021">
        <v>-0.25850000000000001</v>
      </c>
      <c r="O101" s="817">
        <v>187816276.27000001</v>
      </c>
      <c r="P101" s="857"/>
      <c r="Q101" s="845"/>
      <c r="R101" s="857"/>
      <c r="S101" s="845"/>
      <c r="T101" s="846">
        <v>0.99219999999999997</v>
      </c>
      <c r="U101" s="847">
        <v>174958958.15000001</v>
      </c>
      <c r="V101" s="898">
        <v>0.60429999999999995</v>
      </c>
      <c r="W101" s="845">
        <v>53251161.729999997</v>
      </c>
      <c r="X101" s="827">
        <v>0.2964</v>
      </c>
      <c r="Y101" s="899">
        <v>54485468.189999998</v>
      </c>
      <c r="Z101" s="1184"/>
      <c r="AA101" s="899"/>
      <c r="AB101" s="893"/>
      <c r="AC101" s="828"/>
      <c r="AD101" s="998">
        <v>1.3024</v>
      </c>
      <c r="AE101" s="828">
        <v>260835830.41</v>
      </c>
      <c r="AF101" s="846">
        <v>0.11740000000000002</v>
      </c>
      <c r="AG101" s="847">
        <v>122500490.94</v>
      </c>
      <c r="AH101" s="876"/>
      <c r="AI101" s="876"/>
      <c r="AJ101" s="880">
        <v>2.0398000000000001</v>
      </c>
      <c r="AK101" s="825">
        <v>153353272.74000001</v>
      </c>
      <c r="AL101" s="852"/>
      <c r="AM101" s="828"/>
      <c r="AN101" s="827">
        <v>-1.4853000000000001</v>
      </c>
      <c r="AO101" s="845">
        <v>693548265.61000001</v>
      </c>
      <c r="AP101" s="829">
        <v>-3.2278000000000002</v>
      </c>
      <c r="AQ101" s="822">
        <v>490201224.62</v>
      </c>
      <c r="AR101" s="827">
        <v>-1.8086000000000002</v>
      </c>
      <c r="AS101" s="848">
        <v>400734187.62</v>
      </c>
      <c r="AT101" s="959">
        <v>-6.7799999999999999E-2</v>
      </c>
      <c r="AU101" s="822">
        <v>1442460623.95</v>
      </c>
      <c r="AV101" s="811">
        <v>-0.83599999999999997</v>
      </c>
      <c r="AW101" s="845">
        <v>133625942.65000001</v>
      </c>
      <c r="AX101" s="873"/>
      <c r="AY101" s="828"/>
      <c r="AZ101" s="870"/>
      <c r="BA101" s="850"/>
      <c r="BB101" s="850"/>
      <c r="BC101" s="850"/>
      <c r="BD101" s="871"/>
      <c r="BE101" s="872"/>
      <c r="BF101" s="873"/>
      <c r="BG101" s="833">
        <f>Index_Returns!B335</f>
        <v>0.97099999999999997</v>
      </c>
      <c r="BH101" s="836"/>
      <c r="BI101" s="836"/>
      <c r="BJ101" s="836"/>
      <c r="BK101" s="834"/>
      <c r="BL101" s="1022">
        <f t="shared" si="35"/>
        <v>-0.33899999999999997</v>
      </c>
      <c r="BM101" s="1022">
        <f>Index_Returns!D335</f>
        <v>-0.13</v>
      </c>
      <c r="BN101" s="1022">
        <f t="shared" si="36"/>
        <v>-0.1285</v>
      </c>
      <c r="BO101" s="865">
        <f>Index_Returns!C335</f>
        <v>2.0253999999999999</v>
      </c>
      <c r="BP101" s="866">
        <f t="shared" si="34"/>
        <v>-1.0888</v>
      </c>
      <c r="BQ101" s="880">
        <f>Index_Returns!E335</f>
        <v>0.84289999999999998</v>
      </c>
      <c r="BR101" s="836"/>
      <c r="BS101" s="834"/>
      <c r="BT101" s="883">
        <f t="shared" si="31"/>
        <v>0.14929999999999999</v>
      </c>
      <c r="BU101" s="865">
        <f>Index_Returns!F335</f>
        <v>2.0484</v>
      </c>
      <c r="BV101" s="865">
        <f t="shared" si="32"/>
        <v>-1.4441000000000002</v>
      </c>
      <c r="BW101" s="865">
        <f t="shared" si="33"/>
        <v>-1.752</v>
      </c>
      <c r="BX101" s="1195"/>
      <c r="BY101" s="880">
        <f>Index_Returns!I335</f>
        <v>1.5139</v>
      </c>
      <c r="BZ101" s="880"/>
      <c r="CA101" s="897">
        <f t="shared" si="30"/>
        <v>0.52590000000000003</v>
      </c>
      <c r="CB101" s="854">
        <f>Index_Returns!H335</f>
        <v>1.2876000000000001</v>
      </c>
      <c r="CC101" s="1002">
        <f t="shared" si="23"/>
        <v>1.4799999999999924E-2</v>
      </c>
      <c r="CD101" s="877">
        <f t="shared" si="24"/>
        <v>-1.1702000000000001</v>
      </c>
      <c r="CE101" s="894"/>
      <c r="CF101" s="877"/>
      <c r="CG101" s="879"/>
      <c r="CH101" s="852"/>
      <c r="CI101" s="826">
        <f>Index_Returns!AA335</f>
        <v>-1.88985</v>
      </c>
      <c r="CJ101" s="826">
        <f t="shared" si="28"/>
        <v>0.40454999999999997</v>
      </c>
      <c r="CK101" s="826">
        <f t="shared" si="29"/>
        <v>-1.3379500000000002</v>
      </c>
      <c r="CL101" s="826">
        <f t="shared" si="25"/>
        <v>8.1249999999999822E-2</v>
      </c>
      <c r="CM101" s="842">
        <f>Index_Returns!W335</f>
        <v>-7.7299999999999994E-2</v>
      </c>
      <c r="CN101" s="889">
        <f t="shared" si="21"/>
        <v>9.4999999999999946E-3</v>
      </c>
      <c r="CO101" s="880">
        <f t="shared" si="26"/>
        <v>-0.75869999999999993</v>
      </c>
      <c r="CP101" s="852"/>
      <c r="CQ101" s="853"/>
      <c r="CR101" s="854">
        <v>5.8599999999999999E-2</v>
      </c>
      <c r="CS101" s="854"/>
      <c r="CT101" s="855"/>
      <c r="CU101" s="853"/>
    </row>
    <row r="102" spans="1:100" s="1090" customFormat="1" x14ac:dyDescent="0.2">
      <c r="A102" s="1070">
        <v>37741</v>
      </c>
      <c r="B102" s="1071"/>
      <c r="C102" s="1072"/>
      <c r="D102" s="1073"/>
      <c r="E102" s="1072"/>
      <c r="F102" s="1073"/>
      <c r="G102" s="1072"/>
      <c r="H102" s="1074">
        <v>10.8002</v>
      </c>
      <c r="I102" s="1075">
        <v>362993433.89999998</v>
      </c>
      <c r="J102" s="1076"/>
      <c r="K102" s="1077"/>
      <c r="L102" s="1078">
        <v>7.0056999999999992</v>
      </c>
      <c r="M102" s="1079">
        <v>604594820.98000002</v>
      </c>
      <c r="N102" s="1080">
        <v>8.3155000000000001</v>
      </c>
      <c r="O102" s="1077">
        <v>203434153.34999999</v>
      </c>
      <c r="P102" s="1081"/>
      <c r="Q102" s="1082"/>
      <c r="R102" s="1081"/>
      <c r="S102" s="1082"/>
      <c r="T102" s="1078">
        <v>7.1126999999999994</v>
      </c>
      <c r="U102" s="1079">
        <v>187403319.11000001</v>
      </c>
      <c r="V102" s="1083">
        <v>7.2210000000000001</v>
      </c>
      <c r="W102" s="1082">
        <v>57096424.270000003</v>
      </c>
      <c r="X102" s="1074">
        <v>7.8823999999999987</v>
      </c>
      <c r="Y102" s="1075">
        <v>58780240.670000002</v>
      </c>
      <c r="Z102" s="1186"/>
      <c r="AA102" s="1075"/>
      <c r="AB102" s="1084"/>
      <c r="AC102" s="1085"/>
      <c r="AD102" s="1086">
        <v>9.4764999999999997</v>
      </c>
      <c r="AE102" s="1085">
        <v>285554040.52999997</v>
      </c>
      <c r="AF102" s="1078">
        <v>10.3413</v>
      </c>
      <c r="AG102" s="1079">
        <v>135168614.22999999</v>
      </c>
      <c r="AH102" s="1087"/>
      <c r="AI102" s="1087"/>
      <c r="AJ102" s="1088">
        <v>7.8746999999999998</v>
      </c>
      <c r="AK102" s="1089">
        <v>165429369.96000001</v>
      </c>
      <c r="AM102" s="1085"/>
      <c r="AN102" s="1074">
        <v>9.2805999999999997</v>
      </c>
      <c r="AO102" s="1082">
        <v>757888808.47000003</v>
      </c>
      <c r="AP102" s="1091">
        <v>10.1624</v>
      </c>
      <c r="AQ102" s="1092">
        <v>540015201.5</v>
      </c>
      <c r="AR102" s="1074">
        <v>11.2616</v>
      </c>
      <c r="AS102" s="1093">
        <v>445863163.05000001</v>
      </c>
      <c r="AT102" s="1094">
        <v>0.80030000000000001</v>
      </c>
      <c r="AU102" s="1092">
        <v>1454004463.27</v>
      </c>
      <c r="AV102" s="1095"/>
      <c r="AW102" s="1082"/>
      <c r="AY102" s="1085"/>
      <c r="AZ102" s="1096"/>
      <c r="BA102" s="1097"/>
      <c r="BB102" s="1097"/>
      <c r="BC102" s="1097"/>
      <c r="BD102" s="1098"/>
      <c r="BE102" s="1099"/>
      <c r="BF102" s="1100"/>
      <c r="BG102" s="1101">
        <f>Index_Returns!B336</f>
        <v>8.2370000000000001</v>
      </c>
      <c r="BH102" s="1102"/>
      <c r="BI102" s="1102"/>
      <c r="BJ102" s="1102"/>
      <c r="BK102" s="1103"/>
      <c r="BL102" s="1104">
        <f t="shared" si="35"/>
        <v>-1.2313000000000009</v>
      </c>
      <c r="BM102" s="1104">
        <f>Index_Returns!D336</f>
        <v>9.89</v>
      </c>
      <c r="BN102" s="1104">
        <f t="shared" si="36"/>
        <v>-1.5745000000000005</v>
      </c>
      <c r="BO102" s="1105">
        <f>Index_Returns!C336</f>
        <v>6.6947000000000001</v>
      </c>
      <c r="BP102" s="1106">
        <f t="shared" si="34"/>
        <v>4.1055000000000001</v>
      </c>
      <c r="BQ102" s="1088">
        <f>Index_Returns!E336</f>
        <v>7.2603</v>
      </c>
      <c r="BR102" s="1102"/>
      <c r="BS102" s="1103"/>
      <c r="BT102" s="1107">
        <f t="shared" si="31"/>
        <v>-0.14760000000000062</v>
      </c>
      <c r="BU102" s="1105">
        <f>Index_Returns!F336</f>
        <v>6.3780999999999999</v>
      </c>
      <c r="BV102" s="1105">
        <f t="shared" si="32"/>
        <v>0.8429000000000002</v>
      </c>
      <c r="BW102" s="1105">
        <f t="shared" si="33"/>
        <v>1.5042999999999989</v>
      </c>
      <c r="BX102" s="1196"/>
      <c r="BY102" s="1088">
        <f>Index_Returns!I336</f>
        <v>9.4640000000000004</v>
      </c>
      <c r="BZ102" s="1088"/>
      <c r="CA102" s="1108">
        <f t="shared" si="30"/>
        <v>-1.5893000000000006</v>
      </c>
      <c r="CB102" s="1109">
        <f>Index_Returns!H336</f>
        <v>9.4817</v>
      </c>
      <c r="CC102" s="1110">
        <f t="shared" si="23"/>
        <v>-5.2000000000003155E-3</v>
      </c>
      <c r="CD102" s="1111">
        <f t="shared" si="24"/>
        <v>0.85960000000000036</v>
      </c>
      <c r="CE102" s="1112"/>
      <c r="CF102" s="1111"/>
      <c r="CG102" s="1113"/>
      <c r="CI102" s="1114">
        <f>Index_Returns!AA336</f>
        <v>9.9157700000000002</v>
      </c>
      <c r="CJ102" s="1114">
        <f t="shared" si="28"/>
        <v>-0.63517000000000046</v>
      </c>
      <c r="CK102" s="1114">
        <f t="shared" si="29"/>
        <v>0.24662999999999968</v>
      </c>
      <c r="CL102" s="1114">
        <f t="shared" si="25"/>
        <v>1.3458299999999994</v>
      </c>
      <c r="CM102" s="1115">
        <f>Index_Returns!W336</f>
        <v>0.82540000000000002</v>
      </c>
      <c r="CN102" s="1116">
        <f t="shared" si="21"/>
        <v>-2.5100000000000011E-2</v>
      </c>
      <c r="CO102" s="1102"/>
      <c r="CQ102" s="1117"/>
      <c r="CR102" s="1109">
        <v>0.61870000000000003</v>
      </c>
      <c r="CS102" s="1109"/>
      <c r="CT102" s="1118"/>
      <c r="CU102" s="1117"/>
    </row>
    <row r="103" spans="1:100" s="1090" customFormat="1" x14ac:dyDescent="0.2">
      <c r="A103" s="1070">
        <v>37772</v>
      </c>
      <c r="B103" s="1071"/>
      <c r="C103" s="1072"/>
      <c r="D103" s="1073"/>
      <c r="E103" s="1072"/>
      <c r="F103" s="1073"/>
      <c r="G103" s="1072"/>
      <c r="H103" s="1074">
        <v>4.1120999999999999</v>
      </c>
      <c r="I103" s="1075">
        <v>377919931.69999999</v>
      </c>
      <c r="J103" s="1076"/>
      <c r="K103" s="1077"/>
      <c r="L103" s="1078">
        <v>5.3724999999999996</v>
      </c>
      <c r="M103" s="1079">
        <v>637076930.75</v>
      </c>
      <c r="N103" s="1080">
        <v>5.7596999999999996</v>
      </c>
      <c r="O103" s="1077">
        <v>215151409.28</v>
      </c>
      <c r="P103" s="1119"/>
      <c r="Q103" s="1082"/>
      <c r="R103" s="1119"/>
      <c r="S103" s="1082"/>
      <c r="T103" s="1078">
        <v>8.7413000000000007</v>
      </c>
      <c r="U103" s="1079">
        <v>203784886.24000001</v>
      </c>
      <c r="V103" s="1083">
        <v>7.9357999999999995</v>
      </c>
      <c r="W103" s="1082">
        <v>61626924.579999998</v>
      </c>
      <c r="X103" s="1074">
        <v>9.6782000000000004</v>
      </c>
      <c r="Y103" s="1075">
        <v>64465334.939999998</v>
      </c>
      <c r="Z103" s="1186"/>
      <c r="AA103" s="1075"/>
      <c r="AB103" s="1084"/>
      <c r="AC103" s="1085"/>
      <c r="AD103" s="1086">
        <v>10.5883</v>
      </c>
      <c r="AE103" s="1085">
        <v>315789241.02999997</v>
      </c>
      <c r="AF103" s="1078">
        <v>8.9537999999999993</v>
      </c>
      <c r="AG103" s="1079">
        <v>147293857.06999999</v>
      </c>
      <c r="AH103" s="1087"/>
      <c r="AI103" s="1087"/>
      <c r="AJ103" s="1088">
        <v>8.9459999999999997</v>
      </c>
      <c r="AK103" s="1089">
        <v>180259125.08000001</v>
      </c>
      <c r="AM103" s="1085"/>
      <c r="AN103" s="1074">
        <v>6.6877000000000004</v>
      </c>
      <c r="AO103" s="1082">
        <v>808418682.04999995</v>
      </c>
      <c r="AP103" s="1091">
        <v>5.5808999999999997</v>
      </c>
      <c r="AQ103" s="1092">
        <v>570142813.84000003</v>
      </c>
      <c r="AR103" s="1074">
        <v>5.9250999999999996</v>
      </c>
      <c r="AS103" s="1093">
        <v>472299517.75</v>
      </c>
      <c r="AT103" s="1094">
        <v>1.8439000000000001</v>
      </c>
      <c r="AU103" s="1092">
        <v>1480814542.97</v>
      </c>
      <c r="AV103" s="1095"/>
      <c r="AW103" s="1082"/>
      <c r="AX103" s="1100"/>
      <c r="AY103" s="1085"/>
      <c r="AZ103" s="1096"/>
      <c r="BA103" s="1097"/>
      <c r="BB103" s="1097"/>
      <c r="BC103" s="1097"/>
      <c r="BD103" s="1098"/>
      <c r="BE103" s="1099"/>
      <c r="BF103" s="1100"/>
      <c r="BG103" s="1101">
        <f>Index_Returns!B337</f>
        <v>5.2690000000000001</v>
      </c>
      <c r="BH103" s="1102"/>
      <c r="BI103" s="1102"/>
      <c r="BJ103" s="1102"/>
      <c r="BK103" s="1103"/>
      <c r="BL103" s="1104">
        <f t="shared" si="35"/>
        <v>0.10349999999999948</v>
      </c>
      <c r="BM103" s="1104">
        <f>Index_Returns!D337</f>
        <v>7.36</v>
      </c>
      <c r="BN103" s="1104">
        <f t="shared" si="36"/>
        <v>-1.6003000000000007</v>
      </c>
      <c r="BO103" s="1105">
        <f>Index_Returns!C337</f>
        <v>3.2553000000000001</v>
      </c>
      <c r="BP103" s="1106">
        <f t="shared" si="34"/>
        <v>0.85679999999999978</v>
      </c>
      <c r="BQ103" s="1088">
        <f>Index_Returns!E337</f>
        <v>8.2873999999999999</v>
      </c>
      <c r="BR103" s="1102"/>
      <c r="BS103" s="1103"/>
      <c r="BT103" s="1107">
        <f t="shared" si="31"/>
        <v>0.45390000000000086</v>
      </c>
      <c r="BU103" s="1105">
        <f>Index_Returns!F337</f>
        <v>6.7592999999999996</v>
      </c>
      <c r="BV103" s="1105">
        <f t="shared" si="32"/>
        <v>1.1764999999999999</v>
      </c>
      <c r="BW103" s="1105">
        <f t="shared" si="33"/>
        <v>2.9189000000000007</v>
      </c>
      <c r="BX103" s="1196"/>
      <c r="BY103" s="1088">
        <f>Index_Returns!I337</f>
        <v>11.2691</v>
      </c>
      <c r="BZ103" s="1088"/>
      <c r="CA103" s="1108">
        <f t="shared" si="30"/>
        <v>-2.3231000000000002</v>
      </c>
      <c r="CB103" s="1109">
        <f>Index_Returns!H337</f>
        <v>10.731299999999999</v>
      </c>
      <c r="CC103" s="1110">
        <f t="shared" si="23"/>
        <v>-0.14299999999999891</v>
      </c>
      <c r="CD103" s="1111">
        <f t="shared" si="24"/>
        <v>-1.7774999999999999</v>
      </c>
      <c r="CE103" s="1112"/>
      <c r="CF103" s="1111"/>
      <c r="CG103" s="1113"/>
      <c r="CI103" s="1114">
        <f>Index_Returns!AA337</f>
        <v>6.1520400000000004</v>
      </c>
      <c r="CJ103" s="1114">
        <f t="shared" si="28"/>
        <v>0.53566000000000003</v>
      </c>
      <c r="CK103" s="1114">
        <f t="shared" si="29"/>
        <v>-0.57114000000000065</v>
      </c>
      <c r="CL103" s="1114">
        <f t="shared" si="25"/>
        <v>-0.22694000000000081</v>
      </c>
      <c r="CM103" s="1115">
        <f>Index_Returns!W337</f>
        <v>1.8645</v>
      </c>
      <c r="CN103" s="1116">
        <f t="shared" si="21"/>
        <v>-2.0599999999999952E-2</v>
      </c>
      <c r="CO103" s="1102"/>
      <c r="CQ103" s="1117"/>
      <c r="CR103" s="1109">
        <v>1.2423999999999999</v>
      </c>
      <c r="CS103" s="1109"/>
      <c r="CT103" s="1118"/>
      <c r="CU103" s="1117"/>
    </row>
    <row r="104" spans="1:100" s="1090" customFormat="1" x14ac:dyDescent="0.2">
      <c r="A104" s="1070">
        <v>37802</v>
      </c>
      <c r="B104" s="1071"/>
      <c r="C104" s="1072"/>
      <c r="D104" s="1073"/>
      <c r="E104" s="1072"/>
      <c r="F104" s="1073"/>
      <c r="G104" s="1072"/>
      <c r="H104" s="1074">
        <v>0.98009999999999986</v>
      </c>
      <c r="I104" s="1075">
        <v>381962873.87</v>
      </c>
      <c r="J104" s="1076"/>
      <c r="K104" s="1077"/>
      <c r="L104" s="1078">
        <v>2.1133999999999999</v>
      </c>
      <c r="M104" s="1079">
        <v>650727073.88</v>
      </c>
      <c r="N104" s="1080">
        <v>1.0629999999999999</v>
      </c>
      <c r="O104" s="1077">
        <v>217545514.56999999</v>
      </c>
      <c r="P104" s="1119"/>
      <c r="Q104" s="1082"/>
      <c r="R104" s="1119"/>
      <c r="S104" s="1082"/>
      <c r="T104" s="1078">
        <v>1.0234000000000001</v>
      </c>
      <c r="U104" s="1079">
        <v>205916955.66</v>
      </c>
      <c r="V104" s="1083">
        <v>1.0358000000000001</v>
      </c>
      <c r="W104" s="1082">
        <v>62309835.25</v>
      </c>
      <c r="X104" s="1074">
        <v>3.0859999999999999</v>
      </c>
      <c r="Y104" s="1075">
        <v>66566911.189999998</v>
      </c>
      <c r="Z104" s="1186"/>
      <c r="AA104" s="1075"/>
      <c r="AB104" s="1084"/>
      <c r="AC104" s="1085"/>
      <c r="AD104" s="1086">
        <v>1.8462000000000001</v>
      </c>
      <c r="AE104" s="1085">
        <v>321619197.54000002</v>
      </c>
      <c r="AF104" s="1078">
        <v>4.2503000000000002</v>
      </c>
      <c r="AG104" s="1079">
        <v>153653607.38</v>
      </c>
      <c r="AH104" s="1087"/>
      <c r="AI104" s="1087"/>
      <c r="AJ104" s="1088">
        <v>2.4853000000000001</v>
      </c>
      <c r="AK104" s="1089">
        <v>184952290.63</v>
      </c>
      <c r="AM104" s="1085"/>
      <c r="AN104" s="1074">
        <v>2.2968999999999999</v>
      </c>
      <c r="AO104" s="1082">
        <v>827229207.26999998</v>
      </c>
      <c r="AP104" s="1091">
        <v>2.1573000000000002</v>
      </c>
      <c r="AQ104" s="1092">
        <v>582891627.50999999</v>
      </c>
      <c r="AR104" s="1074">
        <v>1.8026</v>
      </c>
      <c r="AS104" s="1093">
        <v>481104620.74000001</v>
      </c>
      <c r="AT104" s="1094">
        <v>-0.26390000000000002</v>
      </c>
      <c r="AU104" s="1092">
        <v>1476907126.76</v>
      </c>
      <c r="AV104" s="1120"/>
      <c r="AW104" s="1082"/>
      <c r="AY104" s="1085"/>
      <c r="BA104" s="1097"/>
      <c r="BB104" s="1097"/>
      <c r="BC104" s="1097"/>
      <c r="BD104" s="1098"/>
      <c r="BE104" s="1099"/>
      <c r="BF104" s="1100"/>
      <c r="BG104" s="1101">
        <f>Index_Returns!B338</f>
        <v>1.276</v>
      </c>
      <c r="BH104" s="1102"/>
      <c r="BI104" s="1102"/>
      <c r="BJ104" s="1102"/>
      <c r="BK104" s="1103"/>
      <c r="BL104" s="1104">
        <f t="shared" si="35"/>
        <v>0.83739999999999992</v>
      </c>
      <c r="BM104" s="1104">
        <f>Index_Returns!D338</f>
        <v>0.73</v>
      </c>
      <c r="BN104" s="1104">
        <f t="shared" si="36"/>
        <v>0.33299999999999996</v>
      </c>
      <c r="BO104" s="1105">
        <f>Index_Returns!C338</f>
        <v>1.8208</v>
      </c>
      <c r="BP104" s="1106">
        <f t="shared" si="34"/>
        <v>-0.84070000000000011</v>
      </c>
      <c r="BQ104" s="1088">
        <f>Index_Returns!E338</f>
        <v>1.2746</v>
      </c>
      <c r="BR104" s="1102"/>
      <c r="BS104" s="1103"/>
      <c r="BT104" s="1107">
        <f t="shared" si="31"/>
        <v>-0.25119999999999987</v>
      </c>
      <c r="BU104" s="1105">
        <f>Index_Returns!F338</f>
        <v>2.1533000000000002</v>
      </c>
      <c r="BV104" s="1105">
        <f t="shared" si="32"/>
        <v>-1.1175000000000002</v>
      </c>
      <c r="BW104" s="1105">
        <f t="shared" si="33"/>
        <v>0.93269999999999964</v>
      </c>
      <c r="BX104" s="1196"/>
      <c r="BY104" s="1088">
        <f>Index_Returns!I338</f>
        <v>1.9272</v>
      </c>
      <c r="BZ104" s="1088"/>
      <c r="CA104" s="1108">
        <f t="shared" si="30"/>
        <v>0.55810000000000004</v>
      </c>
      <c r="CB104" s="1109">
        <f>Index_Returns!H338</f>
        <v>1.8097000000000001</v>
      </c>
      <c r="CC104" s="1110">
        <f t="shared" si="23"/>
        <v>3.6499999999999977E-2</v>
      </c>
      <c r="CD104" s="1111">
        <f t="shared" si="24"/>
        <v>2.4405999999999999</v>
      </c>
      <c r="CE104" s="1112"/>
      <c r="CF104" s="1111"/>
      <c r="CG104" s="1113"/>
      <c r="CI104" s="1114">
        <f>Index_Returns!AA338</f>
        <v>2.4749699999999999</v>
      </c>
      <c r="CJ104" s="1114">
        <f t="shared" si="28"/>
        <v>-0.17806999999999995</v>
      </c>
      <c r="CK104" s="1114">
        <f t="shared" si="29"/>
        <v>-0.31766999999999967</v>
      </c>
      <c r="CL104" s="1114">
        <f t="shared" si="25"/>
        <v>-0.67236999999999991</v>
      </c>
      <c r="CM104" s="1115">
        <f>Index_Returns!W338</f>
        <v>-0.1986</v>
      </c>
      <c r="CN104" s="1116">
        <f t="shared" si="21"/>
        <v>-6.5300000000000025E-2</v>
      </c>
      <c r="CQ104" s="1117"/>
      <c r="CR104" s="1109">
        <v>2.1399999999999999E-2</v>
      </c>
      <c r="CS104" s="1109"/>
      <c r="CT104" s="1118"/>
      <c r="CU104" s="1117"/>
    </row>
    <row r="105" spans="1:100" s="1090" customFormat="1" x14ac:dyDescent="0.2">
      <c r="A105" s="1070">
        <v>37833</v>
      </c>
      <c r="B105" s="1071"/>
      <c r="C105" s="1072"/>
      <c r="D105" s="1073"/>
      <c r="E105" s="1072"/>
      <c r="F105" s="1073"/>
      <c r="G105" s="1072"/>
      <c r="H105" s="1074">
        <v>0.66739999999999999</v>
      </c>
      <c r="I105" s="1075">
        <v>384507380.82999998</v>
      </c>
      <c r="J105" s="1076"/>
      <c r="K105" s="1077"/>
      <c r="L105" s="1078">
        <v>1.3092999999999999</v>
      </c>
      <c r="M105" s="1079">
        <v>659241629.42999995</v>
      </c>
      <c r="N105" s="1080">
        <v>1.8401000000000001</v>
      </c>
      <c r="O105" s="1077">
        <v>221548489.74000001</v>
      </c>
      <c r="P105" s="1119"/>
      <c r="Q105" s="1082"/>
      <c r="R105" s="1119"/>
      <c r="S105" s="1082"/>
      <c r="T105" s="1078">
        <v>4.7157</v>
      </c>
      <c r="U105" s="1079">
        <v>215624632.08000001</v>
      </c>
      <c r="V105" s="1083">
        <v>4.3677000000000001</v>
      </c>
      <c r="W105" s="1082">
        <v>65027293.409999996</v>
      </c>
      <c r="X105" s="1074">
        <v>3.8572999999999995</v>
      </c>
      <c r="Y105" s="1075">
        <v>69128794.310000002</v>
      </c>
      <c r="Z105" s="1186"/>
      <c r="AA105" s="1075"/>
      <c r="AB105" s="1084"/>
      <c r="AC105" s="1085"/>
      <c r="AD105" s="1086">
        <v>6.2542999999999997</v>
      </c>
      <c r="AE105" s="1085">
        <v>341734173.13999999</v>
      </c>
      <c r="AF105" s="1078">
        <v>6.9852999999999996</v>
      </c>
      <c r="AG105" s="1079">
        <v>164386797.34999999</v>
      </c>
      <c r="AH105" s="1087"/>
      <c r="AI105" s="1087"/>
      <c r="AJ105" s="1088">
        <v>3.8420000000000001</v>
      </c>
      <c r="AK105" s="1089">
        <v>192058550.13999999</v>
      </c>
      <c r="AM105" s="1085"/>
      <c r="AN105" s="1074">
        <v>2.121</v>
      </c>
      <c r="AO105" s="1082">
        <v>845226780.15999997</v>
      </c>
      <c r="AP105" s="1091">
        <v>3.9895</v>
      </c>
      <c r="AQ105" s="1092">
        <v>606147634.37</v>
      </c>
      <c r="AR105" s="1074">
        <v>1.6993999999999998</v>
      </c>
      <c r="AS105" s="1093">
        <v>489305183</v>
      </c>
      <c r="AT105" s="1094">
        <v>-3.6705000000000001</v>
      </c>
      <c r="AU105" s="1092">
        <v>1422696912.6600001</v>
      </c>
      <c r="AV105" s="1120"/>
      <c r="AW105" s="1082"/>
      <c r="AY105" s="1085"/>
      <c r="BA105" s="1097"/>
      <c r="BB105" s="1097"/>
      <c r="BC105" s="1097"/>
      <c r="BD105" s="1098"/>
      <c r="BE105" s="1099"/>
      <c r="BF105" s="1100"/>
      <c r="BG105" s="1101">
        <f>Index_Returns!B339</f>
        <v>1.7629999999999999</v>
      </c>
      <c r="BH105" s="1102"/>
      <c r="BI105" s="1102"/>
      <c r="BJ105" s="1102"/>
      <c r="BK105" s="1103"/>
      <c r="BL105" s="1104">
        <f t="shared" si="35"/>
        <v>-0.45369999999999999</v>
      </c>
      <c r="BM105" s="1104">
        <f>Index_Returns!D339</f>
        <v>2.2200000000000002</v>
      </c>
      <c r="BN105" s="1104">
        <f t="shared" si="36"/>
        <v>-0.37990000000000013</v>
      </c>
      <c r="BO105" s="1105">
        <f>Index_Returns!C339</f>
        <v>1.3089999999999999</v>
      </c>
      <c r="BP105" s="1106">
        <f t="shared" si="34"/>
        <v>-0.64159999999999995</v>
      </c>
      <c r="BQ105" s="1088">
        <f>Index_Returns!E339</f>
        <v>3.5482</v>
      </c>
      <c r="BR105" s="1102"/>
      <c r="BS105" s="1103"/>
      <c r="BT105" s="1107">
        <f t="shared" si="31"/>
        <v>1.1675</v>
      </c>
      <c r="BU105" s="1105">
        <f>Index_Returns!F339</f>
        <v>4.0869</v>
      </c>
      <c r="BV105" s="1105">
        <f t="shared" si="32"/>
        <v>0.28080000000000016</v>
      </c>
      <c r="BW105" s="1105">
        <f t="shared" si="33"/>
        <v>-0.22960000000000047</v>
      </c>
      <c r="BX105" s="1196"/>
      <c r="BY105" s="1088">
        <f>Index_Returns!I339</f>
        <v>7.5597000000000003</v>
      </c>
      <c r="BZ105" s="1088"/>
      <c r="CA105" s="1108">
        <f t="shared" si="30"/>
        <v>-3.7177000000000002</v>
      </c>
      <c r="CB105" s="1109">
        <f>Index_Returns!H339</f>
        <v>6.2569999999999997</v>
      </c>
      <c r="CC105" s="1110">
        <f t="shared" si="23"/>
        <v>-2.6999999999999247E-3</v>
      </c>
      <c r="CD105" s="1111">
        <f t="shared" si="24"/>
        <v>0.72829999999999995</v>
      </c>
      <c r="CE105" s="1112"/>
      <c r="CF105" s="1111"/>
      <c r="CG105" s="1113"/>
      <c r="CI105" s="1114">
        <f>Index_Returns!AA339</f>
        <v>2.4356300000000002</v>
      </c>
      <c r="CJ105" s="1114">
        <f t="shared" si="28"/>
        <v>-0.31463000000000019</v>
      </c>
      <c r="CK105" s="1114">
        <f t="shared" si="29"/>
        <v>1.5538699999999999</v>
      </c>
      <c r="CL105" s="1114">
        <f t="shared" si="25"/>
        <v>-0.73623000000000038</v>
      </c>
      <c r="CM105" s="1115">
        <f>Index_Returns!W339</f>
        <v>-3.3620000000000001</v>
      </c>
      <c r="CN105" s="1116">
        <f t="shared" si="21"/>
        <v>-0.3085</v>
      </c>
      <c r="CQ105" s="1117"/>
      <c r="CR105" s="1109">
        <v>-2.4081000000000001</v>
      </c>
      <c r="CS105" s="1109"/>
      <c r="CT105" s="1118"/>
      <c r="CU105" s="1117"/>
    </row>
    <row r="106" spans="1:100" s="1090" customFormat="1" x14ac:dyDescent="0.2">
      <c r="A106" s="1070">
        <v>37864</v>
      </c>
      <c r="B106" s="1071"/>
      <c r="C106" s="1072"/>
      <c r="D106" s="1073"/>
      <c r="E106" s="1072"/>
      <c r="F106" s="1073"/>
      <c r="G106" s="1072"/>
      <c r="H106" s="1074">
        <v>3.1671999999999998</v>
      </c>
      <c r="I106" s="1075">
        <v>396685546.81</v>
      </c>
      <c r="J106" s="1076"/>
      <c r="K106" s="1077"/>
      <c r="L106" s="1078">
        <v>2.3963999999999999</v>
      </c>
      <c r="M106" s="1079">
        <v>675039509.23000002</v>
      </c>
      <c r="N106" s="1080">
        <v>1.2653000000000001</v>
      </c>
      <c r="O106" s="1077">
        <v>224351682.24000001</v>
      </c>
      <c r="P106" s="1119"/>
      <c r="Q106" s="1082"/>
      <c r="R106" s="1119"/>
      <c r="S106" s="1082"/>
      <c r="T106" s="1078">
        <v>3.2732000000000006</v>
      </c>
      <c r="U106" s="1079">
        <v>222682928.71000001</v>
      </c>
      <c r="V106" s="1083">
        <v>7.0256999999999996</v>
      </c>
      <c r="W106" s="1082">
        <v>69595911.769999996</v>
      </c>
      <c r="X106" s="1074">
        <v>5.8446999999999996</v>
      </c>
      <c r="Y106" s="1075">
        <v>73169507.810000002</v>
      </c>
      <c r="Z106" s="1186"/>
      <c r="AA106" s="1075"/>
      <c r="AB106" s="1084"/>
      <c r="AC106" s="1085"/>
      <c r="AD106" s="1086">
        <v>4.6504000000000003</v>
      </c>
      <c r="AE106" s="1085">
        <v>357626210.95999998</v>
      </c>
      <c r="AF106" s="1078">
        <v>5.2903000000000002</v>
      </c>
      <c r="AG106" s="1079">
        <v>173083403.34</v>
      </c>
      <c r="AH106" s="1087"/>
      <c r="AI106" s="1087"/>
      <c r="AJ106" s="1088">
        <v>5.8036000000000003</v>
      </c>
      <c r="AK106" s="1089">
        <v>203205555.47</v>
      </c>
      <c r="AM106" s="1085"/>
      <c r="AN106" s="1074">
        <v>3.1526999999999998</v>
      </c>
      <c r="AO106" s="1082">
        <v>871864366.73000002</v>
      </c>
      <c r="AP106" s="1091">
        <v>2.9822000000000002</v>
      </c>
      <c r="AQ106" s="1092">
        <v>624224040.10000002</v>
      </c>
      <c r="AR106" s="1074">
        <v>0.85909999999999997</v>
      </c>
      <c r="AS106" s="1093">
        <v>493503240.61000001</v>
      </c>
      <c r="AT106" s="1094">
        <v>0.7762</v>
      </c>
      <c r="AU106" s="1092">
        <v>1433739768.3900001</v>
      </c>
      <c r="AV106" s="1120"/>
      <c r="AW106" s="1082"/>
      <c r="AY106" s="1085"/>
      <c r="BA106" s="1097"/>
      <c r="BB106" s="1097"/>
      <c r="BC106" s="1097"/>
      <c r="BD106" s="1098"/>
      <c r="BE106" s="1099"/>
      <c r="BF106" s="1100"/>
      <c r="BG106" s="1101">
        <f>Index_Returns!B340</f>
        <v>1.95</v>
      </c>
      <c r="BH106" s="1102"/>
      <c r="BI106" s="1102"/>
      <c r="BJ106" s="1102"/>
      <c r="BK106" s="1103"/>
      <c r="BL106" s="1104">
        <f t="shared" si="35"/>
        <v>0.44639999999999991</v>
      </c>
      <c r="BM106" s="1104">
        <f>Index_Returns!D340</f>
        <v>2.16</v>
      </c>
      <c r="BN106" s="1104">
        <f t="shared" si="36"/>
        <v>-0.89470000000000005</v>
      </c>
      <c r="BO106" s="1105">
        <f>Index_Returns!C340</f>
        <v>1.7373000000000001</v>
      </c>
      <c r="BP106" s="1106">
        <f t="shared" si="34"/>
        <v>1.4298999999999997</v>
      </c>
      <c r="BQ106" s="1088">
        <f>Index_Returns!E340</f>
        <v>4.5361000000000002</v>
      </c>
      <c r="BR106" s="1102"/>
      <c r="BS106" s="1103"/>
      <c r="BT106" s="1107">
        <f t="shared" si="31"/>
        <v>-1.2628999999999997</v>
      </c>
      <c r="BU106" s="1105">
        <f>Index_Returns!F340</f>
        <v>3.9809000000000001</v>
      </c>
      <c r="BV106" s="1105">
        <f t="shared" si="32"/>
        <v>3.0447999999999995</v>
      </c>
      <c r="BW106" s="1105">
        <f t="shared" si="33"/>
        <v>1.8637999999999995</v>
      </c>
      <c r="BX106" s="1196"/>
      <c r="BY106" s="1088">
        <f>Index_Returns!I340</f>
        <v>5.3712</v>
      </c>
      <c r="BZ106" s="1088"/>
      <c r="CA106" s="1108">
        <f t="shared" si="30"/>
        <v>0.43240000000000034</v>
      </c>
      <c r="CB106" s="1109">
        <f>Index_Returns!H340</f>
        <v>4.5849000000000002</v>
      </c>
      <c r="CC106" s="1110">
        <f t="shared" si="23"/>
        <v>6.5500000000000114E-2</v>
      </c>
      <c r="CD106" s="1111">
        <f t="shared" si="24"/>
        <v>0.70540000000000003</v>
      </c>
      <c r="CE106" s="1112"/>
      <c r="CF106" s="1111"/>
      <c r="CG106" s="1113"/>
      <c r="CI106" s="1114">
        <f>Index_Returns!AA340</f>
        <v>2.4323000000000001</v>
      </c>
      <c r="CJ106" s="1114">
        <f t="shared" si="28"/>
        <v>0.72039999999999971</v>
      </c>
      <c r="CK106" s="1114">
        <f t="shared" si="29"/>
        <v>0.54990000000000006</v>
      </c>
      <c r="CL106" s="1114">
        <f t="shared" si="25"/>
        <v>-1.5732000000000002</v>
      </c>
      <c r="CM106" s="1115">
        <f>Index_Returns!W340</f>
        <v>0.66369999999999996</v>
      </c>
      <c r="CN106" s="1116">
        <f t="shared" ref="CN106:CN118" si="37">AT106-CM106</f>
        <v>0.11250000000000004</v>
      </c>
      <c r="CQ106" s="1117"/>
      <c r="CR106" s="1109">
        <v>0.434</v>
      </c>
      <c r="CS106" s="1109"/>
      <c r="CT106" s="1118"/>
      <c r="CU106" s="1117"/>
    </row>
    <row r="107" spans="1:100" s="1090" customFormat="1" x14ac:dyDescent="0.2">
      <c r="A107" s="1070">
        <v>37894</v>
      </c>
      <c r="B107" s="1071"/>
      <c r="C107" s="1072"/>
      <c r="D107" s="1073"/>
      <c r="E107" s="1072"/>
      <c r="F107" s="1073"/>
      <c r="G107" s="1072"/>
      <c r="H107" s="1074">
        <v>-2.5312999999999999</v>
      </c>
      <c r="I107" s="1121">
        <v>387022957.38</v>
      </c>
      <c r="J107" s="1076"/>
      <c r="K107" s="1077"/>
      <c r="L107" s="1078">
        <v>-0.31190000000000001</v>
      </c>
      <c r="M107" s="1122">
        <v>673133598.55999994</v>
      </c>
      <c r="N107" s="1080">
        <v>-0.60019999999999996</v>
      </c>
      <c r="O107" s="1077">
        <v>223128502.55000001</v>
      </c>
      <c r="P107" s="1119"/>
      <c r="Q107" s="1082"/>
      <c r="R107" s="1119"/>
      <c r="S107" s="1082"/>
      <c r="T107" s="1078">
        <v>-0.94630000000000014</v>
      </c>
      <c r="U107" s="1122">
        <v>220630608.21000001</v>
      </c>
      <c r="V107" s="1083">
        <v>-4.7324000000000002</v>
      </c>
      <c r="W107" s="1123">
        <v>66350887.43</v>
      </c>
      <c r="X107" s="1074">
        <v>-4.0374999999999996</v>
      </c>
      <c r="Y107" s="1121">
        <v>70333374.439999998</v>
      </c>
      <c r="Z107" s="1149"/>
      <c r="AA107" s="1121"/>
      <c r="AB107" s="1084"/>
      <c r="AC107" s="1085"/>
      <c r="AD107" s="1086">
        <v>-1.7583</v>
      </c>
      <c r="AE107" s="1085">
        <v>351338225.83999997</v>
      </c>
      <c r="AF107" s="1078">
        <v>-1.7477</v>
      </c>
      <c r="AG107" s="1122">
        <v>170172673.03999999</v>
      </c>
      <c r="AH107" s="1124"/>
      <c r="AI107" s="1124"/>
      <c r="AJ107" s="1088">
        <v>-3.1812</v>
      </c>
      <c r="AK107" s="1089">
        <v>197032431.72999999</v>
      </c>
      <c r="AM107" s="1085"/>
      <c r="AN107" s="1074">
        <v>2.7743000000000002</v>
      </c>
      <c r="AO107" s="1123">
        <v>896226222.63</v>
      </c>
      <c r="AP107" s="1091">
        <v>1.9643000000000002</v>
      </c>
      <c r="AQ107" s="1092">
        <v>637058721.10000002</v>
      </c>
      <c r="AR107" s="1074">
        <v>1.4701</v>
      </c>
      <c r="AS107" s="1125">
        <v>501132441.13999999</v>
      </c>
      <c r="AT107" s="1094">
        <v>2.7953000000000001</v>
      </c>
      <c r="AU107" s="1092">
        <v>1473816578.8299999</v>
      </c>
      <c r="AV107" s="1120"/>
      <c r="AW107" s="1082"/>
      <c r="AY107" s="1085"/>
      <c r="BA107" s="1097"/>
      <c r="BB107" s="1097"/>
      <c r="BC107" s="1097"/>
      <c r="BD107" s="1098"/>
      <c r="BE107" s="1099"/>
      <c r="BF107" s="1100"/>
      <c r="BG107" s="1101">
        <f>Index_Returns!B341</f>
        <v>-1.0620000000000001</v>
      </c>
      <c r="BH107" s="1102"/>
      <c r="BI107" s="1102"/>
      <c r="BJ107" s="1102"/>
      <c r="BK107" s="1103"/>
      <c r="BL107" s="1104">
        <f t="shared" si="35"/>
        <v>0.75009999999999999</v>
      </c>
      <c r="BM107" s="1104">
        <f>Index_Returns!D341</f>
        <v>-1.81</v>
      </c>
      <c r="BN107" s="1104">
        <f t="shared" si="36"/>
        <v>1.2098</v>
      </c>
      <c r="BO107" s="1105">
        <f>Index_Returns!C341</f>
        <v>-0.30830000000000002</v>
      </c>
      <c r="BP107" s="1106">
        <f t="shared" si="34"/>
        <v>-2.2229999999999999</v>
      </c>
      <c r="BQ107" s="1088">
        <f>Index_Returns!E341</f>
        <v>-1.5309999999999999</v>
      </c>
      <c r="BR107" s="1102"/>
      <c r="BS107" s="1103"/>
      <c r="BT107" s="1107">
        <f t="shared" si="31"/>
        <v>0.58469999999999978</v>
      </c>
      <c r="BU107" s="1105">
        <f>Index_Returns!F341</f>
        <v>-2.0710000000000002</v>
      </c>
      <c r="BV107" s="1105">
        <f t="shared" si="32"/>
        <v>-2.6614</v>
      </c>
      <c r="BW107" s="1105">
        <f t="shared" si="33"/>
        <v>-1.9664999999999995</v>
      </c>
      <c r="BX107" s="1196"/>
      <c r="BY107" s="1088">
        <f>Index_Returns!I341</f>
        <v>-2.5314000000000001</v>
      </c>
      <c r="BZ107" s="1088"/>
      <c r="CA107" s="1108">
        <f t="shared" si="30"/>
        <v>-0.64979999999999993</v>
      </c>
      <c r="CB107" s="1109">
        <f>Index_Returns!H341</f>
        <v>-1.8459000000000001</v>
      </c>
      <c r="CC107" s="1110">
        <f t="shared" si="23"/>
        <v>8.7600000000000122E-2</v>
      </c>
      <c r="CD107" s="1111">
        <f t="shared" si="24"/>
        <v>9.8200000000000065E-2</v>
      </c>
      <c r="CE107" s="1112"/>
      <c r="CF107" s="1111"/>
      <c r="CG107" s="1113"/>
      <c r="CI107" s="1114">
        <f>Index_Returns!AA341</f>
        <v>3.1025399999999999</v>
      </c>
      <c r="CJ107" s="1114">
        <f t="shared" si="28"/>
        <v>-0.32823999999999964</v>
      </c>
      <c r="CK107" s="1114">
        <f t="shared" si="29"/>
        <v>-1.1382399999999997</v>
      </c>
      <c r="CL107" s="1114">
        <f t="shared" si="25"/>
        <v>-1.6324399999999999</v>
      </c>
      <c r="CM107" s="1115">
        <f>Index_Returns!W341</f>
        <v>2.6469</v>
      </c>
      <c r="CN107" s="1116">
        <f t="shared" si="37"/>
        <v>0.14840000000000009</v>
      </c>
      <c r="CQ107" s="1117"/>
      <c r="CR107" s="1109">
        <v>2.2119</v>
      </c>
      <c r="CS107" s="1109"/>
      <c r="CT107" s="1118"/>
      <c r="CU107" s="1117"/>
    </row>
    <row r="108" spans="1:100" s="1090" customFormat="1" x14ac:dyDescent="0.2">
      <c r="A108" s="1070">
        <v>37925</v>
      </c>
      <c r="B108" s="1071"/>
      <c r="C108" s="1072"/>
      <c r="D108" s="1073"/>
      <c r="E108" s="1072"/>
      <c r="F108" s="1073"/>
      <c r="G108" s="1072"/>
      <c r="H108" s="1074">
        <v>5.3958000000000004</v>
      </c>
      <c r="I108" s="1121">
        <v>407905750.70999998</v>
      </c>
      <c r="J108" s="1076"/>
      <c r="K108" s="1077"/>
      <c r="L108" s="1078">
        <v>6.4157000000000002</v>
      </c>
      <c r="M108" s="1122">
        <v>716319583.17999995</v>
      </c>
      <c r="N108" s="1080">
        <v>6.2746999999999993</v>
      </c>
      <c r="O108" s="1077">
        <v>237129064.46000001</v>
      </c>
      <c r="P108" s="1119"/>
      <c r="Q108" s="1082"/>
      <c r="R108" s="1119"/>
      <c r="S108" s="1082"/>
      <c r="T108" s="1078">
        <v>7.940900000000001</v>
      </c>
      <c r="U108" s="1122">
        <v>238150613.47</v>
      </c>
      <c r="V108" s="1083">
        <v>8.0058000000000007</v>
      </c>
      <c r="W108" s="1123">
        <v>71662832.349999994</v>
      </c>
      <c r="X108" s="1074">
        <v>9.1401000000000003</v>
      </c>
      <c r="Y108" s="1121">
        <v>76761920.140000001</v>
      </c>
      <c r="Z108" s="1149"/>
      <c r="AA108" s="1121"/>
      <c r="AB108" s="1084"/>
      <c r="AC108" s="1085"/>
      <c r="AD108" s="1086">
        <v>8.4367999999999999</v>
      </c>
      <c r="AE108" s="1085">
        <v>380980050.86000001</v>
      </c>
      <c r="AF108" s="1078">
        <v>7.4162999999999997</v>
      </c>
      <c r="AG108" s="1122">
        <v>182793173.72</v>
      </c>
      <c r="AH108" s="1124"/>
      <c r="AI108" s="1124"/>
      <c r="AJ108" s="1088">
        <v>10.1335</v>
      </c>
      <c r="AK108" s="1089">
        <v>216998670.19999999</v>
      </c>
      <c r="AM108" s="1085"/>
      <c r="AN108" s="1074">
        <v>6.5594000000000001</v>
      </c>
      <c r="AO108" s="1123">
        <v>954991842.97000003</v>
      </c>
      <c r="AP108" s="1091">
        <v>6.7919000000000009</v>
      </c>
      <c r="AQ108" s="1092">
        <v>680326882.97000003</v>
      </c>
      <c r="AR108" s="1074">
        <v>4.8775000000000004</v>
      </c>
      <c r="AS108" s="1125">
        <v>525574962.25999999</v>
      </c>
      <c r="AT108" s="1094">
        <v>-0.97199999999999998</v>
      </c>
      <c r="AU108" s="1092">
        <v>1459491405.03</v>
      </c>
      <c r="AV108" s="1120"/>
      <c r="AW108" s="1082"/>
      <c r="AY108" s="1085"/>
      <c r="BA108" s="1097"/>
      <c r="BB108" s="1097"/>
      <c r="BC108" s="1097"/>
      <c r="BD108" s="1098"/>
      <c r="BE108" s="1099"/>
      <c r="BF108" s="1100"/>
      <c r="BG108" s="1101">
        <f>Index_Returns!B342</f>
        <v>5.657</v>
      </c>
      <c r="BH108" s="1102"/>
      <c r="BI108" s="1102"/>
      <c r="BJ108" s="1102"/>
      <c r="BK108" s="1103"/>
      <c r="BL108" s="1104">
        <f t="shared" si="35"/>
        <v>0.75870000000000015</v>
      </c>
      <c r="BM108" s="1104">
        <f>Index_Returns!D342</f>
        <v>6.84</v>
      </c>
      <c r="BN108" s="1104">
        <f t="shared" si="36"/>
        <v>-0.56530000000000058</v>
      </c>
      <c r="BO108" s="1105">
        <f>Index_Returns!C342</f>
        <v>4.4911000000000003</v>
      </c>
      <c r="BP108" s="1106">
        <f t="shared" si="34"/>
        <v>0.90470000000000006</v>
      </c>
      <c r="BQ108" s="1088">
        <f>Index_Returns!E342</f>
        <v>7.5613000000000001</v>
      </c>
      <c r="BR108" s="1102"/>
      <c r="BS108" s="1103"/>
      <c r="BT108" s="1107">
        <f t="shared" si="31"/>
        <v>0.37960000000000083</v>
      </c>
      <c r="BU108" s="1105">
        <f>Index_Returns!F342</f>
        <v>6.9249000000000001</v>
      </c>
      <c r="BV108" s="1105">
        <f t="shared" si="32"/>
        <v>1.0809000000000006</v>
      </c>
      <c r="BW108" s="1105">
        <f t="shared" si="33"/>
        <v>2.2152000000000003</v>
      </c>
      <c r="BX108" s="1196"/>
      <c r="BY108" s="1088">
        <f>Index_Returns!I342</f>
        <v>8.6388999999999996</v>
      </c>
      <c r="BZ108" s="1088"/>
      <c r="CA108" s="1108">
        <f t="shared" si="30"/>
        <v>1.4946000000000002</v>
      </c>
      <c r="CB108" s="1109">
        <f>Index_Returns!H342</f>
        <v>8.3977000000000004</v>
      </c>
      <c r="CC108" s="1110">
        <f t="shared" si="23"/>
        <v>3.9099999999999469E-2</v>
      </c>
      <c r="CD108" s="1111">
        <f t="shared" si="24"/>
        <v>-0.98140000000000072</v>
      </c>
      <c r="CE108" s="1112"/>
      <c r="CF108" s="1111"/>
      <c r="CG108" s="1113"/>
      <c r="CI108" s="1114">
        <f>Index_Returns!AA342</f>
        <v>6.2392599999999998</v>
      </c>
      <c r="CJ108" s="1114">
        <f t="shared" si="28"/>
        <v>0.32014000000000031</v>
      </c>
      <c r="CK108" s="1114">
        <f t="shared" si="29"/>
        <v>0.55264000000000113</v>
      </c>
      <c r="CL108" s="1114">
        <f t="shared" si="25"/>
        <v>-1.3617599999999994</v>
      </c>
      <c r="CM108" s="1115">
        <f>Index_Returns!W342</f>
        <v>-0.93200000000000005</v>
      </c>
      <c r="CN108" s="1116">
        <f t="shared" si="37"/>
        <v>-3.9999999999999925E-2</v>
      </c>
      <c r="CQ108" s="1117"/>
      <c r="CR108" s="1109">
        <v>-0.69920000000000004</v>
      </c>
      <c r="CS108" s="1109"/>
      <c r="CT108" s="1118"/>
      <c r="CU108" s="1117"/>
    </row>
    <row r="109" spans="1:100" s="1090" customFormat="1" x14ac:dyDescent="0.2">
      <c r="A109" s="1070">
        <v>37955</v>
      </c>
      <c r="B109" s="1071"/>
      <c r="C109" s="1072"/>
      <c r="D109" s="1073"/>
      <c r="E109" s="1072"/>
      <c r="F109" s="1073"/>
      <c r="G109" s="1072"/>
      <c r="H109" s="1074">
        <v>0.28510000000000002</v>
      </c>
      <c r="I109" s="1121">
        <v>409068699.48000002</v>
      </c>
      <c r="J109" s="1076"/>
      <c r="K109" s="1077"/>
      <c r="L109" s="1078">
        <v>0.95440000000000003</v>
      </c>
      <c r="M109" s="1122">
        <v>723155937.00999999</v>
      </c>
      <c r="N109" s="1080">
        <v>0.82930000000000004</v>
      </c>
      <c r="O109" s="1077">
        <v>239095688.08000001</v>
      </c>
      <c r="P109" s="1119"/>
      <c r="Q109" s="1082"/>
      <c r="R109" s="1119"/>
      <c r="S109" s="1082"/>
      <c r="T109" s="1078">
        <v>3.6456000000000004</v>
      </c>
      <c r="U109" s="1122">
        <v>246832689.65000001</v>
      </c>
      <c r="V109" s="1083">
        <v>3.2359</v>
      </c>
      <c r="W109" s="1123">
        <v>73981787.420000002</v>
      </c>
      <c r="X109" s="1074">
        <v>2.5567000000000002</v>
      </c>
      <c r="Y109" s="1121">
        <v>78724494.989999995</v>
      </c>
      <c r="Z109" s="1149"/>
      <c r="AA109" s="1121"/>
      <c r="AB109" s="1084"/>
      <c r="AC109" s="1085"/>
      <c r="AD109" s="1086">
        <v>3.5276999999999998</v>
      </c>
      <c r="AE109" s="1085">
        <v>394419900.31999999</v>
      </c>
      <c r="AF109" s="1078">
        <v>4.7511000000000001</v>
      </c>
      <c r="AG109" s="1122">
        <v>191477909.19</v>
      </c>
      <c r="AH109" s="1124"/>
      <c r="AI109" s="1124"/>
      <c r="AJ109" s="1088">
        <v>2.2995999999999999</v>
      </c>
      <c r="AK109" s="1089">
        <v>221988668.93000001</v>
      </c>
      <c r="AM109" s="1085"/>
      <c r="AN109" s="1074">
        <v>2.0358000000000001</v>
      </c>
      <c r="AO109" s="1123">
        <v>974419400.19000006</v>
      </c>
      <c r="AP109" s="1091">
        <v>1.5581</v>
      </c>
      <c r="AQ109" s="1092">
        <v>690927109.76999998</v>
      </c>
      <c r="AR109" s="1074">
        <v>3.4895999999999998</v>
      </c>
      <c r="AS109" s="1125">
        <v>543915592.23000002</v>
      </c>
      <c r="AT109" s="1094">
        <v>0.25480000000000003</v>
      </c>
      <c r="AU109" s="1092">
        <v>1463210244.71</v>
      </c>
      <c r="AV109" s="1120"/>
      <c r="AW109" s="1082"/>
      <c r="AY109" s="1085"/>
      <c r="BA109" s="1097"/>
      <c r="BB109" s="1097"/>
      <c r="BC109" s="1097"/>
      <c r="BD109" s="1098"/>
      <c r="BE109" s="1099"/>
      <c r="BF109" s="1100"/>
      <c r="BG109" s="1101">
        <f>Index_Returns!B343</f>
        <v>0.88</v>
      </c>
      <c r="BH109" s="1102"/>
      <c r="BI109" s="1102"/>
      <c r="BJ109" s="1102"/>
      <c r="BK109" s="1103"/>
      <c r="BL109" s="1104">
        <f t="shared" si="35"/>
        <v>7.4400000000000022E-2</v>
      </c>
      <c r="BM109" s="1104">
        <f>Index_Returns!D343</f>
        <v>0.9</v>
      </c>
      <c r="BN109" s="1104">
        <f t="shared" si="36"/>
        <v>-7.0699999999999985E-2</v>
      </c>
      <c r="BO109" s="1105">
        <f>Index_Returns!C343</f>
        <v>0.86040000000000005</v>
      </c>
      <c r="BP109" s="1106">
        <f t="shared" si="34"/>
        <v>-0.57530000000000003</v>
      </c>
      <c r="BQ109" s="1088">
        <f>Index_Returns!E343</f>
        <v>3.4839000000000002</v>
      </c>
      <c r="BR109" s="1102"/>
      <c r="BS109" s="1103"/>
      <c r="BT109" s="1107">
        <f t="shared" si="31"/>
        <v>0.16170000000000018</v>
      </c>
      <c r="BU109" s="1105">
        <f>Index_Returns!F343</f>
        <v>3.0078</v>
      </c>
      <c r="BV109" s="1105">
        <f t="shared" si="32"/>
        <v>0.22809999999999997</v>
      </c>
      <c r="BW109" s="1105">
        <f t="shared" si="33"/>
        <v>-0.45109999999999983</v>
      </c>
      <c r="BX109" s="1196"/>
      <c r="BY109" s="1088">
        <f>Index_Returns!I343</f>
        <v>3.2603</v>
      </c>
      <c r="BZ109" s="1088"/>
      <c r="CA109" s="1108">
        <f t="shared" si="30"/>
        <v>-0.96070000000000011</v>
      </c>
      <c r="CB109" s="1109">
        <f>Index_Returns!H343</f>
        <v>3.5488</v>
      </c>
      <c r="CC109" s="1110">
        <f t="shared" si="23"/>
        <v>-2.1100000000000119E-2</v>
      </c>
      <c r="CD109" s="1111">
        <f t="shared" si="24"/>
        <v>1.2023000000000001</v>
      </c>
      <c r="CE109" s="1112"/>
      <c r="CF109" s="1111"/>
      <c r="CG109" s="1113"/>
      <c r="CI109" s="1114">
        <f>Index_Returns!AA343</f>
        <v>2.23752</v>
      </c>
      <c r="CJ109" s="1114">
        <f t="shared" si="28"/>
        <v>-0.2017199999999999</v>
      </c>
      <c r="CK109" s="1114">
        <f t="shared" si="29"/>
        <v>-0.67941999999999991</v>
      </c>
      <c r="CL109" s="1114">
        <f t="shared" si="25"/>
        <v>1.2520799999999999</v>
      </c>
      <c r="CM109" s="1115">
        <f>Index_Returns!W343</f>
        <v>0.23910000000000001</v>
      </c>
      <c r="CN109" s="1116">
        <f t="shared" si="37"/>
        <v>1.5700000000000019E-2</v>
      </c>
      <c r="CQ109" s="1117"/>
      <c r="CR109" s="1109">
        <v>0.16500000000000001</v>
      </c>
      <c r="CS109" s="1109"/>
      <c r="CT109" s="1118"/>
      <c r="CU109" s="1117"/>
    </row>
    <row r="110" spans="1:100" s="1090" customFormat="1" x14ac:dyDescent="0.2">
      <c r="A110" s="1070">
        <v>37986</v>
      </c>
      <c r="B110" s="1071"/>
      <c r="C110" s="1072"/>
      <c r="D110" s="1073"/>
      <c r="E110" s="1072"/>
      <c r="F110" s="1073"/>
      <c r="G110" s="1072"/>
      <c r="H110" s="1074">
        <v>5.4318999999999997</v>
      </c>
      <c r="I110" s="1121">
        <v>431706473.17000002</v>
      </c>
      <c r="J110" s="1076"/>
      <c r="K110" s="1077"/>
      <c r="L110" s="1078">
        <v>5.1067</v>
      </c>
      <c r="M110" s="1122">
        <v>760149814.19000006</v>
      </c>
      <c r="N110" s="1080">
        <v>4.9962999999999997</v>
      </c>
      <c r="O110" s="1077">
        <v>251178967.09999999</v>
      </c>
      <c r="P110" s="1119"/>
      <c r="Q110" s="1082"/>
      <c r="R110" s="1119"/>
      <c r="S110" s="1082"/>
      <c r="T110" s="1078">
        <v>1.0335000000000001</v>
      </c>
      <c r="U110" s="1122">
        <v>249612579.88</v>
      </c>
      <c r="V110" s="1083">
        <v>0.93169999999999986</v>
      </c>
      <c r="W110" s="1123">
        <v>74721100.640000001</v>
      </c>
      <c r="X110" s="1074">
        <v>1.9996</v>
      </c>
      <c r="Y110" s="1121">
        <v>80426831.769999996</v>
      </c>
      <c r="Z110" s="1149"/>
      <c r="AA110" s="1121"/>
      <c r="AB110" s="1084"/>
      <c r="AC110" s="1085"/>
      <c r="AD110" s="1086">
        <v>2.0733999999999999</v>
      </c>
      <c r="AE110" s="1085">
        <v>402597664.67000002</v>
      </c>
      <c r="AF110" s="1078">
        <v>3.0834000000000001</v>
      </c>
      <c r="AG110" s="1122">
        <v>197511720.28999999</v>
      </c>
      <c r="AH110" s="1124"/>
      <c r="AI110" s="1124"/>
      <c r="AJ110" s="1088">
        <v>-0.2114</v>
      </c>
      <c r="AK110" s="1089">
        <v>221815373.86000001</v>
      </c>
      <c r="AM110" s="1085"/>
      <c r="AN110" s="1074">
        <v>7.9124999999999996</v>
      </c>
      <c r="AO110" s="1123">
        <v>1051692221.5</v>
      </c>
      <c r="AP110" s="1091">
        <v>6.8045999999999998</v>
      </c>
      <c r="AQ110" s="1092">
        <v>738530422.82000005</v>
      </c>
      <c r="AR110" s="1074">
        <v>7.2433999999999994</v>
      </c>
      <c r="AS110" s="1125">
        <v>583710325.65999997</v>
      </c>
      <c r="AT110" s="1094">
        <v>1.1914</v>
      </c>
      <c r="AU110" s="1092">
        <v>1079084377.8099999</v>
      </c>
      <c r="AV110" s="1120"/>
      <c r="AW110" s="1082"/>
      <c r="AY110" s="1085"/>
      <c r="BA110" s="1097"/>
      <c r="BB110" s="1097"/>
      <c r="BC110" s="1097"/>
      <c r="BD110" s="1098"/>
      <c r="BE110" s="1099"/>
      <c r="BF110" s="1100"/>
      <c r="BG110" s="1101">
        <f>Index_Returns!B344</f>
        <v>5.2439999999999998</v>
      </c>
      <c r="BH110" s="1102"/>
      <c r="BI110" s="1102"/>
      <c r="BJ110" s="1102"/>
      <c r="BK110" s="1103"/>
      <c r="BL110" s="1104">
        <f t="shared" si="35"/>
        <v>-0.13729999999999976</v>
      </c>
      <c r="BM110" s="1104">
        <f>Index_Returns!D344</f>
        <v>6.18</v>
      </c>
      <c r="BN110" s="1104">
        <f t="shared" si="36"/>
        <v>-1.1837</v>
      </c>
      <c r="BO110" s="1105">
        <f>Index_Returns!C344</f>
        <v>4.3064999999999998</v>
      </c>
      <c r="BP110" s="1106">
        <f t="shared" si="34"/>
        <v>1.1254</v>
      </c>
      <c r="BQ110" s="1088">
        <f>Index_Returns!E344</f>
        <v>1.6874</v>
      </c>
      <c r="BR110" s="1102"/>
      <c r="BS110" s="1103"/>
      <c r="BT110" s="1107">
        <f t="shared" si="31"/>
        <v>-0.65389999999999993</v>
      </c>
      <c r="BU110" s="1105">
        <f>Index_Returns!F344</f>
        <v>-0.30130000000000001</v>
      </c>
      <c r="BV110" s="1105">
        <f t="shared" si="32"/>
        <v>1.2329999999999999</v>
      </c>
      <c r="BW110" s="1105">
        <f t="shared" si="33"/>
        <v>2.3008999999999999</v>
      </c>
      <c r="BX110" s="1196"/>
      <c r="BY110" s="1088">
        <f>Index_Returns!I344</f>
        <v>0.4471</v>
      </c>
      <c r="BZ110" s="1088"/>
      <c r="CA110" s="1108">
        <f t="shared" si="30"/>
        <v>-0.65849999999999997</v>
      </c>
      <c r="CB110" s="1109">
        <f>Index_Returns!H344</f>
        <v>2.0287999999999999</v>
      </c>
      <c r="CC110" s="1110">
        <f t="shared" ref="CC110:CC141" si="38">AD110-CB110</f>
        <v>4.4599999999999973E-2</v>
      </c>
      <c r="CD110" s="1111">
        <f t="shared" si="24"/>
        <v>1.0546000000000002</v>
      </c>
      <c r="CE110" s="1112"/>
      <c r="CF110" s="1111"/>
      <c r="CG110" s="1113"/>
      <c r="CI110" s="1114">
        <f>Index_Returns!AA344</f>
        <v>7.8169899999999997</v>
      </c>
      <c r="CJ110" s="1114">
        <f t="shared" si="28"/>
        <v>9.5509999999999984E-2</v>
      </c>
      <c r="CK110" s="1114">
        <f t="shared" si="29"/>
        <v>-1.0123899999999999</v>
      </c>
      <c r="CL110" s="1114">
        <f t="shared" si="25"/>
        <v>-0.57359000000000027</v>
      </c>
      <c r="CM110" s="1115">
        <f>Index_Returns!W344</f>
        <v>1.0176000000000001</v>
      </c>
      <c r="CN110" s="1116">
        <f t="shared" si="37"/>
        <v>0.17379999999999995</v>
      </c>
      <c r="CQ110" s="1117"/>
      <c r="CR110" s="1109">
        <v>0.96199999999999997</v>
      </c>
      <c r="CS110" s="1109"/>
      <c r="CT110" s="1118"/>
      <c r="CU110" s="1117"/>
    </row>
    <row r="111" spans="1:100" s="1090" customFormat="1" x14ac:dyDescent="0.2">
      <c r="A111" s="1070">
        <v>38017</v>
      </c>
      <c r="B111" s="1126"/>
      <c r="C111" s="1127"/>
      <c r="D111" s="1128"/>
      <c r="E111" s="1127"/>
      <c r="F111" s="1126"/>
      <c r="G111" s="1127"/>
      <c r="H111" s="1074">
        <v>0.20850000000000002</v>
      </c>
      <c r="I111" s="1121">
        <v>432606376.38</v>
      </c>
      <c r="J111" s="1129"/>
      <c r="K111" s="1130"/>
      <c r="L111" s="1078">
        <v>1.0900000000000001</v>
      </c>
      <c r="M111" s="1122">
        <v>768435575.42999995</v>
      </c>
      <c r="N111" s="1131">
        <v>2.1265999999999998</v>
      </c>
      <c r="O111" s="1130">
        <v>256520416.36000001</v>
      </c>
      <c r="P111" s="1126"/>
      <c r="Q111" s="1123"/>
      <c r="R111" s="1126"/>
      <c r="S111" s="1085"/>
      <c r="T111" s="1078">
        <v>2.9590999999999998</v>
      </c>
      <c r="U111" s="1122">
        <v>256998864.05000001</v>
      </c>
      <c r="V111" s="1083">
        <v>-0.61880000000000002</v>
      </c>
      <c r="W111" s="1123">
        <v>74258760.959999993</v>
      </c>
      <c r="X111" s="1074">
        <v>3.2707999999999999</v>
      </c>
      <c r="Y111" s="1121">
        <v>83057441.079999998</v>
      </c>
      <c r="Z111" s="1149"/>
      <c r="AA111" s="1121"/>
      <c r="AB111" s="1118"/>
      <c r="AC111" s="1085"/>
      <c r="AD111" s="1132">
        <v>4.3609999999999998</v>
      </c>
      <c r="AE111" s="1085">
        <v>420154938.33999997</v>
      </c>
      <c r="AF111" s="1078">
        <v>3.8442999999999996</v>
      </c>
      <c r="AG111" s="1122">
        <v>205104715.47</v>
      </c>
      <c r="AH111" s="1124"/>
      <c r="AI111" s="1124"/>
      <c r="AJ111" s="1088">
        <v>5.9802999999999997</v>
      </c>
      <c r="AK111" s="1089">
        <v>235080567.31</v>
      </c>
      <c r="AM111" s="1085"/>
      <c r="AN111" s="1074">
        <v>1.6075999999999999</v>
      </c>
      <c r="AO111" s="1123">
        <v>1068593002.42</v>
      </c>
      <c r="AP111" s="1091">
        <v>1.1291</v>
      </c>
      <c r="AQ111" s="1092">
        <v>746869148.72000003</v>
      </c>
      <c r="AR111" s="1074">
        <v>2.0950000000000002</v>
      </c>
      <c r="AS111" s="1125">
        <v>595939343.63</v>
      </c>
      <c r="AT111" s="1094">
        <v>0.81189999999999996</v>
      </c>
      <c r="AU111" s="1092">
        <v>1087845288.54</v>
      </c>
      <c r="AW111" s="1085"/>
      <c r="AY111" s="1085"/>
      <c r="BA111" s="1097"/>
      <c r="BB111" s="1097"/>
      <c r="BC111" s="1097"/>
      <c r="BD111" s="1133">
        <v>1.8378000000000001</v>
      </c>
      <c r="BE111" s="1134">
        <v>965705933.41999996</v>
      </c>
      <c r="BF111" s="1100"/>
      <c r="BG111" s="1101">
        <f>Index_Returns!B345</f>
        <v>1.8360000000000001</v>
      </c>
      <c r="BH111" s="1102"/>
      <c r="BI111" s="1102"/>
      <c r="BJ111" s="1102"/>
      <c r="BK111" s="1103"/>
      <c r="BL111" s="1104">
        <f t="shared" si="35"/>
        <v>-0.746</v>
      </c>
      <c r="BM111" s="1104">
        <f>Index_Returns!D345</f>
        <v>1.77</v>
      </c>
      <c r="BN111" s="1104">
        <f t="shared" si="36"/>
        <v>0.35659999999999981</v>
      </c>
      <c r="BO111" s="1105">
        <f>Index_Returns!C345</f>
        <v>1.903</v>
      </c>
      <c r="BP111" s="1106">
        <f t="shared" si="34"/>
        <v>-1.6945000000000001</v>
      </c>
      <c r="BQ111" s="1088">
        <f>Index_Returns!E345</f>
        <v>2.1671</v>
      </c>
      <c r="BR111" s="1102"/>
      <c r="BS111" s="1103"/>
      <c r="BT111" s="1107">
        <f t="shared" si="31"/>
        <v>0.79199999999999982</v>
      </c>
      <c r="BU111" s="1105">
        <f>Index_Returns!F345</f>
        <v>1.6915</v>
      </c>
      <c r="BV111" s="1105">
        <f t="shared" si="32"/>
        <v>-2.3102999999999998</v>
      </c>
      <c r="BW111" s="1105">
        <f t="shared" si="33"/>
        <v>1.5792999999999999</v>
      </c>
      <c r="BX111" s="1196"/>
      <c r="BY111" s="1088">
        <f>Index_Returns!I345</f>
        <v>5.2534000000000001</v>
      </c>
      <c r="BZ111" s="1088"/>
      <c r="CA111" s="1108">
        <f t="shared" si="30"/>
        <v>0.72689999999999966</v>
      </c>
      <c r="CB111" s="1109">
        <f>Index_Returns!H345</f>
        <v>4.3445999999999998</v>
      </c>
      <c r="CC111" s="1110">
        <f t="shared" si="38"/>
        <v>1.639999999999997E-2</v>
      </c>
      <c r="CD111" s="1111">
        <f t="shared" ref="CD111:CD135" si="39">AF111-CB111</f>
        <v>-0.50030000000000019</v>
      </c>
      <c r="CE111" s="1112"/>
      <c r="CF111" s="1111"/>
      <c r="CG111" s="1113"/>
      <c r="CI111" s="1114">
        <f>Index_Returns!AA345</f>
        <v>1.4214899999999999</v>
      </c>
      <c r="CJ111" s="1114">
        <f t="shared" si="28"/>
        <v>0.18611</v>
      </c>
      <c r="CK111" s="1114">
        <f t="shared" si="29"/>
        <v>-0.29238999999999993</v>
      </c>
      <c r="CL111" s="1114">
        <f t="shared" si="25"/>
        <v>0.67351000000000028</v>
      </c>
      <c r="CM111" s="1115">
        <f>Index_Returns!W345</f>
        <v>0.80469999999999997</v>
      </c>
      <c r="CN111" s="1116">
        <f t="shared" si="37"/>
        <v>7.1999999999999842E-3</v>
      </c>
      <c r="CQ111" s="1117"/>
      <c r="CR111" s="1109">
        <v>0.65339999999999998</v>
      </c>
      <c r="CS111" s="1109"/>
      <c r="CT111" s="1118">
        <v>1.4806360000000003</v>
      </c>
      <c r="CU111" s="1135">
        <f t="shared" ref="CU111:CU147" si="40">BD111-CT111</f>
        <v>0.35716399999999981</v>
      </c>
      <c r="CV111" s="1078"/>
    </row>
    <row r="112" spans="1:100" s="1090" customFormat="1" x14ac:dyDescent="0.2">
      <c r="A112" s="1070">
        <v>38046</v>
      </c>
      <c r="B112" s="1126"/>
      <c r="C112" s="1127"/>
      <c r="D112" s="1128"/>
      <c r="E112" s="1127"/>
      <c r="F112" s="1126"/>
      <c r="G112" s="1127"/>
      <c r="H112" s="1074">
        <v>8.5099999999999995E-2</v>
      </c>
      <c r="I112" s="1121">
        <v>432974617.86000001</v>
      </c>
      <c r="J112" s="1129"/>
      <c r="K112" s="1130"/>
      <c r="L112" s="1078">
        <v>2.157</v>
      </c>
      <c r="M112" s="1136">
        <v>785010770.67999995</v>
      </c>
      <c r="N112" s="1137">
        <v>2.1808999999999998</v>
      </c>
      <c r="O112" s="1130">
        <v>262114777.44</v>
      </c>
      <c r="P112" s="1126"/>
      <c r="Q112" s="1123"/>
      <c r="R112" s="1126"/>
      <c r="S112" s="1085"/>
      <c r="T112" s="1078">
        <v>2.7170000000000001</v>
      </c>
      <c r="U112" s="1122">
        <v>263981435.11000001</v>
      </c>
      <c r="V112" s="1083">
        <v>-0.33279999999999998</v>
      </c>
      <c r="W112" s="1123">
        <v>74011621.829999998</v>
      </c>
      <c r="X112" s="1074">
        <v>1.1448</v>
      </c>
      <c r="Y112" s="1121">
        <v>84008247.569999993</v>
      </c>
      <c r="Z112" s="1149"/>
      <c r="AA112" s="1121"/>
      <c r="AB112" s="1118"/>
      <c r="AC112" s="1085"/>
      <c r="AD112" s="1132">
        <v>0.93659999999999999</v>
      </c>
      <c r="AE112" s="1085">
        <v>424090018.79000002</v>
      </c>
      <c r="AF112" s="1078">
        <v>1.7268999999999999</v>
      </c>
      <c r="AG112" s="1122">
        <v>208646623.91</v>
      </c>
      <c r="AH112" s="1124"/>
      <c r="AI112" s="1124"/>
      <c r="AJ112" s="1088">
        <v>-5.2200000000000003E-2</v>
      </c>
      <c r="AK112" s="1089">
        <v>234957844.74000001</v>
      </c>
      <c r="AM112" s="1085"/>
      <c r="AN112" s="1074">
        <v>2.2679999999999998</v>
      </c>
      <c r="AO112" s="1123">
        <v>1092819292.45</v>
      </c>
      <c r="AP112" s="1091">
        <v>1.8453000000000002</v>
      </c>
      <c r="AQ112" s="1092">
        <v>760651005.91999996</v>
      </c>
      <c r="AR112" s="1074">
        <v>1.9501000000000002</v>
      </c>
      <c r="AS112" s="1125">
        <v>607560824.44000006</v>
      </c>
      <c r="AT112" s="1094">
        <v>1.1564000000000001</v>
      </c>
      <c r="AU112" s="1092">
        <v>1100424772.96</v>
      </c>
      <c r="AW112" s="1085"/>
      <c r="AY112" s="1085"/>
      <c r="BA112" s="1097"/>
      <c r="BB112" s="1097"/>
      <c r="BC112" s="1097"/>
      <c r="BD112" s="1133">
        <v>1.5037</v>
      </c>
      <c r="BE112" s="1134">
        <v>980227292.15999997</v>
      </c>
      <c r="BF112" s="1100"/>
      <c r="BG112" s="1101">
        <f>Index_Returns!B346</f>
        <v>1.39</v>
      </c>
      <c r="BH112" s="1102"/>
      <c r="BI112" s="1102"/>
      <c r="BJ112" s="1102"/>
      <c r="BK112" s="1103"/>
      <c r="BL112" s="1104">
        <f t="shared" si="35"/>
        <v>0.76700000000000013</v>
      </c>
      <c r="BM112" s="1104">
        <f>Index_Returns!D346</f>
        <v>2.2599999999999998</v>
      </c>
      <c r="BN112" s="1104">
        <f t="shared" si="36"/>
        <v>-7.9099999999999948E-2</v>
      </c>
      <c r="BO112" s="1105">
        <f>Index_Returns!C346</f>
        <v>0.51280000000000003</v>
      </c>
      <c r="BP112" s="1106">
        <f t="shared" si="34"/>
        <v>-0.42770000000000002</v>
      </c>
      <c r="BQ112" s="1088">
        <f>Index_Returns!E346</f>
        <v>2.4013</v>
      </c>
      <c r="BR112" s="1102"/>
      <c r="BS112" s="1103"/>
      <c r="BT112" s="1107">
        <f t="shared" si="31"/>
        <v>0.31570000000000009</v>
      </c>
      <c r="BU112" s="1105">
        <f>Index_Returns!F346</f>
        <v>2.1366000000000001</v>
      </c>
      <c r="BV112" s="1105">
        <f t="shared" si="32"/>
        <v>-2.4694000000000003</v>
      </c>
      <c r="BW112" s="1105">
        <f t="shared" si="33"/>
        <v>-0.99180000000000001</v>
      </c>
      <c r="BX112" s="1196"/>
      <c r="BY112" s="1088">
        <f>Index_Returns!I346</f>
        <v>-0.1547</v>
      </c>
      <c r="BZ112" s="1088"/>
      <c r="CA112" s="1108">
        <f t="shared" si="30"/>
        <v>0.10250000000000001</v>
      </c>
      <c r="CB112" s="1109">
        <f>Index_Returns!H346</f>
        <v>0.89639999999999997</v>
      </c>
      <c r="CC112" s="1110">
        <f t="shared" si="38"/>
        <v>4.0200000000000014E-2</v>
      </c>
      <c r="CD112" s="1111">
        <f t="shared" si="39"/>
        <v>0.8304999999999999</v>
      </c>
      <c r="CE112" s="1112"/>
      <c r="CF112" s="1111"/>
      <c r="CG112" s="1113"/>
      <c r="CI112" s="1114">
        <f>Index_Returns!AA346</f>
        <v>2.3254600000000001</v>
      </c>
      <c r="CJ112" s="1114">
        <f t="shared" si="28"/>
        <v>-5.7460000000000289E-2</v>
      </c>
      <c r="CK112" s="1114">
        <f t="shared" si="29"/>
        <v>-0.48015999999999992</v>
      </c>
      <c r="CL112" s="1114">
        <f t="shared" ref="CL112:CL121" si="41">AR112-CI112</f>
        <v>-0.37535999999999992</v>
      </c>
      <c r="CM112" s="1115">
        <f>Index_Returns!W346</f>
        <v>1.0820000000000001</v>
      </c>
      <c r="CN112" s="1116">
        <f t="shared" si="37"/>
        <v>7.4400000000000022E-2</v>
      </c>
      <c r="CQ112" s="1117"/>
      <c r="CR112" s="1109">
        <v>0.94979999999999998</v>
      </c>
      <c r="CS112" s="1109"/>
      <c r="CT112" s="1118">
        <v>1.4534400000000001</v>
      </c>
      <c r="CU112" s="1135">
        <f t="shared" si="40"/>
        <v>5.0259999999999971E-2</v>
      </c>
      <c r="CV112" s="1078"/>
    </row>
    <row r="113" spans="1:100" s="1090" customFormat="1" x14ac:dyDescent="0.2">
      <c r="A113" s="1070">
        <v>38077</v>
      </c>
      <c r="B113" s="1126"/>
      <c r="C113" s="1127"/>
      <c r="D113" s="1128"/>
      <c r="E113" s="1127"/>
      <c r="F113" s="1128"/>
      <c r="G113" s="1127"/>
      <c r="H113" s="1074">
        <v>-1.0723</v>
      </c>
      <c r="I113" s="1121">
        <v>428755560.44999999</v>
      </c>
      <c r="J113" s="1129"/>
      <c r="K113" s="1130"/>
      <c r="L113" s="1078">
        <v>-0.94520000000000004</v>
      </c>
      <c r="M113" s="1136">
        <v>777821493.11000001</v>
      </c>
      <c r="N113" s="1137">
        <v>-0.1191</v>
      </c>
      <c r="O113" s="1130">
        <v>261945099.93000001</v>
      </c>
      <c r="P113" s="1126"/>
      <c r="Q113" s="1123"/>
      <c r="R113" s="1126"/>
      <c r="S113" s="1085"/>
      <c r="T113" s="1078">
        <v>1.9015</v>
      </c>
      <c r="U113" s="1122">
        <v>269064125.00999999</v>
      </c>
      <c r="V113" s="1083">
        <v>-1.1321000000000001</v>
      </c>
      <c r="W113" s="1123">
        <v>73229581.640000001</v>
      </c>
      <c r="X113" s="1074">
        <v>-1.4177</v>
      </c>
      <c r="Y113" s="1121">
        <v>82956624.469999999</v>
      </c>
      <c r="Z113" s="1149"/>
      <c r="AA113" s="1121"/>
      <c r="AB113" s="1118"/>
      <c r="AC113" s="1085"/>
      <c r="AD113" s="1132">
        <v>0.96209999999999996</v>
      </c>
      <c r="AE113" s="1085">
        <v>428170033.01999998</v>
      </c>
      <c r="AF113" s="1078">
        <v>1.8266</v>
      </c>
      <c r="AG113" s="1122">
        <v>212607292.13999999</v>
      </c>
      <c r="AH113" s="1124"/>
      <c r="AI113" s="1124"/>
      <c r="AJ113" s="1088">
        <v>-1.2102999999999999</v>
      </c>
      <c r="AK113" s="1089">
        <v>232408491.06999999</v>
      </c>
      <c r="AM113" s="1085"/>
      <c r="AN113" s="1074">
        <v>0.40939999999999999</v>
      </c>
      <c r="AO113" s="1123">
        <v>1097526650.0899999</v>
      </c>
      <c r="AP113" s="1091">
        <v>0.58809999999999996</v>
      </c>
      <c r="AQ113" s="1092">
        <v>765809083.88</v>
      </c>
      <c r="AR113" s="1074">
        <v>-1.3351</v>
      </c>
      <c r="AS113" s="1125">
        <v>599877184.75999999</v>
      </c>
      <c r="AT113" s="1094">
        <v>0.81089999999999995</v>
      </c>
      <c r="AU113" s="1092">
        <v>1111496911.76</v>
      </c>
      <c r="AW113" s="1085"/>
      <c r="AY113" s="1085"/>
      <c r="BA113" s="1097"/>
      <c r="BB113" s="1097"/>
      <c r="BC113" s="1097"/>
      <c r="BD113" s="1133">
        <v>-0.37219999999999998</v>
      </c>
      <c r="BE113" s="1134">
        <v>977443183.29999995</v>
      </c>
      <c r="BF113" s="1100"/>
      <c r="BG113" s="1101">
        <f>Index_Returns!B347</f>
        <v>-1.5089999999999999</v>
      </c>
      <c r="BH113" s="1102"/>
      <c r="BI113" s="1102"/>
      <c r="BJ113" s="1102"/>
      <c r="BK113" s="1103"/>
      <c r="BL113" s="1104">
        <f t="shared" si="35"/>
        <v>0.56379999999999986</v>
      </c>
      <c r="BM113" s="1104">
        <f>Index_Returns!D347</f>
        <v>-0.69</v>
      </c>
      <c r="BN113" s="1104">
        <f t="shared" si="36"/>
        <v>0.57089999999999996</v>
      </c>
      <c r="BO113" s="1105">
        <f>Index_Returns!C347</f>
        <v>-2.3443999999999998</v>
      </c>
      <c r="BP113" s="1106">
        <f t="shared" si="34"/>
        <v>1.2720999999999998</v>
      </c>
      <c r="BQ113" s="1088">
        <f>Index_Returns!E347</f>
        <v>0.42459999999999998</v>
      </c>
      <c r="BR113" s="1102"/>
      <c r="BS113" s="1103"/>
      <c r="BT113" s="1107">
        <f t="shared" si="31"/>
        <v>1.4769000000000001</v>
      </c>
      <c r="BU113" s="1105">
        <f>Index_Returns!F347</f>
        <v>0.66800000000000004</v>
      </c>
      <c r="BV113" s="1105">
        <f t="shared" si="32"/>
        <v>-1.8001</v>
      </c>
      <c r="BW113" s="1105">
        <f t="shared" si="33"/>
        <v>-2.0857000000000001</v>
      </c>
      <c r="BX113" s="1196"/>
      <c r="BY113" s="1088">
        <f>Index_Returns!I347</f>
        <v>0.46739999999999998</v>
      </c>
      <c r="BZ113" s="1088"/>
      <c r="CA113" s="1108">
        <f t="shared" si="30"/>
        <v>-1.6777</v>
      </c>
      <c r="CB113" s="1109">
        <f>Index_Returns!H347</f>
        <v>0.93200000000000005</v>
      </c>
      <c r="CC113" s="1110">
        <f t="shared" si="38"/>
        <v>3.0099999999999905E-2</v>
      </c>
      <c r="CD113" s="1111">
        <f t="shared" si="39"/>
        <v>0.89459999999999995</v>
      </c>
      <c r="CE113" s="1112"/>
      <c r="CF113" s="1111"/>
      <c r="CG113" s="1113"/>
      <c r="CI113" s="1114">
        <f>Index_Returns!AA347</f>
        <v>0.60189000000000004</v>
      </c>
      <c r="CJ113" s="1114">
        <f t="shared" si="28"/>
        <v>-0.19249000000000005</v>
      </c>
      <c r="CK113" s="1114">
        <f t="shared" si="29"/>
        <v>-1.379000000000008E-2</v>
      </c>
      <c r="CL113" s="1114">
        <f t="shared" si="41"/>
        <v>-1.93699</v>
      </c>
      <c r="CM113" s="1115">
        <f>Index_Returns!W347</f>
        <v>0.74960000000000004</v>
      </c>
      <c r="CN113" s="1116">
        <f t="shared" si="37"/>
        <v>6.129999999999991E-2</v>
      </c>
      <c r="CQ113" s="1117"/>
      <c r="CR113" s="1109">
        <v>0.64639999999999997</v>
      </c>
      <c r="CS113" s="1109"/>
      <c r="CT113" s="1118">
        <v>-0.53868000000000005</v>
      </c>
      <c r="CU113" s="1135">
        <f t="shared" si="40"/>
        <v>0.16648000000000007</v>
      </c>
      <c r="CV113" s="1078"/>
    </row>
    <row r="114" spans="1:100" s="1090" customFormat="1" x14ac:dyDescent="0.2">
      <c r="A114" s="1070">
        <v>38107</v>
      </c>
      <c r="B114" s="1126"/>
      <c r="C114" s="1082"/>
      <c r="D114" s="1075"/>
      <c r="E114" s="1082"/>
      <c r="F114" s="1075"/>
      <c r="G114" s="1082"/>
      <c r="H114" s="1074">
        <v>-1.0922000000000001</v>
      </c>
      <c r="I114" s="1121">
        <v>424072623.76999998</v>
      </c>
      <c r="J114" s="1129"/>
      <c r="K114" s="1138"/>
      <c r="L114" s="1078">
        <v>-2.0432999999999999</v>
      </c>
      <c r="M114" s="1136">
        <v>761928547.95000005</v>
      </c>
      <c r="N114" s="1137">
        <v>-3.6576</v>
      </c>
      <c r="O114" s="1138">
        <v>252364116.02000001</v>
      </c>
      <c r="P114" s="1126"/>
      <c r="Q114" s="1123"/>
      <c r="R114" s="1126"/>
      <c r="S114" s="1085"/>
      <c r="T114" s="1078">
        <v>-5.4143999999999997</v>
      </c>
      <c r="U114" s="1122">
        <v>254496021.44999999</v>
      </c>
      <c r="V114" s="1083">
        <v>-2.3706999999999998</v>
      </c>
      <c r="W114" s="1123">
        <v>71493542.769999996</v>
      </c>
      <c r="X114" s="1074">
        <v>-1.8809</v>
      </c>
      <c r="Y114" s="1121">
        <v>81396255.829999998</v>
      </c>
      <c r="Z114" s="1149"/>
      <c r="AA114" s="1121"/>
      <c r="AB114" s="1118"/>
      <c r="AC114" s="1085"/>
      <c r="AD114" s="1132">
        <v>-5.0679999999999996</v>
      </c>
      <c r="AE114" s="1085">
        <v>406470576.45999998</v>
      </c>
      <c r="AF114" s="1078">
        <v>-2.2906</v>
      </c>
      <c r="AG114" s="1122">
        <v>207737414.13</v>
      </c>
      <c r="AH114" s="1124"/>
      <c r="AI114" s="1124"/>
      <c r="AJ114" s="1088">
        <v>-4.5891999999999999</v>
      </c>
      <c r="AK114" s="1089">
        <v>221742718.03999999</v>
      </c>
      <c r="AM114" s="1085"/>
      <c r="AN114" s="1074">
        <v>-2.645</v>
      </c>
      <c r="AO114" s="1123">
        <v>1068497051.8200001</v>
      </c>
      <c r="AP114" s="1091">
        <v>-2.4744999999999999</v>
      </c>
      <c r="AQ114" s="1092">
        <v>746857874.28999996</v>
      </c>
      <c r="AR114" s="1074">
        <v>-1.7162999999999999</v>
      </c>
      <c r="AS114" s="1125">
        <v>589581699.00999999</v>
      </c>
      <c r="AT114" s="1094">
        <v>-2.7907999999999999</v>
      </c>
      <c r="AU114" s="1092">
        <v>1078589400.5899999</v>
      </c>
      <c r="AW114" s="1085"/>
      <c r="AY114" s="1085"/>
      <c r="BA114" s="1097"/>
      <c r="BB114" s="1097"/>
      <c r="BC114" s="1097"/>
      <c r="BD114" s="1133">
        <v>-2.4573</v>
      </c>
      <c r="BE114" s="1134">
        <v>953424776.42999995</v>
      </c>
      <c r="BF114" s="1100"/>
      <c r="BG114" s="1101">
        <f>Index_Returns!B348</f>
        <v>-1.57</v>
      </c>
      <c r="BH114" s="1102"/>
      <c r="BI114" s="1102"/>
      <c r="BJ114" s="1102"/>
      <c r="BK114" s="1103"/>
      <c r="BL114" s="1104">
        <f t="shared" si="35"/>
        <v>-0.47329999999999983</v>
      </c>
      <c r="BM114" s="1104">
        <f>Index_Returns!D348</f>
        <v>-2.4700000000000002</v>
      </c>
      <c r="BN114" s="1104">
        <f t="shared" si="36"/>
        <v>-1.1875999999999998</v>
      </c>
      <c r="BO114" s="1105">
        <f>Index_Returns!C348</f>
        <v>-0.62429999999999997</v>
      </c>
      <c r="BP114" s="1106">
        <f t="shared" si="34"/>
        <v>-0.46790000000000009</v>
      </c>
      <c r="BQ114" s="1088">
        <f>Index_Returns!E348</f>
        <v>-3.2824</v>
      </c>
      <c r="BR114" s="1102"/>
      <c r="BS114" s="1103"/>
      <c r="BT114" s="1107">
        <f t="shared" si="31"/>
        <v>-2.1319999999999997</v>
      </c>
      <c r="BU114" s="1105">
        <f>Index_Returns!F348</f>
        <v>-2.6859999999999999</v>
      </c>
      <c r="BV114" s="1105">
        <f t="shared" si="32"/>
        <v>0.31530000000000014</v>
      </c>
      <c r="BW114" s="1105">
        <f t="shared" si="33"/>
        <v>0.80509999999999993</v>
      </c>
      <c r="BX114" s="1196"/>
      <c r="BY114" s="1088">
        <f>Index_Returns!I348</f>
        <v>-5.0198</v>
      </c>
      <c r="BZ114" s="1088"/>
      <c r="CA114" s="1108">
        <f t="shared" si="30"/>
        <v>0.43060000000000009</v>
      </c>
      <c r="CB114" s="1109">
        <f>Index_Returns!H348</f>
        <v>-5.0983999999999998</v>
      </c>
      <c r="CC114" s="1110">
        <f t="shared" si="38"/>
        <v>3.0400000000000205E-2</v>
      </c>
      <c r="CD114" s="1111">
        <f t="shared" si="39"/>
        <v>2.8077999999999999</v>
      </c>
      <c r="CE114" s="1112"/>
      <c r="CF114" s="1111"/>
      <c r="CG114" s="1113"/>
      <c r="CI114" s="1114">
        <f>Index_Returns!AA348</f>
        <v>-2.1772800000000001</v>
      </c>
      <c r="CJ114" s="1114">
        <f t="shared" si="28"/>
        <v>-0.46771999999999991</v>
      </c>
      <c r="CK114" s="1114">
        <f t="shared" si="29"/>
        <v>-0.29721999999999982</v>
      </c>
      <c r="CL114" s="1114">
        <f t="shared" si="41"/>
        <v>0.46098000000000017</v>
      </c>
      <c r="CM114" s="1115">
        <f>Index_Returns!W348</f>
        <v>-2.6021999999999998</v>
      </c>
      <c r="CN114" s="1116">
        <f t="shared" si="37"/>
        <v>-0.1886000000000001</v>
      </c>
      <c r="CQ114" s="1117"/>
      <c r="CR114" s="1109">
        <v>-2.1454</v>
      </c>
      <c r="CS114" s="1109"/>
      <c r="CT114" s="1118">
        <v>-1.956072</v>
      </c>
      <c r="CU114" s="1135">
        <f t="shared" si="40"/>
        <v>-0.50122800000000001</v>
      </c>
      <c r="CV114" s="1078"/>
    </row>
    <row r="115" spans="1:100" s="1090" customFormat="1" x14ac:dyDescent="0.2">
      <c r="A115" s="1070">
        <v>38138</v>
      </c>
      <c r="B115" s="1126"/>
      <c r="C115" s="1127"/>
      <c r="D115" s="1128"/>
      <c r="E115" s="1127"/>
      <c r="F115" s="1128"/>
      <c r="G115" s="1127"/>
      <c r="H115" s="1074">
        <v>-0.4617</v>
      </c>
      <c r="I115" s="1121">
        <v>422114470.44999999</v>
      </c>
      <c r="J115" s="1129"/>
      <c r="K115" s="1130"/>
      <c r="L115" s="1078">
        <v>1.3231999999999999</v>
      </c>
      <c r="M115" s="1136">
        <v>772010105.13</v>
      </c>
      <c r="N115" s="1137">
        <v>0.82450000000000001</v>
      </c>
      <c r="O115" s="1130">
        <v>254444848.34</v>
      </c>
      <c r="P115" s="1128"/>
      <c r="Q115" s="1127"/>
      <c r="R115" s="1128"/>
      <c r="S115" s="1127"/>
      <c r="T115" s="1078">
        <v>2.4786000000000001</v>
      </c>
      <c r="U115" s="1122">
        <v>260803853.09</v>
      </c>
      <c r="V115" s="1083">
        <v>3.6956000000000002</v>
      </c>
      <c r="W115" s="1123">
        <v>74135663.310000002</v>
      </c>
      <c r="X115" s="1074">
        <v>1.7032</v>
      </c>
      <c r="Y115" s="1121">
        <v>82782585.569999993</v>
      </c>
      <c r="Z115" s="1149"/>
      <c r="AA115" s="1121"/>
      <c r="AB115" s="1098"/>
      <c r="AC115" s="1127"/>
      <c r="AD115" s="1132">
        <v>1.6173</v>
      </c>
      <c r="AE115" s="1127">
        <v>413044460.00999999</v>
      </c>
      <c r="AF115" s="1078">
        <v>-0.78649999999999998</v>
      </c>
      <c r="AG115" s="1122">
        <v>206103537.18000001</v>
      </c>
      <c r="AH115" s="1124"/>
      <c r="AI115" s="1124"/>
      <c r="AJ115" s="1088">
        <v>1.6855</v>
      </c>
      <c r="AK115" s="1089">
        <v>225480218.63</v>
      </c>
      <c r="AL115" s="1100"/>
      <c r="AM115" s="1085"/>
      <c r="AN115" s="1074">
        <v>0.55269999999999997</v>
      </c>
      <c r="AO115" s="1123">
        <v>1074372902.24</v>
      </c>
      <c r="AP115" s="1091">
        <v>-0.2868</v>
      </c>
      <c r="AQ115" s="1092">
        <v>744716221.60000002</v>
      </c>
      <c r="AR115" s="1074">
        <v>-2.4899999999999999E-2</v>
      </c>
      <c r="AS115" s="1125">
        <v>553437002.42999995</v>
      </c>
      <c r="AT115" s="1094">
        <v>-0.49009999999999998</v>
      </c>
      <c r="AU115" s="1092">
        <v>1073164339.96</v>
      </c>
      <c r="AW115" s="1082"/>
      <c r="AX115" s="1100"/>
      <c r="AY115" s="1085"/>
      <c r="AZ115" s="1100"/>
      <c r="BA115" s="1097"/>
      <c r="BB115" s="1097"/>
      <c r="BC115" s="1097"/>
      <c r="BD115" s="1133">
        <v>-0.30880000000000002</v>
      </c>
      <c r="BE115" s="1134">
        <v>950480712.76999998</v>
      </c>
      <c r="BF115" s="1100"/>
      <c r="BG115" s="1101">
        <f>Index_Returns!B349</f>
        <v>1.3720000000000001</v>
      </c>
      <c r="BH115" s="1102"/>
      <c r="BI115" s="1102"/>
      <c r="BJ115" s="1102"/>
      <c r="BK115" s="1103"/>
      <c r="BL115" s="1104">
        <f t="shared" si="35"/>
        <v>-4.8800000000000177E-2</v>
      </c>
      <c r="BM115" s="1104">
        <f>Index_Returns!D349</f>
        <v>1.1499999999999999</v>
      </c>
      <c r="BN115" s="1104">
        <f t="shared" si="36"/>
        <v>-0.3254999999999999</v>
      </c>
      <c r="BO115" s="1105">
        <f>Index_Returns!C349</f>
        <v>1.5993999999999999</v>
      </c>
      <c r="BP115" s="1106">
        <f t="shared" si="34"/>
        <v>-2.0610999999999997</v>
      </c>
      <c r="BQ115" s="1088">
        <f>Index_Returns!E349</f>
        <v>2.0743</v>
      </c>
      <c r="BR115" s="1102"/>
      <c r="BS115" s="1103"/>
      <c r="BT115" s="1107">
        <f t="shared" si="31"/>
        <v>0.4043000000000001</v>
      </c>
      <c r="BU115" s="1105">
        <f>Index_Returns!F349</f>
        <v>2.0676999999999999</v>
      </c>
      <c r="BV115" s="1105">
        <f t="shared" si="32"/>
        <v>1.6279000000000003</v>
      </c>
      <c r="BW115" s="1105">
        <f t="shared" si="33"/>
        <v>-0.36449999999999982</v>
      </c>
      <c r="BX115" s="1196"/>
      <c r="BY115" s="1088">
        <f>Index_Returns!I349</f>
        <v>1.9892000000000001</v>
      </c>
      <c r="BZ115" s="1088"/>
      <c r="CA115" s="1108">
        <f t="shared" si="30"/>
        <v>-0.30370000000000008</v>
      </c>
      <c r="CB115" s="1109">
        <f>Index_Returns!H349</f>
        <v>1.5915999999999999</v>
      </c>
      <c r="CC115" s="1110">
        <f t="shared" si="38"/>
        <v>2.5700000000000056E-2</v>
      </c>
      <c r="CD115" s="1111">
        <f t="shared" si="39"/>
        <v>-2.3780999999999999</v>
      </c>
      <c r="CE115" s="1112"/>
      <c r="CF115" s="1111"/>
      <c r="CG115" s="1113"/>
      <c r="CI115" s="1114">
        <f>Index_Returns!AA349</f>
        <v>0.43303999999999998</v>
      </c>
      <c r="CJ115" s="1114">
        <f t="shared" si="28"/>
        <v>0.11965999999999999</v>
      </c>
      <c r="CK115" s="1114">
        <f t="shared" si="29"/>
        <v>-0.71984000000000004</v>
      </c>
      <c r="CL115" s="1114">
        <f t="shared" si="41"/>
        <v>-0.45793999999999996</v>
      </c>
      <c r="CM115" s="1115">
        <f>Index_Returns!W349</f>
        <v>-0.40029999999999999</v>
      </c>
      <c r="CN115" s="1116">
        <f t="shared" si="37"/>
        <v>-8.9799999999999991E-2</v>
      </c>
      <c r="CQ115" s="1117"/>
      <c r="CR115" s="1109">
        <v>-0.35089999999999999</v>
      </c>
      <c r="CS115" s="1109"/>
      <c r="CT115" s="1118">
        <v>0.72570000000000012</v>
      </c>
      <c r="CU115" s="1135">
        <f t="shared" si="40"/>
        <v>-1.0345000000000002</v>
      </c>
      <c r="CV115" s="1078"/>
    </row>
    <row r="116" spans="1:100" s="1090" customFormat="1" x14ac:dyDescent="0.2">
      <c r="A116" s="1070">
        <v>38168</v>
      </c>
      <c r="B116" s="1126"/>
      <c r="C116" s="1127"/>
      <c r="D116" s="1128"/>
      <c r="E116" s="1127"/>
      <c r="F116" s="1126"/>
      <c r="G116" s="1127"/>
      <c r="H116" s="1074">
        <v>0.97650000000000003</v>
      </c>
      <c r="I116" s="1121">
        <v>426661818.72000003</v>
      </c>
      <c r="J116" s="1129"/>
      <c r="K116" s="1130"/>
      <c r="L116" s="1078">
        <v>2.1958000000000002</v>
      </c>
      <c r="M116" s="1136">
        <v>789192071.91999996</v>
      </c>
      <c r="N116" s="1137">
        <v>2.2067999999999999</v>
      </c>
      <c r="O116" s="1130">
        <v>260205059.53</v>
      </c>
      <c r="P116" s="1126"/>
      <c r="Q116" s="1123"/>
      <c r="R116" s="1126"/>
      <c r="S116" s="1085"/>
      <c r="T116" s="1078">
        <v>2.3513000000000002</v>
      </c>
      <c r="U116" s="1122">
        <v>267004211.24000001</v>
      </c>
      <c r="V116" s="1083">
        <v>3.1189</v>
      </c>
      <c r="W116" s="1123">
        <v>76503284.069999993</v>
      </c>
      <c r="X116" s="1074">
        <v>1.4470000000000001</v>
      </c>
      <c r="Y116" s="1121">
        <v>84128889.909999996</v>
      </c>
      <c r="Z116" s="1149"/>
      <c r="AA116" s="1121"/>
      <c r="AB116" s="1118"/>
      <c r="AC116" s="1085"/>
      <c r="AD116" s="1132">
        <v>4.2660999999999998</v>
      </c>
      <c r="AE116" s="1085">
        <v>430665229.22000003</v>
      </c>
      <c r="AF116" s="1078">
        <v>5.2873000000000001</v>
      </c>
      <c r="AG116" s="1122">
        <v>217164745.25999999</v>
      </c>
      <c r="AH116" s="1124"/>
      <c r="AI116" s="1124"/>
      <c r="AJ116" s="1088">
        <v>2.96</v>
      </c>
      <c r="AK116" s="1089">
        <v>232495985.19999999</v>
      </c>
      <c r="AM116" s="1085"/>
      <c r="AN116" s="1074">
        <v>2.6560999999999999</v>
      </c>
      <c r="AO116" s="1123">
        <v>1103098769.9200001</v>
      </c>
      <c r="AP116" s="1091">
        <v>0.8206</v>
      </c>
      <c r="AQ116" s="1092">
        <v>751512196.85000002</v>
      </c>
      <c r="AR116" s="1074">
        <v>1.3168</v>
      </c>
      <c r="AS116" s="1125">
        <v>561151617.91999996</v>
      </c>
      <c r="AT116" s="1094">
        <v>0.57969999999999999</v>
      </c>
      <c r="AU116" s="1092">
        <v>1079385555.9200001</v>
      </c>
      <c r="AW116" s="1085"/>
      <c r="AY116" s="1085"/>
      <c r="BA116" s="1097"/>
      <c r="BB116" s="1097"/>
      <c r="BC116" s="1097"/>
      <c r="BD116" s="1133">
        <v>0.77700000000000002</v>
      </c>
      <c r="BE116" s="1134">
        <v>958724891.52999997</v>
      </c>
      <c r="BF116" s="1100"/>
      <c r="BG116" s="1101">
        <f>Index_Returns!B350</f>
        <v>1.944</v>
      </c>
      <c r="BH116" s="1102"/>
      <c r="BI116" s="1102"/>
      <c r="BJ116" s="1102"/>
      <c r="BK116" s="1103"/>
      <c r="BL116" s="1104">
        <f t="shared" si="35"/>
        <v>0.25180000000000025</v>
      </c>
      <c r="BM116" s="1104">
        <f>Index_Returns!D350</f>
        <v>2.17</v>
      </c>
      <c r="BN116" s="1104">
        <f t="shared" si="36"/>
        <v>3.6799999999999944E-2</v>
      </c>
      <c r="BO116" s="1105">
        <f>Index_Returns!C350</f>
        <v>1.7122999999999999</v>
      </c>
      <c r="BP116" s="1106">
        <f t="shared" si="34"/>
        <v>-0.7357999999999999</v>
      </c>
      <c r="BQ116" s="1088">
        <f>Index_Returns!E350</f>
        <v>2.2759999999999998</v>
      </c>
      <c r="BR116" s="1102"/>
      <c r="BS116" s="1103"/>
      <c r="BT116" s="1107">
        <f t="shared" si="31"/>
        <v>7.5300000000000367E-2</v>
      </c>
      <c r="BU116" s="1105">
        <f>Index_Returns!F350</f>
        <v>1.4448000000000001</v>
      </c>
      <c r="BV116" s="1105">
        <f t="shared" si="32"/>
        <v>1.6740999999999999</v>
      </c>
      <c r="BW116" s="1105">
        <f t="shared" si="33"/>
        <v>2.1999999999999797E-3</v>
      </c>
      <c r="BX116" s="1196"/>
      <c r="BY116" s="1088">
        <f>Index_Returns!I350</f>
        <v>3.3273999999999999</v>
      </c>
      <c r="BZ116" s="1088"/>
      <c r="CA116" s="1108">
        <f t="shared" si="30"/>
        <v>-0.36739999999999995</v>
      </c>
      <c r="CB116" s="1109">
        <f>Index_Returns!H350</f>
        <v>4.2114000000000003</v>
      </c>
      <c r="CC116" s="1110">
        <f t="shared" si="38"/>
        <v>5.4699999999999527E-2</v>
      </c>
      <c r="CD116" s="1111">
        <f t="shared" si="39"/>
        <v>1.0758999999999999</v>
      </c>
      <c r="CE116" s="1112"/>
      <c r="CF116" s="1111"/>
      <c r="CG116" s="1113"/>
      <c r="CI116" s="1114">
        <f>Index_Returns!AA350</f>
        <v>2.23169</v>
      </c>
      <c r="CJ116" s="1114">
        <f t="shared" si="28"/>
        <v>0.42440999999999995</v>
      </c>
      <c r="CK116" s="1114">
        <f t="shared" si="29"/>
        <v>-1.41109</v>
      </c>
      <c r="CL116" s="1114">
        <f t="shared" si="41"/>
        <v>-0.91488999999999998</v>
      </c>
      <c r="CM116" s="1115">
        <f>Index_Returns!W350</f>
        <v>0.56520000000000004</v>
      </c>
      <c r="CN116" s="1116">
        <f t="shared" si="37"/>
        <v>1.4499999999999957E-2</v>
      </c>
      <c r="CQ116" s="1117"/>
      <c r="CR116" s="1109">
        <v>0.52800000000000002</v>
      </c>
      <c r="CS116" s="1109"/>
      <c r="CT116" s="1118">
        <v>1.6042480000000001</v>
      </c>
      <c r="CU116" s="1135">
        <f t="shared" si="40"/>
        <v>-0.82724800000000009</v>
      </c>
      <c r="CV116" s="1078"/>
    </row>
    <row r="117" spans="1:100" s="1090" customFormat="1" x14ac:dyDescent="0.2">
      <c r="A117" s="1070">
        <v>38199</v>
      </c>
      <c r="B117" s="1139"/>
      <c r="C117" s="1127"/>
      <c r="D117" s="1128"/>
      <c r="E117" s="1127"/>
      <c r="F117" s="1126"/>
      <c r="G117" s="1127"/>
      <c r="H117" s="1074">
        <v>-5.4476000000000004</v>
      </c>
      <c r="I117" s="1121">
        <v>296611254.97000003</v>
      </c>
      <c r="J117" s="1129"/>
      <c r="K117" s="1130"/>
      <c r="L117" s="1078">
        <v>-3.6265000000000001</v>
      </c>
      <c r="M117" s="1136">
        <v>760572188.96000004</v>
      </c>
      <c r="N117" s="1137">
        <v>-2.3854000000000002</v>
      </c>
      <c r="O117" s="1130">
        <v>253998117.40000001</v>
      </c>
      <c r="P117" s="1126"/>
      <c r="Q117" s="1123"/>
      <c r="R117" s="1126"/>
      <c r="S117" s="1085"/>
      <c r="T117" s="1078">
        <v>-4.1193999999999997</v>
      </c>
      <c r="U117" s="1122">
        <v>256005211.56</v>
      </c>
      <c r="V117" s="1083">
        <v>-7.1872999999999996</v>
      </c>
      <c r="W117" s="1123">
        <v>71004743.900000006</v>
      </c>
      <c r="X117" s="1074">
        <v>-6.359</v>
      </c>
      <c r="Y117" s="1121">
        <v>78779175.260000005</v>
      </c>
      <c r="Z117" s="1149"/>
      <c r="AA117" s="1121"/>
      <c r="AB117" s="1118"/>
      <c r="AC117" s="1085"/>
      <c r="AD117" s="1132">
        <v>-6.6729000000000003</v>
      </c>
      <c r="AE117" s="1085">
        <v>401927452.10000002</v>
      </c>
      <c r="AF117" s="1078">
        <v>-5.8928000000000003</v>
      </c>
      <c r="AG117" s="1122">
        <v>204442781.72</v>
      </c>
      <c r="AH117" s="1124"/>
      <c r="AI117" s="1124"/>
      <c r="AJ117" s="1088"/>
      <c r="AK117" s="1089"/>
      <c r="AM117" s="1085"/>
      <c r="AN117" s="1074">
        <v>-3.7602000000000002</v>
      </c>
      <c r="AO117" s="1123">
        <v>1061528733.17</v>
      </c>
      <c r="AP117" s="1091">
        <v>-3.5285000000000002</v>
      </c>
      <c r="AQ117" s="1092">
        <v>724972627.14999998</v>
      </c>
      <c r="AR117" s="1074">
        <v>-2.9809999999999999</v>
      </c>
      <c r="AS117" s="1125">
        <v>395660040.26999998</v>
      </c>
      <c r="AT117" s="1094">
        <v>1.0222</v>
      </c>
      <c r="AU117" s="1092">
        <v>1090419396.71</v>
      </c>
      <c r="AW117" s="1085"/>
      <c r="AY117" s="1085"/>
      <c r="BA117" s="1097"/>
      <c r="BB117" s="1097"/>
      <c r="BC117" s="1097"/>
      <c r="BD117" s="1133">
        <v>-2.5110999999999999</v>
      </c>
      <c r="BE117" s="1134">
        <v>934650801.49000001</v>
      </c>
      <c r="BF117" s="1100"/>
      <c r="BG117" s="1101">
        <f>Index_Returns!B351</f>
        <v>-3.31</v>
      </c>
      <c r="BH117" s="1102"/>
      <c r="BI117" s="1102"/>
      <c r="BJ117" s="1102"/>
      <c r="BK117" s="1103"/>
      <c r="BL117" s="1104">
        <f t="shared" si="35"/>
        <v>-0.3165</v>
      </c>
      <c r="BM117" s="1104">
        <f>Index_Returns!D351</f>
        <v>-1.9</v>
      </c>
      <c r="BN117" s="1104">
        <f t="shared" si="36"/>
        <v>-0.48540000000000028</v>
      </c>
      <c r="BO117" s="1105">
        <f>Index_Returns!C351</f>
        <v>-4.7263000000000002</v>
      </c>
      <c r="BP117" s="1106">
        <f t="shared" si="34"/>
        <v>-0.72130000000000027</v>
      </c>
      <c r="BQ117" s="1088">
        <f>Index_Returns!E351</f>
        <v>-4.6662999999999997</v>
      </c>
      <c r="BR117" s="1102"/>
      <c r="BS117" s="1103"/>
      <c r="BT117" s="1107">
        <f t="shared" si="31"/>
        <v>0.54689999999999994</v>
      </c>
      <c r="BU117" s="1105">
        <f>Index_Returns!F351</f>
        <v>-4.9828999999999999</v>
      </c>
      <c r="BV117" s="1105">
        <f t="shared" si="32"/>
        <v>-2.2043999999999997</v>
      </c>
      <c r="BW117" s="1105">
        <f t="shared" si="33"/>
        <v>-1.3761000000000001</v>
      </c>
      <c r="BX117" s="1196"/>
      <c r="BY117" s="1088">
        <f>Index_Returns!I351</f>
        <v>-8.9760000000000009</v>
      </c>
      <c r="BZ117" s="1120"/>
      <c r="CA117" s="1140"/>
      <c r="CB117" s="1109">
        <f>Index_Returns!H351</f>
        <v>-6.7332999999999998</v>
      </c>
      <c r="CC117" s="1110">
        <f t="shared" si="38"/>
        <v>6.0399999999999565E-2</v>
      </c>
      <c r="CD117" s="1111">
        <f t="shared" si="39"/>
        <v>0.84049999999999958</v>
      </c>
      <c r="CE117" s="1112"/>
      <c r="CF117" s="1111"/>
      <c r="CG117" s="1113"/>
      <c r="CI117" s="1114">
        <f>Index_Returns!AA351</f>
        <v>-3.2315499999999999</v>
      </c>
      <c r="CJ117" s="1114">
        <f t="shared" ref="CJ117:CJ128" si="42">AN117-CI117</f>
        <v>-0.52865000000000029</v>
      </c>
      <c r="CK117" s="1114">
        <f t="shared" si="29"/>
        <v>-0.29695000000000027</v>
      </c>
      <c r="CL117" s="1114">
        <f t="shared" si="41"/>
        <v>0.25055000000000005</v>
      </c>
      <c r="CM117" s="1115">
        <f>Index_Returns!W351</f>
        <v>0.99119999999999997</v>
      </c>
      <c r="CN117" s="1116">
        <f t="shared" si="37"/>
        <v>3.1000000000000028E-2</v>
      </c>
      <c r="CQ117" s="1117"/>
      <c r="CR117" s="1109">
        <v>0.8679</v>
      </c>
      <c r="CS117" s="1109"/>
      <c r="CT117" s="1118">
        <v>-2.0929520000000004</v>
      </c>
      <c r="CU117" s="1135">
        <f t="shared" si="40"/>
        <v>-0.41814799999999952</v>
      </c>
      <c r="CV117" s="1078"/>
    </row>
    <row r="118" spans="1:100" s="1090" customFormat="1" x14ac:dyDescent="0.2">
      <c r="A118" s="1070">
        <v>38230</v>
      </c>
      <c r="B118" s="1126"/>
      <c r="C118" s="1127"/>
      <c r="D118" s="1128"/>
      <c r="E118" s="1127"/>
      <c r="F118" s="1126"/>
      <c r="G118" s="1127"/>
      <c r="H118" s="1074">
        <v>0.76490000000000002</v>
      </c>
      <c r="I118" s="1121">
        <v>298879992.83999997</v>
      </c>
      <c r="J118" s="1129"/>
      <c r="K118" s="1130"/>
      <c r="L118" s="1078">
        <v>0.68810000000000004</v>
      </c>
      <c r="M118" s="1136">
        <v>765805388.42999995</v>
      </c>
      <c r="N118" s="1137">
        <v>0.25569999999999998</v>
      </c>
      <c r="O118" s="1130">
        <v>254647491.03999999</v>
      </c>
      <c r="P118" s="1126"/>
      <c r="Q118" s="1123"/>
      <c r="R118" s="1141"/>
      <c r="S118" s="1085"/>
      <c r="T118" s="1078">
        <v>1.2012</v>
      </c>
      <c r="U118" s="1122">
        <v>259080431.81999999</v>
      </c>
      <c r="V118" s="1083">
        <v>0.55430000000000001</v>
      </c>
      <c r="W118" s="1123">
        <v>71398321.129999995</v>
      </c>
      <c r="X118" s="1074">
        <v>-2.5813999999999999</v>
      </c>
      <c r="Y118" s="1121">
        <v>76745604.959999993</v>
      </c>
      <c r="Z118" s="1149"/>
      <c r="AA118" s="1121"/>
      <c r="AB118" s="1118"/>
      <c r="AC118" s="1085"/>
      <c r="AD118" s="1132">
        <v>-0.44669999999999999</v>
      </c>
      <c r="AE118" s="1085">
        <v>400132147.77999997</v>
      </c>
      <c r="AF118" s="1078">
        <v>0.74550000000000005</v>
      </c>
      <c r="AG118" s="1122">
        <v>205966874.66999999</v>
      </c>
      <c r="AH118" s="1124"/>
      <c r="AI118" s="1124"/>
      <c r="AJ118" s="1088"/>
      <c r="AK118" s="1089"/>
      <c r="AM118" s="1085"/>
      <c r="AN118" s="1074">
        <v>0.2853</v>
      </c>
      <c r="AO118" s="1123">
        <v>1064545041.45</v>
      </c>
      <c r="AP118" s="1091">
        <v>0.67810000000000004</v>
      </c>
      <c r="AQ118" s="1092">
        <v>729888092.42999995</v>
      </c>
      <c r="AR118" s="1074">
        <v>-3.5700000000000003E-2</v>
      </c>
      <c r="AS118" s="1125">
        <v>334522844.89999998</v>
      </c>
      <c r="AT118" s="1094">
        <v>1.8748</v>
      </c>
      <c r="AU118" s="1092">
        <v>1110862178.5999999</v>
      </c>
      <c r="AW118" s="1085"/>
      <c r="AY118" s="1085"/>
      <c r="BA118" s="1097"/>
      <c r="BB118" s="1097"/>
      <c r="BC118" s="1097"/>
      <c r="BD118" s="1133">
        <v>0.35499999999999998</v>
      </c>
      <c r="BE118" s="1134">
        <v>937968389.80999994</v>
      </c>
      <c r="BF118" s="1100"/>
      <c r="BG118" s="1101">
        <f>Index_Returns!B352</f>
        <v>0.40500000000000003</v>
      </c>
      <c r="BH118" s="1102"/>
      <c r="BI118" s="1102"/>
      <c r="BJ118" s="1102"/>
      <c r="BK118" s="1103"/>
      <c r="BL118" s="1104">
        <f t="shared" si="35"/>
        <v>0.28310000000000002</v>
      </c>
      <c r="BM118" s="1104">
        <f>Index_Returns!D352</f>
        <v>1.08</v>
      </c>
      <c r="BN118" s="1104">
        <f t="shared" si="36"/>
        <v>-0.82430000000000003</v>
      </c>
      <c r="BO118" s="1105">
        <f>Index_Returns!C352</f>
        <v>-0.2893</v>
      </c>
      <c r="BP118" s="1106">
        <f t="shared" si="34"/>
        <v>1.0542</v>
      </c>
      <c r="BQ118" s="1088">
        <f>Index_Returns!E352</f>
        <v>-0.26179999999999998</v>
      </c>
      <c r="BR118" s="1102"/>
      <c r="BS118" s="1109"/>
      <c r="BT118" s="1107">
        <f t="shared" si="31"/>
        <v>1.4630000000000001</v>
      </c>
      <c r="BU118" s="1105">
        <f>Index_Returns!F352</f>
        <v>-1.2422</v>
      </c>
      <c r="BV118" s="1105">
        <f t="shared" si="32"/>
        <v>1.7965</v>
      </c>
      <c r="BW118" s="1105">
        <f t="shared" si="33"/>
        <v>-1.3391999999999999</v>
      </c>
      <c r="BX118" s="1196"/>
      <c r="BY118" s="1088">
        <f>Index_Returns!I352</f>
        <v>-2.1528999999999998</v>
      </c>
      <c r="CA118" s="1117"/>
      <c r="CB118" s="1109">
        <f>Index_Returns!H352</f>
        <v>-0.51400000000000001</v>
      </c>
      <c r="CC118" s="1110">
        <f t="shared" si="38"/>
        <v>6.7300000000000026E-2</v>
      </c>
      <c r="CD118" s="1111">
        <f t="shared" si="39"/>
        <v>1.2595000000000001</v>
      </c>
      <c r="CE118" s="1112"/>
      <c r="CF118" s="1111"/>
      <c r="CG118" s="1113"/>
      <c r="CI118" s="1114">
        <f>Index_Returns!AA352</f>
        <v>0.46428000000000003</v>
      </c>
      <c r="CJ118" s="1114">
        <f t="shared" si="42"/>
        <v>-0.17898000000000003</v>
      </c>
      <c r="CK118" s="1114">
        <f t="shared" si="29"/>
        <v>0.21382000000000001</v>
      </c>
      <c r="CL118" s="1114">
        <f t="shared" si="41"/>
        <v>-0.49998000000000004</v>
      </c>
      <c r="CM118" s="1115">
        <f>Index_Returns!W352</f>
        <v>1.9075</v>
      </c>
      <c r="CN118" s="1116">
        <f t="shared" si="37"/>
        <v>-3.2699999999999951E-2</v>
      </c>
      <c r="CQ118" s="1117"/>
      <c r="CR118" s="1109">
        <v>1.6357999999999999</v>
      </c>
      <c r="CS118" s="1109"/>
      <c r="CT118" s="1118">
        <v>0.83490800000000009</v>
      </c>
      <c r="CU118" s="1135">
        <f t="shared" si="40"/>
        <v>-0.47990800000000011</v>
      </c>
      <c r="CV118" s="1078"/>
    </row>
    <row r="119" spans="1:100" s="1090" customFormat="1" x14ac:dyDescent="0.2">
      <c r="A119" s="1070">
        <v>38260</v>
      </c>
      <c r="B119" s="1126"/>
      <c r="C119" s="1127"/>
      <c r="D119" s="1128"/>
      <c r="E119" s="1127"/>
      <c r="F119" s="1126"/>
      <c r="G119" s="1127"/>
      <c r="H119" s="1074">
        <v>0.59760000000000002</v>
      </c>
      <c r="I119" s="1121">
        <v>300986992.14999998</v>
      </c>
      <c r="J119" s="1129"/>
      <c r="K119" s="1130"/>
      <c r="L119" s="1078">
        <v>1.5470999999999999</v>
      </c>
      <c r="M119" s="1136">
        <v>777889994.11000001</v>
      </c>
      <c r="N119" s="1137">
        <v>2.8856999999999999</v>
      </c>
      <c r="O119" s="1130">
        <v>262140770.66999999</v>
      </c>
      <c r="P119" s="1126"/>
      <c r="Q119" s="1123"/>
      <c r="R119" s="1141"/>
      <c r="S119" s="1085"/>
      <c r="T119" s="1078">
        <v>3.6364999999999998</v>
      </c>
      <c r="U119" s="1122">
        <v>268570028.89999998</v>
      </c>
      <c r="V119" s="1083">
        <v>6.6379000000000001</v>
      </c>
      <c r="W119" s="1123">
        <v>76197113.909999996</v>
      </c>
      <c r="X119" s="1074">
        <v>4.2808999999999999</v>
      </c>
      <c r="Y119" s="1121">
        <v>80183636.900000006</v>
      </c>
      <c r="Z119" s="1149"/>
      <c r="AA119" s="1121"/>
      <c r="AB119" s="1118"/>
      <c r="AC119" s="1085"/>
      <c r="AD119" s="1132">
        <v>4.6589999999999998</v>
      </c>
      <c r="AE119" s="1085">
        <v>418774105.5</v>
      </c>
      <c r="AF119" s="1078">
        <v>2.9102999999999999</v>
      </c>
      <c r="AG119" s="1122">
        <v>212126525.83000001</v>
      </c>
      <c r="AH119" s="1124"/>
      <c r="AI119" s="1124"/>
      <c r="AJ119" s="1095"/>
      <c r="AK119" s="1099"/>
      <c r="AM119" s="1085"/>
      <c r="AN119" s="1074">
        <v>2.0226999999999999</v>
      </c>
      <c r="AO119" s="1123">
        <v>1086304545.8699999</v>
      </c>
      <c r="AP119" s="1091">
        <v>1.8259000000000001</v>
      </c>
      <c r="AQ119" s="1092">
        <v>743884893.74000001</v>
      </c>
      <c r="AR119" s="1074">
        <v>2.1636000000000002</v>
      </c>
      <c r="AS119" s="1125">
        <v>342107690.35000002</v>
      </c>
      <c r="AT119" s="1142"/>
      <c r="AU119" s="1092"/>
      <c r="AW119" s="1085"/>
      <c r="AY119" s="1085"/>
      <c r="BA119" s="1097"/>
      <c r="BB119" s="1097"/>
      <c r="BC119" s="1097"/>
      <c r="BD119" s="1133">
        <v>0.1603</v>
      </c>
      <c r="BE119" s="1134">
        <v>1040500600.85</v>
      </c>
      <c r="BF119" s="1100"/>
      <c r="BG119" s="1101">
        <f>Index_Returns!B353</f>
        <v>1.083</v>
      </c>
      <c r="BH119" s="1102"/>
      <c r="BI119" s="1102"/>
      <c r="BJ119" s="1102"/>
      <c r="BK119" s="1103"/>
      <c r="BL119" s="1104">
        <f t="shared" si="35"/>
        <v>0.46409999999999996</v>
      </c>
      <c r="BM119" s="1104">
        <f>Index_Returns!D353</f>
        <v>1.9</v>
      </c>
      <c r="BN119" s="1104">
        <f t="shared" si="36"/>
        <v>0.98570000000000002</v>
      </c>
      <c r="BO119" s="1105">
        <f>Index_Returns!C353</f>
        <v>0.24</v>
      </c>
      <c r="BP119" s="1106">
        <f t="shared" si="34"/>
        <v>0.35760000000000003</v>
      </c>
      <c r="BQ119" s="1088">
        <f>Index_Returns!E353</f>
        <v>2.9615</v>
      </c>
      <c r="BR119" s="1102"/>
      <c r="BS119" s="1109"/>
      <c r="BT119" s="1107">
        <f t="shared" si="31"/>
        <v>0.67499999999999982</v>
      </c>
      <c r="BU119" s="1105">
        <f>Index_Returns!F353</f>
        <v>2.9182000000000001</v>
      </c>
      <c r="BV119" s="1105">
        <f t="shared" si="32"/>
        <v>3.7197</v>
      </c>
      <c r="BW119" s="1105">
        <f t="shared" si="33"/>
        <v>1.3626999999999998</v>
      </c>
      <c r="BX119" s="1196"/>
      <c r="BY119" s="1088">
        <f>Index_Returns!I353</f>
        <v>5.5294999999999996</v>
      </c>
      <c r="CA119" s="1117"/>
      <c r="CB119" s="1109">
        <f>Index_Returns!H353</f>
        <v>4.6946000000000003</v>
      </c>
      <c r="CC119" s="1110">
        <f t="shared" si="38"/>
        <v>-3.560000000000052E-2</v>
      </c>
      <c r="CD119" s="1111">
        <f t="shared" si="39"/>
        <v>-1.7843000000000004</v>
      </c>
      <c r="CE119" s="1112"/>
      <c r="CF119" s="1111"/>
      <c r="CG119" s="1113"/>
      <c r="CI119" s="1114">
        <f>Index_Returns!AA353</f>
        <v>2.62825</v>
      </c>
      <c r="CJ119" s="1114">
        <f t="shared" si="42"/>
        <v>-0.60555000000000003</v>
      </c>
      <c r="CK119" s="1114">
        <f t="shared" si="29"/>
        <v>-0.8023499999999999</v>
      </c>
      <c r="CL119" s="1114">
        <f t="shared" si="41"/>
        <v>-0.46464999999999979</v>
      </c>
      <c r="CM119" s="1115">
        <f>Index_Returns!W353</f>
        <v>0.27129999999999999</v>
      </c>
      <c r="CN119" s="1109"/>
      <c r="CQ119" s="1117"/>
      <c r="CR119" s="1109">
        <v>0.1658</v>
      </c>
      <c r="CS119" s="1109"/>
      <c r="CT119" s="1118">
        <v>1.1030280000000001</v>
      </c>
      <c r="CU119" s="1135">
        <f t="shared" si="40"/>
        <v>-0.94272800000000012</v>
      </c>
      <c r="CV119" s="1078"/>
    </row>
    <row r="120" spans="1:100" s="1090" customFormat="1" x14ac:dyDescent="0.2">
      <c r="A120" s="1070">
        <v>38291</v>
      </c>
      <c r="B120" s="1126"/>
      <c r="C120" s="1127"/>
      <c r="D120" s="1128"/>
      <c r="E120" s="1127"/>
      <c r="F120" s="1126"/>
      <c r="G120" s="1127"/>
      <c r="H120" s="1074">
        <v>3.0859999999999999</v>
      </c>
      <c r="I120" s="1121">
        <v>310275317.64999998</v>
      </c>
      <c r="J120" s="1129"/>
      <c r="K120" s="1130"/>
      <c r="L120" s="1078">
        <v>1.6304000000000001</v>
      </c>
      <c r="M120" s="1136">
        <v>790572759.42999995</v>
      </c>
      <c r="N120" s="1137">
        <v>1.1394</v>
      </c>
      <c r="O120" s="1130">
        <v>265127544.08000001</v>
      </c>
      <c r="P120" s="1126"/>
      <c r="Q120" s="1123"/>
      <c r="R120" s="1141"/>
      <c r="S120" s="1085"/>
      <c r="T120" s="1078">
        <v>1.7010000000000001</v>
      </c>
      <c r="U120" s="1122">
        <v>273138491.14999998</v>
      </c>
      <c r="V120" s="1083">
        <v>3.3264</v>
      </c>
      <c r="W120" s="1123">
        <v>78731770.650000006</v>
      </c>
      <c r="X120" s="1074">
        <v>2.2521</v>
      </c>
      <c r="Y120" s="1121">
        <v>81989424.670000002</v>
      </c>
      <c r="Z120" s="1149"/>
      <c r="AA120" s="1121"/>
      <c r="AB120" s="1118"/>
      <c r="AC120" s="1085"/>
      <c r="AD120" s="1132">
        <v>1.9756</v>
      </c>
      <c r="AE120" s="1085">
        <v>427047586.58999997</v>
      </c>
      <c r="AF120" s="1078">
        <v>0.32179999999999997</v>
      </c>
      <c r="AG120" s="1122">
        <v>212809095.08000001</v>
      </c>
      <c r="AH120" s="1124"/>
      <c r="AI120" s="1124"/>
      <c r="AJ120" s="1095"/>
      <c r="AK120" s="1099"/>
      <c r="AM120" s="1085"/>
      <c r="AN120" s="1074">
        <v>3.5198999999999998</v>
      </c>
      <c r="AO120" s="1123">
        <v>1124515055.0699999</v>
      </c>
      <c r="AP120" s="1091">
        <v>3.2363666666666671</v>
      </c>
      <c r="AQ120" s="1092">
        <v>768393316.94000006</v>
      </c>
      <c r="AR120" s="1074">
        <v>3.2866</v>
      </c>
      <c r="AS120" s="1125">
        <v>353522497.82999998</v>
      </c>
      <c r="AT120" s="1142"/>
      <c r="AU120" s="1092"/>
      <c r="AW120" s="1085"/>
      <c r="AY120" s="1085"/>
      <c r="BA120" s="1097"/>
      <c r="BB120" s="1097"/>
      <c r="BC120" s="1097"/>
      <c r="BD120" s="1133">
        <v>1.3908</v>
      </c>
      <c r="BE120" s="1134">
        <v>1055021457.73</v>
      </c>
      <c r="BF120" s="1100"/>
      <c r="BG120" s="1101">
        <f>Index_Returns!B354</f>
        <v>1.528</v>
      </c>
      <c r="BH120" s="1102"/>
      <c r="BI120" s="1102"/>
      <c r="BJ120" s="1102"/>
      <c r="BK120" s="1103"/>
      <c r="BL120" s="1104">
        <f t="shared" si="35"/>
        <v>0.10240000000000005</v>
      </c>
      <c r="BM120" s="1104">
        <f>Index_Returns!D354</f>
        <v>1.51</v>
      </c>
      <c r="BN120" s="1104">
        <f t="shared" si="36"/>
        <v>-0.37060000000000004</v>
      </c>
      <c r="BO120" s="1105">
        <f>Index_Returns!C354</f>
        <v>1.5457000000000001</v>
      </c>
      <c r="BP120" s="1106">
        <f t="shared" si="34"/>
        <v>1.5402999999999998</v>
      </c>
      <c r="BQ120" s="1088">
        <f>Index_Returns!E354</f>
        <v>1.5996999999999999</v>
      </c>
      <c r="BR120" s="1102"/>
      <c r="BS120" s="1109"/>
      <c r="BT120" s="1107">
        <f t="shared" si="31"/>
        <v>0.10130000000000017</v>
      </c>
      <c r="BU120" s="1105">
        <f>Index_Returns!F354</f>
        <v>2.4243999999999999</v>
      </c>
      <c r="BV120" s="1105">
        <f t="shared" si="32"/>
        <v>0.90200000000000014</v>
      </c>
      <c r="BW120" s="1105">
        <f t="shared" si="33"/>
        <v>-0.1722999999999999</v>
      </c>
      <c r="BX120" s="1196"/>
      <c r="BY120" s="1088">
        <f>Index_Returns!I354</f>
        <v>2.4298000000000002</v>
      </c>
      <c r="CA120" s="1117"/>
      <c r="CB120" s="1109">
        <f>Index_Returns!H354</f>
        <v>1.9683999999999999</v>
      </c>
      <c r="CC120" s="1110">
        <f t="shared" si="38"/>
        <v>7.2000000000000952E-3</v>
      </c>
      <c r="CD120" s="1111">
        <f t="shared" si="39"/>
        <v>-1.6465999999999998</v>
      </c>
      <c r="CE120" s="1112"/>
      <c r="CF120" s="1111"/>
      <c r="CG120" s="1113"/>
      <c r="CI120" s="1114">
        <f>Index_Returns!AA354</f>
        <v>3.4160400000000002</v>
      </c>
      <c r="CJ120" s="1114">
        <f t="shared" si="42"/>
        <v>0.10385999999999962</v>
      </c>
      <c r="CK120" s="1114">
        <f t="shared" si="29"/>
        <v>-0.17967333333333313</v>
      </c>
      <c r="CL120" s="1114">
        <f t="shared" si="41"/>
        <v>-0.12944000000000022</v>
      </c>
      <c r="CM120" s="1115">
        <f>Index_Returns!W354</f>
        <v>0.83860000000000001</v>
      </c>
      <c r="CN120" s="1109"/>
      <c r="CQ120" s="1117"/>
      <c r="CR120" s="1109">
        <v>0.72929999999999995</v>
      </c>
      <c r="CS120" s="1109"/>
      <c r="CT120" s="1118">
        <v>1.6368800000000001</v>
      </c>
      <c r="CU120" s="1135">
        <f t="shared" si="40"/>
        <v>-0.24608000000000008</v>
      </c>
      <c r="CV120" s="1078"/>
    </row>
    <row r="121" spans="1:100" s="1090" customFormat="1" x14ac:dyDescent="0.2">
      <c r="A121" s="1070">
        <v>38321</v>
      </c>
      <c r="B121" s="1126"/>
      <c r="C121" s="1127"/>
      <c r="D121" s="1128"/>
      <c r="E121" s="1127"/>
      <c r="F121" s="1126"/>
      <c r="G121" s="1127"/>
      <c r="H121" s="1074">
        <v>2.7195</v>
      </c>
      <c r="I121" s="1121">
        <v>318713358.47000003</v>
      </c>
      <c r="J121" s="1129"/>
      <c r="K121" s="1130"/>
      <c r="L121" s="1078">
        <v>4.2586000000000004</v>
      </c>
      <c r="M121" s="1136">
        <v>824239987.65999997</v>
      </c>
      <c r="N121" s="1137">
        <v>5.39</v>
      </c>
      <c r="O121" s="1130">
        <v>279418024.49000001</v>
      </c>
      <c r="P121" s="1126"/>
      <c r="Q121" s="1123"/>
      <c r="R121" s="1141"/>
      <c r="S121" s="1085"/>
      <c r="T121" s="1078">
        <v>6.1454000000000004</v>
      </c>
      <c r="U121" s="1122">
        <v>289923848.81</v>
      </c>
      <c r="V121" s="1083">
        <v>6.0860000000000003</v>
      </c>
      <c r="W121" s="1123">
        <v>83523408.930000007</v>
      </c>
      <c r="X121" s="1074">
        <v>4.5515999999999996</v>
      </c>
      <c r="Y121" s="1121">
        <v>85721267.939999998</v>
      </c>
      <c r="Z121" s="1149"/>
      <c r="AA121" s="1121"/>
      <c r="AB121" s="1118"/>
      <c r="AC121" s="1085"/>
      <c r="AD121" s="1132">
        <v>8.6622000000000003</v>
      </c>
      <c r="AE121" s="1085">
        <v>464039503.18000001</v>
      </c>
      <c r="AF121" s="1078">
        <v>9.4503000000000004</v>
      </c>
      <c r="AG121" s="1122">
        <v>232920261.43000001</v>
      </c>
      <c r="AH121" s="1124"/>
      <c r="AI121" s="1124"/>
      <c r="AJ121" s="1095"/>
      <c r="AK121" s="1099"/>
      <c r="AM121" s="1085"/>
      <c r="AN121" s="1074">
        <v>6.4398</v>
      </c>
      <c r="AO121" s="1123">
        <v>1196918278.55</v>
      </c>
      <c r="AP121" s="1091">
        <v>5.7006666666666668</v>
      </c>
      <c r="AQ121" s="1092">
        <v>812644714.04999995</v>
      </c>
      <c r="AR121" s="1074">
        <v>6.2313000000000001</v>
      </c>
      <c r="AS121" s="1125">
        <v>375728424.11000001</v>
      </c>
      <c r="AT121" s="1142"/>
      <c r="AU121" s="1092"/>
      <c r="AW121" s="1085"/>
      <c r="AY121" s="1085"/>
      <c r="BA121" s="1097"/>
      <c r="BB121" s="1097"/>
      <c r="BC121" s="1097"/>
      <c r="BD121" s="1133">
        <v>3.3243999999999998</v>
      </c>
      <c r="BE121" s="1134">
        <v>1090094602.98</v>
      </c>
      <c r="BF121" s="1100"/>
      <c r="BG121" s="1101">
        <f>Index_Returns!B355</f>
        <v>4.0460000000000003</v>
      </c>
      <c r="BH121" s="1102"/>
      <c r="BI121" s="1102"/>
      <c r="BJ121" s="1102"/>
      <c r="BK121" s="1103"/>
      <c r="BL121" s="1104">
        <f t="shared" si="35"/>
        <v>0.21260000000000012</v>
      </c>
      <c r="BM121" s="1104">
        <f>Index_Returns!D355</f>
        <v>4.8799000000000001</v>
      </c>
      <c r="BN121" s="1104">
        <f t="shared" si="36"/>
        <v>0.51009999999999955</v>
      </c>
      <c r="BO121" s="1105">
        <f>Index_Returns!C355</f>
        <v>3.1642999999999999</v>
      </c>
      <c r="BP121" s="1106">
        <f t="shared" si="34"/>
        <v>-0.44479999999999986</v>
      </c>
      <c r="BQ121" s="1088">
        <f>Index_Returns!E355</f>
        <v>5.9550999999999998</v>
      </c>
      <c r="BR121" s="1102"/>
      <c r="BS121" s="1109"/>
      <c r="BT121" s="1107">
        <f t="shared" si="31"/>
        <v>0.19030000000000058</v>
      </c>
      <c r="BU121" s="1105">
        <f>Index_Returns!F355</f>
        <v>4.7504</v>
      </c>
      <c r="BV121" s="1105">
        <f t="shared" si="32"/>
        <v>1.3356000000000003</v>
      </c>
      <c r="BW121" s="1105">
        <f t="shared" si="33"/>
        <v>-0.19880000000000031</v>
      </c>
      <c r="BX121" s="1196"/>
      <c r="BY121" s="1088">
        <f>Index_Returns!I355</f>
        <v>8.4526000000000003</v>
      </c>
      <c r="CA121" s="1117"/>
      <c r="CB121" s="1109">
        <f>Index_Returns!H355</f>
        <v>8.6738</v>
      </c>
      <c r="CC121" s="1110">
        <f t="shared" si="38"/>
        <v>-1.1599999999999611E-2</v>
      </c>
      <c r="CD121" s="1111">
        <f t="shared" si="39"/>
        <v>0.77650000000000041</v>
      </c>
      <c r="CE121" s="1112"/>
      <c r="CF121" s="1111"/>
      <c r="CG121" s="1113"/>
      <c r="CI121" s="1114">
        <f>Index_Returns!AA355</f>
        <v>6.859</v>
      </c>
      <c r="CJ121" s="1114">
        <f t="shared" si="42"/>
        <v>-0.41920000000000002</v>
      </c>
      <c r="CK121" s="1114">
        <f t="shared" si="29"/>
        <v>-1.1583333333333332</v>
      </c>
      <c r="CL121" s="1114">
        <f t="shared" si="41"/>
        <v>-0.62769999999999992</v>
      </c>
      <c r="CM121" s="1115">
        <f>Index_Returns!W355</f>
        <v>-0.79759999999999998</v>
      </c>
      <c r="CN121" s="1109"/>
      <c r="CQ121" s="1117"/>
      <c r="CR121" s="1109">
        <v>-0.64100000000000001</v>
      </c>
      <c r="CS121" s="1109"/>
      <c r="CT121" s="1118">
        <v>3.1399280000000003</v>
      </c>
      <c r="CU121" s="1135">
        <f t="shared" si="40"/>
        <v>0.18447199999999953</v>
      </c>
      <c r="CV121" s="1078"/>
    </row>
    <row r="122" spans="1:100" s="1090" customFormat="1" x14ac:dyDescent="0.2">
      <c r="A122" s="1070">
        <v>38352</v>
      </c>
      <c r="B122" s="1126"/>
      <c r="C122" s="1127"/>
      <c r="D122" s="1128"/>
      <c r="E122" s="1127"/>
      <c r="F122" s="1126"/>
      <c r="G122" s="1127"/>
      <c r="H122" s="1074">
        <v>4.4969999999999999</v>
      </c>
      <c r="I122" s="1073">
        <v>333361990.38</v>
      </c>
      <c r="J122" s="1129"/>
      <c r="K122" s="1130"/>
      <c r="L122" s="1078">
        <v>2.8740000000000001</v>
      </c>
      <c r="M122" s="1143">
        <v>848164574.96000004</v>
      </c>
      <c r="N122" s="1137">
        <v>3.1490999999999998</v>
      </c>
      <c r="O122" s="1130">
        <v>288363127.69</v>
      </c>
      <c r="P122" s="1126"/>
      <c r="Q122" s="1123"/>
      <c r="R122" s="1141"/>
      <c r="S122" s="1085"/>
      <c r="T122" s="1078">
        <v>3.7395999999999998</v>
      </c>
      <c r="U122" s="1144">
        <v>300834377.22000003</v>
      </c>
      <c r="V122" s="1083">
        <v>3.5548000000000002</v>
      </c>
      <c r="W122" s="1072">
        <v>86550799.349999994</v>
      </c>
      <c r="X122" s="1074">
        <v>3.9357000000000002</v>
      </c>
      <c r="Y122" s="1073">
        <v>89240858.510000005</v>
      </c>
      <c r="Z122" s="1187"/>
      <c r="AA122" s="1073"/>
      <c r="AB122" s="1118"/>
      <c r="AC122" s="1085"/>
      <c r="AD122" s="1132">
        <v>2.9523999999999999</v>
      </c>
      <c r="AE122" s="1085">
        <v>477739730.88</v>
      </c>
      <c r="AF122" s="1078">
        <v>3.0390999999999999</v>
      </c>
      <c r="AG122" s="1144">
        <v>240168370.22</v>
      </c>
      <c r="AH122" s="1145"/>
      <c r="AI122" s="1145"/>
      <c r="AJ122" s="1095"/>
      <c r="AK122" s="1099"/>
      <c r="AM122" s="1085"/>
      <c r="AN122" s="1074">
        <v>3.7799</v>
      </c>
      <c r="AO122" s="1072">
        <v>1198085042.4300001</v>
      </c>
      <c r="AP122" s="1091"/>
      <c r="AQ122" s="1092"/>
      <c r="AR122" s="1074"/>
      <c r="AS122" s="1125"/>
      <c r="AT122" s="1142"/>
      <c r="AU122" s="1092"/>
      <c r="AW122" s="1085"/>
      <c r="AY122" s="1085"/>
      <c r="BA122" s="1097"/>
      <c r="BB122" s="1097"/>
      <c r="BC122" s="1097"/>
      <c r="BD122" s="1133">
        <v>2.5773000000000001</v>
      </c>
      <c r="BE122" s="1146">
        <v>1119113235.9100001</v>
      </c>
      <c r="BF122" s="1100"/>
      <c r="BG122" s="1101">
        <f>Index_Returns!B356</f>
        <v>3.403</v>
      </c>
      <c r="BH122" s="1102"/>
      <c r="BI122" s="1102"/>
      <c r="BJ122" s="1102"/>
      <c r="BK122" s="1103"/>
      <c r="BL122" s="1104">
        <f t="shared" si="35"/>
        <v>-0.52899999999999991</v>
      </c>
      <c r="BM122" s="1104">
        <f>Index_Returns!D356</f>
        <v>3.2578999999999998</v>
      </c>
      <c r="BN122" s="1104">
        <f t="shared" si="36"/>
        <v>-0.10880000000000001</v>
      </c>
      <c r="BO122" s="1105">
        <f>Index_Returns!C356</f>
        <v>3.5777999999999999</v>
      </c>
      <c r="BP122" s="1106">
        <f t="shared" si="34"/>
        <v>0.91920000000000002</v>
      </c>
      <c r="BQ122" s="1088">
        <f>Index_Returns!E356</f>
        <v>4.1871999999999998</v>
      </c>
      <c r="BR122" s="1102"/>
      <c r="BS122" s="1109"/>
      <c r="BT122" s="1107">
        <f t="shared" si="31"/>
        <v>-0.4476</v>
      </c>
      <c r="BU122" s="1105">
        <f>Index_Returns!F356</f>
        <v>4.4340000000000002</v>
      </c>
      <c r="BV122" s="1105">
        <f t="shared" si="32"/>
        <v>-0.87919999999999998</v>
      </c>
      <c r="BW122" s="1105">
        <f t="shared" si="33"/>
        <v>-0.49829999999999997</v>
      </c>
      <c r="BX122" s="1196"/>
      <c r="BY122" s="1088">
        <f>Index_Returns!I356</f>
        <v>3.5941000000000001</v>
      </c>
      <c r="CA122" s="1117"/>
      <c r="CB122" s="1109">
        <f>Index_Returns!H356</f>
        <v>2.96</v>
      </c>
      <c r="CC122" s="1110">
        <f t="shared" si="38"/>
        <v>-7.6000000000000512E-3</v>
      </c>
      <c r="CD122" s="1111">
        <f t="shared" si="39"/>
        <v>7.9099999999999948E-2</v>
      </c>
      <c r="CE122" s="1112"/>
      <c r="CF122" s="1111"/>
      <c r="CG122" s="1113"/>
      <c r="CI122" s="1114">
        <f>Index_Returns!AA356</f>
        <v>4.3916700000000004</v>
      </c>
      <c r="CJ122" s="1114">
        <f t="shared" si="42"/>
        <v>-0.61177000000000037</v>
      </c>
      <c r="CK122" s="1114"/>
      <c r="CL122" s="1114"/>
      <c r="CM122" s="1115">
        <f>Index_Returns!W356</f>
        <v>0.92010000000000003</v>
      </c>
      <c r="CN122" s="1109"/>
      <c r="CQ122" s="1117"/>
      <c r="CR122" s="1109">
        <v>0.69299999999999995</v>
      </c>
      <c r="CS122" s="1109"/>
      <c r="CT122" s="1118">
        <v>2.8659240000000001</v>
      </c>
      <c r="CU122" s="1135">
        <f t="shared" si="40"/>
        <v>-0.28862399999999999</v>
      </c>
      <c r="CV122" s="1078"/>
    </row>
    <row r="123" spans="1:100" s="1090" customFormat="1" x14ac:dyDescent="0.2">
      <c r="A123" s="1070">
        <v>38383</v>
      </c>
      <c r="B123" s="1126"/>
      <c r="C123" s="1127"/>
      <c r="D123" s="1128"/>
      <c r="E123" s="1127"/>
      <c r="F123" s="1126"/>
      <c r="G123" s="1127"/>
      <c r="H123" s="1074">
        <v>-3.6166999999999998</v>
      </c>
      <c r="I123" s="1121">
        <v>321305396.63999999</v>
      </c>
      <c r="J123" s="1129"/>
      <c r="K123" s="1130"/>
      <c r="L123" s="1078">
        <v>-1.5972</v>
      </c>
      <c r="M123" s="1136">
        <v>834618011.65999997</v>
      </c>
      <c r="N123" s="1137">
        <v>-1.0031000000000001</v>
      </c>
      <c r="O123" s="1130">
        <v>285470446.87</v>
      </c>
      <c r="P123" s="1126"/>
      <c r="Q123" s="1123"/>
      <c r="R123" s="1141"/>
      <c r="S123" s="1085"/>
      <c r="T123" s="1078">
        <v>-2.5526</v>
      </c>
      <c r="U123" s="1122">
        <v>293155150.52999997</v>
      </c>
      <c r="V123" s="1083">
        <v>-4.3337000000000003</v>
      </c>
      <c r="W123" s="1123">
        <v>82799989.189999998</v>
      </c>
      <c r="X123" s="1074">
        <v>-2.2949999999999999</v>
      </c>
      <c r="Y123" s="1121">
        <v>87192788.939999998</v>
      </c>
      <c r="Z123" s="1149"/>
      <c r="AA123" s="1121"/>
      <c r="AB123" s="1118"/>
      <c r="AC123" s="1085"/>
      <c r="AD123" s="1132">
        <v>-4.1489000000000003</v>
      </c>
      <c r="AE123" s="1085">
        <v>457918572.94999999</v>
      </c>
      <c r="AF123" s="1078">
        <v>-3.3988</v>
      </c>
      <c r="AG123" s="1122">
        <v>232005475.03</v>
      </c>
      <c r="AH123" s="1147">
        <v>-3.0333000000000001</v>
      </c>
      <c r="AI123" s="1124">
        <v>120801715.29000001</v>
      </c>
      <c r="AJ123" s="1095"/>
      <c r="AK123" s="1099"/>
      <c r="AM123" s="1085"/>
      <c r="AN123" s="1074">
        <v>-1.5986</v>
      </c>
      <c r="AO123" s="1123">
        <v>1178925519.05</v>
      </c>
      <c r="AP123" s="1091"/>
      <c r="AQ123" s="1092"/>
      <c r="AR123" s="1074"/>
      <c r="AS123" s="1125"/>
      <c r="AT123" s="1142"/>
      <c r="AU123" s="1092"/>
      <c r="AW123" s="1085"/>
      <c r="AY123" s="1085"/>
      <c r="BA123" s="1097"/>
      <c r="BB123" s="1097"/>
      <c r="BC123" s="1097"/>
      <c r="BD123" s="1133">
        <v>-1.1294</v>
      </c>
      <c r="BE123" s="1134">
        <v>1106473580.1900001</v>
      </c>
      <c r="BF123" s="1100"/>
      <c r="BG123" s="1101">
        <f>Index_Returns!B357</f>
        <v>-2.4369999999999998</v>
      </c>
      <c r="BH123" s="1102"/>
      <c r="BI123" s="1102"/>
      <c r="BJ123" s="1102"/>
      <c r="BK123" s="1103"/>
      <c r="BL123" s="1104">
        <f t="shared" si="35"/>
        <v>0.83979999999999988</v>
      </c>
      <c r="BM123" s="1104">
        <f>Index_Returns!D357</f>
        <v>-2.4296000000000002</v>
      </c>
      <c r="BN123" s="1104">
        <f t="shared" si="36"/>
        <v>1.4265000000000001</v>
      </c>
      <c r="BO123" s="1105">
        <f>Index_Returns!C357</f>
        <v>-2.4453</v>
      </c>
      <c r="BP123" s="1106">
        <f t="shared" si="34"/>
        <v>-1.1713999999999998</v>
      </c>
      <c r="BQ123" s="1088">
        <f>Index_Returns!E357</f>
        <v>-2.5524</v>
      </c>
      <c r="BR123" s="1102"/>
      <c r="BS123" s="1109"/>
      <c r="BT123" s="1107">
        <f t="shared" si="31"/>
        <v>-1.9999999999997797E-4</v>
      </c>
      <c r="BU123" s="1105">
        <f>Index_Returns!F357</f>
        <v>-2.3336999999999999</v>
      </c>
      <c r="BV123" s="1105">
        <f t="shared" si="32"/>
        <v>-2.0000000000000004</v>
      </c>
      <c r="BW123" s="1105">
        <f t="shared" si="33"/>
        <v>3.8699999999999957E-2</v>
      </c>
      <c r="BX123" s="1196"/>
      <c r="BY123" s="1088">
        <f>Index_Returns!I357</f>
        <v>-4.5049999999999999</v>
      </c>
      <c r="BZ123" s="1148">
        <f t="shared" ref="BZ123:BZ147" si="43">AH123-BY123</f>
        <v>1.4716999999999998</v>
      </c>
      <c r="CA123" s="1117"/>
      <c r="CB123" s="1109">
        <f>Index_Returns!H357</f>
        <v>-4.1722999999999999</v>
      </c>
      <c r="CC123" s="1110">
        <f t="shared" si="38"/>
        <v>2.3399999999999643E-2</v>
      </c>
      <c r="CD123" s="1111">
        <f t="shared" si="39"/>
        <v>0.77349999999999985</v>
      </c>
      <c r="CE123" s="1112"/>
      <c r="CF123" s="1111"/>
      <c r="CG123" s="1113"/>
      <c r="CI123" s="1114">
        <f>Index_Returns!AA357</f>
        <v>-1.82728</v>
      </c>
      <c r="CJ123" s="1114">
        <f t="shared" si="42"/>
        <v>0.22867999999999999</v>
      </c>
      <c r="CK123" s="1114"/>
      <c r="CL123" s="1114"/>
      <c r="CM123" s="1115">
        <f>Index_Returns!W357</f>
        <v>0.62790000000000001</v>
      </c>
      <c r="CN123" s="1109"/>
      <c r="CQ123" s="1117"/>
      <c r="CR123" s="1109">
        <v>0.34329999999999999</v>
      </c>
      <c r="CS123" s="1109"/>
      <c r="CT123" s="1118">
        <v>-1.4815560000000001</v>
      </c>
      <c r="CU123" s="1135">
        <f t="shared" si="40"/>
        <v>0.35215600000000014</v>
      </c>
      <c r="CV123" s="1078"/>
    </row>
    <row r="124" spans="1:100" s="1090" customFormat="1" x14ac:dyDescent="0.2">
      <c r="A124" s="1070">
        <v>38411</v>
      </c>
      <c r="B124" s="1126"/>
      <c r="C124" s="1127"/>
      <c r="D124" s="1128"/>
      <c r="E124" s="1127"/>
      <c r="F124" s="1126"/>
      <c r="G124" s="1127"/>
      <c r="H124" s="1074">
        <v>-1.5337000000000001</v>
      </c>
      <c r="I124" s="1121">
        <v>316377482.98000002</v>
      </c>
      <c r="J124" s="1129"/>
      <c r="K124" s="1130"/>
      <c r="L124" s="1078">
        <v>2.9289999999999998</v>
      </c>
      <c r="M124" s="1136">
        <v>859063576.47000003</v>
      </c>
      <c r="N124" s="1137">
        <v>3.3919999999999999</v>
      </c>
      <c r="O124" s="1130">
        <v>295153627.19</v>
      </c>
      <c r="P124" s="1126"/>
      <c r="Q124" s="1123"/>
      <c r="R124" s="1141"/>
      <c r="S124" s="1085"/>
      <c r="T124" s="1078">
        <v>3.2044000000000001</v>
      </c>
      <c r="U124" s="1122">
        <v>302549155.13</v>
      </c>
      <c r="V124" s="1083">
        <v>1.2907</v>
      </c>
      <c r="W124" s="1123">
        <v>83868684.849999994</v>
      </c>
      <c r="X124" s="1074">
        <v>1.2690999999999999</v>
      </c>
      <c r="Y124" s="1121">
        <v>88299359.849999994</v>
      </c>
      <c r="Z124" s="1149"/>
      <c r="AA124" s="1121"/>
      <c r="AB124" s="1118"/>
      <c r="AC124" s="1085"/>
      <c r="AD124" s="1132">
        <v>1.7473000000000001</v>
      </c>
      <c r="AE124" s="1085">
        <v>465919847.19</v>
      </c>
      <c r="AF124" s="1078">
        <v>1.9890000000000001</v>
      </c>
      <c r="AG124" s="1122">
        <v>236620010.09</v>
      </c>
      <c r="AH124" s="1147">
        <v>3.7281</v>
      </c>
      <c r="AI124" s="1124">
        <v>125305328.13</v>
      </c>
      <c r="AJ124" s="1095"/>
      <c r="AK124" s="1099"/>
      <c r="AM124" s="1085"/>
      <c r="AN124" s="1074">
        <v>4.0334000000000003</v>
      </c>
      <c r="AO124" s="1123">
        <v>1164114401.23</v>
      </c>
      <c r="AP124" s="1091"/>
      <c r="AQ124" s="1092"/>
      <c r="AR124" s="1074"/>
      <c r="AS124" s="1125"/>
      <c r="AT124" s="1149"/>
      <c r="AU124" s="1123"/>
      <c r="AW124" s="1085"/>
      <c r="AY124" s="1085"/>
      <c r="BA124" s="1097"/>
      <c r="BB124" s="1097"/>
      <c r="BC124" s="1097"/>
      <c r="BD124" s="1133">
        <v>1.7074</v>
      </c>
      <c r="BE124" s="1134">
        <v>1125366053.6600001</v>
      </c>
      <c r="BF124" s="1100"/>
      <c r="BG124" s="1101">
        <f>Index_Returns!B358</f>
        <v>2.1040000000000001</v>
      </c>
      <c r="BH124" s="1102"/>
      <c r="BI124" s="1102"/>
      <c r="BJ124" s="1102"/>
      <c r="BK124" s="1103"/>
      <c r="BL124" s="1104">
        <f t="shared" si="35"/>
        <v>0.82499999999999973</v>
      </c>
      <c r="BM124" s="1104">
        <f>Index_Returns!D358</f>
        <v>1.8104</v>
      </c>
      <c r="BN124" s="1104">
        <f t="shared" si="36"/>
        <v>1.5815999999999999</v>
      </c>
      <c r="BO124" s="1105">
        <f>Index_Returns!C358</f>
        <v>2.4</v>
      </c>
      <c r="BP124" s="1106">
        <f t="shared" si="34"/>
        <v>-3.9337</v>
      </c>
      <c r="BQ124" s="1088">
        <f>Index_Returns!E358</f>
        <v>3.3546</v>
      </c>
      <c r="BR124" s="1102"/>
      <c r="BS124" s="1109"/>
      <c r="BT124" s="1107">
        <f t="shared" si="31"/>
        <v>-0.15019999999999989</v>
      </c>
      <c r="BU124" s="1105">
        <f>Index_Returns!F358</f>
        <v>3.5853999999999999</v>
      </c>
      <c r="BV124" s="1105">
        <f t="shared" si="32"/>
        <v>-2.2946999999999997</v>
      </c>
      <c r="BW124" s="1105">
        <f t="shared" si="33"/>
        <v>-2.3163</v>
      </c>
      <c r="BX124" s="1196"/>
      <c r="BY124" s="1088">
        <f>Index_Returns!I358</f>
        <v>1.3725000000000001</v>
      </c>
      <c r="BZ124" s="1148">
        <f t="shared" si="43"/>
        <v>2.3555999999999999</v>
      </c>
      <c r="CA124" s="1117"/>
      <c r="CB124" s="1109">
        <f>Index_Returns!H358</f>
        <v>1.6938</v>
      </c>
      <c r="CC124" s="1110">
        <f t="shared" si="38"/>
        <v>5.3500000000000103E-2</v>
      </c>
      <c r="CD124" s="1111">
        <f t="shared" si="39"/>
        <v>0.29520000000000013</v>
      </c>
      <c r="CE124" s="1112"/>
      <c r="CF124" s="1111"/>
      <c r="CG124" s="1113"/>
      <c r="CI124" s="1114">
        <f>Index_Returns!AA358</f>
        <v>4.3437099999999997</v>
      </c>
      <c r="CJ124" s="1114">
        <f t="shared" si="42"/>
        <v>-0.31030999999999942</v>
      </c>
      <c r="CK124" s="1114"/>
      <c r="CL124" s="1114"/>
      <c r="CM124" s="1115">
        <f>Index_Returns!W358</f>
        <v>-0.59030000000000005</v>
      </c>
      <c r="CN124" s="1109"/>
      <c r="CQ124" s="1117"/>
      <c r="CR124" s="1109">
        <v>-0.51870000000000005</v>
      </c>
      <c r="CS124" s="1109"/>
      <c r="CT124" s="1118">
        <v>1.7081720000000002</v>
      </c>
      <c r="CU124" s="1135">
        <f t="shared" si="40"/>
        <v>-7.7200000000021696E-4</v>
      </c>
      <c r="CV124" s="1078"/>
    </row>
    <row r="125" spans="1:100" s="1090" customFormat="1" x14ac:dyDescent="0.2">
      <c r="A125" s="1070">
        <v>38442</v>
      </c>
      <c r="B125" s="1126"/>
      <c r="C125" s="1127"/>
      <c r="D125" s="1128"/>
      <c r="E125" s="1127"/>
      <c r="F125" s="1126"/>
      <c r="G125" s="1127"/>
      <c r="H125" s="1074">
        <v>-1.6760999999999999</v>
      </c>
      <c r="I125" s="1121">
        <v>312337133.36000001</v>
      </c>
      <c r="J125" s="1129"/>
      <c r="K125" s="1130"/>
      <c r="L125" s="1078">
        <v>-2.3955000000000002</v>
      </c>
      <c r="M125" s="1143">
        <v>838728861.02999997</v>
      </c>
      <c r="N125" s="1137">
        <v>-2.3714</v>
      </c>
      <c r="O125" s="1130">
        <v>288308986.58999997</v>
      </c>
      <c r="P125" s="1126"/>
      <c r="Q125" s="1123"/>
      <c r="R125" s="1141"/>
      <c r="S125" s="1085"/>
      <c r="T125" s="1078">
        <v>-1.3794999999999999</v>
      </c>
      <c r="U125" s="1144">
        <v>298450273.06</v>
      </c>
      <c r="V125" s="1083">
        <v>-1.8683000000000001</v>
      </c>
      <c r="W125" s="1072">
        <v>82366043.400000006</v>
      </c>
      <c r="X125" s="1074">
        <v>-1.5275000000000001</v>
      </c>
      <c r="Y125" s="1073">
        <v>87106770.969999999</v>
      </c>
      <c r="Z125" s="1187"/>
      <c r="AA125" s="1073"/>
      <c r="AB125" s="1118"/>
      <c r="AC125" s="1085"/>
      <c r="AD125" s="1132">
        <v>-2.8102999999999998</v>
      </c>
      <c r="AE125" s="1085">
        <v>452826135.13999999</v>
      </c>
      <c r="AF125" s="1078">
        <v>-1.9153</v>
      </c>
      <c r="AG125" s="1144">
        <v>232266333.27000001</v>
      </c>
      <c r="AH125" s="1150">
        <v>-3.8875000000000002</v>
      </c>
      <c r="AI125" s="1145">
        <v>120434063.18000001</v>
      </c>
      <c r="AJ125" s="1095"/>
      <c r="AK125" s="1099"/>
      <c r="AM125" s="1085"/>
      <c r="AN125" s="1074">
        <v>-2.1678999999999999</v>
      </c>
      <c r="AO125" s="1072">
        <v>1139134244.21</v>
      </c>
      <c r="AP125" s="1091"/>
      <c r="AQ125" s="1092"/>
      <c r="AR125" s="1074"/>
      <c r="AS125" s="1125"/>
      <c r="AT125" s="1149"/>
      <c r="AU125" s="1123"/>
      <c r="AW125" s="1085"/>
      <c r="AY125" s="1085"/>
      <c r="BA125" s="1097"/>
      <c r="BB125" s="1097"/>
      <c r="BC125" s="1097"/>
      <c r="BD125" s="1133">
        <v>-1.5214000000000001</v>
      </c>
      <c r="BE125" s="1146">
        <v>1108286838.71</v>
      </c>
      <c r="BF125" s="1100"/>
      <c r="BG125" s="1101">
        <f>Index_Returns!B359</f>
        <v>-1.7709999999999999</v>
      </c>
      <c r="BH125" s="1102"/>
      <c r="BI125" s="1102"/>
      <c r="BJ125" s="1102"/>
      <c r="BK125" s="1103"/>
      <c r="BL125" s="1104">
        <f t="shared" si="35"/>
        <v>-0.62450000000000028</v>
      </c>
      <c r="BM125" s="1104">
        <f>Index_Returns!D359</f>
        <v>-1.778</v>
      </c>
      <c r="BN125" s="1104">
        <f t="shared" si="36"/>
        <v>-0.59339999999999993</v>
      </c>
      <c r="BO125" s="1105">
        <f>Index_Returns!C359</f>
        <v>-1.7596000000000001</v>
      </c>
      <c r="BP125" s="1106">
        <f t="shared" si="34"/>
        <v>8.350000000000013E-2</v>
      </c>
      <c r="BQ125" s="1088">
        <f>Index_Returns!E359</f>
        <v>-1.107</v>
      </c>
      <c r="BR125" s="1102"/>
      <c r="BS125" s="1109"/>
      <c r="BT125" s="1107">
        <f t="shared" ref="BT125:BT157" si="44">T125-BQ125</f>
        <v>-0.27249999999999996</v>
      </c>
      <c r="BU125" s="1105">
        <f>Index_Returns!F359</f>
        <v>-1.2430000000000001</v>
      </c>
      <c r="BV125" s="1105">
        <f t="shared" si="32"/>
        <v>-0.62529999999999997</v>
      </c>
      <c r="BW125" s="1105">
        <f t="shared" si="33"/>
        <v>-0.28449999999999998</v>
      </c>
      <c r="BX125" s="1196"/>
      <c r="BY125" s="1088">
        <f>Index_Returns!I359</f>
        <v>-3.7509000000000001</v>
      </c>
      <c r="BZ125" s="1148">
        <f t="shared" si="43"/>
        <v>-0.13660000000000005</v>
      </c>
      <c r="CA125" s="1117"/>
      <c r="CB125" s="1109">
        <f>Index_Returns!H359</f>
        <v>-2.8626999999999998</v>
      </c>
      <c r="CC125" s="1110">
        <f t="shared" si="38"/>
        <v>5.2400000000000002E-2</v>
      </c>
      <c r="CD125" s="1111">
        <f t="shared" si="39"/>
        <v>0.9473999999999998</v>
      </c>
      <c r="CE125" s="1112"/>
      <c r="CF125" s="1111"/>
      <c r="CG125" s="1113"/>
      <c r="CI125" s="1114">
        <f>Index_Returns!AA359</f>
        <v>-2.4735</v>
      </c>
      <c r="CJ125" s="1114">
        <f t="shared" si="42"/>
        <v>0.30560000000000009</v>
      </c>
      <c r="CK125" s="1114"/>
      <c r="CL125" s="1114"/>
      <c r="CM125" s="1115">
        <f>Index_Returns!W359</f>
        <v>-0.51359999999999995</v>
      </c>
      <c r="CN125" s="1109"/>
      <c r="CQ125" s="1117"/>
      <c r="CR125" s="1109">
        <v>-0.38279999999999997</v>
      </c>
      <c r="CS125" s="1109"/>
      <c r="CT125" s="1118">
        <v>-1.5312160000000001</v>
      </c>
      <c r="CU125" s="1135">
        <f t="shared" si="40"/>
        <v>9.8160000000000469E-3</v>
      </c>
      <c r="CV125" s="1078"/>
    </row>
    <row r="126" spans="1:100" s="1090" customFormat="1" x14ac:dyDescent="0.2">
      <c r="A126" s="1070">
        <v>38472</v>
      </c>
      <c r="B126" s="1126"/>
      <c r="C126" s="1127"/>
      <c r="D126" s="1128"/>
      <c r="E126" s="1127"/>
      <c r="F126" s="1126"/>
      <c r="G126" s="1127"/>
      <c r="H126" s="1074">
        <v>-2.0158666666666698</v>
      </c>
      <c r="I126" s="1121">
        <v>306147538.80000001</v>
      </c>
      <c r="J126" s="1129"/>
      <c r="K126" s="1130"/>
      <c r="L126" s="1078">
        <v>-2.6110000000000002</v>
      </c>
      <c r="M126" s="1143">
        <v>816829778.45000005</v>
      </c>
      <c r="N126" s="1137">
        <v>-1.7829999999999999</v>
      </c>
      <c r="O126" s="1130">
        <v>283168421.31</v>
      </c>
      <c r="P126" s="1126"/>
      <c r="Q126" s="1123"/>
      <c r="R126" s="1141"/>
      <c r="S126" s="1085"/>
      <c r="T126" s="1078">
        <v>-4.5928000000000004</v>
      </c>
      <c r="U126" s="1144">
        <v>284743080.81999999</v>
      </c>
      <c r="V126" s="1083">
        <v>-6.2960000000000003</v>
      </c>
      <c r="W126" s="1072">
        <v>77180243.420000002</v>
      </c>
      <c r="X126" s="1074">
        <v>-4.5944000000000003</v>
      </c>
      <c r="Y126" s="1073">
        <v>83104742.230000004</v>
      </c>
      <c r="Z126" s="1187"/>
      <c r="AA126" s="1073"/>
      <c r="AB126" s="1118"/>
      <c r="AC126" s="1085"/>
      <c r="AD126" s="1132">
        <v>-5.6978</v>
      </c>
      <c r="AE126" s="1085">
        <v>427024940.05000001</v>
      </c>
      <c r="AF126" s="1078">
        <v>-5.7287999999999997</v>
      </c>
      <c r="AG126" s="1144">
        <v>218960228.41</v>
      </c>
      <c r="AH126" s="1150">
        <v>-6.6577999999999999</v>
      </c>
      <c r="AI126" s="1145">
        <v>112415764.45</v>
      </c>
      <c r="AJ126" s="1095"/>
      <c r="AK126" s="1099"/>
      <c r="AM126" s="1085"/>
      <c r="AN126" s="1074">
        <v>-2.206</v>
      </c>
      <c r="AO126" s="1072">
        <v>1068105935.4299999</v>
      </c>
      <c r="AP126" s="1091"/>
      <c r="AQ126" s="1092"/>
      <c r="AR126" s="1074"/>
      <c r="AS126" s="1125"/>
      <c r="AT126" s="1149"/>
      <c r="AU126" s="1123"/>
      <c r="AW126" s="1085"/>
      <c r="AY126" s="1085"/>
      <c r="BA126" s="1097"/>
      <c r="BB126" s="1097"/>
      <c r="BC126" s="1097"/>
      <c r="BD126" s="1133">
        <v>-0.67969999999999997</v>
      </c>
      <c r="BE126" s="1146">
        <v>1100753427.4300001</v>
      </c>
      <c r="BF126" s="1100"/>
      <c r="BG126" s="1101">
        <f>Index_Returns!B360</f>
        <v>-1.897</v>
      </c>
      <c r="BH126" s="1102"/>
      <c r="BI126" s="1102"/>
      <c r="BJ126" s="1102"/>
      <c r="BK126" s="1103"/>
      <c r="BL126" s="1104">
        <f t="shared" si="35"/>
        <v>-0.71400000000000019</v>
      </c>
      <c r="BM126" s="1104">
        <f>Index_Returns!D360</f>
        <v>-2.0424000000000002</v>
      </c>
      <c r="BN126" s="1104">
        <f t="shared" si="36"/>
        <v>0.2594000000000003</v>
      </c>
      <c r="BO126" s="1105">
        <f>Index_Returns!C360</f>
        <v>-1.7481</v>
      </c>
      <c r="BP126" s="1106">
        <f t="shared" si="34"/>
        <v>-0.26776666666666982</v>
      </c>
      <c r="BQ126" s="1088">
        <f>Index_Returns!E360</f>
        <v>-3.8864999999999998</v>
      </c>
      <c r="BR126" s="1102"/>
      <c r="BS126" s="1109"/>
      <c r="BT126" s="1107">
        <f t="shared" si="44"/>
        <v>-0.70630000000000059</v>
      </c>
      <c r="BU126" s="1105">
        <f>Index_Returns!F360</f>
        <v>-4.0286</v>
      </c>
      <c r="BV126" s="1105">
        <f t="shared" si="32"/>
        <v>-2.2674000000000003</v>
      </c>
      <c r="BW126" s="1105">
        <f t="shared" si="33"/>
        <v>-0.5658000000000003</v>
      </c>
      <c r="BX126" s="1196"/>
      <c r="BY126" s="1088">
        <f>Index_Returns!I360</f>
        <v>-6.3643999999999998</v>
      </c>
      <c r="BZ126" s="1148">
        <f t="shared" si="43"/>
        <v>-0.29340000000000011</v>
      </c>
      <c r="CA126" s="1117"/>
      <c r="CB126" s="1109">
        <f>Index_Returns!H360</f>
        <v>-5.7268999999999997</v>
      </c>
      <c r="CC126" s="1110">
        <f t="shared" si="38"/>
        <v>2.9099999999999682E-2</v>
      </c>
      <c r="CD126" s="1111">
        <f t="shared" si="39"/>
        <v>-1.9000000000000128E-3</v>
      </c>
      <c r="CE126" s="1112"/>
      <c r="CF126" s="1111"/>
      <c r="CG126" s="1113"/>
      <c r="CI126" s="1114">
        <f>Index_Returns!AA360</f>
        <v>-2.23834</v>
      </c>
      <c r="CJ126" s="1114">
        <f t="shared" si="42"/>
        <v>3.2340000000000035E-2</v>
      </c>
      <c r="CK126" s="1114"/>
      <c r="CL126" s="1114"/>
      <c r="CM126" s="1115">
        <f>Index_Returns!W360</f>
        <v>1.3533999999999999</v>
      </c>
      <c r="CN126" s="1109"/>
      <c r="CQ126" s="1117"/>
      <c r="CR126" s="1109">
        <v>1.1373</v>
      </c>
      <c r="CS126" s="1109"/>
      <c r="CT126" s="1118">
        <v>-1.0412160000000001</v>
      </c>
      <c r="CU126" s="1135">
        <f t="shared" si="40"/>
        <v>0.36151600000000017</v>
      </c>
      <c r="CV126" s="1078"/>
    </row>
    <row r="127" spans="1:100" s="1090" customFormat="1" x14ac:dyDescent="0.2">
      <c r="A127" s="1070">
        <v>38503</v>
      </c>
      <c r="B127" s="1126"/>
      <c r="C127" s="1127"/>
      <c r="D127" s="1128"/>
      <c r="E127" s="1127"/>
      <c r="F127" s="1126"/>
      <c r="G127" s="1127"/>
      <c r="H127" s="1074"/>
      <c r="I127" s="1151"/>
      <c r="J127" s="1129"/>
      <c r="K127" s="1130"/>
      <c r="L127" s="1078">
        <v>3.7191000000000001</v>
      </c>
      <c r="M127" s="1143">
        <v>847208206.47000003</v>
      </c>
      <c r="N127" s="1137">
        <v>3.9258999999999999</v>
      </c>
      <c r="O127" s="1130">
        <v>294285214.10000002</v>
      </c>
      <c r="P127" s="1126"/>
      <c r="Q127" s="1123"/>
      <c r="R127" s="1141"/>
      <c r="S127" s="1085"/>
      <c r="T127" s="1078">
        <v>6.0952999999999999</v>
      </c>
      <c r="U127" s="1144">
        <v>302099049.5</v>
      </c>
      <c r="V127" s="1083">
        <v>6.5133999999999999</v>
      </c>
      <c r="W127" s="1072">
        <v>82207318.670000002</v>
      </c>
      <c r="X127" s="1074">
        <v>5.2</v>
      </c>
      <c r="Y127" s="1073">
        <v>87426190.700000003</v>
      </c>
      <c r="Z127" s="1187"/>
      <c r="AA127" s="1073"/>
      <c r="AB127" s="1118"/>
      <c r="AC127" s="1085"/>
      <c r="AD127" s="1132">
        <v>6.5495999999999999</v>
      </c>
      <c r="AE127" s="1085">
        <v>454993349.70999998</v>
      </c>
      <c r="AF127" s="1078">
        <v>5.2813999999999997</v>
      </c>
      <c r="AG127" s="1144">
        <v>230524391.80000001</v>
      </c>
      <c r="AH127" s="1150">
        <v>6.0576999999999996</v>
      </c>
      <c r="AI127" s="1145">
        <v>119225623.04000001</v>
      </c>
      <c r="AJ127" s="1095"/>
      <c r="AK127" s="1099"/>
      <c r="AM127" s="1085"/>
      <c r="AN127" s="1074">
        <v>-9.2299999999999993E-2</v>
      </c>
      <c r="AO127" s="1072">
        <v>1067119784.14</v>
      </c>
      <c r="AP127" s="1091"/>
      <c r="AQ127" s="1092"/>
      <c r="AR127" s="1074"/>
      <c r="AS127" s="1125"/>
      <c r="AT127" s="1149"/>
      <c r="AU127" s="1123"/>
      <c r="AW127" s="1085"/>
      <c r="AY127" s="1085"/>
      <c r="BA127" s="1097"/>
      <c r="BB127" s="1097"/>
      <c r="BC127" s="1097"/>
      <c r="BD127" s="1133">
        <v>2.831</v>
      </c>
      <c r="BE127" s="1146">
        <v>1131916259.4000001</v>
      </c>
      <c r="BF127" s="1100"/>
      <c r="BG127" s="1101">
        <f>Index_Returns!B361</f>
        <v>3.1819999999999999</v>
      </c>
      <c r="BH127" s="1102"/>
      <c r="BI127" s="1102"/>
      <c r="BJ127" s="1102"/>
      <c r="BK127" s="1103"/>
      <c r="BL127" s="1104">
        <f t="shared" si="35"/>
        <v>0.53710000000000013</v>
      </c>
      <c r="BM127" s="1104">
        <f>Index_Returns!D361</f>
        <v>3.1654</v>
      </c>
      <c r="BN127" s="1104">
        <f t="shared" si="36"/>
        <v>0.76049999999999995</v>
      </c>
      <c r="BO127" s="1105"/>
      <c r="BP127" s="1106"/>
      <c r="BQ127" s="1088">
        <f>Index_Returns!E361</f>
        <v>6.0223000000000004</v>
      </c>
      <c r="BR127" s="1102"/>
      <c r="BS127" s="1109"/>
      <c r="BT127" s="1107">
        <f t="shared" si="44"/>
        <v>7.299999999999951E-2</v>
      </c>
      <c r="BU127" s="1105">
        <f>Index_Returns!F361</f>
        <v>6.0938999999999997</v>
      </c>
      <c r="BV127" s="1105">
        <f t="shared" si="32"/>
        <v>0.41950000000000021</v>
      </c>
      <c r="BW127" s="1105">
        <f t="shared" si="33"/>
        <v>-0.89389999999999947</v>
      </c>
      <c r="BX127" s="1196"/>
      <c r="BY127" s="1088">
        <f>Index_Returns!I361</f>
        <v>7.0507</v>
      </c>
      <c r="BZ127" s="1148">
        <f t="shared" si="43"/>
        <v>-0.99300000000000033</v>
      </c>
      <c r="CA127" s="1117"/>
      <c r="CB127" s="1109">
        <f>Index_Returns!H361</f>
        <v>6.5450999999999997</v>
      </c>
      <c r="CC127" s="1110">
        <f t="shared" si="38"/>
        <v>4.5000000000001705E-3</v>
      </c>
      <c r="CD127" s="1111">
        <f t="shared" si="39"/>
        <v>-1.2637</v>
      </c>
      <c r="CE127" s="1112"/>
      <c r="CF127" s="1111"/>
      <c r="CG127" s="1113"/>
      <c r="CI127" s="1114">
        <f>Index_Returns!AA361</f>
        <v>0.15298</v>
      </c>
      <c r="CJ127" s="1114">
        <f t="shared" si="42"/>
        <v>-0.24528</v>
      </c>
      <c r="CK127" s="1114"/>
      <c r="CL127" s="1114"/>
      <c r="CM127" s="1115">
        <f>Index_Returns!W361</f>
        <v>1.0819000000000001</v>
      </c>
      <c r="CN127" s="1109"/>
      <c r="CQ127" s="1117"/>
      <c r="CR127" s="1109">
        <v>0.86060000000000003</v>
      </c>
      <c r="CS127" s="1109"/>
      <c r="CT127" s="1118">
        <v>2.1092200000000001</v>
      </c>
      <c r="CU127" s="1135">
        <f t="shared" si="40"/>
        <v>0.72177999999999987</v>
      </c>
      <c r="CV127" s="1078"/>
    </row>
    <row r="128" spans="1:100" s="1090" customFormat="1" x14ac:dyDescent="0.2">
      <c r="A128" s="1070">
        <v>38533</v>
      </c>
      <c r="B128" s="1126"/>
      <c r="C128" s="1127"/>
      <c r="D128" s="1128"/>
      <c r="E128" s="1127"/>
      <c r="F128" s="1126"/>
      <c r="G128" s="1127"/>
      <c r="H128" s="1152"/>
      <c r="I128" s="1151"/>
      <c r="J128" s="1129"/>
      <c r="K128" s="1130"/>
      <c r="L128" s="1078">
        <v>0.27889999999999998</v>
      </c>
      <c r="M128" s="1143">
        <v>849818510.42999995</v>
      </c>
      <c r="N128" s="1137">
        <v>1.3974</v>
      </c>
      <c r="O128" s="1130">
        <v>298555500.24000001</v>
      </c>
      <c r="P128" s="1126"/>
      <c r="Q128" s="1123"/>
      <c r="R128" s="1141"/>
      <c r="S128" s="1085"/>
      <c r="T128" s="1078">
        <v>2.8650000000000002</v>
      </c>
      <c r="U128" s="1144">
        <v>310830036.76999998</v>
      </c>
      <c r="V128" s="1083">
        <v>3.2948</v>
      </c>
      <c r="W128" s="1072">
        <v>84978733.670000002</v>
      </c>
      <c r="X128" s="1074">
        <v>2.0834999999999999</v>
      </c>
      <c r="Y128" s="1072">
        <v>89403509.079999998</v>
      </c>
      <c r="Z128" s="1193"/>
      <c r="AA128" s="1073"/>
      <c r="AB128" s="1118"/>
      <c r="AC128" s="1085"/>
      <c r="AD128" s="1132">
        <v>3.8744999999999998</v>
      </c>
      <c r="AE128" s="1085">
        <v>472622279.38</v>
      </c>
      <c r="AF128" s="1078">
        <v>3.0861999999999998</v>
      </c>
      <c r="AG128" s="1144">
        <v>237815984.53999999</v>
      </c>
      <c r="AH128" s="1150">
        <v>3.9247999999999998</v>
      </c>
      <c r="AI128" s="1145">
        <v>124124507.83</v>
      </c>
      <c r="AJ128" s="1095"/>
      <c r="AK128" s="1099"/>
      <c r="AM128" s="1085"/>
      <c r="AN128" s="1074">
        <v>1.1376999999999999</v>
      </c>
      <c r="AO128" s="1072">
        <v>1079418467.0999999</v>
      </c>
      <c r="AP128" s="1091"/>
      <c r="AQ128" s="1092"/>
      <c r="AR128" s="1074"/>
      <c r="AS128" s="1125"/>
      <c r="AT128" s="1149"/>
      <c r="AU128" s="1123"/>
      <c r="AW128" s="1085"/>
      <c r="AY128" s="1085"/>
      <c r="BA128" s="1097"/>
      <c r="BB128" s="1097"/>
      <c r="BC128" s="1097"/>
      <c r="BD128" s="1133">
        <v>0.71809999999999996</v>
      </c>
      <c r="BE128" s="1146">
        <v>1141060767.5</v>
      </c>
      <c r="BF128" s="1100"/>
      <c r="BG128" s="1101">
        <f>Index_Returns!B362</f>
        <v>0.14199999999999999</v>
      </c>
      <c r="BH128" s="1102"/>
      <c r="BI128" s="1102"/>
      <c r="BJ128" s="1102"/>
      <c r="BK128" s="1103"/>
      <c r="BL128" s="1104">
        <f t="shared" si="35"/>
        <v>0.13689999999999999</v>
      </c>
      <c r="BM128" s="1104">
        <f>Index_Returns!D362</f>
        <v>1.5094000000000001</v>
      </c>
      <c r="BN128" s="1104">
        <f t="shared" si="36"/>
        <v>-0.1120000000000001</v>
      </c>
      <c r="BO128" s="1105"/>
      <c r="BP128" s="1106"/>
      <c r="BQ128" s="1088">
        <f>Index_Returns!E362</f>
        <v>2.3184</v>
      </c>
      <c r="BR128" s="1102"/>
      <c r="BS128" s="1109"/>
      <c r="BT128" s="1107">
        <f t="shared" si="44"/>
        <v>0.5466000000000002</v>
      </c>
      <c r="BU128" s="1105">
        <f>Index_Returns!F362</f>
        <v>1.8078000000000001</v>
      </c>
      <c r="BV128" s="1105">
        <f t="shared" si="32"/>
        <v>1.4869999999999999</v>
      </c>
      <c r="BW128" s="1105">
        <f t="shared" si="33"/>
        <v>0.27569999999999983</v>
      </c>
      <c r="BX128" s="1196"/>
      <c r="BY128" s="1088">
        <f>Index_Returns!I362</f>
        <v>3.2332999999999998</v>
      </c>
      <c r="BZ128" s="1148">
        <f t="shared" si="43"/>
        <v>0.6915</v>
      </c>
      <c r="CA128" s="1117"/>
      <c r="CB128" s="1109">
        <f>Index_Returns!H362</f>
        <v>3.8571</v>
      </c>
      <c r="CC128" s="1110">
        <f t="shared" si="38"/>
        <v>1.739999999999986E-2</v>
      </c>
      <c r="CD128" s="1111">
        <f t="shared" si="39"/>
        <v>-0.77090000000000014</v>
      </c>
      <c r="CE128" s="1112"/>
      <c r="CF128" s="1111"/>
      <c r="CG128" s="1113"/>
      <c r="CI128" s="1114">
        <f>Index_Returns!AA362</f>
        <v>1.3669199999999999</v>
      </c>
      <c r="CJ128" s="1114">
        <f t="shared" si="42"/>
        <v>-0.22921999999999998</v>
      </c>
      <c r="CK128" s="1114"/>
      <c r="CL128" s="1114"/>
      <c r="CM128" s="1115">
        <f>Index_Returns!W362</f>
        <v>0.54530000000000001</v>
      </c>
      <c r="CN128" s="1109"/>
      <c r="CQ128" s="1117"/>
      <c r="CR128" s="1109">
        <v>0.40229999999999999</v>
      </c>
      <c r="CS128" s="1109"/>
      <c r="CT128" s="1118">
        <v>0.45085200000000003</v>
      </c>
      <c r="CU128" s="1135">
        <f t="shared" si="40"/>
        <v>0.26724799999999993</v>
      </c>
      <c r="CV128" s="1078"/>
    </row>
    <row r="129" spans="1:100" s="1090" customFormat="1" x14ac:dyDescent="0.2">
      <c r="A129" s="1070">
        <v>38564</v>
      </c>
      <c r="B129" s="1126"/>
      <c r="C129" s="1127"/>
      <c r="D129" s="1128"/>
      <c r="E129" s="1127"/>
      <c r="F129" s="1126"/>
      <c r="G129" s="1127"/>
      <c r="H129" s="1074"/>
      <c r="I129" s="1151"/>
      <c r="J129" s="1129"/>
      <c r="K129" s="1130"/>
      <c r="L129" s="1078">
        <v>3.3384999999999998</v>
      </c>
      <c r="M129" s="1143">
        <v>878189383.50999999</v>
      </c>
      <c r="N129" s="1137">
        <v>3.8492000000000002</v>
      </c>
      <c r="O129" s="1130">
        <v>310047455.19</v>
      </c>
      <c r="P129" s="1126"/>
      <c r="Q129" s="1123"/>
      <c r="R129" s="1141"/>
      <c r="S129" s="1085"/>
      <c r="T129" s="1078">
        <v>4.6653000000000002</v>
      </c>
      <c r="U129" s="1144">
        <v>325331102.24000001</v>
      </c>
      <c r="V129" s="1083">
        <v>5.4718</v>
      </c>
      <c r="W129" s="1123">
        <v>89649823.489999995</v>
      </c>
      <c r="X129" s="1074">
        <v>5.4441666666666704</v>
      </c>
      <c r="Y129" s="1123">
        <v>94322920.769999996</v>
      </c>
      <c r="Z129" s="1125"/>
      <c r="AA129" s="1121"/>
      <c r="AB129" s="1118"/>
      <c r="AC129" s="1085"/>
      <c r="AD129" s="1132">
        <v>6.3940000000000001</v>
      </c>
      <c r="AE129" s="1085">
        <v>502841580.49000001</v>
      </c>
      <c r="AF129" s="1078">
        <v>5.4626999999999999</v>
      </c>
      <c r="AG129" s="1144">
        <v>250807117.59</v>
      </c>
      <c r="AH129" s="1150">
        <v>4.2447999999999997</v>
      </c>
      <c r="AI129" s="1145">
        <v>129393361.79000001</v>
      </c>
      <c r="AJ129" s="1095"/>
      <c r="AK129" s="1099"/>
      <c r="AM129" s="1085"/>
      <c r="AN129" s="1097"/>
      <c r="AO129" s="1085"/>
      <c r="AP129" s="1091"/>
      <c r="AQ129" s="1092"/>
      <c r="AR129" s="1074"/>
      <c r="AS129" s="1125"/>
      <c r="AT129" s="1149"/>
      <c r="AU129" s="1123"/>
      <c r="AW129" s="1085"/>
      <c r="AY129" s="1085"/>
      <c r="BA129" s="1097"/>
      <c r="BB129" s="1097"/>
      <c r="BC129" s="1097"/>
      <c r="BD129" s="1133">
        <v>3.0859000000000001</v>
      </c>
      <c r="BE129" s="1146">
        <v>1176273025.53</v>
      </c>
      <c r="BF129" s="1100"/>
      <c r="BG129" s="1101">
        <f>Index_Returns!B363</f>
        <v>3.7189999999999999</v>
      </c>
      <c r="BH129" s="1102"/>
      <c r="BI129" s="1102"/>
      <c r="BJ129" s="1102"/>
      <c r="BK129" s="1103"/>
      <c r="BL129" s="1104">
        <f t="shared" si="35"/>
        <v>-0.38050000000000006</v>
      </c>
      <c r="BM129" s="1104">
        <f>Index_Returns!D363</f>
        <v>3.1516000000000002</v>
      </c>
      <c r="BN129" s="1104">
        <f t="shared" si="36"/>
        <v>0.6976</v>
      </c>
      <c r="BO129" s="1103"/>
      <c r="BP129" s="1153"/>
      <c r="BQ129" s="1088">
        <f>Index_Returns!E363</f>
        <v>5.2523999999999997</v>
      </c>
      <c r="BR129" s="1102"/>
      <c r="BS129" s="1109"/>
      <c r="BT129" s="1107">
        <f t="shared" si="44"/>
        <v>-0.58709999999999951</v>
      </c>
      <c r="BU129" s="1105">
        <f>Index_Returns!F363</f>
        <v>4.8963000000000001</v>
      </c>
      <c r="BV129" s="1105">
        <f t="shared" si="32"/>
        <v>0.5754999999999999</v>
      </c>
      <c r="BW129" s="1105">
        <f t="shared" si="33"/>
        <v>0.54786666666667028</v>
      </c>
      <c r="BX129" s="1196"/>
      <c r="BY129" s="1088">
        <f>Index_Returns!I363</f>
        <v>6.9898999999999996</v>
      </c>
      <c r="BZ129" s="1148">
        <f t="shared" si="43"/>
        <v>-2.7450999999999999</v>
      </c>
      <c r="CA129" s="1117"/>
      <c r="CB129" s="1109">
        <f>Index_Returns!H363</f>
        <v>6.3356000000000003</v>
      </c>
      <c r="CC129" s="1110">
        <f t="shared" si="38"/>
        <v>5.8399999999999785E-2</v>
      </c>
      <c r="CD129" s="1111">
        <f t="shared" si="39"/>
        <v>-0.87290000000000045</v>
      </c>
      <c r="CE129" s="1112"/>
      <c r="CF129" s="1111"/>
      <c r="CG129" s="1113"/>
      <c r="CI129" s="1114"/>
      <c r="CJ129" s="1114"/>
      <c r="CK129" s="1114"/>
      <c r="CL129" s="1114"/>
      <c r="CM129" s="1115">
        <f>Index_Returns!W363</f>
        <v>-0.9103</v>
      </c>
      <c r="CN129" s="1109"/>
      <c r="CQ129" s="1117"/>
      <c r="CR129" s="1109">
        <v>-0.71399999999999997</v>
      </c>
      <c r="CS129" s="1109"/>
      <c r="CT129" s="1118">
        <v>2.319204</v>
      </c>
      <c r="CU129" s="1135">
        <f t="shared" si="40"/>
        <v>0.76669600000000004</v>
      </c>
      <c r="CV129" s="1078"/>
    </row>
    <row r="130" spans="1:100" s="1090" customFormat="1" x14ac:dyDescent="0.2">
      <c r="A130" s="1070">
        <v>38595</v>
      </c>
      <c r="B130" s="1126"/>
      <c r="C130" s="1127"/>
      <c r="D130" s="1128"/>
      <c r="E130" s="1127"/>
      <c r="F130" s="1126"/>
      <c r="G130" s="1127"/>
      <c r="H130" s="1074"/>
      <c r="I130" s="1151"/>
      <c r="J130" s="1129"/>
      <c r="K130" s="1130"/>
      <c r="L130" s="1078">
        <v>-1.04</v>
      </c>
      <c r="M130" s="1143">
        <v>869055882.29999995</v>
      </c>
      <c r="N130" s="1137">
        <v>0.75160000000000005</v>
      </c>
      <c r="O130" s="1130">
        <v>312377746.52999997</v>
      </c>
      <c r="P130" s="1126"/>
      <c r="Q130" s="1123"/>
      <c r="R130" s="1141"/>
      <c r="S130" s="1085"/>
      <c r="T130" s="1078">
        <v>-1.5486</v>
      </c>
      <c r="U130" s="1144">
        <v>320293039.63</v>
      </c>
      <c r="V130" s="1097"/>
      <c r="W130" s="1085"/>
      <c r="X130" s="1097"/>
      <c r="Y130" s="1085"/>
      <c r="Z130" s="1097"/>
      <c r="AA130" s="1097"/>
      <c r="AB130" s="1118"/>
      <c r="AC130" s="1085"/>
      <c r="AD130" s="1132">
        <v>-1.8045</v>
      </c>
      <c r="AE130" s="1085">
        <v>493767715.42000002</v>
      </c>
      <c r="AF130" s="1078">
        <v>-2.1717</v>
      </c>
      <c r="AG130" s="1144">
        <v>245360250.36000001</v>
      </c>
      <c r="AH130" s="1150">
        <v>-2.2928000000000002</v>
      </c>
      <c r="AI130" s="1145">
        <v>126426666.69</v>
      </c>
      <c r="AJ130" s="1095"/>
      <c r="AK130" s="1099"/>
      <c r="AM130" s="1085"/>
      <c r="AN130" s="1097"/>
      <c r="AO130" s="1085"/>
      <c r="AP130" s="1091"/>
      <c r="AQ130" s="1092"/>
      <c r="AR130" s="1074"/>
      <c r="AS130" s="1125"/>
      <c r="AT130" s="1149"/>
      <c r="AU130" s="1123"/>
      <c r="AW130" s="1085"/>
      <c r="AY130" s="1085"/>
      <c r="BA130" s="1097"/>
      <c r="BB130" s="1097"/>
      <c r="BC130" s="1097"/>
      <c r="BD130" s="1133">
        <v>-0.42499999999999999</v>
      </c>
      <c r="BE130" s="1146">
        <v>1171274145.4300001</v>
      </c>
      <c r="BF130" s="1100"/>
      <c r="BG130" s="1101">
        <f>Index_Returns!B364</f>
        <v>-0.91241000000000005</v>
      </c>
      <c r="BH130" s="1102"/>
      <c r="BI130" s="1102"/>
      <c r="BJ130" s="1102"/>
      <c r="BK130" s="1103"/>
      <c r="BL130" s="1104">
        <f t="shared" si="35"/>
        <v>-0.12758999999999998</v>
      </c>
      <c r="BM130" s="1104">
        <f>Index_Returns!D364</f>
        <v>-0.75049999999999994</v>
      </c>
      <c r="BN130" s="1104">
        <f t="shared" si="36"/>
        <v>1.5021</v>
      </c>
      <c r="BO130" s="1103"/>
      <c r="BP130" s="1153"/>
      <c r="BQ130" s="1088">
        <f>Index_Returns!E364</f>
        <v>-1.1146</v>
      </c>
      <c r="BR130" s="1102"/>
      <c r="BS130" s="1109"/>
      <c r="BT130" s="1107">
        <f t="shared" si="44"/>
        <v>-0.43399999999999994</v>
      </c>
      <c r="BU130" s="1105">
        <f>Index_Returns!F364</f>
        <v>-1.0983000000000001</v>
      </c>
      <c r="BV130" s="1109"/>
      <c r="BW130" s="1109"/>
      <c r="BX130" s="1197"/>
      <c r="BY130" s="1088">
        <f>Index_Returns!I364</f>
        <v>-1.4091</v>
      </c>
      <c r="BZ130" s="1148">
        <f t="shared" si="43"/>
        <v>-0.88370000000000015</v>
      </c>
      <c r="CA130" s="1117"/>
      <c r="CB130" s="1109">
        <f>Index_Returns!H364</f>
        <v>-1.8541000000000001</v>
      </c>
      <c r="CC130" s="1110">
        <f t="shared" si="38"/>
        <v>4.9600000000000088E-2</v>
      </c>
      <c r="CD130" s="1111">
        <f t="shared" si="39"/>
        <v>-0.31759999999999988</v>
      </c>
      <c r="CE130" s="1112"/>
      <c r="CF130" s="1111"/>
      <c r="CG130" s="1113"/>
      <c r="CI130" s="1114"/>
      <c r="CJ130" s="1114"/>
      <c r="CK130" s="1114"/>
      <c r="CL130" s="1114"/>
      <c r="CM130" s="1115">
        <f>Index_Returns!W364</f>
        <v>1.282</v>
      </c>
      <c r="CN130" s="1109"/>
      <c r="CQ130" s="1117"/>
      <c r="CR130" s="1109">
        <v>1.0723</v>
      </c>
      <c r="CS130" s="1109"/>
      <c r="CT130" s="1118">
        <v>0.25692799999999999</v>
      </c>
      <c r="CU130" s="1135">
        <f t="shared" si="40"/>
        <v>-0.68192799999999998</v>
      </c>
      <c r="CV130" s="1078"/>
    </row>
    <row r="131" spans="1:100" s="1090" customFormat="1" x14ac:dyDescent="0.2">
      <c r="A131" s="1070">
        <v>38625</v>
      </c>
      <c r="B131" s="1126"/>
      <c r="C131" s="1127"/>
      <c r="D131" s="1128"/>
      <c r="E131" s="1127"/>
      <c r="F131" s="1126"/>
      <c r="G131" s="1127"/>
      <c r="H131" s="1074"/>
      <c r="I131" s="1151"/>
      <c r="J131" s="1129"/>
      <c r="K131" s="1130"/>
      <c r="L131" s="1078">
        <v>0.75539999999999996</v>
      </c>
      <c r="M131" s="1143">
        <v>875869524.46000004</v>
      </c>
      <c r="N131" s="1137">
        <v>1.6258999999999999</v>
      </c>
      <c r="O131" s="1130">
        <v>317619734.20999998</v>
      </c>
      <c r="P131" s="1126"/>
      <c r="Q131" s="1123"/>
      <c r="R131" s="1141"/>
      <c r="S131" s="1085"/>
      <c r="T131" s="1078">
        <v>-0.86050000000000004</v>
      </c>
      <c r="U131" s="1144">
        <v>317614272.16000003</v>
      </c>
      <c r="V131" s="1154"/>
      <c r="W131" s="1085"/>
      <c r="X131" s="1154"/>
      <c r="Y131" s="1085"/>
      <c r="Z131" s="1154"/>
      <c r="AA131" s="1097"/>
      <c r="AB131" s="1118"/>
      <c r="AC131" s="1085"/>
      <c r="AD131" s="1132">
        <v>0.34060000000000001</v>
      </c>
      <c r="AE131" s="1085">
        <v>495449448.60000002</v>
      </c>
      <c r="AF131" s="1078">
        <v>-2.4582999999999999</v>
      </c>
      <c r="AG131" s="1144">
        <v>239504533.75</v>
      </c>
      <c r="AH131" s="1150">
        <v>1.1384000000000001</v>
      </c>
      <c r="AI131" s="1145">
        <v>128087804.75</v>
      </c>
      <c r="AJ131" s="1095"/>
      <c r="AK131" s="1099"/>
      <c r="AM131" s="1085"/>
      <c r="AN131" s="1097"/>
      <c r="AO131" s="1085"/>
      <c r="AP131" s="1091"/>
      <c r="AQ131" s="1092"/>
      <c r="AR131" s="1074"/>
      <c r="AS131" s="1125"/>
      <c r="AT131" s="1149"/>
      <c r="AU131" s="1123"/>
      <c r="AW131" s="1085"/>
      <c r="AY131" s="1085"/>
      <c r="BA131" s="1097"/>
      <c r="BB131" s="1097"/>
      <c r="BC131" s="1097"/>
      <c r="BD131" s="1133">
        <v>1.7924</v>
      </c>
      <c r="BE131" s="1146">
        <v>1193321204.0999999</v>
      </c>
      <c r="BF131" s="1100"/>
      <c r="BG131" s="1101">
        <f>Index_Returns!B365</f>
        <v>0.81</v>
      </c>
      <c r="BH131" s="1102"/>
      <c r="BI131" s="1102"/>
      <c r="BJ131" s="1102"/>
      <c r="BK131" s="1103"/>
      <c r="BL131" s="1104">
        <f t="shared" si="35"/>
        <v>-5.4600000000000093E-2</v>
      </c>
      <c r="BM131" s="1104">
        <f>Index_Returns!D365</f>
        <v>1.0378000000000001</v>
      </c>
      <c r="BN131" s="1104">
        <f t="shared" si="36"/>
        <v>0.58809999999999985</v>
      </c>
      <c r="BO131" s="1103"/>
      <c r="BP131" s="1153"/>
      <c r="BQ131" s="1088">
        <f>Index_Returns!E365</f>
        <v>0.76880000000000004</v>
      </c>
      <c r="BR131" s="1102"/>
      <c r="BS131" s="1109"/>
      <c r="BT131" s="1107">
        <f t="shared" si="44"/>
        <v>-1.6293000000000002</v>
      </c>
      <c r="BU131" s="1105">
        <f>Index_Returns!F365</f>
        <v>0.61009999999999998</v>
      </c>
      <c r="BV131" s="1109"/>
      <c r="BW131" s="1109"/>
      <c r="BX131" s="1197"/>
      <c r="BY131" s="1088">
        <f>Index_Returns!I365</f>
        <v>0.79239999999999999</v>
      </c>
      <c r="BZ131" s="1148">
        <f t="shared" si="43"/>
        <v>0.34600000000000009</v>
      </c>
      <c r="CA131" s="1117"/>
      <c r="CB131" s="1109">
        <f>Index_Returns!H365</f>
        <v>0.31369999999999998</v>
      </c>
      <c r="CC131" s="1110">
        <f t="shared" si="38"/>
        <v>2.6900000000000035E-2</v>
      </c>
      <c r="CD131" s="1111">
        <f t="shared" si="39"/>
        <v>-2.7719999999999998</v>
      </c>
      <c r="CE131" s="1112"/>
      <c r="CF131" s="1111"/>
      <c r="CG131" s="1113"/>
      <c r="CI131" s="1114"/>
      <c r="CJ131" s="1114"/>
      <c r="CK131" s="1114"/>
      <c r="CL131" s="1114"/>
      <c r="CM131" s="1115">
        <f>Index_Returns!W365</f>
        <v>-1.0301</v>
      </c>
      <c r="CN131" s="1109"/>
      <c r="CQ131" s="1117"/>
      <c r="CR131" s="1109">
        <v>-0.73599999999999999</v>
      </c>
      <c r="CS131" s="1109"/>
      <c r="CT131" s="1118">
        <v>0.88095600000000007</v>
      </c>
      <c r="CU131" s="1135">
        <f t="shared" si="40"/>
        <v>0.91144399999999992</v>
      </c>
      <c r="CV131" s="1078"/>
    </row>
    <row r="132" spans="1:100" s="1090" customFormat="1" x14ac:dyDescent="0.2">
      <c r="A132" s="1070">
        <v>38656</v>
      </c>
      <c r="B132" s="1126"/>
      <c r="C132" s="1127"/>
      <c r="D132" s="1128"/>
      <c r="E132" s="1127"/>
      <c r="F132" s="1126"/>
      <c r="G132" s="1127"/>
      <c r="H132" s="1074"/>
      <c r="I132" s="1151"/>
      <c r="J132" s="1129"/>
      <c r="K132" s="1130"/>
      <c r="L132" s="1078">
        <v>-1.5673999999999999</v>
      </c>
      <c r="M132" s="1143">
        <v>862140896.77999997</v>
      </c>
      <c r="N132" s="1137">
        <v>-2.3161999999999998</v>
      </c>
      <c r="O132" s="1130">
        <v>310263156.08999997</v>
      </c>
      <c r="P132" s="1126"/>
      <c r="Q132" s="1123"/>
      <c r="R132" s="1141"/>
      <c r="S132" s="1085"/>
      <c r="T132" s="1078">
        <v>-2.5381</v>
      </c>
      <c r="U132" s="1144">
        <v>309552850.13999999</v>
      </c>
      <c r="V132" s="1097"/>
      <c r="W132" s="1085"/>
      <c r="X132" s="1097"/>
      <c r="Y132" s="1085"/>
      <c r="Z132" s="1155"/>
      <c r="AA132" s="1097"/>
      <c r="AB132" s="1118"/>
      <c r="AC132" s="1085"/>
      <c r="AD132" s="1132">
        <v>-3.1313</v>
      </c>
      <c r="AE132" s="1085">
        <v>479935636.63999999</v>
      </c>
      <c r="AF132" s="1078">
        <v>-3.3148</v>
      </c>
      <c r="AG132" s="1144">
        <v>231565378.22999999</v>
      </c>
      <c r="AH132" s="1150">
        <v>-3.6962000000000002</v>
      </c>
      <c r="AI132" s="1145">
        <v>123353440.44</v>
      </c>
      <c r="AJ132" s="1095"/>
      <c r="AK132" s="1099"/>
      <c r="AM132" s="1085"/>
      <c r="AN132" s="1097"/>
      <c r="AO132" s="1085"/>
      <c r="AP132" s="1091"/>
      <c r="AQ132" s="1092"/>
      <c r="AR132" s="1074"/>
      <c r="AS132" s="1125"/>
      <c r="AT132" s="1149"/>
      <c r="AU132" s="1123"/>
      <c r="AW132" s="1085"/>
      <c r="AY132" s="1085"/>
      <c r="BA132" s="1097"/>
      <c r="BB132" s="1097"/>
      <c r="BC132" s="1097"/>
      <c r="BD132" s="1133">
        <v>-1.3033999999999999</v>
      </c>
      <c r="BE132" s="1146">
        <v>1177766964.28</v>
      </c>
      <c r="BF132" s="1100"/>
      <c r="BG132" s="1101">
        <f>Index_Returns!B366</f>
        <v>-1.66709</v>
      </c>
      <c r="BH132" s="1102"/>
      <c r="BI132" s="1102"/>
      <c r="BJ132" s="1102"/>
      <c r="BK132" s="1103"/>
      <c r="BL132" s="1104">
        <f t="shared" si="35"/>
        <v>9.9690000000000056E-2</v>
      </c>
      <c r="BM132" s="1104">
        <f>Index_Returns!D366</f>
        <v>-1.7451000000000001</v>
      </c>
      <c r="BN132" s="1104">
        <f t="shared" si="36"/>
        <v>-0.57109999999999972</v>
      </c>
      <c r="BO132" s="1103"/>
      <c r="BP132" s="1153"/>
      <c r="BQ132" s="1088">
        <f>Index_Returns!E366</f>
        <v>-2.1488</v>
      </c>
      <c r="BR132" s="1102"/>
      <c r="BS132" s="1109"/>
      <c r="BT132" s="1107">
        <f t="shared" si="44"/>
        <v>-0.38929999999999998</v>
      </c>
      <c r="BU132" s="1105">
        <f>Index_Returns!F366</f>
        <v>-1.4105000000000001</v>
      </c>
      <c r="BV132" s="1109"/>
      <c r="BW132" s="1109"/>
      <c r="BX132" s="1197"/>
      <c r="BY132" s="1088">
        <f>Index_Returns!I366</f>
        <v>-3.6955</v>
      </c>
      <c r="BZ132" s="1148">
        <f t="shared" si="43"/>
        <v>-7.0000000000014495E-4</v>
      </c>
      <c r="CA132" s="1117"/>
      <c r="CB132" s="1109">
        <f>Index_Returns!H366</f>
        <v>-3.105</v>
      </c>
      <c r="CC132" s="1110">
        <f t="shared" si="38"/>
        <v>-2.629999999999999E-2</v>
      </c>
      <c r="CD132" s="1111">
        <f t="shared" si="39"/>
        <v>-0.20979999999999999</v>
      </c>
      <c r="CE132" s="1112"/>
      <c r="CF132" s="1111"/>
      <c r="CG132" s="1113"/>
      <c r="CI132" s="1114"/>
      <c r="CJ132" s="1114"/>
      <c r="CK132" s="1114"/>
      <c r="CL132" s="1114"/>
      <c r="CM132" s="1115">
        <f>Index_Returns!W366</f>
        <v>-0.79139999999999999</v>
      </c>
      <c r="CN132" s="1109"/>
      <c r="CQ132" s="1117"/>
      <c r="CR132" s="1109">
        <v>-0.61280000000000001</v>
      </c>
      <c r="CS132" s="1109"/>
      <c r="CT132" s="1118">
        <v>-1.6213440000000001</v>
      </c>
      <c r="CU132" s="1135">
        <f t="shared" si="40"/>
        <v>0.31794400000000023</v>
      </c>
      <c r="CV132" s="1078"/>
    </row>
    <row r="133" spans="1:100" s="1090" customFormat="1" x14ac:dyDescent="0.2">
      <c r="A133" s="1070">
        <v>38686</v>
      </c>
      <c r="B133" s="1126"/>
      <c r="C133" s="1127"/>
      <c r="D133" s="1128"/>
      <c r="E133" s="1127"/>
      <c r="F133" s="1126"/>
      <c r="G133" s="1127"/>
      <c r="H133" s="1074"/>
      <c r="I133" s="1151"/>
      <c r="J133" s="1129"/>
      <c r="K133" s="1130"/>
      <c r="L133" s="1078">
        <v>4.6336000000000004</v>
      </c>
      <c r="M133" s="1143">
        <v>902089449.27999997</v>
      </c>
      <c r="N133" s="1137">
        <v>4.1395</v>
      </c>
      <c r="O133" s="1130">
        <v>323106390.99000001</v>
      </c>
      <c r="P133" s="1126"/>
      <c r="Q133" s="1123"/>
      <c r="R133" s="1141"/>
      <c r="S133" s="1085"/>
      <c r="T133" s="1078">
        <v>5.2439999999999998</v>
      </c>
      <c r="U133" s="1144">
        <v>325785890.68000001</v>
      </c>
      <c r="V133" s="1097"/>
      <c r="W133" s="1085"/>
      <c r="X133" s="1097"/>
      <c r="Y133" s="1085"/>
      <c r="Z133" s="1155"/>
      <c r="AA133" s="1097"/>
      <c r="AB133" s="1118"/>
      <c r="AC133" s="1085"/>
      <c r="AD133" s="1132">
        <v>4.8758999999999997</v>
      </c>
      <c r="AE133" s="1085">
        <v>503336914.63999999</v>
      </c>
      <c r="AF133" s="1078">
        <v>3.6244000000000001</v>
      </c>
      <c r="AG133" s="1144">
        <v>239958146.72</v>
      </c>
      <c r="AH133" s="1150">
        <v>4.2538999999999998</v>
      </c>
      <c r="AI133" s="1145">
        <v>128600771.51000001</v>
      </c>
      <c r="AJ133" s="1095"/>
      <c r="AK133" s="1099"/>
      <c r="AM133" s="1085"/>
      <c r="AN133" s="1097"/>
      <c r="AO133" s="1085"/>
      <c r="AP133" s="1091"/>
      <c r="AQ133" s="1092"/>
      <c r="AR133" s="1074"/>
      <c r="AS133" s="1125"/>
      <c r="AT133" s="1149"/>
      <c r="AU133" s="1123"/>
      <c r="AW133" s="1085"/>
      <c r="AY133" s="1085"/>
      <c r="BA133" s="1097"/>
      <c r="BB133" s="1097"/>
      <c r="BC133" s="1097"/>
      <c r="BD133" s="1133">
        <v>3.0945</v>
      </c>
      <c r="BE133" s="1146">
        <v>1214212536.75</v>
      </c>
      <c r="BF133" s="1100"/>
      <c r="BG133" s="1101">
        <f>Index_Returns!B367</f>
        <v>3.7822300000000002</v>
      </c>
      <c r="BH133" s="1102"/>
      <c r="BI133" s="1102"/>
      <c r="BJ133" s="1102"/>
      <c r="BK133" s="1103"/>
      <c r="BL133" s="1104">
        <f t="shared" si="35"/>
        <v>0.85137000000000018</v>
      </c>
      <c r="BM133" s="1104">
        <f>Index_Returns!D367</f>
        <v>3.7414000000000001</v>
      </c>
      <c r="BN133" s="1104">
        <f t="shared" si="36"/>
        <v>0.3980999999999999</v>
      </c>
      <c r="BO133" s="1103"/>
      <c r="BP133" s="1153"/>
      <c r="BQ133" s="1088">
        <f>Index_Returns!E367</f>
        <v>4.8864000000000001</v>
      </c>
      <c r="BR133" s="1102"/>
      <c r="BS133" s="1109"/>
      <c r="BT133" s="1107">
        <f t="shared" si="44"/>
        <v>0.3575999999999997</v>
      </c>
      <c r="BU133" s="1105">
        <f>Index_Returns!F367</f>
        <v>5.5937999999999999</v>
      </c>
      <c r="BV133" s="1109"/>
      <c r="BW133" s="1109"/>
      <c r="BX133" s="1197"/>
      <c r="BY133" s="1088">
        <f>Index_Returns!I367</f>
        <v>5.6615000000000002</v>
      </c>
      <c r="BZ133" s="1148">
        <f t="shared" si="43"/>
        <v>-1.4076000000000004</v>
      </c>
      <c r="CA133" s="1117"/>
      <c r="CB133" s="1109">
        <f>Index_Returns!H367</f>
        <v>4.8545999999999996</v>
      </c>
      <c r="CC133" s="1110">
        <f t="shared" si="38"/>
        <v>2.1300000000000097E-2</v>
      </c>
      <c r="CD133" s="1111">
        <f t="shared" si="39"/>
        <v>-1.2301999999999995</v>
      </c>
      <c r="CE133" s="1112"/>
      <c r="CF133" s="1111"/>
      <c r="CG133" s="1113"/>
      <c r="CI133" s="1114"/>
      <c r="CJ133" s="1114"/>
      <c r="CK133" s="1114"/>
      <c r="CL133" s="1114"/>
      <c r="CM133" s="1115">
        <f>Index_Returns!W367</f>
        <v>0.44230000000000003</v>
      </c>
      <c r="CN133" s="1109"/>
      <c r="CQ133" s="1117"/>
      <c r="CR133" s="1109">
        <v>0.39019999999999999</v>
      </c>
      <c r="CS133" s="1109"/>
      <c r="CT133" s="1118">
        <v>2.6375080000000004</v>
      </c>
      <c r="CU133" s="1135">
        <f t="shared" si="40"/>
        <v>0.45699199999999962</v>
      </c>
      <c r="CV133" s="1078"/>
    </row>
    <row r="134" spans="1:100" s="1090" customFormat="1" x14ac:dyDescent="0.2">
      <c r="A134" s="1070">
        <v>38717</v>
      </c>
      <c r="B134" s="1126"/>
      <c r="C134" s="1127"/>
      <c r="D134" s="1128"/>
      <c r="E134" s="1127"/>
      <c r="F134" s="1126"/>
      <c r="G134" s="1127"/>
      <c r="H134" s="1074"/>
      <c r="I134" s="1151"/>
      <c r="J134" s="1129"/>
      <c r="K134" s="1130"/>
      <c r="L134" s="1078">
        <v>-0.12</v>
      </c>
      <c r="M134" s="1143">
        <v>901259343.73000002</v>
      </c>
      <c r="N134" s="1137">
        <v>1.2791999999999999</v>
      </c>
      <c r="O134" s="1130">
        <v>327412037.72000003</v>
      </c>
      <c r="P134" s="1126"/>
      <c r="Q134" s="1123"/>
      <c r="R134" s="1141"/>
      <c r="S134" s="1085"/>
      <c r="T134" s="1078">
        <v>0.92620000000000002</v>
      </c>
      <c r="U134" s="1144">
        <v>328883262.16000003</v>
      </c>
      <c r="V134" s="1097"/>
      <c r="W134" s="1085"/>
      <c r="X134" s="1097"/>
      <c r="Y134" s="1085"/>
      <c r="Z134" s="1155">
        <v>0.1923</v>
      </c>
      <c r="AA134" s="1097">
        <v>143397705.5</v>
      </c>
      <c r="AB134" s="1118"/>
      <c r="AC134" s="1085"/>
      <c r="AD134" s="1132">
        <v>-0.4037</v>
      </c>
      <c r="AE134" s="1085">
        <v>501305155.10000002</v>
      </c>
      <c r="AF134" s="1078">
        <v>-0.87770000000000004</v>
      </c>
      <c r="AG134" s="1144">
        <v>238030786.31</v>
      </c>
      <c r="AH134" s="1150">
        <v>0.1028</v>
      </c>
      <c r="AI134" s="1145">
        <v>128959629.20999999</v>
      </c>
      <c r="AJ134" s="1095"/>
      <c r="AK134" s="1099"/>
      <c r="AM134" s="1085"/>
      <c r="AN134" s="1097"/>
      <c r="AO134" s="1085"/>
      <c r="AP134" s="1091"/>
      <c r="AQ134" s="1092"/>
      <c r="AR134" s="1074"/>
      <c r="AS134" s="1125"/>
      <c r="AT134" s="1149"/>
      <c r="AU134" s="1123"/>
      <c r="AW134" s="1085"/>
      <c r="AY134" s="1085"/>
      <c r="BA134" s="1097"/>
      <c r="BB134" s="1097"/>
      <c r="BC134" s="1097"/>
      <c r="BD134" s="1133">
        <v>1.4844999999999999</v>
      </c>
      <c r="BE134" s="1146">
        <v>1233289719.1099999</v>
      </c>
      <c r="BF134" s="1100"/>
      <c r="BG134" s="1101">
        <f>Index_Returns!B368</f>
        <v>3.4279999999999998E-2</v>
      </c>
      <c r="BH134" s="1102"/>
      <c r="BI134" s="1102"/>
      <c r="BJ134" s="1102"/>
      <c r="BK134" s="1103"/>
      <c r="BL134" s="1104">
        <f t="shared" si="35"/>
        <v>-0.15428</v>
      </c>
      <c r="BM134" s="1104">
        <f>Index_Returns!D368</f>
        <v>0.27</v>
      </c>
      <c r="BN134" s="1104">
        <f t="shared" si="36"/>
        <v>1.0091999999999999</v>
      </c>
      <c r="BO134" s="1103"/>
      <c r="BP134" s="1153"/>
      <c r="BQ134" s="1088">
        <f>Index_Returns!E368</f>
        <v>0.69110000000000005</v>
      </c>
      <c r="BR134" s="1102"/>
      <c r="BS134" s="1109"/>
      <c r="BT134" s="1107">
        <f t="shared" si="44"/>
        <v>0.23509999999999998</v>
      </c>
      <c r="BU134" s="1105">
        <f>Index_Returns!F368</f>
        <v>0.92</v>
      </c>
      <c r="BV134" s="1109"/>
      <c r="BW134" s="1109"/>
      <c r="BX134" s="1200">
        <f>Z134-BU134</f>
        <v>-0.72770000000000001</v>
      </c>
      <c r="BY134" s="1088">
        <f>Index_Returns!I368</f>
        <v>-0.1489</v>
      </c>
      <c r="BZ134" s="1148">
        <f t="shared" si="43"/>
        <v>0.25170000000000003</v>
      </c>
      <c r="CA134" s="1117"/>
      <c r="CB134" s="1109">
        <f>Index_Returns!H368</f>
        <v>-0.45700000000000002</v>
      </c>
      <c r="CC134" s="1110">
        <f t="shared" si="38"/>
        <v>5.3300000000000014E-2</v>
      </c>
      <c r="CD134" s="1111">
        <f t="shared" si="39"/>
        <v>-0.42070000000000002</v>
      </c>
      <c r="CE134" s="1112"/>
      <c r="CF134" s="1111"/>
      <c r="CG134" s="1113"/>
      <c r="CI134" s="1114"/>
      <c r="CJ134" s="1114"/>
      <c r="CK134" s="1114"/>
      <c r="CL134" s="1114"/>
      <c r="CM134" s="1115">
        <f>Index_Returns!W368</f>
        <v>0.95079999999999998</v>
      </c>
      <c r="CN134" s="1109"/>
      <c r="CQ134" s="1117"/>
      <c r="CR134" s="1109">
        <v>0.77559999999999996</v>
      </c>
      <c r="CS134" s="1109"/>
      <c r="CT134" s="1118">
        <v>1.03128</v>
      </c>
      <c r="CU134" s="1135">
        <f t="shared" si="40"/>
        <v>0.45321999999999996</v>
      </c>
      <c r="CV134" s="1078"/>
    </row>
    <row r="135" spans="1:100" s="1090" customFormat="1" x14ac:dyDescent="0.2">
      <c r="A135" s="1070">
        <v>38748</v>
      </c>
      <c r="B135" s="1126"/>
      <c r="C135" s="1127"/>
      <c r="D135" s="1128"/>
      <c r="E135" s="1127"/>
      <c r="F135" s="1126"/>
      <c r="G135" s="1127"/>
      <c r="H135" s="1074"/>
      <c r="I135" s="1151"/>
      <c r="J135" s="1129"/>
      <c r="K135" s="1130"/>
      <c r="L135" s="1078">
        <v>2.4182000000000001</v>
      </c>
      <c r="M135" s="1143">
        <v>923053253.44000006</v>
      </c>
      <c r="N135" s="1137">
        <v>3.3424999999999998</v>
      </c>
      <c r="O135" s="1130">
        <v>338355621.73000002</v>
      </c>
      <c r="P135" s="1126"/>
      <c r="Q135" s="1123"/>
      <c r="R135" s="1141"/>
      <c r="S135" s="1085"/>
      <c r="T135" s="1078">
        <v>6.6382000000000003</v>
      </c>
      <c r="U135" s="1144">
        <v>350715079.06</v>
      </c>
      <c r="V135" s="1097"/>
      <c r="W135" s="1085"/>
      <c r="X135" s="1097"/>
      <c r="Y135" s="1085"/>
      <c r="Z135" s="1155">
        <v>6.7034000000000002</v>
      </c>
      <c r="AA135" s="1097">
        <v>153010223.13999999</v>
      </c>
      <c r="AB135" s="1118"/>
      <c r="AC135" s="1085"/>
      <c r="AD135" s="1132">
        <v>8.9647000000000006</v>
      </c>
      <c r="AE135" s="1085">
        <v>546245634.23000002</v>
      </c>
      <c r="AF135" s="1078">
        <v>7.1005000000000003</v>
      </c>
      <c r="AG135" s="1122">
        <v>254991647.27000001</v>
      </c>
      <c r="AH135" s="1147">
        <v>8.9701000000000004</v>
      </c>
      <c r="AI135" s="1124">
        <v>140527417.80000001</v>
      </c>
      <c r="AJ135" s="1095"/>
      <c r="AK135" s="1099"/>
      <c r="AM135" s="1085"/>
      <c r="AN135" s="1097"/>
      <c r="AO135" s="1085"/>
      <c r="AP135" s="1091"/>
      <c r="AQ135" s="1092"/>
      <c r="AR135" s="1074"/>
      <c r="AS135" s="1125"/>
      <c r="AT135" s="1149"/>
      <c r="AU135" s="1123"/>
      <c r="AW135" s="1085"/>
      <c r="AY135" s="1085"/>
      <c r="BA135" s="1097"/>
      <c r="BB135" s="1097"/>
      <c r="BC135" s="1097"/>
      <c r="BD135" s="1133">
        <v>2.0421</v>
      </c>
      <c r="BE135" s="1146">
        <v>1258475196.8599999</v>
      </c>
      <c r="BF135" s="1100"/>
      <c r="BG135" s="1101">
        <f>Index_Returns!B369</f>
        <v>2.6482999999999999</v>
      </c>
      <c r="BH135" s="1102"/>
      <c r="BI135" s="1102"/>
      <c r="BJ135" s="1102"/>
      <c r="BK135" s="1103"/>
      <c r="BL135" s="1104">
        <f t="shared" si="35"/>
        <v>-0.23009999999999975</v>
      </c>
      <c r="BM135" s="1104">
        <f>Index_Returns!D369</f>
        <v>2.9847999999999999</v>
      </c>
      <c r="BN135" s="1104">
        <f t="shared" si="36"/>
        <v>0.35769999999999991</v>
      </c>
      <c r="BO135" s="1103"/>
      <c r="BP135" s="1153"/>
      <c r="BQ135" s="1088">
        <f>Index_Returns!E369</f>
        <v>5.8918999999999997</v>
      </c>
      <c r="BR135" s="1102"/>
      <c r="BS135" s="1109"/>
      <c r="BT135" s="1107">
        <f t="shared" si="44"/>
        <v>0.74630000000000063</v>
      </c>
      <c r="BU135" s="1105">
        <f>Index_Returns!F369</f>
        <v>5.5434999999999999</v>
      </c>
      <c r="BV135" s="1109"/>
      <c r="BW135" s="1109"/>
      <c r="BX135" s="1200">
        <f t="shared" ref="BX135:BX165" si="45">Z135-BU135</f>
        <v>1.1599000000000004</v>
      </c>
      <c r="BY135" s="1088">
        <f>Index_Returns!I369</f>
        <v>9.6460000000000008</v>
      </c>
      <c r="BZ135" s="1148">
        <f t="shared" si="43"/>
        <v>-0.67590000000000039</v>
      </c>
      <c r="CA135" s="1117"/>
      <c r="CB135" s="1109">
        <f>Index_Returns!H369</f>
        <v>8.9672000000000001</v>
      </c>
      <c r="CC135" s="1110">
        <f t="shared" si="38"/>
        <v>-2.4999999999995026E-3</v>
      </c>
      <c r="CD135" s="1111">
        <f t="shared" si="39"/>
        <v>-1.8666999999999998</v>
      </c>
      <c r="CE135" s="1112"/>
      <c r="CF135" s="1111"/>
      <c r="CG135" s="1113"/>
      <c r="CI135" s="1114"/>
      <c r="CJ135" s="1114"/>
      <c r="CK135" s="1114"/>
      <c r="CL135" s="1114"/>
      <c r="CM135" s="1115">
        <f>Index_Returns!W369</f>
        <v>5.7000000000000002E-3</v>
      </c>
      <c r="CN135" s="1109"/>
      <c r="CQ135" s="1117"/>
      <c r="CR135" s="1109">
        <v>0.12379999999999999</v>
      </c>
      <c r="CS135" s="1109"/>
      <c r="CT135" s="1118">
        <v>2.4678680000000002</v>
      </c>
      <c r="CU135" s="1135">
        <f t="shared" si="40"/>
        <v>-0.42576800000000015</v>
      </c>
      <c r="CV135" s="1078"/>
    </row>
    <row r="136" spans="1:100" s="1090" customFormat="1" x14ac:dyDescent="0.2">
      <c r="A136" s="1070">
        <v>38776</v>
      </c>
      <c r="B136" s="1126"/>
      <c r="C136" s="1127"/>
      <c r="D136" s="1128"/>
      <c r="E136" s="1127"/>
      <c r="F136" s="1126"/>
      <c r="G136" s="1127"/>
      <c r="H136" s="1074"/>
      <c r="I136" s="1151"/>
      <c r="J136" s="1129"/>
      <c r="K136" s="1130"/>
      <c r="L136" s="1078">
        <v>-3.7100000000000001E-2</v>
      </c>
      <c r="M136" s="1143">
        <v>922710533.02999997</v>
      </c>
      <c r="N136" s="1137">
        <v>-7.0699999999999999E-2</v>
      </c>
      <c r="O136" s="1130">
        <v>338116466.26999998</v>
      </c>
      <c r="P136" s="1126"/>
      <c r="Q136" s="1123"/>
      <c r="R136" s="1141"/>
      <c r="S136" s="1085"/>
      <c r="T136" s="1078">
        <v>-1.3359000000000001</v>
      </c>
      <c r="U136" s="1144">
        <v>346029795.36000001</v>
      </c>
      <c r="V136" s="1097"/>
      <c r="W136" s="1085"/>
      <c r="X136" s="1097"/>
      <c r="Y136" s="1085"/>
      <c r="Z136" s="1155">
        <v>-0.34960000000000002</v>
      </c>
      <c r="AA136" s="1097">
        <v>152475271.19999999</v>
      </c>
      <c r="AB136" s="1118"/>
      <c r="AC136" s="1085"/>
      <c r="AD136" s="1132">
        <v>-0.26279999999999998</v>
      </c>
      <c r="AE136" s="1085">
        <v>544810057</v>
      </c>
      <c r="AF136" s="1097"/>
      <c r="AG136" s="1085"/>
      <c r="AH136" s="1155">
        <v>-0.9536</v>
      </c>
      <c r="AI136" s="1097">
        <v>139187415.62</v>
      </c>
      <c r="AJ136" s="1095"/>
      <c r="AK136" s="1099"/>
      <c r="AM136" s="1085"/>
      <c r="AN136" s="1097"/>
      <c r="AO136" s="1085"/>
      <c r="AP136" s="1091"/>
      <c r="AQ136" s="1092"/>
      <c r="AR136" s="1074"/>
      <c r="AS136" s="1125"/>
      <c r="AT136" s="1149"/>
      <c r="AU136" s="1123"/>
      <c r="AW136" s="1085"/>
      <c r="AY136" s="1085"/>
      <c r="BA136" s="1097"/>
      <c r="BB136" s="1097"/>
      <c r="BC136" s="1097"/>
      <c r="BD136" s="1133">
        <v>0.49940000000000001</v>
      </c>
      <c r="BE136" s="1146">
        <v>1264760625.0999999</v>
      </c>
      <c r="BF136" s="1100"/>
      <c r="BG136" s="1101">
        <f>Index_Returns!B370</f>
        <v>0.27137</v>
      </c>
      <c r="BH136" s="1102"/>
      <c r="BI136" s="1102"/>
      <c r="BJ136" s="1102"/>
      <c r="BK136" s="1103"/>
      <c r="BL136" s="1104">
        <f t="shared" si="35"/>
        <v>-0.30847000000000002</v>
      </c>
      <c r="BM136" s="1104">
        <f>Index_Returns!D370</f>
        <v>1.0801000000000001</v>
      </c>
      <c r="BN136" s="1104">
        <f t="shared" si="36"/>
        <v>-1.1508</v>
      </c>
      <c r="BO136" s="1103"/>
      <c r="BP136" s="1153"/>
      <c r="BQ136" s="1088">
        <f>Index_Returns!E370</f>
        <v>-0.83830000000000005</v>
      </c>
      <c r="BR136" s="1102"/>
      <c r="BS136" s="1109"/>
      <c r="BT136" s="1107">
        <f t="shared" si="44"/>
        <v>-0.49760000000000004</v>
      </c>
      <c r="BU136" s="1105">
        <f>Index_Returns!F370</f>
        <v>-1.6931</v>
      </c>
      <c r="BV136" s="1109"/>
      <c r="BW136" s="1109"/>
      <c r="BX136" s="1200">
        <f t="shared" si="45"/>
        <v>1.3435000000000001</v>
      </c>
      <c r="BY136" s="1088">
        <f>Index_Returns!I370</f>
        <v>-0.53290000000000004</v>
      </c>
      <c r="BZ136" s="1148">
        <f t="shared" si="43"/>
        <v>-0.42069999999999996</v>
      </c>
      <c r="CA136" s="1117"/>
      <c r="CB136" s="1109">
        <f>Index_Returns!H370</f>
        <v>-0.27529999999999999</v>
      </c>
      <c r="CC136" s="1110">
        <f t="shared" si="38"/>
        <v>1.2500000000000011E-2</v>
      </c>
      <c r="CD136" s="1109"/>
      <c r="CE136" s="1118"/>
      <c r="CF136" s="1109"/>
      <c r="CG136" s="1113"/>
      <c r="CI136" s="1114"/>
      <c r="CJ136" s="1114"/>
      <c r="CK136" s="1114"/>
      <c r="CL136" s="1114"/>
      <c r="CM136" s="1115">
        <f>Index_Returns!W370</f>
        <v>0.33200000000000002</v>
      </c>
      <c r="CN136" s="1109"/>
      <c r="CQ136" s="1117"/>
      <c r="CR136" s="1109">
        <v>0.23280000000000001</v>
      </c>
      <c r="CS136" s="1109"/>
      <c r="CT136" s="1118">
        <v>0.21212000000000003</v>
      </c>
      <c r="CU136" s="1135">
        <f t="shared" si="40"/>
        <v>0.28727999999999998</v>
      </c>
      <c r="CV136" s="1078"/>
    </row>
    <row r="137" spans="1:100" s="1090" customFormat="1" x14ac:dyDescent="0.2">
      <c r="A137" s="1070">
        <v>38807</v>
      </c>
      <c r="B137" s="1156"/>
      <c r="C137" s="1127"/>
      <c r="D137" s="1128"/>
      <c r="E137" s="1127"/>
      <c r="F137" s="1126"/>
      <c r="G137" s="1127"/>
      <c r="H137" s="1074"/>
      <c r="I137" s="1151"/>
      <c r="J137" s="1129"/>
      <c r="K137" s="1130"/>
      <c r="L137" s="1157">
        <v>1.3736999999999999</v>
      </c>
      <c r="M137" s="1158">
        <v>935645486.45000005</v>
      </c>
      <c r="N137" s="1137">
        <v>0.72750000000000004</v>
      </c>
      <c r="O137" s="1130">
        <v>340753277.36000001</v>
      </c>
      <c r="P137" s="1126"/>
      <c r="Q137" s="1123"/>
      <c r="R137" s="1141"/>
      <c r="S137" s="1085"/>
      <c r="T137" s="1078">
        <v>3.3132000000000001</v>
      </c>
      <c r="U137" s="1159">
        <v>357578304.05000001</v>
      </c>
      <c r="V137" s="1097"/>
      <c r="W137" s="1085"/>
      <c r="X137" s="1097"/>
      <c r="Y137" s="1085"/>
      <c r="Z137" s="1155">
        <v>3.7048000000000001</v>
      </c>
      <c r="AA137" s="1097">
        <v>158124231.30000001</v>
      </c>
      <c r="AB137" s="1118"/>
      <c r="AC137" s="1085"/>
      <c r="AD137" s="1132">
        <v>4.8730000000000002</v>
      </c>
      <c r="AE137" s="1085">
        <v>571358780.57000005</v>
      </c>
      <c r="AF137" s="1097"/>
      <c r="AG137" s="1085"/>
      <c r="AH137" s="1155">
        <v>5.7039999999999997</v>
      </c>
      <c r="AI137" s="1097">
        <v>147361593.16999999</v>
      </c>
      <c r="AJ137" s="1095"/>
      <c r="AK137" s="1099"/>
      <c r="AM137" s="1085"/>
      <c r="AN137" s="1097"/>
      <c r="AO137" s="1085"/>
      <c r="AP137" s="1091"/>
      <c r="AQ137" s="1092"/>
      <c r="AR137" s="1074"/>
      <c r="AS137" s="1125"/>
      <c r="AT137" s="1149"/>
      <c r="AU137" s="1123"/>
      <c r="AW137" s="1085"/>
      <c r="AY137" s="1085"/>
      <c r="BA137" s="1097"/>
      <c r="BB137" s="1097"/>
      <c r="BC137" s="1097"/>
      <c r="BD137" s="1133">
        <v>1.9548000000000001</v>
      </c>
      <c r="BE137" s="1160">
        <v>1290575292.73</v>
      </c>
      <c r="BF137" s="1100"/>
      <c r="BG137" s="1101">
        <f>Index_Returns!B371</f>
        <v>1.2447600000000001</v>
      </c>
      <c r="BH137" s="1102"/>
      <c r="BI137" s="1102"/>
      <c r="BJ137" s="1102"/>
      <c r="BK137" s="1103"/>
      <c r="BL137" s="1104">
        <f t="shared" si="35"/>
        <v>0.12893999999999983</v>
      </c>
      <c r="BM137" s="1104">
        <f>Index_Returns!D371</f>
        <v>1.7049000000000001</v>
      </c>
      <c r="BN137" s="1104">
        <f t="shared" si="36"/>
        <v>-0.97740000000000005</v>
      </c>
      <c r="BO137" s="1103"/>
      <c r="BP137" s="1153"/>
      <c r="BQ137" s="1088">
        <f>Index_Returns!E371</f>
        <v>2.4971000000000001</v>
      </c>
      <c r="BR137" s="1102"/>
      <c r="BS137" s="1109"/>
      <c r="BT137" s="1107">
        <f t="shared" si="44"/>
        <v>0.81610000000000005</v>
      </c>
      <c r="BU137" s="1105">
        <f>Index_Returns!F371</f>
        <v>2.3252000000000002</v>
      </c>
      <c r="BV137" s="1109"/>
      <c r="BW137" s="1109"/>
      <c r="BX137" s="1200">
        <f t="shared" si="45"/>
        <v>1.3795999999999999</v>
      </c>
      <c r="BY137" s="1088">
        <f>Index_Returns!I371</f>
        <v>4.8601999999999999</v>
      </c>
      <c r="BZ137" s="1148">
        <f t="shared" si="43"/>
        <v>0.84379999999999988</v>
      </c>
      <c r="CA137" s="1117"/>
      <c r="CB137" s="1109">
        <f>Index_Returns!H371</f>
        <v>4.8517000000000001</v>
      </c>
      <c r="CC137" s="1110">
        <f t="shared" si="38"/>
        <v>2.1300000000000097E-2</v>
      </c>
      <c r="CD137" s="1109"/>
      <c r="CE137" s="1118"/>
      <c r="CF137" s="1109"/>
      <c r="CG137" s="1113"/>
      <c r="CI137" s="1114"/>
      <c r="CJ137" s="1114"/>
      <c r="CK137" s="1114"/>
      <c r="CL137" s="1114"/>
      <c r="CM137" s="1115">
        <f>Index_Returns!W371</f>
        <v>-0.98129999999999995</v>
      </c>
      <c r="CN137" s="1109"/>
      <c r="CQ137" s="1117"/>
      <c r="CR137" s="1109">
        <v>-0.60980000000000001</v>
      </c>
      <c r="CS137" s="1109"/>
      <c r="CT137" s="1118">
        <v>0.95750800000000003</v>
      </c>
      <c r="CU137" s="1135">
        <f t="shared" si="40"/>
        <v>0.99729200000000007</v>
      </c>
      <c r="CV137" s="1078"/>
    </row>
    <row r="138" spans="1:100" s="1090" customFormat="1" x14ac:dyDescent="0.2">
      <c r="A138" s="1070">
        <v>38837</v>
      </c>
      <c r="B138" s="1126"/>
      <c r="C138" s="1127"/>
      <c r="D138" s="1128"/>
      <c r="E138" s="1127"/>
      <c r="F138" s="1126"/>
      <c r="G138" s="1127"/>
      <c r="H138" s="1074"/>
      <c r="I138" s="1151"/>
      <c r="J138" s="1129"/>
      <c r="K138" s="1130"/>
      <c r="L138" s="1157">
        <v>1.1567000000000001</v>
      </c>
      <c r="M138" s="1158">
        <v>946467720.5</v>
      </c>
      <c r="N138" s="1137">
        <v>2.1246999999999998</v>
      </c>
      <c r="O138" s="1130">
        <v>347993243.81</v>
      </c>
      <c r="P138" s="1126"/>
      <c r="Q138" s="1123"/>
      <c r="R138" s="1141"/>
      <c r="S138" s="1085"/>
      <c r="T138" s="1078">
        <v>2.1322999999999999</v>
      </c>
      <c r="U138" s="1159">
        <v>365202776.87</v>
      </c>
      <c r="V138" s="1097"/>
      <c r="W138" s="1085"/>
      <c r="X138" s="1097"/>
      <c r="Y138" s="1085"/>
      <c r="Z138" s="1155">
        <v>0.42180000000000001</v>
      </c>
      <c r="AA138" s="1097">
        <v>158791127.08000001</v>
      </c>
      <c r="AB138" s="1118"/>
      <c r="AC138" s="1085"/>
      <c r="AD138" s="1132">
        <v>-2.0400000000000001E-2</v>
      </c>
      <c r="AE138" s="1085">
        <v>769131051.78999996</v>
      </c>
      <c r="AF138" s="1097"/>
      <c r="AG138" s="1085"/>
      <c r="AH138" s="1155">
        <v>0.93869999999999998</v>
      </c>
      <c r="AI138" s="1097">
        <v>148744895.41999999</v>
      </c>
      <c r="AJ138" s="1095"/>
      <c r="AK138" s="1099"/>
      <c r="AM138" s="1085"/>
      <c r="AN138" s="1097"/>
      <c r="AO138" s="1085"/>
      <c r="AP138" s="1091"/>
      <c r="AQ138" s="1092"/>
      <c r="AR138" s="1074"/>
      <c r="AS138" s="1125"/>
      <c r="AT138" s="1149"/>
      <c r="AU138" s="1123"/>
      <c r="AW138" s="1085"/>
      <c r="AY138" s="1085"/>
      <c r="BA138" s="1097"/>
      <c r="BB138" s="1097"/>
      <c r="BC138" s="1097"/>
      <c r="BD138" s="1133">
        <v>0.85899999999999999</v>
      </c>
      <c r="BE138" s="1160">
        <v>1301660726.1600001</v>
      </c>
      <c r="BF138" s="1100"/>
      <c r="BG138" s="1101">
        <f>Index_Returns!B372</f>
        <v>1.3427500000000001</v>
      </c>
      <c r="BH138" s="1102"/>
      <c r="BI138" s="1102"/>
      <c r="BJ138" s="1102"/>
      <c r="BK138" s="1103"/>
      <c r="BL138" s="1104">
        <f t="shared" si="35"/>
        <v>-0.18605000000000005</v>
      </c>
      <c r="BM138" s="1104">
        <f>Index_Returns!D372</f>
        <v>2.7885</v>
      </c>
      <c r="BN138" s="1104">
        <f t="shared" si="36"/>
        <v>-0.66380000000000017</v>
      </c>
      <c r="BO138" s="1103"/>
      <c r="BP138" s="1153"/>
      <c r="BQ138" s="1088">
        <f>Index_Returns!E372</f>
        <v>1.4072</v>
      </c>
      <c r="BR138" s="1102"/>
      <c r="BS138" s="1109"/>
      <c r="BT138" s="1107">
        <f t="shared" si="44"/>
        <v>0.72509999999999986</v>
      </c>
      <c r="BU138" s="1105">
        <f>Index_Returns!F372</f>
        <v>0.65190000000000003</v>
      </c>
      <c r="BV138" s="1109"/>
      <c r="BW138" s="1109"/>
      <c r="BX138" s="1200">
        <f t="shared" si="45"/>
        <v>-0.23010000000000003</v>
      </c>
      <c r="BY138" s="1088">
        <f>Index_Returns!I372</f>
        <v>-0.28870000000000001</v>
      </c>
      <c r="BZ138" s="1148">
        <f t="shared" si="43"/>
        <v>1.2274</v>
      </c>
      <c r="CA138" s="1117"/>
      <c r="CB138" s="1109">
        <f>Index_Returns!H372</f>
        <v>-1.6299999999999999E-2</v>
      </c>
      <c r="CC138" s="1110">
        <f t="shared" si="38"/>
        <v>-4.1000000000000029E-3</v>
      </c>
      <c r="CD138" s="1109"/>
      <c r="CE138" s="1118"/>
      <c r="CF138" s="1109"/>
      <c r="CG138" s="1113"/>
      <c r="CI138" s="1114"/>
      <c r="CJ138" s="1114"/>
      <c r="CK138" s="1114"/>
      <c r="CL138" s="1114"/>
      <c r="CM138" s="1115">
        <f>Index_Returns!W372</f>
        <v>-0.18129999999999999</v>
      </c>
      <c r="CN138" s="1109"/>
      <c r="CQ138" s="1117"/>
      <c r="CR138" s="1109">
        <v>3.5700000000000003E-2</v>
      </c>
      <c r="CS138" s="1109"/>
      <c r="CT138" s="1118">
        <v>1.4771879999999999</v>
      </c>
      <c r="CU138" s="1135">
        <f t="shared" si="40"/>
        <v>-0.61818799999999996</v>
      </c>
      <c r="CV138" s="1078"/>
    </row>
    <row r="139" spans="1:100" s="1090" customFormat="1" x14ac:dyDescent="0.2">
      <c r="A139" s="1070">
        <v>38868</v>
      </c>
      <c r="B139" s="1126"/>
      <c r="C139" s="1127"/>
      <c r="D139" s="1128"/>
      <c r="E139" s="1127"/>
      <c r="F139" s="1126"/>
      <c r="G139" s="1127"/>
      <c r="H139" s="1074"/>
      <c r="I139" s="1151"/>
      <c r="J139" s="1129"/>
      <c r="K139" s="1130"/>
      <c r="L139" s="1157">
        <v>-2.7414000000000001</v>
      </c>
      <c r="M139" s="1158">
        <v>920520998.51999998</v>
      </c>
      <c r="N139" s="1137">
        <v>-2.6918000000000002</v>
      </c>
      <c r="O139" s="1130">
        <v>338625829.68000001</v>
      </c>
      <c r="P139" s="1126"/>
      <c r="Q139" s="1123"/>
      <c r="R139" s="1141"/>
      <c r="S139" s="1085"/>
      <c r="T139" s="1078">
        <v>-5.0430999999999999</v>
      </c>
      <c r="U139" s="1159">
        <v>346785394.50999999</v>
      </c>
      <c r="V139" s="1097"/>
      <c r="W139" s="1085"/>
      <c r="X139" s="1097"/>
      <c r="Y139" s="1085"/>
      <c r="Z139" s="1155">
        <v>-5.7129000000000003</v>
      </c>
      <c r="AA139" s="1097">
        <v>149719609.63</v>
      </c>
      <c r="AB139" s="1118"/>
      <c r="AC139" s="1085"/>
      <c r="AD139" s="1132">
        <v>-5.6281999999999996</v>
      </c>
      <c r="AE139" s="1085">
        <v>725727330.26999998</v>
      </c>
      <c r="AF139" s="1097"/>
      <c r="AG139" s="1085"/>
      <c r="AH139" s="1155">
        <v>-7.8101000000000003</v>
      </c>
      <c r="AI139" s="1097">
        <v>137127758.22999999</v>
      </c>
      <c r="AJ139" s="1095"/>
      <c r="AK139" s="1099"/>
      <c r="AM139" s="1085"/>
      <c r="AN139" s="1097"/>
      <c r="AO139" s="1085"/>
      <c r="AP139" s="1091"/>
      <c r="AQ139" s="1092"/>
      <c r="AR139" s="1074"/>
      <c r="AS139" s="1125"/>
      <c r="AT139" s="1149"/>
      <c r="AU139" s="1123"/>
      <c r="AW139" s="1085"/>
      <c r="AY139" s="1085"/>
      <c r="BA139" s="1097"/>
      <c r="BB139" s="1097"/>
      <c r="BC139" s="1097"/>
      <c r="BD139" s="1133">
        <v>-2.6032999999999999</v>
      </c>
      <c r="BE139" s="1160">
        <v>1267774662.0999999</v>
      </c>
      <c r="BF139" s="1100"/>
      <c r="BG139" s="1101">
        <f>Index_Returns!B373</f>
        <v>-2.8781300000000001</v>
      </c>
      <c r="BH139" s="1102"/>
      <c r="BI139" s="1102"/>
      <c r="BJ139" s="1102"/>
      <c r="BK139" s="1103"/>
      <c r="BL139" s="1104">
        <f t="shared" si="35"/>
        <v>0.13673000000000002</v>
      </c>
      <c r="BM139" s="1104">
        <f>Index_Returns!D373</f>
        <v>-2.4453999999999998</v>
      </c>
      <c r="BN139" s="1104">
        <f t="shared" si="36"/>
        <v>-0.2464000000000004</v>
      </c>
      <c r="BO139" s="1103"/>
      <c r="BP139" s="1153"/>
      <c r="BQ139" s="1088">
        <f>Index_Returns!E373</f>
        <v>-4.5103</v>
      </c>
      <c r="BR139" s="1102"/>
      <c r="BS139" s="1109"/>
      <c r="BT139" s="1107">
        <f t="shared" si="44"/>
        <v>-0.53279999999999994</v>
      </c>
      <c r="BU139" s="1105">
        <f>Index_Returns!F373</f>
        <v>-5.0781999999999998</v>
      </c>
      <c r="BV139" s="1109"/>
      <c r="BW139" s="1109"/>
      <c r="BX139" s="1200">
        <f t="shared" si="45"/>
        <v>-0.63470000000000049</v>
      </c>
      <c r="BY139" s="1088">
        <f>Index_Returns!I373</f>
        <v>-7.0374999999999996</v>
      </c>
      <c r="BZ139" s="1148">
        <f t="shared" si="43"/>
        <v>-0.77260000000000062</v>
      </c>
      <c r="CA139" s="1117"/>
      <c r="CB139" s="1109">
        <f>Index_Returns!H373</f>
        <v>-5.6159999999999997</v>
      </c>
      <c r="CC139" s="1110">
        <f t="shared" si="38"/>
        <v>-1.2199999999999989E-2</v>
      </c>
      <c r="CD139" s="1109"/>
      <c r="CE139" s="1118"/>
      <c r="CF139" s="1109"/>
      <c r="CG139" s="1113"/>
      <c r="CI139" s="1114"/>
      <c r="CJ139" s="1114"/>
      <c r="CK139" s="1114"/>
      <c r="CL139" s="1114"/>
      <c r="CM139" s="1115">
        <f>Index_Returns!W373</f>
        <v>-0.1067</v>
      </c>
      <c r="CN139" s="1109"/>
      <c r="CQ139" s="1117"/>
      <c r="CR139" s="1109">
        <v>-8.1600000000000006E-2</v>
      </c>
      <c r="CS139" s="1109"/>
      <c r="CT139" s="1118">
        <v>-2.2437240000000003</v>
      </c>
      <c r="CU139" s="1135">
        <f t="shared" si="40"/>
        <v>-0.35957599999999967</v>
      </c>
      <c r="CV139" s="1078"/>
    </row>
    <row r="140" spans="1:100" s="1090" customFormat="1" x14ac:dyDescent="0.2">
      <c r="A140" s="1070">
        <v>38898</v>
      </c>
      <c r="B140" s="1126"/>
      <c r="C140" s="1127"/>
      <c r="D140" s="1128"/>
      <c r="E140" s="1127"/>
      <c r="F140" s="1126"/>
      <c r="G140" s="1127"/>
      <c r="H140" s="1074"/>
      <c r="I140" s="1151"/>
      <c r="J140" s="1129"/>
      <c r="K140" s="1130"/>
      <c r="L140" s="1157">
        <v>-0.38240000000000002</v>
      </c>
      <c r="M140" s="1157">
        <v>917264837.60000002</v>
      </c>
      <c r="N140" s="1137">
        <v>1.1662999999999999</v>
      </c>
      <c r="O140" s="1130">
        <v>342759093.11000001</v>
      </c>
      <c r="P140" s="1126"/>
      <c r="Q140" s="1123"/>
      <c r="R140" s="1141"/>
      <c r="S140" s="1085"/>
      <c r="T140" s="1157">
        <v>7.0499999999999993E-2</v>
      </c>
      <c r="U140" s="1161">
        <v>347119249.02999997</v>
      </c>
      <c r="V140" s="1097"/>
      <c r="W140" s="1085"/>
      <c r="X140" s="1097"/>
      <c r="Y140" s="1085"/>
      <c r="Z140" s="1155">
        <v>-0.59619999999999995</v>
      </c>
      <c r="AA140" s="1097">
        <v>149029626.13999999</v>
      </c>
      <c r="AB140" s="1118"/>
      <c r="AC140" s="1085"/>
      <c r="AD140" s="1132">
        <v>0.33650000000000002</v>
      </c>
      <c r="AE140" s="1085">
        <v>728169263.35000002</v>
      </c>
      <c r="AF140" s="1097"/>
      <c r="AG140" s="1085"/>
      <c r="AH140" s="1155">
        <v>-0.14380000000000001</v>
      </c>
      <c r="AI140" s="1097">
        <v>137185735.13</v>
      </c>
      <c r="AJ140" s="1095"/>
      <c r="AK140" s="1099"/>
      <c r="AM140" s="1085"/>
      <c r="AN140" s="1097"/>
      <c r="AO140" s="1085"/>
      <c r="AP140" s="1091"/>
      <c r="AQ140" s="1092"/>
      <c r="AR140" s="1074"/>
      <c r="AS140" s="1125"/>
      <c r="AT140" s="1149"/>
      <c r="AU140" s="1123"/>
      <c r="AW140" s="1085"/>
      <c r="AY140" s="1085"/>
      <c r="BA140" s="1097"/>
      <c r="BB140" s="1097"/>
      <c r="BC140" s="1097"/>
      <c r="BD140" s="1162">
        <v>2.1700000000000001E-2</v>
      </c>
      <c r="BE140" s="1163">
        <v>1269179442.21</v>
      </c>
      <c r="BF140" s="1100"/>
      <c r="BG140" s="1101">
        <f>Index_Returns!B374</f>
        <v>0.13556000000000001</v>
      </c>
      <c r="BH140" s="1102"/>
      <c r="BI140" s="1102"/>
      <c r="BJ140" s="1102"/>
      <c r="BK140" s="1103"/>
      <c r="BL140" s="1104">
        <f t="shared" si="35"/>
        <v>-0.51795999999999998</v>
      </c>
      <c r="BM140" s="1104">
        <f>Index_Returns!D374</f>
        <v>0.33610000000000001</v>
      </c>
      <c r="BN140" s="1104">
        <f t="shared" si="36"/>
        <v>0.83019999999999983</v>
      </c>
      <c r="BO140" s="1103"/>
      <c r="BP140" s="1153"/>
      <c r="BQ140" s="1088">
        <f>Index_Returns!E374</f>
        <v>2.2599999999999999E-2</v>
      </c>
      <c r="BR140" s="1102"/>
      <c r="BS140" s="1109"/>
      <c r="BT140" s="1107">
        <f t="shared" si="44"/>
        <v>4.7899999999999998E-2</v>
      </c>
      <c r="BU140" s="1105">
        <f>Index_Returns!F374</f>
        <v>9.2299999999999993E-2</v>
      </c>
      <c r="BV140" s="1109"/>
      <c r="BW140" s="1109"/>
      <c r="BX140" s="1200">
        <f t="shared" si="45"/>
        <v>-0.68849999999999989</v>
      </c>
      <c r="BY140" s="1088">
        <f>Index_Returns!I374</f>
        <v>6.0299999999999999E-2</v>
      </c>
      <c r="BZ140" s="1148">
        <f t="shared" si="43"/>
        <v>-0.2041</v>
      </c>
      <c r="CA140" s="1117"/>
      <c r="CB140" s="1109">
        <f>Index_Returns!H374</f>
        <v>0.64290000000000003</v>
      </c>
      <c r="CC140" s="1110">
        <f t="shared" si="38"/>
        <v>-0.30640000000000001</v>
      </c>
      <c r="CD140" s="1109"/>
      <c r="CE140" s="1118"/>
      <c r="CF140" s="1109"/>
      <c r="CG140" s="1113"/>
      <c r="CI140" s="1114"/>
      <c r="CJ140" s="1114"/>
      <c r="CK140" s="1114"/>
      <c r="CL140" s="1114"/>
      <c r="CM140" s="1115">
        <f>Index_Returns!W374</f>
        <v>0.21199999999999999</v>
      </c>
      <c r="CN140" s="1109"/>
      <c r="CQ140" s="1117"/>
      <c r="CR140" s="1109">
        <v>0.16750000000000001</v>
      </c>
      <c r="CS140" s="1109"/>
      <c r="CT140" s="1118">
        <v>0.14116799999999999</v>
      </c>
      <c r="CU140" s="1135">
        <f t="shared" si="40"/>
        <v>-0.11946799999999999</v>
      </c>
      <c r="CV140" s="1078"/>
    </row>
    <row r="141" spans="1:100" s="1090" customFormat="1" x14ac:dyDescent="0.2">
      <c r="A141" s="1070">
        <v>38929</v>
      </c>
      <c r="B141" s="1126"/>
      <c r="C141" s="1127"/>
      <c r="D141" s="1128"/>
      <c r="E141" s="1127"/>
      <c r="F141" s="1126"/>
      <c r="G141" s="1127"/>
      <c r="H141" s="1074"/>
      <c r="I141" s="1151"/>
      <c r="J141" s="1129"/>
      <c r="K141" s="1130"/>
      <c r="L141" s="1078">
        <v>0.11890000000000001</v>
      </c>
      <c r="M141" s="1136">
        <v>918355847.21000004</v>
      </c>
      <c r="N141" s="1137">
        <v>0.91459999999999997</v>
      </c>
      <c r="O141" s="1130">
        <v>345893978.37</v>
      </c>
      <c r="P141" s="1126"/>
      <c r="Q141" s="1123"/>
      <c r="R141" s="1141"/>
      <c r="S141" s="1085"/>
      <c r="T141" s="1078">
        <v>-4.4859</v>
      </c>
      <c r="U141" s="1122">
        <v>331547905.79000002</v>
      </c>
      <c r="V141" s="1097"/>
      <c r="W141" s="1085"/>
      <c r="X141" s="1097"/>
      <c r="Y141" s="1085"/>
      <c r="Z141" s="1155">
        <v>-3.9619</v>
      </c>
      <c r="AA141" s="1097">
        <v>143125234.75</v>
      </c>
      <c r="AB141" s="1118"/>
      <c r="AC141" s="1085"/>
      <c r="AD141" s="1132">
        <v>-3.3087</v>
      </c>
      <c r="AE141" s="1085">
        <v>704076247.42999995</v>
      </c>
      <c r="AF141" s="1097"/>
      <c r="AG141" s="1085"/>
      <c r="AH141" s="1155">
        <v>-7.6722999999999999</v>
      </c>
      <c r="AI141" s="1097">
        <v>126660467.93000001</v>
      </c>
      <c r="AJ141" s="1095"/>
      <c r="AK141" s="1099"/>
      <c r="AM141" s="1085"/>
      <c r="AN141" s="1097"/>
      <c r="AO141" s="1085"/>
      <c r="AP141" s="1091"/>
      <c r="AQ141" s="1092"/>
      <c r="AR141" s="1074"/>
      <c r="AS141" s="1125"/>
      <c r="AT141" s="1149"/>
      <c r="AU141" s="1123"/>
      <c r="AW141" s="1085"/>
      <c r="AY141" s="1085"/>
      <c r="BA141" s="1097"/>
      <c r="BB141" s="1097"/>
      <c r="BC141" s="1097"/>
      <c r="BD141" s="1133">
        <v>1.2484</v>
      </c>
      <c r="BE141" s="1134">
        <v>1285023756.49</v>
      </c>
      <c r="BF141" s="1100"/>
      <c r="BG141" s="1101">
        <f>Index_Returns!B375</f>
        <v>0.61685000000000001</v>
      </c>
      <c r="BH141" s="1102"/>
      <c r="BI141" s="1102"/>
      <c r="BJ141" s="1102"/>
      <c r="BK141" s="1103"/>
      <c r="BL141" s="1104">
        <f t="shared" si="35"/>
        <v>-0.49795</v>
      </c>
      <c r="BM141" s="1104">
        <f>Index_Returns!D375</f>
        <v>1.0031000000000001</v>
      </c>
      <c r="BN141" s="1104">
        <f t="shared" si="36"/>
        <v>-8.8500000000000134E-2</v>
      </c>
      <c r="BO141" s="1103"/>
      <c r="BP141" s="1153"/>
      <c r="BQ141" s="1088">
        <f>Index_Returns!E375</f>
        <v>-2.8519000000000001</v>
      </c>
      <c r="BR141" s="1102"/>
      <c r="BS141" s="1109"/>
      <c r="BT141" s="1107">
        <f t="shared" si="44"/>
        <v>-1.6339999999999999</v>
      </c>
      <c r="BU141" s="1105">
        <f>Index_Returns!F375</f>
        <v>-3.5720999999999998</v>
      </c>
      <c r="BV141" s="1109"/>
      <c r="BW141" s="1109"/>
      <c r="BX141" s="1200">
        <f t="shared" si="45"/>
        <v>-0.38980000000000015</v>
      </c>
      <c r="BY141" s="1088">
        <f>Index_Returns!I375</f>
        <v>-5.1947000000000001</v>
      </c>
      <c r="BZ141" s="1148">
        <f t="shared" si="43"/>
        <v>-2.4775999999999998</v>
      </c>
      <c r="CA141" s="1117"/>
      <c r="CB141" s="1109">
        <f>Index_Returns!H375</f>
        <v>-3.2538999999999998</v>
      </c>
      <c r="CC141" s="1110">
        <f t="shared" si="38"/>
        <v>-5.4800000000000182E-2</v>
      </c>
      <c r="CD141" s="1109"/>
      <c r="CE141" s="1118"/>
      <c r="CF141" s="1109"/>
      <c r="CG141" s="1113"/>
      <c r="CI141" s="1114"/>
      <c r="CJ141" s="1114"/>
      <c r="CK141" s="1114"/>
      <c r="CL141" s="1114"/>
      <c r="CM141" s="1115">
        <f>Index_Returns!W375</f>
        <v>1.3522000000000001</v>
      </c>
      <c r="CN141" s="1109"/>
      <c r="CQ141" s="1117"/>
      <c r="CR141" s="1109">
        <v>1.2612000000000001</v>
      </c>
      <c r="CS141" s="1109"/>
      <c r="CT141" s="1118">
        <v>0.88428800000000007</v>
      </c>
      <c r="CU141" s="1135">
        <f t="shared" si="40"/>
        <v>0.36411199999999988</v>
      </c>
      <c r="CV141" s="1078"/>
    </row>
    <row r="142" spans="1:100" s="1090" customFormat="1" x14ac:dyDescent="0.2">
      <c r="A142" s="1070">
        <v>38960</v>
      </c>
      <c r="B142" s="1126"/>
      <c r="C142" s="1127"/>
      <c r="D142" s="1128"/>
      <c r="E142" s="1127"/>
      <c r="F142" s="1126"/>
      <c r="G142" s="1127"/>
      <c r="H142" s="1074"/>
      <c r="I142" s="1151"/>
      <c r="J142" s="1129"/>
      <c r="K142" s="1130"/>
      <c r="L142" s="1078">
        <v>2.2347999999999999</v>
      </c>
      <c r="M142" s="1136">
        <v>938879167.77999997</v>
      </c>
      <c r="N142" s="1137">
        <v>1.8644000000000001</v>
      </c>
      <c r="O142" s="1130">
        <v>352342693.13999999</v>
      </c>
      <c r="P142" s="1126"/>
      <c r="Q142" s="1123"/>
      <c r="R142" s="1141"/>
      <c r="S142" s="1085"/>
      <c r="T142" s="1078">
        <v>0.20569999999999999</v>
      </c>
      <c r="U142" s="1122">
        <v>332229783.33999997</v>
      </c>
      <c r="V142" s="1097"/>
      <c r="W142" s="1085"/>
      <c r="X142" s="1097"/>
      <c r="Y142" s="1085"/>
      <c r="Z142" s="1155">
        <v>0.63529999999999998</v>
      </c>
      <c r="AA142" s="1097">
        <v>144034525.21000001</v>
      </c>
      <c r="AB142" s="1118"/>
      <c r="AC142" s="1085"/>
      <c r="AD142" s="1132">
        <v>2.9661</v>
      </c>
      <c r="AE142" s="1085">
        <v>724959719.25999999</v>
      </c>
      <c r="AF142" s="1097"/>
      <c r="AG142" s="1085"/>
      <c r="AH142" s="1155">
        <v>0.60919999999999996</v>
      </c>
      <c r="AI142" s="1097">
        <v>127432025.17</v>
      </c>
      <c r="AJ142" s="1095"/>
      <c r="AK142" s="1099"/>
      <c r="AM142" s="1085"/>
      <c r="AN142" s="1097"/>
      <c r="AO142" s="1085"/>
      <c r="AP142" s="1091"/>
      <c r="AQ142" s="1092"/>
      <c r="AR142" s="1074"/>
      <c r="AS142" s="1125"/>
      <c r="AT142" s="1149"/>
      <c r="AU142" s="1123"/>
      <c r="AW142" s="1085"/>
      <c r="AY142" s="1085"/>
      <c r="BA142" s="1097"/>
      <c r="BB142" s="1097"/>
      <c r="BC142" s="1097"/>
      <c r="BD142" s="1133">
        <v>0.98160000000000003</v>
      </c>
      <c r="BE142" s="1134">
        <v>1297637497.99</v>
      </c>
      <c r="BF142" s="1100"/>
      <c r="BG142" s="1101">
        <f>Index_Returns!B376</f>
        <v>2.3793000000000002</v>
      </c>
      <c r="BH142" s="1102"/>
      <c r="BI142" s="1102"/>
      <c r="BJ142" s="1102"/>
      <c r="BK142" s="1103"/>
      <c r="BL142" s="1104">
        <f t="shared" si="35"/>
        <v>-0.14450000000000029</v>
      </c>
      <c r="BM142" s="1104">
        <f>Index_Returns!D376</f>
        <v>1.5262</v>
      </c>
      <c r="BN142" s="1104">
        <f t="shared" si="36"/>
        <v>0.33820000000000006</v>
      </c>
      <c r="BO142" s="1103"/>
      <c r="BP142" s="1153"/>
      <c r="BQ142" s="1088">
        <f>Index_Returns!E376</f>
        <v>1.1429</v>
      </c>
      <c r="BR142" s="1102"/>
      <c r="BS142" s="1109"/>
      <c r="BT142" s="1107">
        <f t="shared" si="44"/>
        <v>-0.93720000000000003</v>
      </c>
      <c r="BU142" s="1105">
        <f>Index_Returns!F376</f>
        <v>0.73599999999999999</v>
      </c>
      <c r="BV142" s="1109"/>
      <c r="BW142" s="1109"/>
      <c r="BX142" s="1200">
        <f t="shared" si="45"/>
        <v>-0.10070000000000001</v>
      </c>
      <c r="BY142" s="1088">
        <f>Index_Returns!I376</f>
        <v>2.9291</v>
      </c>
      <c r="BZ142" s="1148">
        <f t="shared" si="43"/>
        <v>-2.3199000000000001</v>
      </c>
      <c r="CA142" s="1117"/>
      <c r="CB142" s="1109">
        <f>Index_Returns!H376</f>
        <v>2.9607000000000001</v>
      </c>
      <c r="CC142" s="1110">
        <f>AD142-CB142</f>
        <v>5.3999999999998494E-3</v>
      </c>
      <c r="CD142" s="1109"/>
      <c r="CE142" s="1118"/>
      <c r="CF142" s="1109"/>
      <c r="CG142" s="1113"/>
      <c r="CI142" s="1114"/>
      <c r="CJ142" s="1114"/>
      <c r="CK142" s="1114"/>
      <c r="CL142" s="1114"/>
      <c r="CM142" s="1115">
        <f>Index_Returns!W376</f>
        <v>1.5307999999999999</v>
      </c>
      <c r="CN142" s="1109"/>
      <c r="CQ142" s="1117"/>
      <c r="CR142" s="1109">
        <v>1.3486</v>
      </c>
      <c r="CS142" s="1109"/>
      <c r="CT142" s="1118">
        <v>2.205336</v>
      </c>
      <c r="CU142" s="1135">
        <f t="shared" si="40"/>
        <v>-1.2237359999999999</v>
      </c>
      <c r="CV142" s="1078"/>
    </row>
    <row r="143" spans="1:100" s="1090" customFormat="1" x14ac:dyDescent="0.2">
      <c r="A143" s="1070">
        <v>38990</v>
      </c>
      <c r="B143" s="1126"/>
      <c r="C143" s="1127"/>
      <c r="D143" s="1128"/>
      <c r="E143" s="1127"/>
      <c r="F143" s="1126"/>
      <c r="G143" s="1127"/>
      <c r="H143" s="1074"/>
      <c r="I143" s="1151"/>
      <c r="J143" s="1129"/>
      <c r="K143" s="1130"/>
      <c r="L143" s="1078">
        <v>2.6974</v>
      </c>
      <c r="M143" s="1136">
        <v>964469524.16999996</v>
      </c>
      <c r="N143" s="1137">
        <v>2.2057000000000002</v>
      </c>
      <c r="O143" s="1130">
        <v>360300402.25</v>
      </c>
      <c r="P143" s="1126"/>
      <c r="Q143" s="1123"/>
      <c r="R143" s="1141"/>
      <c r="S143" s="1085"/>
      <c r="T143" s="1078">
        <v>0.80520000000000003</v>
      </c>
      <c r="U143" s="1122">
        <v>334991913.24000001</v>
      </c>
      <c r="V143" s="1097"/>
      <c r="W143" s="1085"/>
      <c r="X143" s="1097"/>
      <c r="Y143" s="1085"/>
      <c r="Z143" s="1155">
        <v>4.5636999999999999</v>
      </c>
      <c r="AA143" s="1097">
        <v>150807111.47</v>
      </c>
      <c r="AB143" s="1118"/>
      <c r="AC143" s="1085"/>
      <c r="AD143" s="1132">
        <v>0.86109999999999998</v>
      </c>
      <c r="AE143" s="1085">
        <v>731202568.02999997</v>
      </c>
      <c r="AF143" s="1097"/>
      <c r="AG143" s="1085"/>
      <c r="AH143" s="1155">
        <v>1.7695000000000001</v>
      </c>
      <c r="AI143" s="1097">
        <v>129929336.19</v>
      </c>
      <c r="AJ143" s="1095"/>
      <c r="AK143" s="1099"/>
      <c r="AM143" s="1085"/>
      <c r="AN143" s="1097"/>
      <c r="AO143" s="1085"/>
      <c r="AP143" s="1091"/>
      <c r="AQ143" s="1092"/>
      <c r="AR143" s="1074"/>
      <c r="AS143" s="1125"/>
      <c r="AT143" s="1149"/>
      <c r="AU143" s="1123"/>
      <c r="AW143" s="1085"/>
      <c r="AY143" s="1085"/>
      <c r="BA143" s="1097"/>
      <c r="BB143" s="1097"/>
      <c r="BC143" s="1097"/>
      <c r="BD143" s="1133">
        <v>1.2068000000000001</v>
      </c>
      <c r="BE143" s="1134">
        <v>1314415569.53</v>
      </c>
      <c r="BF143" s="1100"/>
      <c r="BG143" s="1101">
        <f>Index_Returns!B377</f>
        <v>2.5770300000000002</v>
      </c>
      <c r="BH143" s="1102"/>
      <c r="BI143" s="1102"/>
      <c r="BJ143" s="1102"/>
      <c r="BK143" s="1103"/>
      <c r="BL143" s="1104">
        <f t="shared" si="35"/>
        <v>0.12036999999999987</v>
      </c>
      <c r="BM143" s="1104">
        <f>Index_Returns!D377</f>
        <v>2.6623000000000001</v>
      </c>
      <c r="BN143" s="1104">
        <f t="shared" si="36"/>
        <v>-0.45659999999999989</v>
      </c>
      <c r="BO143" s="1103"/>
      <c r="BP143" s="1153"/>
      <c r="BQ143" s="1088">
        <f>Index_Returns!E377</f>
        <v>0.67290000000000005</v>
      </c>
      <c r="BR143" s="1102"/>
      <c r="BS143" s="1109"/>
      <c r="BT143" s="1107">
        <f t="shared" si="44"/>
        <v>0.13229999999999997</v>
      </c>
      <c r="BU143" s="1105">
        <f>Index_Returns!F377</f>
        <v>1.2302</v>
      </c>
      <c r="BV143" s="1109"/>
      <c r="BW143" s="1109"/>
      <c r="BX143" s="1200">
        <f t="shared" si="45"/>
        <v>3.3334999999999999</v>
      </c>
      <c r="BY143" s="1088">
        <f>Index_Returns!I377</f>
        <v>0.67679999999999996</v>
      </c>
      <c r="BZ143" s="1148">
        <f t="shared" si="43"/>
        <v>1.0927000000000002</v>
      </c>
      <c r="CA143" s="1117"/>
      <c r="CB143" s="1109">
        <f>Index_Returns!H377</f>
        <v>0.83260000000000001</v>
      </c>
      <c r="CC143" s="1110">
        <f>AD143-CB143</f>
        <v>2.849999999999997E-2</v>
      </c>
      <c r="CD143" s="1109"/>
      <c r="CE143" s="1118"/>
      <c r="CF143" s="1109"/>
      <c r="CG143" s="1113"/>
      <c r="CI143" s="1114"/>
      <c r="CJ143" s="1114"/>
      <c r="CK143" s="1114"/>
      <c r="CL143" s="1114"/>
      <c r="CM143" s="1115">
        <f>Index_Returns!W377</f>
        <v>0.87839999999999996</v>
      </c>
      <c r="CN143" s="1109"/>
      <c r="CQ143" s="1117"/>
      <c r="CR143" s="1109">
        <v>0.76329999999999998</v>
      </c>
      <c r="CS143" s="1109"/>
      <c r="CT143" s="1118">
        <v>1.7169120000000002</v>
      </c>
      <c r="CU143" s="1135">
        <f t="shared" si="40"/>
        <v>-0.51011200000000012</v>
      </c>
      <c r="CV143" s="1078"/>
    </row>
    <row r="144" spans="1:100" s="1090" customFormat="1" x14ac:dyDescent="0.2">
      <c r="A144" s="1070">
        <v>39021</v>
      </c>
      <c r="B144" s="1126"/>
      <c r="C144" s="1127"/>
      <c r="D144" s="1128"/>
      <c r="E144" s="1127"/>
      <c r="F144" s="1126"/>
      <c r="G144" s="1127"/>
      <c r="H144" s="1074"/>
      <c r="I144" s="1151"/>
      <c r="J144" s="1129"/>
      <c r="K144" s="1130"/>
      <c r="L144" s="1078">
        <v>3.8696999999999999</v>
      </c>
      <c r="M144" s="1136">
        <v>1001791504.38</v>
      </c>
      <c r="N144" s="1137">
        <v>2.7660999999999998</v>
      </c>
      <c r="O144" s="1130">
        <v>370266655.48000002</v>
      </c>
      <c r="P144" s="1126"/>
      <c r="Q144" s="1123"/>
      <c r="R144" s="1141"/>
      <c r="S144" s="1085"/>
      <c r="T144" s="1078">
        <v>4.5587999999999997</v>
      </c>
      <c r="U144" s="1122">
        <v>350263653.11000001</v>
      </c>
      <c r="V144" s="1097"/>
      <c r="W144" s="1085"/>
      <c r="X144" s="1097"/>
      <c r="Y144" s="1085"/>
      <c r="Z144" s="1155">
        <v>3.3711000000000002</v>
      </c>
      <c r="AA144" s="1097">
        <v>155891009.27000001</v>
      </c>
      <c r="AB144" s="1118"/>
      <c r="AC144" s="1085"/>
      <c r="AD144" s="1132">
        <v>5.7359</v>
      </c>
      <c r="AE144" s="1085">
        <v>773143261.04999995</v>
      </c>
      <c r="AF144" s="1097"/>
      <c r="AG144" s="1085"/>
      <c r="AH144" s="1155">
        <v>5.2281000000000004</v>
      </c>
      <c r="AI144" s="1097">
        <v>136722168.53999999</v>
      </c>
      <c r="AJ144" s="1095"/>
      <c r="AK144" s="1099"/>
      <c r="AM144" s="1085"/>
      <c r="AN144" s="1097"/>
      <c r="AO144" s="1085"/>
      <c r="AP144" s="1091"/>
      <c r="AQ144" s="1092"/>
      <c r="AR144" s="1074"/>
      <c r="AS144" s="1125"/>
      <c r="AT144" s="1149"/>
      <c r="AU144" s="1123"/>
      <c r="AW144" s="1085"/>
      <c r="AY144" s="1085"/>
      <c r="BA144" s="1097"/>
      <c r="BB144" s="1097"/>
      <c r="BC144" s="1097"/>
      <c r="BD144" s="1133">
        <v>1.7239</v>
      </c>
      <c r="BE144" s="1134">
        <v>1337075259.97</v>
      </c>
      <c r="BF144" s="1100"/>
      <c r="BG144" s="1101">
        <f>Index_Returns!B378</f>
        <v>3.2585999999999999</v>
      </c>
      <c r="BH144" s="1102"/>
      <c r="BI144" s="1102"/>
      <c r="BJ144" s="1102"/>
      <c r="BK144" s="1103"/>
      <c r="BL144" s="1104">
        <f t="shared" si="35"/>
        <v>0.61109999999999998</v>
      </c>
      <c r="BM144" s="1104">
        <f>Index_Returns!D378</f>
        <v>3.3349000000000002</v>
      </c>
      <c r="BN144" s="1104">
        <f t="shared" si="36"/>
        <v>-0.56880000000000042</v>
      </c>
      <c r="BO144" s="1103"/>
      <c r="BP144" s="1153"/>
      <c r="BQ144" s="1088">
        <f>Index_Returns!E378</f>
        <v>4.157</v>
      </c>
      <c r="BR144" s="1102"/>
      <c r="BS144" s="1109"/>
      <c r="BT144" s="1107">
        <f t="shared" si="44"/>
        <v>0.40179999999999971</v>
      </c>
      <c r="BU144" s="1105">
        <f>Index_Returns!F378</f>
        <v>3.7263000000000002</v>
      </c>
      <c r="BV144" s="1109"/>
      <c r="BW144" s="1109"/>
      <c r="BX144" s="1200">
        <f t="shared" si="45"/>
        <v>-0.35519999999999996</v>
      </c>
      <c r="BY144" s="1088">
        <f>Index_Returns!I378</f>
        <v>6.4798</v>
      </c>
      <c r="BZ144" s="1148">
        <f t="shared" si="43"/>
        <v>-1.2516999999999996</v>
      </c>
      <c r="CA144" s="1117"/>
      <c r="CB144" s="1109">
        <f>Index_Returns!H378</f>
        <v>5.7577999999999996</v>
      </c>
      <c r="CC144" s="1110">
        <f>AD144-CB144</f>
        <v>-2.1899999999999586E-2</v>
      </c>
      <c r="CD144" s="1109"/>
      <c r="CE144" s="1118"/>
      <c r="CF144" s="1109"/>
      <c r="CG144" s="1113"/>
      <c r="CI144" s="1114"/>
      <c r="CJ144" s="1114"/>
      <c r="CK144" s="1114"/>
      <c r="CL144" s="1114"/>
      <c r="CM144" s="1115">
        <f>Index_Returns!W378</f>
        <v>0.66149999999999998</v>
      </c>
      <c r="CN144" s="1109"/>
      <c r="CQ144" s="1117"/>
      <c r="CR144" s="1109">
        <v>0.61150000000000004</v>
      </c>
      <c r="CS144" s="1109"/>
      <c r="CT144" s="1118">
        <v>2.6337640000000002</v>
      </c>
      <c r="CU144" s="1135">
        <f t="shared" si="40"/>
        <v>-0.90986400000000023</v>
      </c>
      <c r="CV144" s="1078"/>
    </row>
    <row r="145" spans="1:100" s="1090" customFormat="1" x14ac:dyDescent="0.2">
      <c r="A145" s="1070">
        <v>39051</v>
      </c>
      <c r="B145" s="1126"/>
      <c r="C145" s="1127"/>
      <c r="D145" s="1128"/>
      <c r="E145" s="1127"/>
      <c r="F145" s="1126"/>
      <c r="G145" s="1127"/>
      <c r="H145" s="1074"/>
      <c r="I145" s="1151"/>
      <c r="J145" s="1129"/>
      <c r="K145" s="1130"/>
      <c r="L145" s="1078">
        <v>1.2123999999999999</v>
      </c>
      <c r="M145" s="1136">
        <v>1014209272.55</v>
      </c>
      <c r="N145" s="1137">
        <v>1.3808</v>
      </c>
      <c r="O145" s="1130">
        <v>375379317.81</v>
      </c>
      <c r="P145" s="1126"/>
      <c r="Q145" s="1123"/>
      <c r="R145" s="1141"/>
      <c r="S145" s="1085"/>
      <c r="T145" s="1078">
        <v>2.1619999999999999</v>
      </c>
      <c r="U145" s="1122">
        <v>357836303.82999998</v>
      </c>
      <c r="V145" s="1097"/>
      <c r="W145" s="1085"/>
      <c r="X145" s="1097"/>
      <c r="Y145" s="1085"/>
      <c r="Z145" s="1155">
        <v>3.6118999999999999</v>
      </c>
      <c r="AA145" s="1097">
        <v>161520920.09</v>
      </c>
      <c r="AB145" s="1118"/>
      <c r="AC145" s="1085"/>
      <c r="AD145" s="1132">
        <v>2.6375000000000002</v>
      </c>
      <c r="AE145" s="1085">
        <v>793534815.67999995</v>
      </c>
      <c r="AF145" s="1097"/>
      <c r="AG145" s="1085"/>
      <c r="AH145" s="1155">
        <v>1.8489</v>
      </c>
      <c r="AI145" s="1097">
        <v>139250001.50999999</v>
      </c>
      <c r="AJ145" s="1095"/>
      <c r="AK145" s="1099"/>
      <c r="AM145" s="1085"/>
      <c r="AN145" s="1097"/>
      <c r="AO145" s="1085"/>
      <c r="AP145" s="1091"/>
      <c r="AQ145" s="1092"/>
      <c r="AR145" s="1074"/>
      <c r="AS145" s="1125"/>
      <c r="AT145" s="1149"/>
      <c r="AU145" s="1123"/>
      <c r="AW145" s="1085"/>
      <c r="AY145" s="1085"/>
      <c r="BA145" s="1097"/>
      <c r="BB145" s="1097"/>
      <c r="BC145" s="1097"/>
      <c r="BD145" s="1133">
        <v>0.98280000000000001</v>
      </c>
      <c r="BE145" s="1134">
        <v>1350216076.0899999</v>
      </c>
      <c r="BF145" s="1100"/>
      <c r="BG145" s="1101">
        <f>Index_Returns!B379</f>
        <v>1.90161</v>
      </c>
      <c r="BH145" s="1102"/>
      <c r="BI145" s="1102"/>
      <c r="BJ145" s="1102"/>
      <c r="BK145" s="1103"/>
      <c r="BL145" s="1104">
        <f t="shared" si="35"/>
        <v>-0.6892100000000001</v>
      </c>
      <c r="BM145" s="1104">
        <f>Index_Returns!D379</f>
        <v>1.7946</v>
      </c>
      <c r="BN145" s="1104">
        <f t="shared" si="36"/>
        <v>-0.41379999999999995</v>
      </c>
      <c r="BO145" s="1103"/>
      <c r="BP145" s="1153"/>
      <c r="BQ145" s="1088">
        <f>Index_Returns!E379</f>
        <v>3.2174999999999998</v>
      </c>
      <c r="BR145" s="1102"/>
      <c r="BS145" s="1109"/>
      <c r="BT145" s="1107">
        <f t="shared" si="44"/>
        <v>-1.0554999999999999</v>
      </c>
      <c r="BU145" s="1105">
        <f>Index_Returns!F379</f>
        <v>3.4066000000000001</v>
      </c>
      <c r="BV145" s="1109"/>
      <c r="BW145" s="1109"/>
      <c r="BX145" s="1200">
        <f t="shared" si="45"/>
        <v>0.20529999999999982</v>
      </c>
      <c r="BY145" s="1088">
        <f>Index_Returns!I379</f>
        <v>2.3940999999999999</v>
      </c>
      <c r="BZ145" s="1148">
        <f t="shared" si="43"/>
        <v>-0.54519999999999991</v>
      </c>
      <c r="CA145" s="1117"/>
      <c r="CB145" s="1109">
        <f>Index_Returns!H379</f>
        <v>2.6305000000000001</v>
      </c>
      <c r="CC145" s="1110">
        <f>AD145-CB145</f>
        <v>7.0000000000001172E-3</v>
      </c>
      <c r="CD145" s="1109"/>
      <c r="CE145" s="1118"/>
      <c r="CF145" s="1109"/>
      <c r="CG145" s="1113"/>
      <c r="CI145" s="1114"/>
      <c r="CJ145" s="1114"/>
      <c r="CK145" s="1114"/>
      <c r="CL145" s="1114"/>
      <c r="CM145" s="1118"/>
      <c r="CN145" s="1109"/>
      <c r="CQ145" s="1117"/>
      <c r="CR145" s="1109">
        <v>1.0197000000000001</v>
      </c>
      <c r="CS145" s="1109"/>
      <c r="CT145" s="1118">
        <v>1.8723320000000001</v>
      </c>
      <c r="CU145" s="1135">
        <f t="shared" si="40"/>
        <v>-0.8895320000000001</v>
      </c>
      <c r="CV145" s="1078"/>
    </row>
    <row r="146" spans="1:100" s="1090" customFormat="1" x14ac:dyDescent="0.2">
      <c r="A146" s="1070">
        <v>39082</v>
      </c>
      <c r="B146" s="1126"/>
      <c r="C146" s="1127"/>
      <c r="D146" s="1128"/>
      <c r="E146" s="1127"/>
      <c r="F146" s="1126"/>
      <c r="G146" s="1127"/>
      <c r="H146" s="1074"/>
      <c r="I146" s="1151"/>
      <c r="J146" s="1129"/>
      <c r="K146" s="1130"/>
      <c r="L146" s="1078">
        <v>1.8441000000000001</v>
      </c>
      <c r="M146" s="1164">
        <v>612536819.85000002</v>
      </c>
      <c r="N146" s="1137">
        <v>2.3902999999999999</v>
      </c>
      <c r="O146" s="1130">
        <v>384547357.44999999</v>
      </c>
      <c r="P146" s="1126"/>
      <c r="Q146" s="1123"/>
      <c r="R146" s="1141"/>
      <c r="S146" s="1085"/>
      <c r="T146" s="1078">
        <v>-0.60640000000000005</v>
      </c>
      <c r="U146" s="1165">
        <v>355749721.83999997</v>
      </c>
      <c r="V146" s="1097"/>
      <c r="W146" s="1085"/>
      <c r="X146" s="1097"/>
      <c r="Y146" s="1085"/>
      <c r="Z146" s="1155">
        <v>-1.9812000000000001</v>
      </c>
      <c r="AA146" s="1097">
        <v>158515721.02000001</v>
      </c>
      <c r="AB146" s="1118"/>
      <c r="AC146" s="1085"/>
      <c r="AD146" s="1132"/>
      <c r="AE146" s="1085"/>
      <c r="AF146" s="1097"/>
      <c r="AG146" s="1085"/>
      <c r="AH146" s="1155">
        <v>0.38219999999999998</v>
      </c>
      <c r="AI146" s="1097">
        <v>140011939.16</v>
      </c>
      <c r="AJ146" s="1095"/>
      <c r="AK146" s="1099"/>
      <c r="AM146" s="1085"/>
      <c r="AN146" s="1097"/>
      <c r="AO146" s="1085"/>
      <c r="AP146" s="1091"/>
      <c r="AQ146" s="1092"/>
      <c r="AR146" s="1074"/>
      <c r="AS146" s="1125"/>
      <c r="AT146" s="1149"/>
      <c r="AU146" s="1123"/>
      <c r="AW146" s="1085"/>
      <c r="AY146" s="1085"/>
      <c r="BA146" s="1097"/>
      <c r="BB146" s="1097"/>
      <c r="BC146" s="1097"/>
      <c r="BD146" s="1133">
        <v>1.5892999999999999</v>
      </c>
      <c r="BE146" s="1134">
        <v>1372769309.6199999</v>
      </c>
      <c r="BF146" s="1100"/>
      <c r="BG146" s="1101">
        <f>Index_Returns!B380</f>
        <v>1.4027700000000001</v>
      </c>
      <c r="BH146" s="1102"/>
      <c r="BI146" s="1102"/>
      <c r="BJ146" s="1102"/>
      <c r="BK146" s="1103"/>
      <c r="BL146" s="1104">
        <f t="shared" si="35"/>
        <v>0.44133</v>
      </c>
      <c r="BM146" s="1104">
        <f>Index_Returns!D380</f>
        <v>2.4100999999999999</v>
      </c>
      <c r="BN146" s="1104">
        <f t="shared" si="36"/>
        <v>-1.980000000000004E-2</v>
      </c>
      <c r="BO146" s="1103"/>
      <c r="BP146" s="1153"/>
      <c r="BQ146" s="1088">
        <f>Index_Returns!E380</f>
        <v>-0.48649999999999999</v>
      </c>
      <c r="BR146" s="1102"/>
      <c r="BS146" s="1109"/>
      <c r="BT146" s="1107">
        <f t="shared" si="44"/>
        <v>-0.11990000000000006</v>
      </c>
      <c r="BU146" s="1105">
        <f>Index_Returns!F380</f>
        <v>-1.1914</v>
      </c>
      <c r="BV146" s="1109"/>
      <c r="BW146" s="1109"/>
      <c r="BX146" s="1200">
        <f t="shared" si="45"/>
        <v>-0.78980000000000006</v>
      </c>
      <c r="BY146" s="1088">
        <f>Index_Returns!I380</f>
        <v>-0.23799999999999999</v>
      </c>
      <c r="BZ146" s="1148">
        <f t="shared" si="43"/>
        <v>0.62019999999999997</v>
      </c>
      <c r="CA146" s="1117"/>
      <c r="CB146" s="1109">
        <f>Index_Returns!H380</f>
        <v>0.33489999999999998</v>
      </c>
      <c r="CC146" s="1110"/>
      <c r="CD146" s="1109"/>
      <c r="CE146" s="1118"/>
      <c r="CF146" s="1109"/>
      <c r="CG146" s="1113"/>
      <c r="CI146" s="1114"/>
      <c r="CJ146" s="1114"/>
      <c r="CK146" s="1114"/>
      <c r="CL146" s="1114"/>
      <c r="CM146" s="1118"/>
      <c r="CN146" s="1109"/>
      <c r="CQ146" s="1117"/>
      <c r="CR146" s="1109">
        <v>-0.36820000000000003</v>
      </c>
      <c r="CS146" s="877"/>
      <c r="CT146" s="1118">
        <v>1.1263480000000001</v>
      </c>
      <c r="CU146" s="1135">
        <f t="shared" si="40"/>
        <v>0.46295199999999981</v>
      </c>
      <c r="CV146" s="1078"/>
    </row>
    <row r="147" spans="1:100" s="1090" customFormat="1" x14ac:dyDescent="0.2">
      <c r="A147" s="1070">
        <v>39113</v>
      </c>
      <c r="B147" s="1126"/>
      <c r="C147" s="1127"/>
      <c r="D147" s="1128"/>
      <c r="E147" s="1127"/>
      <c r="F147" s="1126"/>
      <c r="G147" s="1127"/>
      <c r="H147" s="1074"/>
      <c r="I147" s="1151"/>
      <c r="J147" s="1129"/>
      <c r="K147" s="1130"/>
      <c r="L147" s="1078">
        <v>1.8847</v>
      </c>
      <c r="M147" s="1166">
        <v>624081442.39999998</v>
      </c>
      <c r="N147" s="1137">
        <v>2.391</v>
      </c>
      <c r="O147" s="1130">
        <v>393741794.58999997</v>
      </c>
      <c r="P147" s="1126"/>
      <c r="Q147" s="1123"/>
      <c r="R147" s="1141"/>
      <c r="S147" s="1085"/>
      <c r="T147" s="1078">
        <v>3.7814999999999999</v>
      </c>
      <c r="U147" s="1167">
        <v>369202313.20999998</v>
      </c>
      <c r="V147" s="1097"/>
      <c r="W147" s="1085"/>
      <c r="X147" s="1097"/>
      <c r="Y147" s="1085"/>
      <c r="Z147" s="1155">
        <v>3.0548999999999999</v>
      </c>
      <c r="AA147" s="1097">
        <v>163358169.58000001</v>
      </c>
      <c r="AB147" s="1118"/>
      <c r="AC147" s="1085"/>
      <c r="AD147" s="1132"/>
      <c r="AE147" s="1085"/>
      <c r="AF147" s="1097"/>
      <c r="AG147" s="1085"/>
      <c r="AH147" s="1155">
        <v>1.8819438424597805</v>
      </c>
      <c r="AI147" s="1097">
        <v>142728160.80000001</v>
      </c>
      <c r="AJ147" s="1095"/>
      <c r="AK147" s="1099"/>
      <c r="AM147" s="1085"/>
      <c r="AN147" s="1097"/>
      <c r="AO147" s="1085"/>
      <c r="AP147" s="1091"/>
      <c r="AQ147" s="1092"/>
      <c r="AR147" s="1074"/>
      <c r="AS147" s="1125"/>
      <c r="AT147" s="1149"/>
      <c r="AU147" s="1123"/>
      <c r="AW147" s="1085"/>
      <c r="AY147" s="1085"/>
      <c r="BA147" s="1097"/>
      <c r="BB147" s="1097"/>
      <c r="BC147" s="1097"/>
      <c r="BD147" s="1133">
        <v>1.0462333333333333</v>
      </c>
      <c r="BE147" s="1168">
        <v>1387531586.1300001</v>
      </c>
      <c r="BF147" s="1100"/>
      <c r="BG147" s="1101">
        <f>Index_Returns!B381</f>
        <v>1.512</v>
      </c>
      <c r="BH147" s="1102"/>
      <c r="BI147" s="1102"/>
      <c r="BJ147" s="1102"/>
      <c r="BK147" s="1103"/>
      <c r="BL147" s="1104">
        <f t="shared" si="35"/>
        <v>0.37270000000000003</v>
      </c>
      <c r="BM147" s="1104">
        <f>Index_Returns!D381</f>
        <v>1.7617</v>
      </c>
      <c r="BN147" s="1104">
        <f t="shared" si="36"/>
        <v>0.62929999999999997</v>
      </c>
      <c r="BO147" s="1103"/>
      <c r="BP147" s="1153"/>
      <c r="BQ147" s="1088">
        <f>Index_Returns!E381</f>
        <v>3.6335999999999999</v>
      </c>
      <c r="BR147" s="1102"/>
      <c r="BS147" s="1109"/>
      <c r="BT147" s="1107">
        <f t="shared" si="44"/>
        <v>0.14789999999999992</v>
      </c>
      <c r="BU147" s="1105">
        <f>Index_Returns!F381</f>
        <v>3.9426999999999999</v>
      </c>
      <c r="BV147" s="1109"/>
      <c r="BW147" s="1109"/>
      <c r="BX147" s="1200">
        <f t="shared" si="45"/>
        <v>-0.88779999999999992</v>
      </c>
      <c r="BY147" s="1088">
        <f>Index_Returns!I381</f>
        <v>1.8605</v>
      </c>
      <c r="BZ147" s="1148">
        <f t="shared" si="43"/>
        <v>2.1443842459780482E-2</v>
      </c>
      <c r="CA147" s="1117"/>
      <c r="CB147" s="1109">
        <f>Index_Returns!H381</f>
        <v>1.6735</v>
      </c>
      <c r="CC147" s="1109"/>
      <c r="CD147" s="1109"/>
      <c r="CE147" s="1118"/>
      <c r="CF147" s="1109"/>
      <c r="CG147" s="1113"/>
      <c r="CI147" s="1114"/>
      <c r="CJ147" s="1114"/>
      <c r="CK147" s="1114"/>
      <c r="CL147" s="1114"/>
      <c r="CM147" s="1118"/>
      <c r="CN147" s="1109"/>
      <c r="CQ147" s="1117"/>
      <c r="CR147" s="1109">
        <v>2.8400000000000002E-2</v>
      </c>
      <c r="CS147" s="877"/>
      <c r="CT147" s="1118">
        <v>0.94489600000000007</v>
      </c>
      <c r="CU147" s="1135">
        <f t="shared" si="40"/>
        <v>0.10133733333333328</v>
      </c>
      <c r="CV147" s="1078"/>
    </row>
    <row r="148" spans="1:100" s="1090" customFormat="1" x14ac:dyDescent="0.2">
      <c r="A148" s="1070">
        <v>39141</v>
      </c>
      <c r="B148" s="1126"/>
      <c r="C148" s="1127"/>
      <c r="D148" s="1128"/>
      <c r="E148" s="1127"/>
      <c r="F148" s="1126"/>
      <c r="G148" s="1127"/>
      <c r="H148" s="1074"/>
      <c r="I148" s="1151"/>
      <c r="J148" s="1129"/>
      <c r="K148" s="1130"/>
      <c r="L148" s="1078">
        <v>-1.6309</v>
      </c>
      <c r="M148" s="1166">
        <v>613903145.64999998</v>
      </c>
      <c r="N148" s="1137">
        <v>-1.2161999999999999</v>
      </c>
      <c r="O148" s="1130">
        <v>388952914.94</v>
      </c>
      <c r="P148" s="1126"/>
      <c r="Q148" s="1123"/>
      <c r="R148" s="1141"/>
      <c r="S148" s="1085"/>
      <c r="T148" s="1078">
        <v>-0.5091</v>
      </c>
      <c r="U148" s="1167">
        <v>367331803.18000001</v>
      </c>
      <c r="V148" s="1097"/>
      <c r="W148" s="1085"/>
      <c r="X148" s="1097"/>
      <c r="Y148" s="1085"/>
      <c r="Z148" s="1155">
        <v>-0.40820000000000001</v>
      </c>
      <c r="AA148" s="1097">
        <v>162691351.59</v>
      </c>
      <c r="AB148" s="1118"/>
      <c r="AC148" s="1085"/>
      <c r="AD148" s="1132"/>
      <c r="AE148" s="1085"/>
      <c r="AF148" s="1097"/>
      <c r="AG148" s="1085"/>
      <c r="AH148" s="1097"/>
      <c r="AI148" s="1097"/>
      <c r="AJ148" s="1095"/>
      <c r="AK148" s="1099"/>
      <c r="AM148" s="1085"/>
      <c r="AN148" s="1097"/>
      <c r="AO148" s="1085"/>
      <c r="AP148" s="1091"/>
      <c r="AQ148" s="1092"/>
      <c r="AR148" s="1074"/>
      <c r="AS148" s="1125"/>
      <c r="AT148" s="1149"/>
      <c r="AU148" s="1123"/>
      <c r="AW148" s="1085"/>
      <c r="AY148" s="1085"/>
      <c r="BA148" s="1097"/>
      <c r="BB148" s="1097"/>
      <c r="BC148" s="1097"/>
      <c r="BD148" s="1098"/>
      <c r="BE148" s="1099"/>
      <c r="BF148" s="1100"/>
      <c r="BG148" s="1101">
        <f>Index_Returns!B382</f>
        <v>-1.9558800000000001</v>
      </c>
      <c r="BH148" s="1102"/>
      <c r="BI148" s="1102"/>
      <c r="BJ148" s="1102"/>
      <c r="BK148" s="1103"/>
      <c r="BL148" s="1104">
        <f t="shared" si="35"/>
        <v>0.32498000000000005</v>
      </c>
      <c r="BM148" s="1104">
        <f>Index_Returns!D382</f>
        <v>-1.6937</v>
      </c>
      <c r="BN148" s="1104">
        <f t="shared" si="36"/>
        <v>0.47750000000000004</v>
      </c>
      <c r="BO148" s="1103"/>
      <c r="BP148" s="1153"/>
      <c r="BQ148" s="1088">
        <f>Index_Returns!E382</f>
        <v>0.73309999999999997</v>
      </c>
      <c r="BR148" s="1102"/>
      <c r="BS148" s="1109"/>
      <c r="BT148" s="1107">
        <f t="shared" si="44"/>
        <v>-1.2422</v>
      </c>
      <c r="BU148" s="1105">
        <f>Index_Returns!F382</f>
        <v>0.25690000000000002</v>
      </c>
      <c r="BV148" s="1109"/>
      <c r="BW148" s="1109"/>
      <c r="BX148" s="1200">
        <f t="shared" si="45"/>
        <v>-0.66510000000000002</v>
      </c>
      <c r="CA148" s="1117"/>
      <c r="CB148" s="1109">
        <f>Index_Returns!H382</f>
        <v>-0.79349999999999998</v>
      </c>
      <c r="CC148" s="1109"/>
      <c r="CD148" s="1109"/>
      <c r="CE148" s="1118"/>
      <c r="CF148" s="1109"/>
      <c r="CG148" s="1113"/>
      <c r="CI148" s="1114"/>
      <c r="CJ148" s="1114"/>
      <c r="CK148" s="1114"/>
      <c r="CL148" s="1114"/>
      <c r="CM148" s="1118"/>
      <c r="CN148" s="1109"/>
      <c r="CQ148" s="1117"/>
      <c r="CR148" s="1109">
        <v>1.3337000000000001</v>
      </c>
      <c r="CS148" s="877"/>
      <c r="CT148" s="1118"/>
      <c r="CU148" s="1117"/>
    </row>
    <row r="149" spans="1:100" s="1090" customFormat="1" x14ac:dyDescent="0.2">
      <c r="A149" s="1070">
        <v>39172</v>
      </c>
      <c r="B149" s="1126"/>
      <c r="C149" s="1127"/>
      <c r="D149" s="1128"/>
      <c r="E149" s="1127"/>
      <c r="F149" s="1126"/>
      <c r="G149" s="1127"/>
      <c r="H149" s="1074"/>
      <c r="I149" s="1151"/>
      <c r="J149" s="1129"/>
      <c r="K149" s="1130"/>
      <c r="L149" s="1078">
        <v>1.8358000000000001</v>
      </c>
      <c r="M149" s="1166">
        <v>625366036.62</v>
      </c>
      <c r="N149" s="1137">
        <v>1.4843999999999999</v>
      </c>
      <c r="O149" s="1130">
        <v>394933024.88999999</v>
      </c>
      <c r="P149" s="1126"/>
      <c r="Q149" s="1123"/>
      <c r="R149" s="1141"/>
      <c r="S149" s="1085"/>
      <c r="T149" s="1078">
        <v>1.7501</v>
      </c>
      <c r="U149" s="1167">
        <v>373850105.37</v>
      </c>
      <c r="V149" s="1097"/>
      <c r="W149" s="1085"/>
      <c r="X149" s="1097"/>
      <c r="Y149" s="1085"/>
      <c r="Z149" s="1155">
        <v>0.13539999999999999</v>
      </c>
      <c r="AA149" s="1097">
        <v>163115445.21000001</v>
      </c>
      <c r="AB149" s="1118"/>
      <c r="AC149" s="1085"/>
      <c r="AD149" s="1132"/>
      <c r="AE149" s="1085"/>
      <c r="AF149" s="1097"/>
      <c r="AG149" s="1085"/>
      <c r="AH149" s="1097"/>
      <c r="AI149" s="1097"/>
      <c r="AJ149" s="1095"/>
      <c r="AK149" s="1099"/>
      <c r="AM149" s="1085"/>
      <c r="AN149" s="1097"/>
      <c r="AO149" s="1085"/>
      <c r="AP149" s="1091"/>
      <c r="AQ149" s="1092"/>
      <c r="AR149" s="1074"/>
      <c r="AS149" s="1125"/>
      <c r="AT149" s="1149"/>
      <c r="AU149" s="1123"/>
      <c r="AW149" s="1085"/>
      <c r="AY149" s="1085"/>
      <c r="BA149" s="1097"/>
      <c r="BB149" s="1097"/>
      <c r="BC149" s="1097"/>
      <c r="BD149" s="1098"/>
      <c r="BE149" s="1099"/>
      <c r="BF149" s="1100"/>
      <c r="BG149" s="1101">
        <f>Index_Returns!B383</f>
        <v>1.1185</v>
      </c>
      <c r="BH149" s="1102"/>
      <c r="BI149" s="1102"/>
      <c r="BJ149" s="1102"/>
      <c r="BK149" s="1103"/>
      <c r="BL149" s="1104">
        <f t="shared" si="35"/>
        <v>0.71730000000000005</v>
      </c>
      <c r="BM149" s="1104">
        <f>Index_Returns!D383</f>
        <v>1.2999000000000001</v>
      </c>
      <c r="BN149" s="1104">
        <f t="shared" si="36"/>
        <v>0.18449999999999989</v>
      </c>
      <c r="BO149" s="1103"/>
      <c r="BP149" s="1153"/>
      <c r="BQ149" s="1088">
        <f>Index_Returns!E383</f>
        <v>1.3460000000000001</v>
      </c>
      <c r="BR149" s="1102"/>
      <c r="BS149" s="1109"/>
      <c r="BT149" s="1107">
        <f t="shared" si="44"/>
        <v>0.4040999999999999</v>
      </c>
      <c r="BU149" s="1105">
        <f>Index_Returns!F383</f>
        <v>1.6476</v>
      </c>
      <c r="BV149" s="1109"/>
      <c r="BW149" s="1109"/>
      <c r="BX149" s="1200">
        <f t="shared" si="45"/>
        <v>-1.5122</v>
      </c>
      <c r="CA149" s="1117"/>
      <c r="CB149" s="1109">
        <f>Index_Returns!H383</f>
        <v>1.0705</v>
      </c>
      <c r="CC149" s="1109"/>
      <c r="CD149" s="1109"/>
      <c r="CE149" s="1118"/>
      <c r="CF149" s="1109"/>
      <c r="CG149" s="1113"/>
      <c r="CI149" s="1114"/>
      <c r="CJ149" s="1114"/>
      <c r="CK149" s="1114"/>
      <c r="CL149" s="1114"/>
      <c r="CM149" s="1118"/>
      <c r="CN149" s="1109"/>
      <c r="CQ149" s="1117"/>
      <c r="CR149" s="1109">
        <v>0.20710000000000001</v>
      </c>
      <c r="CS149" s="877"/>
      <c r="CT149" s="1118"/>
      <c r="CU149" s="1117"/>
    </row>
    <row r="150" spans="1:100" s="1090" customFormat="1" x14ac:dyDescent="0.2">
      <c r="A150" s="1070">
        <v>39202</v>
      </c>
      <c r="B150" s="1126"/>
      <c r="C150" s="1127"/>
      <c r="D150" s="1128"/>
      <c r="E150" s="1127"/>
      <c r="F150" s="1126"/>
      <c r="G150" s="1127"/>
      <c r="H150" s="1074"/>
      <c r="I150" s="1151"/>
      <c r="J150" s="1129"/>
      <c r="K150" s="1130"/>
      <c r="L150" s="1078">
        <v>3.4203999999999999</v>
      </c>
      <c r="M150" s="1166">
        <v>646756088.71000004</v>
      </c>
      <c r="N150" s="1137">
        <v>3.875</v>
      </c>
      <c r="O150" s="1130">
        <v>410236698.77999997</v>
      </c>
      <c r="P150" s="1126"/>
      <c r="Q150" s="1123"/>
      <c r="R150" s="1141"/>
      <c r="S150" s="1085"/>
      <c r="T150" s="1078">
        <v>2.5592999999999999</v>
      </c>
      <c r="U150" s="1167">
        <v>383417874.25</v>
      </c>
      <c r="V150" s="1097"/>
      <c r="W150" s="1085"/>
      <c r="X150" s="1097"/>
      <c r="Y150" s="1085"/>
      <c r="Z150" s="1155">
        <v>3.6734</v>
      </c>
      <c r="AA150" s="1097">
        <v>169107258.31999999</v>
      </c>
      <c r="AB150" s="1118"/>
      <c r="AC150" s="1085"/>
      <c r="AD150" s="1132"/>
      <c r="AE150" s="1085"/>
      <c r="AF150" s="1097"/>
      <c r="AG150" s="1085"/>
      <c r="AH150" s="1097"/>
      <c r="AI150" s="1097"/>
      <c r="AJ150" s="1095"/>
      <c r="AK150" s="1099"/>
      <c r="AM150" s="1085"/>
      <c r="AN150" s="1097"/>
      <c r="AO150" s="1085"/>
      <c r="AP150" s="1091"/>
      <c r="AQ150" s="1092"/>
      <c r="AR150" s="1074"/>
      <c r="AS150" s="1125"/>
      <c r="AT150" s="1149"/>
      <c r="AU150" s="1123"/>
      <c r="AW150" s="1085"/>
      <c r="AY150" s="1085"/>
      <c r="BA150" s="1097"/>
      <c r="BB150" s="1097"/>
      <c r="BC150" s="1097"/>
      <c r="BD150" s="1169"/>
      <c r="BE150" s="1099"/>
      <c r="BF150" s="1170"/>
      <c r="BG150" s="1101">
        <f>Index_Returns!B384</f>
        <v>4.4295299999999997</v>
      </c>
      <c r="BH150" s="1102"/>
      <c r="BI150" s="1102"/>
      <c r="BJ150" s="1102"/>
      <c r="BK150" s="1103"/>
      <c r="BL150" s="1104">
        <f t="shared" si="35"/>
        <v>-1.0091299999999999</v>
      </c>
      <c r="BM150" s="1104">
        <f>Index_Returns!D384</f>
        <v>4.1965000000000003</v>
      </c>
      <c r="BN150" s="1104">
        <f t="shared" si="36"/>
        <v>-0.32150000000000034</v>
      </c>
      <c r="BO150" s="1103"/>
      <c r="BP150" s="1153"/>
      <c r="BQ150" s="1088">
        <f>Index_Returns!E384</f>
        <v>3.0417999999999998</v>
      </c>
      <c r="BR150" s="1102"/>
      <c r="BS150" s="1109"/>
      <c r="BT150" s="1107">
        <f t="shared" si="44"/>
        <v>-0.48249999999999993</v>
      </c>
      <c r="BU150" s="1105">
        <f>Index_Returns!F384</f>
        <v>3.2665000000000002</v>
      </c>
      <c r="BV150" s="1109"/>
      <c r="BW150" s="1109"/>
      <c r="BX150" s="1200">
        <f t="shared" si="45"/>
        <v>0.40689999999999982</v>
      </c>
      <c r="CA150" s="1117"/>
      <c r="CB150" s="1109">
        <f>Index_Returns!H384</f>
        <v>1.7962</v>
      </c>
      <c r="CC150" s="1109"/>
      <c r="CD150" s="1109"/>
      <c r="CE150" s="1118"/>
      <c r="CF150" s="1109"/>
      <c r="CG150" s="1113"/>
      <c r="CI150" s="1114"/>
      <c r="CJ150" s="1114"/>
      <c r="CK150" s="1114"/>
      <c r="CL150" s="1114"/>
      <c r="CM150" s="1118"/>
      <c r="CN150" s="1109"/>
      <c r="CQ150" s="1117"/>
      <c r="CR150" s="1109">
        <v>0.47960000000000003</v>
      </c>
      <c r="CS150" s="877"/>
      <c r="CT150" s="1118"/>
      <c r="CU150" s="1117"/>
    </row>
    <row r="151" spans="1:100" s="1090" customFormat="1" x14ac:dyDescent="0.2">
      <c r="A151" s="1070">
        <v>39233</v>
      </c>
      <c r="B151" s="1126"/>
      <c r="C151" s="1127"/>
      <c r="D151" s="1128"/>
      <c r="E151" s="1127"/>
      <c r="F151" s="1126"/>
      <c r="G151" s="1127"/>
      <c r="H151" s="1074"/>
      <c r="I151" s="1151"/>
      <c r="J151" s="1129"/>
      <c r="K151" s="1130"/>
      <c r="L151" s="1078">
        <v>2.722</v>
      </c>
      <c r="M151" s="1166">
        <v>664360790.61000001</v>
      </c>
      <c r="N151" s="1137">
        <v>3.4182999999999999</v>
      </c>
      <c r="O151" s="1130">
        <v>424259658.33999997</v>
      </c>
      <c r="P151" s="1126"/>
      <c r="Q151" s="1123"/>
      <c r="R151" s="1141"/>
      <c r="S151" s="1085"/>
      <c r="T151" s="1078">
        <v>5.0551000000000004</v>
      </c>
      <c r="U151" s="1167">
        <v>402800074.27999997</v>
      </c>
      <c r="V151" s="1097"/>
      <c r="W151" s="1085"/>
      <c r="X151" s="1097"/>
      <c r="Y151" s="1085"/>
      <c r="Z151" s="1155">
        <v>4.3068999999999997</v>
      </c>
      <c r="AA151" s="1097">
        <v>176390525.27000001</v>
      </c>
      <c r="AB151" s="1118"/>
      <c r="AC151" s="1085"/>
      <c r="AD151" s="1132"/>
      <c r="AE151" s="1085"/>
      <c r="AF151" s="1097"/>
      <c r="AG151" s="1085"/>
      <c r="AH151" s="1097"/>
      <c r="AI151" s="1097"/>
      <c r="AJ151" s="1095"/>
      <c r="AK151" s="1099"/>
      <c r="AM151" s="1085"/>
      <c r="AN151" s="1097"/>
      <c r="AO151" s="1085"/>
      <c r="AP151" s="1091"/>
      <c r="AQ151" s="1092"/>
      <c r="AR151" s="1074"/>
      <c r="AS151" s="1125"/>
      <c r="AT151" s="1149"/>
      <c r="AU151" s="1123"/>
      <c r="AW151" s="1085"/>
      <c r="AY151" s="1085"/>
      <c r="BA151" s="1097"/>
      <c r="BB151" s="1097"/>
      <c r="BC151" s="1097"/>
      <c r="BD151" s="1098"/>
      <c r="BE151" s="1099"/>
      <c r="BF151" s="1170"/>
      <c r="BG151" s="1101">
        <f>Index_Returns!B385</f>
        <v>3.4895100000000001</v>
      </c>
      <c r="BH151" s="1102"/>
      <c r="BI151" s="1102"/>
      <c r="BJ151" s="1102"/>
      <c r="BK151" s="1103"/>
      <c r="BL151" s="1104">
        <f t="shared" si="35"/>
        <v>-0.76751000000000014</v>
      </c>
      <c r="BM151" s="1104">
        <f>Index_Returns!D385</f>
        <v>3.8187000000000002</v>
      </c>
      <c r="BN151" s="1104">
        <f t="shared" si="36"/>
        <v>-0.40040000000000031</v>
      </c>
      <c r="BO151" s="1103"/>
      <c r="BP151" s="1153"/>
      <c r="BQ151" s="1088">
        <f>Index_Returns!E385</f>
        <v>5.0110999999999999</v>
      </c>
      <c r="BR151" s="1102"/>
      <c r="BS151" s="1109"/>
      <c r="BT151" s="1107">
        <f t="shared" si="44"/>
        <v>4.4000000000000483E-2</v>
      </c>
      <c r="BU151" s="1105">
        <f>Index_Returns!F385</f>
        <v>5.6542000000000003</v>
      </c>
      <c r="BV151" s="1109"/>
      <c r="BW151" s="1109"/>
      <c r="BX151" s="1200">
        <f t="shared" si="45"/>
        <v>-1.3473000000000006</v>
      </c>
      <c r="CA151" s="1117"/>
      <c r="CB151" s="1109">
        <f>Index_Returns!H385</f>
        <v>4.0956000000000001</v>
      </c>
      <c r="CC151" s="1109"/>
      <c r="CD151" s="1109"/>
      <c r="CE151" s="1118"/>
      <c r="CF151" s="1109"/>
      <c r="CG151" s="1113"/>
      <c r="CI151" s="1114"/>
      <c r="CJ151" s="1114"/>
      <c r="CK151" s="1114"/>
      <c r="CL151" s="1114"/>
      <c r="CM151" s="1118"/>
      <c r="CN151" s="1109"/>
      <c r="CQ151" s="1117"/>
      <c r="CR151" s="1109">
        <v>-0.63370000000000004</v>
      </c>
      <c r="CS151" s="877"/>
      <c r="CT151" s="1118"/>
      <c r="CU151" s="1117"/>
    </row>
    <row r="152" spans="1:100" s="1090" customFormat="1" x14ac:dyDescent="0.2">
      <c r="A152" s="1070">
        <v>39263</v>
      </c>
      <c r="B152" s="1126"/>
      <c r="C152" s="1127"/>
      <c r="D152" s="1128"/>
      <c r="E152" s="1127"/>
      <c r="F152" s="1126"/>
      <c r="G152" s="1127"/>
      <c r="H152" s="1074"/>
      <c r="I152" s="1151"/>
      <c r="J152" s="1129"/>
      <c r="K152" s="1130"/>
      <c r="L152" s="1078">
        <v>-2.2730000000000001</v>
      </c>
      <c r="M152" s="1166">
        <v>649451509.34000003</v>
      </c>
      <c r="N152" s="1137">
        <v>-2.2534999999999998</v>
      </c>
      <c r="O152" s="1130">
        <v>414906255.42000002</v>
      </c>
      <c r="P152" s="1126"/>
      <c r="Q152" s="1123"/>
      <c r="R152" s="1141"/>
      <c r="S152" s="1085"/>
      <c r="T152" s="1078">
        <v>-2.1936</v>
      </c>
      <c r="U152" s="1167">
        <v>394056712.43000001</v>
      </c>
      <c r="V152" s="1097"/>
      <c r="W152" s="1085"/>
      <c r="X152" s="1097"/>
      <c r="Y152" s="1085"/>
      <c r="Z152" s="1155">
        <v>-1.4523999999999999</v>
      </c>
      <c r="AA152" s="1097">
        <v>174034824.44999999</v>
      </c>
      <c r="AB152" s="1118"/>
      <c r="AC152" s="1085"/>
      <c r="AD152" s="1132"/>
      <c r="AE152" s="1085"/>
      <c r="AF152" s="1097"/>
      <c r="AG152" s="1085"/>
      <c r="AH152" s="1097"/>
      <c r="AI152" s="1097"/>
      <c r="AJ152" s="1095"/>
      <c r="AK152" s="1099"/>
      <c r="AM152" s="1085"/>
      <c r="AN152" s="1097"/>
      <c r="AO152" s="1085"/>
      <c r="AP152" s="1091"/>
      <c r="AQ152" s="1092"/>
      <c r="AR152" s="1074"/>
      <c r="AS152" s="1125"/>
      <c r="AT152" s="1149"/>
      <c r="AU152" s="1123"/>
      <c r="AW152" s="1085"/>
      <c r="AY152" s="1085"/>
      <c r="BA152" s="1097"/>
      <c r="BB152" s="1097"/>
      <c r="BC152" s="1097"/>
      <c r="BD152" s="1098"/>
      <c r="BE152" s="1099"/>
      <c r="BF152" s="1100"/>
      <c r="BG152" s="1101">
        <f>Index_Returns!B386</f>
        <v>-1.6613199999999999</v>
      </c>
      <c r="BH152" s="1102"/>
      <c r="BI152" s="1102"/>
      <c r="BJ152" s="1102"/>
      <c r="BK152" s="1103"/>
      <c r="BL152" s="1104">
        <f t="shared" si="35"/>
        <v>-0.61168000000000022</v>
      </c>
      <c r="BM152" s="1104">
        <f>Index_Returns!D386</f>
        <v>-2.0550000000000002</v>
      </c>
      <c r="BN152" s="1104">
        <f t="shared" si="36"/>
        <v>-0.19849999999999968</v>
      </c>
      <c r="BO152" s="1103"/>
      <c r="BP152" s="1153"/>
      <c r="BQ152" s="1088">
        <f>Index_Returns!E386</f>
        <v>-2.1842999999999999</v>
      </c>
      <c r="BR152" s="1102"/>
      <c r="BS152" s="1109"/>
      <c r="BT152" s="1107">
        <f t="shared" si="44"/>
        <v>-9.300000000000086E-3</v>
      </c>
      <c r="BU152" s="1105">
        <f>Index_Returns!F386</f>
        <v>-1.7181</v>
      </c>
      <c r="BV152" s="1109"/>
      <c r="BW152" s="1109"/>
      <c r="BX152" s="1200">
        <f t="shared" si="45"/>
        <v>0.26570000000000005</v>
      </c>
      <c r="CA152" s="1117"/>
      <c r="CB152" s="1109">
        <f>Index_Returns!H386</f>
        <v>-1.4629000000000001</v>
      </c>
      <c r="CC152" s="1109"/>
      <c r="CD152" s="1109"/>
      <c r="CE152" s="1118"/>
      <c r="CF152" s="1109"/>
      <c r="CG152" s="1113"/>
      <c r="CI152" s="1114"/>
      <c r="CJ152" s="1114"/>
      <c r="CK152" s="1114"/>
      <c r="CL152" s="1114"/>
      <c r="CM152" s="1118"/>
      <c r="CN152" s="1109"/>
      <c r="CQ152" s="1117"/>
      <c r="CR152" s="1109">
        <v>-0.191</v>
      </c>
      <c r="CS152" s="877"/>
      <c r="CT152" s="1118"/>
      <c r="CU152" s="1117"/>
    </row>
    <row r="153" spans="1:100" s="1090" customFormat="1" x14ac:dyDescent="0.2">
      <c r="A153" s="1070">
        <v>39294</v>
      </c>
      <c r="B153" s="1126"/>
      <c r="C153" s="1127"/>
      <c r="D153" s="1128"/>
      <c r="E153" s="1127"/>
      <c r="F153" s="1126"/>
      <c r="G153" s="1127"/>
      <c r="H153" s="1074"/>
      <c r="I153" s="1151"/>
      <c r="J153" s="1129"/>
      <c r="K153" s="1130"/>
      <c r="L153" s="1078">
        <v>-3.1775000000000002</v>
      </c>
      <c r="M153" s="1166">
        <v>628815123.63</v>
      </c>
      <c r="N153" s="1137">
        <v>-4.9843999999999999</v>
      </c>
      <c r="O153" s="1130">
        <v>394225870.31</v>
      </c>
      <c r="P153" s="1126"/>
      <c r="Q153" s="1123"/>
      <c r="R153" s="1141"/>
      <c r="S153" s="1085"/>
      <c r="T153" s="1078">
        <v>-4.7747999999999999</v>
      </c>
      <c r="U153" s="1167">
        <v>375241192.67000002</v>
      </c>
      <c r="V153" s="1097"/>
      <c r="W153" s="1085"/>
      <c r="X153" s="1097"/>
      <c r="Y153" s="1085"/>
      <c r="Z153" s="1155">
        <v>-1.4608000000000001</v>
      </c>
      <c r="AA153" s="1097">
        <v>171492563.61000001</v>
      </c>
      <c r="AB153" s="1118"/>
      <c r="AC153" s="1085"/>
      <c r="AD153" s="1132"/>
      <c r="AE153" s="1085"/>
      <c r="AF153" s="1097"/>
      <c r="AG153" s="1085"/>
      <c r="AH153" s="1097"/>
      <c r="AI153" s="1097"/>
      <c r="AJ153" s="1095"/>
      <c r="AK153" s="1099"/>
      <c r="AM153" s="1085"/>
      <c r="AN153" s="1097"/>
      <c r="AO153" s="1085"/>
      <c r="AP153" s="1091"/>
      <c r="AQ153" s="1092"/>
      <c r="AR153" s="1074"/>
      <c r="AS153" s="1125"/>
      <c r="AT153" s="1149"/>
      <c r="AU153" s="1123"/>
      <c r="AW153" s="1085"/>
      <c r="AY153" s="1085"/>
      <c r="BA153" s="1097"/>
      <c r="BB153" s="1097"/>
      <c r="BC153" s="1097"/>
      <c r="BD153" s="1098"/>
      <c r="BE153" s="1099"/>
      <c r="BF153" s="1100"/>
      <c r="BG153" s="1101">
        <f>Index_Returns!B387</f>
        <v>-3.1004900000000002</v>
      </c>
      <c r="BH153" s="1102"/>
      <c r="BI153" s="1102"/>
      <c r="BJ153" s="1102"/>
      <c r="BK153" s="1103"/>
      <c r="BL153" s="1104">
        <f t="shared" si="35"/>
        <v>-7.7010000000000023E-2</v>
      </c>
      <c r="BM153" s="1104">
        <f>Index_Returns!D387</f>
        <v>-3.9300999999999999</v>
      </c>
      <c r="BN153" s="1104">
        <f t="shared" si="36"/>
        <v>-1.0543</v>
      </c>
      <c r="BO153" s="1103"/>
      <c r="BP153" s="1153"/>
      <c r="BQ153" s="1088">
        <f>Index_Returns!E387</f>
        <v>-4.3059000000000003</v>
      </c>
      <c r="BR153" s="1102"/>
      <c r="BS153" s="1109"/>
      <c r="BT153" s="1107">
        <f t="shared" si="44"/>
        <v>-0.46889999999999965</v>
      </c>
      <c r="BU153" s="1105">
        <f>Index_Returns!F387</f>
        <v>-3.7441</v>
      </c>
      <c r="BV153" s="1109"/>
      <c r="BW153" s="1109"/>
      <c r="BX153" s="1200">
        <f t="shared" si="45"/>
        <v>2.2832999999999997</v>
      </c>
      <c r="CA153" s="1117"/>
      <c r="CB153" s="1109"/>
      <c r="CC153" s="1109"/>
      <c r="CD153" s="1109"/>
      <c r="CE153" s="1118"/>
      <c r="CF153" s="1109"/>
      <c r="CG153" s="1113"/>
      <c r="CI153" s="1114"/>
      <c r="CJ153" s="1114"/>
      <c r="CK153" s="1114"/>
      <c r="CL153" s="1114"/>
      <c r="CM153" s="1118"/>
      <c r="CN153" s="1109"/>
      <c r="CQ153" s="1117"/>
      <c r="CR153" s="1109">
        <v>0.79120000000000001</v>
      </c>
      <c r="CS153" s="877"/>
      <c r="CT153" s="1118"/>
      <c r="CU153" s="1117"/>
    </row>
    <row r="154" spans="1:100" s="1090" customFormat="1" x14ac:dyDescent="0.2">
      <c r="A154" s="1070">
        <v>39325</v>
      </c>
      <c r="B154" s="1126"/>
      <c r="C154" s="1127"/>
      <c r="D154" s="1128"/>
      <c r="E154" s="1127"/>
      <c r="F154" s="1126"/>
      <c r="G154" s="1127"/>
      <c r="H154" s="1074"/>
      <c r="I154" s="1151"/>
      <c r="J154" s="1129"/>
      <c r="K154" s="1130"/>
      <c r="L154" s="1078">
        <v>1.7577</v>
      </c>
      <c r="M154" s="1171">
        <v>639867741.22000003</v>
      </c>
      <c r="N154" s="1137">
        <v>1.5291999999999999</v>
      </c>
      <c r="O154" s="1130">
        <v>400254428.54000002</v>
      </c>
      <c r="P154" s="1126"/>
      <c r="Q154" s="1123"/>
      <c r="R154" s="1141"/>
      <c r="S154" s="1085"/>
      <c r="T154" s="1078">
        <v>0.92669999999999997</v>
      </c>
      <c r="U154" s="1172">
        <v>378718400.76999998</v>
      </c>
      <c r="V154" s="1097"/>
      <c r="W154" s="1085"/>
      <c r="X154" s="1097"/>
      <c r="Y154" s="1085"/>
      <c r="Z154" s="1155">
        <v>0.1721</v>
      </c>
      <c r="AA154" s="1097">
        <v>171787627.69999999</v>
      </c>
      <c r="AB154" s="1118"/>
      <c r="AC154" s="1085"/>
      <c r="AD154" s="1132"/>
      <c r="AE154" s="1085"/>
      <c r="AF154" s="1097"/>
      <c r="AG154" s="1085"/>
      <c r="AH154" s="1097"/>
      <c r="AI154" s="1097"/>
      <c r="AJ154" s="1095"/>
      <c r="AK154" s="1099"/>
      <c r="AM154" s="1085"/>
      <c r="AN154" s="1097"/>
      <c r="AO154" s="1085"/>
      <c r="AP154" s="1091"/>
      <c r="AQ154" s="1092"/>
      <c r="AR154" s="1074"/>
      <c r="AS154" s="1125"/>
      <c r="AT154" s="1149"/>
      <c r="AU154" s="1123"/>
      <c r="AW154" s="1085"/>
      <c r="AY154" s="1085"/>
      <c r="BA154" s="1097"/>
      <c r="BB154" s="1097"/>
      <c r="BC154" s="1097"/>
      <c r="BD154" s="1098"/>
      <c r="BE154" s="1099"/>
      <c r="BF154" s="1100"/>
      <c r="BG154" s="1101">
        <f>Index_Returns!B388</f>
        <v>1.49902</v>
      </c>
      <c r="BH154" s="1102"/>
      <c r="BI154" s="1102"/>
      <c r="BJ154" s="1102"/>
      <c r="BK154" s="1103"/>
      <c r="BL154" s="1104">
        <f t="shared" si="35"/>
        <v>0.25868000000000002</v>
      </c>
      <c r="BM154" s="1104">
        <f>Index_Returns!D388</f>
        <v>1.3471</v>
      </c>
      <c r="BN154" s="1104">
        <f t="shared" si="36"/>
        <v>0.18209999999999993</v>
      </c>
      <c r="BO154" s="1103"/>
      <c r="BP154" s="1153"/>
      <c r="BQ154" s="1088">
        <f>Index_Returns!E388</f>
        <v>0.92120000000000002</v>
      </c>
      <c r="BR154" s="1102"/>
      <c r="BS154" s="1109"/>
      <c r="BT154" s="1107">
        <f t="shared" si="44"/>
        <v>5.4999999999999494E-3</v>
      </c>
      <c r="BU154" s="1105">
        <f>Index_Returns!F388</f>
        <v>1.1114999999999999</v>
      </c>
      <c r="BV154" s="1109"/>
      <c r="BW154" s="1109"/>
      <c r="BX154" s="1200">
        <f t="shared" si="45"/>
        <v>-0.9393999999999999</v>
      </c>
      <c r="CA154" s="1117"/>
      <c r="CB154" s="1109"/>
      <c r="CC154" s="1109"/>
      <c r="CD154" s="1109"/>
      <c r="CE154" s="1118"/>
      <c r="CF154" s="1109"/>
      <c r="CG154" s="1113"/>
      <c r="CI154" s="1114"/>
      <c r="CJ154" s="1114"/>
      <c r="CK154" s="1114"/>
      <c r="CL154" s="1114"/>
      <c r="CM154" s="1118"/>
      <c r="CN154" s="1109"/>
      <c r="CQ154" s="1117"/>
      <c r="CR154" s="1109">
        <v>1.1814</v>
      </c>
      <c r="CS154" s="877"/>
      <c r="CT154" s="1118"/>
      <c r="CU154" s="1117"/>
    </row>
    <row r="155" spans="1:100" s="1090" customFormat="1" x14ac:dyDescent="0.2">
      <c r="A155" s="1070">
        <v>39355</v>
      </c>
      <c r="B155" s="1126"/>
      <c r="C155" s="1127"/>
      <c r="D155" s="1128"/>
      <c r="E155" s="1127"/>
      <c r="F155" s="1126"/>
      <c r="G155" s="1127"/>
      <c r="H155" s="1074"/>
      <c r="I155" s="1151"/>
      <c r="J155" s="1129"/>
      <c r="K155" s="1130"/>
      <c r="L155" s="1078">
        <v>4.3429000000000002</v>
      </c>
      <c r="M155" s="1171">
        <v>667861088.57000005</v>
      </c>
      <c r="N155" s="1137">
        <v>2.9561999999999999</v>
      </c>
      <c r="O155" s="1130">
        <v>412310104.25999999</v>
      </c>
      <c r="P155" s="1126"/>
      <c r="Q155" s="1123"/>
      <c r="R155" s="1141"/>
      <c r="S155" s="1085"/>
      <c r="T155" s="1078">
        <v>2.1911999999999998</v>
      </c>
      <c r="U155" s="1172">
        <v>387116415.88</v>
      </c>
      <c r="V155" s="1097"/>
      <c r="W155" s="1085"/>
      <c r="X155" s="1097"/>
      <c r="Y155" s="1085"/>
      <c r="Z155" s="1155">
        <v>4.9097999999999997</v>
      </c>
      <c r="AA155" s="1097">
        <v>180445079.22</v>
      </c>
      <c r="AB155" s="1118"/>
      <c r="AC155" s="1085"/>
      <c r="AD155" s="1132"/>
      <c r="AE155" s="1085"/>
      <c r="AF155" s="1097"/>
      <c r="AG155" s="1085"/>
      <c r="AH155" s="1097"/>
      <c r="AI155" s="1097"/>
      <c r="AJ155" s="1095"/>
      <c r="AK155" s="1099"/>
      <c r="AM155" s="1085"/>
      <c r="AN155" s="1097"/>
      <c r="AO155" s="1085"/>
      <c r="AP155" s="1091"/>
      <c r="AQ155" s="1092"/>
      <c r="AR155" s="1074"/>
      <c r="AS155" s="1125"/>
      <c r="AT155" s="1149"/>
      <c r="AU155" s="1123"/>
      <c r="AW155" s="1085"/>
      <c r="AY155" s="1085"/>
      <c r="BA155" s="1097"/>
      <c r="BB155" s="1097"/>
      <c r="BC155" s="1097"/>
      <c r="BD155" s="1098"/>
      <c r="BE155" s="1099"/>
      <c r="BF155" s="1100"/>
      <c r="BG155" s="1101">
        <f>Index_Returns!B389</f>
        <v>3.7398600000000002</v>
      </c>
      <c r="BH155" s="1102"/>
      <c r="BI155" s="1102"/>
      <c r="BJ155" s="1102"/>
      <c r="BK155" s="1103"/>
      <c r="BL155" s="1104">
        <f t="shared" si="35"/>
        <v>0.60304000000000002</v>
      </c>
      <c r="BM155" s="1104">
        <f>Index_Returns!D389</f>
        <v>3.1048</v>
      </c>
      <c r="BN155" s="1104">
        <f t="shared" si="36"/>
        <v>-0.14860000000000007</v>
      </c>
      <c r="BO155" s="1103"/>
      <c r="BP155" s="1153"/>
      <c r="BQ155" s="1088">
        <f>Index_Returns!E389</f>
        <v>2.6453000000000002</v>
      </c>
      <c r="BR155" s="1102"/>
      <c r="BS155" s="1109"/>
      <c r="BT155" s="1107">
        <f t="shared" si="44"/>
        <v>-0.45410000000000039</v>
      </c>
      <c r="BU155" s="1105">
        <f>Index_Returns!F389</f>
        <v>3.5261</v>
      </c>
      <c r="BV155" s="1109"/>
      <c r="BW155" s="1109"/>
      <c r="BX155" s="1200">
        <f t="shared" si="45"/>
        <v>1.3836999999999997</v>
      </c>
      <c r="CA155" s="1117"/>
      <c r="CB155" s="1109"/>
      <c r="CC155" s="1109"/>
      <c r="CD155" s="1109"/>
      <c r="CE155" s="1118"/>
      <c r="CF155" s="1109"/>
      <c r="CG155" s="1113"/>
      <c r="CI155" s="1114"/>
      <c r="CJ155" s="1114"/>
      <c r="CK155" s="1114"/>
      <c r="CL155" s="1114"/>
      <c r="CM155" s="1118"/>
      <c r="CN155" s="1109"/>
      <c r="CQ155" s="1117"/>
      <c r="CR155" s="1109">
        <v>0.76160000000000005</v>
      </c>
      <c r="CS155" s="877"/>
      <c r="CT155" s="1118"/>
      <c r="CU155" s="1117"/>
    </row>
    <row r="156" spans="1:100" s="1090" customFormat="1" x14ac:dyDescent="0.2">
      <c r="A156" s="1173">
        <v>39386</v>
      </c>
      <c r="B156" s="1126"/>
      <c r="C156" s="1127"/>
      <c r="D156" s="1128"/>
      <c r="E156" s="1127"/>
      <c r="F156" s="1126"/>
      <c r="G156" s="1127"/>
      <c r="H156" s="1074"/>
      <c r="I156" s="1151"/>
      <c r="J156" s="1129"/>
      <c r="K156" s="1130"/>
      <c r="L156" s="1078">
        <v>-0.35980000000000001</v>
      </c>
      <c r="M156" s="1171">
        <v>665458362.03999996</v>
      </c>
      <c r="N156" s="1137">
        <v>0.89200000000000002</v>
      </c>
      <c r="O156" s="1130">
        <v>415987980.74000001</v>
      </c>
      <c r="P156" s="1126"/>
      <c r="Q156" s="1123"/>
      <c r="R156" s="1141"/>
      <c r="S156" s="1085"/>
      <c r="T156" s="1078">
        <v>1.8566666666666667</v>
      </c>
      <c r="U156" s="1172">
        <v>394336065.51999998</v>
      </c>
      <c r="V156" s="1097"/>
      <c r="W156" s="1085"/>
      <c r="X156" s="1097"/>
      <c r="Y156" s="1085"/>
      <c r="Z156" s="1155">
        <v>3.4609999999999999</v>
      </c>
      <c r="AA156" s="1097">
        <v>186690231.19</v>
      </c>
      <c r="AB156" s="1118"/>
      <c r="AC156" s="1085"/>
      <c r="AD156" s="1132"/>
      <c r="AE156" s="1085"/>
      <c r="AF156" s="1097"/>
      <c r="AG156" s="1085"/>
      <c r="AH156" s="1097"/>
      <c r="AI156" s="1097"/>
      <c r="AJ156" s="1095"/>
      <c r="AK156" s="1099"/>
      <c r="AM156" s="1085"/>
      <c r="AN156" s="1097"/>
      <c r="AO156" s="1085"/>
      <c r="AP156" s="1091"/>
      <c r="AQ156" s="1092"/>
      <c r="AR156" s="1074"/>
      <c r="AS156" s="1125"/>
      <c r="AT156" s="1149"/>
      <c r="AU156" s="1123"/>
      <c r="AW156" s="1085"/>
      <c r="AY156" s="1085"/>
      <c r="BA156" s="1097"/>
      <c r="BB156" s="1097"/>
      <c r="BC156" s="1097"/>
      <c r="BD156" s="1098"/>
      <c r="BE156" s="1099"/>
      <c r="BF156" s="1100"/>
      <c r="BG156" s="1101">
        <f>Index_Returns!B390</f>
        <v>1.59067</v>
      </c>
      <c r="BH156" s="1102"/>
      <c r="BI156" s="1102"/>
      <c r="BJ156" s="1102"/>
      <c r="BK156" s="1103"/>
      <c r="BL156" s="1104">
        <f t="shared" si="35"/>
        <v>-1.9504700000000001</v>
      </c>
      <c r="BM156" s="1104">
        <f>Index_Returns!D390</f>
        <v>1.0502</v>
      </c>
      <c r="BN156" s="1104">
        <f t="shared" si="36"/>
        <v>-0.15820000000000001</v>
      </c>
      <c r="BO156" s="1103"/>
      <c r="BP156" s="1153"/>
      <c r="BQ156" s="1088">
        <f>Index_Returns!E390</f>
        <v>2.6314000000000002</v>
      </c>
      <c r="BR156" s="1102"/>
      <c r="BS156" s="1109"/>
      <c r="BT156" s="1107">
        <f t="shared" si="44"/>
        <v>-0.7747333333333335</v>
      </c>
      <c r="BU156" s="1105">
        <f>Index_Returns!F390</f>
        <v>3.5215999999999998</v>
      </c>
      <c r="BV156" s="1109"/>
      <c r="BW156" s="1109"/>
      <c r="BX156" s="1200">
        <f t="shared" si="45"/>
        <v>-6.0599999999999987E-2</v>
      </c>
      <c r="CA156" s="1117"/>
      <c r="CB156" s="1109"/>
      <c r="CC156" s="1109"/>
      <c r="CD156" s="1109"/>
      <c r="CE156" s="1118"/>
      <c r="CF156" s="1109"/>
      <c r="CG156" s="1113"/>
      <c r="CI156" s="1114"/>
      <c r="CJ156" s="1114"/>
      <c r="CK156" s="1114"/>
      <c r="CL156" s="1114"/>
      <c r="CM156" s="1118"/>
      <c r="CN156" s="1109"/>
      <c r="CQ156" s="1117"/>
      <c r="CR156" s="1109">
        <v>0.80730000000000002</v>
      </c>
      <c r="CS156" s="877"/>
      <c r="CT156" s="1118"/>
      <c r="CU156" s="1117"/>
    </row>
    <row r="157" spans="1:100" s="1090" customFormat="1" x14ac:dyDescent="0.2">
      <c r="A157" s="1173">
        <v>39416</v>
      </c>
      <c r="B157" s="1126"/>
      <c r="C157" s="1127"/>
      <c r="D157" s="1128"/>
      <c r="E157" s="1127"/>
      <c r="F157" s="1126"/>
      <c r="G157" s="1127"/>
      <c r="H157" s="1074"/>
      <c r="I157" s="1151"/>
      <c r="J157" s="1129"/>
      <c r="K157" s="1130"/>
      <c r="L157" s="1078">
        <v>-4.5442999999999998</v>
      </c>
      <c r="M157" s="1171">
        <v>635218182.03999996</v>
      </c>
      <c r="N157" s="1137">
        <v>-5.8921999999999999</v>
      </c>
      <c r="O157" s="1130">
        <v>391477103.89999998</v>
      </c>
      <c r="P157" s="1126"/>
      <c r="Q157" s="1123"/>
      <c r="R157" s="1141"/>
      <c r="S157" s="1085"/>
      <c r="T157" s="1078">
        <v>-6.3612333333333337</v>
      </c>
      <c r="U157" s="1172">
        <v>369284346.89999998</v>
      </c>
      <c r="V157" s="1097"/>
      <c r="W157" s="1085"/>
      <c r="X157" s="1097"/>
      <c r="Y157" s="1085"/>
      <c r="Z157" s="1155">
        <v>-6.3068999999999997</v>
      </c>
      <c r="AA157" s="1097">
        <v>174915884.56999999</v>
      </c>
      <c r="AB157" s="1118"/>
      <c r="AC157" s="1085"/>
      <c r="AD157" s="1132"/>
      <c r="AE157" s="1085"/>
      <c r="AF157" s="1097"/>
      <c r="AG157" s="1085"/>
      <c r="AH157" s="1097"/>
      <c r="AI157" s="1097"/>
      <c r="AJ157" s="1095"/>
      <c r="AK157" s="1099"/>
      <c r="AM157" s="1085"/>
      <c r="AN157" s="1097"/>
      <c r="AO157" s="1085"/>
      <c r="AP157" s="1091"/>
      <c r="AQ157" s="1092"/>
      <c r="AR157" s="1074"/>
      <c r="AS157" s="1125"/>
      <c r="AT157" s="1149"/>
      <c r="AU157" s="1123"/>
      <c r="AW157" s="1085"/>
      <c r="AY157" s="1085"/>
      <c r="BA157" s="1097"/>
      <c r="BB157" s="1097"/>
      <c r="BC157" s="1097"/>
      <c r="BD157" s="1098"/>
      <c r="BE157" s="1099"/>
      <c r="BF157" s="1100"/>
      <c r="BG157" s="1101">
        <f>Index_Returns!B391</f>
        <v>-4.18065</v>
      </c>
      <c r="BH157" s="1102"/>
      <c r="BI157" s="1102"/>
      <c r="BJ157" s="1102"/>
      <c r="BK157" s="1103"/>
      <c r="BL157" s="1104">
        <f t="shared" si="35"/>
        <v>-0.36364999999999981</v>
      </c>
      <c r="BM157" s="1104">
        <f>Index_Returns!D391</f>
        <v>-4.8575999999999997</v>
      </c>
      <c r="BN157" s="1104">
        <f t="shared" si="36"/>
        <v>-1.0346000000000002</v>
      </c>
      <c r="BO157" s="1103"/>
      <c r="BP157" s="1153"/>
      <c r="BQ157" s="1088">
        <f>Index_Returns!E391</f>
        <v>-5.0377999999999998</v>
      </c>
      <c r="BR157" s="1102"/>
      <c r="BS157" s="1109"/>
      <c r="BT157" s="1107">
        <f t="shared" si="44"/>
        <v>-1.3234333333333339</v>
      </c>
      <c r="BU157" s="1105">
        <f>Index_Returns!F391</f>
        <v>-4.3272000000000004</v>
      </c>
      <c r="BV157" s="1109"/>
      <c r="BW157" s="1109"/>
      <c r="BX157" s="1200">
        <f t="shared" si="45"/>
        <v>-1.9796999999999993</v>
      </c>
      <c r="CA157" s="1117"/>
      <c r="CB157" s="1109"/>
      <c r="CC157" s="1109"/>
      <c r="CD157" s="1109"/>
      <c r="CE157" s="1118"/>
      <c r="CF157" s="1109"/>
      <c r="CG157" s="1113"/>
      <c r="CI157" s="1114"/>
      <c r="CJ157" s="1114"/>
      <c r="CK157" s="1114"/>
      <c r="CL157" s="1114"/>
      <c r="CM157" s="1118"/>
      <c r="CN157" s="1109"/>
      <c r="CQ157" s="1117"/>
      <c r="CR157" s="1109">
        <v>1.7378</v>
      </c>
      <c r="CS157" s="877"/>
      <c r="CT157" s="1118"/>
      <c r="CU157" s="1117"/>
    </row>
    <row r="158" spans="1:100" s="1090" customFormat="1" x14ac:dyDescent="0.2">
      <c r="A158" s="1173">
        <v>39447</v>
      </c>
      <c r="B158" s="1126"/>
      <c r="C158" s="1127"/>
      <c r="D158" s="1128"/>
      <c r="E158" s="1127"/>
      <c r="F158" s="1126"/>
      <c r="G158" s="1127"/>
      <c r="H158" s="1074"/>
      <c r="I158" s="1151"/>
      <c r="J158" s="1129"/>
      <c r="K158" s="1130"/>
      <c r="L158" s="1078">
        <v>-0.9173</v>
      </c>
      <c r="M158" s="1171">
        <v>629594579.90999997</v>
      </c>
      <c r="N158" s="1137">
        <v>-1.7081</v>
      </c>
      <c r="O158" s="1130">
        <v>385006837.29000002</v>
      </c>
      <c r="P158" s="1126"/>
      <c r="Q158" s="1123"/>
      <c r="R158" s="1141"/>
      <c r="S158" s="1085"/>
      <c r="T158" s="1078"/>
      <c r="U158" s="1172"/>
      <c r="V158" s="1097"/>
      <c r="W158" s="1085"/>
      <c r="X158" s="1097"/>
      <c r="Y158" s="1085"/>
      <c r="Z158" s="1155">
        <v>-0.33410000000000001</v>
      </c>
      <c r="AA158" s="1097">
        <v>174553903.11000001</v>
      </c>
      <c r="AB158" s="1118"/>
      <c r="AC158" s="1085"/>
      <c r="AD158" s="1132"/>
      <c r="AE158" s="1085"/>
      <c r="AF158" s="1097"/>
      <c r="AG158" s="1085"/>
      <c r="AH158" s="1097"/>
      <c r="AI158" s="1097"/>
      <c r="AJ158" s="1095"/>
      <c r="AK158" s="1099"/>
      <c r="AM158" s="1085"/>
      <c r="AN158" s="1097"/>
      <c r="AO158" s="1085"/>
      <c r="AP158" s="1091"/>
      <c r="AQ158" s="1092"/>
      <c r="AR158" s="1074"/>
      <c r="AS158" s="1125"/>
      <c r="AT158" s="1149"/>
      <c r="AU158" s="1123"/>
      <c r="AW158" s="1085"/>
      <c r="AY158" s="1085"/>
      <c r="BA158" s="1097"/>
      <c r="BB158" s="253">
        <v>0.74160000000000004</v>
      </c>
      <c r="BC158" s="346">
        <v>26668533.010000002</v>
      </c>
      <c r="BD158" s="1098"/>
      <c r="BE158" s="1099"/>
      <c r="BF158" s="1100"/>
      <c r="BG158" s="1101">
        <f>Index_Returns!B392</f>
        <v>-0.69377999999999995</v>
      </c>
      <c r="BH158" s="1102"/>
      <c r="BI158" s="1102"/>
      <c r="BJ158" s="1102"/>
      <c r="BK158" s="1103"/>
      <c r="BL158" s="1104">
        <f t="shared" si="35"/>
        <v>-0.22352000000000005</v>
      </c>
      <c r="BM158" s="1104">
        <f>Index_Returns!D392</f>
        <v>-1.5768</v>
      </c>
      <c r="BN158" s="1104">
        <f t="shared" si="36"/>
        <v>-0.13129999999999997</v>
      </c>
      <c r="BO158" s="1103"/>
      <c r="BP158" s="1153"/>
      <c r="BQ158" s="1088"/>
      <c r="BR158" s="1102"/>
      <c r="BS158" s="1109"/>
      <c r="BT158" s="1107"/>
      <c r="BU158" s="1105">
        <f>Index_Returns!F392</f>
        <v>0.1305</v>
      </c>
      <c r="BV158" s="1109"/>
      <c r="BW158" s="1109"/>
      <c r="BX158" s="1200">
        <f t="shared" si="45"/>
        <v>-0.46460000000000001</v>
      </c>
      <c r="CA158" s="1117"/>
      <c r="CB158" s="1109"/>
      <c r="CC158" s="1109"/>
      <c r="CD158" s="1109"/>
      <c r="CE158" s="1118"/>
      <c r="CF158" s="1109"/>
      <c r="CG158" s="1113"/>
      <c r="CI158" s="1114"/>
      <c r="CJ158" s="1114"/>
      <c r="CK158" s="1114"/>
      <c r="CL158" s="1114"/>
      <c r="CM158" s="1118"/>
      <c r="CN158" s="1109"/>
      <c r="CQ158" s="1117"/>
      <c r="CR158" s="1109">
        <v>0.32369999999999999</v>
      </c>
      <c r="CS158" s="877">
        <f t="shared" ref="CS158:CS168" si="46">BB158-CR158</f>
        <v>0.41790000000000005</v>
      </c>
      <c r="CT158" s="1118"/>
      <c r="CU158" s="1117"/>
    </row>
    <row r="159" spans="1:100" s="1090" customFormat="1" x14ac:dyDescent="0.2">
      <c r="A159" s="1070">
        <v>39478</v>
      </c>
      <c r="B159" s="1126"/>
      <c r="C159" s="1127"/>
      <c r="D159" s="1128"/>
      <c r="E159" s="1127"/>
      <c r="F159" s="1126"/>
      <c r="G159" s="1127"/>
      <c r="H159" s="1074"/>
      <c r="I159" s="1151"/>
      <c r="J159" s="1129"/>
      <c r="K159" s="1130"/>
      <c r="L159" s="1078">
        <v>-5.7</v>
      </c>
      <c r="M159" s="1171">
        <v>593770170.03999996</v>
      </c>
      <c r="N159" s="1137">
        <v>-4.5104998074104055</v>
      </c>
      <c r="O159" s="1130">
        <v>367709544.44</v>
      </c>
      <c r="P159" s="1126"/>
      <c r="Q159" s="1123"/>
      <c r="R159" s="1141"/>
      <c r="S159" s="1085"/>
      <c r="T159" s="1078"/>
      <c r="U159" s="1172"/>
      <c r="V159" s="1097"/>
      <c r="W159" s="1085"/>
      <c r="X159" s="1097"/>
      <c r="Y159" s="1085"/>
      <c r="Z159" s="1155">
        <v>-8.7462</v>
      </c>
      <c r="AA159" s="1097">
        <v>159287031.91999999</v>
      </c>
      <c r="AB159" s="1118"/>
      <c r="AC159" s="1085"/>
      <c r="AD159" s="1132"/>
      <c r="AE159" s="1085"/>
      <c r="AF159" s="1097"/>
      <c r="AG159" s="1085"/>
      <c r="AH159" s="1097"/>
      <c r="AI159" s="1097"/>
      <c r="AJ159" s="1095"/>
      <c r="AK159" s="1099"/>
      <c r="AM159" s="1085"/>
      <c r="AN159" s="1097"/>
      <c r="AO159" s="1085"/>
      <c r="AP159" s="1091"/>
      <c r="AQ159" s="1092"/>
      <c r="AR159" s="1074"/>
      <c r="AS159" s="1125"/>
      <c r="AT159" s="1149"/>
      <c r="AU159" s="1123"/>
      <c r="AW159" s="1085"/>
      <c r="AY159" s="1085"/>
      <c r="BA159" s="1097"/>
      <c r="BB159" s="253">
        <v>1.6978</v>
      </c>
      <c r="BC159" s="346">
        <v>27121309.460000001</v>
      </c>
      <c r="BD159" s="1098"/>
      <c r="BE159" s="1099"/>
      <c r="BF159" s="1100"/>
      <c r="BG159" s="1101">
        <f>Index_Returns!B393</f>
        <v>-5.9981400000000002</v>
      </c>
      <c r="BH159" s="1102"/>
      <c r="BI159" s="1102"/>
      <c r="BJ159" s="1102"/>
      <c r="BK159" s="1103"/>
      <c r="BL159" s="1104">
        <f t="shared" si="35"/>
        <v>0.29814000000000007</v>
      </c>
      <c r="BM159" s="1104">
        <f>Index_Returns!D393</f>
        <v>-3.4870000000000001</v>
      </c>
      <c r="BN159" s="1104">
        <f t="shared" si="36"/>
        <v>-1.0234998074104054</v>
      </c>
      <c r="BO159" s="1103"/>
      <c r="BP159" s="1153"/>
      <c r="BQ159" s="1088"/>
      <c r="BR159" s="1102"/>
      <c r="BS159" s="1109"/>
      <c r="BT159" s="1107"/>
      <c r="BU159" s="1105">
        <f>Index_Returns!F393</f>
        <v>-7.2321999999999997</v>
      </c>
      <c r="BV159" s="1109"/>
      <c r="BW159" s="1109"/>
      <c r="BX159" s="1200">
        <f t="shared" si="45"/>
        <v>-1.5140000000000002</v>
      </c>
      <c r="CA159" s="1117"/>
      <c r="CB159" s="1109"/>
      <c r="CC159" s="1109"/>
      <c r="CD159" s="1109"/>
      <c r="CE159" s="1118"/>
      <c r="CF159" s="1109"/>
      <c r="CG159" s="1113"/>
      <c r="CI159" s="1114"/>
      <c r="CJ159" s="1114"/>
      <c r="CK159" s="1114"/>
      <c r="CL159" s="1114"/>
      <c r="CM159" s="1118"/>
      <c r="CN159" s="1109"/>
      <c r="CQ159" s="1117"/>
      <c r="CR159" s="1109">
        <v>1.7624</v>
      </c>
      <c r="CS159" s="877">
        <f t="shared" si="46"/>
        <v>-6.4599999999999991E-2</v>
      </c>
      <c r="CT159" s="1118"/>
      <c r="CU159" s="1117"/>
    </row>
    <row r="160" spans="1:100" s="1090" customFormat="1" x14ac:dyDescent="0.2">
      <c r="A160" s="1070">
        <v>39506</v>
      </c>
      <c r="B160" s="1126"/>
      <c r="C160" s="1127"/>
      <c r="D160" s="1128"/>
      <c r="E160" s="1127"/>
      <c r="F160" s="1126"/>
      <c r="G160" s="1127"/>
      <c r="H160" s="1074"/>
      <c r="I160" s="1151"/>
      <c r="J160" s="1129"/>
      <c r="K160" s="1130"/>
      <c r="L160" s="1129"/>
      <c r="M160" s="1130"/>
      <c r="N160" s="1129"/>
      <c r="O160" s="1130"/>
      <c r="P160" s="1126"/>
      <c r="Q160" s="1123"/>
      <c r="R160" s="1141"/>
      <c r="S160" s="1085"/>
      <c r="T160" s="1078"/>
      <c r="U160" s="1172"/>
      <c r="V160" s="1097"/>
      <c r="W160" s="1085"/>
      <c r="X160" s="1097"/>
      <c r="Y160" s="1085"/>
      <c r="Z160" s="1155">
        <v>-3.8759000000000001</v>
      </c>
      <c r="AA160" s="1097">
        <v>153113152.77000001</v>
      </c>
      <c r="AB160" s="1118"/>
      <c r="AC160" s="1085"/>
      <c r="AD160" s="1132"/>
      <c r="AE160" s="1085"/>
      <c r="AF160" s="1097"/>
      <c r="AG160" s="1085"/>
      <c r="AH160" s="1097"/>
      <c r="AI160" s="1097"/>
      <c r="AJ160" s="1095"/>
      <c r="AK160" s="1099"/>
      <c r="AM160" s="1085"/>
      <c r="AN160" s="1097"/>
      <c r="AO160" s="1085"/>
      <c r="AP160" s="1091"/>
      <c r="AQ160" s="1092"/>
      <c r="AR160" s="1074"/>
      <c r="AS160" s="1125"/>
      <c r="AT160" s="1149"/>
      <c r="AU160" s="1123"/>
      <c r="AW160" s="1085"/>
      <c r="AY160" s="1085"/>
      <c r="BA160" s="1097"/>
      <c r="BB160" s="253">
        <v>0</v>
      </c>
      <c r="BC160" s="346">
        <v>27121309.460000001</v>
      </c>
      <c r="BD160" s="1098"/>
      <c r="BE160" s="1099"/>
      <c r="BF160" s="1100"/>
      <c r="BG160" s="1101"/>
      <c r="BH160" s="1102"/>
      <c r="BI160" s="1102"/>
      <c r="BJ160" s="1102"/>
      <c r="BK160" s="1103"/>
      <c r="BL160" s="1104"/>
      <c r="BM160" s="1104"/>
      <c r="BN160" s="1104"/>
      <c r="BO160" s="1103"/>
      <c r="BP160" s="1153"/>
      <c r="BQ160" s="1088"/>
      <c r="BR160" s="1102"/>
      <c r="BS160" s="1109"/>
      <c r="BT160" s="1107"/>
      <c r="BU160" s="1105">
        <f>Index_Returns!F394</f>
        <v>-0.43780000000000002</v>
      </c>
      <c r="BV160" s="1109"/>
      <c r="BW160" s="1109"/>
      <c r="BX160" s="1200">
        <f t="shared" si="45"/>
        <v>-3.4380999999999999</v>
      </c>
      <c r="CA160" s="1117"/>
      <c r="CB160" s="1109"/>
      <c r="CC160" s="1109"/>
      <c r="CD160" s="1109"/>
      <c r="CE160" s="1118"/>
      <c r="CF160" s="1109"/>
      <c r="CG160" s="1113"/>
      <c r="CI160" s="1114"/>
      <c r="CJ160" s="1114"/>
      <c r="CK160" s="1114"/>
      <c r="CL160" s="1114"/>
      <c r="CM160" s="1118"/>
      <c r="CN160" s="1109"/>
      <c r="CQ160" s="1117"/>
      <c r="CR160" s="1109">
        <v>0.1905</v>
      </c>
      <c r="CS160" s="877">
        <f t="shared" si="46"/>
        <v>-0.1905</v>
      </c>
      <c r="CT160" s="1118"/>
      <c r="CU160" s="1117"/>
    </row>
    <row r="161" spans="1:99" s="1090" customFormat="1" x14ac:dyDescent="0.2">
      <c r="A161" s="1070">
        <v>39538</v>
      </c>
      <c r="B161" s="1126"/>
      <c r="C161" s="1127"/>
      <c r="D161" s="1128"/>
      <c r="E161" s="1127"/>
      <c r="F161" s="1126"/>
      <c r="G161" s="1127"/>
      <c r="H161" s="1074"/>
      <c r="I161" s="1151"/>
      <c r="J161" s="1129"/>
      <c r="K161" s="1130"/>
      <c r="L161" s="1129"/>
      <c r="M161" s="1130"/>
      <c r="N161" s="1129"/>
      <c r="O161" s="1130"/>
      <c r="P161" s="1126"/>
      <c r="Q161" s="1123"/>
      <c r="R161" s="1141"/>
      <c r="S161" s="1085"/>
      <c r="T161" s="1078"/>
      <c r="U161" s="1172"/>
      <c r="V161" s="1097"/>
      <c r="W161" s="1085"/>
      <c r="X161" s="1097"/>
      <c r="Y161" s="1085"/>
      <c r="Z161" s="1155">
        <v>-3.5649000000000002</v>
      </c>
      <c r="AA161" s="1097">
        <v>147868286.84</v>
      </c>
      <c r="AB161" s="1118"/>
      <c r="AC161" s="1085"/>
      <c r="AD161" s="1132"/>
      <c r="AE161" s="1085"/>
      <c r="AF161" s="1097"/>
      <c r="AG161" s="1085"/>
      <c r="AH161" s="1097"/>
      <c r="AI161" s="1097"/>
      <c r="AJ161" s="1095"/>
      <c r="AK161" s="1099"/>
      <c r="AM161" s="1085"/>
      <c r="AN161" s="1097"/>
      <c r="AO161" s="1085"/>
      <c r="AP161" s="1091"/>
      <c r="AQ161" s="1092"/>
      <c r="AR161" s="1074"/>
      <c r="AS161" s="1125"/>
      <c r="AT161" s="1149"/>
      <c r="AU161" s="1123"/>
      <c r="AW161" s="1085"/>
      <c r="AY161" s="1085"/>
      <c r="BA161" s="1097"/>
      <c r="BB161" s="253">
        <v>-1.8871</v>
      </c>
      <c r="BC161" s="346">
        <v>26623255.73</v>
      </c>
      <c r="BD161" s="1098"/>
      <c r="BE161" s="1099"/>
      <c r="BF161" s="1100"/>
      <c r="BG161" s="1113"/>
      <c r="BH161" s="1102"/>
      <c r="BI161" s="1102"/>
      <c r="BJ161" s="1102"/>
      <c r="BK161" s="1103"/>
      <c r="BL161" s="1104"/>
      <c r="BM161" s="1104"/>
      <c r="BN161" s="1104"/>
      <c r="BO161" s="1103"/>
      <c r="BP161" s="1153"/>
      <c r="BQ161" s="1088"/>
      <c r="BR161" s="1102"/>
      <c r="BS161" s="1109"/>
      <c r="BT161" s="1107"/>
      <c r="BU161" s="1105">
        <f>Index_Returns!F395</f>
        <v>-1.5282</v>
      </c>
      <c r="BV161" s="1109"/>
      <c r="BW161" s="1109"/>
      <c r="BX161" s="1200">
        <f t="shared" si="45"/>
        <v>-2.0367000000000002</v>
      </c>
      <c r="CA161" s="1117"/>
      <c r="CB161" s="1109"/>
      <c r="CC161" s="1109"/>
      <c r="CD161" s="1109"/>
      <c r="CE161" s="1118"/>
      <c r="CF161" s="1109"/>
      <c r="CG161" s="1113"/>
      <c r="CI161" s="1114"/>
      <c r="CJ161" s="1114"/>
      <c r="CK161" s="1114"/>
      <c r="CL161" s="1114"/>
      <c r="CM161" s="1118"/>
      <c r="CN161" s="1109"/>
      <c r="CQ161" s="1117"/>
      <c r="CR161" s="1109">
        <v>0.38629999999999998</v>
      </c>
      <c r="CS161" s="877">
        <f t="shared" si="46"/>
        <v>-2.2734000000000001</v>
      </c>
      <c r="CT161" s="1118"/>
      <c r="CU161" s="1117"/>
    </row>
    <row r="162" spans="1:99" x14ac:dyDescent="0.2">
      <c r="A162" s="856">
        <v>39568</v>
      </c>
      <c r="B162" s="905"/>
      <c r="C162" s="906"/>
      <c r="D162" s="907"/>
      <c r="E162" s="906"/>
      <c r="F162" s="905"/>
      <c r="G162" s="906"/>
      <c r="H162" s="827"/>
      <c r="I162" s="911"/>
      <c r="J162" s="908"/>
      <c r="K162" s="909"/>
      <c r="L162" s="908"/>
      <c r="M162" s="909"/>
      <c r="N162" s="908"/>
      <c r="O162" s="909"/>
      <c r="P162" s="905"/>
      <c r="Q162" s="904"/>
      <c r="R162" s="910"/>
      <c r="S162" s="828"/>
      <c r="T162" s="846"/>
      <c r="U162" s="912"/>
      <c r="V162" s="850"/>
      <c r="W162" s="828"/>
      <c r="X162" s="850"/>
      <c r="Y162" s="828"/>
      <c r="Z162" s="1191">
        <v>5.7081</v>
      </c>
      <c r="AA162" s="850">
        <v>156308707.71000001</v>
      </c>
      <c r="AB162" s="855"/>
      <c r="AC162" s="828"/>
      <c r="AD162" s="999"/>
      <c r="AE162" s="828"/>
      <c r="AF162" s="850"/>
      <c r="AG162" s="828"/>
      <c r="AH162" s="850"/>
      <c r="AI162" s="850"/>
      <c r="AJ162" s="811"/>
      <c r="AK162" s="872"/>
      <c r="AL162" s="852"/>
      <c r="AM162" s="828"/>
      <c r="AN162" s="850"/>
      <c r="AO162" s="828"/>
      <c r="AP162" s="829"/>
      <c r="AQ162" s="822"/>
      <c r="AR162" s="827"/>
      <c r="AS162" s="951"/>
      <c r="AT162" s="960"/>
      <c r="AU162" s="904"/>
      <c r="AV162" s="852"/>
      <c r="AW162" s="828"/>
      <c r="AX162" s="852"/>
      <c r="AY162" s="828"/>
      <c r="AZ162" s="852"/>
      <c r="BA162" s="850"/>
      <c r="BB162" s="253">
        <v>-0.34010000000000001</v>
      </c>
      <c r="BC162" s="346">
        <v>26532700.079999998</v>
      </c>
      <c r="BD162" s="871"/>
      <c r="BE162" s="872"/>
      <c r="BF162" s="873"/>
      <c r="BG162" s="879"/>
      <c r="BH162" s="836"/>
      <c r="BI162" s="836"/>
      <c r="BJ162" s="836"/>
      <c r="BK162" s="834"/>
      <c r="BL162" s="834"/>
      <c r="BM162" s="834"/>
      <c r="BN162" s="834"/>
      <c r="BO162" s="834"/>
      <c r="BP162" s="835"/>
      <c r="BQ162" s="880"/>
      <c r="BR162" s="836"/>
      <c r="BS162" s="854"/>
      <c r="BT162" s="883"/>
      <c r="BU162" s="865">
        <f>Index_Returns!F396</f>
        <v>8.1062999999999992</v>
      </c>
      <c r="BV162" s="854"/>
      <c r="BW162" s="854"/>
      <c r="BX162" s="1201">
        <f t="shared" si="45"/>
        <v>-2.3981999999999992</v>
      </c>
      <c r="BY162" s="852"/>
      <c r="BZ162" s="852"/>
      <c r="CA162" s="853"/>
      <c r="CB162" s="854"/>
      <c r="CC162" s="854"/>
      <c r="CD162" s="854"/>
      <c r="CE162" s="855"/>
      <c r="CF162" s="854"/>
      <c r="CG162" s="879"/>
      <c r="CH162" s="852"/>
      <c r="CI162" s="826"/>
      <c r="CJ162" s="826"/>
      <c r="CK162" s="826"/>
      <c r="CL162" s="826"/>
      <c r="CM162" s="855"/>
      <c r="CN162" s="854"/>
      <c r="CO162" s="852"/>
      <c r="CP162" s="852"/>
      <c r="CQ162" s="853"/>
      <c r="CR162" s="854">
        <v>-0.23380000000000001</v>
      </c>
      <c r="CS162" s="877">
        <f t="shared" si="46"/>
        <v>-0.10630000000000001</v>
      </c>
      <c r="CT162" s="855"/>
      <c r="CU162" s="853"/>
    </row>
    <row r="163" spans="1:99" x14ac:dyDescent="0.2">
      <c r="A163" s="856">
        <v>39599</v>
      </c>
      <c r="B163" s="905"/>
      <c r="C163" s="906"/>
      <c r="D163" s="907"/>
      <c r="E163" s="906"/>
      <c r="F163" s="905"/>
      <c r="G163" s="906"/>
      <c r="H163" s="827"/>
      <c r="I163" s="911"/>
      <c r="J163" s="908"/>
      <c r="K163" s="909"/>
      <c r="L163" s="908"/>
      <c r="M163" s="909"/>
      <c r="N163" s="908"/>
      <c r="O163" s="909"/>
      <c r="P163" s="905"/>
      <c r="Q163" s="904"/>
      <c r="R163" s="910"/>
      <c r="S163" s="828"/>
      <c r="T163" s="846"/>
      <c r="U163" s="912"/>
      <c r="V163" s="850"/>
      <c r="W163" s="828"/>
      <c r="X163" s="850"/>
      <c r="Y163" s="828"/>
      <c r="Z163" s="1191">
        <v>4.4924999999999997</v>
      </c>
      <c r="AA163" s="850">
        <v>163330807.66999999</v>
      </c>
      <c r="AB163" s="855"/>
      <c r="AC163" s="828"/>
      <c r="AD163" s="999"/>
      <c r="AE163" s="828"/>
      <c r="AF163" s="850"/>
      <c r="AG163" s="828"/>
      <c r="AH163" s="850"/>
      <c r="AI163" s="850"/>
      <c r="AJ163" s="811"/>
      <c r="AK163" s="872"/>
      <c r="AL163" s="852"/>
      <c r="AM163" s="828"/>
      <c r="AN163" s="850"/>
      <c r="AO163" s="828"/>
      <c r="AP163" s="829"/>
      <c r="AQ163" s="822"/>
      <c r="AR163" s="827"/>
      <c r="AS163" s="951"/>
      <c r="AT163" s="960"/>
      <c r="AU163" s="904"/>
      <c r="AV163" s="852"/>
      <c r="AW163" s="828"/>
      <c r="AX163" s="852"/>
      <c r="AY163" s="828"/>
      <c r="AZ163" s="852"/>
      <c r="BA163" s="850"/>
      <c r="BB163" s="253">
        <v>-0.34129999999999999</v>
      </c>
      <c r="BC163" s="346">
        <v>26442144.789999999</v>
      </c>
      <c r="BD163" s="871"/>
      <c r="BE163" s="872"/>
      <c r="BF163" s="873"/>
      <c r="BG163" s="879"/>
      <c r="BH163" s="836"/>
      <c r="BI163" s="836"/>
      <c r="BJ163" s="836"/>
      <c r="BK163" s="834"/>
      <c r="BL163" s="834"/>
      <c r="BM163" s="834"/>
      <c r="BN163" s="834"/>
      <c r="BO163" s="834"/>
      <c r="BP163" s="835"/>
      <c r="BQ163" s="880"/>
      <c r="BR163" s="836"/>
      <c r="BS163" s="854"/>
      <c r="BT163" s="883"/>
      <c r="BU163" s="865">
        <f>Index_Returns!F397</f>
        <v>5.9714</v>
      </c>
      <c r="BV163" s="854"/>
      <c r="BW163" s="854"/>
      <c r="BX163" s="1201">
        <f t="shared" si="45"/>
        <v>-1.4789000000000003</v>
      </c>
      <c r="BY163" s="852"/>
      <c r="BZ163" s="852"/>
      <c r="CA163" s="853"/>
      <c r="CB163" s="854"/>
      <c r="CC163" s="854"/>
      <c r="CD163" s="854"/>
      <c r="CE163" s="855"/>
      <c r="CF163" s="854"/>
      <c r="CG163" s="879"/>
      <c r="CH163" s="852"/>
      <c r="CI163" s="826"/>
      <c r="CJ163" s="826"/>
      <c r="CK163" s="826"/>
      <c r="CL163" s="826"/>
      <c r="CM163" s="855"/>
      <c r="CN163" s="854"/>
      <c r="CO163" s="852"/>
      <c r="CP163" s="852"/>
      <c r="CQ163" s="853"/>
      <c r="CR163" s="854">
        <v>-0.58299999999999996</v>
      </c>
      <c r="CS163" s="877">
        <f t="shared" si="46"/>
        <v>0.24169999999999997</v>
      </c>
      <c r="CT163" s="855"/>
      <c r="CU163" s="853"/>
    </row>
    <row r="164" spans="1:99" x14ac:dyDescent="0.2">
      <c r="A164" s="856">
        <v>39629</v>
      </c>
      <c r="B164" s="905"/>
      <c r="C164" s="906"/>
      <c r="D164" s="907"/>
      <c r="E164" s="906"/>
      <c r="F164" s="905"/>
      <c r="G164" s="906"/>
      <c r="H164" s="827"/>
      <c r="I164" s="911"/>
      <c r="J164" s="908"/>
      <c r="K164" s="909"/>
      <c r="L164" s="908"/>
      <c r="M164" s="909"/>
      <c r="N164" s="908"/>
      <c r="O164" s="909"/>
      <c r="P164" s="905"/>
      <c r="Q164" s="904"/>
      <c r="R164" s="910"/>
      <c r="S164" s="828"/>
      <c r="T164" s="846"/>
      <c r="U164" s="912"/>
      <c r="V164" s="850"/>
      <c r="W164" s="828"/>
      <c r="X164" s="850"/>
      <c r="Y164" s="828"/>
      <c r="Z164" s="1191">
        <v>-6.7702999999999998</v>
      </c>
      <c r="AA164" s="850">
        <v>152460123.19</v>
      </c>
      <c r="AB164" s="855"/>
      <c r="AC164" s="828"/>
      <c r="AD164" s="999"/>
      <c r="AE164" s="828"/>
      <c r="AF164" s="850"/>
      <c r="AG164" s="828"/>
      <c r="AH164" s="850"/>
      <c r="AI164" s="850"/>
      <c r="AJ164" s="811"/>
      <c r="AK164" s="872"/>
      <c r="AL164" s="852"/>
      <c r="AM164" s="828"/>
      <c r="AN164" s="850"/>
      <c r="AO164" s="828"/>
      <c r="AP164" s="829"/>
      <c r="AQ164" s="822"/>
      <c r="AR164" s="827"/>
      <c r="AS164" s="951"/>
      <c r="AT164" s="960"/>
      <c r="AU164" s="904"/>
      <c r="AV164" s="852"/>
      <c r="AW164" s="828"/>
      <c r="AX164" s="852"/>
      <c r="AY164" s="828"/>
      <c r="AZ164" s="852"/>
      <c r="BA164" s="850"/>
      <c r="BB164" s="253">
        <v>-0.39479999999999998</v>
      </c>
      <c r="BC164" s="346">
        <v>26351589.489999998</v>
      </c>
      <c r="BD164" s="871"/>
      <c r="BE164" s="872"/>
      <c r="BF164" s="873"/>
      <c r="BG164" s="879"/>
      <c r="BH164" s="836"/>
      <c r="BI164" s="836"/>
      <c r="BJ164" s="836"/>
      <c r="BK164" s="834"/>
      <c r="BL164" s="834"/>
      <c r="BM164" s="834"/>
      <c r="BN164" s="834"/>
      <c r="BO164" s="834"/>
      <c r="BP164" s="835"/>
      <c r="BQ164" s="880"/>
      <c r="BR164" s="836"/>
      <c r="BS164" s="854"/>
      <c r="BT164" s="883"/>
      <c r="BU164" s="865">
        <f>Index_Returns!F398</f>
        <v>-5.1040999999999999</v>
      </c>
      <c r="BV164" s="854"/>
      <c r="BW164" s="854"/>
      <c r="BX164" s="1201">
        <f t="shared" si="45"/>
        <v>-1.6661999999999999</v>
      </c>
      <c r="BY164" s="852"/>
      <c r="BZ164" s="852"/>
      <c r="CA164" s="853"/>
      <c r="CB164" s="854"/>
      <c r="CC164" s="854"/>
      <c r="CD164" s="854"/>
      <c r="CE164" s="855"/>
      <c r="CF164" s="854"/>
      <c r="CG164" s="879"/>
      <c r="CH164" s="852"/>
      <c r="CI164" s="826"/>
      <c r="CJ164" s="826"/>
      <c r="CK164" s="826"/>
      <c r="CL164" s="826"/>
      <c r="CM164" s="855"/>
      <c r="CN164" s="854"/>
      <c r="CO164" s="852"/>
      <c r="CP164" s="852"/>
      <c r="CQ164" s="853"/>
      <c r="CR164" s="854">
        <v>-0.1492</v>
      </c>
      <c r="CS164" s="877">
        <f t="shared" si="46"/>
        <v>-0.24559999999999998</v>
      </c>
      <c r="CT164" s="855"/>
      <c r="CU164" s="853"/>
    </row>
    <row r="165" spans="1:99" x14ac:dyDescent="0.2">
      <c r="A165" s="856">
        <v>39660</v>
      </c>
      <c r="B165" s="905"/>
      <c r="C165" s="906"/>
      <c r="D165" s="907"/>
      <c r="E165" s="906"/>
      <c r="F165" s="905"/>
      <c r="G165" s="906"/>
      <c r="H165" s="827"/>
      <c r="I165" s="911"/>
      <c r="J165" s="908"/>
      <c r="K165" s="909"/>
      <c r="L165" s="908"/>
      <c r="M165" s="909"/>
      <c r="N165" s="908"/>
      <c r="O165" s="909"/>
      <c r="P165" s="905"/>
      <c r="Q165" s="904"/>
      <c r="R165" s="910"/>
      <c r="S165" s="828"/>
      <c r="T165" s="846"/>
      <c r="U165" s="912"/>
      <c r="V165" s="850"/>
      <c r="W165" s="828"/>
      <c r="X165" s="850"/>
      <c r="Y165" s="828"/>
      <c r="Z165" s="1191">
        <v>-3.7263000000000002</v>
      </c>
      <c r="AA165" s="850">
        <v>146779055.11000001</v>
      </c>
      <c r="AB165" s="855"/>
      <c r="AC165" s="828"/>
      <c r="AD165" s="999"/>
      <c r="AE165" s="828"/>
      <c r="AF165" s="850"/>
      <c r="AG165" s="828"/>
      <c r="AH165" s="850"/>
      <c r="AI165" s="850"/>
      <c r="AJ165" s="811"/>
      <c r="AK165" s="872"/>
      <c r="AL165" s="852"/>
      <c r="AM165" s="828"/>
      <c r="AN165" s="850"/>
      <c r="AO165" s="828"/>
      <c r="AP165" s="829"/>
      <c r="AQ165" s="822"/>
      <c r="AR165" s="827"/>
      <c r="AS165" s="951"/>
      <c r="AT165" s="960"/>
      <c r="AU165" s="904"/>
      <c r="AV165" s="852"/>
      <c r="AW165" s="828"/>
      <c r="AX165" s="852"/>
      <c r="AY165" s="828"/>
      <c r="AZ165" s="852"/>
      <c r="BA165" s="850"/>
      <c r="BB165" s="253">
        <v>-1.1168</v>
      </c>
      <c r="BC165" s="367">
        <v>26057284.800000001</v>
      </c>
      <c r="BD165" s="871"/>
      <c r="BE165" s="872"/>
      <c r="BF165" s="873"/>
      <c r="BG165" s="879"/>
      <c r="BH165" s="836"/>
      <c r="BI165" s="836"/>
      <c r="BJ165" s="836"/>
      <c r="BK165" s="834"/>
      <c r="BL165" s="834"/>
      <c r="BM165" s="834"/>
      <c r="BN165" s="834"/>
      <c r="BO165" s="834"/>
      <c r="BP165" s="835"/>
      <c r="BQ165" s="880"/>
      <c r="BR165" s="836"/>
      <c r="BS165" s="854"/>
      <c r="BT165" s="883"/>
      <c r="BU165" s="865">
        <f>Index_Returns!F399</f>
        <v>-3.3361999999999998</v>
      </c>
      <c r="BV165" s="854"/>
      <c r="BW165" s="854"/>
      <c r="BX165" s="1201">
        <f t="shared" si="45"/>
        <v>-0.39010000000000034</v>
      </c>
      <c r="BY165" s="852"/>
      <c r="BZ165" s="852"/>
      <c r="CA165" s="853"/>
      <c r="CB165" s="854"/>
      <c r="CC165" s="854"/>
      <c r="CD165" s="854"/>
      <c r="CE165" s="855"/>
      <c r="CF165" s="854"/>
      <c r="CG165" s="879"/>
      <c r="CH165" s="852"/>
      <c r="CI165" s="826"/>
      <c r="CJ165" s="826"/>
      <c r="CK165" s="826"/>
      <c r="CL165" s="826"/>
      <c r="CM165" s="855"/>
      <c r="CN165" s="854"/>
      <c r="CO165" s="852"/>
      <c r="CP165" s="852"/>
      <c r="CQ165" s="853"/>
      <c r="CR165" s="854">
        <v>3.0000000000000001E-3</v>
      </c>
      <c r="CS165" s="877">
        <f t="shared" si="46"/>
        <v>-1.1197999999999999</v>
      </c>
      <c r="CT165" s="855"/>
      <c r="CU165" s="853"/>
    </row>
    <row r="166" spans="1:99" x14ac:dyDescent="0.2">
      <c r="A166" s="856">
        <v>39691</v>
      </c>
      <c r="B166" s="905"/>
      <c r="C166" s="906"/>
      <c r="D166" s="907"/>
      <c r="E166" s="906"/>
      <c r="F166" s="905"/>
      <c r="G166" s="906"/>
      <c r="H166" s="827"/>
      <c r="I166" s="911"/>
      <c r="J166" s="908"/>
      <c r="K166" s="909"/>
      <c r="L166" s="908"/>
      <c r="M166" s="909"/>
      <c r="N166" s="908"/>
      <c r="O166" s="909"/>
      <c r="P166" s="905"/>
      <c r="Q166" s="904"/>
      <c r="R166" s="910"/>
      <c r="S166" s="828"/>
      <c r="T166" s="846"/>
      <c r="U166" s="912"/>
      <c r="V166" s="850"/>
      <c r="W166" s="828"/>
      <c r="X166" s="850"/>
      <c r="Y166" s="828"/>
      <c r="Z166" s="1191"/>
      <c r="AA166" s="850"/>
      <c r="AB166" s="855"/>
      <c r="AC166" s="828"/>
      <c r="AD166" s="999"/>
      <c r="AE166" s="828"/>
      <c r="AF166" s="850"/>
      <c r="AG166" s="828"/>
      <c r="AH166" s="850"/>
      <c r="AI166" s="850"/>
      <c r="AJ166" s="811"/>
      <c r="AK166" s="872"/>
      <c r="AL166" s="852"/>
      <c r="AM166" s="828"/>
      <c r="AN166" s="850"/>
      <c r="AO166" s="828"/>
      <c r="AP166" s="829"/>
      <c r="AQ166" s="822"/>
      <c r="AR166" s="827"/>
      <c r="AS166" s="951"/>
      <c r="AT166" s="960"/>
      <c r="AU166" s="904"/>
      <c r="AV166" s="852"/>
      <c r="AW166" s="828"/>
      <c r="AX166" s="852"/>
      <c r="AY166" s="828"/>
      <c r="AZ166" s="852"/>
      <c r="BA166" s="850"/>
      <c r="BB166" s="253">
        <v>0.34749999999999998</v>
      </c>
      <c r="BC166" s="367">
        <v>26147840.09</v>
      </c>
      <c r="BD166" s="871"/>
      <c r="BE166" s="872"/>
      <c r="BF166" s="873"/>
      <c r="BG166" s="879"/>
      <c r="BH166" s="836"/>
      <c r="BI166" s="836"/>
      <c r="BJ166" s="836"/>
      <c r="BK166" s="834"/>
      <c r="BL166" s="834"/>
      <c r="BM166" s="834"/>
      <c r="BN166" s="834"/>
      <c r="BO166" s="834"/>
      <c r="BP166" s="835"/>
      <c r="BQ166" s="880"/>
      <c r="BR166" s="836"/>
      <c r="BS166" s="854"/>
      <c r="BT166" s="883"/>
      <c r="BU166" s="865">
        <f>Index_Returns!F400</f>
        <v>1.3271999999999999</v>
      </c>
      <c r="BV166" s="854"/>
      <c r="BW166" s="854"/>
      <c r="BX166" s="1201"/>
      <c r="BY166" s="852"/>
      <c r="BZ166" s="852"/>
      <c r="CA166" s="853"/>
      <c r="CB166" s="854"/>
      <c r="CC166" s="854"/>
      <c r="CD166" s="854"/>
      <c r="CE166" s="855"/>
      <c r="CF166" s="854"/>
      <c r="CG166" s="879"/>
      <c r="CH166" s="852"/>
      <c r="CI166" s="826"/>
      <c r="CJ166" s="826"/>
      <c r="CK166" s="826"/>
      <c r="CL166" s="826"/>
      <c r="CM166" s="855"/>
      <c r="CN166" s="854"/>
      <c r="CO166" s="852"/>
      <c r="CP166" s="852"/>
      <c r="CQ166" s="853"/>
      <c r="CR166" s="854">
        <v>0.8488</v>
      </c>
      <c r="CS166" s="877">
        <f t="shared" si="46"/>
        <v>-0.50130000000000008</v>
      </c>
      <c r="CT166" s="855"/>
      <c r="CU166" s="853"/>
    </row>
    <row r="167" spans="1:99" x14ac:dyDescent="0.2">
      <c r="A167" s="856">
        <v>39721</v>
      </c>
      <c r="B167" s="905"/>
      <c r="C167" s="906"/>
      <c r="D167" s="907"/>
      <c r="E167" s="906"/>
      <c r="F167" s="905"/>
      <c r="G167" s="906"/>
      <c r="H167" s="827"/>
      <c r="I167" s="911"/>
      <c r="J167" s="908"/>
      <c r="K167" s="909"/>
      <c r="L167" s="908"/>
      <c r="M167" s="909"/>
      <c r="N167" s="908"/>
      <c r="O167" s="909"/>
      <c r="P167" s="905"/>
      <c r="Q167" s="904"/>
      <c r="R167" s="910"/>
      <c r="S167" s="828"/>
      <c r="T167" s="846"/>
      <c r="U167" s="912"/>
      <c r="V167" s="850"/>
      <c r="W167" s="828"/>
      <c r="X167" s="850"/>
      <c r="Y167" s="828"/>
      <c r="Z167" s="1191"/>
      <c r="AA167" s="850"/>
      <c r="AB167" s="855"/>
      <c r="AC167" s="828"/>
      <c r="AD167" s="999"/>
      <c r="AE167" s="828"/>
      <c r="AF167" s="850"/>
      <c r="AG167" s="828"/>
      <c r="AH167" s="850"/>
      <c r="AI167" s="850"/>
      <c r="AJ167" s="811"/>
      <c r="AK167" s="872"/>
      <c r="AL167" s="852"/>
      <c r="AM167" s="828"/>
      <c r="AN167" s="850"/>
      <c r="AO167" s="828"/>
      <c r="AP167" s="829"/>
      <c r="AQ167" s="822"/>
      <c r="AR167" s="827"/>
      <c r="AS167" s="951"/>
      <c r="AT167" s="960"/>
      <c r="AU167" s="904"/>
      <c r="AV167" s="852"/>
      <c r="AW167" s="828"/>
      <c r="AX167" s="852"/>
      <c r="AY167" s="828"/>
      <c r="AZ167" s="852"/>
      <c r="BA167" s="850"/>
      <c r="BB167" s="253">
        <v>-1.1778999999999999</v>
      </c>
      <c r="BC167" s="367">
        <v>25853535.399999999</v>
      </c>
      <c r="BD167" s="871"/>
      <c r="BE167" s="872"/>
      <c r="BF167" s="873"/>
      <c r="BG167" s="879"/>
      <c r="BH167" s="836"/>
      <c r="BI167" s="836"/>
      <c r="BJ167" s="836"/>
      <c r="BK167" s="834"/>
      <c r="BL167" s="834"/>
      <c r="BM167" s="834"/>
      <c r="BN167" s="834"/>
      <c r="BO167" s="834"/>
      <c r="BP167" s="835"/>
      <c r="BQ167" s="880"/>
      <c r="BR167" s="836"/>
      <c r="BS167" s="854"/>
      <c r="BT167" s="883"/>
      <c r="BU167" s="865">
        <f>Index_Returns!F401</f>
        <v>-12.928900000000001</v>
      </c>
      <c r="BV167" s="854"/>
      <c r="BW167" s="854"/>
      <c r="BX167" s="1201"/>
      <c r="BY167" s="852"/>
      <c r="BZ167" s="852"/>
      <c r="CA167" s="853"/>
      <c r="CB167" s="854"/>
      <c r="CC167" s="854"/>
      <c r="CD167" s="854"/>
      <c r="CE167" s="855"/>
      <c r="CF167" s="854"/>
      <c r="CG167" s="879"/>
      <c r="CH167" s="852"/>
      <c r="CI167" s="826"/>
      <c r="CJ167" s="826"/>
      <c r="CK167" s="826"/>
      <c r="CL167" s="826"/>
      <c r="CM167" s="855"/>
      <c r="CN167" s="854"/>
      <c r="CO167" s="852"/>
      <c r="CP167" s="852"/>
      <c r="CQ167" s="853"/>
      <c r="CR167" s="854">
        <v>-0.96909999999999996</v>
      </c>
      <c r="CS167" s="877">
        <f t="shared" si="46"/>
        <v>-0.20879999999999999</v>
      </c>
      <c r="CT167" s="855"/>
      <c r="CU167" s="853"/>
    </row>
    <row r="168" spans="1:99" x14ac:dyDescent="0.2">
      <c r="A168" s="856">
        <v>39752</v>
      </c>
      <c r="B168" s="905"/>
      <c r="C168" s="906"/>
      <c r="D168" s="907"/>
      <c r="E168" s="906"/>
      <c r="F168" s="905"/>
      <c r="G168" s="906"/>
      <c r="H168" s="827"/>
      <c r="I168" s="911"/>
      <c r="J168" s="908"/>
      <c r="K168" s="909"/>
      <c r="L168" s="908"/>
      <c r="M168" s="909"/>
      <c r="N168" s="908"/>
      <c r="O168" s="909"/>
      <c r="P168" s="905"/>
      <c r="Q168" s="904"/>
      <c r="R168" s="910"/>
      <c r="S168" s="828"/>
      <c r="T168" s="846"/>
      <c r="U168" s="912"/>
      <c r="V168" s="850"/>
      <c r="W168" s="828"/>
      <c r="X168" s="850"/>
      <c r="Y168" s="828"/>
      <c r="Z168" s="1191"/>
      <c r="AA168" s="850"/>
      <c r="AB168" s="855"/>
      <c r="AC168" s="828"/>
      <c r="AD168" s="999"/>
      <c r="AE168" s="828"/>
      <c r="AF168" s="850"/>
      <c r="AG168" s="828"/>
      <c r="AH168" s="850"/>
      <c r="AI168" s="850"/>
      <c r="AJ168" s="811"/>
      <c r="AK168" s="872"/>
      <c r="AL168" s="852"/>
      <c r="AM168" s="828"/>
      <c r="AN168" s="850"/>
      <c r="AO168" s="828"/>
      <c r="AP168" s="829"/>
      <c r="AQ168" s="822"/>
      <c r="AR168" s="827"/>
      <c r="AS168" s="951"/>
      <c r="AT168" s="960"/>
      <c r="AU168" s="904"/>
      <c r="AV168" s="852"/>
      <c r="AW168" s="828"/>
      <c r="AX168" s="852"/>
      <c r="AY168" s="828"/>
      <c r="AZ168" s="852"/>
      <c r="BA168" s="850"/>
      <c r="BB168" s="253">
        <v>-3.24</v>
      </c>
      <c r="BC168" s="346">
        <v>25015898.960000001</v>
      </c>
      <c r="BD168" s="871"/>
      <c r="BE168" s="872"/>
      <c r="BF168" s="873"/>
      <c r="BG168" s="879"/>
      <c r="BH168" s="836"/>
      <c r="BI168" s="836"/>
      <c r="BJ168" s="836"/>
      <c r="BK168" s="834"/>
      <c r="BL168" s="834"/>
      <c r="BM168" s="834"/>
      <c r="BN168" s="834"/>
      <c r="BO168" s="834"/>
      <c r="BP168" s="835"/>
      <c r="BQ168" s="880"/>
      <c r="BR168" s="836"/>
      <c r="BS168" s="854"/>
      <c r="BT168" s="883"/>
      <c r="BU168" s="865">
        <f>Index_Returns!F402</f>
        <v>-21.694700000000001</v>
      </c>
      <c r="BV168" s="854"/>
      <c r="BW168" s="854"/>
      <c r="BX168" s="1201"/>
      <c r="BY168" s="852"/>
      <c r="BZ168" s="852"/>
      <c r="CA168" s="853"/>
      <c r="CB168" s="854"/>
      <c r="CC168" s="854"/>
      <c r="CD168" s="854"/>
      <c r="CE168" s="855"/>
      <c r="CF168" s="854"/>
      <c r="CG168" s="879"/>
      <c r="CH168" s="852"/>
      <c r="CI168" s="826"/>
      <c r="CJ168" s="826"/>
      <c r="CK168" s="826"/>
      <c r="CL168" s="826"/>
      <c r="CM168" s="855"/>
      <c r="CN168" s="854"/>
      <c r="CO168" s="852"/>
      <c r="CP168" s="852"/>
      <c r="CQ168" s="853"/>
      <c r="CR168" s="854">
        <v>-1.7849999999999999</v>
      </c>
      <c r="CS168" s="877">
        <f t="shared" si="46"/>
        <v>-1.4550000000000003</v>
      </c>
      <c r="CT168" s="855"/>
      <c r="CU168" s="853"/>
    </row>
    <row r="169" spans="1:99" x14ac:dyDescent="0.2">
      <c r="A169" s="856">
        <v>39782</v>
      </c>
      <c r="B169" s="905"/>
      <c r="C169" s="906"/>
      <c r="D169" s="907"/>
      <c r="E169" s="906"/>
      <c r="F169" s="905"/>
      <c r="G169" s="906"/>
      <c r="H169" s="827"/>
      <c r="I169" s="911"/>
      <c r="J169" s="908"/>
      <c r="K169" s="909"/>
      <c r="L169" s="908"/>
      <c r="M169" s="909"/>
      <c r="N169" s="908"/>
      <c r="O169" s="909"/>
      <c r="P169" s="905"/>
      <c r="Q169" s="904"/>
      <c r="R169" s="910"/>
      <c r="S169" s="828"/>
      <c r="T169" s="846"/>
      <c r="U169" s="912"/>
      <c r="V169" s="850"/>
      <c r="W169" s="828"/>
      <c r="X169" s="850"/>
      <c r="Y169" s="850"/>
      <c r="Z169" s="1192"/>
      <c r="AA169" s="850"/>
      <c r="AB169" s="855"/>
      <c r="AC169" s="828"/>
      <c r="AD169" s="999"/>
      <c r="AE169" s="828"/>
      <c r="AF169" s="850"/>
      <c r="AG169" s="828"/>
      <c r="AH169" s="850"/>
      <c r="AI169" s="850"/>
      <c r="AJ169" s="811"/>
      <c r="AK169" s="872"/>
      <c r="AL169" s="852"/>
      <c r="AM169" s="828"/>
      <c r="AN169" s="850"/>
      <c r="AO169" s="828"/>
      <c r="AP169" s="829"/>
      <c r="AQ169" s="822"/>
      <c r="AR169" s="827"/>
      <c r="AS169" s="951"/>
      <c r="AT169" s="960"/>
      <c r="AU169" s="904"/>
      <c r="AV169" s="852"/>
      <c r="AW169" s="828"/>
      <c r="AX169" s="852"/>
      <c r="AY169" s="828"/>
      <c r="AZ169" s="852"/>
      <c r="BA169" s="850"/>
      <c r="BB169" s="850"/>
      <c r="BC169" s="850"/>
      <c r="BD169" s="871"/>
      <c r="BE169" s="872"/>
      <c r="BF169" s="873"/>
      <c r="BG169" s="879"/>
      <c r="BH169" s="836"/>
      <c r="BI169" s="836"/>
      <c r="BJ169" s="836"/>
      <c r="BK169" s="834"/>
      <c r="BL169" s="834"/>
      <c r="BM169" s="834"/>
      <c r="BN169" s="834"/>
      <c r="BO169" s="834"/>
      <c r="BP169" s="835"/>
      <c r="BQ169" s="880"/>
      <c r="BR169" s="836"/>
      <c r="BS169" s="854"/>
      <c r="BT169" s="883"/>
      <c r="BU169" s="854"/>
      <c r="BV169" s="854"/>
      <c r="BW169" s="854"/>
      <c r="BX169" s="1198"/>
      <c r="BY169" s="852"/>
      <c r="BZ169" s="852"/>
      <c r="CA169" s="853"/>
      <c r="CB169" s="854"/>
      <c r="CC169" s="854"/>
      <c r="CD169" s="854"/>
      <c r="CE169" s="855"/>
      <c r="CF169" s="854"/>
      <c r="CG169" s="879"/>
      <c r="CH169" s="852"/>
      <c r="CI169" s="826"/>
      <c r="CJ169" s="826"/>
      <c r="CK169" s="826"/>
      <c r="CL169" s="826"/>
      <c r="CM169" s="855"/>
      <c r="CN169" s="854"/>
      <c r="CO169" s="852"/>
      <c r="CP169" s="852"/>
      <c r="CQ169" s="853"/>
      <c r="CR169" s="854"/>
      <c r="CS169" s="854"/>
      <c r="CT169" s="855"/>
      <c r="CU169" s="853"/>
    </row>
    <row r="170" spans="1:99" x14ac:dyDescent="0.2">
      <c r="A170" s="856">
        <v>39813</v>
      </c>
      <c r="B170" s="905"/>
      <c r="C170" s="906"/>
      <c r="D170" s="907"/>
      <c r="E170" s="906"/>
      <c r="F170" s="905"/>
      <c r="G170" s="906"/>
      <c r="H170" s="827"/>
      <c r="I170" s="911"/>
      <c r="J170" s="908"/>
      <c r="K170" s="909"/>
      <c r="L170" s="908"/>
      <c r="M170" s="909"/>
      <c r="N170" s="908"/>
      <c r="O170" s="909"/>
      <c r="P170" s="905"/>
      <c r="Q170" s="904"/>
      <c r="R170" s="910"/>
      <c r="S170" s="828"/>
      <c r="T170" s="846"/>
      <c r="U170" s="912"/>
      <c r="V170" s="850"/>
      <c r="W170" s="828"/>
      <c r="X170" s="850"/>
      <c r="Y170" s="850"/>
      <c r="Z170" s="1192"/>
      <c r="AA170" s="850"/>
      <c r="AB170" s="855"/>
      <c r="AC170" s="828"/>
      <c r="AD170" s="999"/>
      <c r="AE170" s="828"/>
      <c r="AF170" s="850"/>
      <c r="AG170" s="828"/>
      <c r="AH170" s="850"/>
      <c r="AI170" s="850"/>
      <c r="AJ170" s="811"/>
      <c r="AK170" s="872"/>
      <c r="AL170" s="852"/>
      <c r="AM170" s="828"/>
      <c r="AN170" s="850"/>
      <c r="AO170" s="828"/>
      <c r="AP170" s="829"/>
      <c r="AQ170" s="822"/>
      <c r="AR170" s="827"/>
      <c r="AS170" s="951"/>
      <c r="AT170" s="960"/>
      <c r="AU170" s="904"/>
      <c r="AV170" s="852"/>
      <c r="AW170" s="828"/>
      <c r="AX170" s="852"/>
      <c r="AY170" s="828"/>
      <c r="AZ170" s="852"/>
      <c r="BA170" s="850"/>
      <c r="BB170" s="850"/>
      <c r="BC170" s="850"/>
      <c r="BD170" s="871"/>
      <c r="BE170" s="872"/>
      <c r="BF170" s="873"/>
      <c r="BG170" s="879"/>
      <c r="BH170" s="836"/>
      <c r="BI170" s="836"/>
      <c r="BJ170" s="836"/>
      <c r="BK170" s="834"/>
      <c r="BL170" s="834"/>
      <c r="BM170" s="834"/>
      <c r="BN170" s="834"/>
      <c r="BO170" s="834"/>
      <c r="BP170" s="835"/>
      <c r="BQ170" s="880"/>
      <c r="BR170" s="836"/>
      <c r="BS170" s="854"/>
      <c r="BT170" s="883"/>
      <c r="BU170" s="854"/>
      <c r="BV170" s="854"/>
      <c r="BW170" s="854"/>
      <c r="BX170" s="1198"/>
      <c r="BY170" s="852"/>
      <c r="BZ170" s="852"/>
      <c r="CA170" s="853"/>
      <c r="CB170" s="854"/>
      <c r="CC170" s="854"/>
      <c r="CD170" s="854"/>
      <c r="CE170" s="855"/>
      <c r="CF170" s="854"/>
      <c r="CG170" s="879"/>
      <c r="CH170" s="852"/>
      <c r="CI170" s="826"/>
      <c r="CJ170" s="826"/>
      <c r="CK170" s="826"/>
      <c r="CL170" s="826"/>
      <c r="CM170" s="855"/>
      <c r="CN170" s="854"/>
      <c r="CO170" s="852"/>
      <c r="CP170" s="852"/>
      <c r="CQ170" s="853"/>
      <c r="CR170" s="854"/>
      <c r="CS170" s="854"/>
      <c r="CT170" s="855"/>
      <c r="CU170" s="853"/>
    </row>
    <row r="171" spans="1:99" x14ac:dyDescent="0.2">
      <c r="A171" s="856">
        <v>39844</v>
      </c>
      <c r="B171" s="905"/>
      <c r="C171" s="906"/>
      <c r="D171" s="907"/>
      <c r="E171" s="906"/>
      <c r="F171" s="905"/>
      <c r="G171" s="906"/>
      <c r="H171" s="827"/>
      <c r="I171" s="911"/>
      <c r="J171" s="908"/>
      <c r="K171" s="909"/>
      <c r="L171" s="908"/>
      <c r="M171" s="909"/>
      <c r="N171" s="908"/>
      <c r="O171" s="909"/>
      <c r="P171" s="905"/>
      <c r="Q171" s="904"/>
      <c r="R171" s="910"/>
      <c r="S171" s="828"/>
      <c r="T171" s="846"/>
      <c r="U171" s="912"/>
      <c r="V171" s="850"/>
      <c r="W171" s="828"/>
      <c r="X171" s="850"/>
      <c r="Y171" s="850"/>
      <c r="Z171" s="1192"/>
      <c r="AA171" s="850"/>
      <c r="AB171" s="855"/>
      <c r="AC171" s="828"/>
      <c r="AD171" s="999"/>
      <c r="AE171" s="828"/>
      <c r="AF171" s="850"/>
      <c r="AG171" s="828"/>
      <c r="AH171" s="850"/>
      <c r="AI171" s="850"/>
      <c r="AJ171" s="811"/>
      <c r="AK171" s="872"/>
      <c r="AL171" s="852"/>
      <c r="AM171" s="828"/>
      <c r="AN171" s="850"/>
      <c r="AO171" s="828"/>
      <c r="AP171" s="829"/>
      <c r="AQ171" s="822"/>
      <c r="AR171" s="827"/>
      <c r="AS171" s="951"/>
      <c r="AT171" s="960"/>
      <c r="AU171" s="904"/>
      <c r="AV171" s="852"/>
      <c r="AW171" s="828"/>
      <c r="AX171" s="852"/>
      <c r="AY171" s="828"/>
      <c r="AZ171" s="852"/>
      <c r="BA171" s="850"/>
      <c r="BB171" s="850"/>
      <c r="BC171" s="850"/>
      <c r="BD171" s="871"/>
      <c r="BE171" s="872"/>
      <c r="BF171" s="873"/>
      <c r="BG171" s="879"/>
      <c r="BH171" s="836"/>
      <c r="BI171" s="836"/>
      <c r="BJ171" s="836"/>
      <c r="BK171" s="834"/>
      <c r="BL171" s="834"/>
      <c r="BM171" s="834"/>
      <c r="BN171" s="834"/>
      <c r="BO171" s="834"/>
      <c r="BP171" s="835"/>
      <c r="BQ171" s="880"/>
      <c r="BR171" s="836"/>
      <c r="BS171" s="854"/>
      <c r="BT171" s="883"/>
      <c r="BU171" s="854"/>
      <c r="BV171" s="854"/>
      <c r="BW171" s="854"/>
      <c r="BX171" s="1198"/>
      <c r="BY171" s="852"/>
      <c r="BZ171" s="852"/>
      <c r="CA171" s="853"/>
      <c r="CB171" s="854"/>
      <c r="CC171" s="854"/>
      <c r="CD171" s="854"/>
      <c r="CE171" s="855"/>
      <c r="CF171" s="854"/>
      <c r="CG171" s="879"/>
      <c r="CH171" s="852"/>
      <c r="CI171" s="826"/>
      <c r="CJ171" s="826"/>
      <c r="CK171" s="826"/>
      <c r="CL171" s="826"/>
      <c r="CM171" s="855"/>
      <c r="CN171" s="854"/>
      <c r="CO171" s="852"/>
      <c r="CP171" s="852"/>
      <c r="CQ171" s="853"/>
      <c r="CR171" s="854"/>
      <c r="CS171" s="854"/>
      <c r="CT171" s="855"/>
      <c r="CU171" s="853"/>
    </row>
    <row r="172" spans="1:99" x14ac:dyDescent="0.2">
      <c r="A172" s="856">
        <v>39872</v>
      </c>
      <c r="B172" s="905"/>
      <c r="C172" s="906"/>
      <c r="D172" s="907"/>
      <c r="E172" s="906"/>
      <c r="F172" s="905"/>
      <c r="G172" s="906"/>
      <c r="H172" s="827"/>
      <c r="I172" s="911"/>
      <c r="J172" s="908"/>
      <c r="K172" s="909"/>
      <c r="L172" s="908"/>
      <c r="M172" s="909"/>
      <c r="N172" s="908"/>
      <c r="O172" s="909"/>
      <c r="P172" s="905"/>
      <c r="Q172" s="904"/>
      <c r="R172" s="910"/>
      <c r="S172" s="828"/>
      <c r="T172" s="846"/>
      <c r="U172" s="912"/>
      <c r="V172" s="850"/>
      <c r="W172" s="828"/>
      <c r="X172" s="850"/>
      <c r="Y172" s="850"/>
      <c r="Z172" s="1192"/>
      <c r="AA172" s="850"/>
      <c r="AB172" s="855"/>
      <c r="AC172" s="828"/>
      <c r="AD172" s="999"/>
      <c r="AE172" s="828"/>
      <c r="AF172" s="850"/>
      <c r="AG172" s="828"/>
      <c r="AH172" s="850"/>
      <c r="AI172" s="850"/>
      <c r="AJ172" s="811"/>
      <c r="AK172" s="872"/>
      <c r="AL172" s="852"/>
      <c r="AM172" s="828"/>
      <c r="AN172" s="850"/>
      <c r="AO172" s="828"/>
      <c r="AP172" s="829"/>
      <c r="AQ172" s="822"/>
      <c r="AR172" s="827"/>
      <c r="AS172" s="951"/>
      <c r="AT172" s="960"/>
      <c r="AU172" s="904"/>
      <c r="AV172" s="852"/>
      <c r="AW172" s="828"/>
      <c r="AX172" s="852"/>
      <c r="AY172" s="828"/>
      <c r="AZ172" s="852"/>
      <c r="BA172" s="850"/>
      <c r="BB172" s="850"/>
      <c r="BC172" s="850"/>
      <c r="BD172" s="871"/>
      <c r="BE172" s="872"/>
      <c r="BF172" s="873"/>
      <c r="BG172" s="879"/>
      <c r="BH172" s="836"/>
      <c r="BI172" s="836"/>
      <c r="BJ172" s="836"/>
      <c r="BK172" s="834"/>
      <c r="BL172" s="834"/>
      <c r="BM172" s="834"/>
      <c r="BN172" s="834"/>
      <c r="BO172" s="834"/>
      <c r="BP172" s="835"/>
      <c r="BQ172" s="880"/>
      <c r="BR172" s="836"/>
      <c r="BS172" s="854"/>
      <c r="BT172" s="883"/>
      <c r="BU172" s="854"/>
      <c r="BV172" s="854"/>
      <c r="BW172" s="854"/>
      <c r="BX172" s="1198"/>
      <c r="BY172" s="852"/>
      <c r="BZ172" s="852"/>
      <c r="CA172" s="853"/>
      <c r="CB172" s="854"/>
      <c r="CC172" s="854"/>
      <c r="CD172" s="854"/>
      <c r="CE172" s="855"/>
      <c r="CF172" s="854"/>
      <c r="CG172" s="879"/>
      <c r="CH172" s="852"/>
      <c r="CI172" s="826"/>
      <c r="CJ172" s="826"/>
      <c r="CK172" s="826"/>
      <c r="CL172" s="826"/>
      <c r="CM172" s="855"/>
      <c r="CN172" s="854"/>
      <c r="CO172" s="852"/>
      <c r="CP172" s="852"/>
      <c r="CQ172" s="853"/>
      <c r="CR172" s="854"/>
      <c r="CS172" s="854"/>
      <c r="CT172" s="855"/>
      <c r="CU172" s="853"/>
    </row>
    <row r="173" spans="1:99" x14ac:dyDescent="0.2">
      <c r="A173" s="856">
        <v>39903</v>
      </c>
      <c r="B173" s="905"/>
      <c r="C173" s="906"/>
      <c r="D173" s="907"/>
      <c r="E173" s="906"/>
      <c r="F173" s="905"/>
      <c r="G173" s="906"/>
      <c r="H173" s="827"/>
      <c r="I173" s="911"/>
      <c r="J173" s="908"/>
      <c r="K173" s="909"/>
      <c r="L173" s="908"/>
      <c r="M173" s="909"/>
      <c r="N173" s="908"/>
      <c r="O173" s="909"/>
      <c r="P173" s="905"/>
      <c r="Q173" s="904"/>
      <c r="R173" s="910"/>
      <c r="S173" s="828"/>
      <c r="T173" s="846"/>
      <c r="U173" s="912"/>
      <c r="V173" s="850"/>
      <c r="W173" s="828"/>
      <c r="X173" s="850"/>
      <c r="Y173" s="850"/>
      <c r="Z173" s="1192"/>
      <c r="AA173" s="850"/>
      <c r="AB173" s="855"/>
      <c r="AC173" s="828"/>
      <c r="AD173" s="999"/>
      <c r="AE173" s="828"/>
      <c r="AF173" s="850"/>
      <c r="AG173" s="828"/>
      <c r="AH173" s="850"/>
      <c r="AI173" s="850"/>
      <c r="AJ173" s="811"/>
      <c r="AK173" s="872"/>
      <c r="AL173" s="852"/>
      <c r="AM173" s="828"/>
      <c r="AN173" s="850"/>
      <c r="AO173" s="828"/>
      <c r="AP173" s="829"/>
      <c r="AQ173" s="822"/>
      <c r="AR173" s="827"/>
      <c r="AS173" s="951"/>
      <c r="AT173" s="960"/>
      <c r="AU173" s="904"/>
      <c r="AV173" s="852"/>
      <c r="AW173" s="828"/>
      <c r="AX173" s="852"/>
      <c r="AY173" s="828"/>
      <c r="AZ173" s="852"/>
      <c r="BA173" s="850"/>
      <c r="BB173" s="850"/>
      <c r="BC173" s="850"/>
      <c r="BD173" s="871"/>
      <c r="BE173" s="872"/>
      <c r="BF173" s="873"/>
      <c r="BG173" s="879"/>
      <c r="BH173" s="836"/>
      <c r="BI173" s="836"/>
      <c r="BJ173" s="836"/>
      <c r="BK173" s="834"/>
      <c r="BL173" s="834"/>
      <c r="BM173" s="834"/>
      <c r="BN173" s="834"/>
      <c r="BO173" s="834"/>
      <c r="BP173" s="835"/>
      <c r="BQ173" s="880"/>
      <c r="BR173" s="836"/>
      <c r="BS173" s="854"/>
      <c r="BT173" s="883"/>
      <c r="BU173" s="854"/>
      <c r="BV173" s="854"/>
      <c r="BW173" s="854"/>
      <c r="BX173" s="1198"/>
      <c r="BY173" s="852"/>
      <c r="BZ173" s="852"/>
      <c r="CA173" s="853"/>
      <c r="CB173" s="854"/>
      <c r="CC173" s="854"/>
      <c r="CD173" s="854"/>
      <c r="CE173" s="855"/>
      <c r="CF173" s="854"/>
      <c r="CG173" s="879"/>
      <c r="CH173" s="852"/>
      <c r="CI173" s="826"/>
      <c r="CJ173" s="826"/>
      <c r="CK173" s="826"/>
      <c r="CL173" s="826"/>
      <c r="CM173" s="855"/>
      <c r="CN173" s="854"/>
      <c r="CO173" s="852"/>
      <c r="CP173" s="852"/>
      <c r="CQ173" s="853"/>
      <c r="CR173" s="854"/>
      <c r="CS173" s="854"/>
      <c r="CT173" s="855"/>
      <c r="CU173" s="853"/>
    </row>
    <row r="174" spans="1:99" x14ac:dyDescent="0.2">
      <c r="A174" s="856">
        <v>39933</v>
      </c>
      <c r="B174" s="905"/>
      <c r="C174" s="906"/>
      <c r="D174" s="907"/>
      <c r="E174" s="906"/>
      <c r="F174" s="905"/>
      <c r="G174" s="906"/>
      <c r="H174" s="827"/>
      <c r="I174" s="911"/>
      <c r="J174" s="908"/>
      <c r="K174" s="909"/>
      <c r="L174" s="908"/>
      <c r="M174" s="909"/>
      <c r="N174" s="908"/>
      <c r="O174" s="909"/>
      <c r="P174" s="905"/>
      <c r="Q174" s="904"/>
      <c r="R174" s="910"/>
      <c r="S174" s="828"/>
      <c r="T174" s="846"/>
      <c r="U174" s="912"/>
      <c r="V174" s="850"/>
      <c r="W174" s="828"/>
      <c r="X174" s="850"/>
      <c r="Y174" s="850"/>
      <c r="Z174" s="1188"/>
      <c r="AA174" s="850"/>
      <c r="AB174" s="855"/>
      <c r="AC174" s="828"/>
      <c r="AD174" s="999"/>
      <c r="AE174" s="828"/>
      <c r="AF174" s="850"/>
      <c r="AG174" s="828"/>
      <c r="AH174" s="850"/>
      <c r="AI174" s="850"/>
      <c r="AJ174" s="811"/>
      <c r="AK174" s="872"/>
      <c r="AL174" s="852"/>
      <c r="AM174" s="828"/>
      <c r="AN174" s="850"/>
      <c r="AO174" s="828"/>
      <c r="AP174" s="829"/>
      <c r="AQ174" s="822"/>
      <c r="AR174" s="827"/>
      <c r="AS174" s="951"/>
      <c r="AT174" s="960"/>
      <c r="AU174" s="904"/>
      <c r="AV174" s="852"/>
      <c r="AW174" s="828"/>
      <c r="AX174" s="852"/>
      <c r="AY174" s="828"/>
      <c r="AZ174" s="852"/>
      <c r="BA174" s="850"/>
      <c r="BB174" s="850"/>
      <c r="BC174" s="850"/>
      <c r="BD174" s="871"/>
      <c r="BE174" s="872"/>
      <c r="BF174" s="873"/>
      <c r="BG174" s="879"/>
      <c r="BH174" s="836"/>
      <c r="BI174" s="836"/>
      <c r="BJ174" s="836"/>
      <c r="BK174" s="834"/>
      <c r="BL174" s="834"/>
      <c r="BM174" s="834"/>
      <c r="BN174" s="834"/>
      <c r="BO174" s="834"/>
      <c r="BP174" s="835"/>
      <c r="BQ174" s="880"/>
      <c r="BR174" s="836"/>
      <c r="BS174" s="854"/>
      <c r="BT174" s="883"/>
      <c r="BU174" s="854"/>
      <c r="BV174" s="854"/>
      <c r="BW174" s="854"/>
      <c r="BX174" s="1198"/>
      <c r="BY174" s="852"/>
      <c r="BZ174" s="852"/>
      <c r="CA174" s="853"/>
      <c r="CB174" s="854"/>
      <c r="CC174" s="854"/>
      <c r="CD174" s="854"/>
      <c r="CE174" s="855"/>
      <c r="CF174" s="854"/>
      <c r="CG174" s="879"/>
      <c r="CH174" s="852"/>
      <c r="CI174" s="826"/>
      <c r="CJ174" s="826"/>
      <c r="CK174" s="826"/>
      <c r="CL174" s="826"/>
      <c r="CM174" s="855"/>
      <c r="CN174" s="854"/>
      <c r="CO174" s="852"/>
      <c r="CP174" s="852"/>
      <c r="CQ174" s="853"/>
      <c r="CR174" s="854"/>
      <c r="CS174" s="854"/>
      <c r="CT174" s="855"/>
      <c r="CU174" s="853"/>
    </row>
    <row r="175" spans="1:99" x14ac:dyDescent="0.2">
      <c r="A175" s="856">
        <v>39964</v>
      </c>
      <c r="B175" s="905"/>
      <c r="C175" s="906"/>
      <c r="D175" s="907"/>
      <c r="E175" s="906"/>
      <c r="F175" s="905"/>
      <c r="G175" s="906"/>
      <c r="H175" s="827"/>
      <c r="I175" s="911"/>
      <c r="J175" s="908"/>
      <c r="K175" s="909"/>
      <c r="L175" s="908"/>
      <c r="M175" s="909"/>
      <c r="N175" s="908"/>
      <c r="O175" s="909"/>
      <c r="P175" s="905"/>
      <c r="Q175" s="904"/>
      <c r="R175" s="910"/>
      <c r="S175" s="828"/>
      <c r="T175" s="846"/>
      <c r="U175" s="912"/>
      <c r="V175" s="850"/>
      <c r="W175" s="828"/>
      <c r="X175" s="850"/>
      <c r="Y175" s="850"/>
      <c r="Z175" s="1188"/>
      <c r="AA175" s="850"/>
      <c r="AB175" s="855"/>
      <c r="AC175" s="828"/>
      <c r="AD175" s="999"/>
      <c r="AE175" s="828"/>
      <c r="AF175" s="850"/>
      <c r="AG175" s="828"/>
      <c r="AH175" s="850"/>
      <c r="AI175" s="850"/>
      <c r="AJ175" s="811"/>
      <c r="AK175" s="872"/>
      <c r="AL175" s="852"/>
      <c r="AM175" s="828"/>
      <c r="AN175" s="850"/>
      <c r="AO175" s="828"/>
      <c r="AP175" s="829"/>
      <c r="AQ175" s="822"/>
      <c r="AR175" s="827"/>
      <c r="AS175" s="951"/>
      <c r="AT175" s="960"/>
      <c r="AU175" s="904"/>
      <c r="AV175" s="852"/>
      <c r="AW175" s="828"/>
      <c r="AX175" s="852"/>
      <c r="AY175" s="828"/>
      <c r="AZ175" s="852"/>
      <c r="BA175" s="850"/>
      <c r="BB175" s="850"/>
      <c r="BC175" s="850"/>
      <c r="BD175" s="871"/>
      <c r="BE175" s="872"/>
      <c r="BF175" s="873"/>
      <c r="BG175" s="879"/>
      <c r="BH175" s="836"/>
      <c r="BI175" s="836"/>
      <c r="BJ175" s="836"/>
      <c r="BK175" s="834"/>
      <c r="BL175" s="834"/>
      <c r="BM175" s="834"/>
      <c r="BN175" s="834"/>
      <c r="BO175" s="834"/>
      <c r="BP175" s="835"/>
      <c r="BQ175" s="880"/>
      <c r="BR175" s="836"/>
      <c r="BS175" s="854"/>
      <c r="BT175" s="883"/>
      <c r="BU175" s="854"/>
      <c r="BV175" s="854"/>
      <c r="BW175" s="854"/>
      <c r="BX175" s="1198"/>
      <c r="BY175" s="852"/>
      <c r="BZ175" s="852"/>
      <c r="CA175" s="853"/>
      <c r="CB175" s="854"/>
      <c r="CC175" s="854"/>
      <c r="CD175" s="854"/>
      <c r="CE175" s="855"/>
      <c r="CF175" s="854"/>
      <c r="CG175" s="879"/>
      <c r="CH175" s="852"/>
      <c r="CI175" s="826"/>
      <c r="CJ175" s="826"/>
      <c r="CK175" s="826"/>
      <c r="CL175" s="826"/>
      <c r="CM175" s="855"/>
      <c r="CN175" s="854"/>
      <c r="CO175" s="852"/>
      <c r="CP175" s="852"/>
      <c r="CQ175" s="853"/>
      <c r="CR175" s="854"/>
      <c r="CS175" s="854"/>
      <c r="CT175" s="855"/>
      <c r="CU175" s="853"/>
    </row>
    <row r="176" spans="1:99" x14ac:dyDescent="0.2">
      <c r="A176" s="856">
        <v>39994</v>
      </c>
      <c r="B176" s="905"/>
      <c r="C176" s="906"/>
      <c r="D176" s="907"/>
      <c r="E176" s="906"/>
      <c r="F176" s="905"/>
      <c r="G176" s="906"/>
      <c r="H176" s="827"/>
      <c r="I176" s="911"/>
      <c r="J176" s="908"/>
      <c r="K176" s="909"/>
      <c r="L176" s="908"/>
      <c r="M176" s="909"/>
      <c r="N176" s="908"/>
      <c r="O176" s="909"/>
      <c r="P176" s="905"/>
      <c r="Q176" s="904"/>
      <c r="R176" s="910"/>
      <c r="S176" s="828"/>
      <c r="T176" s="846"/>
      <c r="U176" s="912"/>
      <c r="V176" s="850"/>
      <c r="W176" s="828"/>
      <c r="X176" s="850"/>
      <c r="Y176" s="850"/>
      <c r="Z176" s="1188"/>
      <c r="AA176" s="850"/>
      <c r="AB176" s="855"/>
      <c r="AC176" s="828"/>
      <c r="AD176" s="999"/>
      <c r="AE176" s="828"/>
      <c r="AF176" s="850"/>
      <c r="AG176" s="828"/>
      <c r="AH176" s="850"/>
      <c r="AI176" s="850"/>
      <c r="AJ176" s="811"/>
      <c r="AK176" s="872"/>
      <c r="AL176" s="852"/>
      <c r="AM176" s="828"/>
      <c r="AN176" s="850"/>
      <c r="AO176" s="828"/>
      <c r="AP176" s="829"/>
      <c r="AQ176" s="822"/>
      <c r="AR176" s="827"/>
      <c r="AS176" s="951"/>
      <c r="AT176" s="960"/>
      <c r="AU176" s="904"/>
      <c r="AV176" s="852"/>
      <c r="AW176" s="828"/>
      <c r="AX176" s="852"/>
      <c r="AY176" s="828"/>
      <c r="AZ176" s="852"/>
      <c r="BA176" s="850"/>
      <c r="BB176" s="850"/>
      <c r="BC176" s="850"/>
      <c r="BD176" s="871"/>
      <c r="BE176" s="872"/>
      <c r="BF176" s="873"/>
      <c r="BG176" s="879"/>
      <c r="BH176" s="836"/>
      <c r="BI176" s="836"/>
      <c r="BJ176" s="836"/>
      <c r="BK176" s="834"/>
      <c r="BL176" s="834"/>
      <c r="BM176" s="834"/>
      <c r="BN176" s="834"/>
      <c r="BO176" s="834"/>
      <c r="BP176" s="835"/>
      <c r="BQ176" s="880"/>
      <c r="BR176" s="836"/>
      <c r="BS176" s="854"/>
      <c r="BT176" s="883"/>
      <c r="BU176" s="854"/>
      <c r="BV176" s="854"/>
      <c r="BW176" s="854"/>
      <c r="BX176" s="1198"/>
      <c r="BY176" s="852"/>
      <c r="BZ176" s="852"/>
      <c r="CA176" s="853"/>
      <c r="CB176" s="854"/>
      <c r="CC176" s="854"/>
      <c r="CD176" s="854"/>
      <c r="CE176" s="855"/>
      <c r="CF176" s="854"/>
      <c r="CG176" s="879"/>
      <c r="CH176" s="852"/>
      <c r="CI176" s="826"/>
      <c r="CJ176" s="826"/>
      <c r="CK176" s="826"/>
      <c r="CL176" s="826"/>
      <c r="CM176" s="855"/>
      <c r="CN176" s="854"/>
      <c r="CO176" s="852"/>
      <c r="CP176" s="852"/>
      <c r="CQ176" s="853"/>
      <c r="CR176" s="854"/>
      <c r="CS176" s="854"/>
      <c r="CT176" s="855"/>
      <c r="CU176" s="853"/>
    </row>
    <row r="177" spans="1:99" x14ac:dyDescent="0.2">
      <c r="A177" s="856">
        <v>40025</v>
      </c>
      <c r="B177" s="905"/>
      <c r="C177" s="906"/>
      <c r="D177" s="907"/>
      <c r="E177" s="906"/>
      <c r="F177" s="905"/>
      <c r="G177" s="906"/>
      <c r="H177" s="827"/>
      <c r="I177" s="911"/>
      <c r="J177" s="908"/>
      <c r="K177" s="909"/>
      <c r="L177" s="908"/>
      <c r="M177" s="909"/>
      <c r="N177" s="908"/>
      <c r="O177" s="909"/>
      <c r="P177" s="905"/>
      <c r="Q177" s="904"/>
      <c r="R177" s="910"/>
      <c r="S177" s="828"/>
      <c r="T177" s="846"/>
      <c r="U177" s="912"/>
      <c r="V177" s="850"/>
      <c r="W177" s="828"/>
      <c r="X177" s="850"/>
      <c r="Y177" s="850"/>
      <c r="Z177" s="1188"/>
      <c r="AA177" s="850"/>
      <c r="AB177" s="855"/>
      <c r="AC177" s="828"/>
      <c r="AD177" s="999"/>
      <c r="AE177" s="828"/>
      <c r="AF177" s="850"/>
      <c r="AG177" s="828"/>
      <c r="AH177" s="850"/>
      <c r="AI177" s="850"/>
      <c r="AJ177" s="811"/>
      <c r="AK177" s="872"/>
      <c r="AL177" s="852"/>
      <c r="AM177" s="828"/>
      <c r="AN177" s="850"/>
      <c r="AO177" s="828"/>
      <c r="AP177" s="829"/>
      <c r="AQ177" s="822"/>
      <c r="AR177" s="827"/>
      <c r="AS177" s="951"/>
      <c r="AT177" s="960"/>
      <c r="AU177" s="904"/>
      <c r="AV177" s="852"/>
      <c r="AW177" s="828"/>
      <c r="AX177" s="852"/>
      <c r="AY177" s="828"/>
      <c r="AZ177" s="852"/>
      <c r="BA177" s="850"/>
      <c r="BB177" s="850"/>
      <c r="BC177" s="850"/>
      <c r="BD177" s="871"/>
      <c r="BE177" s="872"/>
      <c r="BF177" s="873"/>
      <c r="BG177" s="879"/>
      <c r="BH177" s="836"/>
      <c r="BI177" s="836"/>
      <c r="BJ177" s="836"/>
      <c r="BK177" s="834"/>
      <c r="BL177" s="834"/>
      <c r="BM177" s="834"/>
      <c r="BN177" s="834"/>
      <c r="BO177" s="834"/>
      <c r="BP177" s="835"/>
      <c r="BQ177" s="880"/>
      <c r="BR177" s="836"/>
      <c r="BS177" s="854"/>
      <c r="BT177" s="883"/>
      <c r="BU177" s="854"/>
      <c r="BV177" s="854"/>
      <c r="BW177" s="854"/>
      <c r="BX177" s="1198"/>
      <c r="BY177" s="852"/>
      <c r="BZ177" s="852"/>
      <c r="CA177" s="853"/>
      <c r="CB177" s="854"/>
      <c r="CC177" s="854"/>
      <c r="CD177" s="854"/>
      <c r="CE177" s="855"/>
      <c r="CF177" s="854"/>
      <c r="CG177" s="879"/>
      <c r="CH177" s="852"/>
      <c r="CI177" s="826"/>
      <c r="CJ177" s="826"/>
      <c r="CK177" s="826"/>
      <c r="CL177" s="826"/>
      <c r="CM177" s="855"/>
      <c r="CN177" s="854"/>
      <c r="CO177" s="852"/>
      <c r="CP177" s="852"/>
      <c r="CQ177" s="853"/>
      <c r="CR177" s="854"/>
      <c r="CS177" s="854"/>
      <c r="CT177" s="855"/>
      <c r="CU177" s="853"/>
    </row>
    <row r="178" spans="1:99" x14ac:dyDescent="0.2">
      <c r="A178" s="856">
        <v>40056</v>
      </c>
      <c r="B178" s="905"/>
      <c r="C178" s="906"/>
      <c r="D178" s="907"/>
      <c r="E178" s="906"/>
      <c r="F178" s="905"/>
      <c r="G178" s="906"/>
      <c r="H178" s="827"/>
      <c r="I178" s="911"/>
      <c r="J178" s="908"/>
      <c r="K178" s="909"/>
      <c r="L178" s="908"/>
      <c r="M178" s="909"/>
      <c r="N178" s="908"/>
      <c r="O178" s="909"/>
      <c r="P178" s="905"/>
      <c r="Q178" s="904"/>
      <c r="R178" s="910"/>
      <c r="S178" s="828"/>
      <c r="T178" s="846"/>
      <c r="U178" s="912"/>
      <c r="V178" s="850"/>
      <c r="W178" s="828"/>
      <c r="X178" s="850"/>
      <c r="Y178" s="850"/>
      <c r="Z178" s="1188"/>
      <c r="AA178" s="850"/>
      <c r="AB178" s="855"/>
      <c r="AC178" s="828"/>
      <c r="AD178" s="999"/>
      <c r="AE178" s="828"/>
      <c r="AF178" s="850"/>
      <c r="AG178" s="828"/>
      <c r="AH178" s="850"/>
      <c r="AI178" s="850"/>
      <c r="AJ178" s="811"/>
      <c r="AK178" s="872"/>
      <c r="AL178" s="852"/>
      <c r="AM178" s="828"/>
      <c r="AN178" s="850"/>
      <c r="AO178" s="828"/>
      <c r="AP178" s="829"/>
      <c r="AQ178" s="822"/>
      <c r="AR178" s="827"/>
      <c r="AS178" s="951"/>
      <c r="AT178" s="960"/>
      <c r="AU178" s="904"/>
      <c r="AV178" s="852"/>
      <c r="AW178" s="828"/>
      <c r="AX178" s="852"/>
      <c r="AY178" s="828"/>
      <c r="AZ178" s="852"/>
      <c r="BA178" s="850"/>
      <c r="BB178" s="850"/>
      <c r="BC178" s="850"/>
      <c r="BD178" s="871"/>
      <c r="BE178" s="872"/>
      <c r="BF178" s="873"/>
      <c r="BG178" s="879"/>
      <c r="BH178" s="836"/>
      <c r="BI178" s="836"/>
      <c r="BJ178" s="836"/>
      <c r="BK178" s="834"/>
      <c r="BL178" s="834"/>
      <c r="BM178" s="834"/>
      <c r="BN178" s="834"/>
      <c r="BO178" s="834"/>
      <c r="BP178" s="835"/>
      <c r="BQ178" s="880"/>
      <c r="BR178" s="836"/>
      <c r="BS178" s="854"/>
      <c r="BT178" s="883"/>
      <c r="BU178" s="854"/>
      <c r="BV178" s="854"/>
      <c r="BW178" s="854"/>
      <c r="BX178" s="1198"/>
      <c r="BY178" s="852"/>
      <c r="BZ178" s="852"/>
      <c r="CA178" s="853"/>
      <c r="CB178" s="854"/>
      <c r="CC178" s="854"/>
      <c r="CD178" s="854"/>
      <c r="CE178" s="855"/>
      <c r="CF178" s="854"/>
      <c r="CG178" s="879"/>
      <c r="CH178" s="852"/>
      <c r="CI178" s="826"/>
      <c r="CJ178" s="826"/>
      <c r="CK178" s="826"/>
      <c r="CL178" s="826"/>
      <c r="CM178" s="855"/>
      <c r="CN178" s="854"/>
      <c r="CO178" s="852"/>
      <c r="CP178" s="852"/>
      <c r="CQ178" s="853"/>
      <c r="CR178" s="854"/>
      <c r="CS178" s="854"/>
      <c r="CT178" s="855"/>
      <c r="CU178" s="853"/>
    </row>
    <row r="179" spans="1:99" x14ac:dyDescent="0.2">
      <c r="A179" s="856">
        <v>40086</v>
      </c>
      <c r="B179" s="905"/>
      <c r="C179" s="906"/>
      <c r="D179" s="907"/>
      <c r="E179" s="906"/>
      <c r="F179" s="905"/>
      <c r="G179" s="906"/>
      <c r="H179" s="827"/>
      <c r="I179" s="911"/>
      <c r="J179" s="908"/>
      <c r="K179" s="909"/>
      <c r="L179" s="908"/>
      <c r="M179" s="909"/>
      <c r="N179" s="908"/>
      <c r="O179" s="909"/>
      <c r="P179" s="905"/>
      <c r="Q179" s="904"/>
      <c r="R179" s="910"/>
      <c r="S179" s="828"/>
      <c r="T179" s="846"/>
      <c r="U179" s="912"/>
      <c r="V179" s="850"/>
      <c r="W179" s="828"/>
      <c r="X179" s="850"/>
      <c r="Y179" s="850"/>
      <c r="Z179" s="1188"/>
      <c r="AA179" s="850"/>
      <c r="AB179" s="855"/>
      <c r="AC179" s="828"/>
      <c r="AD179" s="999"/>
      <c r="AE179" s="828"/>
      <c r="AF179" s="850"/>
      <c r="AG179" s="828"/>
      <c r="AH179" s="850"/>
      <c r="AI179" s="850"/>
      <c r="AJ179" s="811"/>
      <c r="AK179" s="872"/>
      <c r="AL179" s="852"/>
      <c r="AM179" s="828"/>
      <c r="AN179" s="850"/>
      <c r="AO179" s="828"/>
      <c r="AP179" s="829"/>
      <c r="AQ179" s="822"/>
      <c r="AR179" s="827"/>
      <c r="AS179" s="951"/>
      <c r="AT179" s="960"/>
      <c r="AU179" s="904"/>
      <c r="AV179" s="852"/>
      <c r="AW179" s="828"/>
      <c r="AX179" s="852"/>
      <c r="AY179" s="828"/>
      <c r="AZ179" s="852"/>
      <c r="BA179" s="850"/>
      <c r="BB179" s="850"/>
      <c r="BC179" s="850"/>
      <c r="BD179" s="871"/>
      <c r="BE179" s="872"/>
      <c r="BF179" s="873"/>
      <c r="BG179" s="879"/>
      <c r="BH179" s="836"/>
      <c r="BI179" s="836"/>
      <c r="BJ179" s="836"/>
      <c r="BK179" s="834"/>
      <c r="BL179" s="834"/>
      <c r="BM179" s="834"/>
      <c r="BN179" s="834"/>
      <c r="BO179" s="834"/>
      <c r="BP179" s="835"/>
      <c r="BQ179" s="880"/>
      <c r="BR179" s="836"/>
      <c r="BS179" s="854"/>
      <c r="BT179" s="883"/>
      <c r="BU179" s="854"/>
      <c r="BV179" s="854"/>
      <c r="BW179" s="854"/>
      <c r="BX179" s="1198"/>
      <c r="BY179" s="852"/>
      <c r="BZ179" s="852"/>
      <c r="CA179" s="853"/>
      <c r="CB179" s="854"/>
      <c r="CC179" s="854"/>
      <c r="CD179" s="854"/>
      <c r="CE179" s="855"/>
      <c r="CF179" s="854"/>
      <c r="CG179" s="879"/>
      <c r="CH179" s="852"/>
      <c r="CI179" s="826"/>
      <c r="CJ179" s="826"/>
      <c r="CK179" s="826"/>
      <c r="CL179" s="826"/>
      <c r="CM179" s="855"/>
      <c r="CN179" s="854"/>
      <c r="CO179" s="852"/>
      <c r="CP179" s="852"/>
      <c r="CQ179" s="853"/>
      <c r="CR179" s="854"/>
      <c r="CS179" s="854"/>
      <c r="CT179" s="855"/>
      <c r="CU179" s="853"/>
    </row>
    <row r="180" spans="1:99" x14ac:dyDescent="0.2">
      <c r="A180" s="856">
        <v>40117</v>
      </c>
      <c r="B180" s="905"/>
      <c r="C180" s="906"/>
      <c r="D180" s="907"/>
      <c r="E180" s="906"/>
      <c r="F180" s="905"/>
      <c r="G180" s="906"/>
      <c r="H180" s="827"/>
      <c r="I180" s="911"/>
      <c r="J180" s="908"/>
      <c r="K180" s="909"/>
      <c r="L180" s="908"/>
      <c r="M180" s="909"/>
      <c r="N180" s="908"/>
      <c r="O180" s="909"/>
      <c r="P180" s="905"/>
      <c r="Q180" s="904"/>
      <c r="R180" s="910"/>
      <c r="S180" s="828"/>
      <c r="T180" s="846"/>
      <c r="U180" s="912"/>
      <c r="V180" s="850"/>
      <c r="W180" s="828"/>
      <c r="X180" s="850"/>
      <c r="Y180" s="850"/>
      <c r="Z180" s="1188"/>
      <c r="AA180" s="850"/>
      <c r="AB180" s="855"/>
      <c r="AC180" s="828"/>
      <c r="AD180" s="999"/>
      <c r="AE180" s="828"/>
      <c r="AF180" s="850"/>
      <c r="AG180" s="828"/>
      <c r="AH180" s="850"/>
      <c r="AI180" s="850"/>
      <c r="AJ180" s="811"/>
      <c r="AK180" s="872"/>
      <c r="AL180" s="852"/>
      <c r="AM180" s="828"/>
      <c r="AN180" s="850"/>
      <c r="AO180" s="828"/>
      <c r="AP180" s="829"/>
      <c r="AQ180" s="822"/>
      <c r="AR180" s="827"/>
      <c r="AS180" s="951"/>
      <c r="AT180" s="960"/>
      <c r="AU180" s="904"/>
      <c r="AV180" s="852"/>
      <c r="AW180" s="828"/>
      <c r="AX180" s="852"/>
      <c r="AY180" s="828"/>
      <c r="AZ180" s="852"/>
      <c r="BA180" s="850"/>
      <c r="BB180" s="850"/>
      <c r="BC180" s="850"/>
      <c r="BD180" s="871"/>
      <c r="BE180" s="872"/>
      <c r="BF180" s="873"/>
      <c r="BG180" s="879"/>
      <c r="BH180" s="836"/>
      <c r="BI180" s="836"/>
      <c r="BJ180" s="836"/>
      <c r="BK180" s="834"/>
      <c r="BL180" s="834"/>
      <c r="BM180" s="834"/>
      <c r="BN180" s="834"/>
      <c r="BO180" s="834"/>
      <c r="BP180" s="835"/>
      <c r="BQ180" s="880"/>
      <c r="BR180" s="836"/>
      <c r="BS180" s="854"/>
      <c r="BT180" s="883"/>
      <c r="BU180" s="854"/>
      <c r="BV180" s="854"/>
      <c r="BW180" s="854"/>
      <c r="BX180" s="1198"/>
      <c r="BY180" s="852"/>
      <c r="BZ180" s="852"/>
      <c r="CA180" s="853"/>
      <c r="CB180" s="854"/>
      <c r="CC180" s="854"/>
      <c r="CD180" s="854"/>
      <c r="CE180" s="855"/>
      <c r="CF180" s="854"/>
      <c r="CG180" s="879"/>
      <c r="CH180" s="852"/>
      <c r="CI180" s="826"/>
      <c r="CJ180" s="826"/>
      <c r="CK180" s="826"/>
      <c r="CL180" s="826"/>
      <c r="CM180" s="855"/>
      <c r="CN180" s="854"/>
      <c r="CO180" s="852"/>
      <c r="CP180" s="852"/>
      <c r="CQ180" s="853"/>
      <c r="CR180" s="854"/>
      <c r="CS180" s="854"/>
      <c r="CT180" s="855"/>
      <c r="CU180" s="853"/>
    </row>
    <row r="181" spans="1:99" x14ac:dyDescent="0.2">
      <c r="A181" s="856">
        <v>40147</v>
      </c>
      <c r="B181" s="905"/>
      <c r="C181" s="906"/>
      <c r="D181" s="907"/>
      <c r="E181" s="906"/>
      <c r="F181" s="905"/>
      <c r="G181" s="906"/>
      <c r="H181" s="827"/>
      <c r="I181" s="911"/>
      <c r="J181" s="908"/>
      <c r="K181" s="909"/>
      <c r="L181" s="908"/>
      <c r="M181" s="909"/>
      <c r="N181" s="908"/>
      <c r="O181" s="909"/>
      <c r="P181" s="905"/>
      <c r="Q181" s="904"/>
      <c r="R181" s="910"/>
      <c r="S181" s="828"/>
      <c r="T181" s="846"/>
      <c r="U181" s="912"/>
      <c r="V181" s="850"/>
      <c r="W181" s="828"/>
      <c r="X181" s="850"/>
      <c r="Y181" s="850"/>
      <c r="Z181" s="1188"/>
      <c r="AA181" s="850"/>
      <c r="AB181" s="855"/>
      <c r="AC181" s="828"/>
      <c r="AD181" s="999"/>
      <c r="AE181" s="828"/>
      <c r="AF181" s="850"/>
      <c r="AG181" s="828"/>
      <c r="AH181" s="850"/>
      <c r="AI181" s="850"/>
      <c r="AJ181" s="811"/>
      <c r="AK181" s="872"/>
      <c r="AL181" s="852"/>
      <c r="AM181" s="828"/>
      <c r="AN181" s="850"/>
      <c r="AO181" s="828"/>
      <c r="AP181" s="829"/>
      <c r="AQ181" s="822"/>
      <c r="AR181" s="827"/>
      <c r="AS181" s="951"/>
      <c r="AT181" s="960"/>
      <c r="AU181" s="904"/>
      <c r="AV181" s="852"/>
      <c r="AW181" s="828"/>
      <c r="AX181" s="852"/>
      <c r="AY181" s="828"/>
      <c r="AZ181" s="852"/>
      <c r="BA181" s="850"/>
      <c r="BB181" s="850"/>
      <c r="BC181" s="850"/>
      <c r="BD181" s="871"/>
      <c r="BE181" s="872"/>
      <c r="BF181" s="873"/>
      <c r="BG181" s="879"/>
      <c r="BH181" s="836"/>
      <c r="BI181" s="836"/>
      <c r="BJ181" s="836"/>
      <c r="BK181" s="834"/>
      <c r="BL181" s="834"/>
      <c r="BM181" s="834"/>
      <c r="BN181" s="834"/>
      <c r="BO181" s="834"/>
      <c r="BP181" s="835"/>
      <c r="BQ181" s="880"/>
      <c r="BR181" s="836"/>
      <c r="BS181" s="854"/>
      <c r="BT181" s="883"/>
      <c r="BU181" s="854"/>
      <c r="BV181" s="854"/>
      <c r="BW181" s="854"/>
      <c r="BX181" s="1198"/>
      <c r="BY181" s="852"/>
      <c r="BZ181" s="852"/>
      <c r="CA181" s="853"/>
      <c r="CB181" s="854"/>
      <c r="CC181" s="854"/>
      <c r="CD181" s="854"/>
      <c r="CE181" s="855"/>
      <c r="CF181" s="854"/>
      <c r="CG181" s="879"/>
      <c r="CH181" s="852"/>
      <c r="CI181" s="826"/>
      <c r="CJ181" s="826"/>
      <c r="CK181" s="826"/>
      <c r="CL181" s="826"/>
      <c r="CM181" s="855"/>
      <c r="CN181" s="854"/>
      <c r="CO181" s="852"/>
      <c r="CP181" s="852"/>
      <c r="CQ181" s="853"/>
      <c r="CR181" s="854"/>
      <c r="CS181" s="854"/>
      <c r="CT181" s="855"/>
      <c r="CU181" s="853"/>
    </row>
    <row r="182" spans="1:99" x14ac:dyDescent="0.2">
      <c r="A182" s="856">
        <v>40178</v>
      </c>
      <c r="B182" s="905"/>
      <c r="C182" s="906"/>
      <c r="D182" s="907"/>
      <c r="E182" s="906"/>
      <c r="F182" s="905"/>
      <c r="G182" s="906"/>
      <c r="H182" s="827"/>
      <c r="I182" s="911"/>
      <c r="J182" s="908"/>
      <c r="K182" s="909"/>
      <c r="L182" s="908"/>
      <c r="M182" s="909"/>
      <c r="N182" s="908"/>
      <c r="O182" s="909"/>
      <c r="P182" s="905"/>
      <c r="Q182" s="904"/>
      <c r="R182" s="910"/>
      <c r="S182" s="828"/>
      <c r="T182" s="846"/>
      <c r="U182" s="912"/>
      <c r="V182" s="850"/>
      <c r="W182" s="828"/>
      <c r="X182" s="850"/>
      <c r="Y182" s="850"/>
      <c r="Z182" s="1188"/>
      <c r="AA182" s="850"/>
      <c r="AB182" s="855"/>
      <c r="AC182" s="828"/>
      <c r="AD182" s="999"/>
      <c r="AE182" s="828"/>
      <c r="AF182" s="850"/>
      <c r="AG182" s="828"/>
      <c r="AH182" s="850"/>
      <c r="AI182" s="850"/>
      <c r="AJ182" s="811"/>
      <c r="AK182" s="872"/>
      <c r="AL182" s="852"/>
      <c r="AM182" s="828"/>
      <c r="AN182" s="850"/>
      <c r="AO182" s="828"/>
      <c r="AP182" s="829"/>
      <c r="AQ182" s="822"/>
      <c r="AR182" s="827"/>
      <c r="AS182" s="951"/>
      <c r="AT182" s="960"/>
      <c r="AU182" s="904"/>
      <c r="AV182" s="852"/>
      <c r="AW182" s="828"/>
      <c r="AX182" s="852"/>
      <c r="AY182" s="828"/>
      <c r="AZ182" s="852"/>
      <c r="BA182" s="850"/>
      <c r="BB182" s="850"/>
      <c r="BC182" s="850"/>
      <c r="BD182" s="871"/>
      <c r="BE182" s="872"/>
      <c r="BF182" s="873"/>
      <c r="BG182" s="879"/>
      <c r="BH182" s="836"/>
      <c r="BI182" s="836"/>
      <c r="BJ182" s="836"/>
      <c r="BK182" s="834"/>
      <c r="BL182" s="834"/>
      <c r="BM182" s="834"/>
      <c r="BN182" s="834"/>
      <c r="BO182" s="834"/>
      <c r="BP182" s="835"/>
      <c r="BQ182" s="880"/>
      <c r="BR182" s="836"/>
      <c r="BS182" s="854"/>
      <c r="BT182" s="883"/>
      <c r="BU182" s="854"/>
      <c r="BV182" s="854"/>
      <c r="BW182" s="854"/>
      <c r="BX182" s="1198"/>
      <c r="BY182" s="852"/>
      <c r="BZ182" s="852"/>
      <c r="CA182" s="853"/>
      <c r="CB182" s="854"/>
      <c r="CC182" s="854"/>
      <c r="CD182" s="854"/>
      <c r="CE182" s="855"/>
      <c r="CF182" s="854"/>
      <c r="CG182" s="879"/>
      <c r="CH182" s="852"/>
      <c r="CI182" s="826"/>
      <c r="CJ182" s="826"/>
      <c r="CK182" s="826"/>
      <c r="CL182" s="826"/>
      <c r="CM182" s="855"/>
      <c r="CN182" s="854"/>
      <c r="CO182" s="852"/>
      <c r="CP182" s="852"/>
      <c r="CQ182" s="853"/>
      <c r="CR182" s="854"/>
      <c r="CS182" s="854"/>
      <c r="CT182" s="855"/>
      <c r="CU182" s="853"/>
    </row>
    <row r="183" spans="1:99" x14ac:dyDescent="0.2">
      <c r="A183" s="856">
        <v>40209</v>
      </c>
      <c r="B183" s="905"/>
      <c r="C183" s="906"/>
      <c r="D183" s="907"/>
      <c r="E183" s="906"/>
      <c r="F183" s="905"/>
      <c r="G183" s="906"/>
      <c r="H183" s="827"/>
      <c r="I183" s="911"/>
      <c r="J183" s="908"/>
      <c r="K183" s="909"/>
      <c r="L183" s="908"/>
      <c r="M183" s="909"/>
      <c r="N183" s="908"/>
      <c r="O183" s="909"/>
      <c r="P183" s="905"/>
      <c r="Q183" s="904"/>
      <c r="R183" s="910"/>
      <c r="S183" s="828"/>
      <c r="T183" s="846"/>
      <c r="U183" s="912"/>
      <c r="V183" s="850"/>
      <c r="W183" s="828"/>
      <c r="X183" s="850"/>
      <c r="Y183" s="850"/>
      <c r="Z183" s="1188"/>
      <c r="AA183" s="850"/>
      <c r="AB183" s="855"/>
      <c r="AC183" s="828"/>
      <c r="AD183" s="999"/>
      <c r="AE183" s="828"/>
      <c r="AF183" s="850"/>
      <c r="AG183" s="828"/>
      <c r="AH183" s="850"/>
      <c r="AI183" s="850"/>
      <c r="AJ183" s="811"/>
      <c r="AK183" s="872"/>
      <c r="AL183" s="852"/>
      <c r="AM183" s="828"/>
      <c r="AN183" s="850"/>
      <c r="AO183" s="828"/>
      <c r="AP183" s="829"/>
      <c r="AQ183" s="822"/>
      <c r="AR183" s="827"/>
      <c r="AS183" s="951"/>
      <c r="AT183" s="960"/>
      <c r="AU183" s="904"/>
      <c r="AV183" s="852"/>
      <c r="AW183" s="828"/>
      <c r="AX183" s="852"/>
      <c r="AY183" s="828"/>
      <c r="AZ183" s="852"/>
      <c r="BA183" s="850"/>
      <c r="BB183" s="850"/>
      <c r="BC183" s="850"/>
      <c r="BD183" s="871"/>
      <c r="BE183" s="872"/>
      <c r="BF183" s="873"/>
      <c r="BG183" s="879"/>
      <c r="BH183" s="836"/>
      <c r="BI183" s="836"/>
      <c r="BJ183" s="836"/>
      <c r="BK183" s="834"/>
      <c r="BL183" s="834"/>
      <c r="BM183" s="834"/>
      <c r="BN183" s="834"/>
      <c r="BO183" s="834"/>
      <c r="BP183" s="835"/>
      <c r="BQ183" s="880"/>
      <c r="BR183" s="836"/>
      <c r="BS183" s="854"/>
      <c r="BT183" s="883"/>
      <c r="BU183" s="854"/>
      <c r="BV183" s="854"/>
      <c r="BW183" s="854"/>
      <c r="BX183" s="1198"/>
      <c r="BY183" s="852"/>
      <c r="BZ183" s="852"/>
      <c r="CA183" s="853"/>
      <c r="CB183" s="854"/>
      <c r="CC183" s="854"/>
      <c r="CD183" s="854"/>
      <c r="CE183" s="855"/>
      <c r="CF183" s="854"/>
      <c r="CG183" s="879"/>
      <c r="CH183" s="852"/>
      <c r="CI183" s="826"/>
      <c r="CJ183" s="826"/>
      <c r="CK183" s="826"/>
      <c r="CL183" s="826"/>
      <c r="CM183" s="855"/>
      <c r="CN183" s="854"/>
      <c r="CO183" s="852"/>
      <c r="CP183" s="852"/>
      <c r="CQ183" s="853"/>
      <c r="CR183" s="854"/>
      <c r="CS183" s="854"/>
      <c r="CT183" s="855"/>
      <c r="CU183" s="853"/>
    </row>
    <row r="184" spans="1:99" x14ac:dyDescent="0.2">
      <c r="A184" s="856">
        <v>40237</v>
      </c>
      <c r="B184" s="905"/>
      <c r="C184" s="906"/>
      <c r="D184" s="907"/>
      <c r="E184" s="906"/>
      <c r="F184" s="905"/>
      <c r="G184" s="906"/>
      <c r="H184" s="827"/>
      <c r="I184" s="911"/>
      <c r="J184" s="908"/>
      <c r="K184" s="909"/>
      <c r="L184" s="908"/>
      <c r="M184" s="909"/>
      <c r="N184" s="908"/>
      <c r="O184" s="909"/>
      <c r="P184" s="905"/>
      <c r="Q184" s="904"/>
      <c r="R184" s="910"/>
      <c r="S184" s="828"/>
      <c r="T184" s="846"/>
      <c r="U184" s="912"/>
      <c r="V184" s="850"/>
      <c r="W184" s="828"/>
      <c r="X184" s="850"/>
      <c r="Y184" s="850"/>
      <c r="Z184" s="1188"/>
      <c r="AA184" s="850"/>
      <c r="AB184" s="855"/>
      <c r="AC184" s="828"/>
      <c r="AD184" s="999"/>
      <c r="AE184" s="828"/>
      <c r="AF184" s="850"/>
      <c r="AG184" s="828"/>
      <c r="AH184" s="850"/>
      <c r="AI184" s="850"/>
      <c r="AJ184" s="811"/>
      <c r="AK184" s="872"/>
      <c r="AL184" s="852"/>
      <c r="AM184" s="828"/>
      <c r="AN184" s="850"/>
      <c r="AO184" s="828"/>
      <c r="AP184" s="829"/>
      <c r="AQ184" s="822"/>
      <c r="AR184" s="827"/>
      <c r="AS184" s="951"/>
      <c r="AT184" s="960"/>
      <c r="AU184" s="904"/>
      <c r="AV184" s="852"/>
      <c r="AW184" s="828"/>
      <c r="AX184" s="852"/>
      <c r="AY184" s="828"/>
      <c r="AZ184" s="852"/>
      <c r="BA184" s="850"/>
      <c r="BB184" s="850"/>
      <c r="BC184" s="850"/>
      <c r="BD184" s="871"/>
      <c r="BE184" s="872"/>
      <c r="BF184" s="873"/>
      <c r="BG184" s="879"/>
      <c r="BH184" s="836"/>
      <c r="BI184" s="836"/>
      <c r="BJ184" s="836"/>
      <c r="BK184" s="834"/>
      <c r="BL184" s="834"/>
      <c r="BM184" s="834"/>
      <c r="BN184" s="834"/>
      <c r="BO184" s="834"/>
      <c r="BP184" s="835"/>
      <c r="BQ184" s="880"/>
      <c r="BR184" s="836"/>
      <c r="BS184" s="854"/>
      <c r="BT184" s="883"/>
      <c r="BU184" s="854"/>
      <c r="BV184" s="854"/>
      <c r="BW184" s="854"/>
      <c r="BX184" s="1198"/>
      <c r="BY184" s="852"/>
      <c r="BZ184" s="852"/>
      <c r="CA184" s="853"/>
      <c r="CB184" s="854"/>
      <c r="CC184" s="854"/>
      <c r="CD184" s="854"/>
      <c r="CE184" s="855"/>
      <c r="CF184" s="854"/>
      <c r="CG184" s="879"/>
      <c r="CH184" s="852"/>
      <c r="CI184" s="826"/>
      <c r="CJ184" s="826"/>
      <c r="CK184" s="826"/>
      <c r="CL184" s="826"/>
      <c r="CM184" s="855"/>
      <c r="CN184" s="854"/>
      <c r="CO184" s="852"/>
      <c r="CP184" s="852"/>
      <c r="CQ184" s="853"/>
      <c r="CR184" s="854"/>
      <c r="CS184" s="854"/>
      <c r="CT184" s="855"/>
      <c r="CU184" s="853"/>
    </row>
    <row r="185" spans="1:99" x14ac:dyDescent="0.2">
      <c r="A185" s="856">
        <v>40268</v>
      </c>
      <c r="B185" s="905"/>
      <c r="C185" s="906"/>
      <c r="D185" s="907"/>
      <c r="E185" s="906"/>
      <c r="F185" s="905"/>
      <c r="G185" s="906"/>
      <c r="H185" s="827"/>
      <c r="I185" s="911"/>
      <c r="J185" s="908"/>
      <c r="K185" s="909"/>
      <c r="L185" s="908"/>
      <c r="M185" s="909"/>
      <c r="N185" s="908"/>
      <c r="O185" s="909"/>
      <c r="P185" s="905"/>
      <c r="Q185" s="904"/>
      <c r="R185" s="910"/>
      <c r="S185" s="828"/>
      <c r="T185" s="846"/>
      <c r="U185" s="912"/>
      <c r="V185" s="850"/>
      <c r="W185" s="828"/>
      <c r="X185" s="850"/>
      <c r="Y185" s="850"/>
      <c r="Z185" s="1188"/>
      <c r="AA185" s="850"/>
      <c r="AB185" s="855"/>
      <c r="AC185" s="828"/>
      <c r="AD185" s="999"/>
      <c r="AE185" s="828"/>
      <c r="AF185" s="850"/>
      <c r="AG185" s="828"/>
      <c r="AH185" s="850"/>
      <c r="AI185" s="850"/>
      <c r="AJ185" s="811"/>
      <c r="AK185" s="872"/>
      <c r="AL185" s="852"/>
      <c r="AM185" s="828"/>
      <c r="AN185" s="850"/>
      <c r="AO185" s="828"/>
      <c r="AP185" s="829"/>
      <c r="AQ185" s="822"/>
      <c r="AR185" s="827"/>
      <c r="AS185" s="951"/>
      <c r="AT185" s="960"/>
      <c r="AU185" s="904"/>
      <c r="AV185" s="852"/>
      <c r="AW185" s="828"/>
      <c r="AX185" s="852"/>
      <c r="AY185" s="828"/>
      <c r="AZ185" s="852"/>
      <c r="BA185" s="850"/>
      <c r="BB185" s="850"/>
      <c r="BC185" s="850"/>
      <c r="BD185" s="871"/>
      <c r="BE185" s="872"/>
      <c r="BF185" s="873"/>
      <c r="BG185" s="879"/>
      <c r="BH185" s="836"/>
      <c r="BI185" s="836"/>
      <c r="BJ185" s="836"/>
      <c r="BK185" s="834"/>
      <c r="BL185" s="834"/>
      <c r="BM185" s="834"/>
      <c r="BN185" s="834"/>
      <c r="BO185" s="834"/>
      <c r="BP185" s="835"/>
      <c r="BQ185" s="880"/>
      <c r="BR185" s="836"/>
      <c r="BS185" s="854"/>
      <c r="BT185" s="883"/>
      <c r="BU185" s="854"/>
      <c r="BV185" s="854"/>
      <c r="BW185" s="854"/>
      <c r="BX185" s="1198"/>
      <c r="BY185" s="852"/>
      <c r="BZ185" s="852"/>
      <c r="CA185" s="853"/>
      <c r="CB185" s="854"/>
      <c r="CC185" s="854"/>
      <c r="CD185" s="854"/>
      <c r="CE185" s="855"/>
      <c r="CF185" s="854"/>
      <c r="CG185" s="879"/>
      <c r="CH185" s="852"/>
      <c r="CI185" s="826"/>
      <c r="CJ185" s="826"/>
      <c r="CK185" s="826"/>
      <c r="CL185" s="826"/>
      <c r="CM185" s="855"/>
      <c r="CN185" s="854"/>
      <c r="CO185" s="852"/>
      <c r="CP185" s="852"/>
      <c r="CQ185" s="853"/>
      <c r="CR185" s="854"/>
      <c r="CS185" s="854"/>
      <c r="CT185" s="855"/>
      <c r="CU185" s="853"/>
    </row>
    <row r="186" spans="1:99" x14ac:dyDescent="0.2">
      <c r="A186" s="856">
        <v>40298</v>
      </c>
      <c r="B186" s="905"/>
      <c r="C186" s="906"/>
      <c r="D186" s="907"/>
      <c r="E186" s="906"/>
      <c r="F186" s="905"/>
      <c r="G186" s="906"/>
      <c r="H186" s="827"/>
      <c r="I186" s="911"/>
      <c r="J186" s="908"/>
      <c r="K186" s="909"/>
      <c r="L186" s="908"/>
      <c r="M186" s="909"/>
      <c r="N186" s="908"/>
      <c r="O186" s="909"/>
      <c r="P186" s="905"/>
      <c r="Q186" s="904"/>
      <c r="R186" s="910"/>
      <c r="S186" s="828"/>
      <c r="T186" s="846"/>
      <c r="U186" s="912"/>
      <c r="V186" s="850"/>
      <c r="W186" s="828"/>
      <c r="X186" s="850"/>
      <c r="Y186" s="850"/>
      <c r="Z186" s="1188"/>
      <c r="AA186" s="850"/>
      <c r="AB186" s="855"/>
      <c r="AC186" s="828"/>
      <c r="AD186" s="999"/>
      <c r="AE186" s="828"/>
      <c r="AF186" s="850"/>
      <c r="AG186" s="828"/>
      <c r="AH186" s="850"/>
      <c r="AI186" s="850"/>
      <c r="AJ186" s="811"/>
      <c r="AK186" s="872"/>
      <c r="AL186" s="852"/>
      <c r="AM186" s="828"/>
      <c r="AN186" s="850"/>
      <c r="AO186" s="828"/>
      <c r="AP186" s="829"/>
      <c r="AQ186" s="822"/>
      <c r="AR186" s="827"/>
      <c r="AS186" s="951"/>
      <c r="AT186" s="960"/>
      <c r="AU186" s="904"/>
      <c r="AV186" s="852"/>
      <c r="AW186" s="828"/>
      <c r="AX186" s="852"/>
      <c r="AY186" s="828"/>
      <c r="AZ186" s="852"/>
      <c r="BA186" s="850"/>
      <c r="BB186" s="850"/>
      <c r="BC186" s="850"/>
      <c r="BD186" s="871"/>
      <c r="BE186" s="872"/>
      <c r="BF186" s="873"/>
      <c r="BG186" s="879"/>
      <c r="BH186" s="836"/>
      <c r="BI186" s="836"/>
      <c r="BJ186" s="836"/>
      <c r="BK186" s="834"/>
      <c r="BL186" s="834"/>
      <c r="BM186" s="834"/>
      <c r="BN186" s="834"/>
      <c r="BO186" s="834"/>
      <c r="BP186" s="835"/>
      <c r="BQ186" s="880"/>
      <c r="BR186" s="836"/>
      <c r="BS186" s="854"/>
      <c r="BT186" s="883"/>
      <c r="BU186" s="854"/>
      <c r="BV186" s="854"/>
      <c r="BW186" s="854"/>
      <c r="BX186" s="1198"/>
      <c r="BY186" s="852"/>
      <c r="BZ186" s="852"/>
      <c r="CA186" s="853"/>
      <c r="CB186" s="854"/>
      <c r="CC186" s="854"/>
      <c r="CD186" s="854"/>
      <c r="CE186" s="855"/>
      <c r="CF186" s="854"/>
      <c r="CG186" s="879"/>
      <c r="CH186" s="852"/>
      <c r="CI186" s="826"/>
      <c r="CJ186" s="826"/>
      <c r="CK186" s="826"/>
      <c r="CL186" s="826"/>
      <c r="CM186" s="855"/>
      <c r="CN186" s="854"/>
      <c r="CO186" s="852"/>
      <c r="CP186" s="852"/>
      <c r="CQ186" s="853"/>
      <c r="CR186" s="854"/>
      <c r="CS186" s="854"/>
      <c r="CT186" s="855"/>
      <c r="CU186" s="853"/>
    </row>
    <row r="187" spans="1:99" x14ac:dyDescent="0.2">
      <c r="A187" s="856">
        <v>40329</v>
      </c>
      <c r="B187" s="905"/>
      <c r="C187" s="906"/>
      <c r="D187" s="907"/>
      <c r="E187" s="906"/>
      <c r="F187" s="905"/>
      <c r="G187" s="906"/>
      <c r="H187" s="827"/>
      <c r="I187" s="911"/>
      <c r="J187" s="908"/>
      <c r="K187" s="909"/>
      <c r="L187" s="908"/>
      <c r="M187" s="909"/>
      <c r="N187" s="908"/>
      <c r="O187" s="909"/>
      <c r="P187" s="905"/>
      <c r="Q187" s="904"/>
      <c r="R187" s="910"/>
      <c r="S187" s="828"/>
      <c r="T187" s="846"/>
      <c r="U187" s="912"/>
      <c r="V187" s="850"/>
      <c r="W187" s="828"/>
      <c r="X187" s="850"/>
      <c r="Y187" s="850"/>
      <c r="Z187" s="1188"/>
      <c r="AA187" s="850"/>
      <c r="AB187" s="855"/>
      <c r="AC187" s="828"/>
      <c r="AD187" s="999"/>
      <c r="AE187" s="828"/>
      <c r="AF187" s="850"/>
      <c r="AG187" s="828"/>
      <c r="AH187" s="850"/>
      <c r="AI187" s="850"/>
      <c r="AJ187" s="811"/>
      <c r="AK187" s="872"/>
      <c r="AL187" s="852"/>
      <c r="AM187" s="828"/>
      <c r="AN187" s="850"/>
      <c r="AO187" s="828"/>
      <c r="AP187" s="829"/>
      <c r="AQ187" s="822"/>
      <c r="AR187" s="827"/>
      <c r="AS187" s="951"/>
      <c r="AT187" s="960"/>
      <c r="AU187" s="904"/>
      <c r="AV187" s="852"/>
      <c r="AW187" s="828"/>
      <c r="AX187" s="852"/>
      <c r="AY187" s="828"/>
      <c r="AZ187" s="852"/>
      <c r="BA187" s="850"/>
      <c r="BB187" s="850"/>
      <c r="BC187" s="850"/>
      <c r="BD187" s="871"/>
      <c r="BE187" s="872"/>
      <c r="BF187" s="873"/>
      <c r="BG187" s="879"/>
      <c r="BH187" s="836"/>
      <c r="BI187" s="836"/>
      <c r="BJ187" s="836"/>
      <c r="BK187" s="834"/>
      <c r="BL187" s="834"/>
      <c r="BM187" s="834"/>
      <c r="BN187" s="834"/>
      <c r="BO187" s="834"/>
      <c r="BP187" s="835"/>
      <c r="BQ187" s="880"/>
      <c r="BR187" s="836"/>
      <c r="BS187" s="854"/>
      <c r="BT187" s="883"/>
      <c r="BU187" s="854"/>
      <c r="BV187" s="854"/>
      <c r="BW187" s="854"/>
      <c r="BX187" s="1198"/>
      <c r="BY187" s="852"/>
      <c r="BZ187" s="852"/>
      <c r="CA187" s="853"/>
      <c r="CB187" s="854"/>
      <c r="CC187" s="854"/>
      <c r="CD187" s="854"/>
      <c r="CE187" s="855"/>
      <c r="CF187" s="854"/>
      <c r="CG187" s="879"/>
      <c r="CH187" s="852"/>
      <c r="CI187" s="826"/>
      <c r="CJ187" s="826"/>
      <c r="CK187" s="826"/>
      <c r="CL187" s="826"/>
      <c r="CM187" s="855"/>
      <c r="CN187" s="854"/>
      <c r="CO187" s="852"/>
      <c r="CP187" s="852"/>
      <c r="CQ187" s="853"/>
      <c r="CR187" s="854"/>
      <c r="CS187" s="854"/>
      <c r="CT187" s="855"/>
      <c r="CU187" s="853"/>
    </row>
    <row r="188" spans="1:99" x14ac:dyDescent="0.2">
      <c r="A188" s="856">
        <v>40359</v>
      </c>
      <c r="B188" s="905"/>
      <c r="C188" s="906"/>
      <c r="D188" s="907"/>
      <c r="E188" s="906"/>
      <c r="F188" s="905"/>
      <c r="G188" s="906"/>
      <c r="H188" s="827"/>
      <c r="I188" s="911"/>
      <c r="J188" s="908"/>
      <c r="K188" s="909"/>
      <c r="L188" s="908"/>
      <c r="M188" s="909"/>
      <c r="N188" s="908"/>
      <c r="O188" s="909"/>
      <c r="P188" s="905"/>
      <c r="Q188" s="904"/>
      <c r="R188" s="910"/>
      <c r="S188" s="828"/>
      <c r="T188" s="846"/>
      <c r="U188" s="912"/>
      <c r="V188" s="850"/>
      <c r="W188" s="828"/>
      <c r="X188" s="850"/>
      <c r="Y188" s="850"/>
      <c r="Z188" s="1188"/>
      <c r="AA188" s="850"/>
      <c r="AB188" s="855"/>
      <c r="AC188" s="828"/>
      <c r="AD188" s="999"/>
      <c r="AE188" s="828"/>
      <c r="AF188" s="850"/>
      <c r="AG188" s="828"/>
      <c r="AH188" s="850"/>
      <c r="AI188" s="850"/>
      <c r="AJ188" s="811"/>
      <c r="AK188" s="872"/>
      <c r="AL188" s="852"/>
      <c r="AM188" s="828"/>
      <c r="AN188" s="850"/>
      <c r="AO188" s="828"/>
      <c r="AP188" s="829"/>
      <c r="AQ188" s="822"/>
      <c r="AR188" s="827"/>
      <c r="AS188" s="951"/>
      <c r="AT188" s="960"/>
      <c r="AU188" s="904"/>
      <c r="AV188" s="852"/>
      <c r="AW188" s="828"/>
      <c r="AX188" s="852"/>
      <c r="AY188" s="828"/>
      <c r="AZ188" s="852"/>
      <c r="BA188" s="850"/>
      <c r="BB188" s="850"/>
      <c r="BC188" s="850"/>
      <c r="BD188" s="871"/>
      <c r="BE188" s="872"/>
      <c r="BF188" s="873"/>
      <c r="BG188" s="879"/>
      <c r="BH188" s="836"/>
      <c r="BI188" s="836"/>
      <c r="BJ188" s="836"/>
      <c r="BK188" s="834"/>
      <c r="BL188" s="834"/>
      <c r="BM188" s="834"/>
      <c r="BN188" s="834"/>
      <c r="BO188" s="834"/>
      <c r="BP188" s="835"/>
      <c r="BQ188" s="880"/>
      <c r="BR188" s="836"/>
      <c r="BS188" s="854"/>
      <c r="BT188" s="883"/>
      <c r="BU188" s="854"/>
      <c r="BV188" s="854"/>
      <c r="BW188" s="854"/>
      <c r="BX188" s="1198"/>
      <c r="BY188" s="852"/>
      <c r="BZ188" s="852"/>
      <c r="CA188" s="853"/>
      <c r="CB188" s="854"/>
      <c r="CC188" s="854"/>
      <c r="CD188" s="854"/>
      <c r="CE188" s="855"/>
      <c r="CF188" s="854"/>
      <c r="CG188" s="879"/>
      <c r="CH188" s="852"/>
      <c r="CI188" s="826"/>
      <c r="CJ188" s="826"/>
      <c r="CK188" s="826"/>
      <c r="CL188" s="826"/>
      <c r="CM188" s="855"/>
      <c r="CN188" s="854"/>
      <c r="CO188" s="852"/>
      <c r="CP188" s="852"/>
      <c r="CQ188" s="853"/>
      <c r="CR188" s="854"/>
      <c r="CS188" s="854"/>
      <c r="CT188" s="855"/>
      <c r="CU188" s="853"/>
    </row>
    <row r="189" spans="1:99" x14ac:dyDescent="0.2">
      <c r="A189" s="856">
        <v>40390</v>
      </c>
      <c r="B189" s="905"/>
      <c r="C189" s="906"/>
      <c r="D189" s="907"/>
      <c r="E189" s="906"/>
      <c r="F189" s="905"/>
      <c r="G189" s="906"/>
      <c r="H189" s="827"/>
      <c r="I189" s="911"/>
      <c r="J189" s="908"/>
      <c r="K189" s="909"/>
      <c r="L189" s="908"/>
      <c r="M189" s="909"/>
      <c r="N189" s="908"/>
      <c r="O189" s="909"/>
      <c r="P189" s="905"/>
      <c r="Q189" s="904"/>
      <c r="R189" s="910"/>
      <c r="S189" s="828"/>
      <c r="T189" s="846"/>
      <c r="U189" s="912"/>
      <c r="V189" s="850"/>
      <c r="W189" s="828"/>
      <c r="X189" s="850"/>
      <c r="Y189" s="850"/>
      <c r="Z189" s="1188"/>
      <c r="AA189" s="850"/>
      <c r="AB189" s="855"/>
      <c r="AC189" s="828"/>
      <c r="AD189" s="999"/>
      <c r="AE189" s="828"/>
      <c r="AF189" s="850"/>
      <c r="AG189" s="828"/>
      <c r="AH189" s="850"/>
      <c r="AI189" s="850"/>
      <c r="AJ189" s="811"/>
      <c r="AK189" s="872"/>
      <c r="AL189" s="852"/>
      <c r="AM189" s="828"/>
      <c r="AN189" s="850"/>
      <c r="AO189" s="828"/>
      <c r="AP189" s="829"/>
      <c r="AQ189" s="822"/>
      <c r="AR189" s="827"/>
      <c r="AS189" s="951"/>
      <c r="AT189" s="960"/>
      <c r="AU189" s="904"/>
      <c r="AV189" s="852"/>
      <c r="AW189" s="828"/>
      <c r="AX189" s="852"/>
      <c r="AY189" s="828"/>
      <c r="AZ189" s="852"/>
      <c r="BA189" s="850"/>
      <c r="BB189" s="850"/>
      <c r="BC189" s="850"/>
      <c r="BD189" s="871"/>
      <c r="BE189" s="872"/>
      <c r="BF189" s="873"/>
      <c r="BG189" s="879"/>
      <c r="BH189" s="836"/>
      <c r="BI189" s="836"/>
      <c r="BJ189" s="836"/>
      <c r="BK189" s="834"/>
      <c r="BL189" s="834"/>
      <c r="BM189" s="834"/>
      <c r="BN189" s="834"/>
      <c r="BO189" s="834"/>
      <c r="BP189" s="835"/>
      <c r="BQ189" s="880"/>
      <c r="BR189" s="836"/>
      <c r="BS189" s="854"/>
      <c r="BT189" s="883"/>
      <c r="BU189" s="854"/>
      <c r="BV189" s="854"/>
      <c r="BW189" s="854"/>
      <c r="BX189" s="1198"/>
      <c r="BY189" s="852"/>
      <c r="BZ189" s="852"/>
      <c r="CA189" s="853"/>
      <c r="CB189" s="854"/>
      <c r="CC189" s="854"/>
      <c r="CD189" s="854"/>
      <c r="CE189" s="855"/>
      <c r="CF189" s="854"/>
      <c r="CG189" s="879"/>
      <c r="CH189" s="852"/>
      <c r="CI189" s="826"/>
      <c r="CJ189" s="826"/>
      <c r="CK189" s="826"/>
      <c r="CL189" s="826"/>
      <c r="CM189" s="855"/>
      <c r="CN189" s="854"/>
      <c r="CO189" s="852"/>
      <c r="CP189" s="852"/>
      <c r="CQ189" s="853"/>
      <c r="CR189" s="854"/>
      <c r="CS189" s="854"/>
      <c r="CT189" s="855"/>
      <c r="CU189" s="853"/>
    </row>
    <row r="190" spans="1:99" x14ac:dyDescent="0.2">
      <c r="A190" s="856">
        <v>40421</v>
      </c>
      <c r="B190" s="905"/>
      <c r="C190" s="906"/>
      <c r="D190" s="907"/>
      <c r="E190" s="906"/>
      <c r="F190" s="905"/>
      <c r="G190" s="906"/>
      <c r="H190" s="827"/>
      <c r="I190" s="911"/>
      <c r="J190" s="908"/>
      <c r="K190" s="909"/>
      <c r="L190" s="908"/>
      <c r="M190" s="909"/>
      <c r="N190" s="908"/>
      <c r="O190" s="909"/>
      <c r="P190" s="905"/>
      <c r="Q190" s="904"/>
      <c r="R190" s="910"/>
      <c r="S190" s="828"/>
      <c r="T190" s="846"/>
      <c r="U190" s="912"/>
      <c r="V190" s="850"/>
      <c r="W190" s="828"/>
      <c r="X190" s="850"/>
      <c r="Y190" s="850"/>
      <c r="Z190" s="1188"/>
      <c r="AA190" s="850"/>
      <c r="AB190" s="855"/>
      <c r="AC190" s="828"/>
      <c r="AD190" s="999"/>
      <c r="AE190" s="828"/>
      <c r="AF190" s="850"/>
      <c r="AG190" s="828"/>
      <c r="AH190" s="850"/>
      <c r="AI190" s="850"/>
      <c r="AJ190" s="811"/>
      <c r="AK190" s="872"/>
      <c r="AL190" s="852"/>
      <c r="AM190" s="828"/>
      <c r="AN190" s="850"/>
      <c r="AO190" s="828"/>
      <c r="AP190" s="829"/>
      <c r="AQ190" s="822"/>
      <c r="AR190" s="827"/>
      <c r="AS190" s="951"/>
      <c r="AT190" s="960"/>
      <c r="AU190" s="904"/>
      <c r="AV190" s="852"/>
      <c r="AW190" s="828"/>
      <c r="AX190" s="852"/>
      <c r="AY190" s="828"/>
      <c r="AZ190" s="852"/>
      <c r="BA190" s="850"/>
      <c r="BB190" s="850"/>
      <c r="BC190" s="850"/>
      <c r="BD190" s="871"/>
      <c r="BE190" s="872"/>
      <c r="BF190" s="873"/>
      <c r="BG190" s="879"/>
      <c r="BH190" s="836"/>
      <c r="BI190" s="836"/>
      <c r="BJ190" s="836"/>
      <c r="BK190" s="834"/>
      <c r="BL190" s="834"/>
      <c r="BM190" s="834"/>
      <c r="BN190" s="834"/>
      <c r="BO190" s="834"/>
      <c r="BP190" s="835"/>
      <c r="BQ190" s="880"/>
      <c r="BR190" s="836"/>
      <c r="BS190" s="854"/>
      <c r="BT190" s="883"/>
      <c r="BU190" s="854"/>
      <c r="BV190" s="854"/>
      <c r="BW190" s="854"/>
      <c r="BX190" s="1198"/>
      <c r="BY190" s="852"/>
      <c r="BZ190" s="852"/>
      <c r="CA190" s="853"/>
      <c r="CB190" s="854"/>
      <c r="CC190" s="854"/>
      <c r="CD190" s="854"/>
      <c r="CE190" s="855"/>
      <c r="CF190" s="854"/>
      <c r="CG190" s="879"/>
      <c r="CH190" s="852"/>
      <c r="CI190" s="826"/>
      <c r="CJ190" s="826"/>
      <c r="CK190" s="826"/>
      <c r="CL190" s="826"/>
      <c r="CM190" s="855"/>
      <c r="CN190" s="854"/>
      <c r="CO190" s="852"/>
      <c r="CP190" s="852"/>
      <c r="CQ190" s="853"/>
      <c r="CR190" s="854"/>
      <c r="CS190" s="854"/>
      <c r="CT190" s="855"/>
      <c r="CU190" s="853"/>
    </row>
    <row r="191" spans="1:99" x14ac:dyDescent="0.2">
      <c r="A191" s="856">
        <v>40451</v>
      </c>
      <c r="B191" s="905"/>
      <c r="C191" s="906"/>
      <c r="D191" s="907"/>
      <c r="E191" s="906"/>
      <c r="F191" s="905"/>
      <c r="G191" s="906"/>
      <c r="H191" s="827"/>
      <c r="I191" s="911"/>
      <c r="J191" s="908"/>
      <c r="K191" s="909"/>
      <c r="L191" s="908"/>
      <c r="M191" s="909"/>
      <c r="N191" s="908"/>
      <c r="O191" s="909"/>
      <c r="P191" s="905"/>
      <c r="Q191" s="904"/>
      <c r="R191" s="910"/>
      <c r="S191" s="828"/>
      <c r="T191" s="846"/>
      <c r="U191" s="912"/>
      <c r="V191" s="850"/>
      <c r="W191" s="828"/>
      <c r="X191" s="850"/>
      <c r="Y191" s="850"/>
      <c r="Z191" s="1188"/>
      <c r="AA191" s="850"/>
      <c r="AB191" s="855"/>
      <c r="AC191" s="828"/>
      <c r="AD191" s="999"/>
      <c r="AE191" s="828"/>
      <c r="AF191" s="850"/>
      <c r="AG191" s="828"/>
      <c r="AH191" s="850"/>
      <c r="AI191" s="850"/>
      <c r="AJ191" s="811"/>
      <c r="AK191" s="872"/>
      <c r="AL191" s="852"/>
      <c r="AM191" s="828"/>
      <c r="AN191" s="850"/>
      <c r="AO191" s="828"/>
      <c r="AP191" s="829"/>
      <c r="AQ191" s="822"/>
      <c r="AR191" s="827"/>
      <c r="AS191" s="951"/>
      <c r="AT191" s="960"/>
      <c r="AU191" s="904"/>
      <c r="AV191" s="852"/>
      <c r="AW191" s="828"/>
      <c r="AX191" s="852"/>
      <c r="AY191" s="828"/>
      <c r="AZ191" s="852"/>
      <c r="BA191" s="850"/>
      <c r="BB191" s="850"/>
      <c r="BC191" s="850"/>
      <c r="BD191" s="871"/>
      <c r="BE191" s="872"/>
      <c r="BF191" s="873"/>
      <c r="BG191" s="879"/>
      <c r="BH191" s="836"/>
      <c r="BI191" s="836"/>
      <c r="BJ191" s="836"/>
      <c r="BK191" s="834"/>
      <c r="BL191" s="834"/>
      <c r="BM191" s="834"/>
      <c r="BN191" s="834"/>
      <c r="BO191" s="834"/>
      <c r="BP191" s="835"/>
      <c r="BQ191" s="880"/>
      <c r="BR191" s="836"/>
      <c r="BS191" s="854"/>
      <c r="BT191" s="883"/>
      <c r="BU191" s="854"/>
      <c r="BV191" s="854"/>
      <c r="BW191" s="854"/>
      <c r="BX191" s="1198"/>
      <c r="BY191" s="852"/>
      <c r="BZ191" s="852"/>
      <c r="CA191" s="853"/>
      <c r="CB191" s="854"/>
      <c r="CC191" s="854"/>
      <c r="CD191" s="854"/>
      <c r="CE191" s="855"/>
      <c r="CF191" s="854"/>
      <c r="CG191" s="879"/>
      <c r="CH191" s="852"/>
      <c r="CI191" s="826"/>
      <c r="CJ191" s="826"/>
      <c r="CK191" s="826"/>
      <c r="CL191" s="826"/>
      <c r="CM191" s="855"/>
      <c r="CN191" s="854"/>
      <c r="CO191" s="852"/>
      <c r="CP191" s="852"/>
      <c r="CQ191" s="853"/>
      <c r="CR191" s="854"/>
      <c r="CS191" s="854"/>
      <c r="CT191" s="855"/>
      <c r="CU191" s="853"/>
    </row>
    <row r="192" spans="1:99" x14ac:dyDescent="0.2">
      <c r="A192" s="856">
        <v>40482</v>
      </c>
      <c r="B192" s="905"/>
      <c r="C192" s="906"/>
      <c r="D192" s="907"/>
      <c r="E192" s="906"/>
      <c r="F192" s="905"/>
      <c r="G192" s="906"/>
      <c r="H192" s="827"/>
      <c r="I192" s="911"/>
      <c r="J192" s="908"/>
      <c r="K192" s="909"/>
      <c r="L192" s="908"/>
      <c r="M192" s="909"/>
      <c r="N192" s="908"/>
      <c r="O192" s="909"/>
      <c r="P192" s="905"/>
      <c r="Q192" s="904"/>
      <c r="R192" s="910"/>
      <c r="S192" s="828"/>
      <c r="T192" s="846"/>
      <c r="U192" s="912"/>
      <c r="V192" s="850"/>
      <c r="W192" s="828"/>
      <c r="X192" s="850"/>
      <c r="Y192" s="850"/>
      <c r="Z192" s="1188"/>
      <c r="AA192" s="850"/>
      <c r="AB192" s="855"/>
      <c r="AC192" s="828"/>
      <c r="AD192" s="999"/>
      <c r="AE192" s="828"/>
      <c r="AF192" s="850"/>
      <c r="AG192" s="828"/>
      <c r="AH192" s="850"/>
      <c r="AI192" s="850"/>
      <c r="AJ192" s="811"/>
      <c r="AK192" s="872"/>
      <c r="AL192" s="852"/>
      <c r="AM192" s="828"/>
      <c r="AN192" s="850"/>
      <c r="AO192" s="828"/>
      <c r="AP192" s="829"/>
      <c r="AQ192" s="822"/>
      <c r="AR192" s="827"/>
      <c r="AS192" s="951"/>
      <c r="AT192" s="960"/>
      <c r="AU192" s="904"/>
      <c r="AV192" s="852"/>
      <c r="AW192" s="828"/>
      <c r="AX192" s="852"/>
      <c r="AY192" s="828"/>
      <c r="AZ192" s="852"/>
      <c r="BA192" s="850"/>
      <c r="BB192" s="850"/>
      <c r="BC192" s="850"/>
      <c r="BD192" s="871"/>
      <c r="BE192" s="872"/>
      <c r="BF192" s="873"/>
      <c r="BG192" s="879"/>
      <c r="BH192" s="836"/>
      <c r="BI192" s="836"/>
      <c r="BJ192" s="836"/>
      <c r="BK192" s="834"/>
      <c r="BL192" s="834"/>
      <c r="BM192" s="834"/>
      <c r="BN192" s="834"/>
      <c r="BO192" s="834"/>
      <c r="BP192" s="835"/>
      <c r="BQ192" s="880"/>
      <c r="BR192" s="836"/>
      <c r="BS192" s="854"/>
      <c r="BT192" s="883"/>
      <c r="BU192" s="854"/>
      <c r="BV192" s="854"/>
      <c r="BW192" s="854"/>
      <c r="BX192" s="1198"/>
      <c r="BY192" s="852"/>
      <c r="BZ192" s="852"/>
      <c r="CA192" s="853"/>
      <c r="CB192" s="854"/>
      <c r="CC192" s="854"/>
      <c r="CD192" s="854"/>
      <c r="CE192" s="855"/>
      <c r="CF192" s="854"/>
      <c r="CG192" s="879"/>
      <c r="CH192" s="852"/>
      <c r="CI192" s="826"/>
      <c r="CJ192" s="826"/>
      <c r="CK192" s="826"/>
      <c r="CL192" s="826"/>
      <c r="CM192" s="855"/>
      <c r="CN192" s="854"/>
      <c r="CO192" s="852"/>
      <c r="CP192" s="852"/>
      <c r="CQ192" s="853"/>
      <c r="CR192" s="854"/>
      <c r="CS192" s="854"/>
      <c r="CT192" s="855"/>
      <c r="CU192" s="853"/>
    </row>
    <row r="193" spans="1:104" x14ac:dyDescent="0.2">
      <c r="A193" s="856">
        <v>40512</v>
      </c>
      <c r="B193" s="905"/>
      <c r="C193" s="906"/>
      <c r="D193" s="907"/>
      <c r="E193" s="906"/>
      <c r="F193" s="905"/>
      <c r="G193" s="906"/>
      <c r="H193" s="827"/>
      <c r="I193" s="911"/>
      <c r="J193" s="908"/>
      <c r="K193" s="909"/>
      <c r="L193" s="908"/>
      <c r="M193" s="909"/>
      <c r="N193" s="908"/>
      <c r="O193" s="909"/>
      <c r="P193" s="905"/>
      <c r="Q193" s="904"/>
      <c r="R193" s="910"/>
      <c r="S193" s="828"/>
      <c r="T193" s="846"/>
      <c r="U193" s="912"/>
      <c r="V193" s="850"/>
      <c r="W193" s="828"/>
      <c r="X193" s="850"/>
      <c r="Y193" s="850"/>
      <c r="Z193" s="1188"/>
      <c r="AA193" s="850"/>
      <c r="AB193" s="855"/>
      <c r="AC193" s="828"/>
      <c r="AD193" s="999"/>
      <c r="AE193" s="828"/>
      <c r="AF193" s="850"/>
      <c r="AG193" s="828"/>
      <c r="AH193" s="850"/>
      <c r="AI193" s="850"/>
      <c r="AJ193" s="811"/>
      <c r="AK193" s="872"/>
      <c r="AL193" s="852"/>
      <c r="AM193" s="828"/>
      <c r="AN193" s="850"/>
      <c r="AO193" s="828"/>
      <c r="AP193" s="829"/>
      <c r="AQ193" s="822"/>
      <c r="AR193" s="827"/>
      <c r="AS193" s="951"/>
      <c r="AT193" s="960"/>
      <c r="AU193" s="904"/>
      <c r="AV193" s="852"/>
      <c r="AW193" s="828"/>
      <c r="AX193" s="852"/>
      <c r="AY193" s="828"/>
      <c r="AZ193" s="852"/>
      <c r="BA193" s="850"/>
      <c r="BB193" s="850"/>
      <c r="BC193" s="850"/>
      <c r="BD193" s="871"/>
      <c r="BE193" s="872"/>
      <c r="BF193" s="873"/>
      <c r="BG193" s="879"/>
      <c r="BH193" s="836"/>
      <c r="BI193" s="836"/>
      <c r="BJ193" s="836"/>
      <c r="BK193" s="834"/>
      <c r="BL193" s="834"/>
      <c r="BM193" s="834"/>
      <c r="BN193" s="834"/>
      <c r="BO193" s="834"/>
      <c r="BP193" s="835"/>
      <c r="BQ193" s="880"/>
      <c r="BR193" s="836"/>
      <c r="BS193" s="854"/>
      <c r="BT193" s="883"/>
      <c r="BU193" s="854"/>
      <c r="BV193" s="854"/>
      <c r="BW193" s="854"/>
      <c r="BX193" s="1198"/>
      <c r="BY193" s="852"/>
      <c r="BZ193" s="852"/>
      <c r="CA193" s="853"/>
      <c r="CB193" s="854"/>
      <c r="CC193" s="854"/>
      <c r="CD193" s="854"/>
      <c r="CE193" s="855"/>
      <c r="CF193" s="854"/>
      <c r="CG193" s="879"/>
      <c r="CH193" s="852"/>
      <c r="CI193" s="826"/>
      <c r="CJ193" s="826"/>
      <c r="CK193" s="826"/>
      <c r="CL193" s="826"/>
      <c r="CM193" s="855"/>
      <c r="CN193" s="854"/>
      <c r="CO193" s="852"/>
      <c r="CP193" s="852"/>
      <c r="CQ193" s="853"/>
      <c r="CR193" s="854"/>
      <c r="CS193" s="854"/>
      <c r="CT193" s="855"/>
      <c r="CU193" s="853"/>
    </row>
    <row r="194" spans="1:104" s="298" customFormat="1" ht="13.5" thickBot="1" x14ac:dyDescent="0.25">
      <c r="A194" s="913">
        <v>40543</v>
      </c>
      <c r="B194" s="914"/>
      <c r="C194" s="915"/>
      <c r="D194" s="916"/>
      <c r="E194" s="915"/>
      <c r="F194" s="914"/>
      <c r="G194" s="915"/>
      <c r="H194" s="936"/>
      <c r="I194" s="916"/>
      <c r="J194" s="917"/>
      <c r="K194" s="918"/>
      <c r="L194" s="917"/>
      <c r="M194" s="918"/>
      <c r="N194" s="917"/>
      <c r="O194" s="918"/>
      <c r="P194" s="914"/>
      <c r="Q194" s="919"/>
      <c r="R194" s="920"/>
      <c r="S194" s="921"/>
      <c r="T194" s="937"/>
      <c r="U194" s="938"/>
      <c r="V194" s="922"/>
      <c r="W194" s="921"/>
      <c r="X194" s="922"/>
      <c r="Y194" s="922"/>
      <c r="Z194" s="1189"/>
      <c r="AA194" s="922"/>
      <c r="AB194" s="924"/>
      <c r="AC194" s="921"/>
      <c r="AD194" s="1000"/>
      <c r="AE194" s="921"/>
      <c r="AF194" s="922"/>
      <c r="AG194" s="921"/>
      <c r="AH194" s="922"/>
      <c r="AI194" s="922"/>
      <c r="AJ194" s="925"/>
      <c r="AK194" s="923"/>
      <c r="AL194" s="926"/>
      <c r="AM194" s="921"/>
      <c r="AN194" s="922"/>
      <c r="AO194" s="921"/>
      <c r="AP194" s="939"/>
      <c r="AQ194" s="940"/>
      <c r="AR194" s="936"/>
      <c r="AS194" s="952"/>
      <c r="AT194" s="963"/>
      <c r="AU194" s="919"/>
      <c r="AV194" s="926"/>
      <c r="AW194" s="921"/>
      <c r="AX194" s="926"/>
      <c r="AY194" s="921"/>
      <c r="AZ194" s="926"/>
      <c r="BA194" s="922"/>
      <c r="BB194" s="922"/>
      <c r="BC194" s="922"/>
      <c r="BD194" s="927"/>
      <c r="BE194" s="923"/>
      <c r="BF194" s="922"/>
      <c r="BG194" s="928"/>
      <c r="BH194" s="929"/>
      <c r="BI194" s="929"/>
      <c r="BJ194" s="929"/>
      <c r="BK194" s="929"/>
      <c r="BL194" s="929"/>
      <c r="BM194" s="929"/>
      <c r="BN194" s="929"/>
      <c r="BO194" s="929"/>
      <c r="BP194" s="930"/>
      <c r="BQ194" s="941"/>
      <c r="BR194" s="929"/>
      <c r="BS194" s="926"/>
      <c r="BT194" s="942"/>
      <c r="BU194" s="926"/>
      <c r="BV194" s="926"/>
      <c r="BW194" s="1202"/>
      <c r="BX194" s="1199"/>
      <c r="BY194" s="926"/>
      <c r="BZ194" s="926"/>
      <c r="CA194" s="931"/>
      <c r="CB194" s="926"/>
      <c r="CC194" s="926"/>
      <c r="CD194" s="926"/>
      <c r="CE194" s="924"/>
      <c r="CF194" s="926"/>
      <c r="CG194" s="928"/>
      <c r="CH194" s="926"/>
      <c r="CI194" s="943"/>
      <c r="CJ194" s="943"/>
      <c r="CK194" s="943"/>
      <c r="CL194" s="943"/>
      <c r="CM194" s="924"/>
      <c r="CN194" s="926"/>
      <c r="CO194" s="926"/>
      <c r="CP194" s="926"/>
      <c r="CQ194" s="931"/>
      <c r="CR194" s="926"/>
      <c r="CS194" s="926"/>
      <c r="CT194" s="924"/>
      <c r="CU194" s="931"/>
    </row>
    <row r="195" spans="1:104" x14ac:dyDescent="0.2">
      <c r="A195" s="932" t="s">
        <v>358</v>
      </c>
      <c r="B195" s="283"/>
      <c r="C195" s="209">
        <f>SUMPRODUCT(C41:C97,BH41:BH97)/100</f>
        <v>26904402.282630932</v>
      </c>
      <c r="D195" s="286"/>
      <c r="E195" s="170">
        <f t="array" ref="E195">SUMPRODUCT(E41:E41,BI41:BI41)/100</f>
        <v>-177682.90227584424</v>
      </c>
      <c r="F195" s="216"/>
      <c r="G195" s="209">
        <f t="array" ref="G195">SUMPRODUCT(G41:G50,BJ41:BJ50)/100</f>
        <v>-10711750.993670201</v>
      </c>
      <c r="H195" s="286"/>
      <c r="I195" s="170">
        <f>SUMPRODUCT(I99:I160,BP99:BP160)/100</f>
        <v>-22082949.051537815</v>
      </c>
      <c r="J195" s="283"/>
      <c r="K195" s="146">
        <f>SUMPRODUCT(K44:K97,BK44:BK97)/100</f>
        <v>-132465634.39523607</v>
      </c>
      <c r="L195" s="283"/>
      <c r="M195" s="146">
        <f>SUMPRODUCT(M99:M159,BL99:BL159)/100</f>
        <v>-4446248.4987187171</v>
      </c>
      <c r="N195" s="283"/>
      <c r="O195" s="146">
        <f>SUMPRODUCT(O99:O159,BN99:BN159)/100</f>
        <v>-10800655.652893759</v>
      </c>
      <c r="P195" s="284"/>
      <c r="Q195" s="209">
        <f>SUMPRODUCT(Q41:Q160,BR41:BR160)/100</f>
        <v>48535262.836772107</v>
      </c>
      <c r="R195" s="217"/>
      <c r="S195" s="170">
        <f>SUMPRODUCT(S41:S160,BS41:BS160)/100</f>
        <v>-20167369.975767769</v>
      </c>
      <c r="T195" s="209"/>
      <c r="U195" s="170">
        <f>SUMPRODUCT(U93:U157,BT93:BT157)/100</f>
        <v>-18901514.070774186</v>
      </c>
      <c r="V195" s="284"/>
      <c r="W195" s="170">
        <f>SUMPRODUCT(W41:W160,BV41:BV160)/100</f>
        <v>-4921411.7639168901</v>
      </c>
      <c r="X195" s="217"/>
      <c r="Y195" s="209">
        <f>SUMPRODUCT(Y41:Y160,BW41:BW160)/100</f>
        <v>-2805662.614954209</v>
      </c>
      <c r="Z195" s="286"/>
      <c r="AA195" s="209">
        <f>SUMPRODUCT(AA41:AA165,BX41:BX165)/100</f>
        <v>-20307905.855802324</v>
      </c>
      <c r="AB195" s="296"/>
      <c r="AC195" s="146">
        <f>SUMPRODUCT(AC41:AC160,CF41:CF160)/100</f>
        <v>-3374415.5389495315</v>
      </c>
      <c r="AD195" s="296"/>
      <c r="AE195" s="146">
        <f>SUMPRODUCT(AE46:AE145,CC46:CC145)/100</f>
        <v>10322613.610619765</v>
      </c>
      <c r="AF195" s="249"/>
      <c r="AG195" s="170">
        <f>SUMPRODUCT(AG41:AG160,CD41:CD160)/100</f>
        <v>38606907.28037186</v>
      </c>
      <c r="AH195" s="209"/>
      <c r="AI195" s="170">
        <f>SUMPRODUCT(AI123:AI147,BZ123:BZ147)/100</f>
        <v>-7854860.3081171894</v>
      </c>
      <c r="AJ195" s="284"/>
      <c r="AK195" s="146">
        <f>SUMPRODUCT(AK41:AK160,CA41:CA160)/100</f>
        <v>-2318076.2678768346</v>
      </c>
      <c r="AL195" s="284"/>
      <c r="AM195" s="170">
        <f>SUMPRODUCT(AM41:AM160,CH41:CH160)/100</f>
        <v>-1604133.9730475266</v>
      </c>
      <c r="AN195" s="217"/>
      <c r="AO195" s="170">
        <f>SUMPRODUCT(AO41:AO160,CJ41:CJ160)/100</f>
        <v>75411762.59952186</v>
      </c>
      <c r="AP195" s="217"/>
      <c r="AQ195" s="170">
        <f>SUMPRODUCT(AQ41:AQ160,CK41:CK160)/100</f>
        <v>199970859.7030724</v>
      </c>
      <c r="AR195" s="217"/>
      <c r="AS195" s="209">
        <f>SUMPRODUCT(AS41:AS160,CL41:CL160)/100</f>
        <v>22267175.731474504</v>
      </c>
      <c r="AT195" s="286"/>
      <c r="AU195" s="170">
        <f>SUMPRODUCT(AU42:AU118,CN42:CN118)/100</f>
        <v>-4534855.9157219939</v>
      </c>
      <c r="AV195" s="284"/>
      <c r="AW195" s="170">
        <f>SUMPRODUCT(AW41:AW160,CO41:CO160)/100</f>
        <v>-2133242.5922684269</v>
      </c>
      <c r="AX195" s="217"/>
      <c r="AY195" s="170">
        <f>SUMPRODUCT(AY41:AY160,CP41:CP160)/100</f>
        <v>-5760048.1907833051</v>
      </c>
      <c r="AZ195" s="217"/>
      <c r="BA195" s="146">
        <f>SUMPRODUCT(BA41:BA160,CQ41:CQ160)/100</f>
        <v>364621.19877023355</v>
      </c>
      <c r="BB195" s="209"/>
      <c r="BC195" s="146">
        <f>SUMPRODUCT(BC50:BC169,CU50:CU169)/100</f>
        <v>0</v>
      </c>
      <c r="BD195" s="743"/>
      <c r="BE195" s="146">
        <f>SUMPRODUCT(BE111:BE147,CU111:CU147)/100</f>
        <v>-30317559.239184417</v>
      </c>
      <c r="BF195" s="209"/>
      <c r="BG195" s="15"/>
      <c r="BH195" s="15"/>
      <c r="BI195" s="15"/>
      <c r="BJ195" s="15"/>
      <c r="BK195" s="15"/>
      <c r="BL195" s="15"/>
      <c r="BM195" s="15"/>
      <c r="BN195" s="15"/>
      <c r="BO195" s="15"/>
      <c r="BP195" s="15"/>
      <c r="BQ195" s="82"/>
      <c r="BR195" s="15"/>
      <c r="BS195" s="15"/>
      <c r="BT195" s="15"/>
      <c r="BU195" s="15"/>
      <c r="BV195" s="15"/>
      <c r="BW195" s="15"/>
      <c r="BX195" s="15"/>
      <c r="BY195" s="15"/>
      <c r="BZ195" s="15"/>
      <c r="CA195" s="15"/>
      <c r="CB195" s="15"/>
      <c r="CC195" s="15"/>
      <c r="CD195" s="15"/>
      <c r="CE195" s="15"/>
      <c r="CF195" s="15"/>
      <c r="CG195" s="311"/>
      <c r="CH195" s="15"/>
      <c r="CI195" s="311"/>
      <c r="CJ195" s="311"/>
      <c r="CK195" s="15"/>
      <c r="CL195" s="15"/>
      <c r="CM195" s="15"/>
      <c r="CN195" s="15"/>
      <c r="CO195" s="15"/>
      <c r="CP195" s="15"/>
      <c r="CQ195" s="15"/>
      <c r="CR195" s="15"/>
      <c r="CS195" s="15"/>
      <c r="CT195" s="15"/>
      <c r="CU195" s="15"/>
      <c r="CV195" s="15"/>
      <c r="CW195" s="15"/>
      <c r="CX195" s="15"/>
      <c r="CY195" s="15"/>
      <c r="CZ195" s="15"/>
    </row>
    <row r="196" spans="1:104" x14ac:dyDescent="0.2">
      <c r="A196" s="314" t="s">
        <v>235</v>
      </c>
      <c r="B196" s="283"/>
      <c r="C196" s="209">
        <f>AVERAGE(C$41:C160)</f>
        <v>1128986956.5335088</v>
      </c>
      <c r="D196" s="217"/>
      <c r="E196" s="209">
        <f t="array" ref="E196">AVERAGE(E$41:E160)</f>
        <v>9642000.1500000004</v>
      </c>
      <c r="F196" s="216"/>
      <c r="G196" s="209">
        <f>AVERAGE(G$41:G160)</f>
        <v>2046270557.595</v>
      </c>
      <c r="H196" s="286"/>
      <c r="I196" s="170">
        <f>AVERAGE(I$21:I160)</f>
        <v>364605259.99749988</v>
      </c>
      <c r="J196" s="283"/>
      <c r="K196" s="146">
        <f>AVERAGE(K$21:K160)</f>
        <v>1049661720.1090742</v>
      </c>
      <c r="L196" s="283"/>
      <c r="M196" s="146">
        <f t="array" ref="M196">AVERAGE(M41:M194)</f>
        <v>768045829.4809835</v>
      </c>
      <c r="N196" s="283"/>
      <c r="O196" s="146">
        <f>AVERAGE(O41:O194)</f>
        <v>308637848.75360656</v>
      </c>
      <c r="P196" s="284"/>
      <c r="Q196" s="209">
        <f>AVERAGE(Q$41:Q160)</f>
        <v>322225062.31055558</v>
      </c>
      <c r="R196" s="217"/>
      <c r="S196" s="209">
        <f>AVERAGE(S$41:S160)</f>
        <v>235062869.23333335</v>
      </c>
      <c r="T196" s="209"/>
      <c r="U196" s="170">
        <f>AVERAGE(U93:U157)</f>
        <v>291132730.14553857</v>
      </c>
      <c r="V196" s="284"/>
      <c r="W196" s="209">
        <f>AVERAGE(W$41:W160)</f>
        <v>69974384.873783797</v>
      </c>
      <c r="X196" s="217"/>
      <c r="Y196" s="209">
        <f>AVERAGE(Y$41:Y160)</f>
        <v>74376454.095135123</v>
      </c>
      <c r="Z196" s="286"/>
      <c r="AA196" s="209">
        <f>AVERAGE(AA134:AA165)</f>
        <v>160192885.7759375</v>
      </c>
      <c r="AB196" s="296"/>
      <c r="AC196" s="146">
        <f>AVERAGE(AC$41:AC160)</f>
        <v>183902724.68250003</v>
      </c>
      <c r="AD196" s="296"/>
      <c r="AE196" s="146">
        <f>AVERAGE(AE46:AE145)</f>
        <v>387154784.09359992</v>
      </c>
      <c r="AF196" s="286"/>
      <c r="AG196" s="170">
        <f>AVERAGE(AG$41:AG160)</f>
        <v>150007732.73292133</v>
      </c>
      <c r="AH196" s="209"/>
      <c r="AI196" s="209">
        <f>AVERAGE(AI123:AI147)</f>
        <v>131199903.63920002</v>
      </c>
      <c r="AJ196" s="284"/>
      <c r="AK196" s="146">
        <f>AVERAGE(AK$41:AK160)</f>
        <v>189395933.97999996</v>
      </c>
      <c r="AL196" s="284"/>
      <c r="AM196" s="209">
        <f>AVERAGE(AM$41:AM160)</f>
        <v>118839867.93857144</v>
      </c>
      <c r="AN196" s="217"/>
      <c r="AO196" s="209">
        <f>AVERAGE(AO$41:AO160)</f>
        <v>971201163.90295482</v>
      </c>
      <c r="AP196" s="217"/>
      <c r="AQ196" s="209">
        <f>AVERAGE(AQ$41:AQ160)</f>
        <v>662834191.56925917</v>
      </c>
      <c r="AR196" s="217"/>
      <c r="AS196" s="209">
        <f>AVERAGE(AS$21:AS160)</f>
        <v>553787454.91040564</v>
      </c>
      <c r="AT196" s="286"/>
      <c r="AU196" s="170">
        <f>AVERAGE(AU42:AU118)</f>
        <v>1204875192.4996107</v>
      </c>
      <c r="AV196" s="284"/>
      <c r="AW196" s="209">
        <f>AVERAGE(AW$41:AW160)</f>
        <v>507517259.12269241</v>
      </c>
      <c r="AX196" s="217"/>
      <c r="AY196" s="209">
        <f>AVERAGE(AY$41:AY160)</f>
        <v>507410571.3888889</v>
      </c>
      <c r="AZ196" s="217"/>
      <c r="BA196" s="146">
        <f t="array" ref="BA196">AVERAGE(BA$41:BA160)</f>
        <v>1006824869.7800002</v>
      </c>
      <c r="BB196" s="209"/>
      <c r="BC196" s="146">
        <f t="array" ref="BC196">AVERAGE(BC$50:BC169)</f>
        <v>26357763.751818184</v>
      </c>
      <c r="BD196" s="743"/>
      <c r="BE196" s="146">
        <f>AVERAGE(BE111:BE147)</f>
        <v>1157849875.7148645</v>
      </c>
      <c r="BF196" s="9"/>
      <c r="BG196" s="299"/>
      <c r="BH196" s="15"/>
      <c r="BI196" s="15"/>
      <c r="BJ196" s="15"/>
      <c r="BK196" s="15"/>
      <c r="BL196" s="15"/>
      <c r="BM196" s="15"/>
      <c r="BN196" s="15"/>
      <c r="BO196" s="15"/>
      <c r="BP196" s="15"/>
      <c r="BQ196" s="15"/>
      <c r="BR196" s="15"/>
      <c r="BS196" s="15"/>
      <c r="BT196" s="15"/>
      <c r="BU196" s="15"/>
      <c r="BV196" s="15"/>
      <c r="BW196" s="15"/>
      <c r="BX196" s="15"/>
      <c r="BY196" s="15"/>
      <c r="BZ196" s="15"/>
      <c r="CA196" s="15"/>
      <c r="CB196" s="15"/>
      <c r="CC196" s="15"/>
      <c r="CD196" s="15"/>
      <c r="CE196" s="15"/>
      <c r="CF196" s="15"/>
      <c r="CG196" s="13"/>
      <c r="CH196" s="15"/>
      <c r="CI196" s="13"/>
      <c r="CJ196" s="13"/>
      <c r="CK196" s="15"/>
      <c r="CL196" s="15"/>
      <c r="CM196" s="15"/>
      <c r="CN196" s="15"/>
      <c r="CO196" s="15"/>
      <c r="CP196" s="15"/>
      <c r="CQ196" s="15"/>
      <c r="CR196" s="15"/>
      <c r="CS196" s="15"/>
      <c r="CT196" s="15"/>
      <c r="CU196" s="15"/>
      <c r="CV196" s="15"/>
      <c r="CW196" s="15"/>
      <c r="CX196" s="15"/>
      <c r="CY196" s="15"/>
      <c r="CZ196" s="15"/>
    </row>
    <row r="197" spans="1:104" x14ac:dyDescent="0.2">
      <c r="A197" s="314" t="s">
        <v>236</v>
      </c>
      <c r="B197" s="283"/>
      <c r="C197" s="284">
        <f t="array" ref="C197">(GEOMEAN(B$41:B97/100+1)^12-1)*100</f>
        <v>-1.2810318576586988</v>
      </c>
      <c r="D197" s="286"/>
      <c r="E197" s="285">
        <f t="array" ref="E197">(PRODUCT(D$41:D41/100+1)-1)*100</f>
        <v>3.2781987190246609</v>
      </c>
      <c r="F197" s="216"/>
      <c r="G197" s="284">
        <f t="array" ref="G197">(PRODUCT(F$41:F50/100+1)-1)*100</f>
        <v>18.149772827938083</v>
      </c>
      <c r="H197" s="286"/>
      <c r="I197" s="285">
        <f t="array" ref="I197">(GEOMEAN(H99:H126/100+1)^12-1)*100</f>
        <v>8.160912995179693</v>
      </c>
      <c r="J197" s="283"/>
      <c r="K197" s="297">
        <f t="array" ref="K197">(GEOMEAN(J44:J97/100+1)^12-1)*100</f>
        <v>-5.0012996868055488</v>
      </c>
      <c r="L197" s="283"/>
      <c r="M197" s="297">
        <f t="array" ref="M197">(GEOMEAN(L99:L159/100+1)^12-1)*100</f>
        <v>11.105906821884259</v>
      </c>
      <c r="N197" s="283"/>
      <c r="O197" s="297">
        <f t="array" ref="O197">(GEOMEAN(N99:N159/100+1)^12-1)*100</f>
        <v>13.029677144664142</v>
      </c>
      <c r="P197" s="283"/>
      <c r="Q197" s="284">
        <f t="array" ref="Q197">(GEOMEAN(P56:P73/100+1)^12-1)*100</f>
        <v>24.394240273772393</v>
      </c>
      <c r="R197" s="293"/>
      <c r="S197" s="285">
        <f t="array" ref="S197">(GEOMEAN(R56:R91/100+1)^12-1)*100</f>
        <v>8.3066620861499416</v>
      </c>
      <c r="T197" s="284"/>
      <c r="U197" s="285">
        <f t="array" ref="U197">100*(GEOMEAN(T93:T157/100+1)^12-1)</f>
        <v>11.402209968745879</v>
      </c>
      <c r="V197" s="299"/>
      <c r="W197" s="285">
        <f t="array" ref="W197">(GEOMEAN(V93:V129/100+1)^12-1)*100</f>
        <v>9.1630765574386874</v>
      </c>
      <c r="X197" s="293"/>
      <c r="Y197" s="284">
        <f t="array" ref="Y197">(GEOMEAN(X93:X129/100+1)^12-1)*100</f>
        <v>10.900707102664553</v>
      </c>
      <c r="Z197" s="217"/>
      <c r="AA197" s="284">
        <f t="array" ref="AA197">(GEOMEAN(Z134:Z165/100+1)^12-1)*100</f>
        <v>0.51504608967618548</v>
      </c>
      <c r="AB197" s="15"/>
      <c r="AC197" s="297">
        <f t="array" ref="AC197">(GEOMEAN(AB46:AB85/100+1)^12-1)*100</f>
        <v>4.6231120815653837</v>
      </c>
      <c r="AD197" s="514"/>
      <c r="AE197" s="297">
        <f t="array" ref="AE197">(GEOMEAN(AD46:AD145/100+1)^12-1)*100</f>
        <v>9.6519116669304239</v>
      </c>
      <c r="AF197" s="9"/>
      <c r="AG197" s="285">
        <f t="array" ref="AG197">(GEOMEAN(AF47:AF135/100+1)^12-1)*100</f>
        <v>17.509568959306666</v>
      </c>
      <c r="AH197" s="284"/>
      <c r="AI197" s="284">
        <f t="array" ref="AI197">(GEOMEAN(AH123:AH147/100+1)^12-1)*100</f>
        <v>6.0913868564210105</v>
      </c>
      <c r="AJ197" s="299"/>
      <c r="AK197" s="297">
        <f t="array" ref="AK197">(GEOMEAN(AJ87:AJ116/100+1)^12-1)*100</f>
        <v>4.7165245520394139</v>
      </c>
      <c r="AL197" s="299"/>
      <c r="AM197" s="285">
        <f t="array" ref="AM197">(PRODUCT(AL$41:AL47/100+1)-1)*100</f>
        <v>-26.84154914806064</v>
      </c>
      <c r="AN197" s="293"/>
      <c r="AO197" s="285">
        <f t="array" ref="AO197">(GEOMEAN(AN$41:AN128/100+1)^12-1)*100</f>
        <v>4.6726238955010935</v>
      </c>
      <c r="AP197" s="293"/>
      <c r="AQ197" s="285">
        <f t="array" ref="AQ197">(GEOMEAN(AP$41:AP121/100+1)^12-1)*100</f>
        <v>7.7944235369760362</v>
      </c>
      <c r="AR197" s="293"/>
      <c r="AS197" s="284">
        <f t="array" ref="AS197">(GEOMEAN(AR48:AR121/100+1)^12-1)*100</f>
        <v>5.8028905558572097</v>
      </c>
      <c r="AT197" s="217"/>
      <c r="AU197" s="285">
        <f t="array" ref="AU197">(GEOMEAN(AT42:AT118/100+1)^12-1)*100</f>
        <v>6.6752785476419607</v>
      </c>
      <c r="AV197" s="299"/>
      <c r="AW197" s="285">
        <f t="array" ref="AW197">(GEOMEAN(AV50:AV101/100+1)^12-1)*100</f>
        <v>6.9128426967988821</v>
      </c>
      <c r="AX197" s="293"/>
      <c r="AY197" s="285">
        <f t="array" ref="AY197">(PRODUCT(AX$41:AX49/100+1)-1)*100</f>
        <v>5.8791131687077947</v>
      </c>
      <c r="AZ197" s="293"/>
      <c r="BA197" s="297">
        <f t="array" ref="BA197">(GEOMEAN(AZ$41:AZ41/100+1)^12-1)*100</f>
        <v>4.6604621453917749</v>
      </c>
      <c r="BB197" s="284"/>
      <c r="BC197" s="297">
        <f t="array" ref="BC197">(PRODUCT(BB$158:BB168/100+1)-1)*100</f>
        <v>-5.6497187133652478</v>
      </c>
      <c r="BD197" s="308"/>
      <c r="BE197" s="297">
        <f t="array" ref="BE197">(GEOMEAN(BD111:BD147/100+1)^12-1)*100</f>
        <v>9.1339356891743329</v>
      </c>
      <c r="BF197" s="9"/>
    </row>
    <row r="198" spans="1:104" x14ac:dyDescent="0.2">
      <c r="A198" s="314" t="s">
        <v>237</v>
      </c>
      <c r="B198" s="283"/>
      <c r="C198" s="284">
        <f t="array" ref="C198">(GEOMEAN(BG$41:BG97/100+1)^12-1)*100</f>
        <v>-1.0372485351740179</v>
      </c>
      <c r="D198" s="286"/>
      <c r="E198" s="285">
        <f t="array" ref="E198">(PRODUCT(BG$41:BG41/100+1)-1)*100</f>
        <v>5.1209999999999978</v>
      </c>
      <c r="F198" s="216"/>
      <c r="G198" s="284">
        <f t="array" ref="G198">(PRODUCT(BG$41:BG50/100+1)-1)*100</f>
        <v>18.614399134128632</v>
      </c>
      <c r="H198" s="286"/>
      <c r="I198" s="285">
        <f t="array" ref="I198">(GEOMEAN(BO99:BO126/100+1)^12-1)*100</f>
        <v>11.381651771860213</v>
      </c>
      <c r="J198" s="283"/>
      <c r="K198" s="297">
        <f t="array" ref="K198">(GEOMEAN(BG44:BG97/100+1)^12-1)*100</f>
        <v>-2.0267085281127861</v>
      </c>
      <c r="L198" s="283"/>
      <c r="M198" s="297">
        <f t="array" ref="M198">(GEOMEAN(BG99:BG159/100+1)^12-1)*100</f>
        <v>11.245041300762427</v>
      </c>
      <c r="N198" s="283"/>
      <c r="O198" s="297">
        <f t="array" ref="O198">(GEOMEAN(BM99:BM159/100+1)^12-1)*100</f>
        <v>13.68060384002634</v>
      </c>
      <c r="P198" s="283"/>
      <c r="Q198" s="284">
        <f t="array" ref="Q198">(GEOMEAN(BQ56:BQ73/100+1)^12-1)*100</f>
        <v>15.075986289428144</v>
      </c>
      <c r="R198" s="293"/>
      <c r="S198" s="285">
        <f t="array" ref="S198">(GEOMEAN(BQ56:BQ91/100+1)^12-1)*100</f>
        <v>11.318048613740617</v>
      </c>
      <c r="T198" s="284"/>
      <c r="U198" s="285">
        <f t="array" ref="U198">(GEOMEAN(BQ93:BQ157/100+1)^12-1)*100</f>
        <v>12.298082207782235</v>
      </c>
      <c r="V198" s="299"/>
      <c r="W198" s="285">
        <f t="array" ref="W198">(GEOMEAN(BU93:BU129/100+1)^12-1)*100</f>
        <v>12.975003769492677</v>
      </c>
      <c r="X198" s="293"/>
      <c r="Y198" s="284">
        <f t="array" ref="Y198">(GEOMEAN(BU93:BU129/100+1)^12-1)*100</f>
        <v>12.975003769492677</v>
      </c>
      <c r="Z198" s="217"/>
      <c r="AA198" s="284">
        <f t="array" ref="AA198">(GEOMEAN(BU134:BU165/100+1)^12-1)*100</f>
        <v>5.6668527197504037</v>
      </c>
      <c r="AB198" s="15"/>
      <c r="AC198" s="297">
        <f t="array" ref="AC198">(GEOMEAN(CE46:CE85/100+1)^12-1)*100</f>
        <v>7.268605518190463</v>
      </c>
      <c r="AD198" s="514"/>
      <c r="AE198" s="297">
        <f t="array" ref="AE198">(GEOMEAN(CB46:CB145/100+1)^12-1)*100</f>
        <v>9.1949051346924993</v>
      </c>
      <c r="AF198" s="9"/>
      <c r="AG198" s="285">
        <f t="array" ref="AG198">(GEOMEAN(CB47:CB135/100+1)^12-1)*100</f>
        <v>12.438900385348139</v>
      </c>
      <c r="AH198" s="284"/>
      <c r="AI198" s="284">
        <f t="array" ref="AI198">(GEOMEAN(BY123:BY147/100+1)^12-1)*100</f>
        <v>9.2544585688157035</v>
      </c>
      <c r="AJ198" s="299"/>
      <c r="AK198" s="297">
        <f t="array" ref="AK198">(GEOMEAN(BY87:BY116/100+1)^12-1)*100</f>
        <v>3.6872943039052863</v>
      </c>
      <c r="AL198" s="299"/>
      <c r="AM198" s="285">
        <f t="array" ref="AM198">(PRODUCT(CG$41:CG47/100+1)-1)*100</f>
        <v>-25.504140803388864</v>
      </c>
      <c r="AN198" s="293"/>
      <c r="AO198" s="285">
        <f t="array" ref="AO198">(GEOMEAN(CI$41:CI128/100+1)^12-1)*100</f>
        <v>3.7531148070339748</v>
      </c>
      <c r="AP198" s="293"/>
      <c r="AQ198" s="285">
        <f t="array" ref="AQ198">(GEOMEAN(CI$41:CI121/100+1)^12-1)*100</f>
        <v>3.5536824329809091</v>
      </c>
      <c r="AR198" s="293"/>
      <c r="AS198" s="284">
        <f t="array" ref="AS198">(GEOMEAN(CI48:CI121/100+1)^12-1)*100</f>
        <v>5.7797927227943857</v>
      </c>
      <c r="AT198" s="217"/>
      <c r="AU198" s="285">
        <f t="array" ref="AU198">(GEOMEAN(CM42:CM118/100+1)^12-1)*100</f>
        <v>6.743914476479107</v>
      </c>
      <c r="AV198" s="299"/>
      <c r="AW198" s="285">
        <f t="array" ref="AW198">(GEOMEAN(CM50:CM101/100+1)^12-1)*100</f>
        <v>7.1003760987726317</v>
      </c>
      <c r="AX198" s="293"/>
      <c r="AY198" s="285">
        <f t="array" ref="AY198">(PRODUCT(CM$41:CM49/100+1)-1)*100</f>
        <v>7.0679995885072566</v>
      </c>
      <c r="AZ198" s="293"/>
      <c r="BA198" s="297">
        <f t="array" ref="BA198">(GEOMEAN(CM$41:CM41/100+1)^12-1)*100</f>
        <v>4.2082505008049775</v>
      </c>
      <c r="BB198" s="284"/>
      <c r="BC198" s="297">
        <f t="array" ref="BC198">(PRODUCT(CR$158:CR168/100+1)-1)*100</f>
        <v>-0.2484122890982432</v>
      </c>
      <c r="BD198" s="308"/>
      <c r="BE198" s="297">
        <f t="array" ref="BE198">(GEOMEAN(CT111:CT147/100+1)^12-1)*100</f>
        <v>10.167256546905424</v>
      </c>
      <c r="BF198" s="9"/>
    </row>
    <row r="199" spans="1:104" ht="13.5" thickBot="1" x14ac:dyDescent="0.25">
      <c r="A199" s="300" t="s">
        <v>223</v>
      </c>
      <c r="B199" s="287"/>
      <c r="C199" s="301">
        <f>(C197-C198)*100</f>
        <v>-24.378332248468084</v>
      </c>
      <c r="D199" s="302"/>
      <c r="E199" s="303">
        <f>(E197-E198)*100</f>
        <v>-184.28012809753369</v>
      </c>
      <c r="F199" s="288"/>
      <c r="G199" s="301">
        <f>(G197-G198)*100</f>
        <v>-46.462630619054934</v>
      </c>
      <c r="H199" s="302"/>
      <c r="I199" s="303">
        <f>(I197-I198)*100</f>
        <v>-322.07387766805198</v>
      </c>
      <c r="J199" s="287"/>
      <c r="K199" s="305">
        <f>(K197-K198)*100</f>
        <v>-297.45911586927627</v>
      </c>
      <c r="L199" s="287"/>
      <c r="M199" s="305">
        <f>100*(M197-M198)</f>
        <v>-13.913447887816766</v>
      </c>
      <c r="N199" s="287"/>
      <c r="O199" s="305">
        <f>100*(O197-O198)</f>
        <v>-65.092669536219816</v>
      </c>
      <c r="P199" s="287"/>
      <c r="Q199" s="301">
        <f>(Q197-Q198)*100</f>
        <v>931.82539843442487</v>
      </c>
      <c r="R199" s="304"/>
      <c r="S199" s="303">
        <f>(S197-S198)*100</f>
        <v>-301.1386527590675</v>
      </c>
      <c r="T199" s="301"/>
      <c r="U199" s="303">
        <f>(U197-U198)*100</f>
        <v>-89.587223903635589</v>
      </c>
      <c r="V199" s="294"/>
      <c r="W199" s="303">
        <f>(W197-W198)*100</f>
        <v>-381.19272120539893</v>
      </c>
      <c r="X199" s="304"/>
      <c r="Y199" s="301">
        <f>(Y197-Y198)*100</f>
        <v>-207.42966668281238</v>
      </c>
      <c r="Z199" s="962"/>
      <c r="AA199" s="301">
        <f>(AA197-AA198)*100</f>
        <v>-515.1806630074218</v>
      </c>
      <c r="AB199" s="298"/>
      <c r="AC199" s="305">
        <f>(AC197-AC198)*100</f>
        <v>-264.54934366250791</v>
      </c>
      <c r="AD199" s="1001"/>
      <c r="AE199" s="305">
        <f>100*(AE197-AE198)</f>
        <v>45.700653223792465</v>
      </c>
      <c r="AF199" s="295"/>
      <c r="AG199" s="303">
        <f>(AG197-AG198)*100</f>
        <v>507.06685739585265</v>
      </c>
      <c r="AH199" s="301"/>
      <c r="AI199" s="303">
        <f>(AI197-AI198)*100</f>
        <v>-316.30717123946931</v>
      </c>
      <c r="AJ199" s="294"/>
      <c r="AK199" s="305">
        <f>(AK197-AK198)*100</f>
        <v>102.92302481341275</v>
      </c>
      <c r="AL199" s="294"/>
      <c r="AM199" s="303">
        <f>(AM197-AM198)*100</f>
        <v>-133.74083446717754</v>
      </c>
      <c r="AN199" s="304"/>
      <c r="AO199" s="303">
        <f>(AO197-AO198)*100</f>
        <v>91.950908846711869</v>
      </c>
      <c r="AP199" s="304"/>
      <c r="AQ199" s="303">
        <f>(AQ197-AQ198)*100</f>
        <v>424.07411039951273</v>
      </c>
      <c r="AR199" s="304"/>
      <c r="AS199" s="301">
        <f>(AS197-AS198)*100</f>
        <v>2.309783306282398</v>
      </c>
      <c r="AT199" s="962"/>
      <c r="AU199" s="303">
        <f>(AU197-AU198)*100</f>
        <v>-6.8635928837146309</v>
      </c>
      <c r="AV199" s="294"/>
      <c r="AW199" s="303">
        <f>(AW197-AW198)*100</f>
        <v>-18.753340197374957</v>
      </c>
      <c r="AX199" s="304"/>
      <c r="AY199" s="303">
        <f>(AY197-AY198)*100</f>
        <v>-118.8886419799462</v>
      </c>
      <c r="AZ199" s="304"/>
      <c r="BA199" s="305">
        <f>(BA197-BA198)*100</f>
        <v>45.221164458679738</v>
      </c>
      <c r="BB199" s="301"/>
      <c r="BC199" s="305">
        <f>(BC197-BC198)*100</f>
        <v>-540.13064242670043</v>
      </c>
      <c r="BD199" s="744"/>
      <c r="BE199" s="305">
        <f>(BE197-BE198)*100</f>
        <v>-103.33208577310913</v>
      </c>
    </row>
    <row r="200" spans="1:104" x14ac:dyDescent="0.2">
      <c r="R200" s="63"/>
      <c r="AJ200" s="57"/>
      <c r="AW200" s="306"/>
      <c r="AX200" s="307"/>
      <c r="AY200" s="306"/>
      <c r="AZ200" s="307"/>
      <c r="BA200" s="306"/>
      <c r="BB200" s="306"/>
      <c r="BC200" s="306"/>
      <c r="BD200" s="306"/>
      <c r="BE200" s="306"/>
      <c r="BF200" s="306"/>
      <c r="BG200" s="307"/>
      <c r="BH200" s="307"/>
      <c r="BI200" s="307"/>
    </row>
    <row r="201" spans="1:104" x14ac:dyDescent="0.2">
      <c r="A201" s="312" t="s">
        <v>238</v>
      </c>
      <c r="R201" s="63"/>
      <c r="AW201" s="306"/>
      <c r="AX201" s="307"/>
      <c r="AY201" s="306"/>
      <c r="AZ201" s="307"/>
      <c r="BA201" s="306"/>
      <c r="BB201" s="306"/>
      <c r="BC201" s="306"/>
      <c r="BD201" s="306"/>
      <c r="BE201" s="306"/>
      <c r="BF201" s="306"/>
      <c r="BG201" s="307"/>
      <c r="BH201" s="307"/>
      <c r="BI201" s="307"/>
    </row>
    <row r="202" spans="1:104" x14ac:dyDescent="0.2">
      <c r="A202" s="310">
        <v>35826</v>
      </c>
      <c r="R202" s="63"/>
      <c r="AW202" s="306"/>
      <c r="AX202" s="307"/>
      <c r="AY202" s="306"/>
      <c r="AZ202" s="307"/>
      <c r="BA202" s="306"/>
      <c r="BB202" s="306"/>
      <c r="BC202" s="306"/>
      <c r="BD202" s="306"/>
      <c r="BE202" s="306"/>
      <c r="BF202" s="306"/>
      <c r="BG202" s="307"/>
      <c r="BH202" s="307"/>
      <c r="BI202" s="307"/>
    </row>
    <row r="203" spans="1:104" x14ac:dyDescent="0.2">
      <c r="R203" s="63"/>
      <c r="AM203" s="306"/>
      <c r="AO203" s="306"/>
      <c r="AP203" s="306"/>
      <c r="AQ203" s="306"/>
      <c r="AR203" s="306"/>
      <c r="AS203" s="306"/>
      <c r="AT203" s="488"/>
      <c r="AU203" s="954"/>
      <c r="AW203" s="306"/>
      <c r="AX203" s="307"/>
      <c r="AY203" s="306"/>
      <c r="AZ203" s="307"/>
      <c r="BA203" s="306"/>
      <c r="BB203" s="306"/>
      <c r="BC203" s="306"/>
      <c r="BD203" s="306"/>
      <c r="BE203" s="306"/>
      <c r="BF203" s="306"/>
      <c r="BG203" s="307"/>
      <c r="BH203" s="307"/>
      <c r="BI203" s="307"/>
    </row>
    <row r="204" spans="1:104" x14ac:dyDescent="0.2">
      <c r="R204" s="63"/>
      <c r="AM204" s="306"/>
      <c r="AO204" s="306"/>
      <c r="AP204" s="306"/>
      <c r="AQ204" s="306"/>
      <c r="AR204" s="306"/>
      <c r="AS204" s="306"/>
      <c r="AT204" s="488"/>
      <c r="AU204" s="954"/>
    </row>
    <row r="205" spans="1:104" x14ac:dyDescent="0.2">
      <c r="R205" s="63"/>
      <c r="AM205" s="306"/>
      <c r="AO205" s="306"/>
      <c r="AP205" s="306"/>
      <c r="AQ205" s="306"/>
      <c r="AR205" s="306"/>
      <c r="AS205" s="306"/>
      <c r="AT205" s="488"/>
      <c r="AU205" s="954"/>
    </row>
    <row r="206" spans="1:104" x14ac:dyDescent="0.2">
      <c r="R206" s="63"/>
    </row>
    <row r="207" spans="1:104" x14ac:dyDescent="0.2">
      <c r="R207" s="63"/>
    </row>
    <row r="208" spans="1:104" x14ac:dyDescent="0.2">
      <c r="R208" s="63"/>
    </row>
    <row r="209" spans="18:18" x14ac:dyDescent="0.2">
      <c r="R209" s="63"/>
    </row>
    <row r="210" spans="18:18" x14ac:dyDescent="0.2">
      <c r="R210" s="63"/>
    </row>
    <row r="211" spans="18:18" x14ac:dyDescent="0.2">
      <c r="R211" s="63"/>
    </row>
    <row r="212" spans="18:18" x14ac:dyDescent="0.2">
      <c r="R212" s="63"/>
    </row>
    <row r="213" spans="18:18" x14ac:dyDescent="0.2">
      <c r="R213" s="63"/>
    </row>
    <row r="214" spans="18:18" x14ac:dyDescent="0.2">
      <c r="R214" s="63"/>
    </row>
    <row r="215" spans="18:18" x14ac:dyDescent="0.2">
      <c r="R215" s="63"/>
    </row>
    <row r="216" spans="18:18" x14ac:dyDescent="0.2">
      <c r="R216" s="63"/>
    </row>
    <row r="217" spans="18:18" x14ac:dyDescent="0.2">
      <c r="R217" s="58"/>
    </row>
    <row r="218" spans="18:18" x14ac:dyDescent="0.2">
      <c r="R218" s="63"/>
    </row>
    <row r="219" spans="18:18" x14ac:dyDescent="0.2">
      <c r="R219" s="63"/>
    </row>
    <row r="220" spans="18:18" x14ac:dyDescent="0.2">
      <c r="R220" s="63"/>
    </row>
    <row r="221" spans="18:18" x14ac:dyDescent="0.2">
      <c r="R221" s="63"/>
    </row>
  </sheetData>
  <phoneticPr fontId="3" type="noConversion"/>
  <printOptions headings="1" gridLines="1"/>
  <pageMargins left="0.78740157480314965" right="0.78740157480314965" top="0.78740157480314965" bottom="0.78740157480314965" header="0.39370078740157483" footer="0.39370078740157483"/>
  <pageSetup scale="75" orientation="landscape" r:id="rId1"/>
  <headerFooter alignWithMargins="0">
    <oddHeader>&amp;L&amp;A</oddHeader>
  </headerFooter>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L78"/>
  <sheetViews>
    <sheetView topLeftCell="A22" workbookViewId="0">
      <selection activeCell="A23" sqref="A23"/>
    </sheetView>
  </sheetViews>
  <sheetFormatPr defaultRowHeight="12.75" x14ac:dyDescent="0.2"/>
  <cols>
    <col min="1" max="1" width="18.7109375" customWidth="1"/>
    <col min="2" max="5" width="12.7109375" customWidth="1"/>
    <col min="8" max="9" width="10.140625" style="339" customWidth="1"/>
    <col min="10" max="12" width="9.140625" style="339"/>
  </cols>
  <sheetData>
    <row r="1" spans="1:9" ht="15.75" x14ac:dyDescent="0.25">
      <c r="A1" s="368" t="s">
        <v>276</v>
      </c>
    </row>
    <row r="2" spans="1:9" ht="15.75" x14ac:dyDescent="0.25">
      <c r="A2" s="708" t="str">
        <f>'LTD Summary'!AB1</f>
        <v>Period Ending August 31, 2014</v>
      </c>
    </row>
    <row r="3" spans="1:9" x14ac:dyDescent="0.2">
      <c r="A3" s="1005"/>
    </row>
    <row r="5" spans="1:9" ht="13.5" thickBot="1" x14ac:dyDescent="0.25">
      <c r="B5" s="369" t="s">
        <v>35</v>
      </c>
      <c r="C5" s="369" t="s">
        <v>36</v>
      </c>
      <c r="D5" s="369" t="s">
        <v>45</v>
      </c>
      <c r="E5" s="369" t="s">
        <v>249</v>
      </c>
    </row>
    <row r="7" spans="1:9" x14ac:dyDescent="0.2">
      <c r="A7" t="s">
        <v>170</v>
      </c>
      <c r="B7" s="576">
        <f t="array" ref="B7">(GEOMEAN('Return Summary'!AH129:AS129/100+1)^12-1)*100</f>
        <v>0</v>
      </c>
      <c r="C7" s="576">
        <f t="array" ref="C7">(GEOMEAN('Return Summary'!AH129:BQ129/100+1)^12-1)*100</f>
        <v>0</v>
      </c>
      <c r="D7" s="350">
        <f t="array" ref="D7">(GEOMEAN('Return Summary'!AH129:CO129/100+1)^12-1)*100</f>
        <v>0</v>
      </c>
      <c r="E7" s="350">
        <f t="array" ref="E7">(GEOMEAN('Return Summary'!AH129:EW129/100+1)^12-1)*100</f>
        <v>0</v>
      </c>
    </row>
    <row r="8" spans="1:9" x14ac:dyDescent="0.2">
      <c r="B8" s="370"/>
      <c r="C8" s="370"/>
      <c r="D8" s="370"/>
      <c r="E8" s="370"/>
    </row>
    <row r="10" spans="1:9" x14ac:dyDescent="0.2">
      <c r="A10" s="1502" t="s">
        <v>288</v>
      </c>
      <c r="B10" s="1503"/>
      <c r="C10" s="1503"/>
      <c r="D10" s="1503"/>
      <c r="E10" s="1503"/>
      <c r="F10" s="1503"/>
      <c r="G10" s="1503"/>
      <c r="H10" s="1067" t="str">
        <f>IF(E12&gt;0,"YES","NO")</f>
        <v>NO</v>
      </c>
    </row>
    <row r="11" spans="1:9" x14ac:dyDescent="0.2">
      <c r="A11" s="52"/>
      <c r="B11" s="52"/>
      <c r="C11" s="52"/>
      <c r="D11" s="52"/>
      <c r="E11" s="52"/>
      <c r="F11" s="52"/>
      <c r="G11" s="52"/>
    </row>
    <row r="12" spans="1:9" x14ac:dyDescent="0.2">
      <c r="A12" s="372" t="s">
        <v>277</v>
      </c>
      <c r="B12" s="371" t="s">
        <v>34</v>
      </c>
      <c r="C12" s="371" t="s">
        <v>34</v>
      </c>
      <c r="D12" s="371" t="s">
        <v>34</v>
      </c>
      <c r="E12" s="750">
        <f>E7-8</f>
        <v>-8</v>
      </c>
      <c r="F12" s="52"/>
      <c r="G12" s="52"/>
    </row>
    <row r="13" spans="1:9" x14ac:dyDescent="0.2">
      <c r="A13" s="373"/>
      <c r="B13" s="370"/>
      <c r="C13" s="370"/>
      <c r="D13" s="370"/>
      <c r="E13" s="370"/>
    </row>
    <row r="14" spans="1:9" x14ac:dyDescent="0.2">
      <c r="H14" s="713" t="s">
        <v>35</v>
      </c>
      <c r="I14" s="714" t="s">
        <v>322</v>
      </c>
    </row>
    <row r="15" spans="1:9" ht="25.5" customHeight="1" x14ac:dyDescent="0.2">
      <c r="A15" s="1504" t="s">
        <v>339</v>
      </c>
      <c r="B15" s="1505"/>
      <c r="C15" s="1505"/>
      <c r="D15" s="1505"/>
      <c r="E15" s="1505"/>
      <c r="F15" s="1505"/>
      <c r="G15" s="1505"/>
      <c r="H15" s="715" t="str">
        <f>IF(B18&gt;0,"YES","NO")</f>
        <v>YES</v>
      </c>
      <c r="I15" s="1067" t="str">
        <f>IF(C18&gt;0,"YES","NO")</f>
        <v>NO</v>
      </c>
    </row>
    <row r="17" spans="1:9" x14ac:dyDescent="0.2">
      <c r="A17" t="s">
        <v>278</v>
      </c>
      <c r="B17" s="1277">
        <v>-18.399999999999999</v>
      </c>
      <c r="C17" s="1276" t="str">
        <f>'Return Summary'!K136</f>
        <v>---</v>
      </c>
      <c r="D17" s="370" t="s">
        <v>34</v>
      </c>
      <c r="E17" s="370" t="s">
        <v>34</v>
      </c>
    </row>
    <row r="18" spans="1:9" x14ac:dyDescent="0.2">
      <c r="A18" t="s">
        <v>223</v>
      </c>
      <c r="B18" s="1275">
        <f>B7-B17</f>
        <v>18.399999999999999</v>
      </c>
      <c r="C18" s="1068">
        <v>-0.8</v>
      </c>
      <c r="D18" s="370" t="s">
        <v>34</v>
      </c>
      <c r="E18" s="370" t="s">
        <v>34</v>
      </c>
    </row>
    <row r="19" spans="1:9" x14ac:dyDescent="0.2">
      <c r="B19" s="370"/>
      <c r="C19" s="370"/>
      <c r="D19" s="370"/>
      <c r="E19" s="370"/>
    </row>
    <row r="20" spans="1:9" x14ac:dyDescent="0.2">
      <c r="B20" s="2"/>
      <c r="C20" s="2"/>
      <c r="D20" s="2"/>
      <c r="H20" s="713" t="s">
        <v>323</v>
      </c>
    </row>
    <row r="21" spans="1:9" ht="25.5" customHeight="1" x14ac:dyDescent="0.2">
      <c r="A21" s="1500" t="s">
        <v>289</v>
      </c>
      <c r="B21" s="1506"/>
      <c r="C21" s="1506"/>
      <c r="D21" s="1506"/>
      <c r="E21" s="1506"/>
      <c r="F21" s="1506"/>
      <c r="G21" s="1506"/>
      <c r="H21" s="713" t="str">
        <f>IF(B24&gt;0,"YES","NO")</f>
        <v>YES</v>
      </c>
    </row>
    <row r="22" spans="1:9" x14ac:dyDescent="0.2">
      <c r="B22" s="2"/>
      <c r="C22" s="2"/>
      <c r="D22" s="2"/>
    </row>
    <row r="23" spans="1:9" x14ac:dyDescent="0.2">
      <c r="A23" t="s">
        <v>279</v>
      </c>
      <c r="B23" s="370" t="s">
        <v>34</v>
      </c>
      <c r="C23" s="370" t="s">
        <v>34</v>
      </c>
      <c r="D23" s="350">
        <f t="array" ref="D23">(GEOMEAN(Index_Returns!BY354:BY413/100+1)^12-1)*100</f>
        <v>7.8797772805435651</v>
      </c>
      <c r="E23" s="370" t="s">
        <v>34</v>
      </c>
    </row>
    <row r="24" spans="1:9" x14ac:dyDescent="0.2">
      <c r="A24" t="s">
        <v>223</v>
      </c>
      <c r="B24" s="370" t="s">
        <v>34</v>
      </c>
      <c r="C24" s="370" t="s">
        <v>34</v>
      </c>
      <c r="D24" s="751">
        <f>D7-D23</f>
        <v>-7.8797772805435651</v>
      </c>
      <c r="E24" s="370" t="s">
        <v>34</v>
      </c>
    </row>
    <row r="25" spans="1:9" x14ac:dyDescent="0.2">
      <c r="B25" s="370"/>
      <c r="C25" s="370"/>
      <c r="D25" s="370"/>
      <c r="E25" s="370"/>
    </row>
    <row r="26" spans="1:9" x14ac:dyDescent="0.2">
      <c r="H26" s="716"/>
      <c r="I26" s="716"/>
    </row>
    <row r="27" spans="1:9" ht="25.5" customHeight="1" x14ac:dyDescent="0.25">
      <c r="A27" s="1504" t="s">
        <v>290</v>
      </c>
      <c r="B27" s="1505"/>
      <c r="C27" s="1505"/>
      <c r="D27" s="1505"/>
      <c r="E27" s="1505"/>
      <c r="F27" s="1505"/>
      <c r="G27" s="1505"/>
      <c r="H27" s="726"/>
      <c r="I27" s="727"/>
    </row>
    <row r="28" spans="1:9" ht="12.75" customHeight="1" x14ac:dyDescent="0.25">
      <c r="A28" s="724"/>
      <c r="B28" s="725"/>
      <c r="C28" s="725"/>
      <c r="D28" s="725"/>
      <c r="E28" s="725"/>
      <c r="F28" s="725"/>
      <c r="G28" s="725"/>
      <c r="H28" s="726"/>
      <c r="I28" s="727"/>
    </row>
    <row r="29" spans="1:9" ht="12.75" customHeight="1" x14ac:dyDescent="0.25">
      <c r="A29" t="s">
        <v>283</v>
      </c>
      <c r="B29" s="376">
        <v>6</v>
      </c>
      <c r="C29" s="376">
        <v>4</v>
      </c>
      <c r="D29" s="374" t="s">
        <v>34</v>
      </c>
      <c r="E29" s="374" t="s">
        <v>34</v>
      </c>
      <c r="F29" s="725"/>
      <c r="G29" s="725"/>
      <c r="H29" s="726"/>
      <c r="I29" s="727"/>
    </row>
    <row r="30" spans="1:9" ht="12.75" customHeight="1" x14ac:dyDescent="0.25">
      <c r="A30" t="s">
        <v>284</v>
      </c>
      <c r="B30" s="376">
        <v>1</v>
      </c>
      <c r="C30" s="376">
        <v>3</v>
      </c>
      <c r="D30" s="374" t="s">
        <v>34</v>
      </c>
      <c r="E30" s="374" t="s">
        <v>34</v>
      </c>
      <c r="F30" s="725"/>
      <c r="G30" s="725"/>
      <c r="H30" s="726"/>
      <c r="I30" s="727"/>
    </row>
    <row r="31" spans="1:9" ht="12.75" customHeight="1" x14ac:dyDescent="0.25">
      <c r="A31" s="719" t="s">
        <v>287</v>
      </c>
      <c r="B31" s="720">
        <f>B29/(B30+B29)</f>
        <v>0.8571428571428571</v>
      </c>
      <c r="C31" s="720">
        <f>C29/(C30+C29)</f>
        <v>0.5714285714285714</v>
      </c>
      <c r="D31" s="721" t="s">
        <v>34</v>
      </c>
      <c r="E31" s="722" t="s">
        <v>34</v>
      </c>
      <c r="F31" s="725"/>
      <c r="G31" s="725"/>
      <c r="H31" s="726"/>
      <c r="I31" s="727"/>
    </row>
    <row r="32" spans="1:9" ht="12.75" customHeight="1" x14ac:dyDescent="0.25">
      <c r="A32" s="724"/>
      <c r="B32" s="752"/>
      <c r="C32" s="752"/>
      <c r="D32" s="725"/>
      <c r="E32" s="725"/>
      <c r="F32" s="725"/>
      <c r="G32" s="725"/>
      <c r="H32" s="726"/>
      <c r="I32" s="727"/>
    </row>
    <row r="33" spans="1:11" x14ac:dyDescent="0.2">
      <c r="A33" t="s">
        <v>86</v>
      </c>
      <c r="B33" s="772">
        <f t="array" ref="B33">(PRODUCT('Return Summary'!AH28:AS28/100+1)-1)*100</f>
        <v>0</v>
      </c>
      <c r="C33" s="772">
        <f t="array" ref="C33">(GEOMEAN('Return Summary'!AH28:BQ28/100+1)^12-1)*100</f>
        <v>0</v>
      </c>
      <c r="D33" s="350" t="s">
        <v>34</v>
      </c>
      <c r="E33" s="350" t="s">
        <v>34</v>
      </c>
      <c r="H33"/>
      <c r="I33" s="717"/>
    </row>
    <row r="34" spans="1:11" x14ac:dyDescent="0.2">
      <c r="A34" t="s">
        <v>4</v>
      </c>
      <c r="B34" s="773">
        <f t="array" ref="B34">(PRODUCT('Return Summary'!AH14:AS14/100+1)-1)*100</f>
        <v>25.24563524641874</v>
      </c>
      <c r="C34" s="773">
        <f t="array" ref="C34">(GEOMEAN('Return Summary'!AH14:BQ14/100+1)^12-1)*100</f>
        <v>20.606136286817179</v>
      </c>
      <c r="D34" s="493" t="s">
        <v>34</v>
      </c>
      <c r="E34" s="493" t="s">
        <v>34</v>
      </c>
      <c r="H34"/>
      <c r="I34" s="717"/>
    </row>
    <row r="35" spans="1:11" x14ac:dyDescent="0.2">
      <c r="A35" s="21" t="s">
        <v>223</v>
      </c>
      <c r="B35" s="772">
        <f>B33-B34</f>
        <v>-25.24563524641874</v>
      </c>
      <c r="C35" s="772">
        <f>C33-C34</f>
        <v>-20.606136286817179</v>
      </c>
      <c r="D35" s="370" t="s">
        <v>34</v>
      </c>
      <c r="E35" s="370" t="s">
        <v>34</v>
      </c>
      <c r="H35" s="718"/>
      <c r="I35" s="718"/>
      <c r="J35" s="718">
        <f>IF(B35&lt;0,1,0)</f>
        <v>1</v>
      </c>
      <c r="K35" s="718">
        <f>IF(C35&lt;0,1,0)</f>
        <v>1</v>
      </c>
    </row>
    <row r="36" spans="1:11" x14ac:dyDescent="0.2">
      <c r="B36" s="772"/>
      <c r="C36" s="772"/>
      <c r="H36" s="718"/>
      <c r="I36" s="718"/>
      <c r="J36" s="718"/>
      <c r="K36" s="718"/>
    </row>
    <row r="37" spans="1:11" x14ac:dyDescent="0.2">
      <c r="A37" t="s">
        <v>94</v>
      </c>
      <c r="B37" s="772">
        <f t="array" ref="B37">(PRODUCT('Return Summary'!AH42:AS42/100+1)-1)*100</f>
        <v>0</v>
      </c>
      <c r="C37" s="772">
        <f t="array" ref="C37">(GEOMEAN('Return Summary'!AH42:BQ42/100+1)^12-1)*100</f>
        <v>0</v>
      </c>
      <c r="D37" s="350" t="s">
        <v>34</v>
      </c>
      <c r="E37" s="350" t="s">
        <v>34</v>
      </c>
      <c r="H37" s="718"/>
      <c r="I37" s="718"/>
      <c r="J37" s="718"/>
      <c r="K37" s="718"/>
    </row>
    <row r="38" spans="1:11" x14ac:dyDescent="0.2">
      <c r="A38" t="s">
        <v>197</v>
      </c>
      <c r="B38" s="773">
        <f t="array" ref="B38">(PRODUCT('Return Summary'!AH33:AS33/100+1)-1)*100</f>
        <v>23.248252828378348</v>
      </c>
      <c r="C38" s="773">
        <f t="array" ref="C38">(GEOMEAN('Return Summary'!AH33:BQ33/100+1)^12-1)*100</f>
        <v>19.791725100591108</v>
      </c>
      <c r="D38" s="493" t="s">
        <v>34</v>
      </c>
      <c r="E38" s="493" t="s">
        <v>34</v>
      </c>
      <c r="H38" s="1176"/>
      <c r="I38" s="718">
        <f>IF(C38&gt;0,1,0)</f>
        <v>1</v>
      </c>
      <c r="J38" s="718">
        <f>IF(B38&lt;0,1,0)</f>
        <v>0</v>
      </c>
      <c r="K38" s="718">
        <f>IF(C38&lt;0,1,0)</f>
        <v>0</v>
      </c>
    </row>
    <row r="39" spans="1:11" x14ac:dyDescent="0.2">
      <c r="A39" s="21" t="s">
        <v>223</v>
      </c>
      <c r="B39" s="772">
        <f>B37-B38</f>
        <v>-23.248252828378348</v>
      </c>
      <c r="C39" s="772">
        <f>C37-C38</f>
        <v>-19.791725100591108</v>
      </c>
      <c r="D39" s="370" t="s">
        <v>34</v>
      </c>
      <c r="E39" s="370" t="s">
        <v>34</v>
      </c>
      <c r="H39" s="718"/>
      <c r="I39" s="718"/>
      <c r="J39" s="718"/>
      <c r="K39" s="718"/>
    </row>
    <row r="40" spans="1:11" x14ac:dyDescent="0.2">
      <c r="B40" s="772"/>
      <c r="C40" s="772"/>
      <c r="H40" s="718"/>
      <c r="I40" s="718"/>
      <c r="J40" s="718"/>
      <c r="K40" s="718"/>
    </row>
    <row r="41" spans="1:11" x14ac:dyDescent="0.2">
      <c r="A41" t="s">
        <v>98</v>
      </c>
      <c r="B41" s="772">
        <f t="array" ref="B41">(PRODUCT('Return Summary'!AH56:AS56/100+1)-1)*100</f>
        <v>0</v>
      </c>
      <c r="C41" s="772">
        <f t="array" ref="C41">(GEOMEAN('Return Summary'!AH56:BQ56/100+1)^12-1)*100</f>
        <v>0</v>
      </c>
      <c r="D41" s="350" t="s">
        <v>34</v>
      </c>
      <c r="E41" s="350" t="s">
        <v>34</v>
      </c>
      <c r="H41" s="718"/>
      <c r="I41" s="718"/>
      <c r="J41" s="718"/>
      <c r="K41" s="718"/>
    </row>
    <row r="42" spans="1:11" x14ac:dyDescent="0.2">
      <c r="A42" t="s">
        <v>345</v>
      </c>
      <c r="B42" s="773">
        <f t="array" ref="B42">(GEOMEAN(Index_Returns!N399:N410/100+1)^12-1)*100</f>
        <v>-25.314188030118643</v>
      </c>
      <c r="C42" s="773">
        <f t="array" ref="C42">(GEOMEAN(Index_Returns!N375:N410/100+1)^12-1)*100</f>
        <v>-8.8718657119605133</v>
      </c>
      <c r="D42" s="493" t="s">
        <v>34</v>
      </c>
      <c r="E42" s="493" t="s">
        <v>34</v>
      </c>
      <c r="H42" s="718"/>
      <c r="I42" s="718"/>
      <c r="J42" s="718"/>
      <c r="K42" s="718"/>
    </row>
    <row r="43" spans="1:11" x14ac:dyDescent="0.2">
      <c r="A43" s="21" t="s">
        <v>223</v>
      </c>
      <c r="B43" s="772">
        <f>B41-B42</f>
        <v>25.314188030118643</v>
      </c>
      <c r="C43" s="772">
        <f>C41-C42</f>
        <v>8.8718657119605133</v>
      </c>
      <c r="D43" s="370" t="s">
        <v>34</v>
      </c>
      <c r="E43" s="370" t="s">
        <v>34</v>
      </c>
      <c r="H43" s="718">
        <f>IF(B43&gt;0,1,0)</f>
        <v>1</v>
      </c>
      <c r="I43" s="718">
        <f>IF(C43&gt;0,1,0)</f>
        <v>1</v>
      </c>
      <c r="J43" s="718">
        <f>IF(B43&lt;0,1,0)</f>
        <v>0</v>
      </c>
      <c r="K43" s="718">
        <f>IF(C43&lt;0,1,0)</f>
        <v>0</v>
      </c>
    </row>
    <row r="44" spans="1:11" x14ac:dyDescent="0.2">
      <c r="B44" s="772"/>
      <c r="C44" s="772"/>
      <c r="H44" s="718"/>
      <c r="I44" s="718"/>
      <c r="J44" s="718"/>
      <c r="K44" s="718"/>
    </row>
    <row r="45" spans="1:11" x14ac:dyDescent="0.2">
      <c r="A45" t="s">
        <v>245</v>
      </c>
      <c r="B45" s="772">
        <f t="array" ref="B45">(PRODUCT('Return Summary'!AH86:AS86/100+1)-1)*100</f>
        <v>0</v>
      </c>
      <c r="C45" s="772">
        <f t="array" ref="C45">(GEOMEAN('Return Summary'!AH86:BQ86/100+1)^12-1)*100</f>
        <v>0</v>
      </c>
      <c r="D45" s="350" t="s">
        <v>34</v>
      </c>
      <c r="E45" s="350" t="s">
        <v>34</v>
      </c>
      <c r="H45" s="718"/>
      <c r="I45" s="718"/>
      <c r="J45" s="718"/>
      <c r="K45" s="718"/>
    </row>
    <row r="46" spans="1:11" x14ac:dyDescent="0.2">
      <c r="A46" t="s">
        <v>280</v>
      </c>
      <c r="B46" s="773" t="e">
        <f t="array" ref="B46">(PRODUCT('Return Summary'!#REF!/100+1)-1)*100</f>
        <v>#REF!</v>
      </c>
      <c r="C46" s="773" t="e">
        <f t="array" ref="C46">(GEOMEAN('Return Summary'!#REF!/100+1)^12-1)*100</f>
        <v>#REF!</v>
      </c>
      <c r="D46" s="493" t="s">
        <v>34</v>
      </c>
      <c r="E46" s="493" t="s">
        <v>34</v>
      </c>
      <c r="H46" s="718"/>
      <c r="I46" s="718"/>
      <c r="J46" s="718"/>
      <c r="K46" s="718"/>
    </row>
    <row r="47" spans="1:11" x14ac:dyDescent="0.2">
      <c r="A47" s="21" t="s">
        <v>223</v>
      </c>
      <c r="B47" s="772" t="e">
        <f>B45-B46</f>
        <v>#REF!</v>
      </c>
      <c r="C47" s="772" t="e">
        <f>C45-C46</f>
        <v>#REF!</v>
      </c>
      <c r="D47" s="370" t="s">
        <v>34</v>
      </c>
      <c r="E47" s="370" t="s">
        <v>34</v>
      </c>
      <c r="H47" s="718" t="e">
        <f>IF(B47&gt;0,1,0)</f>
        <v>#REF!</v>
      </c>
      <c r="I47" s="718" t="e">
        <f>IF(C47&gt;0,1,0)</f>
        <v>#REF!</v>
      </c>
      <c r="J47" s="718" t="e">
        <f>IF(B47&lt;0,1,0)</f>
        <v>#REF!</v>
      </c>
      <c r="K47" s="718" t="e">
        <f>IF(C47&lt;0,1,0)</f>
        <v>#REF!</v>
      </c>
    </row>
    <row r="48" spans="1:11" x14ac:dyDescent="0.2">
      <c r="B48" s="772"/>
      <c r="C48" s="772"/>
      <c r="H48" s="718"/>
      <c r="I48" s="718"/>
      <c r="J48" s="718"/>
      <c r="K48" s="718"/>
    </row>
    <row r="49" spans="1:11" x14ac:dyDescent="0.2">
      <c r="A49" t="s">
        <v>103</v>
      </c>
      <c r="B49" s="772">
        <f t="array" ref="B49">(PRODUCT('Return Summary'!AH111:AS111/100+1)-1)*100</f>
        <v>0</v>
      </c>
      <c r="C49" s="772">
        <f t="array" ref="C49">(GEOMEAN('Return Summary'!AH111:BQ111/100+1)^12-1)*100</f>
        <v>0</v>
      </c>
      <c r="D49" s="350" t="s">
        <v>34</v>
      </c>
      <c r="E49" s="350" t="s">
        <v>34</v>
      </c>
      <c r="H49" s="718"/>
      <c r="I49" s="718"/>
      <c r="J49" s="718"/>
      <c r="K49" s="718"/>
    </row>
    <row r="50" spans="1:11" x14ac:dyDescent="0.2">
      <c r="A50" t="s">
        <v>281</v>
      </c>
      <c r="B50" s="773">
        <f t="array" ref="B50">(PRODUCT('Return Summary'!AH96:AS96/100+1)-1)*100</f>
        <v>5.6573681834648948</v>
      </c>
      <c r="C50" s="773">
        <f t="array" ref="C50">(GEOMEAN('Return Summary'!AH96:BQ96/100+1)^12-1)*100</f>
        <v>2.9148442211814896</v>
      </c>
      <c r="D50" s="493" t="s">
        <v>34</v>
      </c>
      <c r="E50" s="493" t="s">
        <v>34</v>
      </c>
      <c r="H50" s="718"/>
      <c r="I50" s="718"/>
      <c r="J50" s="718"/>
      <c r="K50" s="718"/>
    </row>
    <row r="51" spans="1:11" x14ac:dyDescent="0.2">
      <c r="A51" s="21" t="s">
        <v>223</v>
      </c>
      <c r="B51" s="772">
        <f>B49-B50</f>
        <v>-5.6573681834648948</v>
      </c>
      <c r="C51" s="772">
        <f>C49-C50</f>
        <v>-2.9148442211814896</v>
      </c>
      <c r="D51" s="370" t="s">
        <v>34</v>
      </c>
      <c r="E51" s="370" t="s">
        <v>34</v>
      </c>
      <c r="H51" s="718">
        <f>IF(B51&gt;0,1,0)</f>
        <v>0</v>
      </c>
      <c r="I51" s="718">
        <f>IF(C51&gt;0,1,0)</f>
        <v>0</v>
      </c>
      <c r="J51" s="718">
        <f>IF(B51&lt;0,1,0)</f>
        <v>1</v>
      </c>
      <c r="K51" s="718">
        <f>IF(C51&lt;0,1,0)</f>
        <v>1</v>
      </c>
    </row>
    <row r="52" spans="1:11" x14ac:dyDescent="0.2">
      <c r="B52" s="772"/>
      <c r="C52" s="772"/>
      <c r="H52" s="718"/>
      <c r="I52" s="718"/>
      <c r="J52" s="718"/>
      <c r="K52" s="718"/>
    </row>
    <row r="53" spans="1:11" x14ac:dyDescent="0.2">
      <c r="A53" t="s">
        <v>71</v>
      </c>
      <c r="B53" s="772">
        <f t="array" ref="B53">(PRODUCT('Return Summary'!AH127:AS127/100+1)-1)*100</f>
        <v>0</v>
      </c>
      <c r="C53" s="774">
        <f t="array" ref="C53">(GEOMEAN('Return Summary'!AH127:BQ127/100+1)^12-1)*100</f>
        <v>0</v>
      </c>
      <c r="D53" s="350" t="s">
        <v>34</v>
      </c>
      <c r="E53" s="350" t="s">
        <v>34</v>
      </c>
      <c r="H53" s="718"/>
      <c r="I53" s="718"/>
      <c r="J53" s="718"/>
      <c r="K53" s="718"/>
    </row>
    <row r="54" spans="1:11" x14ac:dyDescent="0.2">
      <c r="A54" t="s">
        <v>282</v>
      </c>
      <c r="B54" s="773">
        <f t="array" ref="B54">(PRODUCT('Return Summary'!AH123:AS123/100+1)-1)*100</f>
        <v>16.264485538209271</v>
      </c>
      <c r="C54" s="775">
        <f>'Return Summary'!K123</f>
        <v>12.835227756938927</v>
      </c>
      <c r="D54" s="493" t="s">
        <v>34</v>
      </c>
      <c r="E54" s="493" t="s">
        <v>34</v>
      </c>
      <c r="H54" s="718"/>
      <c r="I54" s="718"/>
      <c r="J54" s="718"/>
      <c r="K54" s="718"/>
    </row>
    <row r="55" spans="1:11" x14ac:dyDescent="0.2">
      <c r="A55" s="21" t="s">
        <v>223</v>
      </c>
      <c r="B55" s="772">
        <f>B53-B54</f>
        <v>-16.264485538209271</v>
      </c>
      <c r="C55" s="772">
        <f>C53-C54</f>
        <v>-12.835227756938927</v>
      </c>
      <c r="D55" s="370" t="s">
        <v>34</v>
      </c>
      <c r="E55" s="370" t="s">
        <v>34</v>
      </c>
      <c r="H55" s="718">
        <f>IF(B55&gt;0,1,0)</f>
        <v>0</v>
      </c>
      <c r="I55" s="718"/>
      <c r="J55" s="718">
        <f>IF(B55&lt;0,1,0)</f>
        <v>1</v>
      </c>
      <c r="K55" s="718"/>
    </row>
    <row r="56" spans="1:11" x14ac:dyDescent="0.2">
      <c r="B56" s="325"/>
      <c r="C56" s="325"/>
      <c r="D56" s="375"/>
    </row>
    <row r="57" spans="1:11" x14ac:dyDescent="0.2">
      <c r="A57" t="s">
        <v>266</v>
      </c>
      <c r="B57" s="772">
        <v>-36.200000000000003</v>
      </c>
      <c r="C57" s="774">
        <v>-10.5</v>
      </c>
      <c r="D57" s="350" t="s">
        <v>34</v>
      </c>
      <c r="E57" s="350" t="s">
        <v>34</v>
      </c>
      <c r="F57" s="38"/>
      <c r="G57" s="38"/>
      <c r="H57" s="716"/>
      <c r="I57" s="716"/>
      <c r="J57" s="716"/>
      <c r="K57" s="716"/>
    </row>
    <row r="58" spans="1:11" x14ac:dyDescent="0.2">
      <c r="A58" t="s">
        <v>282</v>
      </c>
      <c r="B58" s="773">
        <v>-13.7</v>
      </c>
      <c r="C58" s="794">
        <v>5.2</v>
      </c>
      <c r="D58" s="493" t="s">
        <v>34</v>
      </c>
      <c r="E58" s="493" t="s">
        <v>34</v>
      </c>
    </row>
    <row r="59" spans="1:11" x14ac:dyDescent="0.2">
      <c r="A59" s="21" t="s">
        <v>223</v>
      </c>
      <c r="B59" s="772">
        <f>B57-B58</f>
        <v>-22.500000000000004</v>
      </c>
      <c r="C59" s="774">
        <v>-15.7</v>
      </c>
      <c r="D59" s="370" t="s">
        <v>34</v>
      </c>
      <c r="E59" s="370" t="s">
        <v>34</v>
      </c>
    </row>
    <row r="60" spans="1:11" x14ac:dyDescent="0.2">
      <c r="B60" s="375"/>
      <c r="C60" s="375"/>
      <c r="D60" s="375"/>
    </row>
    <row r="61" spans="1:11" ht="25.5" customHeight="1" x14ac:dyDescent="0.2">
      <c r="A61" s="1500" t="s">
        <v>291</v>
      </c>
      <c r="B61" s="1501"/>
      <c r="C61" s="1501"/>
      <c r="D61" s="1501"/>
      <c r="E61" s="1501"/>
      <c r="F61" s="1501"/>
      <c r="G61" s="1501"/>
      <c r="H61" s="706"/>
      <c r="I61" s="706"/>
    </row>
    <row r="62" spans="1:11" x14ac:dyDescent="0.2">
      <c r="B62" s="375"/>
      <c r="C62" s="375"/>
      <c r="D62" s="375"/>
    </row>
    <row r="63" spans="1:11" x14ac:dyDescent="0.2">
      <c r="A63" t="s">
        <v>283</v>
      </c>
      <c r="B63" s="776">
        <v>17</v>
      </c>
      <c r="C63" s="776">
        <v>17</v>
      </c>
      <c r="D63" s="374" t="s">
        <v>34</v>
      </c>
      <c r="E63" s="374" t="s">
        <v>34</v>
      </c>
    </row>
    <row r="64" spans="1:11" x14ac:dyDescent="0.2">
      <c r="A64" t="s">
        <v>284</v>
      </c>
      <c r="B64" s="776">
        <v>18</v>
      </c>
      <c r="C64" s="776">
        <v>3</v>
      </c>
      <c r="D64" s="374" t="s">
        <v>34</v>
      </c>
      <c r="E64" s="374" t="s">
        <v>34</v>
      </c>
    </row>
    <row r="65" spans="1:7" x14ac:dyDescent="0.2">
      <c r="A65" s="719" t="s">
        <v>287</v>
      </c>
      <c r="B65" s="720">
        <f>B63/(B64+B63)</f>
        <v>0.48571428571428571</v>
      </c>
      <c r="C65" s="720">
        <f>C63/(C64+C63)</f>
        <v>0.85</v>
      </c>
      <c r="D65" s="721" t="s">
        <v>34</v>
      </c>
      <c r="E65" s="722" t="s">
        <v>34</v>
      </c>
    </row>
    <row r="66" spans="1:7" x14ac:dyDescent="0.2">
      <c r="B66" s="375"/>
      <c r="C66" s="375"/>
      <c r="D66" s="375"/>
    </row>
    <row r="67" spans="1:7" x14ac:dyDescent="0.2">
      <c r="A67" s="495" t="s">
        <v>285</v>
      </c>
      <c r="B67" s="494"/>
      <c r="C67" s="494"/>
      <c r="D67" s="494"/>
      <c r="E67" s="221"/>
      <c r="F67" s="221"/>
      <c r="G67" s="221"/>
    </row>
    <row r="68" spans="1:7" x14ac:dyDescent="0.2">
      <c r="B68" s="375"/>
      <c r="C68" s="375"/>
      <c r="D68" s="375"/>
    </row>
    <row r="69" spans="1:7" x14ac:dyDescent="0.2">
      <c r="A69" s="723" t="s">
        <v>286</v>
      </c>
      <c r="C69" s="375"/>
      <c r="D69" s="375"/>
    </row>
    <row r="70" spans="1:7" x14ac:dyDescent="0.2">
      <c r="B70" s="375"/>
      <c r="C70" s="375"/>
      <c r="D70" s="375"/>
    </row>
    <row r="71" spans="1:7" x14ac:dyDescent="0.2">
      <c r="B71" s="375"/>
      <c r="C71" s="375"/>
      <c r="D71" s="375"/>
    </row>
    <row r="72" spans="1:7" x14ac:dyDescent="0.2">
      <c r="B72" s="375"/>
      <c r="C72" s="375"/>
      <c r="D72" s="375"/>
    </row>
    <row r="73" spans="1:7" x14ac:dyDescent="0.2">
      <c r="B73" s="375"/>
      <c r="C73" s="375"/>
      <c r="D73" s="375"/>
    </row>
    <row r="74" spans="1:7" x14ac:dyDescent="0.2">
      <c r="B74" s="375"/>
      <c r="C74" s="375"/>
      <c r="D74" s="375"/>
    </row>
    <row r="75" spans="1:7" x14ac:dyDescent="0.2">
      <c r="B75" s="375"/>
      <c r="C75" s="375"/>
      <c r="D75" s="375"/>
    </row>
    <row r="76" spans="1:7" x14ac:dyDescent="0.2">
      <c r="B76" s="375"/>
      <c r="C76" s="375"/>
      <c r="D76" s="375"/>
    </row>
    <row r="77" spans="1:7" x14ac:dyDescent="0.2">
      <c r="B77" s="375"/>
      <c r="C77" s="375"/>
      <c r="D77" s="375"/>
    </row>
    <row r="78" spans="1:7" x14ac:dyDescent="0.2">
      <c r="B78" s="375"/>
      <c r="C78" s="375"/>
      <c r="D78" s="375"/>
    </row>
  </sheetData>
  <mergeCells count="5">
    <mergeCell ref="A61:G61"/>
    <mergeCell ref="A10:G10"/>
    <mergeCell ref="A15:G15"/>
    <mergeCell ref="A21:G21"/>
    <mergeCell ref="A27:G27"/>
  </mergeCells>
  <phoneticPr fontId="3" type="noConversion"/>
  <conditionalFormatting sqref="A57:D59 A33:C55">
    <cfRule type="cellIs" dxfId="0" priority="1" stopIfTrue="1" operator="lessThan">
      <formula>0</formula>
    </cfRule>
  </conditionalFormatting>
  <pageMargins left="1.25" right="0.75" top="1" bottom="1" header="0.5" footer="0.5"/>
  <pageSetup scale="70" orientation="portrait" r:id="rId1"/>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autoPageBreaks="0" fitToPage="1"/>
  </sheetPr>
  <dimension ref="A1:AC428"/>
  <sheetViews>
    <sheetView workbookViewId="0">
      <pane xSplit="1" ySplit="2" topLeftCell="B385" activePane="bottomRight" state="frozen"/>
      <selection pane="topRight" activeCell="B1" sqref="B1"/>
      <selection pane="bottomLeft" activeCell="A3" sqref="A3"/>
      <selection pane="bottomRight" activeCell="F403" sqref="F403"/>
    </sheetView>
  </sheetViews>
  <sheetFormatPr defaultRowHeight="12.75" x14ac:dyDescent="0.2"/>
  <cols>
    <col min="1" max="7" width="10.7109375" customWidth="1"/>
    <col min="8" max="8" width="2.7109375" customWidth="1"/>
    <col min="9" max="14" width="10.7109375" customWidth="1"/>
    <col min="15" max="15" width="2.7109375" customWidth="1"/>
    <col min="16" max="21" width="10.7109375" customWidth="1"/>
    <col min="22" max="22" width="2.7109375" customWidth="1"/>
    <col min="23" max="25" width="10.7109375" customWidth="1"/>
    <col min="26" max="29" width="9.140625" style="352"/>
  </cols>
  <sheetData>
    <row r="1" spans="1:28" x14ac:dyDescent="0.2">
      <c r="B1" s="1475" t="s">
        <v>4</v>
      </c>
      <c r="C1" s="1475"/>
      <c r="D1" s="1475"/>
      <c r="E1" s="339"/>
      <c r="F1" s="339"/>
      <c r="G1" s="339"/>
      <c r="I1" s="1475" t="s">
        <v>197</v>
      </c>
      <c r="J1" s="1475"/>
      <c r="K1" s="1475"/>
      <c r="L1" s="339"/>
      <c r="M1" s="339"/>
      <c r="N1" s="339"/>
      <c r="P1" s="1475" t="s">
        <v>326</v>
      </c>
      <c r="Q1" s="1475"/>
      <c r="R1" s="1475"/>
      <c r="S1" s="339"/>
      <c r="T1" s="339"/>
      <c r="U1" s="339"/>
      <c r="W1" s="1475" t="s">
        <v>29</v>
      </c>
      <c r="X1" s="1475"/>
      <c r="Y1" s="1475"/>
    </row>
    <row r="2" spans="1:28" x14ac:dyDescent="0.2">
      <c r="A2" s="19" t="s">
        <v>27</v>
      </c>
      <c r="B2" s="764" t="s">
        <v>172</v>
      </c>
      <c r="C2" s="764" t="s">
        <v>173</v>
      </c>
      <c r="D2" s="764" t="s">
        <v>171</v>
      </c>
      <c r="E2" s="763" t="s">
        <v>172</v>
      </c>
      <c r="F2" s="763" t="s">
        <v>173</v>
      </c>
      <c r="G2" s="763" t="s">
        <v>171</v>
      </c>
      <c r="H2" s="19"/>
      <c r="I2" s="764" t="s">
        <v>172</v>
      </c>
      <c r="J2" s="764" t="s">
        <v>173</v>
      </c>
      <c r="K2" s="764" t="s">
        <v>171</v>
      </c>
      <c r="L2" s="763" t="s">
        <v>172</v>
      </c>
      <c r="M2" s="763" t="s">
        <v>173</v>
      </c>
      <c r="N2" s="763" t="s">
        <v>171</v>
      </c>
      <c r="P2" s="764" t="s">
        <v>172</v>
      </c>
      <c r="Q2" s="764" t="s">
        <v>173</v>
      </c>
      <c r="R2" s="764" t="s">
        <v>171</v>
      </c>
      <c r="S2" s="763" t="s">
        <v>172</v>
      </c>
      <c r="T2" s="763" t="s">
        <v>173</v>
      </c>
      <c r="U2" s="763" t="s">
        <v>171</v>
      </c>
      <c r="W2" s="764" t="s">
        <v>172</v>
      </c>
      <c r="X2" s="764" t="s">
        <v>173</v>
      </c>
      <c r="Y2" s="764" t="s">
        <v>171</v>
      </c>
      <c r="Z2" s="765" t="s">
        <v>172</v>
      </c>
      <c r="AA2" s="765" t="s">
        <v>173</v>
      </c>
      <c r="AB2" s="765" t="s">
        <v>171</v>
      </c>
    </row>
    <row r="3" spans="1:28" x14ac:dyDescent="0.2">
      <c r="A3" s="19">
        <v>27606</v>
      </c>
      <c r="B3" s="349"/>
      <c r="C3" s="349"/>
      <c r="D3" s="349"/>
      <c r="E3" s="349"/>
      <c r="F3" s="349"/>
      <c r="G3" s="349"/>
      <c r="H3" s="351"/>
      <c r="I3" s="349"/>
      <c r="J3" s="349"/>
      <c r="K3" s="349"/>
      <c r="L3" s="349"/>
      <c r="M3" s="349"/>
      <c r="N3" s="349"/>
      <c r="O3" s="352"/>
      <c r="P3" s="349"/>
      <c r="Q3" s="349"/>
      <c r="R3" s="349"/>
      <c r="S3" s="349"/>
      <c r="T3" s="349"/>
      <c r="U3" s="349"/>
      <c r="V3" s="352"/>
      <c r="W3" s="349"/>
      <c r="X3" s="349"/>
      <c r="Y3" s="349"/>
    </row>
    <row r="4" spans="1:28" x14ac:dyDescent="0.2">
      <c r="A4" s="19">
        <v>27637</v>
      </c>
      <c r="B4" s="349"/>
      <c r="C4" s="349"/>
      <c r="D4" s="349"/>
      <c r="E4" s="349"/>
      <c r="F4" s="349"/>
      <c r="G4" s="349"/>
      <c r="H4" s="351"/>
      <c r="I4" s="349"/>
      <c r="J4" s="349"/>
      <c r="K4" s="349"/>
      <c r="L4" s="349"/>
      <c r="M4" s="349"/>
      <c r="N4" s="349"/>
      <c r="O4" s="352"/>
      <c r="P4" s="349"/>
      <c r="Q4" s="349"/>
      <c r="R4" s="349"/>
      <c r="S4" s="349"/>
      <c r="T4" s="349"/>
      <c r="U4" s="349"/>
      <c r="V4" s="352"/>
      <c r="W4" s="349"/>
      <c r="X4" s="349"/>
      <c r="Y4" s="349"/>
    </row>
    <row r="5" spans="1:28" x14ac:dyDescent="0.2">
      <c r="A5" s="19">
        <v>27667</v>
      </c>
      <c r="B5" s="349"/>
      <c r="C5" s="349"/>
      <c r="D5" s="349"/>
      <c r="E5" s="349"/>
      <c r="F5" s="349"/>
      <c r="G5" s="349"/>
      <c r="H5" s="351"/>
      <c r="I5" s="349"/>
      <c r="J5" s="349"/>
      <c r="K5" s="349"/>
      <c r="L5" s="349"/>
      <c r="M5" s="349"/>
      <c r="N5" s="349"/>
      <c r="O5" s="352"/>
      <c r="P5" s="349"/>
      <c r="Q5" s="349"/>
      <c r="R5" s="349"/>
      <c r="S5" s="349"/>
      <c r="T5" s="349"/>
      <c r="U5" s="349"/>
      <c r="V5" s="352"/>
      <c r="W5" s="349"/>
      <c r="X5" s="349"/>
      <c r="Y5" s="349"/>
    </row>
    <row r="6" spans="1:28" x14ac:dyDescent="0.2">
      <c r="A6" s="19">
        <v>27698</v>
      </c>
      <c r="B6" s="349"/>
      <c r="C6" s="349"/>
      <c r="D6" s="349"/>
      <c r="E6" s="349"/>
      <c r="F6" s="349"/>
      <c r="G6" s="349"/>
      <c r="H6" s="351"/>
      <c r="I6" s="349"/>
      <c r="J6" s="349"/>
      <c r="K6" s="349"/>
      <c r="L6" s="349"/>
      <c r="M6" s="349"/>
      <c r="N6" s="349"/>
      <c r="O6" s="352"/>
      <c r="P6" s="349"/>
      <c r="Q6" s="349"/>
      <c r="R6" s="349"/>
      <c r="S6" s="349"/>
      <c r="T6" s="349"/>
      <c r="U6" s="349"/>
      <c r="V6" s="352"/>
      <c r="W6" s="349"/>
      <c r="X6" s="349"/>
      <c r="Y6" s="349"/>
    </row>
    <row r="7" spans="1:28" x14ac:dyDescent="0.2">
      <c r="A7" s="19">
        <v>27728</v>
      </c>
      <c r="B7" s="349"/>
      <c r="C7" s="349"/>
      <c r="D7" s="349"/>
      <c r="E7" s="349"/>
      <c r="F7" s="349"/>
      <c r="G7" s="349"/>
      <c r="H7" s="351"/>
      <c r="I7" s="349"/>
      <c r="J7" s="349"/>
      <c r="K7" s="349"/>
      <c r="L7" s="349"/>
      <c r="M7" s="349"/>
      <c r="N7" s="349"/>
      <c r="O7" s="352"/>
      <c r="P7" s="349"/>
      <c r="Q7" s="349"/>
      <c r="R7" s="349"/>
      <c r="S7" s="349"/>
      <c r="T7" s="349"/>
      <c r="U7" s="349"/>
      <c r="V7" s="352"/>
      <c r="W7" s="349"/>
      <c r="X7" s="349"/>
      <c r="Y7" s="349"/>
    </row>
    <row r="8" spans="1:28" x14ac:dyDescent="0.2">
      <c r="A8" s="19">
        <v>27759</v>
      </c>
      <c r="B8" s="349"/>
      <c r="C8" s="349"/>
      <c r="D8" s="349"/>
      <c r="E8" s="349"/>
      <c r="F8" s="349"/>
      <c r="G8" s="349"/>
      <c r="H8" s="351"/>
      <c r="I8" s="349"/>
      <c r="J8" s="349"/>
      <c r="K8" s="349"/>
      <c r="L8" s="349"/>
      <c r="M8" s="349"/>
      <c r="N8" s="349"/>
      <c r="O8" s="352"/>
      <c r="P8" s="349"/>
      <c r="Q8" s="349"/>
      <c r="R8" s="349"/>
      <c r="S8" s="349"/>
      <c r="T8" s="349"/>
      <c r="U8" s="349"/>
      <c r="V8" s="352"/>
      <c r="W8" s="349"/>
      <c r="X8" s="349"/>
      <c r="Y8" s="349"/>
    </row>
    <row r="9" spans="1:28" x14ac:dyDescent="0.2">
      <c r="A9" s="19">
        <v>27790</v>
      </c>
      <c r="B9" s="349"/>
      <c r="C9" s="349"/>
      <c r="D9" s="349"/>
      <c r="E9" s="349"/>
      <c r="F9" s="349"/>
      <c r="G9" s="349"/>
      <c r="H9" s="351"/>
      <c r="I9" s="349"/>
      <c r="J9" s="349"/>
      <c r="K9" s="349"/>
      <c r="L9" s="349"/>
      <c r="M9" s="349"/>
      <c r="N9" s="349"/>
      <c r="O9" s="352"/>
      <c r="P9" s="349"/>
      <c r="Q9" s="349"/>
      <c r="R9" s="349"/>
      <c r="S9" s="349"/>
      <c r="T9" s="349"/>
      <c r="U9" s="349"/>
      <c r="V9" s="352"/>
      <c r="W9" s="349"/>
      <c r="X9" s="349"/>
      <c r="Y9" s="349"/>
    </row>
    <row r="10" spans="1:28" x14ac:dyDescent="0.2">
      <c r="A10" s="19">
        <v>27819</v>
      </c>
      <c r="B10" s="349"/>
      <c r="C10" s="349"/>
      <c r="D10" s="349"/>
      <c r="E10" s="349"/>
      <c r="F10" s="349"/>
      <c r="G10" s="349"/>
      <c r="H10" s="351"/>
      <c r="I10" s="349"/>
      <c r="J10" s="349"/>
      <c r="K10" s="349"/>
      <c r="L10" s="349"/>
      <c r="M10" s="349"/>
      <c r="N10" s="349"/>
      <c r="O10" s="352"/>
      <c r="P10" s="349"/>
      <c r="Q10" s="349"/>
      <c r="R10" s="349"/>
      <c r="S10" s="349"/>
      <c r="T10" s="349"/>
      <c r="U10" s="349"/>
      <c r="V10" s="352"/>
      <c r="W10" s="349"/>
      <c r="X10" s="349"/>
      <c r="Y10" s="349"/>
    </row>
    <row r="11" spans="1:28" x14ac:dyDescent="0.2">
      <c r="A11" s="19">
        <v>27850</v>
      </c>
      <c r="B11" s="349"/>
      <c r="C11" s="349"/>
      <c r="D11" s="349"/>
      <c r="E11" s="349"/>
      <c r="F11" s="349"/>
      <c r="G11" s="349"/>
      <c r="H11" s="351"/>
      <c r="I11" s="349"/>
      <c r="J11" s="349"/>
      <c r="K11" s="349"/>
      <c r="L11" s="349"/>
      <c r="M11" s="349"/>
      <c r="N11" s="349"/>
      <c r="O11" s="352"/>
      <c r="P11" s="349"/>
      <c r="Q11" s="349"/>
      <c r="R11" s="349"/>
      <c r="S11" s="349"/>
      <c r="T11" s="349"/>
      <c r="U11" s="349"/>
      <c r="V11" s="352"/>
      <c r="W11" s="349"/>
      <c r="X11" s="349"/>
      <c r="Y11" s="349"/>
    </row>
    <row r="12" spans="1:28" x14ac:dyDescent="0.2">
      <c r="A12" s="19">
        <v>27880</v>
      </c>
      <c r="B12" s="349"/>
      <c r="C12" s="349"/>
      <c r="D12" s="349"/>
      <c r="E12" s="349"/>
      <c r="F12" s="349"/>
      <c r="G12" s="349"/>
      <c r="H12" s="351"/>
      <c r="I12" s="349"/>
      <c r="J12" s="349"/>
      <c r="K12" s="349"/>
      <c r="L12" s="349"/>
      <c r="M12" s="349"/>
      <c r="N12" s="349"/>
      <c r="O12" s="352"/>
      <c r="P12" s="349"/>
      <c r="Q12" s="349"/>
      <c r="R12" s="349"/>
      <c r="S12" s="349"/>
      <c r="T12" s="349"/>
      <c r="U12" s="349"/>
      <c r="V12" s="352"/>
      <c r="W12" s="349"/>
      <c r="X12" s="349"/>
      <c r="Y12" s="349"/>
    </row>
    <row r="13" spans="1:28" x14ac:dyDescent="0.2">
      <c r="A13" s="19">
        <v>27911</v>
      </c>
      <c r="B13" s="349"/>
      <c r="C13" s="349"/>
      <c r="D13" s="349"/>
      <c r="E13" s="349"/>
      <c r="F13" s="349"/>
      <c r="G13" s="349"/>
      <c r="H13" s="351"/>
      <c r="I13" s="349"/>
      <c r="J13" s="349"/>
      <c r="K13" s="349"/>
      <c r="L13" s="349"/>
      <c r="M13" s="349"/>
      <c r="N13" s="349"/>
      <c r="O13" s="352"/>
      <c r="P13" s="349"/>
      <c r="Q13" s="349"/>
      <c r="R13" s="349"/>
      <c r="S13" s="349"/>
      <c r="T13" s="349"/>
      <c r="U13" s="349"/>
      <c r="V13" s="352"/>
      <c r="W13" s="349"/>
      <c r="X13" s="349"/>
      <c r="Y13" s="349"/>
    </row>
    <row r="14" spans="1:28" x14ac:dyDescent="0.2">
      <c r="A14" s="19">
        <v>27941</v>
      </c>
      <c r="B14" s="349"/>
      <c r="C14" s="349"/>
      <c r="D14" s="349"/>
      <c r="E14" s="349"/>
      <c r="F14" s="349"/>
      <c r="G14" s="349"/>
      <c r="H14" s="351"/>
      <c r="I14" s="349"/>
      <c r="J14" s="349"/>
      <c r="K14" s="349"/>
      <c r="L14" s="349"/>
      <c r="M14" s="349"/>
      <c r="N14" s="349"/>
      <c r="O14" s="352"/>
      <c r="P14" s="349"/>
      <c r="Q14" s="349"/>
      <c r="R14" s="349"/>
      <c r="S14" s="349"/>
      <c r="T14" s="349"/>
      <c r="U14" s="349"/>
      <c r="V14" s="352"/>
      <c r="W14" s="349"/>
      <c r="X14" s="349"/>
      <c r="Y14" s="349"/>
    </row>
    <row r="15" spans="1:28" x14ac:dyDescent="0.2">
      <c r="A15" s="19">
        <v>27972</v>
      </c>
      <c r="B15" s="349"/>
      <c r="C15" s="349"/>
      <c r="D15" s="349"/>
      <c r="E15" s="349"/>
      <c r="F15" s="349"/>
      <c r="G15" s="349"/>
      <c r="H15" s="351"/>
      <c r="I15" s="349"/>
      <c r="J15" s="349"/>
      <c r="K15" s="349"/>
      <c r="L15" s="349"/>
      <c r="M15" s="349"/>
      <c r="N15" s="349"/>
      <c r="O15" s="352"/>
      <c r="P15" s="349"/>
      <c r="Q15" s="349"/>
      <c r="R15" s="349"/>
      <c r="S15" s="349"/>
      <c r="T15" s="349"/>
      <c r="U15" s="349"/>
      <c r="V15" s="352"/>
      <c r="W15" s="349"/>
      <c r="X15" s="349"/>
      <c r="Y15" s="349"/>
    </row>
    <row r="16" spans="1:28" x14ac:dyDescent="0.2">
      <c r="A16" s="19">
        <v>28003</v>
      </c>
      <c r="B16" s="349"/>
      <c r="C16" s="349"/>
      <c r="D16" s="349"/>
      <c r="E16" s="349"/>
      <c r="F16" s="349"/>
      <c r="G16" s="349"/>
      <c r="H16" s="351"/>
      <c r="I16" s="349"/>
      <c r="J16" s="349"/>
      <c r="K16" s="349"/>
      <c r="L16" s="349"/>
      <c r="M16" s="349"/>
      <c r="N16" s="349"/>
      <c r="O16" s="352"/>
      <c r="P16" s="349"/>
      <c r="Q16" s="349"/>
      <c r="R16" s="349"/>
      <c r="S16" s="349"/>
      <c r="T16" s="349"/>
      <c r="U16" s="349"/>
      <c r="V16" s="352"/>
      <c r="W16" s="349"/>
      <c r="X16" s="349"/>
      <c r="Y16" s="349"/>
    </row>
    <row r="17" spans="1:25" x14ac:dyDescent="0.2">
      <c r="A17" s="19">
        <v>28033</v>
      </c>
      <c r="B17" s="349"/>
      <c r="C17" s="349"/>
      <c r="D17" s="349"/>
      <c r="E17" s="349"/>
      <c r="F17" s="349"/>
      <c r="G17" s="349"/>
      <c r="H17" s="351"/>
      <c r="I17" s="349"/>
      <c r="J17" s="349"/>
      <c r="K17" s="349"/>
      <c r="L17" s="349"/>
      <c r="M17" s="349"/>
      <c r="N17" s="349"/>
      <c r="O17" s="352"/>
      <c r="P17" s="349"/>
      <c r="Q17" s="349"/>
      <c r="R17" s="349"/>
      <c r="S17" s="349"/>
      <c r="T17" s="349"/>
      <c r="U17" s="349"/>
      <c r="V17" s="352"/>
      <c r="W17" s="349"/>
      <c r="X17" s="349"/>
      <c r="Y17" s="349"/>
    </row>
    <row r="18" spans="1:25" x14ac:dyDescent="0.2">
      <c r="A18" s="19">
        <v>28064</v>
      </c>
      <c r="B18" s="349"/>
      <c r="C18" s="349"/>
      <c r="D18" s="349"/>
      <c r="E18" s="349"/>
      <c r="F18" s="349"/>
      <c r="G18" s="349"/>
      <c r="H18" s="351"/>
      <c r="I18" s="349"/>
      <c r="J18" s="349"/>
      <c r="K18" s="349"/>
      <c r="L18" s="349"/>
      <c r="M18" s="349"/>
      <c r="N18" s="349"/>
      <c r="O18" s="352"/>
      <c r="P18" s="349"/>
      <c r="Q18" s="349"/>
      <c r="R18" s="349"/>
      <c r="S18" s="349"/>
      <c r="T18" s="349"/>
      <c r="U18" s="349"/>
      <c r="V18" s="352"/>
      <c r="W18" s="349"/>
      <c r="X18" s="349"/>
      <c r="Y18" s="349"/>
    </row>
    <row r="19" spans="1:25" x14ac:dyDescent="0.2">
      <c r="A19" s="19">
        <v>28094</v>
      </c>
      <c r="B19" s="349"/>
      <c r="C19" s="349"/>
      <c r="D19" s="349"/>
      <c r="E19" s="349"/>
      <c r="F19" s="349"/>
      <c r="G19" s="349"/>
      <c r="H19" s="351"/>
      <c r="I19" s="349"/>
      <c r="J19" s="349"/>
      <c r="K19" s="349"/>
      <c r="L19" s="349"/>
      <c r="M19" s="349"/>
      <c r="N19" s="349"/>
      <c r="O19" s="352"/>
      <c r="P19" s="349"/>
      <c r="Q19" s="349"/>
      <c r="R19" s="349"/>
      <c r="S19" s="349"/>
      <c r="T19" s="349"/>
      <c r="U19" s="349"/>
      <c r="V19" s="352"/>
      <c r="W19" s="349"/>
      <c r="X19" s="349"/>
      <c r="Y19" s="349"/>
    </row>
    <row r="20" spans="1:25" x14ac:dyDescent="0.2">
      <c r="A20" s="19">
        <v>28125</v>
      </c>
      <c r="B20" s="349"/>
      <c r="C20" s="349"/>
      <c r="D20" s="349"/>
      <c r="E20" s="349"/>
      <c r="F20" s="349"/>
      <c r="G20" s="349"/>
      <c r="H20" s="351"/>
      <c r="I20" s="349"/>
      <c r="J20" s="349"/>
      <c r="K20" s="349"/>
      <c r="L20" s="349"/>
      <c r="M20" s="349"/>
      <c r="N20" s="349"/>
      <c r="O20" s="352"/>
      <c r="P20" s="349"/>
      <c r="Q20" s="349"/>
      <c r="R20" s="349"/>
      <c r="S20" s="349"/>
      <c r="T20" s="349"/>
      <c r="U20" s="349"/>
      <c r="V20" s="352"/>
      <c r="W20" s="349"/>
      <c r="X20" s="349"/>
      <c r="Y20" s="349"/>
    </row>
    <row r="21" spans="1:25" x14ac:dyDescent="0.2">
      <c r="A21" s="19">
        <v>28156</v>
      </c>
      <c r="B21" s="349"/>
      <c r="C21" s="349"/>
      <c r="D21" s="349"/>
      <c r="E21" s="349"/>
      <c r="F21" s="349"/>
      <c r="G21" s="349"/>
      <c r="H21" s="351"/>
      <c r="I21" s="349"/>
      <c r="J21" s="349"/>
      <c r="K21" s="349"/>
      <c r="L21" s="349"/>
      <c r="M21" s="349"/>
      <c r="N21" s="349"/>
      <c r="O21" s="352"/>
      <c r="P21" s="349"/>
      <c r="Q21" s="349"/>
      <c r="R21" s="349"/>
      <c r="S21" s="349"/>
      <c r="T21" s="349"/>
      <c r="U21" s="349"/>
      <c r="V21" s="352"/>
      <c r="W21" s="349"/>
      <c r="X21" s="349"/>
      <c r="Y21" s="349"/>
    </row>
    <row r="22" spans="1:25" x14ac:dyDescent="0.2">
      <c r="A22" s="19">
        <v>28184</v>
      </c>
      <c r="B22" s="349"/>
      <c r="C22" s="349"/>
      <c r="D22" s="349"/>
      <c r="E22" s="349"/>
      <c r="F22" s="349"/>
      <c r="G22" s="349"/>
      <c r="H22" s="351"/>
      <c r="I22" s="349"/>
      <c r="J22" s="349"/>
      <c r="K22" s="349"/>
      <c r="L22" s="349"/>
      <c r="M22" s="349"/>
      <c r="N22" s="349"/>
      <c r="O22" s="352"/>
      <c r="P22" s="349"/>
      <c r="Q22" s="349"/>
      <c r="R22" s="349"/>
      <c r="S22" s="349"/>
      <c r="T22" s="349"/>
      <c r="U22" s="349"/>
      <c r="V22" s="352"/>
      <c r="W22" s="349"/>
      <c r="X22" s="349"/>
      <c r="Y22" s="349"/>
    </row>
    <row r="23" spans="1:25" x14ac:dyDescent="0.2">
      <c r="A23" s="19">
        <v>28215</v>
      </c>
      <c r="B23" s="349"/>
      <c r="C23" s="349"/>
      <c r="D23" s="349"/>
      <c r="E23" s="349"/>
      <c r="F23" s="349"/>
      <c r="G23" s="349"/>
      <c r="H23" s="351"/>
      <c r="I23" s="349"/>
      <c r="J23" s="349"/>
      <c r="K23" s="349"/>
      <c r="L23" s="349"/>
      <c r="M23" s="349"/>
      <c r="N23" s="349"/>
      <c r="O23" s="352"/>
      <c r="P23" s="349"/>
      <c r="Q23" s="349"/>
      <c r="R23" s="349"/>
      <c r="S23" s="349"/>
      <c r="T23" s="349"/>
      <c r="U23" s="349"/>
      <c r="V23" s="352"/>
      <c r="W23" s="349"/>
      <c r="X23" s="349"/>
      <c r="Y23" s="349"/>
    </row>
    <row r="24" spans="1:25" x14ac:dyDescent="0.2">
      <c r="A24" s="19">
        <v>28245</v>
      </c>
      <c r="B24" s="349"/>
      <c r="C24" s="349"/>
      <c r="D24" s="349"/>
      <c r="E24" s="349"/>
      <c r="F24" s="349"/>
      <c r="G24" s="349"/>
      <c r="H24" s="351"/>
      <c r="I24" s="349"/>
      <c r="J24" s="349"/>
      <c r="K24" s="349"/>
      <c r="L24" s="349"/>
      <c r="M24" s="349"/>
      <c r="N24" s="349"/>
      <c r="O24" s="352"/>
      <c r="P24" s="349"/>
      <c r="Q24" s="349"/>
      <c r="R24" s="349"/>
      <c r="S24" s="349"/>
      <c r="T24" s="349"/>
      <c r="U24" s="349"/>
      <c r="V24" s="352"/>
      <c r="W24" s="349"/>
      <c r="X24" s="349"/>
      <c r="Y24" s="349"/>
    </row>
    <row r="25" spans="1:25" x14ac:dyDescent="0.2">
      <c r="A25" s="19">
        <v>28276</v>
      </c>
      <c r="B25" s="349"/>
      <c r="C25" s="349"/>
      <c r="D25" s="349"/>
      <c r="E25" s="349"/>
      <c r="F25" s="349"/>
      <c r="G25" s="349"/>
      <c r="H25" s="351"/>
      <c r="I25" s="349"/>
      <c r="J25" s="349"/>
      <c r="K25" s="349"/>
      <c r="L25" s="349"/>
      <c r="M25" s="349"/>
      <c r="N25" s="349"/>
      <c r="O25" s="352"/>
      <c r="P25" s="349"/>
      <c r="Q25" s="349"/>
      <c r="R25" s="349"/>
      <c r="S25" s="349"/>
      <c r="T25" s="349"/>
      <c r="U25" s="349"/>
      <c r="V25" s="352"/>
      <c r="W25" s="349"/>
      <c r="X25" s="349"/>
      <c r="Y25" s="349"/>
    </row>
    <row r="26" spans="1:25" x14ac:dyDescent="0.2">
      <c r="A26" s="19">
        <v>28306</v>
      </c>
      <c r="B26" s="349"/>
      <c r="C26" s="349"/>
      <c r="D26" s="349"/>
      <c r="E26" s="349"/>
      <c r="F26" s="349"/>
      <c r="G26" s="349"/>
      <c r="H26" s="351"/>
      <c r="I26" s="349"/>
      <c r="J26" s="349"/>
      <c r="K26" s="349"/>
      <c r="L26" s="349"/>
      <c r="M26" s="349"/>
      <c r="N26" s="349"/>
      <c r="O26" s="352"/>
      <c r="P26" s="349"/>
      <c r="Q26" s="349"/>
      <c r="R26" s="349"/>
      <c r="S26" s="349"/>
      <c r="T26" s="349"/>
      <c r="U26" s="349"/>
      <c r="V26" s="352"/>
      <c r="W26" s="349"/>
      <c r="X26" s="349"/>
      <c r="Y26" s="349"/>
    </row>
    <row r="27" spans="1:25" x14ac:dyDescent="0.2">
      <c r="A27" s="19">
        <v>28337</v>
      </c>
      <c r="B27" s="349"/>
      <c r="C27" s="349"/>
      <c r="D27" s="349"/>
      <c r="E27" s="349"/>
      <c r="F27" s="349"/>
      <c r="G27" s="349"/>
      <c r="H27" s="351"/>
      <c r="I27" s="349"/>
      <c r="J27" s="349"/>
      <c r="K27" s="349"/>
      <c r="L27" s="349"/>
      <c r="M27" s="349"/>
      <c r="N27" s="349"/>
      <c r="O27" s="352"/>
      <c r="P27" s="349"/>
      <c r="Q27" s="349"/>
      <c r="R27" s="349"/>
      <c r="S27" s="349"/>
      <c r="T27" s="349"/>
      <c r="U27" s="349"/>
      <c r="V27" s="352"/>
      <c r="W27" s="349"/>
      <c r="X27" s="349"/>
      <c r="Y27" s="349"/>
    </row>
    <row r="28" spans="1:25" x14ac:dyDescent="0.2">
      <c r="A28" s="19">
        <v>28368</v>
      </c>
      <c r="B28" s="349"/>
      <c r="C28" s="349"/>
      <c r="D28" s="349"/>
      <c r="E28" s="349"/>
      <c r="F28" s="349"/>
      <c r="G28" s="349"/>
      <c r="H28" s="351"/>
      <c r="I28" s="349"/>
      <c r="J28" s="349"/>
      <c r="K28" s="349"/>
      <c r="L28" s="349"/>
      <c r="M28" s="349"/>
      <c r="N28" s="349"/>
      <c r="O28" s="352"/>
      <c r="P28" s="349"/>
      <c r="Q28" s="349"/>
      <c r="R28" s="349"/>
      <c r="S28" s="349"/>
      <c r="T28" s="349"/>
      <c r="U28" s="349"/>
      <c r="V28" s="352"/>
      <c r="W28" s="349"/>
      <c r="X28" s="349"/>
      <c r="Y28" s="349"/>
    </row>
    <row r="29" spans="1:25" x14ac:dyDescent="0.2">
      <c r="A29" s="19">
        <v>28398</v>
      </c>
      <c r="B29" s="349"/>
      <c r="C29" s="349"/>
      <c r="D29" s="349"/>
      <c r="E29" s="349"/>
      <c r="F29" s="349"/>
      <c r="G29" s="349"/>
      <c r="H29" s="351"/>
      <c r="I29" s="349"/>
      <c r="J29" s="349"/>
      <c r="K29" s="349"/>
      <c r="L29" s="349"/>
      <c r="M29" s="349"/>
      <c r="N29" s="349"/>
      <c r="O29" s="352"/>
      <c r="P29" s="349"/>
      <c r="Q29" s="349"/>
      <c r="R29" s="349"/>
      <c r="S29" s="349"/>
      <c r="T29" s="349"/>
      <c r="U29" s="349"/>
      <c r="V29" s="352"/>
      <c r="W29" s="349"/>
      <c r="X29" s="349"/>
      <c r="Y29" s="349"/>
    </row>
    <row r="30" spans="1:25" x14ac:dyDescent="0.2">
      <c r="A30" s="19">
        <v>28429</v>
      </c>
      <c r="B30" s="349"/>
      <c r="C30" s="349"/>
      <c r="D30" s="349"/>
      <c r="E30" s="349"/>
      <c r="F30" s="349"/>
      <c r="G30" s="349"/>
      <c r="H30" s="351"/>
      <c r="I30" s="349"/>
      <c r="J30" s="349"/>
      <c r="K30" s="349"/>
      <c r="L30" s="349"/>
      <c r="M30" s="349"/>
      <c r="N30" s="349"/>
      <c r="O30" s="352"/>
      <c r="P30" s="349"/>
      <c r="Q30" s="349"/>
      <c r="R30" s="349"/>
      <c r="S30" s="349"/>
      <c r="T30" s="349"/>
      <c r="U30" s="349"/>
      <c r="V30" s="352"/>
      <c r="W30" s="349"/>
      <c r="X30" s="349"/>
      <c r="Y30" s="349"/>
    </row>
    <row r="31" spans="1:25" x14ac:dyDescent="0.2">
      <c r="A31" s="19">
        <v>28459</v>
      </c>
      <c r="B31" s="349"/>
      <c r="C31" s="349"/>
      <c r="D31" s="349"/>
      <c r="E31" s="349"/>
      <c r="F31" s="349"/>
      <c r="G31" s="349"/>
      <c r="H31" s="351"/>
      <c r="I31" s="349"/>
      <c r="J31" s="349"/>
      <c r="K31" s="349"/>
      <c r="L31" s="349"/>
      <c r="M31" s="349"/>
      <c r="N31" s="349"/>
      <c r="O31" s="352"/>
      <c r="P31" s="349"/>
      <c r="Q31" s="349"/>
      <c r="R31" s="349"/>
      <c r="S31" s="349"/>
      <c r="T31" s="349"/>
      <c r="U31" s="349"/>
      <c r="V31" s="352"/>
      <c r="W31" s="349"/>
      <c r="X31" s="349"/>
      <c r="Y31" s="349"/>
    </row>
    <row r="32" spans="1:25" x14ac:dyDescent="0.2">
      <c r="A32" s="19">
        <v>28490</v>
      </c>
      <c r="B32" s="349"/>
      <c r="C32" s="349"/>
      <c r="D32" s="349"/>
      <c r="E32" s="349"/>
      <c r="F32" s="349"/>
      <c r="G32" s="349"/>
      <c r="H32" s="351"/>
      <c r="I32" s="349"/>
      <c r="J32" s="349"/>
      <c r="K32" s="349"/>
      <c r="L32" s="349"/>
      <c r="M32" s="349"/>
      <c r="N32" s="349"/>
      <c r="O32" s="352"/>
      <c r="P32" s="349"/>
      <c r="Q32" s="349"/>
      <c r="R32" s="349"/>
      <c r="S32" s="349"/>
      <c r="T32" s="349"/>
      <c r="U32" s="349"/>
      <c r="V32" s="352"/>
      <c r="W32" s="349"/>
      <c r="X32" s="349"/>
      <c r="Y32" s="349"/>
    </row>
    <row r="33" spans="1:25" x14ac:dyDescent="0.2">
      <c r="A33" s="19">
        <v>28521</v>
      </c>
      <c r="B33" s="349"/>
      <c r="C33" s="349"/>
      <c r="D33" s="349"/>
      <c r="E33" s="349"/>
      <c r="F33" s="349"/>
      <c r="G33" s="349"/>
      <c r="H33" s="351"/>
      <c r="I33" s="349"/>
      <c r="J33" s="349"/>
      <c r="K33" s="349"/>
      <c r="L33" s="349"/>
      <c r="M33" s="349"/>
      <c r="N33" s="349"/>
      <c r="O33" s="352"/>
      <c r="P33" s="349"/>
      <c r="Q33" s="349"/>
      <c r="R33" s="349"/>
      <c r="S33" s="349"/>
      <c r="T33" s="349"/>
      <c r="U33" s="349"/>
      <c r="V33" s="352"/>
      <c r="W33" s="349"/>
      <c r="X33" s="349"/>
      <c r="Y33" s="349"/>
    </row>
    <row r="34" spans="1:25" x14ac:dyDescent="0.2">
      <c r="A34" s="19">
        <v>28549</v>
      </c>
      <c r="B34" s="349"/>
      <c r="C34" s="349"/>
      <c r="D34" s="349"/>
      <c r="E34" s="349"/>
      <c r="F34" s="349"/>
      <c r="G34" s="349"/>
      <c r="H34" s="351"/>
      <c r="I34" s="349"/>
      <c r="J34" s="349"/>
      <c r="K34" s="349"/>
      <c r="L34" s="349"/>
      <c r="M34" s="349"/>
      <c r="N34" s="349"/>
      <c r="O34" s="352"/>
      <c r="P34" s="349"/>
      <c r="Q34" s="349"/>
      <c r="R34" s="349"/>
      <c r="S34" s="349"/>
      <c r="T34" s="349"/>
      <c r="U34" s="349"/>
      <c r="V34" s="352"/>
      <c r="W34" s="349"/>
      <c r="X34" s="349"/>
      <c r="Y34" s="349"/>
    </row>
    <row r="35" spans="1:25" x14ac:dyDescent="0.2">
      <c r="A35" s="19">
        <v>28580</v>
      </c>
      <c r="B35" s="349"/>
      <c r="C35" s="349"/>
      <c r="D35" s="349"/>
      <c r="E35" s="349"/>
      <c r="F35" s="349"/>
      <c r="G35" s="349"/>
      <c r="H35" s="351"/>
      <c r="I35" s="349"/>
      <c r="J35" s="349"/>
      <c r="K35" s="349"/>
      <c r="L35" s="349"/>
      <c r="M35" s="349"/>
      <c r="N35" s="349"/>
      <c r="O35" s="352"/>
      <c r="P35" s="349"/>
      <c r="Q35" s="349"/>
      <c r="R35" s="349"/>
      <c r="S35" s="349"/>
      <c r="T35" s="349"/>
      <c r="U35" s="349"/>
      <c r="V35" s="352"/>
      <c r="W35" s="349"/>
      <c r="X35" s="349"/>
      <c r="Y35" s="349"/>
    </row>
    <row r="36" spans="1:25" x14ac:dyDescent="0.2">
      <c r="A36" s="19">
        <v>28610</v>
      </c>
      <c r="B36" s="349"/>
      <c r="C36" s="349"/>
      <c r="D36" s="349"/>
      <c r="E36" s="349"/>
      <c r="F36" s="349"/>
      <c r="G36" s="349"/>
      <c r="H36" s="351"/>
      <c r="I36" s="349"/>
      <c r="J36" s="349"/>
      <c r="K36" s="349"/>
      <c r="L36" s="349"/>
      <c r="M36" s="349"/>
      <c r="N36" s="349"/>
      <c r="O36" s="352"/>
      <c r="P36" s="349"/>
      <c r="Q36" s="349"/>
      <c r="R36" s="349"/>
      <c r="S36" s="349"/>
      <c r="T36" s="349"/>
      <c r="U36" s="349"/>
      <c r="V36" s="352"/>
      <c r="W36" s="349"/>
      <c r="X36" s="349"/>
      <c r="Y36" s="349"/>
    </row>
    <row r="37" spans="1:25" x14ac:dyDescent="0.2">
      <c r="A37" s="19">
        <v>28641</v>
      </c>
      <c r="B37" s="349"/>
      <c r="C37" s="349"/>
      <c r="D37" s="349"/>
      <c r="E37" s="349"/>
      <c r="F37" s="349"/>
      <c r="G37" s="349"/>
      <c r="H37" s="351"/>
      <c r="I37" s="349"/>
      <c r="J37" s="349"/>
      <c r="K37" s="349"/>
      <c r="L37" s="349"/>
      <c r="M37" s="349"/>
      <c r="N37" s="349"/>
      <c r="O37" s="352"/>
      <c r="P37" s="349"/>
      <c r="Q37" s="349"/>
      <c r="R37" s="349"/>
      <c r="S37" s="349"/>
      <c r="T37" s="349"/>
      <c r="U37" s="349"/>
      <c r="V37" s="352"/>
      <c r="W37" s="349"/>
      <c r="X37" s="349"/>
      <c r="Y37" s="349"/>
    </row>
    <row r="38" spans="1:25" x14ac:dyDescent="0.2">
      <c r="A38" s="19">
        <v>28671</v>
      </c>
      <c r="B38" s="349"/>
      <c r="C38" s="349"/>
      <c r="D38" s="349"/>
      <c r="E38" s="349"/>
      <c r="F38" s="349"/>
      <c r="G38" s="349"/>
      <c r="H38" s="351"/>
      <c r="I38" s="349"/>
      <c r="J38" s="349"/>
      <c r="K38" s="349"/>
      <c r="L38" s="349"/>
      <c r="M38" s="349"/>
      <c r="N38" s="349"/>
      <c r="O38" s="352"/>
      <c r="P38" s="352"/>
      <c r="Q38" s="352"/>
      <c r="R38" s="349"/>
      <c r="S38" s="349"/>
      <c r="T38" s="349"/>
      <c r="U38" s="349"/>
      <c r="V38" s="352"/>
      <c r="W38" s="349"/>
      <c r="X38" s="349"/>
      <c r="Y38" s="349"/>
    </row>
    <row r="39" spans="1:25" x14ac:dyDescent="0.2">
      <c r="A39" s="19">
        <v>28702</v>
      </c>
      <c r="B39" s="349"/>
      <c r="C39" s="349"/>
      <c r="D39" s="349"/>
      <c r="E39" s="349"/>
      <c r="F39" s="349"/>
      <c r="G39" s="349"/>
      <c r="H39" s="351"/>
      <c r="I39" s="349"/>
      <c r="J39" s="349"/>
      <c r="K39" s="349"/>
      <c r="L39" s="349"/>
      <c r="M39" s="349"/>
      <c r="N39" s="349"/>
      <c r="O39" s="352"/>
      <c r="P39" s="352"/>
      <c r="Q39" s="352"/>
      <c r="R39" s="349"/>
      <c r="S39" s="349"/>
      <c r="T39" s="349"/>
      <c r="U39" s="349"/>
      <c r="V39" s="352"/>
      <c r="W39" s="349"/>
      <c r="X39" s="349"/>
      <c r="Y39" s="349"/>
    </row>
    <row r="40" spans="1:25" x14ac:dyDescent="0.2">
      <c r="A40" s="19">
        <v>28733</v>
      </c>
      <c r="B40" s="349"/>
      <c r="C40" s="349"/>
      <c r="D40" s="349"/>
      <c r="E40" s="349"/>
      <c r="F40" s="349"/>
      <c r="G40" s="349"/>
      <c r="H40" s="351"/>
      <c r="I40" s="349"/>
      <c r="J40" s="349"/>
      <c r="K40" s="349"/>
      <c r="L40" s="349"/>
      <c r="M40" s="349"/>
      <c r="N40" s="349"/>
      <c r="O40" s="352"/>
      <c r="P40" s="352"/>
      <c r="Q40" s="352"/>
      <c r="R40" s="349"/>
      <c r="S40" s="349"/>
      <c r="T40" s="349"/>
      <c r="U40" s="349"/>
      <c r="V40" s="352"/>
      <c r="W40" s="349"/>
      <c r="X40" s="349"/>
      <c r="Y40" s="349"/>
    </row>
    <row r="41" spans="1:25" x14ac:dyDescent="0.2">
      <c r="A41" s="19">
        <v>28763</v>
      </c>
      <c r="B41" s="349"/>
      <c r="C41" s="349"/>
      <c r="D41" s="349"/>
      <c r="E41" s="349"/>
      <c r="F41" s="349"/>
      <c r="G41" s="349"/>
      <c r="H41" s="351"/>
      <c r="I41" s="349"/>
      <c r="J41" s="349"/>
      <c r="K41" s="349"/>
      <c r="L41" s="349"/>
      <c r="M41" s="349"/>
      <c r="N41" s="349"/>
      <c r="O41" s="352"/>
      <c r="P41" s="352"/>
      <c r="Q41" s="352"/>
      <c r="R41" s="349"/>
      <c r="S41" s="349"/>
      <c r="T41" s="349"/>
      <c r="U41" s="349"/>
      <c r="V41" s="352"/>
      <c r="W41" s="349"/>
      <c r="X41" s="349"/>
      <c r="Y41" s="349"/>
    </row>
    <row r="42" spans="1:25" x14ac:dyDescent="0.2">
      <c r="A42" s="19">
        <v>28794</v>
      </c>
      <c r="B42" s="349"/>
      <c r="C42" s="349"/>
      <c r="D42" s="349"/>
      <c r="E42" s="349"/>
      <c r="F42" s="349"/>
      <c r="G42" s="349"/>
      <c r="H42" s="351"/>
      <c r="I42" s="349"/>
      <c r="J42" s="349"/>
      <c r="K42" s="349"/>
      <c r="L42" s="349"/>
      <c r="M42" s="349"/>
      <c r="N42" s="349"/>
      <c r="O42" s="352"/>
      <c r="P42" s="352"/>
      <c r="Q42" s="352"/>
      <c r="R42" s="349"/>
      <c r="S42" s="349"/>
      <c r="T42" s="349"/>
      <c r="U42" s="349"/>
      <c r="V42" s="352"/>
      <c r="W42" s="349"/>
      <c r="X42" s="349"/>
      <c r="Y42" s="349"/>
    </row>
    <row r="43" spans="1:25" x14ac:dyDescent="0.2">
      <c r="A43" s="19">
        <v>28824</v>
      </c>
      <c r="B43" s="349"/>
      <c r="C43" s="349"/>
      <c r="D43" s="349"/>
      <c r="E43" s="349"/>
      <c r="F43" s="349"/>
      <c r="G43" s="349"/>
      <c r="H43" s="351"/>
      <c r="I43" s="349"/>
      <c r="J43" s="349"/>
      <c r="K43" s="349"/>
      <c r="L43" s="349"/>
      <c r="M43" s="349"/>
      <c r="N43" s="349"/>
      <c r="O43" s="352"/>
      <c r="P43" s="352"/>
      <c r="Q43" s="352"/>
      <c r="R43" s="349"/>
      <c r="S43" s="349"/>
      <c r="T43" s="349"/>
      <c r="U43" s="349"/>
      <c r="V43" s="352"/>
      <c r="W43" s="349"/>
      <c r="X43" s="349"/>
      <c r="Y43" s="349"/>
    </row>
    <row r="44" spans="1:25" x14ac:dyDescent="0.2">
      <c r="A44" s="19">
        <v>28855</v>
      </c>
      <c r="B44" s="349"/>
      <c r="C44" s="349"/>
      <c r="D44" s="349"/>
      <c r="E44" s="349"/>
      <c r="F44" s="349"/>
      <c r="G44" s="349"/>
      <c r="H44" s="351"/>
      <c r="I44" s="349"/>
      <c r="J44" s="349"/>
      <c r="K44" s="349"/>
      <c r="L44" s="349"/>
      <c r="M44" s="349"/>
      <c r="N44" s="349"/>
      <c r="O44" s="352"/>
      <c r="P44" s="352"/>
      <c r="Q44" s="352"/>
      <c r="R44" s="349"/>
      <c r="S44" s="349"/>
      <c r="T44" s="349"/>
      <c r="U44" s="349"/>
      <c r="V44" s="352"/>
      <c r="W44" s="349"/>
      <c r="X44" s="349"/>
      <c r="Y44" s="349"/>
    </row>
    <row r="45" spans="1:25" x14ac:dyDescent="0.2">
      <c r="A45" s="19">
        <v>28886</v>
      </c>
      <c r="B45" s="349"/>
      <c r="C45" s="349"/>
      <c r="D45" s="349"/>
      <c r="E45" s="349"/>
      <c r="F45" s="349"/>
      <c r="G45" s="349"/>
      <c r="H45" s="351"/>
      <c r="I45" s="349"/>
      <c r="J45" s="349"/>
      <c r="K45" s="349"/>
      <c r="L45" s="349"/>
      <c r="M45" s="349"/>
      <c r="N45" s="349"/>
      <c r="O45" s="352"/>
      <c r="P45" s="352"/>
      <c r="Q45" s="352"/>
      <c r="R45" s="349"/>
      <c r="S45" s="349"/>
      <c r="T45" s="349"/>
      <c r="U45" s="349"/>
      <c r="V45" s="352"/>
      <c r="W45" s="349"/>
      <c r="X45" s="349"/>
      <c r="Y45" s="349"/>
    </row>
    <row r="46" spans="1:25" x14ac:dyDescent="0.2">
      <c r="A46" s="19">
        <v>28914</v>
      </c>
      <c r="B46" s="349"/>
      <c r="C46" s="349"/>
      <c r="D46" s="349"/>
      <c r="E46" s="349"/>
      <c r="F46" s="349"/>
      <c r="G46" s="349"/>
      <c r="H46" s="351"/>
      <c r="I46" s="349"/>
      <c r="J46" s="349"/>
      <c r="K46" s="349"/>
      <c r="L46" s="349"/>
      <c r="M46" s="349"/>
      <c r="N46" s="349"/>
      <c r="O46" s="352"/>
      <c r="P46" s="352"/>
      <c r="Q46" s="352"/>
      <c r="R46" s="349"/>
      <c r="S46" s="349"/>
      <c r="T46" s="349"/>
      <c r="U46" s="349"/>
      <c r="V46" s="352"/>
      <c r="W46" s="349"/>
      <c r="X46" s="349"/>
      <c r="Y46" s="349"/>
    </row>
    <row r="47" spans="1:25" x14ac:dyDescent="0.2">
      <c r="A47" s="19">
        <v>28945</v>
      </c>
      <c r="B47" s="349"/>
      <c r="C47" s="349"/>
      <c r="D47" s="349"/>
      <c r="E47" s="349"/>
      <c r="F47" s="349"/>
      <c r="G47" s="349"/>
      <c r="H47" s="351"/>
      <c r="I47" s="349"/>
      <c r="J47" s="349"/>
      <c r="K47" s="349"/>
      <c r="L47" s="349"/>
      <c r="M47" s="349"/>
      <c r="N47" s="349"/>
      <c r="O47" s="352"/>
      <c r="P47" s="352"/>
      <c r="Q47" s="352"/>
      <c r="R47" s="349"/>
      <c r="S47" s="349"/>
      <c r="T47" s="349"/>
      <c r="U47" s="349"/>
      <c r="V47" s="352"/>
      <c r="W47" s="349"/>
      <c r="X47" s="349"/>
      <c r="Y47" s="349"/>
    </row>
    <row r="48" spans="1:25" x14ac:dyDescent="0.2">
      <c r="A48" s="19">
        <v>28975</v>
      </c>
      <c r="B48" s="349"/>
      <c r="C48" s="349"/>
      <c r="D48" s="349"/>
      <c r="E48" s="349"/>
      <c r="F48" s="349"/>
      <c r="G48" s="349"/>
      <c r="H48" s="351"/>
      <c r="I48" s="349"/>
      <c r="J48" s="349"/>
      <c r="K48" s="349"/>
      <c r="L48" s="349"/>
      <c r="M48" s="349"/>
      <c r="N48" s="349"/>
      <c r="O48" s="352"/>
      <c r="P48" s="352"/>
      <c r="Q48" s="352"/>
      <c r="R48" s="349"/>
      <c r="S48" s="349"/>
      <c r="T48" s="349"/>
      <c r="U48" s="349"/>
      <c r="V48" s="352"/>
      <c r="W48" s="349"/>
      <c r="X48" s="349"/>
      <c r="Y48" s="349"/>
    </row>
    <row r="49" spans="1:25" x14ac:dyDescent="0.2">
      <c r="A49" s="19">
        <v>29006</v>
      </c>
      <c r="B49" s="349"/>
      <c r="C49" s="349"/>
      <c r="D49" s="349"/>
      <c r="E49" s="349"/>
      <c r="F49" s="349"/>
      <c r="G49" s="349"/>
      <c r="H49" s="351"/>
      <c r="I49" s="349"/>
      <c r="J49" s="349"/>
      <c r="K49" s="349"/>
      <c r="L49" s="349"/>
      <c r="M49" s="349"/>
      <c r="N49" s="349"/>
      <c r="O49" s="352"/>
      <c r="P49" s="352"/>
      <c r="Q49" s="352"/>
      <c r="R49" s="349"/>
      <c r="S49" s="349"/>
      <c r="T49" s="349"/>
      <c r="U49" s="349"/>
      <c r="V49" s="352"/>
      <c r="W49" s="349"/>
      <c r="X49" s="349"/>
      <c r="Y49" s="349"/>
    </row>
    <row r="50" spans="1:25" x14ac:dyDescent="0.2">
      <c r="A50" s="19">
        <v>29036</v>
      </c>
      <c r="B50" s="349"/>
      <c r="C50" s="349"/>
      <c r="D50" s="349"/>
      <c r="E50" s="349"/>
      <c r="F50" s="349"/>
      <c r="G50" s="349"/>
      <c r="H50" s="351"/>
      <c r="I50" s="349"/>
      <c r="J50" s="349"/>
      <c r="K50" s="349"/>
      <c r="L50" s="349"/>
      <c r="M50" s="349"/>
      <c r="N50" s="349"/>
      <c r="O50" s="352"/>
      <c r="P50" s="352"/>
      <c r="Q50" s="352"/>
      <c r="R50" s="349"/>
      <c r="S50" s="349"/>
      <c r="T50" s="349"/>
      <c r="U50" s="349"/>
      <c r="V50" s="352"/>
      <c r="W50" s="349"/>
      <c r="X50" s="349"/>
      <c r="Y50" s="349"/>
    </row>
    <row r="51" spans="1:25" x14ac:dyDescent="0.2">
      <c r="A51" s="19">
        <v>29067</v>
      </c>
      <c r="B51" s="349"/>
      <c r="C51" s="349"/>
      <c r="D51" s="349"/>
      <c r="E51" s="349"/>
      <c r="F51" s="349"/>
      <c r="G51" s="349"/>
      <c r="H51" s="351"/>
      <c r="I51" s="349"/>
      <c r="J51" s="349"/>
      <c r="K51" s="349"/>
      <c r="L51" s="349"/>
      <c r="M51" s="349"/>
      <c r="N51" s="349"/>
      <c r="O51" s="352"/>
      <c r="P51" s="352"/>
      <c r="Q51" s="352"/>
      <c r="R51" s="349"/>
      <c r="S51" s="349"/>
      <c r="T51" s="349"/>
      <c r="U51" s="349"/>
      <c r="V51" s="352"/>
      <c r="W51" s="349"/>
      <c r="X51" s="349"/>
      <c r="Y51" s="349"/>
    </row>
    <row r="52" spans="1:25" x14ac:dyDescent="0.2">
      <c r="A52" s="19">
        <v>29098</v>
      </c>
      <c r="B52" s="349"/>
      <c r="C52" s="349"/>
      <c r="D52" s="349"/>
      <c r="E52" s="349"/>
      <c r="F52" s="349"/>
      <c r="G52" s="349"/>
      <c r="H52" s="351"/>
      <c r="I52" s="349"/>
      <c r="J52" s="349"/>
      <c r="K52" s="349"/>
      <c r="L52" s="349"/>
      <c r="M52" s="349"/>
      <c r="N52" s="349"/>
      <c r="O52" s="352"/>
      <c r="P52" s="352"/>
      <c r="Q52" s="352"/>
      <c r="R52" s="349"/>
      <c r="S52" s="349"/>
      <c r="T52" s="349"/>
      <c r="U52" s="349"/>
      <c r="V52" s="352"/>
      <c r="W52" s="349"/>
      <c r="X52" s="349"/>
      <c r="Y52" s="349"/>
    </row>
    <row r="53" spans="1:25" x14ac:dyDescent="0.2">
      <c r="A53" s="19">
        <v>29128</v>
      </c>
      <c r="B53" s="349"/>
      <c r="C53" s="349"/>
      <c r="D53" s="349"/>
      <c r="E53" s="349"/>
      <c r="F53" s="349"/>
      <c r="G53" s="349"/>
      <c r="H53" s="351"/>
      <c r="I53" s="349"/>
      <c r="J53" s="349"/>
      <c r="K53" s="349"/>
      <c r="L53" s="349"/>
      <c r="M53" s="349"/>
      <c r="N53" s="349"/>
      <c r="O53" s="352"/>
      <c r="P53" s="352"/>
      <c r="Q53" s="352"/>
      <c r="R53" s="349"/>
      <c r="S53" s="349"/>
      <c r="T53" s="349"/>
      <c r="U53" s="349"/>
      <c r="V53" s="352"/>
      <c r="W53" s="349"/>
      <c r="X53" s="349"/>
      <c r="Y53" s="349"/>
    </row>
    <row r="54" spans="1:25" x14ac:dyDescent="0.2">
      <c r="A54" s="19">
        <v>29159</v>
      </c>
      <c r="B54" s="349"/>
      <c r="C54" s="349"/>
      <c r="D54" s="349"/>
      <c r="E54" s="349"/>
      <c r="F54" s="349"/>
      <c r="G54" s="349"/>
      <c r="H54" s="351"/>
      <c r="I54" s="349"/>
      <c r="J54" s="349"/>
      <c r="K54" s="349"/>
      <c r="L54" s="349"/>
      <c r="M54" s="349"/>
      <c r="N54" s="349"/>
      <c r="O54" s="352"/>
      <c r="P54" s="352"/>
      <c r="Q54" s="352"/>
      <c r="R54" s="349"/>
      <c r="S54" s="349"/>
      <c r="T54" s="349"/>
      <c r="U54" s="349"/>
      <c r="V54" s="352"/>
      <c r="W54" s="349"/>
      <c r="X54" s="349"/>
      <c r="Y54" s="349"/>
    </row>
    <row r="55" spans="1:25" x14ac:dyDescent="0.2">
      <c r="A55" s="19">
        <v>29189</v>
      </c>
      <c r="B55" s="349"/>
      <c r="C55" s="349"/>
      <c r="D55" s="349"/>
      <c r="E55" s="349"/>
      <c r="F55" s="349"/>
      <c r="G55" s="349"/>
      <c r="H55" s="351"/>
      <c r="I55" s="349"/>
      <c r="J55" s="349"/>
      <c r="K55" s="349"/>
      <c r="L55" s="349"/>
      <c r="M55" s="349"/>
      <c r="N55" s="349"/>
      <c r="O55" s="352"/>
      <c r="P55" s="352"/>
      <c r="Q55" s="352"/>
      <c r="R55" s="349"/>
      <c r="S55" s="349"/>
      <c r="T55" s="349"/>
      <c r="U55" s="349"/>
      <c r="V55" s="352"/>
      <c r="W55" s="349"/>
      <c r="X55" s="349"/>
      <c r="Y55" s="349"/>
    </row>
    <row r="56" spans="1:25" x14ac:dyDescent="0.2">
      <c r="A56" s="19">
        <v>29220</v>
      </c>
      <c r="B56" s="349"/>
      <c r="C56" s="349"/>
      <c r="D56" s="349"/>
      <c r="E56" s="349"/>
      <c r="F56" s="349"/>
      <c r="G56" s="349"/>
      <c r="H56" s="351"/>
      <c r="I56" s="349"/>
      <c r="J56" s="349"/>
      <c r="K56" s="349"/>
      <c r="L56" s="349"/>
      <c r="M56" s="349"/>
      <c r="N56" s="349"/>
      <c r="O56" s="352"/>
      <c r="P56" s="352"/>
      <c r="Q56" s="352"/>
      <c r="R56" s="349"/>
      <c r="S56" s="349"/>
      <c r="T56" s="349"/>
      <c r="U56" s="349"/>
      <c r="V56" s="352"/>
      <c r="W56" s="349"/>
      <c r="X56" s="349"/>
      <c r="Y56" s="349"/>
    </row>
    <row r="57" spans="1:25" x14ac:dyDescent="0.2">
      <c r="A57" s="19">
        <v>29251</v>
      </c>
      <c r="B57" s="349"/>
      <c r="C57" s="349"/>
      <c r="D57" s="349"/>
      <c r="E57" s="349"/>
      <c r="F57" s="349"/>
      <c r="G57" s="349"/>
      <c r="H57" s="351"/>
      <c r="I57" s="349"/>
      <c r="J57" s="349"/>
      <c r="K57" s="349"/>
      <c r="L57" s="349"/>
      <c r="M57" s="349"/>
      <c r="N57" s="349"/>
      <c r="O57" s="352"/>
      <c r="P57" s="352"/>
      <c r="Q57" s="352"/>
      <c r="R57" s="349"/>
      <c r="S57" s="349"/>
      <c r="T57" s="349"/>
      <c r="U57" s="349"/>
      <c r="V57" s="352"/>
      <c r="W57" s="349"/>
      <c r="X57" s="349"/>
      <c r="Y57" s="349"/>
    </row>
    <row r="58" spans="1:25" x14ac:dyDescent="0.2">
      <c r="A58" s="19">
        <v>29280</v>
      </c>
      <c r="B58" s="349"/>
      <c r="C58" s="349"/>
      <c r="D58" s="349"/>
      <c r="E58" s="349"/>
      <c r="F58" s="349"/>
      <c r="G58" s="349"/>
      <c r="H58" s="351"/>
      <c r="I58" s="349"/>
      <c r="J58" s="349"/>
      <c r="K58" s="349"/>
      <c r="L58" s="349"/>
      <c r="M58" s="349"/>
      <c r="N58" s="349"/>
      <c r="O58" s="352"/>
      <c r="P58" s="352"/>
      <c r="Q58" s="352"/>
      <c r="R58" s="349"/>
      <c r="S58" s="349"/>
      <c r="T58" s="349"/>
      <c r="U58" s="349"/>
      <c r="V58" s="352"/>
      <c r="W58" s="349"/>
      <c r="X58" s="349"/>
      <c r="Y58" s="349"/>
    </row>
    <row r="59" spans="1:25" x14ac:dyDescent="0.2">
      <c r="A59" s="19">
        <v>29311</v>
      </c>
      <c r="B59" s="349"/>
      <c r="C59" s="349"/>
      <c r="D59" s="349"/>
      <c r="E59" s="349"/>
      <c r="F59" s="349"/>
      <c r="G59" s="349"/>
      <c r="H59" s="351"/>
      <c r="I59" s="349"/>
      <c r="J59" s="349"/>
      <c r="K59" s="349"/>
      <c r="L59" s="349"/>
      <c r="M59" s="349"/>
      <c r="N59" s="349"/>
      <c r="O59" s="352"/>
      <c r="P59" s="352"/>
      <c r="Q59" s="352"/>
      <c r="R59" s="349"/>
      <c r="S59" s="349"/>
      <c r="T59" s="349"/>
      <c r="U59" s="349"/>
      <c r="V59" s="352"/>
      <c r="W59" s="349"/>
      <c r="X59" s="349"/>
      <c r="Y59" s="349"/>
    </row>
    <row r="60" spans="1:25" x14ac:dyDescent="0.2">
      <c r="A60" s="19">
        <v>29341</v>
      </c>
      <c r="B60" s="349"/>
      <c r="C60" s="349"/>
      <c r="D60" s="349"/>
      <c r="E60" s="349"/>
      <c r="F60" s="349"/>
      <c r="G60" s="349"/>
      <c r="H60" s="351"/>
      <c r="I60" s="349"/>
      <c r="J60" s="349"/>
      <c r="K60" s="349"/>
      <c r="L60" s="349"/>
      <c r="M60" s="349"/>
      <c r="N60" s="349"/>
      <c r="O60" s="352"/>
      <c r="P60" s="352"/>
      <c r="Q60" s="352"/>
      <c r="R60" s="349"/>
      <c r="S60" s="349"/>
      <c r="T60" s="349"/>
      <c r="U60" s="349"/>
      <c r="V60" s="352"/>
      <c r="W60" s="349"/>
      <c r="X60" s="349"/>
      <c r="Y60" s="349"/>
    </row>
    <row r="61" spans="1:25" x14ac:dyDescent="0.2">
      <c r="A61" s="19">
        <v>29372</v>
      </c>
      <c r="B61" s="349"/>
      <c r="C61" s="349"/>
      <c r="D61" s="349"/>
      <c r="E61" s="349"/>
      <c r="F61" s="349"/>
      <c r="G61" s="349"/>
      <c r="H61" s="351"/>
      <c r="I61" s="349"/>
      <c r="J61" s="349"/>
      <c r="K61" s="349"/>
      <c r="L61" s="349"/>
      <c r="M61" s="349"/>
      <c r="N61" s="349"/>
      <c r="O61" s="352"/>
      <c r="P61" s="352"/>
      <c r="Q61" s="352"/>
      <c r="R61" s="349"/>
      <c r="S61" s="349"/>
      <c r="T61" s="349"/>
      <c r="U61" s="349"/>
      <c r="V61" s="352"/>
      <c r="W61" s="349"/>
      <c r="X61" s="349"/>
      <c r="Y61" s="349"/>
    </row>
    <row r="62" spans="1:25" x14ac:dyDescent="0.2">
      <c r="A62" s="19">
        <v>29402</v>
      </c>
      <c r="B62" s="349"/>
      <c r="C62" s="349"/>
      <c r="D62" s="349"/>
      <c r="E62" s="349"/>
      <c r="F62" s="349"/>
      <c r="G62" s="349"/>
      <c r="H62" s="351"/>
      <c r="I62" s="349"/>
      <c r="J62" s="349"/>
      <c r="K62" s="349"/>
      <c r="L62" s="349"/>
      <c r="M62" s="349"/>
      <c r="N62" s="349"/>
      <c r="O62" s="352"/>
      <c r="P62" s="352"/>
      <c r="Q62" s="352"/>
      <c r="R62" s="349"/>
      <c r="S62" s="349"/>
      <c r="T62" s="349"/>
      <c r="U62" s="349"/>
      <c r="V62" s="352"/>
      <c r="W62" s="349"/>
      <c r="X62" s="349"/>
      <c r="Y62" s="349"/>
    </row>
    <row r="63" spans="1:25" x14ac:dyDescent="0.2">
      <c r="A63" s="19">
        <v>29433</v>
      </c>
      <c r="B63" s="349"/>
      <c r="C63" s="349"/>
      <c r="D63" s="349"/>
      <c r="E63" s="349"/>
      <c r="F63" s="349"/>
      <c r="G63" s="349"/>
      <c r="H63" s="351"/>
      <c r="I63" s="349"/>
      <c r="J63" s="349"/>
      <c r="K63" s="349"/>
      <c r="L63" s="349"/>
      <c r="M63" s="349"/>
      <c r="N63" s="349"/>
      <c r="O63" s="352"/>
      <c r="P63" s="352"/>
      <c r="Q63" s="352"/>
      <c r="R63" s="349"/>
      <c r="S63" s="349"/>
      <c r="T63" s="349"/>
      <c r="U63" s="349"/>
      <c r="V63" s="352"/>
      <c r="W63" s="349"/>
      <c r="X63" s="349"/>
      <c r="Y63" s="349"/>
    </row>
    <row r="64" spans="1:25" x14ac:dyDescent="0.2">
      <c r="A64" s="19">
        <v>29464</v>
      </c>
      <c r="B64" s="349"/>
      <c r="C64" s="349"/>
      <c r="D64" s="349"/>
      <c r="E64" s="349"/>
      <c r="F64" s="349"/>
      <c r="G64" s="349"/>
      <c r="H64" s="351"/>
      <c r="I64" s="349"/>
      <c r="J64" s="349"/>
      <c r="K64" s="349"/>
      <c r="L64" s="349"/>
      <c r="M64" s="349"/>
      <c r="N64" s="349"/>
      <c r="O64" s="352"/>
      <c r="P64" s="352"/>
      <c r="Q64" s="352"/>
      <c r="R64" s="349"/>
      <c r="S64" s="349"/>
      <c r="T64" s="349"/>
      <c r="U64" s="349"/>
      <c r="V64" s="352"/>
      <c r="W64" s="349"/>
      <c r="X64" s="349"/>
      <c r="Y64" s="349"/>
    </row>
    <row r="65" spans="1:25" x14ac:dyDescent="0.2">
      <c r="A65" s="19">
        <v>29494</v>
      </c>
      <c r="B65" s="349"/>
      <c r="C65" s="349"/>
      <c r="D65" s="349"/>
      <c r="E65" s="349"/>
      <c r="F65" s="349"/>
      <c r="G65" s="349"/>
      <c r="H65" s="351"/>
      <c r="I65" s="349"/>
      <c r="J65" s="349"/>
      <c r="K65" s="349"/>
      <c r="L65" s="349"/>
      <c r="M65" s="349"/>
      <c r="N65" s="349"/>
      <c r="O65" s="352"/>
      <c r="P65" s="352"/>
      <c r="Q65" s="352"/>
      <c r="R65" s="349"/>
      <c r="S65" s="349"/>
      <c r="T65" s="349"/>
      <c r="U65" s="349"/>
      <c r="V65" s="352"/>
      <c r="W65" s="349"/>
      <c r="X65" s="349"/>
      <c r="Y65" s="349"/>
    </row>
    <row r="66" spans="1:25" x14ac:dyDescent="0.2">
      <c r="A66" s="19">
        <v>29525</v>
      </c>
      <c r="B66" s="349"/>
      <c r="C66" s="349"/>
      <c r="D66" s="349"/>
      <c r="E66" s="349"/>
      <c r="F66" s="349"/>
      <c r="G66" s="349"/>
      <c r="H66" s="351"/>
      <c r="I66" s="349"/>
      <c r="J66" s="349"/>
      <c r="K66" s="349"/>
      <c r="L66" s="349"/>
      <c r="M66" s="349"/>
      <c r="N66" s="349"/>
      <c r="O66" s="352"/>
      <c r="P66" s="352"/>
      <c r="Q66" s="352"/>
      <c r="R66" s="349"/>
      <c r="S66" s="349"/>
      <c r="T66" s="349"/>
      <c r="U66" s="349"/>
      <c r="V66" s="352"/>
      <c r="W66" s="349"/>
      <c r="X66" s="349"/>
      <c r="Y66" s="349"/>
    </row>
    <row r="67" spans="1:25" x14ac:dyDescent="0.2">
      <c r="A67" s="19">
        <v>29555</v>
      </c>
      <c r="B67" s="349"/>
      <c r="C67" s="349"/>
      <c r="D67" s="349"/>
      <c r="E67" s="349"/>
      <c r="F67" s="349"/>
      <c r="G67" s="349"/>
      <c r="H67" s="351"/>
      <c r="I67" s="349"/>
      <c r="J67" s="349"/>
      <c r="K67" s="349"/>
      <c r="L67" s="349"/>
      <c r="M67" s="349"/>
      <c r="N67" s="349"/>
      <c r="O67" s="352"/>
      <c r="P67" s="352"/>
      <c r="Q67" s="352"/>
      <c r="R67" s="349"/>
      <c r="S67" s="349"/>
      <c r="T67" s="349"/>
      <c r="U67" s="349"/>
      <c r="V67" s="352"/>
      <c r="W67" s="349"/>
      <c r="X67" s="349"/>
      <c r="Y67" s="349"/>
    </row>
    <row r="68" spans="1:25" x14ac:dyDescent="0.2">
      <c r="A68" s="19">
        <v>29586</v>
      </c>
      <c r="B68" s="352">
        <f t="array" ref="B68">(PRODUCT(Index_Returns!D57:D68/100+1)-1)*100</f>
        <v>23.588714216469619</v>
      </c>
      <c r="C68" s="352">
        <f t="array" ref="C68">(PRODUCT(Index_Returns!C57:C68/100+1)-1)*100</f>
        <v>39.753025383354831</v>
      </c>
      <c r="D68" s="352">
        <f>B68-C68</f>
        <v>-16.164311166885213</v>
      </c>
      <c r="E68" s="352"/>
      <c r="F68" s="352"/>
      <c r="G68" s="352"/>
      <c r="H68" s="351"/>
      <c r="I68" s="349"/>
      <c r="J68" s="349"/>
      <c r="K68" s="349"/>
      <c r="L68" s="349"/>
      <c r="M68" s="349"/>
      <c r="N68" s="349"/>
      <c r="O68" s="352"/>
      <c r="P68" s="352"/>
      <c r="Q68" s="352"/>
      <c r="R68" s="352"/>
      <c r="S68" s="352"/>
      <c r="T68" s="352"/>
      <c r="U68" s="352"/>
      <c r="V68" s="352"/>
      <c r="W68" s="352">
        <f t="array" ref="W68">(PRODUCT(Index_Returns!AC57:AC68/100+1)-1)*100</f>
        <v>21.064208484446077</v>
      </c>
      <c r="X68" s="352">
        <f t="array" ref="X68">(PRODUCT(Index_Returns!AB57:AB68/100+1)-1)*100</f>
        <v>26.285407644217116</v>
      </c>
      <c r="Y68" s="352">
        <f>W68-X68</f>
        <v>-5.2211991597710394</v>
      </c>
    </row>
    <row r="69" spans="1:25" x14ac:dyDescent="0.2">
      <c r="A69" s="19">
        <v>29617</v>
      </c>
      <c r="B69" s="352">
        <f t="array" ref="B69">(PRODUCT(Index_Returns!D58:D69/100+1)-1)*100</f>
        <v>14.539649340530936</v>
      </c>
      <c r="C69" s="352">
        <f t="array" ref="C69">(PRODUCT(Index_Returns!C58:C69/100+1)-1)*100</f>
        <v>22.311117951386915</v>
      </c>
      <c r="D69" s="352">
        <f t="shared" ref="D69:D132" si="0">B69-C69</f>
        <v>-7.7714686108559796</v>
      </c>
      <c r="E69" s="352"/>
      <c r="F69" s="352"/>
      <c r="G69" s="352"/>
      <c r="H69" s="351"/>
      <c r="I69" s="349"/>
      <c r="J69" s="349"/>
      <c r="K69" s="349"/>
      <c r="L69" s="349"/>
      <c r="M69" s="349"/>
      <c r="N69" s="349"/>
      <c r="O69" s="352"/>
      <c r="P69" s="352"/>
      <c r="Q69" s="352"/>
      <c r="R69" s="352"/>
      <c r="S69" s="352"/>
      <c r="T69" s="352"/>
      <c r="U69" s="352"/>
      <c r="V69" s="352"/>
      <c r="W69" s="352">
        <f t="array" ref="W69">(PRODUCT(Index_Returns!AC58:AC69/100+1)-1)*100</f>
        <v>15.335644199348986</v>
      </c>
      <c r="X69" s="352">
        <f t="array" ref="X69">(PRODUCT(Index_Returns!AB58:AB69/100+1)-1)*100</f>
        <v>17.700366026314285</v>
      </c>
      <c r="Y69" s="352">
        <f t="shared" ref="Y69:Y132" si="1">W69-X69</f>
        <v>-2.3647218269652992</v>
      </c>
    </row>
    <row r="70" spans="1:25" x14ac:dyDescent="0.2">
      <c r="A70" s="19">
        <v>29645</v>
      </c>
      <c r="B70" s="352">
        <f t="array" ref="B70">(PRODUCT(Index_Returns!D59:D70/100+1)-1)*100</f>
        <v>15.347388226424673</v>
      </c>
      <c r="C70" s="352">
        <f t="array" ref="C70">(PRODUCT(Index_Returns!C59:C70/100+1)-1)*100</f>
        <v>25.637039537837758</v>
      </c>
      <c r="D70" s="352">
        <f t="shared" si="0"/>
        <v>-10.289651311413085</v>
      </c>
      <c r="E70" s="352"/>
      <c r="F70" s="352"/>
      <c r="G70" s="352"/>
      <c r="H70" s="351"/>
      <c r="I70" s="349"/>
      <c r="J70" s="349"/>
      <c r="K70" s="349"/>
      <c r="L70" s="349"/>
      <c r="M70" s="349"/>
      <c r="N70" s="349"/>
      <c r="O70" s="352"/>
      <c r="P70" s="352"/>
      <c r="Q70" s="352"/>
      <c r="R70" s="352"/>
      <c r="S70" s="352"/>
      <c r="T70" s="352"/>
      <c r="U70" s="352"/>
      <c r="V70" s="352"/>
      <c r="W70" s="352">
        <f t="array" ref="W70">(PRODUCT(Index_Returns!AC59:AC70/100+1)-1)*100</f>
        <v>15.357746816507877</v>
      </c>
      <c r="X70" s="352">
        <f t="array" ref="X70">(PRODUCT(Index_Returns!AB59:AB70/100+1)-1)*100</f>
        <v>15.662946992287562</v>
      </c>
      <c r="Y70" s="352">
        <f t="shared" si="1"/>
        <v>-0.30520017577968517</v>
      </c>
    </row>
    <row r="71" spans="1:25" x14ac:dyDescent="0.2">
      <c r="A71" s="19">
        <v>29676</v>
      </c>
      <c r="B71" s="352">
        <f t="array" ref="B71">(PRODUCT(Index_Returns!D60:D71/100+1)-1)*100</f>
        <v>34.505342725638585</v>
      </c>
      <c r="C71" s="352">
        <f t="array" ref="C71">(PRODUCT(Index_Returns!C60:C71/100+1)-1)*100</f>
        <v>42.886243175371838</v>
      </c>
      <c r="D71" s="352">
        <f t="shared" si="0"/>
        <v>-8.3809004497332538</v>
      </c>
      <c r="E71" s="352"/>
      <c r="F71" s="352"/>
      <c r="G71" s="352"/>
      <c r="H71" s="351"/>
      <c r="I71" s="349"/>
      <c r="J71" s="349"/>
      <c r="K71" s="349"/>
      <c r="L71" s="349"/>
      <c r="M71" s="349"/>
      <c r="N71" s="349"/>
      <c r="O71" s="352"/>
      <c r="P71" s="352"/>
      <c r="Q71" s="352"/>
      <c r="R71" s="352"/>
      <c r="S71" s="352"/>
      <c r="T71" s="352"/>
      <c r="U71" s="352"/>
      <c r="V71" s="352"/>
      <c r="W71" s="352">
        <f t="array" ref="W71">(PRODUCT(Index_Returns!AC60:AC71/100+1)-1)*100</f>
        <v>34.306703126132021</v>
      </c>
      <c r="X71" s="352">
        <f t="array" ref="X71">(PRODUCT(Index_Returns!AB60:AB71/100+1)-1)*100</f>
        <v>33.666714535311762</v>
      </c>
      <c r="Y71" s="352">
        <f t="shared" si="1"/>
        <v>0.63998859082025916</v>
      </c>
    </row>
    <row r="72" spans="1:25" x14ac:dyDescent="0.2">
      <c r="A72" s="19">
        <v>29706</v>
      </c>
      <c r="B72" s="352">
        <f t="array" ref="B72">(PRODUCT(Index_Returns!D61:D72/100+1)-1)*100</f>
        <v>27.040595048608253</v>
      </c>
      <c r="C72" s="352">
        <f t="array" ref="C72">(PRODUCT(Index_Returns!C61:C72/100+1)-1)*100</f>
        <v>33.113285405013528</v>
      </c>
      <c r="D72" s="352">
        <f t="shared" si="0"/>
        <v>-6.0726903564052748</v>
      </c>
      <c r="E72" s="352"/>
      <c r="F72" s="352"/>
      <c r="G72" s="352"/>
      <c r="H72" s="351"/>
      <c r="I72" s="349"/>
      <c r="J72" s="349"/>
      <c r="K72" s="349"/>
      <c r="L72" s="349"/>
      <c r="M72" s="349"/>
      <c r="N72" s="349"/>
      <c r="O72" s="352"/>
      <c r="P72" s="352"/>
      <c r="Q72" s="352"/>
      <c r="R72" s="352"/>
      <c r="S72" s="352"/>
      <c r="T72" s="352"/>
      <c r="U72" s="352"/>
      <c r="V72" s="352"/>
      <c r="W72" s="352">
        <f t="array" ref="W72">(PRODUCT(Index_Returns!AC61:AC72/100+1)-1)*100</f>
        <v>29.915830809674837</v>
      </c>
      <c r="X72" s="352">
        <f t="array" ref="X72">(PRODUCT(Index_Returns!AB61:AB72/100+1)-1)*100</f>
        <v>21.570989874847378</v>
      </c>
      <c r="Y72" s="352">
        <f t="shared" si="1"/>
        <v>8.3448409348274595</v>
      </c>
    </row>
    <row r="73" spans="1:25" x14ac:dyDescent="0.2">
      <c r="A73" s="19">
        <v>29737</v>
      </c>
      <c r="B73" s="352">
        <f t="array" ref="B73">(PRODUCT(Index_Returns!D62:D73/100+1)-1)*100</f>
        <v>21.112193957165527</v>
      </c>
      <c r="C73" s="352">
        <f t="array" ref="C73">(PRODUCT(Index_Returns!C62:C73/100+1)-1)*100</f>
        <v>26.690892652662157</v>
      </c>
      <c r="D73" s="352">
        <f t="shared" si="0"/>
        <v>-5.5786986954966302</v>
      </c>
      <c r="E73" s="352"/>
      <c r="F73" s="352"/>
      <c r="G73" s="352"/>
      <c r="H73" s="351"/>
      <c r="I73" s="349"/>
      <c r="J73" s="349"/>
      <c r="K73" s="349"/>
      <c r="L73" s="349"/>
      <c r="M73" s="349"/>
      <c r="N73" s="349"/>
      <c r="O73" s="352"/>
      <c r="P73" s="352"/>
      <c r="Q73" s="352"/>
      <c r="R73" s="352"/>
      <c r="S73" s="352"/>
      <c r="T73" s="352"/>
      <c r="U73" s="352"/>
      <c r="V73" s="352"/>
      <c r="W73" s="352">
        <f t="array" ref="W73">(PRODUCT(Index_Returns!AC62:AC73/100+1)-1)*100</f>
        <v>19.802213891253871</v>
      </c>
      <c r="X73" s="352">
        <f t="array" ref="X73">(PRODUCT(Index_Returns!AB62:AB73/100+1)-1)*100</f>
        <v>10.585390985565235</v>
      </c>
      <c r="Y73" s="352">
        <f t="shared" si="1"/>
        <v>9.2168229056886357</v>
      </c>
    </row>
    <row r="74" spans="1:25" x14ac:dyDescent="0.2">
      <c r="A74" s="19">
        <v>29767</v>
      </c>
      <c r="B74" s="352">
        <f t="array" ref="B74">(PRODUCT(Index_Returns!D63:D74/100+1)-1)*100</f>
        <v>18.164878056526913</v>
      </c>
      <c r="C74" s="352">
        <f t="array" ref="C74">(PRODUCT(Index_Returns!C63:C74/100+1)-1)*100</f>
        <v>20.463512449969514</v>
      </c>
      <c r="D74" s="352">
        <f t="shared" si="0"/>
        <v>-2.298634393442601</v>
      </c>
      <c r="E74" s="352"/>
      <c r="F74" s="352"/>
      <c r="G74" s="352"/>
      <c r="H74" s="351"/>
      <c r="I74" s="349"/>
      <c r="J74" s="349"/>
      <c r="K74" s="349"/>
      <c r="L74" s="349"/>
      <c r="M74" s="349"/>
      <c r="N74" s="349"/>
      <c r="O74" s="352"/>
      <c r="P74" s="352"/>
      <c r="Q74" s="352"/>
      <c r="R74" s="352"/>
      <c r="S74" s="352"/>
      <c r="T74" s="352"/>
      <c r="U74" s="352"/>
      <c r="V74" s="352"/>
      <c r="W74" s="352">
        <f t="array" ref="W74">(PRODUCT(Index_Returns!AC63:AC74/100+1)-1)*100</f>
        <v>14.569562811798399</v>
      </c>
      <c r="X74" s="352">
        <f t="array" ref="X74">(PRODUCT(Index_Returns!AB63:AB74/100+1)-1)*100</f>
        <v>3.1606287773844777</v>
      </c>
      <c r="Y74" s="352">
        <f t="shared" si="1"/>
        <v>11.408934034413921</v>
      </c>
    </row>
    <row r="75" spans="1:25" x14ac:dyDescent="0.2">
      <c r="A75" s="19">
        <v>29798</v>
      </c>
      <c r="B75" s="352">
        <f t="array" ref="B75">(PRODUCT(Index_Returns!D64:D75/100+1)-1)*100</f>
        <v>10.606452716287841</v>
      </c>
      <c r="C75" s="352">
        <f t="array" ref="C75">(PRODUCT(Index_Returns!C64:C75/100+1)-1)*100</f>
        <v>13.530369490200368</v>
      </c>
      <c r="D75" s="352">
        <f t="shared" si="0"/>
        <v>-2.9239167739125271</v>
      </c>
      <c r="E75" s="352"/>
      <c r="F75" s="352"/>
      <c r="G75" s="352"/>
      <c r="H75" s="351"/>
      <c r="I75" s="349"/>
      <c r="J75" s="349"/>
      <c r="K75" s="349"/>
      <c r="L75" s="349"/>
      <c r="M75" s="349"/>
      <c r="N75" s="349"/>
      <c r="O75" s="352"/>
      <c r="P75" s="352"/>
      <c r="Q75" s="352"/>
      <c r="R75" s="352"/>
      <c r="S75" s="352"/>
      <c r="T75" s="352"/>
      <c r="U75" s="352"/>
      <c r="V75" s="352"/>
      <c r="W75" s="352">
        <f t="array" ref="W75">(PRODUCT(Index_Returns!AC64:AC75/100+1)-1)*100</f>
        <v>10.804533127912164</v>
      </c>
      <c r="X75" s="352">
        <f t="array" ref="X75">(PRODUCT(Index_Returns!AB64:AB75/100+1)-1)*100</f>
        <v>-0.76117613747627155</v>
      </c>
      <c r="Y75" s="352">
        <f t="shared" si="1"/>
        <v>11.565709265388435</v>
      </c>
    </row>
    <row r="76" spans="1:25" x14ac:dyDescent="0.2">
      <c r="A76" s="19">
        <v>29829</v>
      </c>
      <c r="B76" s="352">
        <f t="array" ref="B76">(PRODUCT(Index_Returns!D65:D76/100+1)-1)*100</f>
        <v>4.0232543086569983</v>
      </c>
      <c r="C76" s="352">
        <f t="array" ref="C76">(PRODUCT(Index_Returns!C65:C76/100+1)-1)*100</f>
        <v>5.1318721023715375</v>
      </c>
      <c r="D76" s="352">
        <f t="shared" si="0"/>
        <v>-1.1086177937145392</v>
      </c>
      <c r="E76" s="352"/>
      <c r="F76" s="352"/>
      <c r="G76" s="352"/>
      <c r="H76" s="351"/>
      <c r="I76" s="349"/>
      <c r="J76" s="349"/>
      <c r="K76" s="349"/>
      <c r="L76" s="349"/>
      <c r="M76" s="349"/>
      <c r="N76" s="349"/>
      <c r="O76" s="352"/>
      <c r="P76" s="352"/>
      <c r="Q76" s="352"/>
      <c r="R76" s="352"/>
      <c r="S76" s="352"/>
      <c r="T76" s="352"/>
      <c r="U76" s="352"/>
      <c r="V76" s="352"/>
      <c r="W76" s="352">
        <f t="array" ref="W76">(PRODUCT(Index_Returns!AC65:AC76/100+1)-1)*100</f>
        <v>9.4929472744779808</v>
      </c>
      <c r="X76" s="352">
        <f t="array" ref="X76">(PRODUCT(Index_Returns!AB65:AB76/100+1)-1)*100</f>
        <v>-1.7283913305675691</v>
      </c>
      <c r="Y76" s="352">
        <f t="shared" si="1"/>
        <v>11.221338605045549</v>
      </c>
    </row>
    <row r="77" spans="1:25" x14ac:dyDescent="0.2">
      <c r="A77" s="19">
        <v>29859</v>
      </c>
      <c r="B77" s="352">
        <f t="array" ref="B77">(PRODUCT(Index_Returns!D66:D77/100+1)-1)*100</f>
        <v>-0.97489095978952056</v>
      </c>
      <c r="C77" s="352">
        <f t="array" ref="C77">(PRODUCT(Index_Returns!C66:C77/100+1)-1)*100</f>
        <v>-5.4178843453898899</v>
      </c>
      <c r="D77" s="352">
        <f t="shared" si="0"/>
        <v>4.4429933856003689</v>
      </c>
      <c r="E77" s="352"/>
      <c r="F77" s="352"/>
      <c r="G77" s="352"/>
      <c r="H77" s="351"/>
      <c r="I77" s="349"/>
      <c r="J77" s="349"/>
      <c r="K77" s="349"/>
      <c r="L77" s="349"/>
      <c r="M77" s="349"/>
      <c r="N77" s="349"/>
      <c r="O77" s="352"/>
      <c r="P77" s="352"/>
      <c r="Q77" s="352"/>
      <c r="R77" s="352"/>
      <c r="S77" s="352"/>
      <c r="T77" s="352"/>
      <c r="U77" s="352"/>
      <c r="V77" s="352"/>
      <c r="W77" s="352">
        <f t="array" ref="W77">(PRODUCT(Index_Returns!AC66:AC77/100+1)-1)*100</f>
        <v>-2.584904177476921</v>
      </c>
      <c r="X77" s="352">
        <f t="array" ref="X77">(PRODUCT(Index_Returns!AB66:AB77/100+1)-1)*100</f>
        <v>-16.217947129802436</v>
      </c>
      <c r="Y77" s="352">
        <f t="shared" si="1"/>
        <v>13.633042952325514</v>
      </c>
    </row>
    <row r="78" spans="1:25" x14ac:dyDescent="0.2">
      <c r="A78" s="19">
        <v>29890</v>
      </c>
      <c r="B78" s="352">
        <f t="array" ref="B78">(PRODUCT(Index_Returns!D67:D78/100+1)-1)*100</f>
        <v>2.8478605243110522</v>
      </c>
      <c r="C78" s="352">
        <f t="array" ref="C78">(PRODUCT(Index_Returns!C67:C78/100+1)-1)*100</f>
        <v>-2.4172546633685732</v>
      </c>
      <c r="D78" s="352">
        <f t="shared" si="0"/>
        <v>5.2651151876796254</v>
      </c>
      <c r="E78" s="352"/>
      <c r="F78" s="352"/>
      <c r="G78" s="352"/>
      <c r="H78" s="351"/>
      <c r="I78" s="349"/>
      <c r="J78" s="349"/>
      <c r="K78" s="349"/>
      <c r="L78" s="349"/>
      <c r="M78" s="349"/>
      <c r="N78" s="349"/>
      <c r="O78" s="352"/>
      <c r="P78" s="352"/>
      <c r="Q78" s="352"/>
      <c r="R78" s="352"/>
      <c r="S78" s="352"/>
      <c r="T78" s="352"/>
      <c r="U78" s="352"/>
      <c r="V78" s="352"/>
      <c r="W78" s="352">
        <f t="array" ref="W78">(PRODUCT(Index_Returns!AC67:AC78/100+1)-1)*100</f>
        <v>-3.0510241996045018</v>
      </c>
      <c r="X78" s="352">
        <f t="array" ref="X78">(PRODUCT(Index_Returns!AB67:AB78/100+1)-1)*100</f>
        <v>-19.669452036722291</v>
      </c>
      <c r="Y78" s="352">
        <f t="shared" si="1"/>
        <v>16.618427837117789</v>
      </c>
    </row>
    <row r="79" spans="1:25" x14ac:dyDescent="0.2">
      <c r="A79" s="19">
        <v>29920</v>
      </c>
      <c r="B79" s="352">
        <f t="array" ref="B79">(PRODUCT(Index_Returns!D68:D79/100+1)-1)*100</f>
        <v>1.2438822410495431</v>
      </c>
      <c r="C79" s="352">
        <f t="array" ref="C79">(PRODUCT(Index_Returns!C68:C79/100+1)-1)*100</f>
        <v>-11.240684322152362</v>
      </c>
      <c r="D79" s="352">
        <f t="shared" si="0"/>
        <v>12.484566563201906</v>
      </c>
      <c r="E79" s="352"/>
      <c r="F79" s="352"/>
      <c r="G79" s="352"/>
      <c r="H79" s="351"/>
      <c r="I79" s="349"/>
      <c r="J79" s="349"/>
      <c r="K79" s="349"/>
      <c r="L79" s="349"/>
      <c r="M79" s="349"/>
      <c r="N79" s="349"/>
      <c r="O79" s="352"/>
      <c r="P79" s="352"/>
      <c r="Q79" s="352"/>
      <c r="R79" s="352"/>
      <c r="S79" s="352"/>
      <c r="T79" s="352"/>
      <c r="U79" s="352"/>
      <c r="V79" s="352"/>
      <c r="W79" s="352">
        <f t="array" ref="W79">(PRODUCT(Index_Returns!AC68:AC79/100+1)-1)*100</f>
        <v>11.637236711438771</v>
      </c>
      <c r="X79" s="352">
        <f t="array" ref="X79">(PRODUCT(Index_Returns!AB68:AB79/100+1)-1)*100</f>
        <v>-10.450595197994851</v>
      </c>
      <c r="Y79" s="352">
        <f t="shared" si="1"/>
        <v>22.087831909433621</v>
      </c>
    </row>
    <row r="80" spans="1:25" x14ac:dyDescent="0.2">
      <c r="A80" s="19">
        <v>29951</v>
      </c>
      <c r="B80" s="352">
        <f t="array" ref="B80">(PRODUCT(Index_Returns!D69:D80/100+1)-1)*100</f>
        <v>2.2221118895338066E-2</v>
      </c>
      <c r="C80" s="352">
        <f t="array" ref="C80">(PRODUCT(Index_Returns!C69:C80/100+1)-1)*100</f>
        <v>-10.036933058970066</v>
      </c>
      <c r="D80" s="352">
        <f t="shared" si="0"/>
        <v>10.059154177865404</v>
      </c>
      <c r="E80" s="352"/>
      <c r="F80" s="352"/>
      <c r="G80" s="352"/>
      <c r="H80" s="351"/>
      <c r="I80" s="349"/>
      <c r="J80" s="349"/>
      <c r="K80" s="349"/>
      <c r="L80" s="349"/>
      <c r="M80" s="349"/>
      <c r="N80" s="349"/>
      <c r="O80" s="352"/>
      <c r="P80" s="352"/>
      <c r="Q80" s="352"/>
      <c r="R80" s="352"/>
      <c r="S80" s="352"/>
      <c r="T80" s="352"/>
      <c r="U80" s="352"/>
      <c r="V80" s="352"/>
      <c r="W80" s="352">
        <f t="array" ref="W80">(PRODUCT(Index_Returns!AC69:AC80/100+1)-1)*100</f>
        <v>7.3572145085395002</v>
      </c>
      <c r="X80" s="352">
        <f t="array" ref="X80">(PRODUCT(Index_Returns!AB69:AB80/100+1)-1)*100</f>
        <v>-9.7336984760998391</v>
      </c>
      <c r="Y80" s="352">
        <f t="shared" si="1"/>
        <v>17.090912984639338</v>
      </c>
    </row>
    <row r="81" spans="1:28" x14ac:dyDescent="0.2">
      <c r="A81" s="19">
        <v>29982</v>
      </c>
      <c r="B81" s="352">
        <f t="array" ref="B81">(PRODUCT(Index_Returns!D70:D81/100+1)-1)*100</f>
        <v>0.18557270998467157</v>
      </c>
      <c r="C81" s="352">
        <f t="array" ref="C81">(PRODUCT(Index_Returns!C70:C81/100+1)-1)*100</f>
        <v>-4.6493529172684456</v>
      </c>
      <c r="D81" s="352">
        <f t="shared" si="0"/>
        <v>4.8349256272531171</v>
      </c>
      <c r="E81" s="352"/>
      <c r="F81" s="352"/>
      <c r="G81" s="352"/>
      <c r="H81" s="351"/>
      <c r="I81" s="349"/>
      <c r="J81" s="349"/>
      <c r="K81" s="349"/>
      <c r="L81" s="349"/>
      <c r="M81" s="349"/>
      <c r="N81" s="349"/>
      <c r="O81" s="352"/>
      <c r="P81" s="352"/>
      <c r="Q81" s="352"/>
      <c r="R81" s="352"/>
      <c r="S81" s="352"/>
      <c r="T81" s="352"/>
      <c r="U81" s="352"/>
      <c r="V81" s="352"/>
      <c r="W81" s="352">
        <f t="array" ref="W81">(PRODUCT(Index_Returns!AC70:AC81/100+1)-1)*100</f>
        <v>7.0546258745002088</v>
      </c>
      <c r="X81" s="352">
        <f t="array" ref="X81">(PRODUCT(Index_Returns!AB70:AB81/100+1)-1)*100</f>
        <v>-8.6795688863847591</v>
      </c>
      <c r="Y81" s="352">
        <f t="shared" si="1"/>
        <v>15.734194760884968</v>
      </c>
    </row>
    <row r="82" spans="1:28" x14ac:dyDescent="0.2">
      <c r="A82" s="19">
        <v>30010</v>
      </c>
      <c r="B82" s="352">
        <f t="array" ref="B82">(PRODUCT(Index_Returns!D71:D82/100+1)-1)*100</f>
        <v>-4.5969321910541705</v>
      </c>
      <c r="C82" s="352">
        <f t="array" ref="C82">(PRODUCT(Index_Returns!C71:C82/100+1)-1)*100</f>
        <v>-27.808381058099119</v>
      </c>
      <c r="D82" s="352">
        <f t="shared" si="0"/>
        <v>23.21144886704495</v>
      </c>
      <c r="E82" s="352"/>
      <c r="F82" s="352"/>
      <c r="G82" s="352"/>
      <c r="H82" s="351"/>
      <c r="I82" s="349"/>
      <c r="J82" s="349"/>
      <c r="K82" s="349"/>
      <c r="L82" s="349"/>
      <c r="M82" s="349"/>
      <c r="N82" s="349"/>
      <c r="O82" s="352"/>
      <c r="P82" s="352"/>
      <c r="Q82" s="352"/>
      <c r="R82" s="352"/>
      <c r="S82" s="352"/>
      <c r="T82" s="352"/>
      <c r="U82" s="352"/>
      <c r="V82" s="352"/>
      <c r="W82" s="352">
        <f t="array" ref="W82">(PRODUCT(Index_Returns!AC71:AC82/100+1)-1)*100</f>
        <v>2.32462002758973</v>
      </c>
      <c r="X82" s="352">
        <f t="array" ref="X82">(PRODUCT(Index_Returns!AB71:AB82/100+1)-1)*100</f>
        <v>-13.989231645241794</v>
      </c>
      <c r="Y82" s="352">
        <f t="shared" si="1"/>
        <v>16.313851672831525</v>
      </c>
    </row>
    <row r="83" spans="1:28" x14ac:dyDescent="0.2">
      <c r="A83" s="19">
        <v>30041</v>
      </c>
      <c r="B83" s="352">
        <f t="array" ref="B83">(PRODUCT(Index_Returns!D72:D83/100+1)-1)*100</f>
        <v>-8.2912520793714357</v>
      </c>
      <c r="C83" s="352">
        <f t="array" ref="C83">(PRODUCT(Index_Returns!C72:C83/100+1)-1)*100</f>
        <v>-17.485068451899021</v>
      </c>
      <c r="D83" s="352">
        <f t="shared" si="0"/>
        <v>9.1938163725275857</v>
      </c>
      <c r="E83" s="352"/>
      <c r="F83" s="352"/>
      <c r="G83" s="352"/>
      <c r="H83" s="351"/>
      <c r="I83" s="349"/>
      <c r="J83" s="349"/>
      <c r="K83" s="349"/>
      <c r="L83" s="349"/>
      <c r="M83" s="349"/>
      <c r="N83" s="349"/>
      <c r="O83" s="352"/>
      <c r="P83" s="352"/>
      <c r="Q83" s="352"/>
      <c r="R83" s="352"/>
      <c r="S83" s="352"/>
      <c r="T83" s="352"/>
      <c r="U83" s="352"/>
      <c r="V83" s="352"/>
      <c r="W83" s="352">
        <f t="array" ref="W83">(PRODUCT(Index_Returns!AC72:AC83/100+1)-1)*100</f>
        <v>-8.0958360819155963</v>
      </c>
      <c r="X83" s="352">
        <f t="array" ref="X83">(PRODUCT(Index_Returns!AB72:AB83/100+1)-1)*100</f>
        <v>-19.576400602628418</v>
      </c>
      <c r="Y83" s="352">
        <f t="shared" si="1"/>
        <v>11.480564520712822</v>
      </c>
    </row>
    <row r="84" spans="1:28" x14ac:dyDescent="0.2">
      <c r="A84" s="19">
        <v>30071</v>
      </c>
      <c r="B84" s="352">
        <f t="array" ref="B84">(PRODUCT(Index_Returns!D73:D84/100+1)-1)*100</f>
        <v>-5.6106760640737825</v>
      </c>
      <c r="C84" s="352">
        <f t="array" ref="C84">(PRODUCT(Index_Returns!C73:C84/100+1)-1)*100</f>
        <v>-9.2061475742286412</v>
      </c>
      <c r="D84" s="352">
        <f t="shared" si="0"/>
        <v>3.5954715101548587</v>
      </c>
      <c r="E84" s="352"/>
      <c r="F84" s="352"/>
      <c r="G84" s="352"/>
      <c r="H84" s="351"/>
      <c r="I84" s="349"/>
      <c r="J84" s="349"/>
      <c r="K84" s="349"/>
      <c r="L84" s="349"/>
      <c r="M84" s="349"/>
      <c r="N84" s="349"/>
      <c r="O84" s="352"/>
      <c r="P84" s="352"/>
      <c r="Q84" s="352"/>
      <c r="R84" s="352"/>
      <c r="S84" s="352"/>
      <c r="T84" s="352"/>
      <c r="U84" s="352"/>
      <c r="V84" s="352"/>
      <c r="W84" s="352">
        <f t="array" ref="W84">(PRODUCT(Index_Returns!AC73:AC84/100+1)-1)*100</f>
        <v>-7.0511281494861411</v>
      </c>
      <c r="X84" s="352">
        <f t="array" ref="X84">(PRODUCT(Index_Returns!AB73:AB84/100+1)-1)*100</f>
        <v>-14.350170472919032</v>
      </c>
      <c r="Y84" s="352">
        <f t="shared" si="1"/>
        <v>7.2990423234328912</v>
      </c>
    </row>
    <row r="85" spans="1:28" x14ac:dyDescent="0.2">
      <c r="A85" s="19">
        <v>30102</v>
      </c>
      <c r="B85" s="352">
        <f t="array" ref="B85">(PRODUCT(Index_Returns!D74:D85/100+1)-1)*100</f>
        <v>-8.7625985934442934</v>
      </c>
      <c r="C85" s="352">
        <f t="array" ref="C85">(PRODUCT(Index_Returns!C74:C85/100+1)-1)*100</f>
        <v>-12.167659514122619</v>
      </c>
      <c r="D85" s="352">
        <f t="shared" si="0"/>
        <v>3.4050609206783253</v>
      </c>
      <c r="E85" s="352"/>
      <c r="F85" s="352"/>
      <c r="G85" s="352"/>
      <c r="H85" s="351"/>
      <c r="I85" s="349"/>
      <c r="J85" s="349"/>
      <c r="K85" s="349"/>
      <c r="L85" s="349"/>
      <c r="M85" s="349"/>
      <c r="N85" s="349"/>
      <c r="O85" s="352"/>
      <c r="P85" s="352"/>
      <c r="Q85" s="352"/>
      <c r="R85" s="352"/>
      <c r="S85" s="352"/>
      <c r="T85" s="352"/>
      <c r="U85" s="352"/>
      <c r="V85" s="352"/>
      <c r="W85" s="352">
        <f t="array" ref="W85">(PRODUCT(Index_Returns!AC74:AC85/100+1)-1)*100</f>
        <v>-4.7961290076269929</v>
      </c>
      <c r="X85" s="352">
        <f t="array" ref="X85">(PRODUCT(Index_Returns!AB74:AB85/100+1)-1)*100</f>
        <v>-11.429938422992814</v>
      </c>
      <c r="Y85" s="352">
        <f t="shared" si="1"/>
        <v>6.6338094153658211</v>
      </c>
    </row>
    <row r="86" spans="1:28" x14ac:dyDescent="0.2">
      <c r="A86" s="19">
        <v>30132</v>
      </c>
      <c r="B86" s="352">
        <f t="array" ref="B86">(PRODUCT(Index_Returns!D75:D86/100+1)-1)*100</f>
        <v>-10.23402217618049</v>
      </c>
      <c r="C86" s="352">
        <f t="array" ref="C86">(PRODUCT(Index_Returns!C75:C86/100+1)-1)*100</f>
        <v>-12.274885372836708</v>
      </c>
      <c r="D86" s="352">
        <f t="shared" si="0"/>
        <v>2.0408631966562183</v>
      </c>
      <c r="E86" s="352"/>
      <c r="F86" s="352"/>
      <c r="G86" s="352"/>
      <c r="H86" s="351"/>
      <c r="I86" s="349"/>
      <c r="J86" s="349"/>
      <c r="K86" s="349"/>
      <c r="L86" s="349"/>
      <c r="M86" s="349"/>
      <c r="N86" s="349"/>
      <c r="O86" s="352"/>
      <c r="P86" s="352"/>
      <c r="Q86" s="352"/>
      <c r="R86" s="352"/>
      <c r="S86" s="352"/>
      <c r="T86" s="352"/>
      <c r="U86" s="352"/>
      <c r="V86" s="352"/>
      <c r="W86" s="352">
        <f t="array" ref="W86">(PRODUCT(Index_Returns!AC75:AC86/100+1)-1)*100</f>
        <v>-14.02572967078507</v>
      </c>
      <c r="X86" s="352">
        <f t="array" ref="X86">(PRODUCT(Index_Returns!AB75:AB86/100+1)-1)*100</f>
        <v>-16.690149102633043</v>
      </c>
      <c r="Y86" s="352">
        <f t="shared" si="1"/>
        <v>2.664419431847973</v>
      </c>
    </row>
    <row r="87" spans="1:28" x14ac:dyDescent="0.2">
      <c r="A87" s="19">
        <v>30163</v>
      </c>
      <c r="B87" s="352">
        <f t="array" ref="B87">(PRODUCT(Index_Returns!D76:D87/100+1)-1)*100</f>
        <v>-11.690227838941425</v>
      </c>
      <c r="C87" s="352">
        <f t="array" ref="C87">(PRODUCT(Index_Returns!C76:C87/100+1)-1)*100</f>
        <v>-14.717937073796062</v>
      </c>
      <c r="D87" s="352">
        <f t="shared" si="0"/>
        <v>3.0277092348546368</v>
      </c>
      <c r="E87" s="352"/>
      <c r="F87" s="352"/>
      <c r="G87" s="352"/>
      <c r="H87" s="351"/>
      <c r="I87" s="349"/>
      <c r="J87" s="349"/>
      <c r="K87" s="349"/>
      <c r="L87" s="349"/>
      <c r="M87" s="349"/>
      <c r="N87" s="349"/>
      <c r="O87" s="352"/>
      <c r="P87" s="352"/>
      <c r="Q87" s="352"/>
      <c r="R87" s="352"/>
      <c r="S87" s="352"/>
      <c r="T87" s="352"/>
      <c r="U87" s="352"/>
      <c r="V87" s="352"/>
      <c r="W87" s="352">
        <f t="array" ref="W87">(PRODUCT(Index_Returns!AC76:AC87/100+1)-1)*100</f>
        <v>-12.642251702200259</v>
      </c>
      <c r="X87" s="352">
        <f t="array" ref="X87">(PRODUCT(Index_Returns!AB76:AB87/100+1)-1)*100</f>
        <v>-12.961069344023645</v>
      </c>
      <c r="Y87" s="352">
        <f t="shared" si="1"/>
        <v>0.31881764182338657</v>
      </c>
    </row>
    <row r="88" spans="1:28" x14ac:dyDescent="0.2">
      <c r="A88" s="19">
        <v>30194</v>
      </c>
      <c r="B88" s="352">
        <f t="array" ref="B88">(PRODUCT(Index_Returns!D77:D88/100+1)-1)*100</f>
        <v>5.1315623736323923</v>
      </c>
      <c r="C88" s="352">
        <f t="array" ref="C88">(PRODUCT(Index_Returns!C77:C88/100+1)-1)*100</f>
        <v>1.5118380196067482</v>
      </c>
      <c r="D88" s="352">
        <f t="shared" si="0"/>
        <v>3.6197243540256441</v>
      </c>
      <c r="E88" s="352"/>
      <c r="F88" s="352"/>
      <c r="G88" s="352"/>
      <c r="H88" s="351"/>
      <c r="I88" s="349"/>
      <c r="J88" s="349"/>
      <c r="K88" s="349"/>
      <c r="L88" s="349"/>
      <c r="M88" s="349"/>
      <c r="N88" s="349"/>
      <c r="O88" s="352"/>
      <c r="P88" s="352"/>
      <c r="Q88" s="352"/>
      <c r="R88" s="352"/>
      <c r="S88" s="352"/>
      <c r="T88" s="352"/>
      <c r="U88" s="352"/>
      <c r="V88" s="352"/>
      <c r="W88" s="352">
        <f t="array" ref="W88">(PRODUCT(Index_Returns!AC77:AC88/100+1)-1)*100</f>
        <v>-14.163777599335447</v>
      </c>
      <c r="X88" s="352">
        <f t="array" ref="X88">(PRODUCT(Index_Returns!AB77:AB88/100+1)-1)*100</f>
        <v>-15.351650439558661</v>
      </c>
      <c r="Y88" s="352">
        <f t="shared" si="1"/>
        <v>1.1878728402232142</v>
      </c>
    </row>
    <row r="89" spans="1:28" x14ac:dyDescent="0.2">
      <c r="A89" s="19">
        <v>30224</v>
      </c>
      <c r="B89" s="352">
        <f t="array" ref="B89">(PRODUCT(Index_Returns!D78:D89/100+1)-1)*100</f>
        <v>9.9565201222817876</v>
      </c>
      <c r="C89" s="352">
        <f t="array" ref="C89">(PRODUCT(Index_Returns!C78:C89/100+1)-1)*100</f>
        <v>9.9250217962197915</v>
      </c>
      <c r="D89" s="352">
        <f t="shared" si="0"/>
        <v>3.1498326061996096E-2</v>
      </c>
      <c r="E89" s="352"/>
      <c r="F89" s="352"/>
      <c r="G89" s="352"/>
      <c r="H89" s="351"/>
      <c r="I89" s="349"/>
      <c r="J89" s="349"/>
      <c r="K89" s="349"/>
      <c r="L89" s="349"/>
      <c r="M89" s="349"/>
      <c r="N89" s="349"/>
      <c r="O89" s="352"/>
      <c r="P89" s="352"/>
      <c r="Q89" s="352"/>
      <c r="R89" s="352"/>
      <c r="S89" s="352"/>
      <c r="T89" s="352"/>
      <c r="U89" s="352"/>
      <c r="V89" s="352"/>
      <c r="W89" s="352">
        <f t="array" ref="W89">(PRODUCT(Index_Returns!AC78:AC89/100+1)-1)*100</f>
        <v>-6.8527558360530811</v>
      </c>
      <c r="X89" s="352">
        <f t="array" ref="X89">(PRODUCT(Index_Returns!AB78:AB89/100+1)-1)*100</f>
        <v>-4.8783572110142952</v>
      </c>
      <c r="Y89" s="352">
        <f t="shared" si="1"/>
        <v>-1.9743986250387859</v>
      </c>
    </row>
    <row r="90" spans="1:28" x14ac:dyDescent="0.2">
      <c r="A90" s="19">
        <v>30255</v>
      </c>
      <c r="B90" s="352">
        <f t="array" ref="B90">(PRODUCT(Index_Returns!D79:D90/100+1)-1)*100</f>
        <v>17.749298052950955</v>
      </c>
      <c r="C90" s="352">
        <f t="array" ref="C90">(PRODUCT(Index_Returns!C79:C90/100+1)-1)*100</f>
        <v>14.715232665192236</v>
      </c>
      <c r="D90" s="352">
        <f t="shared" si="0"/>
        <v>3.0340653877587194</v>
      </c>
      <c r="E90" s="352"/>
      <c r="F90" s="352"/>
      <c r="G90" s="352"/>
      <c r="H90" s="351"/>
      <c r="I90" s="349"/>
      <c r="J90" s="349"/>
      <c r="K90" s="349"/>
      <c r="L90" s="349"/>
      <c r="M90" s="349"/>
      <c r="N90" s="349"/>
      <c r="O90" s="352"/>
      <c r="P90" s="352"/>
      <c r="Q90" s="352"/>
      <c r="R90" s="352"/>
      <c r="S90" s="352"/>
      <c r="T90" s="352"/>
      <c r="U90" s="352"/>
      <c r="V90" s="352"/>
      <c r="W90" s="352">
        <f t="array" ref="W90">(PRODUCT(Index_Returns!AC79:AC90/100+1)-1)*100</f>
        <v>-7.5500676493768903</v>
      </c>
      <c r="X90" s="352">
        <f t="array" ref="X90">(PRODUCT(Index_Returns!AB79:AB90/100+1)-1)*100</f>
        <v>-6.5451803347184256</v>
      </c>
      <c r="Y90" s="352">
        <f t="shared" si="1"/>
        <v>-1.0048873146584647</v>
      </c>
    </row>
    <row r="91" spans="1:28" x14ac:dyDescent="0.2">
      <c r="A91" s="19">
        <v>30285</v>
      </c>
      <c r="B91" s="352">
        <f t="array" ref="B91">(PRODUCT(Index_Returns!D80:D91/100+1)-1)*100</f>
        <v>16.367053000411058</v>
      </c>
      <c r="C91" s="352">
        <f t="array" ref="C91">(PRODUCT(Index_Returns!C80:C91/100+1)-1)*100</f>
        <v>16.227538382448902</v>
      </c>
      <c r="D91" s="352">
        <f t="shared" si="0"/>
        <v>0.13951461796215625</v>
      </c>
      <c r="E91" s="352"/>
      <c r="F91" s="352"/>
      <c r="G91" s="352"/>
      <c r="H91" s="351"/>
      <c r="I91" s="349"/>
      <c r="J91" s="349"/>
      <c r="K91" s="349"/>
      <c r="L91" s="349"/>
      <c r="M91" s="349"/>
      <c r="N91" s="349"/>
      <c r="O91" s="352"/>
      <c r="P91" s="352"/>
      <c r="Q91" s="352"/>
      <c r="R91" s="352"/>
      <c r="S91" s="352"/>
      <c r="T91" s="352"/>
      <c r="U91" s="352"/>
      <c r="V91" s="352"/>
      <c r="W91" s="352">
        <f t="array" ref="W91">(PRODUCT(Index_Returns!AC80:AC91/100+1)-1)*100</f>
        <v>-9.6950078086169178</v>
      </c>
      <c r="X91" s="352">
        <f t="array" ref="X91">(PRODUCT(Index_Returns!AB80:AB91/100+1)-1)*100</f>
        <v>-8.915590841177746</v>
      </c>
      <c r="Y91" s="352">
        <f t="shared" si="1"/>
        <v>-0.77941696743917177</v>
      </c>
    </row>
    <row r="92" spans="1:28" x14ac:dyDescent="0.2">
      <c r="A92" s="19">
        <v>30316</v>
      </c>
      <c r="B92" s="352">
        <f t="array" ref="B92">(PRODUCT(Index_Returns!D81:D92/100+1)-1)*100</f>
        <v>21.037023001761867</v>
      </c>
      <c r="C92" s="352">
        <f t="array" ref="C92">(PRODUCT(Index_Returns!C81:C92/100+1)-1)*100</f>
        <v>22.031090932139886</v>
      </c>
      <c r="D92" s="352">
        <f t="shared" si="0"/>
        <v>-0.99406793037801933</v>
      </c>
      <c r="E92" s="352">
        <f t="array" ref="E92">(GEOMEAN(Index_Returns!D57:D92/100+1)^12-1)*100</f>
        <v>14.375019354090002</v>
      </c>
      <c r="F92" s="352">
        <f t="array" ref="F92">(GEOMEAN(Index_Returns!C57:C92/100+1)^12-1)*100</f>
        <v>15.336115819243989</v>
      </c>
      <c r="G92" s="352">
        <f>E92-F92</f>
        <v>-0.96109646515398772</v>
      </c>
      <c r="H92" s="351"/>
      <c r="I92" s="349"/>
      <c r="J92" s="349"/>
      <c r="K92" s="349"/>
      <c r="L92" s="349"/>
      <c r="M92" s="349"/>
      <c r="N92" s="349"/>
      <c r="O92" s="352"/>
      <c r="P92" s="352"/>
      <c r="Q92" s="352"/>
      <c r="R92" s="352"/>
      <c r="S92" s="352"/>
      <c r="T92" s="352"/>
      <c r="U92" s="352"/>
      <c r="V92" s="352"/>
      <c r="W92" s="352">
        <f t="array" ref="W92">(PRODUCT(Index_Returns!AC81:AC92/100+1)-1)*100</f>
        <v>0.44003406783965637</v>
      </c>
      <c r="X92" s="352">
        <f t="array" ref="X92">(PRODUCT(Index_Returns!AB81:AB92/100+1)-1)*100</f>
        <v>-2.5877658818835636</v>
      </c>
      <c r="Y92" s="352">
        <f t="shared" si="1"/>
        <v>3.02779994972322</v>
      </c>
      <c r="Z92" s="352">
        <f t="array" ref="Z92">(GEOMEAN(Index_Returns!AC57:AC92/100+1)^12-1)*100</f>
        <v>9.291054851876579</v>
      </c>
      <c r="AA92" s="352">
        <f t="array" ref="AA92">(GEOMEAN(Index_Returns!AB57:AB92/100+1)^12-1)*100</f>
        <v>3.55333915566034</v>
      </c>
      <c r="AB92" s="352">
        <f t="shared" ref="AB92:AB131" si="2">Z92-AA92</f>
        <v>5.737715696216239</v>
      </c>
    </row>
    <row r="93" spans="1:28" x14ac:dyDescent="0.2">
      <c r="A93" s="19">
        <v>30347</v>
      </c>
      <c r="B93" s="352">
        <f t="array" ref="B93">(PRODUCT(Index_Returns!D82:D93/100+1)-1)*100</f>
        <v>29.128359707066597</v>
      </c>
      <c r="C93" s="352">
        <f t="array" ref="C93">(PRODUCT(Index_Returns!C82:C93/100+1)-1)*100</f>
        <v>26.508483462247547</v>
      </c>
      <c r="D93" s="352">
        <f t="shared" si="0"/>
        <v>2.61987624481905</v>
      </c>
      <c r="E93" s="352">
        <f t="array" ref="E93">(GEOMEAN(Index_Returns!D58:D93/100+1)^12-1)*100</f>
        <v>14.005960068288804</v>
      </c>
      <c r="F93" s="352">
        <f t="array" ref="F93">(GEOMEAN(Index_Returns!C58:C93/100+1)^12-1)*100</f>
        <v>13.842146727796468</v>
      </c>
      <c r="G93" s="352">
        <f>E93-F93</f>
        <v>0.16381334049233587</v>
      </c>
      <c r="H93" s="351"/>
      <c r="I93" s="349"/>
      <c r="J93" s="349"/>
      <c r="K93" s="349"/>
      <c r="L93" s="349"/>
      <c r="M93" s="349"/>
      <c r="N93" s="349"/>
      <c r="O93" s="352"/>
      <c r="P93" s="352"/>
      <c r="Q93" s="352"/>
      <c r="R93" s="352"/>
      <c r="S93" s="352"/>
      <c r="T93" s="352"/>
      <c r="U93" s="352"/>
      <c r="V93" s="352"/>
      <c r="W93" s="352">
        <f t="array" ref="W93">(PRODUCT(Index_Returns!AC82:AC93/100+1)-1)*100</f>
        <v>1.5247715410513951</v>
      </c>
      <c r="X93" s="352">
        <f t="array" ref="X93">(PRODUCT(Index_Returns!AB82:AB93/100+1)-1)*100</f>
        <v>-2.8461209517916863</v>
      </c>
      <c r="Y93" s="352">
        <f t="shared" si="1"/>
        <v>4.3708924928430815</v>
      </c>
      <c r="Z93" s="352">
        <f t="array" ref="Z93">(GEOMEAN(Index_Returns!AC58:AC93/100+1)^12-1)*100</f>
        <v>7.8235603545107057</v>
      </c>
      <c r="AA93" s="352">
        <f t="array" ref="AA93">(GEOMEAN(Index_Returns!AB58:AB93/100+1)^12-1)*100</f>
        <v>1.4538744934760262</v>
      </c>
      <c r="AB93" s="352">
        <f t="shared" si="2"/>
        <v>6.3696858610346796</v>
      </c>
    </row>
    <row r="94" spans="1:28" x14ac:dyDescent="0.2">
      <c r="A94" s="19">
        <v>30375</v>
      </c>
      <c r="B94" s="352">
        <f t="array" ref="B94">(PRODUCT(Index_Returns!D83:D94/100+1)-1)*100</f>
        <v>36.631312560061382</v>
      </c>
      <c r="C94" s="352">
        <f t="array" ref="C94">(PRODUCT(Index_Returns!C83:C94/100+1)-1)*100</f>
        <v>67.402833576497741</v>
      </c>
      <c r="D94" s="352">
        <f t="shared" si="0"/>
        <v>-30.77152101643636</v>
      </c>
      <c r="E94" s="352">
        <f t="array" ref="E94">(GEOMEAN(Index_Returns!D59:D94/100+1)^12-1)*100</f>
        <v>14.561875622457322</v>
      </c>
      <c r="F94" s="352">
        <f t="array" ref="F94">(GEOMEAN(Index_Returns!C59:C94/100+1)^12-1)*100</f>
        <v>14.93591568027044</v>
      </c>
      <c r="G94" s="352">
        <f t="shared" ref="G94:G103" si="3">E94-F94</f>
        <v>-0.37404005781311866</v>
      </c>
      <c r="H94" s="351"/>
      <c r="I94" s="349"/>
      <c r="J94" s="349"/>
      <c r="K94" s="349"/>
      <c r="L94" s="349"/>
      <c r="M94" s="349"/>
      <c r="N94" s="349"/>
      <c r="O94" s="352"/>
      <c r="P94" s="352"/>
      <c r="Q94" s="352"/>
      <c r="R94" s="352"/>
      <c r="S94" s="352"/>
      <c r="T94" s="352"/>
      <c r="U94" s="352"/>
      <c r="V94" s="352"/>
      <c r="W94" s="352">
        <f t="array" ref="W94">(PRODUCT(Index_Returns!AC83:AC94/100+1)-1)*100</f>
        <v>10.366168768949402</v>
      </c>
      <c r="X94" s="352">
        <f t="array" ref="X94">(PRODUCT(Index_Returns!AB83:AB94/100+1)-1)*100</f>
        <v>7.6859097105251184</v>
      </c>
      <c r="Y94" s="352">
        <f t="shared" si="1"/>
        <v>2.6802590584242836</v>
      </c>
      <c r="Z94" s="352">
        <f t="array" ref="Z94">(GEOMEAN(Index_Returns!AC59:AC94/100+1)^12-1)*100</f>
        <v>9.2163413722306853</v>
      </c>
      <c r="AA94" s="352">
        <f t="array" ref="AA94">(GEOMEAN(Index_Returns!AB59:AB94/100+1)^12-1)*100</f>
        <v>2.3219137010212831</v>
      </c>
      <c r="AB94" s="352">
        <f t="shared" si="2"/>
        <v>6.8944276712094021</v>
      </c>
    </row>
    <row r="95" spans="1:28" x14ac:dyDescent="0.2">
      <c r="A95" s="19">
        <v>30406</v>
      </c>
      <c r="B95" s="352">
        <f t="array" ref="B95">(PRODUCT(Index_Returns!D84:D95/100+1)-1)*100</f>
        <v>41.563063995572676</v>
      </c>
      <c r="C95" s="352">
        <f t="array" ref="C95">(PRODUCT(Index_Returns!C84:C95/100+1)-1)*100</f>
        <v>46.52965947880481</v>
      </c>
      <c r="D95" s="352">
        <f t="shared" si="0"/>
        <v>-4.9665954832321333</v>
      </c>
      <c r="E95" s="352">
        <f t="array" ref="E95">(GEOMEAN(Index_Returns!D60:D95/100+1)^12-1)*100</f>
        <v>20.420405279782749</v>
      </c>
      <c r="F95" s="352">
        <f t="array" ref="F95">(GEOMEAN(Index_Returns!C60:C95/100+1)^12-1)*100</f>
        <v>19.991228730026567</v>
      </c>
      <c r="G95" s="352">
        <f t="shared" si="3"/>
        <v>0.42917654975618191</v>
      </c>
      <c r="H95" s="351"/>
      <c r="I95" s="349"/>
      <c r="J95" s="349"/>
      <c r="K95" s="349"/>
      <c r="L95" s="349"/>
      <c r="M95" s="349"/>
      <c r="N95" s="349"/>
      <c r="O95" s="352"/>
      <c r="P95" s="352"/>
      <c r="Q95" s="352"/>
      <c r="R95" s="352"/>
      <c r="S95" s="352"/>
      <c r="T95" s="352"/>
      <c r="U95" s="352"/>
      <c r="V95" s="352"/>
      <c r="W95" s="352">
        <f t="array" ref="W95">(PRODUCT(Index_Returns!AC84:AC95/100+1)-1)*100</f>
        <v>22.208229506089804</v>
      </c>
      <c r="X95" s="352">
        <f t="array" ref="X95">(PRODUCT(Index_Returns!AB84:AB95/100+1)-1)*100</f>
        <v>16.287195811399123</v>
      </c>
      <c r="Y95" s="352">
        <f t="shared" si="1"/>
        <v>5.9210336946906814</v>
      </c>
      <c r="Z95" s="352">
        <f t="array" ref="Z95">(GEOMEAN(Index_Returns!AC60:AC95/100+1)^12-1)*100</f>
        <v>14.686185907620697</v>
      </c>
      <c r="AA95" s="352">
        <f t="array" ref="AA95">(GEOMEAN(Index_Returns!AB60:AB95/100+1)^12-1)*100</f>
        <v>7.7241045026391397</v>
      </c>
      <c r="AB95" s="352">
        <f t="shared" si="2"/>
        <v>6.9620814049815571</v>
      </c>
    </row>
    <row r="96" spans="1:28" x14ac:dyDescent="0.2">
      <c r="A96" s="19">
        <v>30436</v>
      </c>
      <c r="B96" s="352">
        <f t="array" ref="B96">(PRODUCT(Index_Returns!D85:D96/100+1)-1)*100</f>
        <v>49.094185956823175</v>
      </c>
      <c r="C96" s="352">
        <f t="array" ref="C96">(PRODUCT(Index_Returns!C85:C96/100+1)-1)*100</f>
        <v>48.322614465351556</v>
      </c>
      <c r="D96" s="352">
        <f t="shared" si="0"/>
        <v>0.77157149147161874</v>
      </c>
      <c r="E96" s="352">
        <f t="array" ref="E96">(GEOMEAN(Index_Returns!D61:D96/100+1)^12-1)*100</f>
        <v>21.369259147389275</v>
      </c>
      <c r="F96" s="352">
        <f t="array" ref="F96">(GEOMEAN(Index_Returns!C61:C96/100+1)^12-1)*100</f>
        <v>21.477283847318994</v>
      </c>
      <c r="G96" s="352">
        <f t="shared" si="3"/>
        <v>-0.10802469992971808</v>
      </c>
      <c r="H96" s="351"/>
      <c r="I96" s="349"/>
      <c r="J96" s="349"/>
      <c r="K96" s="349"/>
      <c r="L96" s="349"/>
      <c r="M96" s="349"/>
      <c r="N96" s="349"/>
      <c r="O96" s="352"/>
      <c r="P96" s="352"/>
      <c r="Q96" s="352"/>
      <c r="R96" s="352"/>
      <c r="S96" s="352"/>
      <c r="T96" s="352"/>
      <c r="U96" s="352"/>
      <c r="V96" s="352"/>
      <c r="W96" s="352">
        <f t="array" ref="W96">(PRODUCT(Index_Returns!AC85:AC96/100+1)-1)*100</f>
        <v>20.68896597367198</v>
      </c>
      <c r="X96" s="352">
        <f t="array" ref="X96">(PRODUCT(Index_Returns!AB85:AB96/100+1)-1)*100</f>
        <v>15.856815687858594</v>
      </c>
      <c r="Y96" s="352">
        <f t="shared" si="1"/>
        <v>4.8321502858133858</v>
      </c>
      <c r="Z96" s="352">
        <f t="array" ref="Z96">(GEOMEAN(Index_Returns!AC61:AC96/100+1)^12-1)*100</f>
        <v>13.376902601499573</v>
      </c>
      <c r="AA96" s="352">
        <f t="array" ref="AA96">(GEOMEAN(Index_Returns!AB61:AB96/100+1)^12-1)*100</f>
        <v>6.4533536721233631</v>
      </c>
      <c r="AB96" s="352">
        <f t="shared" si="2"/>
        <v>6.92354892937621</v>
      </c>
    </row>
    <row r="97" spans="1:28" x14ac:dyDescent="0.2">
      <c r="A97" s="19">
        <v>30467</v>
      </c>
      <c r="B97" s="352">
        <f t="array" ref="B97">(PRODUCT(Index_Returns!D86:D97/100+1)-1)*100</f>
        <v>52.869302710419831</v>
      </c>
      <c r="C97" s="352">
        <f t="array" ref="C97">(PRODUCT(Index_Returns!C86:C97/100+1)-1)*100</f>
        <v>51.212406422159788</v>
      </c>
      <c r="D97" s="352">
        <f t="shared" si="0"/>
        <v>1.6568962882600431</v>
      </c>
      <c r="E97" s="352">
        <f t="array" ref="E97">(GEOMEAN(Index_Returns!D62:D97/100+1)^12-1)*100</f>
        <v>19.095043618702469</v>
      </c>
      <c r="F97" s="352">
        <f t="array" ref="F97">(GEOMEAN(Index_Returns!C62:C97/100+1)^12-1)*100</f>
        <v>18.940317159202348</v>
      </c>
      <c r="G97" s="352">
        <f t="shared" si="3"/>
        <v>0.15472645950012165</v>
      </c>
      <c r="H97" s="351"/>
      <c r="I97" s="349"/>
      <c r="J97" s="349"/>
      <c r="K97" s="349"/>
      <c r="L97" s="349"/>
      <c r="M97" s="349"/>
      <c r="N97" s="349"/>
      <c r="O97" s="352"/>
      <c r="P97" s="352"/>
      <c r="Q97" s="352"/>
      <c r="R97" s="352"/>
      <c r="S97" s="352"/>
      <c r="T97" s="352"/>
      <c r="U97" s="352"/>
      <c r="V97" s="352"/>
      <c r="W97" s="352">
        <f t="array" ref="W97">(PRODUCT(Index_Returns!AC86:AC97/100+1)-1)*100</f>
        <v>21.854478171628845</v>
      </c>
      <c r="X97" s="352">
        <f t="array" ref="X97">(PRODUCT(Index_Returns!AB86:AB97/100+1)-1)*100</f>
        <v>16.971788828857125</v>
      </c>
      <c r="Y97" s="352">
        <f t="shared" si="1"/>
        <v>4.8826893427717195</v>
      </c>
      <c r="Z97" s="352">
        <f t="array" ref="Z97">(GEOMEAN(Index_Returns!AC62:AC97/100+1)^12-1)*100</f>
        <v>11.597289980348279</v>
      </c>
      <c r="AA97" s="352">
        <f t="array" ref="AA97">(GEOMEAN(Index_Returns!AB62:AB97/100+1)^12-1)*100</f>
        <v>4.6378028676256511</v>
      </c>
      <c r="AB97" s="352">
        <f t="shared" si="2"/>
        <v>6.9594871127226279</v>
      </c>
    </row>
    <row r="98" spans="1:28" x14ac:dyDescent="0.2">
      <c r="A98" s="19">
        <v>30497</v>
      </c>
      <c r="B98" s="352">
        <f t="array" ref="B98">(PRODUCT(Index_Returns!D87:D98/100+1)-1)*100</f>
        <v>58.65909914783343</v>
      </c>
      <c r="C98" s="352">
        <f t="array" ref="C98">(PRODUCT(Index_Returns!C87:C98/100+1)-1)*100</f>
        <v>62.559829646692847</v>
      </c>
      <c r="D98" s="352">
        <f t="shared" si="0"/>
        <v>-3.9007304988594171</v>
      </c>
      <c r="E98" s="352">
        <f t="array" ref="E98">(GEOMEAN(Index_Returns!D63:D98/100+1)^12-1)*100</f>
        <v>18.947427456670951</v>
      </c>
      <c r="F98" s="352">
        <f t="array" ref="F98">(GEOMEAN(Index_Returns!C63:C98/100+1)^12-1)*100</f>
        <v>19.765270756759023</v>
      </c>
      <c r="G98" s="352">
        <f t="shared" si="3"/>
        <v>-0.8178433000880716</v>
      </c>
      <c r="H98" s="351"/>
      <c r="I98" s="349"/>
      <c r="J98" s="349"/>
      <c r="K98" s="349"/>
      <c r="L98" s="349"/>
      <c r="M98" s="349"/>
      <c r="N98" s="349"/>
      <c r="O98" s="352"/>
      <c r="P98" s="352"/>
      <c r="Q98" s="352"/>
      <c r="R98" s="352"/>
      <c r="S98" s="352"/>
      <c r="T98" s="352"/>
      <c r="U98" s="352"/>
      <c r="V98" s="352"/>
      <c r="W98" s="352">
        <f t="array" ref="W98">(PRODUCT(Index_Returns!AC87:AC98/100+1)-1)*100</f>
        <v>35.74725535060599</v>
      </c>
      <c r="X98" s="352">
        <f t="array" ref="X98">(PRODUCT(Index_Returns!AB87:AB98/100+1)-1)*100</f>
        <v>28.082540403805645</v>
      </c>
      <c r="Y98" s="352">
        <f t="shared" si="1"/>
        <v>7.6647149468003448</v>
      </c>
      <c r="Z98" s="352">
        <f t="array" ref="Z98">(GEOMEAN(Index_Returns!AC63:AC98/100+1)^12-1)*100</f>
        <v>10.168204295293059</v>
      </c>
      <c r="AA98" s="352">
        <f t="array" ref="AA98">(GEOMEAN(Index_Returns!AB63:AB98/100+1)^12-1)*100</f>
        <v>3.2523845480871838</v>
      </c>
      <c r="AB98" s="352">
        <f t="shared" si="2"/>
        <v>6.9158197472058749</v>
      </c>
    </row>
    <row r="99" spans="1:28" x14ac:dyDescent="0.2">
      <c r="A99" s="19">
        <v>30528</v>
      </c>
      <c r="B99" s="352">
        <f t="array" ref="B99">(PRODUCT(Index_Returns!D88:D99/100+1)-1)*100</f>
        <v>60.817503877042341</v>
      </c>
      <c r="C99" s="352">
        <f t="array" ref="C99">(PRODUCT(Index_Returns!C88:C99/100+1)-1)*100</f>
        <v>57.086186645791948</v>
      </c>
      <c r="D99" s="352">
        <f t="shared" si="0"/>
        <v>3.7313172312503937</v>
      </c>
      <c r="E99" s="352">
        <f t="array" ref="E99">(GEOMEAN(Index_Returns!D64:D99/100+1)^12-1)*100</f>
        <v>16.244973228973624</v>
      </c>
      <c r="F99" s="352">
        <f t="array" ref="F99">(GEOMEAN(Index_Returns!C64:C99/100+1)^12-1)*100</f>
        <v>15.001255540594149</v>
      </c>
      <c r="G99" s="352">
        <f t="shared" si="3"/>
        <v>1.2437176883794745</v>
      </c>
      <c r="H99" s="351"/>
      <c r="I99" s="349"/>
      <c r="J99" s="349"/>
      <c r="K99" s="349"/>
      <c r="L99" s="349"/>
      <c r="M99" s="349"/>
      <c r="N99" s="349"/>
      <c r="O99" s="352"/>
      <c r="P99" s="352"/>
      <c r="Q99" s="352"/>
      <c r="R99" s="352"/>
      <c r="S99" s="352"/>
      <c r="T99" s="352"/>
      <c r="U99" s="352"/>
      <c r="V99" s="352"/>
      <c r="W99" s="352">
        <f t="array" ref="W99">(PRODUCT(Index_Returns!AC88:AC99/100+1)-1)*100</f>
        <v>38.490223567065684</v>
      </c>
      <c r="X99" s="352">
        <f t="array" ref="X99">(PRODUCT(Index_Returns!AB88:AB99/100+1)-1)*100</f>
        <v>29.232103045620029</v>
      </c>
      <c r="Y99" s="352">
        <f t="shared" si="1"/>
        <v>9.2581205214456546</v>
      </c>
      <c r="Z99" s="352">
        <f t="array" ref="Z99">(GEOMEAN(Index_Returns!AC64:AC99/100+1)^12-1)*100</f>
        <v>10.262040510875558</v>
      </c>
      <c r="AA99" s="352">
        <f t="array" ref="AA99">(GEOMEAN(Index_Returns!AB64:AB99/100+1)^12-1)*100</f>
        <v>3.7341746084838867</v>
      </c>
      <c r="AB99" s="352">
        <f t="shared" si="2"/>
        <v>6.527865902391671</v>
      </c>
    </row>
    <row r="100" spans="1:28" x14ac:dyDescent="0.2">
      <c r="A100" s="19">
        <v>30559</v>
      </c>
      <c r="B100" s="352">
        <f t="array" ref="B100">(PRODUCT(Index_Returns!D89:D100/100+1)-1)*100</f>
        <v>47.017374825808723</v>
      </c>
      <c r="C100" s="352">
        <f t="array" ref="C100">(PRODUCT(Index_Returns!C89:C100/100+1)-1)*100</f>
        <v>40.272368852820975</v>
      </c>
      <c r="D100" s="352">
        <f t="shared" si="0"/>
        <v>6.7450059729877481</v>
      </c>
      <c r="E100" s="352">
        <f t="array" ref="E100">(GEOMEAN(Index_Returns!D65:D100/100+1)^12-1)*100</f>
        <v>17.150480125482169</v>
      </c>
      <c r="F100" s="352">
        <f t="array" ref="F100">(GEOMEAN(Index_Returns!C65:C100/100+1)^12-1)*100</f>
        <v>14.395183743327934</v>
      </c>
      <c r="G100" s="352">
        <f t="shared" si="3"/>
        <v>2.7552963821542349</v>
      </c>
      <c r="H100" s="351"/>
      <c r="I100" s="349"/>
      <c r="J100" s="349"/>
      <c r="K100" s="349"/>
      <c r="L100" s="349"/>
      <c r="M100" s="349"/>
      <c r="N100" s="349"/>
      <c r="O100" s="352"/>
      <c r="P100" s="352"/>
      <c r="Q100" s="352"/>
      <c r="R100" s="352"/>
      <c r="S100" s="352"/>
      <c r="T100" s="352"/>
      <c r="U100" s="352"/>
      <c r="V100" s="352"/>
      <c r="W100" s="352">
        <f t="array" ref="W100">(PRODUCT(Index_Returns!AC89:AC100/100+1)-1)*100</f>
        <v>36.330886130011585</v>
      </c>
      <c r="X100" s="352">
        <f t="array" ref="X100">(PRODUCT(Index_Returns!AB89:AB100/100+1)-1)*100</f>
        <v>27.126256720772179</v>
      </c>
      <c r="Y100" s="352">
        <f t="shared" si="1"/>
        <v>9.2046294092394056</v>
      </c>
      <c r="Z100" s="352">
        <f t="array" ref="Z100">(GEOMEAN(Index_Returns!AC65:AC100/100+1)^12-1)*100</f>
        <v>8.6134644545751815</v>
      </c>
      <c r="AA100" s="352">
        <f t="array" ref="AA100">(GEOMEAN(Index_Returns!AB65:AB100/100+1)^12-1)*100</f>
        <v>1.8811737662235872</v>
      </c>
      <c r="AB100" s="352">
        <f t="shared" si="2"/>
        <v>6.7322906883515943</v>
      </c>
    </row>
    <row r="101" spans="1:28" x14ac:dyDescent="0.2">
      <c r="A101" s="19">
        <v>30589</v>
      </c>
      <c r="B101" s="352">
        <f t="array" ref="B101">(PRODUCT(Index_Returns!D90:D101/100+1)-1)*100</f>
        <v>47.529375633659818</v>
      </c>
      <c r="C101" s="352">
        <f t="array" ref="C101">(PRODUCT(Index_Returns!C90:C101/100+1)-1)*100</f>
        <v>40.536244956602687</v>
      </c>
      <c r="D101" s="352">
        <f t="shared" si="0"/>
        <v>6.9931306770571311</v>
      </c>
      <c r="E101" s="352">
        <f t="array" ref="E101">(GEOMEAN(Index_Returns!D66:D101/100+1)^12-1)*100</f>
        <v>17.11565191607869</v>
      </c>
      <c r="F101" s="352">
        <f t="array" ref="F101">(GEOMEAN(Index_Returns!C66:C101/100+1)^12-1)*100</f>
        <v>13.474421315158347</v>
      </c>
      <c r="G101" s="352">
        <f t="shared" si="3"/>
        <v>3.641230600920343</v>
      </c>
      <c r="H101" s="351"/>
      <c r="I101" s="349"/>
      <c r="J101" s="349"/>
      <c r="K101" s="349"/>
      <c r="L101" s="349"/>
      <c r="M101" s="349"/>
      <c r="N101" s="349"/>
      <c r="O101" s="352"/>
      <c r="P101" s="352"/>
      <c r="Q101" s="352"/>
      <c r="R101" s="352"/>
      <c r="S101" s="352"/>
      <c r="T101" s="352"/>
      <c r="U101" s="352"/>
      <c r="V101" s="352"/>
      <c r="W101" s="352">
        <f t="array" ref="W101">(PRODUCT(Index_Returns!AC90:AC101/100+1)-1)*100</f>
        <v>44.556627873077836</v>
      </c>
      <c r="X101" s="352">
        <f t="array" ref="X101">(PRODUCT(Index_Returns!AB90:AB101/100+1)-1)*100</f>
        <v>31.020147277668997</v>
      </c>
      <c r="Y101" s="352">
        <f t="shared" si="1"/>
        <v>13.53648059540884</v>
      </c>
      <c r="Z101" s="352">
        <f t="array" ref="Z101">(GEOMEAN(Index_Returns!AC66:AC101/100+1)^12-1)*100</f>
        <v>9.465708862360378</v>
      </c>
      <c r="AA101" s="352">
        <f t="array" ref="AA101">(GEOMEAN(Index_Returns!AB66:AB101/100+1)^12-1)*100</f>
        <v>1.4509553196111469</v>
      </c>
      <c r="AB101" s="352">
        <f t="shared" si="2"/>
        <v>8.0147535427492311</v>
      </c>
    </row>
    <row r="102" spans="1:28" x14ac:dyDescent="0.2">
      <c r="A102" s="19">
        <v>30620</v>
      </c>
      <c r="B102" s="352">
        <f t="array" ref="B102">(PRODUCT(Index_Returns!D91:D102/100+1)-1)*100</f>
        <v>31.888953560816958</v>
      </c>
      <c r="C102" s="352">
        <f t="array" ref="C102">(PRODUCT(Index_Returns!C91:C102/100+1)-1)*100</f>
        <v>23.559487062499507</v>
      </c>
      <c r="D102" s="352">
        <f t="shared" si="0"/>
        <v>8.3294664983174513</v>
      </c>
      <c r="E102" s="352">
        <f t="array" ref="E102">(GEOMEAN(Index_Returns!D67:D102/100+1)^12-1)*100</f>
        <v>16.892685706825517</v>
      </c>
      <c r="F102" s="352">
        <f t="array" ref="F102">(GEOMEAN(Index_Returns!C67:C102/100+1)^12-1)*100</f>
        <v>11.41835437102019</v>
      </c>
      <c r="G102" s="352">
        <f t="shared" si="3"/>
        <v>5.4743313358053278</v>
      </c>
      <c r="H102" s="351"/>
      <c r="I102" s="349"/>
      <c r="J102" s="349"/>
      <c r="K102" s="349"/>
      <c r="L102" s="349"/>
      <c r="M102" s="349"/>
      <c r="N102" s="349"/>
      <c r="O102" s="352"/>
      <c r="P102" s="352"/>
      <c r="Q102" s="352"/>
      <c r="R102" s="352"/>
      <c r="S102" s="352"/>
      <c r="T102" s="352"/>
      <c r="U102" s="352"/>
      <c r="V102" s="352"/>
      <c r="W102" s="352">
        <f t="array" ref="W102">(PRODUCT(Index_Returns!AC91:AC102/100+1)-1)*100</f>
        <v>42.902012490377707</v>
      </c>
      <c r="X102" s="352">
        <f t="array" ref="X102">(PRODUCT(Index_Returns!AB91:AB102/100+1)-1)*100</f>
        <v>31.484377583674462</v>
      </c>
      <c r="Y102" s="352">
        <f t="shared" si="1"/>
        <v>11.417634906703245</v>
      </c>
      <c r="Z102" s="352">
        <f t="array" ref="Z102">(GEOMEAN(Index_Returns!AC67:AC102/100+1)^12-1)*100</f>
        <v>8.5998910042487164</v>
      </c>
      <c r="AA102" s="352">
        <f t="array" ref="AA102">(GEOMEAN(Index_Returns!AB67:AB102/100+1)^12-1)*100</f>
        <v>-0.43221113790704591</v>
      </c>
      <c r="AB102" s="352">
        <f t="shared" si="2"/>
        <v>9.0321021421557628</v>
      </c>
    </row>
    <row r="103" spans="1:28" x14ac:dyDescent="0.2">
      <c r="A103" s="19">
        <v>30650</v>
      </c>
      <c r="B103" s="352">
        <f t="array" ref="B103">(PRODUCT(Index_Returns!D92:D103/100+1)-1)*100</f>
        <v>30.717173384322962</v>
      </c>
      <c r="C103" s="352">
        <f t="array" ref="C103">(PRODUCT(Index_Returns!C92:C103/100+1)-1)*100</f>
        <v>19.721411540287058</v>
      </c>
      <c r="D103" s="352">
        <f t="shared" si="0"/>
        <v>10.995761844035904</v>
      </c>
      <c r="E103" s="352">
        <f t="array" ref="E103">(GEOMEAN(Index_Returns!D68:D103/100+1)^12-1)*100</f>
        <v>15.480988140173979</v>
      </c>
      <c r="F103" s="352">
        <f t="array" ref="F103">(GEOMEAN(Index_Returns!C68:C103/100+1)^12-1)*100</f>
        <v>7.291406335413364</v>
      </c>
      <c r="G103" s="352">
        <f t="shared" si="3"/>
        <v>8.1895818047606141</v>
      </c>
      <c r="H103" s="351"/>
      <c r="I103" s="349"/>
      <c r="J103" s="349"/>
      <c r="K103" s="349"/>
      <c r="L103" s="349"/>
      <c r="M103" s="349"/>
      <c r="N103" s="349"/>
      <c r="O103" s="352"/>
      <c r="P103" s="352"/>
      <c r="Q103" s="352"/>
      <c r="R103" s="352"/>
      <c r="S103" s="352"/>
      <c r="T103" s="352"/>
      <c r="U103" s="352"/>
      <c r="V103" s="352"/>
      <c r="W103" s="352">
        <f t="array" ref="W103">(PRODUCT(Index_Returns!AC92:AC103/100+1)-1)*100</f>
        <v>33.067034526323759</v>
      </c>
      <c r="X103" s="352">
        <f t="array" ref="X103">(PRODUCT(Index_Returns!AB92:AB103/100+1)-1)*100</f>
        <v>26.034207318229761</v>
      </c>
      <c r="Y103" s="352">
        <f t="shared" si="1"/>
        <v>7.0328272080939982</v>
      </c>
      <c r="Z103" s="352">
        <f t="array" ref="Z103">(GEOMEAN(Index_Returns!AC68:AC103/100+1)^12-1)*100</f>
        <v>10.288552978114485</v>
      </c>
      <c r="AA103" s="352">
        <f t="array" ref="AA103">(GEOMEAN(Index_Returns!AB68:AB103/100+1)^12-1)*100</f>
        <v>0.92491550033249048</v>
      </c>
      <c r="AB103" s="352">
        <f t="shared" si="2"/>
        <v>9.3636374777819942</v>
      </c>
    </row>
    <row r="104" spans="1:28" x14ac:dyDescent="0.2">
      <c r="A104" s="19">
        <v>30681</v>
      </c>
      <c r="B104" s="352">
        <f t="array" ref="B104">(PRODUCT(Index_Returns!D93:D104/100+1)-1)*100</f>
        <v>28.885533496758931</v>
      </c>
      <c r="C104" s="352">
        <f t="array" ref="C104">(PRODUCT(Index_Returns!C93:C104/100+1)-1)*100</f>
        <v>16.235630229240638</v>
      </c>
      <c r="D104" s="352">
        <f t="shared" si="0"/>
        <v>12.649903267518294</v>
      </c>
      <c r="E104" s="352">
        <f t="array" ref="E104">(GEOMEAN(Index_Returns!D69:D104/100+1)^12-1)*100</f>
        <v>15.986194749028826</v>
      </c>
      <c r="F104" s="352">
        <f t="array" ref="F104">(GEOMEAN(Index_Returns!C69:C104/100+1)^12-1)*100</f>
        <v>8.4654295138447466</v>
      </c>
      <c r="G104" s="352">
        <f t="shared" ref="G104:G132" si="4">E104-F104</f>
        <v>7.5207652351840792</v>
      </c>
      <c r="H104" s="351"/>
      <c r="I104" s="349"/>
      <c r="J104" s="349"/>
      <c r="K104" s="349"/>
      <c r="L104" s="349"/>
      <c r="M104" s="349"/>
      <c r="N104" s="349"/>
      <c r="O104" s="352"/>
      <c r="P104" s="352"/>
      <c r="Q104" s="352"/>
      <c r="R104" s="352"/>
      <c r="S104" s="352"/>
      <c r="T104" s="352"/>
      <c r="U104" s="352"/>
      <c r="V104" s="352"/>
      <c r="W104" s="352">
        <f t="array" ref="W104">(PRODUCT(Index_Returns!AC93:AC104/100+1)-1)*100</f>
        <v>26.94441208548939</v>
      </c>
      <c r="X104" s="352">
        <f t="array" ref="X104">(PRODUCT(Index_Returns!AB93:AB104/100+1)-1)*100</f>
        <v>22.703646487736329</v>
      </c>
      <c r="Y104" s="352">
        <f t="shared" si="1"/>
        <v>4.2407655977530609</v>
      </c>
      <c r="Z104" s="352">
        <f t="array" ref="Z104">(GEOMEAN(Index_Returns!AC69:AC104/100+1)^12-1)*100</f>
        <v>11.032612431602494</v>
      </c>
      <c r="AA104" s="352">
        <f t="array" ref="AA104">(GEOMEAN(Index_Returns!AB69:AB104/100+1)^12-1)*100</f>
        <v>2.5649266704217188</v>
      </c>
      <c r="AB104" s="352">
        <f t="shared" si="2"/>
        <v>8.4676857611807748</v>
      </c>
    </row>
    <row r="105" spans="1:28" x14ac:dyDescent="0.2">
      <c r="A105" s="19">
        <v>30712</v>
      </c>
      <c r="B105" s="352">
        <f t="array" ref="B105">(PRODUCT(Index_Returns!D94:D105/100+1)-1)*100</f>
        <v>25.832365829627779</v>
      </c>
      <c r="C105" s="352">
        <f t="array" ref="C105">(PRODUCT(Index_Returns!C94:C105/100+1)-1)*100</f>
        <v>9.9613570723813041</v>
      </c>
      <c r="D105" s="352">
        <f t="shared" si="0"/>
        <v>15.871008757246475</v>
      </c>
      <c r="E105" s="352">
        <f t="array" ref="E105">(GEOMEAN(Index_Returns!D70:D105/100+1)^12-1)*100</f>
        <v>17.635858738894949</v>
      </c>
      <c r="F105" s="352">
        <f t="array" ref="F105">(GEOMEAN(Index_Returns!C70:C105/100+1)^12-1)*100</f>
        <v>9.8738801594880456</v>
      </c>
      <c r="G105" s="352">
        <f t="shared" si="4"/>
        <v>7.7619785794069038</v>
      </c>
      <c r="H105" s="351"/>
      <c r="I105" s="349"/>
      <c r="J105" s="349"/>
      <c r="K105" s="349"/>
      <c r="L105" s="349"/>
      <c r="M105" s="349"/>
      <c r="N105" s="349"/>
      <c r="O105" s="352"/>
      <c r="P105" s="352"/>
      <c r="Q105" s="352"/>
      <c r="R105" s="352"/>
      <c r="S105" s="352"/>
      <c r="T105" s="352"/>
      <c r="U105" s="352"/>
      <c r="V105" s="352"/>
      <c r="W105" s="352">
        <f t="array" ref="W105">(PRODUCT(Index_Returns!AC94:AC105/100+1)-1)*100</f>
        <v>33.621029570411665</v>
      </c>
      <c r="X105" s="352">
        <f t="array" ref="X105">(PRODUCT(Index_Returns!AB94:AB105/100+1)-1)*100</f>
        <v>28.502348804112199</v>
      </c>
      <c r="Y105" s="352">
        <f t="shared" si="1"/>
        <v>5.118680766299466</v>
      </c>
      <c r="Z105" s="352">
        <f t="array" ref="Z105">(GEOMEAN(Index_Returns!AC70:AC105/100+1)^12-1)*100</f>
        <v>13.244579692851023</v>
      </c>
      <c r="AA105" s="352">
        <f t="array" ref="AA105">(GEOMEAN(Index_Returns!AB70:AB105/100+1)^12-1)*100</f>
        <v>4.4671439087061282</v>
      </c>
      <c r="AB105" s="352">
        <f t="shared" si="2"/>
        <v>8.7774357841448953</v>
      </c>
    </row>
    <row r="106" spans="1:28" x14ac:dyDescent="0.2">
      <c r="A106" s="19">
        <v>30741</v>
      </c>
      <c r="B106" s="352">
        <f t="array" ref="B106">(PRODUCT(Index_Returns!D95:D106/100+1)-1)*100</f>
        <v>20.252680853039884</v>
      </c>
      <c r="C106" s="352">
        <f t="array" ref="C106">(PRODUCT(Index_Returns!C95:C106/100+1)-1)*100</f>
        <v>2.354365388334001</v>
      </c>
      <c r="D106" s="352">
        <f t="shared" si="0"/>
        <v>17.898315464705881</v>
      </c>
      <c r="E106" s="352">
        <f t="array" ref="E106">(GEOMEAN(Index_Returns!D71:D106/100+1)^12-1)*100</f>
        <v>16.16334676291229</v>
      </c>
      <c r="F106" s="352">
        <f t="array" ref="F106">(GEOMEAN(Index_Returns!C71:C106/100+1)^12-1)*100</f>
        <v>7.3458646968237451</v>
      </c>
      <c r="G106" s="352">
        <f t="shared" si="4"/>
        <v>8.8174820660885445</v>
      </c>
      <c r="H106" s="351"/>
      <c r="I106" s="349"/>
      <c r="J106" s="349"/>
      <c r="K106" s="349"/>
      <c r="L106" s="349"/>
      <c r="M106" s="349"/>
      <c r="N106" s="349"/>
      <c r="O106" s="352"/>
      <c r="P106" s="352"/>
      <c r="Q106" s="352"/>
      <c r="R106" s="352"/>
      <c r="S106" s="352"/>
      <c r="T106" s="352"/>
      <c r="U106" s="352"/>
      <c r="V106" s="352"/>
      <c r="W106" s="352">
        <f t="array" ref="W106">(PRODUCT(Index_Returns!AC95:AC106/100+1)-1)*100</f>
        <v>30.745073173194083</v>
      </c>
      <c r="X106" s="352">
        <f t="array" ref="X106">(PRODUCT(Index_Returns!AB95:AB106/100+1)-1)*100</f>
        <v>26.741396728940803</v>
      </c>
      <c r="Y106" s="352">
        <f t="shared" si="1"/>
        <v>4.00367644425328</v>
      </c>
      <c r="Z106" s="352">
        <f t="array" ref="Z106">(GEOMEAN(Index_Returns!AC71:AC106/100+1)^12-1)*100</f>
        <v>13.871177955002768</v>
      </c>
      <c r="AA106" s="352">
        <f t="array" ref="AA106">(GEOMEAN(Index_Returns!AB71:AB106/100+1)^12-1)*100</f>
        <v>5.4897020815124042</v>
      </c>
      <c r="AB106" s="352">
        <f t="shared" si="2"/>
        <v>8.3814758734903627</v>
      </c>
    </row>
    <row r="107" spans="1:28" x14ac:dyDescent="0.2">
      <c r="A107" s="19">
        <v>30772</v>
      </c>
      <c r="B107" s="352">
        <f t="array" ref="B107">(PRODUCT(Index_Returns!D96:D107/100+1)-1)*100</f>
        <v>17.20904163984105</v>
      </c>
      <c r="C107" s="352">
        <f t="array" ref="C107">(PRODUCT(Index_Returns!C96:C107/100+1)-1)*100</f>
        <v>1.1358987703668388</v>
      </c>
      <c r="D107" s="352">
        <f t="shared" si="0"/>
        <v>16.073142869474211</v>
      </c>
      <c r="E107" s="352">
        <f t="array" ref="E107">(GEOMEAN(Index_Returns!D72:D107/100+1)^12-1)*100</f>
        <v>15.020153898245002</v>
      </c>
      <c r="F107" s="352">
        <f t="array" ref="F107">(GEOMEAN(Index_Returns!C72:C107/100+1)^12-1)*100</f>
        <v>6.9353119748665426</v>
      </c>
      <c r="G107" s="352">
        <f t="shared" si="4"/>
        <v>8.084841923378459</v>
      </c>
      <c r="H107" s="351"/>
      <c r="I107" s="349"/>
      <c r="J107" s="349"/>
      <c r="K107" s="349"/>
      <c r="L107" s="349"/>
      <c r="M107" s="349"/>
      <c r="N107" s="349"/>
      <c r="O107" s="352"/>
      <c r="P107" s="352"/>
      <c r="Q107" s="352"/>
      <c r="R107" s="352"/>
      <c r="S107" s="352"/>
      <c r="T107" s="352"/>
      <c r="U107" s="352"/>
      <c r="V107" s="352"/>
      <c r="W107" s="352">
        <f t="array" ref="W107">(PRODUCT(Index_Returns!AC96:AC107/100+1)-1)*100</f>
        <v>33.832962507445515</v>
      </c>
      <c r="X107" s="352">
        <f t="array" ref="X107">(PRODUCT(Index_Returns!AB96:AB107/100+1)-1)*100</f>
        <v>37.347980240343048</v>
      </c>
      <c r="Y107" s="352">
        <f t="shared" si="1"/>
        <v>-3.5150177328975332</v>
      </c>
      <c r="Z107" s="352">
        <f t="array" ref="Z107">(GEOMEAN(Index_Returns!AC72:AC107/100+1)^12-1)*100</f>
        <v>14.551182689540475</v>
      </c>
      <c r="AA107" s="352">
        <f t="array" ref="AA107">(GEOMEAN(Index_Returns!AB72:AB107/100+1)^12-1)*100</f>
        <v>8.7040922720620593</v>
      </c>
      <c r="AB107" s="352">
        <f t="shared" si="2"/>
        <v>5.847090417478416</v>
      </c>
    </row>
    <row r="108" spans="1:28" x14ac:dyDescent="0.2">
      <c r="A108" s="19">
        <v>30802</v>
      </c>
      <c r="B108" s="352">
        <f t="array" ref="B108">(PRODUCT(Index_Returns!D97:D108/100+1)-1)*100</f>
        <v>9.0480279362266778</v>
      </c>
      <c r="C108" s="352">
        <f t="array" ref="C108">(PRODUCT(Index_Returns!C97:C108/100+1)-1)*100</f>
        <v>-4.717558009575173</v>
      </c>
      <c r="D108" s="352">
        <f t="shared" si="0"/>
        <v>13.765585945801851</v>
      </c>
      <c r="E108" s="352">
        <f t="array" ref="E108">(GEOMEAN(Index_Returns!D73:D108/100+1)^12-1)*100</f>
        <v>15.345449693967961</v>
      </c>
      <c r="F108" s="352">
        <f t="array" ref="F108">(GEOMEAN(Index_Returns!C73:C108/100+1)^12-1)*100</f>
        <v>8.6656373755938709</v>
      </c>
      <c r="G108" s="352">
        <f t="shared" si="4"/>
        <v>6.6798123183740898</v>
      </c>
      <c r="H108" s="351"/>
      <c r="I108" s="349"/>
      <c r="J108" s="349"/>
      <c r="K108" s="349"/>
      <c r="L108" s="349"/>
      <c r="M108" s="349"/>
      <c r="N108" s="349"/>
      <c r="O108" s="352"/>
      <c r="P108" s="352"/>
      <c r="Q108" s="352"/>
      <c r="R108" s="352"/>
      <c r="S108" s="352"/>
      <c r="T108" s="352"/>
      <c r="U108" s="352"/>
      <c r="V108" s="352"/>
      <c r="W108" s="352">
        <f t="array" ref="W108">(PRODUCT(Index_Returns!AC97:AC108/100+1)-1)*100</f>
        <v>24.889468562054006</v>
      </c>
      <c r="X108" s="352">
        <f t="array" ref="X108">(PRODUCT(Index_Returns!AB97:AB108/100+1)-1)*100</f>
        <v>27.525178669203633</v>
      </c>
      <c r="Y108" s="352">
        <f t="shared" si="1"/>
        <v>-2.6357101071496274</v>
      </c>
      <c r="Z108" s="352">
        <f t="array" ref="Z108">(GEOMEAN(Index_Returns!AC73:AC108/100+1)^12-1)*100</f>
        <v>11.895469356350885</v>
      </c>
      <c r="AA108" s="352">
        <f t="array" ref="AA108">(GEOMEAN(Index_Returns!AB73:AB108/100+1)^12-1)*100</f>
        <v>8.1636523924890181</v>
      </c>
      <c r="AB108" s="352">
        <f t="shared" si="2"/>
        <v>3.731816963861867</v>
      </c>
    </row>
    <row r="109" spans="1:28" x14ac:dyDescent="0.2">
      <c r="A109" s="19">
        <v>30833</v>
      </c>
      <c r="B109" s="352">
        <f t="array" ref="B109">(PRODUCT(Index_Returns!D98:D109/100+1)-1)*100</f>
        <v>3.1279040440679973</v>
      </c>
      <c r="C109" s="352">
        <f t="array" ref="C109">(PRODUCT(Index_Returns!C98:C109/100+1)-1)*100</f>
        <v>-8.5241402349755866</v>
      </c>
      <c r="D109" s="352">
        <f t="shared" si="0"/>
        <v>11.652044279043583</v>
      </c>
      <c r="E109" s="352">
        <f t="array" ref="E109">(GEOMEAN(Index_Returns!D74:D109/100+1)^12-1)*100</f>
        <v>12.881592517897534</v>
      </c>
      <c r="F109" s="352">
        <f t="array" ref="F109">(GEOMEAN(Index_Returns!C74:C109/100+1)^12-1)*100</f>
        <v>6.7045143507105331</v>
      </c>
      <c r="G109" s="352">
        <f t="shared" si="4"/>
        <v>6.177078167187001</v>
      </c>
      <c r="H109" s="351"/>
      <c r="I109" s="349"/>
      <c r="J109" s="349"/>
      <c r="K109" s="349"/>
      <c r="L109" s="349"/>
      <c r="M109" s="349"/>
      <c r="N109" s="349"/>
      <c r="O109" s="352"/>
      <c r="P109" s="352"/>
      <c r="Q109" s="352"/>
      <c r="R109" s="352"/>
      <c r="S109" s="352"/>
      <c r="T109" s="352"/>
      <c r="U109" s="352"/>
      <c r="V109" s="352"/>
      <c r="W109" s="352">
        <f t="array" ref="W109">(PRODUCT(Index_Returns!AC98:AC109/100+1)-1)*100</f>
        <v>14.351706307518564</v>
      </c>
      <c r="X109" s="352">
        <f t="array" ref="X109">(PRODUCT(Index_Returns!AB98:AB109/100+1)-1)*100</f>
        <v>13.493789290483615</v>
      </c>
      <c r="Y109" s="352">
        <f t="shared" si="1"/>
        <v>0.85791701703494816</v>
      </c>
      <c r="Z109" s="352">
        <f t="array" ref="Z109">(GEOMEAN(Index_Returns!AC74:AC109/100+1)^12-1)*100</f>
        <v>9.8785493018734414</v>
      </c>
      <c r="AA109" s="352">
        <f t="array" ref="AA109">(GEOMEAN(Index_Returns!AB74:AB109/100+1)^12-1)*100</f>
        <v>5.5472019872582434</v>
      </c>
      <c r="AB109" s="352">
        <f t="shared" si="2"/>
        <v>4.331347314615198</v>
      </c>
    </row>
    <row r="110" spans="1:28" x14ac:dyDescent="0.2">
      <c r="A110" s="19">
        <v>30863</v>
      </c>
      <c r="B110" s="352">
        <f t="array" ref="B110">(PRODUCT(Index_Returns!D99:D110/100+1)-1)*100</f>
        <v>2.429863492857387</v>
      </c>
      <c r="C110" s="352">
        <f t="array" ref="C110">(PRODUCT(Index_Returns!C99:C110/100+1)-1)*100</f>
        <v>-10.825759303708161</v>
      </c>
      <c r="D110" s="352">
        <f t="shared" si="0"/>
        <v>13.255622796565547</v>
      </c>
      <c r="E110" s="352">
        <f t="array" ref="E110">(GEOMEAN(Index_Returns!D75:D110/100+1)^12-1)*100</f>
        <v>13.414290784979087</v>
      </c>
      <c r="F110" s="352">
        <f t="array" ref="F110">(GEOMEAN(Index_Returns!C75:C110/100+1)^12-1)*100</f>
        <v>8.3408403728485894</v>
      </c>
      <c r="G110" s="352">
        <f t="shared" si="4"/>
        <v>5.073450412130498</v>
      </c>
      <c r="H110" s="351"/>
      <c r="I110" s="349"/>
      <c r="J110" s="349"/>
      <c r="K110" s="349"/>
      <c r="L110" s="349"/>
      <c r="M110" s="349"/>
      <c r="N110" s="349"/>
      <c r="O110" s="352"/>
      <c r="P110" s="352"/>
      <c r="Q110" s="352"/>
      <c r="R110" s="352"/>
      <c r="S110" s="352"/>
      <c r="T110" s="352"/>
      <c r="U110" s="352"/>
      <c r="V110" s="352"/>
      <c r="W110" s="352">
        <f t="array" ref="W110">(PRODUCT(Index_Returns!AC99:AC110/100+1)-1)*100</f>
        <v>10.293661259954101</v>
      </c>
      <c r="X110" s="352">
        <f t="array" ref="X110">(PRODUCT(Index_Returns!AB99:AB110/100+1)-1)*100</f>
        <v>12.241366156807555</v>
      </c>
      <c r="Y110" s="352">
        <f t="shared" si="1"/>
        <v>-1.9477048968534536</v>
      </c>
      <c r="Z110" s="352">
        <f t="array" ref="Z110">(GEOMEAN(Index_Returns!AC75:AC110/100+1)^12-1)*100</f>
        <v>8.7802459850215833</v>
      </c>
      <c r="AA110" s="352">
        <f t="array" ref="AA110">(GEOMEAN(Index_Returns!AB75:AB110/100+1)^12-1)*100</f>
        <v>6.1972028808916946</v>
      </c>
      <c r="AB110" s="352">
        <f t="shared" si="2"/>
        <v>2.5830431041298887</v>
      </c>
    </row>
    <row r="111" spans="1:28" x14ac:dyDescent="0.2">
      <c r="A111" s="19">
        <v>30894</v>
      </c>
      <c r="B111" s="352">
        <f t="array" ref="B111">(PRODUCT(Index_Returns!D100:D111/100+1)-1)*100</f>
        <v>1.7424846427782414</v>
      </c>
      <c r="C111" s="352">
        <f t="array" ref="C111">(PRODUCT(Index_Returns!C100:C111/100+1)-1)*100</f>
        <v>-7.2318321884208281</v>
      </c>
      <c r="D111" s="352">
        <f t="shared" si="0"/>
        <v>8.9743168311990686</v>
      </c>
      <c r="E111" s="352">
        <f t="array" ref="E111">(GEOMEAN(Index_Returns!D76:D111/100+1)^12-1)*100</f>
        <v>13.052839161394413</v>
      </c>
      <c r="F111" s="352">
        <f t="array" ref="F111">(GEOMEAN(Index_Returns!C76:C111/100+1)^12-1)*100</f>
        <v>7.5139681453799456</v>
      </c>
      <c r="G111" s="352">
        <f t="shared" si="4"/>
        <v>5.5388710160144674</v>
      </c>
      <c r="H111" s="351"/>
      <c r="I111" s="349"/>
      <c r="J111" s="349"/>
      <c r="K111" s="349"/>
      <c r="L111" s="349"/>
      <c r="M111" s="349"/>
      <c r="N111" s="349"/>
      <c r="O111" s="352"/>
      <c r="P111" s="352"/>
      <c r="Q111" s="352"/>
      <c r="R111" s="352"/>
      <c r="S111" s="352"/>
      <c r="T111" s="352"/>
      <c r="U111" s="352"/>
      <c r="V111" s="352"/>
      <c r="W111" s="352">
        <f t="array" ref="W111">(PRODUCT(Index_Returns!AC100:AC111/100+1)-1)*100</f>
        <v>4.065559431304111</v>
      </c>
      <c r="X111" s="352">
        <f t="array" ref="X111">(PRODUCT(Index_Returns!AB100:AB111/100+1)-1)*100</f>
        <v>3.6797242000123909</v>
      </c>
      <c r="Y111" s="352">
        <f t="shared" si="1"/>
        <v>0.38583523129172015</v>
      </c>
      <c r="Z111" s="352">
        <f t="array" ref="Z111">(GEOMEAN(Index_Returns!AC76:AC111/100+1)^12-1)*100</f>
        <v>7.9798012151279796</v>
      </c>
      <c r="AA111" s="352">
        <f t="array" ref="AA111">(GEOMEAN(Index_Returns!AB76:AB111/100+1)^12-1)*100</f>
        <v>5.2590058645058058</v>
      </c>
      <c r="AB111" s="352">
        <f t="shared" si="2"/>
        <v>2.7207953506221738</v>
      </c>
    </row>
    <row r="112" spans="1:28" x14ac:dyDescent="0.2">
      <c r="A112" s="19">
        <v>30925</v>
      </c>
      <c r="B112" s="352">
        <f t="array" ref="B112">(PRODUCT(Index_Returns!D101:D112/100+1)-1)*100</f>
        <v>9.9900221482388538</v>
      </c>
      <c r="C112" s="352">
        <f t="array" ref="C112">(PRODUCT(Index_Returns!C101:C112/100+1)-1)*100</f>
        <v>2.7218834841688189</v>
      </c>
      <c r="D112" s="352">
        <f t="shared" si="0"/>
        <v>7.2681386640700349</v>
      </c>
      <c r="E112" s="352">
        <f t="array" ref="E112">(GEOMEAN(Index_Returns!D77:D112/100+1)^12-1)*100</f>
        <v>19.348882582696781</v>
      </c>
      <c r="F112" s="352">
        <f t="array" ref="F112">(GEOMEAN(Index_Returns!C77:C112/100+1)^12-1)*100</f>
        <v>13.5143061359142</v>
      </c>
      <c r="G112" s="352">
        <f t="shared" si="4"/>
        <v>5.8345764467825809</v>
      </c>
      <c r="H112" s="351"/>
      <c r="I112" s="349"/>
      <c r="J112" s="349"/>
      <c r="K112" s="349"/>
      <c r="L112" s="349"/>
      <c r="M112" s="349"/>
      <c r="N112" s="349"/>
      <c r="O112" s="352"/>
      <c r="P112" s="352"/>
      <c r="Q112" s="352"/>
      <c r="R112" s="352"/>
      <c r="S112" s="352"/>
      <c r="T112" s="352"/>
      <c r="U112" s="352"/>
      <c r="V112" s="352"/>
      <c r="W112" s="352">
        <f t="array" ref="W112">(PRODUCT(Index_Returns!AC101:AC112/100+1)-1)*100</f>
        <v>14.106737155492667</v>
      </c>
      <c r="X112" s="352">
        <f t="array" ref="X112">(PRODUCT(Index_Returns!AB101:AB112/100+1)-1)*100</f>
        <v>14.88301028804797</v>
      </c>
      <c r="Y112" s="352">
        <f t="shared" si="1"/>
        <v>-0.77627313255530339</v>
      </c>
      <c r="Z112" s="352">
        <f t="array" ref="Z112">(GEOMEAN(Index_Returns!AC77:AC112/100+1)^12-1)*100</f>
        <v>10.118101082687826</v>
      </c>
      <c r="AA112" s="352">
        <f t="array" ref="AA112">(GEOMEAN(Index_Returns!AB77:AB112/100+1)^12-1)*100</f>
        <v>7.3255658755950304</v>
      </c>
      <c r="AB112" s="352">
        <f t="shared" si="2"/>
        <v>2.7925352070927953</v>
      </c>
    </row>
    <row r="113" spans="1:28" x14ac:dyDescent="0.2">
      <c r="A113" s="19">
        <v>30955</v>
      </c>
      <c r="B113" s="352">
        <f t="array" ref="B113">(PRODUCT(Index_Returns!D102:D113/100+1)-1)*100</f>
        <v>10.807994548944588</v>
      </c>
      <c r="C113" s="352">
        <f t="array" ref="C113">(PRODUCT(Index_Returns!C102:C113/100+1)-1)*100</f>
        <v>-0.59753415160884726</v>
      </c>
      <c r="D113" s="352">
        <f t="shared" si="0"/>
        <v>11.405528700553436</v>
      </c>
      <c r="E113" s="352">
        <f t="array" ref="E113">(GEOMEAN(Index_Returns!D78:D113/100+1)^12-1)*100</f>
        <v>21.587854586870957</v>
      </c>
      <c r="F113" s="352">
        <f t="array" ref="F113">(GEOMEAN(Index_Returns!C78:C113/100+1)^12-1)*100</f>
        <v>15.370299806291388</v>
      </c>
      <c r="G113" s="352">
        <f t="shared" si="4"/>
        <v>6.2175547805795688</v>
      </c>
      <c r="H113" s="351"/>
      <c r="I113" s="349"/>
      <c r="J113" s="349"/>
      <c r="K113" s="349"/>
      <c r="L113" s="349"/>
      <c r="M113" s="349"/>
      <c r="N113" s="349"/>
      <c r="O113" s="352"/>
      <c r="P113" s="352"/>
      <c r="Q113" s="352"/>
      <c r="R113" s="352"/>
      <c r="S113" s="352"/>
      <c r="T113" s="352"/>
      <c r="U113" s="352"/>
      <c r="V113" s="352"/>
      <c r="W113" s="352">
        <f t="array" ref="W113">(PRODUCT(Index_Returns!AC102:AC113/100+1)-1)*100</f>
        <v>7.6730437247295891</v>
      </c>
      <c r="X113" s="352">
        <f t="array" ref="X113">(PRODUCT(Index_Returns!AB102:AB113/100+1)-1)*100</f>
        <v>10.648227697961833</v>
      </c>
      <c r="Y113" s="352">
        <f t="shared" si="1"/>
        <v>-2.9751839732322436</v>
      </c>
      <c r="Z113" s="352">
        <f t="array" ref="Z113">(GEOMEAN(Index_Returns!AC78:AC113/100+1)^12-1)*100</f>
        <v>13.18051603255903</v>
      </c>
      <c r="AA113" s="352">
        <f t="array" ref="AA113">(GEOMEAN(Index_Returns!AB78:AB113/100+1)^12-1)*100</f>
        <v>11.306526254087657</v>
      </c>
      <c r="AB113" s="352">
        <f t="shared" si="2"/>
        <v>1.8739897784713726</v>
      </c>
    </row>
    <row r="114" spans="1:28" x14ac:dyDescent="0.2">
      <c r="A114" s="19">
        <v>30986</v>
      </c>
      <c r="B114" s="352">
        <f t="array" ref="B114">(PRODUCT(Index_Returns!D103:D114/100+1)-1)*100</f>
        <v>10.941739865237921</v>
      </c>
      <c r="C114" s="352">
        <f t="array" ref="C114">(PRODUCT(Index_Returns!C103:C114/100+1)-1)*100</f>
        <v>2.5915951260891745</v>
      </c>
      <c r="D114" s="352">
        <f t="shared" si="0"/>
        <v>8.350144739148746</v>
      </c>
      <c r="E114" s="352">
        <f t="array" ref="E114">(GEOMEAN(Index_Returns!D79:D114/100+1)^12-1)*100</f>
        <v>19.881980005081878</v>
      </c>
      <c r="F114" s="352">
        <f t="array" ref="F114">(GEOMEAN(Index_Returns!C79:C114/100+1)^12-1)*100</f>
        <v>13.29297723674523</v>
      </c>
      <c r="G114" s="352">
        <f t="shared" si="4"/>
        <v>6.5890027683366483</v>
      </c>
      <c r="H114" s="351"/>
      <c r="I114" s="349"/>
      <c r="J114" s="349"/>
      <c r="K114" s="349"/>
      <c r="L114" s="349"/>
      <c r="M114" s="349"/>
      <c r="N114" s="349"/>
      <c r="O114" s="352"/>
      <c r="P114" s="352"/>
      <c r="Q114" s="352"/>
      <c r="R114" s="352"/>
      <c r="S114" s="352"/>
      <c r="T114" s="352"/>
      <c r="U114" s="352"/>
      <c r="V114" s="352"/>
      <c r="W114" s="352">
        <f t="array" ref="W114">(PRODUCT(Index_Returns!AC103:AC114/100+1)-1)*100</f>
        <v>8.2851650476439822</v>
      </c>
      <c r="X114" s="352">
        <f t="array" ref="X114">(PRODUCT(Index_Returns!AB103:AB114/100+1)-1)*100</f>
        <v>15.669899456386993</v>
      </c>
      <c r="Y114" s="352">
        <f t="shared" si="1"/>
        <v>-7.3847344087430109</v>
      </c>
      <c r="Z114" s="352">
        <f t="array" ref="Z114">(GEOMEAN(Index_Returns!AC79:AC114/100+1)^12-1)*100</f>
        <v>12.677698706049799</v>
      </c>
      <c r="AA114" s="352">
        <f t="array" ref="AA114">(GEOMEAN(Index_Returns!AB79:AB114/100+1)^12-1)*100</f>
        <v>12.434278908001151</v>
      </c>
      <c r="AB114" s="352">
        <f t="shared" si="2"/>
        <v>0.24341979804864877</v>
      </c>
    </row>
    <row r="115" spans="1:28" x14ac:dyDescent="0.2">
      <c r="A115" s="19">
        <v>31016</v>
      </c>
      <c r="B115" s="352">
        <f t="array" ref="B115">(PRODUCT(Index_Returns!D104:D115/100+1)-1)*100</f>
        <v>7.8176861946684939</v>
      </c>
      <c r="C115" s="352">
        <f t="array" ref="C115">(PRODUCT(Index_Returns!C104:C115/100+1)-1)*100</f>
        <v>-1.1994230601882538</v>
      </c>
      <c r="D115" s="352">
        <f t="shared" si="0"/>
        <v>9.0171092548567486</v>
      </c>
      <c r="E115" s="352">
        <f t="array" ref="E115">(GEOMEAN(Index_Returns!D80:D115/100+1)^12-1)*100</f>
        <v>17.928171251859702</v>
      </c>
      <c r="F115" s="352">
        <f t="array" ref="F115">(GEOMEAN(Index_Returns!C80:C115/100+1)^12-1)*100</f>
        <v>11.193683263390341</v>
      </c>
      <c r="G115" s="352">
        <f t="shared" si="4"/>
        <v>6.7344879884693611</v>
      </c>
      <c r="H115" s="351"/>
      <c r="I115" s="349"/>
      <c r="J115" s="349"/>
      <c r="K115" s="349"/>
      <c r="L115" s="349"/>
      <c r="M115" s="349"/>
      <c r="N115" s="349"/>
      <c r="O115" s="352"/>
      <c r="P115" s="352"/>
      <c r="Q115" s="352"/>
      <c r="R115" s="352"/>
      <c r="S115" s="352"/>
      <c r="T115" s="352"/>
      <c r="U115" s="352"/>
      <c r="V115" s="352"/>
      <c r="W115" s="352">
        <f t="array" ref="W115">(PRODUCT(Index_Returns!AC104:AC115/100+1)-1)*100</f>
        <v>5.9984323938509609</v>
      </c>
      <c r="X115" s="352">
        <f t="array" ref="X115">(PRODUCT(Index_Returns!AB104:AB115/100+1)-1)*100</f>
        <v>13.918059452741961</v>
      </c>
      <c r="Y115" s="352">
        <f t="shared" si="1"/>
        <v>-7.9196270588909998</v>
      </c>
      <c r="Z115" s="352">
        <f t="array" ref="Z115">(GEOMEAN(Index_Returns!AC80:AC115/100+1)^12-1)*100</f>
        <v>8.3994869764195013</v>
      </c>
      <c r="AA115" s="352">
        <f t="array" ref="AA115">(GEOMEAN(Index_Returns!AB80:AB115/100+1)^12-1)*100</f>
        <v>9.3557657536176499</v>
      </c>
      <c r="AB115" s="352">
        <f t="shared" si="2"/>
        <v>-0.95627877719814869</v>
      </c>
    </row>
    <row r="116" spans="1:28" x14ac:dyDescent="0.2">
      <c r="A116" s="19">
        <v>31047</v>
      </c>
      <c r="B116" s="352">
        <f t="array" ref="B116">(PRODUCT(Index_Returns!D105:D116/100+1)-1)*100</f>
        <v>10.515286429723215</v>
      </c>
      <c r="C116" s="352">
        <f t="array" ref="C116">(PRODUCT(Index_Returns!C105:C116/100+1)-1)*100</f>
        <v>2.3327784526649964</v>
      </c>
      <c r="D116" s="352">
        <f t="shared" si="0"/>
        <v>8.1825079770582185</v>
      </c>
      <c r="E116" s="352">
        <f t="array" ref="E116">(GEOMEAN(Index_Returns!D81:D116/100+1)^12-1)*100</f>
        <v>19.908026024810923</v>
      </c>
      <c r="F116" s="352">
        <f t="array" ref="F116">(GEOMEAN(Index_Returns!C81:C116/100+1)^12-1)*100</f>
        <v>13.224786765778141</v>
      </c>
      <c r="G116" s="352">
        <f t="shared" si="4"/>
        <v>6.6832392590327814</v>
      </c>
      <c r="H116" s="351"/>
      <c r="I116" s="349"/>
      <c r="J116" s="349"/>
      <c r="K116" s="349"/>
      <c r="L116" s="349"/>
      <c r="M116" s="349"/>
      <c r="N116" s="349"/>
      <c r="O116" s="352"/>
      <c r="P116" s="352"/>
      <c r="Q116" s="352"/>
      <c r="R116" s="352"/>
      <c r="S116" s="352"/>
      <c r="T116" s="352"/>
      <c r="U116" s="352"/>
      <c r="V116" s="352"/>
      <c r="W116" s="352">
        <f t="array" ref="W116">(PRODUCT(Index_Returns!AC105:AC116/100+1)-1)*100</f>
        <v>3.6970592445604078</v>
      </c>
      <c r="X116" s="352">
        <f t="array" ref="X116">(PRODUCT(Index_Returns!AB105:AB116/100+1)-1)*100</f>
        <v>12.724021171168864</v>
      </c>
      <c r="Y116" s="352">
        <f t="shared" si="1"/>
        <v>-9.0269619266084575</v>
      </c>
      <c r="Z116" s="352">
        <f t="array" ref="Z116">(GEOMEAN(Index_Returns!AC81:AC116/100+1)^12-1)*100</f>
        <v>9.7561741478800812</v>
      </c>
      <c r="AA116" s="352">
        <f t="array" ref="AA116">(GEOMEAN(Index_Returns!AB81:AB116/100+1)^12-1)*100</f>
        <v>10.449176453318621</v>
      </c>
      <c r="AB116" s="352">
        <f t="shared" si="2"/>
        <v>-0.69300230543854013</v>
      </c>
    </row>
    <row r="117" spans="1:28" x14ac:dyDescent="0.2">
      <c r="A117" s="19">
        <v>31078</v>
      </c>
      <c r="B117" s="352">
        <f t="array" ref="B117">(PRODUCT(Index_Returns!D106:D117/100+1)-1)*100</f>
        <v>16.029697551840314</v>
      </c>
      <c r="C117" s="352">
        <f t="array" ref="C117">(PRODUCT(Index_Returns!C106:C117/100+1)-1)*100</f>
        <v>14.211328700093762</v>
      </c>
      <c r="D117" s="352">
        <f t="shared" si="0"/>
        <v>1.8183688517465519</v>
      </c>
      <c r="E117" s="352">
        <f t="array" ref="E117">(GEOMEAN(Index_Returns!D82:D117/100+1)^12-1)*100</f>
        <v>23.536241898929333</v>
      </c>
      <c r="F117" s="352">
        <f t="array" ref="F117">(GEOMEAN(Index_Returns!C82:C117/100+1)^12-1)*100</f>
        <v>16.687134477532361</v>
      </c>
      <c r="G117" s="352">
        <f t="shared" si="4"/>
        <v>6.8491074213969725</v>
      </c>
      <c r="H117" s="351"/>
      <c r="I117" s="349"/>
      <c r="J117" s="349"/>
      <c r="K117" s="349"/>
      <c r="L117" s="349"/>
      <c r="M117" s="349"/>
      <c r="N117" s="349"/>
      <c r="O117" s="352"/>
      <c r="P117" s="352"/>
      <c r="Q117" s="352"/>
      <c r="R117" s="352"/>
      <c r="S117" s="352"/>
      <c r="T117" s="352"/>
      <c r="U117" s="352"/>
      <c r="V117" s="352"/>
      <c r="W117" s="352">
        <f t="array" ref="W117">(PRODUCT(Index_Returns!AC106:AC117/100+1)-1)*100</f>
        <v>0.84520034256578835</v>
      </c>
      <c r="X117" s="352">
        <f t="array" ref="X117">(PRODUCT(Index_Returns!AB106:AB117/100+1)-1)*100</f>
        <v>11.137065286118929</v>
      </c>
      <c r="Y117" s="352">
        <f t="shared" si="1"/>
        <v>-10.29186494355314</v>
      </c>
      <c r="Z117" s="352">
        <f t="array" ref="Z117">(GEOMEAN(Index_Returns!AC82:AC117/100+1)^12-1)*100</f>
        <v>11.011342791318723</v>
      </c>
      <c r="AA117" s="352">
        <f t="array" ref="AA117">(GEOMEAN(Index_Returns!AB82:AB117/100+1)^12-1)*100</f>
        <v>11.534710724905505</v>
      </c>
      <c r="AB117" s="352">
        <f t="shared" si="2"/>
        <v>-0.52336793358678158</v>
      </c>
    </row>
    <row r="118" spans="1:28" x14ac:dyDescent="0.2">
      <c r="A118" s="19">
        <v>31106</v>
      </c>
      <c r="B118" s="352">
        <f t="array" ref="B118">(PRODUCT(Index_Returns!D107:D118/100+1)-1)*100</f>
        <v>20.379474188527169</v>
      </c>
      <c r="C118" s="352">
        <f t="array" ref="C118">(PRODUCT(Index_Returns!C107:C118/100+1)-1)*100</f>
        <v>21.017842440615176</v>
      </c>
      <c r="D118" s="352">
        <f t="shared" si="0"/>
        <v>-0.63836825208800718</v>
      </c>
      <c r="E118" s="352">
        <f t="array" ref="E118">(GEOMEAN(Index_Returns!D83:D118/100+1)^12-1)*100</f>
        <v>25.525651230848844</v>
      </c>
      <c r="F118" s="352">
        <f t="array" ref="F118">(GEOMEAN(Index_Returns!C83:C118/100+1)^12-1)*100</f>
        <v>27.518401565885831</v>
      </c>
      <c r="G118" s="352">
        <f t="shared" si="4"/>
        <v>-1.9927503350369875</v>
      </c>
      <c r="H118" s="351"/>
      <c r="I118" s="349"/>
      <c r="J118" s="349"/>
      <c r="K118" s="349"/>
      <c r="L118" s="349"/>
      <c r="M118" s="349"/>
      <c r="N118" s="349"/>
      <c r="O118" s="352"/>
      <c r="P118" s="352"/>
      <c r="Q118" s="352"/>
      <c r="R118" s="352"/>
      <c r="S118" s="352"/>
      <c r="T118" s="352"/>
      <c r="U118" s="352"/>
      <c r="V118" s="352"/>
      <c r="W118" s="352">
        <f t="array" ref="W118">(PRODUCT(Index_Returns!AC107:AC118/100+1)-1)*100</f>
        <v>-1.4621808280994131</v>
      </c>
      <c r="X118" s="352">
        <f t="array" ref="X118">(PRODUCT(Index_Returns!AB107:AB118/100+1)-1)*100</f>
        <v>10.265693547069098</v>
      </c>
      <c r="Y118" s="352">
        <f t="shared" si="1"/>
        <v>-11.727874375168511</v>
      </c>
      <c r="Z118" s="352">
        <f t="array" ref="Z118">(GEOMEAN(Index_Returns!AC83:AC118/100+1)^12-1)*100</f>
        <v>12.448780140940418</v>
      </c>
      <c r="AA118" s="352">
        <f t="array" ref="AA118">(GEOMEAN(Index_Returns!AB83:AB118/100+1)^12-1)*100</f>
        <v>14.596827429286808</v>
      </c>
      <c r="AB118" s="352">
        <f t="shared" si="2"/>
        <v>-2.1480472883463904</v>
      </c>
    </row>
    <row r="119" spans="1:28" x14ac:dyDescent="0.2">
      <c r="A119" s="19">
        <v>31137</v>
      </c>
      <c r="B119" s="352">
        <f t="array" ref="B119">(PRODUCT(Index_Returns!D108:D119/100+1)-1)*100</f>
        <v>19.262208136619453</v>
      </c>
      <c r="C119" s="352">
        <f t="array" ref="C119">(PRODUCT(Index_Returns!C108:C119/100+1)-1)*100</f>
        <v>18.233395511623197</v>
      </c>
      <c r="D119" s="352">
        <f t="shared" si="0"/>
        <v>1.0288126249962559</v>
      </c>
      <c r="E119" s="352">
        <f t="array" ref="E119">(GEOMEAN(Index_Returns!D84:D119/100+1)^12-1)*100</f>
        <v>25.546508211697972</v>
      </c>
      <c r="F119" s="352">
        <f t="array" ref="F119">(GEOMEAN(Index_Returns!C84:C119/100+1)^12-1)*100</f>
        <v>20.556421133127124</v>
      </c>
      <c r="G119" s="352">
        <f t="shared" si="4"/>
        <v>4.9900870785708484</v>
      </c>
      <c r="H119" s="351"/>
      <c r="I119" s="349"/>
      <c r="J119" s="349"/>
      <c r="K119" s="349"/>
      <c r="L119" s="349"/>
      <c r="M119" s="349"/>
      <c r="N119" s="349"/>
      <c r="O119" s="352"/>
      <c r="P119" s="352"/>
      <c r="Q119" s="352"/>
      <c r="R119" s="352"/>
      <c r="S119" s="352"/>
      <c r="T119" s="352"/>
      <c r="U119" s="352"/>
      <c r="V119" s="352"/>
      <c r="W119" s="352">
        <f t="array" ref="W119">(PRODUCT(Index_Returns!AC108:AC119/100+1)-1)*100</f>
        <v>-1.3643161850983687</v>
      </c>
      <c r="X119" s="352">
        <f t="array" ref="X119">(PRODUCT(Index_Returns!AB108:AB119/100+1)-1)*100</f>
        <v>6.6956661526661909</v>
      </c>
      <c r="Y119" s="352">
        <f t="shared" si="1"/>
        <v>-8.0599823377645592</v>
      </c>
      <c r="Z119" s="352">
        <f t="array" ref="Z119">(GEOMEAN(Index_Returns!AC84:AC119/100+1)^12-1)*100</f>
        <v>17.282316282796838</v>
      </c>
      <c r="AA119" s="352">
        <f t="array" ref="AA119">(GEOMEAN(Index_Returns!AB84:AB119/100+1)^12-1)*100</f>
        <v>19.444727733924051</v>
      </c>
      <c r="AB119" s="352">
        <f t="shared" si="2"/>
        <v>-2.1624114511272126</v>
      </c>
    </row>
    <row r="120" spans="1:28" x14ac:dyDescent="0.2">
      <c r="A120" s="19">
        <v>31167</v>
      </c>
      <c r="B120" s="352">
        <f t="array" ref="B120">(PRODUCT(Index_Returns!D109:D120/100+1)-1)*100</f>
        <v>19.48711949687705</v>
      </c>
      <c r="C120" s="352">
        <f t="array" ref="C120">(PRODUCT(Index_Returns!C109:C120/100+1)-1)*100</f>
        <v>15.766471043825492</v>
      </c>
      <c r="D120" s="352">
        <f t="shared" si="0"/>
        <v>3.7206484530515578</v>
      </c>
      <c r="E120" s="352">
        <f t="array" ref="E120">(GEOMEAN(Index_Returns!D85:D120/100+1)^12-1)*100</f>
        <v>24.776616598139121</v>
      </c>
      <c r="F120" s="352">
        <f t="array" ref="F120">(GEOMEAN(Index_Returns!C85:C120/100+1)^12-1)*100</f>
        <v>17.833202713934625</v>
      </c>
      <c r="G120" s="352">
        <f t="shared" si="4"/>
        <v>6.9434138842044959</v>
      </c>
      <c r="H120" s="351"/>
      <c r="I120" s="349"/>
      <c r="J120" s="349"/>
      <c r="K120" s="349"/>
      <c r="L120" s="349"/>
      <c r="M120" s="349"/>
      <c r="N120" s="349"/>
      <c r="O120" s="352"/>
      <c r="P120" s="352"/>
      <c r="Q120" s="352"/>
      <c r="R120" s="352"/>
      <c r="S120" s="352"/>
      <c r="T120" s="352"/>
      <c r="U120" s="352"/>
      <c r="V120" s="352"/>
      <c r="W120" s="352">
        <f t="array" ref="W120">(PRODUCT(Index_Returns!AC109:AC120/100+1)-1)*100</f>
        <v>0.62233514978204951</v>
      </c>
      <c r="X120" s="352">
        <f t="array" ref="X120">(PRODUCT(Index_Returns!AB109:AB120/100+1)-1)*100</f>
        <v>7.4398741380884204</v>
      </c>
      <c r="Y120" s="352">
        <f t="shared" si="1"/>
        <v>-6.8175389883063708</v>
      </c>
      <c r="Z120" s="352">
        <f t="array" ref="Z120">(GEOMEAN(Index_Returns!AC85:AC120/100+1)^12-1)*100</f>
        <v>14.89362320508909</v>
      </c>
      <c r="AA120" s="352">
        <f t="array" ref="AA120">(GEOMEAN(Index_Returns!AB85:AB120/100+1)^12-1)*100</f>
        <v>16.652577657666502</v>
      </c>
      <c r="AB120" s="352">
        <f t="shared" si="2"/>
        <v>-1.7589544525774112</v>
      </c>
    </row>
    <row r="121" spans="1:28" x14ac:dyDescent="0.2">
      <c r="A121" s="19">
        <v>31198</v>
      </c>
      <c r="B121" s="352">
        <f t="array" ref="B121">(PRODUCT(Index_Returns!D110:D121/100+1)-1)*100</f>
        <v>33.256118360562034</v>
      </c>
      <c r="C121" s="352">
        <f t="array" ref="C121">(PRODUCT(Index_Returns!C110:C121/100+1)-1)*100</f>
        <v>29.805461363759612</v>
      </c>
      <c r="D121" s="352">
        <f t="shared" si="0"/>
        <v>3.4506569968024223</v>
      </c>
      <c r="E121" s="352">
        <f t="array" ref="E121">(GEOMEAN(Index_Returns!D86:D121/100+1)^12-1)*100</f>
        <v>28.074070148237283</v>
      </c>
      <c r="F121" s="352">
        <f t="array" ref="F121">(GEOMEAN(Index_Returns!C86:C121/100+1)^12-1)*100</f>
        <v>21.542723405199116</v>
      </c>
      <c r="G121" s="352">
        <f t="shared" si="4"/>
        <v>6.5313467430381671</v>
      </c>
      <c r="H121" s="351"/>
      <c r="I121" s="349"/>
      <c r="J121" s="349"/>
      <c r="K121" s="349"/>
      <c r="L121" s="349"/>
      <c r="M121" s="349"/>
      <c r="N121" s="349"/>
      <c r="O121" s="352"/>
      <c r="P121" s="352"/>
      <c r="Q121" s="352"/>
      <c r="R121" s="352"/>
      <c r="S121" s="352"/>
      <c r="T121" s="352"/>
      <c r="U121" s="352"/>
      <c r="V121" s="352"/>
      <c r="W121" s="352">
        <f t="array" ref="W121">(PRODUCT(Index_Returns!AC110:AC121/100+1)-1)*100</f>
        <v>15.207709779180556</v>
      </c>
      <c r="X121" s="352">
        <f t="array" ref="X121">(PRODUCT(Index_Returns!AB110:AB121/100+1)-1)*100</f>
        <v>26.314376287720155</v>
      </c>
      <c r="Y121" s="352">
        <f t="shared" si="1"/>
        <v>-11.106666508539599</v>
      </c>
      <c r="Z121" s="352">
        <f t="array" ref="Z121">(GEOMEAN(Index_Returns!AC86:AC121/100+1)^12-1)*100</f>
        <v>17.090563386476454</v>
      </c>
      <c r="AA121" s="352">
        <f t="array" ref="AA121">(GEOMEAN(Index_Returns!AB86:AB121/100+1)^12-1)*100</f>
        <v>18.805169049695536</v>
      </c>
      <c r="AB121" s="352">
        <f t="shared" si="2"/>
        <v>-1.714605663219082</v>
      </c>
    </row>
    <row r="122" spans="1:28" x14ac:dyDescent="0.2">
      <c r="A122" s="19">
        <v>31228</v>
      </c>
      <c r="B122" s="352">
        <f t="array" ref="B122">(PRODUCT(Index_Returns!D111:D122/100+1)-1)*100</f>
        <v>33.137668477574863</v>
      </c>
      <c r="C122" s="352">
        <f t="array" ref="C122">(PRODUCT(Index_Returns!C111:C122/100+1)-1)*100</f>
        <v>28.345676718005784</v>
      </c>
      <c r="D122" s="352">
        <f t="shared" si="0"/>
        <v>4.7919917595690791</v>
      </c>
      <c r="E122" s="352">
        <f t="array" ref="E122">(GEOMEAN(Index_Returns!D87:D122/100+1)^12-1)*100</f>
        <v>29.339399945425406</v>
      </c>
      <c r="F122" s="352">
        <f t="array" ref="F122">(GEOMEAN(Index_Returns!C87:C122/100+1)^12-1)*100</f>
        <v>22.992312329958221</v>
      </c>
      <c r="G122" s="352">
        <f t="shared" si="4"/>
        <v>6.3470876154671849</v>
      </c>
      <c r="H122" s="351"/>
      <c r="I122" s="349"/>
      <c r="J122" s="349"/>
      <c r="K122" s="349"/>
      <c r="L122" s="349"/>
      <c r="M122" s="349"/>
      <c r="N122" s="349"/>
      <c r="O122" s="352"/>
      <c r="P122" s="352"/>
      <c r="Q122" s="352"/>
      <c r="R122" s="352"/>
      <c r="S122" s="352"/>
      <c r="T122" s="352"/>
      <c r="U122" s="352"/>
      <c r="V122" s="352"/>
      <c r="W122" s="352">
        <f t="array" ref="W122">(PRODUCT(Index_Returns!AC111:AC122/100+1)-1)*100</f>
        <v>19.612700523545222</v>
      </c>
      <c r="X122" s="352">
        <f t="array" ref="X122">(PRODUCT(Index_Returns!AB111:AB122/100+1)-1)*100</f>
        <v>28.469348428814236</v>
      </c>
      <c r="Y122" s="352">
        <f t="shared" si="1"/>
        <v>-8.8566479052690141</v>
      </c>
      <c r="Z122" s="352">
        <f t="array" ref="Z122">(GEOMEAN(Index_Returns!AC87:AC122/100+1)^12-1)*100</f>
        <v>21.43754221014207</v>
      </c>
      <c r="AA122" s="352">
        <f t="array" ref="AA122">(GEOMEAN(Index_Returns!AB87:AB122/100+1)^12-1)*100</f>
        <v>22.691403021779564</v>
      </c>
      <c r="AB122" s="352">
        <f t="shared" si="2"/>
        <v>-1.2538608116374945</v>
      </c>
    </row>
    <row r="123" spans="1:28" x14ac:dyDescent="0.2">
      <c r="A123" s="19">
        <v>31259</v>
      </c>
      <c r="B123" s="352">
        <f t="array" ref="B123">(PRODUCT(Index_Returns!D112:D123/100+1)-1)*100</f>
        <v>35.972414617746409</v>
      </c>
      <c r="C123" s="352">
        <f t="array" ref="C123">(PRODUCT(Index_Returns!C112:C123/100+1)-1)*100</f>
        <v>28.668315877233063</v>
      </c>
      <c r="D123" s="352">
        <f t="shared" si="0"/>
        <v>7.3040987405133464</v>
      </c>
      <c r="E123" s="352">
        <f t="array" ref="E123">(GEOMEAN(Index_Returns!D88:D123/100+1)^12-1)*100</f>
        <v>30.545574969671673</v>
      </c>
      <c r="F123" s="352">
        <f t="array" ref="F123">(GEOMEAN(Index_Returns!C88:C123/100+1)^12-1)*100</f>
        <v>23.311296598899702</v>
      </c>
      <c r="G123" s="352">
        <f t="shared" si="4"/>
        <v>7.2342783707719711</v>
      </c>
      <c r="H123" s="351"/>
      <c r="I123" s="349"/>
      <c r="J123" s="349"/>
      <c r="K123" s="349"/>
      <c r="L123" s="349"/>
      <c r="M123" s="349"/>
      <c r="N123" s="349"/>
      <c r="O123" s="352"/>
      <c r="P123" s="352"/>
      <c r="Q123" s="352"/>
      <c r="R123" s="352"/>
      <c r="S123" s="352"/>
      <c r="T123" s="352"/>
      <c r="U123" s="352"/>
      <c r="V123" s="352"/>
      <c r="W123" s="352">
        <f t="array" ref="W123">(PRODUCT(Index_Returns!AC112:AC123/100+1)-1)*100</f>
        <v>33.924614814667798</v>
      </c>
      <c r="X123" s="352">
        <f t="array" ref="X123">(PRODUCT(Index_Returns!AB112:AB123/100+1)-1)*100</f>
        <v>44.911463238499017</v>
      </c>
      <c r="Y123" s="352">
        <f t="shared" si="1"/>
        <v>-10.986848423831219</v>
      </c>
      <c r="Z123" s="352">
        <f t="array" ref="Z123">(GEOMEAN(Index_Returns!AC88:AC123/100+1)^12-1)*100</f>
        <v>24.507500636178303</v>
      </c>
      <c r="AA123" s="352">
        <f t="array" ref="AA123">(GEOMEAN(Index_Returns!AB88:AB123/100+1)^12-1)*100</f>
        <v>24.754339805330929</v>
      </c>
      <c r="AB123" s="352">
        <f t="shared" si="2"/>
        <v>-0.24683916915262571</v>
      </c>
    </row>
    <row r="124" spans="1:28" x14ac:dyDescent="0.2">
      <c r="A124" s="19">
        <v>31290</v>
      </c>
      <c r="B124" s="352">
        <f t="array" ref="B124">(PRODUCT(Index_Returns!D113:D124/100+1)-1)*100</f>
        <v>20.981422606278777</v>
      </c>
      <c r="C124" s="352">
        <f t="array" ref="C124">(PRODUCT(Index_Returns!C113:C124/100+1)-1)*100</f>
        <v>15.301053935996944</v>
      </c>
      <c r="D124" s="352">
        <f t="shared" si="0"/>
        <v>5.6803686702818332</v>
      </c>
      <c r="E124" s="352">
        <f t="array" ref="E124">(GEOMEAN(Index_Returns!D89:D124/100+1)^12-1)*100</f>
        <v>25.068194409565869</v>
      </c>
      <c r="F124" s="352">
        <f t="array" ref="F124">(GEOMEAN(Index_Returns!C89:C124/100+1)^12-1)*100</f>
        <v>18.437562475343295</v>
      </c>
      <c r="G124" s="352">
        <f t="shared" si="4"/>
        <v>6.6306319342225741</v>
      </c>
      <c r="H124" s="351"/>
      <c r="I124" s="349"/>
      <c r="J124" s="349"/>
      <c r="K124" s="349"/>
      <c r="L124" s="349"/>
      <c r="M124" s="349"/>
      <c r="N124" s="349"/>
      <c r="O124" s="352"/>
      <c r="P124" s="352"/>
      <c r="Q124" s="352"/>
      <c r="R124" s="352"/>
      <c r="S124" s="352"/>
      <c r="T124" s="352"/>
      <c r="U124" s="352"/>
      <c r="V124" s="352"/>
      <c r="W124" s="352">
        <f t="array" ref="W124">(PRODUCT(Index_Returns!AC113:AC124/100+1)-1)*100</f>
        <v>29.188907841462395</v>
      </c>
      <c r="X124" s="352">
        <f t="array" ref="X124">(PRODUCT(Index_Returns!AB113:AB124/100+1)-1)*100</f>
        <v>35.911527478821739</v>
      </c>
      <c r="Y124" s="352">
        <f t="shared" si="1"/>
        <v>-6.7226196373593439</v>
      </c>
      <c r="Z124" s="352">
        <f t="array" ref="Z124">(GEOMEAN(Index_Returns!AC89:AC124/100+1)^12-1)*100</f>
        <v>26.195419148230826</v>
      </c>
      <c r="AA124" s="352">
        <f t="array" ref="AA124">(GEOMEAN(Index_Returns!AB89:AB124/100+1)^12-1)*100</f>
        <v>25.675065385119456</v>
      </c>
      <c r="AB124" s="352">
        <f t="shared" si="2"/>
        <v>0.52035376311136972</v>
      </c>
    </row>
    <row r="125" spans="1:28" x14ac:dyDescent="0.2">
      <c r="A125" s="19">
        <v>31320</v>
      </c>
      <c r="B125" s="352">
        <f t="array" ref="B125">(PRODUCT(Index_Returns!D114:D125/100+1)-1)*100</f>
        <v>15.694439177421726</v>
      </c>
      <c r="C125" s="352">
        <f t="array" ref="C125">(PRODUCT(Index_Returns!C114:C125/100+1)-1)*100</f>
        <v>12.727536331109279</v>
      </c>
      <c r="D125" s="352">
        <f t="shared" si="0"/>
        <v>2.9669028463124469</v>
      </c>
      <c r="E125" s="352">
        <f t="array" ref="E125">(GEOMEAN(Index_Returns!D90:D125/100+1)^12-1)*100</f>
        <v>23.667057712407534</v>
      </c>
      <c r="F125" s="352">
        <f t="array" ref="F125">(GEOMEAN(Index_Returns!C90:C125/100+1)^12-1)*100</f>
        <v>16.342530662195021</v>
      </c>
      <c r="G125" s="352">
        <f t="shared" si="4"/>
        <v>7.324527050212513</v>
      </c>
      <c r="H125" s="351"/>
      <c r="I125" s="349"/>
      <c r="J125" s="349"/>
      <c r="K125" s="349"/>
      <c r="L125" s="349"/>
      <c r="M125" s="349"/>
      <c r="N125" s="349"/>
      <c r="O125" s="352"/>
      <c r="P125" s="352"/>
      <c r="Q125" s="352"/>
      <c r="R125" s="352"/>
      <c r="S125" s="352"/>
      <c r="T125" s="352"/>
      <c r="U125" s="352"/>
      <c r="V125" s="352"/>
      <c r="W125" s="352">
        <f t="array" ref="W125">(PRODUCT(Index_Returns!AC114:AC125/100+1)-1)*100</f>
        <v>41.303593238399252</v>
      </c>
      <c r="X125" s="352">
        <f t="array" ref="X125">(PRODUCT(Index_Returns!AB114:AB125/100+1)-1)*100</f>
        <v>41.891056375788629</v>
      </c>
      <c r="Y125" s="352">
        <f t="shared" si="1"/>
        <v>-0.58746313738937772</v>
      </c>
      <c r="Z125" s="352">
        <f t="array" ref="Z125">(GEOMEAN(Index_Returns!AC90:AC125/100+1)^12-1)*100</f>
        <v>30.046719537002666</v>
      </c>
      <c r="AA125" s="352">
        <f t="array" ref="AA125">(GEOMEAN(Index_Returns!AB90:AB125/100+1)^12-1)*100</f>
        <v>27.178155630984534</v>
      </c>
      <c r="AB125" s="352">
        <f t="shared" si="2"/>
        <v>2.8685639060181316</v>
      </c>
    </row>
    <row r="126" spans="1:28" x14ac:dyDescent="0.2">
      <c r="A126" s="19">
        <v>31351</v>
      </c>
      <c r="B126" s="352">
        <f t="array" ref="B126">(PRODUCT(Index_Returns!D115:D126/100+1)-1)*100</f>
        <v>21.81971237879814</v>
      </c>
      <c r="C126" s="352">
        <f t="array" ref="C126">(PRODUCT(Index_Returns!C115:C126/100+1)-1)*100</f>
        <v>16.242012387611826</v>
      </c>
      <c r="D126" s="352">
        <f t="shared" si="0"/>
        <v>5.5776999911863143</v>
      </c>
      <c r="E126" s="352">
        <f t="array" ref="E126">(GEOMEAN(Index_Returns!D91:D126/100+1)^12-1)*100</f>
        <v>21.247740728831065</v>
      </c>
      <c r="F126" s="352">
        <f t="array" ref="F126">(GEOMEAN(Index_Returns!C91:C126/100+1)^12-1)*100</f>
        <v>13.793380584468551</v>
      </c>
      <c r="G126" s="352">
        <f t="shared" si="4"/>
        <v>7.4543601443625143</v>
      </c>
      <c r="H126" s="351"/>
      <c r="I126" s="349"/>
      <c r="J126" s="349"/>
      <c r="K126" s="349"/>
      <c r="L126" s="349"/>
      <c r="M126" s="349"/>
      <c r="N126" s="349"/>
      <c r="O126" s="352"/>
      <c r="P126" s="352"/>
      <c r="Q126" s="352"/>
      <c r="R126" s="352"/>
      <c r="S126" s="352"/>
      <c r="T126" s="352"/>
      <c r="U126" s="352"/>
      <c r="V126" s="352"/>
      <c r="W126" s="352">
        <f t="array" ref="W126">(PRODUCT(Index_Returns!AC115:AC126/100+1)-1)*100</f>
        <v>49.909379165014101</v>
      </c>
      <c r="X126" s="352">
        <f t="array" ref="X126">(PRODUCT(Index_Returns!AB115:AB126/100+1)-1)*100</f>
        <v>45.582643752264659</v>
      </c>
      <c r="Y126" s="352">
        <f t="shared" si="1"/>
        <v>4.3267354127494428</v>
      </c>
      <c r="Z126" s="352">
        <f t="array" ref="Z126">(GEOMEAN(Index_Returns!AC91:AC126/100+1)^12-1)*100</f>
        <v>32.376848557652949</v>
      </c>
      <c r="AA126" s="352">
        <f t="array" ref="AA126">(GEOMEAN(Index_Returns!AB91:AB126/100+1)^12-1)*100</f>
        <v>30.337095359427234</v>
      </c>
      <c r="AB126" s="352">
        <f t="shared" si="2"/>
        <v>2.0397531982257142</v>
      </c>
    </row>
    <row r="127" spans="1:28" x14ac:dyDescent="0.2">
      <c r="A127" s="19">
        <v>31381</v>
      </c>
      <c r="B127" s="352">
        <f t="array" ref="B127">(PRODUCT(Index_Returns!D116:D127/100+1)-1)*100</f>
        <v>28.68382691227367</v>
      </c>
      <c r="C127" s="352">
        <f t="array" ref="C127">(PRODUCT(Index_Returns!C116:C127/100+1)-1)*100</f>
        <v>28.841911006895572</v>
      </c>
      <c r="D127" s="352">
        <f t="shared" si="0"/>
        <v>-0.15808409462190198</v>
      </c>
      <c r="E127" s="352">
        <f t="array" ref="E127">(GEOMEAN(Index_Returns!D92:D127/100+1)^12-1)*100</f>
        <v>21.950113212203881</v>
      </c>
      <c r="F127" s="352">
        <f t="array" ref="F127">(GEOMEAN(Index_Returns!C92:C127/100+1)^12-1)*100</f>
        <v>15.07902021983114</v>
      </c>
      <c r="G127" s="352">
        <f t="shared" si="4"/>
        <v>6.8710929923727413</v>
      </c>
      <c r="H127" s="351"/>
      <c r="I127" s="349"/>
      <c r="J127" s="349"/>
      <c r="K127" s="349"/>
      <c r="L127" s="349"/>
      <c r="M127" s="349"/>
      <c r="N127" s="349"/>
      <c r="O127" s="352"/>
      <c r="P127" s="352"/>
      <c r="Q127" s="352"/>
      <c r="R127" s="352"/>
      <c r="S127" s="352"/>
      <c r="T127" s="352"/>
      <c r="U127" s="352"/>
      <c r="V127" s="352"/>
      <c r="W127" s="352">
        <f t="array" ref="W127">(PRODUCT(Index_Returns!AC116:AC127/100+1)-1)*100</f>
        <v>57.77960838733047</v>
      </c>
      <c r="X127" s="352">
        <f t="array" ref="X127">(PRODUCT(Index_Returns!AB116:AB127/100+1)-1)*100</f>
        <v>48.671904705400884</v>
      </c>
      <c r="Y127" s="352">
        <f t="shared" si="1"/>
        <v>9.1077036819295856</v>
      </c>
      <c r="Z127" s="352">
        <f t="array" ref="Z127">(GEOMEAN(Index_Returns!AC92:AC127/100+1)^12-1)*100</f>
        <v>30.559035056649364</v>
      </c>
      <c r="AA127" s="352">
        <f t="array" ref="AA127">(GEOMEAN(Index_Returns!AB92:AB127/100+1)^12-1)*100</f>
        <v>28.756740132601944</v>
      </c>
      <c r="AB127" s="352">
        <f t="shared" si="2"/>
        <v>1.8022949240474198</v>
      </c>
    </row>
    <row r="128" spans="1:28" x14ac:dyDescent="0.2">
      <c r="A128" s="19">
        <v>31412</v>
      </c>
      <c r="B128" s="352">
        <f t="array" ref="B128">(PRODUCT(Index_Returns!D117:D128/100+1)-1)*100</f>
        <v>29.676408666430088</v>
      </c>
      <c r="C128" s="352">
        <f t="array" ref="C128">(PRODUCT(Index_Returns!C117:C128/100+1)-1)*100</f>
        <v>33.313869140737907</v>
      </c>
      <c r="D128" s="352">
        <f t="shared" si="0"/>
        <v>-3.6374604743078187</v>
      </c>
      <c r="E128" s="352">
        <f t="array" ref="E128">(GEOMEAN(Index_Returns!D93:D128/100+1)^12-1)*100</f>
        <v>22.695650419848469</v>
      </c>
      <c r="F128" s="352">
        <f t="array" ref="F128">(GEOMEAN(Index_Returns!C93:C128/100+1)^12-1)*100</f>
        <v>16.611967936909199</v>
      </c>
      <c r="G128" s="352">
        <f t="shared" si="4"/>
        <v>6.0836824829392704</v>
      </c>
      <c r="H128" s="351"/>
      <c r="I128" s="349"/>
      <c r="J128" s="349"/>
      <c r="K128" s="349"/>
      <c r="L128" s="349"/>
      <c r="M128" s="349"/>
      <c r="N128" s="349"/>
      <c r="O128" s="352"/>
      <c r="P128" s="352"/>
      <c r="Q128" s="352"/>
      <c r="R128" s="352"/>
      <c r="S128" s="352"/>
      <c r="T128" s="352"/>
      <c r="U128" s="352"/>
      <c r="V128" s="352"/>
      <c r="W128" s="352">
        <f t="array" ref="W128">(PRODUCT(Index_Returns!AC117:AC128/100+1)-1)*100</f>
        <v>62.502718208991894</v>
      </c>
      <c r="X128" s="352">
        <f t="array" ref="X128">(PRODUCT(Index_Returns!AB117:AB128/100+1)-1)*100</f>
        <v>50.969040884924091</v>
      </c>
      <c r="Y128" s="352">
        <f t="shared" si="1"/>
        <v>11.533677324067803</v>
      </c>
      <c r="Z128" s="352">
        <f t="array" ref="Z128">(GEOMEAN(Index_Returns!AC93:AC128/100+1)^12-1)*100</f>
        <v>28.848752945757148</v>
      </c>
      <c r="AA128" s="352">
        <f t="array" ref="AA128">(GEOMEAN(Index_Returns!AB93:AB128/100+1)^12-1)*100</f>
        <v>27.816605436134999</v>
      </c>
      <c r="AB128" s="352">
        <f t="shared" si="2"/>
        <v>1.0321475096221491</v>
      </c>
    </row>
    <row r="129" spans="1:28" x14ac:dyDescent="0.2">
      <c r="A129" s="19">
        <v>31443</v>
      </c>
      <c r="B129" s="352">
        <f t="array" ref="B129">(PRODUCT(Index_Returns!D118:D129/100+1)-1)*100</f>
        <v>22.450009227186229</v>
      </c>
      <c r="C129" s="352">
        <f t="array" ref="C129">(PRODUCT(Index_Returns!C118:C129/100+1)-1)*100</f>
        <v>22.941618508340177</v>
      </c>
      <c r="D129" s="352">
        <f t="shared" si="0"/>
        <v>-0.49160928115394853</v>
      </c>
      <c r="E129" s="352">
        <f t="array" ref="E129">(GEOMEAN(Index_Returns!D94:D129/100+1)^12-1)*100</f>
        <v>21.368722722466551</v>
      </c>
      <c r="F129" s="352">
        <f t="array" ref="F129">(GEOMEAN(Index_Returns!C94:C129/100+1)^12-1)*100</f>
        <v>15.580011608397392</v>
      </c>
      <c r="G129" s="352">
        <f t="shared" si="4"/>
        <v>5.7887111140691587</v>
      </c>
      <c r="H129" s="351"/>
      <c r="I129" s="349"/>
      <c r="J129" s="349"/>
      <c r="K129" s="349"/>
      <c r="L129" s="349"/>
      <c r="M129" s="349"/>
      <c r="N129" s="349"/>
      <c r="O129" s="352"/>
      <c r="P129" s="352"/>
      <c r="Q129" s="352"/>
      <c r="R129" s="352"/>
      <c r="S129" s="352"/>
      <c r="T129" s="352"/>
      <c r="U129" s="352"/>
      <c r="V129" s="352"/>
      <c r="W129" s="352">
        <f t="array" ref="W129">(PRODUCT(Index_Returns!AC118:AC129/100+1)-1)*100</f>
        <v>62.682946612830868</v>
      </c>
      <c r="X129" s="352">
        <f t="array" ref="X129">(PRODUCT(Index_Returns!AB118:AB129/100+1)-1)*100</f>
        <v>51.120076280890061</v>
      </c>
      <c r="Y129" s="352">
        <f t="shared" si="1"/>
        <v>11.562870331940807</v>
      </c>
      <c r="Z129" s="352">
        <f t="array" ref="Z129">(GEOMEAN(Index_Returns!AC94:AC129/100+1)^12-1)*100</f>
        <v>29.904449137725742</v>
      </c>
      <c r="AA129" s="352">
        <f t="array" ref="AA129">(GEOMEAN(Index_Returns!AB94:AB129/100+1)^12-1)*100</f>
        <v>29.230210433790905</v>
      </c>
      <c r="AB129" s="352">
        <f t="shared" si="2"/>
        <v>0.67423870393483654</v>
      </c>
    </row>
    <row r="130" spans="1:28" x14ac:dyDescent="0.2">
      <c r="A130" s="19">
        <v>31471</v>
      </c>
      <c r="B130" s="352">
        <f t="array" ref="B130">(PRODUCT(Index_Returns!D119:D130/100+1)-1)*100</f>
        <v>30.05402302952611</v>
      </c>
      <c r="C130" s="352">
        <f t="array" ref="C130">(PRODUCT(Index_Returns!C119:C130/100+1)-1)*100</f>
        <v>30.282166806849588</v>
      </c>
      <c r="D130" s="352">
        <f t="shared" si="0"/>
        <v>-0.22814377732347779</v>
      </c>
      <c r="E130" s="352">
        <f t="array" ref="E130">(GEOMEAN(Index_Returns!D95:D130/100+1)^12-1)*100</f>
        <v>23.478212348138428</v>
      </c>
      <c r="F130" s="352">
        <f t="array" ref="F130">(GEOMEAN(Index_Returns!C95:C130/100+1)^12-1)*100</f>
        <v>17.295202563131042</v>
      </c>
      <c r="G130" s="352">
        <f t="shared" si="4"/>
        <v>6.1830097850073855</v>
      </c>
      <c r="H130" s="351"/>
      <c r="I130" s="349"/>
      <c r="J130" s="349"/>
      <c r="K130" s="349"/>
      <c r="L130" s="349"/>
      <c r="M130" s="349"/>
      <c r="N130" s="349"/>
      <c r="O130" s="352"/>
      <c r="P130" s="352"/>
      <c r="Q130" s="352"/>
      <c r="R130" s="352"/>
      <c r="S130" s="352"/>
      <c r="T130" s="352"/>
      <c r="U130" s="352"/>
      <c r="V130" s="352"/>
      <c r="W130" s="352">
        <f t="array" ref="W130">(PRODUCT(Index_Returns!AC119:AC130/100+1)-1)*100</f>
        <v>83.527395825887083</v>
      </c>
      <c r="X130" s="352">
        <f t="array" ref="X130">(PRODUCT(Index_Returns!AB119:AB130/100+1)-1)*100</f>
        <v>67.841752259118948</v>
      </c>
      <c r="Y130" s="352">
        <f t="shared" si="1"/>
        <v>15.685643566768135</v>
      </c>
      <c r="Z130" s="352">
        <f t="array" ref="Z130">(GEOMEAN(Index_Returns!AC95:AC130/100+1)^12-1)*100</f>
        <v>33.222136327749332</v>
      </c>
      <c r="AA130" s="352">
        <f t="array" ref="AA130">(GEOMEAN(Index_Returns!AB95:AB130/100+1)^12-1)*100</f>
        <v>32.867766845986203</v>
      </c>
      <c r="AB130" s="352">
        <f t="shared" si="2"/>
        <v>0.3543694817631291</v>
      </c>
    </row>
    <row r="131" spans="1:28" x14ac:dyDescent="0.2">
      <c r="A131" s="19">
        <v>31502</v>
      </c>
      <c r="B131" s="352">
        <f t="array" ref="B131">(PRODUCT(Index_Returns!D120:D131/100+1)-1)*100</f>
        <v>36.171772568088613</v>
      </c>
      <c r="C131" s="352">
        <f t="array" ref="C131">(PRODUCT(Index_Returns!C120:C131/100+1)-1)*100</f>
        <v>38.273409894365209</v>
      </c>
      <c r="D131" s="352">
        <f t="shared" si="0"/>
        <v>-2.1016373262765953</v>
      </c>
      <c r="E131" s="352">
        <f t="array" ref="E131">(GEOMEAN(Index_Returns!D96:D131/100+1)^12-1)*100</f>
        <v>23.932064370565609</v>
      </c>
      <c r="F131" s="352">
        <f t="array" ref="F131">(GEOMEAN(Index_Returns!C96:C131/100+1)^12-1)*100</f>
        <v>18.248250619265448</v>
      </c>
      <c r="G131" s="352">
        <f t="shared" si="4"/>
        <v>5.6838137513001605</v>
      </c>
      <c r="H131" s="351"/>
      <c r="I131" s="349"/>
      <c r="J131" s="349"/>
      <c r="K131" s="349"/>
      <c r="L131" s="349"/>
      <c r="M131" s="349"/>
      <c r="N131" s="349"/>
      <c r="O131" s="352"/>
      <c r="P131" s="352"/>
      <c r="Q131" s="352"/>
      <c r="R131" s="352"/>
      <c r="S131" s="352"/>
      <c r="T131" s="352"/>
      <c r="U131" s="352"/>
      <c r="V131" s="352"/>
      <c r="W131" s="352">
        <f t="array" ref="W131">(PRODUCT(Index_Returns!AC120:AC131/100+1)-1)*100</f>
        <v>93.739835687701941</v>
      </c>
      <c r="X131" s="352">
        <f t="array" ref="X131">(PRODUCT(Index_Returns!AB120:AB131/100+1)-1)*100</f>
        <v>78.262341251947461</v>
      </c>
      <c r="Y131" s="352">
        <f t="shared" si="1"/>
        <v>15.47749443575448</v>
      </c>
      <c r="Z131" s="352">
        <f t="array" ref="Z131">(GEOMEAN(Index_Returns!AC96:AC131/100+1)^12-1)*100</f>
        <v>36.753576371459154</v>
      </c>
      <c r="AA131" s="352">
        <f t="array" ref="AA131">(GEOMEAN(Index_Returns!AB96:AB131/100+1)^12-1)*100</f>
        <v>37.723976709040215</v>
      </c>
      <c r="AB131" s="352">
        <f t="shared" si="2"/>
        <v>-0.97040033758106148</v>
      </c>
    </row>
    <row r="132" spans="1:28" x14ac:dyDescent="0.2">
      <c r="A132" s="19">
        <v>31532</v>
      </c>
      <c r="B132" s="352">
        <f t="array" ref="B132">(PRODUCT(Index_Returns!D121:D132/100+1)-1)*100</f>
        <v>31.139865378877516</v>
      </c>
      <c r="C132" s="352">
        <f t="array" ref="C132">(PRODUCT(Index_Returns!C121:C132/100+1)-1)*100</f>
        <v>40.660030949905604</v>
      </c>
      <c r="D132" s="352">
        <f t="shared" si="0"/>
        <v>-9.5201655710280875</v>
      </c>
      <c r="E132" s="352">
        <f t="array" ref="E132">(GEOMEAN(Index_Returns!D97:D132/100+1)^12-1)*100</f>
        <v>19.552284779874142</v>
      </c>
      <c r="F132" s="352">
        <f t="array" ref="F132">(GEOMEAN(Index_Returns!C97:C132/100+1)^12-1)*100</f>
        <v>15.768070279877055</v>
      </c>
      <c r="G132" s="352">
        <f t="shared" si="4"/>
        <v>3.7842144999970877</v>
      </c>
      <c r="H132" s="351"/>
      <c r="I132" s="349"/>
      <c r="J132" s="349"/>
      <c r="K132" s="349"/>
      <c r="L132" s="349"/>
      <c r="M132" s="349"/>
      <c r="N132" s="349"/>
      <c r="O132" s="352"/>
      <c r="P132" s="352"/>
      <c r="Q132" s="352"/>
      <c r="R132" s="352"/>
      <c r="S132" s="352"/>
      <c r="T132" s="352"/>
      <c r="U132" s="352"/>
      <c r="V132" s="352"/>
      <c r="W132" s="352">
        <f t="array" ref="W132">(PRODUCT(Index_Returns!AC121:AC132/100+1)-1)*100</f>
        <v>109.14085954728657</v>
      </c>
      <c r="X132" s="352">
        <f t="array" ref="X132">(PRODUCT(Index_Returns!AB121:AB132/100+1)-1)*100</f>
        <v>88.759297291655187</v>
      </c>
      <c r="Y132" s="352">
        <f t="shared" si="1"/>
        <v>20.38156225563138</v>
      </c>
      <c r="Z132" s="352">
        <f t="array" ref="Z132">(GEOMEAN(Index_Returns!AC97:AC132/100+1)^12-1)*100</f>
        <v>38.002313158184187</v>
      </c>
      <c r="AA132" s="352">
        <f t="array" ref="AA132">(GEOMEAN(Index_Returns!AB97:AB132/100+1)^12-1)*100</f>
        <v>37.263982302594755</v>
      </c>
      <c r="AB132" s="352">
        <f t="shared" ref="AB132:AB195" si="5">Z132-AA132</f>
        <v>0.73833085558943168</v>
      </c>
    </row>
    <row r="133" spans="1:28" x14ac:dyDescent="0.2">
      <c r="A133" s="19">
        <v>31563</v>
      </c>
      <c r="B133" s="352">
        <f t="array" ref="B133">(PRODUCT(Index_Returns!D122:D133/100+1)-1)*100</f>
        <v>31.239317357551432</v>
      </c>
      <c r="C133" s="352">
        <f t="array" ref="C133">(PRODUCT(Index_Returns!C122:C133/100+1)-1)*100</f>
        <v>39.272720794854045</v>
      </c>
      <c r="D133" s="352">
        <f t="shared" ref="D133:D196" si="6">B133-C133</f>
        <v>-8.0334034373026135</v>
      </c>
      <c r="E133" s="352">
        <f t="array" ref="E133">(GEOMEAN(Index_Returns!D98:D133/100+1)^12-1)*100</f>
        <v>21.723875407027759</v>
      </c>
      <c r="F133" s="352">
        <f t="array" ref="F133">(GEOMEAN(Index_Returns!C98:C133/100+1)^12-1)*100</f>
        <v>18.255634244100815</v>
      </c>
      <c r="G133" s="352">
        <f t="shared" ref="G133:G196" si="7">E133-F133</f>
        <v>3.4682411629269438</v>
      </c>
      <c r="H133" s="351"/>
      <c r="I133" s="349"/>
      <c r="J133" s="349"/>
      <c r="K133" s="349"/>
      <c r="L133" s="349"/>
      <c r="M133" s="349"/>
      <c r="N133" s="349"/>
      <c r="O133" s="352"/>
      <c r="P133" s="352"/>
      <c r="Q133" s="352"/>
      <c r="R133" s="352"/>
      <c r="S133" s="352"/>
      <c r="T133" s="352"/>
      <c r="U133" s="352"/>
      <c r="V133" s="352"/>
      <c r="W133" s="352">
        <f t="array" ref="W133">(PRODUCT(Index_Returns!AC122:AC133/100+1)-1)*100</f>
        <v>90.435022373691936</v>
      </c>
      <c r="X133" s="352">
        <f t="array" ref="X133">(PRODUCT(Index_Returns!AB122:AB133/100+1)-1)*100</f>
        <v>74.326534328961571</v>
      </c>
      <c r="Y133" s="352">
        <f t="shared" ref="Y133:Y196" si="8">W133-X133</f>
        <v>16.108488044730365</v>
      </c>
      <c r="Z133" s="352">
        <f t="array" ref="Z133">(GEOMEAN(Index_Returns!AC98:AC133/100+1)^12-1)*100</f>
        <v>35.880458819839745</v>
      </c>
      <c r="AA133" s="352">
        <f t="array" ref="AA133">(GEOMEAN(Index_Returns!AB98:AB133/100+1)^12-1)*100</f>
        <v>35.705086085634164</v>
      </c>
      <c r="AB133" s="352">
        <f t="shared" si="5"/>
        <v>0.17537273420558108</v>
      </c>
    </row>
    <row r="134" spans="1:28" x14ac:dyDescent="0.2">
      <c r="A134" s="19">
        <v>31593</v>
      </c>
      <c r="B134" s="352">
        <f t="array" ref="B134">(PRODUCT(Index_Returns!D123:D134/100+1)-1)*100</f>
        <v>31.602573672894565</v>
      </c>
      <c r="C134" s="352">
        <f t="array" ref="C134">(PRODUCT(Index_Returns!C123:C134/100+1)-1)*100</f>
        <v>39.176228002989497</v>
      </c>
      <c r="D134" s="352">
        <f t="shared" si="6"/>
        <v>-7.5736543300949322</v>
      </c>
      <c r="E134" s="352">
        <f t="array" ref="E134">(GEOMEAN(Index_Returns!D99:D134/100+1)^12-1)*100</f>
        <v>21.524536855321941</v>
      </c>
      <c r="F134" s="352">
        <f t="array" ref="F134">(GEOMEAN(Index_Returns!C99:C134/100+1)^12-1)*100</f>
        <v>16.787198874727792</v>
      </c>
      <c r="G134" s="352">
        <f t="shared" si="7"/>
        <v>4.7373379805941482</v>
      </c>
      <c r="H134" s="351"/>
      <c r="I134" s="349"/>
      <c r="J134" s="349"/>
      <c r="K134" s="349"/>
      <c r="L134" s="349"/>
      <c r="M134" s="349"/>
      <c r="N134" s="349"/>
      <c r="O134" s="352"/>
      <c r="P134" s="352"/>
      <c r="Q134" s="352"/>
      <c r="R134" s="352"/>
      <c r="S134" s="352"/>
      <c r="T134" s="352"/>
      <c r="U134" s="352"/>
      <c r="V134" s="352"/>
      <c r="W134" s="352">
        <f t="array" ref="W134">(PRODUCT(Index_Returns!AC123:AC134/100+1)-1)*100</f>
        <v>99.028062065305164</v>
      </c>
      <c r="X134" s="352">
        <f t="array" ref="X134">(PRODUCT(Index_Returns!AB123:AB134/100+1)-1)*100</f>
        <v>80.621127771568098</v>
      </c>
      <c r="Y134" s="352">
        <f t="shared" si="8"/>
        <v>18.406934293737066</v>
      </c>
      <c r="Z134" s="352">
        <f t="array" ref="Z134">(GEOMEAN(Index_Returns!AC99:AC134/100+1)^12-1)*100</f>
        <v>37.958158244334371</v>
      </c>
      <c r="AA134" s="352">
        <f t="array" ref="AA134">(GEOMEAN(Index_Returns!AB99:AB134/100+1)^12-1)*100</f>
        <v>37.58581847848226</v>
      </c>
      <c r="AB134" s="352">
        <f t="shared" si="5"/>
        <v>0.37233976585211082</v>
      </c>
    </row>
    <row r="135" spans="1:28" x14ac:dyDescent="0.2">
      <c r="A135" s="19">
        <v>31624</v>
      </c>
      <c r="B135" s="352">
        <f t="array" ref="B135">(PRODUCT(Index_Returns!D124:D135/100+1)-1)*100</f>
        <v>25.627233803813553</v>
      </c>
      <c r="C135" s="352">
        <f t="array" ref="C135">(PRODUCT(Index_Returns!C124:C135/100+1)-1)*100</f>
        <v>30.41646097603865</v>
      </c>
      <c r="D135" s="352">
        <f t="shared" si="6"/>
        <v>-4.7892271722250968</v>
      </c>
      <c r="E135" s="352">
        <f t="array" ref="E135">(GEOMEAN(Index_Returns!D100:D135/100+1)^12-1)*100</f>
        <v>20.229852809609739</v>
      </c>
      <c r="F135" s="352">
        <f t="array" ref="F135">(GEOMEAN(Index_Returns!C100:C135/100+1)^12-1)*100</f>
        <v>15.895792329060754</v>
      </c>
      <c r="G135" s="352">
        <f t="shared" si="7"/>
        <v>4.3340604805489846</v>
      </c>
      <c r="H135" s="351"/>
      <c r="I135" s="349"/>
      <c r="J135" s="349"/>
      <c r="K135" s="349"/>
      <c r="L135" s="349"/>
      <c r="M135" s="349"/>
      <c r="N135" s="349"/>
      <c r="O135" s="352"/>
      <c r="P135" s="352"/>
      <c r="Q135" s="352"/>
      <c r="R135" s="352"/>
      <c r="S135" s="352"/>
      <c r="T135" s="352"/>
      <c r="U135" s="352"/>
      <c r="V135" s="352"/>
      <c r="W135" s="352">
        <f t="array" ref="W135">(PRODUCT(Index_Returns!AC124:AC135/100+1)-1)*100</f>
        <v>94.866137404012775</v>
      </c>
      <c r="X135" s="352">
        <f t="array" ref="X135">(PRODUCT(Index_Returns!AB124:AB135/100+1)-1)*100</f>
        <v>88.561911375616802</v>
      </c>
      <c r="Y135" s="352">
        <f t="shared" si="8"/>
        <v>6.3042260283959735</v>
      </c>
      <c r="Z135" s="352">
        <f t="array" ref="Z135">(GEOMEAN(Index_Returns!AC100:AC135/100+1)^12-1)*100</f>
        <v>39.519400661388104</v>
      </c>
      <c r="AA135" s="352">
        <f t="array" ref="AA135">(GEOMEAN(Index_Returns!AB100:AB135/100+1)^12-1)*100</f>
        <v>41.497961192628566</v>
      </c>
      <c r="AB135" s="352">
        <f t="shared" si="5"/>
        <v>-1.9785605312404613</v>
      </c>
    </row>
    <row r="136" spans="1:28" x14ac:dyDescent="0.2">
      <c r="A136" s="19">
        <v>31655</v>
      </c>
      <c r="B136" s="352">
        <f t="array" ref="B136">(PRODUCT(Index_Returns!D125:D136/100+1)-1)*100</f>
        <v>38.389884420455658</v>
      </c>
      <c r="C136" s="352">
        <f t="array" ref="C136">(PRODUCT(Index_Returns!C125:C136/100+1)-1)*100</f>
        <v>38.511380517594532</v>
      </c>
      <c r="D136" s="352">
        <f t="shared" si="6"/>
        <v>-0.12149609713887344</v>
      </c>
      <c r="E136" s="352">
        <f t="array" ref="E136">(GEOMEAN(Index_Returns!D101:D136/100+1)^12-1)*100</f>
        <v>22.572235720498824</v>
      </c>
      <c r="F136" s="352">
        <f t="array" ref="F136">(GEOMEAN(Index_Returns!C101:C136/100+1)^12-1)*100</f>
        <v>17.939849597444567</v>
      </c>
      <c r="G136" s="352">
        <f t="shared" si="7"/>
        <v>4.6323861230542569</v>
      </c>
      <c r="H136" s="351"/>
      <c r="I136" s="349"/>
      <c r="J136" s="349"/>
      <c r="K136" s="349"/>
      <c r="L136" s="349"/>
      <c r="M136" s="349"/>
      <c r="N136" s="349"/>
      <c r="O136" s="352"/>
      <c r="P136" s="352"/>
      <c r="Q136" s="352"/>
      <c r="R136" s="352"/>
      <c r="S136" s="352"/>
      <c r="T136" s="352"/>
      <c r="U136" s="352"/>
      <c r="V136" s="352"/>
      <c r="W136" s="352">
        <f t="array" ref="W136">(PRODUCT(Index_Returns!AC125:AC136/100+1)-1)*100</f>
        <v>107.24616853649573</v>
      </c>
      <c r="X136" s="352">
        <f t="array" ref="X136">(PRODUCT(Index_Returns!AB125:AB136/100+1)-1)*100</f>
        <v>100.21090722552066</v>
      </c>
      <c r="Y136" s="352">
        <f t="shared" si="8"/>
        <v>7.0352613109750735</v>
      </c>
      <c r="Z136" s="352">
        <f t="array" ref="Z136">(GEOMEAN(Index_Returns!AC101:AC136/100+1)^12-1)*100</f>
        <v>45.102315004036875</v>
      </c>
      <c r="AA136" s="352">
        <f t="array" ref="AA136">(GEOMEAN(Index_Returns!AB101:AB136/100+1)^12-1)*100</f>
        <v>46.217698806212624</v>
      </c>
      <c r="AB136" s="352">
        <f t="shared" si="5"/>
        <v>-1.1153838021757494</v>
      </c>
    </row>
    <row r="137" spans="1:28" x14ac:dyDescent="0.2">
      <c r="A137" s="19">
        <v>31685</v>
      </c>
      <c r="B137" s="352">
        <f t="array" ref="B137">(PRODUCT(Index_Returns!D126:D137/100+1)-1)*100</f>
        <v>33.43314504434214</v>
      </c>
      <c r="C137" s="352">
        <f t="array" ref="C137">(PRODUCT(Index_Returns!C126:C137/100+1)-1)*100</f>
        <v>29.079418026279136</v>
      </c>
      <c r="D137" s="352">
        <f t="shared" si="6"/>
        <v>4.3537270180630046</v>
      </c>
      <c r="E137" s="352">
        <f t="array" ref="E137">(GEOMEAN(Index_Returns!D102:D137/100+1)^12-1)*100</f>
        <v>19.595755749155419</v>
      </c>
      <c r="F137" s="352">
        <f t="array" ref="F137">(GEOMEAN(Index_Returns!C102:C137/100+1)^12-1)*100</f>
        <v>13.091003406693623</v>
      </c>
      <c r="G137" s="352">
        <f t="shared" si="7"/>
        <v>6.5047523424617957</v>
      </c>
      <c r="H137" s="351"/>
      <c r="I137" s="349"/>
      <c r="J137" s="349"/>
      <c r="K137" s="349"/>
      <c r="L137" s="349"/>
      <c r="M137" s="349"/>
      <c r="N137" s="349"/>
      <c r="O137" s="352"/>
      <c r="P137" s="352"/>
      <c r="Q137" s="352"/>
      <c r="R137" s="352"/>
      <c r="S137" s="352"/>
      <c r="T137" s="352"/>
      <c r="U137" s="352"/>
      <c r="V137" s="352"/>
      <c r="W137" s="352">
        <f t="array" ref="W137">(PRODUCT(Index_Returns!AC126:AC137/100+1)-1)*100</f>
        <v>90.66041239517908</v>
      </c>
      <c r="X137" s="352">
        <f t="array" ref="X137">(PRODUCT(Index_Returns!AB126:AB137/100+1)-1)*100</f>
        <v>90.294472345483996</v>
      </c>
      <c r="Y137" s="352">
        <f t="shared" si="8"/>
        <v>0.36594004969508376</v>
      </c>
      <c r="Z137" s="352">
        <f t="array" ref="Z137">(GEOMEAN(Index_Returns!AC102:AC137/100+1)^12-1)*100</f>
        <v>42.617748043860892</v>
      </c>
      <c r="AA137" s="352">
        <f t="array" ref="AA137">(GEOMEAN(Index_Returns!AB102:AB137/100+1)^12-1)*100</f>
        <v>44.026327132838183</v>
      </c>
      <c r="AB137" s="352">
        <f t="shared" si="5"/>
        <v>-1.4085790889772909</v>
      </c>
    </row>
    <row r="138" spans="1:28" x14ac:dyDescent="0.2">
      <c r="A138" s="19">
        <v>31716</v>
      </c>
      <c r="B138" s="352">
        <f t="array" ref="B138">(PRODUCT(Index_Returns!D127:D138/100+1)-1)*100</f>
        <v>33.407683133256505</v>
      </c>
      <c r="C138" s="352">
        <f t="array" ref="C138">(PRODUCT(Index_Returns!C127:C138/100+1)-1)*100</f>
        <v>31.730626629163439</v>
      </c>
      <c r="D138" s="352">
        <f t="shared" si="6"/>
        <v>1.6770565040930663</v>
      </c>
      <c r="E138" s="352">
        <f t="array" ref="E138">(GEOMEAN(Index_Returns!D103:D138/100+1)^12-1)*100</f>
        <v>21.711363592921739</v>
      </c>
      <c r="F138" s="352">
        <f t="array" ref="F138">(GEOMEAN(Index_Returns!C103:C138/100+1)^12-1)*100</f>
        <v>16.248463136465887</v>
      </c>
      <c r="G138" s="352">
        <f t="shared" si="7"/>
        <v>5.4629004564558521</v>
      </c>
      <c r="H138" s="351"/>
      <c r="I138" s="349"/>
      <c r="J138" s="349"/>
      <c r="K138" s="349"/>
      <c r="L138" s="349"/>
      <c r="M138" s="349"/>
      <c r="N138" s="349"/>
      <c r="O138" s="352"/>
      <c r="P138" s="352"/>
      <c r="Q138" s="352"/>
      <c r="R138" s="352"/>
      <c r="S138" s="352"/>
      <c r="T138" s="352"/>
      <c r="U138" s="352"/>
      <c r="V138" s="352"/>
      <c r="W138" s="352">
        <f t="array" ref="W138">(PRODUCT(Index_Returns!AC127:AC138/100+1)-1)*100</f>
        <v>68.580606256294715</v>
      </c>
      <c r="X138" s="352">
        <f t="array" ref="X138">(PRODUCT(Index_Returns!AB127:AB138/100+1)-1)*100</f>
        <v>63.835847195404007</v>
      </c>
      <c r="Y138" s="352">
        <f t="shared" si="8"/>
        <v>4.7447590608907078</v>
      </c>
      <c r="Z138" s="352">
        <f t="array" ref="Z138">(GEOMEAN(Index_Returns!AC103:AC138/100+1)^12-1)*100</f>
        <v>39.873398347408418</v>
      </c>
      <c r="AA138" s="352">
        <f t="array" ref="AA138">(GEOMEAN(Index_Returns!AB103:AB138/100+1)^12-1)*100</f>
        <v>40.253259698064213</v>
      </c>
      <c r="AB138" s="352">
        <f t="shared" si="5"/>
        <v>-0.37986135065579418</v>
      </c>
    </row>
    <row r="139" spans="1:28" x14ac:dyDescent="0.2">
      <c r="A139" s="19">
        <v>31746</v>
      </c>
      <c r="B139" s="352">
        <f t="array" ref="B139">(PRODUCT(Index_Returns!D128:D139/100+1)-1)*100</f>
        <v>29.457113928854749</v>
      </c>
      <c r="C139" s="352">
        <f t="array" ref="C139">(PRODUCT(Index_Returns!C128:C139/100+1)-1)*100</f>
        <v>24.412251762828021</v>
      </c>
      <c r="D139" s="352">
        <f t="shared" si="6"/>
        <v>5.0448621660267285</v>
      </c>
      <c r="E139" s="352">
        <f t="array" ref="E139">(GEOMEAN(Index_Returns!D104:D139/100+1)^12-1)*100</f>
        <v>21.556997795404186</v>
      </c>
      <c r="F139" s="352">
        <f t="array" ref="F139">(GEOMEAN(Index_Returns!C104:C139/100+1)^12-1)*100</f>
        <v>16.5627888323598</v>
      </c>
      <c r="G139" s="352">
        <f t="shared" si="7"/>
        <v>4.994208963044386</v>
      </c>
      <c r="H139" s="351"/>
      <c r="I139" s="349"/>
      <c r="J139" s="349"/>
      <c r="K139" s="349"/>
      <c r="L139" s="349"/>
      <c r="M139" s="349"/>
      <c r="N139" s="349"/>
      <c r="O139" s="352"/>
      <c r="P139" s="352"/>
      <c r="Q139" s="352"/>
      <c r="R139" s="352"/>
      <c r="S139" s="352"/>
      <c r="T139" s="352"/>
      <c r="U139" s="352"/>
      <c r="V139" s="352"/>
      <c r="W139" s="352">
        <f t="array" ref="W139">(PRODUCT(Index_Returns!AC128:AC139/100+1)-1)*100</f>
        <v>69.477786862926848</v>
      </c>
      <c r="X139" s="352">
        <f t="array" ref="X139">(PRODUCT(Index_Returns!AB128:AB139/100+1)-1)*100</f>
        <v>68.443916449639602</v>
      </c>
      <c r="Y139" s="352">
        <f t="shared" si="8"/>
        <v>1.0338704132872465</v>
      </c>
      <c r="Z139" s="352">
        <f t="array" ref="Z139">(GEOMEAN(Index_Returns!AC104:AC139/100+1)^12-1)*100</f>
        <v>41.521047187433524</v>
      </c>
      <c r="AA139" s="352">
        <f t="array" ref="AA139">(GEOMEAN(Index_Returns!AB104:AB139/100+1)^12-1)*100</f>
        <v>41.827007031092236</v>
      </c>
      <c r="AB139" s="352">
        <f t="shared" si="5"/>
        <v>-0.30595984365871232</v>
      </c>
    </row>
    <row r="140" spans="1:28" x14ac:dyDescent="0.2">
      <c r="A140" s="19">
        <v>31777</v>
      </c>
      <c r="B140" s="352">
        <f t="array" ref="B140">(PRODUCT(Index_Returns!D129:D140/100+1)-1)*100</f>
        <v>21.667862136410388</v>
      </c>
      <c r="C140" s="352">
        <f t="array" ref="C140">(PRODUCT(Index_Returns!C129:C140/100+1)-1)*100</f>
        <v>14.494359659911149</v>
      </c>
      <c r="D140" s="352">
        <f t="shared" si="6"/>
        <v>7.1735024764992392</v>
      </c>
      <c r="E140" s="352">
        <f t="array" ref="E140">(GEOMEAN(Index_Returns!D105:D140/100+1)^12-1)*100</f>
        <v>20.361170254391283</v>
      </c>
      <c r="F140" s="352">
        <f t="array" ref="F140">(GEOMEAN(Index_Returns!C105:C140/100+1)^12-1)*100</f>
        <v>16.026732991112812</v>
      </c>
      <c r="G140" s="352">
        <f t="shared" si="7"/>
        <v>4.3344372632784705</v>
      </c>
      <c r="H140" s="351"/>
      <c r="I140" s="349"/>
      <c r="J140" s="349"/>
      <c r="K140" s="349"/>
      <c r="L140" s="349"/>
      <c r="M140" s="349"/>
      <c r="N140" s="349"/>
      <c r="O140" s="352"/>
      <c r="P140" s="352"/>
      <c r="Q140" s="352"/>
      <c r="R140" s="352"/>
      <c r="S140" s="352"/>
      <c r="T140" s="352"/>
      <c r="U140" s="352"/>
      <c r="V140" s="352"/>
      <c r="W140" s="352">
        <f t="array" ref="W140">(PRODUCT(Index_Returns!AC129:AC140/100+1)-1)*100</f>
        <v>68.848480500512636</v>
      </c>
      <c r="X140" s="352">
        <f t="array" ref="X140">(PRODUCT(Index_Returns!AB129:AB140/100+1)-1)*100</f>
        <v>70.675886197928932</v>
      </c>
      <c r="Y140" s="352">
        <f t="shared" si="8"/>
        <v>-1.827405697416296</v>
      </c>
      <c r="Z140" s="352">
        <f t="array" ref="Z140">(GEOMEAN(Index_Returns!AC105:AC140/100+1)^12-1)*100</f>
        <v>41.701596174394616</v>
      </c>
      <c r="AA140" s="352">
        <f t="array" ref="AA140">(GEOMEAN(Index_Returns!AB105:AB140/100+1)^12-1)*100</f>
        <v>42.678601914467663</v>
      </c>
      <c r="AB140" s="352">
        <f t="shared" si="5"/>
        <v>-0.97700574007304652</v>
      </c>
    </row>
    <row r="141" spans="1:28" x14ac:dyDescent="0.2">
      <c r="A141" s="19">
        <v>31808</v>
      </c>
      <c r="B141" s="352">
        <f t="array" ref="B141">(PRODUCT(Index_Returns!D130:D141/100+1)-1)*100</f>
        <v>35.968308579168152</v>
      </c>
      <c r="C141" s="352">
        <f t="array" ref="C141">(PRODUCT(Index_Returns!C130:C141/100+1)-1)*100</f>
        <v>30.651304953439883</v>
      </c>
      <c r="D141" s="352">
        <f t="shared" si="6"/>
        <v>5.3170036257282689</v>
      </c>
      <c r="E141" s="352">
        <f t="array" ref="E141">(GEOMEAN(Index_Returns!D106:D141/100+1)^12-1)*100</f>
        <v>24.543736902290547</v>
      </c>
      <c r="F141" s="352">
        <f t="array" ref="F141">(GEOMEAN(Index_Returns!C106:C141/100+1)^12-1)*100</f>
        <v>22.416686668258755</v>
      </c>
      <c r="G141" s="352">
        <f t="shared" si="7"/>
        <v>2.1270502340317918</v>
      </c>
      <c r="H141" s="351"/>
      <c r="I141" s="349"/>
      <c r="J141" s="349"/>
      <c r="K141" s="349"/>
      <c r="L141" s="349"/>
      <c r="M141" s="349"/>
      <c r="N141" s="349"/>
      <c r="O141" s="352"/>
      <c r="P141" s="352"/>
      <c r="Q141" s="352"/>
      <c r="R141" s="352"/>
      <c r="S141" s="352"/>
      <c r="T141" s="352"/>
      <c r="U141" s="352"/>
      <c r="V141" s="352"/>
      <c r="W141" s="352">
        <f t="array" ref="W141">(PRODUCT(Index_Returns!AC130:AC141/100+1)-1)*100</f>
        <v>74.354368046355958</v>
      </c>
      <c r="X141" s="352">
        <f t="array" ref="X141">(PRODUCT(Index_Returns!AB130:AB141/100+1)-1)*100</f>
        <v>92.710614738768513</v>
      </c>
      <c r="Y141" s="352">
        <f t="shared" si="8"/>
        <v>-18.356246692412554</v>
      </c>
      <c r="Z141" s="352">
        <f t="array" ref="Z141">(GEOMEAN(Index_Returns!AC106:AC141/100+1)^12-1)*100</f>
        <v>41.952604447264854</v>
      </c>
      <c r="AA141" s="352">
        <f t="array" ref="AA141">(GEOMEAN(Index_Returns!AB106:AB141/100+1)^12-1)*100</f>
        <v>47.920684715543935</v>
      </c>
      <c r="AB141" s="352">
        <f t="shared" si="5"/>
        <v>-5.9680802682790812</v>
      </c>
    </row>
    <row r="142" spans="1:28" x14ac:dyDescent="0.2">
      <c r="A142" s="19">
        <v>31836</v>
      </c>
      <c r="B142" s="352">
        <f t="array" ref="B142">(PRODUCT(Index_Returns!D131:D142/100+1)-1)*100</f>
        <v>28.144885730078627</v>
      </c>
      <c r="C142" s="352">
        <f t="array" ref="C142">(PRODUCT(Index_Returns!C131:C142/100+1)-1)*100</f>
        <v>29.679289929314013</v>
      </c>
      <c r="D142" s="352">
        <f t="shared" si="6"/>
        <v>-1.5344041992353858</v>
      </c>
      <c r="E142" s="352">
        <f t="array" ref="E142">(GEOMEAN(Index_Returns!D107:D142/100+1)^12-1)*100</f>
        <v>26.122480535568982</v>
      </c>
      <c r="F142" s="352">
        <f t="array" ref="F142">(GEOMEAN(Index_Returns!C107:C142/100+1)^12-1)*100</f>
        <v>26.921442953721098</v>
      </c>
      <c r="G142" s="352">
        <f t="shared" si="7"/>
        <v>-0.79896241815211511</v>
      </c>
      <c r="H142" s="351"/>
      <c r="I142" s="349"/>
      <c r="J142" s="349"/>
      <c r="K142" s="349"/>
      <c r="L142" s="349"/>
      <c r="M142" s="349"/>
      <c r="N142" s="349"/>
      <c r="O142" s="352"/>
      <c r="P142" s="352"/>
      <c r="Q142" s="352"/>
      <c r="R142" s="352"/>
      <c r="S142" s="352"/>
      <c r="T142" s="352"/>
      <c r="U142" s="352"/>
      <c r="V142" s="352"/>
      <c r="W142" s="352">
        <f t="array" ref="W142">(PRODUCT(Index_Returns!AC131:AC142/100+1)-1)*100</f>
        <v>62.164118039663265</v>
      </c>
      <c r="X142" s="352">
        <f t="array" ref="X142">(PRODUCT(Index_Returns!AB131:AB142/100+1)-1)*100</f>
        <v>77.644026109116822</v>
      </c>
      <c r="Y142" s="352">
        <f t="shared" si="8"/>
        <v>-15.479908069453558</v>
      </c>
      <c r="Z142" s="352">
        <f t="array" ref="Z142">(GEOMEAN(Index_Returns!AC107:AC142/100+1)^12-1)*100</f>
        <v>43.137316516731786</v>
      </c>
      <c r="AA142" s="352">
        <f t="array" ref="AA142">(GEOMEAN(Index_Returns!AB107:AB142/100+1)^12-1)*100</f>
        <v>48.695220271090413</v>
      </c>
      <c r="AB142" s="352">
        <f t="shared" si="5"/>
        <v>-5.5579037543586267</v>
      </c>
    </row>
    <row r="143" spans="1:28" x14ac:dyDescent="0.2">
      <c r="A143" s="19">
        <v>31867</v>
      </c>
      <c r="B143" s="352">
        <f t="array" ref="B143">(PRODUCT(Index_Returns!D132:D143/100+1)-1)*100</f>
        <v>25.961568145299996</v>
      </c>
      <c r="C143" s="352">
        <f t="array" ref="C143">(PRODUCT(Index_Returns!C132:C143/100+1)-1)*100</f>
        <v>25.19671083503896</v>
      </c>
      <c r="D143" s="352">
        <f t="shared" si="6"/>
        <v>0.76485731026103565</v>
      </c>
      <c r="E143" s="352">
        <f t="array" ref="E143">(GEOMEAN(Index_Returns!D108:D143/100+1)^12-1)*100</f>
        <v>26.943167839034054</v>
      </c>
      <c r="F143" s="352">
        <f t="array" ref="F143">(GEOMEAN(Index_Returns!C108:C143/100+1)^12-1)*100</f>
        <v>26.966920084678403</v>
      </c>
      <c r="G143" s="352">
        <f t="shared" si="7"/>
        <v>-2.3752245644349301E-2</v>
      </c>
      <c r="H143" s="351"/>
      <c r="I143" s="349"/>
      <c r="J143" s="349"/>
      <c r="K143" s="349"/>
      <c r="L143" s="349"/>
      <c r="M143" s="349"/>
      <c r="N143" s="349"/>
      <c r="O143" s="352"/>
      <c r="P143" s="352"/>
      <c r="Q143" s="352"/>
      <c r="R143" s="352"/>
      <c r="S143" s="352"/>
      <c r="T143" s="352"/>
      <c r="U143" s="352"/>
      <c r="V143" s="352"/>
      <c r="W143" s="352">
        <f t="array" ref="W143">(PRODUCT(Index_Returns!AC132:AC143/100+1)-1)*100</f>
        <v>51.28499382281688</v>
      </c>
      <c r="X143" s="352">
        <f t="array" ref="X143">(PRODUCT(Index_Returns!AB132:AB143/100+1)-1)*100</f>
        <v>71.4583417251051</v>
      </c>
      <c r="Y143" s="352">
        <f t="shared" si="8"/>
        <v>-20.173347902288221</v>
      </c>
      <c r="Z143" s="352">
        <f t="array" ref="Z143">(GEOMEAN(Index_Returns!AC108:AC143/100+1)^12-1)*100</f>
        <v>42.456721817599629</v>
      </c>
      <c r="AA143" s="352">
        <f t="array" ref="AA143">(GEOMEAN(Index_Returns!AB108:AB143/100+1)^12-1)*100</f>
        <v>48.293347271069329</v>
      </c>
      <c r="AB143" s="352">
        <f t="shared" si="5"/>
        <v>-5.8366254534697006</v>
      </c>
    </row>
    <row r="144" spans="1:28" x14ac:dyDescent="0.2">
      <c r="A144" s="19">
        <v>31897</v>
      </c>
      <c r="B144" s="352">
        <f t="array" ref="B144">(PRODUCT(Index_Returns!D133:D144/100+1)-1)*100</f>
        <v>28.773383831703715</v>
      </c>
      <c r="C144" s="352">
        <f t="array" ref="C144">(PRODUCT(Index_Returns!C133:C144/100+1)-1)*100</f>
        <v>23.447512000984428</v>
      </c>
      <c r="D144" s="352">
        <f t="shared" si="6"/>
        <v>5.3258718307192865</v>
      </c>
      <c r="E144" s="352">
        <f t="array" ref="E144">(GEOMEAN(Index_Returns!D109:D144/100+1)^12-1)*100</f>
        <v>26.365148199116639</v>
      </c>
      <c r="F144" s="352">
        <f t="array" ref="F144">(GEOMEAN(Index_Returns!C109:C144/100+1)^12-1)*100</f>
        <v>26.205596823076725</v>
      </c>
      <c r="G144" s="352">
        <f t="shared" si="7"/>
        <v>0.15955137603991432</v>
      </c>
      <c r="H144" s="351"/>
      <c r="I144" s="349"/>
      <c r="J144" s="349"/>
      <c r="K144" s="349"/>
      <c r="L144" s="349"/>
      <c r="M144" s="349"/>
      <c r="N144" s="349"/>
      <c r="O144" s="352"/>
      <c r="P144" s="352"/>
      <c r="Q144" s="352"/>
      <c r="R144" s="352"/>
      <c r="S144" s="352"/>
      <c r="T144" s="352"/>
      <c r="U144" s="352"/>
      <c r="V144" s="352"/>
      <c r="W144" s="352">
        <f t="array" ref="W144">(PRODUCT(Index_Returns!AC133:AC144/100+1)-1)*100</f>
        <v>51.559781938140105</v>
      </c>
      <c r="X144" s="352">
        <f t="array" ref="X144">(PRODUCT(Index_Returns!AB133:AB144/100+1)-1)*100</f>
        <v>84.104357240769787</v>
      </c>
      <c r="Y144" s="352">
        <f t="shared" si="8"/>
        <v>-32.544575302629681</v>
      </c>
      <c r="Z144" s="352">
        <f t="array" ref="Z144">(GEOMEAN(Index_Returns!AC109:AC144/100+1)^12-1)*100</f>
        <v>47.199302026483572</v>
      </c>
      <c r="AA144" s="352">
        <f t="array" ref="AA144">(GEOMEAN(Index_Returns!AB109:AB144/100+1)^12-1)*100</f>
        <v>55.136016852657612</v>
      </c>
      <c r="AB144" s="352">
        <f t="shared" si="5"/>
        <v>-7.9367148261740397</v>
      </c>
    </row>
    <row r="145" spans="1:28" x14ac:dyDescent="0.2">
      <c r="A145" s="19">
        <v>31928</v>
      </c>
      <c r="B145" s="352">
        <f t="array" ref="B145">(PRODUCT(Index_Returns!D134:D145/100+1)-1)*100</f>
        <v>23.076957740067282</v>
      </c>
      <c r="C145" s="352">
        <f t="array" ref="C145">(PRODUCT(Index_Returns!C134:C145/100+1)-1)*100</f>
        <v>18.50327509903742</v>
      </c>
      <c r="D145" s="352">
        <f t="shared" si="6"/>
        <v>4.5736826410298619</v>
      </c>
      <c r="E145" s="352">
        <f t="array" ref="E145">(GEOMEAN(Index_Returns!D110:D145/100+1)^12-1)*100</f>
        <v>29.114779518423251</v>
      </c>
      <c r="F145" s="352">
        <f t="array" ref="F145">(GEOMEAN(Index_Returns!C110:C145/100+1)^12-1)*100</f>
        <v>28.912924072533698</v>
      </c>
      <c r="G145" s="352">
        <f t="shared" si="7"/>
        <v>0.20185544588955295</v>
      </c>
      <c r="H145" s="351"/>
      <c r="I145" s="349"/>
      <c r="J145" s="349"/>
      <c r="K145" s="349"/>
      <c r="L145" s="349"/>
      <c r="M145" s="349"/>
      <c r="N145" s="349"/>
      <c r="O145" s="352"/>
      <c r="P145" s="352"/>
      <c r="Q145" s="352"/>
      <c r="R145" s="352"/>
      <c r="S145" s="352"/>
      <c r="T145" s="352"/>
      <c r="U145" s="352"/>
      <c r="V145" s="352"/>
      <c r="W145" s="352">
        <f t="array" ref="W145">(PRODUCT(Index_Returns!AC134:AC145/100+1)-1)*100</f>
        <v>65.277336544009358</v>
      </c>
      <c r="X145" s="352">
        <f t="array" ref="X145">(PRODUCT(Index_Returns!AB134:AB145/100+1)-1)*100</f>
        <v>85.048965094574513</v>
      </c>
      <c r="Y145" s="352">
        <f t="shared" si="8"/>
        <v>-19.771628550565154</v>
      </c>
      <c r="Z145" s="352">
        <f t="array" ref="Z145">(GEOMEAN(Index_Returns!AC110:AC145/100+1)^12-1)*100</f>
        <v>53.631601123405815</v>
      </c>
      <c r="AA145" s="352">
        <f t="array" ref="AA145">(GEOMEAN(Index_Returns!AB110:AB145/100+1)^12-1)*100</f>
        <v>59.723068977708934</v>
      </c>
      <c r="AB145" s="352">
        <f t="shared" si="5"/>
        <v>-6.0914678543031187</v>
      </c>
    </row>
    <row r="146" spans="1:28" x14ac:dyDescent="0.2">
      <c r="A146" s="19">
        <v>31958</v>
      </c>
      <c r="B146" s="352">
        <f t="array" ref="B146">(PRODUCT(Index_Returns!D135:D146/100+1)-1)*100</f>
        <v>27.29923507578722</v>
      </c>
      <c r="C146" s="352">
        <f t="array" ref="C146">(PRODUCT(Index_Returns!C135:C146/100+1)-1)*100</f>
        <v>22.262150973976702</v>
      </c>
      <c r="D146" s="352">
        <f t="shared" si="6"/>
        <v>5.0370841018105175</v>
      </c>
      <c r="E146" s="352">
        <f t="array" ref="E146">(GEOMEAN(Index_Returns!D111:D146/100+1)^12-1)*100</f>
        <v>30.656305778793524</v>
      </c>
      <c r="F146" s="352">
        <f t="array" ref="F146">(GEOMEAN(Index_Returns!C111:C146/100+1)^12-1)*100</f>
        <v>29.741658746003296</v>
      </c>
      <c r="G146" s="352">
        <f t="shared" si="7"/>
        <v>0.91464703279022785</v>
      </c>
      <c r="H146" s="351"/>
      <c r="I146" s="349"/>
      <c r="J146" s="349"/>
      <c r="K146" s="349"/>
      <c r="L146" s="349"/>
      <c r="M146" s="349"/>
      <c r="N146" s="349"/>
      <c r="O146" s="352"/>
      <c r="P146" s="352"/>
      <c r="Q146" s="352"/>
      <c r="R146" s="352"/>
      <c r="S146" s="352"/>
      <c r="T146" s="352"/>
      <c r="U146" s="352"/>
      <c r="V146" s="352"/>
      <c r="W146" s="352">
        <f t="array" ref="W146">(PRODUCT(Index_Returns!AC135:AC146/100+1)-1)*100</f>
        <v>54.125472596247846</v>
      </c>
      <c r="X146" s="352">
        <f t="array" ref="X146">(PRODUCT(Index_Returns!AB135:AB146/100+1)-1)*100</f>
        <v>62.809694924338984</v>
      </c>
      <c r="Y146" s="352">
        <f t="shared" si="8"/>
        <v>-8.6842223280911384</v>
      </c>
      <c r="Z146" s="352">
        <f t="array" ref="Z146">(GEOMEAN(Index_Returns!AC111:AC146/100+1)^12-1)*100</f>
        <v>54.23703825768127</v>
      </c>
      <c r="AA146" s="352">
        <f t="array" ref="AA146">(GEOMEAN(Index_Returns!AB111:AB146/100+1)^12-1)*100</f>
        <v>55.745716563876101</v>
      </c>
      <c r="AB146" s="352">
        <f t="shared" si="5"/>
        <v>-1.508678306194831</v>
      </c>
    </row>
    <row r="147" spans="1:28" x14ac:dyDescent="0.2">
      <c r="A147" s="19">
        <v>31989</v>
      </c>
      <c r="B147" s="352">
        <f t="array" ref="B147">(PRODUCT(Index_Returns!D136:D147/100+1)-1)*100</f>
        <v>39.542630637465258</v>
      </c>
      <c r="C147" s="352">
        <f t="array" ref="C147">(PRODUCT(Index_Returns!C136:C147/100+1)-1)*100</f>
        <v>38.188318685209225</v>
      </c>
      <c r="D147" s="352">
        <f t="shared" si="6"/>
        <v>1.3543119522560332</v>
      </c>
      <c r="E147" s="352">
        <f t="array" ref="E147">(GEOMEAN(Index_Returns!D112:D147/100+1)^12-1)*100</f>
        <v>33.581763013793186</v>
      </c>
      <c r="F147" s="352">
        <f t="array" ref="F147">(GEOMEAN(Index_Returns!C112:C147/100+1)^12-1)*100</f>
        <v>32.360516571628665</v>
      </c>
      <c r="G147" s="352">
        <f t="shared" si="7"/>
        <v>1.2212464421645208</v>
      </c>
      <c r="H147" s="351"/>
      <c r="I147" s="349"/>
      <c r="J147" s="349"/>
      <c r="K147" s="349"/>
      <c r="L147" s="349"/>
      <c r="M147" s="349"/>
      <c r="N147" s="349"/>
      <c r="O147" s="352"/>
      <c r="P147" s="352"/>
      <c r="Q147" s="352"/>
      <c r="R147" s="352"/>
      <c r="S147" s="352"/>
      <c r="T147" s="352"/>
      <c r="U147" s="352"/>
      <c r="V147" s="352"/>
      <c r="W147" s="352">
        <f t="array" ref="W147">(PRODUCT(Index_Returns!AC136:AC147/100+1)-1)*100</f>
        <v>51.188221237045781</v>
      </c>
      <c r="X147" s="352">
        <f t="array" ref="X147">(PRODUCT(Index_Returns!AB136:AB147/100+1)-1)*100</f>
        <v>46.113101895108485</v>
      </c>
      <c r="Y147" s="352">
        <f t="shared" si="8"/>
        <v>5.0751193419372953</v>
      </c>
      <c r="Z147" s="352">
        <f t="array" ref="Z147">(GEOMEAN(Index_Returns!AC112:AC147/100+1)^12-1)*100</f>
        <v>58.017400622522565</v>
      </c>
      <c r="AA147" s="352">
        <f t="array" ref="AA147">(GEOMEAN(Index_Returns!AB112:AB147/100+1)^12-1)*100</f>
        <v>58.640946160008141</v>
      </c>
      <c r="AB147" s="352">
        <f t="shared" si="5"/>
        <v>-0.62354553748557606</v>
      </c>
    </row>
    <row r="148" spans="1:28" x14ac:dyDescent="0.2">
      <c r="A148" s="19">
        <v>32020</v>
      </c>
      <c r="B148" s="352">
        <f t="array" ref="B148">(PRODUCT(Index_Returns!D137:D148/100+1)-1)*100</f>
        <v>31.212673493287959</v>
      </c>
      <c r="C148" s="352">
        <f t="array" ref="C148">(PRODUCT(Index_Returns!C137:C148/100+1)-1)*100</f>
        <v>37.200319255142823</v>
      </c>
      <c r="D148" s="352">
        <f t="shared" si="6"/>
        <v>-5.9876457618548642</v>
      </c>
      <c r="E148" s="352">
        <f t="array" ref="E148">(GEOMEAN(Index_Returns!D113:D148/100+1)^12-1)*100</f>
        <v>29.996883067254654</v>
      </c>
      <c r="F148" s="352">
        <f t="array" ref="F148">(GEOMEAN(Index_Returns!C113:C148/100+1)^12-1)*100</f>
        <v>29.884687047674774</v>
      </c>
      <c r="G148" s="352">
        <f t="shared" si="7"/>
        <v>0.1121960195798799</v>
      </c>
      <c r="H148" s="351"/>
      <c r="I148" s="349"/>
      <c r="J148" s="349"/>
      <c r="K148" s="349"/>
      <c r="L148" s="349"/>
      <c r="M148" s="349"/>
      <c r="N148" s="349"/>
      <c r="O148" s="352"/>
      <c r="P148" s="352"/>
      <c r="Q148" s="352"/>
      <c r="R148" s="352"/>
      <c r="S148" s="352"/>
      <c r="T148" s="352"/>
      <c r="U148" s="352"/>
      <c r="V148" s="352"/>
      <c r="W148" s="352">
        <f t="array" ref="W148">(PRODUCT(Index_Returns!AC137:AC148/100+1)-1)*100</f>
        <v>44.378912843912069</v>
      </c>
      <c r="X148" s="352">
        <f t="array" ref="X148">(PRODUCT(Index_Returns!AB137:AB148/100+1)-1)*100</f>
        <v>47.082421477026351</v>
      </c>
      <c r="Y148" s="352">
        <f t="shared" si="8"/>
        <v>-2.7035086331142821</v>
      </c>
      <c r="Z148" s="352">
        <f t="array" ref="Z148">(GEOMEAN(Index_Returns!AC113:AC148/100+1)^12-1)*100</f>
        <v>56.941753787575642</v>
      </c>
      <c r="AA148" s="352">
        <f t="array" ref="AA148">(GEOMEAN(Index_Returns!AB113:AB148/100+1)^12-1)*100</f>
        <v>58.769934668743204</v>
      </c>
      <c r="AB148" s="352">
        <f t="shared" si="5"/>
        <v>-1.8281808811675617</v>
      </c>
    </row>
    <row r="149" spans="1:28" x14ac:dyDescent="0.2">
      <c r="A149" s="19">
        <v>32050</v>
      </c>
      <c r="B149" s="352">
        <f t="array" ref="B149">(PRODUCT(Index_Returns!D138:D149/100+1)-1)*100</f>
        <v>37.529594473803861</v>
      </c>
      <c r="C149" s="352">
        <f t="array" ref="C149">(PRODUCT(Index_Returns!C138:C149/100+1)-1)*100</f>
        <v>48.860385727965628</v>
      </c>
      <c r="D149" s="352">
        <f t="shared" si="6"/>
        <v>-11.330791254161767</v>
      </c>
      <c r="E149" s="352">
        <f t="array" ref="E149">(GEOMEAN(Index_Returns!D114:D149/100+1)^12-1)*100</f>
        <v>28.525940356574342</v>
      </c>
      <c r="F149" s="352">
        <f t="array" ref="F149">(GEOMEAN(Index_Returns!C114:C149/100+1)^12-1)*100</f>
        <v>29.386426423591505</v>
      </c>
      <c r="G149" s="352">
        <f t="shared" si="7"/>
        <v>-0.86048606701716324</v>
      </c>
      <c r="H149" s="351"/>
      <c r="I149" s="349"/>
      <c r="J149" s="349"/>
      <c r="K149" s="349"/>
      <c r="L149" s="349"/>
      <c r="M149" s="349"/>
      <c r="N149" s="349"/>
      <c r="O149" s="352"/>
      <c r="P149" s="352"/>
      <c r="Q149" s="352"/>
      <c r="R149" s="352"/>
      <c r="S149" s="352"/>
      <c r="T149" s="352"/>
      <c r="U149" s="352"/>
      <c r="V149" s="352"/>
      <c r="W149" s="352">
        <f t="array" ref="W149">(PRODUCT(Index_Returns!AC138:AC149/100+1)-1)*100</f>
        <v>47.622173382660904</v>
      </c>
      <c r="X149" s="352">
        <f t="array" ref="X149">(PRODUCT(Index_Returns!AB138:AB149/100+1)-1)*100</f>
        <v>42.040164256663815</v>
      </c>
      <c r="Y149" s="352">
        <f t="shared" si="8"/>
        <v>5.5820091259970894</v>
      </c>
      <c r="Z149" s="352">
        <f t="array" ref="Z149">(GEOMEAN(Index_Returns!AC114:AC149/100+1)^12-1)*100</f>
        <v>58.436452465871682</v>
      </c>
      <c r="AA149" s="352">
        <f t="array" ref="AA149">(GEOMEAN(Index_Returns!AB114:AB149/100+1)^12-1)*100</f>
        <v>56.52995257848945</v>
      </c>
      <c r="AB149" s="352">
        <f t="shared" si="5"/>
        <v>1.9064998873822319</v>
      </c>
    </row>
    <row r="150" spans="1:28" x14ac:dyDescent="0.2">
      <c r="A150" s="19">
        <v>32081</v>
      </c>
      <c r="B150" s="352">
        <f t="array" ref="B150">(PRODUCT(Index_Returns!D139:D150/100+1)-1)*100</f>
        <v>4.5744640487898725</v>
      </c>
      <c r="C150" s="352">
        <f t="array" ref="C150">(PRODUCT(Index_Returns!C139:C150/100+1)-1)*100</f>
        <v>8.2047630772164482</v>
      </c>
      <c r="D150" s="352">
        <f t="shared" si="6"/>
        <v>-3.6302990284265757</v>
      </c>
      <c r="E150" s="352">
        <f t="array" ref="E150">(GEOMEAN(Index_Returns!D115:D150/100+1)^12-1)*100</f>
        <v>19.336881960545348</v>
      </c>
      <c r="F150" s="352">
        <f t="array" ref="F150">(GEOMEAN(Index_Returns!C115:C150/100+1)^12-1)*100</f>
        <v>18.331059212627522</v>
      </c>
      <c r="G150" s="352">
        <f t="shared" si="7"/>
        <v>1.0058227479178257</v>
      </c>
      <c r="H150" s="351"/>
      <c r="I150" s="349"/>
      <c r="J150" s="349"/>
      <c r="K150" s="349"/>
      <c r="L150" s="349"/>
      <c r="M150" s="349"/>
      <c r="N150" s="349"/>
      <c r="O150" s="352"/>
      <c r="P150" s="352"/>
      <c r="Q150" s="352"/>
      <c r="R150" s="352"/>
      <c r="S150" s="352"/>
      <c r="T150" s="352"/>
      <c r="U150" s="352"/>
      <c r="V150" s="352"/>
      <c r="W150" s="352">
        <f t="array" ref="W150">(PRODUCT(Index_Returns!AC139:AC150/100+1)-1)*100</f>
        <v>36.070738198291032</v>
      </c>
      <c r="X150" s="352">
        <f t="array" ref="X150">(PRODUCT(Index_Returns!AB139:AB150/100+1)-1)*100</f>
        <v>34.303894379870179</v>
      </c>
      <c r="Y150" s="352">
        <f t="shared" si="8"/>
        <v>1.7668438184208526</v>
      </c>
      <c r="Z150" s="352">
        <f t="array" ref="Z150">(GEOMEAN(Index_Returns!AC115:AC150/100+1)^12-1)*100</f>
        <v>50.938623795765793</v>
      </c>
      <c r="AA150" s="352">
        <f t="array" ref="AA150">(GEOMEAN(Index_Returns!AB115:AB150/100+1)^12-1)*100</f>
        <v>47.412975698836668</v>
      </c>
      <c r="AB150" s="352">
        <f t="shared" si="5"/>
        <v>3.5256480969291246</v>
      </c>
    </row>
    <row r="151" spans="1:28" x14ac:dyDescent="0.2">
      <c r="A151" s="19">
        <v>32111</v>
      </c>
      <c r="B151" s="352">
        <f t="array" ref="B151">(PRODUCT(Index_Returns!D140:D151/100+1)-1)*100</f>
        <v>-5.3572461029486762</v>
      </c>
      <c r="C151" s="352">
        <f t="array" ref="C151">(PRODUCT(Index_Returns!C140:C151/100+1)-1)*100</f>
        <v>-4.1150213475667829</v>
      </c>
      <c r="D151" s="352">
        <f t="shared" si="6"/>
        <v>-1.2422247553818933</v>
      </c>
      <c r="E151" s="352">
        <f t="array" ref="E151">(GEOMEAN(Index_Returns!D116:D151/100+1)^12-1)*100</f>
        <v>16.389129268378898</v>
      </c>
      <c r="F151" s="352">
        <f t="array" ref="F151">(GEOMEAN(Index_Returns!C116:C151/100+1)^12-1)*100</f>
        <v>15.404734994451296</v>
      </c>
      <c r="G151" s="352">
        <f t="shared" si="7"/>
        <v>0.98439427392760237</v>
      </c>
      <c r="H151" s="351"/>
      <c r="I151" s="349"/>
      <c r="J151" s="349"/>
      <c r="K151" s="349"/>
      <c r="L151" s="349"/>
      <c r="M151" s="349"/>
      <c r="N151" s="349"/>
      <c r="O151" s="352"/>
      <c r="P151" s="352"/>
      <c r="Q151" s="352"/>
      <c r="R151" s="352"/>
      <c r="S151" s="352"/>
      <c r="T151" s="352"/>
      <c r="U151" s="352"/>
      <c r="V151" s="352"/>
      <c r="W151" s="352">
        <f t="array" ref="W151">(PRODUCT(Index_Returns!AC140:AC151/100+1)-1)*100</f>
        <v>31.190249908064828</v>
      </c>
      <c r="X151" s="352">
        <f t="array" ref="X151">(PRODUCT(Index_Returns!AB140:AB151/100+1)-1)*100</f>
        <v>26.904541358234702</v>
      </c>
      <c r="Y151" s="352">
        <f t="shared" si="8"/>
        <v>4.2857085498301259</v>
      </c>
      <c r="Z151" s="352">
        <f t="array" ref="Z151">(GEOMEAN(Index_Returns!AC116:AC151/100+1)^12-1)*100</f>
        <v>51.945697032339154</v>
      </c>
      <c r="AA151" s="352">
        <f t="array" ref="AA151">(GEOMEAN(Index_Returns!AB116:AB151/100+1)^12-1)*100</f>
        <v>47.02362730504133</v>
      </c>
      <c r="AB151" s="352">
        <f t="shared" si="5"/>
        <v>4.9220697272978242</v>
      </c>
    </row>
    <row r="152" spans="1:28" x14ac:dyDescent="0.2">
      <c r="A152" s="19">
        <v>32142</v>
      </c>
      <c r="B152" s="352">
        <f t="array" ref="B152">(PRODUCT(Index_Returns!D141:D152/100+1)-1)*100</f>
        <v>3.677721949491497</v>
      </c>
      <c r="C152" s="352">
        <f t="array" ref="C152">(PRODUCT(Index_Returns!C141:C152/100+1)-1)*100</f>
        <v>6.4978181579949501</v>
      </c>
      <c r="D152" s="352">
        <f t="shared" si="6"/>
        <v>-2.8200962085034531</v>
      </c>
      <c r="E152" s="352">
        <f t="array" ref="E152">(GEOMEAN(Index_Returns!D117:D152/100+1)^12-1)*100</f>
        <v>17.825900024308396</v>
      </c>
      <c r="F152" s="352">
        <f t="array" ref="F152">(GEOMEAN(Index_Returns!C117:C152/100+1)^12-1)*100</f>
        <v>17.579979099992403</v>
      </c>
      <c r="G152" s="352">
        <f t="shared" si="7"/>
        <v>0.24592092431599255</v>
      </c>
      <c r="H152" s="351"/>
      <c r="I152" s="349"/>
      <c r="J152" s="349"/>
      <c r="K152" s="349"/>
      <c r="L152" s="349"/>
      <c r="M152" s="349"/>
      <c r="N152" s="349"/>
      <c r="O152" s="352"/>
      <c r="P152" s="352"/>
      <c r="Q152" s="352"/>
      <c r="R152" s="352"/>
      <c r="S152" s="352"/>
      <c r="T152" s="352"/>
      <c r="U152" s="352"/>
      <c r="V152" s="352"/>
      <c r="W152" s="352">
        <f t="array" ref="W152">(PRODUCT(Index_Returns!AC141:AC152/100+1)-1)*100</f>
        <v>31.235632086006881</v>
      </c>
      <c r="X152" s="352">
        <f t="array" ref="X152">(PRODUCT(Index_Returns!AB141:AB152/100+1)-1)*100</f>
        <v>21.202277165046148</v>
      </c>
      <c r="Y152" s="352">
        <f t="shared" si="8"/>
        <v>10.033354920960733</v>
      </c>
      <c r="Z152" s="352">
        <f t="array" ref="Z152">(GEOMEAN(Index_Returns!AC117:AC152/100+1)^12-1)*100</f>
        <v>53.27447996254682</v>
      </c>
      <c r="AA152" s="352">
        <f t="array" ref="AA152">(GEOMEAN(Index_Returns!AB117:AB152/100+1)^12-1)*100</f>
        <v>46.169562581604914</v>
      </c>
      <c r="AB152" s="352">
        <f t="shared" si="5"/>
        <v>7.1049173809419059</v>
      </c>
    </row>
    <row r="153" spans="1:28" x14ac:dyDescent="0.2">
      <c r="A153" s="19">
        <v>32173</v>
      </c>
      <c r="B153" s="352">
        <f t="array" ref="B153">(PRODUCT(Index_Returns!D142:D153/100+1)-1)*100</f>
        <v>-2.3649570055300884</v>
      </c>
      <c r="C153" s="352">
        <f t="array" ref="C153">(PRODUCT(Index_Returns!C142:C153/100+1)-1)*100</f>
        <v>-4.3656525316461909</v>
      </c>
      <c r="D153" s="352">
        <f t="shared" si="6"/>
        <v>2.0006955261161026</v>
      </c>
      <c r="E153" s="352">
        <f t="array" ref="E153">(GEOMEAN(Index_Returns!D118:D153/100+1)^12-1)*100</f>
        <v>17.580168896361513</v>
      </c>
      <c r="F153" s="352">
        <f t="array" ref="F153">(GEOMEAN(Index_Returns!C118:C153/100+1)^12-1)*100</f>
        <v>15.383097174756521</v>
      </c>
      <c r="G153" s="352">
        <f t="shared" si="7"/>
        <v>2.197071721604992</v>
      </c>
      <c r="H153" s="351"/>
      <c r="I153" s="349"/>
      <c r="J153" s="349"/>
      <c r="K153" s="349"/>
      <c r="L153" s="349"/>
      <c r="M153" s="349"/>
      <c r="N153" s="349"/>
      <c r="O153" s="352"/>
      <c r="P153" s="352"/>
      <c r="Q153" s="352"/>
      <c r="R153" s="352"/>
      <c r="S153" s="352"/>
      <c r="T153" s="352"/>
      <c r="U153" s="352"/>
      <c r="V153" s="352"/>
      <c r="W153" s="352">
        <f t="array" ref="W153">(PRODUCT(Index_Returns!AC142:AC153/100+1)-1)*100</f>
        <v>24.934661912829338</v>
      </c>
      <c r="X153" s="352">
        <f t="array" ref="X153">(PRODUCT(Index_Returns!AB142:AB153/100+1)-1)*100</f>
        <v>8.1066282519109745</v>
      </c>
      <c r="Y153" s="352">
        <f t="shared" si="8"/>
        <v>16.828033660918365</v>
      </c>
      <c r="Z153" s="352">
        <f t="array" ref="Z153">(GEOMEAN(Index_Returns!AC118:AC153/100+1)^12-1)*100</f>
        <v>52.458837050136296</v>
      </c>
      <c r="AA153" s="352">
        <f t="array" ref="AA153">(GEOMEAN(Index_Returns!AB118:AB153/100+1)^12-1)*100</f>
        <v>46.563797030557396</v>
      </c>
      <c r="AB153" s="352">
        <f t="shared" si="5"/>
        <v>5.8950400195789001</v>
      </c>
    </row>
    <row r="154" spans="1:28" x14ac:dyDescent="0.2">
      <c r="A154" s="19">
        <v>32202</v>
      </c>
      <c r="B154" s="352">
        <f t="array" ref="B154">(PRODUCT(Index_Returns!D143:D154/100+1)-1)*100</f>
        <v>0.70690202546270786</v>
      </c>
      <c r="C154" s="352">
        <f t="array" ref="C154">(PRODUCT(Index_Returns!C143:C154/100+1)-1)*100</f>
        <v>-6.2022890259134211</v>
      </c>
      <c r="D154" s="352">
        <f t="shared" si="6"/>
        <v>6.909191051376129</v>
      </c>
      <c r="E154" s="352">
        <f t="array" ref="E154">(GEOMEAN(Index_Returns!D119:D154/100+1)^12-1)*100</f>
        <v>18.839669447428122</v>
      </c>
      <c r="F154" s="352">
        <f t="array" ref="F154">(GEOMEAN(Index_Returns!C119:C154/100+1)^12-1)*100</f>
        <v>16.586772276238637</v>
      </c>
      <c r="G154" s="352">
        <f t="shared" si="7"/>
        <v>2.2528971711894847</v>
      </c>
      <c r="H154" s="351"/>
      <c r="I154" s="349"/>
      <c r="J154" s="349"/>
      <c r="K154" s="349"/>
      <c r="L154" s="349"/>
      <c r="M154" s="349"/>
      <c r="N154" s="349"/>
      <c r="O154" s="352"/>
      <c r="P154" s="352"/>
      <c r="Q154" s="352"/>
      <c r="R154" s="352"/>
      <c r="S154" s="352"/>
      <c r="T154" s="352"/>
      <c r="U154" s="352"/>
      <c r="V154" s="352"/>
      <c r="W154" s="352">
        <f t="array" ref="W154">(PRODUCT(Index_Returns!AC143:AC154/100+1)-1)*100</f>
        <v>28.749352799734051</v>
      </c>
      <c r="X154" s="352">
        <f t="array" ref="X154">(PRODUCT(Index_Returns!AB143:AB154/100+1)-1)*100</f>
        <v>12.509947789332521</v>
      </c>
      <c r="Y154" s="352">
        <f t="shared" si="8"/>
        <v>16.23940501040153</v>
      </c>
      <c r="Z154" s="352">
        <f t="array" ref="Z154">(GEOMEAN(Index_Returns!AC119:AC154/100+1)^12-1)*100</f>
        <v>56.482907582742214</v>
      </c>
      <c r="AA154" s="352">
        <f t="array" ref="AA154">(GEOMEAN(Index_Returns!AB119:AB154/100+1)^12-1)*100</f>
        <v>49.697257895291536</v>
      </c>
      <c r="AB154" s="352">
        <f t="shared" si="5"/>
        <v>6.7856496874506789</v>
      </c>
    </row>
    <row r="155" spans="1:28" x14ac:dyDescent="0.2">
      <c r="A155" s="19">
        <v>32233</v>
      </c>
      <c r="B155" s="352">
        <f t="array" ref="B155">(PRODUCT(Index_Returns!D144:D155/100+1)-1)*100</f>
        <v>-4.5395696787784772</v>
      </c>
      <c r="C155" s="352">
        <f t="array" ref="C155">(PRODUCT(Index_Returns!C144:C155/100+1)-1)*100</f>
        <v>-11.826962072548897</v>
      </c>
      <c r="D155" s="352">
        <f t="shared" si="6"/>
        <v>7.2873923937704195</v>
      </c>
      <c r="E155" s="352">
        <f t="array" ref="E155">(GEOMEAN(Index_Returns!D120:D155/100+1)^12-1)*100</f>
        <v>17.864453199584762</v>
      </c>
      <c r="F155" s="352">
        <f t="array" ref="F155">(GEOMEAN(Index_Returns!C120:C155/100+1)^12-1)*100</f>
        <v>15.139003251339611</v>
      </c>
      <c r="G155" s="352">
        <f t="shared" si="7"/>
        <v>2.7254499482451511</v>
      </c>
      <c r="H155" s="351"/>
      <c r="I155" s="349"/>
      <c r="J155" s="349"/>
      <c r="K155" s="349"/>
      <c r="L155" s="349"/>
      <c r="M155" s="349"/>
      <c r="N155" s="349"/>
      <c r="O155" s="352"/>
      <c r="P155" s="352"/>
      <c r="Q155" s="352"/>
      <c r="R155" s="352"/>
      <c r="S155" s="352"/>
      <c r="T155" s="352"/>
      <c r="U155" s="352"/>
      <c r="V155" s="352"/>
      <c r="W155" s="352">
        <f t="array" ref="W155">(PRODUCT(Index_Returns!AC144:AC155/100+1)-1)*100</f>
        <v>30.55323017299072</v>
      </c>
      <c r="X155" s="352">
        <f t="array" ref="X155">(PRODUCT(Index_Returns!AB144:AB155/100+1)-1)*100</f>
        <v>6.8729703936815101</v>
      </c>
      <c r="Y155" s="352">
        <f t="shared" si="8"/>
        <v>23.68025977930921</v>
      </c>
      <c r="Z155" s="352">
        <f t="array" ref="Z155">(GEOMEAN(Index_Returns!AC120:AC155/100+1)^12-1)*100</f>
        <v>56.411062744017968</v>
      </c>
      <c r="AA155" s="352">
        <f t="array" ref="AA155">(GEOMEAN(Index_Returns!AB120:AB155/100+1)^12-1)*100</f>
        <v>48.375445227460133</v>
      </c>
      <c r="AB155" s="352">
        <f t="shared" si="5"/>
        <v>8.035617516557835</v>
      </c>
    </row>
    <row r="156" spans="1:28" x14ac:dyDescent="0.2">
      <c r="A156" s="19">
        <v>32263</v>
      </c>
      <c r="B156" s="352">
        <f t="array" ref="B156">(PRODUCT(Index_Returns!D145:D156/100+1)-1)*100</f>
        <v>-2.7433229017541194</v>
      </c>
      <c r="C156" s="352">
        <f t="array" ref="C156">(PRODUCT(Index_Returns!C145:C156/100+1)-1)*100</f>
        <v>-10.042358053017386</v>
      </c>
      <c r="D156" s="352">
        <f t="shared" si="6"/>
        <v>7.2990351512632667</v>
      </c>
      <c r="E156" s="352">
        <f t="array" ref="E156">(GEOMEAN(Index_Returns!D121:D156/100+1)^12-1)*100</f>
        <v>17.984988962967208</v>
      </c>
      <c r="F156" s="352">
        <f t="array" ref="F156">(GEOMEAN(Index_Returns!C121:C156/100+1)^12-1)*100</f>
        <v>16.028239916807507</v>
      </c>
      <c r="G156" s="352">
        <f t="shared" si="7"/>
        <v>1.9567490461597004</v>
      </c>
      <c r="H156" s="351"/>
      <c r="I156" s="349"/>
      <c r="J156" s="349"/>
      <c r="K156" s="349"/>
      <c r="L156" s="349"/>
      <c r="M156" s="349"/>
      <c r="N156" s="349"/>
      <c r="O156" s="352"/>
      <c r="P156" s="352"/>
      <c r="Q156" s="352"/>
      <c r="R156" s="352"/>
      <c r="S156" s="352"/>
      <c r="T156" s="352"/>
      <c r="U156" s="352"/>
      <c r="V156" s="352"/>
      <c r="W156" s="352">
        <f t="array" ref="W156">(PRODUCT(Index_Returns!AC145:AC156/100+1)-1)*100</f>
        <v>23.334964414035554</v>
      </c>
      <c r="X156" s="352">
        <f t="array" ref="X156">(PRODUCT(Index_Returns!AB145:AB156/100+1)-1)*100</f>
        <v>-4.7943437228733732</v>
      </c>
      <c r="Y156" s="352">
        <f t="shared" si="8"/>
        <v>28.129308136908925</v>
      </c>
      <c r="Z156" s="352">
        <f t="array" ref="Z156">(GEOMEAN(Index_Returns!AC121:AC156/100+1)^12-1)*100</f>
        <v>57.532328013925536</v>
      </c>
      <c r="AA156" s="352">
        <f t="array" ref="AA156">(GEOMEAN(Index_Returns!AB121:AB156/100+1)^12-1)*100</f>
        <v>49.008733479424251</v>
      </c>
      <c r="AB156" s="352">
        <f t="shared" si="5"/>
        <v>8.5235945345012851</v>
      </c>
    </row>
    <row r="157" spans="1:28" x14ac:dyDescent="0.2">
      <c r="A157" s="19">
        <v>32294</v>
      </c>
      <c r="B157" s="352">
        <f t="array" ref="B157">(PRODUCT(Index_Returns!D146:D157/100+1)-1)*100</f>
        <v>-2.4252386258133418</v>
      </c>
      <c r="C157" s="352">
        <f t="array" ref="C157">(PRODUCT(Index_Returns!C146:C157/100+1)-1)*100</f>
        <v>-10.789307110829128</v>
      </c>
      <c r="D157" s="352">
        <f t="shared" si="6"/>
        <v>8.3640684850157854</v>
      </c>
      <c r="E157" s="352">
        <f t="array" ref="E157">(GEOMEAN(Index_Returns!D122:D157/100+1)^12-1)*100</f>
        <v>16.374922405483726</v>
      </c>
      <c r="F157" s="352">
        <f t="array" ref="F157">(GEOMEAN(Index_Returns!C122:C157/100+1)^12-1)*100</f>
        <v>13.763892130849698</v>
      </c>
      <c r="G157" s="352">
        <f t="shared" si="7"/>
        <v>2.6110302746340288</v>
      </c>
      <c r="H157" s="351"/>
      <c r="I157" s="349"/>
      <c r="J157" s="349"/>
      <c r="K157" s="349"/>
      <c r="L157" s="349"/>
      <c r="M157" s="349"/>
      <c r="N157" s="349"/>
      <c r="O157" s="352"/>
      <c r="P157" s="352"/>
      <c r="Q157" s="352"/>
      <c r="R157" s="352"/>
      <c r="S157" s="352"/>
      <c r="T157" s="352"/>
      <c r="U157" s="352"/>
      <c r="V157" s="352"/>
      <c r="W157" s="352">
        <f t="array" ref="W157">(PRODUCT(Index_Returns!AC146:AC157/100+1)-1)*100</f>
        <v>16.416631919577142</v>
      </c>
      <c r="X157" s="352">
        <f t="array" ref="X157">(PRODUCT(Index_Returns!AB146:AB157/100+1)-1)*100</f>
        <v>-5.6713867665967976</v>
      </c>
      <c r="Y157" s="352">
        <f t="shared" si="8"/>
        <v>22.088018686173939</v>
      </c>
      <c r="Z157" s="352">
        <f t="array" ref="Z157">(GEOMEAN(Index_Returns!AC122:AC157/100+1)^12-1)*100</f>
        <v>54.167105685386694</v>
      </c>
      <c r="AA157" s="352">
        <f t="array" ref="AA157">(GEOMEAN(Index_Returns!AB122:AB157/100+1)^12-1)*100</f>
        <v>44.909837314977416</v>
      </c>
      <c r="AB157" s="352">
        <f t="shared" si="5"/>
        <v>9.2572683704092782</v>
      </c>
    </row>
    <row r="158" spans="1:28" x14ac:dyDescent="0.2">
      <c r="A158" s="19">
        <v>32324</v>
      </c>
      <c r="B158" s="352">
        <f t="array" ref="B158">(PRODUCT(Index_Returns!D147:D158/100+1)-1)*100</f>
        <v>-3.0111335902218705</v>
      </c>
      <c r="C158" s="352">
        <f t="array" ref="C158">(PRODUCT(Index_Returns!C147:C158/100+1)-1)*100</f>
        <v>-10.891204155623601</v>
      </c>
      <c r="D158" s="352">
        <f t="shared" si="6"/>
        <v>7.8800705654017307</v>
      </c>
      <c r="E158" s="352">
        <f t="array" ref="E158">(GEOMEAN(Index_Returns!D123:D158/100+1)^12-1)*100</f>
        <v>17.563007230392369</v>
      </c>
      <c r="F158" s="352">
        <f t="array" ref="F158">(GEOMEAN(Index_Returns!C123:C158/100+1)^12-1)*100</f>
        <v>14.883913946265315</v>
      </c>
      <c r="G158" s="352">
        <f t="shared" si="7"/>
        <v>2.6790932841270543</v>
      </c>
      <c r="H158" s="351"/>
      <c r="I158" s="349"/>
      <c r="J158" s="349"/>
      <c r="K158" s="349"/>
      <c r="L158" s="349"/>
      <c r="M158" s="349"/>
      <c r="N158" s="349"/>
      <c r="O158" s="352"/>
      <c r="P158" s="352"/>
      <c r="Q158" s="352"/>
      <c r="R158" s="352"/>
      <c r="S158" s="352"/>
      <c r="T158" s="352"/>
      <c r="U158" s="352"/>
      <c r="V158" s="352"/>
      <c r="W158" s="352">
        <f t="array" ref="W158">(PRODUCT(Index_Returns!AC147:AC158/100+1)-1)*100</f>
        <v>14.462113919813536</v>
      </c>
      <c r="X158" s="352">
        <f t="array" ref="X158">(PRODUCT(Index_Returns!AB147:AB158/100+1)-1)*100</f>
        <v>-2.953096374438835</v>
      </c>
      <c r="Y158" s="352">
        <f t="shared" si="8"/>
        <v>17.415210294252372</v>
      </c>
      <c r="Z158" s="352">
        <f t="array" ref="Z158">(GEOMEAN(Index_Returns!AC123:AC158/100+1)^12-1)*100</f>
        <v>51.990636120165078</v>
      </c>
      <c r="AA158" s="352">
        <f t="array" ref="AA158">(GEOMEAN(Index_Returns!AB123:AB158/100+1)^12-1)*100</f>
        <v>41.843737178147137</v>
      </c>
      <c r="AB158" s="352">
        <f t="shared" si="5"/>
        <v>10.146898942017941</v>
      </c>
    </row>
    <row r="159" spans="1:28" x14ac:dyDescent="0.2">
      <c r="A159" s="19">
        <v>32355</v>
      </c>
      <c r="B159" s="352">
        <f t="array" ref="B159">(PRODUCT(Index_Returns!D148:D159/100+1)-1)*100</f>
        <v>-7.2102684194574662</v>
      </c>
      <c r="C159" s="352">
        <f t="array" ref="C159">(PRODUCT(Index_Returns!C148:C159/100+1)-1)*100</f>
        <v>-16.093566694925798</v>
      </c>
      <c r="D159" s="352">
        <f t="shared" si="6"/>
        <v>8.8832982754683307</v>
      </c>
      <c r="E159" s="352">
        <f t="array" ref="E159">(GEOMEAN(Index_Returns!D124:D159/100+1)^12-1)*100</f>
        <v>17.606197170806293</v>
      </c>
      <c r="F159" s="352">
        <f t="array" ref="F159">(GEOMEAN(Index_Returns!C124:C159/100+1)^12-1)*100</f>
        <v>14.780030217685391</v>
      </c>
      <c r="G159" s="352">
        <f t="shared" si="7"/>
        <v>2.8261669531209019</v>
      </c>
      <c r="H159" s="351"/>
      <c r="I159" s="349"/>
      <c r="J159" s="349"/>
      <c r="K159" s="349"/>
      <c r="L159" s="349"/>
      <c r="M159" s="349"/>
      <c r="N159" s="349"/>
      <c r="O159" s="352"/>
      <c r="P159" s="352"/>
      <c r="Q159" s="352"/>
      <c r="R159" s="352"/>
      <c r="S159" s="352"/>
      <c r="T159" s="352"/>
      <c r="U159" s="352"/>
      <c r="V159" s="352"/>
      <c r="W159" s="352">
        <f t="array" ref="W159">(PRODUCT(Index_Returns!AC148:AC159/100+1)-1)*100</f>
        <v>18.522318687135275</v>
      </c>
      <c r="X159" s="352">
        <f t="array" ref="X159">(PRODUCT(Index_Returns!AB148:AB159/100+1)-1)*100</f>
        <v>-0.10457739178304504</v>
      </c>
      <c r="Y159" s="352">
        <f t="shared" si="8"/>
        <v>18.626896078918321</v>
      </c>
      <c r="Z159" s="352">
        <f t="array" ref="Z159">(GEOMEAN(Index_Returns!AC124:AC159/100+1)^12-1)*100</f>
        <v>51.711379643483887</v>
      </c>
      <c r="AA159" s="352">
        <f t="array" ref="AA159">(GEOMEAN(Index_Returns!AB124:AB159/100+1)^12-1)*100</f>
        <v>40.140256159063249</v>
      </c>
      <c r="AB159" s="352">
        <f t="shared" si="5"/>
        <v>11.571123484420639</v>
      </c>
    </row>
    <row r="160" spans="1:28" x14ac:dyDescent="0.2">
      <c r="A160" s="19">
        <v>32386</v>
      </c>
      <c r="B160" s="352">
        <f t="array" ref="B160">(PRODUCT(Index_Returns!D149:D160/100+1)-1)*100</f>
        <v>-12.80508845098306</v>
      </c>
      <c r="C160" s="352">
        <f t="array" ref="C160">(PRODUCT(Index_Returns!C149:C160/100+1)-1)*100</f>
        <v>-22.474397089771102</v>
      </c>
      <c r="D160" s="352">
        <f t="shared" si="6"/>
        <v>9.669308638788042</v>
      </c>
      <c r="E160" s="352">
        <f t="array" ref="E160">(GEOMEAN(Index_Returns!D125:D160/100+1)^12-1)*100</f>
        <v>16.553080792437626</v>
      </c>
      <c r="F160" s="352">
        <f t="array" ref="F160">(GEOMEAN(Index_Returns!C125:C160/100+1)^12-1)*100</f>
        <v>13.787680342541098</v>
      </c>
      <c r="G160" s="352">
        <f t="shared" si="7"/>
        <v>2.7654004498965286</v>
      </c>
      <c r="H160" s="351"/>
      <c r="I160" s="349"/>
      <c r="J160" s="349"/>
      <c r="K160" s="349"/>
      <c r="L160" s="349"/>
      <c r="M160" s="349"/>
      <c r="N160" s="349"/>
      <c r="O160" s="352"/>
      <c r="P160" s="352"/>
      <c r="Q160" s="352"/>
      <c r="R160" s="352"/>
      <c r="S160" s="352"/>
      <c r="T160" s="352"/>
      <c r="U160" s="352"/>
      <c r="V160" s="352"/>
      <c r="W160" s="352">
        <f t="array" ref="W160">(PRODUCT(Index_Returns!AC149:AC160/100+1)-1)*100</f>
        <v>3.5150748219359818</v>
      </c>
      <c r="X160" s="352">
        <f t="array" ref="X160">(PRODUCT(Index_Returns!AB149:AB160/100+1)-1)*100</f>
        <v>-13.301261989509317</v>
      </c>
      <c r="Y160" s="352">
        <f t="shared" si="8"/>
        <v>16.8163368114453</v>
      </c>
      <c r="Z160" s="352">
        <f t="array" ref="Z160">(GEOMEAN(Index_Returns!AC125:AC160/100+1)^12-1)*100</f>
        <v>45.768815907305374</v>
      </c>
      <c r="AA160" s="352">
        <f t="array" ref="AA160">(GEOMEAN(Index_Returns!AB125:AB160/100+1)^12-1)*100</f>
        <v>36.674374054166179</v>
      </c>
      <c r="AB160" s="352">
        <f t="shared" si="5"/>
        <v>9.0944418531391946</v>
      </c>
    </row>
    <row r="161" spans="1:28" x14ac:dyDescent="0.2">
      <c r="A161" s="19">
        <v>32416</v>
      </c>
      <c r="B161" s="352">
        <f t="array" ref="B161">(PRODUCT(Index_Returns!D150:D161/100+1)-1)*100</f>
        <v>-7.7611216763785462</v>
      </c>
      <c r="C161" s="352">
        <f t="array" ref="C161">(PRODUCT(Index_Returns!C150:C161/100+1)-1)*100</f>
        <v>-16.799759616845154</v>
      </c>
      <c r="D161" s="352">
        <f t="shared" si="6"/>
        <v>9.0386379404666073</v>
      </c>
      <c r="E161" s="352">
        <f t="array" ref="E161">(GEOMEAN(Index_Returns!D126:D161/100+1)^12-1)*100</f>
        <v>19.176684546834409</v>
      </c>
      <c r="F161" s="352">
        <f t="array" ref="F161">(GEOMEAN(Index_Returns!C126:C161/100+1)^12-1)*100</f>
        <v>16.928462703089544</v>
      </c>
      <c r="G161" s="352">
        <f t="shared" si="7"/>
        <v>2.2482218437448651</v>
      </c>
      <c r="H161" s="351"/>
      <c r="I161" s="349"/>
      <c r="J161" s="349"/>
      <c r="K161" s="349"/>
      <c r="L161" s="349"/>
      <c r="M161" s="349"/>
      <c r="N161" s="349"/>
      <c r="O161" s="352"/>
      <c r="P161" s="352"/>
      <c r="Q161" s="352"/>
      <c r="R161" s="352"/>
      <c r="S161" s="352"/>
      <c r="T161" s="352"/>
      <c r="U161" s="352"/>
      <c r="V161" s="352"/>
      <c r="W161" s="352">
        <f t="array" ref="W161">(PRODUCT(Index_Returns!AC150:AC161/100+1)-1)*100</f>
        <v>5.8938876379666327</v>
      </c>
      <c r="X161" s="352">
        <f t="array" ref="X161">(PRODUCT(Index_Returns!AB150:AB161/100+1)-1)*100</f>
        <v>-4.5629917778824858</v>
      </c>
      <c r="Y161" s="352">
        <f t="shared" si="8"/>
        <v>10.456879415849119</v>
      </c>
      <c r="Z161" s="352">
        <f t="array" ref="Z161">(GEOMEAN(Index_Returns!AC126:AC161/100+1)^12-1)*100</f>
        <v>43.911115175155025</v>
      </c>
      <c r="AA161" s="352">
        <f t="array" ref="AA161">(GEOMEAN(Index_Returns!AB126:AB161/100+1)^12-1)*100</f>
        <v>37.146496742144699</v>
      </c>
      <c r="AB161" s="352">
        <f t="shared" si="5"/>
        <v>6.7646184330103267</v>
      </c>
    </row>
    <row r="162" spans="1:28" x14ac:dyDescent="0.2">
      <c r="A162" s="19">
        <v>32447</v>
      </c>
      <c r="B162" s="352">
        <f t="array" ref="B162">(PRODUCT(Index_Returns!D151:D162/100+1)-1)*100</f>
        <v>19.419712448102256</v>
      </c>
      <c r="C162" s="352">
        <f t="array" ref="C162">(PRODUCT(Index_Returns!C151:C162/100+1)-1)*100</f>
        <v>10.17671814744725</v>
      </c>
      <c r="D162" s="352">
        <f t="shared" si="6"/>
        <v>9.2429943006550062</v>
      </c>
      <c r="E162" s="352">
        <f t="array" ref="E162">(GEOMEAN(Index_Returns!D127:D162/100+1)^12-1)*100</f>
        <v>18.547983263381784</v>
      </c>
      <c r="F162" s="352">
        <f t="array" ref="F162">(GEOMEAN(Index_Returns!C127:C162/100+1)^12-1)*100</f>
        <v>16.236089138979494</v>
      </c>
      <c r="G162" s="352">
        <f t="shared" si="7"/>
        <v>2.3118941244022899</v>
      </c>
      <c r="H162" s="351"/>
      <c r="I162" s="349"/>
      <c r="J162" s="349"/>
      <c r="K162" s="349"/>
      <c r="L162" s="349"/>
      <c r="M162" s="349"/>
      <c r="N162" s="349"/>
      <c r="O162" s="352"/>
      <c r="P162" s="352"/>
      <c r="Q162" s="352"/>
      <c r="R162" s="352"/>
      <c r="S162" s="352"/>
      <c r="T162" s="352"/>
      <c r="U162" s="352"/>
      <c r="V162" s="352"/>
      <c r="W162" s="352">
        <f t="array" ref="W162">(PRODUCT(Index_Returns!AC151:AC162/100+1)-1)*100</f>
        <v>30.719585908450853</v>
      </c>
      <c r="X162" s="352">
        <f t="array" ref="X162">(PRODUCT(Index_Returns!AB151:AB162/100+1)-1)*100</f>
        <v>20.109817728777358</v>
      </c>
      <c r="Y162" s="352">
        <f t="shared" si="8"/>
        <v>10.609768179673495</v>
      </c>
      <c r="Z162" s="352">
        <f t="array" ref="Z162">(GEOMEAN(Index_Returns!AC127:AC162/100+1)^12-1)*100</f>
        <v>44.20190748632664</v>
      </c>
      <c r="AA162" s="352">
        <f t="array" ref="AA162">(GEOMEAN(Index_Returns!AB127:AB162/100+1)^12-1)*100</f>
        <v>38.258555468234775</v>
      </c>
      <c r="AB162" s="352">
        <f t="shared" si="5"/>
        <v>5.9433520180918649</v>
      </c>
    </row>
    <row r="163" spans="1:28" x14ac:dyDescent="0.2">
      <c r="A163" s="19">
        <v>32477</v>
      </c>
      <c r="B163" s="352">
        <f t="array" ref="B163">(PRODUCT(Index_Returns!D152:D163/100+1)-1)*100</f>
        <v>27.834459288712154</v>
      </c>
      <c r="C163" s="352">
        <f t="array" ref="C163">(PRODUCT(Index_Returns!C152:C163/100+1)-1)*100</f>
        <v>18.650697230899006</v>
      </c>
      <c r="D163" s="352">
        <f t="shared" si="6"/>
        <v>9.1837620578131478</v>
      </c>
      <c r="E163" s="352">
        <f t="array" ref="E163">(GEOMEAN(Index_Returns!D128:D163/100+1)^12-1)*100</f>
        <v>16.132491322859543</v>
      </c>
      <c r="F163" s="352">
        <f t="array" ref="F163">(GEOMEAN(Index_Returns!C128:C163/100+1)^12-1)*100</f>
        <v>12.278001476204658</v>
      </c>
      <c r="G163" s="352">
        <f t="shared" si="7"/>
        <v>3.8544898466548858</v>
      </c>
      <c r="H163" s="351"/>
      <c r="I163" s="349"/>
      <c r="J163" s="349"/>
      <c r="K163" s="349"/>
      <c r="L163" s="349"/>
      <c r="M163" s="349"/>
      <c r="N163" s="349"/>
      <c r="O163" s="352"/>
      <c r="P163" s="352"/>
      <c r="Q163" s="352"/>
      <c r="R163" s="352"/>
      <c r="S163" s="352"/>
      <c r="T163" s="352"/>
      <c r="U163" s="352"/>
      <c r="V163" s="352"/>
      <c r="W163" s="352">
        <f t="array" ref="W163">(PRODUCT(Index_Returns!AC152:AC163/100+1)-1)*100</f>
        <v>36.025859667729662</v>
      </c>
      <c r="X163" s="352">
        <f t="array" ref="X163">(PRODUCT(Index_Returns!AB152:AB163/100+1)-1)*100</f>
        <v>27.106422613322366</v>
      </c>
      <c r="Y163" s="352">
        <f t="shared" si="8"/>
        <v>8.9194370544072967</v>
      </c>
      <c r="Z163" s="352">
        <f t="array" ref="Z163">(GEOMEAN(Index_Returns!AC128:AC163/100+1)^12-1)*100</f>
        <v>44.614533483509611</v>
      </c>
      <c r="AA163" s="352">
        <f t="array" ref="AA163">(GEOMEAN(Index_Returns!AB128:AB163/100+1)^12-1)*100</f>
        <v>39.540410651346683</v>
      </c>
      <c r="AB163" s="352">
        <f t="shared" si="5"/>
        <v>5.0741228321629279</v>
      </c>
    </row>
    <row r="164" spans="1:28" x14ac:dyDescent="0.2">
      <c r="A164" s="19">
        <v>32508</v>
      </c>
      <c r="B164" s="352">
        <f t="array" ref="B164">(PRODUCT(Index_Returns!D153:D164/100+1)-1)*100</f>
        <v>21.6749220069673</v>
      </c>
      <c r="C164" s="352">
        <f t="array" ref="C164">(PRODUCT(Index_Returns!C153:C164/100+1)-1)*100</f>
        <v>11.946098248819403</v>
      </c>
      <c r="D164" s="352">
        <f t="shared" si="6"/>
        <v>9.7288237581478967</v>
      </c>
      <c r="E164" s="352">
        <f t="array" ref="E164">(GEOMEAN(Index_Returns!D129:D164/100+1)^12-1)*100</f>
        <v>15.350850207031463</v>
      </c>
      <c r="F164" s="352">
        <f t="array" ref="F164">(GEOMEAN(Index_Returns!C129:C164/100+1)^12-1)*100</f>
        <v>10.928869772949824</v>
      </c>
      <c r="G164" s="352">
        <f t="shared" si="7"/>
        <v>4.4219804340816395</v>
      </c>
      <c r="H164" s="351"/>
      <c r="I164" s="349"/>
      <c r="J164" s="349"/>
      <c r="K164" s="349"/>
      <c r="L164" s="349"/>
      <c r="M164" s="349"/>
      <c r="N164" s="349"/>
      <c r="O164" s="352"/>
      <c r="P164" s="352"/>
      <c r="Q164" s="352"/>
      <c r="R164" s="352"/>
      <c r="S164" s="352"/>
      <c r="T164" s="352"/>
      <c r="U164" s="352"/>
      <c r="V164" s="352"/>
      <c r="W164" s="352">
        <f t="array" ref="W164">(PRODUCT(Index_Returns!AC153:AC164/100+1)-1)*100</f>
        <v>30.666690710819978</v>
      </c>
      <c r="X164" s="352">
        <f t="array" ref="X164">(PRODUCT(Index_Returns!AB153:AB164/100+1)-1)*100</f>
        <v>26.563160625890102</v>
      </c>
      <c r="Y164" s="352">
        <f t="shared" si="8"/>
        <v>4.1035300849298757</v>
      </c>
      <c r="Z164" s="352">
        <f t="array" ref="Z164">(GEOMEAN(Index_Returns!AC129:AC164/100+1)^12-1)*100</f>
        <v>42.529448736547558</v>
      </c>
      <c r="AA164" s="352">
        <f t="array" ref="AA164">(GEOMEAN(Index_Returns!AB129:AB164/100+1)^12-1)*100</f>
        <v>37.825661615460703</v>
      </c>
      <c r="AB164" s="352">
        <f t="shared" si="5"/>
        <v>4.7037871210868545</v>
      </c>
    </row>
    <row r="165" spans="1:28" x14ac:dyDescent="0.2">
      <c r="A165" s="19">
        <v>32539</v>
      </c>
      <c r="B165" s="352">
        <f t="array" ref="B165">(PRODUCT(Index_Returns!D154:D165/100+1)-1)*100</f>
        <v>22.462203479067909</v>
      </c>
      <c r="C165" s="352">
        <f t="array" ref="C165">(PRODUCT(Index_Returns!C154:C165/100+1)-1)*100</f>
        <v>17.59583767609336</v>
      </c>
      <c r="D165" s="352">
        <f t="shared" si="6"/>
        <v>4.8663658029745491</v>
      </c>
      <c r="E165" s="352">
        <f t="array" ref="E165">(GEOMEAN(Index_Returns!D130:D165/100+1)^12-1)*100</f>
        <v>17.584071862184381</v>
      </c>
      <c r="F165" s="352">
        <f t="array" ref="F165">(GEOMEAN(Index_Returns!C130:C165/100+1)^12-1)*100</f>
        <v>13.685881512465613</v>
      </c>
      <c r="G165" s="352">
        <f t="shared" si="7"/>
        <v>3.8981903497187673</v>
      </c>
      <c r="H165" s="351"/>
      <c r="I165" s="349"/>
      <c r="J165" s="349"/>
      <c r="K165" s="349"/>
      <c r="L165" s="349"/>
      <c r="M165" s="349"/>
      <c r="N165" s="349"/>
      <c r="O165" s="352"/>
      <c r="P165" s="352"/>
      <c r="Q165" s="352"/>
      <c r="R165" s="352"/>
      <c r="S165" s="352"/>
      <c r="T165" s="352"/>
      <c r="U165" s="352"/>
      <c r="V165" s="352"/>
      <c r="W165" s="352">
        <f t="array" ref="W165">(PRODUCT(Index_Returns!AC154:AC165/100+1)-1)*100</f>
        <v>32.977709831692479</v>
      </c>
      <c r="X165" s="352">
        <f t="array" ref="X165">(PRODUCT(Index_Returns!AB154:AB165/100+1)-1)*100</f>
        <v>24.080905906150683</v>
      </c>
      <c r="Y165" s="352">
        <f t="shared" si="8"/>
        <v>8.8968039255417963</v>
      </c>
      <c r="Z165" s="352">
        <f t="array" ref="Z165">(GEOMEAN(Index_Returns!AC130:AC165/100+1)^12-1)*100</f>
        <v>42.549229990920637</v>
      </c>
      <c r="AA165" s="352">
        <f t="array" ref="AA165">(GEOMEAN(Index_Returns!AB130:AB165/100+1)^12-1)*100</f>
        <v>37.24218957748073</v>
      </c>
      <c r="AB165" s="352">
        <f t="shared" si="5"/>
        <v>5.307040413439907</v>
      </c>
    </row>
    <row r="166" spans="1:28" x14ac:dyDescent="0.2">
      <c r="A166" s="19">
        <v>32567</v>
      </c>
      <c r="B166" s="352">
        <f t="array" ref="B166">(PRODUCT(Index_Returns!D155:D166/100+1)-1)*100</f>
        <v>14.569726414151862</v>
      </c>
      <c r="C166" s="352">
        <f t="array" ref="C166">(PRODUCT(Index_Returns!C155:C166/100+1)-1)*100</f>
        <v>9.2976342600129556</v>
      </c>
      <c r="D166" s="352">
        <f t="shared" si="6"/>
        <v>5.2720921541389067</v>
      </c>
      <c r="E166" s="352">
        <f t="array" ref="E166">(GEOMEAN(Index_Returns!D131:D166/100+1)^12-1)*100</f>
        <v>13.922663494795962</v>
      </c>
      <c r="F166" s="352">
        <f t="array" ref="F166">(GEOMEAN(Index_Returns!C131:C166/100+1)^12-1)*100</f>
        <v>9.9574201816383656</v>
      </c>
      <c r="G166" s="352">
        <f t="shared" si="7"/>
        <v>3.9652433131575968</v>
      </c>
      <c r="H166" s="351"/>
      <c r="I166" s="349"/>
      <c r="J166" s="349"/>
      <c r="K166" s="349"/>
      <c r="L166" s="349"/>
      <c r="M166" s="349"/>
      <c r="N166" s="349"/>
      <c r="O166" s="352"/>
      <c r="P166" s="352"/>
      <c r="Q166" s="352"/>
      <c r="R166" s="352"/>
      <c r="S166" s="352"/>
      <c r="T166" s="352"/>
      <c r="U166" s="352"/>
      <c r="V166" s="352"/>
      <c r="W166" s="352">
        <f t="array" ref="W166">(PRODUCT(Index_Returns!AC155:AC166/100+1)-1)*100</f>
        <v>26.472717399277723</v>
      </c>
      <c r="X166" s="352">
        <f t="array" ref="X166">(PRODUCT(Index_Returns!AB155:AB166/100+1)-1)*100</f>
        <v>15.669615449697361</v>
      </c>
      <c r="Y166" s="352">
        <f t="shared" si="8"/>
        <v>10.803101949580363</v>
      </c>
      <c r="Z166" s="352">
        <f t="array" ref="Z166">(GEOMEAN(Index_Returns!AC131:AC166/100+1)^12-1)*100</f>
        <v>38.218302929362679</v>
      </c>
      <c r="AA166" s="352">
        <f t="array" ref="AA166">(GEOMEAN(Index_Returns!AB131:AB166/100+1)^12-1)*100</f>
        <v>32.227039411117445</v>
      </c>
      <c r="AB166" s="352">
        <f t="shared" si="5"/>
        <v>5.9912635182452334</v>
      </c>
    </row>
    <row r="167" spans="1:28" x14ac:dyDescent="0.2">
      <c r="A167" s="19">
        <v>32598</v>
      </c>
      <c r="B167" s="352">
        <f t="array" ref="B167">(PRODUCT(Index_Returns!D156:D167/100+1)-1)*100</f>
        <v>20.1290910118352</v>
      </c>
      <c r="C167" s="352">
        <f t="array" ref="C167">(PRODUCT(Index_Returns!C156:C167/100+1)-1)*100</f>
        <v>16.111425805962988</v>
      </c>
      <c r="D167" s="352">
        <f t="shared" si="6"/>
        <v>4.0176652058722127</v>
      </c>
      <c r="E167" s="352">
        <f t="array" ref="E167">(GEOMEAN(Index_Returns!D132:D167/100+1)^12-1)*100</f>
        <v>13.041144460960808</v>
      </c>
      <c r="F167" s="352">
        <f t="array" ref="F167">(GEOMEAN(Index_Returns!C132:C167/100+1)^12-1)*100</f>
        <v>8.6261933417945293</v>
      </c>
      <c r="G167" s="352">
        <f t="shared" si="7"/>
        <v>4.4149511191662789</v>
      </c>
      <c r="H167" s="351"/>
      <c r="I167" s="349"/>
      <c r="J167" s="349"/>
      <c r="K167" s="349"/>
      <c r="L167" s="349"/>
      <c r="M167" s="349"/>
      <c r="N167" s="349"/>
      <c r="O167" s="352"/>
      <c r="P167" s="352"/>
      <c r="Q167" s="352"/>
      <c r="R167" s="352"/>
      <c r="S167" s="352"/>
      <c r="T167" s="352"/>
      <c r="U167" s="352"/>
      <c r="V167" s="352"/>
      <c r="W167" s="352">
        <f t="array" ref="W167">(PRODUCT(Index_Returns!AC156:AC167/100+1)-1)*100</f>
        <v>15.989867993755746</v>
      </c>
      <c r="X167" s="352">
        <f t="array" ref="X167">(PRODUCT(Index_Returns!AB156:AB167/100+1)-1)*100</f>
        <v>7.574523163283664</v>
      </c>
      <c r="Y167" s="352">
        <f t="shared" si="8"/>
        <v>8.4153448304720833</v>
      </c>
      <c r="Z167" s="352">
        <f t="array" ref="Z167">(GEOMEAN(Index_Returns!AC132:AC167/100+1)^12-1)*100</f>
        <v>31.826030790777658</v>
      </c>
      <c r="AA167" s="352">
        <f t="array" ref="AA167">(GEOMEAN(Index_Returns!AB132:AB167/100+1)^12-1)*100</f>
        <v>25.384920713828851</v>
      </c>
      <c r="AB167" s="352">
        <f t="shared" si="5"/>
        <v>6.4411100769488066</v>
      </c>
    </row>
    <row r="168" spans="1:28" x14ac:dyDescent="0.2">
      <c r="A168" s="19">
        <v>32628</v>
      </c>
      <c r="B168" s="352">
        <f t="array" ref="B168">(PRODUCT(Index_Returns!D157:D168/100+1)-1)*100</f>
        <v>24.341024573237814</v>
      </c>
      <c r="C168" s="352">
        <f t="array" ref="C168">(PRODUCT(Index_Returns!C157:C168/100+1)-1)*100</f>
        <v>21.42068249224236</v>
      </c>
      <c r="D168" s="352">
        <f t="shared" si="6"/>
        <v>2.9203420809954537</v>
      </c>
      <c r="E168" s="352">
        <f t="array" ref="E168">(GEOMEAN(Index_Returns!D133:D168/100+1)^12-1)*100</f>
        <v>15.909756183371137</v>
      </c>
      <c r="F168" s="352">
        <f t="array" ref="F168">(GEOMEAN(Index_Returns!C133:C168/100+1)^12-1)*100</f>
        <v>10.476784323878574</v>
      </c>
      <c r="G168" s="352">
        <f t="shared" si="7"/>
        <v>5.4329718594925627</v>
      </c>
      <c r="H168" s="351"/>
      <c r="I168" s="349"/>
      <c r="J168" s="349"/>
      <c r="K168" s="349"/>
      <c r="L168" s="349"/>
      <c r="M168" s="349"/>
      <c r="N168" s="349"/>
      <c r="O168" s="352"/>
      <c r="P168" s="352"/>
      <c r="Q168" s="352"/>
      <c r="R168" s="352"/>
      <c r="S168" s="352"/>
      <c r="T168" s="352"/>
      <c r="U168" s="352"/>
      <c r="V168" s="352"/>
      <c r="W168" s="352">
        <f t="array" ref="W168">(PRODUCT(Index_Returns!AC157:AC168/100+1)-1)*100</f>
        <v>14.732199004367729</v>
      </c>
      <c r="X168" s="352">
        <f t="array" ref="X168">(PRODUCT(Index_Returns!AB157:AB168/100+1)-1)*100</f>
        <v>7.8483197367607671</v>
      </c>
      <c r="Y168" s="352">
        <f t="shared" si="8"/>
        <v>6.8838792676069618</v>
      </c>
      <c r="Z168" s="352">
        <f t="array" ref="Z168">(GEOMEAN(Index_Returns!AC133:AC168/100+1)^12-1)*100</f>
        <v>28.95905263572822</v>
      </c>
      <c r="AA168" s="352">
        <f t="array" ref="AA168">(GEOMEAN(Index_Returns!AB133:AB168/100+1)^12-1)*100</f>
        <v>23.645998818358805</v>
      </c>
      <c r="AB168" s="352">
        <f t="shared" si="5"/>
        <v>5.3130538173694148</v>
      </c>
    </row>
    <row r="169" spans="1:28" x14ac:dyDescent="0.2">
      <c r="A169" s="19">
        <v>32659</v>
      </c>
      <c r="B169" s="352">
        <f t="array" ref="B169">(PRODUCT(Index_Returns!D158:D169/100+1)-1)*100</f>
        <v>27.48547802485777</v>
      </c>
      <c r="C169" s="352">
        <f t="array" ref="C169">(PRODUCT(Index_Returns!C158:C169/100+1)-1)*100</f>
        <v>26.250383279190494</v>
      </c>
      <c r="D169" s="352">
        <f t="shared" si="6"/>
        <v>1.2350947456672756</v>
      </c>
      <c r="E169" s="352">
        <f t="array" ref="E169">(GEOMEAN(Index_Returns!D134:D169/100+1)^12-1)*100</f>
        <v>15.2546144927028</v>
      </c>
      <c r="F169" s="352">
        <f t="array" ref="F169">(GEOMEAN(Index_Returns!C134:C169/100+1)^12-1)*100</f>
        <v>10.101522283958197</v>
      </c>
      <c r="G169" s="352">
        <f t="shared" si="7"/>
        <v>5.1530922087446029</v>
      </c>
      <c r="H169" s="351"/>
      <c r="I169" s="349"/>
      <c r="J169" s="349"/>
      <c r="K169" s="349"/>
      <c r="L169" s="349"/>
      <c r="M169" s="349"/>
      <c r="N169" s="349"/>
      <c r="O169" s="352"/>
      <c r="P169" s="352"/>
      <c r="Q169" s="352"/>
      <c r="R169" s="352"/>
      <c r="S169" s="352"/>
      <c r="T169" s="352"/>
      <c r="U169" s="352"/>
      <c r="V169" s="352"/>
      <c r="W169" s="352">
        <f t="array" ref="W169">(PRODUCT(Index_Returns!AC158:AC169/100+1)-1)*100</f>
        <v>12.301507786239373</v>
      </c>
      <c r="X169" s="352">
        <f t="array" ref="X169">(PRODUCT(Index_Returns!AB158:AB169/100+1)-1)*100</f>
        <v>5.171109865518364</v>
      </c>
      <c r="Y169" s="352">
        <f t="shared" si="8"/>
        <v>7.1303979207210091</v>
      </c>
      <c r="Z169" s="352">
        <f t="array" ref="Z169">(GEOMEAN(Index_Returns!AC134:AC169/100+1)^12-1)*100</f>
        <v>29.281973912825364</v>
      </c>
      <c r="AA169" s="352">
        <f t="array" ref="AA169">(GEOMEAN(Index_Returns!AB134:AB169/100+1)^12-1)*100</f>
        <v>22.445319598060507</v>
      </c>
      <c r="AB169" s="352">
        <f t="shared" si="5"/>
        <v>6.8366543147648571</v>
      </c>
    </row>
    <row r="170" spans="1:28" x14ac:dyDescent="0.2">
      <c r="A170" s="19">
        <v>32689</v>
      </c>
      <c r="B170" s="352">
        <f t="array" ref="B170">(PRODUCT(Index_Returns!D159:D170/100+1)-1)*100</f>
        <v>21.801256404226898</v>
      </c>
      <c r="C170" s="352">
        <f t="array" ref="C170">(PRODUCT(Index_Returns!C159:C170/100+1)-1)*100</f>
        <v>19.429192242840585</v>
      </c>
      <c r="D170" s="352">
        <f t="shared" si="6"/>
        <v>2.3720641613863123</v>
      </c>
      <c r="E170" s="352">
        <f t="array" ref="E170">(GEOMEAN(Index_Returns!D135:D170/100+1)^12-1)*100</f>
        <v>14.568831016205962</v>
      </c>
      <c r="F170" s="352">
        <f t="array" ref="F170">(GEOMEAN(Index_Returns!C135:C170/100+1)^12-1)*100</f>
        <v>9.1711036279348512</v>
      </c>
      <c r="G170" s="352">
        <f t="shared" si="7"/>
        <v>5.397727388271111</v>
      </c>
      <c r="H170" s="351"/>
      <c r="I170" s="349"/>
      <c r="J170" s="349"/>
      <c r="K170" s="349"/>
      <c r="L170" s="349"/>
      <c r="M170" s="349"/>
      <c r="N170" s="349"/>
      <c r="O170" s="352"/>
      <c r="P170" s="352"/>
      <c r="Q170" s="352"/>
      <c r="R170" s="352"/>
      <c r="S170" s="352"/>
      <c r="T170" s="352"/>
      <c r="U170" s="352"/>
      <c r="V170" s="352"/>
      <c r="W170" s="352">
        <f t="array" ref="W170">(PRODUCT(Index_Returns!AC159:AC170/100+1)-1)*100</f>
        <v>12.578515679420988</v>
      </c>
      <c r="X170" s="352">
        <f t="array" ref="X170">(PRODUCT(Index_Returns!AB159:AB170/100+1)-1)*100</f>
        <v>7.0862952036834903</v>
      </c>
      <c r="Y170" s="352">
        <f t="shared" si="8"/>
        <v>5.4922204757374979</v>
      </c>
      <c r="Z170" s="352">
        <f t="array" ref="Z170">(GEOMEAN(Index_Returns!AC135:AC170/100+1)^12-1)*100</f>
        <v>25.69863665753369</v>
      </c>
      <c r="AA170" s="352">
        <f t="array" ref="AA170">(GEOMEAN(Index_Returns!AB135:AB170/100+1)^12-1)*100</f>
        <v>19.160398400479405</v>
      </c>
      <c r="AB170" s="352">
        <f t="shared" si="5"/>
        <v>6.5382382570542852</v>
      </c>
    </row>
    <row r="171" spans="1:28" x14ac:dyDescent="0.2">
      <c r="A171" s="19">
        <v>32720</v>
      </c>
      <c r="B171" s="352">
        <f t="array" ref="B171">(PRODUCT(Index_Returns!D160:D171/100+1)-1)*100</f>
        <v>30.361977469081491</v>
      </c>
      <c r="C171" s="352">
        <f t="array" ref="C171">(PRODUCT(Index_Returns!C160:C171/100+1)-1)*100</f>
        <v>33.289576172793069</v>
      </c>
      <c r="D171" s="352">
        <f t="shared" si="6"/>
        <v>-2.9275987037115776</v>
      </c>
      <c r="E171" s="352">
        <f t="array" ref="E171">(GEOMEAN(Index_Returns!D136:D171/100+1)^12-1)*100</f>
        <v>19.065494869382004</v>
      </c>
      <c r="F171" s="352">
        <f t="array" ref="F171">(GEOMEAN(Index_Returns!C136:C171/100+1)^12-1)*100</f>
        <v>15.616795163804365</v>
      </c>
      <c r="G171" s="352">
        <f t="shared" si="7"/>
        <v>3.4486997055776385</v>
      </c>
      <c r="H171" s="351"/>
      <c r="I171" s="349"/>
      <c r="J171" s="349"/>
      <c r="K171" s="349"/>
      <c r="L171" s="349"/>
      <c r="M171" s="349"/>
      <c r="N171" s="349"/>
      <c r="O171" s="352"/>
      <c r="P171" s="352"/>
      <c r="Q171" s="352"/>
      <c r="R171" s="352"/>
      <c r="S171" s="352"/>
      <c r="T171" s="352"/>
      <c r="U171" s="352"/>
      <c r="V171" s="352"/>
      <c r="W171" s="352">
        <f t="array" ref="W171">(PRODUCT(Index_Returns!AC160:AC171/100+1)-1)*100</f>
        <v>20.125020341453027</v>
      </c>
      <c r="X171" s="352">
        <f t="array" ref="X171">(PRODUCT(Index_Returns!AB160:AB171/100+1)-1)*100</f>
        <v>19.861421558304816</v>
      </c>
      <c r="Y171" s="352">
        <f t="shared" si="8"/>
        <v>0.26359878314821117</v>
      </c>
      <c r="Z171" s="352">
        <f t="array" ref="Z171">(GEOMEAN(Index_Returns!AC136:AC171/100+1)^12-1)*100</f>
        <v>29.117127890663539</v>
      </c>
      <c r="AA171" s="352">
        <f t="array" ref="AA171">(GEOMEAN(Index_Returns!AB136:AB171/100+1)^12-1)*100</f>
        <v>20.49565619433098</v>
      </c>
      <c r="AB171" s="352">
        <f t="shared" si="5"/>
        <v>8.6214716963325593</v>
      </c>
    </row>
    <row r="172" spans="1:28" x14ac:dyDescent="0.2">
      <c r="A172" s="19">
        <v>32751</v>
      </c>
      <c r="B172" s="352">
        <f t="array" ref="B172">(PRODUCT(Index_Returns!D161:D172/100+1)-1)*100</f>
        <v>36.997368610181233</v>
      </c>
      <c r="C172" s="352">
        <f t="array" ref="C172">(PRODUCT(Index_Returns!C161:C172/100+1)-1)*100</f>
        <v>40.617263072557265</v>
      </c>
      <c r="D172" s="352">
        <f t="shared" si="6"/>
        <v>-3.6198944623760312</v>
      </c>
      <c r="E172" s="352">
        <f t="array" ref="E172">(GEOMEAN(Index_Returns!D137:D172/100+1)^12-1)*100</f>
        <v>16.160832839144</v>
      </c>
      <c r="F172" s="352">
        <f t="array" ref="F172">(GEOMEAN(Index_Returns!C137:C172/100+1)^12-1)*100</f>
        <v>14.361446094700959</v>
      </c>
      <c r="G172" s="352">
        <f t="shared" si="7"/>
        <v>1.7993867444430407</v>
      </c>
      <c r="H172" s="351"/>
      <c r="I172" s="349"/>
      <c r="J172" s="349"/>
      <c r="K172" s="349"/>
      <c r="L172" s="349"/>
      <c r="M172" s="349"/>
      <c r="N172" s="349"/>
      <c r="O172" s="352"/>
      <c r="P172" s="352"/>
      <c r="Q172" s="352"/>
      <c r="R172" s="352"/>
      <c r="S172" s="352"/>
      <c r="T172" s="352"/>
      <c r="U172" s="352"/>
      <c r="V172" s="352"/>
      <c r="W172" s="352">
        <f t="array" ref="W172">(PRODUCT(Index_Returns!AC161:AC172/100+1)-1)*100</f>
        <v>24.374586703230715</v>
      </c>
      <c r="X172" s="352">
        <f t="array" ref="X172">(PRODUCT(Index_Returns!AB161:AB172/100+1)-1)*100</f>
        <v>20.424499354921679</v>
      </c>
      <c r="Y172" s="352">
        <f t="shared" si="8"/>
        <v>3.9500873483090366</v>
      </c>
      <c r="Z172" s="352">
        <f t="array" ref="Z172">(GEOMEAN(Index_Returns!AC137:AC172/100+1)^12-1)*100</f>
        <v>22.95504113155793</v>
      </c>
      <c r="AA172" s="352">
        <f t="array" ref="AA172">(GEOMEAN(Index_Returns!AB137:AB172/100+1)^12-1)*100</f>
        <v>15.370860594328462</v>
      </c>
      <c r="AB172" s="352">
        <f t="shared" si="5"/>
        <v>7.5841805372294679</v>
      </c>
    </row>
    <row r="173" spans="1:28" x14ac:dyDescent="0.2">
      <c r="A173" s="19">
        <v>32781</v>
      </c>
      <c r="B173" s="352">
        <f t="array" ref="B173">(PRODUCT(Index_Returns!D162:D173/100+1)-1)*100</f>
        <v>30.481849201937351</v>
      </c>
      <c r="C173" s="352">
        <f t="array" ref="C173">(PRODUCT(Index_Returns!C162:C173/100+1)-1)*100</f>
        <v>34.846892172499324</v>
      </c>
      <c r="D173" s="352">
        <f t="shared" si="6"/>
        <v>-4.3650429705619729</v>
      </c>
      <c r="E173" s="352">
        <f t="array" ref="E173">(GEOMEAN(Index_Returns!D138:D173/100+1)^12-1)*100</f>
        <v>18.291469281348238</v>
      </c>
      <c r="F173" s="352">
        <f t="array" ref="F173">(GEOMEAN(Index_Returns!C138:C173/100+1)^12-1)*100</f>
        <v>18.644666775001472</v>
      </c>
      <c r="G173" s="352">
        <f t="shared" si="7"/>
        <v>-0.35319749365323361</v>
      </c>
      <c r="H173" s="351"/>
      <c r="I173" s="349"/>
      <c r="J173" s="349"/>
      <c r="K173" s="349"/>
      <c r="L173" s="349"/>
      <c r="M173" s="349"/>
      <c r="N173" s="349"/>
      <c r="O173" s="352"/>
      <c r="P173" s="352"/>
      <c r="Q173" s="352"/>
      <c r="R173" s="352"/>
      <c r="S173" s="352"/>
      <c r="T173" s="352"/>
      <c r="U173" s="352"/>
      <c r="V173" s="352"/>
      <c r="W173" s="352">
        <f t="array" ref="W173">(PRODUCT(Index_Returns!AC162:AC173/100+1)-1)*100</f>
        <v>25.968362180622574</v>
      </c>
      <c r="X173" s="352">
        <f t="array" ref="X173">(PRODUCT(Index_Returns!AB162:AB173/100+1)-1)*100</f>
        <v>19.323500762184409</v>
      </c>
      <c r="Y173" s="352">
        <f t="shared" si="8"/>
        <v>6.6448614184381647</v>
      </c>
      <c r="Z173" s="352">
        <f t="array" ref="Z173">(GEOMEAN(Index_Returns!AC138:AC173/100+1)^12-1)*100</f>
        <v>25.341433353777255</v>
      </c>
      <c r="AA173" s="352">
        <f t="array" ref="AA173">(GEOMEAN(Index_Returns!AB138:AB173/100+1)^12-1)*100</f>
        <v>17.386455595155525</v>
      </c>
      <c r="AB173" s="352">
        <f t="shared" si="5"/>
        <v>7.9549777586217303</v>
      </c>
    </row>
    <row r="174" spans="1:28" x14ac:dyDescent="0.2">
      <c r="A174" s="19">
        <v>32812</v>
      </c>
      <c r="B174" s="352">
        <f t="array" ref="B174">(PRODUCT(Index_Returns!D163:D174/100+1)-1)*100</f>
        <v>22.399462459010056</v>
      </c>
      <c r="C174" s="352">
        <f t="array" ref="C174">(PRODUCT(Index_Returns!C163:C174/100+1)-1)*100</f>
        <v>29.773976180841366</v>
      </c>
      <c r="D174" s="352">
        <f t="shared" si="6"/>
        <v>-7.3745137218313097</v>
      </c>
      <c r="E174" s="352">
        <f t="array" ref="E174">(GEOMEAN(Index_Returns!D139:D174/100+1)^12-1)*100</f>
        <v>15.193257506534064</v>
      </c>
      <c r="F174" s="352">
        <f t="array" ref="F174">(GEOMEAN(Index_Returns!C139:C174/100+1)^12-1)*100</f>
        <v>15.657714816705393</v>
      </c>
      <c r="G174" s="352">
        <f t="shared" si="7"/>
        <v>-0.46445731017132985</v>
      </c>
      <c r="H174" s="351"/>
      <c r="I174" s="349"/>
      <c r="J174" s="349"/>
      <c r="K174" s="349"/>
      <c r="L174" s="349"/>
      <c r="M174" s="349"/>
      <c r="N174" s="349"/>
      <c r="O174" s="352"/>
      <c r="P174" s="352"/>
      <c r="Q174" s="352"/>
      <c r="R174" s="352"/>
      <c r="S174" s="352"/>
      <c r="T174" s="352"/>
      <c r="U174" s="352"/>
      <c r="V174" s="352"/>
      <c r="W174" s="352">
        <f t="array" ref="W174">(PRODUCT(Index_Returns!AC163:AC174/100+1)-1)*100</f>
        <v>12.622521343444726</v>
      </c>
      <c r="X174" s="352">
        <f t="array" ref="X174">(PRODUCT(Index_Returns!AB163:AB174/100+1)-1)*100</f>
        <v>4.2927083609011429</v>
      </c>
      <c r="Y174" s="352">
        <f t="shared" si="8"/>
        <v>8.3298129825435829</v>
      </c>
      <c r="Z174" s="352">
        <f t="array" ref="Z174">(GEOMEAN(Index_Returns!AC139:AC174/100+1)^12-1)*100</f>
        <v>26.05987826971883</v>
      </c>
      <c r="AA174" s="352">
        <f t="array" ref="AA174">(GEOMEAN(Index_Returns!AB139:AB174/100+1)^12-1)*100</f>
        <v>18.934272353526694</v>
      </c>
      <c r="AB174" s="352">
        <f t="shared" si="5"/>
        <v>7.1256059161921357</v>
      </c>
    </row>
    <row r="175" spans="1:28" x14ac:dyDescent="0.2">
      <c r="A175" s="19">
        <v>32842</v>
      </c>
      <c r="B175" s="352">
        <f t="array" ref="B175">(PRODUCT(Index_Returns!D164:D175/100+1)-1)*100</f>
        <v>24.673213200298051</v>
      </c>
      <c r="C175" s="352">
        <f t="array" ref="C175">(PRODUCT(Index_Returns!C164:C175/100+1)-1)*100</f>
        <v>36.345868182533202</v>
      </c>
      <c r="D175" s="352">
        <f t="shared" si="6"/>
        <v>-11.672654982235152</v>
      </c>
      <c r="E175" s="352">
        <f t="array" ref="E175">(GEOMEAN(Index_Returns!D140:D175/100+1)^12-1)*100</f>
        <v>14.683996844445568</v>
      </c>
      <c r="F175" s="352">
        <f t="array" ref="F175">(GEOMEAN(Index_Returns!C140:C175/100+1)^12-1)*100</f>
        <v>15.758871428736509</v>
      </c>
      <c r="G175" s="352">
        <f t="shared" si="7"/>
        <v>-1.0748745842909404</v>
      </c>
      <c r="H175" s="351"/>
      <c r="I175" s="349"/>
      <c r="J175" s="349"/>
      <c r="K175" s="349"/>
      <c r="L175" s="349"/>
      <c r="M175" s="349"/>
      <c r="N175" s="349"/>
      <c r="O175" s="352"/>
      <c r="P175" s="352"/>
      <c r="Q175" s="352"/>
      <c r="R175" s="352"/>
      <c r="S175" s="352"/>
      <c r="T175" s="352"/>
      <c r="U175" s="352"/>
      <c r="V175" s="352"/>
      <c r="W175" s="352">
        <f t="array" ref="W175">(PRODUCT(Index_Returns!AC164:AC175/100+1)-1)*100</f>
        <v>11.440510776070001</v>
      </c>
      <c r="X175" s="352">
        <f t="array" ref="X175">(PRODUCT(Index_Returns!AB164:AB175/100+1)-1)*100</f>
        <v>3.6811152272633318</v>
      </c>
      <c r="Y175" s="352">
        <f t="shared" si="8"/>
        <v>7.759395548806669</v>
      </c>
      <c r="Z175" s="352">
        <f t="array" ref="Z175">(GEOMEAN(Index_Returns!AC140:AC175/100+1)^12-1)*100</f>
        <v>25.75406838175067</v>
      </c>
      <c r="AA175" s="352">
        <f t="array" ref="AA175">(GEOMEAN(Index_Returns!AB140:AB175/100+1)^12-1)*100</f>
        <v>18.699285982404401</v>
      </c>
      <c r="AB175" s="352">
        <f t="shared" si="5"/>
        <v>7.0547823993462693</v>
      </c>
    </row>
    <row r="176" spans="1:28" x14ac:dyDescent="0.2">
      <c r="A176" s="19">
        <v>32873</v>
      </c>
      <c r="B176" s="352">
        <f t="array" ref="B176">(PRODUCT(Index_Returns!D165:D176/100+1)-1)*100</f>
        <v>26.127775110287743</v>
      </c>
      <c r="C176" s="352">
        <f t="array" ref="C176">(PRODUCT(Index_Returns!C165:C176/100+1)-1)*100</f>
        <v>36.398621238505882</v>
      </c>
      <c r="D176" s="352">
        <f t="shared" si="6"/>
        <v>-10.270846128218139</v>
      </c>
      <c r="E176" s="352">
        <f t="array" ref="E176">(GEOMEAN(Index_Returns!D141:D176/100+1)^12-1)*100</f>
        <v>16.743421976256336</v>
      </c>
      <c r="F176" s="352">
        <f t="array" ref="F176">(GEOMEAN(Index_Returns!C141:C176/100+1)^12-1)*100</f>
        <v>17.594375668201479</v>
      </c>
      <c r="G176" s="352">
        <f t="shared" si="7"/>
        <v>-0.85095369194514348</v>
      </c>
      <c r="H176" s="351"/>
      <c r="I176" s="349"/>
      <c r="J176" s="349"/>
      <c r="K176" s="349"/>
      <c r="L176" s="349"/>
      <c r="M176" s="349"/>
      <c r="N176" s="349"/>
      <c r="O176" s="352"/>
      <c r="P176" s="352"/>
      <c r="Q176" s="352"/>
      <c r="R176" s="352"/>
      <c r="S176" s="352"/>
      <c r="T176" s="352"/>
      <c r="U176" s="352"/>
      <c r="V176" s="352"/>
      <c r="W176" s="352">
        <f t="array" ref="W176">(PRODUCT(Index_Returns!AC165:AC176/100+1)-1)*100</f>
        <v>15.195967642435114</v>
      </c>
      <c r="X176" s="352">
        <f t="array" ref="X176">(PRODUCT(Index_Returns!AB165:AB176/100+1)-1)*100</f>
        <v>6.4513820836793245</v>
      </c>
      <c r="Y176" s="352">
        <f t="shared" si="8"/>
        <v>8.7445855587557908</v>
      </c>
      <c r="Z176" s="352">
        <f t="array" ref="Z176">(GEOMEAN(Index_Returns!AC141:AC176/100+1)^12-1)*100</f>
        <v>25.473297680286034</v>
      </c>
      <c r="AA176" s="352">
        <f t="array" ref="AA176">(GEOMEAN(Index_Returns!AB141:AB176/100+1)^12-1)*100</f>
        <v>17.757831222946272</v>
      </c>
      <c r="AB176" s="352">
        <f t="shared" si="5"/>
        <v>7.7154664573397618</v>
      </c>
    </row>
    <row r="177" spans="1:28" x14ac:dyDescent="0.2">
      <c r="A177" s="19">
        <v>32904</v>
      </c>
      <c r="B177" s="352">
        <f t="array" ref="B177">(PRODUCT(Index_Returns!D166:D177/100+1)-1)*100</f>
        <v>10.615927244306222</v>
      </c>
      <c r="C177" s="352">
        <f t="array" ref="C177">(PRODUCT(Index_Returns!C166:C177/100+1)-1)*100</f>
        <v>17.7553956045601</v>
      </c>
      <c r="D177" s="352">
        <f t="shared" si="6"/>
        <v>-7.1394683602538773</v>
      </c>
      <c r="E177" s="352">
        <f t="array" ref="E177">(GEOMEAN(Index_Returns!D142:D177/100+1)^12-1)*100</f>
        <v>9.7678484798886078</v>
      </c>
      <c r="F177" s="352">
        <f t="array" ref="F177">(GEOMEAN(Index_Returns!C142:C177/100+1)^12-1)*100</f>
        <v>9.8151405153507518</v>
      </c>
      <c r="G177" s="352">
        <f t="shared" si="7"/>
        <v>-4.7292035462144E-2</v>
      </c>
      <c r="H177" s="351"/>
      <c r="I177" s="349"/>
      <c r="J177" s="349"/>
      <c r="K177" s="349"/>
      <c r="L177" s="349"/>
      <c r="M177" s="349"/>
      <c r="N177" s="349"/>
      <c r="O177" s="352"/>
      <c r="P177" s="352"/>
      <c r="Q177" s="352"/>
      <c r="R177" s="352"/>
      <c r="S177" s="352"/>
      <c r="T177" s="352"/>
      <c r="U177" s="352"/>
      <c r="V177" s="352"/>
      <c r="W177" s="352">
        <f t="array" ref="W177">(PRODUCT(Index_Returns!AC166:AC177/100+1)-1)*100</f>
        <v>9.081744661183432</v>
      </c>
      <c r="X177" s="352">
        <f t="array" ref="X177">(PRODUCT(Index_Returns!AB166:AB177/100+1)-1)*100</f>
        <v>0.7323830860326952</v>
      </c>
      <c r="Y177" s="352">
        <f t="shared" si="8"/>
        <v>8.3493615751507377</v>
      </c>
      <c r="Z177" s="352">
        <f t="array" ref="Z177">(GEOMEAN(Index_Returns!AC142:AC177/100+1)^12-1)*100</f>
        <v>21.918971456100557</v>
      </c>
      <c r="AA177" s="352">
        <f t="array" ref="AA177">(GEOMEAN(Index_Returns!AB142:AB177/100+1)^12-1)*100</f>
        <v>10.554254946515806</v>
      </c>
      <c r="AB177" s="352">
        <f t="shared" si="5"/>
        <v>11.364716509584751</v>
      </c>
    </row>
    <row r="178" spans="1:28" x14ac:dyDescent="0.2">
      <c r="A178" s="19">
        <v>32932</v>
      </c>
      <c r="B178" s="352">
        <f t="array" ref="B178">(PRODUCT(Index_Returns!D167:D178/100+1)-1)*100</f>
        <v>15.353056589703185</v>
      </c>
      <c r="C178" s="352">
        <f t="array" ref="C178">(PRODUCT(Index_Returns!C167:C178/100+1)-1)*100</f>
        <v>21.687181264465227</v>
      </c>
      <c r="D178" s="352">
        <f t="shared" si="6"/>
        <v>-6.3341246747620428</v>
      </c>
      <c r="E178" s="352">
        <f t="array" ref="E178">(GEOMEAN(Index_Returns!D143:D178/100+1)^12-1)*100</f>
        <v>9.9983252663643931</v>
      </c>
      <c r="F178" s="352">
        <f t="array" ref="F178">(GEOMEAN(Index_Returns!C143:C178/100+1)^12-1)*100</f>
        <v>7.6504734937863805</v>
      </c>
      <c r="G178" s="352">
        <f t="shared" si="7"/>
        <v>2.3478517725780126</v>
      </c>
      <c r="H178" s="351"/>
      <c r="I178" s="349"/>
      <c r="J178" s="349"/>
      <c r="K178" s="349"/>
      <c r="L178" s="349"/>
      <c r="M178" s="349"/>
      <c r="N178" s="349"/>
      <c r="O178" s="352"/>
      <c r="P178" s="352"/>
      <c r="Q178" s="352"/>
      <c r="R178" s="352"/>
      <c r="S178" s="352"/>
      <c r="T178" s="352"/>
      <c r="U178" s="352"/>
      <c r="V178" s="352"/>
      <c r="W178" s="352">
        <f t="array" ref="W178">(PRODUCT(Index_Returns!AC167:AC178/100+1)-1)*100</f>
        <v>1.0179614374208334</v>
      </c>
      <c r="X178" s="352">
        <f t="array" ref="X178">(PRODUCT(Index_Returns!AB167:AB178/100+1)-1)*100</f>
        <v>-6.827438169008504</v>
      </c>
      <c r="Y178" s="352">
        <f t="shared" si="8"/>
        <v>7.8453996064293374</v>
      </c>
      <c r="Z178" s="352">
        <f t="array" ref="Z178">(GEOMEAN(Index_Returns!AC143:AC178/100+1)^12-1)*100</f>
        <v>18.044792982727632</v>
      </c>
      <c r="AA178" s="352">
        <f t="array" ref="AA178">(GEOMEAN(Index_Returns!AB143:AB178/100+1)^12-1)*100</f>
        <v>6.6349125780995388</v>
      </c>
      <c r="AB178" s="352">
        <f t="shared" si="5"/>
        <v>11.409880404628094</v>
      </c>
    </row>
    <row r="179" spans="1:28" x14ac:dyDescent="0.2">
      <c r="A179" s="19">
        <v>32963</v>
      </c>
      <c r="B179" s="352">
        <f t="array" ref="B179">(PRODUCT(Index_Returns!D168:D179/100+1)-1)*100</f>
        <v>13.723458654638199</v>
      </c>
      <c r="C179" s="352">
        <f t="array" ref="C179">(PRODUCT(Index_Returns!C168:C179/100+1)-1)*100</f>
        <v>23.96392170798871</v>
      </c>
      <c r="D179" s="352">
        <f t="shared" si="6"/>
        <v>-10.240463053350512</v>
      </c>
      <c r="E179" s="352">
        <f t="array" ref="E179">(GEOMEAN(Index_Returns!D144:D179/100+1)^12-1)*100</f>
        <v>9.2548049427694004</v>
      </c>
      <c r="F179" s="352">
        <f t="array" ref="F179">(GEOMEAN(Index_Returns!C144:C179/100+1)^12-1)*100</f>
        <v>8.2684758769693278</v>
      </c>
      <c r="G179" s="352">
        <f t="shared" si="7"/>
        <v>0.98632906580007251</v>
      </c>
      <c r="H179" s="351"/>
      <c r="I179" s="349"/>
      <c r="J179" s="349"/>
      <c r="K179" s="349"/>
      <c r="L179" s="349"/>
      <c r="M179" s="349"/>
      <c r="N179" s="349"/>
      <c r="O179" s="352"/>
      <c r="P179" s="352"/>
      <c r="Q179" s="352"/>
      <c r="R179" s="352"/>
      <c r="S179" s="352"/>
      <c r="T179" s="352"/>
      <c r="U179" s="352"/>
      <c r="V179" s="352"/>
      <c r="W179" s="352">
        <f t="array" ref="W179">(PRODUCT(Index_Returns!AC168:AC179/100+1)-1)*100</f>
        <v>-6.4193498201979615</v>
      </c>
      <c r="X179" s="352">
        <f t="array" ref="X179">(PRODUCT(Index_Returns!AB168:AB179/100+1)-1)*100</f>
        <v>-15.80114517424801</v>
      </c>
      <c r="Y179" s="352">
        <f t="shared" si="8"/>
        <v>9.3817953540500483</v>
      </c>
      <c r="Z179" s="352">
        <f t="array" ref="Z179">(GEOMEAN(Index_Returns!AC144:AC179/100+1)^12-1)*100</f>
        <v>12.32193538327795</v>
      </c>
      <c r="AA179" s="352">
        <f t="array" ref="AA179">(GEOMEAN(Index_Returns!AB144:AB179/100+1)^12-1)*100</f>
        <v>-1.0776333015560469</v>
      </c>
      <c r="AB179" s="352">
        <f t="shared" si="5"/>
        <v>13.399568684833996</v>
      </c>
    </row>
    <row r="180" spans="1:28" x14ac:dyDescent="0.2">
      <c r="A180" s="19">
        <v>32993</v>
      </c>
      <c r="B180" s="352">
        <f t="array" ref="B180">(PRODUCT(Index_Returns!D169:D180/100+1)-1)*100</f>
        <v>4.825249103416529</v>
      </c>
      <c r="C180" s="352">
        <f t="array" ref="C180">(PRODUCT(Index_Returns!C169:C180/100+1)-1)*100</f>
        <v>15.685768874840655</v>
      </c>
      <c r="D180" s="352">
        <f t="shared" si="6"/>
        <v>-10.860519771424126</v>
      </c>
      <c r="E180" s="352">
        <f t="array" ref="E180">(GEOMEAN(Index_Returns!D145:D180/100+1)^12-1)*100</f>
        <v>8.2264111764175816</v>
      </c>
      <c r="F180" s="352">
        <f t="array" ref="F180">(GEOMEAN(Index_Returns!C145:C180/100+1)^12-1)*100</f>
        <v>8.1110843350151498</v>
      </c>
      <c r="G180" s="352">
        <f t="shared" si="7"/>
        <v>0.11532684140243177</v>
      </c>
      <c r="H180" s="351"/>
      <c r="I180" s="349"/>
      <c r="J180" s="349"/>
      <c r="K180" s="349"/>
      <c r="L180" s="349"/>
      <c r="M180" s="349"/>
      <c r="N180" s="349"/>
      <c r="O180" s="352"/>
      <c r="P180" s="352"/>
      <c r="Q180" s="352"/>
      <c r="R180" s="352"/>
      <c r="S180" s="352"/>
      <c r="T180" s="352"/>
      <c r="U180" s="352"/>
      <c r="V180" s="352"/>
      <c r="W180" s="352">
        <f t="array" ref="W180">(PRODUCT(Index_Returns!AC169:AC180/100+1)-1)*100</f>
        <v>-8.422841162058992</v>
      </c>
      <c r="X180" s="352">
        <f t="array" ref="X180">(PRODUCT(Index_Returns!AB169:AB180/100+1)-1)*100</f>
        <v>-16.984701989779737</v>
      </c>
      <c r="Y180" s="352">
        <f t="shared" si="8"/>
        <v>8.5618608277207446</v>
      </c>
      <c r="Z180" s="352">
        <f t="array" ref="Z180">(GEOMEAN(Index_Returns!AC145:AC180/100+1)^12-1)*100</f>
        <v>9.0233607124432282</v>
      </c>
      <c r="AA180" s="352">
        <f t="array" ref="AA180">(GEOMEAN(Index_Returns!AB145:AB180/100+1)^12-1)*100</f>
        <v>-5.184773132638143</v>
      </c>
      <c r="AB180" s="352">
        <f t="shared" si="5"/>
        <v>14.20813384508137</v>
      </c>
    </row>
    <row r="181" spans="1:28" x14ac:dyDescent="0.2">
      <c r="A181" s="19">
        <v>33024</v>
      </c>
      <c r="B181" s="352">
        <f t="array" ref="B181">(PRODUCT(Index_Returns!D170:D181/100+1)-1)*100</f>
        <v>9.0368425975994491</v>
      </c>
      <c r="C181" s="352">
        <f t="array" ref="C181">(PRODUCT(Index_Returns!C170:C181/100+1)-1)*100</f>
        <v>23.483951968394589</v>
      </c>
      <c r="D181" s="352">
        <f t="shared" si="6"/>
        <v>-14.44710937079514</v>
      </c>
      <c r="E181" s="352">
        <f t="array" ref="E181">(GEOMEAN(Index_Returns!D146:D181/100+1)^12-1)*100</f>
        <v>10.693935253537635</v>
      </c>
      <c r="F181" s="352">
        <f t="array" ref="F181">(GEOMEAN(Index_Returns!C146:C181/100+1)^12-1)*100</f>
        <v>11.622920011227267</v>
      </c>
      <c r="G181" s="352">
        <f t="shared" si="7"/>
        <v>-0.92898475768963173</v>
      </c>
      <c r="H181" s="351"/>
      <c r="I181" s="349"/>
      <c r="J181" s="349"/>
      <c r="K181" s="349"/>
      <c r="L181" s="349"/>
      <c r="M181" s="349"/>
      <c r="N181" s="349"/>
      <c r="O181" s="352"/>
      <c r="P181" s="352"/>
      <c r="Q181" s="352"/>
      <c r="R181" s="352"/>
      <c r="S181" s="352"/>
      <c r="T181" s="352"/>
      <c r="U181" s="352"/>
      <c r="V181" s="352"/>
      <c r="W181" s="352">
        <f t="array" ref="W181">(PRODUCT(Index_Returns!AC170:AC181/100+1)-1)*100</f>
        <v>5.8392099495740091</v>
      </c>
      <c r="X181" s="352">
        <f t="array" ref="X181">(PRODUCT(Index_Returns!AB170:AB181/100+1)-1)*100</f>
        <v>-0.15808095389214794</v>
      </c>
      <c r="Y181" s="352">
        <f t="shared" si="8"/>
        <v>5.9972909034661566</v>
      </c>
      <c r="Z181" s="352">
        <f t="array" ref="Z181">(GEOMEAN(Index_Returns!AC146:AC181/100+1)^12-1)*100</f>
        <v>11.433490825768565</v>
      </c>
      <c r="AA181" s="352">
        <f t="array" ref="AA181">(GEOMEAN(Index_Returns!AB146:AB181/100+1)^12-1)*100</f>
        <v>-0.31780125423399586</v>
      </c>
      <c r="AB181" s="352">
        <f t="shared" si="5"/>
        <v>11.75129208000256</v>
      </c>
    </row>
    <row r="182" spans="1:28" x14ac:dyDescent="0.2">
      <c r="A182" s="19">
        <v>33054</v>
      </c>
      <c r="B182" s="352">
        <f t="array" ref="B182">(PRODUCT(Index_Returns!D171:D182/100+1)-1)*100</f>
        <v>7.3625514577527307</v>
      </c>
      <c r="C182" s="352">
        <f t="array" ref="C182">(PRODUCT(Index_Returns!C171:C182/100+1)-1)*100</f>
        <v>24.802507313277268</v>
      </c>
      <c r="D182" s="352">
        <f t="shared" si="6"/>
        <v>-17.439955855524538</v>
      </c>
      <c r="E182" s="352">
        <f t="array" ref="E182">(GEOMEAN(Index_Returns!D147:D182/100+1)^12-1)*100</f>
        <v>8.2452443535201425</v>
      </c>
      <c r="F182" s="352">
        <f t="array" ref="F182">(GEOMEAN(Index_Returns!C147:C182/100+1)^12-1)*100</f>
        <v>9.9220434897087308</v>
      </c>
      <c r="G182" s="352">
        <f t="shared" si="7"/>
        <v>-1.6767991361885883</v>
      </c>
      <c r="H182" s="351"/>
      <c r="I182" s="349"/>
      <c r="J182" s="349"/>
      <c r="K182" s="349"/>
      <c r="L182" s="349"/>
      <c r="M182" s="349"/>
      <c r="N182" s="349"/>
      <c r="O182" s="352"/>
      <c r="P182" s="352"/>
      <c r="Q182" s="352"/>
      <c r="R182" s="352"/>
      <c r="S182" s="352"/>
      <c r="T182" s="352"/>
      <c r="U182" s="352"/>
      <c r="V182" s="352"/>
      <c r="W182" s="352">
        <f t="array" ref="W182">(PRODUCT(Index_Returns!AC171:AC182/100+1)-1)*100</f>
        <v>6.9351397340198684</v>
      </c>
      <c r="X182" s="352">
        <f t="array" ref="X182">(PRODUCT(Index_Returns!AB171:AB182/100+1)-1)*100</f>
        <v>0.48169598847478401</v>
      </c>
      <c r="Y182" s="352">
        <f t="shared" si="8"/>
        <v>6.4534437455450844</v>
      </c>
      <c r="Z182" s="352">
        <f t="array" ref="Z182">(GEOMEAN(Index_Returns!AC147:AC182/100+1)^12-1)*100</f>
        <v>11.278835940081811</v>
      </c>
      <c r="AA182" s="352">
        <f t="array" ref="AA182">(GEOMEAN(Index_Returns!AB147:AB182/100+1)^12-1)*100</f>
        <v>1.4536114625282925</v>
      </c>
      <c r="AB182" s="352">
        <f t="shared" si="5"/>
        <v>9.8252244775535189</v>
      </c>
    </row>
    <row r="183" spans="1:28" x14ac:dyDescent="0.2">
      <c r="A183" s="19">
        <v>33085</v>
      </c>
      <c r="B183" s="352">
        <f t="array" ref="B183">(PRODUCT(Index_Returns!D172:D183/100+1)-1)*100</f>
        <v>0.44273873984892465</v>
      </c>
      <c r="C183" s="352">
        <f t="array" ref="C183">(PRODUCT(Index_Returns!C172:C183/100+1)-1)*100</f>
        <v>11.847179496168781</v>
      </c>
      <c r="D183" s="352">
        <f t="shared" si="6"/>
        <v>-11.404440756319858</v>
      </c>
      <c r="E183" s="352">
        <f t="array" ref="E183">(GEOMEAN(Index_Returns!D148:D183/100+1)^12-1)*100</f>
        <v>6.7062361627983957</v>
      </c>
      <c r="F183" s="352">
        <f t="array" ref="F183">(GEOMEAN(Index_Returns!C148:C183/100+1)^12-1)*100</f>
        <v>7.7470763684004407</v>
      </c>
      <c r="G183" s="352">
        <f t="shared" si="7"/>
        <v>-1.0408402056020449</v>
      </c>
      <c r="H183" s="351"/>
      <c r="I183" s="349"/>
      <c r="J183" s="349"/>
      <c r="K183" s="349"/>
      <c r="L183" s="349"/>
      <c r="M183" s="349"/>
      <c r="N183" s="349"/>
      <c r="O183" s="352"/>
      <c r="P183" s="352"/>
      <c r="Q183" s="352"/>
      <c r="R183" s="352"/>
      <c r="S183" s="352"/>
      <c r="T183" s="352"/>
      <c r="U183" s="352"/>
      <c r="V183" s="352"/>
      <c r="W183" s="352">
        <f t="array" ref="W183">(PRODUCT(Index_Returns!AC172:AC183/100+1)-1)*100</f>
        <v>-2.6300503461431535</v>
      </c>
      <c r="X183" s="352">
        <f t="array" ref="X183">(PRODUCT(Index_Returns!AB172:AB183/100+1)-1)*100</f>
        <v>-10.464839308670582</v>
      </c>
      <c r="Y183" s="352">
        <f t="shared" si="8"/>
        <v>7.8347889625274281</v>
      </c>
      <c r="Z183" s="352">
        <f t="array" ref="Z183">(GEOMEAN(Index_Returns!AC148:AC183/100+1)^12-1)*100</f>
        <v>11.502906026994486</v>
      </c>
      <c r="AA183" s="352">
        <f t="array" ref="AA183">(GEOMEAN(Index_Returns!AB148:AB183/100+1)^12-1)*100</f>
        <v>2.3464720112775339</v>
      </c>
      <c r="AB183" s="352">
        <f t="shared" si="5"/>
        <v>9.1564340157169521</v>
      </c>
    </row>
    <row r="184" spans="1:28" x14ac:dyDescent="0.2">
      <c r="A184" s="19">
        <v>33116</v>
      </c>
      <c r="B184" s="352">
        <f t="array" ref="B184">(PRODUCT(Index_Returns!D173:D184/100+1)-1)*100</f>
        <v>-10.368123551132857</v>
      </c>
      <c r="C184" s="352">
        <f t="array" ref="C184">(PRODUCT(Index_Returns!C173:C184/100+1)-1)*100</f>
        <v>1.4548396447611189E-2</v>
      </c>
      <c r="D184" s="352">
        <f t="shared" si="6"/>
        <v>-10.382671947580469</v>
      </c>
      <c r="E184" s="352">
        <f t="array" ref="E184">(GEOMEAN(Index_Returns!D149:D184/100+1)^12-1)*100</f>
        <v>2.3030586661184849</v>
      </c>
      <c r="F184" s="352">
        <f t="array" ref="F184">(GEOMEAN(Index_Returns!C149:C184/100+1)^12-1)*100</f>
        <v>2.9237632479953035</v>
      </c>
      <c r="G184" s="352">
        <f t="shared" si="7"/>
        <v>-0.62070458187681865</v>
      </c>
      <c r="H184" s="351"/>
      <c r="I184" s="349"/>
      <c r="J184" s="349"/>
      <c r="K184" s="349"/>
      <c r="L184" s="349"/>
      <c r="M184" s="349"/>
      <c r="N184" s="349"/>
      <c r="O184" s="352"/>
      <c r="P184" s="352"/>
      <c r="Q184" s="352"/>
      <c r="R184" s="352"/>
      <c r="S184" s="352"/>
      <c r="T184" s="352"/>
      <c r="U184" s="352"/>
      <c r="V184" s="352"/>
      <c r="W184" s="352">
        <f t="array" ref="W184">(PRODUCT(Index_Returns!AC173:AC184/100+1)-1)*100</f>
        <v>-8.426273705188148</v>
      </c>
      <c r="X184" s="352">
        <f t="array" ref="X184">(PRODUCT(Index_Returns!AB173:AB184/100+1)-1)*100</f>
        <v>-14.870502748711367</v>
      </c>
      <c r="Y184" s="352">
        <f t="shared" si="8"/>
        <v>6.4442290435232188</v>
      </c>
      <c r="Z184" s="352">
        <f t="array" ref="Z184">(GEOMEAN(Index_Returns!AC149:AC184/100+1)^12-1)*100</f>
        <v>5.6416994951927757</v>
      </c>
      <c r="AA184" s="352">
        <f t="array" ref="AA184">(GEOMEAN(Index_Returns!AB149:AB184/100+1)^12-1)*100</f>
        <v>-3.852964541916537</v>
      </c>
      <c r="AB184" s="352">
        <f t="shared" si="5"/>
        <v>9.4946640371093132</v>
      </c>
    </row>
    <row r="185" spans="1:28" x14ac:dyDescent="0.2">
      <c r="A185" s="19">
        <v>33146</v>
      </c>
      <c r="B185" s="352">
        <f t="array" ref="B185">(PRODUCT(Index_Returns!D174:D185/100+1)-1)*100</f>
        <v>-13.593530203897085</v>
      </c>
      <c r="C185" s="352">
        <f t="array" ref="C185">(PRODUCT(Index_Returns!C174:C185/100+1)-1)*100</f>
        <v>-5.3826456720804767</v>
      </c>
      <c r="D185" s="352">
        <f t="shared" si="6"/>
        <v>-8.2108845318166086</v>
      </c>
      <c r="E185" s="352">
        <f t="array" ref="E185">(GEOMEAN(Index_Returns!D150:D185/100+1)^12-1)*100</f>
        <v>1.3141548656487201</v>
      </c>
      <c r="F185" s="352">
        <f t="array" ref="F185">(GEOMEAN(Index_Returns!C150:C185/100+1)^12-1)*100</f>
        <v>2.0106326515562545</v>
      </c>
      <c r="G185" s="352">
        <f t="shared" si="7"/>
        <v>-0.6964777859075344</v>
      </c>
      <c r="H185" s="351"/>
      <c r="I185" s="349"/>
      <c r="J185" s="349"/>
      <c r="K185" s="349"/>
      <c r="L185" s="349"/>
      <c r="M185" s="349"/>
      <c r="N185" s="349"/>
      <c r="O185" s="352"/>
      <c r="P185" s="352"/>
      <c r="Q185" s="352"/>
      <c r="R185" s="352"/>
      <c r="S185" s="352"/>
      <c r="T185" s="352"/>
      <c r="U185" s="352"/>
      <c r="V185" s="352"/>
      <c r="W185" s="352">
        <f t="array" ref="W185">(PRODUCT(Index_Returns!AC174:AC185/100+1)-1)*100</f>
        <v>-23.836911970907202</v>
      </c>
      <c r="X185" s="352">
        <f t="array" ref="X185">(PRODUCT(Index_Returns!AB174:AB185/100+1)-1)*100</f>
        <v>-30.656815077685216</v>
      </c>
      <c r="Y185" s="352">
        <f t="shared" si="8"/>
        <v>6.819903106778014</v>
      </c>
      <c r="Z185" s="352">
        <f t="array" ref="Z185">(GEOMEAN(Index_Returns!AC150:AC185/100+1)^12-1)*100</f>
        <v>0.52921852721283802</v>
      </c>
      <c r="AA185" s="352">
        <f t="array" ref="AA185">(GEOMEAN(Index_Returns!AB150:AB185/100+1)^12-1)*100</f>
        <v>-7.5694517063286337</v>
      </c>
      <c r="AB185" s="352">
        <f t="shared" si="5"/>
        <v>8.0986702335414726</v>
      </c>
    </row>
    <row r="186" spans="1:28" x14ac:dyDescent="0.2">
      <c r="A186" s="19">
        <v>33177</v>
      </c>
      <c r="B186" s="352">
        <f t="array" ref="B186">(PRODUCT(Index_Returns!D175:D186/100+1)-1)*100</f>
        <v>-11.977371163585603</v>
      </c>
      <c r="C186" s="352">
        <f t="array" ref="C186">(PRODUCT(Index_Returns!C175:C186/100+1)-1)*100</f>
        <v>-3.3077858463516518</v>
      </c>
      <c r="D186" s="352">
        <f t="shared" si="6"/>
        <v>-8.6695853172339525</v>
      </c>
      <c r="E186" s="352">
        <f t="array" ref="E186">(GEOMEAN(Index_Returns!D151:D186/100+1)^12-1)*100</f>
        <v>8.7635285797856621</v>
      </c>
      <c r="F186" s="352">
        <f t="array" ref="F186">(GEOMEAN(Index_Returns!C151:C186/100+1)^12-1)*100</f>
        <v>11.401143678328008</v>
      </c>
      <c r="G186" s="352">
        <f t="shared" si="7"/>
        <v>-2.6376150985423461</v>
      </c>
      <c r="H186" s="351"/>
      <c r="I186" s="349"/>
      <c r="J186" s="349"/>
      <c r="K186" s="349"/>
      <c r="L186" s="349"/>
      <c r="M186" s="349"/>
      <c r="N186" s="349"/>
      <c r="O186" s="352"/>
      <c r="P186" s="352"/>
      <c r="Q186" s="352"/>
      <c r="R186" s="352"/>
      <c r="S186" s="352"/>
      <c r="T186" s="352"/>
      <c r="U186" s="352"/>
      <c r="V186" s="352"/>
      <c r="W186" s="352">
        <f t="array" ref="W186">(PRODUCT(Index_Returns!AC175:AC186/100+1)-1)*100</f>
        <v>-9.8174871541913724</v>
      </c>
      <c r="X186" s="352">
        <f t="array" ref="X186">(PRODUCT(Index_Returns!AB175:AB186/100+1)-1)*100</f>
        <v>-14.947636707757672</v>
      </c>
      <c r="Y186" s="352">
        <f t="shared" si="8"/>
        <v>5.1301495535662998</v>
      </c>
      <c r="Z186" s="352">
        <f t="array" ref="Z186">(GEOMEAN(Index_Returns!AC151:AC186/100+1)^12-1)*100</f>
        <v>9.9080275402467102</v>
      </c>
      <c r="AA186" s="352">
        <f t="array" ref="AA186">(GEOMEAN(Index_Returns!AB151:AB186/100+1)^12-1)*100</f>
        <v>2.1346127075930532</v>
      </c>
      <c r="AB186" s="352">
        <f t="shared" si="5"/>
        <v>7.773414832653657</v>
      </c>
    </row>
    <row r="187" spans="1:28" x14ac:dyDescent="0.2">
      <c r="A187" s="19">
        <v>33207</v>
      </c>
      <c r="B187" s="352">
        <f t="array" ref="B187">(PRODUCT(Index_Returns!D176:D187/100+1)-1)*100</f>
        <v>-6.7949505541267214</v>
      </c>
      <c r="C187" s="352">
        <f t="array" ref="C187">(PRODUCT(Index_Returns!C176:C187/100+1)-1)*100</f>
        <v>-0.56989216804250731</v>
      </c>
      <c r="D187" s="352">
        <f t="shared" si="6"/>
        <v>-6.2250583860842141</v>
      </c>
      <c r="E187" s="352">
        <f t="array" ref="E187">(GEOMEAN(Index_Returns!D152:D187/100+1)^12-1)*100</f>
        <v>14.100315220274172</v>
      </c>
      <c r="F187" s="352">
        <f t="array" ref="F187">(GEOMEAN(Index_Returns!C152:C187/100+1)^12-1)*100</f>
        <v>17.168282046172845</v>
      </c>
      <c r="G187" s="352">
        <f t="shared" si="7"/>
        <v>-3.0679668258986723</v>
      </c>
      <c r="H187" s="351"/>
      <c r="I187" s="349"/>
      <c r="J187" s="349"/>
      <c r="K187" s="349"/>
      <c r="L187" s="349"/>
      <c r="M187" s="349"/>
      <c r="N187" s="349"/>
      <c r="O187" s="352"/>
      <c r="P187" s="352"/>
      <c r="Q187" s="352"/>
      <c r="R187" s="352"/>
      <c r="S187" s="352"/>
      <c r="T187" s="352"/>
      <c r="U187" s="352"/>
      <c r="V187" s="352"/>
      <c r="W187" s="352">
        <f t="array" ref="W187">(PRODUCT(Index_Returns!AC176:AC187/100+1)-1)*100</f>
        <v>-18.878288471911951</v>
      </c>
      <c r="X187" s="352">
        <f t="array" ref="X187">(PRODUCT(Index_Returns!AB176:AB187/100+1)-1)*100</f>
        <v>-24.199198969408098</v>
      </c>
      <c r="Y187" s="352">
        <f t="shared" si="8"/>
        <v>5.320910497496147</v>
      </c>
      <c r="Z187" s="352">
        <f t="array" ref="Z187">(GEOMEAN(Index_Returns!AC152:AC187/100+1)^12-1)*100</f>
        <v>7.1356213539662372</v>
      </c>
      <c r="AA187" s="352">
        <f t="array" ref="AA187">(GEOMEAN(Index_Returns!AB152:AB187/100+1)^12-1)*100</f>
        <v>-3.5227120984338001E-2</v>
      </c>
      <c r="AB187" s="352">
        <f t="shared" si="5"/>
        <v>7.1708484749505752</v>
      </c>
    </row>
    <row r="188" spans="1:28" x14ac:dyDescent="0.2">
      <c r="A188" s="19">
        <v>33238</v>
      </c>
      <c r="B188" s="352">
        <f t="array" ref="B188">(PRODUCT(Index_Returns!D177:D188/100+1)-1)*100</f>
        <v>-6.849605587030883</v>
      </c>
      <c r="C188" s="352">
        <f t="array" ref="C188">(PRODUCT(Index_Returns!C177:C188/100+1)-1)*100</f>
        <v>0.19736760535362663</v>
      </c>
      <c r="D188" s="352">
        <f t="shared" si="6"/>
        <v>-7.0469731923845096</v>
      </c>
      <c r="E188" s="352">
        <f t="array" ref="E188">(GEOMEAN(Index_Returns!D153:D188/100+1)^12-1)*100</f>
        <v>12.65025258362995</v>
      </c>
      <c r="F188" s="352">
        <f t="array" ref="F188">(GEOMEAN(Index_Returns!C153:C188/100+1)^12-1)*100</f>
        <v>15.228104511838403</v>
      </c>
      <c r="G188" s="352">
        <f t="shared" si="7"/>
        <v>-2.5778519282084531</v>
      </c>
      <c r="H188" s="351"/>
      <c r="I188" s="349"/>
      <c r="J188" s="349"/>
      <c r="K188" s="349"/>
      <c r="L188" s="349"/>
      <c r="M188" s="349"/>
      <c r="N188" s="349"/>
      <c r="O188" s="352"/>
      <c r="P188" s="352"/>
      <c r="Q188" s="352"/>
      <c r="R188" s="352"/>
      <c r="S188" s="352"/>
      <c r="T188" s="352"/>
      <c r="U188" s="352"/>
      <c r="V188" s="352"/>
      <c r="W188" s="352">
        <f t="array" ref="W188">(PRODUCT(Index_Returns!AC177:AC188/100+1)-1)*100</f>
        <v>-21.317131611028028</v>
      </c>
      <c r="X188" s="352">
        <f t="array" ref="X188">(PRODUCT(Index_Returns!AB177:AB188/100+1)-1)*100</f>
        <v>-24.869821712801475</v>
      </c>
      <c r="Y188" s="352">
        <f t="shared" si="8"/>
        <v>3.5526901017734467</v>
      </c>
      <c r="Z188" s="352">
        <f t="array" ref="Z188">(GEOMEAN(Index_Returns!AC153:AC188/100+1)^12-1)*100</f>
        <v>5.8020585584731776</v>
      </c>
      <c r="AA188" s="352">
        <f t="array" ref="AA188">(GEOMEAN(Index_Returns!AB153:AB188/100+1)^12-1)*100</f>
        <v>0.40554053826351577</v>
      </c>
      <c r="AB188" s="352">
        <f t="shared" si="5"/>
        <v>5.3965180202096619</v>
      </c>
    </row>
    <row r="189" spans="1:28" x14ac:dyDescent="0.2">
      <c r="A189" s="19">
        <v>33269</v>
      </c>
      <c r="B189" s="352">
        <f t="array" ref="B189">(PRODUCT(Index_Returns!D178:D189/100+1)-1)*100</f>
        <v>3.6400808123898454</v>
      </c>
      <c r="C189" s="352">
        <f t="array" ref="C189">(PRODUCT(Index_Returns!C178:C189/100+1)-1)*100</f>
        <v>12.791287682342588</v>
      </c>
      <c r="D189" s="352">
        <f t="shared" si="6"/>
        <v>-9.1512068699527429</v>
      </c>
      <c r="E189" s="352">
        <f t="array" ref="E189">(GEOMEAN(Index_Returns!D154:D189/100+1)^12-1)*100</f>
        <v>11.973647531432995</v>
      </c>
      <c r="F189" s="352">
        <f t="array" ref="F189">(GEOMEAN(Index_Returns!C154:C189/100+1)^12-1)*100</f>
        <v>16.024429125869965</v>
      </c>
      <c r="G189" s="352">
        <f t="shared" si="7"/>
        <v>-4.0507815944369696</v>
      </c>
      <c r="H189" s="351"/>
      <c r="I189" s="349"/>
      <c r="J189" s="349"/>
      <c r="K189" s="349"/>
      <c r="L189" s="349"/>
      <c r="M189" s="349"/>
      <c r="N189" s="349"/>
      <c r="O189" s="352"/>
      <c r="P189" s="352"/>
      <c r="Q189" s="352"/>
      <c r="R189" s="352"/>
      <c r="S189" s="352"/>
      <c r="T189" s="352"/>
      <c r="U189" s="352"/>
      <c r="V189" s="352"/>
      <c r="W189" s="352">
        <f t="array" ref="W189">(PRODUCT(Index_Returns!AC178:AC189/100+1)-1)*100</f>
        <v>-16.729265932688008</v>
      </c>
      <c r="X189" s="352">
        <f t="array" ref="X189">(PRODUCT(Index_Returns!AB178:AB189/100+1)-1)*100</f>
        <v>-18.423828107637608</v>
      </c>
      <c r="Y189" s="352">
        <f t="shared" si="8"/>
        <v>1.6945621749495992</v>
      </c>
      <c r="Z189" s="352">
        <f t="array" ref="Z189">(GEOMEAN(Index_Returns!AC154:AC189/100+1)^12-1)*100</f>
        <v>6.4979151540438096</v>
      </c>
      <c r="AA189" s="352">
        <f t="array" ref="AA189">(GEOMEAN(Index_Returns!AB154:AB189/100+1)^12-1)*100</f>
        <v>0.64969468213396109</v>
      </c>
      <c r="AB189" s="352">
        <f t="shared" si="5"/>
        <v>5.8482204719098485</v>
      </c>
    </row>
    <row r="190" spans="1:28" x14ac:dyDescent="0.2">
      <c r="A190" s="19">
        <v>33297</v>
      </c>
      <c r="B190" s="352">
        <f t="array" ref="B190">(PRODUCT(Index_Returns!D179:D190/100+1)-1)*100</f>
        <v>8.2009350988509802</v>
      </c>
      <c r="C190" s="352">
        <f t="array" ref="C190">(PRODUCT(Index_Returns!C179:C190/100+1)-1)*100</f>
        <v>20.831563824963872</v>
      </c>
      <c r="D190" s="352">
        <f t="shared" si="6"/>
        <v>-12.630628726112892</v>
      </c>
      <c r="E190" s="352">
        <f t="array" ref="E190">(GEOMEAN(Index_Returns!D155:D190/100+1)^12-1)*100</f>
        <v>12.661794797847502</v>
      </c>
      <c r="F190" s="352">
        <f t="array" ref="F190">(GEOMEAN(Index_Returns!C155:C190/100+1)^12-1)*100</f>
        <v>17.132837250295108</v>
      </c>
      <c r="G190" s="352">
        <f t="shared" si="7"/>
        <v>-4.4710424524476053</v>
      </c>
      <c r="H190" s="351"/>
      <c r="I190" s="349"/>
      <c r="J190" s="349"/>
      <c r="K190" s="349"/>
      <c r="L190" s="349"/>
      <c r="M190" s="349"/>
      <c r="N190" s="349"/>
      <c r="O190" s="352"/>
      <c r="P190" s="352"/>
      <c r="Q190" s="352"/>
      <c r="R190" s="352"/>
      <c r="S190" s="352"/>
      <c r="T190" s="352"/>
      <c r="U190" s="352"/>
      <c r="V190" s="352"/>
      <c r="W190" s="352">
        <f t="array" ref="W190">(PRODUCT(Index_Returns!AC179:AC190/100+1)-1)*100</f>
        <v>-0.91885689526929326</v>
      </c>
      <c r="X190" s="352">
        <f t="array" ref="X190">(PRODUCT(Index_Returns!AB179:AB190/100+1)-1)*100</f>
        <v>-2.7384833691195709</v>
      </c>
      <c r="Y190" s="352">
        <f t="shared" si="8"/>
        <v>1.8196264738502776</v>
      </c>
      <c r="Z190" s="352">
        <f t="array" ref="Z190">(GEOMEAN(Index_Returns!AC155:AC190/100+1)^12-1)*100</f>
        <v>8.1754771476167711</v>
      </c>
      <c r="AA190" s="352">
        <f t="array" ref="AA190">(GEOMEAN(Index_Returns!AB155:AB190/100+1)^12-1)*100</f>
        <v>1.5818509553004789</v>
      </c>
      <c r="AB190" s="352">
        <f t="shared" si="5"/>
        <v>6.5936261923162922</v>
      </c>
    </row>
    <row r="191" spans="1:28" x14ac:dyDescent="0.2">
      <c r="A191" s="19">
        <v>33328</v>
      </c>
      <c r="B191" s="352">
        <f t="array" ref="B191">(PRODUCT(Index_Returns!D180:D191/100+1)-1)*100</f>
        <v>7.9015353377315023</v>
      </c>
      <c r="C191" s="352">
        <f t="array" ref="C191">(PRODUCT(Index_Returns!C180:C191/100+1)-1)*100</f>
        <v>20.587554020162635</v>
      </c>
      <c r="D191" s="352">
        <f t="shared" si="6"/>
        <v>-12.686018682431133</v>
      </c>
      <c r="E191" s="352">
        <f t="array" ref="E191">(GEOMEAN(Index_Returns!D156:D191/100+1)^12-1)*100</f>
        <v>13.808655177541041</v>
      </c>
      <c r="F191" s="352">
        <f t="array" ref="F191">(GEOMEAN(Index_Returns!C156:C191/100+1)^12-1)*100</f>
        <v>20.177800261657719</v>
      </c>
      <c r="G191" s="352">
        <f t="shared" si="7"/>
        <v>-6.3691450841166777</v>
      </c>
      <c r="H191" s="351"/>
      <c r="I191" s="349"/>
      <c r="J191" s="349"/>
      <c r="K191" s="349"/>
      <c r="L191" s="349"/>
      <c r="M191" s="349"/>
      <c r="N191" s="349"/>
      <c r="O191" s="352"/>
      <c r="P191" s="352"/>
      <c r="Q191" s="352"/>
      <c r="R191" s="352"/>
      <c r="S191" s="352"/>
      <c r="T191" s="352"/>
      <c r="U191" s="352"/>
      <c r="V191" s="352"/>
      <c r="W191" s="352">
        <f t="array" ref="W191">(PRODUCT(Index_Returns!AC180:AC191/100+1)-1)*100</f>
        <v>1.9891164855766696</v>
      </c>
      <c r="X191" s="352">
        <f t="array" ref="X191">(PRODUCT(Index_Returns!AB180:AB191/100+1)-1)*100</f>
        <v>3.6890497910018416</v>
      </c>
      <c r="Y191" s="352">
        <f t="shared" si="8"/>
        <v>-1.699933305425172</v>
      </c>
      <c r="Z191" s="352">
        <f t="array" ref="Z191">(GEOMEAN(Index_Returns!AC156:AC191/100+1)^12-1)*100</f>
        <v>3.4474954909526234</v>
      </c>
      <c r="AA191" s="352">
        <f t="array" ref="AA191">(GEOMEAN(Index_Returns!AB156:AB191/100+1)^12-1)*100</f>
        <v>-2.0699063782878557</v>
      </c>
      <c r="AB191" s="352">
        <f t="shared" si="5"/>
        <v>5.5174018692404792</v>
      </c>
    </row>
    <row r="192" spans="1:28" x14ac:dyDescent="0.2">
      <c r="A192" s="19">
        <v>33358</v>
      </c>
      <c r="B192" s="352">
        <f t="array" ref="B192">(PRODUCT(Index_Returns!D181:D192/100+1)-1)*100</f>
        <v>12.58173650817762</v>
      </c>
      <c r="C192" s="352">
        <f t="array" ref="C192">(PRODUCT(Index_Returns!C181:C192/100+1)-1)*100</f>
        <v>22.340106213068033</v>
      </c>
      <c r="D192" s="352">
        <f t="shared" si="6"/>
        <v>-9.7583697048904128</v>
      </c>
      <c r="E192" s="352">
        <f t="array" ref="E192">(GEOMEAN(Index_Returns!D157:D192/100+1)^12-1)*100</f>
        <v>13.63604130392484</v>
      </c>
      <c r="F192" s="352">
        <f t="array" ref="F192">(GEOMEAN(Index_Returns!C157:C192/100+1)^12-1)*100</f>
        <v>19.778945881113085</v>
      </c>
      <c r="G192" s="352">
        <f t="shared" si="7"/>
        <v>-6.1429045771882453</v>
      </c>
      <c r="H192" s="351"/>
      <c r="I192" s="349"/>
      <c r="J192" s="349"/>
      <c r="K192" s="349"/>
      <c r="L192" s="349"/>
      <c r="M192" s="349"/>
      <c r="N192" s="349"/>
      <c r="O192" s="352"/>
      <c r="P192" s="352"/>
      <c r="Q192" s="352"/>
      <c r="R192" s="352"/>
      <c r="S192" s="352"/>
      <c r="T192" s="352"/>
      <c r="U192" s="352"/>
      <c r="V192" s="352"/>
      <c r="W192" s="352">
        <f t="array" ref="W192">(PRODUCT(Index_Returns!AC181:AC192/100+1)-1)*100</f>
        <v>3.5865045244222182</v>
      </c>
      <c r="X192" s="352">
        <f t="array" ref="X192">(PRODUCT(Index_Returns!AB181:AB192/100+1)-1)*100</f>
        <v>5.9728345362547008</v>
      </c>
      <c r="Y192" s="352">
        <f t="shared" si="8"/>
        <v>-2.3863300118324826</v>
      </c>
      <c r="Z192" s="352">
        <f t="array" ref="Z192">(GEOMEAN(Index_Returns!AC157:AC192/100+1)^12-1)*100</f>
        <v>2.8628501672440576</v>
      </c>
      <c r="AA192" s="352">
        <f t="array" ref="AA192">(GEOMEAN(Index_Returns!AB157:AB192/100+1)^12-1)*100</f>
        <v>-1.7373010765593278</v>
      </c>
      <c r="AB192" s="352">
        <f t="shared" si="5"/>
        <v>4.6001512438033849</v>
      </c>
    </row>
    <row r="193" spans="1:28" x14ac:dyDescent="0.2">
      <c r="A193" s="19">
        <v>33389</v>
      </c>
      <c r="B193" s="352">
        <f t="array" ref="B193">(PRODUCT(Index_Returns!D182:D193/100+1)-1)*100</f>
        <v>9.2551735268782132</v>
      </c>
      <c r="C193" s="352">
        <f t="array" ref="C193">(PRODUCT(Index_Returns!C182:C193/100+1)-1)*100</f>
        <v>14.053889988952539</v>
      </c>
      <c r="D193" s="352">
        <f t="shared" si="6"/>
        <v>-4.7987164620743261</v>
      </c>
      <c r="E193" s="352">
        <f t="array" ref="E193">(GEOMEAN(Index_Returns!D158:D193/100+1)^12-1)*100</f>
        <v>14.94550650197719</v>
      </c>
      <c r="F193" s="352">
        <f t="array" ref="F193">(GEOMEAN(Index_Returns!C158:C193/100+1)^12-1)*100</f>
        <v>21.148425956179338</v>
      </c>
      <c r="G193" s="352">
        <f t="shared" si="7"/>
        <v>-6.2029194542021475</v>
      </c>
      <c r="H193" s="351"/>
      <c r="I193" s="349"/>
      <c r="J193" s="349"/>
      <c r="K193" s="349"/>
      <c r="L193" s="349"/>
      <c r="M193" s="349"/>
      <c r="N193" s="349"/>
      <c r="O193" s="352"/>
      <c r="P193" s="352"/>
      <c r="Q193" s="352"/>
      <c r="R193" s="352"/>
      <c r="S193" s="352"/>
      <c r="T193" s="352"/>
      <c r="U193" s="352"/>
      <c r="V193" s="352"/>
      <c r="W193" s="352">
        <f t="array" ref="W193">(PRODUCT(Index_Returns!AC182:AC193/100+1)-1)*100</f>
        <v>-5.3265361908706232</v>
      </c>
      <c r="X193" s="352">
        <f t="array" ref="X193">(PRODUCT(Index_Returns!AB182:AB193/100+1)-1)*100</f>
        <v>-4.6996386031413095</v>
      </c>
      <c r="Y193" s="352">
        <f t="shared" si="8"/>
        <v>-0.6268975877293137</v>
      </c>
      <c r="Z193" s="352">
        <f t="array" ref="Z193">(GEOMEAN(Index_Returns!AC158:AC193/100+1)^12-1)*100</f>
        <v>4.0128064320246848</v>
      </c>
      <c r="AA193" s="352">
        <f t="array" ref="AA193">(GEOMEAN(Index_Returns!AB158:AB193/100+1)^12-1)*100</f>
        <v>2.332979031673954E-2</v>
      </c>
      <c r="AB193" s="352">
        <f t="shared" si="5"/>
        <v>3.9894766417079452</v>
      </c>
    </row>
    <row r="194" spans="1:28" x14ac:dyDescent="0.2">
      <c r="A194" s="19">
        <v>33419</v>
      </c>
      <c r="B194" s="352">
        <f t="array" ref="B194">(PRODUCT(Index_Returns!D183:D194/100+1)-1)*100</f>
        <v>5.8252893717178234</v>
      </c>
      <c r="C194" s="352">
        <f t="array" ref="C194">(PRODUCT(Index_Returns!C183:C194/100+1)-1)*100</f>
        <v>8.9270920375802643</v>
      </c>
      <c r="D194" s="352">
        <f t="shared" si="6"/>
        <v>-3.1018026658624409</v>
      </c>
      <c r="E194" s="352">
        <f t="array" ref="E194">(GEOMEAN(Index_Returns!D159:D194/100+1)^12-1)*100</f>
        <v>11.437497878219482</v>
      </c>
      <c r="F194" s="352">
        <f t="array" ref="F194">(GEOMEAN(Index_Returns!C159:C194/100+1)^12-1)*100</f>
        <v>17.532120503680758</v>
      </c>
      <c r="G194" s="352">
        <f t="shared" si="7"/>
        <v>-6.0946226254612768</v>
      </c>
      <c r="H194" s="351"/>
      <c r="I194" s="349"/>
      <c r="J194" s="349"/>
      <c r="K194" s="349"/>
      <c r="L194" s="349"/>
      <c r="M194" s="349"/>
      <c r="N194" s="349"/>
      <c r="O194" s="352"/>
      <c r="P194" s="352"/>
      <c r="Q194" s="352"/>
      <c r="R194" s="352"/>
      <c r="S194" s="352"/>
      <c r="T194" s="352"/>
      <c r="U194" s="352"/>
      <c r="V194" s="352"/>
      <c r="W194" s="352">
        <f t="array" ref="W194">(PRODUCT(Index_Returns!AC183:AC194/100+1)-1)*100</f>
        <v>-11.854147224821975</v>
      </c>
      <c r="X194" s="352">
        <f t="array" ref="X194">(PRODUCT(Index_Returns!AB183:AB194/100+1)-1)*100</f>
        <v>-10.501596719081775</v>
      </c>
      <c r="Y194" s="352">
        <f t="shared" si="8"/>
        <v>-1.3525505057402007</v>
      </c>
      <c r="Z194" s="352">
        <f t="array" ref="Z194">(GEOMEAN(Index_Returns!AC159:AC194/100+1)^12-1)*100</f>
        <v>1.9982250741360064</v>
      </c>
      <c r="AA194" s="352">
        <f t="array" ref="AA194">(GEOMEAN(Index_Returns!AB159:AB194/100+1)^12-1)*100</f>
        <v>-1.2481184182253191</v>
      </c>
      <c r="AB194" s="352">
        <f t="shared" si="5"/>
        <v>3.2463434923613255</v>
      </c>
    </row>
    <row r="195" spans="1:28" x14ac:dyDescent="0.2">
      <c r="A195" s="19">
        <v>33450</v>
      </c>
      <c r="B195" s="352">
        <f t="array" ref="B195">(PRODUCT(Index_Returns!D184:D195/100+1)-1)*100</f>
        <v>10.01555180459459</v>
      </c>
      <c r="C195" s="352">
        <f t="array" ref="C195">(PRODUCT(Index_Returns!C184:C195/100+1)-1)*100</f>
        <v>15.481784440505475</v>
      </c>
      <c r="D195" s="352">
        <f t="shared" si="6"/>
        <v>-5.4662326359108846</v>
      </c>
      <c r="E195" s="352">
        <f t="array" ref="E195">(GEOMEAN(Index_Returns!D160:D195/100+1)^12-1)*100</f>
        <v>12.938285116775926</v>
      </c>
      <c r="F195" s="352">
        <f t="array" ref="F195">(GEOMEAN(Index_Returns!C160:C195/100+1)^12-1)*100</f>
        <v>19.85189448633453</v>
      </c>
      <c r="G195" s="352">
        <f t="shared" si="7"/>
        <v>-6.9136093695586034</v>
      </c>
      <c r="H195" s="351"/>
      <c r="I195" s="349"/>
      <c r="J195" s="349"/>
      <c r="K195" s="349"/>
      <c r="L195" s="349"/>
      <c r="M195" s="349"/>
      <c r="N195" s="349"/>
      <c r="O195" s="352"/>
      <c r="P195" s="352"/>
      <c r="Q195" s="352"/>
      <c r="R195" s="352"/>
      <c r="S195" s="352"/>
      <c r="T195" s="352"/>
      <c r="U195" s="352"/>
      <c r="V195" s="352"/>
      <c r="W195" s="352">
        <f t="array" ref="W195">(PRODUCT(Index_Returns!AC184:AC195/100+1)-1)*100</f>
        <v>-8.6167825093704575</v>
      </c>
      <c r="X195" s="352">
        <f t="array" ref="X195">(PRODUCT(Index_Returns!AB184:AB195/100+1)-1)*100</f>
        <v>-7.6388543718365787</v>
      </c>
      <c r="Y195" s="352">
        <f t="shared" si="8"/>
        <v>-0.97792813753387886</v>
      </c>
      <c r="Z195" s="352">
        <f t="array" ref="Z195">(GEOMEAN(Index_Returns!AC160:AC195/100+1)^12-1)*100</f>
        <v>2.2448922394703974</v>
      </c>
      <c r="AA195" s="352">
        <f t="array" ref="AA195">(GEOMEAN(Index_Returns!AB160:AB195/100+1)^12-1)*100</f>
        <v>-0.29411694206828987</v>
      </c>
      <c r="AB195" s="352">
        <f t="shared" si="5"/>
        <v>2.5390091815386873</v>
      </c>
    </row>
    <row r="196" spans="1:28" x14ac:dyDescent="0.2">
      <c r="A196" s="19">
        <v>33481</v>
      </c>
      <c r="B196" s="352">
        <f t="array" ref="B196">(PRODUCT(Index_Returns!D185:D196/100+1)-1)*100</f>
        <v>22.380238273860932</v>
      </c>
      <c r="C196" s="352">
        <f t="array" ref="C196">(PRODUCT(Index_Returns!C185:C196/100+1)-1)*100</f>
        <v>31.306783321755628</v>
      </c>
      <c r="D196" s="352">
        <f t="shared" si="6"/>
        <v>-8.9265450478946953</v>
      </c>
      <c r="E196" s="352">
        <f t="array" ref="E196">(GEOMEAN(Index_Returns!D161:D196/100+1)^12-1)*100</f>
        <v>14.541272287003594</v>
      </c>
      <c r="F196" s="352">
        <f t="array" ref="F196">(GEOMEAN(Index_Returns!C161:C196/100+1)^12-1)*100</f>
        <v>22.686372887378603</v>
      </c>
      <c r="G196" s="352">
        <f t="shared" si="7"/>
        <v>-8.1451006003750095</v>
      </c>
      <c r="H196" s="351"/>
      <c r="I196" s="349"/>
      <c r="J196" s="349"/>
      <c r="K196" s="349"/>
      <c r="L196" s="349"/>
      <c r="M196" s="349"/>
      <c r="N196" s="349"/>
      <c r="O196" s="352"/>
      <c r="P196" s="352"/>
      <c r="Q196" s="352"/>
      <c r="R196" s="352"/>
      <c r="S196" s="352"/>
      <c r="T196" s="352"/>
      <c r="U196" s="352"/>
      <c r="V196" s="352"/>
      <c r="W196" s="352">
        <f t="array" ref="W196">(PRODUCT(Index_Returns!AC185:AC196/100+1)-1)*100</f>
        <v>-0.76923376797757292</v>
      </c>
      <c r="X196" s="352">
        <f t="array" ref="X196">(PRODUCT(Index_Returns!AB185:AB196/100+1)-1)*100</f>
        <v>0.13680756268044103</v>
      </c>
      <c r="Y196" s="352">
        <f t="shared" si="8"/>
        <v>-0.90604133065801395</v>
      </c>
      <c r="Z196" s="352">
        <f t="array" ref="Z196">(GEOMEAN(Index_Returns!AC161:AC196/100+1)^12-1)*100</f>
        <v>4.1636750543115886</v>
      </c>
      <c r="AA196" s="352">
        <f t="array" ref="AA196">(GEOMEAN(Index_Returns!AB161:AB196/100+1)^12-1)*100</f>
        <v>0.87794345072387259</v>
      </c>
      <c r="AB196" s="352">
        <f t="shared" ref="AB196:AB259" si="9">Z196-AA196</f>
        <v>3.285731603587716</v>
      </c>
    </row>
    <row r="197" spans="1:28" x14ac:dyDescent="0.2">
      <c r="A197" s="19">
        <v>33511</v>
      </c>
      <c r="B197" s="352">
        <f t="array" ref="B197">(PRODUCT(Index_Returns!D186:D197/100+1)-1)*100</f>
        <v>26.974148864407432</v>
      </c>
      <c r="C197" s="352">
        <f t="array" ref="C197">(PRODUCT(Index_Returns!C186:C197/100+1)-1)*100</f>
        <v>35.418630692090346</v>
      </c>
      <c r="D197" s="352">
        <f t="shared" ref="D197:D260" si="10">B197-C197</f>
        <v>-8.4444818276829139</v>
      </c>
      <c r="E197" s="352">
        <f t="array" ref="E197">(GEOMEAN(Index_Returns!D162:D197/100+1)^12-1)*100</f>
        <v>12.703453773460783</v>
      </c>
      <c r="F197" s="352">
        <f t="array" ref="F197">(GEOMEAN(Index_Returns!C162:C197/100+1)^12-1)*100</f>
        <v>19.995065367604091</v>
      </c>
      <c r="G197" s="352">
        <f t="shared" ref="G197:G260" si="11">E197-F197</f>
        <v>-7.2916115941433084</v>
      </c>
      <c r="H197" s="351"/>
      <c r="I197" s="349"/>
      <c r="J197" s="349"/>
      <c r="K197" s="349"/>
      <c r="L197" s="349"/>
      <c r="M197" s="349"/>
      <c r="N197" s="349"/>
      <c r="O197" s="352"/>
      <c r="P197" s="352"/>
      <c r="Q197" s="352"/>
      <c r="R197" s="352"/>
      <c r="S197" s="352"/>
      <c r="T197" s="352"/>
      <c r="U197" s="352"/>
      <c r="V197" s="352"/>
      <c r="W197" s="352">
        <f t="array" ref="W197">(PRODUCT(Index_Returns!AC186:AC197/100+1)-1)*100</f>
        <v>20.791562148054489</v>
      </c>
      <c r="X197" s="352">
        <f t="array" ref="X197">(PRODUCT(Index_Returns!AB186:AB197/100+1)-1)*100</f>
        <v>24.055115271673589</v>
      </c>
      <c r="Y197" s="352">
        <f t="shared" ref="Y197:Y260" si="12">W197-X197</f>
        <v>-3.2635531236191007</v>
      </c>
      <c r="Z197" s="352">
        <f t="array" ref="Z197">(GEOMEAN(Index_Returns!AC162:AC197/100+1)^12-1)*100</f>
        <v>5.0382654954145512</v>
      </c>
      <c r="AA197" s="352">
        <f t="array" ref="AA197">(GEOMEAN(Index_Returns!AB162:AB197/100+1)^12-1)*100</f>
        <v>0.87452033164752141</v>
      </c>
      <c r="AB197" s="352">
        <f t="shared" si="9"/>
        <v>4.1637451637670297</v>
      </c>
    </row>
    <row r="198" spans="1:28" x14ac:dyDescent="0.2">
      <c r="A198" s="19">
        <v>33542</v>
      </c>
      <c r="B198" s="352">
        <f t="array" ref="B198">(PRODUCT(Index_Returns!D187:D198/100+1)-1)*100</f>
        <v>30.683679689417588</v>
      </c>
      <c r="C198" s="352">
        <f t="array" ref="C198">(PRODUCT(Index_Returns!C187:C198/100+1)-1)*100</f>
        <v>36.172003516696428</v>
      </c>
      <c r="D198" s="352">
        <f t="shared" si="10"/>
        <v>-5.4883238272788404</v>
      </c>
      <c r="E198" s="352">
        <f t="array" ref="E198">(GEOMEAN(Index_Returns!D163:D198/100+1)^12-1)*100</f>
        <v>12.080931909822535</v>
      </c>
      <c r="F198" s="352">
        <f t="array" ref="F198">(GEOMEAN(Index_Returns!C163:C198/100+1)^12-1)*100</f>
        <v>19.551670240865171</v>
      </c>
      <c r="G198" s="352">
        <f t="shared" si="11"/>
        <v>-7.4707383310426358</v>
      </c>
      <c r="H198" s="351"/>
      <c r="I198" s="349"/>
      <c r="J198" s="349"/>
      <c r="K198" s="349"/>
      <c r="L198" s="349"/>
      <c r="M198" s="349"/>
      <c r="N198" s="349"/>
      <c r="O198" s="352"/>
      <c r="P198" s="352"/>
      <c r="Q198" s="352"/>
      <c r="R198" s="352"/>
      <c r="S198" s="352"/>
      <c r="T198" s="352"/>
      <c r="U198" s="352"/>
      <c r="V198" s="352"/>
      <c r="W198" s="352">
        <f t="array" ref="W198">(PRODUCT(Index_Returns!AC187:AC198/100+1)-1)*100</f>
        <v>6.1141277363011115</v>
      </c>
      <c r="X198" s="352">
        <f t="array" ref="X198">(PRODUCT(Index_Returns!AB187:AB198/100+1)-1)*100</f>
        <v>8.5975620699739519</v>
      </c>
      <c r="Y198" s="352">
        <f t="shared" si="12"/>
        <v>-2.4834343336728404</v>
      </c>
      <c r="Z198" s="352">
        <f t="array" ref="Z198">(GEOMEAN(Index_Returns!AC163:AC198/100+1)^12-1)*100</f>
        <v>2.5274750809682223</v>
      </c>
      <c r="AA198" s="352">
        <f t="array" ref="AA198">(GEOMEAN(Index_Returns!AB163:AB198/100+1)^12-1)*100</f>
        <v>-1.2386989941139848</v>
      </c>
      <c r="AB198" s="352">
        <f t="shared" si="9"/>
        <v>3.766174075082207</v>
      </c>
    </row>
    <row r="199" spans="1:28" x14ac:dyDescent="0.2">
      <c r="A199" s="19">
        <v>33572</v>
      </c>
      <c r="B199" s="352">
        <f t="array" ref="B199">(PRODUCT(Index_Returns!D188:D199/100+1)-1)*100</f>
        <v>15.502696211502421</v>
      </c>
      <c r="C199" s="352">
        <f t="array" ref="C199">(PRODUCT(Index_Returns!C188:C199/100+1)-1)*100</f>
        <v>25.141470117406485</v>
      </c>
      <c r="D199" s="352">
        <f t="shared" si="10"/>
        <v>-9.6387739059040634</v>
      </c>
      <c r="E199" s="352">
        <f t="array" ref="E199">(GEOMEAN(Index_Returns!D164:D199/100+1)^12-1)*100</f>
        <v>10.306618685026535</v>
      </c>
      <c r="F199" s="352">
        <f t="array" ref="F199">(GEOMEAN(Index_Returns!C164:C199/100+1)^12-1)*100</f>
        <v>19.267023686538586</v>
      </c>
      <c r="G199" s="352">
        <f t="shared" si="11"/>
        <v>-8.9604050015120507</v>
      </c>
      <c r="H199" s="351"/>
      <c r="I199" s="349"/>
      <c r="J199" s="349"/>
      <c r="K199" s="349"/>
      <c r="L199" s="349"/>
      <c r="M199" s="349"/>
      <c r="N199" s="349"/>
      <c r="O199" s="352"/>
      <c r="P199" s="352"/>
      <c r="Q199" s="352"/>
      <c r="R199" s="352"/>
      <c r="S199" s="352"/>
      <c r="T199" s="352"/>
      <c r="U199" s="352"/>
      <c r="V199" s="352"/>
      <c r="W199" s="352">
        <f t="array" ref="W199">(PRODUCT(Index_Returns!AC188:AC199/100+1)-1)*100</f>
        <v>6.3820949856522313</v>
      </c>
      <c r="X199" s="352">
        <f t="array" ref="X199">(PRODUCT(Index_Returns!AB188:AB199/100+1)-1)*100</f>
        <v>11.185651771720684</v>
      </c>
      <c r="Y199" s="352">
        <f t="shared" si="12"/>
        <v>-4.8035567860684525</v>
      </c>
      <c r="Z199" s="352">
        <f t="array" ref="Z199">(GEOMEAN(Index_Returns!AC164:AC199/100+1)^12-1)*100</f>
        <v>-1.2926303079113244</v>
      </c>
      <c r="AA199" s="352">
        <f t="array" ref="AA199">(GEOMEAN(Index_Returns!AB164:AB199/100+1)^12-1)*100</f>
        <v>-4.3964394152723347</v>
      </c>
      <c r="AB199" s="352">
        <f t="shared" si="9"/>
        <v>3.1038091073610103</v>
      </c>
    </row>
    <row r="200" spans="1:28" x14ac:dyDescent="0.2">
      <c r="A200" s="19">
        <v>33603</v>
      </c>
      <c r="B200" s="352">
        <f t="array" ref="B200">(PRODUCT(Index_Returns!D189:D200/100+1)-1)*100</f>
        <v>22.562072813515833</v>
      </c>
      <c r="C200" s="352">
        <f t="array" ref="C200">(PRODUCT(Index_Returns!C189:C200/100+1)-1)*100</f>
        <v>38.373245397134539</v>
      </c>
      <c r="D200" s="352">
        <f t="shared" si="10"/>
        <v>-15.811172583618706</v>
      </c>
      <c r="E200" s="352">
        <f t="array" ref="E200">(GEOMEAN(Index_Returns!D165:D200/100+1)^12-1)*100</f>
        <v>12.923373378564573</v>
      </c>
      <c r="F200" s="352">
        <f t="array" ref="F200">(GEOMEAN(Index_Returns!C165:C200/100+1)^12-1)*100</f>
        <v>23.662913156349454</v>
      </c>
      <c r="G200" s="352">
        <f t="shared" si="11"/>
        <v>-10.739539777784881</v>
      </c>
      <c r="H200" s="351"/>
      <c r="I200" s="349"/>
      <c r="J200" s="349"/>
      <c r="K200" s="349"/>
      <c r="L200" s="349"/>
      <c r="M200" s="349"/>
      <c r="N200" s="349"/>
      <c r="O200" s="352"/>
      <c r="P200" s="352"/>
      <c r="Q200" s="352"/>
      <c r="R200" s="352"/>
      <c r="S200" s="352"/>
      <c r="T200" s="352"/>
      <c r="U200" s="352"/>
      <c r="V200" s="352"/>
      <c r="W200" s="352">
        <f t="array" ref="W200">(PRODUCT(Index_Returns!AC189:AC200/100+1)-1)*100</f>
        <v>10.750679778936645</v>
      </c>
      <c r="X200" s="352">
        <f t="array" ref="X200">(PRODUCT(Index_Returns!AB189:AB200/100+1)-1)*100</f>
        <v>14.350209479066445</v>
      </c>
      <c r="Y200" s="352">
        <f t="shared" si="12"/>
        <v>-3.5995297001297999</v>
      </c>
      <c r="Z200" s="352">
        <f t="array" ref="Z200">(GEOMEAN(Index_Returns!AC165:AC200/100+1)^12-1)*100</f>
        <v>0.12778766879049108</v>
      </c>
      <c r="AA200" s="352">
        <f t="array" ref="AA200">(GEOMEAN(Index_Returns!AB165:AB200/100+1)^12-1)*100</f>
        <v>-2.9339039702468872</v>
      </c>
      <c r="AB200" s="352">
        <f t="shared" si="9"/>
        <v>3.0616916390373783</v>
      </c>
    </row>
    <row r="201" spans="1:28" x14ac:dyDescent="0.2">
      <c r="A201" s="19">
        <v>33634</v>
      </c>
      <c r="B201" s="352">
        <f t="array" ref="B201">(PRODUCT(Index_Returns!D190:D201/100+1)-1)*100</f>
        <v>17.026709456235878</v>
      </c>
      <c r="C201" s="352">
        <f t="array" ref="C201">(PRODUCT(Index_Returns!C190:C201/100+1)-1)*100</f>
        <v>28.183781191799319</v>
      </c>
      <c r="D201" s="352">
        <f t="shared" si="10"/>
        <v>-11.157071735563441</v>
      </c>
      <c r="E201" s="352">
        <f t="array" ref="E201">(GEOMEAN(Index_Returns!D166:D201/100+1)^12-1)*100</f>
        <v>10.291861546577064</v>
      </c>
      <c r="F201" s="352">
        <f t="array" ref="F201">(GEOMEAN(Index_Returns!C166:C201/100+1)^12-1)*100</f>
        <v>19.407008008821226</v>
      </c>
      <c r="G201" s="352">
        <f t="shared" si="11"/>
        <v>-9.1151464622441623</v>
      </c>
      <c r="H201" s="351"/>
      <c r="I201" s="349"/>
      <c r="J201" s="349"/>
      <c r="K201" s="349"/>
      <c r="L201" s="349"/>
      <c r="M201" s="349"/>
      <c r="N201" s="349"/>
      <c r="O201" s="352"/>
      <c r="P201" s="352"/>
      <c r="Q201" s="352"/>
      <c r="R201" s="352"/>
      <c r="S201" s="352"/>
      <c r="T201" s="352"/>
      <c r="U201" s="352"/>
      <c r="V201" s="352"/>
      <c r="W201" s="352">
        <f t="array" ref="W201">(PRODUCT(Index_Returns!AC190:AC201/100+1)-1)*100</f>
        <v>6.9184658887543771</v>
      </c>
      <c r="X201" s="352">
        <f t="array" ref="X201">(PRODUCT(Index_Returns!AB190:AB201/100+1)-1)*100</f>
        <v>6.4707958428776191</v>
      </c>
      <c r="Y201" s="352">
        <f t="shared" si="12"/>
        <v>0.44767004587675796</v>
      </c>
      <c r="Z201" s="352">
        <f t="array" ref="Z201">(GEOMEAN(Index_Returns!AC166:AC201/100+1)^12-1)*100</f>
        <v>-0.97023941315108608</v>
      </c>
      <c r="AA201" s="352">
        <f t="array" ref="AA201">(GEOMEAN(Index_Returns!AB166:AB201/100+1)^12-1)*100</f>
        <v>-4.3567533376303818</v>
      </c>
      <c r="AB201" s="352">
        <f t="shared" si="9"/>
        <v>3.3865139244792957</v>
      </c>
    </row>
    <row r="202" spans="1:28" x14ac:dyDescent="0.2">
      <c r="A202" s="19">
        <v>33663</v>
      </c>
      <c r="B202" s="352">
        <f t="array" ref="B202">(PRODUCT(Index_Returns!D191:D202/100+1)-1)*100</f>
        <v>12.093833700898893</v>
      </c>
      <c r="C202" s="352">
        <f t="array" ref="C202">(PRODUCT(Index_Returns!C191:C202/100+1)-1)*100</f>
        <v>19.666414107862231</v>
      </c>
      <c r="D202" s="352">
        <f t="shared" si="10"/>
        <v>-7.572580406963338</v>
      </c>
      <c r="E202" s="352">
        <f t="array" ref="E202">(GEOMEAN(Index_Returns!D167:D202/100+1)^12-1)*100</f>
        <v>11.844323718658822</v>
      </c>
      <c r="F202" s="352">
        <f t="array" ref="F202">(GEOMEAN(Index_Returns!C167:C202/100+1)^12-1)*100</f>
        <v>20.725543230138086</v>
      </c>
      <c r="G202" s="352">
        <f t="shared" si="11"/>
        <v>-8.881219511479264</v>
      </c>
      <c r="H202" s="351"/>
      <c r="I202" s="349"/>
      <c r="J202" s="349"/>
      <c r="K202" s="349"/>
      <c r="L202" s="349"/>
      <c r="M202" s="349"/>
      <c r="N202" s="349"/>
      <c r="O202" s="352"/>
      <c r="P202" s="352"/>
      <c r="Q202" s="352"/>
      <c r="R202" s="352"/>
      <c r="S202" s="352"/>
      <c r="T202" s="352"/>
      <c r="U202" s="352"/>
      <c r="V202" s="352"/>
      <c r="W202" s="352">
        <f t="array" ref="W202">(PRODUCT(Index_Returns!AC191:AC202/100+1)-1)*100</f>
        <v>-7.2742711637800772</v>
      </c>
      <c r="X202" s="352">
        <f t="array" ref="X202">(PRODUCT(Index_Returns!AB191:AB202/100+1)-1)*100</f>
        <v>-6.8633655610683579</v>
      </c>
      <c r="Y202" s="352">
        <f t="shared" si="12"/>
        <v>-0.41090560271171928</v>
      </c>
      <c r="Z202" s="352">
        <f t="array" ref="Z202">(GEOMEAN(Index_Returns!AC167:AC202/100+1)^12-1)*100</f>
        <v>-2.4568847997147425</v>
      </c>
      <c r="AA202" s="352">
        <f t="array" ref="AA202">(GEOMEAN(Index_Returns!AB167:AB202/100+1)^12-1)*100</f>
        <v>-5.4960695124310348</v>
      </c>
      <c r="AB202" s="352">
        <f t="shared" si="9"/>
        <v>3.0391847127162923</v>
      </c>
    </row>
    <row r="203" spans="1:28" x14ac:dyDescent="0.2">
      <c r="A203" s="19">
        <v>33694</v>
      </c>
      <c r="B203" s="352">
        <f t="array" ref="B203">(PRODUCT(Index_Returns!D192:D203/100+1)-1)*100</f>
        <v>9.3389758317260263</v>
      </c>
      <c r="C203" s="352">
        <f t="array" ref="C203">(PRODUCT(Index_Returns!C192:C203/100+1)-1)*100</f>
        <v>12.63230715892405</v>
      </c>
      <c r="D203" s="352">
        <f t="shared" si="10"/>
        <v>-3.2933313271980236</v>
      </c>
      <c r="E203" s="352">
        <f t="array" ref="E203">(GEOMEAN(Index_Returns!D168:D203/100+1)^12-1)*100</f>
        <v>10.293747981549339</v>
      </c>
      <c r="F203" s="352">
        <f t="array" ref="F203">(GEOMEAN(Index_Returns!C168:C203/100+1)^12-1)*100</f>
        <v>18.96528731753062</v>
      </c>
      <c r="G203" s="352">
        <f t="shared" si="11"/>
        <v>-8.6715393359812811</v>
      </c>
      <c r="H203" s="351"/>
      <c r="I203" s="349"/>
      <c r="J203" s="349"/>
      <c r="K203" s="349"/>
      <c r="L203" s="349"/>
      <c r="M203" s="349"/>
      <c r="N203" s="349"/>
      <c r="O203" s="352"/>
      <c r="P203" s="352"/>
      <c r="Q203" s="352"/>
      <c r="R203" s="352"/>
      <c r="S203" s="352"/>
      <c r="T203" s="352"/>
      <c r="U203" s="352"/>
      <c r="V203" s="352"/>
      <c r="W203" s="352">
        <f t="array" ref="W203">(PRODUCT(Index_Returns!AC192:AC203/100+1)-1)*100</f>
        <v>-7.3147048882808319</v>
      </c>
      <c r="X203" s="352">
        <f t="array" ref="X203">(PRODUCT(Index_Returns!AB192:AB203/100+1)-1)*100</f>
        <v>-7.8319674458579573</v>
      </c>
      <c r="Y203" s="352">
        <f t="shared" si="12"/>
        <v>0.51726255757712547</v>
      </c>
      <c r="Z203" s="352">
        <f t="array" ref="Z203">(GEOMEAN(Index_Returns!AC168:AC203/100+1)^12-1)*100</f>
        <v>-4.0046399987492487</v>
      </c>
      <c r="AA203" s="352">
        <f t="array" ref="AA203">(GEOMEAN(Index_Returns!AB168:AB203/100+1)^12-1)*100</f>
        <v>-6.9878252682028741</v>
      </c>
      <c r="AB203" s="352">
        <f t="shared" si="9"/>
        <v>2.9831852694536254</v>
      </c>
    </row>
    <row r="204" spans="1:28" x14ac:dyDescent="0.2">
      <c r="A204" s="19">
        <v>33724</v>
      </c>
      <c r="B204" s="352">
        <f t="array" ref="B204">(PRODUCT(Index_Returns!D193:D204/100+1)-1)*100</f>
        <v>13.775888334471942</v>
      </c>
      <c r="C204" s="352">
        <f t="array" ref="C204">(PRODUCT(Index_Returns!C193:C204/100+1)-1)*100</f>
        <v>14.043119628341749</v>
      </c>
      <c r="D204" s="352">
        <f t="shared" si="10"/>
        <v>-0.26723129386980737</v>
      </c>
      <c r="E204" s="352">
        <f t="array" ref="E204">(GEOMEAN(Index_Returns!D169:D204/100+1)^12-1)*100</f>
        <v>10.321805410381458</v>
      </c>
      <c r="F204" s="352">
        <f t="array" ref="F204">(GEOMEAN(Index_Returns!C169:C204/100+1)^12-1)*100</f>
        <v>17.302146635641446</v>
      </c>
      <c r="G204" s="352">
        <f t="shared" si="11"/>
        <v>-6.9803412252599877</v>
      </c>
      <c r="H204" s="351"/>
      <c r="I204" s="349"/>
      <c r="J204" s="349"/>
      <c r="K204" s="349"/>
      <c r="L204" s="349"/>
      <c r="M204" s="349"/>
      <c r="N204" s="349"/>
      <c r="O204" s="352"/>
      <c r="P204" s="352"/>
      <c r="Q204" s="352"/>
      <c r="R204" s="352"/>
      <c r="S204" s="352"/>
      <c r="T204" s="352"/>
      <c r="U204" s="352"/>
      <c r="V204" s="352"/>
      <c r="W204" s="352">
        <f t="array" ref="W204">(PRODUCT(Index_Returns!AC193:AC204/100+1)-1)*100</f>
        <v>-5.3835319826878392</v>
      </c>
      <c r="X204" s="352">
        <f t="array" ref="X204">(PRODUCT(Index_Returns!AB193:AB204/100+1)-1)*100</f>
        <v>-10.808928070792733</v>
      </c>
      <c r="Y204" s="352">
        <f t="shared" si="12"/>
        <v>5.4253960881048942</v>
      </c>
      <c r="Z204" s="352">
        <f t="array" ref="Z204">(GEOMEAN(Index_Returns!AC169:AC204/100+1)^12-1)*100</f>
        <v>-3.5388670205154793</v>
      </c>
      <c r="AA204" s="352">
        <f t="array" ref="AA204">(GEOMEAN(Index_Returns!AB169:AB204/100+1)^12-1)*100</f>
        <v>-7.7659338016984103</v>
      </c>
      <c r="AB204" s="352">
        <f t="shared" si="9"/>
        <v>4.2270667811829306</v>
      </c>
    </row>
    <row r="205" spans="1:28" x14ac:dyDescent="0.2">
      <c r="A205" s="19">
        <v>33755</v>
      </c>
      <c r="B205" s="352">
        <f t="array" ref="B205">(PRODUCT(Index_Returns!D194:D205/100+1)-1)*100</f>
        <v>8.8999339713738976</v>
      </c>
      <c r="C205" s="352">
        <f t="array" ref="C205">(PRODUCT(Index_Returns!C194:C205/100+1)-1)*100</f>
        <v>10.746440510158806</v>
      </c>
      <c r="D205" s="352">
        <f t="shared" si="10"/>
        <v>-1.846506538784908</v>
      </c>
      <c r="E205" s="352">
        <f t="array" ref="E205">(GEOMEAN(Index_Returns!D170:D205/100+1)^12-1)*100</f>
        <v>9.0638852776778975</v>
      </c>
      <c r="F205" s="352">
        <f t="array" ref="F205">(GEOMEAN(Index_Returns!C170:C205/100+1)^12-1)*100</f>
        <v>15.971195177051257</v>
      </c>
      <c r="G205" s="352">
        <f t="shared" si="11"/>
        <v>-6.9073098993733595</v>
      </c>
      <c r="H205" s="351"/>
      <c r="I205" s="349"/>
      <c r="J205" s="349"/>
      <c r="K205" s="349"/>
      <c r="L205" s="349"/>
      <c r="M205" s="349"/>
      <c r="N205" s="349"/>
      <c r="O205" s="352"/>
      <c r="P205" s="352"/>
      <c r="Q205" s="352"/>
      <c r="R205" s="352"/>
      <c r="S205" s="352"/>
      <c r="T205" s="352"/>
      <c r="U205" s="352"/>
      <c r="V205" s="352"/>
      <c r="W205" s="352">
        <f t="array" ref="W205">(PRODUCT(Index_Returns!AC194:AC205/100+1)-1)*100</f>
        <v>-0.62023947179878913</v>
      </c>
      <c r="X205" s="352">
        <f t="array" ref="X205">(PRODUCT(Index_Returns!AB194:AB205/100+1)-1)*100</f>
        <v>-5.2869361875901184</v>
      </c>
      <c r="Y205" s="352">
        <f t="shared" si="12"/>
        <v>4.6666967157913293</v>
      </c>
      <c r="Z205" s="352">
        <f t="array" ref="Z205">(GEOMEAN(Index_Returns!AC170:AC205/100+1)^12-1)*100</f>
        <v>-0.1401443236300981</v>
      </c>
      <c r="AA205" s="352">
        <f t="array" ref="AA205">(GEOMEAN(Index_Returns!AB170:AB205/100+1)^12-1)*100</f>
        <v>-3.4084539019089477</v>
      </c>
      <c r="AB205" s="352">
        <f t="shared" si="9"/>
        <v>3.2683095782788496</v>
      </c>
    </row>
    <row r="206" spans="1:28" x14ac:dyDescent="0.2">
      <c r="A206" s="19">
        <v>33785</v>
      </c>
      <c r="B206" s="352">
        <f t="array" ref="B206">(PRODUCT(Index_Returns!D195:D206/100+1)-1)*100</f>
        <v>13.655639811437048</v>
      </c>
      <c r="C206" s="352">
        <f t="array" ref="C206">(PRODUCT(Index_Returns!C195:C206/100+1)-1)*100</f>
        <v>13.185009399487701</v>
      </c>
      <c r="D206" s="352">
        <f t="shared" si="10"/>
        <v>0.4706304119493474</v>
      </c>
      <c r="E206" s="352">
        <f t="array" ref="E206">(GEOMEAN(Index_Returns!D171:D206/100+1)^12-1)*100</f>
        <v>8.8957908370870253</v>
      </c>
      <c r="F206" s="352">
        <f t="array" ref="F206">(GEOMEAN(Index_Returns!C171:C206/100+1)^12-1)*100</f>
        <v>15.447015587704183</v>
      </c>
      <c r="G206" s="352">
        <f t="shared" si="11"/>
        <v>-6.5512247506171573</v>
      </c>
      <c r="H206" s="351"/>
      <c r="I206" s="350"/>
      <c r="J206" s="350"/>
      <c r="K206" s="350"/>
      <c r="L206" s="350"/>
      <c r="M206" s="350"/>
      <c r="N206" s="350"/>
      <c r="O206" s="352"/>
      <c r="P206" s="352"/>
      <c r="Q206" s="352"/>
      <c r="R206" s="352"/>
      <c r="S206" s="352"/>
      <c r="T206" s="352"/>
      <c r="U206" s="352"/>
      <c r="V206" s="352"/>
      <c r="W206" s="352">
        <f t="array" ref="W206">(PRODUCT(Index_Returns!AC195:AC206/100+1)-1)*100</f>
        <v>1.6231256820671058</v>
      </c>
      <c r="X206" s="352">
        <f t="array" ref="X206">(PRODUCT(Index_Returns!AB195:AB206/100+1)-1)*100</f>
        <v>-2.144711244023334</v>
      </c>
      <c r="Y206" s="352">
        <f t="shared" si="12"/>
        <v>3.7678369260904399</v>
      </c>
      <c r="Z206" s="352">
        <f t="array" ref="Z206">(GEOMEAN(Index_Returns!AC171:AC206/100+1)^12-1)*100</f>
        <v>-1.4239016953271566</v>
      </c>
      <c r="AA206" s="352">
        <f t="array" ref="AA206">(GEOMEAN(Index_Returns!AB171:AB206/100+1)^12-1)*100</f>
        <v>-4.1713178748112867</v>
      </c>
      <c r="AB206" s="352">
        <f t="shared" si="9"/>
        <v>2.7474161794841301</v>
      </c>
    </row>
    <row r="207" spans="1:28" x14ac:dyDescent="0.2">
      <c r="A207" s="19">
        <v>33816</v>
      </c>
      <c r="B207" s="352">
        <f t="array" ref="B207">(PRODUCT(Index_Returns!D196:D207/100+1)-1)*100</f>
        <v>13.262102922602615</v>
      </c>
      <c r="C207" s="352">
        <f t="array" ref="C207">(PRODUCT(Index_Returns!C196:C207/100+1)-1)*100</f>
        <v>12.282642431241687</v>
      </c>
      <c r="D207" s="352">
        <f t="shared" si="10"/>
        <v>0.97946049136092839</v>
      </c>
      <c r="E207" s="352">
        <f t="array" ref="E207">(GEOMEAN(Index_Returns!D172:D207/100+1)^12-1)*100</f>
        <v>7.7669891307867278</v>
      </c>
      <c r="F207" s="352">
        <f t="array" ref="F207">(GEOMEAN(Index_Returns!C172:C207/100+1)^12-1)*100</f>
        <v>13.192342884150964</v>
      </c>
      <c r="G207" s="352">
        <f t="shared" si="11"/>
        <v>-5.4253537533642362</v>
      </c>
      <c r="H207" s="351"/>
      <c r="I207" s="350"/>
      <c r="J207" s="350"/>
      <c r="K207" s="350"/>
      <c r="L207" s="350"/>
      <c r="M207" s="350"/>
      <c r="N207" s="350"/>
      <c r="O207" s="352"/>
      <c r="P207" s="352"/>
      <c r="Q207" s="352"/>
      <c r="R207" s="352"/>
      <c r="S207" s="352"/>
      <c r="T207" s="352"/>
      <c r="U207" s="352"/>
      <c r="V207" s="352"/>
      <c r="W207" s="352">
        <f t="array" ref="W207">(PRODUCT(Index_Returns!AC196:AC207/100+1)-1)*100</f>
        <v>-6.9446525236314667</v>
      </c>
      <c r="X207" s="352">
        <f t="array" ref="X207">(PRODUCT(Index_Returns!AB196:AB207/100+1)-1)*100</f>
        <v>-7.6852680909051951</v>
      </c>
      <c r="Y207" s="352">
        <f t="shared" si="12"/>
        <v>0.74061556727372846</v>
      </c>
      <c r="Z207" s="352">
        <f t="array" ref="Z207">(GEOMEAN(Index_Returns!AC172:AC207/100+1)^12-1)*100</f>
        <v>-6.0974091036963607</v>
      </c>
      <c r="AA207" s="352">
        <f t="array" ref="AA207">(GEOMEAN(Index_Returns!AB172:AB207/100+1)^12-1)*100</f>
        <v>-8.6059378900408596</v>
      </c>
      <c r="AB207" s="352">
        <f t="shared" si="9"/>
        <v>2.5085287863444989</v>
      </c>
    </row>
    <row r="208" spans="1:28" x14ac:dyDescent="0.2">
      <c r="A208" s="19">
        <v>33847</v>
      </c>
      <c r="B208" s="352">
        <f t="array" ref="B208">(PRODUCT(Index_Returns!D197:D208/100+1)-1)*100</f>
        <v>8.4056204414461497</v>
      </c>
      <c r="C208" s="352">
        <f t="array" ref="C208">(PRODUCT(Index_Returns!C197:C208/100+1)-1)*100</f>
        <v>7.5290683258330215</v>
      </c>
      <c r="D208" s="352">
        <f t="shared" si="10"/>
        <v>0.87655211561312818</v>
      </c>
      <c r="E208" s="352">
        <f t="array" ref="E208">(GEOMEAN(Index_Returns!D173:D208/100+1)^12-1)*100</f>
        <v>5.9437141126533088</v>
      </c>
      <c r="F208" s="352">
        <f t="array" ref="F208">(GEOMEAN(Index_Returns!C173:C208/100+1)^12-1)*100</f>
        <v>12.191186546086952</v>
      </c>
      <c r="G208" s="352">
        <f t="shared" si="11"/>
        <v>-6.2474724334336429</v>
      </c>
      <c r="H208" s="351"/>
      <c r="I208" s="350"/>
      <c r="J208" s="350"/>
      <c r="K208" s="350"/>
      <c r="L208" s="350"/>
      <c r="M208" s="350"/>
      <c r="N208" s="350"/>
      <c r="O208" s="352"/>
      <c r="P208" s="352"/>
      <c r="Q208" s="352"/>
      <c r="R208" s="352"/>
      <c r="S208" s="352"/>
      <c r="T208" s="352"/>
      <c r="U208" s="352"/>
      <c r="V208" s="352"/>
      <c r="W208" s="352">
        <f t="array" ref="W208">(PRODUCT(Index_Returns!AC197:AC208/100+1)-1)*100</f>
        <v>-0.35309978370209327</v>
      </c>
      <c r="X208" s="352">
        <f t="array" ref="X208">(PRODUCT(Index_Returns!AB197:AB208/100+1)-1)*100</f>
        <v>1.4931911070766635</v>
      </c>
      <c r="Y208" s="352">
        <f t="shared" si="12"/>
        <v>-1.8462908907787567</v>
      </c>
      <c r="Z208" s="352">
        <f t="array" ref="Z208">(GEOMEAN(Index_Returns!AC173:AC208/100+1)^12-1)*100</f>
        <v>-3.255338740136593</v>
      </c>
      <c r="AA208" s="352">
        <f t="array" ref="AA208">(GEOMEAN(Index_Returns!AB173:AB208/100+1)^12-1)*100</f>
        <v>-4.7122864772539792</v>
      </c>
      <c r="AB208" s="352">
        <f t="shared" si="9"/>
        <v>1.4569477371173862</v>
      </c>
    </row>
    <row r="209" spans="1:28" x14ac:dyDescent="0.2">
      <c r="A209" s="19">
        <v>33877</v>
      </c>
      <c r="B209" s="352">
        <f t="array" ref="B209">(PRODUCT(Index_Returns!D198:D209/100+1)-1)*100</f>
        <v>10.7610735384559</v>
      </c>
      <c r="C209" s="352">
        <f t="array" ref="C209">(PRODUCT(Index_Returns!C198:C209/100+1)-1)*100</f>
        <v>11.234044434256351</v>
      </c>
      <c r="D209" s="352">
        <f t="shared" si="10"/>
        <v>-0.47297089580045082</v>
      </c>
      <c r="E209" s="352">
        <f t="array" ref="E209">(GEOMEAN(Index_Returns!D174:D209/100+1)^12-1)*100</f>
        <v>6.7127330645140315</v>
      </c>
      <c r="F209" s="352">
        <f t="array" ref="F209">(GEOMEAN(Index_Returns!C174:C209/100+1)^12-1)*100</f>
        <v>12.537081694101859</v>
      </c>
      <c r="G209" s="352">
        <f t="shared" si="11"/>
        <v>-5.8243486295878277</v>
      </c>
      <c r="H209" s="351"/>
      <c r="I209" s="350"/>
      <c r="J209" s="350"/>
      <c r="K209" s="350"/>
      <c r="L209" s="350"/>
      <c r="M209" s="350"/>
      <c r="N209" s="350"/>
      <c r="O209" s="352"/>
      <c r="P209" s="352"/>
      <c r="Q209" s="352"/>
      <c r="R209" s="352"/>
      <c r="S209" s="352"/>
      <c r="T209" s="352"/>
      <c r="U209" s="352"/>
      <c r="V209" s="352"/>
      <c r="W209" s="352">
        <f t="array" ref="W209">(PRODUCT(Index_Returns!AC198:AC209/100+1)-1)*100</f>
        <v>-7.9502568008841585</v>
      </c>
      <c r="X209" s="352">
        <f t="array" ref="X209">(PRODUCT(Index_Returns!AB198:AB209/100+1)-1)*100</f>
        <v>-5.4127157472107719</v>
      </c>
      <c r="Y209" s="352">
        <f t="shared" si="12"/>
        <v>-2.5375410536733867</v>
      </c>
      <c r="Z209" s="352">
        <f t="array" ref="Z209">(GEOMEAN(Index_Returns!AC174:AC209/100+1)^12-1)*100</f>
        <v>-5.3905376581673048</v>
      </c>
      <c r="AA209" s="352">
        <f t="array" ref="AA209">(GEOMEAN(Index_Returns!AB174:AB209/100+1)^12-1)*100</f>
        <v>-6.6422436263213207</v>
      </c>
      <c r="AB209" s="352">
        <f t="shared" si="9"/>
        <v>1.2517059681540159</v>
      </c>
    </row>
    <row r="210" spans="1:28" x14ac:dyDescent="0.2">
      <c r="A210" s="19">
        <v>33908</v>
      </c>
      <c r="B210" s="352">
        <f t="array" ref="B210">(PRODUCT(Index_Returns!D199:D210/100+1)-1)*100</f>
        <v>8.2938940963416474</v>
      </c>
      <c r="C210" s="352">
        <f t="array" ref="C210">(PRODUCT(Index_Returns!C199:C210/100+1)-1)*100</f>
        <v>11.543834081608484</v>
      </c>
      <c r="D210" s="352">
        <f t="shared" si="10"/>
        <v>-3.2499399852668365</v>
      </c>
      <c r="E210" s="352">
        <f t="array" ref="E210">(GEOMEAN(Index_Returns!D175:D210/100+1)^12-1)*100</f>
        <v>7.5985833240948875</v>
      </c>
      <c r="F210" s="352">
        <f t="array" ref="F210">(GEOMEAN(Index_Returns!C175:C210/100+1)^12-1)*100</f>
        <v>13.668893823728601</v>
      </c>
      <c r="G210" s="352">
        <f t="shared" si="11"/>
        <v>-6.0703104996337132</v>
      </c>
      <c r="H210" s="351"/>
      <c r="I210" s="350"/>
      <c r="J210" s="350"/>
      <c r="K210" s="350"/>
      <c r="L210" s="350"/>
      <c r="M210" s="350"/>
      <c r="N210" s="350"/>
      <c r="O210" s="352"/>
      <c r="P210" s="352"/>
      <c r="Q210" s="352"/>
      <c r="R210" s="352"/>
      <c r="S210" s="352"/>
      <c r="T210" s="352"/>
      <c r="U210" s="352"/>
      <c r="V210" s="352"/>
      <c r="W210" s="352">
        <f t="array" ref="W210">(PRODUCT(Index_Returns!AC199:AC210/100+1)-1)*100</f>
        <v>-12.773674576327442</v>
      </c>
      <c r="X210" s="352">
        <f t="array" ref="X210">(PRODUCT(Index_Returns!AB199:AB210/100+1)-1)*100</f>
        <v>-12.884530505041592</v>
      </c>
      <c r="Y210" s="352">
        <f t="shared" si="12"/>
        <v>0.11085592871414995</v>
      </c>
      <c r="Z210" s="352">
        <f t="array" ref="Z210">(GEOMEAN(Index_Returns!AC175:AC210/100+1)^12-1)*100</f>
        <v>-5.8440637759653686</v>
      </c>
      <c r="AA210" s="352">
        <f t="array" ref="AA210">(GEOMEAN(Index_Returns!AB175:AB210/100+1)^12-1)*100</f>
        <v>-6.9890855350590808</v>
      </c>
      <c r="AB210" s="352">
        <f t="shared" si="9"/>
        <v>1.1450217590937122</v>
      </c>
    </row>
    <row r="211" spans="1:28" x14ac:dyDescent="0.2">
      <c r="A211" s="19">
        <v>33938</v>
      </c>
      <c r="B211" s="352">
        <f t="array" ref="B211">(PRODUCT(Index_Returns!D200:D211/100+1)-1)*100</f>
        <v>17.80201083070585</v>
      </c>
      <c r="C211" s="352">
        <f t="array" ref="C211">(PRODUCT(Index_Returns!C200:C211/100+1)-1)*100</f>
        <v>19.080953950634672</v>
      </c>
      <c r="D211" s="352">
        <f t="shared" si="10"/>
        <v>-1.2789431199288224</v>
      </c>
      <c r="E211" s="352">
        <f t="array" ref="E211">(GEOMEAN(Index_Returns!D176:D211/100+1)^12-1)*100</f>
        <v>8.2417376878684436</v>
      </c>
      <c r="F211" s="352">
        <f t="array" ref="F211">(GEOMEAN(Index_Returns!C176:C211/100+1)^12-1)*100</f>
        <v>14.004104975033925</v>
      </c>
      <c r="G211" s="352">
        <f t="shared" si="11"/>
        <v>-5.7623672871654819</v>
      </c>
      <c r="H211" s="351"/>
      <c r="I211" s="350"/>
      <c r="J211" s="350"/>
      <c r="K211" s="350"/>
      <c r="L211" s="350"/>
      <c r="M211" s="350"/>
      <c r="N211" s="350"/>
      <c r="O211" s="352"/>
      <c r="P211" s="352"/>
      <c r="Q211" s="352"/>
      <c r="R211" s="352"/>
      <c r="S211" s="352"/>
      <c r="T211" s="352"/>
      <c r="U211" s="352"/>
      <c r="V211" s="352"/>
      <c r="W211" s="352">
        <f t="array" ref="W211">(PRODUCT(Index_Returns!AC200:AC211/100+1)-1)*100</f>
        <v>-6.9666689821091481</v>
      </c>
      <c r="X211" s="352">
        <f t="array" ref="X211">(PRODUCT(Index_Returns!AB200:AB211/100+1)-1)*100</f>
        <v>-8.4335827099847656</v>
      </c>
      <c r="Y211" s="352">
        <f t="shared" si="12"/>
        <v>1.4669137278756175</v>
      </c>
      <c r="Z211" s="352">
        <f t="array" ref="Z211">(GEOMEAN(Index_Returns!AC176:AC211/100+1)^12-1)*100</f>
        <v>-7.0574169480070452</v>
      </c>
      <c r="AA211" s="352">
        <f t="array" ref="AA211">(GEOMEAN(Index_Returns!AB176:AB211/100+1)^12-1)*100</f>
        <v>-8.2753096263379344</v>
      </c>
      <c r="AB211" s="352">
        <f t="shared" si="9"/>
        <v>1.2178926783308892</v>
      </c>
    </row>
    <row r="212" spans="1:28" x14ac:dyDescent="0.2">
      <c r="A212" s="19">
        <v>33969</v>
      </c>
      <c r="B212" s="352">
        <f t="array" ref="B212">(PRODUCT(Index_Returns!D201:D212/100+1)-1)*100</f>
        <v>10.528271336044259</v>
      </c>
      <c r="C212" s="352">
        <f t="array" ref="C212">(PRODUCT(Index_Returns!C201:C212/100+1)-1)*100</f>
        <v>5.060605679950636</v>
      </c>
      <c r="D212" s="352">
        <f t="shared" si="10"/>
        <v>5.4676656560936232</v>
      </c>
      <c r="E212" s="352">
        <f t="array" ref="E212">(GEOMEAN(Index_Returns!D177:D212/100+1)^12-1)*100</f>
        <v>8.0615993676387951</v>
      </c>
      <c r="F212" s="352">
        <f t="array" ref="F212">(GEOMEAN(Index_Returns!C177:C212/100+1)^12-1)*100</f>
        <v>13.357287790217187</v>
      </c>
      <c r="G212" s="352">
        <f t="shared" si="11"/>
        <v>-5.295688422578392</v>
      </c>
      <c r="H212" s="351"/>
      <c r="I212" s="350">
        <f t="array" ref="I212">(PRODUCT(Index_Returns!G201:G212/100+1)-1)*100</f>
        <v>16.019903757810749</v>
      </c>
      <c r="J212" s="350">
        <f t="array" ref="J212">(PRODUCT(Index_Returns!F201:F212/100+1)-1)*100</f>
        <v>6.9425528325785635</v>
      </c>
      <c r="K212" s="350">
        <f>I212-J212</f>
        <v>9.0773509252321851</v>
      </c>
      <c r="L212" s="350"/>
      <c r="M212" s="350"/>
      <c r="N212" s="350"/>
      <c r="O212" s="352"/>
      <c r="P212" s="352"/>
      <c r="Q212" s="352"/>
      <c r="R212" s="352"/>
      <c r="S212" s="352"/>
      <c r="T212" s="352"/>
      <c r="U212" s="352"/>
      <c r="V212" s="352"/>
      <c r="W212" s="352">
        <f t="array" ref="W212">(PRODUCT(Index_Returns!AC201:AC212/100+1)-1)*100</f>
        <v>-10.785062372697151</v>
      </c>
      <c r="X212" s="352">
        <f t="array" ref="X212">(PRODUCT(Index_Returns!AB201:AB212/100+1)-1)*100</f>
        <v>-12.778958213153013</v>
      </c>
      <c r="Y212" s="352">
        <f t="shared" si="12"/>
        <v>1.9938958404558615</v>
      </c>
      <c r="Z212" s="352">
        <f t="array" ref="Z212">(GEOMEAN(Index_Returns!AC177:AC212/100+1)^12-1)*100</f>
        <v>-8.0493676663064626</v>
      </c>
      <c r="AA212" s="352">
        <f t="array" ref="AA212">(GEOMEAN(Index_Returns!AB177:AB212/100+1)^12-1)*100</f>
        <v>-9.1710658545984138</v>
      </c>
      <c r="AB212" s="352">
        <f t="shared" si="9"/>
        <v>1.1216981882919512</v>
      </c>
    </row>
    <row r="213" spans="1:28" x14ac:dyDescent="0.2">
      <c r="A213" s="19">
        <v>34000</v>
      </c>
      <c r="B213" s="352">
        <f t="array" ref="B213">(PRODUCT(Index_Returns!D202:D213/100+1)-1)*100</f>
        <v>13.578851624919096</v>
      </c>
      <c r="C213" s="352">
        <f t="array" ref="C213">(PRODUCT(Index_Returns!C202:C213/100+1)-1)*100</f>
        <v>7.7117799327507619</v>
      </c>
      <c r="D213" s="352">
        <f t="shared" si="10"/>
        <v>5.8670716921683344</v>
      </c>
      <c r="E213" s="352">
        <f t="array" ref="E213">(GEOMEAN(Index_Returns!D178:D213/100+1)^12-1)*100</f>
        <v>11.267945726403127</v>
      </c>
      <c r="F213" s="352">
        <f t="array" ref="F213">(GEOMEAN(Index_Returns!C178:C213/100+1)^12-1)*100</f>
        <v>15.910811206604603</v>
      </c>
      <c r="G213" s="352">
        <f t="shared" si="11"/>
        <v>-4.6428654802014755</v>
      </c>
      <c r="H213" s="351"/>
      <c r="I213" s="350">
        <f t="array" ref="I213">(PRODUCT(Index_Returns!G202:G213/100+1)-1)*100</f>
        <v>14.793665608449324</v>
      </c>
      <c r="J213" s="350">
        <f t="array" ref="J213">(PRODUCT(Index_Returns!F202:F213/100+1)-1)*100</f>
        <v>6.8894645577442182</v>
      </c>
      <c r="K213" s="350">
        <f t="shared" ref="K213:K276" si="13">I213-J213</f>
        <v>7.9042010507051055</v>
      </c>
      <c r="L213" s="350"/>
      <c r="M213" s="350"/>
      <c r="N213" s="350"/>
      <c r="O213" s="352"/>
      <c r="P213" s="352"/>
      <c r="Q213" s="352"/>
      <c r="R213" s="352"/>
      <c r="S213" s="352"/>
      <c r="T213" s="352"/>
      <c r="U213" s="352"/>
      <c r="V213" s="352"/>
      <c r="W213" s="352">
        <f t="array" ref="W213">(PRODUCT(Index_Returns!AC202:AC213/100+1)-1)*100</f>
        <v>-9.2542729242427022</v>
      </c>
      <c r="X213" s="352">
        <f t="array" ref="X213">(PRODUCT(Index_Returns!AB202:AB213/100+1)-1)*100</f>
        <v>-10.49966285339451</v>
      </c>
      <c r="Y213" s="352">
        <f t="shared" si="12"/>
        <v>1.2453899291518074</v>
      </c>
      <c r="Z213" s="352">
        <f t="array" ref="Z213">(GEOMEAN(Index_Returns!AC178:AC213/100+1)^12-1)*100</f>
        <v>-6.862673903057015</v>
      </c>
      <c r="AA213" s="352">
        <f t="array" ref="AA213">(GEOMEAN(Index_Returns!AB178:AB213/100+1)^12-1)*100</f>
        <v>-8.0525905801343214</v>
      </c>
      <c r="AB213" s="352">
        <f t="shared" si="9"/>
        <v>1.1899166770773064</v>
      </c>
    </row>
    <row r="214" spans="1:28" x14ac:dyDescent="0.2">
      <c r="A214" s="19">
        <v>34028</v>
      </c>
      <c r="B214" s="352">
        <f t="array" ref="B214">(PRODUCT(Index_Returns!D203:D214/100+1)-1)*100</f>
        <v>15.159582481602252</v>
      </c>
      <c r="C214" s="352">
        <f t="array" ref="C214">(PRODUCT(Index_Returns!C203:C214/100+1)-1)*100</f>
        <v>6.2125557231970996</v>
      </c>
      <c r="D214" s="352">
        <f t="shared" si="10"/>
        <v>8.9470267584051513</v>
      </c>
      <c r="E214" s="352">
        <f t="array" ref="E214">(GEOMEAN(Index_Returns!D179:D214/100+1)^12-1)*100</f>
        <v>11.781759013443738</v>
      </c>
      <c r="F214" s="352">
        <f t="array" ref="F214">(GEOMEAN(Index_Returns!C179:C214/100+1)^12-1)*100</f>
        <v>15.374414708345551</v>
      </c>
      <c r="G214" s="352">
        <f t="shared" si="11"/>
        <v>-3.5926556949018131</v>
      </c>
      <c r="H214" s="351"/>
      <c r="I214" s="350">
        <f t="array" ref="I214">(PRODUCT(Index_Returns!G203:G214/100+1)-1)*100</f>
        <v>13.530230893950979</v>
      </c>
      <c r="J214" s="350">
        <f t="array" ref="J214">(PRODUCT(Index_Returns!F203:F214/100+1)-1)*100</f>
        <v>1.8977162816053994</v>
      </c>
      <c r="K214" s="350">
        <f t="shared" si="13"/>
        <v>11.632514612345579</v>
      </c>
      <c r="L214" s="350"/>
      <c r="M214" s="350"/>
      <c r="N214" s="350"/>
      <c r="O214" s="352"/>
      <c r="P214" s="352"/>
      <c r="Q214" s="352"/>
      <c r="R214" s="352"/>
      <c r="S214" s="352"/>
      <c r="T214" s="352"/>
      <c r="U214" s="352"/>
      <c r="V214" s="352"/>
      <c r="W214" s="352">
        <f t="array" ref="W214">(PRODUCT(Index_Returns!AC203:AC214/100+1)-1)*100</f>
        <v>-3.2564842575164121</v>
      </c>
      <c r="X214" s="352">
        <f t="array" ref="X214">(PRODUCT(Index_Returns!AB203:AB214/100+1)-1)*100</f>
        <v>-4.1728512840179981</v>
      </c>
      <c r="Y214" s="352">
        <f t="shared" si="12"/>
        <v>0.91636702650158597</v>
      </c>
      <c r="Z214" s="352">
        <f t="array" ref="Z214">(GEOMEAN(Index_Returns!AC179:AC214/100+1)^12-1)*100</f>
        <v>-3.8525633860468256</v>
      </c>
      <c r="AA214" s="352">
        <f t="array" ref="AA214">(GEOMEAN(Index_Returns!AB179:AB214/100+1)^12-1)*100</f>
        <v>-4.6069544102652848</v>
      </c>
      <c r="AB214" s="352">
        <f t="shared" si="9"/>
        <v>0.75439102421845927</v>
      </c>
    </row>
    <row r="215" spans="1:28" x14ac:dyDescent="0.2">
      <c r="A215" s="19">
        <v>34059</v>
      </c>
      <c r="B215" s="352">
        <f t="array" ref="B215">(PRODUCT(Index_Returns!D204:D215/100+1)-1)*100</f>
        <v>20.225527743670124</v>
      </c>
      <c r="C215" s="352">
        <f t="array" ref="C215">(PRODUCT(Index_Returns!C204:C215/100+1)-1)*100</f>
        <v>10.271645367173999</v>
      </c>
      <c r="D215" s="352">
        <f t="shared" si="10"/>
        <v>9.9538823764961251</v>
      </c>
      <c r="E215" s="352">
        <f t="array" ref="E215">(GEOMEAN(Index_Returns!D180:D215/100+1)^12-1)*100</f>
        <v>12.356906326429673</v>
      </c>
      <c r="F215" s="352">
        <f t="array" ref="F215">(GEOMEAN(Index_Returns!C180:C215/100+1)^12-1)*100</f>
        <v>14.413281116433364</v>
      </c>
      <c r="G215" s="352">
        <f t="shared" si="11"/>
        <v>-2.0563747900036908</v>
      </c>
      <c r="H215" s="351"/>
      <c r="I215" s="350">
        <f t="array" ref="I215">(PRODUCT(Index_Returns!G204:G215/100+1)-1)*100</f>
        <v>21.588698661424608</v>
      </c>
      <c r="J215" s="350">
        <f t="array" ref="J215">(PRODUCT(Index_Returns!F204:F215/100+1)-1)*100</f>
        <v>9.8877694672429683</v>
      </c>
      <c r="K215" s="350">
        <f t="shared" si="13"/>
        <v>11.70092919418164</v>
      </c>
      <c r="L215" s="350"/>
      <c r="M215" s="350"/>
      <c r="N215" s="350"/>
      <c r="O215" s="352"/>
      <c r="P215" s="352"/>
      <c r="Q215" s="352"/>
      <c r="R215" s="352"/>
      <c r="S215" s="352"/>
      <c r="T215" s="352"/>
      <c r="U215" s="352"/>
      <c r="V215" s="352"/>
      <c r="W215" s="352">
        <f t="array" ref="W215">(PRODUCT(Index_Returns!AC204:AC215/100+1)-1)*100</f>
        <v>14.23174160050349</v>
      </c>
      <c r="X215" s="352">
        <f t="array" ref="X215">(PRODUCT(Index_Returns!AB204:AB215/100+1)-1)*100</f>
        <v>9.9570323038705499</v>
      </c>
      <c r="Y215" s="352">
        <f t="shared" si="12"/>
        <v>4.2747092966329401</v>
      </c>
      <c r="Z215" s="352">
        <f t="array" ref="Z215">(GEOMEAN(Index_Returns!AC180:AC215/100+1)^12-1)*100</f>
        <v>2.5928642653156864</v>
      </c>
      <c r="AA215" s="352">
        <f t="array" ref="AA215">(GEOMEAN(Index_Returns!AB180:AB215/100+1)^12-1)*100</f>
        <v>1.6667031573062152</v>
      </c>
      <c r="AB215" s="352">
        <f t="shared" si="9"/>
        <v>0.92616110800947116</v>
      </c>
    </row>
    <row r="216" spans="1:28" x14ac:dyDescent="0.2">
      <c r="A216" s="19">
        <v>34089</v>
      </c>
      <c r="B216" s="352">
        <f t="array" ref="B216">(PRODUCT(Index_Returns!D205:D216/100+1)-1)*100</f>
        <v>14.172984012867484</v>
      </c>
      <c r="C216" s="352">
        <f t="array" ref="C216">(PRODUCT(Index_Returns!C205:C216/100+1)-1)*100</f>
        <v>4.0814408220273712</v>
      </c>
      <c r="D216" s="352">
        <f t="shared" si="10"/>
        <v>10.091543190840113</v>
      </c>
      <c r="E216" s="352">
        <f t="array" ref="E216">(GEOMEAN(Index_Returns!D181:D216/100+1)^12-1)*100</f>
        <v>13.508184304300608</v>
      </c>
      <c r="F216" s="352">
        <f t="array" ref="F216">(GEOMEAN(Index_Returns!C181:C216/100+1)^12-1)*100</f>
        <v>13.241013050051521</v>
      </c>
      <c r="G216" s="352">
        <f t="shared" si="11"/>
        <v>0.26717125424908694</v>
      </c>
      <c r="H216" s="351"/>
      <c r="I216" s="350">
        <f t="array" ref="I216">(PRODUCT(Index_Returns!G205:G216/100+1)-1)*100</f>
        <v>17.812836808411703</v>
      </c>
      <c r="J216" s="350">
        <f t="array" ref="J216">(PRODUCT(Index_Returns!F205:F216/100+1)-1)*100</f>
        <v>10.276577143306653</v>
      </c>
      <c r="K216" s="350">
        <f t="shared" si="13"/>
        <v>7.5362596651050495</v>
      </c>
      <c r="L216" s="350"/>
      <c r="M216" s="350"/>
      <c r="N216" s="350"/>
      <c r="O216" s="352"/>
      <c r="P216" s="352"/>
      <c r="Q216" s="352"/>
      <c r="R216" s="352"/>
      <c r="S216" s="352"/>
      <c r="T216" s="352"/>
      <c r="U216" s="352"/>
      <c r="V216" s="352"/>
      <c r="W216" s="352">
        <f t="array" ref="W216">(PRODUCT(Index_Returns!AC205:AC216/100+1)-1)*100</f>
        <v>22.717102344065545</v>
      </c>
      <c r="X216" s="352">
        <f t="array" ref="X216">(PRODUCT(Index_Returns!AB205:AB216/100+1)-1)*100</f>
        <v>21.547896809680612</v>
      </c>
      <c r="Y216" s="352">
        <f t="shared" si="12"/>
        <v>1.1692055343849326</v>
      </c>
      <c r="Z216" s="352">
        <f t="array" ref="Z216">(GEOMEAN(Index_Returns!AC181:AC216/100+1)^12-1)*100</f>
        <v>6.3469406392777872</v>
      </c>
      <c r="AA216" s="352">
        <f t="array" ref="AA216">(GEOMEAN(Index_Returns!AB181:AB216/100+1)^12-1)*100</f>
        <v>4.7340250458233646</v>
      </c>
      <c r="AB216" s="352">
        <f t="shared" si="9"/>
        <v>1.6129155934544226</v>
      </c>
    </row>
    <row r="217" spans="1:28" x14ac:dyDescent="0.2">
      <c r="A217" s="19">
        <v>34120</v>
      </c>
      <c r="B217" s="352">
        <f t="array" ref="B217">(PRODUCT(Index_Returns!D206:D217/100+1)-1)*100</f>
        <v>15.983265670032054</v>
      </c>
      <c r="C217" s="352">
        <f t="array" ref="C217">(PRODUCT(Index_Returns!C206:C217/100+1)-1)*100</f>
        <v>6.9483794975775837</v>
      </c>
      <c r="D217" s="352">
        <f t="shared" si="10"/>
        <v>9.0348861724544705</v>
      </c>
      <c r="E217" s="352">
        <f t="array" ref="E217">(GEOMEAN(Index_Returns!D182:D217/100+1)^12-1)*100</f>
        <v>11.332421061180153</v>
      </c>
      <c r="F217" s="352">
        <f t="array" ref="F217">(GEOMEAN(Index_Returns!C182:C217/100+1)^12-1)*100</f>
        <v>10.544726374350688</v>
      </c>
      <c r="G217" s="352">
        <f t="shared" si="11"/>
        <v>0.78769468682946453</v>
      </c>
      <c r="H217" s="351"/>
      <c r="I217" s="350">
        <f t="array" ref="I217">(PRODUCT(Index_Returns!G206:G217/100+1)-1)*100</f>
        <v>19.633895388547316</v>
      </c>
      <c r="J217" s="350">
        <f t="array" ref="J217">(PRODUCT(Index_Returns!F206:F217/100+1)-1)*100</f>
        <v>16.568288077009807</v>
      </c>
      <c r="K217" s="350">
        <f t="shared" si="13"/>
        <v>3.0656073115375087</v>
      </c>
      <c r="L217" s="350"/>
      <c r="M217" s="350"/>
      <c r="N217" s="350"/>
      <c r="O217" s="352"/>
      <c r="P217" s="352"/>
      <c r="Q217" s="352"/>
      <c r="R217" s="352"/>
      <c r="S217" s="352"/>
      <c r="T217" s="352"/>
      <c r="U217" s="352"/>
      <c r="V217" s="352"/>
      <c r="W217" s="352">
        <f t="array" ref="W217">(PRODUCT(Index_Returns!AC206:AC217/100+1)-1)*100</f>
        <v>17.340384451531964</v>
      </c>
      <c r="X217" s="352">
        <f t="array" ref="X217">(PRODUCT(Index_Returns!AB206:AB217/100+1)-1)*100</f>
        <v>16.4186886321231</v>
      </c>
      <c r="Y217" s="352">
        <f t="shared" si="12"/>
        <v>0.92169581940886403</v>
      </c>
      <c r="Z217" s="352">
        <f t="array" ref="Z217">(GEOMEAN(Index_Returns!AC182:AC217/100+1)^12-1)*100</f>
        <v>3.3533536147402065</v>
      </c>
      <c r="AA217" s="352">
        <f t="array" ref="AA217">(GEOMEAN(Index_Returns!AB182:AB217/100+1)^12-1)*100</f>
        <v>1.6659942058465438</v>
      </c>
      <c r="AB217" s="352">
        <f t="shared" si="9"/>
        <v>1.6873594088936628</v>
      </c>
    </row>
    <row r="218" spans="1:28" x14ac:dyDescent="0.2">
      <c r="A218" s="19">
        <v>34150</v>
      </c>
      <c r="B218" s="352">
        <f t="array" ref="B218">(PRODUCT(Index_Returns!D207:D218/100+1)-1)*100</f>
        <v>18.485828571159967</v>
      </c>
      <c r="C218" s="352">
        <f t="array" ref="C218">(PRODUCT(Index_Returns!C207:C218/100+1)-1)*100</f>
        <v>8.2787636076965487</v>
      </c>
      <c r="D218" s="352">
        <f t="shared" si="10"/>
        <v>10.207064963463418</v>
      </c>
      <c r="E218" s="352">
        <f t="array" ref="E218">(GEOMEAN(Index_Returns!D183:D218/100+1)^12-1)*100</f>
        <v>12.533619747475665</v>
      </c>
      <c r="F218" s="352">
        <f t="array" ref="F218">(GEOMEAN(Index_Returns!C183:C218/100+1)^12-1)*100</f>
        <v>10.108970735843293</v>
      </c>
      <c r="G218" s="352">
        <f t="shared" si="11"/>
        <v>2.424649011632372</v>
      </c>
      <c r="H218" s="351"/>
      <c r="I218" s="350">
        <f t="array" ref="I218">(PRODUCT(Index_Returns!G207:G218/100+1)-1)*100</f>
        <v>23.304611067766</v>
      </c>
      <c r="J218" s="350">
        <f t="array" ref="J218">(PRODUCT(Index_Returns!F207:F218/100+1)-1)*100</f>
        <v>21.265221490788132</v>
      </c>
      <c r="K218" s="350">
        <f t="shared" si="13"/>
        <v>2.039389576977868</v>
      </c>
      <c r="L218" s="350"/>
      <c r="M218" s="350"/>
      <c r="N218" s="350"/>
      <c r="O218" s="352"/>
      <c r="P218" s="352"/>
      <c r="Q218" s="352"/>
      <c r="R218" s="352"/>
      <c r="S218" s="352"/>
      <c r="T218" s="352"/>
      <c r="U218" s="352"/>
      <c r="V218" s="352"/>
      <c r="W218" s="352">
        <f t="array" ref="W218">(PRODUCT(Index_Returns!AC207:AC218/100+1)-1)*100</f>
        <v>20.886754960606922</v>
      </c>
      <c r="X218" s="352">
        <f t="array" ref="X218">(PRODUCT(Index_Returns!AB207:AB218/100+1)-1)*100</f>
        <v>20.703451128926243</v>
      </c>
      <c r="Y218" s="352">
        <f t="shared" si="12"/>
        <v>0.18330383168067854</v>
      </c>
      <c r="Z218" s="352">
        <f t="array" ref="Z218">(GEOMEAN(Index_Returns!AC183:AC218/100+1)^12-1)*100</f>
        <v>2.6891086175180545</v>
      </c>
      <c r="AA218" s="352">
        <f t="array" ref="AA218">(GEOMEAN(Index_Returns!AB183:AB218/100+1)^12-1)*100</f>
        <v>1.868464328097641</v>
      </c>
      <c r="AB218" s="352">
        <f t="shared" si="9"/>
        <v>0.82064428942041356</v>
      </c>
    </row>
    <row r="219" spans="1:28" x14ac:dyDescent="0.2">
      <c r="A219" s="19">
        <v>34181</v>
      </c>
      <c r="B219" s="352">
        <f t="array" ref="B219">(PRODUCT(Index_Returns!D208:D219/100+1)-1)*100</f>
        <v>15.775555299143251</v>
      </c>
      <c r="C219" s="352">
        <f t="array" ref="C219">(PRODUCT(Index_Returns!C208:C219/100+1)-1)*100</f>
        <v>1.4761794854858623</v>
      </c>
      <c r="D219" s="352">
        <f t="shared" si="10"/>
        <v>14.299375813657388</v>
      </c>
      <c r="E219" s="352">
        <f t="array" ref="E219">(GEOMEAN(Index_Returns!D184:D219/100+1)^12-1)*100</f>
        <v>12.993082960066182</v>
      </c>
      <c r="F219" s="352">
        <f t="array" ref="F219">(GEOMEAN(Index_Returns!C184:C219/100+1)^12-1)*100</f>
        <v>9.579691361266951</v>
      </c>
      <c r="G219" s="352">
        <f t="shared" si="11"/>
        <v>3.4133915987992314</v>
      </c>
      <c r="H219" s="351"/>
      <c r="I219" s="350">
        <f t="array" ref="I219">(PRODUCT(Index_Returns!G208:G219/100+1)-1)*100</f>
        <v>17.75224684373562</v>
      </c>
      <c r="J219" s="350">
        <f t="array" ref="J219">(PRODUCT(Index_Returns!F208:F219/100+1)-1)*100</f>
        <v>15.188232156124414</v>
      </c>
      <c r="K219" s="350">
        <f t="shared" si="13"/>
        <v>2.5640146876112055</v>
      </c>
      <c r="L219" s="350"/>
      <c r="M219" s="350"/>
      <c r="N219" s="350"/>
      <c r="O219" s="352"/>
      <c r="P219" s="352"/>
      <c r="Q219" s="352"/>
      <c r="R219" s="352"/>
      <c r="S219" s="352"/>
      <c r="T219" s="352"/>
      <c r="U219" s="352"/>
      <c r="V219" s="352"/>
      <c r="W219" s="352">
        <f t="array" ref="W219">(PRODUCT(Index_Returns!AC208:AC219/100+1)-1)*100</f>
        <v>30.296199357637789</v>
      </c>
      <c r="X219" s="352">
        <f t="array" ref="X219">(PRODUCT(Index_Returns!AB208:AB219/100+1)-1)*100</f>
        <v>26.212275832382304</v>
      </c>
      <c r="Y219" s="352">
        <f t="shared" si="12"/>
        <v>4.0839235252554857</v>
      </c>
      <c r="Z219" s="352">
        <f t="array" ref="Z219">(GEOMEAN(Index_Returns!AC184:AC219/100+1)^12-1)*100</f>
        <v>3.477638584477627</v>
      </c>
      <c r="AA219" s="352">
        <f t="array" ref="AA219">(GEOMEAN(Index_Returns!AB184:AB219/100+1)^12-1)*100</f>
        <v>2.4756403051679365</v>
      </c>
      <c r="AB219" s="352">
        <f t="shared" si="9"/>
        <v>1.0019982793096904</v>
      </c>
    </row>
    <row r="220" spans="1:28" x14ac:dyDescent="0.2">
      <c r="A220" s="19">
        <v>34212</v>
      </c>
      <c r="B220" s="352">
        <f t="array" ref="B220">(PRODUCT(Index_Returns!D209:D220/100+1)-1)*100</f>
        <v>23.907267834057343</v>
      </c>
      <c r="C220" s="352">
        <f t="array" ref="C220">(PRODUCT(Index_Returns!C209:C220/100+1)-1)*100</f>
        <v>6.4003099632296889</v>
      </c>
      <c r="D220" s="352">
        <f t="shared" si="10"/>
        <v>17.506957870827655</v>
      </c>
      <c r="E220" s="352">
        <f t="array" ref="E220">(GEOMEAN(Index_Returns!D185:D220/100+1)^12-1)*100</f>
        <v>18.01936988042938</v>
      </c>
      <c r="F220" s="352">
        <f t="array" ref="F220">(GEOMEAN(Index_Returns!C185:C220/100+1)^12-1)*100</f>
        <v>14.529837926947042</v>
      </c>
      <c r="G220" s="352">
        <f t="shared" si="11"/>
        <v>3.4895319534823379</v>
      </c>
      <c r="H220" s="351"/>
      <c r="I220" s="350">
        <f t="array" ref="I220">(PRODUCT(Index_Returns!G209:G220/100+1)-1)*100</f>
        <v>24.814376082727541</v>
      </c>
      <c r="J220" s="350">
        <f t="array" ref="J220">(PRODUCT(Index_Returns!F209:F220/100+1)-1)*100</f>
        <v>23.813366025683003</v>
      </c>
      <c r="K220" s="350">
        <f t="shared" si="13"/>
        <v>1.0010100570445388</v>
      </c>
      <c r="L220" s="350"/>
      <c r="M220" s="350"/>
      <c r="N220" s="350"/>
      <c r="O220" s="352"/>
      <c r="P220" s="352"/>
      <c r="Q220" s="352"/>
      <c r="R220" s="352"/>
      <c r="S220" s="352"/>
      <c r="T220" s="352"/>
      <c r="U220" s="352"/>
      <c r="V220" s="352"/>
      <c r="W220" s="352">
        <f t="array" ref="W220">(PRODUCT(Index_Returns!AC209:AC220/100+1)-1)*100</f>
        <v>31.357971717457712</v>
      </c>
      <c r="X220" s="352">
        <f t="array" ref="X220">(PRODUCT(Index_Returns!AB209:AB220/100+1)-1)*100</f>
        <v>23.013577166275034</v>
      </c>
      <c r="Y220" s="352">
        <f t="shared" si="12"/>
        <v>8.3443945511826776</v>
      </c>
      <c r="Z220" s="352">
        <f t="array" ref="Z220">(GEOMEAN(Index_Returns!AC185:AC220/100+1)^12-1)*100</f>
        <v>9.1077309386487837</v>
      </c>
      <c r="AA220" s="352">
        <f t="array" ref="AA220">(GEOMEAN(Index_Returns!AB185:AB220/100+1)^12-1)*100</f>
        <v>7.7278268285409846</v>
      </c>
      <c r="AB220" s="352">
        <f t="shared" si="9"/>
        <v>1.3799041101077991</v>
      </c>
    </row>
    <row r="221" spans="1:28" x14ac:dyDescent="0.2">
      <c r="A221" s="19">
        <v>34242</v>
      </c>
      <c r="B221" s="352">
        <f t="array" ref="B221">(PRODUCT(Index_Returns!D210:D221/100+1)-1)*100</f>
        <v>22.510093894088801</v>
      </c>
      <c r="C221" s="352">
        <f t="array" ref="C221">(PRODUCT(Index_Returns!C210:C221/100+1)-1)*100</f>
        <v>3.5461807296036874</v>
      </c>
      <c r="D221" s="352">
        <f t="shared" si="10"/>
        <v>18.963913164485113</v>
      </c>
      <c r="E221" s="352">
        <f t="array" ref="E221">(GEOMEAN(Index_Returns!D186:D221/100+1)^12-1)*100</f>
        <v>19.883141001066583</v>
      </c>
      <c r="F221" s="352">
        <f t="array" ref="F221">(GEOMEAN(Index_Returns!C186:C221/100+1)^12-1)*100</f>
        <v>15.971180244226746</v>
      </c>
      <c r="G221" s="352">
        <f t="shared" si="11"/>
        <v>3.9119607568398376</v>
      </c>
      <c r="H221" s="351"/>
      <c r="I221" s="350">
        <f t="array" ref="I221">(PRODUCT(Index_Returns!G210:G221/100+1)-1)*100</f>
        <v>23.702813381385823</v>
      </c>
      <c r="J221" s="350">
        <f t="array" ref="J221">(PRODUCT(Index_Returns!F210:F221/100+1)-1)*100</f>
        <v>23.825169317369777</v>
      </c>
      <c r="K221" s="350">
        <f t="shared" si="13"/>
        <v>-0.12235593598395411</v>
      </c>
      <c r="L221" s="350"/>
      <c r="M221" s="350"/>
      <c r="N221" s="350"/>
      <c r="O221" s="352"/>
      <c r="P221" s="352"/>
      <c r="Q221" s="352"/>
      <c r="R221" s="352"/>
      <c r="S221" s="352"/>
      <c r="T221" s="352"/>
      <c r="U221" s="352"/>
      <c r="V221" s="352"/>
      <c r="W221" s="352">
        <f t="array" ref="W221">(PRODUCT(Index_Returns!AC210:AC221/100+1)-1)*100</f>
        <v>31.03696332502739</v>
      </c>
      <c r="X221" s="352">
        <f t="array" ref="X221">(PRODUCT(Index_Returns!AB210:AB221/100+1)-1)*100</f>
        <v>22.545257580556033</v>
      </c>
      <c r="Y221" s="352">
        <f t="shared" si="12"/>
        <v>8.4917057444713571</v>
      </c>
      <c r="Z221" s="352">
        <f t="array" ref="Z221">(GEOMEAN(Index_Returns!AC186:AC221/100+1)^12-1)*100</f>
        <v>13.366394107938827</v>
      </c>
      <c r="AA221" s="352">
        <f t="array" ref="AA221">(GEOMEAN(Index_Returns!AB186:AB221/100+1)^12-1)*100</f>
        <v>12.870724832086665</v>
      </c>
      <c r="AB221" s="352">
        <f t="shared" si="9"/>
        <v>0.49566927585216192</v>
      </c>
    </row>
    <row r="222" spans="1:28" x14ac:dyDescent="0.2">
      <c r="A222" s="19">
        <v>34273</v>
      </c>
      <c r="B222" s="352">
        <f t="array" ref="B222">(PRODUCT(Index_Returns!D211:D222/100+1)-1)*100</f>
        <v>24.168673088642834</v>
      </c>
      <c r="C222" s="352">
        <f t="array" ref="C222">(PRODUCT(Index_Returns!C211:C222/100+1)-1)*100</f>
        <v>5.8090582164503246</v>
      </c>
      <c r="D222" s="352">
        <f t="shared" si="10"/>
        <v>18.359614872192509</v>
      </c>
      <c r="E222" s="352">
        <f t="array" ref="E222">(GEOMEAN(Index_Returns!D187:D222/100+1)^12-1)*100</f>
        <v>20.673651694430227</v>
      </c>
      <c r="F222" s="352">
        <f t="array" ref="F222">(GEOMEAN(Index_Returns!C187:C222/100+1)^12-1)*100</f>
        <v>17.134658263895595</v>
      </c>
      <c r="G222" s="352">
        <f t="shared" si="11"/>
        <v>3.5389934305346316</v>
      </c>
      <c r="H222" s="351"/>
      <c r="I222" s="350">
        <f t="array" ref="I222">(PRODUCT(Index_Returns!G211:G222/100+1)-1)*100</f>
        <v>21.6267785544342</v>
      </c>
      <c r="J222" s="350">
        <f t="array" ref="J222">(PRODUCT(Index_Returns!F211:F222/100+1)-1)*100</f>
        <v>20.91795324788961</v>
      </c>
      <c r="K222" s="350">
        <f t="shared" si="13"/>
        <v>0.70882530654458975</v>
      </c>
      <c r="L222" s="350"/>
      <c r="M222" s="350"/>
      <c r="N222" s="350"/>
      <c r="O222" s="352"/>
      <c r="P222" s="352"/>
      <c r="Q222" s="352"/>
      <c r="R222" s="352"/>
      <c r="S222" s="352"/>
      <c r="T222" s="352"/>
      <c r="U222" s="352"/>
      <c r="V222" s="352"/>
      <c r="W222" s="352">
        <f t="array" ref="W222">(PRODUCT(Index_Returns!AC211:AC222/100+1)-1)*100</f>
        <v>42.485252238770329</v>
      </c>
      <c r="X222" s="352">
        <f t="array" ref="X222">(PRODUCT(Index_Returns!AB211:AB222/100+1)-1)*100</f>
        <v>33.326333072646186</v>
      </c>
      <c r="Y222" s="352">
        <f t="shared" si="12"/>
        <v>9.1589191661241429</v>
      </c>
      <c r="Z222" s="352">
        <f t="array" ref="Z222">(GEOMEAN(Index_Returns!AC187:AC222/100+1)^12-1)*100</f>
        <v>9.663869803234526</v>
      </c>
      <c r="AA222" s="352">
        <f t="array" ref="AA222">(GEOMEAN(Index_Returns!AB187:AB222/100+1)^12-1)*100</f>
        <v>8.0464322124198517</v>
      </c>
      <c r="AB222" s="352">
        <f t="shared" si="9"/>
        <v>1.6174375908146743</v>
      </c>
    </row>
    <row r="223" spans="1:28" x14ac:dyDescent="0.2">
      <c r="A223" s="19">
        <v>34303</v>
      </c>
      <c r="B223" s="352">
        <f t="array" ref="B223">(PRODUCT(Index_Returns!D212:D223/100+1)-1)*100</f>
        <v>18.729720112050472</v>
      </c>
      <c r="C223" s="352">
        <f t="array" ref="C223">(PRODUCT(Index_Returns!C212:C223/100+1)-1)*100</f>
        <v>1.6340576495398551</v>
      </c>
      <c r="D223" s="352">
        <f t="shared" si="10"/>
        <v>17.095662462510617</v>
      </c>
      <c r="E223" s="352">
        <f t="array" ref="E223">(GEOMEAN(Index_Returns!D188:D223/100+1)^12-1)*100</f>
        <v>17.336939589275225</v>
      </c>
      <c r="F223" s="352">
        <f t="array" ref="F223">(GEOMEAN(Index_Returns!C188:C223/100+1)^12-1)*100</f>
        <v>14.840288314038052</v>
      </c>
      <c r="G223" s="352">
        <f t="shared" si="11"/>
        <v>2.4966512752371735</v>
      </c>
      <c r="H223" s="351"/>
      <c r="I223" s="350">
        <f t="array" ref="I223">(PRODUCT(Index_Returns!G212:G223/100+1)-1)*100</f>
        <v>13.749641541007374</v>
      </c>
      <c r="J223" s="350">
        <f t="array" ref="J223">(PRODUCT(Index_Returns!F212:F223/100+1)-1)*100</f>
        <v>10.560871041580032</v>
      </c>
      <c r="K223" s="350">
        <f t="shared" si="13"/>
        <v>3.188770499427342</v>
      </c>
      <c r="L223" s="350"/>
      <c r="M223" s="350"/>
      <c r="N223" s="350"/>
      <c r="O223" s="352"/>
      <c r="P223" s="352"/>
      <c r="Q223" s="352"/>
      <c r="R223" s="352"/>
      <c r="S223" s="352"/>
      <c r="T223" s="352"/>
      <c r="U223" s="352"/>
      <c r="V223" s="352"/>
      <c r="W223" s="352">
        <f t="array" ref="W223">(PRODUCT(Index_Returns!AC212:AC223/100+1)-1)*100</f>
        <v>30.834140855253779</v>
      </c>
      <c r="X223" s="352">
        <f t="array" ref="X223">(PRODUCT(Index_Returns!AB212:AB223/100+1)-1)*100</f>
        <v>18.58696239718234</v>
      </c>
      <c r="Y223" s="352">
        <f t="shared" si="12"/>
        <v>12.247178458071438</v>
      </c>
      <c r="Z223" s="352">
        <f t="array" ref="Z223">(GEOMEAN(Index_Returns!AC188:AC223/100+1)^12-1)*100</f>
        <v>8.9957085187743147</v>
      </c>
      <c r="AA223" s="352">
        <f t="array" ref="AA223">(GEOMEAN(Index_Returns!AB188:AB223/100+1)^12-1)*100</f>
        <v>6.4814535581154908</v>
      </c>
      <c r="AB223" s="352">
        <f t="shared" si="9"/>
        <v>2.5142549606588238</v>
      </c>
    </row>
    <row r="224" spans="1:28" x14ac:dyDescent="0.2">
      <c r="A224" s="19">
        <v>34334</v>
      </c>
      <c r="B224" s="352">
        <f t="array" ref="B224">(PRODUCT(Index_Returns!D213:D224/100+1)-1)*100</f>
        <v>18.603771680932702</v>
      </c>
      <c r="C224" s="352">
        <f t="array" ref="C224">(PRODUCT(Index_Returns!C213:C224/100+1)-1)*100</f>
        <v>1.6774749989263427</v>
      </c>
      <c r="D224" s="352">
        <f t="shared" si="10"/>
        <v>16.92629668200636</v>
      </c>
      <c r="E224" s="352">
        <f t="array" ref="E224">(GEOMEAN(Index_Returns!D189:D224/100+1)^12-1)*100</f>
        <v>17.123126873798888</v>
      </c>
      <c r="F224" s="352">
        <f t="array" ref="F224">(GEOMEAN(Index_Returns!C189:C224/100+1)^12-1)*100</f>
        <v>13.912729943004432</v>
      </c>
      <c r="G224" s="352">
        <f t="shared" si="11"/>
        <v>3.210396930794456</v>
      </c>
      <c r="H224" s="351"/>
      <c r="I224" s="350">
        <f t="array" ref="I224">(PRODUCT(Index_Returns!G213:G224/100+1)-1)*100</f>
        <v>13.43125433105592</v>
      </c>
      <c r="J224" s="350">
        <f t="array" ref="J224">(PRODUCT(Index_Returns!F213:F224/100+1)-1)*100</f>
        <v>13.667842232849603</v>
      </c>
      <c r="K224" s="350">
        <f t="shared" si="13"/>
        <v>-0.23658790179368339</v>
      </c>
      <c r="L224" s="350"/>
      <c r="M224" s="350"/>
      <c r="N224" s="350"/>
      <c r="O224" s="352"/>
      <c r="P224" s="352"/>
      <c r="Q224" s="352"/>
      <c r="R224" s="352"/>
      <c r="S224" s="352"/>
      <c r="T224" s="352"/>
      <c r="U224" s="352"/>
      <c r="V224" s="352"/>
      <c r="W224" s="352">
        <f t="array" ref="W224">(PRODUCT(Index_Returns!AC213:AC224/100+1)-1)*100</f>
        <v>40.388707761717789</v>
      </c>
      <c r="X224" s="352">
        <f t="array" ref="X224">(PRODUCT(Index_Returns!AB213:AB224/100+1)-1)*100</f>
        <v>25.414226537189457</v>
      </c>
      <c r="Y224" s="352">
        <f t="shared" si="12"/>
        <v>14.974481224528333</v>
      </c>
      <c r="Z224" s="352">
        <f t="array" ref="Z224">(GEOMEAN(Index_Returns!AC189:AC224/100+1)^12-1)*100</f>
        <v>11.524953564233043</v>
      </c>
      <c r="AA224" s="352">
        <f t="array" ref="AA224">(GEOMEAN(Index_Returns!AB189:AB224/100+1)^12-1)*100</f>
        <v>7.7461298026936465</v>
      </c>
      <c r="AB224" s="352">
        <f t="shared" si="9"/>
        <v>3.778823761539396</v>
      </c>
    </row>
    <row r="225" spans="1:28" x14ac:dyDescent="0.2">
      <c r="A225" s="19">
        <v>34365</v>
      </c>
      <c r="B225" s="352">
        <f t="array" ref="B225">(PRODUCT(Index_Returns!D214:D225/100+1)-1)*100</f>
        <v>20.799026388378515</v>
      </c>
      <c r="C225" s="352">
        <f t="array" ref="C225">(PRODUCT(Index_Returns!C214:C225/100+1)-1)*100</f>
        <v>4.9795647025305589</v>
      </c>
      <c r="D225" s="352">
        <f t="shared" si="10"/>
        <v>15.819461685847955</v>
      </c>
      <c r="E225" s="352">
        <f t="array" ref="E225">(GEOMEAN(Index_Returns!D190:D225/100+1)^12-1)*100</f>
        <v>17.097772480040319</v>
      </c>
      <c r="F225" s="352">
        <f t="array" ref="F225">(GEOMEAN(Index_Returns!C190:C225/100+1)^12-1)*100</f>
        <v>13.170616800026934</v>
      </c>
      <c r="G225" s="352">
        <f t="shared" si="11"/>
        <v>3.9271556800133851</v>
      </c>
      <c r="H225" s="351"/>
      <c r="I225" s="350">
        <f t="array" ref="I225">(PRODUCT(Index_Returns!G214:G225/100+1)-1)*100</f>
        <v>13.942607518658079</v>
      </c>
      <c r="J225" s="350">
        <f t="array" ref="J225">(PRODUCT(Index_Returns!F214:F225/100+1)-1)*100</f>
        <v>15.579161646965556</v>
      </c>
      <c r="K225" s="350">
        <f t="shared" si="13"/>
        <v>-1.6365541283074769</v>
      </c>
      <c r="L225" s="350"/>
      <c r="M225" s="350"/>
      <c r="N225" s="350"/>
      <c r="O225" s="352"/>
      <c r="P225" s="352"/>
      <c r="Q225" s="352"/>
      <c r="R225" s="352"/>
      <c r="S225" s="352"/>
      <c r="T225" s="352"/>
      <c r="U225" s="352"/>
      <c r="V225" s="352"/>
      <c r="W225" s="352">
        <f t="array" ref="W225">(PRODUCT(Index_Returns!AC214:AC225/100+1)-1)*100</f>
        <v>52.053590379723389</v>
      </c>
      <c r="X225" s="352">
        <f t="array" ref="X225">(PRODUCT(Index_Returns!AB214:AB225/100+1)-1)*100</f>
        <v>36.074176392807836</v>
      </c>
      <c r="Y225" s="352">
        <f t="shared" si="12"/>
        <v>15.979413986915553</v>
      </c>
      <c r="Z225" s="352">
        <f t="array" ref="Z225">(GEOMEAN(Index_Returns!AC190:AC225/100+1)^12-1)*100</f>
        <v>13.839206768497414</v>
      </c>
      <c r="AA225" s="352">
        <f t="array" ref="AA225">(GEOMEAN(Index_Returns!AB190:AB225/100+1)^12-1)*100</f>
        <v>9.0461395581582948</v>
      </c>
      <c r="AB225" s="352">
        <f t="shared" si="9"/>
        <v>4.7930672103391192</v>
      </c>
    </row>
    <row r="226" spans="1:28" x14ac:dyDescent="0.2">
      <c r="A226" s="19">
        <v>34393</v>
      </c>
      <c r="B226" s="352">
        <f t="array" ref="B226">(PRODUCT(Index_Returns!D215:D226/100+1)-1)*100</f>
        <v>12.545691265004333</v>
      </c>
      <c r="C226" s="352">
        <f t="array" ref="C226">(PRODUCT(Index_Returns!C215:C226/100+1)-1)*100</f>
        <v>3.9451164406551387</v>
      </c>
      <c r="D226" s="352">
        <f t="shared" si="10"/>
        <v>8.6005748243491951</v>
      </c>
      <c r="E226" s="352">
        <f t="array" ref="E226">(GEOMEAN(Index_Returns!D191:D226/100+1)^12-1)*100</f>
        <v>13.258348807125376</v>
      </c>
      <c r="F226" s="352">
        <f t="array" ref="F226">(GEOMEAN(Index_Returns!C191:C226/100+1)^12-1)*100</f>
        <v>9.7279862012666474</v>
      </c>
      <c r="G226" s="352">
        <f t="shared" si="11"/>
        <v>3.5303626058587287</v>
      </c>
      <c r="H226" s="351"/>
      <c r="I226" s="350">
        <f t="array" ref="I226">(PRODUCT(Index_Returns!G215:G226/100+1)-1)*100</f>
        <v>10.396741401874475</v>
      </c>
      <c r="J226" s="350">
        <f t="array" ref="J226">(PRODUCT(Index_Returns!F215:F226/100+1)-1)*100</f>
        <v>19.261417659394866</v>
      </c>
      <c r="K226" s="350">
        <f t="shared" si="13"/>
        <v>-8.8646762575203901</v>
      </c>
      <c r="L226" s="350"/>
      <c r="M226" s="350"/>
      <c r="N226" s="350"/>
      <c r="O226" s="352"/>
      <c r="P226" s="352"/>
      <c r="Q226" s="352"/>
      <c r="R226" s="352"/>
      <c r="S226" s="352"/>
      <c r="T226" s="352"/>
      <c r="U226" s="352"/>
      <c r="V226" s="352"/>
      <c r="W226" s="352">
        <f t="array" ref="W226">(PRODUCT(Index_Returns!AC215:AC226/100+1)-1)*100</f>
        <v>47.599156031700637</v>
      </c>
      <c r="X226" s="352">
        <f t="array" ref="X226">(PRODUCT(Index_Returns!AB215:AB226/100+1)-1)*100</f>
        <v>31.296114313441727</v>
      </c>
      <c r="Y226" s="352">
        <f t="shared" si="12"/>
        <v>16.30304171825891</v>
      </c>
      <c r="Z226" s="352">
        <f t="array" ref="Z226">(GEOMEAN(Index_Returns!AC191:AC226/100+1)^12-1)*100</f>
        <v>9.8083414360260477</v>
      </c>
      <c r="AA226" s="352">
        <f t="array" ref="AA226">(GEOMEAN(Index_Returns!AB191:AB226/100+1)^12-1)*100</f>
        <v>5.4274397325961399</v>
      </c>
      <c r="AB226" s="352">
        <f t="shared" si="9"/>
        <v>4.3809017034299078</v>
      </c>
    </row>
    <row r="227" spans="1:28" x14ac:dyDescent="0.2">
      <c r="A227" s="19">
        <v>34424</v>
      </c>
      <c r="B227" s="352">
        <f t="array" ref="B227">(PRODUCT(Index_Returns!D216:D227/100+1)-1)*100</f>
        <v>5.0181850751992663</v>
      </c>
      <c r="C227" s="352">
        <f t="array" ref="C227">(PRODUCT(Index_Returns!C216:C227/100+1)-1)*100</f>
        <v>-2.2355513703313901</v>
      </c>
      <c r="D227" s="352">
        <f t="shared" si="10"/>
        <v>7.2537364455306559</v>
      </c>
      <c r="E227" s="352">
        <f t="array" ref="E227">(GEOMEAN(Index_Returns!D192:D227/100+1)^12-1)*100</f>
        <v>11.347054780703036</v>
      </c>
      <c r="F227" s="352">
        <f t="array" ref="F227">(GEOMEAN(Index_Returns!C192:C227/100+1)^12-1)*100</f>
        <v>6.6848121320070453</v>
      </c>
      <c r="G227" s="352">
        <f t="shared" si="11"/>
        <v>4.6622426486959911</v>
      </c>
      <c r="H227" s="351"/>
      <c r="I227" s="350">
        <f t="array" ref="I227">(PRODUCT(Index_Returns!G216:G227/100+1)-1)*100</f>
        <v>2.5365066034452211</v>
      </c>
      <c r="J227" s="350">
        <f t="array" ref="J227">(PRODUCT(Index_Returns!F216:F227/100+1)-1)*100</f>
        <v>9.4201029612238187</v>
      </c>
      <c r="K227" s="350">
        <f t="shared" si="13"/>
        <v>-6.8835963577785977</v>
      </c>
      <c r="L227" s="350"/>
      <c r="M227" s="350"/>
      <c r="N227" s="350"/>
      <c r="O227" s="352"/>
      <c r="P227" s="352"/>
      <c r="Q227" s="352"/>
      <c r="R227" s="352"/>
      <c r="S227" s="352"/>
      <c r="T227" s="352"/>
      <c r="U227" s="352"/>
      <c r="V227" s="352"/>
      <c r="W227" s="352">
        <f t="array" ref="W227">(PRODUCT(Index_Returns!AC216:AC227/100+1)-1)*100</f>
        <v>28.758197870374392</v>
      </c>
      <c r="X227" s="352">
        <f t="array" ref="X227">(PRODUCT(Index_Returns!AB216:AB227/100+1)-1)*100</f>
        <v>16.555253459691087</v>
      </c>
      <c r="Y227" s="352">
        <f t="shared" si="12"/>
        <v>12.202944410683305</v>
      </c>
      <c r="Z227" s="352">
        <f t="array" ref="Z227">(GEOMEAN(Index_Returns!AC192:AC227/100+1)^12-1)*100</f>
        <v>10.881095545761287</v>
      </c>
      <c r="AA227" s="352">
        <f t="array" ref="AA227">(GEOMEAN(Index_Returns!AB192:AB227/100+1)^12-1)*100</f>
        <v>5.7089421250300587</v>
      </c>
      <c r="AB227" s="352">
        <f t="shared" si="9"/>
        <v>5.1721534207312283</v>
      </c>
    </row>
    <row r="228" spans="1:28" x14ac:dyDescent="0.2">
      <c r="A228" s="19">
        <v>34454</v>
      </c>
      <c r="B228" s="352">
        <f t="array" ref="B228">(PRODUCT(Index_Returns!D217:D228/100+1)-1)*100</f>
        <v>7.6605100932559678</v>
      </c>
      <c r="C228" s="352">
        <f t="array" ref="C228">(PRODUCT(Index_Returns!C217:C228/100+1)-1)*100</f>
        <v>2.9566177882536904</v>
      </c>
      <c r="D228" s="352">
        <f t="shared" si="10"/>
        <v>4.7038923050022774</v>
      </c>
      <c r="E228" s="352">
        <f t="array" ref="E228">(GEOMEAN(Index_Returns!D193:D228/100+1)^12-1)*100</f>
        <v>11.829574734263337</v>
      </c>
      <c r="F228" s="352">
        <f t="array" ref="F228">(GEOMEAN(Index_Returns!C193:C228/100+1)^12-1)*100</f>
        <v>6.9134187748179476</v>
      </c>
      <c r="G228" s="352">
        <f t="shared" si="11"/>
        <v>4.9161559594453896</v>
      </c>
      <c r="H228" s="351"/>
      <c r="I228" s="350">
        <f t="array" ref="I228">(PRODUCT(Index_Returns!G217:G228/100+1)-1)*100</f>
        <v>6.0851087238978474</v>
      </c>
      <c r="J228" s="350">
        <f t="array" ref="J228">(PRODUCT(Index_Returns!F217:F228/100+1)-1)*100</f>
        <v>12.424985211596162</v>
      </c>
      <c r="K228" s="350">
        <f t="shared" si="13"/>
        <v>-6.3398764876983149</v>
      </c>
      <c r="L228" s="350"/>
      <c r="M228" s="350"/>
      <c r="N228" s="350"/>
      <c r="O228" s="352"/>
      <c r="P228" s="352"/>
      <c r="Q228" s="352"/>
      <c r="R228" s="352"/>
      <c r="S228" s="352"/>
      <c r="T228" s="352"/>
      <c r="U228" s="352"/>
      <c r="V228" s="352"/>
      <c r="W228" s="352">
        <f t="array" ref="W228">(PRODUCT(Index_Returns!AC217:AC228/100+1)-1)*100</f>
        <v>21.247584693418588</v>
      </c>
      <c r="X228" s="352">
        <f t="array" ref="X228">(PRODUCT(Index_Returns!AB217:AB228/100+1)-1)*100</f>
        <v>12.291632522685436</v>
      </c>
      <c r="Y228" s="352">
        <f t="shared" si="12"/>
        <v>8.955952170733152</v>
      </c>
      <c r="Z228" s="352">
        <f t="array" ref="Z228">(GEOMEAN(Index_Returns!AC193:AC228/100+1)^12-1)*100</f>
        <v>12.076606654473231</v>
      </c>
      <c r="AA228" s="352">
        <f t="array" ref="AA228">(GEOMEAN(Index_Returns!AB193:AB228/100+1)^12-1)*100</f>
        <v>6.7756136152252289</v>
      </c>
      <c r="AB228" s="352">
        <f t="shared" si="9"/>
        <v>5.3009930392480022</v>
      </c>
    </row>
    <row r="229" spans="1:28" x14ac:dyDescent="0.2">
      <c r="A229" s="19">
        <v>34485</v>
      </c>
      <c r="B229" s="352">
        <f t="array" ref="B229">(PRODUCT(Index_Returns!D218:D229/100+1)-1)*100</f>
        <v>7.4332890304303234</v>
      </c>
      <c r="C229" s="352">
        <f t="array" ref="C229">(PRODUCT(Index_Returns!C218:C229/100+1)-1)*100</f>
        <v>1.0381863146141423</v>
      </c>
      <c r="D229" s="352">
        <f t="shared" si="10"/>
        <v>6.3951027158161811</v>
      </c>
      <c r="E229" s="352">
        <f t="array" ref="E229">(GEOMEAN(Index_Returns!D194:D229/100+1)^12-1)*100</f>
        <v>10.710107795169076</v>
      </c>
      <c r="F229" s="352">
        <f t="array" ref="F229">(GEOMEAN(Index_Returns!C194:C229/100+1)^12-1)*100</f>
        <v>6.1687022788933676</v>
      </c>
      <c r="G229" s="352">
        <f t="shared" si="11"/>
        <v>4.5414055162757085</v>
      </c>
      <c r="H229" s="351"/>
      <c r="I229" s="350">
        <f t="array" ref="I229">(PRODUCT(Index_Returns!G218:G229/100+1)-1)*100</f>
        <v>3.807634028973661</v>
      </c>
      <c r="J229" s="350">
        <f t="array" ref="J229">(PRODUCT(Index_Returns!F218:F229/100+1)-1)*100</f>
        <v>3.0603182055064959</v>
      </c>
      <c r="K229" s="350">
        <f t="shared" si="13"/>
        <v>0.74731582346716507</v>
      </c>
      <c r="L229" s="350"/>
      <c r="M229" s="350"/>
      <c r="N229" s="350"/>
      <c r="O229" s="352"/>
      <c r="P229" s="352"/>
      <c r="Q229" s="352"/>
      <c r="R229" s="352"/>
      <c r="S229" s="352"/>
      <c r="T229" s="352"/>
      <c r="U229" s="352"/>
      <c r="V229" s="352"/>
      <c r="W229" s="352">
        <f t="array" ref="W229">(PRODUCT(Index_Returns!AC218:AC229/100+1)-1)*100</f>
        <v>19.724897149224741</v>
      </c>
      <c r="X229" s="352">
        <f t="array" ref="X229">(PRODUCT(Index_Returns!AB218:AB229/100+1)-1)*100</f>
        <v>7.8080856142244581</v>
      </c>
      <c r="Y229" s="352">
        <f t="shared" si="12"/>
        <v>11.916811535000283</v>
      </c>
      <c r="Z229" s="352">
        <f t="array" ref="Z229">(GEOMEAN(Index_Returns!AC194:AC229/100+1)^12-1)*100</f>
        <v>11.766068685035314</v>
      </c>
      <c r="AA229" s="352">
        <f t="array" ref="AA229">(GEOMEAN(Index_Returns!AB194:AB229/100+1)^12-1)*100</f>
        <v>5.9321957159889749</v>
      </c>
      <c r="AB229" s="352">
        <f t="shared" si="9"/>
        <v>5.8338729690463396</v>
      </c>
    </row>
    <row r="230" spans="1:28" x14ac:dyDescent="0.2">
      <c r="A230" s="19">
        <v>34515</v>
      </c>
      <c r="B230" s="352">
        <f t="array" ref="B230">(PRODUCT(Index_Returns!D219:D230/100+1)-1)*100</f>
        <v>3.1007542991004611</v>
      </c>
      <c r="C230" s="352">
        <f t="array" ref="C230">(PRODUCT(Index_Returns!C219:C230/100+1)-1)*100</f>
        <v>-0.26753812743237626</v>
      </c>
      <c r="D230" s="352">
        <f t="shared" si="10"/>
        <v>3.3682924265328373</v>
      </c>
      <c r="E230" s="352">
        <f t="array" ref="E230">(GEOMEAN(Index_Returns!D195:D230/100+1)^12-1)*100</f>
        <v>11.559462864710612</v>
      </c>
      <c r="F230" s="352">
        <f t="array" ref="F230">(GEOMEAN(Index_Returns!C195:C230/100+1)^12-1)*100</f>
        <v>6.9193343566803733</v>
      </c>
      <c r="G230" s="352">
        <f t="shared" si="11"/>
        <v>4.640128508030239</v>
      </c>
      <c r="H230" s="351"/>
      <c r="I230" s="350">
        <f t="array" ref="I230">(PRODUCT(Index_Returns!G219:G230/100+1)-1)*100</f>
        <v>0.51140239097777762</v>
      </c>
      <c r="J230" s="350">
        <f t="array" ref="J230">(PRODUCT(Index_Returns!F219:F230/100+1)-1)*100</f>
        <v>-1.9016389366842024</v>
      </c>
      <c r="K230" s="350">
        <f t="shared" si="13"/>
        <v>2.41304132766198</v>
      </c>
      <c r="L230" s="350"/>
      <c r="M230" s="350"/>
      <c r="N230" s="350"/>
      <c r="O230" s="352"/>
      <c r="P230" s="352"/>
      <c r="Q230" s="352"/>
      <c r="R230" s="352"/>
      <c r="S230" s="352"/>
      <c r="T230" s="352"/>
      <c r="U230" s="352"/>
      <c r="V230" s="352"/>
      <c r="W230" s="352">
        <f t="array" ref="W230">(PRODUCT(Index_Returns!AC219:AC230/100+1)-1)*100</f>
        <v>24.704315668525712</v>
      </c>
      <c r="X230" s="352">
        <f t="array" ref="X230">(PRODUCT(Index_Returns!AB219:AB230/100+1)-1)*100</f>
        <v>9.8261716486973238</v>
      </c>
      <c r="Y230" s="352">
        <f t="shared" si="12"/>
        <v>14.878144019828389</v>
      </c>
      <c r="Z230" s="352">
        <f t="array" ref="Z230">(GEOMEAN(Index_Returns!AC195:AC230/100+1)^12-1)*100</f>
        <v>15.27919026038087</v>
      </c>
      <c r="AA230" s="352">
        <f t="array" ref="AA230">(GEOMEAN(Index_Returns!AB195:AB230/100+1)^12-1)*100</f>
        <v>9.0611179418256036</v>
      </c>
      <c r="AB230" s="352">
        <f t="shared" si="9"/>
        <v>6.2180723185552669</v>
      </c>
    </row>
    <row r="231" spans="1:28" x14ac:dyDescent="0.2">
      <c r="A231" s="19">
        <v>34546</v>
      </c>
      <c r="B231" s="352">
        <f t="array" ref="B231">(PRODUCT(Index_Returns!D220:D231/100+1)-1)*100</f>
        <v>5.2800867190933021</v>
      </c>
      <c r="C231" s="352">
        <f t="array" ref="C231">(PRODUCT(Index_Returns!C220:C231/100+1)-1)*100</f>
        <v>5.0713011158501464</v>
      </c>
      <c r="D231" s="352">
        <f t="shared" si="10"/>
        <v>0.20878560324315565</v>
      </c>
      <c r="E231" s="352">
        <f t="array" ref="E231">(GEOMEAN(Index_Returns!D196:D231/100+1)^12-1)*100</f>
        <v>11.348039760378281</v>
      </c>
      <c r="F231" s="352">
        <f t="array" ref="F231">(GEOMEAN(Index_Returns!C196:C231/100+1)^12-1)*100</f>
        <v>6.1826633132654241</v>
      </c>
      <c r="G231" s="352">
        <f t="shared" si="11"/>
        <v>5.1653764471128572</v>
      </c>
      <c r="H231" s="351"/>
      <c r="I231" s="350">
        <f t="array" ref="I231">(PRODUCT(Index_Returns!G220:G231/100+1)-1)*100</f>
        <v>4.9786587386742687</v>
      </c>
      <c r="J231" s="350">
        <f t="array" ref="J231">(PRODUCT(Index_Returns!F220:F231/100+1)-1)*100</f>
        <v>0.6612531733061866</v>
      </c>
      <c r="K231" s="350">
        <f t="shared" si="13"/>
        <v>4.3174055653680821</v>
      </c>
      <c r="L231" s="350"/>
      <c r="M231" s="350"/>
      <c r="N231" s="350"/>
      <c r="O231" s="352"/>
      <c r="P231" s="352"/>
      <c r="Q231" s="352"/>
      <c r="R231" s="352"/>
      <c r="S231" s="352"/>
      <c r="T231" s="352"/>
      <c r="U231" s="352"/>
      <c r="V231" s="352"/>
      <c r="W231" s="352">
        <f t="array" ref="W231">(PRODUCT(Index_Returns!AC220:AC231/100+1)-1)*100</f>
        <v>21.084118631864367</v>
      </c>
      <c r="X231" s="352">
        <f t="array" ref="X231">(PRODUCT(Index_Returns!AB220:AB231/100+1)-1)*100</f>
        <v>7.646004272237561</v>
      </c>
      <c r="Y231" s="352">
        <f t="shared" si="12"/>
        <v>13.438114359626805</v>
      </c>
      <c r="Z231" s="352">
        <f t="array" ref="Z231">(GEOMEAN(Index_Returns!AC196:AC231/100+1)^12-1)*100</f>
        <v>13.654531469707631</v>
      </c>
      <c r="AA231" s="352">
        <f t="array" ref="AA231">(GEOMEAN(Index_Returns!AB196:AB231/100+1)^12-1)*100</f>
        <v>7.842556551220059</v>
      </c>
      <c r="AB231" s="352">
        <f t="shared" si="9"/>
        <v>5.8119749184875724</v>
      </c>
    </row>
    <row r="232" spans="1:28" x14ac:dyDescent="0.2">
      <c r="A232" s="19">
        <v>34577</v>
      </c>
      <c r="B232" s="352">
        <f t="array" ref="B232">(PRODUCT(Index_Returns!D221:D232/100+1)-1)*100</f>
        <v>4.1727817269457956</v>
      </c>
      <c r="C232" s="352">
        <f t="array" ref="C232">(PRODUCT(Index_Returns!C221:C232/100+1)-1)*100</f>
        <v>6.7907119787286252</v>
      </c>
      <c r="D232" s="352">
        <f t="shared" si="10"/>
        <v>-2.6179302517828296</v>
      </c>
      <c r="E232" s="352">
        <f t="array" ref="E232">(GEOMEAN(Index_Returns!D197:D232/100+1)^12-1)*100</f>
        <v>11.849560135568549</v>
      </c>
      <c r="F232" s="352">
        <f t="array" ref="F232">(GEOMEAN(Index_Returns!C197:C232/100+1)^12-1)*100</f>
        <v>6.905673201617013</v>
      </c>
      <c r="G232" s="352">
        <f t="shared" si="11"/>
        <v>4.9438869339515357</v>
      </c>
      <c r="H232" s="351"/>
      <c r="I232" s="350">
        <f t="array" ref="I232">(PRODUCT(Index_Returns!G221:G232/100+1)-1)*100</f>
        <v>5.2526350972439406</v>
      </c>
      <c r="J232" s="350">
        <f t="array" ref="J232">(PRODUCT(Index_Returns!F221:F232/100+1)-1)*100</f>
        <v>2.5730443709669482</v>
      </c>
      <c r="K232" s="350">
        <f t="shared" si="13"/>
        <v>2.6795907262769925</v>
      </c>
      <c r="L232" s="350"/>
      <c r="M232" s="350"/>
      <c r="N232" s="350"/>
      <c r="O232" s="352"/>
      <c r="P232" s="352"/>
      <c r="Q232" s="352"/>
      <c r="R232" s="352"/>
      <c r="S232" s="352"/>
      <c r="T232" s="352"/>
      <c r="U232" s="352"/>
      <c r="V232" s="352"/>
      <c r="W232" s="352">
        <f t="array" ref="W232">(PRODUCT(Index_Returns!AC221:AC232/100+1)-1)*100</f>
        <v>17.40477835526335</v>
      </c>
      <c r="X232" s="352">
        <f t="array" ref="X232">(PRODUCT(Index_Returns!AB221:AB232/100+1)-1)*100</f>
        <v>4.7372395071470397</v>
      </c>
      <c r="Y232" s="352">
        <f t="shared" si="12"/>
        <v>12.66753884811631</v>
      </c>
      <c r="Z232" s="352">
        <f t="array" ref="Z232">(GEOMEAN(Index_Returns!AC197:AC232/100+1)^12-1)*100</f>
        <v>15.398987955878596</v>
      </c>
      <c r="AA232" s="352">
        <f t="array" ref="AA232">(GEOMEAN(Index_Returns!AB197:AB232/100+1)^12-1)*100</f>
        <v>9.3529137699886356</v>
      </c>
      <c r="AB232" s="352">
        <f t="shared" si="9"/>
        <v>6.0460741858899603</v>
      </c>
    </row>
    <row r="233" spans="1:28" x14ac:dyDescent="0.2">
      <c r="A233" s="19">
        <v>34607</v>
      </c>
      <c r="B233" s="352">
        <f t="array" ref="B233">(PRODUCT(Index_Returns!D222:D233/100+1)-1)*100</f>
        <v>0.54611825746027076</v>
      </c>
      <c r="C233" s="352">
        <f t="array" ref="C233">(PRODUCT(Index_Returns!C222:C233/100+1)-1)*100</f>
        <v>6.7403891359624435</v>
      </c>
      <c r="D233" s="352">
        <f t="shared" si="10"/>
        <v>-6.1942708785021727</v>
      </c>
      <c r="E233" s="352">
        <f t="array" ref="E233">(GEOMEAN(Index_Returns!D198:D233/100+1)^12-1)*100</f>
        <v>10.911040413948459</v>
      </c>
      <c r="F233" s="352">
        <f t="array" ref="F233">(GEOMEAN(Index_Returns!C198:C233/100+1)^12-1)*100</f>
        <v>7.1273096238177569</v>
      </c>
      <c r="G233" s="352">
        <f t="shared" si="11"/>
        <v>3.7837307901307025</v>
      </c>
      <c r="H233" s="351"/>
      <c r="I233" s="350">
        <f t="array" ref="I233">(PRODUCT(Index_Returns!G222:G233/100+1)-1)*100</f>
        <v>2.4263459311131941</v>
      </c>
      <c r="J233" s="350">
        <f t="array" ref="J233">(PRODUCT(Index_Returns!F222:F233/100+1)-1)*100</f>
        <v>-0.28913991827175245</v>
      </c>
      <c r="K233" s="350">
        <f t="shared" si="13"/>
        <v>2.7154858493849465</v>
      </c>
      <c r="L233" s="350"/>
      <c r="M233" s="350"/>
      <c r="N233" s="350"/>
      <c r="O233" s="352"/>
      <c r="P233" s="352"/>
      <c r="Q233" s="352"/>
      <c r="R233" s="352"/>
      <c r="S233" s="352"/>
      <c r="T233" s="352"/>
      <c r="U233" s="352"/>
      <c r="V233" s="352"/>
      <c r="W233" s="352">
        <f t="array" ref="W233">(PRODUCT(Index_Returns!AC222:AC233/100+1)-1)*100</f>
        <v>16.344205839014279</v>
      </c>
      <c r="X233" s="352">
        <f t="array" ref="X233">(PRODUCT(Index_Returns!AB222:AB233/100+1)-1)*100</f>
        <v>3.7736639450711706</v>
      </c>
      <c r="Y233" s="352">
        <f t="shared" si="12"/>
        <v>12.570541893943108</v>
      </c>
      <c r="Z233" s="352">
        <f t="array" ref="Z233">(GEOMEAN(Index_Returns!AC198:AC233/100+1)^12-1)*100</f>
        <v>11.957636147205486</v>
      </c>
      <c r="AA233" s="352">
        <f t="array" ref="AA233">(GEOMEAN(Index_Returns!AB198:AB233/100+1)^12-1)*100</f>
        <v>6.3503210663458987</v>
      </c>
      <c r="AB233" s="352">
        <f t="shared" si="9"/>
        <v>5.6073150808595873</v>
      </c>
    </row>
    <row r="234" spans="1:28" x14ac:dyDescent="0.2">
      <c r="A234" s="19">
        <v>34638</v>
      </c>
      <c r="B234" s="352">
        <f t="array" ref="B234">(PRODUCT(Index_Returns!D223:D234/100+1)-1)*100</f>
        <v>2.1801689346102826</v>
      </c>
      <c r="C234" s="352">
        <f t="array" ref="C234">(PRODUCT(Index_Returns!C223:C234/100+1)-1)*100</f>
        <v>5.4730271110787987</v>
      </c>
      <c r="D234" s="352">
        <f t="shared" si="10"/>
        <v>-3.2928581764685161</v>
      </c>
      <c r="E234" s="352">
        <f t="array" ref="E234">(GEOMEAN(Index_Returns!D199:D234/100+1)^12-1)*100</f>
        <v>11.17169033325669</v>
      </c>
      <c r="F234" s="352">
        <f t="array" ref="F234">(GEOMEAN(Index_Returns!C199:C234/100+1)^12-1)*100</f>
        <v>7.5729988888591393</v>
      </c>
      <c r="G234" s="352">
        <f t="shared" si="11"/>
        <v>3.5986914443975504</v>
      </c>
      <c r="H234" s="351"/>
      <c r="I234" s="350">
        <f t="array" ref="I234">(PRODUCT(Index_Returns!G223:G234/100+1)-1)*100</f>
        <v>3.4132887824266822</v>
      </c>
      <c r="J234" s="350">
        <f t="array" ref="J234">(PRODUCT(Index_Returns!F223:F234/100+1)-1)*100</f>
        <v>0.23329448985318635</v>
      </c>
      <c r="K234" s="350">
        <f t="shared" si="13"/>
        <v>3.1799942925734959</v>
      </c>
      <c r="L234" s="350"/>
      <c r="M234" s="350"/>
      <c r="N234" s="350"/>
      <c r="O234" s="352"/>
      <c r="P234" s="352"/>
      <c r="Q234" s="352"/>
      <c r="R234" s="352"/>
      <c r="S234" s="352"/>
      <c r="T234" s="352"/>
      <c r="U234" s="352"/>
      <c r="V234" s="352"/>
      <c r="W234" s="352">
        <f t="array" ref="W234">(PRODUCT(Index_Returns!AC223:AC234/100+1)-1)*100</f>
        <v>17.307841213697284</v>
      </c>
      <c r="X234" s="352">
        <f t="array" ref="X234">(PRODUCT(Index_Returns!AB223:AB234/100+1)-1)*100</f>
        <v>3.4227197548435173</v>
      </c>
      <c r="Y234" s="352">
        <f t="shared" si="12"/>
        <v>13.885121458853767</v>
      </c>
      <c r="Z234" s="352">
        <f t="array" ref="Z234">(GEOMEAN(Index_Returns!AC199:AC234/100+1)^12-1)*100</f>
        <v>13.391764086052182</v>
      </c>
      <c r="AA234" s="352">
        <f t="array" ref="AA234">(GEOMEAN(Index_Returns!AB199:AB234/100+1)^12-1)*100</f>
        <v>6.3022336723051131</v>
      </c>
      <c r="AB234" s="352">
        <f t="shared" si="9"/>
        <v>7.0895304137470694</v>
      </c>
    </row>
    <row r="235" spans="1:28" x14ac:dyDescent="0.2">
      <c r="A235" s="19">
        <v>34668</v>
      </c>
      <c r="B235" s="352">
        <f t="array" ref="B235">(PRODUCT(Index_Returns!D224:D235/100+1)-1)*100</f>
        <v>-0.17428955068183871</v>
      </c>
      <c r="C235" s="352">
        <f t="array" ref="C235">(PRODUCT(Index_Returns!C224:C235/100+1)-1)*100</f>
        <v>2.0887709905047291</v>
      </c>
      <c r="D235" s="352">
        <f t="shared" si="10"/>
        <v>-2.2630605411865679</v>
      </c>
      <c r="E235" s="352">
        <f t="array" ref="E235">(GEOMEAN(Index_Returns!D200:D235/100+1)^12-1)*100</f>
        <v>11.768181738490547</v>
      </c>
      <c r="F235" s="352">
        <f t="array" ref="F235">(GEOMEAN(Index_Returns!C200:C235/100+1)^12-1)*100</f>
        <v>7.3049727151496935</v>
      </c>
      <c r="G235" s="352">
        <f t="shared" si="11"/>
        <v>4.4632090233408537</v>
      </c>
      <c r="H235" s="351"/>
      <c r="I235" s="350">
        <f t="array" ref="I235">(PRODUCT(Index_Returns!G224:G235/100+1)-1)*100</f>
        <v>1.7423752307204277</v>
      </c>
      <c r="J235" s="350">
        <f t="array" ref="J235">(PRODUCT(Index_Returns!F224:F235/100+1)-1)*100</f>
        <v>-2.4054008195743992</v>
      </c>
      <c r="K235" s="350">
        <f t="shared" si="13"/>
        <v>4.1477760502948264</v>
      </c>
      <c r="L235" s="350"/>
      <c r="M235" s="350"/>
      <c r="N235" s="350"/>
      <c r="O235" s="352"/>
      <c r="P235" s="352"/>
      <c r="Q235" s="352"/>
      <c r="R235" s="352"/>
      <c r="S235" s="352"/>
      <c r="T235" s="352"/>
      <c r="U235" s="352"/>
      <c r="V235" s="352"/>
      <c r="W235" s="352">
        <f t="array" ref="W235">(PRODUCT(Index_Returns!AC224:AC235/100+1)-1)*100</f>
        <v>20.648574823309261</v>
      </c>
      <c r="X235" s="352">
        <f t="array" ref="X235">(PRODUCT(Index_Returns!AB224:AB235/100+1)-1)*100</f>
        <v>9.5117502650454036</v>
      </c>
      <c r="Y235" s="352">
        <f t="shared" si="12"/>
        <v>11.136824558263857</v>
      </c>
      <c r="Z235" s="352">
        <f t="array" ref="Z235">(GEOMEAN(Index_Returns!AC200:AC235/100+1)^12-1)*100</f>
        <v>13.665138289563039</v>
      </c>
      <c r="AA235" s="352">
        <f t="array" ref="AA235">(GEOMEAN(Index_Returns!AB200:AB235/100+1)^12-1)*100</f>
        <v>5.944389390519067</v>
      </c>
      <c r="AB235" s="352">
        <f t="shared" si="9"/>
        <v>7.7207488990439721</v>
      </c>
    </row>
    <row r="236" spans="1:28" x14ac:dyDescent="0.2">
      <c r="A236" s="19">
        <v>34699</v>
      </c>
      <c r="B236" s="352">
        <f t="array" ref="B236">(PRODUCT(Index_Returns!D225:D236/100+1)-1)*100</f>
        <v>-0.6395447743055338</v>
      </c>
      <c r="C236" s="352">
        <f t="array" ref="C236">(PRODUCT(Index_Returns!C225:C236/100+1)-1)*100</f>
        <v>3.1289196997538626</v>
      </c>
      <c r="D236" s="352">
        <f t="shared" si="10"/>
        <v>-3.7684644740593964</v>
      </c>
      <c r="E236" s="352">
        <f t="array" ref="E236">(GEOMEAN(Index_Returns!D201:D236/100+1)^12-1)*100</f>
        <v>9.2098515584445817</v>
      </c>
      <c r="F236" s="352">
        <f t="array" ref="F236">(GEOMEAN(Index_Returns!C201:C236/100+1)^12-1)*100</f>
        <v>3.2797172843285649</v>
      </c>
      <c r="G236" s="352">
        <f t="shared" si="11"/>
        <v>5.9301342741160168</v>
      </c>
      <c r="H236" s="351"/>
      <c r="I236" s="350">
        <f t="array" ref="I236">(PRODUCT(Index_Returns!G225:G236/100+1)-1)*100</f>
        <v>-0.56850544094464439</v>
      </c>
      <c r="J236" s="350">
        <f t="array" ref="J236">(PRODUCT(Index_Returns!F225:F236/100+1)-1)*100</f>
        <v>-6.9837533395300184</v>
      </c>
      <c r="K236" s="350">
        <f t="shared" si="13"/>
        <v>6.415247898585374</v>
      </c>
      <c r="L236" s="350">
        <f t="array" ref="L236">(GEOMEAN(Index_Returns!G201:G236/100+1)^12-1)*100</f>
        <v>9.3779386294791536</v>
      </c>
      <c r="M236" s="350">
        <f t="array" ref="M236">(GEOMEAN(Index_Returns!F201:F236/100+1)^12-1)*100</f>
        <v>4.1795134067416972</v>
      </c>
      <c r="N236" s="350">
        <f>L236-M236</f>
        <v>5.1984252227374563</v>
      </c>
      <c r="O236" s="352"/>
      <c r="P236" s="352"/>
      <c r="Q236" s="352"/>
      <c r="R236" s="352"/>
      <c r="S236" s="352"/>
      <c r="T236" s="352"/>
      <c r="U236" s="352"/>
      <c r="V236" s="352"/>
      <c r="W236" s="352">
        <f t="array" ref="W236">(PRODUCT(Index_Returns!AC225:AC236/100+1)-1)*100</f>
        <v>11.374847654431841</v>
      </c>
      <c r="X236" s="352">
        <f t="array" ref="X236">(PRODUCT(Index_Returns!AB225:AB236/100+1)-1)*100</f>
        <v>4.7503113768700755</v>
      </c>
      <c r="Y236" s="352">
        <f t="shared" si="12"/>
        <v>6.6245362775617656</v>
      </c>
      <c r="Z236" s="352">
        <f t="array" ref="Z236">(GEOMEAN(Index_Returns!AC201:AC236/100+1)^12-1)*100</f>
        <v>11.734071713360827</v>
      </c>
      <c r="AA236" s="352">
        <f t="array" ref="AA236">(GEOMEAN(Index_Returns!AB201:AB236/100+1)^12-1)*100</f>
        <v>4.642425791451954</v>
      </c>
      <c r="AB236" s="352">
        <f t="shared" si="9"/>
        <v>7.0916459219088726</v>
      </c>
    </row>
    <row r="237" spans="1:28" x14ac:dyDescent="0.2">
      <c r="A237" s="19">
        <v>34730</v>
      </c>
      <c r="B237" s="352">
        <f t="array" ref="B237">(PRODUCT(Index_Returns!D226:D237/100+1)-1)*100</f>
        <v>-2.4945669362268275</v>
      </c>
      <c r="C237" s="352">
        <f t="array" ref="C237">(PRODUCT(Index_Returns!C226:C237/100+1)-1)*100</f>
        <v>3.4748445432654318</v>
      </c>
      <c r="D237" s="352">
        <f t="shared" si="10"/>
        <v>-5.9694114794922593</v>
      </c>
      <c r="E237" s="352">
        <f t="array" ref="E237">(GEOMEAN(Index_Returns!D202:D237/100+1)^12-1)*100</f>
        <v>10.18688549190121</v>
      </c>
      <c r="F237" s="352">
        <f t="array" ref="F237">(GEOMEAN(Index_Returns!C202:C237/100+1)^12-1)*100</f>
        <v>5.374190410536217</v>
      </c>
      <c r="G237" s="352">
        <f t="shared" si="11"/>
        <v>4.8126950813649927</v>
      </c>
      <c r="H237" s="351"/>
      <c r="I237" s="350">
        <f t="array" ref="I237">(PRODUCT(Index_Returns!G226:G237/100+1)-1)*100</f>
        <v>-0.81102175453516834</v>
      </c>
      <c r="J237" s="350">
        <f t="array" ref="J237">(PRODUCT(Index_Returns!F226:F237/100+1)-1)*100</f>
        <v>-9.3867455055675624</v>
      </c>
      <c r="K237" s="350">
        <f t="shared" si="13"/>
        <v>8.5757237510323936</v>
      </c>
      <c r="L237" s="350">
        <f t="array" ref="L237">(GEOMEAN(Index_Returns!G202:G237/100+1)^12-1)*100</f>
        <v>9.0659445416485731</v>
      </c>
      <c r="M237" s="350">
        <f t="array" ref="M237">(GEOMEAN(Index_Returns!F202:F237/100+1)^12-1)*100</f>
        <v>3.8329971536741558</v>
      </c>
      <c r="N237" s="350">
        <f t="shared" ref="N237:N300" si="14">L237-M237</f>
        <v>5.2329473879744173</v>
      </c>
      <c r="O237" s="352"/>
      <c r="P237" s="352">
        <f t="array" ref="P237">(PRODUCT(Index_Returns!M226:M237/100+1)-1)*100</f>
        <v>-7.0711833765947478</v>
      </c>
      <c r="Q237" s="352">
        <f t="array" ref="Q237">(PRODUCT(Index_Returns!L226:L237/100+1)-1)*100</f>
        <v>-9.8497011777306511</v>
      </c>
      <c r="R237" s="352">
        <f t="shared" ref="R237:R248" si="15">P237-Q237</f>
        <v>2.7785178011359033</v>
      </c>
      <c r="S237" s="352"/>
      <c r="T237" s="352"/>
      <c r="U237" s="352"/>
      <c r="V237" s="352"/>
      <c r="W237" s="352">
        <f t="array" ref="W237">(PRODUCT(Index_Returns!AC226:AC237/100+1)-1)*100</f>
        <v>-2.0151356807710075</v>
      </c>
      <c r="X237" s="352">
        <f t="array" ref="X237">(PRODUCT(Index_Returns!AB226:AB237/100+1)-1)*100</f>
        <v>-6.3107863045775652</v>
      </c>
      <c r="Y237" s="352">
        <f t="shared" si="12"/>
        <v>4.2956506238065577</v>
      </c>
      <c r="Z237" s="352">
        <f t="array" ref="Z237">(GEOMEAN(Index_Returns!AC202:AC237/100+1)^12-1)*100</f>
        <v>10.575934887027017</v>
      </c>
      <c r="AA237" s="352">
        <f t="array" ref="AA237">(GEOMEAN(Index_Returns!AB202:AB237/100+1)^12-1)*100</f>
        <v>4.4952766047809511</v>
      </c>
      <c r="AB237" s="352">
        <f t="shared" si="9"/>
        <v>6.0806582822460662</v>
      </c>
    </row>
    <row r="238" spans="1:28" x14ac:dyDescent="0.2">
      <c r="A238" s="19">
        <v>34758</v>
      </c>
      <c r="B238" s="352">
        <f t="array" ref="B238">(PRODUCT(Index_Returns!D227:D238/100+1)-1)*100</f>
        <v>5.0938650677921915</v>
      </c>
      <c r="C238" s="352">
        <f t="array" ref="C238">(PRODUCT(Index_Returns!C227:C238/100+1)-1)*100</f>
        <v>9.4693933439583979</v>
      </c>
      <c r="D238" s="352">
        <f t="shared" si="10"/>
        <v>-4.3755282761662064</v>
      </c>
      <c r="E238" s="352">
        <f t="array" ref="E238">(GEOMEAN(Index_Returns!D203:D238/100+1)^12-1)*100</f>
        <v>10.84993421475351</v>
      </c>
      <c r="F238" s="352">
        <f t="array" ref="F238">(GEOMEAN(Index_Returns!C203:C238/100+1)^12-1)*100</f>
        <v>6.5182984201005212</v>
      </c>
      <c r="G238" s="352">
        <f t="shared" si="11"/>
        <v>4.3316357946529891</v>
      </c>
      <c r="H238" s="351"/>
      <c r="I238" s="350">
        <f t="array" ref="I238">(PRODUCT(Index_Returns!G227:G238/100+1)-1)*100</f>
        <v>5.6717446913264524</v>
      </c>
      <c r="J238" s="350">
        <f t="array" ref="J238">(PRODUCT(Index_Returns!F227:F238/100+1)-1)*100</f>
        <v>-3.1499602618711542</v>
      </c>
      <c r="K238" s="350">
        <f t="shared" si="13"/>
        <v>8.8217049531976066</v>
      </c>
      <c r="L238" s="350">
        <f t="array" ref="L238">(GEOMEAN(Index_Returns!G203:G238/100+1)^12-1)*100</f>
        <v>9.8185110552601031</v>
      </c>
      <c r="M238" s="350">
        <f t="array" ref="M238">(GEOMEAN(Index_Returns!F203:F238/100+1)^12-1)*100</f>
        <v>5.5815598271653277</v>
      </c>
      <c r="N238" s="350">
        <f t="shared" si="14"/>
        <v>4.2369512280947754</v>
      </c>
      <c r="O238" s="352"/>
      <c r="P238" s="352">
        <f t="array" ref="P238">(PRODUCT(Index_Returns!M227:M238/100+1)-1)*100</f>
        <v>-3.6621479065971019</v>
      </c>
      <c r="Q238" s="352">
        <f t="array" ref="Q238">(PRODUCT(Index_Returns!L227:L238/100+1)-1)*100</f>
        <v>-5.200633896237072</v>
      </c>
      <c r="R238" s="352">
        <f t="shared" si="15"/>
        <v>1.5384859896399701</v>
      </c>
      <c r="S238" s="352"/>
      <c r="T238" s="352"/>
      <c r="U238" s="352"/>
      <c r="V238" s="352"/>
      <c r="W238" s="352">
        <f t="array" ref="W238">(PRODUCT(Index_Returns!AC227:AC238/100+1)-1)*100</f>
        <v>-2.7040232231670625</v>
      </c>
      <c r="X238" s="352">
        <f t="array" ref="X238">(PRODUCT(Index_Returns!AB227:AB238/100+1)-1)*100</f>
        <v>-5.6292279549795987</v>
      </c>
      <c r="Y238" s="352">
        <f t="shared" si="12"/>
        <v>2.9252047318125363</v>
      </c>
      <c r="Z238" s="352">
        <f t="array" ref="Z238">(GEOMEAN(Index_Returns!AC203:AC238/100+1)^12-1)*100</f>
        <v>11.58355854980746</v>
      </c>
      <c r="AA238" s="352">
        <f t="array" ref="AA238">(GEOMEAN(Index_Returns!AB203:AB238/100+1)^12-1)*100</f>
        <v>5.8910649050343489</v>
      </c>
      <c r="AB238" s="352">
        <f t="shared" si="9"/>
        <v>5.6924936447731111</v>
      </c>
    </row>
    <row r="239" spans="1:28" x14ac:dyDescent="0.2">
      <c r="A239" s="19">
        <v>34789</v>
      </c>
      <c r="B239" s="352">
        <f t="array" ref="B239">(PRODUCT(Index_Returns!D228:D239/100+1)-1)*100</f>
        <v>12.623507803676471</v>
      </c>
      <c r="C239" s="352">
        <f t="array" ref="C239">(PRODUCT(Index_Returns!C228:C239/100+1)-1)*100</f>
        <v>18.369000649954792</v>
      </c>
      <c r="D239" s="352">
        <f t="shared" si="10"/>
        <v>-5.7454928462783208</v>
      </c>
      <c r="E239" s="352">
        <f t="array" ref="E239">(GEOMEAN(Index_Returns!D204:D239/100+1)^12-1)*100</f>
        <v>12.451024593603632</v>
      </c>
      <c r="F239" s="352">
        <f t="array" ref="F239">(GEOMEAN(Index_Returns!C204:C239/100+1)^12-1)*100</f>
        <v>8.4661596191724087</v>
      </c>
      <c r="G239" s="352">
        <f t="shared" si="11"/>
        <v>3.9848649744312237</v>
      </c>
      <c r="H239" s="351"/>
      <c r="I239" s="350">
        <f t="array" ref="I239">(PRODUCT(Index_Returns!G228:G239/100+1)-1)*100</f>
        <v>10.451761744294474</v>
      </c>
      <c r="J239" s="350">
        <f t="array" ref="J239">(PRODUCT(Index_Returns!F228:F239/100+1)-1)*100</f>
        <v>5.5304587702145636</v>
      </c>
      <c r="K239" s="350">
        <f t="shared" si="13"/>
        <v>4.9213029740799108</v>
      </c>
      <c r="L239" s="350">
        <f t="array" ref="L239">(GEOMEAN(Index_Returns!G204:G239/100+1)^12-1)*100</f>
        <v>11.253784082201213</v>
      </c>
      <c r="M239" s="350">
        <f t="array" ref="M239">(GEOMEAN(Index_Returns!F204:F239/100+1)^12-1)*100</f>
        <v>8.2616813939199396</v>
      </c>
      <c r="N239" s="350">
        <f t="shared" si="14"/>
        <v>2.9921026882812729</v>
      </c>
      <c r="O239" s="352"/>
      <c r="P239" s="352">
        <f t="array" ref="P239">(PRODUCT(Index_Returns!M228:M239/100+1)-1)*100</f>
        <v>3.6428027537749763</v>
      </c>
      <c r="Q239" s="352">
        <f t="array" ref="Q239">(PRODUCT(Index_Returns!L228:L239/100+1)-1)*100</f>
        <v>4.6704601763517539</v>
      </c>
      <c r="R239" s="352">
        <f t="shared" si="15"/>
        <v>-1.0276574225767776</v>
      </c>
      <c r="S239" s="352"/>
      <c r="T239" s="352"/>
      <c r="U239" s="352"/>
      <c r="V239" s="352"/>
      <c r="W239" s="352">
        <f t="array" ref="W239">(PRODUCT(Index_Returns!AC228:AC239/100+1)-1)*100</f>
        <v>7.303843444762248</v>
      </c>
      <c r="X239" s="352">
        <f t="array" ref="X239">(PRODUCT(Index_Returns!AB228:AB239/100+1)-1)*100</f>
        <v>5.5032088200410056</v>
      </c>
      <c r="Y239" s="352">
        <f t="shared" si="12"/>
        <v>1.8006346247212424</v>
      </c>
      <c r="Z239" s="352">
        <f t="array" ref="Z239">(GEOMEAN(Index_Returns!AC204:AC239/100+1)^12-1)*100</f>
        <v>16.428415896298375</v>
      </c>
      <c r="AA239" s="352">
        <f t="array" ref="AA239">(GEOMEAN(Index_Returns!AB204:AB239/100+1)^12-1)*100</f>
        <v>10.579217035117994</v>
      </c>
      <c r="AB239" s="352">
        <f t="shared" si="9"/>
        <v>5.8491988611803816</v>
      </c>
    </row>
    <row r="240" spans="1:28" x14ac:dyDescent="0.2">
      <c r="A240" s="19">
        <v>34819</v>
      </c>
      <c r="B240" s="352">
        <f t="array" ref="B240">(PRODUCT(Index_Returns!D229:D240/100+1)-1)*100</f>
        <v>13.931672654470306</v>
      </c>
      <c r="C240" s="352">
        <f t="array" ref="C240">(PRODUCT(Index_Returns!C229:C240/100+1)-1)*100</f>
        <v>20.901991306234603</v>
      </c>
      <c r="D240" s="352">
        <f t="shared" si="10"/>
        <v>-6.9703186517642965</v>
      </c>
      <c r="E240" s="352">
        <f t="array" ref="E240">(GEOMEAN(Index_Returns!D205:D240/100+1)^12-1)*100</f>
        <v>11.880591252653305</v>
      </c>
      <c r="F240" s="352">
        <f t="array" ref="F240">(GEOMEAN(Index_Returns!C205:C240/100+1)^12-1)*100</f>
        <v>9.0151873735081267</v>
      </c>
      <c r="G240" s="352">
        <f t="shared" si="11"/>
        <v>2.8654038791451786</v>
      </c>
      <c r="H240" s="351"/>
      <c r="I240" s="350">
        <f t="array" ref="I240">(PRODUCT(Index_Returns!G229:G240/100+1)-1)*100</f>
        <v>11.471962336046793</v>
      </c>
      <c r="J240" s="350">
        <f t="array" ref="J240">(PRODUCT(Index_Returns!F229:F240/100+1)-1)*100</f>
        <v>7.8401240960784158</v>
      </c>
      <c r="K240" s="350">
        <f t="shared" si="13"/>
        <v>3.6318382399683777</v>
      </c>
      <c r="L240" s="350">
        <f t="array" ref="L240">(GEOMEAN(Index_Returns!G205:G240/100+1)^12-1)*100</f>
        <v>11.687412235251138</v>
      </c>
      <c r="M240" s="350">
        <f t="array" ref="M240">(GEOMEAN(Index_Returns!F205:F240/100+1)^12-1)*100</f>
        <v>10.164626213521677</v>
      </c>
      <c r="N240" s="350">
        <f t="shared" si="14"/>
        <v>1.5227860217294609</v>
      </c>
      <c r="O240" s="352"/>
      <c r="P240" s="352">
        <f t="array" ref="P240">(PRODUCT(Index_Returns!M229:M240/100+1)-1)*100</f>
        <v>6.4411992806309382</v>
      </c>
      <c r="Q240" s="352">
        <f t="array" ref="Q240">(PRODUCT(Index_Returns!L229:L240/100+1)-1)*100</f>
        <v>5.331603046926281</v>
      </c>
      <c r="R240" s="352">
        <f t="shared" si="15"/>
        <v>1.1095962337046572</v>
      </c>
      <c r="S240" s="352"/>
      <c r="T240" s="352"/>
      <c r="U240" s="352"/>
      <c r="V240" s="352"/>
      <c r="W240" s="352">
        <f t="array" ref="W240">(PRODUCT(Index_Returns!AC229:AC240/100+1)-1)*100</f>
        <v>6.0152819451266826</v>
      </c>
      <c r="X240" s="352">
        <f t="array" ref="X240">(PRODUCT(Index_Returns!AB229:AB240/100+1)-1)*100</f>
        <v>5.8073238835368635</v>
      </c>
      <c r="Y240" s="352">
        <f t="shared" si="12"/>
        <v>0.20795806158981911</v>
      </c>
      <c r="Z240" s="352">
        <f t="array" ref="Z240">(GEOMEAN(Index_Returns!AC205:AC240/100+1)^12-1)*100</f>
        <v>16.407837169240437</v>
      </c>
      <c r="AA240" s="352">
        <f t="array" ref="AA240">(GEOMEAN(Index_Returns!AB205:AB240/100+1)^12-1)*100</f>
        <v>13.032549862245135</v>
      </c>
      <c r="AB240" s="352">
        <f t="shared" si="9"/>
        <v>3.3752873069953022</v>
      </c>
    </row>
    <row r="241" spans="1:28" x14ac:dyDescent="0.2">
      <c r="A241" s="19">
        <v>34850</v>
      </c>
      <c r="B241" s="352">
        <f t="array" ref="B241">(PRODUCT(Index_Returns!D230:D241/100+1)-1)*100</f>
        <v>17.063098490844197</v>
      </c>
      <c r="C241" s="352">
        <f t="array" ref="C241">(PRODUCT(Index_Returns!C230:C241/100+1)-1)*100</f>
        <v>23.22280169251416</v>
      </c>
      <c r="D241" s="352">
        <f t="shared" si="10"/>
        <v>-6.1597032016699629</v>
      </c>
      <c r="E241" s="352">
        <f t="array" ref="E241">(GEOMEAN(Index_Returns!D206:D241/100+1)^12-1)*100</f>
        <v>13.410014641106294</v>
      </c>
      <c r="F241" s="352">
        <f t="array" ref="F241">(GEOMEAN(Index_Returns!C206:C241/100+1)^12-1)*100</f>
        <v>10.014587936326924</v>
      </c>
      <c r="G241" s="352">
        <f t="shared" si="11"/>
        <v>3.3954267047793696</v>
      </c>
      <c r="H241" s="351"/>
      <c r="I241" s="350">
        <f t="array" ref="I241">(PRODUCT(Index_Returns!G230:G241/100+1)-1)*100</f>
        <v>14.661956671518483</v>
      </c>
      <c r="J241" s="350">
        <f t="array" ref="J241">(PRODUCT(Index_Returns!F230:F241/100+1)-1)*100</f>
        <v>12.117254686644173</v>
      </c>
      <c r="K241" s="350">
        <f t="shared" si="13"/>
        <v>2.54470198487431</v>
      </c>
      <c r="L241" s="350">
        <f t="array" ref="L241">(GEOMEAN(Index_Returns!G206:G241/100+1)^12-1)*100</f>
        <v>12.50391314049628</v>
      </c>
      <c r="M241" s="350">
        <f t="array" ref="M241">(GEOMEAN(Index_Returns!F206:F241/100+1)^12-1)*100</f>
        <v>10.437046683182061</v>
      </c>
      <c r="N241" s="350">
        <f t="shared" si="14"/>
        <v>2.0668664573142195</v>
      </c>
      <c r="O241" s="352"/>
      <c r="P241" s="352">
        <f t="array" ref="P241">(PRODUCT(Index_Returns!M230:M241/100+1)-1)*100</f>
        <v>10.248834398797001</v>
      </c>
      <c r="Q241" s="352">
        <f t="array" ref="Q241">(PRODUCT(Index_Returns!L230:L241/100+1)-1)*100</f>
        <v>9.1726630450421851</v>
      </c>
      <c r="R241" s="352">
        <f t="shared" si="15"/>
        <v>1.0761713537548161</v>
      </c>
      <c r="S241" s="352"/>
      <c r="T241" s="352"/>
      <c r="U241" s="352"/>
      <c r="V241" s="352"/>
      <c r="W241" s="352">
        <f t="array" ref="W241">(PRODUCT(Index_Returns!AC230:AC241/100+1)-1)*100</f>
        <v>4.6512780937628895</v>
      </c>
      <c r="X241" s="352">
        <f t="array" ref="X241">(PRODUCT(Index_Returns!AB230:AB241/100+1)-1)*100</f>
        <v>5.8281958171321868</v>
      </c>
      <c r="Y241" s="352">
        <f t="shared" si="12"/>
        <v>-1.1769177233692973</v>
      </c>
      <c r="Z241" s="352">
        <f t="array" ref="Z241">(GEOMEAN(Index_Returns!AC206:AC241/100+1)^12-1)*100</f>
        <v>13.708301412356949</v>
      </c>
      <c r="AA241" s="352">
        <f t="array" ref="AA241">(GEOMEAN(Index_Returns!AB206:AB241/100+1)^12-1)*100</f>
        <v>9.9238193698492516</v>
      </c>
      <c r="AB241" s="352">
        <f t="shared" si="9"/>
        <v>3.7844820425076975</v>
      </c>
    </row>
    <row r="242" spans="1:28" x14ac:dyDescent="0.2">
      <c r="A242" s="19">
        <v>34880</v>
      </c>
      <c r="B242" s="352">
        <f t="array" ref="B242">(PRODUCT(Index_Returns!D231:D242/100+1)-1)*100</f>
        <v>21.306957862876907</v>
      </c>
      <c r="C242" s="352">
        <f t="array" ref="C242">(PRODUCT(Index_Returns!C231:C242/100+1)-1)*100</f>
        <v>30.725314885893962</v>
      </c>
      <c r="D242" s="352">
        <f t="shared" si="10"/>
        <v>-9.4183570230170552</v>
      </c>
      <c r="E242" s="352">
        <f t="array" ref="E242">(GEOMEAN(Index_Returns!D207:D242/100+1)^12-1)*100</f>
        <v>14.008698546887643</v>
      </c>
      <c r="F242" s="352">
        <f t="array" ref="F242">(GEOMEAN(Index_Returns!C207:C242/100+1)^12-1)*100</f>
        <v>12.17941600325303</v>
      </c>
      <c r="G242" s="352">
        <f t="shared" si="11"/>
        <v>1.8292825436346138</v>
      </c>
      <c r="H242" s="351"/>
      <c r="I242" s="350">
        <f t="array" ref="I242">(PRODUCT(Index_Returns!G231:G242/100+1)-1)*100</f>
        <v>20.284069108046076</v>
      </c>
      <c r="J242" s="350">
        <f t="array" ref="J242">(PRODUCT(Index_Returns!F231:F242/100+1)-1)*100</f>
        <v>24.367710319235456</v>
      </c>
      <c r="K242" s="350">
        <f t="shared" si="13"/>
        <v>-4.0836412111893807</v>
      </c>
      <c r="L242" s="350">
        <f t="array" ref="L242">(GEOMEAN(Index_Returns!G207:G242/100+1)^12-1)*100</f>
        <v>14.235456246723865</v>
      </c>
      <c r="M242" s="350">
        <f t="array" ref="M242">(GEOMEAN(Index_Returns!F207:F242/100+1)^12-1)*100</f>
        <v>13.946734841053932</v>
      </c>
      <c r="N242" s="350">
        <f t="shared" si="14"/>
        <v>0.28872140566993387</v>
      </c>
      <c r="O242" s="352"/>
      <c r="P242" s="352">
        <f t="array" ref="P242">(PRODUCT(Index_Returns!M231:M242/100+1)-1)*100</f>
        <v>18.435517076205123</v>
      </c>
      <c r="Q242" s="352">
        <f t="array" ref="Q242">(PRODUCT(Index_Returns!L231:L242/100+1)-1)*100</f>
        <v>22.123402466525288</v>
      </c>
      <c r="R242" s="352">
        <f t="shared" si="15"/>
        <v>-3.6878853903201652</v>
      </c>
      <c r="S242" s="352"/>
      <c r="T242" s="352"/>
      <c r="U242" s="352"/>
      <c r="V242" s="352"/>
      <c r="W242" s="352">
        <f t="array" ref="W242">(PRODUCT(Index_Returns!AC231:AC242/100+1)-1)*100</f>
        <v>1.258955012652252</v>
      </c>
      <c r="X242" s="352">
        <f t="array" ref="X242">(PRODUCT(Index_Returns!AB231:AB242/100+1)-1)*100</f>
        <v>2.6634288982689602</v>
      </c>
      <c r="Y242" s="352">
        <f t="shared" si="12"/>
        <v>-1.4044738856167083</v>
      </c>
      <c r="Z242" s="352">
        <f t="array" ref="Z242">(GEOMEAN(Index_Returns!AC207:AC242/100+1)^12-1)*100</f>
        <v>15.141322864154173</v>
      </c>
      <c r="AA242" s="352">
        <f t="array" ref="AA242">(GEOMEAN(Index_Returns!AB207:AB242/100+1)^12-1)*100</f>
        <v>10.818882394307327</v>
      </c>
      <c r="AB242" s="352">
        <f t="shared" si="9"/>
        <v>4.3224404698468462</v>
      </c>
    </row>
    <row r="243" spans="1:28" x14ac:dyDescent="0.2">
      <c r="A243" s="19">
        <v>34911</v>
      </c>
      <c r="B243" s="352">
        <f t="array" ref="B243">(PRODUCT(Index_Returns!D232:D243/100+1)-1)*100</f>
        <v>21.38322940728672</v>
      </c>
      <c r="C243" s="352">
        <f t="array" ref="C243">(PRODUCT(Index_Returns!C232:C243/100+1)-1)*100</f>
        <v>30.728228701906236</v>
      </c>
      <c r="D243" s="352">
        <f t="shared" si="10"/>
        <v>-9.344999294619516</v>
      </c>
      <c r="E243" s="352">
        <f t="array" ref="E243">(GEOMEAN(Index_Returns!D208:D243/100+1)^12-1)*100</f>
        <v>13.948146380409687</v>
      </c>
      <c r="F243" s="352">
        <f t="array" ref="F243">(GEOMEAN(Index_Returns!C208:C243/100+1)^12-1)*100</f>
        <v>11.704979100714507</v>
      </c>
      <c r="G243" s="352">
        <f t="shared" si="11"/>
        <v>2.2431672796951805</v>
      </c>
      <c r="H243" s="351"/>
      <c r="I243" s="350">
        <f t="array" ref="I243">(PRODUCT(Index_Returns!G232:G243/100+1)-1)*100</f>
        <v>20.457256576318184</v>
      </c>
      <c r="J243" s="350">
        <f t="array" ref="J243">(PRODUCT(Index_Returns!F232:F243/100+1)-1)*100</f>
        <v>28.760269369629675</v>
      </c>
      <c r="K243" s="350">
        <f t="shared" si="13"/>
        <v>-8.3030127933114919</v>
      </c>
      <c r="L243" s="350">
        <f t="array" ref="L243">(GEOMEAN(Index_Returns!G208:G243/100+1)^12-1)*100</f>
        <v>14.191662741660615</v>
      </c>
      <c r="M243" s="350">
        <f t="array" ref="M243">(GEOMEAN(Index_Returns!F208:F243/100+1)^12-1)*100</f>
        <v>14.292423247482589</v>
      </c>
      <c r="N243" s="350">
        <f t="shared" si="14"/>
        <v>-0.10076050582197382</v>
      </c>
      <c r="O243" s="352"/>
      <c r="P243" s="352">
        <f t="array" ref="P243">(PRODUCT(Index_Returns!M232:M243/100+1)-1)*100</f>
        <v>22.059231198933404</v>
      </c>
      <c r="Q243" s="352">
        <f t="array" ref="Q243">(PRODUCT(Index_Returns!L232:L243/100+1)-1)*100</f>
        <v>33.815018397529009</v>
      </c>
      <c r="R243" s="352">
        <f t="shared" si="15"/>
        <v>-11.755787198595606</v>
      </c>
      <c r="S243" s="352"/>
      <c r="T243" s="352"/>
      <c r="U243" s="352"/>
      <c r="V243" s="352"/>
      <c r="W243" s="352">
        <f t="array" ref="W243">(PRODUCT(Index_Returns!AC232:AC243/100+1)-1)*100</f>
        <v>6.3037870978099431</v>
      </c>
      <c r="X243" s="352">
        <f t="array" ref="X243">(PRODUCT(Index_Returns!AB232:AB243/100+1)-1)*100</f>
        <v>8.2637000132153915</v>
      </c>
      <c r="Y243" s="352">
        <f t="shared" si="12"/>
        <v>-1.9599129154054484</v>
      </c>
      <c r="Z243" s="352">
        <f t="array" ref="Z243">(GEOMEAN(Index_Returns!AC208:AC243/100+1)^12-1)*100</f>
        <v>18.810791692379205</v>
      </c>
      <c r="AA243" s="352">
        <f t="array" ref="AA243">(GEOMEAN(Index_Returns!AB208:AB243/100+1)^12-1)*100</f>
        <v>13.726269219378784</v>
      </c>
      <c r="AB243" s="352">
        <f t="shared" si="9"/>
        <v>5.0845224730004208</v>
      </c>
    </row>
    <row r="244" spans="1:28" x14ac:dyDescent="0.2">
      <c r="A244" s="19">
        <v>34942</v>
      </c>
      <c r="B244" s="352">
        <f t="array" ref="B244">(PRODUCT(Index_Returns!D233:D244/100+1)-1)*100</f>
        <v>19.054180503588512</v>
      </c>
      <c r="C244" s="352">
        <f t="array" ref="C244">(PRODUCT(Index_Returns!C233:C244/100+1)-1)*100</f>
        <v>23.694985491703612</v>
      </c>
      <c r="D244" s="352">
        <f t="shared" si="10"/>
        <v>-4.6408049881151001</v>
      </c>
      <c r="E244" s="352">
        <f t="array" ref="E244">(GEOMEAN(Index_Returns!D209:D244/100+1)^12-1)*100</f>
        <v>15.398074942929952</v>
      </c>
      <c r="F244" s="352">
        <f t="array" ref="F244">(GEOMEAN(Index_Returns!C209:C244/100+1)^12-1)*100</f>
        <v>12.014993076226531</v>
      </c>
      <c r="G244" s="352">
        <f t="shared" si="11"/>
        <v>3.3830818667034208</v>
      </c>
      <c r="H244" s="351"/>
      <c r="I244" s="350">
        <f t="array" ref="I244">(PRODUCT(Index_Returns!G233:G244/100+1)-1)*100</f>
        <v>18.519900230004538</v>
      </c>
      <c r="J244" s="350">
        <f t="array" ref="J244">(PRODUCT(Index_Returns!F233:F244/100+1)-1)*100</f>
        <v>22.502041725649512</v>
      </c>
      <c r="K244" s="350">
        <f t="shared" si="13"/>
        <v>-3.9821414956449743</v>
      </c>
      <c r="L244" s="350">
        <f t="array" ref="L244">(GEOMEAN(Index_Returns!G209:G244/100+1)^12-1)*100</f>
        <v>15.903429954526205</v>
      </c>
      <c r="M244" s="350">
        <f t="array" ref="M244">(GEOMEAN(Index_Returns!F209:F244/100+1)^12-1)*100</f>
        <v>15.872764298962805</v>
      </c>
      <c r="N244" s="350">
        <f t="shared" si="14"/>
        <v>3.0665655563399952E-2</v>
      </c>
      <c r="O244" s="352"/>
      <c r="P244" s="352">
        <f t="array" ref="P244">(PRODUCT(Index_Returns!M233:M244/100+1)-1)*100</f>
        <v>19.348917686548074</v>
      </c>
      <c r="Q244" s="352">
        <f t="array" ref="Q244">(PRODUCT(Index_Returns!L233:L244/100+1)-1)*100</f>
        <v>25.476305360838936</v>
      </c>
      <c r="R244" s="352">
        <f t="shared" si="15"/>
        <v>-6.127387674290862</v>
      </c>
      <c r="S244" s="352"/>
      <c r="T244" s="352"/>
      <c r="U244" s="352"/>
      <c r="V244" s="352"/>
      <c r="W244" s="352">
        <f t="array" ref="W244">(PRODUCT(Index_Returns!AC233:AC244/100+1)-1)*100</f>
        <v>0.23576457017082664</v>
      </c>
      <c r="X244" s="352">
        <f t="array" ref="X244">(PRODUCT(Index_Returns!AB233:AB244/100+1)-1)*100</f>
        <v>1.4103210929916621</v>
      </c>
      <c r="Y244" s="352">
        <f t="shared" si="12"/>
        <v>-1.1745565228208354</v>
      </c>
      <c r="Z244" s="352">
        <f t="array" ref="Z244">(GEOMEAN(Index_Returns!AC209:AC244/100+1)^12-1)*100</f>
        <v>15.625858800513971</v>
      </c>
      <c r="AA244" s="352">
        <f t="array" ref="AA244">(GEOMEAN(Index_Returns!AB209:AB244/100+1)^12-1)*100</f>
        <v>9.3231431520622401</v>
      </c>
      <c r="AB244" s="352">
        <f t="shared" si="9"/>
        <v>6.3027156484517306</v>
      </c>
    </row>
    <row r="245" spans="1:28" x14ac:dyDescent="0.2">
      <c r="A245" s="19">
        <v>34972</v>
      </c>
      <c r="B245" s="352">
        <f t="array" ref="B245">(PRODUCT(Index_Returns!D234:D245/100+1)-1)*100</f>
        <v>27.689557319136917</v>
      </c>
      <c r="C245" s="352">
        <f t="array" ref="C245">(PRODUCT(Index_Returns!C234:C245/100+1)-1)*100</f>
        <v>31.893676284559746</v>
      </c>
      <c r="D245" s="352">
        <f t="shared" si="10"/>
        <v>-4.204118965422829</v>
      </c>
      <c r="E245" s="352">
        <f t="array" ref="E245">(GEOMEAN(Index_Returns!D210:D245/100+1)^12-1)*100</f>
        <v>16.295842043767038</v>
      </c>
      <c r="F245" s="352">
        <f t="array" ref="F245">(GEOMEAN(Index_Returns!C210:C245/100+1)^12-1)*100</f>
        <v>13.386742870859681</v>
      </c>
      <c r="G245" s="352">
        <f t="shared" si="11"/>
        <v>2.9090991729073572</v>
      </c>
      <c r="H245" s="351"/>
      <c r="I245" s="350">
        <f t="array" ref="I245">(PRODUCT(Index_Returns!G234:G245/100+1)-1)*100</f>
        <v>24.525781967328399</v>
      </c>
      <c r="J245" s="350">
        <f t="array" ref="J245">(PRODUCT(Index_Returns!F234:F245/100+1)-1)*100</f>
        <v>26.971630153097514</v>
      </c>
      <c r="K245" s="350">
        <f t="shared" si="13"/>
        <v>-2.4458481857691154</v>
      </c>
      <c r="L245" s="350">
        <f t="array" ref="L245">(GEOMEAN(Index_Returns!G210:G245/100+1)^12-1)*100</f>
        <v>16.417118242165387</v>
      </c>
      <c r="M245" s="350">
        <f t="array" ref="M245">(GEOMEAN(Index_Returns!F210:F245/100+1)^12-1)*100</f>
        <v>16.167870809617746</v>
      </c>
      <c r="N245" s="350">
        <f t="shared" si="14"/>
        <v>0.24924743254764081</v>
      </c>
      <c r="O245" s="352"/>
      <c r="P245" s="352">
        <f t="array" ref="P245">(PRODUCT(Index_Returns!M234:M245/100+1)-1)*100</f>
        <v>23.670196671698385</v>
      </c>
      <c r="Q245" s="352">
        <f t="array" ref="Q245">(PRODUCT(Index_Returns!L234:L245/100+1)-1)*100</f>
        <v>28.543642591837838</v>
      </c>
      <c r="R245" s="352">
        <f t="shared" si="15"/>
        <v>-4.8734459201394529</v>
      </c>
      <c r="S245" s="352"/>
      <c r="T245" s="352"/>
      <c r="U245" s="352"/>
      <c r="V245" s="352"/>
      <c r="W245" s="352">
        <f t="array" ref="W245">(PRODUCT(Index_Returns!AC234:AC245/100+1)-1)*100</f>
        <v>5.0530365236493013</v>
      </c>
      <c r="X245" s="352">
        <f t="array" ref="X245">(PRODUCT(Index_Returns!AB234:AB245/100+1)-1)*100</f>
        <v>7.3133210483379729</v>
      </c>
      <c r="Y245" s="352">
        <f t="shared" si="12"/>
        <v>-2.2602845246886716</v>
      </c>
      <c r="Z245" s="352">
        <f t="array" ref="Z245">(GEOMEAN(Index_Returns!AC210:AC245/100+1)^12-1)*100</f>
        <v>16.999066471524383</v>
      </c>
      <c r="AA245" s="352">
        <f t="array" ref="AA245">(GEOMEAN(Index_Returns!AB210:AB245/100+1)^12-1)*100</f>
        <v>10.920656578180621</v>
      </c>
      <c r="AB245" s="352">
        <f t="shared" si="9"/>
        <v>6.0784098933437622</v>
      </c>
    </row>
    <row r="246" spans="1:28" x14ac:dyDescent="0.2">
      <c r="A246" s="19">
        <v>35003</v>
      </c>
      <c r="B246" s="352">
        <f t="array" ref="B246">(PRODUCT(Index_Returns!D235:D246/100+1)-1)*100</f>
        <v>23.02321551002473</v>
      </c>
      <c r="C246" s="352">
        <f t="array" ref="C246">(PRODUCT(Index_Returns!C235:C246/100+1)-1)*100</f>
        <v>29.718795074268755</v>
      </c>
      <c r="D246" s="352">
        <f t="shared" si="10"/>
        <v>-6.6955795642440243</v>
      </c>
      <c r="E246" s="352">
        <f t="array" ref="E246">(GEOMEAN(Index_Returns!D211:D246/100+1)^12-1)*100</f>
        <v>15.999266633182385</v>
      </c>
      <c r="F246" s="352">
        <f t="array" ref="F246">(GEOMEAN(Index_Returns!C211:C246/100+1)^12-1)*100</f>
        <v>13.124252316958064</v>
      </c>
      <c r="G246" s="352">
        <f t="shared" si="11"/>
        <v>2.8750143162243216</v>
      </c>
      <c r="H246" s="351"/>
      <c r="I246" s="350">
        <f t="array" ref="I246">(PRODUCT(Index_Returns!G235:G246/100+1)-1)*100</f>
        <v>22.471063293948145</v>
      </c>
      <c r="J246" s="350">
        <f t="array" ref="J246">(PRODUCT(Index_Returns!F235:F246/100+1)-1)*100</f>
        <v>19.95898018298017</v>
      </c>
      <c r="K246" s="350">
        <f t="shared" si="13"/>
        <v>2.5120831109679749</v>
      </c>
      <c r="L246" s="350">
        <f t="array" ref="L246">(GEOMEAN(Index_Returns!G211:G246/100+1)^12-1)*100</f>
        <v>15.490522838889609</v>
      </c>
      <c r="M246" s="350">
        <f t="array" ref="M246">(GEOMEAN(Index_Returns!F211:F246/100+1)^12-1)*100</f>
        <v>13.286593834244819</v>
      </c>
      <c r="N246" s="350">
        <f t="shared" si="14"/>
        <v>2.2039290046447899</v>
      </c>
      <c r="O246" s="352"/>
      <c r="P246" s="352">
        <f t="array" ref="P246">(PRODUCT(Index_Returns!M235:M246/100+1)-1)*100</f>
        <v>20.601978044515622</v>
      </c>
      <c r="Q246" s="352">
        <f t="array" ref="Q246">(PRODUCT(Index_Returns!L235:L246/100+1)-1)*100</f>
        <v>21.73406840924148</v>
      </c>
      <c r="R246" s="352">
        <f t="shared" si="15"/>
        <v>-1.1320903647258582</v>
      </c>
      <c r="S246" s="352"/>
      <c r="T246" s="352"/>
      <c r="U246" s="352"/>
      <c r="V246" s="352"/>
      <c r="W246" s="352">
        <f t="array" ref="W246">(PRODUCT(Index_Returns!AC235:AC246/100+1)-1)*100</f>
        <v>-1.5360767560291255</v>
      </c>
      <c r="X246" s="352">
        <f t="array" ref="X246">(PRODUCT(Index_Returns!AB235:AB246/100+1)-1)*100</f>
        <v>1.5697476775045072</v>
      </c>
      <c r="Y246" s="352">
        <f t="shared" si="12"/>
        <v>-3.1058244335336327</v>
      </c>
      <c r="Z246" s="352">
        <f t="array" ref="Z246">(GEOMEAN(Index_Returns!AC211:AC246/100+1)^12-1)*100</f>
        <v>18.065958733067799</v>
      </c>
      <c r="AA246" s="352">
        <f t="array" ref="AA246">(GEOMEAN(Index_Returns!AB211:AB246/100+1)^12-1)*100</f>
        <v>11.883339541220872</v>
      </c>
      <c r="AB246" s="352">
        <f t="shared" si="9"/>
        <v>6.1826191918469267</v>
      </c>
    </row>
    <row r="247" spans="1:28" x14ac:dyDescent="0.2">
      <c r="A247" s="19">
        <v>35033</v>
      </c>
      <c r="B247" s="352">
        <f t="array" ref="B247">(PRODUCT(Index_Returns!D236:D247/100+1)-1)*100</f>
        <v>34.938573221854718</v>
      </c>
      <c r="C247" s="352">
        <f t="array" ref="C247">(PRODUCT(Index_Returns!C236:C247/100+1)-1)*100</f>
        <v>38.943212325077468</v>
      </c>
      <c r="D247" s="352">
        <f t="shared" si="10"/>
        <v>-4.0046391032227504</v>
      </c>
      <c r="E247" s="352">
        <f t="array" ref="E247">(GEOMEAN(Index_Returns!D212:D247/100+1)^12-1)*100</f>
        <v>16.944371052265051</v>
      </c>
      <c r="F247" s="352">
        <f t="array" ref="F247">(GEOMEAN(Index_Returns!C212:C247/100+1)^12-1)*100</f>
        <v>12.966981696198676</v>
      </c>
      <c r="G247" s="352">
        <f t="shared" si="11"/>
        <v>3.9773893560663751</v>
      </c>
      <c r="H247" s="351"/>
      <c r="I247" s="350">
        <f t="array" ref="I247">(PRODUCT(Index_Returns!G236:G247/100+1)-1)*100</f>
        <v>34.358108675875258</v>
      </c>
      <c r="J247" s="350">
        <f t="array" ref="J247">(PRODUCT(Index_Returns!F236:F247/100+1)-1)*100</f>
        <v>30.456208108256423</v>
      </c>
      <c r="K247" s="350">
        <f t="shared" si="13"/>
        <v>3.901900567618835</v>
      </c>
      <c r="L247" s="350">
        <f t="array" ref="L247">(GEOMEAN(Index_Returns!G212:G247/100+1)^12-1)*100</f>
        <v>15.85246095871755</v>
      </c>
      <c r="M247" s="350">
        <f t="array" ref="M247">(GEOMEAN(Index_Returns!F212:F247/100+1)^12-1)*100</f>
        <v>12.072053375232228</v>
      </c>
      <c r="N247" s="350">
        <f t="shared" si="14"/>
        <v>3.7804075834853226</v>
      </c>
      <c r="O247" s="352"/>
      <c r="P247" s="352">
        <f t="array" ref="P247">(PRODUCT(Index_Returns!M236:M247/100+1)-1)*100</f>
        <v>29.941157047572876</v>
      </c>
      <c r="Q247" s="352">
        <f t="array" ref="Q247">(PRODUCT(Index_Returns!L236:L247/100+1)-1)*100</f>
        <v>31.885039212051481</v>
      </c>
      <c r="R247" s="352">
        <f t="shared" si="15"/>
        <v>-1.9438821644786053</v>
      </c>
      <c r="S247" s="352"/>
      <c r="T247" s="352"/>
      <c r="U247" s="352"/>
      <c r="V247" s="352"/>
      <c r="W247" s="352">
        <f t="array" ref="W247">(PRODUCT(Index_Returns!AC236:AC247/100+1)-1)*100</f>
        <v>6.6927346461895798</v>
      </c>
      <c r="X247" s="352">
        <f t="array" ref="X247">(PRODUCT(Index_Returns!AB236:AB247/100+1)-1)*100</f>
        <v>9.280114160485331</v>
      </c>
      <c r="Y247" s="352">
        <f t="shared" si="12"/>
        <v>-2.5873795142957512</v>
      </c>
      <c r="Z247" s="352">
        <f t="array" ref="Z247">(GEOMEAN(Index_Returns!AC212:AC247/100+1)^12-1)*100</f>
        <v>18.976003508585393</v>
      </c>
      <c r="AA247" s="352">
        <f t="array" ref="AA247">(GEOMEAN(Index_Returns!AB212:AB247/100+1)^12-1)*100</f>
        <v>12.377560878868188</v>
      </c>
      <c r="AB247" s="352">
        <f t="shared" si="9"/>
        <v>6.598442629717205</v>
      </c>
    </row>
    <row r="248" spans="1:28" x14ac:dyDescent="0.2">
      <c r="A248" s="19">
        <v>35064</v>
      </c>
      <c r="B248" s="352">
        <f t="array" ref="B248">(PRODUCT(Index_Returns!D237:D248/100+1)-1)*100</f>
        <v>36.996750376935708</v>
      </c>
      <c r="C248" s="352">
        <f t="array" ref="C248">(PRODUCT(Index_Returns!C237:C248/100+1)-1)*100</f>
        <v>38.134079182438832</v>
      </c>
      <c r="D248" s="352">
        <f t="shared" si="10"/>
        <v>-1.1373288055031239</v>
      </c>
      <c r="E248" s="352">
        <f t="array" ref="E248">(GEOMEAN(Index_Returns!D213:D248/100+1)^12-1)*100</f>
        <v>17.311551733114271</v>
      </c>
      <c r="F248" s="352">
        <f t="array" ref="F248">(GEOMEAN(Index_Returns!C213:C248/100+1)^12-1)*100</f>
        <v>13.144996331234715</v>
      </c>
      <c r="G248" s="352">
        <f t="shared" si="11"/>
        <v>4.1665554018795561</v>
      </c>
      <c r="H248" s="351"/>
      <c r="I248" s="350">
        <f t="array" ref="I248">(PRODUCT(Index_Returns!G237:G248/100+1)-1)*100</f>
        <v>34.038924717509509</v>
      </c>
      <c r="J248" s="350">
        <f t="array" ref="J248">(PRODUCT(Index_Returns!F237:F248/100+1)-1)*100</f>
        <v>27.29791729451323</v>
      </c>
      <c r="K248" s="350">
        <f t="shared" si="13"/>
        <v>6.7410074229962795</v>
      </c>
      <c r="L248" s="350">
        <f t="array" ref="L248">(GEOMEAN(Index_Returns!G213:G248/100+1)^12-1)*100</f>
        <v>14.770219536483541</v>
      </c>
      <c r="M248" s="350">
        <f t="array" ref="M248">(GEOMEAN(Index_Returns!F213:F248/100+1)^12-1)*100</f>
        <v>10.409364055828419</v>
      </c>
      <c r="N248" s="350">
        <f t="shared" si="14"/>
        <v>4.3608554806551219</v>
      </c>
      <c r="O248" s="352"/>
      <c r="P248" s="352">
        <f t="array" ref="P248">(PRODUCT(Index_Returns!M237:M248/100+1)-1)*100</f>
        <v>30.843667630906779</v>
      </c>
      <c r="Q248" s="352">
        <f t="array" ref="Q248">(PRODUCT(Index_Returns!L237:L248/100+1)-1)*100</f>
        <v>29.084905778016591</v>
      </c>
      <c r="R248" s="352">
        <f t="shared" si="15"/>
        <v>1.7587618528901885</v>
      </c>
      <c r="S248" s="352"/>
      <c r="T248" s="352"/>
      <c r="U248" s="352"/>
      <c r="V248" s="352"/>
      <c r="W248" s="352">
        <f t="array" ref="W248">(PRODUCT(Index_Returns!AC237:AC248/100+1)-1)*100</f>
        <v>11.67721055836488</v>
      </c>
      <c r="X248" s="352">
        <f t="array" ref="X248">(PRODUCT(Index_Returns!AB237:AB248/100+1)-1)*100</f>
        <v>11.647394942260281</v>
      </c>
      <c r="Y248" s="352">
        <f t="shared" si="12"/>
        <v>2.9815616104599485E-2</v>
      </c>
      <c r="Z248" s="352">
        <f t="array" ref="Z248">(GEOMEAN(Index_Returns!AC213:AC248/100+1)^12-1)*100</f>
        <v>20.418889842674748</v>
      </c>
      <c r="AA248" s="352">
        <f t="array" ref="AA248">(GEOMEAN(Index_Returns!AB213:AB248/100+1)^12-1)*100</f>
        <v>13.61881103588547</v>
      </c>
      <c r="AB248" s="352">
        <f t="shared" si="9"/>
        <v>6.8000788067892781</v>
      </c>
    </row>
    <row r="249" spans="1:28" x14ac:dyDescent="0.2">
      <c r="A249" s="19">
        <v>35095</v>
      </c>
      <c r="B249" s="352">
        <f t="array" ref="B249">(PRODUCT(Index_Returns!D238:D249/100+1)-1)*100</f>
        <v>37.378230598610806</v>
      </c>
      <c r="C249" s="352">
        <f t="array" ref="C249">(PRODUCT(Index_Returns!C238:C249/100+1)-1)*100</f>
        <v>39.933671973604312</v>
      </c>
      <c r="D249" s="352">
        <f t="shared" si="10"/>
        <v>-2.5554413749935065</v>
      </c>
      <c r="E249" s="352">
        <f t="array" ref="E249">(GEOMEAN(Index_Returns!D214:D249/100+1)^12-1)*100</f>
        <v>17.400529587051427</v>
      </c>
      <c r="F249" s="352">
        <f t="array" ref="F249">(GEOMEAN(Index_Returns!C214:C249/100+1)^12-1)*100</f>
        <v>14.979547085106958</v>
      </c>
      <c r="G249" s="352">
        <f t="shared" si="11"/>
        <v>2.4209825019444686</v>
      </c>
      <c r="H249" s="351"/>
      <c r="I249" s="350">
        <f t="array" ref="I249">(PRODUCT(Index_Returns!G238:G249/100+1)-1)*100</f>
        <v>33.252648880827572</v>
      </c>
      <c r="J249" s="350">
        <f t="array" ref="J249">(PRODUCT(Index_Returns!F238:F249/100+1)-1)*100</f>
        <v>29.433655756984223</v>
      </c>
      <c r="K249" s="350">
        <f t="shared" si="13"/>
        <v>3.8189931238433488</v>
      </c>
      <c r="L249" s="350">
        <f t="array" ref="L249">(GEOMEAN(Index_Returns!G214:G249/100+1)^12-1)*100</f>
        <v>14.623889314976646</v>
      </c>
      <c r="M249" s="350">
        <f t="array" ref="M249">(GEOMEAN(Index_Returns!F214:F249/100+1)^12-1)*100</f>
        <v>10.672442694352258</v>
      </c>
      <c r="N249" s="350">
        <f t="shared" si="14"/>
        <v>3.9514466206243881</v>
      </c>
      <c r="O249" s="352"/>
      <c r="P249" s="352">
        <f t="array" ref="P249">(PRODUCT(Index_Returns!M238:M249/100+1)-1)*100</f>
        <v>31.420297969659149</v>
      </c>
      <c r="Q249" s="352">
        <f t="array" ref="Q249">(PRODUCT(Index_Returns!L238:L249/100+1)-1)*100</f>
        <v>32.838344534755983</v>
      </c>
      <c r="R249" s="352">
        <f t="shared" ref="R249:R260" si="16">P249-Q249</f>
        <v>-1.4180465650968337</v>
      </c>
      <c r="S249" s="352"/>
      <c r="T249" s="352"/>
      <c r="U249" s="352"/>
      <c r="V249" s="352"/>
      <c r="W249" s="352">
        <f t="array" ref="W249">(PRODUCT(Index_Returns!AC238:AC249/100+1)-1)*100</f>
        <v>16.996632495630791</v>
      </c>
      <c r="X249" s="352">
        <f t="array" ref="X249">(PRODUCT(Index_Returns!AB238:AB249/100+1)-1)*100</f>
        <v>16.179943475572589</v>
      </c>
      <c r="Y249" s="352">
        <f t="shared" si="12"/>
        <v>0.81668902005820243</v>
      </c>
      <c r="Z249" s="352">
        <f t="array" ref="Z249">(GEOMEAN(Index_Returns!AC214:AC249/100+1)^12-1)*100</f>
        <v>20.349145823899086</v>
      </c>
      <c r="AA249" s="352">
        <f t="array" ref="AA249">(GEOMEAN(Index_Returns!AB214:AB249/100+1)^12-1)*100</f>
        <v>13.98966826321033</v>
      </c>
      <c r="AB249" s="352">
        <f t="shared" si="9"/>
        <v>6.3594775606887559</v>
      </c>
    </row>
    <row r="250" spans="1:28" x14ac:dyDescent="0.2">
      <c r="A250" s="19">
        <v>35124</v>
      </c>
      <c r="B250" s="352">
        <f t="array" ref="B250">(PRODUCT(Index_Returns!D239:D250/100+1)-1)*100</f>
        <v>33.4836675891395</v>
      </c>
      <c r="C250" s="352">
        <f t="array" ref="C250">(PRODUCT(Index_Returns!C239:C250/100+1)-1)*100</f>
        <v>35.909762755696619</v>
      </c>
      <c r="D250" s="352">
        <f t="shared" si="10"/>
        <v>-2.4260951665571184</v>
      </c>
      <c r="E250" s="352">
        <f t="array" ref="E250">(GEOMEAN(Index_Returns!D215:D250/100+1)^12-1)*100</f>
        <v>16.442482573126547</v>
      </c>
      <c r="F250" s="352">
        <f t="array" ref="F250">(GEOMEAN(Index_Returns!C215:C250/100+1)^12-1)*100</f>
        <v>15.642059781844807</v>
      </c>
      <c r="G250" s="352">
        <f t="shared" si="11"/>
        <v>0.80042279128173988</v>
      </c>
      <c r="H250" s="351"/>
      <c r="I250" s="350">
        <f t="array" ref="I250">(PRODUCT(Index_Returns!G239:G250/100+1)-1)*100</f>
        <v>29.210189932430652</v>
      </c>
      <c r="J250" s="350">
        <f t="array" ref="J250">(PRODUCT(Index_Returns!F239:F250/100+1)-1)*100</f>
        <v>28.293893212244157</v>
      </c>
      <c r="K250" s="350">
        <f t="shared" si="13"/>
        <v>0.91629672018649444</v>
      </c>
      <c r="L250" s="350">
        <f t="array" ref="L250">(GEOMEAN(Index_Returns!G215:G250/100+1)^12-1)*100</f>
        <v>14.657895375163665</v>
      </c>
      <c r="M250" s="350">
        <f t="array" ref="M250">(GEOMEAN(Index_Returns!F215:F250/100+1)^12-1)*100</f>
        <v>14.007980222247207</v>
      </c>
      <c r="N250" s="350">
        <f t="shared" si="14"/>
        <v>0.64991515291645818</v>
      </c>
      <c r="O250" s="352"/>
      <c r="P250" s="352">
        <f t="array" ref="P250">(PRODUCT(Index_Returns!M239:M250/100+1)-1)*100</f>
        <v>30.519173776290785</v>
      </c>
      <c r="Q250" s="352">
        <f t="array" ref="Q250">(PRODUCT(Index_Returns!L239:L250/100+1)-1)*100</f>
        <v>31.637843819716171</v>
      </c>
      <c r="R250" s="352">
        <f t="shared" si="16"/>
        <v>-1.1186700434253858</v>
      </c>
      <c r="S250" s="352"/>
      <c r="T250" s="352"/>
      <c r="U250" s="352"/>
      <c r="V250" s="352"/>
      <c r="W250" s="352">
        <f t="array" ref="W250">(PRODUCT(Index_Returns!AC239:AC250/100+1)-1)*100</f>
        <v>18.032336032869335</v>
      </c>
      <c r="X250" s="352">
        <f t="array" ref="X250">(PRODUCT(Index_Returns!AB239:AB250/100+1)-1)*100</f>
        <v>16.619521215445786</v>
      </c>
      <c r="Y250" s="352">
        <f t="shared" si="12"/>
        <v>1.4128148174235484</v>
      </c>
      <c r="Z250" s="352">
        <f t="array" ref="Z250">(GEOMEAN(Index_Returns!AC215:AC250/100+1)^12-1)*100</f>
        <v>19.23211645253058</v>
      </c>
      <c r="AA250" s="352">
        <f t="array" ref="AA250">(GEOMEAN(Index_Returns!AB215:AB250/100+1)^12-1)*100</f>
        <v>13.054246164648365</v>
      </c>
      <c r="AB250" s="352">
        <f t="shared" si="9"/>
        <v>6.1778702878822145</v>
      </c>
    </row>
    <row r="251" spans="1:28" x14ac:dyDescent="0.2">
      <c r="A251" s="19">
        <v>35155</v>
      </c>
      <c r="B251" s="352">
        <f t="array" ref="B251">(PRODUCT(Index_Returns!D240:D251/100+1)-1)*100</f>
        <v>32.943274178305359</v>
      </c>
      <c r="C251" s="352">
        <f t="array" ref="C251">(PRODUCT(Index_Returns!C240:C251/100+1)-1)*100</f>
        <v>31.224873224576456</v>
      </c>
      <c r="D251" s="352">
        <f t="shared" si="10"/>
        <v>1.7184009537289029</v>
      </c>
      <c r="E251" s="352">
        <f t="array" ref="E251">(GEOMEAN(Index_Returns!D216:D251/100+1)^12-1)*100</f>
        <v>16.284003712573281</v>
      </c>
      <c r="F251" s="352">
        <f t="array" ref="F251">(GEOMEAN(Index_Returns!C216:C251/100+1)^12-1)*100</f>
        <v>14.941898485490125</v>
      </c>
      <c r="G251" s="352">
        <f t="shared" si="11"/>
        <v>1.3421052270831559</v>
      </c>
      <c r="H251" s="351"/>
      <c r="I251" s="350">
        <f t="array" ref="I251">(PRODUCT(Index_Returns!G240:G251/100+1)-1)*100</f>
        <v>29.812510749372102</v>
      </c>
      <c r="J251" s="350">
        <f t="array" ref="J251">(PRODUCT(Index_Returns!F240:F251/100+1)-1)*100</f>
        <v>26.262768536833249</v>
      </c>
      <c r="K251" s="350">
        <f t="shared" si="13"/>
        <v>3.5497422125388525</v>
      </c>
      <c r="L251" s="350">
        <f t="array" ref="L251">(GEOMEAN(Index_Returns!G216:G251/100+1)^12-1)*100</f>
        <v>13.707533241044946</v>
      </c>
      <c r="M251" s="350">
        <f t="array" ref="M251">(GEOMEAN(Index_Returns!F216:F251/100+1)^12-1)*100</f>
        <v>13.392261684138361</v>
      </c>
      <c r="N251" s="350">
        <f t="shared" si="14"/>
        <v>0.31527155690658404</v>
      </c>
      <c r="O251" s="352"/>
      <c r="P251" s="352">
        <f t="array" ref="P251">(PRODUCT(Index_Returns!M240:M251/100+1)-1)*100</f>
        <v>31.614627723269638</v>
      </c>
      <c r="Q251" s="352">
        <f t="array" ref="Q251">(PRODUCT(Index_Returns!L240:L251/100+1)-1)*100</f>
        <v>30.751458299259227</v>
      </c>
      <c r="R251" s="352">
        <f t="shared" si="16"/>
        <v>0.86316942401041175</v>
      </c>
      <c r="S251" s="352"/>
      <c r="T251" s="352"/>
      <c r="U251" s="352"/>
      <c r="V251" s="352"/>
      <c r="W251" s="352">
        <f t="array" ref="W251">(PRODUCT(Index_Returns!AC240:AC251/100+1)-1)*100</f>
        <v>13.206114886844912</v>
      </c>
      <c r="X251" s="352">
        <f t="array" ref="X251">(PRODUCT(Index_Returns!AB240:AB251/100+1)-1)*100</f>
        <v>12.348390389369301</v>
      </c>
      <c r="Y251" s="352">
        <f t="shared" si="12"/>
        <v>0.85772449747561019</v>
      </c>
      <c r="Z251" s="352">
        <f t="array" ref="Z251">(GEOMEAN(Index_Returns!AC216:AC251/100+1)^12-1)*100</f>
        <v>16.078917981753005</v>
      </c>
      <c r="AA251" s="352">
        <f t="array" ref="AA251">(GEOMEAN(Index_Returns!AB216:AB251/100+1)^12-1)*100</f>
        <v>11.375104744820419</v>
      </c>
      <c r="AB251" s="352">
        <f t="shared" si="9"/>
        <v>4.7038132369325858</v>
      </c>
    </row>
    <row r="252" spans="1:28" x14ac:dyDescent="0.2">
      <c r="A252" s="19">
        <v>35185</v>
      </c>
      <c r="B252" s="352">
        <f t="array" ref="B252">(PRODUCT(Index_Returns!D241:D252/100+1)-1)*100</f>
        <v>30.016493735662465</v>
      </c>
      <c r="C252" s="352">
        <f t="array" ref="C252">(PRODUCT(Index_Returns!C241:C252/100+1)-1)*100</f>
        <v>30.383314288510867</v>
      </c>
      <c r="D252" s="352">
        <f t="shared" si="10"/>
        <v>-0.36682055284840231</v>
      </c>
      <c r="E252" s="352">
        <f t="array" ref="E252">(GEOMEAN(Index_Returns!D217:D252/100+1)^12-1)*100</f>
        <v>16.833248474423247</v>
      </c>
      <c r="F252" s="352">
        <f t="array" ref="F252">(GEOMEAN(Index_Returns!C217:C252/100+1)^12-1)*100</f>
        <v>17.517689930325766</v>
      </c>
      <c r="G252" s="352">
        <f t="shared" si="11"/>
        <v>-0.68444145590251892</v>
      </c>
      <c r="H252" s="351"/>
      <c r="I252" s="350">
        <f t="array" ref="I252">(PRODUCT(Index_Returns!G241:G252/100+1)-1)*100</f>
        <v>27.586331381581996</v>
      </c>
      <c r="J252" s="350">
        <f t="array" ref="J252">(PRODUCT(Index_Returns!F241:F252/100+1)-1)*100</f>
        <v>31.098680542066901</v>
      </c>
      <c r="K252" s="350">
        <f t="shared" si="13"/>
        <v>-3.5123491604849058</v>
      </c>
      <c r="L252" s="350">
        <f t="array" ref="L252">(GEOMEAN(Index_Returns!G217:G252/100+1)^12-1)*100</f>
        <v>14.694187028281647</v>
      </c>
      <c r="M252" s="350">
        <f t="array" ref="M252">(GEOMEAN(Index_Returns!F217:F252/100+1)^12-1)*100</f>
        <v>16.702594944720282</v>
      </c>
      <c r="N252" s="350">
        <f t="shared" si="14"/>
        <v>-2.0084079164386353</v>
      </c>
      <c r="O252" s="352"/>
      <c r="P252" s="352">
        <f t="array" ref="P252">(PRODUCT(Index_Returns!M241:M252/100+1)-1)*100</f>
        <v>32.398986246383444</v>
      </c>
      <c r="Q252" s="352">
        <f t="array" ref="Q252">(PRODUCT(Index_Returns!L241:L252/100+1)-1)*100</f>
        <v>39.057569420728846</v>
      </c>
      <c r="R252" s="352">
        <f t="shared" si="16"/>
        <v>-6.6585831743454023</v>
      </c>
      <c r="S252" s="352"/>
      <c r="T252" s="352"/>
      <c r="U252" s="352"/>
      <c r="V252" s="352"/>
      <c r="W252" s="352">
        <f t="array" ref="W252">(PRODUCT(Index_Returns!AC241:AC252/100+1)-1)*100</f>
        <v>13.505809903292532</v>
      </c>
      <c r="X252" s="352">
        <f t="array" ref="X252">(PRODUCT(Index_Returns!AB241:AB252/100+1)-1)*100</f>
        <v>10.190277085567923</v>
      </c>
      <c r="Y252" s="352">
        <f t="shared" si="12"/>
        <v>3.3155328177246091</v>
      </c>
      <c r="Z252" s="352">
        <f t="array" ref="Z252">(GEOMEAN(Index_Returns!AC217:AC252/100+1)^12-1)*100</f>
        <v>13.419193171107025</v>
      </c>
      <c r="AA252" s="352">
        <f t="array" ref="AA252">(GEOMEAN(Index_Returns!AB217:AB252/100+1)^12-1)*100</f>
        <v>9.3961740921544958</v>
      </c>
      <c r="AB252" s="352">
        <f t="shared" si="9"/>
        <v>4.0230190789525295</v>
      </c>
    </row>
    <row r="253" spans="1:28" x14ac:dyDescent="0.2">
      <c r="A253" s="19">
        <v>35216</v>
      </c>
      <c r="B253" s="352">
        <f t="array" ref="B253">(PRODUCT(Index_Returns!D242:D253/100+1)-1)*100</f>
        <v>26.35433780721592</v>
      </c>
      <c r="C253" s="352">
        <f t="array" ref="C253">(PRODUCT(Index_Returns!C242:C253/100+1)-1)*100</f>
        <v>30.508061688961853</v>
      </c>
      <c r="D253" s="352">
        <f t="shared" si="10"/>
        <v>-4.1537238817459325</v>
      </c>
      <c r="E253" s="352">
        <f t="array" ref="E253">(GEOMEAN(Index_Returns!D218:D253/100+1)^12-1)*100</f>
        <v>16.694310141844703</v>
      </c>
      <c r="F253" s="352">
        <f t="array" ref="F253">(GEOMEAN(Index_Returns!C218:C253/100+1)^12-1)*100</f>
        <v>17.563178706803395</v>
      </c>
      <c r="G253" s="352">
        <f t="shared" si="11"/>
        <v>-0.86886856495869225</v>
      </c>
      <c r="H253" s="351"/>
      <c r="I253" s="350">
        <f t="array" ref="I253">(PRODUCT(Index_Returns!G242:G253/100+1)-1)*100</f>
        <v>25.582251395436995</v>
      </c>
      <c r="J253" s="350">
        <f t="array" ref="J253">(PRODUCT(Index_Returns!F242:F253/100+1)-1)*100</f>
        <v>30.428367696450742</v>
      </c>
      <c r="K253" s="350">
        <f t="shared" si="13"/>
        <v>-4.8461163010137476</v>
      </c>
      <c r="L253" s="350">
        <f t="array" ref="L253">(GEOMEAN(Index_Returns!G218:G253/100+1)^12-1)*100</f>
        <v>14.338450394935244</v>
      </c>
      <c r="M253" s="350">
        <f t="array" ref="M253">(GEOMEAN(Index_Returns!F218:F253/100+1)^12-1)*100</f>
        <v>14.651215777269289</v>
      </c>
      <c r="N253" s="350">
        <f t="shared" si="14"/>
        <v>-0.31276538233404594</v>
      </c>
      <c r="O253" s="352"/>
      <c r="P253" s="352">
        <f t="array" ref="P253">(PRODUCT(Index_Returns!M242:M253/100+1)-1)*100</f>
        <v>34.476358854184319</v>
      </c>
      <c r="Q253" s="352">
        <f t="array" ref="Q253">(PRODUCT(Index_Returns!L242:L253/100+1)-1)*100</f>
        <v>42.326869382868161</v>
      </c>
      <c r="R253" s="352">
        <f t="shared" si="16"/>
        <v>-7.8505105286838415</v>
      </c>
      <c r="S253" s="352"/>
      <c r="T253" s="352"/>
      <c r="U253" s="352"/>
      <c r="V253" s="352"/>
      <c r="W253" s="352">
        <f t="array" ref="W253">(PRODUCT(Index_Returns!AC242:AC253/100+1)-1)*100</f>
        <v>13.080461704386369</v>
      </c>
      <c r="X253" s="352">
        <f t="array" ref="X253">(PRODUCT(Index_Returns!AB242:AB253/100+1)-1)*100</f>
        <v>9.1428943846514557</v>
      </c>
      <c r="Y253" s="352">
        <f t="shared" si="12"/>
        <v>3.9375673197349137</v>
      </c>
      <c r="Z253" s="352">
        <f t="array" ref="Z253">(GEOMEAN(Index_Returns!AC218:AC253/100+1)^12-1)*100</f>
        <v>12.315284306070783</v>
      </c>
      <c r="AA253" s="352">
        <f t="array" ref="AA253">(GEOMEAN(Index_Returns!AB218:AB253/100+1)^12-1)*100</f>
        <v>7.5844236795166831</v>
      </c>
      <c r="AB253" s="352">
        <f t="shared" si="9"/>
        <v>4.7308606265541</v>
      </c>
    </row>
    <row r="254" spans="1:28" x14ac:dyDescent="0.2">
      <c r="A254" s="19">
        <v>35246</v>
      </c>
      <c r="B254" s="352">
        <f t="array" ref="B254">(PRODUCT(Index_Returns!D243:D254/100+1)-1)*100</f>
        <v>24.796838352511518</v>
      </c>
      <c r="C254" s="352">
        <f t="array" ref="C254">(PRODUCT(Index_Returns!C243:C254/100+1)-1)*100</f>
        <v>27.264768120036109</v>
      </c>
      <c r="D254" s="352">
        <f t="shared" si="10"/>
        <v>-2.4679297675245913</v>
      </c>
      <c r="E254" s="352">
        <f t="array" ref="E254">(GEOMEAN(Index_Returns!D219:D254/100+1)^12-1)*100</f>
        <v>15.997967344159104</v>
      </c>
      <c r="F254" s="352">
        <f t="array" ref="F254">(GEOMEAN(Index_Returns!C219:C254/100+1)^12-1)*100</f>
        <v>18.38630765901339</v>
      </c>
      <c r="G254" s="352">
        <f t="shared" si="11"/>
        <v>-2.3883403148542861</v>
      </c>
      <c r="H254" s="351"/>
      <c r="I254" s="350">
        <f t="array" ref="I254">(PRODUCT(Index_Returns!G243:G254/100+1)-1)*100</f>
        <v>22.830962261359478</v>
      </c>
      <c r="J254" s="350">
        <f t="array" ref="J254">(PRODUCT(Index_Returns!F243:F254/100+1)-1)*100</f>
        <v>19.410357014263724</v>
      </c>
      <c r="K254" s="350">
        <f t="shared" si="13"/>
        <v>3.4206052470957538</v>
      </c>
      <c r="L254" s="350">
        <f t="array" ref="L254">(GEOMEAN(Index_Returns!G219:G254/100+1)^12-1)*100</f>
        <v>14.088998040185597</v>
      </c>
      <c r="M254" s="350">
        <f t="array" ref="M254">(GEOMEAN(Index_Returns!F219:F254/100+1)^12-1)*100</f>
        <v>13.362773428293551</v>
      </c>
      <c r="N254" s="350">
        <f t="shared" si="14"/>
        <v>0.72622461189204657</v>
      </c>
      <c r="O254" s="352"/>
      <c r="P254" s="352">
        <f t="array" ref="P254">(PRODUCT(Index_Returns!M243:M254/100+1)-1)*100</f>
        <v>25.28371724868428</v>
      </c>
      <c r="Q254" s="352">
        <f t="array" ref="Q254">(PRODUCT(Index_Returns!L243:L254/100+1)-1)*100</f>
        <v>26.603490116076056</v>
      </c>
      <c r="R254" s="352">
        <f t="shared" si="16"/>
        <v>-1.3197728673917766</v>
      </c>
      <c r="S254" s="352"/>
      <c r="T254" s="352"/>
      <c r="U254" s="352"/>
      <c r="V254" s="352"/>
      <c r="W254" s="352">
        <f t="array" ref="W254">(PRODUCT(Index_Returns!AC243:AC254/100+1)-1)*100</f>
        <v>15.859479585264014</v>
      </c>
      <c r="X254" s="352">
        <f t="array" ref="X254">(PRODUCT(Index_Returns!AB243:AB254/100+1)-1)*100</f>
        <v>11.840940590626037</v>
      </c>
      <c r="Y254" s="352">
        <f t="shared" si="12"/>
        <v>4.0185389946379768</v>
      </c>
      <c r="Z254" s="352">
        <f t="array" ref="Z254">(GEOMEAN(Index_Returns!AC219:AC254/100+1)^12-1)*100</f>
        <v>13.522557350173781</v>
      </c>
      <c r="AA254" s="352">
        <f t="array" ref="AA254">(GEOMEAN(Index_Returns!AB219:AB254/100+1)^12-1)*100</f>
        <v>8.0374040840264005</v>
      </c>
      <c r="AB254" s="352">
        <f t="shared" si="9"/>
        <v>5.4851532661473801</v>
      </c>
    </row>
    <row r="255" spans="1:28" x14ac:dyDescent="0.2">
      <c r="A255" s="19">
        <v>35277</v>
      </c>
      <c r="B255" s="352">
        <f t="array" ref="B255">(PRODUCT(Index_Returns!D244:D255/100+1)-1)*100</f>
        <v>15.550930197127965</v>
      </c>
      <c r="C255" s="352">
        <f t="array" ref="C255">(PRODUCT(Index_Returns!C244:C255/100+1)-1)*100</f>
        <v>17.645301276485846</v>
      </c>
      <c r="D255" s="352">
        <f t="shared" si="10"/>
        <v>-2.0943710793578809</v>
      </c>
      <c r="E255" s="352">
        <f t="array" ref="E255">(GEOMEAN(Index_Returns!D220:D255/100+1)^12-1)*100</f>
        <v>13.874405468097727</v>
      </c>
      <c r="F255" s="352">
        <f t="array" ref="F255">(GEOMEAN(Index_Returns!C220:C255/100+1)^12-1)*100</f>
        <v>17.348089771819698</v>
      </c>
      <c r="G255" s="352">
        <f t="shared" si="11"/>
        <v>-3.4736843037219707</v>
      </c>
      <c r="H255" s="351"/>
      <c r="I255" s="350">
        <f t="array" ref="I255">(PRODUCT(Index_Returns!G244:G255/100+1)-1)*100</f>
        <v>10.920163897821155</v>
      </c>
      <c r="J255" s="350">
        <f t="array" ref="J255">(PRODUCT(Index_Returns!F244:F255/100+1)-1)*100</f>
        <v>4.1414127398622824</v>
      </c>
      <c r="K255" s="350">
        <f t="shared" si="13"/>
        <v>6.7787511579588724</v>
      </c>
      <c r="L255" s="350">
        <f t="array" ref="L255">(GEOMEAN(Index_Returns!G220:G255/100+1)^12-1)*100</f>
        <v>11.93901904292165</v>
      </c>
      <c r="M255" s="350">
        <f t="array" ref="M255">(GEOMEAN(Index_Returns!F220:F255/100+1)^12-1)*100</f>
        <v>10.515338458523193</v>
      </c>
      <c r="N255" s="350">
        <f t="shared" si="14"/>
        <v>1.4236805843984577</v>
      </c>
      <c r="O255" s="352"/>
      <c r="P255" s="352">
        <f t="array" ref="P255">(PRODUCT(Index_Returns!M244:M255/100+1)-1)*100</f>
        <v>13.329996683713707</v>
      </c>
      <c r="Q255" s="352">
        <f t="array" ref="Q255">(PRODUCT(Index_Returns!L244:L255/100+1)-1)*100</f>
        <v>4.8187834474584523</v>
      </c>
      <c r="R255" s="352">
        <f t="shared" si="16"/>
        <v>8.5112132362552551</v>
      </c>
      <c r="S255" s="352"/>
      <c r="T255" s="352"/>
      <c r="U255" s="352"/>
      <c r="V255" s="352"/>
      <c r="W255" s="352">
        <f t="array" ref="W255">(PRODUCT(Index_Returns!AC244:AC255/100+1)-1)*100</f>
        <v>6.3830806579205035</v>
      </c>
      <c r="X255" s="352">
        <f t="array" ref="X255">(PRODUCT(Index_Returns!AB244:AB255/100+1)-1)*100</f>
        <v>1.7338525215024214</v>
      </c>
      <c r="Y255" s="352">
        <f t="shared" si="12"/>
        <v>4.6492281364180821</v>
      </c>
      <c r="Z255" s="352">
        <f t="array" ref="Z255">(GEOMEAN(Index_Returns!AC220:AC255/100+1)^12-1)*100</f>
        <v>11.045976637190291</v>
      </c>
      <c r="AA255" s="352">
        <f t="array" ref="AA255">(GEOMEAN(Index_Returns!AB220:AB255/100+1)^12-1)*100</f>
        <v>5.8397381512043767</v>
      </c>
      <c r="AB255" s="352">
        <f t="shared" si="9"/>
        <v>5.2062384859859145</v>
      </c>
    </row>
    <row r="256" spans="1:28" x14ac:dyDescent="0.2">
      <c r="A256" s="19">
        <v>35308</v>
      </c>
      <c r="B256" s="352">
        <f t="array" ref="B256">(PRODUCT(Index_Returns!D245:D256/100+1)-1)*100</f>
        <v>17.73468168894512</v>
      </c>
      <c r="C256" s="352">
        <f t="array" ref="C256">(PRODUCT(Index_Returns!C245:C256/100+1)-1)*100</f>
        <v>19.775596256730953</v>
      </c>
      <c r="D256" s="352">
        <f t="shared" si="10"/>
        <v>-2.0409145677858334</v>
      </c>
      <c r="E256" s="352">
        <f t="array" ref="E256">(GEOMEAN(Index_Returns!D221:D256/100+1)^12-1)*100</f>
        <v>13.449113964663372</v>
      </c>
      <c r="F256" s="352">
        <f t="array" ref="F256">(GEOMEAN(Index_Returns!C221:C256/100+1)^12-1)*100</f>
        <v>16.52469436667614</v>
      </c>
      <c r="G256" s="352">
        <f t="shared" si="11"/>
        <v>-3.0755804020127684</v>
      </c>
      <c r="H256" s="351"/>
      <c r="I256" s="350">
        <f t="array" ref="I256">(PRODUCT(Index_Returns!G245:G256/100+1)-1)*100</f>
        <v>14.263612660338243</v>
      </c>
      <c r="J256" s="350">
        <f t="array" ref="J256">(PRODUCT(Index_Returns!F245:F256/100+1)-1)*100</f>
        <v>8.4979456255976906</v>
      </c>
      <c r="K256" s="350">
        <f t="shared" si="13"/>
        <v>5.7656670347405523</v>
      </c>
      <c r="L256" s="350">
        <f t="array" ref="L256">(GEOMEAN(Index_Returns!G221:G256/100+1)^12-1)*100</f>
        <v>12.540991045923588</v>
      </c>
      <c r="M256" s="350">
        <f t="array" ref="M256">(GEOMEAN(Index_Returns!F221:F256/100+1)^12-1)*100</f>
        <v>10.883271079706169</v>
      </c>
      <c r="N256" s="350">
        <f t="shared" si="14"/>
        <v>1.6577199662174191</v>
      </c>
      <c r="O256" s="352"/>
      <c r="P256" s="352">
        <f t="array" ref="P256">(PRODUCT(Index_Returns!M245:M256/100+1)-1)*100</f>
        <v>16.464307424821524</v>
      </c>
      <c r="Q256" s="352">
        <f t="array" ref="Q256">(PRODUCT(Index_Returns!L245:L256/100+1)-1)*100</f>
        <v>10.117917983615454</v>
      </c>
      <c r="R256" s="352">
        <f t="shared" si="16"/>
        <v>6.3463894412060693</v>
      </c>
      <c r="S256" s="352"/>
      <c r="T256" s="352"/>
      <c r="U256" s="352"/>
      <c r="V256" s="352"/>
      <c r="W256" s="352">
        <f t="array" ref="W256">(PRODUCT(Index_Returns!AC245:AC256/100+1)-1)*100</f>
        <v>10.513419085870579</v>
      </c>
      <c r="X256" s="352">
        <f t="array" ref="X256">(PRODUCT(Index_Returns!AB245:AB256/100+1)-1)*100</f>
        <v>6.3055973808467281</v>
      </c>
      <c r="Y256" s="352">
        <f t="shared" si="12"/>
        <v>4.2078217050238509</v>
      </c>
      <c r="Z256" s="352">
        <f t="array" ref="Z256">(GEOMEAN(Index_Returns!AC221:AC256/100+1)^12-1)*100</f>
        <v>9.1543795187757571</v>
      </c>
      <c r="AA256" s="352">
        <f t="array" ref="AA256">(GEOMEAN(Index_Returns!AB221:AB256/100+1)^12-1)*100</f>
        <v>4.1309437527450976</v>
      </c>
      <c r="AB256" s="352">
        <f t="shared" si="9"/>
        <v>5.0234357660306594</v>
      </c>
    </row>
    <row r="257" spans="1:28" x14ac:dyDescent="0.2">
      <c r="A257" s="19">
        <v>35338</v>
      </c>
      <c r="B257" s="352">
        <f t="array" ref="B257">(PRODUCT(Index_Returns!D246:D257/100+1)-1)*100</f>
        <v>18.650590565803959</v>
      </c>
      <c r="C257" s="352">
        <f t="array" ref="C257">(PRODUCT(Index_Returns!C246:C257/100+1)-1)*100</f>
        <v>22.056335076850651</v>
      </c>
      <c r="D257" s="352">
        <f t="shared" si="10"/>
        <v>-3.4057445110466915</v>
      </c>
      <c r="E257" s="352">
        <f t="array" ref="E257">(GEOMEAN(Index_Returns!D222:D257/100+1)^12-1)*100</f>
        <v>15.061544150360429</v>
      </c>
      <c r="F257" s="352">
        <f t="array" ref="F257">(GEOMEAN(Index_Returns!C222:C257/100+1)^12-1)*100</f>
        <v>19.776336881376743</v>
      </c>
      <c r="G257" s="352">
        <f t="shared" si="11"/>
        <v>-4.7147927310163134</v>
      </c>
      <c r="H257" s="351"/>
      <c r="I257" s="350">
        <f t="array" ref="I257">(PRODUCT(Index_Returns!G246:G257/100+1)-1)*100</f>
        <v>14.677069604633243</v>
      </c>
      <c r="J257" s="350">
        <f t="array" ref="J257">(PRODUCT(Index_Returns!F246:F257/100+1)-1)*100</f>
        <v>12.360725528778271</v>
      </c>
      <c r="K257" s="350">
        <f t="shared" si="13"/>
        <v>2.3163440758549712</v>
      </c>
      <c r="L257" s="350">
        <f t="array" ref="L257">(GEOMEAN(Index_Returns!G222:G257/100+1)^12-1)*100</f>
        <v>13.513935615902284</v>
      </c>
      <c r="M257" s="350">
        <f t="array" ref="M257">(GEOMEAN(Index_Returns!F222:F257/100+1)^12-1)*100</f>
        <v>12.465995264533024</v>
      </c>
      <c r="N257" s="350">
        <f t="shared" si="14"/>
        <v>1.0479403513692596</v>
      </c>
      <c r="O257" s="352"/>
      <c r="P257" s="352">
        <f t="array" ref="P257">(PRODUCT(Index_Returns!M246:M257/100+1)-1)*100</f>
        <v>18.055064921715136</v>
      </c>
      <c r="Q257" s="352">
        <f t="array" ref="Q257">(PRODUCT(Index_Returns!L246:L257/100+1)-1)*100</f>
        <v>12.579984783359777</v>
      </c>
      <c r="R257" s="352">
        <f t="shared" si="16"/>
        <v>5.4750801383553593</v>
      </c>
      <c r="S257" s="352"/>
      <c r="T257" s="352"/>
      <c r="U257" s="352"/>
      <c r="V257" s="352"/>
      <c r="W257" s="352">
        <f t="array" ref="W257">(PRODUCT(Index_Returns!AC246:AC257/100+1)-1)*100</f>
        <v>11.381670691448619</v>
      </c>
      <c r="X257" s="352">
        <f t="array" ref="X257">(PRODUCT(Index_Returns!AB246:AB257/100+1)-1)*100</f>
        <v>6.7772391271953891</v>
      </c>
      <c r="Y257" s="352">
        <f t="shared" si="12"/>
        <v>4.6044315642532299</v>
      </c>
      <c r="Z257" s="352">
        <f t="array" ref="Z257">(GEOMEAN(Index_Returns!AC222:AC257/100+1)^12-1)*100</f>
        <v>10.829582987857634</v>
      </c>
      <c r="AA257" s="352">
        <f t="array" ref="AA257">(GEOMEAN(Index_Returns!AB222:AB257/100+1)^12-1)*100</f>
        <v>5.9432173629824225</v>
      </c>
      <c r="AB257" s="352">
        <f t="shared" si="9"/>
        <v>4.8863656248752116</v>
      </c>
    </row>
    <row r="258" spans="1:28" x14ac:dyDescent="0.2">
      <c r="A258" s="19">
        <v>35369</v>
      </c>
      <c r="B258" s="352">
        <f t="array" ref="B258">(PRODUCT(Index_Returns!D247:D258/100+1)-1)*100</f>
        <v>24.613071103059347</v>
      </c>
      <c r="C258" s="352">
        <f t="array" ref="C258">(PRODUCT(Index_Returns!C247:C258/100+1)-1)*100</f>
        <v>23.713322918129688</v>
      </c>
      <c r="D258" s="352">
        <f t="shared" si="10"/>
        <v>0.8997481849296598</v>
      </c>
      <c r="E258" s="352">
        <f t="array" ref="E258">(GEOMEAN(Index_Returns!D223:D258/100+1)^12-1)*100</f>
        <v>16.137488472181282</v>
      </c>
      <c r="F258" s="352">
        <f t="array" ref="F258">(GEOMEAN(Index_Returns!C223:C258/100+1)^12-1)*100</f>
        <v>19.175485422671112</v>
      </c>
      <c r="G258" s="352">
        <f t="shared" si="11"/>
        <v>-3.0379969504898305</v>
      </c>
      <c r="H258" s="351"/>
      <c r="I258" s="350">
        <f t="array" ref="I258">(PRODUCT(Index_Returns!G247:G258/100+1)-1)*100</f>
        <v>17.853176054139563</v>
      </c>
      <c r="J258" s="350">
        <f t="array" ref="J258">(PRODUCT(Index_Returns!F247:F258/100+1)-1)*100</f>
        <v>15.8967629925586</v>
      </c>
      <c r="K258" s="350">
        <f t="shared" si="13"/>
        <v>1.9564130615809638</v>
      </c>
      <c r="L258" s="350">
        <f t="array" ref="L258">(GEOMEAN(Index_Returns!G223:G258/100+1)^12-1)*100</f>
        <v>14.283546658530977</v>
      </c>
      <c r="M258" s="350">
        <f t="array" ref="M258">(GEOMEAN(Index_Returns!F223:F258/100+1)^12-1)*100</f>
        <v>11.696275565148873</v>
      </c>
      <c r="N258" s="350">
        <f t="shared" si="14"/>
        <v>2.5872710933821033</v>
      </c>
      <c r="O258" s="352"/>
      <c r="P258" s="352">
        <f t="array" ref="P258">(PRODUCT(Index_Returns!M247:M258/100+1)-1)*100</f>
        <v>25.567720933473701</v>
      </c>
      <c r="Q258" s="352">
        <f t="array" ref="Q258">(PRODUCT(Index_Returns!L247:L258/100+1)-1)*100</f>
        <v>15.513503970244402</v>
      </c>
      <c r="R258" s="352">
        <f t="shared" si="16"/>
        <v>10.054216963229299</v>
      </c>
      <c r="S258" s="352"/>
      <c r="T258" s="352"/>
      <c r="U258" s="352"/>
      <c r="V258" s="352"/>
      <c r="W258" s="352">
        <f t="array" ref="W258">(PRODUCT(Index_Returns!AC247:AC258/100+1)-1)*100</f>
        <v>13.001586342383376</v>
      </c>
      <c r="X258" s="352">
        <f t="array" ref="X258">(PRODUCT(Index_Returns!AB247:AB258/100+1)-1)*100</f>
        <v>8.8335171936448234</v>
      </c>
      <c r="Y258" s="352">
        <f t="shared" si="12"/>
        <v>4.1680691487385531</v>
      </c>
      <c r="Z258" s="352">
        <f t="array" ref="Z258">(GEOMEAN(Index_Returns!AC223:AC258/100+1)^12-1)*100</f>
        <v>9.2855912765351221</v>
      </c>
      <c r="AA258" s="352">
        <f t="array" ref="AA258">(GEOMEAN(Index_Returns!AB223:AB258/100+1)^12-1)*100</f>
        <v>4.5637132694414495</v>
      </c>
      <c r="AB258" s="352">
        <f t="shared" si="9"/>
        <v>4.7218780070936726</v>
      </c>
    </row>
    <row r="259" spans="1:28" x14ac:dyDescent="0.2">
      <c r="A259" s="19">
        <v>35399</v>
      </c>
      <c r="B259" s="352">
        <f t="array" ref="B259">(PRODUCT(Index_Returns!D248:D259/100+1)-1)*100</f>
        <v>27.465503978908746</v>
      </c>
      <c r="C259" s="352">
        <f t="array" ref="C259">(PRODUCT(Index_Returns!C248:C259/100+1)-1)*100</f>
        <v>28.337211609179967</v>
      </c>
      <c r="D259" s="352">
        <f t="shared" si="10"/>
        <v>-0.87170763027122078</v>
      </c>
      <c r="E259" s="352">
        <f t="array" ref="E259">(GEOMEAN(Index_Returns!D224:D259/100+1)^12-1)*100</f>
        <v>19.744910480843593</v>
      </c>
      <c r="F259" s="352">
        <f t="array" ref="F259">(GEOMEAN(Index_Returns!C224:C259/100+1)^12-1)*100</f>
        <v>22.101960371614847</v>
      </c>
      <c r="G259" s="352">
        <f t="shared" si="11"/>
        <v>-2.357049890771254</v>
      </c>
      <c r="H259" s="351"/>
      <c r="I259" s="350">
        <f t="array" ref="I259">(PRODUCT(Index_Returns!G248:G259/100+1)-1)*100</f>
        <v>18.942496981288713</v>
      </c>
      <c r="J259" s="350">
        <f t="array" ref="J259">(PRODUCT(Index_Returns!F248:F259/100+1)-1)*100</f>
        <v>17.739698647445223</v>
      </c>
      <c r="K259" s="350">
        <f t="shared" si="13"/>
        <v>1.2027983338434893</v>
      </c>
      <c r="L259" s="350">
        <f t="array" ref="L259">(GEOMEAN(Index_Returns!G224:G259/100+1)^12-1)*100</f>
        <v>17.589244976006981</v>
      </c>
      <c r="M259" s="350">
        <f t="array" ref="M259">(GEOMEAN(Index_Returns!F224:F259/100+1)^12-1)*100</f>
        <v>14.447019033798703</v>
      </c>
      <c r="N259" s="350">
        <f t="shared" si="14"/>
        <v>3.1422259422082774</v>
      </c>
      <c r="O259" s="352"/>
      <c r="P259" s="352">
        <f t="array" ref="P259">(PRODUCT(Index_Returns!M248:M259/100+1)-1)*100</f>
        <v>28.077726302830808</v>
      </c>
      <c r="Q259" s="352">
        <f t="array" ref="Q259">(PRODUCT(Index_Returns!L248:L259/100+1)-1)*100</f>
        <v>15.956071683095718</v>
      </c>
      <c r="R259" s="352">
        <f t="shared" si="16"/>
        <v>12.121654619735089</v>
      </c>
      <c r="S259" s="352"/>
      <c r="T259" s="352"/>
      <c r="U259" s="352"/>
      <c r="V259" s="352"/>
      <c r="W259" s="352">
        <f t="array" ref="W259">(PRODUCT(Index_Returns!AC248:AC259/100+1)-1)*100</f>
        <v>15.16716866732899</v>
      </c>
      <c r="X259" s="352">
        <f t="array" ref="X259">(PRODUCT(Index_Returns!AB248:AB259/100+1)-1)*100</f>
        <v>9.3014728208906661</v>
      </c>
      <c r="Y259" s="352">
        <f t="shared" si="12"/>
        <v>5.8656958464383244</v>
      </c>
      <c r="Z259" s="352">
        <f t="array" ref="Z259">(GEOMEAN(Index_Returns!AC224:AC259/100+1)^12-1)*100</f>
        <v>14.023730138462875</v>
      </c>
      <c r="AA259" s="352">
        <f t="array" ref="AA259">(GEOMEAN(Index_Returns!AB224:AB259/100+1)^12-1)*100</f>
        <v>9.3643958213437841</v>
      </c>
      <c r="AB259" s="352">
        <f t="shared" si="9"/>
        <v>4.6593343171190913</v>
      </c>
    </row>
    <row r="260" spans="1:28" x14ac:dyDescent="0.2">
      <c r="A260" s="19">
        <v>35430</v>
      </c>
      <c r="B260" s="352">
        <f t="array" ref="B260">(PRODUCT(Index_Returns!D249:D260/100+1)-1)*100</f>
        <v>21.993412324032491</v>
      </c>
      <c r="C260" s="352">
        <f t="array" ref="C260">(PRODUCT(Index_Returns!C249:C260/100+1)-1)*100</f>
        <v>23.966698214503658</v>
      </c>
      <c r="D260" s="352">
        <f t="shared" si="10"/>
        <v>-1.9732858904711676</v>
      </c>
      <c r="E260" s="352">
        <f t="array" ref="E260">(GEOMEAN(Index_Returns!D225:D260/100+1)^12-1)*100</f>
        <v>18.418640942692832</v>
      </c>
      <c r="F260" s="352">
        <f t="array" ref="F260">(GEOMEAN(Index_Returns!C225:C260/100+1)^12-1)*100</f>
        <v>20.872854903616766</v>
      </c>
      <c r="G260" s="352">
        <f t="shared" si="11"/>
        <v>-2.4542139609239335</v>
      </c>
      <c r="H260" s="351"/>
      <c r="I260" s="350">
        <f t="array" ref="I260">(PRODUCT(Index_Returns!G249:G260/100+1)-1)*100</f>
        <v>19.342941036865557</v>
      </c>
      <c r="J260" s="350">
        <f t="array" ref="J260">(PRODUCT(Index_Returns!F249:F260/100+1)-1)*100</f>
        <v>18.457413366080331</v>
      </c>
      <c r="K260" s="350">
        <f t="shared" si="13"/>
        <v>0.88552767078522621</v>
      </c>
      <c r="L260" s="350">
        <f t="array" ref="L260">(GEOMEAN(Index_Returns!G225:G260/100+1)^12-1)*100</f>
        <v>16.730374698582406</v>
      </c>
      <c r="M260" s="350">
        <f t="array" ref="M260">(GEOMEAN(Index_Returns!F225:F260/100+1)^12-1)*100</f>
        <v>11.93883555790487</v>
      </c>
      <c r="N260" s="350">
        <f t="shared" si="14"/>
        <v>4.7915391406775356</v>
      </c>
      <c r="O260" s="352"/>
      <c r="P260" s="352">
        <f t="array" ref="P260">(PRODUCT(Index_Returns!M249:M260/100+1)-1)*100</f>
        <v>26.382508462059828</v>
      </c>
      <c r="Q260" s="352">
        <f t="array" ref="Q260">(PRODUCT(Index_Returns!L249:L260/100+1)-1)*100</f>
        <v>16.394500109900068</v>
      </c>
      <c r="R260" s="352">
        <f t="shared" si="16"/>
        <v>9.9880083521597598</v>
      </c>
      <c r="S260" s="352"/>
      <c r="T260" s="352"/>
      <c r="U260" s="352"/>
      <c r="V260" s="352"/>
      <c r="W260" s="352">
        <f t="array" ref="W260">(PRODUCT(Index_Returns!AC249:AC260/100+1)-1)*100</f>
        <v>9.2202550611748091</v>
      </c>
      <c r="X260" s="352">
        <f t="array" ref="X260">(PRODUCT(Index_Returns!AB249:AB260/100+1)-1)*100</f>
        <v>3.7014029644784952</v>
      </c>
      <c r="Y260" s="352">
        <f t="shared" si="12"/>
        <v>5.5188520966963139</v>
      </c>
      <c r="Z260" s="352">
        <f t="array" ref="Z260">(GEOMEAN(Index_Returns!AC225:AC260/100+1)^12-1)*100</f>
        <v>10.752011414785834</v>
      </c>
      <c r="AA260" s="352">
        <f t="array" ref="AA260">(GEOMEAN(Index_Returns!AB225:AB260/100+1)^12-1)*100</f>
        <v>6.642303222349466</v>
      </c>
      <c r="AB260" s="352">
        <f t="shared" ref="AB260:AB323" si="17">Z260-AA260</f>
        <v>4.1097081924363676</v>
      </c>
    </row>
    <row r="261" spans="1:28" x14ac:dyDescent="0.2">
      <c r="A261" s="19">
        <v>35461</v>
      </c>
      <c r="B261" s="352">
        <f t="array" ref="B261">(PRODUCT(Index_Returns!D250:D261/100+1)-1)*100</f>
        <v>23.907517556527935</v>
      </c>
      <c r="C261" s="352">
        <f t="array" ref="C261">(PRODUCT(Index_Returns!C250:C261/100+1)-1)*100</f>
        <v>28.764023178591547</v>
      </c>
      <c r="D261" s="352">
        <f t="shared" ref="D261:D324" si="18">B261-C261</f>
        <v>-4.8565056220636116</v>
      </c>
      <c r="E261" s="352">
        <f t="array" ref="E261">(GEOMEAN(Index_Returns!D226:D261/100+1)^12-1)*100</f>
        <v>18.399026089119698</v>
      </c>
      <c r="F261" s="352">
        <f t="array" ref="F261">(GEOMEAN(Index_Returns!C226:C261/100+1)^12-1)*100</f>
        <v>23.078969174176535</v>
      </c>
      <c r="G261" s="352">
        <f t="shared" ref="G261:G324" si="19">E261-F261</f>
        <v>-4.6799430850568378</v>
      </c>
      <c r="H261" s="351"/>
      <c r="I261" s="350">
        <f t="array" ref="I261">(PRODUCT(Index_Returns!G250:G261/100+1)-1)*100</f>
        <v>20.293927581281281</v>
      </c>
      <c r="J261" s="350">
        <f t="array" ref="J261">(PRODUCT(Index_Returns!F250:F261/100+1)-1)*100</f>
        <v>23.420707576867027</v>
      </c>
      <c r="K261" s="350">
        <f t="shared" si="13"/>
        <v>-3.1267799955857463</v>
      </c>
      <c r="L261" s="350">
        <f t="array" ref="L261">(GEOMEAN(Index_Returns!G226:G261/100+1)^12-1)*100</f>
        <v>16.715264196373635</v>
      </c>
      <c r="M261" s="350">
        <f t="array" ref="M261">(GEOMEAN(Index_Returns!F226:F261/100+1)^12-1)*100</f>
        <v>13.120763103161014</v>
      </c>
      <c r="N261" s="350">
        <f t="shared" si="14"/>
        <v>3.5945010932126209</v>
      </c>
      <c r="O261" s="352"/>
      <c r="P261" s="352">
        <f t="array" ref="P261">(PRODUCT(Index_Returns!M250:M261/100+1)-1)*100</f>
        <v>27.753055858636344</v>
      </c>
      <c r="Q261" s="352">
        <f t="array" ref="Q261">(PRODUCT(Index_Returns!L250:L261/100+1)-1)*100</f>
        <v>18.445912107787656</v>
      </c>
      <c r="R261" s="352">
        <f t="shared" ref="R261:R324" si="20">P261-Q261</f>
        <v>9.3071437508486881</v>
      </c>
      <c r="S261" s="352">
        <f t="array" ref="S261">(GEOMEAN(Index_Returns!M226:M261/100+1)^12-1)*100</f>
        <v>15.983101279693512</v>
      </c>
      <c r="T261" s="352">
        <f t="array" ref="T261">(GEOMEAN(Index_Returns!L226:L261/100+1)^12-1)*100</f>
        <v>12.357888043503017</v>
      </c>
      <c r="U261" s="352">
        <f>S261-T261</f>
        <v>3.6252132361904952</v>
      </c>
      <c r="V261" s="352"/>
      <c r="W261" s="352">
        <f t="array" ref="W261">(PRODUCT(Index_Returns!AC250:AC261/100+1)-1)*100</f>
        <v>5.4059587637783624</v>
      </c>
      <c r="X261" s="352">
        <f t="array" ref="X261">(PRODUCT(Index_Returns!AB250:AB261/100+1)-1)*100</f>
        <v>-0.68654709836268868</v>
      </c>
      <c r="Y261" s="352">
        <f t="shared" ref="Y261:Y324" si="21">W261-X261</f>
        <v>6.0925058621410511</v>
      </c>
      <c r="Z261" s="352">
        <f t="array" ref="Z261">(GEOMEAN(Index_Returns!AC226:AC261/100+1)^12-1)*100</f>
        <v>6.5121554369897749</v>
      </c>
      <c r="AA261" s="352">
        <f t="array" ref="AA261">(GEOMEAN(Index_Returns!AB226:AB261/100+1)^12-1)*100</f>
        <v>2.6304607963021809</v>
      </c>
      <c r="AB261" s="352">
        <f t="shared" si="17"/>
        <v>3.8816946406875941</v>
      </c>
    </row>
    <row r="262" spans="1:28" x14ac:dyDescent="0.2">
      <c r="A262" s="19">
        <v>35489</v>
      </c>
      <c r="B262" s="352">
        <f t="array" ref="B262">(PRODUCT(Index_Returns!D251:D262/100+1)-1)*100</f>
        <v>23.652184939953823</v>
      </c>
      <c r="C262" s="352">
        <f t="array" ref="C262">(PRODUCT(Index_Returns!C251:C262/100+1)-1)*100</f>
        <v>28.664242308305511</v>
      </c>
      <c r="D262" s="352">
        <f t="shared" si="18"/>
        <v>-5.0120573683516874</v>
      </c>
      <c r="E262" s="352">
        <f t="array" ref="E262">(GEOMEAN(Index_Returns!D227:D262/100+1)^12-1)*100</f>
        <v>20.153316653133313</v>
      </c>
      <c r="F262" s="352">
        <f t="array" ref="F262">(GEOMEAN(Index_Returns!C227:C262/100+1)^12-1)*100</f>
        <v>24.165348218749337</v>
      </c>
      <c r="G262" s="352">
        <f t="shared" si="19"/>
        <v>-4.0120315656160237</v>
      </c>
      <c r="H262" s="351"/>
      <c r="I262" s="350">
        <f t="array" ref="I262">(PRODUCT(Index_Returns!G251:G262/100+1)-1)*100</f>
        <v>19.464905291907918</v>
      </c>
      <c r="J262" s="350">
        <f t="array" ref="J262">(PRODUCT(Index_Returns!F251:F262/100+1)-1)*100</f>
        <v>14.871007433230265</v>
      </c>
      <c r="K262" s="350">
        <f t="shared" si="13"/>
        <v>4.5938978586776535</v>
      </c>
      <c r="L262" s="350">
        <f t="array" ref="L262">(GEOMEAN(Index_Returns!G227:G262/100+1)^12-1)*100</f>
        <v>17.715051050558838</v>
      </c>
      <c r="M262" s="350">
        <f t="array" ref="M262">(GEOMEAN(Index_Returns!F227:F262/100+1)^12-1)*100</f>
        <v>12.591448359655821</v>
      </c>
      <c r="N262" s="350">
        <f t="shared" si="14"/>
        <v>5.1236026909030166</v>
      </c>
      <c r="O262" s="352"/>
      <c r="P262" s="352">
        <f t="array" ref="P262">(PRODUCT(Index_Returns!M251:M262/100+1)-1)*100</f>
        <v>25.194034825556997</v>
      </c>
      <c r="Q262" s="352">
        <f t="array" ref="Q262">(PRODUCT(Index_Returns!L251:L262/100+1)-1)*100</f>
        <v>8.703411162917817</v>
      </c>
      <c r="R262" s="352">
        <f t="shared" si="20"/>
        <v>16.49062366263918</v>
      </c>
      <c r="S262" s="352">
        <f t="array" ref="S262">(GEOMEAN(Index_Returns!M227:M262/100+1)^12-1)*100</f>
        <v>16.3281899281573</v>
      </c>
      <c r="T262" s="352">
        <f t="array" ref="T262">(GEOMEAN(Index_Returns!L227:L262/100+1)^12-1)*100</f>
        <v>10.698853267403496</v>
      </c>
      <c r="U262" s="352">
        <f t="shared" ref="U262:U325" si="22">S262-T262</f>
        <v>5.629336660753804</v>
      </c>
      <c r="V262" s="352"/>
      <c r="W262" s="352">
        <f t="array" ref="W262">(PRODUCT(Index_Returns!AC251:AC262/100+1)-1)*100</f>
        <v>6.8690960884697727</v>
      </c>
      <c r="X262" s="352">
        <f t="array" ref="X262">(PRODUCT(Index_Returns!AB251:AB262/100+1)-1)*100</f>
        <v>0.50338248809902453</v>
      </c>
      <c r="Y262" s="352">
        <f t="shared" si="21"/>
        <v>6.3657136003707482</v>
      </c>
      <c r="Z262" s="352">
        <f t="array" ref="Z262">(GEOMEAN(Index_Returns!AC227:AC262/100+1)^12-1)*100</f>
        <v>7.0654484345924695</v>
      </c>
      <c r="AA262" s="352">
        <f t="array" ref="AA262">(GEOMEAN(Index_Returns!AB227:AB262/100+1)^12-1)*100</f>
        <v>3.4180822643513187</v>
      </c>
      <c r="AB262" s="352">
        <f t="shared" si="17"/>
        <v>3.6473661702411508</v>
      </c>
    </row>
    <row r="263" spans="1:28" x14ac:dyDescent="0.2">
      <c r="A263" s="19">
        <v>35520</v>
      </c>
      <c r="B263" s="352">
        <f t="array" ref="B263">(PRODUCT(Index_Returns!D252:D263/100+1)-1)*100</f>
        <v>16.691531463448083</v>
      </c>
      <c r="C263" s="352">
        <f t="array" ref="C263">(PRODUCT(Index_Returns!C252:C263/100+1)-1)*100</f>
        <v>23.069566206005931</v>
      </c>
      <c r="D263" s="352">
        <f t="shared" si="18"/>
        <v>-6.3780347425578476</v>
      </c>
      <c r="E263" s="352">
        <f t="array" ref="E263">(GEOMEAN(Index_Returns!D228:D263/100+1)^12-1)*100</f>
        <v>20.442081742847119</v>
      </c>
      <c r="F263" s="352">
        <f t="array" ref="F263">(GEOMEAN(Index_Returns!C228:C263/100+1)^12-1)*100</f>
        <v>24.108522163169365</v>
      </c>
      <c r="G263" s="352">
        <f t="shared" si="19"/>
        <v>-3.666440420322246</v>
      </c>
      <c r="H263" s="351"/>
      <c r="I263" s="350">
        <f t="array" ref="I263">(PRODUCT(Index_Returns!G252:G263/100+1)-1)*100</f>
        <v>14.09529826752598</v>
      </c>
      <c r="J263" s="350">
        <f t="array" ref="J263">(PRODUCT(Index_Returns!F252:F263/100+1)-1)*100</f>
        <v>7.4240931682966416</v>
      </c>
      <c r="K263" s="350">
        <f t="shared" si="13"/>
        <v>6.6712050992293381</v>
      </c>
      <c r="L263" s="350">
        <f t="array" ref="L263">(GEOMEAN(Index_Returns!G228:G263/100+1)^12-1)*100</f>
        <v>17.829033425206674</v>
      </c>
      <c r="M263" s="350">
        <f t="array" ref="M263">(GEOMEAN(Index_Returns!F228:F263/100+1)^12-1)*100</f>
        <v>12.698536595948461</v>
      </c>
      <c r="N263" s="350">
        <f t="shared" si="14"/>
        <v>5.1304968292582132</v>
      </c>
      <c r="O263" s="352"/>
      <c r="P263" s="352">
        <f t="array" ref="P263">(PRODUCT(Index_Returns!M252:M263/100+1)-1)*100</f>
        <v>18.187190684183683</v>
      </c>
      <c r="Q263" s="352">
        <f t="array" ref="Q263">(PRODUCT(Index_Returns!L252:L263/100+1)-1)*100</f>
        <v>-0.66453970695251607</v>
      </c>
      <c r="R263" s="352">
        <f t="shared" si="20"/>
        <v>18.851730391136201</v>
      </c>
      <c r="S263" s="352">
        <f t="array" ref="S263">(GEOMEAN(Index_Returns!M228:M263/100+1)^12-1)*100</f>
        <v>17.256764402161441</v>
      </c>
      <c r="T263" s="352">
        <f t="array" ref="T263">(GEOMEAN(Index_Returns!L228:L263/100+1)^12-1)*100</f>
        <v>10.779226339885817</v>
      </c>
      <c r="U263" s="352">
        <f t="shared" si="22"/>
        <v>6.4775380622756238</v>
      </c>
      <c r="V263" s="352"/>
      <c r="W263" s="352">
        <f t="array" ref="W263">(PRODUCT(Index_Returns!AC252:AC263/100+1)-1)*100</f>
        <v>5.048329002836538</v>
      </c>
      <c r="X263" s="352">
        <f t="array" ref="X263">(PRODUCT(Index_Returns!AB252:AB263/100+1)-1)*100</f>
        <v>-1.2716600677074252</v>
      </c>
      <c r="Y263" s="352">
        <f t="shared" si="21"/>
        <v>6.3199890705439632</v>
      </c>
      <c r="Z263" s="352">
        <f t="array" ref="Z263">(GEOMEAN(Index_Returns!AC228:AC263/100+1)^12-1)*100</f>
        <v>8.4654537805943129</v>
      </c>
      <c r="AA263" s="352">
        <f t="array" ref="AA263">(GEOMEAN(Index_Returns!AB228:AB263/100+1)^12-1)*100</f>
        <v>5.3799818221863749</v>
      </c>
      <c r="AB263" s="352">
        <f t="shared" si="17"/>
        <v>3.085471958407938</v>
      </c>
    </row>
    <row r="264" spans="1:28" x14ac:dyDescent="0.2">
      <c r="A264" s="19">
        <v>35550</v>
      </c>
      <c r="B264" s="352">
        <f t="array" ref="B264">(PRODUCT(Index_Returns!D253:D264/100+1)-1)*100</f>
        <v>19.84741718637013</v>
      </c>
      <c r="C264" s="352">
        <f t="array" ref="C264">(PRODUCT(Index_Returns!C253:C264/100+1)-1)*100</f>
        <v>30.469960418924359</v>
      </c>
      <c r="D264" s="352">
        <f t="shared" si="18"/>
        <v>-10.622543232554229</v>
      </c>
      <c r="E264" s="352">
        <f t="array" ref="E264">(GEOMEAN(Index_Returns!D229:D264/100+1)^12-1)*100</f>
        <v>21.085052415610782</v>
      </c>
      <c r="F264" s="352">
        <f t="array" ref="F264">(GEOMEAN(Index_Returns!C229:C264/100+1)^12-1)*100</f>
        <v>27.171170027679526</v>
      </c>
      <c r="G264" s="352">
        <f t="shared" si="19"/>
        <v>-6.0861176120687439</v>
      </c>
      <c r="H264" s="351"/>
      <c r="I264" s="350">
        <f t="array" ref="I264">(PRODUCT(Index_Returns!G253:G264/100+1)-1)*100</f>
        <v>15.690526366540048</v>
      </c>
      <c r="J264" s="350">
        <f t="array" ref="J264">(PRODUCT(Index_Returns!F253:F264/100+1)-1)*100</f>
        <v>5.3000168892931798</v>
      </c>
      <c r="K264" s="350">
        <f t="shared" si="13"/>
        <v>10.390509477246869</v>
      </c>
      <c r="L264" s="350">
        <f t="array" ref="L264">(GEOMEAN(Index_Returns!G229:G264/100+1)^12-1)*100</f>
        <v>18.056308130377175</v>
      </c>
      <c r="M264" s="350">
        <f t="array" ref="M264">(GEOMEAN(Index_Returns!F229:F264/100+1)^12-1)*100</f>
        <v>14.183244738498457</v>
      </c>
      <c r="N264" s="350">
        <f t="shared" si="14"/>
        <v>3.8730633918787181</v>
      </c>
      <c r="O264" s="352"/>
      <c r="P264" s="352">
        <f t="array" ref="P264">(PRODUCT(Index_Returns!M253:M264/100+1)-1)*100</f>
        <v>13.699979919336736</v>
      </c>
      <c r="Q264" s="352">
        <f t="array" ref="Q264">(PRODUCT(Index_Returns!L253:L264/100+1)-1)*100</f>
        <v>-5.4782281602438143</v>
      </c>
      <c r="R264" s="352">
        <f t="shared" si="20"/>
        <v>19.17820807958055</v>
      </c>
      <c r="S264" s="352">
        <f t="array" ref="S264">(GEOMEAN(Index_Returns!M229:M264/100+1)^12-1)*100</f>
        <v>17.017712009656027</v>
      </c>
      <c r="T264" s="352">
        <f t="array" ref="T264">(GEOMEAN(Index_Returns!L229:L264/100+1)^12-1)*100</f>
        <v>11.453846287685444</v>
      </c>
      <c r="U264" s="352">
        <f t="shared" si="22"/>
        <v>5.5638657219705827</v>
      </c>
      <c r="V264" s="352"/>
      <c r="W264" s="352">
        <f t="array" ref="W264">(PRODUCT(Index_Returns!AC253:AC264/100+1)-1)*100</f>
        <v>1.686023329644204</v>
      </c>
      <c r="X264" s="352">
        <f t="array" ref="X264">(PRODUCT(Index_Returns!AB253:AB264/100+1)-1)*100</f>
        <v>-2.636465841472313</v>
      </c>
      <c r="Y264" s="352">
        <f t="shared" si="21"/>
        <v>4.3224891711165174</v>
      </c>
      <c r="Z264" s="352">
        <f t="array" ref="Z264">(GEOMEAN(Index_Returns!AC229:AC264/100+1)^12-1)*100</f>
        <v>6.9586573767332016</v>
      </c>
      <c r="AA264" s="352">
        <f t="array" ref="AA264">(GEOMEAN(Index_Returns!AB229:AB264/100+1)^12-1)*100</f>
        <v>4.316204816372804</v>
      </c>
      <c r="AB264" s="352">
        <f t="shared" si="17"/>
        <v>2.6424525603603977</v>
      </c>
    </row>
    <row r="265" spans="1:28" x14ac:dyDescent="0.2">
      <c r="A265" s="19">
        <v>35581</v>
      </c>
      <c r="B265" s="352">
        <f t="array" ref="B265">(PRODUCT(Index_Returns!D254:D265/100+1)-1)*100</f>
        <v>25.473363602805033</v>
      </c>
      <c r="C265" s="352">
        <f t="array" ref="C265">(PRODUCT(Index_Returns!C254:C265/100+1)-1)*100</f>
        <v>33.301440814565233</v>
      </c>
      <c r="D265" s="352">
        <f t="shared" si="18"/>
        <v>-7.8280772117601991</v>
      </c>
      <c r="E265" s="352">
        <f t="array" ref="E265">(GEOMEAN(Index_Returns!D230:D265/100+1)^12-1)*100</f>
        <v>22.891139303481502</v>
      </c>
      <c r="F265" s="352">
        <f t="array" ref="F265">(GEOMEAN(Index_Returns!C230:C265/100+1)^12-1)*100</f>
        <v>28.94002618285203</v>
      </c>
      <c r="G265" s="352">
        <f t="shared" si="19"/>
        <v>-6.0488868793705279</v>
      </c>
      <c r="H265" s="351"/>
      <c r="I265" s="350">
        <f t="array" ref="I265">(PRODUCT(Index_Returns!G254:G265/100+1)-1)*100</f>
        <v>21.205502039327804</v>
      </c>
      <c r="J265" s="350">
        <f t="array" ref="J265">(PRODUCT(Index_Returns!F254:F265/100+1)-1)*100</f>
        <v>15.795140617841753</v>
      </c>
      <c r="K265" s="350">
        <f t="shared" si="13"/>
        <v>5.4103614214860514</v>
      </c>
      <c r="L265" s="350">
        <f t="array" ref="L265">(GEOMEAN(Index_Returns!G230:G265/100+1)^12-1)*100</f>
        <v>20.399120929509728</v>
      </c>
      <c r="M265" s="350">
        <f t="array" ref="M265">(GEOMEAN(Index_Returns!F230:F265/100+1)^12-1)*100</f>
        <v>19.19140784963389</v>
      </c>
      <c r="N265" s="350">
        <f t="shared" si="14"/>
        <v>1.2077130798758375</v>
      </c>
      <c r="O265" s="352"/>
      <c r="P265" s="352">
        <f t="array" ref="P265">(PRODUCT(Index_Returns!M254:M265/100+1)-1)*100</f>
        <v>20.184404432772073</v>
      </c>
      <c r="Q265" s="352">
        <f t="array" ref="Q265">(PRODUCT(Index_Returns!L254:L265/100+1)-1)*100</f>
        <v>4.1460926872503689</v>
      </c>
      <c r="R265" s="352">
        <f t="shared" si="20"/>
        <v>16.038311745521703</v>
      </c>
      <c r="S265" s="352">
        <f t="array" ref="S265">(GEOMEAN(Index_Returns!M230:M265/100+1)^12-1)*100</f>
        <v>21.233512427805511</v>
      </c>
      <c r="T265" s="352">
        <f t="array" ref="T265">(GEOMEAN(Index_Returns!L230:L265/100+1)^12-1)*100</f>
        <v>17.403558507771557</v>
      </c>
      <c r="U265" s="352">
        <f t="shared" si="22"/>
        <v>3.8299539200339545</v>
      </c>
      <c r="V265" s="352"/>
      <c r="W265" s="352">
        <f t="array" ref="W265">(PRODUCT(Index_Returns!AC254:AC265/100+1)-1)*100</f>
        <v>10.733599843708653</v>
      </c>
      <c r="X265" s="352">
        <f t="array" ref="X265">(PRODUCT(Index_Returns!AB254:AB265/100+1)-1)*100</f>
        <v>5.280394587046322</v>
      </c>
      <c r="Y265" s="352">
        <f t="shared" si="21"/>
        <v>5.453205256662331</v>
      </c>
      <c r="Z265" s="352">
        <f t="array" ref="Z265">(GEOMEAN(Index_Returns!AC230:AC265/100+1)^12-1)*100</f>
        <v>9.430195757627402</v>
      </c>
      <c r="AA265" s="352">
        <f t="array" ref="AA265">(GEOMEAN(Index_Returns!AB230:AB265/100+1)^12-1)*100</f>
        <v>6.7369497412864021</v>
      </c>
      <c r="AB265" s="352">
        <f t="shared" si="17"/>
        <v>2.6932460163409999</v>
      </c>
    </row>
    <row r="266" spans="1:28" x14ac:dyDescent="0.2">
      <c r="A266" s="19">
        <v>35611</v>
      </c>
      <c r="B266" s="352">
        <f t="array" ref="B266">(PRODUCT(Index_Returns!D255:D266/100+1)-1)*100</f>
        <v>30.898686749431924</v>
      </c>
      <c r="C266" s="352">
        <f t="array" ref="C266">(PRODUCT(Index_Returns!C255:C266/100+1)-1)*100</f>
        <v>38.335526896051263</v>
      </c>
      <c r="D266" s="352">
        <f t="shared" si="18"/>
        <v>-7.436840146619339</v>
      </c>
      <c r="E266" s="352">
        <f t="array" ref="E266">(GEOMEAN(Index_Returns!D231:D266/100+1)^12-1)*100</f>
        <v>25.605366386321336</v>
      </c>
      <c r="F266" s="352">
        <f t="array" ref="F266">(GEOMEAN(Index_Returns!C231:C266/100+1)^12-1)*100</f>
        <v>32.028352871338164</v>
      </c>
      <c r="G266" s="352">
        <f t="shared" si="19"/>
        <v>-6.4229864850168283</v>
      </c>
      <c r="H266" s="351"/>
      <c r="I266" s="350">
        <f t="array" ref="I266">(PRODUCT(Index_Returns!G255:G266/100+1)-1)*100</f>
        <v>23.908196797318816</v>
      </c>
      <c r="J266" s="350">
        <f t="array" ref="J266">(PRODUCT(Index_Returns!F255:F266/100+1)-1)*100</f>
        <v>23.421432030609246</v>
      </c>
      <c r="K266" s="350">
        <f t="shared" si="13"/>
        <v>0.48676476670956959</v>
      </c>
      <c r="L266" s="350">
        <f t="array" ref="L266">(GEOMEAN(Index_Returns!G231:G266/100+1)^12-1)*100</f>
        <v>22.331603238211486</v>
      </c>
      <c r="M266" s="350">
        <f t="array" ref="M266">(GEOMEAN(Index_Returns!F231:F266/100+1)^12-1)*100</f>
        <v>22.380833176080351</v>
      </c>
      <c r="N266" s="350">
        <f t="shared" si="14"/>
        <v>-4.9229937868865647E-2</v>
      </c>
      <c r="O266" s="352"/>
      <c r="P266" s="352">
        <f t="array" ref="P266">(PRODUCT(Index_Returns!M255:M266/100+1)-1)*100</f>
        <v>30.177878912989577</v>
      </c>
      <c r="Q266" s="352">
        <f t="array" ref="Q266">(PRODUCT(Index_Returns!L255:L266/100+1)-1)*100</f>
        <v>13.715414102911328</v>
      </c>
      <c r="R266" s="352">
        <f t="shared" si="20"/>
        <v>16.462464810078249</v>
      </c>
      <c r="S266" s="352">
        <f t="array" ref="S266">(GEOMEAN(Index_Returns!M231:M266/100+1)^12-1)*100</f>
        <v>24.538776287783961</v>
      </c>
      <c r="T266" s="352">
        <f t="array" ref="T266">(GEOMEAN(Index_Returns!L231:L266/100+1)^12-1)*100</f>
        <v>20.6946362906818</v>
      </c>
      <c r="U266" s="352">
        <f t="shared" si="22"/>
        <v>3.844139997102161</v>
      </c>
      <c r="V266" s="352"/>
      <c r="W266" s="352">
        <f t="array" ref="W266">(PRODUCT(Index_Returns!AC255:AC266/100+1)-1)*100</f>
        <v>15.30490760295673</v>
      </c>
      <c r="X266" s="352">
        <f t="array" ref="X266">(PRODUCT(Index_Returns!AB255:AB266/100+1)-1)*100</f>
        <v>11.012390233718206</v>
      </c>
      <c r="Y266" s="352">
        <f t="shared" si="21"/>
        <v>4.2925173692385243</v>
      </c>
      <c r="Z266" s="352">
        <f t="array" ref="Z266">(GEOMEAN(Index_Returns!AC231:AC266/100+1)^12-1)*100</f>
        <v>10.595537137657395</v>
      </c>
      <c r="AA266" s="352">
        <f t="array" ref="AA266">(GEOMEAN(Index_Returns!AB231:AB266/100+1)^12-1)*100</f>
        <v>8.4249781467261577</v>
      </c>
      <c r="AB266" s="352">
        <f t="shared" si="17"/>
        <v>2.1705589909312373</v>
      </c>
    </row>
    <row r="267" spans="1:28" x14ac:dyDescent="0.2">
      <c r="A267" s="19">
        <v>35642</v>
      </c>
      <c r="B267" s="352">
        <f t="array" ref="B267">(PRODUCT(Index_Returns!D256:D267/100+1)-1)*100</f>
        <v>47.59772991447835</v>
      </c>
      <c r="C267" s="352">
        <f t="array" ref="C267">(PRODUCT(Index_Returns!C256:C267/100+1)-1)*100</f>
        <v>56.502654086221838</v>
      </c>
      <c r="D267" s="352">
        <f t="shared" si="18"/>
        <v>-8.9049241717434882</v>
      </c>
      <c r="E267" s="352">
        <f t="array" ref="E267">(GEOMEAN(Index_Returns!D232:D267/100+1)^12-1)*100</f>
        <v>27.449246019555385</v>
      </c>
      <c r="F267" s="352">
        <f t="array" ref="F267">(GEOMEAN(Index_Returns!C232:C267/100+1)^12-1)*100</f>
        <v>34.015559349443492</v>
      </c>
      <c r="G267" s="352">
        <f t="shared" si="19"/>
        <v>-6.5663133298881071</v>
      </c>
      <c r="H267" s="351"/>
      <c r="I267" s="350">
        <f t="array" ref="I267">(PRODUCT(Index_Returns!G256:G267/100+1)-1)*100</f>
        <v>41.332842493678392</v>
      </c>
      <c r="J267" s="350">
        <f t="array" ref="J267">(PRODUCT(Index_Returns!F256:F267/100+1)-1)*100</f>
        <v>49.962859569286607</v>
      </c>
      <c r="K267" s="350">
        <f t="shared" si="13"/>
        <v>-8.6300170756082153</v>
      </c>
      <c r="L267" s="350">
        <f t="array" ref="L267">(GEOMEAN(Index_Returns!G232:G267/100+1)^12-1)*100</f>
        <v>23.602955300125885</v>
      </c>
      <c r="M267" s="350">
        <f t="array" ref="M267">(GEOMEAN(Index_Returns!F232:F267/100+1)^12-1)*100</f>
        <v>26.220438572068883</v>
      </c>
      <c r="N267" s="350">
        <f t="shared" si="14"/>
        <v>-2.6174832719429979</v>
      </c>
      <c r="O267" s="352"/>
      <c r="P267" s="352">
        <f t="array" ref="P267">(PRODUCT(Index_Returns!M256:M267/100+1)-1)*100</f>
        <v>45.013907404808549</v>
      </c>
      <c r="Q267" s="352">
        <f t="array" ref="Q267">(PRODUCT(Index_Returns!L256:L267/100+1)-1)*100</f>
        <v>32.923672673243075</v>
      </c>
      <c r="R267" s="352">
        <f t="shared" si="20"/>
        <v>12.090234731565474</v>
      </c>
      <c r="S267" s="352">
        <f t="array" ref="S267">(GEOMEAN(Index_Returns!M232:M267/100+1)^12-1)*100</f>
        <v>26.117413009201009</v>
      </c>
      <c r="T267" s="352">
        <f t="array" ref="T267">(GEOMEAN(Index_Returns!L232:L267/100+1)^12-1)*100</f>
        <v>23.078473660008104</v>
      </c>
      <c r="U267" s="352">
        <f t="shared" si="22"/>
        <v>3.0389393491929049</v>
      </c>
      <c r="V267" s="352"/>
      <c r="W267" s="352">
        <f t="array" ref="W267">(PRODUCT(Index_Returns!AC256:AC267/100+1)-1)*100</f>
        <v>19.344972983067432</v>
      </c>
      <c r="X267" s="352">
        <f t="array" ref="X267">(PRODUCT(Index_Returns!AB256:AB267/100+1)-1)*100</f>
        <v>17.46471435638508</v>
      </c>
      <c r="Y267" s="352">
        <f t="shared" si="21"/>
        <v>1.8802586266823518</v>
      </c>
      <c r="Z267" s="352">
        <f t="array" ref="Z267">(GEOMEAN(Index_Returns!AC232:AC267/100+1)^12-1)*100</f>
        <v>10.511755179793504</v>
      </c>
      <c r="AA267" s="352">
        <f t="array" ref="AA267">(GEOMEAN(Index_Returns!AB232:AB267/100+1)^12-1)*100</f>
        <v>8.9645578910513954</v>
      </c>
      <c r="AB267" s="352">
        <f t="shared" si="17"/>
        <v>1.5471972887421082</v>
      </c>
    </row>
    <row r="268" spans="1:28" x14ac:dyDescent="0.2">
      <c r="A268" s="19">
        <v>35673</v>
      </c>
      <c r="B268" s="352">
        <f t="array" ref="B268">(PRODUCT(Index_Returns!D257:D268/100+1)-1)*100</f>
        <v>37.141214988657012</v>
      </c>
      <c r="C268" s="352">
        <f t="array" ref="C268">(PRODUCT(Index_Returns!C257:C268/100+1)-1)*100</f>
        <v>43.958883151950822</v>
      </c>
      <c r="D268" s="352">
        <f t="shared" si="18"/>
        <v>-6.8176681632938099</v>
      </c>
      <c r="E268" s="352">
        <f t="array" ref="E268">(GEOMEAN(Index_Returns!D233:D268/100+1)^12-1)*100</f>
        <v>24.338517678528081</v>
      </c>
      <c r="F268" s="352">
        <f t="array" ref="F268">(GEOMEAN(Index_Returns!C233:C268/100+1)^12-1)*100</f>
        <v>28.722056056679858</v>
      </c>
      <c r="G268" s="352">
        <f t="shared" si="19"/>
        <v>-4.3835383781517763</v>
      </c>
      <c r="H268" s="351"/>
      <c r="I268" s="350">
        <f t="array" ref="I268">(PRODUCT(Index_Returns!G257:G268/100+1)-1)*100</f>
        <v>35.169381875076922</v>
      </c>
      <c r="J268" s="350">
        <f t="array" ref="J268">(PRODUCT(Index_Returns!F257:F268/100+1)-1)*100</f>
        <v>40.362186286121556</v>
      </c>
      <c r="K268" s="350">
        <f t="shared" si="13"/>
        <v>-5.1928044110446336</v>
      </c>
      <c r="L268" s="350">
        <f t="array" ref="L268">(GEOMEAN(Index_Returns!G233:G268/100+1)^12-1)*100</f>
        <v>22.327993435789196</v>
      </c>
      <c r="M268" s="350">
        <f t="array" ref="M268">(GEOMEAN(Index_Returns!F233:F268/100+1)^12-1)*100</f>
        <v>23.103855665947503</v>
      </c>
      <c r="N268" s="350">
        <f t="shared" si="14"/>
        <v>-0.77586223015830669</v>
      </c>
      <c r="O268" s="352"/>
      <c r="P268" s="352">
        <f t="array" ref="P268">(PRODUCT(Index_Returns!M257:M268/100+1)-1)*100</f>
        <v>39.923628346541932</v>
      </c>
      <c r="Q268" s="352">
        <f t="array" ref="Q268">(PRODUCT(Index_Returns!L257:L268/100+1)-1)*100</f>
        <v>28.40175882768694</v>
      </c>
      <c r="R268" s="352">
        <f t="shared" si="20"/>
        <v>11.521869518854992</v>
      </c>
      <c r="S268" s="352">
        <f t="array" ref="S268">(GEOMEAN(Index_Returns!M233:M268/100+1)^12-1)*100</f>
        <v>24.824776528723813</v>
      </c>
      <c r="T268" s="352">
        <f t="array" ref="T268">(GEOMEAN(Index_Returns!L233:L268/100+1)^12-1)*100</f>
        <v>21.058947991024347</v>
      </c>
      <c r="U268" s="352">
        <f t="shared" si="22"/>
        <v>3.7658285376994662</v>
      </c>
      <c r="V268" s="352"/>
      <c r="W268" s="352">
        <f t="array" ref="W268">(PRODUCT(Index_Returns!AC257:AC268/100+1)-1)*100</f>
        <v>10.368624354043753</v>
      </c>
      <c r="X268" s="352">
        <f t="array" ref="X268">(PRODUCT(Index_Returns!AB257:AB268/100+1)-1)*100</f>
        <v>8.2975693891892845</v>
      </c>
      <c r="Y268" s="352">
        <f t="shared" si="21"/>
        <v>2.0710549648544685</v>
      </c>
      <c r="Z268" s="352">
        <f t="array" ref="Z268">(GEOMEAN(Index_Returns!AC233:AC268/100+1)^12-1)*100</f>
        <v>6.9287403553669025</v>
      </c>
      <c r="AA268" s="352">
        <f t="array" ref="AA268">(GEOMEAN(Index_Returns!AB233:AB268/100+1)^12-1)*100</f>
        <v>5.2977278379473747</v>
      </c>
      <c r="AB268" s="352">
        <f t="shared" si="17"/>
        <v>1.6310125174195278</v>
      </c>
    </row>
    <row r="269" spans="1:28" x14ac:dyDescent="0.2">
      <c r="A269" s="19">
        <v>35703</v>
      </c>
      <c r="B269" s="352">
        <f t="array" ref="B269">(PRODUCT(Index_Returns!D258:D269/100+1)-1)*100</f>
        <v>39.215107147849906</v>
      </c>
      <c r="C269" s="352">
        <f t="array" ref="C269">(PRODUCT(Index_Returns!C258:C269/100+1)-1)*100</f>
        <v>41.476719716085732</v>
      </c>
      <c r="D269" s="352">
        <f t="shared" si="18"/>
        <v>-2.2616125682358259</v>
      </c>
      <c r="E269" s="352">
        <f t="array" ref="E269">(GEOMEAN(Index_Returns!D234:D269/100+1)^12-1)*100</f>
        <v>28.244047758797674</v>
      </c>
      <c r="F269" s="352">
        <f t="array" ref="F269">(GEOMEAN(Index_Returns!C234:C269/100+1)^12-1)*100</f>
        <v>31.569864344224928</v>
      </c>
      <c r="G269" s="352">
        <f t="shared" si="19"/>
        <v>-3.3258165854272548</v>
      </c>
      <c r="H269" s="351"/>
      <c r="I269" s="350">
        <f t="array" ref="I269">(PRODUCT(Index_Returns!G258:G269/100+1)-1)*100</f>
        <v>38.864276224855352</v>
      </c>
      <c r="J269" s="350">
        <f t="array" ref="J269">(PRODUCT(Index_Returns!F258:F269/100+1)-1)*100</f>
        <v>40.005002004561227</v>
      </c>
      <c r="K269" s="350">
        <f t="shared" si="13"/>
        <v>-1.1407257797058747</v>
      </c>
      <c r="L269" s="350">
        <f t="array" ref="L269">(GEOMEAN(Index_Returns!G234:G269/100+1)^12-1)*100</f>
        <v>25.634466454268878</v>
      </c>
      <c r="M269" s="350">
        <f t="array" ref="M269">(GEOMEAN(Index_Returns!F234:F269/100+1)^12-1)*100</f>
        <v>25.937459298299693</v>
      </c>
      <c r="N269" s="350">
        <f t="shared" si="14"/>
        <v>-0.30299284403081472</v>
      </c>
      <c r="O269" s="352"/>
      <c r="P269" s="352">
        <f t="array" ref="P269">(PRODUCT(Index_Returns!M258:M269/100+1)-1)*100</f>
        <v>44.097243562759033</v>
      </c>
      <c r="Q269" s="352">
        <f t="array" ref="Q269">(PRODUCT(Index_Returns!L258:L269/100+1)-1)*100</f>
        <v>30.080925622616395</v>
      </c>
      <c r="R269" s="352">
        <f t="shared" si="20"/>
        <v>14.016317940142638</v>
      </c>
      <c r="S269" s="352">
        <f t="array" ref="S269">(GEOMEAN(Index_Returns!M234:M269/100+1)^12-1)*100</f>
        <v>28.135199585024353</v>
      </c>
      <c r="T269" s="352">
        <f t="array" ref="T269">(GEOMEAN(Index_Returns!L234:L269/100+1)^12-1)*100</f>
        <v>23.473891401180879</v>
      </c>
      <c r="U269" s="352">
        <f t="shared" si="22"/>
        <v>4.6613081838434738</v>
      </c>
      <c r="V269" s="352"/>
      <c r="W269" s="352">
        <f t="array" ref="W269">(PRODUCT(Index_Returns!AC258:AC269/100+1)-1)*100</f>
        <v>12.532964042466311</v>
      </c>
      <c r="X269" s="352">
        <f t="array" ref="X269">(PRODUCT(Index_Returns!AB258:AB269/100+1)-1)*100</f>
        <v>12.373037327143432</v>
      </c>
      <c r="Y269" s="352">
        <f t="shared" si="21"/>
        <v>0.15992671532287872</v>
      </c>
      <c r="Z269" s="352">
        <f t="array" ref="Z269">(GEOMEAN(Index_Returns!AC234:AC269/100+1)^12-1)*100</f>
        <v>9.6059251086523023</v>
      </c>
      <c r="AA269" s="352">
        <f t="array" ref="AA269">(GEOMEAN(Index_Returns!AB234:AB269/100+1)^12-1)*100</f>
        <v>8.7922972561035539</v>
      </c>
      <c r="AB269" s="352">
        <f t="shared" si="17"/>
        <v>0.81362785254874836</v>
      </c>
    </row>
    <row r="270" spans="1:28" x14ac:dyDescent="0.2">
      <c r="A270" s="19">
        <v>35734</v>
      </c>
      <c r="B270" s="352">
        <f t="array" ref="B270">(PRODUCT(Index_Returns!D259:D270/100+1)-1)*100</f>
        <v>29.702052384337364</v>
      </c>
      <c r="C270" s="352">
        <f t="array" ref="C270">(PRODUCT(Index_Returns!C259:C270/100+1)-1)*100</f>
        <v>34.309336213420181</v>
      </c>
      <c r="D270" s="352">
        <f t="shared" si="18"/>
        <v>-4.6072838290828173</v>
      </c>
      <c r="E270" s="352">
        <f t="array" ref="E270">(GEOMEAN(Index_Returns!D235:D270/100+1)^12-1)*100</f>
        <v>25.747446264049035</v>
      </c>
      <c r="F270" s="352">
        <f t="array" ref="F270">(GEOMEAN(Index_Returns!C235:C270/100+1)^12-1)*100</f>
        <v>29.174025420554361</v>
      </c>
      <c r="G270" s="352">
        <f t="shared" si="19"/>
        <v>-3.4265791565053263</v>
      </c>
      <c r="H270" s="351"/>
      <c r="I270" s="350">
        <f t="array" ref="I270">(PRODUCT(Index_Returns!G259:G270/100+1)-1)*100</f>
        <v>32.519616976959867</v>
      </c>
      <c r="J270" s="350">
        <f t="array" ref="J270">(PRODUCT(Index_Returns!F259:F270/100+1)-1)*100</f>
        <v>33.24973261579256</v>
      </c>
      <c r="K270" s="350">
        <f t="shared" si="13"/>
        <v>-0.73011563883269304</v>
      </c>
      <c r="L270" s="350">
        <f t="array" ref="L270">(GEOMEAN(Index_Returns!G235:G270/100+1)^12-1)*100</f>
        <v>24.132351855590773</v>
      </c>
      <c r="M270" s="350">
        <f t="array" ref="M270">(GEOMEAN(Index_Returns!F235:F270/100+1)^12-1)*100</f>
        <v>22.81652517995818</v>
      </c>
      <c r="N270" s="350">
        <f t="shared" si="14"/>
        <v>1.3158266756325929</v>
      </c>
      <c r="O270" s="352"/>
      <c r="P270" s="352">
        <f t="array" ref="P270">(PRODUCT(Index_Returns!M259:M270/100+1)-1)*100</f>
        <v>39.169603171213161</v>
      </c>
      <c r="Q270" s="352">
        <f t="array" ref="Q270">(PRODUCT(Index_Returns!L259:L270/100+1)-1)*100</f>
        <v>25.054799578943499</v>
      </c>
      <c r="R270" s="352">
        <f t="shared" si="20"/>
        <v>14.114803592269663</v>
      </c>
      <c r="S270" s="352">
        <f t="array" ref="S270">(GEOMEAN(Index_Returns!M235:M270/100+1)^12-1)*100</f>
        <v>28.211095356520023</v>
      </c>
      <c r="T270" s="352">
        <f t="array" ref="T270">(GEOMEAN(Index_Returns!L235:L270/100+1)^12-1)*100</f>
        <v>20.702172322627675</v>
      </c>
      <c r="U270" s="352">
        <f t="shared" si="22"/>
        <v>7.5089230338923478</v>
      </c>
      <c r="V270" s="352"/>
      <c r="W270" s="352">
        <f t="array" ref="W270">(PRODUCT(Index_Returns!AC259:AC270/100+1)-1)*100</f>
        <v>7.3886175491692407</v>
      </c>
      <c r="X270" s="352">
        <f t="array" ref="X270">(PRODUCT(Index_Returns!AB259:AB270/100+1)-1)*100</f>
        <v>2.5876820599658013</v>
      </c>
      <c r="Y270" s="352">
        <f t="shared" si="21"/>
        <v>4.8009354892034395</v>
      </c>
      <c r="Z270" s="352">
        <f t="array" ref="Z270">(GEOMEAN(Index_Returns!AC235:AC270/100+1)^12-1)*100</f>
        <v>6.1141523635403594</v>
      </c>
      <c r="AA270" s="352">
        <f t="array" ref="AA270">(GEOMEAN(Index_Returns!AB235:AB270/100+1)^12-1)*100</f>
        <v>4.2815357632300932</v>
      </c>
      <c r="AB270" s="352">
        <f t="shared" si="17"/>
        <v>1.8326166003102662</v>
      </c>
    </row>
    <row r="271" spans="1:28" x14ac:dyDescent="0.2">
      <c r="A271" s="19">
        <v>35764</v>
      </c>
      <c r="B271" s="352">
        <f t="array" ref="B271">(PRODUCT(Index_Returns!D260:D271/100+1)-1)*100</f>
        <v>25.077839871089957</v>
      </c>
      <c r="C271" s="352">
        <f t="array" ref="C271">(PRODUCT(Index_Returns!C260:C271/100+1)-1)*100</f>
        <v>31.750215732095398</v>
      </c>
      <c r="D271" s="352">
        <f t="shared" si="18"/>
        <v>-6.6723758610054418</v>
      </c>
      <c r="E271" s="352">
        <f t="array" ref="E271">(GEOMEAN(Index_Returns!D236:D271/100+1)^12-1)*100</f>
        <v>29.093106312246086</v>
      </c>
      <c r="F271" s="352">
        <f t="array" ref="F271">(GEOMEAN(Index_Returns!C236:C271/100+1)^12-1)*100</f>
        <v>32.937372233746977</v>
      </c>
      <c r="G271" s="352">
        <f t="shared" si="19"/>
        <v>-3.8442659215008916</v>
      </c>
      <c r="H271" s="351"/>
      <c r="I271" s="350">
        <f t="array" ref="I271">(PRODUCT(Index_Returns!G260:G271/100+1)-1)*100</f>
        <v>28.310532766487718</v>
      </c>
      <c r="J271" s="350">
        <f t="array" ref="J271">(PRODUCT(Index_Returns!F260:F271/100+1)-1)*100</f>
        <v>26.882134645781353</v>
      </c>
      <c r="K271" s="350">
        <f t="shared" si="13"/>
        <v>1.4283981207063654</v>
      </c>
      <c r="L271" s="350">
        <f t="array" ref="L271">(GEOMEAN(Index_Returns!G236:G271/100+1)^12-1)*100</f>
        <v>27.044074507740735</v>
      </c>
      <c r="M271" s="350">
        <f t="array" ref="M271">(GEOMEAN(Index_Returns!F236:F271/100+1)^12-1)*100</f>
        <v>24.909666593164069</v>
      </c>
      <c r="N271" s="350">
        <f t="shared" si="14"/>
        <v>2.1344079145766663</v>
      </c>
      <c r="O271" s="352"/>
      <c r="P271" s="352">
        <f t="array" ref="P271">(PRODUCT(Index_Returns!M260:M271/100+1)-1)*100</f>
        <v>32.080178891245438</v>
      </c>
      <c r="Q271" s="352">
        <f t="array" ref="Q271">(PRODUCT(Index_Returns!L260:L271/100+1)-1)*100</f>
        <v>17.351387906255123</v>
      </c>
      <c r="R271" s="352">
        <f t="shared" si="20"/>
        <v>14.728790984990315</v>
      </c>
      <c r="S271" s="352">
        <f t="array" ref="S271">(GEOMEAN(Index_Returns!M236:M271/100+1)^12-1)*100</f>
        <v>30.022744575775828</v>
      </c>
      <c r="T271" s="352">
        <f t="array" ref="T271">(GEOMEAN(Index_Returns!L236:L271/100+1)^12-1)*100</f>
        <v>21.523168857091356</v>
      </c>
      <c r="U271" s="352">
        <f t="shared" si="22"/>
        <v>8.499575718684472</v>
      </c>
      <c r="V271" s="352"/>
      <c r="W271" s="352">
        <f t="array" ref="W271">(PRODUCT(Index_Returns!AC260:AC271/100+1)-1)*100</f>
        <v>0.5732600101399532</v>
      </c>
      <c r="X271" s="352">
        <f t="array" ref="X271">(PRODUCT(Index_Returns!AB260:AB271/100+1)-1)*100</f>
        <v>-0.80445536986516464</v>
      </c>
      <c r="Y271" s="352">
        <f t="shared" si="21"/>
        <v>1.3777153800051178</v>
      </c>
      <c r="Z271" s="352">
        <f t="array" ref="Z271">(GEOMEAN(Index_Returns!AC236:AC271/100+1)^12-1)*100</f>
        <v>7.3120986271013377</v>
      </c>
      <c r="AA271" s="352">
        <f t="array" ref="AA271">(GEOMEAN(Index_Returns!AB236:AB271/100+1)^12-1)*100</f>
        <v>5.8164303444355525</v>
      </c>
      <c r="AB271" s="352">
        <f t="shared" si="17"/>
        <v>1.4956682826657852</v>
      </c>
    </row>
    <row r="272" spans="1:28" x14ac:dyDescent="0.2">
      <c r="A272" s="19">
        <v>35795</v>
      </c>
      <c r="B272" s="352">
        <f t="array" ref="B272">(PRODUCT(Index_Returns!D261:D272/100+1)-1)*100</f>
        <v>29.986343957124962</v>
      </c>
      <c r="C272" s="352">
        <f t="array" ref="C272">(PRODUCT(Index_Returns!C261:C272/100+1)-1)*100</f>
        <v>36.530277167696212</v>
      </c>
      <c r="D272" s="352">
        <f t="shared" si="18"/>
        <v>-6.5439332105712502</v>
      </c>
      <c r="E272" s="352">
        <f t="array" ref="E272">(GEOMEAN(Index_Returns!D237:D272/100+1)^12-1)*100</f>
        <v>29.513425815744743</v>
      </c>
      <c r="F272" s="352">
        <f t="array" ref="F272">(GEOMEAN(Index_Returns!C237:C272/100+1)^12-1)*100</f>
        <v>32.722620433317992</v>
      </c>
      <c r="G272" s="352">
        <f t="shared" si="19"/>
        <v>-3.2091946175732495</v>
      </c>
      <c r="H272" s="351"/>
      <c r="I272" s="350">
        <f t="array" ref="I272">(PRODUCT(Index_Returns!G261:G272/100+1)-1)*100</f>
        <v>34.383394426702729</v>
      </c>
      <c r="J272" s="350">
        <f t="array" ref="J272">(PRODUCT(Index_Returns!F261:F272/100+1)-1)*100</f>
        <v>30.283834494775341</v>
      </c>
      <c r="K272" s="350">
        <f t="shared" si="13"/>
        <v>4.0995599319273879</v>
      </c>
      <c r="L272" s="350">
        <f t="array" ref="L272">(GEOMEAN(Index_Returns!G237:G272/100+1)^12-1)*100</f>
        <v>29.05983120120672</v>
      </c>
      <c r="M272" s="350">
        <f t="array" ref="M272">(GEOMEAN(Index_Returns!F237:F272/100+1)^12-1)*100</f>
        <v>25.244315980303455</v>
      </c>
      <c r="N272" s="350">
        <f t="shared" si="14"/>
        <v>3.815515220903265</v>
      </c>
      <c r="O272" s="352"/>
      <c r="P272" s="352">
        <f t="array" ref="P272">(PRODUCT(Index_Returns!M261:M272/100+1)-1)*100</f>
        <v>34.527012435433193</v>
      </c>
      <c r="Q272" s="352">
        <f t="array" ref="Q272">(PRODUCT(Index_Returns!L261:L272/100+1)-1)*100</f>
        <v>17.105426493917175</v>
      </c>
      <c r="R272" s="352">
        <f t="shared" si="20"/>
        <v>17.421585941516017</v>
      </c>
      <c r="S272" s="352">
        <f t="array" ref="S272">(GEOMEAN(Index_Returns!M237:M272/100+1)^12-1)*100</f>
        <v>30.541838826381749</v>
      </c>
      <c r="T272" s="352">
        <f t="array" ref="T272">(GEOMEAN(Index_Returns!L237:L272/100+1)^12-1)*100</f>
        <v>20.724379128164404</v>
      </c>
      <c r="U272" s="352">
        <f t="shared" si="22"/>
        <v>9.8174596982173448</v>
      </c>
      <c r="V272" s="352"/>
      <c r="W272" s="352">
        <f t="array" ref="W272">(PRODUCT(Index_Returns!AC261:AC272/100+1)-1)*100</f>
        <v>1.8162701287693928</v>
      </c>
      <c r="X272" s="352">
        <f t="array" ref="X272">(PRODUCT(Index_Returns!AB261:AB272/100+1)-1)*100</f>
        <v>2.3301950751562384</v>
      </c>
      <c r="Y272" s="352">
        <f t="shared" si="21"/>
        <v>-0.5139249463868456</v>
      </c>
      <c r="Z272" s="352">
        <f t="array" ref="Z272">(GEOMEAN(Index_Returns!AC237:AC272/100+1)^12-1)*100</f>
        <v>7.4884109321597947</v>
      </c>
      <c r="AA272" s="352">
        <f t="array" ref="AA272">(GEOMEAN(Index_Returns!AB237:AB272/100+1)^12-1)*100</f>
        <v>5.8146198554634543</v>
      </c>
      <c r="AB272" s="352">
        <f t="shared" si="17"/>
        <v>1.6737910766963404</v>
      </c>
    </row>
    <row r="273" spans="1:28" x14ac:dyDescent="0.2">
      <c r="A273" s="19">
        <v>35826</v>
      </c>
      <c r="B273" s="352">
        <f t="array" ref="B273">(PRODUCT(Index_Returns!D262:D273/100+1)-1)*100</f>
        <v>22.725946215594696</v>
      </c>
      <c r="C273" s="352">
        <f t="array" ref="C273">(PRODUCT(Index_Returns!C262:C273/100+1)-1)*100</f>
        <v>30.867012275966623</v>
      </c>
      <c r="D273" s="352">
        <f t="shared" si="18"/>
        <v>-8.1410660603719265</v>
      </c>
      <c r="E273" s="352">
        <f t="array" ref="E273">(GEOMEAN(Index_Returns!D238:D273/100+1)^12-1)*100</f>
        <v>27.835258680367648</v>
      </c>
      <c r="F273" s="352">
        <f t="array" ref="F273">(GEOMEAN(Index_Returns!C238:C273/100+1)^12-1)*100</f>
        <v>33.101306521607633</v>
      </c>
      <c r="G273" s="352">
        <f t="shared" si="19"/>
        <v>-5.2660478412399847</v>
      </c>
      <c r="H273" s="351"/>
      <c r="I273" s="350">
        <f t="array" ref="I273">(PRODUCT(Index_Returns!G262:G273/100+1)-1)*100</f>
        <v>28.149505360627035</v>
      </c>
      <c r="J273" s="350">
        <f t="array" ref="J273">(PRODUCT(Index_Returns!F262:F273/100+1)-1)*100</f>
        <v>21.709280898047044</v>
      </c>
      <c r="K273" s="350">
        <f t="shared" si="13"/>
        <v>6.4402244625799909</v>
      </c>
      <c r="L273" s="350">
        <f t="array" ref="L273">(GEOMEAN(Index_Returns!G238:G273/100+1)^12-1)*100</f>
        <v>27.119496290536382</v>
      </c>
      <c r="M273" s="350">
        <f t="array" ref="M273">(GEOMEAN(Index_Returns!F238:F273/100+1)^12-1)*100</f>
        <v>24.811034255643882</v>
      </c>
      <c r="N273" s="350">
        <f t="shared" si="14"/>
        <v>2.3084620348925</v>
      </c>
      <c r="O273" s="352"/>
      <c r="P273" s="352">
        <f t="array" ref="P273">(PRODUCT(Index_Returns!M262:M273/100+1)-1)*100</f>
        <v>30.569550327898611</v>
      </c>
      <c r="Q273" s="352">
        <f t="array" ref="Q273">(PRODUCT(Index_Returns!L262:L273/100+1)-1)*100</f>
        <v>12.255593163850431</v>
      </c>
      <c r="R273" s="352">
        <f t="shared" si="20"/>
        <v>18.31395716404818</v>
      </c>
      <c r="S273" s="352">
        <f t="array" ref="S273">(GEOMEAN(Index_Returns!M238:M273/100+1)^12-1)*100</f>
        <v>29.904805724548833</v>
      </c>
      <c r="T273" s="352">
        <f t="array" ref="T273">(GEOMEAN(Index_Returns!L238:L273/100+1)^12-1)*100</f>
        <v>20.87890209330272</v>
      </c>
      <c r="U273" s="352">
        <f t="shared" si="22"/>
        <v>9.0259036312461127</v>
      </c>
      <c r="V273" s="352"/>
      <c r="W273" s="352">
        <f t="array" ref="W273">(PRODUCT(Index_Returns!AC262:AC273/100+1)-1)*100</f>
        <v>9.5675015180133336</v>
      </c>
      <c r="X273" s="352">
        <f t="array" ref="X273">(PRODUCT(Index_Returns!AB262:AB273/100+1)-1)*100</f>
        <v>11.604445168137234</v>
      </c>
      <c r="Y273" s="352">
        <f t="shared" si="21"/>
        <v>-2.0369436501239004</v>
      </c>
      <c r="Z273" s="352">
        <f t="array" ref="Z273">(GEOMEAN(Index_Returns!AC238:AC273/100+1)^12-1)*100</f>
        <v>10.553737065946667</v>
      </c>
      <c r="AA273" s="352">
        <f t="array" ref="AA273">(GEOMEAN(Index_Returns!AB238:AB273/100+1)^12-1)*100</f>
        <v>8.7944927710287946</v>
      </c>
      <c r="AB273" s="352">
        <f t="shared" si="17"/>
        <v>1.7592442949178722</v>
      </c>
    </row>
    <row r="274" spans="1:28" x14ac:dyDescent="0.2">
      <c r="A274" s="19">
        <v>35854</v>
      </c>
      <c r="B274" s="352">
        <f t="array" ref="B274">(PRODUCT(Index_Returns!D263:D274/100+1)-1)*100</f>
        <v>30.975498303610081</v>
      </c>
      <c r="C274" s="352">
        <f t="array" ref="C274">(PRODUCT(Index_Returns!C263:C274/100+1)-1)*100</f>
        <v>38.798220504551594</v>
      </c>
      <c r="D274" s="352">
        <f t="shared" si="18"/>
        <v>-7.8227222009415129</v>
      </c>
      <c r="E274" s="352">
        <f t="array" ref="E274">(GEOMEAN(Index_Returns!D239:D274/100+1)^12-1)*100</f>
        <v>29.302422539856288</v>
      </c>
      <c r="F274" s="352">
        <f t="array" ref="F274">(GEOMEAN(Index_Returns!C239:C274/100+1)^12-1)*100</f>
        <v>34.389129180892517</v>
      </c>
      <c r="G274" s="352">
        <f t="shared" si="19"/>
        <v>-5.0867066410362298</v>
      </c>
      <c r="H274" s="351"/>
      <c r="I274" s="350">
        <f t="array" ref="I274">(PRODUCT(Index_Returns!G263:G274/100+1)-1)*100</f>
        <v>36.364380023098605</v>
      </c>
      <c r="J274" s="350">
        <f t="array" ref="J274">(PRODUCT(Index_Returns!F263:F274/100+1)-1)*100</f>
        <v>36.421972565830373</v>
      </c>
      <c r="K274" s="350">
        <f t="shared" si="13"/>
        <v>-5.7592542731768503E-2</v>
      </c>
      <c r="L274" s="350">
        <f t="array" ref="L274">(GEOMEAN(Index_Returns!G239:G274/100+1)^12-1)*100</f>
        <v>28.158087191150983</v>
      </c>
      <c r="M274" s="350">
        <f t="array" ref="M274">(GEOMEAN(Index_Returns!F239:F274/100+1)^12-1)*100</f>
        <v>26.211883063256703</v>
      </c>
      <c r="N274" s="350">
        <f t="shared" si="14"/>
        <v>1.9462041278942799</v>
      </c>
      <c r="O274" s="352"/>
      <c r="P274" s="352">
        <f t="array" ref="P274">(PRODUCT(Index_Returns!M263:M274/100+1)-1)*100</f>
        <v>40.012388687766951</v>
      </c>
      <c r="Q274" s="352">
        <f t="array" ref="Q274">(PRODUCT(Index_Returns!L263:L274/100+1)-1)*100</f>
        <v>29.903971234669193</v>
      </c>
      <c r="R274" s="352">
        <f t="shared" si="20"/>
        <v>10.108417453097758</v>
      </c>
      <c r="S274" s="352">
        <f t="array" ref="S274">(GEOMEAN(Index_Returns!M239:M274/100+1)^12-1)*100</f>
        <v>31.767449285875514</v>
      </c>
      <c r="T274" s="352">
        <f t="array" ref="T274">(GEOMEAN(Index_Returns!L239:L274/100+1)^12-1)*100</f>
        <v>22.955734044143018</v>
      </c>
      <c r="U274" s="352">
        <f t="shared" si="22"/>
        <v>8.8117152417324967</v>
      </c>
      <c r="V274" s="352"/>
      <c r="W274" s="352">
        <f t="array" ref="W274">(PRODUCT(Index_Returns!AC263:AC274/100+1)-1)*100</f>
        <v>14.366317933721895</v>
      </c>
      <c r="X274" s="352">
        <f t="array" ref="X274">(PRODUCT(Index_Returns!AB263:AB274/100+1)-1)*100</f>
        <v>17.196804185104696</v>
      </c>
      <c r="Y274" s="352">
        <f t="shared" si="21"/>
        <v>-2.8304862513828013</v>
      </c>
      <c r="Z274" s="352">
        <f t="array" ref="Z274">(GEOMEAN(Index_Returns!AC239:AC274/100+1)^12-1)*100</f>
        <v>12.992710279584575</v>
      </c>
      <c r="AA274" s="352">
        <f t="array" ref="AA274">(GEOMEAN(Index_Returns!AB239:AB274/100+1)^12-1)*100</f>
        <v>11.161884471049266</v>
      </c>
      <c r="AB274" s="352">
        <f t="shared" si="17"/>
        <v>1.8308258085353089</v>
      </c>
    </row>
    <row r="275" spans="1:28" x14ac:dyDescent="0.2">
      <c r="A275" s="19">
        <v>35885</v>
      </c>
      <c r="B275" s="352">
        <f t="array" ref="B275">(PRODUCT(Index_Returns!D264:D275/100+1)-1)*100</f>
        <v>42.48230202183467</v>
      </c>
      <c r="C275" s="352">
        <f t="array" ref="C275">(PRODUCT(Index_Returns!C264:C275/100+1)-1)*100</f>
        <v>53.255387919730346</v>
      </c>
      <c r="D275" s="352">
        <f t="shared" si="18"/>
        <v>-10.773085897895676</v>
      </c>
      <c r="E275" s="352">
        <f t="array" ref="E275">(GEOMEAN(Index_Returns!D240:D275/100+1)^12-1)*100</f>
        <v>30.263340497248237</v>
      </c>
      <c r="F275" s="352">
        <f t="array" ref="F275">(GEOMEAN(Index_Returns!C240:C275/100+1)^12-1)*100</f>
        <v>35.267727666099361</v>
      </c>
      <c r="G275" s="352">
        <f t="shared" si="19"/>
        <v>-5.0043871688511246</v>
      </c>
      <c r="H275" s="351"/>
      <c r="I275" s="350">
        <f t="array" ref="I275">(PRODUCT(Index_Returns!G264:G275/100+1)-1)*100</f>
        <v>47.641099285455589</v>
      </c>
      <c r="J275" s="350">
        <f t="array" ref="J275">(PRODUCT(Index_Returns!F264:F275/100+1)-1)*100</f>
        <v>50.209991768397579</v>
      </c>
      <c r="K275" s="350">
        <f t="shared" si="13"/>
        <v>-2.5688924829419904</v>
      </c>
      <c r="L275" s="350">
        <f t="array" ref="L275">(GEOMEAN(Index_Returns!G240:G275/100+1)^12-1)*100</f>
        <v>29.796761287301866</v>
      </c>
      <c r="M275" s="350">
        <f t="array" ref="M275">(GEOMEAN(Index_Returns!F240:F275/100+1)^12-1)*100</f>
        <v>26.772564389355292</v>
      </c>
      <c r="N275" s="350">
        <f t="shared" si="14"/>
        <v>3.0241968979465739</v>
      </c>
      <c r="O275" s="352"/>
      <c r="P275" s="352">
        <f t="array" ref="P275">(PRODUCT(Index_Returns!M264:M275/100+1)-1)*100</f>
        <v>50.828673706521911</v>
      </c>
      <c r="Q275" s="352">
        <f t="array" ref="Q275">(PRODUCT(Index_Returns!L264:L275/100+1)-1)*100</f>
        <v>44.453549797236789</v>
      </c>
      <c r="R275" s="352">
        <f t="shared" si="20"/>
        <v>6.3751239092851222</v>
      </c>
      <c r="S275" s="352">
        <f t="array" ref="S275">(GEOMEAN(Index_Returns!M240:M275/100+1)^12-1)*100</f>
        <v>32.877921791038681</v>
      </c>
      <c r="T275" s="352">
        <f t="array" ref="T275">(GEOMEAN(Index_Returns!L240:L275/100+1)^12-1)*100</f>
        <v>23.336898394526152</v>
      </c>
      <c r="U275" s="352">
        <f t="shared" si="22"/>
        <v>9.5410233965125286</v>
      </c>
      <c r="V275" s="352"/>
      <c r="W275" s="352">
        <f t="array" ref="W275">(PRODUCT(Index_Returns!AC264:AC275/100+1)-1)*100</f>
        <v>19.823533551828575</v>
      </c>
      <c r="X275" s="352">
        <f t="array" ref="X275">(PRODUCT(Index_Returns!AB264:AB275/100+1)-1)*100</f>
        <v>18.077310531630864</v>
      </c>
      <c r="Y275" s="352">
        <f t="shared" si="21"/>
        <v>1.7462230201977107</v>
      </c>
      <c r="Z275" s="352">
        <f t="array" ref="Z275">(GEOMEAN(Index_Returns!AC240:AC275/100+1)^12-1)*100</f>
        <v>12.529671850312308</v>
      </c>
      <c r="AA275" s="352">
        <f t="array" ref="AA275">(GEOMEAN(Index_Returns!AB240:AB275/100+1)^12-1)*100</f>
        <v>9.4103432745717299</v>
      </c>
      <c r="AB275" s="352">
        <f t="shared" si="17"/>
        <v>3.1193285757405782</v>
      </c>
    </row>
    <row r="276" spans="1:28" x14ac:dyDescent="0.2">
      <c r="A276" s="19">
        <v>35915</v>
      </c>
      <c r="B276" s="352">
        <f t="array" ref="B276">(PRODUCT(Index_Returns!D265:D276/100+1)-1)*100</f>
        <v>38.958354195444088</v>
      </c>
      <c r="C276" s="352">
        <f t="array" ref="C276">(PRODUCT(Index_Returns!C265:C276/100+1)-1)*100</f>
        <v>42.99378792026387</v>
      </c>
      <c r="D276" s="352">
        <f t="shared" si="18"/>
        <v>-4.0354337248197822</v>
      </c>
      <c r="E276" s="352">
        <f t="array" ref="E276">(GEOMEAN(Index_Returns!D241:D276/100+1)^12-1)*100</f>
        <v>29.371097834385871</v>
      </c>
      <c r="F276" s="352">
        <f t="array" ref="F276">(GEOMEAN(Index_Returns!C241:C276/100+1)^12-1)*100</f>
        <v>34.487908382621214</v>
      </c>
      <c r="G276" s="352">
        <f t="shared" si="19"/>
        <v>-5.1168105482353425</v>
      </c>
      <c r="H276" s="351"/>
      <c r="I276" s="350">
        <f t="array" ref="I276">(PRODUCT(Index_Returns!G265:G276/100+1)-1)*100</f>
        <v>45.322159378830243</v>
      </c>
      <c r="J276" s="350">
        <f t="array" ref="J276">(PRODUCT(Index_Returns!F265:F276/100+1)-1)*100</f>
        <v>49.987830738966068</v>
      </c>
      <c r="K276" s="350">
        <f t="shared" si="13"/>
        <v>-4.6656713601358248</v>
      </c>
      <c r="L276" s="350">
        <f t="array" ref="L276">(GEOMEAN(Index_Returns!G241:G276/100+1)^12-1)*100</f>
        <v>28.966801728060453</v>
      </c>
      <c r="M276" s="350">
        <f t="array" ref="M276">(GEOMEAN(Index_Returns!F241:F276/100+1)^12-1)*100</f>
        <v>27.456188938217597</v>
      </c>
      <c r="N276" s="350">
        <f t="shared" si="14"/>
        <v>1.5106127898428561</v>
      </c>
      <c r="O276" s="352"/>
      <c r="P276" s="352">
        <f t="array" ref="P276">(PRODUCT(Index_Returns!M265:M276/100+1)-1)*100</f>
        <v>49.967313412661341</v>
      </c>
      <c r="Q276" s="352">
        <f t="array" ref="Q276">(PRODUCT(Index_Returns!L265:L276/100+1)-1)*100</f>
        <v>43.508381832867805</v>
      </c>
      <c r="R276" s="352">
        <f t="shared" si="20"/>
        <v>6.4589315797935356</v>
      </c>
      <c r="S276" s="352">
        <f t="array" ref="S276">(GEOMEAN(Index_Returns!M241:M276/100+1)^12-1)*100</f>
        <v>31.18390454514881</v>
      </c>
      <c r="T276" s="352">
        <f t="array" ref="T276">(GEOMEAN(Index_Returns!L241:L276/100+1)^12-1)*100</f>
        <v>23.557160336004124</v>
      </c>
      <c r="U276" s="352">
        <f t="shared" si="22"/>
        <v>7.626744209144686</v>
      </c>
      <c r="V276" s="352"/>
      <c r="W276" s="352">
        <f t="array" ref="W276">(PRODUCT(Index_Returns!AC265:AC276/100+1)-1)*100</f>
        <v>20.444883330153175</v>
      </c>
      <c r="X276" s="352">
        <f t="array" ref="X276">(PRODUCT(Index_Returns!AB265:AB276/100+1)-1)*100</f>
        <v>18.071466439478812</v>
      </c>
      <c r="Y276" s="352">
        <f t="shared" si="21"/>
        <v>2.3734168906743633</v>
      </c>
      <c r="Z276" s="352">
        <f t="array" ref="Z276">(GEOMEAN(Index_Returns!AC241:AC276/100+1)^12-1)*100</f>
        <v>11.606435268821302</v>
      </c>
      <c r="AA276" s="352">
        <f t="array" ref="AA276">(GEOMEAN(Index_Returns!AB241:AB276/100+1)^12-1)*100</f>
        <v>8.2002308530996224</v>
      </c>
      <c r="AB276" s="352">
        <f t="shared" si="17"/>
        <v>3.40620441572168</v>
      </c>
    </row>
    <row r="277" spans="1:28" x14ac:dyDescent="0.2">
      <c r="A277" s="19">
        <v>35946</v>
      </c>
      <c r="B277" s="352">
        <f t="array" ref="B277">(PRODUCT(Index_Returns!D266:D277/100+1)-1)*100</f>
        <v>28.917504283267625</v>
      </c>
      <c r="C277" s="352">
        <f t="array" ref="C277">(PRODUCT(Index_Returns!C266:C277/100+1)-1)*100</f>
        <v>32.285415942034646</v>
      </c>
      <c r="D277" s="352">
        <f t="shared" si="18"/>
        <v>-3.3679116587670208</v>
      </c>
      <c r="E277" s="352">
        <f t="array" ref="E277">(GEOMEAN(Index_Returns!D242:D277/100+1)^12-1)*100</f>
        <v>26.906693420117179</v>
      </c>
      <c r="F277" s="352">
        <f t="array" ref="F277">(GEOMEAN(Index_Returns!C242:C277/100+1)^12-1)*100</f>
        <v>32.026583019971547</v>
      </c>
      <c r="G277" s="352">
        <f t="shared" si="19"/>
        <v>-5.1198895998543676</v>
      </c>
      <c r="H277" s="351"/>
      <c r="I277" s="350">
        <f t="array" ref="I277">(PRODUCT(Index_Returns!G266:G277/100+1)-1)*100</f>
        <v>31.083647748772457</v>
      </c>
      <c r="J277" s="350">
        <f t="array" ref="J277">(PRODUCT(Index_Returns!F266:F277/100+1)-1)*100</f>
        <v>28.133353334526646</v>
      </c>
      <c r="K277" s="350">
        <f t="shared" ref="K277:K340" si="23">I277-J277</f>
        <v>2.9502944142458105</v>
      </c>
      <c r="L277" s="350">
        <f t="array" ref="L277">(GEOMEAN(Index_Returns!G242:G277/100+1)^12-1)*100</f>
        <v>25.892455927904034</v>
      </c>
      <c r="M277" s="350">
        <f t="array" ref="M277">(GEOMEAN(Index_Returns!F242:F277/100+1)^12-1)*100</f>
        <v>24.616302719695259</v>
      </c>
      <c r="N277" s="350">
        <f t="shared" si="14"/>
        <v>1.2761532082087754</v>
      </c>
      <c r="O277" s="352"/>
      <c r="P277" s="352">
        <f t="array" ref="P277">(PRODUCT(Index_Returns!M266:M277/100+1)-1)*100</f>
        <v>31.463960801052735</v>
      </c>
      <c r="Q277" s="352">
        <f t="array" ref="Q277">(PRODUCT(Index_Returns!L266:L277/100+1)-1)*100</f>
        <v>17.531772460702921</v>
      </c>
      <c r="R277" s="352">
        <f t="shared" si="20"/>
        <v>13.932188340349814</v>
      </c>
      <c r="S277" s="352">
        <f t="array" ref="S277">(GEOMEAN(Index_Returns!M242:M277/100+1)^12-1)*100</f>
        <v>28.55834018446739</v>
      </c>
      <c r="T277" s="352">
        <f t="array" ref="T277">(GEOMEAN(Index_Returns!L242:L277/100+1)^12-1)*100</f>
        <v>20.32662101089462</v>
      </c>
      <c r="U277" s="352">
        <f t="shared" si="22"/>
        <v>8.2317191735727704</v>
      </c>
      <c r="V277" s="352"/>
      <c r="W277" s="352">
        <f t="array" ref="W277">(PRODUCT(Index_Returns!AC266:AC277/100+1)-1)*100</f>
        <v>12.115580671180105</v>
      </c>
      <c r="X277" s="352">
        <f t="array" ref="X277">(PRODUCT(Index_Returns!AB266:AB277/100+1)-1)*100</f>
        <v>10.736215834286323</v>
      </c>
      <c r="Y277" s="352">
        <f t="shared" si="21"/>
        <v>1.3793648368937816</v>
      </c>
      <c r="Z277" s="352">
        <f t="array" ref="Z277">(GEOMEAN(Index_Returns!AC242:AC277/100+1)^12-1)*100</f>
        <v>11.972400130011929</v>
      </c>
      <c r="AA277" s="352">
        <f t="array" ref="AA277">(GEOMEAN(Index_Returns!AB242:AB277/100+1)^12-1)*100</f>
        <v>8.3621341500729418</v>
      </c>
      <c r="AB277" s="352">
        <f t="shared" si="17"/>
        <v>3.6102659799389869</v>
      </c>
    </row>
    <row r="278" spans="1:28" x14ac:dyDescent="0.2">
      <c r="A278" s="19">
        <v>35976</v>
      </c>
      <c r="B278" s="352">
        <f t="array" ref="B278">(PRODUCT(Index_Returns!D267:D278/100+1)-1)*100</f>
        <v>25.116536448446936</v>
      </c>
      <c r="C278" s="352">
        <f t="array" ref="C278">(PRODUCT(Index_Returns!C267:C278/100+1)-1)*100</f>
        <v>34.874873097938931</v>
      </c>
      <c r="D278" s="352">
        <f t="shared" si="18"/>
        <v>-9.7583366494919943</v>
      </c>
      <c r="E278" s="352">
        <f t="array" ref="E278">(GEOMEAN(Index_Returns!D243:D278/100+1)^12-1)*100</f>
        <v>26.906693420117179</v>
      </c>
      <c r="F278" s="352">
        <f t="array" ref="F278">(GEOMEAN(Index_Returns!C243:C278/100+1)^12-1)*100</f>
        <v>33.410800297230111</v>
      </c>
      <c r="G278" s="352">
        <f t="shared" si="19"/>
        <v>-6.5041068771129318</v>
      </c>
      <c r="H278" s="351"/>
      <c r="I278" s="350">
        <f t="array" ref="I278">(PRODUCT(Index_Returns!G267:G278/100+1)-1)*100</f>
        <v>26.686538045807296</v>
      </c>
      <c r="J278" s="350">
        <f t="array" ref="J278">(PRODUCT(Index_Returns!F267:F278/100+1)-1)*100</f>
        <v>26.893969146664087</v>
      </c>
      <c r="K278" s="350">
        <f t="shared" si="23"/>
        <v>-0.20743110085679106</v>
      </c>
      <c r="L278" s="350">
        <f t="array" ref="L278">(GEOMEAN(Index_Returns!G243:G278/100+1)^12-1)*100</f>
        <v>24.464677968784109</v>
      </c>
      <c r="M278" s="350">
        <f t="array" ref="M278">(GEOMEAN(Index_Returns!F243:F278/100+1)^12-1)*100</f>
        <v>23.203918271109771</v>
      </c>
      <c r="N278" s="350">
        <f t="shared" si="14"/>
        <v>1.260759697674338</v>
      </c>
      <c r="O278" s="352"/>
      <c r="P278" s="352">
        <f t="array" ref="P278">(PRODUCT(Index_Returns!M267:M278/100+1)-1)*100</f>
        <v>24.963650418794671</v>
      </c>
      <c r="Q278" s="352">
        <f t="array" ref="Q278">(PRODUCT(Index_Returns!L267:L278/100+1)-1)*100</f>
        <v>14.094085245356025</v>
      </c>
      <c r="R278" s="352">
        <f t="shared" si="20"/>
        <v>10.869565173438646</v>
      </c>
      <c r="S278" s="352">
        <f t="array" ref="S278">(GEOMEAN(Index_Returns!M243:M278/100+1)^12-1)*100</f>
        <v>26.786158007993333</v>
      </c>
      <c r="T278" s="352">
        <f t="array" ref="T278">(GEOMEAN(Index_Returns!L243:L278/100+1)^12-1)*100</f>
        <v>17.989324666164364</v>
      </c>
      <c r="U278" s="352">
        <f t="shared" si="22"/>
        <v>8.7968333418289681</v>
      </c>
      <c r="V278" s="352"/>
      <c r="W278" s="352">
        <f t="array" ref="W278">(PRODUCT(Index_Returns!AC267:AC278/100+1)-1)*100</f>
        <v>6.6897740019471907</v>
      </c>
      <c r="X278" s="352">
        <f t="array" ref="X278">(PRODUCT(Index_Returns!AB267:AB278/100+1)-1)*100</f>
        <v>6.0962972722673703</v>
      </c>
      <c r="Y278" s="352">
        <f t="shared" si="21"/>
        <v>0.59347672967982046</v>
      </c>
      <c r="Z278" s="352">
        <f t="array" ref="Z278">(GEOMEAN(Index_Returns!AC243:AC278/100+1)^12-1)*100</f>
        <v>12.538395827346459</v>
      </c>
      <c r="AA278" s="352">
        <f t="array" ref="AA278">(GEOMEAN(Index_Returns!AB243:AB278/100+1)^12-1)*100</f>
        <v>9.620260716561436</v>
      </c>
      <c r="AB278" s="352">
        <f t="shared" si="17"/>
        <v>2.9181351107850233</v>
      </c>
    </row>
    <row r="279" spans="1:28" x14ac:dyDescent="0.2">
      <c r="A279" s="19">
        <v>36007</v>
      </c>
      <c r="B279" s="352">
        <f t="array" ref="B279">(PRODUCT(Index_Returns!D268:D279/100+1)-1)*100</f>
        <v>13.33472926621817</v>
      </c>
      <c r="C279" s="352">
        <f t="array" ref="C279">(PRODUCT(Index_Returns!C268:C279/100+1)-1)*100</f>
        <v>24.909068385278953</v>
      </c>
      <c r="D279" s="352">
        <f t="shared" si="18"/>
        <v>-11.574339119060783</v>
      </c>
      <c r="E279" s="352">
        <f t="array" ref="E279">(GEOMEAN(Index_Returns!D244:D279/100+1)^12-1)*100</f>
        <v>24.56768070050661</v>
      </c>
      <c r="F279" s="352">
        <f t="array" ref="F279">(GEOMEAN(Index_Returns!C244:C279/100+1)^12-1)*100</f>
        <v>31.996805505835013</v>
      </c>
      <c r="G279" s="352">
        <f t="shared" si="19"/>
        <v>-7.4291248053284029</v>
      </c>
      <c r="H279" s="351"/>
      <c r="I279" s="350">
        <f t="array" ref="I279">(PRODUCT(Index_Returns!G268:G279/100+1)-1)*100</f>
        <v>12.837018009884261</v>
      </c>
      <c r="J279" s="350">
        <f t="array" ref="J279">(PRODUCT(Index_Returns!F268:F279/100+1)-1)*100</f>
        <v>8.9246083884534819</v>
      </c>
      <c r="K279" s="350">
        <f t="shared" si="23"/>
        <v>3.9124096214307791</v>
      </c>
      <c r="L279" s="350">
        <f t="array" ref="L279">(GEOMEAN(Index_Returns!G244:G279/100+1)^12-1)*100</f>
        <v>20.93956407425306</v>
      </c>
      <c r="M279" s="350">
        <f t="array" ref="M279">(GEOMEAN(Index_Returns!F244:F279/100+1)^12-1)*100</f>
        <v>19.374361518094531</v>
      </c>
      <c r="N279" s="350">
        <f t="shared" si="14"/>
        <v>1.5652025561585283</v>
      </c>
      <c r="O279" s="352"/>
      <c r="P279" s="352">
        <f t="array" ref="P279">(PRODUCT(Index_Returns!M268:M279/100+1)-1)*100</f>
        <v>8.8420479767158824</v>
      </c>
      <c r="Q279" s="352">
        <f t="array" ref="Q279">(PRODUCT(Index_Returns!L268:L279/100+1)-1)*100</f>
        <v>-1.0936381403675366</v>
      </c>
      <c r="R279" s="352">
        <f t="shared" si="20"/>
        <v>9.935686117083419</v>
      </c>
      <c r="S279" s="352">
        <f t="array" ref="S279">(GEOMEAN(Index_Returns!M244:M279/100+1)^12-1)*100</f>
        <v>21.390233062830855</v>
      </c>
      <c r="T279" s="352">
        <f t="array" ref="T279">(GEOMEAN(Index_Returns!L244:L279/100+1)^12-1)*100</f>
        <v>11.281223378375294</v>
      </c>
      <c r="U279" s="352">
        <f t="shared" si="22"/>
        <v>10.109009684455561</v>
      </c>
      <c r="V279" s="352"/>
      <c r="W279" s="352">
        <f t="array" ref="W279">(PRODUCT(Index_Returns!AC268:AC279/100+1)-1)*100</f>
        <v>7.5434606457645659</v>
      </c>
      <c r="X279" s="352">
        <f t="array" ref="X279">(PRODUCT(Index_Returns!AB268:AB279/100+1)-1)*100</f>
        <v>4.0913781263768989</v>
      </c>
      <c r="Y279" s="352">
        <f t="shared" si="21"/>
        <v>3.452082519387667</v>
      </c>
      <c r="Z279" s="352">
        <f t="array" ref="Z279">(GEOMEAN(Index_Returns!AC244:AC279/100+1)^12-1)*100</f>
        <v>10.939677789753999</v>
      </c>
      <c r="AA279" s="352">
        <f t="array" ref="AA279">(GEOMEAN(Index_Returns!AB244:AB279/100+1)^12-1)*100</f>
        <v>7.5464036362397957</v>
      </c>
      <c r="AB279" s="352">
        <f t="shared" si="17"/>
        <v>3.393274153514203</v>
      </c>
    </row>
    <row r="280" spans="1:28" x14ac:dyDescent="0.2">
      <c r="A280" s="19">
        <v>36038</v>
      </c>
      <c r="B280" s="352">
        <f t="array" ref="B280">(PRODUCT(Index_Returns!D269:D280/100+1)-1)*100</f>
        <v>-0.38698701276677072</v>
      </c>
      <c r="C280" s="352">
        <f t="array" ref="C280">(PRODUCT(Index_Returns!C269:C280/100+1)-1)*100</f>
        <v>16.402765458140944</v>
      </c>
      <c r="D280" s="352">
        <f t="shared" si="18"/>
        <v>-16.789752470907715</v>
      </c>
      <c r="E280" s="352">
        <f t="array" ref="E280">(GEOMEAN(Index_Returns!D245:D280/100+1)^12-1)*100</f>
        <v>17.164531702642538</v>
      </c>
      <c r="F280" s="352">
        <f t="array" ref="F280">(GEOMEAN(Index_Returns!C245:C280/100+1)^12-1)*100</f>
        <v>26.14112582863557</v>
      </c>
      <c r="G280" s="352">
        <f t="shared" si="19"/>
        <v>-8.9765941259930315</v>
      </c>
      <c r="H280" s="351"/>
      <c r="I280" s="350">
        <f t="array" ref="I280">(PRODUCT(Index_Returns!G269:G280/100+1)-1)*100</f>
        <v>-6.2620989467262023</v>
      </c>
      <c r="J280" s="350">
        <f t="array" ref="J280">(PRODUCT(Index_Returns!F269:F280/100+1)-1)*100</f>
        <v>-12.925208073180583</v>
      </c>
      <c r="K280" s="350">
        <f t="shared" si="23"/>
        <v>6.6631091264543807</v>
      </c>
      <c r="L280" s="350">
        <f t="array" ref="L280">(GEOMEAN(Index_Returns!G245:G280/100+1)^12-1)*100</f>
        <v>13.127233798080983</v>
      </c>
      <c r="M280" s="350">
        <f t="array" ref="M280">(GEOMEAN(Index_Returns!F245:F280/100+1)^12-1)*100</f>
        <v>9.8638198350652786</v>
      </c>
      <c r="N280" s="350">
        <f t="shared" si="14"/>
        <v>3.2634139630157044</v>
      </c>
      <c r="O280" s="352"/>
      <c r="P280" s="352">
        <f t="array" ref="P280">(PRODUCT(Index_Returns!M269:M280/100+1)-1)*100</f>
        <v>-11.303360148646091</v>
      </c>
      <c r="Q280" s="352">
        <f t="array" ref="Q280">(PRODUCT(Index_Returns!L269:L280/100+1)-1)*100</f>
        <v>-24.763646684377981</v>
      </c>
      <c r="R280" s="352">
        <f t="shared" si="20"/>
        <v>13.460286535731891</v>
      </c>
      <c r="S280" s="352">
        <f t="array" ref="S280">(GEOMEAN(Index_Returns!M245:M280/100+1)^12-1)*100</f>
        <v>13.065565201370188</v>
      </c>
      <c r="T280" s="352">
        <f t="array" ref="T280">(GEOMEAN(Index_Returns!L245:L280/100+1)^12-1)*100</f>
        <v>2.0827201144508756</v>
      </c>
      <c r="U280" s="352">
        <f t="shared" si="22"/>
        <v>10.982845086919312</v>
      </c>
      <c r="V280" s="352"/>
      <c r="W280" s="352">
        <f t="array" ref="W280">(PRODUCT(Index_Returns!AC269:AC280/100+1)-1)*100</f>
        <v>-0.46901084036915508</v>
      </c>
      <c r="X280" s="352">
        <f t="array" ref="X280">(PRODUCT(Index_Returns!AB269:AB280/100+1)-1)*100</f>
        <v>0.67476916802005071</v>
      </c>
      <c r="Y280" s="352">
        <f t="shared" si="21"/>
        <v>-1.1437800083892058</v>
      </c>
      <c r="Z280" s="352">
        <f t="array" ref="Z280">(GEOMEAN(Index_Returns!AC245:AC280/100+1)^12-1)*100</f>
        <v>6.6775390490938502</v>
      </c>
      <c r="AA280" s="352">
        <f t="array" ref="AA280">(GEOMEAN(Index_Returns!AB245:AB280/100+1)^12-1)*100</f>
        <v>5.0425271094591162</v>
      </c>
      <c r="AB280" s="352">
        <f t="shared" si="17"/>
        <v>1.635011939634734</v>
      </c>
    </row>
    <row r="281" spans="1:28" x14ac:dyDescent="0.2">
      <c r="A281" s="19">
        <v>36068</v>
      </c>
      <c r="B281" s="352">
        <f t="array" ref="B281">(PRODUCT(Index_Returns!D270:D281/100+1)-1)*100</f>
        <v>-0.1837335572100196</v>
      </c>
      <c r="C281" s="352">
        <f t="array" ref="C281">(PRODUCT(Index_Returns!C270:C281/100+1)-1)*100</f>
        <v>18.167678831426535</v>
      </c>
      <c r="D281" s="352">
        <f t="shared" si="18"/>
        <v>-18.351412388636554</v>
      </c>
      <c r="E281" s="352">
        <f t="array" ref="E281">(GEOMEAN(Index_Returns!D246:D281/100+1)^12-1)*100</f>
        <v>18.136979806300712</v>
      </c>
      <c r="F281" s="352">
        <f t="array" ref="F281">(GEOMEAN(Index_Returns!C246:C281/100+1)^12-1)*100</f>
        <v>26.837596551805419</v>
      </c>
      <c r="G281" s="352">
        <f t="shared" si="19"/>
        <v>-8.700616745504707</v>
      </c>
      <c r="H281" s="351"/>
      <c r="I281" s="350">
        <f t="array" ref="I281">(PRODUCT(Index_Returns!G270:G281/100+1)-1)*100</f>
        <v>-4.3305300765375083</v>
      </c>
      <c r="J281" s="350">
        <f t="array" ref="J281">(PRODUCT(Index_Returns!F270:F281/100+1)-1)*100</f>
        <v>-8.7671382405220317</v>
      </c>
      <c r="K281" s="350">
        <f t="shared" si="23"/>
        <v>4.4366081639845234</v>
      </c>
      <c r="L281" s="350">
        <f t="array" ref="L281">(GEOMEAN(Index_Returns!G246:G281/100+1)^12-1)*100</f>
        <v>15.065950621926527</v>
      </c>
      <c r="M281" s="350">
        <f t="array" ref="M281">(GEOMEAN(Index_Returns!F246:F281/100+1)^12-1)*100</f>
        <v>12.79844905830525</v>
      </c>
      <c r="N281" s="350">
        <f t="shared" si="14"/>
        <v>2.267501563621277</v>
      </c>
      <c r="O281" s="352"/>
      <c r="P281" s="352">
        <f t="array" ref="P281">(PRODUCT(Index_Returns!M270:M281/100+1)-1)*100</f>
        <v>-11.757888128062</v>
      </c>
      <c r="Q281" s="352">
        <f t="array" ref="Q281">(PRODUCT(Index_Returns!L270:L281/100+1)-1)*100</f>
        <v>-25.065682897581119</v>
      </c>
      <c r="R281" s="352">
        <f t="shared" si="20"/>
        <v>13.30779476951912</v>
      </c>
      <c r="S281" s="352">
        <f t="array" ref="S281">(GEOMEAN(Index_Returns!M246:M281/100+1)^12-1)*100</f>
        <v>14.499976360548095</v>
      </c>
      <c r="T281" s="352">
        <f t="array" ref="T281">(GEOMEAN(Index_Returns!L246:L281/100+1)^12-1)*100</f>
        <v>3.1458722171817222</v>
      </c>
      <c r="U281" s="352">
        <f t="shared" si="22"/>
        <v>11.354104143366373</v>
      </c>
      <c r="V281" s="352"/>
      <c r="W281" s="352">
        <f t="array" ref="W281">(PRODUCT(Index_Returns!AC270:AC281/100+1)-1)*100</f>
        <v>-7.9340111290799653</v>
      </c>
      <c r="X281" s="352">
        <f t="array" ref="X281">(PRODUCT(Index_Returns!AB270:AB281/100+1)-1)*100</f>
        <v>-8.2225306872513499</v>
      </c>
      <c r="Y281" s="352">
        <f t="shared" si="21"/>
        <v>0.28851955817138464</v>
      </c>
      <c r="Z281" s="352">
        <f t="array" ref="Z281">(GEOMEAN(Index_Returns!AC246:AC281/100+1)^12-1)*100</f>
        <v>4.8892313254220277</v>
      </c>
      <c r="AA281" s="352">
        <f t="array" ref="AA281">(GEOMEAN(Index_Returns!AB246:AB281/100+1)^12-1)*100</f>
        <v>3.2663820474406746</v>
      </c>
      <c r="AB281" s="352">
        <f t="shared" si="17"/>
        <v>1.622849277981353</v>
      </c>
    </row>
    <row r="282" spans="1:28" x14ac:dyDescent="0.2">
      <c r="A282" s="19">
        <v>36099</v>
      </c>
      <c r="B282" s="352">
        <f t="array" ref="B282">(PRODUCT(Index_Returns!D271:D282/100+1)-1)*100</f>
        <v>11.741369938493396</v>
      </c>
      <c r="C282" s="352">
        <f t="array" ref="C282">(PRODUCT(Index_Returns!C271:C282/100+1)-1)*100</f>
        <v>32.049039806172885</v>
      </c>
      <c r="D282" s="352">
        <f t="shared" si="18"/>
        <v>-20.30766986767949</v>
      </c>
      <c r="E282" s="352">
        <f t="array" ref="E282">(GEOMEAN(Index_Returns!D247:D282/100+1)^12-1)*100</f>
        <v>21.779675664790823</v>
      </c>
      <c r="F282" s="352">
        <f t="array" ref="F282">(GEOMEAN(Index_Returns!C247:C282/100+1)^12-1)*100</f>
        <v>29.942925705198185</v>
      </c>
      <c r="G282" s="352">
        <f t="shared" si="19"/>
        <v>-8.1632500404073625</v>
      </c>
      <c r="H282" s="351"/>
      <c r="I282" s="350">
        <f t="array" ref="I282">(PRODUCT(Index_Returns!G271:G282/100+1)-1)*100</f>
        <v>6.3896967702177232</v>
      </c>
      <c r="J282" s="350">
        <f t="array" ref="J282">(PRODUCT(Index_Returns!F271:F282/100+1)-1)*100</f>
        <v>6.741676396315488</v>
      </c>
      <c r="K282" s="350">
        <f t="shared" si="23"/>
        <v>-0.35197962609776479</v>
      </c>
      <c r="L282" s="350">
        <f t="array" ref="L282">(GEOMEAN(Index_Returns!G247:G282/100+1)^12-1)*100</f>
        <v>18.442348837193222</v>
      </c>
      <c r="M282" s="350">
        <f t="array" ref="M282">(GEOMEAN(Index_Returns!F247:F282/100+1)^12-1)*100</f>
        <v>18.12918940927155</v>
      </c>
      <c r="N282" s="350">
        <f t="shared" si="14"/>
        <v>0.31315942792167206</v>
      </c>
      <c r="O282" s="352"/>
      <c r="P282" s="352">
        <f t="array" ref="P282">(PRODUCT(Index_Returns!M271:M282/100+1)-1)*100</f>
        <v>-6.9816424926279597</v>
      </c>
      <c r="Q282" s="352">
        <f t="array" ref="Q282">(PRODUCT(Index_Returns!L271:L282/100+1)-1)*100</f>
        <v>-14.98943399241398</v>
      </c>
      <c r="R282" s="352">
        <f t="shared" si="20"/>
        <v>8.0077914997860198</v>
      </c>
      <c r="S282" s="352">
        <f t="array" ref="S282">(GEOMEAN(Index_Returns!M247:M282/100+1)^12-1)*100</f>
        <v>17.57916069353891</v>
      </c>
      <c r="T282" s="352">
        <f t="array" ref="T282">(GEOMEAN(Index_Returns!L247:L282/100+1)^12-1)*100</f>
        <v>7.0866526324952384</v>
      </c>
      <c r="U282" s="352">
        <f t="shared" si="22"/>
        <v>10.492508061043672</v>
      </c>
      <c r="V282" s="352"/>
      <c r="W282" s="352">
        <f t="array" ref="W282">(PRODUCT(Index_Returns!AC271:AC282/100+1)-1)*100</f>
        <v>8.1652841047819447</v>
      </c>
      <c r="X282" s="352">
        <f t="array" ref="X282">(PRODUCT(Index_Returns!AB271:AB282/100+1)-1)*100</f>
        <v>11.651449154055072</v>
      </c>
      <c r="Y282" s="352">
        <f t="shared" si="21"/>
        <v>-3.4861650492731275</v>
      </c>
      <c r="Z282" s="352">
        <f t="array" ref="Z282">(GEOMEAN(Index_Returns!AC247:AC282/100+1)^12-1)*100</f>
        <v>9.4906151389325686</v>
      </c>
      <c r="AA282" s="352">
        <f t="array" ref="AA282">(GEOMEAN(Index_Returns!AB247:AB282/100+1)^12-1)*100</f>
        <v>7.6235752858414552</v>
      </c>
      <c r="AB282" s="352">
        <f t="shared" si="17"/>
        <v>1.8670398530911134</v>
      </c>
    </row>
    <row r="283" spans="1:28" x14ac:dyDescent="0.2">
      <c r="A283" s="19">
        <v>36129</v>
      </c>
      <c r="B283" s="352">
        <f t="array" ref="B283">(PRODUCT(Index_Returns!D272:D283/100+1)-1)*100</f>
        <v>13.245075616103662</v>
      </c>
      <c r="C283" s="352">
        <f t="array" ref="C283">(PRODUCT(Index_Returns!C272:C283/100+1)-1)*100</f>
        <v>33.73757149389256</v>
      </c>
      <c r="D283" s="352">
        <f t="shared" si="18"/>
        <v>-20.492495877788897</v>
      </c>
      <c r="E283" s="352">
        <f t="array" ref="E283">(GEOMEAN(Index_Returns!D248:D283/100+1)^12-1)*100</f>
        <v>21.767331474909035</v>
      </c>
      <c r="F283" s="352">
        <f t="array" ref="F283">(GEOMEAN(Index_Returns!C248:C283/100+1)^12-1)*100</f>
        <v>31.255987060796752</v>
      </c>
      <c r="G283" s="352">
        <f t="shared" si="19"/>
        <v>-9.4886555858877166</v>
      </c>
      <c r="H283" s="351"/>
      <c r="I283" s="350">
        <f t="array" ref="I283">(PRODUCT(Index_Returns!G272:G283/100+1)-1)*100</f>
        <v>6.2184302944468639</v>
      </c>
      <c r="J283" s="350">
        <f t="array" ref="J283">(PRODUCT(Index_Returns!F272:F283/100+1)-1)*100</f>
        <v>14.579215484846863</v>
      </c>
      <c r="K283" s="350">
        <f t="shared" si="23"/>
        <v>-8.3607851903999979</v>
      </c>
      <c r="L283" s="350">
        <f t="array" ref="L283">(GEOMEAN(Index_Returns!G248:G283/100+1)^12-1)*100</f>
        <v>17.471652903232048</v>
      </c>
      <c r="M283" s="350">
        <f t="array" ref="M283">(GEOMEAN(Index_Returns!F248:F283/100+1)^12-1)*100</f>
        <v>19.621638535252451</v>
      </c>
      <c r="N283" s="350">
        <f t="shared" si="14"/>
        <v>-2.1499856320204032</v>
      </c>
      <c r="O283" s="352"/>
      <c r="P283" s="352">
        <f t="array" ref="P283">(PRODUCT(Index_Returns!M272:M283/100+1)-1)*100</f>
        <v>-3.2971664705558013</v>
      </c>
      <c r="Q283" s="352">
        <f t="array" ref="Q283">(PRODUCT(Index_Returns!L272:L283/100+1)-1)*100</f>
        <v>-7.4428876839945595</v>
      </c>
      <c r="R283" s="352">
        <f t="shared" si="20"/>
        <v>4.1457212134387582</v>
      </c>
      <c r="S283" s="352">
        <f t="array" ref="S283">(GEOMEAN(Index_Returns!M248:M283/100+1)^12-1)*100</f>
        <v>17.82844667766188</v>
      </c>
      <c r="T283" s="352">
        <f t="array" ref="T283">(GEOMEAN(Index_Returns!L248:L283/100+1)^12-1)*100</f>
        <v>7.9933898588251839</v>
      </c>
      <c r="U283" s="352">
        <f t="shared" si="22"/>
        <v>9.835056818836696</v>
      </c>
      <c r="V283" s="352"/>
      <c r="W283" s="352">
        <f t="array" ref="W283">(PRODUCT(Index_Returns!AC272:AC283/100+1)-1)*100</f>
        <v>16.165270121083218</v>
      </c>
      <c r="X283" s="352">
        <f t="array" ref="X283">(PRODUCT(Index_Returns!AB272:AB283/100+1)-1)*100</f>
        <v>17.304126308937718</v>
      </c>
      <c r="Y283" s="352">
        <f t="shared" si="21"/>
        <v>-1.1388561878545005</v>
      </c>
      <c r="Z283" s="352">
        <f t="array" ref="Z283">(GEOMEAN(Index_Returns!AC248:AC283/100+1)^12-1)*100</f>
        <v>10.398331085475455</v>
      </c>
      <c r="AA283" s="352">
        <f t="array" ref="AA283">(GEOMEAN(Index_Returns!AB248:AB283/100+1)^12-1)*100</f>
        <v>8.3454031282804273</v>
      </c>
      <c r="AB283" s="352">
        <f t="shared" si="17"/>
        <v>2.0529279571950276</v>
      </c>
    </row>
    <row r="284" spans="1:28" x14ac:dyDescent="0.2">
      <c r="A284" s="19">
        <v>36160</v>
      </c>
      <c r="B284" s="352">
        <f t="array" ref="B284">(PRODUCT(Index_Returns!D273:D284/100+1)-1)*100</f>
        <v>14.676426014225431</v>
      </c>
      <c r="C284" s="352">
        <f t="array" ref="C284">(PRODUCT(Index_Returns!C273:C284/100+1)-1)*100</f>
        <v>42.155593315794412</v>
      </c>
      <c r="D284" s="352">
        <f t="shared" si="18"/>
        <v>-27.479167301568982</v>
      </c>
      <c r="E284" s="352">
        <f t="array" ref="E284">(GEOMEAN(Index_Returns!D249:D284/100+1)^12-1)*100</f>
        <v>22.058890833988841</v>
      </c>
      <c r="F284" s="352">
        <f t="array" ref="F284">(GEOMEAN(Index_Returns!C249:C284/100+1)^12-1)*100</f>
        <v>33.998309510596329</v>
      </c>
      <c r="G284" s="352">
        <f t="shared" si="19"/>
        <v>-11.939418676607488</v>
      </c>
      <c r="H284" s="351"/>
      <c r="I284" s="350">
        <f t="array" ref="I284">(PRODUCT(Index_Returns!G273:G284/100+1)-1)*100</f>
        <v>4.673252751861634</v>
      </c>
      <c r="J284" s="350">
        <f t="array" ref="J284">(PRODUCT(Index_Returns!F273:F284/100+1)-1)*100</f>
        <v>34.857106591862099</v>
      </c>
      <c r="K284" s="350">
        <f t="shared" si="23"/>
        <v>-30.183853840000467</v>
      </c>
      <c r="L284" s="350">
        <f t="array" ref="L284">(GEOMEAN(Index_Returns!G249:G284/100+1)^12-1)*100</f>
        <v>18.848221671827538</v>
      </c>
      <c r="M284" s="350">
        <f t="array" ref="M284">(GEOMEAN(Index_Returns!F249:F284/100+1)^12-1)*100</f>
        <v>27.675883444822659</v>
      </c>
      <c r="N284" s="350">
        <f t="shared" si="14"/>
        <v>-8.8276617729951212</v>
      </c>
      <c r="O284" s="352"/>
      <c r="P284" s="352">
        <f t="array" ref="P284">(PRODUCT(Index_Returns!M273:M284/100+1)-1)*100</f>
        <v>-2.6250697256520739</v>
      </c>
      <c r="Q284" s="352">
        <f t="array" ref="Q284">(PRODUCT(Index_Returns!L273:L284/100+1)-1)*100</f>
        <v>-8.265144687694681E-2</v>
      </c>
      <c r="R284" s="352">
        <f t="shared" si="20"/>
        <v>-2.542418278775127</v>
      </c>
      <c r="S284" s="352">
        <f t="array" ref="S284">(GEOMEAN(Index_Returns!M249:M284/100+1)^12-1)*100</f>
        <v>18.299037031255349</v>
      </c>
      <c r="T284" s="352">
        <f t="array" ref="T284">(GEOMEAN(Index_Returns!L249:L284/100+1)^12-1)*100</f>
        <v>10.845175028409049</v>
      </c>
      <c r="U284" s="352">
        <f t="shared" si="22"/>
        <v>7.4538620028463001</v>
      </c>
      <c r="V284" s="352"/>
      <c r="W284" s="352">
        <f t="array" ref="W284">(PRODUCT(Index_Returns!AC273:AC284/100+1)-1)*100</f>
        <v>18.094380323786542</v>
      </c>
      <c r="X284" s="352">
        <f t="array" ref="X284">(PRODUCT(Index_Returns!AB273:AB284/100+1)-1)*100</f>
        <v>22.465213747886725</v>
      </c>
      <c r="Y284" s="352">
        <f t="shared" si="21"/>
        <v>-4.3708334241001836</v>
      </c>
      <c r="Z284" s="352">
        <f t="array" ref="Z284">(GEOMEAN(Index_Returns!AC249:AC284/100+1)^12-1)*100</f>
        <v>9.5090136103119995</v>
      </c>
      <c r="AA284" s="352">
        <f t="array" ref="AA284">(GEOMEAN(Index_Returns!AB249:AB284/100+1)^12-1)*100</f>
        <v>9.127379439004347</v>
      </c>
      <c r="AB284" s="352">
        <f t="shared" si="17"/>
        <v>0.38163417130765254</v>
      </c>
    </row>
    <row r="285" spans="1:28" x14ac:dyDescent="0.2">
      <c r="A285" s="19">
        <v>36191</v>
      </c>
      <c r="B285" s="352">
        <f t="array" ref="B285">(PRODUCT(Index_Returns!D274:D285/100+1)-1)*100</f>
        <v>18.453420494408835</v>
      </c>
      <c r="C285" s="352">
        <f t="array" ref="C285">(PRODUCT(Index_Returns!C274:C285/100+1)-1)*100</f>
        <v>45.933251676480324</v>
      </c>
      <c r="D285" s="352">
        <f t="shared" si="18"/>
        <v>-27.479831182071489</v>
      </c>
      <c r="E285" s="352">
        <f t="array" ref="E285">(GEOMEAN(Index_Returns!D250:D285/100+1)^12-1)*100</f>
        <v>21.672906854691899</v>
      </c>
      <c r="F285" s="352">
        <f t="array" ref="F285">(GEOMEAN(Index_Returns!C250:C285/100+1)^12-1)*100</f>
        <v>34.976965887433643</v>
      </c>
      <c r="G285" s="352">
        <f t="shared" si="19"/>
        <v>-13.304059032741744</v>
      </c>
      <c r="H285" s="351"/>
      <c r="I285" s="350">
        <f t="array" ref="I285">(PRODUCT(Index_Returns!G274:G285/100+1)-1)*100</f>
        <v>1.5300662496257056</v>
      </c>
      <c r="J285" s="350">
        <f t="array" ref="J285">(PRODUCT(Index_Returns!F274:F285/100+1)-1)*100</f>
        <v>33.562360066867257</v>
      </c>
      <c r="K285" s="350">
        <f t="shared" si="23"/>
        <v>-32.032293817241552</v>
      </c>
      <c r="L285" s="350">
        <f t="array" ref="L285">(GEOMEAN(Index_Returns!G250:G285/100+1)^12-1)*100</f>
        <v>16.105226362247205</v>
      </c>
      <c r="M285" s="350">
        <f t="array" ref="M285">(GEOMEAN(Index_Returns!F250:F285/100+1)^12-1)*100</f>
        <v>26.124252201358988</v>
      </c>
      <c r="N285" s="350">
        <f t="shared" si="14"/>
        <v>-10.019025839111784</v>
      </c>
      <c r="O285" s="352"/>
      <c r="P285" s="352">
        <f t="array" ref="P285">(PRODUCT(Index_Returns!M274:M285/100+1)-1)*100</f>
        <v>-3.2946308443500549</v>
      </c>
      <c r="Q285" s="352">
        <f t="array" ref="Q285">(PRODUCT(Index_Returns!L274:L285/100+1)-1)*100</f>
        <v>1.8884269308107715</v>
      </c>
      <c r="R285" s="352">
        <f t="shared" si="20"/>
        <v>-5.183057775160826</v>
      </c>
      <c r="S285" s="352">
        <f t="array" ref="S285">(GEOMEAN(Index_Returns!M250:M285/100+1)^12-1)*100</f>
        <v>17.279272759042598</v>
      </c>
      <c r="T285" s="352">
        <f t="array" ref="T285">(GEOMEAN(Index_Returns!L250:L285/100+1)^12-1)*100</f>
        <v>10.649886881350845</v>
      </c>
      <c r="U285" s="352">
        <f t="shared" si="22"/>
        <v>6.6293858776917531</v>
      </c>
      <c r="V285" s="352"/>
      <c r="W285" s="352">
        <f t="array" ref="W285">(PRODUCT(Index_Returns!AC274:AC285/100+1)-1)*100</f>
        <v>11.571294579448521</v>
      </c>
      <c r="X285" s="352">
        <f t="array" ref="X285">(PRODUCT(Index_Returns!AB274:AB285/100+1)-1)*100</f>
        <v>17.778469872491431</v>
      </c>
      <c r="Y285" s="352">
        <f t="shared" si="21"/>
        <v>-6.2071752930429103</v>
      </c>
      <c r="Z285" s="352">
        <f t="array" ref="Z285">(GEOMEAN(Index_Returns!AC250:AC285/100+1)^12-1)*100</f>
        <v>8.817764043116405</v>
      </c>
      <c r="AA285" s="352">
        <f t="array" ref="AA285">(GEOMEAN(Index_Returns!AB250:AB285/100+1)^12-1)*100</f>
        <v>9.2911915081225196</v>
      </c>
      <c r="AB285" s="352">
        <f t="shared" si="17"/>
        <v>-0.47342746500611455</v>
      </c>
    </row>
    <row r="286" spans="1:28" x14ac:dyDescent="0.2">
      <c r="A286" s="19">
        <v>36219</v>
      </c>
      <c r="B286" s="352">
        <f t="array" ref="B286">(PRODUCT(Index_Returns!D275:D286/100+1)-1)*100</f>
        <v>7.8158513420007347</v>
      </c>
      <c r="C286" s="352">
        <f t="array" ref="C286">(PRODUCT(Index_Returns!C275:C286/100+1)-1)*100</f>
        <v>31.099441670692251</v>
      </c>
      <c r="D286" s="352">
        <f t="shared" si="18"/>
        <v>-23.283590328691517</v>
      </c>
      <c r="E286" s="352">
        <f t="array" ref="E286">(GEOMEAN(Index_Returns!D251:D286/100+1)^12-1)*100</f>
        <v>20.418022301310401</v>
      </c>
      <c r="F286" s="352">
        <f t="array" ref="F286">(GEOMEAN(Index_Returns!C251:C286/100+1)^12-1)*100</f>
        <v>32.784546817208771</v>
      </c>
      <c r="G286" s="352">
        <f t="shared" si="19"/>
        <v>-12.366524515898369</v>
      </c>
      <c r="H286" s="351"/>
      <c r="I286" s="350">
        <f t="array" ref="I286">(PRODUCT(Index_Returns!G275:G286/100+1)-1)*100</f>
        <v>-9.9776199371219185</v>
      </c>
      <c r="J286" s="350">
        <f t="array" ref="J286">(PRODUCT(Index_Returns!F275:F286/100+1)-1)*100</f>
        <v>15.315921441618219</v>
      </c>
      <c r="K286" s="350">
        <f t="shared" si="23"/>
        <v>-25.293541378740137</v>
      </c>
      <c r="L286" s="350">
        <f t="array" ref="L286">(GEOMEAN(Index_Returns!G251:G286/100+1)^12-1)*100</f>
        <v>13.613670854866289</v>
      </c>
      <c r="M286" s="350">
        <f t="array" ref="M286">(GEOMEAN(Index_Returns!F251:F286/100+1)^12-1)*100</f>
        <v>21.803941712987474</v>
      </c>
      <c r="N286" s="350">
        <f t="shared" si="14"/>
        <v>-8.1902708581211847</v>
      </c>
      <c r="O286" s="352"/>
      <c r="P286" s="352">
        <f t="array" ref="P286">(PRODUCT(Index_Returns!M275:M286/100+1)-1)*100</f>
        <v>-17.835035538051137</v>
      </c>
      <c r="Q286" s="352">
        <f t="array" ref="Q286">(PRODUCT(Index_Returns!L275:L286/100+1)-1)*100</f>
        <v>-16.552072612313207</v>
      </c>
      <c r="R286" s="352">
        <f t="shared" si="20"/>
        <v>-1.2829629257379302</v>
      </c>
      <c r="S286" s="352">
        <f t="array" ref="S286">(GEOMEAN(Index_Returns!M251:M286/100+1)^12-1)*100</f>
        <v>12.930761775447808</v>
      </c>
      <c r="T286" s="352">
        <f t="array" ref="T286">(GEOMEAN(Index_Returns!L251:L286/100+1)^12-1)*100</f>
        <v>5.623458800040515</v>
      </c>
      <c r="U286" s="352">
        <f t="shared" si="22"/>
        <v>7.3073029754072927</v>
      </c>
      <c r="V286" s="352"/>
      <c r="W286" s="352">
        <f t="array" ref="W286">(PRODUCT(Index_Returns!AC275:AC286/100+1)-1)*100</f>
        <v>3.5347731927314108</v>
      </c>
      <c r="X286" s="352">
        <f t="array" ref="X286">(PRODUCT(Index_Returns!AB275:AB286/100+1)-1)*100</f>
        <v>6.8622420339442325</v>
      </c>
      <c r="Y286" s="352">
        <f t="shared" si="21"/>
        <v>-3.3274688412128217</v>
      </c>
      <c r="Z286" s="352">
        <f t="array" ref="Z286">(GEOMEAN(Index_Returns!AC251:AC286/100+1)^12-1)*100</f>
        <v>8.1630281136764395</v>
      </c>
      <c r="AA286" s="352">
        <f t="array" ref="AA286">(GEOMEAN(Index_Returns!AB251:AB286/100+1)^12-1)*100</f>
        <v>7.9709468049286247</v>
      </c>
      <c r="AB286" s="352">
        <f t="shared" si="17"/>
        <v>0.19208130874781482</v>
      </c>
    </row>
    <row r="287" spans="1:28" x14ac:dyDescent="0.2">
      <c r="A287" s="19">
        <v>36250</v>
      </c>
      <c r="B287" s="352">
        <f t="array" ref="B287">(PRODUCT(Index_Returns!D276:D287/100+1)-1)*100</f>
        <v>5.7285963890703062</v>
      </c>
      <c r="C287" s="352">
        <f t="array" ref="C287">(PRODUCT(Index_Returns!C276:C287/100+1)-1)*100</f>
        <v>30.689090980944968</v>
      </c>
      <c r="D287" s="352">
        <f t="shared" si="18"/>
        <v>-24.960494591874664</v>
      </c>
      <c r="E287" s="352">
        <f t="array" ref="E287">(GEOMEAN(Index_Returns!D252:D287/100+1)^12-1)*100</f>
        <v>20.688042461645818</v>
      </c>
      <c r="F287" s="352">
        <f t="array" ref="F287">(GEOMEAN(Index_Returns!C252:C287/100+1)^12-1)*100</f>
        <v>35.083380230743046</v>
      </c>
      <c r="G287" s="352">
        <f t="shared" si="19"/>
        <v>-14.395337769097228</v>
      </c>
      <c r="H287" s="351"/>
      <c r="I287" s="350">
        <f t="array" ref="I287">(PRODUCT(Index_Returns!G276:G287/100+1)-1)*100</f>
        <v>-12.379650102066918</v>
      </c>
      <c r="J287" s="350">
        <f t="array" ref="J287">(PRODUCT(Index_Returns!F276:F287/100+1)-1)*100</f>
        <v>14.628987617414957</v>
      </c>
      <c r="K287" s="350">
        <f t="shared" si="23"/>
        <v>-27.008637719481875</v>
      </c>
      <c r="L287" s="350">
        <f t="array" ref="L287">(GEOMEAN(Index_Returns!G252:G287/100+1)^12-1)*100</f>
        <v>13.857069202144935</v>
      </c>
      <c r="M287" s="350">
        <f t="array" ref="M287">(GEOMEAN(Index_Returns!F252:F287/100+1)^12-1)*100</f>
        <v>22.752871017923603</v>
      </c>
      <c r="N287" s="350">
        <f t="shared" si="14"/>
        <v>-8.8958018157786682</v>
      </c>
      <c r="O287" s="352"/>
      <c r="P287" s="352">
        <f t="array" ref="P287">(PRODUCT(Index_Returns!M276:M287/100+1)-1)*100</f>
        <v>-20.618271629550556</v>
      </c>
      <c r="Q287" s="352">
        <f t="array" ref="Q287">(PRODUCT(Index_Returns!L276:L287/100+1)-1)*100</f>
        <v>-17.805325028505138</v>
      </c>
      <c r="R287" s="352">
        <f t="shared" si="20"/>
        <v>-2.812946601045418</v>
      </c>
      <c r="S287" s="352">
        <f t="array" ref="S287">(GEOMEAN(Index_Returns!M252:M287/100+1)^12-1)*100</f>
        <v>12.268595802037874</v>
      </c>
      <c r="T287" s="352">
        <f t="array" ref="T287">(GEOMEAN(Index_Returns!L252:L287/100+1)^12-1)*100</f>
        <v>5.6554903346174523</v>
      </c>
      <c r="U287" s="352">
        <f t="shared" si="22"/>
        <v>6.6131054674204215</v>
      </c>
      <c r="V287" s="352"/>
      <c r="W287" s="352">
        <f t="array" ref="W287">(PRODUCT(Index_Returns!AC276:AC287/100+1)-1)*100</f>
        <v>5.5747267916432808</v>
      </c>
      <c r="X287" s="352">
        <f t="array" ref="X287">(PRODUCT(Index_Returns!AB276:AB287/100+1)-1)*100</f>
        <v>6.8636125032927708</v>
      </c>
      <c r="Y287" s="352">
        <f t="shared" si="21"/>
        <v>-1.2888857116494901</v>
      </c>
      <c r="Z287" s="352">
        <f t="array" ref="Z287">(GEOMEAN(Index_Returns!AC252:AC287/100+1)^12-1)*100</f>
        <v>9.9420285182995727</v>
      </c>
      <c r="AA287" s="352">
        <f t="array" ref="AA287">(GEOMEAN(Index_Returns!AB252:AB287/100+1)^12-1)*100</f>
        <v>7.6001093903176775</v>
      </c>
      <c r="AB287" s="352">
        <f t="shared" si="17"/>
        <v>2.3419191279818952</v>
      </c>
    </row>
    <row r="288" spans="1:28" x14ac:dyDescent="0.2">
      <c r="A288" s="19">
        <v>36280</v>
      </c>
      <c r="B288" s="352">
        <f t="array" ref="B288">(PRODUCT(Index_Returns!D277:D288/100+1)-1)*100</f>
        <v>13.49962314572668</v>
      </c>
      <c r="C288" s="352">
        <f t="array" ref="C288">(PRODUCT(Index_Returns!C277:C288/100+1)-1)*100</f>
        <v>29.351459561854078</v>
      </c>
      <c r="D288" s="352">
        <f t="shared" si="18"/>
        <v>-15.851836416127398</v>
      </c>
      <c r="E288" s="352">
        <f t="array" ref="E288">(GEOMEAN(Index_Returns!D253:D288/100+1)^12-1)*100</f>
        <v>23.642920131832778</v>
      </c>
      <c r="F288" s="352">
        <f t="array" ref="F288">(GEOMEAN(Index_Returns!C253:C288/100+1)^12-1)*100</f>
        <v>34.132188829362619</v>
      </c>
      <c r="G288" s="352">
        <f t="shared" si="19"/>
        <v>-10.489268697529841</v>
      </c>
      <c r="H288" s="351"/>
      <c r="I288" s="350">
        <f t="array" ref="I288">(PRODUCT(Index_Returns!G277:G288/100+1)-1)*100</f>
        <v>-4.5146781119042796</v>
      </c>
      <c r="J288" s="350">
        <f t="array" ref="J288">(PRODUCT(Index_Returns!F277:F288/100+1)-1)*100</f>
        <v>18.212009815412799</v>
      </c>
      <c r="K288" s="350">
        <f t="shared" si="23"/>
        <v>-22.72668792731708</v>
      </c>
      <c r="L288" s="350">
        <f t="array" ref="L288">(GEOMEAN(Index_Returns!G253:G288/100+1)^12-1)*100</f>
        <v>17.090614534205105</v>
      </c>
      <c r="M288" s="350">
        <f t="array" ref="M288">(GEOMEAN(Index_Returns!F253:F288/100+1)^12-1)*100</f>
        <v>23.135143830758853</v>
      </c>
      <c r="N288" s="350">
        <f t="shared" si="14"/>
        <v>-6.0445292965537476</v>
      </c>
      <c r="O288" s="352"/>
      <c r="P288" s="352">
        <f t="array" ref="P288">(PRODUCT(Index_Returns!M277:M288/100+1)-1)*100</f>
        <v>-14.979403663855207</v>
      </c>
      <c r="Q288" s="352">
        <f t="array" ref="Q288">(PRODUCT(Index_Returns!L277:L288/100+1)-1)*100</f>
        <v>-13.785056827752296</v>
      </c>
      <c r="R288" s="352">
        <f t="shared" si="20"/>
        <v>-1.1943468361029108</v>
      </c>
      <c r="S288" s="352">
        <f t="array" ref="S288">(GEOMEAN(Index_Returns!M253:M288/100+1)^12-1)*100</f>
        <v>13.177574418082671</v>
      </c>
      <c r="T288" s="352">
        <f t="array" ref="T288">(GEOMEAN(Index_Returns!L253:L288/100+1)^12-1)*100</f>
        <v>5.3571197178254204</v>
      </c>
      <c r="U288" s="352">
        <f t="shared" si="22"/>
        <v>7.8204547002572502</v>
      </c>
      <c r="V288" s="352"/>
      <c r="W288" s="352">
        <f t="array" ref="W288">(PRODUCT(Index_Returns!AC277:AC288/100+1)-1)*100</f>
        <v>12.25204885888871</v>
      </c>
      <c r="X288" s="352">
        <f t="array" ref="X288">(PRODUCT(Index_Returns!AB277:AB288/100+1)-1)*100</f>
        <v>6.8864624765655025</v>
      </c>
      <c r="Y288" s="352">
        <f t="shared" si="21"/>
        <v>5.3655863823232073</v>
      </c>
      <c r="Z288" s="352">
        <f t="array" ref="Z288">(GEOMEAN(Index_Returns!AC253:AC288/100+1)^12-1)*100</f>
        <v>11.193985925895579</v>
      </c>
      <c r="AA288" s="352">
        <f t="array" ref="AA288">(GEOMEAN(Index_Returns!AB253:AB288/100+1)^12-1)*100</f>
        <v>7.1078570455837875</v>
      </c>
      <c r="AB288" s="352">
        <f t="shared" si="17"/>
        <v>4.086128880311791</v>
      </c>
    </row>
    <row r="289" spans="1:28" x14ac:dyDescent="0.2">
      <c r="A289" s="19">
        <v>36311</v>
      </c>
      <c r="B289" s="352">
        <f t="array" ref="B289">(PRODUCT(Index_Returns!D278:D289/100+1)-1)*100</f>
        <v>13.08519347696253</v>
      </c>
      <c r="C289" s="352">
        <f t="array" ref="C289">(PRODUCT(Index_Returns!C278:C289/100+1)-1)*100</f>
        <v>28.151846867481467</v>
      </c>
      <c r="D289" s="352">
        <f t="shared" si="18"/>
        <v>-15.066653390518937</v>
      </c>
      <c r="E289" s="352">
        <f t="array" ref="E289">(GEOMEAN(Index_Returns!D254:D289/100+1)^12-1)*100</f>
        <v>22.299042928754996</v>
      </c>
      <c r="F289" s="352">
        <f t="array" ref="F289">(GEOMEAN(Index_Returns!C254:C289/100+1)^12-1)*100</f>
        <v>31.227209378809629</v>
      </c>
      <c r="G289" s="352">
        <f t="shared" si="19"/>
        <v>-8.9281664500546327</v>
      </c>
      <c r="H289" s="351"/>
      <c r="I289" s="350">
        <f t="array" ref="I289">(PRODUCT(Index_Returns!G278:G289/100+1)-1)*100</f>
        <v>1.1294410847075165</v>
      </c>
      <c r="J289" s="350">
        <f t="array" ref="J289">(PRODUCT(Index_Returns!F278:F289/100+1)-1)*100</f>
        <v>23.43741402519295</v>
      </c>
      <c r="K289" s="350">
        <f t="shared" si="23"/>
        <v>-22.307972940485435</v>
      </c>
      <c r="L289" s="350">
        <f t="array" ref="L289">(GEOMEAN(Index_Returns!G254:G289/100+1)^12-1)*100</f>
        <v>17.124968389926607</v>
      </c>
      <c r="M289" s="350">
        <f t="array" ref="M289">(GEOMEAN(Index_Returns!F254:F289/100+1)^12-1)*100</f>
        <v>22.348818681013682</v>
      </c>
      <c r="N289" s="350">
        <f t="shared" si="14"/>
        <v>-5.223850291087075</v>
      </c>
      <c r="O289" s="352"/>
      <c r="P289" s="352">
        <f t="array" ref="P289">(PRODUCT(Index_Returns!M278:M289/100+1)-1)*100</f>
        <v>-9.2546216420403944</v>
      </c>
      <c r="Q289" s="352">
        <f t="array" ref="Q289">(PRODUCT(Index_Returns!L278:L289/100+1)-1)*100</f>
        <v>-5.4511624468296827</v>
      </c>
      <c r="R289" s="352">
        <f t="shared" si="20"/>
        <v>-3.8034591952107117</v>
      </c>
      <c r="S289" s="352">
        <f t="array" ref="S289">(GEOMEAN(Index_Returns!M254:M289/100+1)^12-1)*100</f>
        <v>12.761223997632975</v>
      </c>
      <c r="T289" s="352">
        <f t="array" ref="T289">(GEOMEAN(Index_Returns!L254:L289/100+1)^12-1)*100</f>
        <v>4.9908584605265149</v>
      </c>
      <c r="U289" s="352">
        <f t="shared" si="22"/>
        <v>7.7703655371064597</v>
      </c>
      <c r="V289" s="352"/>
      <c r="W289" s="352">
        <f t="array" ref="W289">(PRODUCT(Index_Returns!AC278:AC289/100+1)-1)*100</f>
        <v>5.9380307444275138</v>
      </c>
      <c r="X289" s="352">
        <f t="array" ref="X289">(PRODUCT(Index_Returns!AB278:AB289/100+1)-1)*100</f>
        <v>2.9638536609650767</v>
      </c>
      <c r="Y289" s="352">
        <f t="shared" si="21"/>
        <v>2.974177083462437</v>
      </c>
      <c r="Z289" s="352">
        <f t="array" ref="Z289">(GEOMEAN(Index_Returns!AC254:AC289/100+1)^12-1)*100</f>
        <v>9.5634657698496994</v>
      </c>
      <c r="AA289" s="352">
        <f t="array" ref="AA289">(GEOMEAN(Index_Returns!AB254:AB289/100+1)^12-1)*100</f>
        <v>6.2773353587733727</v>
      </c>
      <c r="AB289" s="352">
        <f t="shared" si="17"/>
        <v>3.2861304110763268</v>
      </c>
    </row>
    <row r="290" spans="1:28" x14ac:dyDescent="0.2">
      <c r="A290" s="19">
        <v>36341</v>
      </c>
      <c r="B290" s="352">
        <f t="array" ref="B290">(PRODUCT(Index_Returns!D279:D290/100+1)-1)*100</f>
        <v>16.544225089979726</v>
      </c>
      <c r="C290" s="352">
        <f t="array" ref="C290">(PRODUCT(Index_Returns!C279:C290/100+1)-1)*100</f>
        <v>28.189888462864698</v>
      </c>
      <c r="D290" s="352">
        <f t="shared" si="18"/>
        <v>-11.645663372884972</v>
      </c>
      <c r="E290" s="352">
        <f t="array" ref="E290">(GEOMEAN(Index_Returns!D255:D290/100+1)^12-1)*100</f>
        <v>24.04528288304817</v>
      </c>
      <c r="F290" s="352">
        <f t="array" ref="F290">(GEOMEAN(Index_Returns!C255:C290/100+1)^12-1)*100</f>
        <v>33.73328595520919</v>
      </c>
      <c r="G290" s="352">
        <f t="shared" si="19"/>
        <v>-9.6880030721610204</v>
      </c>
      <c r="H290" s="351"/>
      <c r="I290" s="350">
        <f t="array" ref="I290">(PRODUCT(Index_Returns!G279:G290/100+1)-1)*100</f>
        <v>5.0572431640138138</v>
      </c>
      <c r="J290" s="350">
        <f t="array" ref="J290">(PRODUCT(Index_Returns!F279:F290/100+1)-1)*100</f>
        <v>30.311503628637283</v>
      </c>
      <c r="K290" s="350">
        <f t="shared" si="23"/>
        <v>-25.254260464623471</v>
      </c>
      <c r="L290" s="350">
        <f t="array" ref="L290">(GEOMEAN(Index_Returns!G255:G290/100+1)^12-1)*100</f>
        <v>18.145949011434826</v>
      </c>
      <c r="M290" s="350">
        <f t="array" ref="M290">(GEOMEAN(Index_Returns!F255:F290/100+1)^12-1)*100</f>
        <v>26.844441245286777</v>
      </c>
      <c r="N290" s="350">
        <f t="shared" si="14"/>
        <v>-8.698492233851951</v>
      </c>
      <c r="O290" s="352"/>
      <c r="P290" s="352">
        <f t="array" ref="P290">(PRODUCT(Index_Returns!M279:M290/100+1)-1)*100</f>
        <v>-4.6579158331270349</v>
      </c>
      <c r="Q290" s="352">
        <f t="array" ref="Q290">(PRODUCT(Index_Returns!L279:L290/100+1)-1)*100</f>
        <v>-5.6663838572823533E-2</v>
      </c>
      <c r="R290" s="352">
        <f t="shared" si="20"/>
        <v>-4.601251994554211</v>
      </c>
      <c r="S290" s="352">
        <f t="array" ref="S290">(GEOMEAN(Index_Returns!M255:M290/100+1)^12-1)*100</f>
        <v>15.753779063105465</v>
      </c>
      <c r="T290" s="352">
        <f t="array" ref="T290">(GEOMEAN(Index_Returns!L255:L290/100+1)^12-1)*100</f>
        <v>9.0465935492538119</v>
      </c>
      <c r="U290" s="352">
        <f t="shared" si="22"/>
        <v>6.7071855138516536</v>
      </c>
      <c r="V290" s="352"/>
      <c r="W290" s="352">
        <f t="array" ref="W290">(PRODUCT(Index_Returns!AC279:AC290/100+1)-1)*100</f>
        <v>9.9677633020491143</v>
      </c>
      <c r="X290" s="352">
        <f t="array" ref="X290">(PRODUCT(Index_Returns!AB279:AB290/100+1)-1)*100</f>
        <v>5.4914635881919915</v>
      </c>
      <c r="Y290" s="352">
        <f t="shared" si="21"/>
        <v>4.4762997138571228</v>
      </c>
      <c r="Z290" s="352">
        <f t="array" ref="Z290">(GEOMEAN(Index_Returns!AC255:AC290/100+1)^12-1)*100</f>
        <v>10.597504146012081</v>
      </c>
      <c r="AA290" s="352">
        <f t="array" ref="AA290">(GEOMEAN(Index_Returns!AB255:AB290/100+1)^12-1)*100</f>
        <v>7.505248221980132</v>
      </c>
      <c r="AB290" s="352">
        <f t="shared" si="17"/>
        <v>3.0922559240319494</v>
      </c>
    </row>
    <row r="291" spans="1:28" x14ac:dyDescent="0.2">
      <c r="A291" s="19">
        <v>36372</v>
      </c>
      <c r="B291" s="352">
        <f t="array" ref="B291">(PRODUCT(Index_Returns!D280:D291/100+1)-1)*100</f>
        <v>15.466104639132027</v>
      </c>
      <c r="C291" s="352">
        <f t="array" ref="C291">(PRODUCT(Index_Returns!C280:C291/100+1)-1)*100</f>
        <v>24.204628840450205</v>
      </c>
      <c r="D291" s="352">
        <f t="shared" si="18"/>
        <v>-8.7385242013181781</v>
      </c>
      <c r="E291" s="352">
        <f t="array" ref="E291">(GEOMEAN(Index_Returns!D256:D291/100+1)^12-1)*100</f>
        <v>24.537191663688908</v>
      </c>
      <c r="F291" s="352">
        <f t="array" ref="F291">(GEOMEAN(Index_Returns!C256:C291/100+1)^12-1)*100</f>
        <v>34.405740897674363</v>
      </c>
      <c r="G291" s="352">
        <f t="shared" si="19"/>
        <v>-9.8685492339854548</v>
      </c>
      <c r="H291" s="351"/>
      <c r="I291" s="350">
        <f t="array" ref="I291">(PRODUCT(Index_Returns!G280:G291/100+1)-1)*100</f>
        <v>8.3775572893123993</v>
      </c>
      <c r="J291" s="350">
        <f t="array" ref="J291">(PRODUCT(Index_Returns!F280:F291/100+1)-1)*100</f>
        <v>31.07019057914313</v>
      </c>
      <c r="K291" s="350">
        <f t="shared" si="23"/>
        <v>-22.692633289830731</v>
      </c>
      <c r="L291" s="350">
        <f t="array" ref="L291">(GEOMEAN(Index_Returns!G256:G291/100+1)^12-1)*100</f>
        <v>20.008318522588798</v>
      </c>
      <c r="M291" s="350">
        <f t="array" ref="M291">(GEOMEAN(Index_Returns!F256:F291/100+1)^12-1)*100</f>
        <v>28.885645341415845</v>
      </c>
      <c r="N291" s="350">
        <f t="shared" si="14"/>
        <v>-8.8773268188270471</v>
      </c>
      <c r="O291" s="352"/>
      <c r="P291" s="352">
        <f t="array" ref="P291">(PRODUCT(Index_Returns!M280:M291/100+1)-1)*100</f>
        <v>2.8799932844817411</v>
      </c>
      <c r="Q291" s="352">
        <f t="array" ref="Q291">(PRODUCT(Index_Returns!L280:L291/100+1)-1)*100</f>
        <v>6.7309723829190871</v>
      </c>
      <c r="R291" s="352">
        <f t="shared" si="20"/>
        <v>-3.850979098437346</v>
      </c>
      <c r="S291" s="352">
        <f t="array" ref="S291">(GEOMEAN(Index_Returns!M256:M291/100+1)^12-1)*100</f>
        <v>17.538216256035867</v>
      </c>
      <c r="T291" s="352">
        <f t="array" ref="T291">(GEOMEAN(Index_Returns!L256:L291/100+1)^12-1)*100</f>
        <v>11.953843644728401</v>
      </c>
      <c r="U291" s="352">
        <f t="shared" si="22"/>
        <v>5.5843726113074652</v>
      </c>
      <c r="V291" s="352"/>
      <c r="W291" s="352">
        <f t="array" ref="W291">(PRODUCT(Index_Returns!AC280:AC291/100+1)-1)*100</f>
        <v>12.44525114759567</v>
      </c>
      <c r="X291" s="352">
        <f t="array" ref="X291">(PRODUCT(Index_Returns!AB280:AB291/100+1)-1)*100</f>
        <v>7.0342776999915868</v>
      </c>
      <c r="Y291" s="352">
        <f t="shared" si="21"/>
        <v>5.4109734476040829</v>
      </c>
      <c r="Z291" s="352">
        <f t="array" ref="Z291">(GEOMEAN(Index_Returns!AC256:AC291/100+1)^12-1)*100</f>
        <v>13.008146594332469</v>
      </c>
      <c r="AA291" s="352">
        <f t="array" ref="AA291">(GEOMEAN(Index_Returns!AB256:AB291/100+1)^12-1)*100</f>
        <v>9.3826286543772888</v>
      </c>
      <c r="AB291" s="352">
        <f t="shared" si="17"/>
        <v>3.6255179399551807</v>
      </c>
    </row>
    <row r="292" spans="1:28" x14ac:dyDescent="0.2">
      <c r="A292" s="19">
        <v>36403</v>
      </c>
      <c r="B292" s="352">
        <f t="array" ref="B292">(PRODUCT(Index_Returns!D281:D292/100+1)-1)*100</f>
        <v>34.10964274518826</v>
      </c>
      <c r="C292" s="352">
        <f t="array" ref="C292">(PRODUCT(Index_Returns!C281:C292/100+1)-1)*100</f>
        <v>44.760929895389445</v>
      </c>
      <c r="D292" s="352">
        <f t="shared" si="18"/>
        <v>-10.651287150201185</v>
      </c>
      <c r="E292" s="352">
        <f t="array" ref="E292">(GEOMEAN(Index_Returns!D257:D292/100+1)^12-1)*100</f>
        <v>22.362410793491595</v>
      </c>
      <c r="F292" s="352">
        <f t="array" ref="F292">(GEOMEAN(Index_Returns!C257:C292/100+1)^12-1)*100</f>
        <v>34.364449473582262</v>
      </c>
      <c r="G292" s="352">
        <f t="shared" si="19"/>
        <v>-12.002038680090667</v>
      </c>
      <c r="H292" s="351"/>
      <c r="I292" s="350">
        <f t="array" ref="I292">(PRODUCT(Index_Returns!G281:G292/100+1)-1)*100</f>
        <v>24.692123924382937</v>
      </c>
      <c r="J292" s="350">
        <f t="array" ref="J292">(PRODUCT(Index_Returns!F281:F292/100+1)-1)*100</f>
        <v>60.474053903538881</v>
      </c>
      <c r="K292" s="350">
        <f t="shared" si="23"/>
        <v>-35.781929979155947</v>
      </c>
      <c r="L292" s="350">
        <f t="array" ref="L292">(GEOMEAN(Index_Returns!G257:G292/100+1)^12-1)*100</f>
        <v>16.469137224079013</v>
      </c>
      <c r="M292" s="350">
        <f t="array" ref="M292">(GEOMEAN(Index_Returns!F257:F292/100+1)^12-1)*100</f>
        <v>25.174480544247757</v>
      </c>
      <c r="N292" s="350">
        <f t="shared" si="14"/>
        <v>-8.705343320168744</v>
      </c>
      <c r="O292" s="352"/>
      <c r="P292" s="352">
        <f t="array" ref="P292">(PRODUCT(Index_Returns!M281:M292/100+1)-1)*100</f>
        <v>19.843261446368142</v>
      </c>
      <c r="Q292" s="352">
        <f t="array" ref="Q292">(PRODUCT(Index_Returns!L281:L292/100+1)-1)*100</f>
        <v>28.584902311549286</v>
      </c>
      <c r="R292" s="352">
        <f t="shared" si="20"/>
        <v>-8.741640865181143</v>
      </c>
      <c r="S292" s="352">
        <f t="array" ref="S292">(GEOMEAN(Index_Returns!M257:M292/100+1)^12-1)*100</f>
        <v>14.148606764256622</v>
      </c>
      <c r="T292" s="352">
        <f t="array" ref="T292">(GEOMEAN(Index_Returns!L257:L292/100+1)^12-1)*100</f>
        <v>7.4969716574353029</v>
      </c>
      <c r="U292" s="352">
        <f t="shared" si="22"/>
        <v>6.6516351068213186</v>
      </c>
      <c r="V292" s="352"/>
      <c r="W292" s="352">
        <f t="array" ref="W292">(PRODUCT(Index_Returns!AC281:AC292/100+1)-1)*100</f>
        <v>31.1634813655558</v>
      </c>
      <c r="X292" s="352">
        <f t="array" ref="X292">(PRODUCT(Index_Returns!AB281:AB292/100+1)-1)*100</f>
        <v>20.587468835193533</v>
      </c>
      <c r="Y292" s="352">
        <f t="shared" si="21"/>
        <v>10.576012530362267</v>
      </c>
      <c r="Z292" s="352">
        <f t="array" ref="Z292">(GEOMEAN(Index_Returns!AC257:AC292/100+1)^12-1)*100</f>
        <v>12.946374515550939</v>
      </c>
      <c r="AA292" s="352">
        <f t="array" ref="AA292">(GEOMEAN(Index_Returns!AB257:AB292/100+1)^12-1)*100</f>
        <v>9.5503687555803083</v>
      </c>
      <c r="AB292" s="352">
        <f t="shared" si="17"/>
        <v>3.396005759970631</v>
      </c>
    </row>
    <row r="293" spans="1:28" x14ac:dyDescent="0.2">
      <c r="A293" s="19">
        <v>36433</v>
      </c>
      <c r="B293" s="352">
        <f t="array" ref="B293">(PRODUCT(Index_Returns!D282:D293/100+1)-1)*100</f>
        <v>21.480761364087076</v>
      </c>
      <c r="C293" s="352">
        <f t="array" ref="C293">(PRODUCT(Index_Returns!C282:C293/100+1)-1)*100</f>
        <v>33.373093776170215</v>
      </c>
      <c r="D293" s="352">
        <f t="shared" si="18"/>
        <v>-11.892332412083139</v>
      </c>
      <c r="E293" s="352">
        <f t="array" ref="E293">(GEOMEAN(Index_Returns!D258:D293/100+1)^12-1)*100</f>
        <v>19.06891535616748</v>
      </c>
      <c r="F293" s="352">
        <f t="array" ref="F293">(GEOMEAN(Index_Returns!C258:C293/100+1)^12-1)*100</f>
        <v>30.642345998890686</v>
      </c>
      <c r="G293" s="352">
        <f t="shared" si="19"/>
        <v>-11.573430642723206</v>
      </c>
      <c r="H293" s="351"/>
      <c r="I293" s="350">
        <f t="array" ref="I293">(PRODUCT(Index_Returns!G282:G293/100+1)-1)*100</f>
        <v>9.9987787098670733</v>
      </c>
      <c r="J293" s="350">
        <f t="array" ref="J293">(PRODUCT(Index_Returns!F282:F293/100+1)-1)*100</f>
        <v>42.942536039079584</v>
      </c>
      <c r="K293" s="350">
        <f t="shared" si="23"/>
        <v>-32.943757329212509</v>
      </c>
      <c r="L293" s="350">
        <f t="array" ref="L293">(GEOMEAN(Index_Returns!G258:G293/100+1)^12-1)*100</f>
        <v>13.47945863907456</v>
      </c>
      <c r="M293" s="350">
        <f t="array" ref="M293">(GEOMEAN(Index_Returns!F258:F293/100+1)^12-1)*100</f>
        <v>22.22276685911897</v>
      </c>
      <c r="N293" s="350">
        <f t="shared" si="14"/>
        <v>-8.7433082200444101</v>
      </c>
      <c r="O293" s="352"/>
      <c r="P293" s="352">
        <f t="array" ref="P293">(PRODUCT(Index_Returns!M282:M293/100+1)-1)*100</f>
        <v>10.984738077037548</v>
      </c>
      <c r="Q293" s="352">
        <f t="array" ref="Q293">(PRODUCT(Index_Returns!L282:L293/100+1)-1)*100</f>
        <v>24.199389941256722</v>
      </c>
      <c r="R293" s="352">
        <f t="shared" si="20"/>
        <v>-13.214651864219174</v>
      </c>
      <c r="S293" s="352">
        <f t="array" ref="S293">(GEOMEAN(Index_Returns!M258:M293/100+1)^12-1)*100</f>
        <v>12.166958222596325</v>
      </c>
      <c r="T293" s="352">
        <f t="array" ref="T293">(GEOMEAN(Index_Returns!L258:L293/100+1)^12-1)*100</f>
        <v>6.5789109853596539</v>
      </c>
      <c r="U293" s="352">
        <f t="shared" si="22"/>
        <v>5.5880472372366707</v>
      </c>
      <c r="V293" s="352"/>
      <c r="W293" s="352">
        <f t="array" ref="W293">(PRODUCT(Index_Returns!AC282:AC293/100+1)-1)*100</f>
        <v>36.279939341278642</v>
      </c>
      <c r="X293" s="352">
        <f t="array" ref="X293">(PRODUCT(Index_Returns!AB282:AB293/100+1)-1)*100</f>
        <v>26.044802864170592</v>
      </c>
      <c r="Y293" s="352">
        <f t="shared" si="21"/>
        <v>10.23513647710805</v>
      </c>
      <c r="Z293" s="352">
        <f t="array" ref="Z293">(GEOMEAN(Index_Returns!AC258:AC293/100+1)^12-1)*100</f>
        <v>12.185562701128383</v>
      </c>
      <c r="AA293" s="352">
        <f t="array" ref="AA293">(GEOMEAN(Index_Returns!AB258:AB293/100+1)^12-1)*100</f>
        <v>9.1375952791570736</v>
      </c>
      <c r="AB293" s="352">
        <f t="shared" si="17"/>
        <v>3.0479674219713093</v>
      </c>
    </row>
    <row r="294" spans="1:28" x14ac:dyDescent="0.2">
      <c r="A294" s="19">
        <v>36464</v>
      </c>
      <c r="B294" s="352">
        <f t="array" ref="B294">(PRODUCT(Index_Returns!D283:D294/100+1)-1)*100</f>
        <v>19.015839625244379</v>
      </c>
      <c r="C294" s="352">
        <f t="array" ref="C294">(PRODUCT(Index_Returns!C283:C294/100+1)-1)*100</f>
        <v>31.564796467564115</v>
      </c>
      <c r="D294" s="352">
        <f t="shared" si="18"/>
        <v>-12.548956842319736</v>
      </c>
      <c r="E294" s="352">
        <f t="array" ref="E294">(GEOMEAN(Index_Returns!D259:D294/100+1)^12-1)*100</f>
        <v>19.928352649389591</v>
      </c>
      <c r="F294" s="352">
        <f t="array" ref="F294">(GEOMEAN(Index_Returns!C259:C294/100+1)^12-1)*100</f>
        <v>32.635684445877743</v>
      </c>
      <c r="G294" s="352">
        <f t="shared" si="19"/>
        <v>-12.707331796488152</v>
      </c>
      <c r="H294" s="351"/>
      <c r="I294" s="350">
        <f t="array" ref="I294">(PRODUCT(Index_Returns!G283:G294/100+1)-1)*100</f>
        <v>4.0026085154699187</v>
      </c>
      <c r="J294" s="350">
        <f t="array" ref="J294">(PRODUCT(Index_Returns!F283:F294/100+1)-1)*100</f>
        <v>40.386331621171244</v>
      </c>
      <c r="K294" s="350">
        <f t="shared" si="23"/>
        <v>-36.383723105701328</v>
      </c>
      <c r="L294" s="350">
        <f t="array" ref="L294">(GEOMEAN(Index_Returns!G259:G294/100+1)^12-1)*100</f>
        <v>13.607758626974476</v>
      </c>
      <c r="M294" s="350">
        <f t="array" ref="M294">(GEOMEAN(Index_Returns!F259:F294/100+1)^12-1)*100</f>
        <v>25.923967059954698</v>
      </c>
      <c r="N294" s="350">
        <f t="shared" si="14"/>
        <v>-12.316208432980222</v>
      </c>
      <c r="O294" s="352"/>
      <c r="P294" s="352">
        <f t="array" ref="P294">(PRODUCT(Index_Returns!M283:M294/100+1)-1)*100</f>
        <v>6.3787944582707867</v>
      </c>
      <c r="Q294" s="352">
        <f t="array" ref="Q294">(PRODUCT(Index_Returns!L283:L294/100+1)-1)*100</f>
        <v>17.676598153277713</v>
      </c>
      <c r="R294" s="352">
        <f t="shared" si="20"/>
        <v>-11.297803695006927</v>
      </c>
      <c r="S294" s="352">
        <f t="array" ref="S294">(GEOMEAN(Index_Returns!M259:M294/100+1)^12-1)*100</f>
        <v>11.255811701953956</v>
      </c>
      <c r="T294" s="352">
        <f t="array" ref="T294">(GEOMEAN(Index_Returns!L259:L294/100+1)^12-1)*100</f>
        <v>7.7509544509781758</v>
      </c>
      <c r="U294" s="352">
        <f t="shared" si="22"/>
        <v>3.50485725097578</v>
      </c>
      <c r="V294" s="352"/>
      <c r="W294" s="352">
        <f t="array" ref="W294">(PRODUCT(Index_Returns!AC283:AC294/100+1)-1)*100</f>
        <v>25.832080565362503</v>
      </c>
      <c r="X294" s="352">
        <f t="array" ref="X294">(PRODUCT(Index_Returns!AB283:AB294/100+1)-1)*100</f>
        <v>20.564579120052628</v>
      </c>
      <c r="Y294" s="352">
        <f t="shared" si="21"/>
        <v>5.2675014453098754</v>
      </c>
      <c r="Z294" s="352">
        <f t="array" ref="Z294">(GEOMEAN(Index_Returns!AC259:AC294/100+1)^12-1)*100</f>
        <v>13.486928339677151</v>
      </c>
      <c r="AA294" s="352">
        <f t="array" ref="AA294">(GEOMEAN(Index_Returns!AB259:AB294/100+1)^12-1)*100</f>
        <v>11.359286229041787</v>
      </c>
      <c r="AB294" s="352">
        <f t="shared" si="17"/>
        <v>2.1276421106353638</v>
      </c>
    </row>
    <row r="295" spans="1:28" x14ac:dyDescent="0.2">
      <c r="A295" s="19">
        <v>36494</v>
      </c>
      <c r="B295" s="352">
        <f t="array" ref="B295">(PRODUCT(Index_Returns!D284:D295/100+1)-1)*100</f>
        <v>12.460347313481268</v>
      </c>
      <c r="C295" s="352">
        <f t="array" ref="C295">(PRODUCT(Index_Returns!C284:C295/100+1)-1)*100</f>
        <v>28.489280734521529</v>
      </c>
      <c r="D295" s="352">
        <f t="shared" si="18"/>
        <v>-16.028933421040261</v>
      </c>
      <c r="E295" s="352">
        <f t="array" ref="E295">(GEOMEAN(Index_Returns!D260:D295/100+1)^12-1)*100</f>
        <v>16.788399356451865</v>
      </c>
      <c r="F295" s="352">
        <f t="array" ref="F295">(GEOMEAN(Index_Returns!C260:C295/100+1)^12-1)*100</f>
        <v>31.307809143244182</v>
      </c>
      <c r="G295" s="352">
        <f t="shared" si="19"/>
        <v>-14.519409786792316</v>
      </c>
      <c r="H295" s="351"/>
      <c r="I295" s="350">
        <f t="array" ref="I295">(PRODUCT(Index_Returns!G284:G295/100+1)-1)*100</f>
        <v>3.6753517439616745</v>
      </c>
      <c r="J295" s="350">
        <f t="array" ref="J295">(PRODUCT(Index_Returns!F284:F295/100+1)-1)*100</f>
        <v>41.420146526769088</v>
      </c>
      <c r="K295" s="350">
        <f t="shared" si="23"/>
        <v>-37.744794782807411</v>
      </c>
      <c r="L295" s="350">
        <f t="array" ref="L295">(GEOMEAN(Index_Returns!G260:G295/100+1)^12-1)*100</f>
        <v>12.213704934108938</v>
      </c>
      <c r="M295" s="350">
        <f t="array" ref="M295">(GEOMEAN(Index_Returns!F260:F295/100+1)^12-1)*100</f>
        <v>27.156686173675148</v>
      </c>
      <c r="N295" s="350">
        <f t="shared" si="14"/>
        <v>-14.94298123956621</v>
      </c>
      <c r="O295" s="352"/>
      <c r="P295" s="352">
        <f t="array" ref="P295">(PRODUCT(Index_Returns!M284:M295/100+1)-1)*100</f>
        <v>4.1352700700617584</v>
      </c>
      <c r="Q295" s="352">
        <f t="array" ref="Q295">(PRODUCT(Index_Returns!L284:L295/100+1)-1)*100</f>
        <v>16.804689276472338</v>
      </c>
      <c r="R295" s="352">
        <f t="shared" si="20"/>
        <v>-12.669419206410581</v>
      </c>
      <c r="S295" s="352">
        <f t="array" ref="S295">(GEOMEAN(Index_Returns!M260:M295/100+1)^12-1)*100</f>
        <v>9.9743909003964237</v>
      </c>
      <c r="T295" s="352">
        <f t="array" ref="T295">(GEOMEAN(Index_Returns!L260:L295/100+1)^12-1)*100</f>
        <v>8.2561975107935393</v>
      </c>
      <c r="U295" s="352">
        <f t="shared" si="22"/>
        <v>1.7181933896028845</v>
      </c>
      <c r="V295" s="352"/>
      <c r="W295" s="352">
        <f t="array" ref="W295">(PRODUCT(Index_Returns!AC284:AC295/100+1)-1)*100</f>
        <v>19.13839728979314</v>
      </c>
      <c r="X295" s="352">
        <f t="array" ref="X295">(PRODUCT(Index_Returns!AB284:AB295/100+1)-1)*100</f>
        <v>23.422562896400123</v>
      </c>
      <c r="Y295" s="352">
        <f t="shared" si="21"/>
        <v>-4.2841656066069831</v>
      </c>
      <c r="Z295" s="352">
        <f t="array" ref="Z295">(GEOMEAN(Index_Returns!AC260:AC295/100+1)^12-1)*100</f>
        <v>11.652948407902652</v>
      </c>
      <c r="AA295" s="352">
        <f t="array" ref="AA295">(GEOMEAN(Index_Returns!AB260:AB295/100+1)^12-1)*100</f>
        <v>12.82361353619268</v>
      </c>
      <c r="AB295" s="352">
        <f t="shared" si="17"/>
        <v>-1.1706651282900271</v>
      </c>
    </row>
    <row r="296" spans="1:28" x14ac:dyDescent="0.2">
      <c r="A296" s="19">
        <v>36525</v>
      </c>
      <c r="B296" s="352">
        <f t="array" ref="B296">(PRODUCT(Index_Returns!D285:D296/100+1)-1)*100</f>
        <v>12.726526936054515</v>
      </c>
      <c r="C296" s="352">
        <f t="array" ref="C296">(PRODUCT(Index_Returns!C285:C296/100+1)-1)*100</f>
        <v>28.246406548124781</v>
      </c>
      <c r="D296" s="352">
        <f t="shared" si="18"/>
        <v>-15.519879612070266</v>
      </c>
      <c r="E296" s="352">
        <f t="array" ref="E296">(GEOMEAN(Index_Returns!D261:D296/100+1)^12-1)*100</f>
        <v>18.886534660816224</v>
      </c>
      <c r="F296" s="352">
        <f t="array" ref="F296">(GEOMEAN(Index_Returns!C261:C296/100+1)^12-1)*100</f>
        <v>35.522907292782982</v>
      </c>
      <c r="G296" s="352">
        <f t="shared" si="19"/>
        <v>-16.636372631966758</v>
      </c>
      <c r="H296" s="351"/>
      <c r="I296" s="350">
        <f t="array" ref="I296">(PRODUCT(Index_Returns!G285:G296/100+1)-1)*100</f>
        <v>2.3235564858170354</v>
      </c>
      <c r="J296" s="350">
        <f t="array" ref="J296">(PRODUCT(Index_Returns!F285:F296/100+1)-1)*100</f>
        <v>28.735249150161547</v>
      </c>
      <c r="K296" s="350">
        <f t="shared" si="23"/>
        <v>-26.41169266434451</v>
      </c>
      <c r="L296" s="350">
        <f t="array" ref="L296">(GEOMEAN(Index_Returns!G261:G296/100+1)^12-1)*100</f>
        <v>12.90651031728618</v>
      </c>
      <c r="M296" s="350">
        <f t="array" ref="M296">(GEOMEAN(Index_Returns!F261:F296/100+1)^12-1)*100</f>
        <v>31.266513151741073</v>
      </c>
      <c r="N296" s="350">
        <f t="shared" si="14"/>
        <v>-18.360002834454892</v>
      </c>
      <c r="O296" s="352"/>
      <c r="P296" s="352">
        <f t="array" ref="P296">(PRODUCT(Index_Returns!M285:M296/100+1)-1)*100</f>
        <v>4.908585229605622</v>
      </c>
      <c r="Q296" s="352">
        <f t="array" ref="Q296">(PRODUCT(Index_Returns!L285:L296/100+1)-1)*100</f>
        <v>19.724228961521419</v>
      </c>
      <c r="R296" s="352">
        <f t="shared" si="20"/>
        <v>-14.815643731915797</v>
      </c>
      <c r="S296" s="352">
        <f t="array" ref="S296">(GEOMEAN(Index_Returns!M261:M296/100+1)^12-1)*100</f>
        <v>11.178948556428114</v>
      </c>
      <c r="T296" s="352">
        <f t="array" ref="T296">(GEOMEAN(Index_Returns!L261:L296/100+1)^12-1)*100</f>
        <v>11.892245604492512</v>
      </c>
      <c r="U296" s="352">
        <f t="shared" si="22"/>
        <v>-0.71329704806439764</v>
      </c>
      <c r="V296" s="352"/>
      <c r="W296" s="352">
        <f t="array" ref="W296">(PRODUCT(Index_Returns!AC285:AC296/100+1)-1)*100</f>
        <v>24.538551958284959</v>
      </c>
      <c r="X296" s="352">
        <f t="array" ref="X296">(PRODUCT(Index_Returns!AB285:AB296/100+1)-1)*100</f>
        <v>29.705104479492196</v>
      </c>
      <c r="Y296" s="352">
        <f t="shared" si="21"/>
        <v>-5.1665525212072367</v>
      </c>
      <c r="Z296" s="352">
        <f t="array" ref="Z296">(GEOMEAN(Index_Returns!AC261:AC296/100+1)^12-1)*100</f>
        <v>14.406335618202348</v>
      </c>
      <c r="AA296" s="352">
        <f t="array" ref="AA296">(GEOMEAN(Index_Returns!AB261:AB296/100+1)^12-1)*100</f>
        <v>17.577585690284401</v>
      </c>
      <c r="AB296" s="352">
        <f t="shared" si="17"/>
        <v>-3.1712500720820529</v>
      </c>
    </row>
    <row r="297" spans="1:28" x14ac:dyDescent="0.2">
      <c r="A297" s="19">
        <v>36556</v>
      </c>
      <c r="B297" s="352">
        <f t="array" ref="B297">(PRODUCT(Index_Returns!D286:D297/100+1)-1)*100</f>
        <v>6.9786011065960052</v>
      </c>
      <c r="C297" s="352">
        <f t="array" ref="C297">(PRODUCT(Index_Returns!C286:C297/100+1)-1)*100</f>
        <v>12.813210147027121</v>
      </c>
      <c r="D297" s="352">
        <f t="shared" si="18"/>
        <v>-5.8346090404311157</v>
      </c>
      <c r="E297" s="352">
        <f t="array" ref="E297">(GEOMEAN(Index_Returns!D262:D297/100+1)^12-1)*100</f>
        <v>15.858251495162911</v>
      </c>
      <c r="F297" s="352">
        <f t="array" ref="F297">(GEOMEAN(Index_Returns!C262:C297/100+1)^12-1)*100</f>
        <v>29.15606398381836</v>
      </c>
      <c r="G297" s="352">
        <f t="shared" si="19"/>
        <v>-13.297812488655449</v>
      </c>
      <c r="H297" s="351"/>
      <c r="I297" s="350">
        <f t="array" ref="I297">(PRODUCT(Index_Returns!G286:G297/100+1)-1)*100</f>
        <v>3.3028170951956204</v>
      </c>
      <c r="J297" s="350">
        <f t="array" ref="J297">(PRODUCT(Index_Returns!F286:F297/100+1)-1)*100</f>
        <v>30.037839440541326</v>
      </c>
      <c r="K297" s="350">
        <f t="shared" si="23"/>
        <v>-26.735022345345705</v>
      </c>
      <c r="L297" s="350">
        <f t="array" ref="L297">(GEOMEAN(Index_Returns!G262:G297/100+1)^12-1)*100</f>
        <v>10.359042281560171</v>
      </c>
      <c r="M297" s="350">
        <f t="array" ref="M297">(GEOMEAN(Index_Returns!F262:F297/100+1)^12-1)*100</f>
        <v>28.339154955837877</v>
      </c>
      <c r="N297" s="350">
        <f t="shared" si="14"/>
        <v>-17.980112674277706</v>
      </c>
      <c r="O297" s="352"/>
      <c r="P297" s="352">
        <f t="array" ref="P297">(PRODUCT(Index_Returns!M286:M297/100+1)-1)*100</f>
        <v>4.9248124886962508</v>
      </c>
      <c r="Q297" s="352">
        <f t="array" ref="Q297">(PRODUCT(Index_Returns!L286:L297/100+1)-1)*100</f>
        <v>15.47528769365587</v>
      </c>
      <c r="R297" s="352">
        <f t="shared" si="20"/>
        <v>-10.55047520495962</v>
      </c>
      <c r="S297" s="352">
        <f t="array" ref="S297">(GEOMEAN(Index_Returns!M262:M297/100+1)^12-1)*100</f>
        <v>9.830653013711089</v>
      </c>
      <c r="T297" s="352">
        <f t="array" ref="T297">(GEOMEAN(Index_Returns!L262:L297/100+1)^12-1)*100</f>
        <v>9.7170106677682213</v>
      </c>
      <c r="U297" s="352">
        <f t="shared" si="22"/>
        <v>0.11364234594286771</v>
      </c>
      <c r="V297" s="352"/>
      <c r="W297" s="352">
        <f t="array" ref="W297">(PRODUCT(Index_Returns!AC286:AC297/100+1)-1)*100</f>
        <v>16.98577242314725</v>
      </c>
      <c r="X297" s="352">
        <f t="array" ref="X297">(PRODUCT(Index_Returns!AB286:AB297/100+1)-1)*100</f>
        <v>21.770160258231176</v>
      </c>
      <c r="Y297" s="352">
        <f t="shared" si="21"/>
        <v>-4.7843878350839262</v>
      </c>
      <c r="Z297" s="352">
        <f t="array" ref="Z297">(GEOMEAN(Index_Returns!AC262:AC297/100+1)^12-1)*100</f>
        <v>12.665018557531059</v>
      </c>
      <c r="AA297" s="352">
        <f t="array" ref="AA297">(GEOMEAN(Index_Returns!AB262:AB297/100+1)^12-1)*100</f>
        <v>16.975818507062378</v>
      </c>
      <c r="AB297" s="352">
        <f t="shared" si="17"/>
        <v>-4.3107999495313187</v>
      </c>
    </row>
    <row r="298" spans="1:28" x14ac:dyDescent="0.2">
      <c r="A298" s="19">
        <v>36585</v>
      </c>
      <c r="B298" s="352">
        <f t="array" ref="B298">(PRODUCT(Index_Returns!D287:D298/100+1)-1)*100</f>
        <v>2.5014339831123333</v>
      </c>
      <c r="C298" s="352">
        <f t="array" ref="C298">(PRODUCT(Index_Returns!C287:C298/100+1)-1)*100</f>
        <v>19.885068651100958</v>
      </c>
      <c r="D298" s="352">
        <f t="shared" si="18"/>
        <v>-17.383634667988623</v>
      </c>
      <c r="E298" s="352">
        <f t="array" ref="E298">(GEOMEAN(Index_Returns!D263:D298/100+1)^12-1)*100</f>
        <v>13.118647983748266</v>
      </c>
      <c r="F298" s="352">
        <f t="array" ref="F298">(GEOMEAN(Index_Returns!C263:C298/100+1)^12-1)*100</f>
        <v>29.693022673617797</v>
      </c>
      <c r="G298" s="352">
        <f t="shared" si="19"/>
        <v>-16.574374689869529</v>
      </c>
      <c r="H298" s="351"/>
      <c r="I298" s="350">
        <f t="array" ref="I298">(PRODUCT(Index_Returns!G287:G298/100+1)-1)*100</f>
        <v>4.4993580684070222</v>
      </c>
      <c r="J298" s="350">
        <f t="array" ref="J298">(PRODUCT(Index_Returns!F287:F298/100+1)-1)*100</f>
        <v>60.926914688488566</v>
      </c>
      <c r="K298" s="350">
        <f t="shared" si="23"/>
        <v>-56.427556620081546</v>
      </c>
      <c r="L298" s="350">
        <f t="array" ref="L298">(GEOMEAN(Index_Returns!G263:G298/100+1)^12-1)*100</f>
        <v>8.6563266185577081</v>
      </c>
      <c r="M298" s="350">
        <f t="array" ref="M298">(GEOMEAN(Index_Returns!F263:F298/100+1)^12-1)*100</f>
        <v>36.291078377473895</v>
      </c>
      <c r="N298" s="350">
        <f t="shared" si="14"/>
        <v>-27.634751758916188</v>
      </c>
      <c r="O298" s="352"/>
      <c r="P298" s="352">
        <f t="array" ref="P298">(PRODUCT(Index_Returns!M287:M298/100+1)-1)*100</f>
        <v>24.914767643780333</v>
      </c>
      <c r="Q298" s="352">
        <f t="array" ref="Q298">(PRODUCT(Index_Returns!L287:L298/100+1)-1)*100</f>
        <v>49.56542065967389</v>
      </c>
      <c r="R298" s="352">
        <f t="shared" si="20"/>
        <v>-24.650653015893557</v>
      </c>
      <c r="S298" s="352">
        <f t="array" ref="S298">(GEOMEAN(Index_Returns!M263:M298/100+1)^12-1)*100</f>
        <v>12.846728658484663</v>
      </c>
      <c r="T298" s="352">
        <f t="array" ref="T298">(GEOMEAN(Index_Returns!L263:L298/100+1)^12-1)*100</f>
        <v>17.477959093119487</v>
      </c>
      <c r="U298" s="352">
        <f t="shared" si="22"/>
        <v>-4.6312304346348245</v>
      </c>
      <c r="V298" s="352"/>
      <c r="W298" s="352">
        <f t="array" ref="W298">(PRODUCT(Index_Returns!AC287:AC298/100+1)-1)*100</f>
        <v>18.22296353794335</v>
      </c>
      <c r="X298" s="352">
        <f t="array" ref="X298">(PRODUCT(Index_Returns!AB287:AB298/100+1)-1)*100</f>
        <v>32.827968768265414</v>
      </c>
      <c r="Y298" s="352">
        <f t="shared" si="21"/>
        <v>-14.605005230322064</v>
      </c>
      <c r="Z298" s="352">
        <f t="array" ref="Z298">(GEOMEAN(Index_Returns!AC263:AC298/100+1)^12-1)*100</f>
        <v>11.865303631568501</v>
      </c>
      <c r="AA298" s="352">
        <f t="array" ref="AA298">(GEOMEAN(Index_Returns!AB263:AB298/100+1)^12-1)*100</f>
        <v>18.488588897245229</v>
      </c>
      <c r="AB298" s="352">
        <f t="shared" si="17"/>
        <v>-6.6232852656767278</v>
      </c>
    </row>
    <row r="299" spans="1:28" x14ac:dyDescent="0.2">
      <c r="A299" s="19">
        <v>36616</v>
      </c>
      <c r="B299" s="352">
        <f t="array" ref="B299">(PRODUCT(Index_Returns!D288:D299/100+1)-1)*100</f>
        <v>9.8594194995015307</v>
      </c>
      <c r="C299" s="352">
        <f t="array" ref="C299">(PRODUCT(Index_Returns!C288:C299/100+1)-1)*100</f>
        <v>24.920867922013201</v>
      </c>
      <c r="D299" s="352">
        <f t="shared" si="18"/>
        <v>-15.06144842251167</v>
      </c>
      <c r="E299" s="352">
        <f t="array" ref="E299">(GEOMEAN(Index_Returns!D264:D299/100+1)^12-1)*100</f>
        <v>18.2851513572577</v>
      </c>
      <c r="F299" s="352">
        <f t="array" ref="F299">(GEOMEAN(Index_Returns!C264:C299/100+1)^12-1)*100</f>
        <v>35.757352723756682</v>
      </c>
      <c r="G299" s="352">
        <f t="shared" si="19"/>
        <v>-17.472201366498982</v>
      </c>
      <c r="H299" s="351"/>
      <c r="I299" s="350">
        <f t="array" ref="I299">(PRODUCT(Index_Returns!G288:G299/100+1)-1)*100</f>
        <v>18.264119118229537</v>
      </c>
      <c r="J299" s="350">
        <f t="array" ref="J299">(PRODUCT(Index_Returns!F288:F299/100+1)-1)*100</f>
        <v>60.565426555515955</v>
      </c>
      <c r="K299" s="350">
        <f t="shared" si="23"/>
        <v>-42.301307437286418</v>
      </c>
      <c r="L299" s="350">
        <f t="array" ref="L299">(GEOMEAN(Index_Returns!G264:G299/100+1)^12-1)*100</f>
        <v>15.227220199198621</v>
      </c>
      <c r="M299" s="350">
        <f t="array" ref="M299">(GEOMEAN(Index_Returns!F264:F299/100+1)^12-1)*100</f>
        <v>40.350868850060138</v>
      </c>
      <c r="N299" s="350">
        <f t="shared" si="14"/>
        <v>-25.123648650861519</v>
      </c>
      <c r="O299" s="352"/>
      <c r="P299" s="352">
        <f t="array" ref="P299">(PRODUCT(Index_Returns!M288:M299/100+1)-1)*100</f>
        <v>22.139326723751964</v>
      </c>
      <c r="Q299" s="352">
        <f t="array" ref="Q299">(PRODUCT(Index_Returns!L288:L299/100+1)-1)*100</f>
        <v>38.938639021527322</v>
      </c>
      <c r="R299" s="352">
        <f t="shared" si="20"/>
        <v>-16.799312297775359</v>
      </c>
      <c r="S299" s="352">
        <f t="array" ref="S299">(GEOMEAN(Index_Returns!M264:M299/100+1)^12-1)*100</f>
        <v>13.50630724223889</v>
      </c>
      <c r="T299" s="352">
        <f t="array" ref="T299">(GEOMEAN(Index_Returns!L264:L299/100+1)^12-1)*100</f>
        <v>18.158503114748758</v>
      </c>
      <c r="U299" s="352">
        <f t="shared" si="22"/>
        <v>-4.6521958725098678</v>
      </c>
      <c r="V299" s="352"/>
      <c r="W299" s="352">
        <f t="array" ref="W299">(PRODUCT(Index_Returns!AC288:AC299/100+1)-1)*100</f>
        <v>17.237723380808291</v>
      </c>
      <c r="X299" s="352">
        <f t="array" ref="X299">(PRODUCT(Index_Returns!AB288:AB299/100+1)-1)*100</f>
        <v>33.509479200542572</v>
      </c>
      <c r="Y299" s="352">
        <f t="shared" si="21"/>
        <v>-16.271755819734281</v>
      </c>
      <c r="Z299" s="352">
        <f t="array" ref="Z299">(GEOMEAN(Index_Returns!AC264:AC299/100+1)^12-1)*100</f>
        <v>14.039810876044601</v>
      </c>
      <c r="AA299" s="352">
        <f t="array" ref="AA299">(GEOMEAN(Index_Returns!AB264:AB299/100+1)^12-1)*100</f>
        <v>18.987900578750438</v>
      </c>
      <c r="AB299" s="352">
        <f t="shared" si="17"/>
        <v>-4.9480897027058361</v>
      </c>
    </row>
    <row r="300" spans="1:28" x14ac:dyDescent="0.2">
      <c r="A300" s="19">
        <v>36646</v>
      </c>
      <c r="B300" s="352">
        <f t="array" ref="B300">(PRODUCT(Index_Returns!D289:D300/100+1)-1)*100</f>
        <v>0.46350151724798838</v>
      </c>
      <c r="C300" s="352">
        <f t="array" ref="C300">(PRODUCT(Index_Returns!C289:C300/100+1)-1)*100</f>
        <v>18.968583695714948</v>
      </c>
      <c r="D300" s="352">
        <f t="shared" si="18"/>
        <v>-18.50508217846696</v>
      </c>
      <c r="E300" s="352">
        <f t="array" ref="E300">(GEOMEAN(Index_Returns!D265:D300/100+1)^12-1)*100</f>
        <v>16.581363584015698</v>
      </c>
      <c r="F300" s="352">
        <f t="array" ref="F300">(GEOMEAN(Index_Returns!C265:C300/100+1)^12-1)*100</f>
        <v>30.068939286005957</v>
      </c>
      <c r="G300" s="352">
        <f t="shared" si="19"/>
        <v>-13.487575701990259</v>
      </c>
      <c r="H300" s="351"/>
      <c r="I300" s="350">
        <f t="array" ref="I300">(PRODUCT(Index_Returns!G289:G300/100+1)-1)*100</f>
        <v>6.8461614845844121</v>
      </c>
      <c r="J300" s="350">
        <f t="array" ref="J300">(PRODUCT(Index_Returns!F289:F300/100+1)-1)*100</f>
        <v>42.65268872991097</v>
      </c>
      <c r="K300" s="350">
        <f t="shared" si="23"/>
        <v>-35.806527245326556</v>
      </c>
      <c r="L300" s="350">
        <f t="array" ref="L300">(GEOMEAN(Index_Returns!G265:G300/100+1)^12-1)*100</f>
        <v>14.027375312724599</v>
      </c>
      <c r="M300" s="350">
        <f t="array" ref="M300">(GEOMEAN(Index_Returns!F265:F300/100+1)^12-1)*100</f>
        <v>36.248750746896199</v>
      </c>
      <c r="N300" s="350">
        <f t="shared" si="14"/>
        <v>-22.221375434171598</v>
      </c>
      <c r="O300" s="352"/>
      <c r="P300" s="352">
        <f t="array" ref="P300">(PRODUCT(Index_Returns!M289:M300/100+1)-1)*100</f>
        <v>13.394189911826437</v>
      </c>
      <c r="Q300" s="352">
        <f t="array" ref="Q300">(PRODUCT(Index_Returns!L289:L300/100+1)-1)*100</f>
        <v>27.431511123373941</v>
      </c>
      <c r="R300" s="352">
        <f t="shared" si="20"/>
        <v>-14.037321211547503</v>
      </c>
      <c r="S300" s="352">
        <f t="array" ref="S300">(GEOMEAN(Index_Returns!M265:M300/100+1)^12-1)*100</f>
        <v>13.076021648056901</v>
      </c>
      <c r="T300" s="352">
        <f t="array" ref="T300">(GEOMEAN(Index_Returns!L265:L300/100+1)^12-1)*100</f>
        <v>16.389074724194465</v>
      </c>
      <c r="U300" s="352">
        <f t="shared" si="22"/>
        <v>-3.3130530761375638</v>
      </c>
      <c r="V300" s="352"/>
      <c r="W300" s="352">
        <f t="array" ref="W300">(PRODUCT(Index_Returns!AC289:AC300/100+1)-1)*100</f>
        <v>5.3678532515500255</v>
      </c>
      <c r="X300" s="352">
        <f t="array" ref="X300">(PRODUCT(Index_Returns!AB289:AB300/100+1)-1)*100</f>
        <v>23.417587845347043</v>
      </c>
      <c r="Y300" s="352">
        <f t="shared" si="21"/>
        <v>-18.049734593797019</v>
      </c>
      <c r="Z300" s="352">
        <f t="array" ref="Z300">(GEOMEAN(Index_Returns!AC265:AC300/100+1)^12-1)*100</f>
        <v>12.520137602505343</v>
      </c>
      <c r="AA300" s="352">
        <f t="array" ref="AA300">(GEOMEAN(Index_Returns!AB265:AB300/100+1)^12-1)*100</f>
        <v>15.91729507945907</v>
      </c>
      <c r="AB300" s="352">
        <f t="shared" si="17"/>
        <v>-3.3971574769537263</v>
      </c>
    </row>
    <row r="301" spans="1:28" x14ac:dyDescent="0.2">
      <c r="A301" s="19">
        <v>36677</v>
      </c>
      <c r="B301" s="352">
        <f t="array" ref="B301">(PRODUCT(Index_Returns!D290:D301/100+1)-1)*100</f>
        <v>2.5897077784265532</v>
      </c>
      <c r="C301" s="352">
        <f t="array" ref="C301">(PRODUCT(Index_Returns!C290:C301/100+1)-1)*100</f>
        <v>17.544048715581397</v>
      </c>
      <c r="D301" s="352">
        <f t="shared" si="18"/>
        <v>-14.954340937154843</v>
      </c>
      <c r="E301" s="352">
        <f t="array" ref="E301">(GEOMEAN(Index_Returns!D266:D301/100+1)^12-1)*100</f>
        <v>14.359911128367898</v>
      </c>
      <c r="F301" s="352">
        <f t="array" ref="F301">(GEOMEAN(Index_Returns!C266:C301/100+1)^12-1)*100</f>
        <v>25.838199013004303</v>
      </c>
      <c r="G301" s="352">
        <f t="shared" si="19"/>
        <v>-11.478287884636405</v>
      </c>
      <c r="H301" s="351"/>
      <c r="I301" s="350">
        <f t="array" ref="I301">(PRODUCT(Index_Returns!G290:G301/100+1)-1)*100</f>
        <v>8.1666386990078443</v>
      </c>
      <c r="J301" s="350">
        <f t="array" ref="J301">(PRODUCT(Index_Returns!F290:F301/100+1)-1)*100</f>
        <v>36.221133735367239</v>
      </c>
      <c r="K301" s="350">
        <f t="shared" si="23"/>
        <v>-28.054495036359395</v>
      </c>
      <c r="L301" s="350">
        <f t="array" ref="L301">(GEOMEAN(Index_Returns!G266:G301/100+1)^12-1)*100</f>
        <v>12.764695921620127</v>
      </c>
      <c r="M301" s="350">
        <f t="array" ref="M301">(GEOMEAN(Index_Returns!F266:F301/100+1)^12-1)*100</f>
        <v>29.156965380530121</v>
      </c>
      <c r="N301" s="350">
        <f t="shared" ref="N301:N364" si="24">L301-M301</f>
        <v>-16.392269458909993</v>
      </c>
      <c r="O301" s="352"/>
      <c r="P301" s="352">
        <f t="array" ref="P301">(PRODUCT(Index_Returns!M290:M301/100+1)-1)*100</f>
        <v>8.1616245926431361</v>
      </c>
      <c r="Q301" s="352">
        <f t="array" ref="Q301">(PRODUCT(Index_Returns!L290:L301/100+1)-1)*100</f>
        <v>19.980303486392927</v>
      </c>
      <c r="R301" s="352">
        <f t="shared" si="20"/>
        <v>-11.818678893749791</v>
      </c>
      <c r="S301" s="352">
        <f t="array" ref="S301">(GEOMEAN(Index_Returns!M266:M301/100+1)^12-1)*100</f>
        <v>8.8683088680841635</v>
      </c>
      <c r="T301" s="352">
        <f t="array" ref="T301">(GEOMEAN(Index_Returns!L266:L301/100+1)^12-1)*100</f>
        <v>10.062780087008004</v>
      </c>
      <c r="U301" s="352">
        <f t="shared" si="22"/>
        <v>-1.1944712189238409</v>
      </c>
      <c r="V301" s="352"/>
      <c r="W301" s="352">
        <f t="array" ref="W301">(PRODUCT(Index_Returns!AC290:AC301/100+1)-1)*100</f>
        <v>13.319960358935612</v>
      </c>
      <c r="X301" s="352">
        <f t="array" ref="X301">(PRODUCT(Index_Returns!AB290:AB301/100+1)-1)*100</f>
        <v>21.022423597691198</v>
      </c>
      <c r="Y301" s="352">
        <f t="shared" si="21"/>
        <v>-7.7024632387555858</v>
      </c>
      <c r="Z301" s="352">
        <f t="array" ref="Z301">(GEOMEAN(Index_Returns!AC266:AC301/100+1)^12-1)*100</f>
        <v>10.409919540257917</v>
      </c>
      <c r="AA301" s="352">
        <f t="array" ref="AA301">(GEOMEAN(Index_Returns!AB266:AB301/100+1)^12-1)*100</f>
        <v>11.330314941434505</v>
      </c>
      <c r="AB301" s="352">
        <f t="shared" si="17"/>
        <v>-0.92039540117658802</v>
      </c>
    </row>
    <row r="302" spans="1:28" x14ac:dyDescent="0.2">
      <c r="A302" s="19">
        <v>36707</v>
      </c>
      <c r="B302" s="352">
        <f t="array" ref="B302">(PRODUCT(Index_Returns!D291:D302/100+1)-1)*100</f>
        <v>-5.1074100584752706</v>
      </c>
      <c r="C302" s="352">
        <f t="array" ref="C302">(PRODUCT(Index_Returns!C291:C302/100+1)-1)*100</f>
        <v>18.544557563626206</v>
      </c>
      <c r="D302" s="352">
        <f t="shared" si="18"/>
        <v>-23.651967622101477</v>
      </c>
      <c r="E302" s="352">
        <f t="array" ref="E302">(GEOMEAN(Index_Returns!D267:D302/100+1)^12-1)*100</f>
        <v>11.4326838846033</v>
      </c>
      <c r="F302" s="352">
        <f t="array" ref="F302">(GEOMEAN(Index_Returns!C267:C302/100+1)^12-1)*100</f>
        <v>27.02488574438555</v>
      </c>
      <c r="G302" s="352">
        <f t="shared" si="19"/>
        <v>-15.59220185978225</v>
      </c>
      <c r="H302" s="351"/>
      <c r="I302" s="350">
        <f t="array" ref="I302">(PRODUCT(Index_Returns!G291:G302/100+1)-1)*100</f>
        <v>0.16560142466652827</v>
      </c>
      <c r="J302" s="350">
        <f t="array" ref="J302">(PRODUCT(Index_Returns!F291:F302/100+1)-1)*100</f>
        <v>36.7824198767049</v>
      </c>
      <c r="K302" s="350">
        <f t="shared" si="23"/>
        <v>-36.616818452038373</v>
      </c>
      <c r="L302" s="350">
        <f t="array" ref="L302">(GEOMEAN(Index_Returns!G267:G302/100+1)^12-1)*100</f>
        <v>10.058863501090842</v>
      </c>
      <c r="M302" s="350">
        <f t="array" ref="M302">(GEOMEAN(Index_Returns!F267:F302/100+1)^12-1)*100</f>
        <v>31.265724601170387</v>
      </c>
      <c r="N302" s="350">
        <f t="shared" si="24"/>
        <v>-21.206861100079543</v>
      </c>
      <c r="O302" s="352"/>
      <c r="P302" s="352">
        <f t="array" ref="P302">(PRODUCT(Index_Returns!M291:M302/100+1)-1)*100</f>
        <v>7.3699613965125588</v>
      </c>
      <c r="Q302" s="352">
        <f t="array" ref="Q302">(PRODUCT(Index_Returns!L291:L302/100+1)-1)*100</f>
        <v>21.268724587146547</v>
      </c>
      <c r="R302" s="352">
        <f t="shared" si="20"/>
        <v>-13.898763190633989</v>
      </c>
      <c r="S302" s="352">
        <f t="array" ref="S302">(GEOMEAN(Index_Returns!M267:M302/100+1)^12-1)*100</f>
        <v>8.5551371851225078</v>
      </c>
      <c r="T302" s="352">
        <f t="array" ref="T302">(GEOMEAN(Index_Returns!L267:L302/100+1)^12-1)*100</f>
        <v>11.409423694335707</v>
      </c>
      <c r="U302" s="352">
        <f t="shared" si="22"/>
        <v>-2.8542865092131997</v>
      </c>
      <c r="V302" s="352"/>
      <c r="W302" s="352">
        <f t="array" ref="W302">(PRODUCT(Index_Returns!AC291:AC302/100+1)-1)*100</f>
        <v>13.655624200709738</v>
      </c>
      <c r="X302" s="352">
        <f t="array" ref="X302">(PRODUCT(Index_Returns!AB291:AB302/100+1)-1)*100</f>
        <v>20.669683639569001</v>
      </c>
      <c r="Y302" s="352">
        <f t="shared" si="21"/>
        <v>-7.0140594388592632</v>
      </c>
      <c r="Z302" s="352">
        <f t="array" ref="Z302">(GEOMEAN(Index_Returns!AC267:AC302/100+1)^12-1)*100</f>
        <v>10.067653034698566</v>
      </c>
      <c r="AA302" s="352">
        <f t="array" ref="AA302">(GEOMEAN(Index_Returns!AB267:AB302/100+1)^12-1)*100</f>
        <v>10.536380555714086</v>
      </c>
      <c r="AB302" s="352">
        <f t="shared" si="17"/>
        <v>-0.46872752101551995</v>
      </c>
    </row>
    <row r="303" spans="1:28" x14ac:dyDescent="0.2">
      <c r="A303" s="19">
        <v>36738</v>
      </c>
      <c r="B303" s="352">
        <f t="array" ref="B303">(PRODUCT(Index_Returns!D292:D303/100+1)-1)*100</f>
        <v>-0.13784816481333673</v>
      </c>
      <c r="C303" s="352">
        <f t="array" ref="C303">(PRODUCT(Index_Returns!C292:C303/100+1)-1)*100</f>
        <v>16.967446662511911</v>
      </c>
      <c r="D303" s="352">
        <f t="shared" si="18"/>
        <v>-17.105294827325249</v>
      </c>
      <c r="E303" s="352">
        <f t="array" ref="E303">(GEOMEAN(Index_Returns!D268:D303/100+1)^12-1)*100</f>
        <v>9.3300337285411761</v>
      </c>
      <c r="F303" s="352">
        <f t="array" ref="F303">(GEOMEAN(Index_Returns!C268:C303/100+1)^12-1)*100</f>
        <v>21.973528300735556</v>
      </c>
      <c r="G303" s="352">
        <f t="shared" si="19"/>
        <v>-12.643494572194379</v>
      </c>
      <c r="H303" s="351"/>
      <c r="I303" s="350">
        <f t="array" ref="I303">(PRODUCT(Index_Returns!G292:G303/100+1)-1)*100</f>
        <v>5.5335916584045908</v>
      </c>
      <c r="J303" s="350">
        <f t="array" ref="J303">(PRODUCT(Index_Returns!F292:F303/100+1)-1)*100</f>
        <v>39.986478118386003</v>
      </c>
      <c r="K303" s="350">
        <f t="shared" si="23"/>
        <v>-34.452886459981414</v>
      </c>
      <c r="L303" s="350">
        <f t="array" ref="L303">(GEOMEAN(Index_Returns!G268:G303/100+1)^12-1)*100</f>
        <v>8.8747638006847716</v>
      </c>
      <c r="M303" s="350">
        <f t="array" ref="M303">(GEOMEAN(Index_Returns!F268:F303/100+1)^12-1)*100</f>
        <v>25.961746942552221</v>
      </c>
      <c r="N303" s="350">
        <f t="shared" si="24"/>
        <v>-17.086983141867449</v>
      </c>
      <c r="O303" s="352"/>
      <c r="P303" s="352">
        <f t="array" ref="P303">(PRODUCT(Index_Returns!M292:M303/100+1)-1)*100</f>
        <v>7.8383946152809525</v>
      </c>
      <c r="Q303" s="352">
        <f t="array" ref="Q303">(PRODUCT(Index_Returns!L292:L303/100+1)-1)*100</f>
        <v>16.930281693202474</v>
      </c>
      <c r="R303" s="352">
        <f t="shared" si="20"/>
        <v>-9.0918870779215215</v>
      </c>
      <c r="S303" s="352">
        <f t="array" ref="S303">(GEOMEAN(Index_Returns!M268:M303/100+1)^12-1)*100</f>
        <v>6.4879211080742349</v>
      </c>
      <c r="T303" s="352">
        <f t="array" ref="T303">(GEOMEAN(Index_Returns!L268:L303/100+1)^12-1)*100</f>
        <v>7.2705637663252221</v>
      </c>
      <c r="U303" s="352">
        <f t="shared" si="22"/>
        <v>-0.78264265825098711</v>
      </c>
      <c r="V303" s="352"/>
      <c r="W303" s="352">
        <f t="array" ref="W303">(PRODUCT(Index_Returns!AC292:AC303/100+1)-1)*100</f>
        <v>6.8810177209876588</v>
      </c>
      <c r="X303" s="352">
        <f t="array" ref="X303">(PRODUCT(Index_Returns!AB292:AB303/100+1)-1)*100</f>
        <v>10.970758281012237</v>
      </c>
      <c r="Y303" s="352">
        <f t="shared" si="21"/>
        <v>-4.0897405600245786</v>
      </c>
      <c r="Z303" s="352">
        <f t="array" ref="Z303">(GEOMEAN(Index_Returns!AC268:AC303/100+1)^12-1)*100</f>
        <v>8.9285950740872302</v>
      </c>
      <c r="AA303" s="352">
        <f t="array" ref="AA303">(GEOMEAN(Index_Returns!AB268:AB303/100+1)^12-1)*100</f>
        <v>7.3285836436669527</v>
      </c>
      <c r="AB303" s="352">
        <f t="shared" si="17"/>
        <v>1.6000114304202775</v>
      </c>
    </row>
    <row r="304" spans="1:28" x14ac:dyDescent="0.2">
      <c r="A304" s="19">
        <v>36769</v>
      </c>
      <c r="B304" s="352">
        <f t="array" ref="B304">(PRODUCT(Index_Returns!D293:D304/100+1)-1)*100</f>
        <v>9.3238012883307242</v>
      </c>
      <c r="C304" s="352">
        <f t="array" ref="C304">(PRODUCT(Index_Returns!C293:C304/100+1)-1)*100</f>
        <v>22.049386348431142</v>
      </c>
      <c r="D304" s="352">
        <f t="shared" si="18"/>
        <v>-12.725585060100418</v>
      </c>
      <c r="E304" s="352">
        <f t="array" ref="E304">(GEOMEAN(Index_Returns!D269:D304/100+1)^12-1)*100</f>
        <v>13.456731651962306</v>
      </c>
      <c r="F304" s="352">
        <f t="array" ref="F304">(GEOMEAN(Index_Returns!C269:C304/100+1)^12-1)*100</f>
        <v>27.169633856204211</v>
      </c>
      <c r="G304" s="352">
        <f t="shared" si="19"/>
        <v>-13.712902204241905</v>
      </c>
      <c r="H304" s="351"/>
      <c r="I304" s="350">
        <f t="array" ref="I304">(PRODUCT(Index_Returns!G293:G304/100+1)-1)*100</f>
        <v>17.53487038550783</v>
      </c>
      <c r="J304" s="350">
        <f t="array" ref="J304">(PRODUCT(Index_Returns!F293:F304/100+1)-1)*100</f>
        <v>65.898857690011297</v>
      </c>
      <c r="K304" s="350">
        <f t="shared" si="23"/>
        <v>-48.363987304503468</v>
      </c>
      <c r="L304" s="350">
        <f t="array" ref="L304">(GEOMEAN(Index_Returns!G269:G304/100+1)^12-1)*100</f>
        <v>11.166430264513295</v>
      </c>
      <c r="M304" s="350">
        <f t="array" ref="M304">(GEOMEAN(Index_Returns!F269:F304/100+1)^12-1)*100</f>
        <v>32.346833513994319</v>
      </c>
      <c r="N304" s="350">
        <f t="shared" si="24"/>
        <v>-21.180403249481024</v>
      </c>
      <c r="O304" s="352"/>
      <c r="P304" s="352">
        <f t="array" ref="P304">(PRODUCT(Index_Returns!M293:M304/100+1)-1)*100</f>
        <v>19.019644368861364</v>
      </c>
      <c r="Q304" s="352">
        <f t="array" ref="Q304">(PRODUCT(Index_Returns!L293:L304/100+1)-1)*100</f>
        <v>37.349352294880255</v>
      </c>
      <c r="R304" s="352">
        <f t="shared" si="20"/>
        <v>-18.329707926018891</v>
      </c>
      <c r="S304" s="352">
        <f t="array" ref="S304">(GEOMEAN(Index_Returns!M269:M304/100+1)^12-1)*100</f>
        <v>8.1549693129038037</v>
      </c>
      <c r="T304" s="352">
        <f t="array" ref="T304">(GEOMEAN(Index_Returns!L269:L304/100+1)^12-1)*100</f>
        <v>9.938070567575874</v>
      </c>
      <c r="U304" s="352">
        <f t="shared" si="22"/>
        <v>-1.7831012546720704</v>
      </c>
      <c r="V304" s="352"/>
      <c r="W304" s="352">
        <f t="array" ref="W304">(PRODUCT(Index_Returns!AC293:AC304/100+1)-1)*100</f>
        <v>7.4376913548921619</v>
      </c>
      <c r="X304" s="352">
        <f t="array" ref="X304">(PRODUCT(Index_Returns!AB293:AB304/100+1)-1)*100</f>
        <v>11.518008494103693</v>
      </c>
      <c r="Y304" s="352">
        <f t="shared" si="21"/>
        <v>-4.0803171392115312</v>
      </c>
      <c r="Z304" s="352">
        <f t="array" ref="Z304">(GEOMEAN(Index_Returns!AC269:AC304/100+1)^12-1)*100</f>
        <v>11.937595661441303</v>
      </c>
      <c r="AA304" s="352">
        <f t="array" ref="AA304">(GEOMEAN(Index_Returns!AB269:AB304/100+1)^12-1)*100</f>
        <v>10.62567721068206</v>
      </c>
      <c r="AB304" s="352">
        <f t="shared" si="17"/>
        <v>1.3119184507592436</v>
      </c>
    </row>
    <row r="305" spans="1:28" x14ac:dyDescent="0.2">
      <c r="A305" s="19">
        <v>36799</v>
      </c>
      <c r="B305" s="352">
        <f t="array" ref="B305">(PRODUCT(Index_Returns!D294:D305/100+1)-1)*100</f>
        <v>13.748544106925497</v>
      </c>
      <c r="C305" s="352">
        <f t="array" ref="C305">(PRODUCT(Index_Returns!C294:C305/100+1)-1)*100</f>
        <v>12.041867836150089</v>
      </c>
      <c r="D305" s="352">
        <f t="shared" si="18"/>
        <v>1.7066762707754073</v>
      </c>
      <c r="E305" s="352">
        <f t="array" ref="E305">(GEOMEAN(Index_Returns!D270:D305/100+1)^12-1)*100</f>
        <v>11.314453311999184</v>
      </c>
      <c r="F305" s="352">
        <f t="array" ref="F305">(GEOMEAN(Index_Returns!C270:C305/100+1)^12-1)*100</f>
        <v>20.869230380344383</v>
      </c>
      <c r="G305" s="352">
        <f t="shared" si="19"/>
        <v>-9.5547770683451994</v>
      </c>
      <c r="H305" s="351"/>
      <c r="I305" s="350">
        <f t="array" ref="I305">(PRODUCT(Index_Returns!G294:G305/100+1)-1)*100</f>
        <v>25.455333115954492</v>
      </c>
      <c r="J305" s="350">
        <f t="array" ref="J305">(PRODUCT(Index_Returns!F294:F305/100+1)-1)*100</f>
        <v>63.684901379093461</v>
      </c>
      <c r="K305" s="350">
        <f t="shared" si="23"/>
        <v>-38.229568263138972</v>
      </c>
      <c r="L305" s="350">
        <f t="array" ref="L305">(GEOMEAN(Index_Returns!G270:G305/100+1)^12-1)*100</f>
        <v>9.7025660607915398</v>
      </c>
      <c r="M305" s="350">
        <f t="array" ref="M305">(GEOMEAN(Index_Returns!F270:F305/100+1)^12-1)*100</f>
        <v>28.757875024993162</v>
      </c>
      <c r="N305" s="350">
        <f t="shared" si="24"/>
        <v>-19.055308964201622</v>
      </c>
      <c r="O305" s="352"/>
      <c r="P305" s="352">
        <f t="array" ref="P305">(PRODUCT(Index_Returns!M294:M305/100+1)-1)*100</f>
        <v>18.727930742900732</v>
      </c>
      <c r="Q305" s="352">
        <f t="array" ref="Q305">(PRODUCT(Index_Returns!L294:L305/100+1)-1)*100</f>
        <v>29.043961246058949</v>
      </c>
      <c r="R305" s="352">
        <f t="shared" si="20"/>
        <v>-10.316030503158217</v>
      </c>
      <c r="S305" s="352">
        <f t="array" ref="S305">(GEOMEAN(Index_Returns!M270:M305/100+1)^12-1)*100</f>
        <v>5.155183244991024</v>
      </c>
      <c r="T305" s="352">
        <f t="array" ref="T305">(GEOMEAN(Index_Returns!L270:L305/100+1)^12-1)*100</f>
        <v>6.2949505352510426</v>
      </c>
      <c r="U305" s="352">
        <f t="shared" si="22"/>
        <v>-1.1397672902600187</v>
      </c>
      <c r="V305" s="352"/>
      <c r="W305" s="352">
        <f t="array" ref="W305">(PRODUCT(Index_Returns!AC294:AC305/100+1)-1)*100</f>
        <v>3.7135921309184639</v>
      </c>
      <c r="X305" s="352">
        <f t="array" ref="X305">(PRODUCT(Index_Returns!AB294:AB305/100+1)-1)*100</f>
        <v>2.5048890300711779</v>
      </c>
      <c r="Y305" s="352">
        <f t="shared" si="21"/>
        <v>1.2087031008472859</v>
      </c>
      <c r="Z305" s="352">
        <f t="array" ref="Z305">(GEOMEAN(Index_Returns!AC270:AC305/100+1)^12-1)*100</f>
        <v>9.1747677540185091</v>
      </c>
      <c r="AA305" s="352">
        <f t="array" ref="AA305">(GEOMEAN(Index_Returns!AB270:AB305/100+1)^12-1)*100</f>
        <v>5.8445580303863931</v>
      </c>
      <c r="AB305" s="352">
        <f t="shared" si="17"/>
        <v>3.330209723632116</v>
      </c>
    </row>
    <row r="306" spans="1:28" x14ac:dyDescent="0.2">
      <c r="A306" s="19">
        <v>36830</v>
      </c>
      <c r="B306" s="352">
        <f t="array" ref="B306">(PRODUCT(Index_Returns!D295:D306/100+1)-1)*100</f>
        <v>9.6818277351913515</v>
      </c>
      <c r="C306" s="352">
        <f t="array" ref="C306">(PRODUCT(Index_Returns!C295:C306/100+1)-1)*100</f>
        <v>2.0696729551413995</v>
      </c>
      <c r="D306" s="352">
        <f t="shared" si="18"/>
        <v>7.6121547800499521</v>
      </c>
      <c r="E306" s="352">
        <f t="array" ref="E306">(GEOMEAN(Index_Returns!D271:D306/100+1)^12-1)*100</f>
        <v>13.409946366320202</v>
      </c>
      <c r="F306" s="352">
        <f t="array" ref="F306">(GEOMEAN(Index_Returns!C271:C306/100+1)^12-1)*100</f>
        <v>21.038599421254702</v>
      </c>
      <c r="G306" s="352">
        <f t="shared" si="19"/>
        <v>-7.6286530549344995</v>
      </c>
      <c r="H306" s="351"/>
      <c r="I306" s="350">
        <f t="array" ref="I306">(PRODUCT(Index_Returns!G295:G306/100+1)-1)*100</f>
        <v>21.816076896258284</v>
      </c>
      <c r="J306" s="350">
        <f t="array" ref="J306">(PRODUCT(Index_Returns!F295:F306/100+1)-1)*100</f>
        <v>42.999395296657482</v>
      </c>
      <c r="K306" s="350">
        <f t="shared" si="23"/>
        <v>-21.183318400399198</v>
      </c>
      <c r="L306" s="350">
        <f t="array" ref="L306">(GEOMEAN(Index_Returns!G271:G306/100+1)^12-1)*100</f>
        <v>10.462822857093856</v>
      </c>
      <c r="M306" s="350">
        <f t="array" ref="M306">(GEOMEAN(Index_Returns!F271:F306/100+1)^12-1)*100</f>
        <v>28.923181812453901</v>
      </c>
      <c r="N306" s="350">
        <f t="shared" si="24"/>
        <v>-18.460358955360043</v>
      </c>
      <c r="O306" s="352"/>
      <c r="P306" s="352">
        <f t="array" ref="P306">(PRODUCT(Index_Returns!M295:M306/100+1)-1)*100</f>
        <v>19.771557350901816</v>
      </c>
      <c r="Q306" s="352">
        <f t="array" ref="Q306">(PRODUCT(Index_Returns!L295:L306/100+1)-1)*100</f>
        <v>30.565769463643868</v>
      </c>
      <c r="R306" s="352">
        <f t="shared" si="20"/>
        <v>-10.794212112742052</v>
      </c>
      <c r="S306" s="352">
        <f t="array" ref="S306">(GEOMEAN(Index_Returns!M271:M306/100+1)^12-1)*100</f>
        <v>5.8260231057685852</v>
      </c>
      <c r="T306" s="352">
        <f t="array" ref="T306">(GEOMEAN(Index_Returns!L271:L306/100+1)^12-1)*100</f>
        <v>9.3110623694932606</v>
      </c>
      <c r="U306" s="352">
        <f t="shared" si="22"/>
        <v>-3.4850392637246754</v>
      </c>
      <c r="V306" s="352"/>
      <c r="W306" s="352">
        <f t="array" ref="W306">(PRODUCT(Index_Returns!AC295:AC306/100+1)-1)*100</f>
        <v>1.3861462717395856</v>
      </c>
      <c r="X306" s="352">
        <f t="array" ref="X306">(PRODUCT(Index_Returns!AB295:AB306/100+1)-1)*100</f>
        <v>-7.2071561797444677</v>
      </c>
      <c r="Y306" s="352">
        <f t="shared" si="21"/>
        <v>8.5933024514840533</v>
      </c>
      <c r="Z306" s="352">
        <f t="array" ref="Z306">(GEOMEAN(Index_Returns!AC271:AC306/100+1)^12-1)*100</f>
        <v>11.331816767605751</v>
      </c>
      <c r="AA306" s="352">
        <f t="array" ref="AA306">(GEOMEAN(Index_Returns!AB271:AB306/100+1)^12-1)*100</f>
        <v>7.695988739555637</v>
      </c>
      <c r="AB306" s="352">
        <f t="shared" si="17"/>
        <v>3.6358280280501143</v>
      </c>
    </row>
    <row r="307" spans="1:28" x14ac:dyDescent="0.2">
      <c r="A307" s="19">
        <v>36860</v>
      </c>
      <c r="B307" s="352">
        <f t="array" ref="B307">(PRODUCT(Index_Returns!D296:D307/100+1)-1)*100</f>
        <v>4.6817468281169949</v>
      </c>
      <c r="C307" s="352">
        <f t="array" ref="C307">(PRODUCT(Index_Returns!C296:C307/100+1)-1)*100</f>
        <v>-12.523077200228805</v>
      </c>
      <c r="D307" s="352">
        <f t="shared" si="18"/>
        <v>17.204824028345801</v>
      </c>
      <c r="E307" s="352">
        <f t="array" ref="E307">(GEOMEAN(Index_Returns!D272:D307/100+1)^12-1)*100</f>
        <v>10.060099865930772</v>
      </c>
      <c r="F307" s="352">
        <f t="array" ref="F307">(GEOMEAN(Index_Returns!C272:C307/100+1)^12-1)*100</f>
        <v>14.552509930416701</v>
      </c>
      <c r="G307" s="352">
        <f t="shared" si="19"/>
        <v>-4.4924100644859291</v>
      </c>
      <c r="H307" s="351"/>
      <c r="I307" s="350">
        <f t="array" ref="I307">(PRODUCT(Index_Returns!G296:G307/100+1)-1)*100</f>
        <v>19.575836133025494</v>
      </c>
      <c r="J307" s="350">
        <f t="array" ref="J307">(PRODUCT(Index_Returns!F296:F307/100+1)-1)*100</f>
        <v>13.065750697554556</v>
      </c>
      <c r="K307" s="350">
        <f t="shared" si="23"/>
        <v>6.5100854354709377</v>
      </c>
      <c r="L307" s="350">
        <f t="array" ref="L307">(GEOMEAN(Index_Returns!G272:G307/100+1)^12-1)*100</f>
        <v>9.6073322819954186</v>
      </c>
      <c r="M307" s="350">
        <f t="array" ref="M307">(GEOMEAN(Index_Returns!F272:F307/100+1)^12-1)*100</f>
        <v>22.362798021516017</v>
      </c>
      <c r="N307" s="350">
        <f t="shared" si="24"/>
        <v>-12.755465739520599</v>
      </c>
      <c r="O307" s="352"/>
      <c r="P307" s="352">
        <f t="array" ref="P307">(PRODUCT(Index_Returns!M296:M307/100+1)-1)*100</f>
        <v>7.5595242140575669</v>
      </c>
      <c r="Q307" s="352">
        <f t="array" ref="Q307">(PRODUCT(Index_Returns!L296:L307/100+1)-1)*100</f>
        <v>7.4977390768278029</v>
      </c>
      <c r="R307" s="352">
        <f t="shared" si="20"/>
        <v>6.1785137229763976E-2</v>
      </c>
      <c r="S307" s="352">
        <f t="array" ref="S307">(GEOMEAN(Index_Returns!M272:M307/100+1)^12-1)*100</f>
        <v>2.6979969994158193</v>
      </c>
      <c r="T307" s="352">
        <f t="array" ref="T307">(GEOMEAN(Index_Returns!L272:L307/100+1)^12-1)*100</f>
        <v>5.1372149225283437</v>
      </c>
      <c r="U307" s="352">
        <f t="shared" si="22"/>
        <v>-2.4392179231125244</v>
      </c>
      <c r="V307" s="352"/>
      <c r="W307" s="352">
        <f t="array" ref="W307">(PRODUCT(Index_Returns!AC296:AC307/100+1)-1)*100</f>
        <v>-1.3749153522073176</v>
      </c>
      <c r="X307" s="352">
        <f t="array" ref="X307">(PRODUCT(Index_Returns!AB296:AB307/100+1)-1)*100</f>
        <v>-17.530102983859575</v>
      </c>
      <c r="Y307" s="352">
        <f t="shared" si="21"/>
        <v>16.155187631652257</v>
      </c>
      <c r="Z307" s="352">
        <f t="array" ref="Z307">(GEOMEAN(Index_Returns!AC272:AC307/100+1)^12-1)*100</f>
        <v>10.927310406209134</v>
      </c>
      <c r="AA307" s="352">
        <f t="array" ref="AA307">(GEOMEAN(Index_Returns!AB272:AB307/100+1)^12-1)*100</f>
        <v>6.0883676925085783</v>
      </c>
      <c r="AB307" s="352">
        <f t="shared" si="17"/>
        <v>4.8389427137005558</v>
      </c>
    </row>
    <row r="308" spans="1:28" x14ac:dyDescent="0.2">
      <c r="A308" s="19">
        <v>36891</v>
      </c>
      <c r="B308" s="352">
        <f t="array" ref="B308">(PRODUCT(Index_Returns!D297:D308/100+1)-1)*100</f>
        <v>6.0831264588334877</v>
      </c>
      <c r="C308" s="352">
        <f t="array" ref="C308">(PRODUCT(Index_Returns!C297:C308/100+1)-1)*100</f>
        <v>-22.078844463368029</v>
      </c>
      <c r="D308" s="352">
        <f t="shared" si="18"/>
        <v>28.161970922201515</v>
      </c>
      <c r="E308" s="352">
        <f t="array" ref="E308">(GEOMEAN(Index_Returns!D273:D308/100+1)^12-1)*100</f>
        <v>11.100376047449512</v>
      </c>
      <c r="F308" s="352">
        <f t="array" ref="F308">(GEOMEAN(Index_Returns!C273:C308/100+1)^12-1)*100</f>
        <v>12.414287939941104</v>
      </c>
      <c r="G308" s="352">
        <f t="shared" si="19"/>
        <v>-1.3139118924915927</v>
      </c>
      <c r="H308" s="351"/>
      <c r="I308" s="350">
        <f t="array" ref="I308">(PRODUCT(Index_Returns!G297:G308/100+1)-1)*100</f>
        <v>27.842082972088832</v>
      </c>
      <c r="J308" s="350">
        <f t="array" ref="J308">(PRODUCT(Index_Returns!F297:F308/100+1)-1)*100</f>
        <v>9.1573275673285437</v>
      </c>
      <c r="K308" s="350">
        <f t="shared" si="23"/>
        <v>18.684755404760288</v>
      </c>
      <c r="L308" s="350">
        <f t="array" ref="L308">(GEOMEAN(Index_Returns!G273:G308/100+1)^12-1)*100</f>
        <v>11.043990848052143</v>
      </c>
      <c r="M308" s="350">
        <f t="array" ref="M308">(GEOMEAN(Index_Returns!F273:F308/100+1)^12-1)*100</f>
        <v>23.74891598965878</v>
      </c>
      <c r="N308" s="350">
        <f t="shared" si="24"/>
        <v>-12.704925141606637</v>
      </c>
      <c r="O308" s="352"/>
      <c r="P308" s="352">
        <f t="array" ref="P308">(PRODUCT(Index_Returns!M297:M308/100+1)-1)*100</f>
        <v>15.783776809332961</v>
      </c>
      <c r="Q308" s="352">
        <f t="array" ref="Q308">(PRODUCT(Index_Returns!L297:L308/100+1)-1)*100</f>
        <v>7.6014523894839092</v>
      </c>
      <c r="R308" s="352">
        <f t="shared" si="20"/>
        <v>8.1823244198490528</v>
      </c>
      <c r="S308" s="352">
        <f t="array" ref="S308">(GEOMEAN(Index_Returns!M273:M308/100+1)^12-1)*100</f>
        <v>5.7552575671924622</v>
      </c>
      <c r="T308" s="352">
        <f t="array" ref="T308">(GEOMEAN(Index_Returns!L273:L308/100+1)^12-1)*100</f>
        <v>8.7794923464033836</v>
      </c>
      <c r="U308" s="352">
        <f t="shared" si="22"/>
        <v>-3.0242347792109214</v>
      </c>
      <c r="V308" s="352"/>
      <c r="W308" s="352">
        <f t="array" ref="W308">(PRODUCT(Index_Returns!AC297:AC308/100+1)-1)*100</f>
        <v>-2.8202486513401404</v>
      </c>
      <c r="X308" s="352">
        <f t="array" ref="X308">(PRODUCT(Index_Returns!AB297:AB308/100+1)-1)*100</f>
        <v>-24.39561333601986</v>
      </c>
      <c r="Y308" s="352">
        <f t="shared" si="21"/>
        <v>21.57536468467972</v>
      </c>
      <c r="Z308" s="352">
        <f t="array" ref="Z308">(GEOMEAN(Index_Returns!AC273:AC308/100+1)^12-1)*100</f>
        <v>12.642671602968258</v>
      </c>
      <c r="AA308" s="352">
        <f t="array" ref="AA308">(GEOMEAN(Index_Returns!AB273:AB308/100+1)^12-1)*100</f>
        <v>6.2932295066983945</v>
      </c>
      <c r="AB308" s="352">
        <f t="shared" si="17"/>
        <v>6.3494420962698639</v>
      </c>
    </row>
    <row r="309" spans="1:28" x14ac:dyDescent="0.2">
      <c r="A309" s="19">
        <v>36922</v>
      </c>
      <c r="B309" s="352">
        <f t="array" ref="B309">(PRODUCT(Index_Returns!D298:D309/100+1)-1)*100</f>
        <v>14.195662023513655</v>
      </c>
      <c r="C309" s="352">
        <f t="array" ref="C309">(PRODUCT(Index_Returns!C298:C309/100+1)-1)*100</f>
        <v>-14.1388638960807</v>
      </c>
      <c r="D309" s="352">
        <f t="shared" si="18"/>
        <v>28.334525919594356</v>
      </c>
      <c r="E309" s="352">
        <f t="array" ref="E309">(GEOMEAN(Index_Returns!D274:D309/100+1)^12-1)*100</f>
        <v>13.109229089896491</v>
      </c>
      <c r="F309" s="352">
        <f t="array" ref="F309">(GEOMEAN(Index_Returns!C274:C309/100+1)^12-1)*100</f>
        <v>12.228618232244282</v>
      </c>
      <c r="G309" s="352">
        <f t="shared" si="19"/>
        <v>0.88061085765220959</v>
      </c>
      <c r="H309" s="351"/>
      <c r="I309" s="350">
        <f t="array" ref="I309">(PRODUCT(Index_Returns!G298:G309/100+1)-1)*100</f>
        <v>39.569402811616648</v>
      </c>
      <c r="J309" s="350">
        <f t="array" ref="J309">(PRODUCT(Index_Returns!F298:F309/100+1)-1)*100</f>
        <v>10.783957021874535</v>
      </c>
      <c r="K309" s="350">
        <f t="shared" si="23"/>
        <v>28.785445789742113</v>
      </c>
      <c r="L309" s="350">
        <f t="array" ref="L309">(GEOMEAN(Index_Returns!G274:G309/100+1)^12-1)*100</f>
        <v>13.54439090751185</v>
      </c>
      <c r="M309" s="350">
        <f t="array" ref="M309">(GEOMEAN(Index_Returns!F274:F309/100+1)^12-1)*100</f>
        <v>24.377999599443491</v>
      </c>
      <c r="N309" s="350">
        <f t="shared" si="24"/>
        <v>-10.833608691931641</v>
      </c>
      <c r="O309" s="352"/>
      <c r="P309" s="352">
        <f t="array" ref="P309">(PRODUCT(Index_Returns!M298:M309/100+1)-1)*100</f>
        <v>23.103096003532684</v>
      </c>
      <c r="Q309" s="352">
        <f t="array" ref="Q309">(PRODUCT(Index_Returns!L298:L309/100+1)-1)*100</f>
        <v>17.304928983138403</v>
      </c>
      <c r="R309" s="352">
        <f t="shared" si="20"/>
        <v>5.7981670203942812</v>
      </c>
      <c r="S309" s="352">
        <f t="array" ref="S309">(GEOMEAN(Index_Returns!M274:M309/100+1)^12-1)*100</f>
        <v>7.695921032399955</v>
      </c>
      <c r="T309" s="352">
        <f t="array" ref="T309">(GEOMEAN(Index_Returns!L274:L309/100+1)^12-1)*100</f>
        <v>11.337993504432831</v>
      </c>
      <c r="U309" s="352">
        <f t="shared" si="22"/>
        <v>-3.6420724720328757</v>
      </c>
      <c r="V309" s="352"/>
      <c r="W309" s="352">
        <f t="array" ref="W309">(PRODUCT(Index_Returns!AC298:AC309/100+1)-1)*100</f>
        <v>4.8107563667941333</v>
      </c>
      <c r="X309" s="352">
        <f t="array" ref="X309">(PRODUCT(Index_Returns!AB298:AB309/100+1)-1)*100</f>
        <v>-20.125802783234658</v>
      </c>
      <c r="Y309" s="352">
        <f t="shared" si="21"/>
        <v>24.936559150028792</v>
      </c>
      <c r="Z309" s="352">
        <f t="array" ref="Z309">(GEOMEAN(Index_Returns!AC274:AC309/100+1)^12-1)*100</f>
        <v>11.010431670177368</v>
      </c>
      <c r="AA309" s="352">
        <f t="array" ref="AA309">(GEOMEAN(Index_Returns!AB274:AB309/100+1)^12-1)*100</f>
        <v>4.6335829968980224</v>
      </c>
      <c r="AB309" s="352">
        <f t="shared" si="17"/>
        <v>6.3768486732793459</v>
      </c>
    </row>
    <row r="310" spans="1:28" x14ac:dyDescent="0.2">
      <c r="A310" s="19">
        <v>36950</v>
      </c>
      <c r="B310" s="352">
        <f t="array" ref="B310">(PRODUCT(Index_Returns!D299:D310/100+1)-1)*100</f>
        <v>13.732798814526781</v>
      </c>
      <c r="C310" s="352">
        <f t="array" ref="C310">(PRODUCT(Index_Returns!C299:C310/100+1)-1)*100</f>
        <v>-25.785447625160142</v>
      </c>
      <c r="D310" s="352">
        <f t="shared" si="18"/>
        <v>39.518246439686919</v>
      </c>
      <c r="E310" s="352">
        <f t="array" ref="E310">(GEOMEAN(Index_Returns!D275:D310/100+1)^12-1)*100</f>
        <v>7.9193766450322611</v>
      </c>
      <c r="F310" s="352">
        <f t="array" ref="F310">(GEOMEAN(Index_Returns!C275:C310/100+1)^12-1)*100</f>
        <v>5.2652445125222158</v>
      </c>
      <c r="G310" s="352">
        <f t="shared" si="19"/>
        <v>2.6541321325100453</v>
      </c>
      <c r="H310" s="351"/>
      <c r="I310" s="350">
        <f t="array" ref="I310">(PRODUCT(Index_Returns!G299:G310/100+1)-1)*100</f>
        <v>40.092443966137516</v>
      </c>
      <c r="J310" s="350">
        <f t="array" ref="J310">(PRODUCT(Index_Returns!F299:F310/100+1)-1)*100</f>
        <v>-12.834542155364037</v>
      </c>
      <c r="K310" s="350">
        <f t="shared" si="23"/>
        <v>52.926986121501557</v>
      </c>
      <c r="L310" s="350">
        <f t="array" ref="L310">(GEOMEAN(Index_Returns!G275:G310/100+1)^12-1)*100</f>
        <v>9.6376222894491104</v>
      </c>
      <c r="M310" s="350">
        <f t="array" ref="M310">(GEOMEAN(Index_Returns!F275:F310/100+1)^12-1)*100</f>
        <v>17.387212914662808</v>
      </c>
      <c r="N310" s="350">
        <f t="shared" si="24"/>
        <v>-7.7495906252136972</v>
      </c>
      <c r="O310" s="352"/>
      <c r="P310" s="352">
        <f t="array" ref="P310">(PRODUCT(Index_Returns!M299:M310/100+1)-1)*100</f>
        <v>8.0457245691291988</v>
      </c>
      <c r="Q310" s="352">
        <f t="array" ref="Q310">(PRODUCT(Index_Returns!L299:L310/100+1)-1)*100</f>
        <v>-8.3391082385882669</v>
      </c>
      <c r="R310" s="352">
        <f t="shared" si="20"/>
        <v>16.384832807717466</v>
      </c>
      <c r="S310" s="352">
        <f t="array" ref="S310">(GEOMEAN(Index_Returns!M275:M310/100+1)^12-1)*100</f>
        <v>3.5069108927185511</v>
      </c>
      <c r="T310" s="352">
        <f t="array" ref="T310">(GEOMEAN(Index_Returns!L275:L310/100+1)^12-1)*100</f>
        <v>4.5868163452757571</v>
      </c>
      <c r="U310" s="352">
        <f t="shared" si="22"/>
        <v>-1.079905452557206</v>
      </c>
      <c r="V310" s="352"/>
      <c r="W310" s="352">
        <f t="array" ref="W310">(PRODUCT(Index_Returns!AC299:AC310/100+1)-1)*100</f>
        <v>-5.5759459017412638E-2</v>
      </c>
      <c r="X310" s="352">
        <f t="array" ref="X310">(PRODUCT(Index_Returns!AB299:AB310/100+1)-1)*100</f>
        <v>-32.005153142861296</v>
      </c>
      <c r="Y310" s="352">
        <f t="shared" si="21"/>
        <v>31.949393683843883</v>
      </c>
      <c r="Z310" s="352">
        <f t="array" ref="Z310">(GEOMEAN(Index_Returns!AC275:AC310/100+1)^12-1)*100</f>
        <v>6.9502859678636897</v>
      </c>
      <c r="AA310" s="352">
        <f t="array" ref="AA310">(GEOMEAN(Index_Returns!AB275:AB310/100+1)^12-1)*100</f>
        <v>-1.1758082647745249</v>
      </c>
      <c r="AB310" s="352">
        <f t="shared" si="17"/>
        <v>8.1260942326382146</v>
      </c>
    </row>
    <row r="311" spans="1:28" x14ac:dyDescent="0.2">
      <c r="A311" s="19">
        <v>36981</v>
      </c>
      <c r="B311" s="352">
        <f t="array" ref="B311">(PRODUCT(Index_Returns!D300:D311/100+1)-1)*100</f>
        <v>-1.0715085574022232</v>
      </c>
      <c r="C311" s="352">
        <f t="array" ref="C311">(PRODUCT(Index_Returns!C300:C311/100+1)-1)*100</f>
        <v>-38.1894454762271</v>
      </c>
      <c r="D311" s="352">
        <f t="shared" si="18"/>
        <v>37.117936918824874</v>
      </c>
      <c r="E311" s="352">
        <f t="array" ref="E311">(GEOMEAN(Index_Returns!D276:D311/100+1)^12-1)*100</f>
        <v>4.7410808196095333</v>
      </c>
      <c r="F311" s="352">
        <f t="array" ref="F311">(GEOMEAN(Index_Returns!C276:C311/100+1)^12-1)*100</f>
        <v>0.30263061643649447</v>
      </c>
      <c r="G311" s="352">
        <f t="shared" si="19"/>
        <v>4.4384502031730388</v>
      </c>
      <c r="H311" s="351"/>
      <c r="I311" s="350">
        <f t="array" ref="I311">(PRODUCT(Index_Returns!G300:G311/100+1)-1)*100</f>
        <v>16.150781129822978</v>
      </c>
      <c r="J311" s="350">
        <f t="array" ref="J311">(PRODUCT(Index_Returns!F300:F311/100+1)-1)*100</f>
        <v>-24.896786080929612</v>
      </c>
      <c r="K311" s="350">
        <f t="shared" si="23"/>
        <v>41.04756721075259</v>
      </c>
      <c r="L311" s="350">
        <f t="array" ref="L311">(GEOMEAN(Index_Returns!G276:G311/100+1)^12-1)*100</f>
        <v>6.3718485189056207</v>
      </c>
      <c r="M311" s="350">
        <f t="array" ref="M311">(GEOMEAN(Index_Returns!F276:F311/100+1)^12-1)*100</f>
        <v>11.395677411538241</v>
      </c>
      <c r="N311" s="350">
        <f t="shared" si="24"/>
        <v>-5.0238288926326202</v>
      </c>
      <c r="O311" s="352"/>
      <c r="P311" s="352">
        <f t="array" ref="P311">(PRODUCT(Index_Returns!M300:M311/100+1)-1)*100</f>
        <v>5.7425046549155478</v>
      </c>
      <c r="Q311" s="352">
        <f t="array" ref="Q311">(PRODUCT(Index_Returns!L300:L311/100+1)-1)*100</f>
        <v>-8.8629341425292107</v>
      </c>
      <c r="R311" s="352">
        <f t="shared" si="20"/>
        <v>14.605438797444759</v>
      </c>
      <c r="S311" s="352">
        <f t="array" ref="S311">(GEOMEAN(Index_Returns!M276:M311/100+1)^12-1)*100</f>
        <v>0.83436207312506117</v>
      </c>
      <c r="T311" s="352">
        <f t="array" ref="T311">(GEOMEAN(Index_Returns!L276:L311/100+1)^12-1)*100</f>
        <v>1.3414829444106102</v>
      </c>
      <c r="U311" s="352">
        <f t="shared" si="22"/>
        <v>-0.50712087128554906</v>
      </c>
      <c r="V311" s="352"/>
      <c r="W311" s="352">
        <f t="array" ref="W311">(PRODUCT(Index_Returns!AC300:AC311/100+1)-1)*100</f>
        <v>-11.82551187462485</v>
      </c>
      <c r="X311" s="352">
        <f t="array" ref="X311">(PRODUCT(Index_Returns!AB300:AB311/100+1)-1)*100</f>
        <v>-37.852218273750971</v>
      </c>
      <c r="Y311" s="352">
        <f t="shared" si="21"/>
        <v>26.02670639912612</v>
      </c>
      <c r="Z311" s="352">
        <f t="array" ref="Z311">(GEOMEAN(Index_Returns!AC276:AC311/100+1)^12-1)*100</f>
        <v>2.95720952102978</v>
      </c>
      <c r="AA311" s="352">
        <f t="array" ref="AA311">(GEOMEAN(Index_Returns!AB276:AB311/100+1)^12-1)*100</f>
        <v>-3.9296893645657249</v>
      </c>
      <c r="AB311" s="352">
        <f t="shared" si="17"/>
        <v>6.8868988855955049</v>
      </c>
    </row>
    <row r="312" spans="1:28" x14ac:dyDescent="0.2">
      <c r="A312" s="19">
        <v>37011</v>
      </c>
      <c r="B312" s="352">
        <f t="array" ref="B312">(PRODUCT(Index_Returns!D301:D312/100+1)-1)*100</f>
        <v>6.3512904350742527</v>
      </c>
      <c r="C312" s="352">
        <f t="array" ref="C312">(PRODUCT(Index_Returns!C301:C312/100+1)-1)*100</f>
        <v>-29.160005182725037</v>
      </c>
      <c r="D312" s="352">
        <f t="shared" si="18"/>
        <v>35.511295617799291</v>
      </c>
      <c r="E312" s="352">
        <f t="array" ref="E312">(GEOMEAN(Index_Returns!D277:D312/100+1)^12-1)*100</f>
        <v>6.6387792271438206</v>
      </c>
      <c r="F312" s="352">
        <f t="array" ref="F312">(GEOMEAN(Index_Returns!C277:C312/100+1)^12-1)*100</f>
        <v>2.9186423431728281</v>
      </c>
      <c r="G312" s="352">
        <f t="shared" si="19"/>
        <v>3.7201368839709925</v>
      </c>
      <c r="H312" s="351"/>
      <c r="I312" s="350">
        <f t="array" ref="I312">(PRODUCT(Index_Returns!G301:G312/100+1)-1)*100</f>
        <v>27.823413596502199</v>
      </c>
      <c r="J312" s="350">
        <f t="array" ref="J312">(PRODUCT(Index_Returns!F301:F312/100+1)-1)*100</f>
        <v>-9.6162258448331031</v>
      </c>
      <c r="K312" s="350">
        <f t="shared" si="23"/>
        <v>37.439639441335302</v>
      </c>
      <c r="L312" s="350">
        <f t="array" ref="L312">(GEOMEAN(Index_Returns!G277:G312/100+1)^12-1)*100</f>
        <v>9.2534896160535887</v>
      </c>
      <c r="M312" s="350">
        <f t="array" ref="M312">(GEOMEAN(Index_Returns!F277:F312/100+1)^12-1)*100</f>
        <v>15.082868497552493</v>
      </c>
      <c r="N312" s="350">
        <f t="shared" si="24"/>
        <v>-5.8293788814989043</v>
      </c>
      <c r="O312" s="352"/>
      <c r="P312" s="352">
        <f t="array" ref="P312">(PRODUCT(Index_Returns!M301:M312/100+1)-1)*100</f>
        <v>12.262051224477144</v>
      </c>
      <c r="Q312" s="352">
        <f t="array" ref="Q312">(PRODUCT(Index_Returns!L301:L312/100+1)-1)*100</f>
        <v>3.3053414944229642</v>
      </c>
      <c r="R312" s="352">
        <f t="shared" si="20"/>
        <v>8.9567097300541789</v>
      </c>
      <c r="S312" s="352">
        <f t="array" ref="S312">(GEOMEAN(Index_Returns!M277:M312/100+1)^12-1)*100</f>
        <v>2.6713583026970911</v>
      </c>
      <c r="T312" s="352">
        <f t="array" ref="T312">(GEOMEAN(Index_Returns!L277:L312/100+1)^12-1)*100</f>
        <v>4.3103459346452766</v>
      </c>
      <c r="U312" s="352">
        <f t="shared" si="22"/>
        <v>-1.6389876319481855</v>
      </c>
      <c r="V312" s="352"/>
      <c r="W312" s="352">
        <f t="array" ref="W312">(PRODUCT(Index_Returns!AC301:AC312/100+1)-1)*100</f>
        <v>-1.7571301199377665</v>
      </c>
      <c r="X312" s="352">
        <f t="array" ref="X312">(PRODUCT(Index_Returns!AB301:AB312/100+1)-1)*100</f>
        <v>-28.866723452277498</v>
      </c>
      <c r="Y312" s="352">
        <f t="shared" si="21"/>
        <v>27.109593332339731</v>
      </c>
      <c r="Z312" s="352">
        <f t="array" ref="Z312">(GEOMEAN(Index_Returns!AC277:AC312/100+1)^12-1)*100</f>
        <v>5.1318926803578524</v>
      </c>
      <c r="AA312" s="352">
        <f t="array" ref="AA312">(GEOMEAN(Index_Returns!AB277:AB312/100+1)^12-1)*100</f>
        <v>-2.0981593169776325</v>
      </c>
      <c r="AB312" s="352">
        <f t="shared" si="17"/>
        <v>7.2300519973354849</v>
      </c>
    </row>
    <row r="313" spans="1:28" x14ac:dyDescent="0.2">
      <c r="A313" s="19">
        <v>37042</v>
      </c>
      <c r="B313" s="352">
        <f t="array" ref="B313">(PRODUCT(Index_Returns!D302:D313/100+1)-1)*100</f>
        <v>7.1294809524534042</v>
      </c>
      <c r="C313" s="352">
        <f t="array" ref="C313">(PRODUCT(Index_Returns!C302:C313/100+1)-1)*100</f>
        <v>-25.973470119131203</v>
      </c>
      <c r="D313" s="352">
        <f t="shared" si="18"/>
        <v>33.102951071584606</v>
      </c>
      <c r="E313" s="352">
        <f t="array" ref="E313">(GEOMEAN(Index_Returns!D278:D313/100+1)^12-1)*100</f>
        <v>7.5159375337700673</v>
      </c>
      <c r="F313" s="352">
        <f t="array" ref="F313">(GEOMEAN(Index_Returns!C278:C313/100+1)^12-1)*100</f>
        <v>3.6981405249615351</v>
      </c>
      <c r="G313" s="352">
        <f t="shared" si="19"/>
        <v>3.8177970088085322</v>
      </c>
      <c r="H313" s="351"/>
      <c r="I313" s="350">
        <f t="array" ref="I313">(PRODUCT(Index_Returns!G302:G313/100+1)-1)*100</f>
        <v>26.697807213468415</v>
      </c>
      <c r="J313" s="350">
        <f t="array" ref="J313">(PRODUCT(Index_Returns!F302:F313/100+1)-1)*100</f>
        <v>-2.0311700916375464</v>
      </c>
      <c r="K313" s="350">
        <f t="shared" si="23"/>
        <v>28.72897730510596</v>
      </c>
      <c r="L313" s="350">
        <f t="array" ref="L313">(GEOMEAN(Index_Returns!G278:G313/100+1)^12-1)*100</f>
        <v>11.492763426633346</v>
      </c>
      <c r="M313" s="350">
        <f t="array" ref="M313">(GEOMEAN(Index_Returns!F278:F313/100+1)^12-1)*100</f>
        <v>18.102677101600339</v>
      </c>
      <c r="N313" s="350">
        <f t="shared" si="24"/>
        <v>-6.6099136749669931</v>
      </c>
      <c r="O313" s="352"/>
      <c r="P313" s="352">
        <f t="array" ref="P313">(PRODUCT(Index_Returns!M302:M313/100+1)-1)*100</f>
        <v>17.274355840466484</v>
      </c>
      <c r="Q313" s="352">
        <f t="array" ref="Q313">(PRODUCT(Index_Returns!L302:L313/100+1)-1)*100</f>
        <v>8.8616628389881278</v>
      </c>
      <c r="R313" s="352">
        <f t="shared" si="20"/>
        <v>8.4126930014783561</v>
      </c>
      <c r="S313" s="352">
        <f t="array" ref="S313">(GEOMEAN(Index_Returns!M278:M313/100+1)^12-1)*100</f>
        <v>4.8013614631633228</v>
      </c>
      <c r="T313" s="352">
        <f t="array" ref="T313">(GEOMEAN(Index_Returns!L278:L313/100+1)^12-1)*100</f>
        <v>7.2869842696944076</v>
      </c>
      <c r="U313" s="352">
        <f t="shared" si="22"/>
        <v>-2.4856228065310848</v>
      </c>
      <c r="V313" s="352"/>
      <c r="W313" s="352">
        <f t="array" ref="W313">(PRODUCT(Index_Returns!AC302:AC313/100+1)-1)*100</f>
        <v>-5.8297233132782349</v>
      </c>
      <c r="X313" s="352">
        <f t="array" ref="X313">(PRODUCT(Index_Returns!AB302:AB313/100+1)-1)*100</f>
        <v>-27.203244313354613</v>
      </c>
      <c r="Y313" s="352">
        <f t="shared" si="21"/>
        <v>21.37352100007638</v>
      </c>
      <c r="Z313" s="352">
        <f t="array" ref="Z313">(GEOMEAN(Index_Returns!AC278:AC313/100+1)^12-1)*100</f>
        <v>4.1735310886952925</v>
      </c>
      <c r="AA313" s="352">
        <f t="array" ref="AA313">(GEOMEAN(Index_Returns!AB278:AB313/100+1)^12-1)*100</f>
        <v>-3.1972816454765574</v>
      </c>
      <c r="AB313" s="352">
        <f t="shared" si="17"/>
        <v>7.3708127341718495</v>
      </c>
    </row>
    <row r="314" spans="1:28" x14ac:dyDescent="0.2">
      <c r="A314" s="19">
        <v>37072</v>
      </c>
      <c r="B314" s="352">
        <f t="array" ref="B314">(PRODUCT(Index_Returns!D303:D314/100+1)-1)*100</f>
        <v>7.9224956422732751</v>
      </c>
      <c r="C314" s="352">
        <f t="array" ref="C314">(PRODUCT(Index_Returns!C303:C314/100+1)-1)*100</f>
        <v>-32.429912131402162</v>
      </c>
      <c r="D314" s="352">
        <f t="shared" si="18"/>
        <v>40.352407773675438</v>
      </c>
      <c r="E314" s="352">
        <f t="array" ref="E314">(GEOMEAN(Index_Returns!D279:D314/100+1)^12-1)*100</f>
        <v>6.0746675802577865</v>
      </c>
      <c r="F314" s="352">
        <f t="array" ref="F314">(GEOMEAN(Index_Returns!C279:C314/100+1)^12-1)*100</f>
        <v>0.88578039887474702</v>
      </c>
      <c r="G314" s="352">
        <f t="shared" si="19"/>
        <v>5.1888871813830395</v>
      </c>
      <c r="H314" s="351"/>
      <c r="I314" s="350">
        <f t="array" ref="I314">(PRODUCT(Index_Returns!G303:G314/100+1)-1)*100</f>
        <v>32.901133970304343</v>
      </c>
      <c r="J314" s="350">
        <f t="array" ref="J314">(PRODUCT(Index_Returns!F303:F314/100+1)-1)*100</f>
        <v>-10.181624182836469</v>
      </c>
      <c r="K314" s="350">
        <f t="shared" si="23"/>
        <v>43.082758153140816</v>
      </c>
      <c r="L314" s="350">
        <f t="array" ref="L314">(GEOMEAN(Index_Returns!G279:G314/100+1)^12-1)*100</f>
        <v>11.829855374859722</v>
      </c>
      <c r="M314" s="350">
        <f t="array" ref="M314">(GEOMEAN(Index_Returns!F279:F314/100+1)^12-1)*100</f>
        <v>16.983895421495056</v>
      </c>
      <c r="N314" s="350">
        <f t="shared" si="24"/>
        <v>-5.154040046635334</v>
      </c>
      <c r="O314" s="352"/>
      <c r="P314" s="352">
        <f t="array" ref="P314">(PRODUCT(Index_Returns!M303:M314/100+1)-1)*100</f>
        <v>16.562099733343103</v>
      </c>
      <c r="Q314" s="352">
        <f t="array" ref="Q314">(PRODUCT(Index_Returns!L303:L314/100+1)-1)*100</f>
        <v>4.8437834185170781</v>
      </c>
      <c r="R314" s="352">
        <f t="shared" si="20"/>
        <v>11.718316314826026</v>
      </c>
      <c r="S314" s="352">
        <f t="array" ref="S314">(GEOMEAN(Index_Returns!M279:M314/100+1)^12-1)*100</f>
        <v>6.0656929088057421</v>
      </c>
      <c r="T314" s="352">
        <f t="array" ref="T314">(GEOMEAN(Index_Returns!L279:L314/100+1)^12-1)*100</f>
        <v>8.3132978113636504</v>
      </c>
      <c r="U314" s="352">
        <f t="shared" si="22"/>
        <v>-2.2476049025579083</v>
      </c>
      <c r="V314" s="352"/>
      <c r="W314" s="352">
        <f t="array" ref="W314">(PRODUCT(Index_Returns!AC303:AC314/100+1)-1)*100</f>
        <v>-12.671454760999644</v>
      </c>
      <c r="X314" s="352">
        <f t="array" ref="X314">(PRODUCT(Index_Returns!AB303:AB314/100+1)-1)*100</f>
        <v>-33.121895136609595</v>
      </c>
      <c r="Y314" s="352">
        <f t="shared" si="21"/>
        <v>20.450440375609951</v>
      </c>
      <c r="Z314" s="352">
        <f t="array" ref="Z314">(GEOMEAN(Index_Returns!AC279:AC314/100+1)^12-1)*100</f>
        <v>2.9605489935153217</v>
      </c>
      <c r="AA314" s="352">
        <f t="array" ref="AA314">(GEOMEAN(Index_Returns!AB279:AB314/100+1)^12-1)*100</f>
        <v>-5.2236854943503719</v>
      </c>
      <c r="AB314" s="352">
        <f t="shared" si="17"/>
        <v>8.1842344878656945</v>
      </c>
    </row>
    <row r="315" spans="1:28" x14ac:dyDescent="0.2">
      <c r="A315" s="19">
        <v>37103</v>
      </c>
      <c r="B315" s="352">
        <f t="array" ref="B315">(PRODUCT(Index_Returns!D304:D315/100+1)-1)*100</f>
        <v>3.9759567971082044</v>
      </c>
      <c r="C315" s="352">
        <f t="array" ref="C315">(PRODUCT(Index_Returns!C304:C315/100+1)-1)*100</f>
        <v>-29.466866370329793</v>
      </c>
      <c r="D315" s="352">
        <f t="shared" si="18"/>
        <v>33.442823167438</v>
      </c>
      <c r="E315" s="352">
        <f t="array" ref="E315">(GEOMEAN(Index_Returns!D280:D315/100+1)^12-1)*100</f>
        <v>6.2338171716646684</v>
      </c>
      <c r="F315" s="352">
        <f t="array" ref="F315">(GEOMEAN(Index_Returns!C280:C315/100+1)^12-1)*100</f>
        <v>0.81658677962994641</v>
      </c>
      <c r="G315" s="352">
        <f t="shared" si="19"/>
        <v>5.417230392034722</v>
      </c>
      <c r="H315" s="351"/>
      <c r="I315" s="350">
        <f t="array" ref="I315">(PRODUCT(Index_Returns!G304:G315/100+1)-1)*100</f>
        <v>27.850274702726342</v>
      </c>
      <c r="J315" s="350">
        <f t="array" ref="J315">(PRODUCT(Index_Returns!F304:F315/100+1)-1)*100</f>
        <v>-12.296172832251152</v>
      </c>
      <c r="K315" s="350">
        <f t="shared" si="23"/>
        <v>40.146447534977497</v>
      </c>
      <c r="L315" s="350">
        <f t="array" ref="L315">(GEOMEAN(Index_Returns!G280:G315/100+1)^12-1)*100</f>
        <v>13.503846870709936</v>
      </c>
      <c r="M315" s="350">
        <f t="array" ref="M315">(GEOMEAN(Index_Returns!F280:F315/100+1)^12-1)*100</f>
        <v>17.184324573368158</v>
      </c>
      <c r="N315" s="350">
        <f t="shared" si="24"/>
        <v>-3.6804777026582229</v>
      </c>
      <c r="O315" s="352"/>
      <c r="P315" s="352">
        <f t="array" ref="P315">(PRODUCT(Index_Returns!M304:M315/100+1)-1)*100</f>
        <v>16.139106649317615</v>
      </c>
      <c r="Q315" s="352">
        <f t="array" ref="Q315">(PRODUCT(Index_Returns!L304:L315/100+1)-1)*100</f>
        <v>6.9566136710849324</v>
      </c>
      <c r="R315" s="352">
        <f t="shared" si="20"/>
        <v>9.1824929782326823</v>
      </c>
      <c r="S315" s="352">
        <f t="array" ref="S315">(GEOMEAN(Index_Returns!M280:M315/100+1)^12-1)*100</f>
        <v>8.8163799911576746</v>
      </c>
      <c r="T315" s="352">
        <f t="array" ref="T315">(GEOMEAN(Index_Returns!L280:L315/100+1)^12-1)*100</f>
        <v>10.1053365708899</v>
      </c>
      <c r="U315" s="352">
        <f t="shared" si="22"/>
        <v>-1.2889565797322255</v>
      </c>
      <c r="V315" s="352"/>
      <c r="W315" s="352">
        <f t="array" ref="W315">(PRODUCT(Index_Returns!AC304:AC315/100+1)-1)*100</f>
        <v>-11.763874813804742</v>
      </c>
      <c r="X315" s="352">
        <f t="array" ref="X315">(PRODUCT(Index_Returns!AB304:AB315/100+1)-1)*100</f>
        <v>-30.388772702916732</v>
      </c>
      <c r="Y315" s="352">
        <f t="shared" si="21"/>
        <v>18.624897889111992</v>
      </c>
      <c r="Z315" s="352">
        <f t="array" ref="Z315">(GEOMEAN(Index_Returns!AC280:AC315/100+1)^12-1)*100</f>
        <v>1.975546747627388</v>
      </c>
      <c r="AA315" s="352">
        <f t="array" ref="AA315">(GEOMEAN(Index_Returns!AB280:AB315/100+1)^12-1)*100</f>
        <v>-6.1422276416499555</v>
      </c>
      <c r="AB315" s="352">
        <f t="shared" si="17"/>
        <v>8.1177743892773435</v>
      </c>
    </row>
    <row r="316" spans="1:28" x14ac:dyDescent="0.2">
      <c r="A316" s="19">
        <v>37134</v>
      </c>
      <c r="B316" s="352">
        <f t="array" ref="B316">(PRODUCT(Index_Returns!D305:D316/100+1)-1)*100</f>
        <v>-8.1897319767252004</v>
      </c>
      <c r="C316" s="352">
        <f t="array" ref="C316">(PRODUCT(Index_Returns!C305:C316/100+1)-1)*100</f>
        <v>-37.805222358722389</v>
      </c>
      <c r="D316" s="352">
        <f t="shared" si="18"/>
        <v>29.615490381997191</v>
      </c>
      <c r="E316" s="352">
        <f t="array" ref="E316">(GEOMEAN(Index_Returns!D281:D316/100+1)^12-1)*100</f>
        <v>10.41345377178402</v>
      </c>
      <c r="F316" s="352">
        <f t="array" ref="F316">(GEOMEAN(Index_Returns!C281:C316/100+1)^12-1)*100</f>
        <v>3.1922213407311606</v>
      </c>
      <c r="G316" s="352">
        <f t="shared" si="19"/>
        <v>7.2212324310528597</v>
      </c>
      <c r="H316" s="351"/>
      <c r="I316" s="350">
        <f t="array" ref="I316">(PRODUCT(Index_Returns!G305:G316/100+1)-1)*100</f>
        <v>16.899281980104796</v>
      </c>
      <c r="J316" s="350">
        <f t="array" ref="J316">(PRODUCT(Index_Returns!F305:F316/100+1)-1)*100</f>
        <v>-27.151554154091496</v>
      </c>
      <c r="K316" s="350">
        <f t="shared" si="23"/>
        <v>44.050836134196288</v>
      </c>
      <c r="L316" s="350">
        <f t="array" ref="L316">(GEOMEAN(Index_Returns!G281:G316/100+1)^12-1)*100</f>
        <v>19.657300169751334</v>
      </c>
      <c r="M316" s="350">
        <f t="array" ref="M316">(GEOMEAN(Index_Returns!F281:F316/100+1)^12-1)*100</f>
        <v>24.706618584777807</v>
      </c>
      <c r="N316" s="350">
        <f t="shared" si="24"/>
        <v>-5.0493184150264732</v>
      </c>
      <c r="O316" s="352"/>
      <c r="P316" s="352">
        <f t="array" ref="P316">(PRODUCT(Index_Returns!M305:M316/100+1)-1)*100</f>
        <v>7.6184162147827639</v>
      </c>
      <c r="Q316" s="352">
        <f t="array" ref="Q316">(PRODUCT(Index_Returns!L305:L316/100+1)-1)*100</f>
        <v>-7.0057325919142706</v>
      </c>
      <c r="R316" s="352">
        <f t="shared" si="20"/>
        <v>14.624148806697034</v>
      </c>
      <c r="S316" s="352">
        <f t="array" ref="S316">(GEOMEAN(Index_Returns!M281:M316/100+1)^12-1)*100</f>
        <v>15.355849402930243</v>
      </c>
      <c r="T316" s="352">
        <f t="array" ref="T316">(GEOMEAN(Index_Returns!L281:L316/100+1)^12-1)*100</f>
        <v>17.98431012775259</v>
      </c>
      <c r="U316" s="352">
        <f t="shared" si="22"/>
        <v>-2.6284607248223466</v>
      </c>
      <c r="V316" s="352"/>
      <c r="W316" s="352">
        <f t="array" ref="W316">(PRODUCT(Index_Returns!AC305:AC316/100+1)-1)*100</f>
        <v>-12.959699686843729</v>
      </c>
      <c r="X316" s="352">
        <f t="array" ref="X316">(PRODUCT(Index_Returns!AB305:AB316/100+1)-1)*100</f>
        <v>-34.26512734221577</v>
      </c>
      <c r="Y316" s="352">
        <f t="shared" si="21"/>
        <v>21.305427655372043</v>
      </c>
      <c r="Z316" s="352">
        <f t="array" ref="Z316">(GEOMEAN(Index_Returns!AC281:AC316/100+1)^12-1)*100</f>
        <v>7.0442461108430443</v>
      </c>
      <c r="AA316" s="352">
        <f t="array" ref="AA316">(GEOMEAN(Index_Returns!AB281:AB316/100+1)^12-1)*100</f>
        <v>-4.027309471355089</v>
      </c>
      <c r="AB316" s="352">
        <f t="shared" si="17"/>
        <v>11.071555582198133</v>
      </c>
    </row>
    <row r="317" spans="1:28" x14ac:dyDescent="0.2">
      <c r="A317" s="19">
        <v>37164</v>
      </c>
      <c r="B317" s="352">
        <f t="array" ref="B317">(PRODUCT(Index_Returns!D306:D317/100+1)-1)*100</f>
        <v>-16.89084313860937</v>
      </c>
      <c r="C317" s="352">
        <f t="array" ref="C317">(PRODUCT(Index_Returns!C306:C317/100+1)-1)*100</f>
        <v>-35.702308992372991</v>
      </c>
      <c r="D317" s="352">
        <f t="shared" si="18"/>
        <v>18.811465853763622</v>
      </c>
      <c r="E317" s="352">
        <f t="array" ref="E317">(GEOMEAN(Index_Returns!D282:D317/100+1)^12-1)*100</f>
        <v>4.7210712249952325</v>
      </c>
      <c r="F317" s="352">
        <f t="array" ref="F317">(GEOMEAN(Index_Returns!C282:C317/100+1)^12-1)*100</f>
        <v>-1.3232930725998515</v>
      </c>
      <c r="G317" s="352">
        <f t="shared" si="19"/>
        <v>6.0443642975950844</v>
      </c>
      <c r="H317" s="351"/>
      <c r="I317" s="350">
        <f t="array" ref="I317">(PRODUCT(Index_Returns!G306:G317/100+1)-1)*100</f>
        <v>2.2654174089426382</v>
      </c>
      <c r="J317" s="350">
        <f t="array" ref="J317">(PRODUCT(Index_Returns!F306:F317/100+1)-1)*100</f>
        <v>-35.599557574572863</v>
      </c>
      <c r="K317" s="350">
        <f t="shared" si="23"/>
        <v>37.864974983515502</v>
      </c>
      <c r="L317" s="350">
        <f t="array" ref="L317">(GEOMEAN(Index_Returns!G282:G317/100+1)^12-1)*100</f>
        <v>12.167901654598023</v>
      </c>
      <c r="M317" s="350">
        <f t="array" ref="M317">(GEOMEAN(Index_Returns!F282:F317/100+1)^12-1)*100</f>
        <v>14.644436758808421</v>
      </c>
      <c r="N317" s="350">
        <f t="shared" si="24"/>
        <v>-2.4765351042103987</v>
      </c>
      <c r="O317" s="352"/>
      <c r="P317" s="352">
        <f t="array" ref="P317">(PRODUCT(Index_Returns!M306:M317/100+1)-1)*100</f>
        <v>-4.1879519864025161</v>
      </c>
      <c r="Q317" s="352">
        <f t="array" ref="Q317">(PRODUCT(Index_Returns!L306:L317/100+1)-1)*100</f>
        <v>-17.295996483408583</v>
      </c>
      <c r="R317" s="352">
        <f t="shared" si="20"/>
        <v>13.108044497006066</v>
      </c>
      <c r="S317" s="352">
        <f t="array" ref="S317">(GEOMEAN(Index_Returns!M282:M317/100+1)^12-1)*100</f>
        <v>8.0800228619807513</v>
      </c>
      <c r="T317" s="352">
        <f t="array" ref="T317">(GEOMEAN(Index_Returns!L282:L317/100+1)^12-1)*100</f>
        <v>9.8486086935324124</v>
      </c>
      <c r="U317" s="352">
        <f t="shared" si="22"/>
        <v>-1.7685858315516612</v>
      </c>
      <c r="V317" s="352"/>
      <c r="W317" s="352">
        <f t="array" ref="W317">(PRODUCT(Index_Returns!AC306:AC317/100+1)-1)*100</f>
        <v>-19.88129115838716</v>
      </c>
      <c r="X317" s="352">
        <f t="array" ref="X317">(PRODUCT(Index_Returns!AB306:AB317/100+1)-1)*100</f>
        <v>-36.259311414595238</v>
      </c>
      <c r="Y317" s="352">
        <f t="shared" si="21"/>
        <v>16.378020256208078</v>
      </c>
      <c r="Z317" s="352">
        <f t="array" ref="Z317">(GEOMEAN(Index_Returns!AC282:AC317/100+1)^12-1)*100</f>
        <v>4.2318669184820523</v>
      </c>
      <c r="AA317" s="352">
        <f t="array" ref="AA317">(GEOMEAN(Index_Returns!AB282:AB317/100+1)^12-1)*100</f>
        <v>-6.2663724844260305</v>
      </c>
      <c r="AB317" s="352">
        <f t="shared" si="17"/>
        <v>10.498239402908084</v>
      </c>
    </row>
    <row r="318" spans="1:28" x14ac:dyDescent="0.2">
      <c r="A318" s="19">
        <v>37195</v>
      </c>
      <c r="B318" s="352">
        <f t="array" ref="B318">(PRODUCT(Index_Returns!D307:D318/100+1)-1)*100</f>
        <v>-18.414853672016108</v>
      </c>
      <c r="C318" s="352">
        <f t="array" ref="C318">(PRODUCT(Index_Returns!C307:C318/100+1)-1)*100</f>
        <v>-31.557322610871395</v>
      </c>
      <c r="D318" s="352">
        <f t="shared" si="18"/>
        <v>13.142468938855288</v>
      </c>
      <c r="E318" s="352">
        <f t="array" ref="E318">(GEOMEAN(Index_Returns!D283:D318/100+1)^12-1)*100</f>
        <v>2.1214204208567011</v>
      </c>
      <c r="F318" s="352">
        <f t="array" ref="F318">(GEOMEAN(Index_Returns!C283:C318/100+1)^12-1)*100</f>
        <v>-2.7727944025638052</v>
      </c>
      <c r="G318" s="352">
        <f t="shared" si="19"/>
        <v>4.8942148234205067</v>
      </c>
      <c r="H318" s="351"/>
      <c r="I318" s="350">
        <f t="array" ref="I318">(PRODUCT(Index_Returns!G307:G318/100+1)-1)*100</f>
        <v>4.8714581732357098</v>
      </c>
      <c r="J318" s="350">
        <f t="array" ref="J318">(PRODUCT(Index_Returns!F307:F318/100+1)-1)*100</f>
        <v>-26.682810017364211</v>
      </c>
      <c r="K318" s="350">
        <f t="shared" si="23"/>
        <v>31.55426819059992</v>
      </c>
      <c r="L318" s="350">
        <f t="array" ref="L318">(GEOMEAN(Index_Returns!G283:G318/100+1)^12-1)*100</f>
        <v>9.9348485714227266</v>
      </c>
      <c r="M318" s="350">
        <f t="array" ref="M318">(GEOMEAN(Index_Returns!F283:F318/100+1)^12-1)*100</f>
        <v>13.750927393892676</v>
      </c>
      <c r="N318" s="350">
        <f t="shared" si="24"/>
        <v>-3.8160788224699491</v>
      </c>
      <c r="O318" s="352"/>
      <c r="P318" s="352">
        <f t="array" ref="P318">(PRODUCT(Index_Returns!M307:M318/100+1)-1)*100</f>
        <v>-0.39422848647099329</v>
      </c>
      <c r="Q318" s="352">
        <f t="array" ref="Q318">(PRODUCT(Index_Returns!L307:L318/100+1)-1)*100</f>
        <v>-13.031971599125203</v>
      </c>
      <c r="R318" s="352">
        <f t="shared" si="20"/>
        <v>12.63774311265421</v>
      </c>
      <c r="S318" s="352">
        <f t="array" ref="S318">(GEOMEAN(Index_Returns!M283:M318/100+1)^12-1)*100</f>
        <v>8.2674118159363541</v>
      </c>
      <c r="T318" s="352">
        <f t="array" ref="T318">(GEOMEAN(Index_Returns!L283:L318/100+1)^12-1)*100</f>
        <v>10.143706589449874</v>
      </c>
      <c r="U318" s="352">
        <f t="shared" si="22"/>
        <v>-1.8762947735135196</v>
      </c>
      <c r="V318" s="352"/>
      <c r="W318" s="352">
        <f t="array" ref="W318">(PRODUCT(Index_Returns!AC307:AC318/100+1)-1)*100</f>
        <v>-18.842854676733122</v>
      </c>
      <c r="X318" s="352">
        <f t="array" ref="X318">(PRODUCT(Index_Returns!AB307:AB318/100+1)-1)*100</f>
        <v>-30.51806347319156</v>
      </c>
      <c r="Y318" s="352">
        <f t="shared" si="21"/>
        <v>11.675208796458438</v>
      </c>
      <c r="Z318" s="352">
        <f t="array" ref="Z318">(GEOMEAN(Index_Returns!AC283:AC318/100+1)^12-1)*100</f>
        <v>1.1654579643632035</v>
      </c>
      <c r="AA318" s="352">
        <f t="array" ref="AA318">(GEOMEAN(Index_Returns!AB283:AB318/100+1)^12-1)*100</f>
        <v>-8.0534628317733734</v>
      </c>
      <c r="AB318" s="352">
        <f t="shared" si="17"/>
        <v>9.218920796136576</v>
      </c>
    </row>
    <row r="319" spans="1:28" x14ac:dyDescent="0.2">
      <c r="A319" s="19">
        <v>37225</v>
      </c>
      <c r="B319" s="352">
        <f t="array" ref="B319">(PRODUCT(Index_Returns!D308:D319/100+1)-1)*100</f>
        <v>-8.5574295293545983</v>
      </c>
      <c r="C319" s="352">
        <f t="array" ref="C319">(PRODUCT(Index_Returns!C308:C319/100+1)-1)*100</f>
        <v>-16.63283244895004</v>
      </c>
      <c r="D319" s="352">
        <f t="shared" si="18"/>
        <v>8.075402919595442</v>
      </c>
      <c r="E319" s="352">
        <f t="array" ref="E319">(GEOMEAN(Index_Returns!D284:D319/100+1)^12-1)*100</f>
        <v>2.4879805431234914</v>
      </c>
      <c r="F319" s="352">
        <f t="array" ref="F319">(GEOMEAN(Index_Returns!C284:C319/100+1)^12-1)*100</f>
        <v>-2.1445209813041433</v>
      </c>
      <c r="G319" s="352">
        <f t="shared" si="19"/>
        <v>4.6325015244276351</v>
      </c>
      <c r="H319" s="351"/>
      <c r="I319" s="350">
        <f t="array" ref="I319">(PRODUCT(Index_Returns!G308:G319/100+1)-1)*100</f>
        <v>11.096675855358807</v>
      </c>
      <c r="J319" s="350">
        <f t="array" ref="J319">(PRODUCT(Index_Returns!F308:F319/100+1)-1)*100</f>
        <v>-6.9738503177976918</v>
      </c>
      <c r="K319" s="350">
        <f t="shared" si="23"/>
        <v>18.070526173156498</v>
      </c>
      <c r="L319" s="350">
        <f t="array" ref="L319">(GEOMEAN(Index_Returns!G284:G319/100+1)^12-1)*100</f>
        <v>11.260242655640251</v>
      </c>
      <c r="M319" s="350">
        <f t="array" ref="M319">(GEOMEAN(Index_Returns!F284:F319/100+1)^12-1)*100</f>
        <v>14.151721792302352</v>
      </c>
      <c r="N319" s="350">
        <f t="shared" si="24"/>
        <v>-2.8914791366621007</v>
      </c>
      <c r="O319" s="352"/>
      <c r="P319" s="352">
        <f t="array" ref="P319">(PRODUCT(Index_Returns!M308:M319/100+1)-1)*100</f>
        <v>16.685871350884462</v>
      </c>
      <c r="Q319" s="352">
        <f t="array" ref="Q319">(PRODUCT(Index_Returns!L308:L319/100+1)-1)*100</f>
        <v>6.6873533168352317</v>
      </c>
      <c r="R319" s="352">
        <f t="shared" si="20"/>
        <v>9.9985180340492299</v>
      </c>
      <c r="S319" s="352">
        <f t="array" ref="S319">(GEOMEAN(Index_Returns!M284:M319/100+1)^12-1)*100</f>
        <v>9.3339397848540848</v>
      </c>
      <c r="T319" s="352">
        <f t="array" ref="T319">(GEOMEAN(Index_Returns!L284:L319/100+1)^12-1)*100</f>
        <v>10.236187117077344</v>
      </c>
      <c r="U319" s="352">
        <f t="shared" si="22"/>
        <v>-0.90224733222325959</v>
      </c>
      <c r="V319" s="352"/>
      <c r="W319" s="352">
        <f t="array" ref="W319">(PRODUCT(Index_Returns!AC308:AC319/100+1)-1)*100</f>
        <v>-14.484717936713576</v>
      </c>
      <c r="X319" s="352">
        <f t="array" ref="X319">(PRODUCT(Index_Returns!AB308:AB319/100+1)-1)*100</f>
        <v>-23.421196945195398</v>
      </c>
      <c r="Y319" s="352">
        <f t="shared" si="21"/>
        <v>8.9364790084818218</v>
      </c>
      <c r="Z319" s="352">
        <f t="array" ref="Z319">(GEOMEAN(Index_Returns!AC284:AC319/100+1)^12-1)*100</f>
        <v>0.15999441528715685</v>
      </c>
      <c r="AA319" s="352">
        <f t="array" ref="AA319">(GEOMEAN(Index_Returns!AB284:AB319/100+1)^12-1)*100</f>
        <v>-7.9692710027915004</v>
      </c>
      <c r="AB319" s="352">
        <f t="shared" si="17"/>
        <v>8.1292654180786563</v>
      </c>
    </row>
    <row r="320" spans="1:28" x14ac:dyDescent="0.2">
      <c r="A320" s="19">
        <v>37256</v>
      </c>
      <c r="B320" s="352">
        <f t="array" ref="B320">(PRODUCT(Index_Returns!D309:D320/100+1)-1)*100</f>
        <v>-11.709991851802371</v>
      </c>
      <c r="C320" s="352">
        <f t="array" ref="C320">(PRODUCT(Index_Returns!C309:C320/100+1)-1)*100</f>
        <v>-12.73331018610383</v>
      </c>
      <c r="D320" s="352">
        <f t="shared" si="18"/>
        <v>1.0233183343014591</v>
      </c>
      <c r="E320" s="352">
        <f t="array" ref="E320">(GEOMEAN(Index_Returns!D285:D320/100+1)^12-1)*100</f>
        <v>1.8266207662589462</v>
      </c>
      <c r="F320" s="352">
        <f t="array" ref="F320">(GEOMEAN(Index_Returns!C285:C320/100+1)^12-1)*100</f>
        <v>-4.4604853510033848</v>
      </c>
      <c r="G320" s="352">
        <f t="shared" si="19"/>
        <v>6.287106117262331</v>
      </c>
      <c r="H320" s="351"/>
      <c r="I320" s="350">
        <f t="array" ref="I320">(PRODUCT(Index_Returns!G309:G320/100+1)-1)*100</f>
        <v>7.1385487304937989</v>
      </c>
      <c r="J320" s="350">
        <f t="array" ref="J320">(PRODUCT(Index_Returns!F309:F320/100+1)-1)*100</f>
        <v>-7.9696847875977861</v>
      </c>
      <c r="K320" s="350">
        <f t="shared" si="23"/>
        <v>15.108233518091584</v>
      </c>
      <c r="L320" s="350">
        <f t="array" ref="L320">(GEOMEAN(Index_Returns!G285:G320/100+1)^12-1)*100</f>
        <v>11.909015380163378</v>
      </c>
      <c r="M320" s="350">
        <f t="array" ref="M320">(GEOMEAN(Index_Returns!F285:F320/100+1)^12-1)*100</f>
        <v>8.9499647291409357</v>
      </c>
      <c r="N320" s="350">
        <f t="shared" si="24"/>
        <v>2.9590506510224426</v>
      </c>
      <c r="O320" s="352"/>
      <c r="P320" s="352">
        <f t="array" ref="P320">(PRODUCT(Index_Returns!M309:M320/100+1)-1)*100</f>
        <v>9.5049143186995302</v>
      </c>
      <c r="Q320" s="352">
        <f t="array" ref="Q320">(PRODUCT(Index_Returns!L309:L320/100+1)-1)*100</f>
        <v>2.9885492355135934</v>
      </c>
      <c r="R320" s="352">
        <f t="shared" si="20"/>
        <v>6.5163650831859368</v>
      </c>
      <c r="S320" s="352">
        <f t="array" ref="S320">(GEOMEAN(Index_Returns!M285:M320/100+1)^12-1)*100</f>
        <v>9.975881231159466</v>
      </c>
      <c r="T320" s="352">
        <f t="array" ref="T320">(GEOMEAN(Index_Returns!L285:L320/100+1)^12-1)*100</f>
        <v>9.882797496405594</v>
      </c>
      <c r="U320" s="352">
        <f t="shared" si="22"/>
        <v>9.3083734753871994E-2</v>
      </c>
      <c r="V320" s="352"/>
      <c r="W320" s="352">
        <f t="array" ref="W320">(PRODUCT(Index_Returns!AC309:AC320/100+1)-1)*100</f>
        <v>-18.219390948111979</v>
      </c>
      <c r="X320" s="352">
        <f t="array" ref="X320">(PRODUCT(Index_Returns!AB309:AB320/100+1)-1)*100</f>
        <v>-24.406282424984493</v>
      </c>
      <c r="Y320" s="352">
        <f t="shared" si="21"/>
        <v>6.1868914768725141</v>
      </c>
      <c r="Z320" s="352">
        <f t="array" ref="Z320">(GEOMEAN(Index_Returns!AC285:AC320/100+1)^12-1)*100</f>
        <v>-0.34250222011341647</v>
      </c>
      <c r="AA320" s="352">
        <f t="array" ref="AA320">(GEOMEAN(Index_Returns!AB285:AB320/100+1)^12-1)*100</f>
        <v>-9.4969416664513631</v>
      </c>
      <c r="AB320" s="352">
        <f t="shared" si="17"/>
        <v>9.1544394463379462</v>
      </c>
    </row>
    <row r="321" spans="1:28" x14ac:dyDescent="0.2">
      <c r="A321" s="19">
        <v>37287</v>
      </c>
      <c r="B321" s="352">
        <f t="array" ref="B321">(PRODUCT(Index_Returns!D310:D321/100+1)-1)*100</f>
        <v>-17.611127857255571</v>
      </c>
      <c r="C321" s="352">
        <f t="array" ref="C321">(PRODUCT(Index_Returns!C310:C321/100+1)-1)*100</f>
        <v>-15.281512767654137</v>
      </c>
      <c r="D321" s="352">
        <f t="shared" si="18"/>
        <v>-2.3296150896014343</v>
      </c>
      <c r="E321" s="352">
        <f t="array" ref="E321">(GEOMEAN(Index_Returns!D286:D321/100+1)^12-1)*100</f>
        <v>0.21629887391834135</v>
      </c>
      <c r="F321" s="352">
        <f t="array" ref="F321">(GEOMEAN(Index_Returns!C286:C321/100+1)^12-1)*100</f>
        <v>-6.3779254941585872</v>
      </c>
      <c r="G321" s="352">
        <f t="shared" si="19"/>
        <v>6.5942243680769286</v>
      </c>
      <c r="H321" s="351"/>
      <c r="I321" s="350">
        <f t="array" ref="I321">(PRODUCT(Index_Returns!G310:G321/100+1)-1)*100</f>
        <v>2.546618245543808</v>
      </c>
      <c r="J321" s="350">
        <f t="array" ref="J321">(PRODUCT(Index_Returns!F310:F321/100+1)-1)*100</f>
        <v>-8.9212715857864495</v>
      </c>
      <c r="K321" s="350">
        <f t="shared" si="23"/>
        <v>11.467889831330258</v>
      </c>
      <c r="L321" s="350">
        <f t="array" ref="L321">(GEOMEAN(Index_Returns!G286:G321/100+1)^12-1)*100</f>
        <v>13.922080951747851</v>
      </c>
      <c r="M321" s="350">
        <f t="array" ref="M321">(GEOMEAN(Index_Returns!F286:F321/100+1)^12-1)*100</f>
        <v>9.4765725893538821</v>
      </c>
      <c r="N321" s="350">
        <f t="shared" si="24"/>
        <v>4.4455083623939693</v>
      </c>
      <c r="O321" s="352"/>
      <c r="P321" s="352">
        <f t="array" ref="P321">(PRODUCT(Index_Returns!M310:M321/100+1)-1)*100</f>
        <v>7.3972674317151377</v>
      </c>
      <c r="Q321" s="352">
        <f t="array" ref="Q321">(PRODUCT(Index_Returns!L310:L321/100+1)-1)*100</f>
        <v>-1.8324116004711732</v>
      </c>
      <c r="R321" s="352">
        <f t="shared" si="20"/>
        <v>9.2296790321863114</v>
      </c>
      <c r="S321" s="352">
        <f t="array" ref="S321">(GEOMEAN(Index_Returns!M286:M321/100+1)^12-1)*100</f>
        <v>11.52702981463214</v>
      </c>
      <c r="T321" s="352">
        <f t="array" ref="T321">(GEOMEAN(Index_Returns!L286:L321/100+1)^12-1)*100</f>
        <v>9.9658440439057916</v>
      </c>
      <c r="U321" s="352">
        <f t="shared" si="22"/>
        <v>1.5611857707263486</v>
      </c>
      <c r="V321" s="352"/>
      <c r="W321" s="352">
        <f t="array" ref="W321">(PRODUCT(Index_Returns!AC310:AC321/100+1)-1)*100</f>
        <v>-22.627065492465313</v>
      </c>
      <c r="X321" s="352">
        <f t="array" ref="X321">(PRODUCT(Index_Returns!AB310:AB321/100+1)-1)*100</f>
        <v>-28.278525371582774</v>
      </c>
      <c r="Y321" s="352">
        <f t="shared" si="21"/>
        <v>5.6514598791174606</v>
      </c>
      <c r="Z321" s="352">
        <f t="array" ref="Z321">(GEOMEAN(Index_Returns!AC286:AC321/100+1)^12-1)*100</f>
        <v>-1.7401741248892488</v>
      </c>
      <c r="AA321" s="352">
        <f t="array" ref="AA321">(GEOMEAN(Index_Returns!AB286:AB321/100+1)^12-1)*100</f>
        <v>-11.311863149975544</v>
      </c>
      <c r="AB321" s="352">
        <f t="shared" si="17"/>
        <v>9.5716890250862949</v>
      </c>
    </row>
    <row r="322" spans="1:28" x14ac:dyDescent="0.2">
      <c r="A322" s="19">
        <v>37315</v>
      </c>
      <c r="B322" s="352">
        <f t="array" ref="B322">(PRODUCT(Index_Returns!D311:D322/100+1)-1)*100</f>
        <v>-12.552487108483422</v>
      </c>
      <c r="C322" s="352">
        <f t="array" ref="C322">(PRODUCT(Index_Returns!C311:C322/100+1)-1)*100</f>
        <v>-6.8360731429221051</v>
      </c>
      <c r="D322" s="352">
        <f t="shared" si="18"/>
        <v>-5.7164139655613173</v>
      </c>
      <c r="E322" s="352">
        <f t="array" ref="E322">(GEOMEAN(Index_Returns!D287:D322/100+1)^12-1)*100</f>
        <v>0.6439585039456297</v>
      </c>
      <c r="F322" s="352">
        <f t="array" ref="F322">(GEOMEAN(Index_Returns!C287:C322/100+1)^12-1)*100</f>
        <v>-6.0635843291052645</v>
      </c>
      <c r="G322" s="352">
        <f t="shared" si="19"/>
        <v>6.7075428330508942</v>
      </c>
      <c r="H322" s="351"/>
      <c r="I322" s="350">
        <f t="array" ref="I322">(PRODUCT(Index_Returns!G311:G322/100+1)-1)*100</f>
        <v>8.5705997084999161</v>
      </c>
      <c r="J322" s="350">
        <f t="array" ref="J322">(PRODUCT(Index_Returns!F311:F322/100+1)-1)*100</f>
        <v>-2.9573528501751878</v>
      </c>
      <c r="K322" s="350">
        <f t="shared" si="23"/>
        <v>11.527952558675103</v>
      </c>
      <c r="L322" s="350">
        <f t="array" ref="L322">(GEOMEAN(Index_Returns!G287:G322/100+1)^12-1)*100</f>
        <v>16.702508271579664</v>
      </c>
      <c r="M322" s="350">
        <f t="array" ref="M322">(GEOMEAN(Index_Returns!F287:F322/100+1)^12-1)*100</f>
        <v>10.826915220787692</v>
      </c>
      <c r="N322" s="350">
        <f t="shared" si="24"/>
        <v>5.8755930507919718</v>
      </c>
      <c r="O322" s="352"/>
      <c r="P322" s="352">
        <f t="array" ref="P322">(PRODUCT(Index_Returns!M311:M322/100+1)-1)*100</f>
        <v>10.60671547478842</v>
      </c>
      <c r="Q322" s="352">
        <f t="array" ref="Q322">(PRODUCT(Index_Returns!L311:L322/100+1)-1)*100</f>
        <v>5.0705203718918179</v>
      </c>
      <c r="R322" s="352">
        <f t="shared" si="20"/>
        <v>5.5361951028966017</v>
      </c>
      <c r="S322" s="352">
        <f t="array" ref="S322">(GEOMEAN(Index_Returns!M287:M322/100+1)^12-1)*100</f>
        <v>14.288084940124435</v>
      </c>
      <c r="T322" s="352">
        <f t="array" ref="T322">(GEOMEAN(Index_Returns!L287:L322/100+1)^12-1)*100</f>
        <v>12.935909241294731</v>
      </c>
      <c r="U322" s="352">
        <f t="shared" si="22"/>
        <v>1.3521756988297042</v>
      </c>
      <c r="V322" s="352"/>
      <c r="W322" s="352">
        <f t="array" ref="W322">(PRODUCT(Index_Returns!AC311:AC322/100+1)-1)*100</f>
        <v>-18.469818589725651</v>
      </c>
      <c r="X322" s="352">
        <f t="array" ref="X322">(PRODUCT(Index_Returns!AB311:AB322/100+1)-1)*100</f>
        <v>-19.105588081099189</v>
      </c>
      <c r="Y322" s="352">
        <f t="shared" si="21"/>
        <v>0.63576949137353722</v>
      </c>
      <c r="Z322" s="352">
        <f t="array" ref="Z322">(GEOMEAN(Index_Returns!AC287:AC322/100+1)^12-1)*100</f>
        <v>-1.237363689307569</v>
      </c>
      <c r="AA322" s="352">
        <f t="array" ref="AA322">(GEOMEAN(Index_Returns!AB287:AB322/100+1)^12-1)*100</f>
        <v>-9.9339013211555578</v>
      </c>
      <c r="AB322" s="352">
        <f t="shared" si="17"/>
        <v>8.6965376318479883</v>
      </c>
    </row>
    <row r="323" spans="1:28" x14ac:dyDescent="0.2">
      <c r="A323" s="19">
        <v>37346</v>
      </c>
      <c r="B323" s="352">
        <f t="array" ref="B323">(PRODUCT(Index_Returns!D312:D323/100+1)-1)*100</f>
        <v>-4.2941673325373353</v>
      </c>
      <c r="C323" s="352">
        <f t="array" ref="C323">(PRODUCT(Index_Returns!C312:C323/100+1)-1)*100</f>
        <v>4.8302158162217834</v>
      </c>
      <c r="D323" s="352">
        <f t="shared" si="18"/>
        <v>-9.1243831487591187</v>
      </c>
      <c r="E323" s="352">
        <f t="array" ref="E323">(GEOMEAN(Index_Returns!D288:D323/100+1)^12-1)*100</f>
        <v>1.3208981381060081</v>
      </c>
      <c r="F323" s="352">
        <f t="array" ref="F323">(GEOMEAN(Index_Returns!C288:C323/100+1)^12-1)*100</f>
        <v>-6.8045511747158116</v>
      </c>
      <c r="G323" s="352">
        <f t="shared" si="19"/>
        <v>8.1254493128218197</v>
      </c>
      <c r="H323" s="351"/>
      <c r="I323" s="350">
        <f t="array" ref="I323">(PRODUCT(Index_Returns!G312:G323/100+1)-1)*100</f>
        <v>21.977672415371895</v>
      </c>
      <c r="J323" s="350">
        <f t="array" ref="J323">(PRODUCT(Index_Returns!F312:F323/100+1)-1)*100</f>
        <v>16.31908298852338</v>
      </c>
      <c r="K323" s="350">
        <f t="shared" si="23"/>
        <v>5.6585894268485148</v>
      </c>
      <c r="L323" s="350">
        <f t="array" ref="L323">(GEOMEAN(Index_Returns!G288:G323/100+1)^12-1)*100</f>
        <v>18.773209637674746</v>
      </c>
      <c r="M323" s="350">
        <f t="array" ref="M323">(GEOMEAN(Index_Returns!F288:F323/100+1)^12-1)*100</f>
        <v>11.940483002972591</v>
      </c>
      <c r="N323" s="350">
        <f t="shared" si="24"/>
        <v>6.8327266347021549</v>
      </c>
      <c r="O323" s="352"/>
      <c r="P323" s="352">
        <f t="array" ref="P323">(PRODUCT(Index_Returns!M312:M323/100+1)-1)*100</f>
        <v>23.649119686401733</v>
      </c>
      <c r="Q323" s="352">
        <f t="array" ref="Q323">(PRODUCT(Index_Returns!L312:L323/100+1)-1)*100</f>
        <v>20.693844441802376</v>
      </c>
      <c r="R323" s="352">
        <f t="shared" si="20"/>
        <v>2.9552752445993562</v>
      </c>
      <c r="S323" s="352">
        <f t="array" ref="S323">(GEOMEAN(Index_Returns!M288:M323/100+1)^12-1)*100</f>
        <v>16.886776318745113</v>
      </c>
      <c r="T323" s="352">
        <f t="array" ref="T323">(GEOMEAN(Index_Returns!L288:L323/100+1)^12-1)*100</f>
        <v>15.186363603593067</v>
      </c>
      <c r="U323" s="352">
        <f t="shared" si="22"/>
        <v>1.7004127151520461</v>
      </c>
      <c r="V323" s="352"/>
      <c r="W323" s="352">
        <f t="array" ref="W323">(PRODUCT(Index_Returns!AC312:AC323/100+1)-1)*100</f>
        <v>-6.801463420020637</v>
      </c>
      <c r="X323" s="352">
        <f t="array" ref="X323">(PRODUCT(Index_Returns!AB312:AB323/100+1)-1)*100</f>
        <v>-9.7888467192682853</v>
      </c>
      <c r="Y323" s="352">
        <f t="shared" si="21"/>
        <v>2.9873832992476483</v>
      </c>
      <c r="Z323" s="352">
        <f t="array" ref="Z323">(GEOMEAN(Index_Returns!AC288:AC323/100+1)^12-1)*100</f>
        <v>-1.2342258508013071</v>
      </c>
      <c r="AA323" s="352">
        <f t="array" ref="AA323">(GEOMEAN(Index_Returns!AB288:AB323/100+1)^12-1)*100</f>
        <v>-9.204151922866755</v>
      </c>
      <c r="AB323" s="352">
        <f t="shared" si="17"/>
        <v>7.9699260720654479</v>
      </c>
    </row>
    <row r="324" spans="1:28" x14ac:dyDescent="0.2">
      <c r="A324" s="19">
        <v>37376</v>
      </c>
      <c r="B324" s="352">
        <f t="array" ref="B324">(PRODUCT(Index_Returns!D313:D324/100+1)-1)*100</f>
        <v>-14.864614126814157</v>
      </c>
      <c r="C324" s="352">
        <f t="array" ref="C324">(PRODUCT(Index_Returns!C313:C324/100+1)-1)*100</f>
        <v>-10.654084574413414</v>
      </c>
      <c r="D324" s="352">
        <f t="shared" si="18"/>
        <v>-4.2105295524007431</v>
      </c>
      <c r="E324" s="352">
        <f t="array" ref="E324">(GEOMEAN(Index_Returns!D289:D324/100+1)^12-1)*100</f>
        <v>-3.1081917206635112</v>
      </c>
      <c r="F324" s="352">
        <f t="array" ref="F324">(GEOMEAN(Index_Returns!C289:C324/100+1)^12-1)*100</f>
        <v>-9.0236507943538324</v>
      </c>
      <c r="G324" s="352">
        <f t="shared" si="19"/>
        <v>5.9154590736903216</v>
      </c>
      <c r="H324" s="351"/>
      <c r="I324" s="350">
        <f t="array" ref="I324">(PRODUCT(Index_Returns!G313:G324/100+1)-1)*100</f>
        <v>13.535757518870263</v>
      </c>
      <c r="J324" s="350">
        <f t="array" ref="J324">(PRODUCT(Index_Returns!F313:F324/100+1)-1)*100</f>
        <v>-0.18541014163173664</v>
      </c>
      <c r="K324" s="350">
        <f t="shared" si="23"/>
        <v>13.721167660501999</v>
      </c>
      <c r="L324" s="350">
        <f t="array" ref="L324">(GEOMEAN(Index_Returns!G289:G324/100+1)^12-1)*100</f>
        <v>15.744580694591349</v>
      </c>
      <c r="M324" s="350">
        <f t="array" ref="M324">(GEOMEAN(Index_Returns!F289:F324/100+1)^12-1)*100</f>
        <v>8.7730952052021962</v>
      </c>
      <c r="N324" s="350">
        <f t="shared" si="24"/>
        <v>6.9714854893891527</v>
      </c>
      <c r="O324" s="352"/>
      <c r="P324" s="352">
        <f t="array" ref="P324">(PRODUCT(Index_Returns!M313:M324/100+1)-1)*100</f>
        <v>21.599085351737468</v>
      </c>
      <c r="Q324" s="352">
        <f t="array" ref="Q324">(PRODUCT(Index_Returns!L313:L324/100+1)-1)*100</f>
        <v>11.339050356362868</v>
      </c>
      <c r="R324" s="352">
        <f t="shared" si="20"/>
        <v>10.2600349953746</v>
      </c>
      <c r="S324" s="352">
        <f t="array" ref="S324">(GEOMEAN(Index_Returns!M289:M324/100+1)^12-1)*100</f>
        <v>15.678157176891272</v>
      </c>
      <c r="T324" s="352">
        <f t="array" ref="T324">(GEOMEAN(Index_Returns!L289:L324/100+1)^12-1)*100</f>
        <v>13.59233871833756</v>
      </c>
      <c r="U324" s="352">
        <f t="shared" si="22"/>
        <v>2.0858184585537121</v>
      </c>
      <c r="V324" s="352"/>
      <c r="W324" s="352">
        <f t="array" ref="W324">(PRODUCT(Index_Returns!AC313:AC324/100+1)-1)*100</f>
        <v>-12.246475741019358</v>
      </c>
      <c r="X324" s="352">
        <f t="array" ref="X324">(PRODUCT(Index_Returns!AB313:AB324/100+1)-1)*100</f>
        <v>-15.124497442139329</v>
      </c>
      <c r="Y324" s="352">
        <f t="shared" si="21"/>
        <v>2.8780217011199714</v>
      </c>
      <c r="Z324" s="352">
        <f t="array" ref="Z324">(GEOMEAN(Index_Returns!AC289:AC324/100+1)^12-1)*100</f>
        <v>-3.1518684325383517</v>
      </c>
      <c r="AA324" s="352">
        <f t="array" ref="AA324">(GEOMEAN(Index_Returns!AB289:AB324/100+1)^12-1)*100</f>
        <v>-9.3410380268118427</v>
      </c>
      <c r="AB324" s="352">
        <f t="shared" ref="AB324:AB384" si="25">Z324-AA324</f>
        <v>6.1891695942734906</v>
      </c>
    </row>
    <row r="325" spans="1:28" x14ac:dyDescent="0.2">
      <c r="A325" s="19">
        <v>37407</v>
      </c>
      <c r="B325" s="352">
        <f t="array" ref="B325">(PRODUCT(Index_Returns!D314:D325/100+1)-1)*100</f>
        <v>-15.409738076895806</v>
      </c>
      <c r="C325" s="352">
        <f t="array" ref="C325">(PRODUCT(Index_Returns!C314:C325/100+1)-1)*100</f>
        <v>-12.592936032241308</v>
      </c>
      <c r="D325" s="352">
        <f t="shared" ref="D325:D373" si="26">B325-C325</f>
        <v>-2.8168020446544979</v>
      </c>
      <c r="E325" s="352">
        <f t="array" ref="E325">(GEOMEAN(Index_Returns!D290:D325/100+1)^12-1)*100</f>
        <v>-2.4012202744424394</v>
      </c>
      <c r="F325" s="352">
        <f t="array" ref="F325">(GEOMEAN(Index_Returns!C290:C325/100+1)^12-1)*100</f>
        <v>-8.719462266702438</v>
      </c>
      <c r="G325" s="352">
        <f t="shared" ref="G325:G385" si="27">E325-F325</f>
        <v>6.3182419922599991</v>
      </c>
      <c r="H325" s="351"/>
      <c r="I325" s="350">
        <f t="array" ref="I325">(PRODUCT(Index_Returns!G314:G325/100+1)-1)*100</f>
        <v>9.3997556049212783</v>
      </c>
      <c r="J325" s="350">
        <f t="array" ref="J325">(PRODUCT(Index_Returns!F314:F325/100+1)-1)*100</f>
        <v>-4.4451865915523197</v>
      </c>
      <c r="K325" s="350">
        <f t="shared" si="23"/>
        <v>13.844942196473598</v>
      </c>
      <c r="L325" s="350">
        <f t="array" ref="L325">(GEOMEAN(Index_Returns!G290:G325/100+1)^12-1)*100</f>
        <v>14.452757744328748</v>
      </c>
      <c r="M325" s="350">
        <f t="array" ref="M325">(GEOMEAN(Index_Returns!F290:F325/100+1)^12-1)*100</f>
        <v>8.4413694560955257</v>
      </c>
      <c r="N325" s="350">
        <f t="shared" si="24"/>
        <v>6.0113882882332224</v>
      </c>
      <c r="O325" s="352"/>
      <c r="P325" s="352">
        <f t="array" ref="P325">(PRODUCT(Index_Returns!M314:M325/100+1)-1)*100</f>
        <v>14.16944981726591</v>
      </c>
      <c r="Q325" s="352">
        <f t="array" ref="Q325">(PRODUCT(Index_Returns!L314:L325/100+1)-1)*100</f>
        <v>5.0291951526582723</v>
      </c>
      <c r="R325" s="352">
        <f t="shared" ref="R325:R373" si="28">P325-Q325</f>
        <v>9.1402546646076388</v>
      </c>
      <c r="S325" s="352">
        <f t="array" ref="S325">(GEOMEAN(Index_Returns!M290:M325/100+1)^12-1)*100</f>
        <v>13.138058567451715</v>
      </c>
      <c r="T325" s="352">
        <f t="array" ref="T325">(GEOMEAN(Index_Returns!L290:L325/100+1)^12-1)*100</f>
        <v>11.113028729624364</v>
      </c>
      <c r="U325" s="352">
        <f t="shared" si="22"/>
        <v>2.0250298378273506</v>
      </c>
      <c r="V325" s="352"/>
      <c r="W325" s="352">
        <f t="array" ref="W325">(PRODUCT(Index_Returns!AC314:AC325/100+1)-1)*100</f>
        <v>-7.4543374114125367</v>
      </c>
      <c r="X325" s="352">
        <f t="array" ref="X325">(PRODUCT(Index_Returns!AB314:AB325/100+1)-1)*100</f>
        <v>-11.33940093804714</v>
      </c>
      <c r="Y325" s="352">
        <f t="shared" ref="Y325:Y373" si="29">W325-X325</f>
        <v>3.8850635266346032</v>
      </c>
      <c r="Z325" s="352">
        <f t="array" ref="Z325">(GEOMEAN(Index_Returns!AC290:AC325/100+1)^12-1)*100</f>
        <v>-0.41541684106208843</v>
      </c>
      <c r="AA325" s="352">
        <f t="array" ref="AA325">(GEOMEAN(Index_Returns!AB290:AB325/100+1)^12-1)*100</f>
        <v>-7.9049734732921539</v>
      </c>
      <c r="AB325" s="352">
        <f t="shared" si="25"/>
        <v>7.489556632230066</v>
      </c>
    </row>
    <row r="326" spans="1:28" x14ac:dyDescent="0.2">
      <c r="A326" s="19">
        <v>37437</v>
      </c>
      <c r="B326" s="352">
        <f t="array" ref="B326">(PRODUCT(Index_Returns!D315:D326/100+1)-1)*100</f>
        <v>-18.088343739635871</v>
      </c>
      <c r="C326" s="352">
        <f t="array" ref="C326">(PRODUCT(Index_Returns!C315:C326/100+1)-1)*100</f>
        <v>-18.499679673920923</v>
      </c>
      <c r="D326" s="352">
        <f t="shared" si="26"/>
        <v>0.41133593428505222</v>
      </c>
      <c r="E326" s="352">
        <f t="array" ref="E326">(GEOMEAN(Index_Returns!D291:D326/100+1)^12-1)*100</f>
        <v>-5.6887873395783162</v>
      </c>
      <c r="F326" s="352">
        <f t="array" ref="F326">(GEOMEAN(Index_Returns!C291:C326/100+1)^12-1)*100</f>
        <v>-13.250867634279118</v>
      </c>
      <c r="G326" s="352">
        <f t="shared" si="27"/>
        <v>7.5620802947008015</v>
      </c>
      <c r="H326" s="351"/>
      <c r="I326" s="350">
        <f t="array" ref="I326">(PRODUCT(Index_Returns!G315:G326/100+1)-1)*100</f>
        <v>3.0864247936386535</v>
      </c>
      <c r="J326" s="350">
        <f t="array" ref="J326">(PRODUCT(Index_Returns!F315:F326/100+1)-1)*100</f>
        <v>-12.43520015711983</v>
      </c>
      <c r="K326" s="350">
        <f t="shared" si="23"/>
        <v>15.521624950758483</v>
      </c>
      <c r="L326" s="350">
        <f t="array" ref="L326">(GEOMEAN(Index_Returns!G291:G326/100+1)^12-1)*100</f>
        <v>11.126146790449676</v>
      </c>
      <c r="M326" s="350">
        <f t="array" ref="M326">(GEOMEAN(Index_Returns!F291:F326/100+1)^12-1)*100</f>
        <v>2.4648746671550592</v>
      </c>
      <c r="N326" s="350">
        <f t="shared" si="24"/>
        <v>8.6612721232946157</v>
      </c>
      <c r="O326" s="352"/>
      <c r="P326" s="352">
        <f t="array" ref="P326">(PRODUCT(Index_Returns!M315:M326/100+1)-1)*100</f>
        <v>5.7010244039999991</v>
      </c>
      <c r="Q326" s="352">
        <f t="array" ref="Q326">(PRODUCT(Index_Returns!L315:L326/100+1)-1)*100</f>
        <v>-5.0693090707031434</v>
      </c>
      <c r="R326" s="352">
        <f t="shared" si="28"/>
        <v>10.770333474703143</v>
      </c>
      <c r="S326" s="352">
        <f t="array" ref="S326">(GEOMEAN(Index_Returns!M291:M326/100+1)^12-1)*100</f>
        <v>9.7757598257277358</v>
      </c>
      <c r="T326" s="352">
        <f t="array" ref="T326">(GEOMEAN(Index_Returns!L291:L326/100+1)^12-1)*100</f>
        <v>6.4713380886521454</v>
      </c>
      <c r="U326" s="352">
        <f t="shared" ref="U326:U385" si="30">S326-T326</f>
        <v>3.3044217370755904</v>
      </c>
      <c r="V326" s="352"/>
      <c r="W326" s="352">
        <f t="array" ref="W326">(PRODUCT(Index_Returns!AC315:AC326/100+1)-1)*100</f>
        <v>-9.3242919406325786</v>
      </c>
      <c r="X326" s="352">
        <f t="array" ref="X326">(PRODUCT(Index_Returns!AB315:AB326/100+1)-1)*100</f>
        <v>-9.214741050287623</v>
      </c>
      <c r="Y326" s="352">
        <f t="shared" si="29"/>
        <v>-0.10955089034495558</v>
      </c>
      <c r="Z326" s="352">
        <f t="array" ref="Z326">(GEOMEAN(Index_Returns!AC291:AC326/100+1)^12-1)*100</f>
        <v>-3.4513873665507067</v>
      </c>
      <c r="AA326" s="352">
        <f t="array" ref="AA326">(GEOMEAN(Index_Returns!AB291:AB326/100+1)^12-1)*100</f>
        <v>-9.8499809333918549</v>
      </c>
      <c r="AB326" s="352">
        <f t="shared" si="25"/>
        <v>6.3985935668411482</v>
      </c>
    </row>
    <row r="327" spans="1:28" x14ac:dyDescent="0.2">
      <c r="A327" s="19">
        <v>37468</v>
      </c>
      <c r="B327" s="352">
        <f t="array" ref="B327">(PRODUCT(Index_Returns!D316:D327/100+1)-1)*100</f>
        <v>-25.657613926164615</v>
      </c>
      <c r="C327" s="352">
        <f t="array" ref="C327">(PRODUCT(Index_Returns!C316:C327/100+1)-1)*100</f>
        <v>-22.208552002744153</v>
      </c>
      <c r="D327" s="352">
        <f t="shared" si="26"/>
        <v>-3.4490619234204623</v>
      </c>
      <c r="E327" s="352">
        <f t="array" ref="E327">(GEOMEAN(Index_Returns!D292:D327/100+1)^12-1)*100</f>
        <v>-8.2674540385842761</v>
      </c>
      <c r="F327" s="352">
        <f t="array" ref="F327">(GEOMEAN(Index_Returns!C292:C327/100+1)^12-1)*100</f>
        <v>-13.742536841309327</v>
      </c>
      <c r="G327" s="352">
        <f t="shared" si="27"/>
        <v>5.4750828027250513</v>
      </c>
      <c r="H327" s="351"/>
      <c r="I327" s="350">
        <f t="array" ref="I327">(PRODUCT(Index_Returns!G316:G327/100+1)-1)*100</f>
        <v>-7.6128761698447072</v>
      </c>
      <c r="J327" s="350">
        <f t="array" ref="J327">(PRODUCT(Index_Returns!F316:F327/100+1)-1)*100</f>
        <v>-17.858718510048899</v>
      </c>
      <c r="K327" s="350">
        <f t="shared" si="23"/>
        <v>10.245842340204192</v>
      </c>
      <c r="L327" s="350">
        <f t="array" ref="L327">(GEOMEAN(Index_Returns!G292:G327/100+1)^12-1)*100</f>
        <v>7.6220541702572087</v>
      </c>
      <c r="M327" s="350">
        <f t="array" ref="M327">(GEOMEAN(Index_Returns!F292:F327/100+1)^12-1)*100</f>
        <v>0.28178034150636577</v>
      </c>
      <c r="N327" s="350">
        <f t="shared" si="24"/>
        <v>7.3402738287508429</v>
      </c>
      <c r="O327" s="352"/>
      <c r="P327" s="352">
        <f t="array" ref="P327">(PRODUCT(Index_Returns!M316:M327/100+1)-1)*100</f>
        <v>-8.8464775044940538</v>
      </c>
      <c r="Q327" s="352">
        <f t="array" ref="Q327">(PRODUCT(Index_Returns!L316:L327/100+1)-1)*100</f>
        <v>-16.07919867985348</v>
      </c>
      <c r="R327" s="352">
        <f t="shared" si="28"/>
        <v>7.2327211753594263</v>
      </c>
      <c r="S327" s="352">
        <f t="array" ref="S327">(GEOMEAN(Index_Returns!M292:M327/100+1)^12-1)*100</f>
        <v>4.5141558121407188</v>
      </c>
      <c r="T327" s="352">
        <f t="array" ref="T327">(GEOMEAN(Index_Returns!L292:L327/100+1)^12-1)*100</f>
        <v>1.6252017531340091</v>
      </c>
      <c r="U327" s="352">
        <f t="shared" si="30"/>
        <v>2.8889540590067098</v>
      </c>
      <c r="V327" s="352"/>
      <c r="W327" s="352">
        <f t="array" ref="W327">(PRODUCT(Index_Returns!AC316:AC327/100+1)-1)*100</f>
        <v>-16.514882375655247</v>
      </c>
      <c r="X327" s="352">
        <f t="array" ref="X327">(PRODUCT(Index_Returns!AB316:AB327/100+1)-1)*100</f>
        <v>-16.877070607169841</v>
      </c>
      <c r="Y327" s="352">
        <f t="shared" si="29"/>
        <v>0.36218823151459389</v>
      </c>
      <c r="Z327" s="352">
        <f t="array" ref="Z327">(GEOMEAN(Index_Returns!AC292:AC327/100+1)^12-1)*100</f>
        <v>-7.6609595217784543</v>
      </c>
      <c r="AA327" s="352">
        <f t="array" ref="AA327">(GEOMEAN(Index_Returns!AB292:AB327/100+1)^12-1)*100</f>
        <v>-13.728060524859098</v>
      </c>
      <c r="AB327" s="352">
        <f t="shared" si="25"/>
        <v>6.0671010030806434</v>
      </c>
    </row>
    <row r="328" spans="1:28" x14ac:dyDescent="0.2">
      <c r="A328" s="19">
        <v>37499</v>
      </c>
      <c r="B328" s="352">
        <f t="array" ref="B328">(PRODUCT(Index_Returns!D317:D328/100+1)-1)*100</f>
        <v>-20.554958325023755</v>
      </c>
      <c r="C328" s="352">
        <f t="array" ref="C328">(PRODUCT(Index_Returns!C317:C328/100+1)-1)*100</f>
        <v>-16.085902425526623</v>
      </c>
      <c r="D328" s="352">
        <f t="shared" si="26"/>
        <v>-4.4690558994971319</v>
      </c>
      <c r="E328" s="352">
        <f t="array" ref="E328">(GEOMEAN(Index_Returns!D293:D328/100+1)^12-1)*100</f>
        <v>-7.2691461217226028</v>
      </c>
      <c r="F328" s="352">
        <f t="array" ref="F328">(GEOMEAN(Index_Returns!C293:C328/100+1)^12-1)*100</f>
        <v>-13.958465064665738</v>
      </c>
      <c r="G328" s="352">
        <f t="shared" si="27"/>
        <v>6.6893189429431352</v>
      </c>
      <c r="H328" s="351"/>
      <c r="I328" s="350">
        <f t="array" ref="I328">(PRODUCT(Index_Returns!G317:G328/100+1)-1)*100</f>
        <v>-4.8753891021939939</v>
      </c>
      <c r="J328" s="350">
        <f t="array" ref="J328">(PRODUCT(Index_Returns!F317:F328/100+1)-1)*100</f>
        <v>-13.839805110110436</v>
      </c>
      <c r="K328" s="350">
        <f t="shared" si="23"/>
        <v>8.9644160079164426</v>
      </c>
      <c r="L328" s="350">
        <f t="array" ref="L328">(GEOMEAN(Index_Returns!G293:G328/100+1)^12-1)*100</f>
        <v>9.3344832227385552</v>
      </c>
      <c r="M328" s="350">
        <f t="array" ref="M328">(GEOMEAN(Index_Returns!F293:F328/100+1)^12-1)*100</f>
        <v>1.3577091951097353</v>
      </c>
      <c r="N328" s="350">
        <f t="shared" si="24"/>
        <v>7.9767740276288199</v>
      </c>
      <c r="O328" s="352"/>
      <c r="P328" s="352">
        <f t="array" ref="P328">(PRODUCT(Index_Returns!M317:M328/100+1)-1)*100</f>
        <v>-7.9923038031970535</v>
      </c>
      <c r="Q328" s="352">
        <f t="array" ref="Q328">(PRODUCT(Index_Returns!L317:L328/100+1)-1)*100</f>
        <v>-11.295347205760775</v>
      </c>
      <c r="R328" s="352">
        <f t="shared" si="28"/>
        <v>3.3030434025637216</v>
      </c>
      <c r="S328" s="352">
        <f t="array" ref="S328">(GEOMEAN(Index_Returns!M293:M328/100+1)^12-1)*100</f>
        <v>5.6273701298992229</v>
      </c>
      <c r="T328" s="352">
        <f t="array" ref="T328">(GEOMEAN(Index_Returns!L293:L328/100+1)^12-1)*100</f>
        <v>4.250080223503816</v>
      </c>
      <c r="U328" s="352">
        <f t="shared" si="30"/>
        <v>1.3772899063954069</v>
      </c>
      <c r="V328" s="352"/>
      <c r="W328" s="352">
        <f t="array" ref="W328">(PRODUCT(Index_Returns!AC317:AC328/100+1)-1)*100</f>
        <v>-15.70348419457439</v>
      </c>
      <c r="X328" s="352">
        <f t="array" ref="X328">(PRODUCT(Index_Returns!AB317:AB328/100+1)-1)*100</f>
        <v>-13.565596497508803</v>
      </c>
      <c r="Y328" s="352">
        <f t="shared" si="29"/>
        <v>-2.1378876970655867</v>
      </c>
      <c r="Z328" s="352">
        <f t="array" ref="Z328">(GEOMEAN(Index_Returns!AC293:AC328/100+1)^12-1)*100</f>
        <v>-7.6233466862364541</v>
      </c>
      <c r="AA328" s="352">
        <f t="array" ref="AA328">(GEOMEAN(Index_Returns!AB293:AB328/100+1)^12-1)*100</f>
        <v>-14.110022278050527</v>
      </c>
      <c r="AB328" s="352">
        <f t="shared" si="25"/>
        <v>6.4866755918140733</v>
      </c>
    </row>
    <row r="329" spans="1:28" x14ac:dyDescent="0.2">
      <c r="A329" s="19">
        <v>37529</v>
      </c>
      <c r="B329" s="352">
        <f t="array" ref="B329">(PRODUCT(Index_Returns!D318:D329/100+1)-1)*100</f>
        <v>-22.24654842135061</v>
      </c>
      <c r="C329" s="352">
        <f t="array" ref="C329">(PRODUCT(Index_Returns!C318:C329/100+1)-1)*100</f>
        <v>-19.362716048290839</v>
      </c>
      <c r="D329" s="352">
        <f t="shared" si="26"/>
        <v>-2.8838323730597715</v>
      </c>
      <c r="E329" s="352">
        <f t="array" ref="E329">(GEOMEAN(Index_Returns!D294:D329/100+1)^12-1)*100</f>
        <v>-9.7518862931106014</v>
      </c>
      <c r="F329" s="352">
        <f t="array" ref="F329">(GEOMEAN(Index_Returns!C294:C329/100+1)^12-1)*100</f>
        <v>-16.560722229847091</v>
      </c>
      <c r="G329" s="352">
        <f t="shared" si="27"/>
        <v>6.8088359367364895</v>
      </c>
      <c r="H329" s="351"/>
      <c r="I329" s="350">
        <f t="array" ref="I329">(PRODUCT(Index_Returns!G318:G329/100+1)-1)*100</f>
        <v>-3.3903226934220765</v>
      </c>
      <c r="J329" s="350">
        <f t="array" ref="J329">(PRODUCT(Index_Returns!F318:F329/100+1)-1)*100</f>
        <v>-6.2932578994952966</v>
      </c>
      <c r="K329" s="350">
        <f t="shared" si="23"/>
        <v>2.9029352060732201</v>
      </c>
      <c r="L329" s="350">
        <f t="array" ref="L329">(GEOMEAN(Index_Returns!G294:G329/100+1)^12-1)*100</f>
        <v>7.4186075157526288</v>
      </c>
      <c r="M329" s="350">
        <f t="array" ref="M329">(GEOMEAN(Index_Returns!F294:F329/100+1)^12-1)*100</f>
        <v>-0.40838607692622597</v>
      </c>
      <c r="N329" s="350">
        <f t="shared" si="24"/>
        <v>7.8269935926788552</v>
      </c>
      <c r="O329" s="352"/>
      <c r="P329" s="352">
        <f t="array" ref="P329">(PRODUCT(Index_Returns!M318:M329/100+1)-1)*100</f>
        <v>-1.1651028256210449</v>
      </c>
      <c r="Q329" s="352">
        <f t="array" ref="Q329">(PRODUCT(Index_Returns!L318:L329/100+1)-1)*100</f>
        <v>-2.66973222122594</v>
      </c>
      <c r="R329" s="352">
        <f t="shared" si="28"/>
        <v>1.5046293956048951</v>
      </c>
      <c r="S329" s="352">
        <f t="array" ref="S329">(GEOMEAN(Index_Returns!M294:M329/100+1)^12-1)*100</f>
        <v>3.9827053269809509</v>
      </c>
      <c r="T329" s="352">
        <f t="array" ref="T329">(GEOMEAN(Index_Returns!L294:L329/100+1)^12-1)*100</f>
        <v>1.2754183526683338</v>
      </c>
      <c r="U329" s="352">
        <f t="shared" si="30"/>
        <v>2.7072869743126171</v>
      </c>
      <c r="V329" s="352"/>
      <c r="W329" s="352">
        <f t="array" ref="W329">(PRODUCT(Index_Returns!AC318:AC329/100+1)-1)*100</f>
        <v>-17.548234265804609</v>
      </c>
      <c r="X329" s="352">
        <f t="array" ref="X329">(PRODUCT(Index_Returns!AB318:AB329/100+1)-1)*100</f>
        <v>-12.842210987003577</v>
      </c>
      <c r="Y329" s="352">
        <f t="shared" si="29"/>
        <v>-4.7060232788010321</v>
      </c>
      <c r="Z329" s="352">
        <f t="array" ref="Z329">(GEOMEAN(Index_Returns!AC294:AC329/100+1)^12-1)*100</f>
        <v>-11.843056100249271</v>
      </c>
      <c r="AA329" s="352">
        <f t="array" ref="AA329">(GEOMEAN(Index_Returns!AB294:AB329/100+1)^12-1)*100</f>
        <v>-17.112473753990709</v>
      </c>
      <c r="AB329" s="352">
        <f t="shared" si="25"/>
        <v>5.2694176537414386</v>
      </c>
    </row>
    <row r="330" spans="1:28" x14ac:dyDescent="0.2">
      <c r="A330" s="19">
        <v>37560</v>
      </c>
      <c r="B330" s="352">
        <f t="array" ref="B330">(PRODUCT(Index_Returns!D319:D330/100+1)-1)*100</f>
        <v>-15.782126457101697</v>
      </c>
      <c r="C330" s="352">
        <f t="array" ref="C330">(PRODUCT(Index_Returns!C319:C330/100+1)-1)*100</f>
        <v>-15.030564529350309</v>
      </c>
      <c r="D330" s="352">
        <f t="shared" si="26"/>
        <v>-0.75156192775138742</v>
      </c>
      <c r="E330" s="352">
        <f t="array" ref="E330">(GEOMEAN(Index_Returns!D295:D330/100+1)^12-1)*100</f>
        <v>-8.998193070875482</v>
      </c>
      <c r="F330" s="352">
        <f t="array" ref="F330">(GEOMEAN(Index_Returns!C295:C330/100+1)^12-1)*100</f>
        <v>-15.958173567385858</v>
      </c>
      <c r="G330" s="352">
        <f t="shared" si="27"/>
        <v>6.9599804965103758</v>
      </c>
      <c r="H330" s="351"/>
      <c r="I330" s="350">
        <f t="array" ref="I330">(PRODUCT(Index_Returns!G319:G330/100+1)-1)*100</f>
        <v>-1.0818488643085433</v>
      </c>
      <c r="J330" s="350">
        <f t="array" ref="J330">(PRODUCT(Index_Returns!F319:F330/100+1)-1)*100</f>
        <v>-8.9102506960844767</v>
      </c>
      <c r="K330" s="350">
        <f t="shared" si="23"/>
        <v>7.828401831775933</v>
      </c>
      <c r="L330" s="350">
        <f t="array" ref="L330">(GEOMEAN(Index_Returns!G295:G330/100+1)^12-1)*100</f>
        <v>8.113344369008324</v>
      </c>
      <c r="M330" s="350">
        <f t="array" ref="M330">(GEOMEAN(Index_Returns!F295:F330/100+1)^12-1)*100</f>
        <v>-1.5226152871198551</v>
      </c>
      <c r="N330" s="350">
        <f t="shared" si="24"/>
        <v>9.6359596561281791</v>
      </c>
      <c r="O330" s="352"/>
      <c r="P330" s="352">
        <f t="array" ref="P330">(PRODUCT(Index_Returns!M319:M330/100+1)-1)*100</f>
        <v>-2.5596757223179334</v>
      </c>
      <c r="Q330" s="352">
        <f t="array" ref="Q330">(PRODUCT(Index_Returns!L319:L330/100+1)-1)*100</f>
        <v>-5.3193068796168363</v>
      </c>
      <c r="R330" s="352">
        <f t="shared" si="28"/>
        <v>2.759631157298903</v>
      </c>
      <c r="S330" s="352">
        <f t="array" ref="S330">(GEOMEAN(Index_Returns!M295:M330/100+1)^12-1)*100</f>
        <v>5.1458913453799715</v>
      </c>
      <c r="T330" s="352">
        <f t="array" ref="T330">(GEOMEAN(Index_Returns!L295:L330/100+1)^12-1)*100</f>
        <v>2.4432768733619659</v>
      </c>
      <c r="U330" s="352">
        <f t="shared" si="30"/>
        <v>2.7026144720180056</v>
      </c>
      <c r="V330" s="352"/>
      <c r="W330" s="352">
        <f t="array" ref="W330">(PRODUCT(Index_Returns!AC319:AC330/100+1)-1)*100</f>
        <v>-14.415394026240136</v>
      </c>
      <c r="X330" s="352">
        <f t="array" ref="X330">(PRODUCT(Index_Returns!AB319:AB330/100+1)-1)*100</f>
        <v>-11.434106735822247</v>
      </c>
      <c r="Y330" s="352">
        <f t="shared" si="29"/>
        <v>-2.9812872904178889</v>
      </c>
      <c r="Z330" s="352">
        <f t="array" ref="Z330">(GEOMEAN(Index_Returns!AC295:AC330/100+1)^12-1)*100</f>
        <v>-11.032030698426942</v>
      </c>
      <c r="AA330" s="352">
        <f t="array" ref="AA330">(GEOMEAN(Index_Returns!AB295:AB330/100+1)^12-1)*100</f>
        <v>-17.037027894372525</v>
      </c>
      <c r="AB330" s="352">
        <f t="shared" si="25"/>
        <v>6.0049971959455828</v>
      </c>
    </row>
    <row r="331" spans="1:28" x14ac:dyDescent="0.2">
      <c r="A331" s="19">
        <v>37590</v>
      </c>
      <c r="B331" s="352">
        <f t="array" ref="B331">(PRODUCT(Index_Returns!D320:D331/100+1)-1)*100</f>
        <v>-15.244410547376619</v>
      </c>
      <c r="C331" s="352">
        <f t="array" ref="C331">(PRODUCT(Index_Returns!C320:C331/100+1)-1)*100</f>
        <v>-18.155288540797432</v>
      </c>
      <c r="D331" s="352">
        <f t="shared" si="26"/>
        <v>2.9108779934208133</v>
      </c>
      <c r="E331" s="352">
        <f t="array" ref="E331">(GEOMEAN(Index_Returns!D296:D331/100+1)^12-1)*100</f>
        <v>-6.7327342305776083</v>
      </c>
      <c r="F331" s="352">
        <f t="array" ref="F331">(GEOMEAN(Index_Returns!C296:C331/100+1)^12-1)*100</f>
        <v>-15.803690631196021</v>
      </c>
      <c r="G331" s="352">
        <f t="shared" si="27"/>
        <v>9.0709564006184138</v>
      </c>
      <c r="H331" s="351"/>
      <c r="I331" s="350">
        <f t="array" ref="I331">(PRODUCT(Index_Returns!G320:G331/100+1)-1)*100</f>
        <v>-0.76666253836100706</v>
      </c>
      <c r="J331" s="350">
        <f t="array" ref="J331">(PRODUCT(Index_Returns!F320:F331/100+1)-1)*100</f>
        <v>-12.003236355105241</v>
      </c>
      <c r="K331" s="350">
        <f t="shared" si="23"/>
        <v>11.236573816744233</v>
      </c>
      <c r="L331" s="350">
        <f t="array" ref="L331">(GEOMEAN(Index_Returns!G296:G331/100+1)^12-1)*100</f>
        <v>9.6479954098337206</v>
      </c>
      <c r="M331" s="350">
        <f t="array" ref="M331">(GEOMEAN(Index_Returns!F296:F331/100+1)^12-1)*100</f>
        <v>-2.5457151507291997</v>
      </c>
      <c r="N331" s="350">
        <f t="shared" si="24"/>
        <v>12.19371056056292</v>
      </c>
      <c r="O331" s="352"/>
      <c r="P331" s="352">
        <f t="array" ref="P331">(PRODUCT(Index_Returns!M320:M331/100+1)-1)*100</f>
        <v>-5.587754959525193</v>
      </c>
      <c r="Q331" s="352">
        <f t="array" ref="Q331">(PRODUCT(Index_Returns!L320:L331/100+1)-1)*100</f>
        <v>-6.1401482116299588</v>
      </c>
      <c r="R331" s="352">
        <f t="shared" si="28"/>
        <v>0.55239325210476586</v>
      </c>
      <c r="S331" s="352">
        <f t="array" ref="S331">(GEOMEAN(Index_Returns!M296:M331/100+1)^12-1)*100</f>
        <v>5.8193664404320833</v>
      </c>
      <c r="T331" s="352">
        <f t="array" ref="T331">(GEOMEAN(Index_Returns!L296:L331/100+1)^12-1)*100</f>
        <v>2.4858825105431803</v>
      </c>
      <c r="U331" s="352">
        <f t="shared" si="30"/>
        <v>3.333483929888903</v>
      </c>
      <c r="V331" s="352"/>
      <c r="W331" s="352">
        <f t="array" ref="W331">(PRODUCT(Index_Returns!AC320:AC331/100+1)-1)*100</f>
        <v>-11.217259990252293</v>
      </c>
      <c r="X331" s="352">
        <f t="array" ref="X331">(PRODUCT(Index_Returns!AB320:AB331/100+1)-1)*100</f>
        <v>-13.279401488093278</v>
      </c>
      <c r="Y331" s="352">
        <f t="shared" si="29"/>
        <v>2.0621414978409849</v>
      </c>
      <c r="Z331" s="352">
        <f t="array" ref="Z331">(GEOMEAN(Index_Returns!AC296:AC331/100+1)^12-1)*100</f>
        <v>-9.1928828163873924</v>
      </c>
      <c r="AA331" s="352">
        <f t="array" ref="AA331">(GEOMEAN(Index_Returns!AB296:AB331/100+1)^12-1)*100</f>
        <v>-18.183273829414659</v>
      </c>
      <c r="AB331" s="352">
        <f t="shared" si="25"/>
        <v>8.9903910130272671</v>
      </c>
    </row>
    <row r="332" spans="1:28" x14ac:dyDescent="0.2">
      <c r="A332" s="19">
        <v>37621</v>
      </c>
      <c r="B332" s="352">
        <f t="array" ref="B332">(PRODUCT(Index_Returns!D321:D332/100+1)-1)*100</f>
        <v>-20.855489208058476</v>
      </c>
      <c r="C332" s="352">
        <f t="array" ref="C332">(PRODUCT(Index_Returns!C321:C332/100+1)-1)*100</f>
        <v>-23.586556329412613</v>
      </c>
      <c r="D332" s="352">
        <f t="shared" si="26"/>
        <v>2.7310671213541369</v>
      </c>
      <c r="E332" s="352">
        <f t="array" ref="E332">(GEOMEAN(Index_Returns!D297:D332/100+1)^12-1)*100</f>
        <v>-9.4977126832675793</v>
      </c>
      <c r="F332" s="352">
        <f t="array" ref="F332">(GEOMEAN(Index_Returns!C297:C332/100+1)^12-1)*100</f>
        <v>-19.60583051788003</v>
      </c>
      <c r="G332" s="352">
        <f t="shared" si="27"/>
        <v>10.10811783461245</v>
      </c>
      <c r="H332" s="351"/>
      <c r="I332" s="350">
        <f t="array" ref="I332">(PRODUCT(Index_Returns!G321:G332/100+1)-1)*100</f>
        <v>-10.107830358797898</v>
      </c>
      <c r="J332" s="350">
        <f t="array" ref="J332">(PRODUCT(Index_Returns!F321:F332/100+1)-1)*100</f>
        <v>-19.170046531833584</v>
      </c>
      <c r="K332" s="350">
        <f t="shared" si="23"/>
        <v>9.0622161730356865</v>
      </c>
      <c r="L332" s="350">
        <f t="array" ref="L332">(GEOMEAN(Index_Returns!G297:G332/100+1)^12-1)*100</f>
        <v>7.1800166131922971</v>
      </c>
      <c r="M332" s="350">
        <f t="array" ref="M332">(GEOMEAN(Index_Returns!F297:F332/100+1)^12-1)*100</f>
        <v>-6.706358669493639</v>
      </c>
      <c r="N332" s="350">
        <f t="shared" si="24"/>
        <v>13.886375282685936</v>
      </c>
      <c r="O332" s="352"/>
      <c r="P332" s="352">
        <f t="array" ref="P332">(PRODUCT(Index_Returns!M321:M332/100+1)-1)*100</f>
        <v>-12.929570093991094</v>
      </c>
      <c r="Q332" s="352">
        <f t="array" ref="Q332">(PRODUCT(Index_Returns!L321:L332/100+1)-1)*100</f>
        <v>-16.570328317229809</v>
      </c>
      <c r="R332" s="352">
        <f t="shared" si="28"/>
        <v>3.6407582232387146</v>
      </c>
      <c r="S332" s="352">
        <f t="array" ref="S332">(GEOMEAN(Index_Returns!M297:M332/100+1)^12-1)*100</f>
        <v>3.351631512499087</v>
      </c>
      <c r="T332" s="352">
        <f t="array" ref="T332">(GEOMEAN(Index_Returns!L297:L332/100+1)^12-1)*100</f>
        <v>-2.5812537292681181</v>
      </c>
      <c r="U332" s="352">
        <f t="shared" si="30"/>
        <v>5.9328852417672051</v>
      </c>
      <c r="V332" s="352"/>
      <c r="W332" s="352">
        <f t="array" ref="W332">(PRODUCT(Index_Returns!AC321:AC332/100+1)-1)*100</f>
        <v>-15.601818341589968</v>
      </c>
      <c r="X332" s="352">
        <f t="array" ref="X332">(PRODUCT(Index_Returns!AB321:AB332/100+1)-1)*100</f>
        <v>-15.764774414838989</v>
      </c>
      <c r="Y332" s="352">
        <f t="shared" si="29"/>
        <v>0.16295607324902051</v>
      </c>
      <c r="Z332" s="352">
        <f t="array" ref="Z332">(GEOMEAN(Index_Returns!AC297:AC332/100+1)^12-1)*100</f>
        <v>-12.464059007058426</v>
      </c>
      <c r="AA332" s="352">
        <f t="array" ref="AA332">(GEOMEAN(Index_Returns!AB297:AB332/100+1)^12-1)*100</f>
        <v>-21.625374160009169</v>
      </c>
      <c r="AB332" s="352">
        <f t="shared" si="25"/>
        <v>9.1613151529507437</v>
      </c>
    </row>
    <row r="333" spans="1:28" x14ac:dyDescent="0.2">
      <c r="A333" s="19">
        <v>37652</v>
      </c>
      <c r="B333" s="352">
        <f t="array" ref="B333">(PRODUCT(Index_Returns!D322:D333/100+1)-1)*100</f>
        <v>-20.852234107672174</v>
      </c>
      <c r="C333" s="352">
        <f t="array" ref="C333">(PRODUCT(Index_Returns!C322:C333/100+1)-1)*100</f>
        <v>-25.384974398143921</v>
      </c>
      <c r="D333" s="352">
        <f t="shared" si="26"/>
        <v>4.5327402904717466</v>
      </c>
      <c r="E333" s="352">
        <f t="array" ref="E333">(GEOMEAN(Index_Returns!D298:D333/100+1)^12-1)*100</f>
        <v>-9.360199370894362</v>
      </c>
      <c r="F333" s="352">
        <f t="array" ref="F333">(GEOMEAN(Index_Returns!C298:C333/100+1)^12-1)*100</f>
        <v>-18.429390931595069</v>
      </c>
      <c r="G333" s="352">
        <f t="shared" si="27"/>
        <v>9.0691915607007072</v>
      </c>
      <c r="H333" s="351"/>
      <c r="I333" s="350">
        <f t="array" ref="I333">(PRODUCT(Index_Returns!G322:G333/100+1)-1)*100</f>
        <v>-13.200739576298714</v>
      </c>
      <c r="J333" s="350">
        <f t="array" ref="J333">(PRODUCT(Index_Returns!F322:F333/100+1)-1)*100</f>
        <v>-20.253369005758369</v>
      </c>
      <c r="K333" s="350">
        <f t="shared" si="23"/>
        <v>7.052629429459655</v>
      </c>
      <c r="L333" s="350">
        <f t="array" ref="L333">(GEOMEAN(Index_Returns!G298:G333/100+1)^12-1)*100</f>
        <v>7.5001811209949087</v>
      </c>
      <c r="M333" s="350">
        <f t="array" ref="M333">(GEOMEAN(Index_Returns!F298:F333/100+1)^12-1)*100</f>
        <v>-6.9887690065781438</v>
      </c>
      <c r="N333" s="350">
        <f t="shared" si="24"/>
        <v>14.488950127573052</v>
      </c>
      <c r="O333" s="352"/>
      <c r="P333" s="352">
        <f t="array" ref="P333">(PRODUCT(Index_Returns!M322:M333/100+1)-1)*100</f>
        <v>-17.685812243633237</v>
      </c>
      <c r="Q333" s="352">
        <f t="array" ref="Q333">(PRODUCT(Index_Returns!L322:L333/100+1)-1)*100</f>
        <v>-19.157091076509335</v>
      </c>
      <c r="R333" s="352">
        <f t="shared" si="28"/>
        <v>1.4712788328760986</v>
      </c>
      <c r="S333" s="352">
        <f t="array" ref="S333">(GEOMEAN(Index_Returns!M298:M333/100+1)^12-1)*100</f>
        <v>2.8597903213741782</v>
      </c>
      <c r="T333" s="352">
        <f t="array" ref="T333">(GEOMEAN(Index_Returns!L298:L333/100+1)^12-1)*100</f>
        <v>-2.3567772419541999</v>
      </c>
      <c r="U333" s="352">
        <f t="shared" si="30"/>
        <v>5.2165675633283781</v>
      </c>
      <c r="V333" s="352"/>
      <c r="W333" s="352">
        <f t="array" ref="W333">(PRODUCT(Index_Returns!AC322:AC333/100+1)-1)*100</f>
        <v>-13.986249844851494</v>
      </c>
      <c r="X333" s="352">
        <f t="array" ref="X333">(PRODUCT(Index_Returns!AB322:AB333/100+1)-1)*100</f>
        <v>-15.366435971831272</v>
      </c>
      <c r="Y333" s="352">
        <f t="shared" si="29"/>
        <v>1.3801861269797779</v>
      </c>
      <c r="Z333" s="352">
        <f t="array" ref="Z333">(GEOMEAN(Index_Returns!AC298:AC333/100+1)^12-1)*100</f>
        <v>-11.314163051749803</v>
      </c>
      <c r="AA333" s="352">
        <f t="array" ref="AA333">(GEOMEAN(Index_Returns!AB298:AB333/100+1)^12-1)*100</f>
        <v>-21.440366473604467</v>
      </c>
      <c r="AB333" s="352">
        <f t="shared" si="25"/>
        <v>10.126203421854663</v>
      </c>
    </row>
    <row r="334" spans="1:28" x14ac:dyDescent="0.2">
      <c r="A334" s="19">
        <v>37680</v>
      </c>
      <c r="B334" s="352">
        <f t="array" ref="B334">(PRODUCT(Index_Returns!D323:D334/100+1)-1)*100</f>
        <v>-22.309725382113399</v>
      </c>
      <c r="C334" s="352">
        <f t="array" ref="C334">(PRODUCT(Index_Returns!C323:C334/100+1)-1)*100</f>
        <v>-23.343908895594158</v>
      </c>
      <c r="D334" s="352">
        <f t="shared" si="26"/>
        <v>1.0341835134807589</v>
      </c>
      <c r="E334" s="352">
        <f t="array" ref="E334">(GEOMEAN(Index_Returns!D299:D334/100+1)^12-1)*100</f>
        <v>-8.2372088270019077</v>
      </c>
      <c r="F334" s="352">
        <f t="array" ref="F334">(GEOMEAN(Index_Returns!C299:C334/100+1)^12-1)*100</f>
        <v>-19.072800977325155</v>
      </c>
      <c r="G334" s="352">
        <f t="shared" si="27"/>
        <v>10.835592150323247</v>
      </c>
      <c r="H334" s="351"/>
      <c r="I334" s="350">
        <f t="array" ref="I334">(PRODUCT(Index_Returns!G323:G334/100+1)-1)*100</f>
        <v>-17.000130868350272</v>
      </c>
      <c r="J334" s="350">
        <f t="array" ref="J334">(PRODUCT(Index_Returns!F323:F334/100+1)-1)*100</f>
        <v>-20.633019349323945</v>
      </c>
      <c r="K334" s="350">
        <f t="shared" si="23"/>
        <v>3.6328884809736728</v>
      </c>
      <c r="L334" s="350">
        <f t="array" ref="L334">(GEOMEAN(Index_Returns!G299:G334/100+1)^12-1)*100</f>
        <v>8.0773743646999066</v>
      </c>
      <c r="M334" s="350">
        <f t="array" ref="M334">(GEOMEAN(Index_Returns!F299:F334/100+1)^12-1)*100</f>
        <v>-12.438007316239885</v>
      </c>
      <c r="N334" s="350">
        <f t="shared" si="24"/>
        <v>20.51538168093979</v>
      </c>
      <c r="O334" s="352"/>
      <c r="P334" s="352">
        <f t="array" ref="P334">(PRODUCT(Index_Returns!M323:M334/100+1)-1)*100</f>
        <v>-19.171300317591246</v>
      </c>
      <c r="Q334" s="352">
        <f t="array" ref="Q334">(PRODUCT(Index_Returns!L323:L334/100+1)-1)*100</f>
        <v>-20.119246045053487</v>
      </c>
      <c r="R334" s="352">
        <f t="shared" si="28"/>
        <v>0.94794572746224048</v>
      </c>
      <c r="S334" s="352">
        <f t="array" ref="S334">(GEOMEAN(Index_Returns!M299:M334/100+1)^12-1)*100</f>
        <v>-1.1481295198835784</v>
      </c>
      <c r="T334" s="352">
        <f t="array" ref="T334">(GEOMEAN(Index_Returns!L299:L334/100+1)^12-1)*100</f>
        <v>-8.37041796857687</v>
      </c>
      <c r="U334" s="352">
        <f t="shared" si="30"/>
        <v>7.2222884486932912</v>
      </c>
      <c r="V334" s="352"/>
      <c r="W334" s="352">
        <f t="array" ref="W334">(PRODUCT(Index_Returns!AC323:AC334/100+1)-1)*100</f>
        <v>-16.138318811752772</v>
      </c>
      <c r="X334" s="352">
        <f t="array" ref="X334">(PRODUCT(Index_Returns!AB323:AB334/100+1)-1)*100</f>
        <v>-18.287060599987115</v>
      </c>
      <c r="Y334" s="352">
        <f t="shared" si="29"/>
        <v>2.1487417882343429</v>
      </c>
      <c r="Z334" s="352">
        <f t="array" ref="Z334">(GEOMEAN(Index_Returns!AC299:AC334/100+1)^12-1)*100</f>
        <v>-11.919470828824219</v>
      </c>
      <c r="AA334" s="352">
        <f t="array" ref="AA334">(GEOMEAN(Index_Returns!AB299:AB334/100+1)^12-1)*100</f>
        <v>-23.400056055508244</v>
      </c>
      <c r="AB334" s="352">
        <f t="shared" si="25"/>
        <v>11.480585226684026</v>
      </c>
    </row>
    <row r="335" spans="1:28" x14ac:dyDescent="0.2">
      <c r="A335" s="19">
        <v>37711</v>
      </c>
      <c r="B335" s="352">
        <f t="array" ref="B335">(PRODUCT(Index_Returns!D324:D335/100+1)-1)*100</f>
        <v>-26.192613236859952</v>
      </c>
      <c r="C335" s="352">
        <f t="array" ref="C335">(PRODUCT(Index_Returns!C324:C335/100+1)-1)*100</f>
        <v>-23.611352345384383</v>
      </c>
      <c r="D335" s="352">
        <f t="shared" si="26"/>
        <v>-2.5812608914755693</v>
      </c>
      <c r="E335" s="352">
        <f t="array" ref="E335">(GEOMEAN(Index_Returns!D300:D335/100+1)^12-1)*100</f>
        <v>-11.25990815744724</v>
      </c>
      <c r="F335" s="352">
        <f t="array" ref="F335">(GEOMEAN(Index_Returns!C300:C335/100+1)^12-1)*100</f>
        <v>-20.8970559975469</v>
      </c>
      <c r="G335" s="352">
        <f t="shared" si="27"/>
        <v>9.6371478400996597</v>
      </c>
      <c r="H335" s="351"/>
      <c r="I335" s="350">
        <f t="array" ref="I335">(PRODUCT(Index_Returns!G324:G335/100+1)-1)*100</f>
        <v>-22.967663963028162</v>
      </c>
      <c r="J335" s="350">
        <f t="array" ref="J335">(PRODUCT(Index_Returns!F324:F335/100+1)-1)*100</f>
        <v>-24.224344241025165</v>
      </c>
      <c r="K335" s="350">
        <f t="shared" si="23"/>
        <v>1.2566802779970025</v>
      </c>
      <c r="L335" s="350">
        <f t="array" ref="L335">(GEOMEAN(Index_Returns!G300:G335/100+1)^12-1)*100</f>
        <v>2.9576247998894356</v>
      </c>
      <c r="M335" s="350">
        <f t="array" ref="M335">(GEOMEAN(Index_Returns!F300:F335/100+1)^12-1)*100</f>
        <v>-12.847523617460066</v>
      </c>
      <c r="N335" s="350">
        <f t="shared" si="24"/>
        <v>15.805148417349502</v>
      </c>
      <c r="O335" s="352"/>
      <c r="P335" s="352">
        <f t="array" ref="P335">(PRODUCT(Index_Returns!M324:M335/100+1)-1)*100</f>
        <v>-24.740615729653147</v>
      </c>
      <c r="Q335" s="352">
        <f t="array" ref="Q335">(PRODUCT(Index_Returns!L324:L335/100+1)-1)*100</f>
        <v>-25.144377284909247</v>
      </c>
      <c r="R335" s="352">
        <f t="shared" si="28"/>
        <v>0.40376155525610002</v>
      </c>
      <c r="S335" s="352">
        <f t="array" ref="S335">(GEOMEAN(Index_Returns!M300:M335/100+1)^12-1)*100</f>
        <v>-0.53573122125927242</v>
      </c>
      <c r="T335" s="352">
        <f t="array" ref="T335">(GEOMEAN(Index_Returns!L300:L335/100+1)^12-1)*100</f>
        <v>-6.2722488355696271</v>
      </c>
      <c r="U335" s="352">
        <f t="shared" si="30"/>
        <v>5.7365176143103547</v>
      </c>
      <c r="V335" s="352"/>
      <c r="W335" s="352">
        <f t="array" ref="W335">(PRODUCT(Index_Returns!AC324:AC335/100+1)-1)*100</f>
        <v>-23.80389531338961</v>
      </c>
      <c r="X335" s="352">
        <f t="array" ref="X335">(PRODUCT(Index_Returns!AB324:AB335/100+1)-1)*100</f>
        <v>-22.086121737531183</v>
      </c>
      <c r="Y335" s="352">
        <f t="shared" si="29"/>
        <v>-1.7177735758584269</v>
      </c>
      <c r="Z335" s="352">
        <f t="array" ref="Z335">(GEOMEAN(Index_Returns!AC300:AC335/100+1)^12-1)*100</f>
        <v>-14.448373641901268</v>
      </c>
      <c r="AA335" s="352">
        <f t="array" ref="AA335">(GEOMEAN(Index_Returns!AB300:AB335/100+1)^12-1)*100</f>
        <v>-24.124733456585723</v>
      </c>
      <c r="AB335" s="352">
        <f t="shared" si="25"/>
        <v>9.6763598146844547</v>
      </c>
    </row>
    <row r="336" spans="1:28" x14ac:dyDescent="0.2">
      <c r="A336" s="19">
        <v>37741</v>
      </c>
      <c r="B336" s="352">
        <f t="array" ref="B336">(PRODUCT(Index_Returns!D325:D336/100+1)-1)*100</f>
        <v>-14.615288647210644</v>
      </c>
      <c r="C336" s="352">
        <f t="array" ref="C336">(PRODUCT(Index_Returns!C325:C336/100+1)-1)*100</f>
        <v>-12.216353887882692</v>
      </c>
      <c r="D336" s="352">
        <f t="shared" si="26"/>
        <v>-2.3989347593279522</v>
      </c>
      <c r="E336" s="352">
        <f t="array" ref="E336">(GEOMEAN(Index_Returns!D301:D336/100+1)^12-1)*100</f>
        <v>-8.2207870508824055</v>
      </c>
      <c r="F336" s="352">
        <f t="array" ref="F336">(GEOMEAN(Index_Returns!C301:C336/100+1)^12-1)*100</f>
        <v>-17.790448349237696</v>
      </c>
      <c r="G336" s="352">
        <f t="shared" si="27"/>
        <v>9.5696612983552907</v>
      </c>
      <c r="H336" s="351"/>
      <c r="I336" s="350">
        <f t="array" ref="I336">(PRODUCT(Index_Returns!G325:G336/100+1)-1)*100</f>
        <v>-17.943485987020726</v>
      </c>
      <c r="J336" s="350">
        <f t="array" ref="J336">(PRODUCT(Index_Returns!F325:F336/100+1)-1)*100</f>
        <v>-17.252692991425366</v>
      </c>
      <c r="K336" s="350">
        <f t="shared" si="23"/>
        <v>-0.69079299559535912</v>
      </c>
      <c r="L336" s="350">
        <f t="array" ref="L336">(GEOMEAN(Index_Returns!G301:G336/100+1)^12-1)*100</f>
        <v>5.9949999032730128</v>
      </c>
      <c r="M336" s="350">
        <f t="array" ref="M336">(GEOMEAN(Index_Returns!F301:F336/100+1)^12-1)*100</f>
        <v>-9.284926701936957</v>
      </c>
      <c r="N336" s="350">
        <f t="shared" si="24"/>
        <v>15.279926605209969</v>
      </c>
      <c r="O336" s="352"/>
      <c r="P336" s="352">
        <f t="array" ref="P336">(PRODUCT(Index_Returns!M325:M336/100+1)-1)*100</f>
        <v>-21.674529613873872</v>
      </c>
      <c r="Q336" s="352">
        <f t="array" ref="Q336">(PRODUCT(Index_Returns!L325:L336/100+1)-1)*100</f>
        <v>-20.447474662705279</v>
      </c>
      <c r="R336" s="352">
        <f t="shared" si="28"/>
        <v>-1.2270549511685935</v>
      </c>
      <c r="S336" s="352">
        <f t="array" ref="S336">(GEOMEAN(Index_Returns!M301:M336/100+1)^12-1)*100</f>
        <v>2.2559915749219339</v>
      </c>
      <c r="T336" s="352">
        <f t="array" ref="T336">(GEOMEAN(Index_Returns!L301:L336/100+1)^12-1)*100</f>
        <v>-2.9173951845535395</v>
      </c>
      <c r="U336" s="352">
        <f t="shared" si="30"/>
        <v>5.1733867594754734</v>
      </c>
      <c r="V336" s="352"/>
      <c r="W336" s="352">
        <f t="array" ref="W336">(PRODUCT(Index_Returns!AC325:AC336/100+1)-1)*100</f>
        <v>-16.125394961870889</v>
      </c>
      <c r="X336" s="352">
        <f t="array" ref="X336">(PRODUCT(Index_Returns!AB325:AB336/100+1)-1)*100</f>
        <v>-15.742665028807878</v>
      </c>
      <c r="Y336" s="352">
        <f t="shared" si="29"/>
        <v>-0.38272993306301117</v>
      </c>
      <c r="Z336" s="352">
        <f t="array" ref="Z336">(GEOMEAN(Index_Returns!AC301:AC336/100+1)^12-1)*100</f>
        <v>-10.243612408899184</v>
      </c>
      <c r="AA336" s="352">
        <f t="array" ref="AA336">(GEOMEAN(Index_Returns!AB301:AB336/100+1)^12-1)*100</f>
        <v>-20.172174929204957</v>
      </c>
      <c r="AB336" s="352">
        <f t="shared" si="25"/>
        <v>9.928562520305773</v>
      </c>
    </row>
    <row r="337" spans="1:28" x14ac:dyDescent="0.2">
      <c r="A337" s="19">
        <v>37772</v>
      </c>
      <c r="B337" s="352">
        <f t="array" ref="B337">(PRODUCT(Index_Returns!D326:D337/100+1)-1)*100</f>
        <v>-8.6952797255404501</v>
      </c>
      <c r="C337" s="352">
        <f t="array" ref="C337">(PRODUCT(Index_Returns!C326:C337/100+1)-1)*100</f>
        <v>-7.5674831112070624</v>
      </c>
      <c r="D337" s="352">
        <f t="shared" si="26"/>
        <v>-1.1277966143333877</v>
      </c>
      <c r="E337" s="352">
        <f t="array" ref="E337">(GEOMEAN(Index_Returns!D302:D337/100+1)^12-1)*100</f>
        <v>-6.1197580410584429</v>
      </c>
      <c r="F337" s="352">
        <f t="array" ref="F337">(GEOMEAN(Index_Returns!C302:C337/100+1)^12-1)*100</f>
        <v>-15.746833064232623</v>
      </c>
      <c r="G337" s="352">
        <f t="shared" si="27"/>
        <v>9.6270750231741804</v>
      </c>
      <c r="H337" s="351"/>
      <c r="I337" s="350">
        <f t="array" ref="I337">(PRODUCT(Index_Returns!G326:G337/100+1)-1)*100</f>
        <v>-8.3352647642602093</v>
      </c>
      <c r="J337" s="350">
        <f t="array" ref="J337">(PRODUCT(Index_Returns!F326:F337/100+1)-1)*100</f>
        <v>-10.194192914582024</v>
      </c>
      <c r="K337" s="350">
        <f t="shared" si="23"/>
        <v>1.8589281503218142</v>
      </c>
      <c r="L337" s="350">
        <f t="array" ref="L337">(GEOMEAN(Index_Returns!G302:G337/100+1)^12-1)*100</f>
        <v>8.3085095694811919</v>
      </c>
      <c r="M337" s="350">
        <f t="array" ref="M337">(GEOMEAN(Index_Returns!F302:F337/100+1)^12-1)*100</f>
        <v>-5.6196384502282264</v>
      </c>
      <c r="N337" s="350">
        <f t="shared" si="24"/>
        <v>13.928148019709418</v>
      </c>
      <c r="O337" s="352"/>
      <c r="P337" s="352">
        <f t="array" ref="P337">(PRODUCT(Index_Returns!M326:M337/100+1)-1)*100</f>
        <v>-12.115433530058706</v>
      </c>
      <c r="Q337" s="352">
        <f t="array" ref="Q337">(PRODUCT(Index_Returns!L326:L337/100+1)-1)*100</f>
        <v>-9.8871289253417043</v>
      </c>
      <c r="R337" s="352">
        <f t="shared" si="28"/>
        <v>-2.2283046047170014</v>
      </c>
      <c r="S337" s="352">
        <f t="array" ref="S337">(GEOMEAN(Index_Returns!M302:M337/100+1)^12-1)*100</f>
        <v>5.5735664574637633</v>
      </c>
      <c r="T337" s="352">
        <f t="array" ref="T337">(GEOMEAN(Index_Returns!L302:L337/100+1)^12-1)*100</f>
        <v>1.0005974368676451</v>
      </c>
      <c r="U337" s="352">
        <f t="shared" si="30"/>
        <v>4.5729690205961182</v>
      </c>
      <c r="V337" s="352"/>
      <c r="W337" s="352">
        <f t="array" ref="W337">(PRODUCT(Index_Returns!AC326:AC337/100+1)-1)*100</f>
        <v>-12.324123774815765</v>
      </c>
      <c r="X337" s="352">
        <f t="array" ref="X337">(PRODUCT(Index_Returns!AB326:AB337/100+1)-1)*100</f>
        <v>-11.57056572262295</v>
      </c>
      <c r="Y337" s="352">
        <f t="shared" si="29"/>
        <v>-0.75355805219281535</v>
      </c>
      <c r="Z337" s="352">
        <f t="array" ref="Z337">(GEOMEAN(Index_Returns!AC302:AC337/100+1)^12-1)*100</f>
        <v>-8.5781489920144782</v>
      </c>
      <c r="AA337" s="352">
        <f t="array" ref="AA337">(GEOMEAN(Index_Returns!AB302:AB337/100+1)^12-1)*100</f>
        <v>-17.050613638124467</v>
      </c>
      <c r="AB337" s="352">
        <f t="shared" si="25"/>
        <v>8.4724646461099891</v>
      </c>
    </row>
    <row r="338" spans="1:28" x14ac:dyDescent="0.2">
      <c r="A338" s="19">
        <v>37802</v>
      </c>
      <c r="B338" s="352">
        <f t="array" ref="B338">(PRODUCT(Index_Returns!D327:D338/100+1)-1)*100</f>
        <v>-1.8418468761399853</v>
      </c>
      <c r="C338" s="352">
        <f t="array" ref="C338">(PRODUCT(Index_Returns!C327:C338/100+1)-1)*100</f>
        <v>2.3241783955520789</v>
      </c>
      <c r="D338" s="352">
        <f t="shared" si="26"/>
        <v>-4.1660252716920638</v>
      </c>
      <c r="E338" s="352">
        <f t="array" ref="E338">(GEOMEAN(Index_Returns!D303:D338/100+1)^12-1)*100</f>
        <v>-4.6191133741506629</v>
      </c>
      <c r="F338" s="352">
        <f t="array" ref="F338">(GEOMEAN(Index_Returns!C303:C338/100+1)^12-1)*100</f>
        <v>-17.403047883884003</v>
      </c>
      <c r="G338" s="352">
        <f t="shared" si="27"/>
        <v>12.78393450973334</v>
      </c>
      <c r="H338" s="351"/>
      <c r="I338" s="350">
        <f t="array" ref="I338">(PRODUCT(Index_Returns!G327:G338/100+1)-1)*100</f>
        <v>-2.4669656872047918</v>
      </c>
      <c r="J338" s="350">
        <f t="array" ref="J338">(PRODUCT(Index_Returns!F327:F338/100+1)-1)*100</f>
        <v>1.0557202696024115</v>
      </c>
      <c r="K338" s="350">
        <f t="shared" si="23"/>
        <v>-3.5226859568072033</v>
      </c>
      <c r="L338" s="350">
        <f t="array" ref="L338">(GEOMEAN(Index_Returns!G303:G338/100+1)^12-1)*100</f>
        <v>10.143946491191214</v>
      </c>
      <c r="M338" s="350">
        <f t="array" ref="M338">(GEOMEAN(Index_Returns!F303:F338/100+1)^12-1)*100</f>
        <v>-7.3699526190211362</v>
      </c>
      <c r="N338" s="350">
        <f t="shared" si="24"/>
        <v>17.51389911021235</v>
      </c>
      <c r="O338" s="352"/>
      <c r="P338" s="352">
        <f t="array" ref="P338">(PRODUCT(Index_Returns!M327:M338/100+1)-1)*100</f>
        <v>-6.4647283378981735</v>
      </c>
      <c r="Q338" s="352">
        <f t="array" ref="Q338">(PRODUCT(Index_Returns!L327:L338/100+1)-1)*100</f>
        <v>-0.72523737004782651</v>
      </c>
      <c r="R338" s="352">
        <f t="shared" si="28"/>
        <v>-5.7394909678503474</v>
      </c>
      <c r="S338" s="352">
        <f t="array" ref="S338">(GEOMEAN(Index_Returns!M303:M338/100+1)^12-1)*100</f>
        <v>4.8424891819632609</v>
      </c>
      <c r="T338" s="352">
        <f t="array" ref="T338">(GEOMEAN(Index_Returns!L303:L338/100+1)^12-1)*100</f>
        <v>-0.39922266115113292</v>
      </c>
      <c r="U338" s="352">
        <f t="shared" si="30"/>
        <v>5.2417118431143939</v>
      </c>
      <c r="V338" s="352"/>
      <c r="W338" s="352">
        <f t="array" ref="W338">(PRODUCT(Index_Returns!AC327:AC338/100+1)-1)*100</f>
        <v>-4.5041200521249714</v>
      </c>
      <c r="X338" s="352">
        <f t="array" ref="X338">(PRODUCT(Index_Returns!AB327:AB338/100+1)-1)*100</f>
        <v>-7.641869023654535</v>
      </c>
      <c r="Y338" s="352">
        <f t="shared" si="29"/>
        <v>3.1377489715295637</v>
      </c>
      <c r="Z338" s="352">
        <f t="array" ref="Z338">(GEOMEAN(Index_Returns!AC303:AC338/100+1)^12-1)*100</f>
        <v>-8.8946378834802715</v>
      </c>
      <c r="AA338" s="352">
        <f t="array" ref="AA338">(GEOMEAN(Index_Returns!AB303:AB338/100+1)^12-1)*100</f>
        <v>-17.537187400381072</v>
      </c>
      <c r="AB338" s="352">
        <f t="shared" si="25"/>
        <v>8.6425495169008002</v>
      </c>
    </row>
    <row r="339" spans="1:28" x14ac:dyDescent="0.2">
      <c r="A339" s="19">
        <v>37833</v>
      </c>
      <c r="B339" s="352">
        <f t="array" ref="B339">(PRODUCT(Index_Returns!D328:D339/100+1)-1)*100</f>
        <v>12.498334032077253</v>
      </c>
      <c r="C339" s="352">
        <f t="array" ref="C339">(PRODUCT(Index_Returns!C328:C339/100+1)-1)*100</f>
        <v>8.8918250887352954</v>
      </c>
      <c r="D339" s="352">
        <f t="shared" si="26"/>
        <v>3.6065089433419573</v>
      </c>
      <c r="E339" s="352">
        <f t="array" ref="E339">(GEOMEAN(Index_Returns!D304:D339/100+1)^12-1)*100</f>
        <v>-4.5509000475739469</v>
      </c>
      <c r="F339" s="352">
        <f t="array" ref="F339">(GEOMEAN(Index_Returns!C304:C339/100+1)^12-1)*100</f>
        <v>-15.775177619382719</v>
      </c>
      <c r="G339" s="352">
        <f t="shared" si="27"/>
        <v>11.224277571808772</v>
      </c>
      <c r="H339" s="351"/>
      <c r="I339" s="350">
        <f t="array" ref="I339">(PRODUCT(Index_Returns!G328:G339/100+1)-1)*100</f>
        <v>12.092802237655231</v>
      </c>
      <c r="J339" s="350">
        <f t="array" ref="J339">(PRODUCT(Index_Returns!F328:F339/100+1)-1)*100</f>
        <v>15.568180720905445</v>
      </c>
      <c r="K339" s="350">
        <f t="shared" si="23"/>
        <v>-3.4753784832502141</v>
      </c>
      <c r="L339" s="350">
        <f t="array" ref="L339">(GEOMEAN(Index_Returns!G304:G339/100+1)^12-1)*100</f>
        <v>9.8070639980017749</v>
      </c>
      <c r="M339" s="350">
        <f t="array" ref="M339">(GEOMEAN(Index_Returns!F304:F339/100+1)^12-1)*100</f>
        <v>-5.9253166224632832</v>
      </c>
      <c r="N339" s="350">
        <f t="shared" si="24"/>
        <v>15.732380620465058</v>
      </c>
      <c r="O339" s="352"/>
      <c r="P339" s="352">
        <f t="array" ref="P339">(PRODUCT(Index_Returns!M328:M339/100+1)-1)*100</f>
        <v>15.387808468195164</v>
      </c>
      <c r="Q339" s="352">
        <f t="array" ref="Q339">(PRODUCT(Index_Returns!L328:L339/100+1)-1)*100</f>
        <v>20.779242584615233</v>
      </c>
      <c r="R339" s="352">
        <f t="shared" si="28"/>
        <v>-5.3914341164200685</v>
      </c>
      <c r="S339" s="352">
        <f t="array" ref="S339">(GEOMEAN(Index_Returns!M304:M339/100+1)^12-1)*100</f>
        <v>6.898256185234386</v>
      </c>
      <c r="T339" s="352">
        <f t="array" ref="T339">(GEOMEAN(Index_Returns!L304:L339/100+1)^12-1)*100</f>
        <v>2.7282420077718417</v>
      </c>
      <c r="U339" s="352">
        <f t="shared" si="30"/>
        <v>4.1700141774625443</v>
      </c>
      <c r="V339" s="352"/>
      <c r="W339" s="352">
        <f t="array" ref="W339">(PRODUCT(Index_Returns!AC328:AC339/100+1)-1)*100</f>
        <v>8.7446374049239708</v>
      </c>
      <c r="X339" s="352">
        <f t="array" ref="X339">(PRODUCT(Index_Returns!AB328:AB339/100+1)-1)*100</f>
        <v>4.7453242859875511</v>
      </c>
      <c r="Y339" s="352">
        <f t="shared" si="29"/>
        <v>3.9993131189364197</v>
      </c>
      <c r="Z339" s="352">
        <f t="array" ref="Z339">(GEOMEAN(Index_Returns!AC304:AC339/100+1)^12-1)*100</f>
        <v>-7.1273622729952413</v>
      </c>
      <c r="AA339" s="352">
        <f t="array" ref="AA339">(GEOMEAN(Index_Returns!AB304:AB339/100+1)^12-1)*100</f>
        <v>-15.372484275816811</v>
      </c>
      <c r="AB339" s="352">
        <f t="shared" si="25"/>
        <v>8.2451220028215708</v>
      </c>
    </row>
    <row r="340" spans="1:28" x14ac:dyDescent="0.2">
      <c r="A340" s="19">
        <v>37864</v>
      </c>
      <c r="B340" s="352">
        <f t="array" ref="B340">(PRODUCT(Index_Returns!D329:D340/100+1)-1)*100</f>
        <v>14.144127888575619</v>
      </c>
      <c r="C340" s="352">
        <f t="array" ref="C340">(PRODUCT(Index_Returns!C329:C340/100+1)-1)*100</f>
        <v>10.092989443224564</v>
      </c>
      <c r="D340" s="352">
        <f t="shared" si="26"/>
        <v>4.0511384453510555</v>
      </c>
      <c r="E340" s="352">
        <f t="array" ref="E340">(GEOMEAN(Index_Returns!D305:D340/100+1)^12-1)*100</f>
        <v>-5.9257981745340356</v>
      </c>
      <c r="F340" s="352">
        <f t="array" ref="F340">(GEOMEAN(Index_Returns!C305:C340/100+1)^12-1)*100</f>
        <v>-16.865203600022362</v>
      </c>
      <c r="G340" s="352">
        <f t="shared" si="27"/>
        <v>10.939405425488326</v>
      </c>
      <c r="H340" s="351"/>
      <c r="I340" s="350">
        <f t="array" ref="I340">(PRODUCT(Index_Returns!G329:G340/100+1)-1)*100</f>
        <v>16.786485538458674</v>
      </c>
      <c r="J340" s="350">
        <f t="array" ref="J340">(PRODUCT(Index_Returns!F329:F340/100+1)-1)*100</f>
        <v>20.034156104075219</v>
      </c>
      <c r="K340" s="350">
        <f t="shared" si="23"/>
        <v>-3.247670565616545</v>
      </c>
      <c r="L340" s="350">
        <f t="array" ref="L340">(GEOMEAN(Index_Returns!G305:G340/100+1)^12-1)*100</f>
        <v>9.1019322219891627</v>
      </c>
      <c r="M340" s="350">
        <f t="array" ref="M340">(GEOMEAN(Index_Returns!F305:F340/100+1)^12-1)*100</f>
        <v>-9.0064513520297762</v>
      </c>
      <c r="N340" s="350">
        <f t="shared" si="24"/>
        <v>18.108383574018937</v>
      </c>
      <c r="O340" s="352"/>
      <c r="P340" s="352">
        <f t="array" ref="P340">(PRODUCT(Index_Returns!M329:M340/100+1)-1)*100</f>
        <v>20.814240840203869</v>
      </c>
      <c r="Q340" s="352">
        <f t="array" ref="Q340">(PRODUCT(Index_Returns!L329:L340/100+1)-1)*100</f>
        <v>24.533951095639452</v>
      </c>
      <c r="R340" s="352">
        <f t="shared" si="28"/>
        <v>-3.719710255435583</v>
      </c>
      <c r="S340" s="352">
        <f t="array" ref="S340">(GEOMEAN(Index_Returns!M305:M340/100+1)^12-1)*100</f>
        <v>6.1556125540912499</v>
      </c>
      <c r="T340" s="352">
        <f t="array" ref="T340">(GEOMEAN(Index_Returns!L305:L340/100+1)^12-1)*100</f>
        <v>0.90130464666247079</v>
      </c>
      <c r="U340" s="352">
        <f t="shared" si="30"/>
        <v>5.2543079074287791</v>
      </c>
      <c r="V340" s="352"/>
      <c r="W340" s="352">
        <f t="array" ref="W340">(PRODUCT(Index_Returns!AC329:AC340/100+1)-1)*100</f>
        <v>11.653613631336945</v>
      </c>
      <c r="X340" s="352">
        <f t="array" ref="X340">(PRODUCT(Index_Returns!AB329:AB340/100+1)-1)*100</f>
        <v>7.4749761463546838</v>
      </c>
      <c r="Y340" s="352">
        <f t="shared" si="29"/>
        <v>4.1786374849822616</v>
      </c>
      <c r="Z340" s="352">
        <f t="array" ref="Z340">(GEOMEAN(Index_Returns!AC305:AC340/100+1)^12-1)*100</f>
        <v>-6.4305098847721842</v>
      </c>
      <c r="AA340" s="352">
        <f t="array" ref="AA340">(GEOMEAN(Index_Returns!AB305:AB340/100+1)^12-1)*100</f>
        <v>-15.160791623413006</v>
      </c>
      <c r="AB340" s="352">
        <f t="shared" si="25"/>
        <v>8.7302817386408229</v>
      </c>
    </row>
    <row r="341" spans="1:28" x14ac:dyDescent="0.2">
      <c r="A341" s="19">
        <v>37894</v>
      </c>
      <c r="B341" s="352">
        <f t="array" ref="B341">(PRODUCT(Index_Returns!D330:D341/100+1)-1)*100</f>
        <v>26.536138340587947</v>
      </c>
      <c r="C341" s="352">
        <f t="array" ref="C341">(PRODUCT(Index_Returns!C330:C341/100+1)-1)*100</f>
        <v>22.429835493982566</v>
      </c>
      <c r="D341" s="352">
        <f t="shared" si="26"/>
        <v>4.1063028466053808</v>
      </c>
      <c r="E341" s="352">
        <f t="array" ref="E341">(GEOMEAN(Index_Returns!D306:D341/100+1)^12-1)*100</f>
        <v>-6.4893570031007597</v>
      </c>
      <c r="F341" s="352">
        <f t="array" ref="F341">(GEOMEAN(Index_Returns!C306:C341/100+1)^12-1)*100</f>
        <v>-14.057857119790906</v>
      </c>
      <c r="G341" s="352">
        <f t="shared" si="27"/>
        <v>7.5685001166901467</v>
      </c>
      <c r="H341" s="351"/>
      <c r="I341" s="350">
        <f t="array" ref="I341">(PRODUCT(Index_Returns!G330:G341/100+1)-1)*100</f>
        <v>28.255950734965694</v>
      </c>
      <c r="J341" s="350">
        <f t="array" ref="J341">(PRODUCT(Index_Returns!F330:F341/100+1)-1)*100</f>
        <v>25.362066325210165</v>
      </c>
      <c r="K341" s="350">
        <f t="shared" ref="K341:K373" si="31">I341-J341</f>
        <v>2.893884409755529</v>
      </c>
      <c r="L341" s="350">
        <f t="array" ref="L341">(GEOMEAN(Index_Returns!G306:G341/100+1)^12-1)*100</f>
        <v>8.2120564473135982</v>
      </c>
      <c r="M341" s="350">
        <f t="array" ref="M341">(GEOMEAN(Index_Returns!F306:F341/100+1)^12-1)*100</f>
        <v>-8.8810701239378851</v>
      </c>
      <c r="N341" s="350">
        <f t="shared" si="24"/>
        <v>17.093126571251481</v>
      </c>
      <c r="O341" s="352"/>
      <c r="P341" s="352">
        <f t="array" ref="P341">(PRODUCT(Index_Returns!M330:M341/100+1)-1)*100</f>
        <v>24.399419575665959</v>
      </c>
      <c r="Q341" s="352">
        <f t="array" ref="Q341">(PRODUCT(Index_Returns!L330:L341/100+1)-1)*100</f>
        <v>29.293716990866848</v>
      </c>
      <c r="R341" s="352">
        <f t="shared" si="28"/>
        <v>-4.8942974152008887</v>
      </c>
      <c r="S341" s="352">
        <f t="array" ref="S341">(GEOMEAN(Index_Returns!M306:M341/100+1)^12-1)*100</f>
        <v>5.6127288251879737</v>
      </c>
      <c r="T341" s="352">
        <f t="array" ref="T341">(GEOMEAN(Index_Returns!L306:L341/100+1)^12-1)*100</f>
        <v>1.3407134569545898</v>
      </c>
      <c r="U341" s="352">
        <f t="shared" si="30"/>
        <v>4.2720153682333839</v>
      </c>
      <c r="V341" s="352"/>
      <c r="W341" s="352">
        <f t="array" ref="W341">(PRODUCT(Index_Returns!AC330:AC341/100+1)-1)*100</f>
        <v>31.441054931821544</v>
      </c>
      <c r="X341" s="352">
        <f t="array" ref="X341">(PRODUCT(Index_Returns!AB330:AB341/100+1)-1)*100</f>
        <v>21.69750932770107</v>
      </c>
      <c r="Y341" s="352">
        <f t="shared" si="29"/>
        <v>9.7435456041204738</v>
      </c>
      <c r="Z341" s="352">
        <f t="array" ref="Z341">(GEOMEAN(Index_Returns!AC306:AC341/100+1)^12-1)*100</f>
        <v>-4.5985491379278987</v>
      </c>
      <c r="AA341" s="352">
        <f t="array" ref="AA341">(GEOMEAN(Index_Returns!AB306:AB341/100+1)^12-1)*100</f>
        <v>-12.232266805702707</v>
      </c>
      <c r="AB341" s="352">
        <f t="shared" si="25"/>
        <v>7.6337176677748086</v>
      </c>
    </row>
    <row r="342" spans="1:28" x14ac:dyDescent="0.2">
      <c r="A342" s="19">
        <v>37925</v>
      </c>
      <c r="B342" s="352">
        <f t="array" ref="B342">(PRODUCT(Index_Returns!D331:D342/100+1)-1)*100</f>
        <v>24.814160868478897</v>
      </c>
      <c r="C342" s="352">
        <f t="array" ref="C342">(PRODUCT(Index_Returns!C331:C342/100+1)-1)*100</f>
        <v>17.098754794910008</v>
      </c>
      <c r="D342" s="352">
        <f t="shared" si="26"/>
        <v>7.7154060735688894</v>
      </c>
      <c r="E342" s="352">
        <f t="array" ref="E342">(GEOMEAN(Index_Returns!D307:D342/100+1)^12-1)*100</f>
        <v>-4.9920946616392348</v>
      </c>
      <c r="F342" s="352">
        <f t="array" ref="F342">(GEOMEAN(Index_Returns!C307:C342/100+1)^12-1)*100</f>
        <v>-12.020666688810412</v>
      </c>
      <c r="G342" s="352">
        <f t="shared" si="27"/>
        <v>7.0285720271711769</v>
      </c>
      <c r="H342" s="351"/>
      <c r="I342" s="350">
        <f t="array" ref="I342">(PRODUCT(Index_Returns!G331:G342/100+1)-1)*100</f>
        <v>33.427034529995446</v>
      </c>
      <c r="J342" s="350">
        <f t="array" ref="J342">(PRODUCT(Index_Returns!F331:F342/100+1)-1)*100</f>
        <v>28.081946041552676</v>
      </c>
      <c r="K342" s="350">
        <f t="shared" si="31"/>
        <v>5.3450884884427694</v>
      </c>
      <c r="L342" s="350">
        <f t="array" ref="L342">(GEOMEAN(Index_Returns!G307:G342/100+1)^12-1)*100</f>
        <v>11.444603551015309</v>
      </c>
      <c r="M342" s="350">
        <f t="array" ref="M342">(GEOMEAN(Index_Returns!F307:F342/100+1)^12-1)*100</f>
        <v>-5.0734394962430933</v>
      </c>
      <c r="N342" s="350">
        <f t="shared" si="24"/>
        <v>16.518043047258402</v>
      </c>
      <c r="O342" s="352"/>
      <c r="P342" s="352">
        <f t="array" ref="P342">(PRODUCT(Index_Returns!M331:M342/100+1)-1)*100</f>
        <v>32.007793484606559</v>
      </c>
      <c r="Q342" s="352">
        <f t="array" ref="Q342">(PRODUCT(Index_Returns!L331:L342/100+1)-1)*100</f>
        <v>35.1630953959029</v>
      </c>
      <c r="R342" s="352">
        <f t="shared" si="28"/>
        <v>-3.1553019112963412</v>
      </c>
      <c r="S342" s="352">
        <f t="array" ref="S342">(GEOMEAN(Index_Returns!M307:M342/100+1)^12-1)*100</f>
        <v>8.6111133045952748</v>
      </c>
      <c r="T342" s="352">
        <f t="array" ref="T342">(GEOMEAN(Index_Returns!L307:L342/100+1)^12-1)*100</f>
        <v>3.6318045754018646</v>
      </c>
      <c r="U342" s="352">
        <f t="shared" si="30"/>
        <v>4.9793087291934102</v>
      </c>
      <c r="V342" s="352"/>
      <c r="W342" s="352">
        <f t="array" ref="W342">(PRODUCT(Index_Returns!AC331:AC342/100+1)-1)*100</f>
        <v>33.436883575125265</v>
      </c>
      <c r="X342" s="352">
        <f t="array" ref="X342">(PRODUCT(Index_Returns!AB331:AB342/100+1)-1)*100</f>
        <v>21.813723134780204</v>
      </c>
      <c r="Y342" s="352">
        <f t="shared" si="29"/>
        <v>11.62316044034506</v>
      </c>
      <c r="Z342" s="352">
        <f t="array" ref="Z342">(GEOMEAN(Index_Returns!AC307:AC342/100+1)^12-1)*100</f>
        <v>-2.5011628125766294</v>
      </c>
      <c r="AA342" s="352">
        <f t="array" ref="AA342">(GEOMEAN(Index_Returns!AB307:AB342/100+1)^12-1)*100</f>
        <v>-9.1597725678782318</v>
      </c>
      <c r="AB342" s="352">
        <f t="shared" si="25"/>
        <v>6.6586097553016028</v>
      </c>
    </row>
    <row r="343" spans="1:28" x14ac:dyDescent="0.2">
      <c r="A343" s="19">
        <v>37955</v>
      </c>
      <c r="B343" s="352">
        <f t="array" ref="B343">(PRODUCT(Index_Returns!D332:D343/100+1)-1)*100</f>
        <v>17.671093965237272</v>
      </c>
      <c r="C343" s="352">
        <f t="array" ref="C343">(PRODUCT(Index_Returns!C332:C343/100+1)-1)*100</f>
        <v>12.638463545286527</v>
      </c>
      <c r="D343" s="352">
        <f t="shared" si="26"/>
        <v>5.0326304199507454</v>
      </c>
      <c r="E343" s="352">
        <f t="array" ref="E343">(GEOMEAN(Index_Returns!D308:D343/100+1)^12-1)*100</f>
        <v>-3.0244640572741122</v>
      </c>
      <c r="F343" s="352">
        <f t="array" ref="F343">(GEOMEAN(Index_Returns!C308:C343/100+1)^12-1)*100</f>
        <v>-8.4009867276378039</v>
      </c>
      <c r="G343" s="352">
        <f t="shared" si="27"/>
        <v>5.3765226703636912</v>
      </c>
      <c r="H343" s="351"/>
      <c r="I343" s="350">
        <f t="array" ref="I343">(PRODUCT(Index_Returns!G332:G343/100+1)-1)*100</f>
        <v>30.335102234560864</v>
      </c>
      <c r="J343" s="350">
        <f t="array" ref="J343">(PRODUCT(Index_Returns!F332:F343/100+1)-1)*100</f>
        <v>25.4149494949923</v>
      </c>
      <c r="K343" s="350">
        <f t="shared" si="31"/>
        <v>4.9201527395685645</v>
      </c>
      <c r="L343" s="350">
        <f t="array" ref="L343">(GEOMEAN(Index_Returns!G308:G343/100+1)^12-1)*100</f>
        <v>12.842669894281467</v>
      </c>
      <c r="M343" s="350">
        <f t="array" ref="M343">(GEOMEAN(Index_Returns!F308:F343/100+1)^12-1)*100</f>
        <v>0.88045162881993377</v>
      </c>
      <c r="N343" s="350">
        <f t="shared" si="24"/>
        <v>11.962218265461534</v>
      </c>
      <c r="O343" s="352"/>
      <c r="P343" s="352">
        <f t="array" ref="P343">(PRODUCT(Index_Returns!M332:M343/100+1)-1)*100</f>
        <v>31.88352072149554</v>
      </c>
      <c r="Q343" s="352">
        <f t="array" ref="Q343">(PRODUCT(Index_Returns!L332:L343/100+1)-1)*100</f>
        <v>31.907028658777925</v>
      </c>
      <c r="R343" s="352">
        <f t="shared" si="28"/>
        <v>-2.3507937282385427E-2</v>
      </c>
      <c r="S343" s="352">
        <f t="array" ref="S343">(GEOMEAN(Index_Returns!M308:M343/100+1)^12-1)*100</f>
        <v>13.26064842255359</v>
      </c>
      <c r="T343" s="352">
        <f t="array" ref="T343">(GEOMEAN(Index_Returns!L308:L343/100+1)^12-1)*100</f>
        <v>9.7202817920859488</v>
      </c>
      <c r="U343" s="352">
        <f t="shared" si="30"/>
        <v>3.5403666304676413</v>
      </c>
      <c r="V343" s="352"/>
      <c r="W343" s="352">
        <f t="array" ref="W343">(PRODUCT(Index_Returns!AC332:AC343/100+1)-1)*100</f>
        <v>28.377558603489426</v>
      </c>
      <c r="X343" s="352">
        <f t="array" ref="X343">(PRODUCT(Index_Returns!AB332:AB343/100+1)-1)*100</f>
        <v>21.101557304369798</v>
      </c>
      <c r="Y343" s="352">
        <f t="shared" si="29"/>
        <v>7.2760012991196277</v>
      </c>
      <c r="Z343" s="352">
        <f t="array" ref="Z343">(GEOMEAN(Index_Returns!AC308:AC343/100+1)^12-1)*100</f>
        <v>-0.85127594482914404</v>
      </c>
      <c r="AA343" s="352">
        <f t="array" ref="AA343">(GEOMEAN(Index_Returns!AB308:AB343/100+1)^12-1)*100</f>
        <v>-7.0048735084883962</v>
      </c>
      <c r="AB343" s="352">
        <f t="shared" si="25"/>
        <v>6.1535975636592521</v>
      </c>
    </row>
    <row r="344" spans="1:28" x14ac:dyDescent="0.2">
      <c r="A344" s="19">
        <v>37986</v>
      </c>
      <c r="B344" s="352">
        <f t="array" ref="B344">(PRODUCT(Index_Returns!D333:D344/100+1)-1)*100</f>
        <v>31.796590266127534</v>
      </c>
      <c r="C344" s="352">
        <f t="array" ref="C344">(PRODUCT(Index_Returns!C333:C344/100+1)-1)*100</f>
        <v>25.657612049117184</v>
      </c>
      <c r="D344" s="352">
        <f t="shared" si="26"/>
        <v>6.1389782170103508</v>
      </c>
      <c r="E344" s="352">
        <f t="array" ref="E344">(GEOMEAN(Index_Returns!D309:D344/100+1)^12-1)*100</f>
        <v>-2.7076163847404744</v>
      </c>
      <c r="F344" s="352">
        <f t="array" ref="F344">(GEOMEAN(Index_Returns!C309:C344/100+1)^12-1)*100</f>
        <v>-5.7237370486580952</v>
      </c>
      <c r="G344" s="352">
        <f t="shared" si="27"/>
        <v>3.0161206639176208</v>
      </c>
      <c r="H344" s="351"/>
      <c r="I344" s="350">
        <f t="array" ref="I344">(PRODUCT(Index_Returns!G333:G344/100+1)-1)*100</f>
        <v>40.216151630264399</v>
      </c>
      <c r="J344" s="350">
        <f t="array" ref="J344">(PRODUCT(Index_Returns!F333:F344/100+1)-1)*100</f>
        <v>30.952595865181753</v>
      </c>
      <c r="K344" s="350">
        <f t="shared" si="31"/>
        <v>9.2635557650826463</v>
      </c>
      <c r="L344" s="350">
        <f t="array" ref="L344">(GEOMEAN(Index_Returns!G309:G344/100+1)^12-1)*100</f>
        <v>10.532134058061127</v>
      </c>
      <c r="M344" s="350">
        <f t="array" ref="M344">(GEOMEAN(Index_Returns!F309:F344/100+1)^12-1)*100</f>
        <v>-0.86984542403164555</v>
      </c>
      <c r="N344" s="350">
        <f t="shared" si="24"/>
        <v>11.401979482092772</v>
      </c>
      <c r="O344" s="352"/>
      <c r="P344" s="352">
        <f t="array" ref="P344">(PRODUCT(Index_Returns!M333:M344/100+1)-1)*100</f>
        <v>39.197258014300118</v>
      </c>
      <c r="Q344" s="352">
        <f t="array" ref="Q344">(PRODUCT(Index_Returns!L333:L344/100+1)-1)*100</f>
        <v>38.501049984990289</v>
      </c>
      <c r="R344" s="352">
        <f t="shared" si="28"/>
        <v>0.69620802930982961</v>
      </c>
      <c r="S344" s="352">
        <f t="array" ref="S344">(GEOMEAN(Index_Returns!M309:M344/100+1)^12-1)*100</f>
        <v>9.8950994294444428</v>
      </c>
      <c r="T344" s="352">
        <f t="array" ref="T344">(GEOMEAN(Index_Returns!L309:L344/100+1)^12-1)*100</f>
        <v>5.9711173677223117</v>
      </c>
      <c r="U344" s="352">
        <f t="shared" si="30"/>
        <v>3.923982061722131</v>
      </c>
      <c r="V344" s="352"/>
      <c r="W344" s="352">
        <f t="array" ref="W344">(PRODUCT(Index_Returns!AC333:AC344/100+1)-1)*100</f>
        <v>45.964619575488406</v>
      </c>
      <c r="X344" s="352">
        <f t="array" ref="X344">(PRODUCT(Index_Returns!AB333:AB344/100+1)-1)*100</f>
        <v>32.487172743628932</v>
      </c>
      <c r="Y344" s="352">
        <f t="shared" si="29"/>
        <v>13.477446831859474</v>
      </c>
      <c r="Z344" s="352">
        <f t="array" ref="Z344">(GEOMEAN(Index_Returns!AC309:AC344/100+1)^12-1)*100</f>
        <v>0.24829848777960795</v>
      </c>
      <c r="AA344" s="352">
        <f t="array" ref="AA344">(GEOMEAN(Index_Returns!AB309:AB344/100+1)^12-1)*100</f>
        <v>-5.5103094974821687</v>
      </c>
      <c r="AB344" s="352">
        <f t="shared" si="25"/>
        <v>5.7586079852617766</v>
      </c>
    </row>
    <row r="345" spans="1:28" x14ac:dyDescent="0.2">
      <c r="A345" s="19">
        <v>38017</v>
      </c>
      <c r="B345" s="352">
        <f t="array" ref="B345">(PRODUCT(Index_Returns!D334:D345/100+1)-1)*100</f>
        <v>37.908071060906877</v>
      </c>
      <c r="C345" s="352">
        <f t="array" ref="C345">(PRODUCT(Index_Returns!C334:C345/100+1)-1)*100</f>
        <v>31.338107982731355</v>
      </c>
      <c r="D345" s="352">
        <f t="shared" si="26"/>
        <v>6.5699630781755225</v>
      </c>
      <c r="E345" s="352">
        <f t="array" ref="E345">(GEOMEAN(Index_Returns!D310:D345/100+1)^12-1)*100</f>
        <v>-3.4766690424795632</v>
      </c>
      <c r="F345" s="352">
        <f t="array" ref="F345">(GEOMEAN(Index_Returns!C310:C345/100+1)^12-1)*100</f>
        <v>-6.0135859063483954</v>
      </c>
      <c r="G345" s="352">
        <f t="shared" si="27"/>
        <v>2.5369168638688322</v>
      </c>
      <c r="H345" s="351"/>
      <c r="I345" s="350">
        <f t="array" ref="I345">(PRODUCT(Index_Returns!G334:G345/100+1)-1)*100</f>
        <v>49.046835304513479</v>
      </c>
      <c r="J345" s="350">
        <f t="array" ref="J345">(PRODUCT(Index_Returns!F334:F345/100+1)-1)*100</f>
        <v>36.385958486650829</v>
      </c>
      <c r="K345" s="350">
        <f t="shared" si="31"/>
        <v>12.660876817862651</v>
      </c>
      <c r="L345" s="350">
        <f t="array" ref="L345">(GEOMEAN(Index_Returns!G310:G345/100+1)^12-1)*100</f>
        <v>9.8803520661766342</v>
      </c>
      <c r="M345" s="350">
        <f t="array" ref="M345">(GEOMEAN(Index_Returns!F310:F345/100+1)^12-1)*100</f>
        <v>-0.31427131103615169</v>
      </c>
      <c r="N345" s="350">
        <f t="shared" si="24"/>
        <v>10.194623377212785</v>
      </c>
      <c r="O345" s="352"/>
      <c r="P345" s="352">
        <f t="array" ref="P345">(PRODUCT(Index_Returns!M334:M345/100+1)-1)*100</f>
        <v>48.441093141943448</v>
      </c>
      <c r="Q345" s="352">
        <f t="array" ref="Q345">(PRODUCT(Index_Returns!L334:L345/100+1)-1)*100</f>
        <v>47.491228194699396</v>
      </c>
      <c r="R345" s="352">
        <f t="shared" si="28"/>
        <v>0.9498649472440519</v>
      </c>
      <c r="S345" s="352">
        <f t="array" ref="S345">(GEOMEAN(Index_Returns!M310:M345/100+1)^12-1)*100</f>
        <v>9.4814878520206527</v>
      </c>
      <c r="T345" s="352">
        <f t="array" ref="T345">(GEOMEAN(Index_Returns!L310:L345/100+1)^12-1)*100</f>
        <v>5.3882230959649835</v>
      </c>
      <c r="U345" s="352">
        <f t="shared" si="30"/>
        <v>4.0932647560556692</v>
      </c>
      <c r="V345" s="352"/>
      <c r="W345" s="352">
        <f t="array" ref="W345">(PRODUCT(Index_Returns!AC334:AC345/100+1)-1)*100</f>
        <v>52.473478896669732</v>
      </c>
      <c r="X345" s="352">
        <f t="array" ref="X345">(PRODUCT(Index_Returns!AB334:AB345/100+1)-1)*100</f>
        <v>42.105498274005626</v>
      </c>
      <c r="Y345" s="352">
        <f t="shared" si="29"/>
        <v>10.367980622664106</v>
      </c>
      <c r="Z345" s="352">
        <f t="array" ref="Z345">(GEOMEAN(Index_Returns!AC310:AC345/100+1)^12-1)*100</f>
        <v>0.48866740899751182</v>
      </c>
      <c r="AA345" s="352">
        <f t="array" ref="AA345">(GEOMEAN(Index_Returns!AB310:AB345/100+1)^12-1)*100</f>
        <v>-4.8079000903640923</v>
      </c>
      <c r="AB345" s="352">
        <f t="shared" si="25"/>
        <v>5.2965674993616041</v>
      </c>
    </row>
    <row r="346" spans="1:28" x14ac:dyDescent="0.2">
      <c r="A346" s="19">
        <v>38046</v>
      </c>
      <c r="B346" s="352">
        <f t="array" ref="B346">(PRODUCT(Index_Returns!D335:D346/100+1)-1)*100</f>
        <v>44.967920915792938</v>
      </c>
      <c r="C346" s="352">
        <f t="array" ref="C346">(PRODUCT(Index_Returns!C335:C346/100+1)-1)*100</f>
        <v>32.405781812923884</v>
      </c>
      <c r="D346" s="352">
        <f t="shared" si="26"/>
        <v>12.562139102869054</v>
      </c>
      <c r="E346" s="352">
        <f t="array" ref="E346">(GEOMEAN(Index_Returns!D311:D346/100+1)^12-1)*100</f>
        <v>-0.50635470135019789</v>
      </c>
      <c r="F346" s="352">
        <f t="array" ref="F346">(GEOMEAN(Index_Returns!C311:C346/100+1)^12-1)*100</f>
        <v>-1.8477027996541162</v>
      </c>
      <c r="G346" s="352">
        <f t="shared" si="27"/>
        <v>1.3413480983039183</v>
      </c>
      <c r="H346" s="351"/>
      <c r="I346" s="350">
        <f t="array" ref="I346">(PRODUCT(Index_Returns!G335:G346/100+1)-1)*100</f>
        <v>56.294388027462631</v>
      </c>
      <c r="J346" s="350">
        <f t="array" ref="J346">(PRODUCT(Index_Returns!F335:F346/100+1)-1)*100</f>
        <v>43.113968126240955</v>
      </c>
      <c r="K346" s="350">
        <f t="shared" si="31"/>
        <v>13.180419901221676</v>
      </c>
      <c r="L346" s="350">
        <f t="array" ref="L346">(GEOMEAN(Index_Returns!G311:G346/100+1)^12-1)*100</f>
        <v>12.092789302798135</v>
      </c>
      <c r="M346" s="350">
        <f t="array" ref="M346">(GEOMEAN(Index_Returns!F311:F346/100+1)^12-1)*100</f>
        <v>3.2986959670190608</v>
      </c>
      <c r="N346" s="350">
        <f t="shared" si="24"/>
        <v>8.794093335779074</v>
      </c>
      <c r="O346" s="352"/>
      <c r="P346" s="352">
        <f t="array" ref="P346">(PRODUCT(Index_Returns!M335:M346/100+1)-1)*100</f>
        <v>55.754275639709739</v>
      </c>
      <c r="Q346" s="352">
        <f t="array" ref="Q346">(PRODUCT(Index_Returns!L335:L346/100+1)-1)*100</f>
        <v>55.909811017415009</v>
      </c>
      <c r="R346" s="352">
        <f t="shared" si="28"/>
        <v>-0.15553537770527015</v>
      </c>
      <c r="S346" s="352">
        <f t="array" ref="S346">(GEOMEAN(Index_Returns!M311:M346/100+1)^12-1)*100</f>
        <v>11.668073010492353</v>
      </c>
      <c r="T346" s="352">
        <f t="array" ref="T346">(GEOMEAN(Index_Returns!L311:L346/100+1)^12-1)*100</f>
        <v>9.3785498573377026</v>
      </c>
      <c r="U346" s="352">
        <f t="shared" si="30"/>
        <v>2.2895231531546507</v>
      </c>
      <c r="V346" s="352"/>
      <c r="W346" s="352">
        <f t="array" ref="W346">(PRODUCT(Index_Returns!AC335:AC346/100+1)-1)*100</f>
        <v>60.522971087787901</v>
      </c>
      <c r="X346" s="352">
        <f t="array" ref="X346">(PRODUCT(Index_Returns!AB335:AB346/100+1)-1)*100</f>
        <v>47.998393318253399</v>
      </c>
      <c r="Y346" s="352">
        <f t="shared" si="29"/>
        <v>12.524577769534503</v>
      </c>
      <c r="Z346" s="352">
        <f t="array" ref="Z346">(GEOMEAN(Index_Returns!AC311:AC346/100+1)^12-1)*100</f>
        <v>3.1509077468898417</v>
      </c>
      <c r="AA346" s="352">
        <f t="array" ref="AA346">(GEOMEAN(Index_Returns!AB311:AB346/100+1)^12-1)*100</f>
        <v>-0.7290635484485497</v>
      </c>
      <c r="AB346" s="352">
        <f t="shared" si="25"/>
        <v>3.8799712953383914</v>
      </c>
    </row>
    <row r="347" spans="1:28" x14ac:dyDescent="0.2">
      <c r="A347" s="19">
        <v>38077</v>
      </c>
      <c r="B347" s="352">
        <f t="array" ref="B347">(PRODUCT(Index_Returns!D336:D347/100+1)-1)*100</f>
        <v>44.155043818437932</v>
      </c>
      <c r="C347" s="352">
        <f t="array" ref="C347">(PRODUCT(Index_Returns!C336:C347/100+1)-1)*100</f>
        <v>26.734774540557261</v>
      </c>
      <c r="D347" s="352">
        <f t="shared" si="26"/>
        <v>17.420269277880671</v>
      </c>
      <c r="E347" s="352">
        <f t="array" ref="E347">(GEOMEAN(Index_Returns!D312:D347/100+1)^12-1)*100</f>
        <v>0.60572439670141254</v>
      </c>
      <c r="F347" s="352">
        <f t="array" ref="F347">(GEOMEAN(Index_Returns!C312:C347/100+1)^12-1)*100</f>
        <v>0.49328261028442899</v>
      </c>
      <c r="G347" s="352">
        <f t="shared" si="27"/>
        <v>0.11244178641698355</v>
      </c>
      <c r="H347" s="351"/>
      <c r="I347" s="350">
        <f t="array" ref="I347">(PRODUCT(Index_Returns!G336:G347/100+1)-1)*100</f>
        <v>57.078368705770501</v>
      </c>
      <c r="J347" s="350">
        <f t="array" ref="J347">(PRODUCT(Index_Returns!F336:F347/100+1)-1)*100</f>
        <v>41.178077689923811</v>
      </c>
      <c r="K347" s="350">
        <f t="shared" si="31"/>
        <v>15.90029101584669</v>
      </c>
      <c r="L347" s="350">
        <f t="array" ref="L347">(GEOMEAN(Index_Returns!G312:G347/100+1)^12-1)*100</f>
        <v>13.856177070359399</v>
      </c>
      <c r="M347" s="350">
        <f t="array" ref="M347">(GEOMEAN(Index_Returns!F312:F347/100+1)^12-1)*100</f>
        <v>7.5596331785354964</v>
      </c>
      <c r="N347" s="350">
        <f t="shared" si="24"/>
        <v>6.2965438918239025</v>
      </c>
      <c r="O347" s="352"/>
      <c r="P347" s="352">
        <f t="array" ref="P347">(PRODUCT(Index_Returns!M336:M347/100+1)-1)*100</f>
        <v>56.95219953552575</v>
      </c>
      <c r="Q347" s="352">
        <f t="array" ref="Q347">(PRODUCT(Index_Returns!L336:L347/100+1)-1)*100</f>
        <v>56.32057794137193</v>
      </c>
      <c r="R347" s="352">
        <f t="shared" si="28"/>
        <v>0.63162159415382035</v>
      </c>
      <c r="S347" s="352">
        <f t="array" ref="S347">(GEOMEAN(Index_Returns!M312:M347/100+1)^12-1)*100</f>
        <v>13.459195195033091</v>
      </c>
      <c r="T347" s="352">
        <f t="array" ref="T347">(GEOMEAN(Index_Returns!L312:L347/100+1)^12-1)*100</f>
        <v>12.195447090673328</v>
      </c>
      <c r="U347" s="352">
        <f t="shared" si="30"/>
        <v>1.2637481043597631</v>
      </c>
      <c r="V347" s="352"/>
      <c r="W347" s="352">
        <f t="array" ref="W347">(PRODUCT(Index_Returns!AC336:AC347/100+1)-1)*100</f>
        <v>66.873175460580825</v>
      </c>
      <c r="X347" s="352">
        <f t="array" ref="X347">(PRODUCT(Index_Returns!AB336:AB347/100+1)-1)*100</f>
        <v>49.622987014315243</v>
      </c>
      <c r="Y347" s="352">
        <f t="shared" si="29"/>
        <v>17.250188446265582</v>
      </c>
      <c r="Z347" s="352">
        <f t="array" ref="Z347">(GEOMEAN(Index_Returns!AC312:AC347/100+1)^12-1)*100</f>
        <v>5.8220403887631278</v>
      </c>
      <c r="AA347" s="352">
        <f t="array" ref="AA347">(GEOMEAN(Index_Returns!AB312:AB347/100+1)^12-1)*100</f>
        <v>1.6930155830751081</v>
      </c>
      <c r="AB347" s="352">
        <f t="shared" si="25"/>
        <v>4.1290248056880197</v>
      </c>
    </row>
    <row r="348" spans="1:28" x14ac:dyDescent="0.2">
      <c r="A348" s="19">
        <v>38107</v>
      </c>
      <c r="B348" s="352">
        <f t="array" ref="B348">(PRODUCT(Index_Returns!D337:D348/100+1)-1)*100</f>
        <v>27.941044895916377</v>
      </c>
      <c r="C348" s="352">
        <f t="array" ref="C348">(PRODUCT(Index_Returns!C337:C348/100+1)-1)*100</f>
        <v>18.04107358950402</v>
      </c>
      <c r="D348" s="352">
        <f t="shared" si="26"/>
        <v>9.8999713064123576</v>
      </c>
      <c r="E348" s="352">
        <f t="array" ref="E348">(GEOMEAN(Index_Returns!D313:D348/100+1)^12-1)*100</f>
        <v>-2.3887130150631042</v>
      </c>
      <c r="F348" s="352">
        <f t="array" ref="F348">(GEOMEAN(Index_Returns!C313:C348/100+1)^12-1)*100</f>
        <v>-2.5368396622738154</v>
      </c>
      <c r="G348" s="352">
        <f t="shared" si="27"/>
        <v>0.14812664721071123</v>
      </c>
      <c r="H348" s="351"/>
      <c r="I348" s="350">
        <f t="array" ref="I348">(PRODUCT(Index_Returns!G337:G348/100+1)-1)*100</f>
        <v>39.659115646371788</v>
      </c>
      <c r="J348" s="350">
        <f t="array" ref="J348">(PRODUCT(Index_Returns!F337:F348/100+1)-1)*100</f>
        <v>29.148795215530644</v>
      </c>
      <c r="K348" s="350">
        <f t="shared" si="31"/>
        <v>10.510320430841144</v>
      </c>
      <c r="L348" s="350">
        <f t="array" ref="L348">(GEOMEAN(Index_Returns!G313:G348/100+1)^12-1)*100</f>
        <v>9.1704258007501807</v>
      </c>
      <c r="M348" s="350">
        <f t="array" ref="M348">(GEOMEAN(Index_Returns!F313:F348/100+1)^12-1)*100</f>
        <v>2.1753384110660967</v>
      </c>
      <c r="N348" s="350">
        <f t="shared" si="24"/>
        <v>6.9950873896840839</v>
      </c>
      <c r="O348" s="352"/>
      <c r="P348" s="352">
        <f t="array" ref="P348">(PRODUCT(Index_Returns!M337:M348/100+1)-1)*100</f>
        <v>39.130572294336808</v>
      </c>
      <c r="Q348" s="352">
        <f t="array" ref="Q348">(PRODUCT(Index_Returns!L337:L348/100+1)-1)*100</f>
        <v>41.073525500952066</v>
      </c>
      <c r="R348" s="352">
        <f t="shared" si="28"/>
        <v>-1.9429532066152575</v>
      </c>
      <c r="S348" s="352">
        <f t="array" ref="S348">(GEOMEAN(Index_Returns!M313:M348/100+1)^12-1)*100</f>
        <v>9.8378349635694029</v>
      </c>
      <c r="T348" s="352">
        <f t="array" ref="T348">(GEOMEAN(Index_Returns!L313:L348/100+1)^12-1)*100</f>
        <v>7.7082577650520845</v>
      </c>
      <c r="U348" s="352">
        <f t="shared" si="30"/>
        <v>2.1295771985173184</v>
      </c>
      <c r="V348" s="352"/>
      <c r="W348" s="352">
        <f t="array" ref="W348">(PRODUCT(Index_Returns!AC337:AC348/100+1)-1)*100</f>
        <v>47.382352733480189</v>
      </c>
      <c r="X348" s="352">
        <f t="array" ref="X348">(PRODUCT(Index_Returns!AB337:AB348/100+1)-1)*100</f>
        <v>34.235529376810092</v>
      </c>
      <c r="Y348" s="352">
        <f t="shared" si="29"/>
        <v>13.146823356670097</v>
      </c>
      <c r="Z348" s="352">
        <f t="array" ref="Z348">(GEOMEAN(Index_Returns!AC313:AC348/100+1)^12-1)*100</f>
        <v>2.7496095228854767</v>
      </c>
      <c r="AA348" s="352">
        <f t="array" ref="AA348">(GEOMEAN(Index_Returns!AB313:AB348/100+1)^12-1)*100</f>
        <v>-1.3525525036295449</v>
      </c>
      <c r="AB348" s="352">
        <f t="shared" si="25"/>
        <v>4.1021620265150212</v>
      </c>
    </row>
    <row r="349" spans="1:28" x14ac:dyDescent="0.2">
      <c r="A349" s="19">
        <v>38138</v>
      </c>
      <c r="B349" s="352">
        <f t="array" ref="B349">(PRODUCT(Index_Returns!D338:D349/100+1)-1)*100</f>
        <v>20.540580208848237</v>
      </c>
      <c r="C349" s="352">
        <f t="array" ref="C349">(PRODUCT(Index_Returns!C338:C349/100+1)-1)*100</f>
        <v>16.14805488967108</v>
      </c>
      <c r="D349" s="352">
        <f t="shared" si="26"/>
        <v>4.3925253191771567</v>
      </c>
      <c r="E349" s="352">
        <f t="array" ref="E349">(GEOMEAN(Index_Returns!D314:D349/100+1)^12-1)*100</f>
        <v>-2.3552362056425524</v>
      </c>
      <c r="F349" s="352">
        <f t="array" ref="F349">(GEOMEAN(Index_Returns!C314:C349/100+1)^12-1)*100</f>
        <v>-2.0973567336409205</v>
      </c>
      <c r="G349" s="352">
        <f t="shared" si="27"/>
        <v>-0.25787947200163197</v>
      </c>
      <c r="H349" s="351"/>
      <c r="I349" s="350">
        <f t="array" ref="I349">(PRODUCT(Index_Returns!G338:G349/100+1)-1)*100</f>
        <v>29.887939476524529</v>
      </c>
      <c r="J349" s="350">
        <f t="array" ref="J349">(PRODUCT(Index_Returns!F338:F349/100+1)-1)*100</f>
        <v>23.473275727924637</v>
      </c>
      <c r="K349" s="350">
        <f t="shared" si="31"/>
        <v>6.4146637485998923</v>
      </c>
      <c r="L349" s="350">
        <f t="array" ref="L349">(GEOMEAN(Index_Returns!G314:G349/100+1)^12-1)*100</f>
        <v>9.210020630078585</v>
      </c>
      <c r="M349" s="350">
        <f t="array" ref="M349">(GEOMEAN(Index_Returns!F314:F349/100+1)^12-1)*100</f>
        <v>1.9475170733949776</v>
      </c>
      <c r="N349" s="350">
        <f t="shared" si="24"/>
        <v>7.2625035566836074</v>
      </c>
      <c r="O349" s="352"/>
      <c r="P349" s="352">
        <f t="array" ref="P349">(PRODUCT(Index_Returns!M338:M349/100+1)-1)*100</f>
        <v>31.368859754204649</v>
      </c>
      <c r="Q349" s="352">
        <f t="array" ref="Q349">(PRODUCT(Index_Returns!L338:L349/100+1)-1)*100</f>
        <v>31.844657291100596</v>
      </c>
      <c r="R349" s="352">
        <f t="shared" si="28"/>
        <v>-0.47579753689594639</v>
      </c>
      <c r="S349" s="352">
        <f t="array" ref="S349">(GEOMEAN(Index_Returns!M314:M349/100+1)^12-1)*100</f>
        <v>9.6440286465369063</v>
      </c>
      <c r="T349" s="352">
        <f t="array" ref="T349">(GEOMEAN(Index_Returns!L314:L349/100+1)^12-1)*100</f>
        <v>7.6596920811519809</v>
      </c>
      <c r="U349" s="352">
        <f t="shared" si="30"/>
        <v>1.9843365653849254</v>
      </c>
      <c r="V349" s="352"/>
      <c r="W349" s="352">
        <f t="array" ref="W349">(PRODUCT(Index_Returns!AC338:AC349/100+1)-1)*100</f>
        <v>39.070975525854678</v>
      </c>
      <c r="X349" s="352">
        <f t="array" ref="X349">(PRODUCT(Index_Returns!AB338:AB349/100+1)-1)*100</f>
        <v>27.385412766988782</v>
      </c>
      <c r="Y349" s="352">
        <f t="shared" si="29"/>
        <v>11.685562758865895</v>
      </c>
      <c r="Z349" s="352">
        <f t="array" ref="Z349">(GEOMEAN(Index_Returns!AC314:AC349/100+1)^12-1)*100</f>
        <v>4.1096280834869825</v>
      </c>
      <c r="AA349" s="352">
        <f t="array" ref="AA349">(GEOMEAN(Index_Returns!AB314:AB349/100+1)^12-1)*100</f>
        <v>-4.2419452237640876E-2</v>
      </c>
      <c r="AB349" s="352">
        <f t="shared" si="25"/>
        <v>4.1520475357246234</v>
      </c>
    </row>
    <row r="350" spans="1:28" x14ac:dyDescent="0.2">
      <c r="A350" s="19">
        <v>38168</v>
      </c>
      <c r="B350" s="352">
        <f t="array" ref="B350">(PRODUCT(Index_Returns!D339:D350/100+1)-1)*100</f>
        <v>22.263785167656302</v>
      </c>
      <c r="C350" s="352">
        <f t="array" ref="C350">(PRODUCT(Index_Returns!C339:C350/100+1)-1)*100</f>
        <v>16.024287801261551</v>
      </c>
      <c r="D350" s="352">
        <f t="shared" si="26"/>
        <v>6.2394973663947511</v>
      </c>
      <c r="E350" s="352">
        <f t="array" ref="E350">(GEOMEAN(Index_Returns!D315:D350/100+1)^12-1)*100</f>
        <v>-0.56865648573815042</v>
      </c>
      <c r="F350" s="352">
        <f t="array" ref="F350">(GEOMEAN(Index_Returns!C315:C350/100+1)^12-1)*100</f>
        <v>-1.092589656184062</v>
      </c>
      <c r="G350" s="352">
        <f t="shared" si="27"/>
        <v>0.52393317044591159</v>
      </c>
      <c r="H350" s="351"/>
      <c r="I350" s="350">
        <f t="array" ref="I350">(PRODUCT(Index_Returns!G339:G350/100+1)-1)*100</f>
        <v>33.36731168516669</v>
      </c>
      <c r="J350" s="350">
        <f t="array" ref="J350">(PRODUCT(Index_Returns!F339:F350/100+1)-1)*100</f>
        <v>22.616907741249381</v>
      </c>
      <c r="K350" s="350">
        <f t="shared" si="31"/>
        <v>10.750403943917309</v>
      </c>
      <c r="L350" s="350">
        <f t="array" ref="L350">(GEOMEAN(Index_Returns!G315:G350/100+1)^12-1)*100</f>
        <v>10.272580291368261</v>
      </c>
      <c r="M350" s="350">
        <f t="array" ref="M350">(GEOMEAN(Index_Returns!F315:F350/100+1)^12-1)*100</f>
        <v>2.7575182572062706</v>
      </c>
      <c r="N350" s="350">
        <f t="shared" si="24"/>
        <v>7.51506203416199</v>
      </c>
      <c r="O350" s="352"/>
      <c r="P350" s="352">
        <f t="array" ref="P350">(PRODUCT(Index_Returns!M339:M350/100+1)-1)*100</f>
        <v>35.706913536993888</v>
      </c>
      <c r="Q350" s="352">
        <f t="array" ref="Q350">(PRODUCT(Index_Returns!L339:L350/100+1)-1)*100</f>
        <v>34.965505572812397</v>
      </c>
      <c r="R350" s="352">
        <f t="shared" si="28"/>
        <v>0.7414079641814908</v>
      </c>
      <c r="S350" s="352">
        <f t="array" ref="S350">(GEOMEAN(Index_Returns!M315:M350/100+1)^12-1)*100</f>
        <v>10.294077806847501</v>
      </c>
      <c r="T350" s="352">
        <f t="array" ref="T350">(GEOMEAN(Index_Returns!L315:L350/100+1)^12-1)*100</f>
        <v>8.3484646811079024</v>
      </c>
      <c r="U350" s="352">
        <f t="shared" si="30"/>
        <v>1.9456131257395981</v>
      </c>
      <c r="V350" s="352"/>
      <c r="W350" s="352">
        <f t="array" ref="W350">(PRODUCT(Index_Returns!AC339:AC350/100+1)-1)*100</f>
        <v>39.014363597746659</v>
      </c>
      <c r="X350" s="352">
        <f t="array" ref="X350">(PRODUCT(Index_Returns!AB339:AB350/100+1)-1)*100</f>
        <v>26.7978848593742</v>
      </c>
      <c r="Y350" s="352">
        <f t="shared" si="29"/>
        <v>12.216478738372459</v>
      </c>
      <c r="Z350" s="352">
        <f t="array" ref="Z350">(GEOMEAN(Index_Returns!AC315:AC350/100+1)^12-1)*100</f>
        <v>6.3763510028143511</v>
      </c>
      <c r="AA350" s="352">
        <f t="array" ref="AA350">(GEOMEAN(Index_Returns!AB315:AB350/100+1)^12-1)*100</f>
        <v>2.0628035616634177</v>
      </c>
      <c r="AB350" s="352">
        <f t="shared" si="25"/>
        <v>4.3135474411509334</v>
      </c>
    </row>
    <row r="351" spans="1:28" x14ac:dyDescent="0.2">
      <c r="A351" s="19">
        <v>38199</v>
      </c>
      <c r="B351" s="352">
        <f t="array" ref="B351">(PRODUCT(Index_Returns!D340:D351/100+1)-1)*100</f>
        <v>17.335915916132727</v>
      </c>
      <c r="C351" s="352">
        <f t="array" ref="C351">(PRODUCT(Index_Returns!C340:C351/100+1)-1)*100</f>
        <v>9.1123512095771417</v>
      </c>
      <c r="D351" s="352">
        <f t="shared" si="26"/>
        <v>8.2235647065555852</v>
      </c>
      <c r="E351" s="352">
        <f t="array" ref="E351">(GEOMEAN(Index_Returns!D316:D351/100+1)^12-1)*100</f>
        <v>-0.62636300266385447</v>
      </c>
      <c r="F351" s="352">
        <f t="array" ref="F351">(GEOMEAN(Index_Returns!C316:C351/100+1)^12-1)*100</f>
        <v>-2.5907165010672806</v>
      </c>
      <c r="G351" s="352">
        <f t="shared" si="27"/>
        <v>1.9643534984034261</v>
      </c>
      <c r="H351" s="351"/>
      <c r="I351" s="350">
        <f t="array" ref="I351">(PRODUCT(Index_Returns!G340:G351/100+1)-1)*100</f>
        <v>23.851247799272389</v>
      </c>
      <c r="J351" s="350">
        <f t="array" ref="J351">(PRODUCT(Index_Returns!F340:F351/100+1)-1)*100</f>
        <v>11.932462053736458</v>
      </c>
      <c r="K351" s="350">
        <f t="shared" si="31"/>
        <v>11.918785745535931</v>
      </c>
      <c r="L351" s="350">
        <f t="array" ref="L351">(GEOMEAN(Index_Returns!G316:G351/100+1)^12-1)*100</f>
        <v>8.6500306727077092</v>
      </c>
      <c r="M351" s="350">
        <f t="array" ref="M351">(GEOMEAN(Index_Returns!F316:F351/100+1)^12-1)*100</f>
        <v>2.0434819014542249</v>
      </c>
      <c r="N351" s="350">
        <f t="shared" si="24"/>
        <v>6.6065487712534843</v>
      </c>
      <c r="O351" s="352"/>
      <c r="P351" s="352">
        <f t="array" ref="P351">(PRODUCT(Index_Returns!M340:M351/100+1)-1)*100</f>
        <v>21.348705540039138</v>
      </c>
      <c r="Q351" s="352">
        <f t="array" ref="Q351">(PRODUCT(Index_Returns!L340:L351/100+1)-1)*100</f>
        <v>21.852502783532877</v>
      </c>
      <c r="R351" s="352">
        <f t="shared" si="28"/>
        <v>-0.50379724349373944</v>
      </c>
      <c r="S351" s="352">
        <f t="array" ref="S351">(GEOMEAN(Index_Returns!M316:M351/100+1)^12-1)*100</f>
        <v>8.4732976051814735</v>
      </c>
      <c r="T351" s="352">
        <f t="array" ref="T351">(GEOMEAN(Index_Returns!L316:L351/100+1)^12-1)*100</f>
        <v>7.2915351261817696</v>
      </c>
      <c r="U351" s="352">
        <f t="shared" si="30"/>
        <v>1.1817624789997039</v>
      </c>
      <c r="V351" s="352"/>
      <c r="W351" s="352">
        <f t="array" ref="W351">(PRODUCT(Index_Returns!AC340:AC351/100+1)-1)*100</f>
        <v>30.984251697775523</v>
      </c>
      <c r="X351" s="352">
        <f t="array" ref="X351">(PRODUCT(Index_Returns!AB340:AB351/100+1)-1)*100</f>
        <v>20.067044507823816</v>
      </c>
      <c r="Y351" s="352">
        <f t="shared" si="29"/>
        <v>10.917207189951707</v>
      </c>
      <c r="Z351" s="352">
        <f t="array" ref="Z351">(GEOMEAN(Index_Returns!AC316:AC351/100+1)^12-1)*100</f>
        <v>5.9445609225154517</v>
      </c>
      <c r="AA351" s="352">
        <f t="array" ref="AA351">(GEOMEAN(Index_Returns!AB316:AB351/100+1)^12-1)*100</f>
        <v>1.4907438107064408</v>
      </c>
      <c r="AB351" s="352">
        <f t="shared" si="25"/>
        <v>4.4538171118090109</v>
      </c>
    </row>
    <row r="352" spans="1:28" x14ac:dyDescent="0.2">
      <c r="A352" s="19">
        <v>38230</v>
      </c>
      <c r="B352" s="352">
        <f t="array" ref="B352">(PRODUCT(Index_Returns!D341:D352/100+1)-1)*100</f>
        <v>16.095481409580039</v>
      </c>
      <c r="C352" s="352">
        <f t="array" ref="C352">(PRODUCT(Index_Returns!C341:C352/100+1)-1)*100</f>
        <v>6.9388406980801065</v>
      </c>
      <c r="D352" s="352">
        <f t="shared" si="26"/>
        <v>9.1566407114999322</v>
      </c>
      <c r="E352" s="352">
        <f t="array" ref="E352">(GEOMEAN(Index_Returns!D317:D352/100+1)^12-1)*100</f>
        <v>1.7291063473200641</v>
      </c>
      <c r="F352" s="352">
        <f t="array" ref="F352">(GEOMEAN(Index_Returns!C317:C352/100+1)^12-1)*100</f>
        <v>-0.40366554700452806</v>
      </c>
      <c r="G352" s="352">
        <f t="shared" si="27"/>
        <v>2.1327718943245921</v>
      </c>
      <c r="H352" s="351"/>
      <c r="I352" s="350">
        <f t="array" ref="I352">(PRODUCT(Index_Returns!G341:G352/100+1)-1)*100</f>
        <v>18.666228861909893</v>
      </c>
      <c r="J352" s="350">
        <f t="array" ref="J352">(PRODUCT(Index_Returns!F341:F352/100+1)-1)*100</f>
        <v>6.3099444322033627</v>
      </c>
      <c r="K352" s="350">
        <f t="shared" si="31"/>
        <v>12.35628442970653</v>
      </c>
      <c r="L352" s="350">
        <f t="array" ref="L352">(GEOMEAN(Index_Returns!G317:G352/100+1)^12-1)*100</f>
        <v>9.6488820017220256</v>
      </c>
      <c r="M352" s="350">
        <f t="array" ref="M352">(GEOMEAN(Index_Returns!F317:F352/100+1)^12-1)*100</f>
        <v>3.2115901395395996</v>
      </c>
      <c r="N352" s="350">
        <f t="shared" si="24"/>
        <v>6.437291862182426</v>
      </c>
      <c r="O352" s="352"/>
      <c r="P352" s="352">
        <f t="array" ref="P352">(PRODUCT(Index_Returns!M341:M352/100+1)-1)*100</f>
        <v>15.0600773541961</v>
      </c>
      <c r="Q352" s="352">
        <f t="array" ref="Q352">(PRODUCT(Index_Returns!L341:L352/100+1)-1)*100</f>
        <v>14.806322579666741</v>
      </c>
      <c r="R352" s="352">
        <f t="shared" si="28"/>
        <v>0.25375477452935868</v>
      </c>
      <c r="S352" s="352">
        <f t="array" ref="S352">(GEOMEAN(Index_Returns!M317:M352/100+1)^12-1)*100</f>
        <v>8.5481224240755651</v>
      </c>
      <c r="T352" s="352">
        <f t="array" ref="T352">(GEOMEAN(Index_Returns!L317:L352/100+1)^12-1)*100</f>
        <v>8.2430425664117735</v>
      </c>
      <c r="U352" s="352">
        <f t="shared" si="30"/>
        <v>0.30507985766379164</v>
      </c>
      <c r="V352" s="352"/>
      <c r="W352" s="352">
        <f t="array" ref="W352">(PRODUCT(Index_Returns!AC341:AC352/100+1)-1)*100</f>
        <v>28.150838035730818</v>
      </c>
      <c r="X352" s="352">
        <f t="array" ref="X352">(PRODUCT(Index_Returns!AB341:AB352/100+1)-1)*100</f>
        <v>18.047822961296987</v>
      </c>
      <c r="Y352" s="352">
        <f t="shared" si="29"/>
        <v>10.103015074433831</v>
      </c>
      <c r="Z352" s="352">
        <f t="array" ref="Z352">(GEOMEAN(Index_Returns!AC317:AC352/100+1)^12-1)*100</f>
        <v>6.4472924782871255</v>
      </c>
      <c r="AA352" s="352">
        <f t="array" ref="AA352">(GEOMEAN(Index_Returns!AB317:AB352/100+1)^12-1)*100</f>
        <v>3.1218414467433897</v>
      </c>
      <c r="AB352" s="352">
        <f t="shared" si="25"/>
        <v>3.3254510315437358</v>
      </c>
    </row>
    <row r="353" spans="1:28" x14ac:dyDescent="0.2">
      <c r="A353" s="19">
        <v>38260</v>
      </c>
      <c r="B353" s="352">
        <f t="array" ref="B353">(PRODUCT(Index_Returns!D342:D353/100+1)-1)*100</f>
        <v>20.482020120543829</v>
      </c>
      <c r="C353" s="352">
        <f t="array" ref="C353">(PRODUCT(Index_Returns!C342:C353/100+1)-1)*100</f>
        <v>7.5269996556940111</v>
      </c>
      <c r="D353" s="352">
        <f t="shared" si="26"/>
        <v>12.955020464849818</v>
      </c>
      <c r="E353" s="352">
        <f t="array" ref="E353">(GEOMEAN(Index_Returns!D318:D353/100+1)^12-1)*100</f>
        <v>5.8324454484967259</v>
      </c>
      <c r="F353" s="352">
        <f t="array" ref="F353">(GEOMEAN(Index_Returns!C318:C353/100+1)^12-1)*100</f>
        <v>2.0109741848256535</v>
      </c>
      <c r="G353" s="352">
        <f t="shared" si="27"/>
        <v>3.8214712636710724</v>
      </c>
      <c r="H353" s="351"/>
      <c r="I353" s="350">
        <f t="array" ref="I353">(PRODUCT(Index_Returns!G342:G353/100+1)-1)*100</f>
        <v>23.435887424527536</v>
      </c>
      <c r="J353" s="350">
        <f t="array" ref="J353">(PRODUCT(Index_Returns!F342:F353/100+1)-1)*100</f>
        <v>11.726129369874005</v>
      </c>
      <c r="K353" s="350">
        <f t="shared" si="31"/>
        <v>11.70975805465353</v>
      </c>
      <c r="L353" s="350">
        <f t="array" ref="L353">(GEOMEAN(Index_Returns!G318:G353/100+1)^12-1)*100</f>
        <v>15.216107781291409</v>
      </c>
      <c r="M353" s="350">
        <f t="array" ref="M353">(GEOMEAN(Index_Returns!F318:F353/100+1)^12-1)*100</f>
        <v>9.4873417028152218</v>
      </c>
      <c r="N353" s="350">
        <f t="shared" si="24"/>
        <v>5.7287660784761876</v>
      </c>
      <c r="O353" s="352"/>
      <c r="P353" s="352">
        <f t="array" ref="P353">(PRODUCT(Index_Returns!M342:M353/100+1)-1)*100</f>
        <v>25.129127252296701</v>
      </c>
      <c r="Q353" s="352">
        <f t="array" ref="Q353">(PRODUCT(Index_Returns!L342:L353/100+1)-1)*100</f>
        <v>24.200719871299903</v>
      </c>
      <c r="R353" s="352">
        <f t="shared" si="28"/>
        <v>0.92840738099679854</v>
      </c>
      <c r="S353" s="352">
        <f t="array" ref="S353">(GEOMEAN(Index_Returns!M318:M353/100+1)^12-1)*100</f>
        <v>15.441606392961038</v>
      </c>
      <c r="T353" s="352">
        <f t="array" ref="T353">(GEOMEAN(Index_Returns!L318:L353/100+1)^12-1)*100</f>
        <v>16.051248595354451</v>
      </c>
      <c r="U353" s="352">
        <f t="shared" si="30"/>
        <v>-0.60964220239341316</v>
      </c>
      <c r="V353" s="352"/>
      <c r="W353" s="352">
        <f t="array" ref="W353">(PRODUCT(Index_Returns!AC342:AC353/100+1)-1)*100</f>
        <v>28.087770697020243</v>
      </c>
      <c r="X353" s="352">
        <f t="array" ref="X353">(PRODUCT(Index_Returns!AB342:AB353/100+1)-1)*100</f>
        <v>16.99544426674786</v>
      </c>
      <c r="Y353" s="352">
        <f t="shared" si="29"/>
        <v>11.092326430272383</v>
      </c>
      <c r="Z353" s="352">
        <f t="array" ref="Z353">(GEOMEAN(Index_Returns!AC318:AC353/100+1)^12-1)*100</f>
        <v>11.552563415438888</v>
      </c>
      <c r="AA353" s="352">
        <f t="array" ref="AA353">(GEOMEAN(Index_Returns!AB318:AB353/100+1)^12-1)*100</f>
        <v>7.4613474537362778</v>
      </c>
      <c r="AB353" s="352">
        <f t="shared" si="25"/>
        <v>4.09121596170261</v>
      </c>
    </row>
    <row r="354" spans="1:28" x14ac:dyDescent="0.2">
      <c r="A354" s="19">
        <v>38291</v>
      </c>
      <c r="B354" s="352">
        <f t="array" ref="B354">(PRODUCT(Index_Returns!D343:D354/100+1)-1)*100</f>
        <v>14.471451351894448</v>
      </c>
      <c r="C354" s="352">
        <f t="array" ref="C354">(PRODUCT(Index_Returns!C343:C354/100+1)-1)*100</f>
        <v>4.4960235746126509</v>
      </c>
      <c r="D354" s="352">
        <f t="shared" si="26"/>
        <v>9.9754277772817979</v>
      </c>
      <c r="E354" s="352">
        <f t="array" ref="E354">(GEOMEAN(Index_Returns!D319:D354/100+1)^12-1)*100</f>
        <v>6.3624764861073935</v>
      </c>
      <c r="F354" s="352">
        <f t="array" ref="F354">(GEOMEAN(Index_Returns!C319:C354/100+1)^12-1)*100</f>
        <v>1.3067208358096272</v>
      </c>
      <c r="G354" s="352">
        <f t="shared" si="27"/>
        <v>5.0557556502977663</v>
      </c>
      <c r="H354" s="351"/>
      <c r="I354" s="350">
        <f t="array" ref="I354">(PRODUCT(Index_Returns!G343:G354/100+1)-1)*100</f>
        <v>15.027323875967014</v>
      </c>
      <c r="J354" s="350">
        <f t="array" ref="J354">(PRODUCT(Index_Returns!F343:F354/100+1)-1)*100</f>
        <v>7.023544235549628</v>
      </c>
      <c r="K354" s="350">
        <f t="shared" si="31"/>
        <v>8.0037796404173847</v>
      </c>
      <c r="L354" s="350">
        <f t="array" ref="L354">(GEOMEAN(Index_Returns!G319:G354/100+1)^12-1)*100</f>
        <v>14.931818953808129</v>
      </c>
      <c r="M354" s="350">
        <f t="array" ref="M354">(GEOMEAN(Index_Returns!F319:F354/100+1)^12-1)*100</f>
        <v>7.6826127523459187</v>
      </c>
      <c r="N354" s="350">
        <f t="shared" si="24"/>
        <v>7.2492062014622105</v>
      </c>
      <c r="O354" s="352"/>
      <c r="P354" s="352">
        <f t="array" ref="P354">(PRODUCT(Index_Returns!M343:M354/100+1)-1)*100</f>
        <v>16.73347012281312</v>
      </c>
      <c r="Q354" s="352">
        <f t="array" ref="Q354">(PRODUCT(Index_Returns!L343:L354/100+1)-1)*100</f>
        <v>17.008494414707044</v>
      </c>
      <c r="R354" s="352">
        <f t="shared" si="28"/>
        <v>-0.2750242918939243</v>
      </c>
      <c r="S354" s="352">
        <f t="array" ref="S354">(GEOMEAN(Index_Returns!M319:M354/100+1)^12-1)*100</f>
        <v>14.510302728249179</v>
      </c>
      <c r="T354" s="352">
        <f t="array" ref="T354">(GEOMEAN(Index_Returns!L319:L354/100+1)^12-1)*100</f>
        <v>14.405169690436349</v>
      </c>
      <c r="U354" s="352">
        <f t="shared" si="30"/>
        <v>0.10513303781283057</v>
      </c>
      <c r="V354" s="352"/>
      <c r="W354" s="352">
        <f t="array" ref="W354">(PRODUCT(Index_Returns!AC343:AC354/100+1)-1)*100</f>
        <v>24.219633705966558</v>
      </c>
      <c r="X354" s="352">
        <f t="array" ref="X354">(PRODUCT(Index_Returns!AB343:AB354/100+1)-1)*100</f>
        <v>14.328472040591977</v>
      </c>
      <c r="Y354" s="352">
        <f t="shared" si="29"/>
        <v>9.8911616653745806</v>
      </c>
      <c r="Z354" s="352">
        <f t="array" ref="Z354">(GEOMEAN(Index_Returns!AC319:AC354/100+1)^12-1)*100</f>
        <v>12.362293879816665</v>
      </c>
      <c r="AA354" s="352">
        <f t="array" ref="AA354">(GEOMEAN(Index_Returns!AB319:AB354/100+1)^12-1)*100</f>
        <v>7.2438445823767905</v>
      </c>
      <c r="AB354" s="352">
        <f t="shared" si="25"/>
        <v>5.1184492974398745</v>
      </c>
    </row>
    <row r="355" spans="1:28" x14ac:dyDescent="0.2">
      <c r="A355" s="19">
        <v>38321</v>
      </c>
      <c r="B355" s="352">
        <f t="array" ref="B355">(PRODUCT(Index_Returns!D344:D355/100+1)-1)*100</f>
        <v>18.986663732820187</v>
      </c>
      <c r="C355" s="352">
        <f t="array" ref="C355">(PRODUCT(Index_Returns!C344:C355/100+1)-1)*100</f>
        <v>6.8829701732137538</v>
      </c>
      <c r="D355" s="352">
        <f t="shared" si="26"/>
        <v>12.103693559606434</v>
      </c>
      <c r="E355" s="352">
        <f t="array" ref="E355">(GEOMEAN(Index_Returns!D320:D355/100+1)^12-1)*100</f>
        <v>5.8714372989956631</v>
      </c>
      <c r="F355" s="352">
        <f t="array" ref="F355">(GEOMEAN(Index_Returns!C320:C355/100+1)^12-1)*100</f>
        <v>-0.49109409424868966</v>
      </c>
      <c r="G355" s="352">
        <f t="shared" si="27"/>
        <v>6.3625313932443532</v>
      </c>
      <c r="H355" s="351"/>
      <c r="I355" s="350">
        <f t="array" ref="I355">(PRODUCT(Index_Returns!G344:G355/100+1)-1)*100</f>
        <v>18.525836499018979</v>
      </c>
      <c r="J355" s="350">
        <f t="array" ref="J355">(PRODUCT(Index_Returns!F344:F355/100+1)-1)*100</f>
        <v>8.8340792453728945</v>
      </c>
      <c r="K355" s="350">
        <f t="shared" si="31"/>
        <v>9.6917572536460845</v>
      </c>
      <c r="L355" s="350">
        <f t="array" ref="L355">(GEOMEAN(Index_Returns!G320:G355/100+1)^12-1)*100</f>
        <v>15.303902925924007</v>
      </c>
      <c r="M355" s="350">
        <f t="array" ref="M355">(GEOMEAN(Index_Returns!F320:F355/100+1)^12-1)*100</f>
        <v>6.2984597346797511</v>
      </c>
      <c r="N355" s="350">
        <f t="shared" si="24"/>
        <v>9.0054431912442556</v>
      </c>
      <c r="O355" s="352"/>
      <c r="P355" s="352">
        <f t="array" ref="P355">(PRODUCT(Index_Returns!M344:M355/100+1)-1)*100</f>
        <v>22.529818865251983</v>
      </c>
      <c r="Q355" s="352">
        <f t="array" ref="Q355">(PRODUCT(Index_Returns!L344:L355/100+1)-1)*100</f>
        <v>21.780311064050871</v>
      </c>
      <c r="R355" s="352">
        <f t="shared" si="28"/>
        <v>0.74950780120111204</v>
      </c>
      <c r="S355" s="352">
        <f t="array" ref="S355">(GEOMEAN(Index_Returns!M320:M355/100+1)^12-1)*100</f>
        <v>15.120733905164219</v>
      </c>
      <c r="T355" s="352">
        <f t="array" ref="T355">(GEOMEAN(Index_Returns!L320:L355/100+1)^12-1)*100</f>
        <v>14.667838709497548</v>
      </c>
      <c r="U355" s="352">
        <f t="shared" si="30"/>
        <v>0.45289519566667025</v>
      </c>
      <c r="V355" s="352"/>
      <c r="W355" s="352">
        <f t="array" ref="W355">(PRODUCT(Index_Returns!AC344:AC355/100+1)-1)*100</f>
        <v>29.899727326296709</v>
      </c>
      <c r="X355" s="352">
        <f t="array" ref="X355">(PRODUCT(Index_Returns!AB344:AB355/100+1)-1)*100</f>
        <v>19.43527008961512</v>
      </c>
      <c r="Y355" s="352">
        <f t="shared" si="29"/>
        <v>10.464457236681589</v>
      </c>
      <c r="Z355" s="352">
        <f t="array" ref="Z355">(GEOMEAN(Index_Returns!AC320:AC355/100+1)^12-1)*100</f>
        <v>13.974745716991844</v>
      </c>
      <c r="AA355" s="352">
        <f t="array" ref="AA355">(GEOMEAN(Index_Returns!AB320:AB355/100+1)^12-1)*100</f>
        <v>7.84537630637554</v>
      </c>
      <c r="AB355" s="352">
        <f t="shared" si="25"/>
        <v>6.1293694106163041</v>
      </c>
    </row>
    <row r="356" spans="1:28" x14ac:dyDescent="0.2">
      <c r="A356" s="19">
        <v>38352</v>
      </c>
      <c r="B356" s="352">
        <f t="array" ref="B356">(PRODUCT(Index_Returns!D345:D356/100+1)-1)*100</f>
        <v>15.712121162715921</v>
      </c>
      <c r="C356" s="352">
        <f t="array" ref="C356">(PRODUCT(Index_Returns!C345:C356/100+1)-1)*100</f>
        <v>6.1362705872318957</v>
      </c>
      <c r="D356" s="352">
        <f t="shared" si="26"/>
        <v>9.5758505754840257</v>
      </c>
      <c r="E356" s="352">
        <f t="array" ref="E356">(GEOMEAN(Index_Returns!D321:D356/100+1)^12-1)*100</f>
        <v>6.471803249072261</v>
      </c>
      <c r="F356" s="352">
        <f t="array" ref="F356">(GEOMEAN(Index_Returns!C321:C356/100+1)^12-1)*100</f>
        <v>0.63308793615628467</v>
      </c>
      <c r="G356" s="352">
        <f t="shared" si="27"/>
        <v>5.8387153129159763</v>
      </c>
      <c r="H356" s="351"/>
      <c r="I356" s="350">
        <f t="array" ref="I356">(PRODUCT(Index_Returns!G345:G356/100+1)-1)*100</f>
        <v>18.929389569133924</v>
      </c>
      <c r="J356" s="350">
        <f t="array" ref="J356">(PRODUCT(Index_Returns!F345:F356/100+1)-1)*100</f>
        <v>14.003274184229774</v>
      </c>
      <c r="K356" s="350">
        <f t="shared" si="31"/>
        <v>4.9261153849041506</v>
      </c>
      <c r="L356" s="350">
        <f t="array" ref="L356">(GEOMEAN(Index_Returns!G321:G356/100+1)^12-1)*100</f>
        <v>14.44663605621419</v>
      </c>
      <c r="M356" s="350">
        <f t="array" ref="M356">(GEOMEAN(Index_Returns!F321:F356/100+1)^12-1)*100</f>
        <v>6.4636263669013871</v>
      </c>
      <c r="N356" s="350">
        <f t="shared" si="24"/>
        <v>7.9830096893128033</v>
      </c>
      <c r="O356" s="352"/>
      <c r="P356" s="352">
        <f t="array" ref="P356">(PRODUCT(Index_Returns!M345:M356/100+1)-1)*100</f>
        <v>21.085506461072811</v>
      </c>
      <c r="Q356" s="352">
        <f t="array" ref="Q356">(PRODUCT(Index_Returns!L345:L356/100+1)-1)*100</f>
        <v>24.32079180117308</v>
      </c>
      <c r="R356" s="352">
        <f t="shared" si="28"/>
        <v>-3.235285340100269</v>
      </c>
      <c r="S356" s="352">
        <f t="array" ref="S356">(GEOMEAN(Index_Returns!M321:M356/100+1)^12-1)*100</f>
        <v>13.639987494805439</v>
      </c>
      <c r="T356" s="352">
        <f t="array" ref="T356">(GEOMEAN(Index_Returns!L321:L356/100+1)^12-1)*100</f>
        <v>12.833776129269193</v>
      </c>
      <c r="U356" s="352">
        <f t="shared" si="30"/>
        <v>0.80621136553624595</v>
      </c>
      <c r="V356" s="352"/>
      <c r="W356" s="352">
        <f t="array" ref="W356">(PRODUCT(Index_Returns!AC345:AC356/100+1)-1)*100</f>
        <v>24.880400753877939</v>
      </c>
      <c r="X356" s="352">
        <f t="array" ref="X356">(PRODUCT(Index_Returns!AB345:AB356/100+1)-1)*100</f>
        <v>16.47809242641025</v>
      </c>
      <c r="Y356" s="352">
        <f t="shared" si="29"/>
        <v>8.40230832746769</v>
      </c>
      <c r="Z356" s="352">
        <f t="array" ref="Z356">(GEOMEAN(Index_Returns!AC321:AC356/100+1)^12-1)*100</f>
        <v>15.440533319474103</v>
      </c>
      <c r="AA356" s="352">
        <f t="array" ref="AA356">(GEOMEAN(Index_Returns!AB321:AB356/100+1)^12-1)*100</f>
        <v>9.1366473923589098</v>
      </c>
      <c r="AB356" s="352">
        <f t="shared" si="25"/>
        <v>6.3038859271151928</v>
      </c>
    </row>
    <row r="357" spans="1:28" x14ac:dyDescent="0.2">
      <c r="A357" s="19">
        <v>38383</v>
      </c>
      <c r="B357" s="352">
        <f t="array" ref="B357">(PRODUCT(Index_Returns!D346:D357/100+1)-1)*100</f>
        <v>10.937191183007267</v>
      </c>
      <c r="C357" s="352">
        <f t="array" ref="C357">(PRODUCT(Index_Returns!C346:C357/100+1)-1)*100</f>
        <v>1.607332819016416</v>
      </c>
      <c r="D357" s="352">
        <f t="shared" si="26"/>
        <v>9.3298583639908514</v>
      </c>
      <c r="E357" s="352">
        <f t="array" ref="E357">(GEOMEAN(Index_Returns!D322:D357/100+1)^12-1)*100</f>
        <v>6.5864104995769779</v>
      </c>
      <c r="F357" s="352">
        <f t="array" ref="F357">(GEOMEAN(Index_Returns!C322:C357/100+1)^12-1)*100</f>
        <v>-0.14249752034728447</v>
      </c>
      <c r="G357" s="352">
        <f t="shared" si="27"/>
        <v>6.7289080199242619</v>
      </c>
      <c r="H357" s="351"/>
      <c r="I357" s="350">
        <f t="array" ref="I357">(PRODUCT(Index_Returns!G346:G357/100+1)-1)*100</f>
        <v>12.684147954339986</v>
      </c>
      <c r="J357" s="350">
        <f t="array" ref="J357">(PRODUCT(Index_Returns!F346:F357/100+1)-1)*100</f>
        <v>9.4907438424965953</v>
      </c>
      <c r="K357" s="350">
        <f t="shared" si="31"/>
        <v>3.1934041118433907</v>
      </c>
      <c r="L357" s="350">
        <f t="array" ref="L357">(GEOMEAN(Index_Returns!G322:G357/100+1)^12-1)*100</f>
        <v>13.388028195588152</v>
      </c>
      <c r="M357" s="350">
        <f t="array" ref="M357">(GEOMEAN(Index_Returns!F322:F357/100+1)^12-1)*100</f>
        <v>5.9952663180914856</v>
      </c>
      <c r="N357" s="350">
        <f t="shared" si="24"/>
        <v>7.3927618774966666</v>
      </c>
      <c r="O357" s="352"/>
      <c r="P357" s="352">
        <f t="array" ref="P357">(PRODUCT(Index_Returns!M346:M357/100+1)-1)*100</f>
        <v>14.39539314174878</v>
      </c>
      <c r="Q357" s="352">
        <f t="array" ref="Q357">(PRODUCT(Index_Returns!L346:L357/100+1)-1)*100</f>
        <v>18.738979488322617</v>
      </c>
      <c r="R357" s="352">
        <f t="shared" si="28"/>
        <v>-4.3435863465738365</v>
      </c>
      <c r="S357" s="352">
        <f t="array" ref="S357">(GEOMEAN(Index_Returns!M322:M357/100+1)^12-1)*100</f>
        <v>11.809608137562755</v>
      </c>
      <c r="T357" s="352">
        <f t="array" ref="T357">(GEOMEAN(Index_Returns!L322:L357/100+1)^12-1)*100</f>
        <v>12.288120366982657</v>
      </c>
      <c r="U357" s="352">
        <f t="shared" si="30"/>
        <v>-0.47851222941990201</v>
      </c>
      <c r="V357" s="352"/>
      <c r="W357" s="352">
        <f t="array" ref="W357">(PRODUCT(Index_Returns!AC346:AC357/100+1)-1)*100</f>
        <v>22.0798278597244</v>
      </c>
      <c r="X357" s="352">
        <f t="array" ref="X357">(PRODUCT(Index_Returns!AB346:AB357/100+1)-1)*100</f>
        <v>11.614295111763173</v>
      </c>
      <c r="Y357" s="352">
        <f t="shared" si="29"/>
        <v>10.465532747961227</v>
      </c>
      <c r="Z357" s="352">
        <f t="array" ref="Z357">(GEOMEAN(Index_Returns!AC322:AC357/100+1)^12-1)*100</f>
        <v>16.986397361790484</v>
      </c>
      <c r="AA357" s="352">
        <f t="array" ref="AA357">(GEOMEAN(Index_Returns!AB322:AB357/100+1)^12-1)*100</f>
        <v>10.31242814834612</v>
      </c>
      <c r="AB357" s="352">
        <f t="shared" si="25"/>
        <v>6.673969213444364</v>
      </c>
    </row>
    <row r="358" spans="1:28" x14ac:dyDescent="0.2">
      <c r="A358" s="19">
        <v>38411</v>
      </c>
      <c r="B358" s="352">
        <f t="array" ref="B358">(PRODUCT(Index_Returns!D347:D358/100+1)-1)*100</f>
        <v>10.449440731649219</v>
      </c>
      <c r="C358" s="352">
        <f t="array" ref="C358">(PRODUCT(Index_Returns!C347:C358/100+1)-1)*100</f>
        <v>3.515083458696644</v>
      </c>
      <c r="D358" s="352">
        <f t="shared" si="26"/>
        <v>6.9343572729525746</v>
      </c>
      <c r="E358" s="352">
        <f t="array" ref="E358">(GEOMEAN(Index_Returns!D323:D358/100+1)^12-1)*100</f>
        <v>7.5475932657368405</v>
      </c>
      <c r="F358" s="352">
        <f t="array" ref="F358">(GEOMEAN(Index_Returns!C323:C358/100+1)^12-1)*100</f>
        <v>1.6605415234741017</v>
      </c>
      <c r="G358" s="352">
        <f t="shared" si="27"/>
        <v>5.8870517422627389</v>
      </c>
      <c r="H358" s="351"/>
      <c r="I358" s="350">
        <f t="array" ref="I358">(PRODUCT(Index_Returns!G347:G358/100+1)-1)*100</f>
        <v>13.205030839915599</v>
      </c>
      <c r="J358" s="350">
        <f t="array" ref="J358">(PRODUCT(Index_Returns!F347:F358/100+1)-1)*100</f>
        <v>11.043861820567225</v>
      </c>
      <c r="K358" s="350">
        <f t="shared" si="31"/>
        <v>2.1611690193483746</v>
      </c>
      <c r="L358" s="350">
        <f t="array" ref="L358">(GEOMEAN(Index_Returns!G323:G358/100+1)^12-1)*100</f>
        <v>13.665545301296401</v>
      </c>
      <c r="M358" s="350">
        <f t="array" ref="M358">(GEOMEAN(Index_Returns!F323:F358/100+1)^12-1)*100</f>
        <v>8.0452005118613492</v>
      </c>
      <c r="N358" s="350">
        <f t="shared" si="24"/>
        <v>5.6203447894350518</v>
      </c>
      <c r="O358" s="352"/>
      <c r="P358" s="352">
        <f t="array" ref="P358">(PRODUCT(Index_Returns!M347:M358/100+1)-1)*100</f>
        <v>16.020513705713668</v>
      </c>
      <c r="Q358" s="352">
        <f t="array" ref="Q358">(PRODUCT(Index_Returns!L347:L358/100+1)-1)*100</f>
        <v>19.187492097226301</v>
      </c>
      <c r="R358" s="352">
        <f t="shared" si="28"/>
        <v>-3.1669783915126324</v>
      </c>
      <c r="S358" s="352">
        <f t="array" ref="S358">(GEOMEAN(Index_Returns!M323:M358/100+1)^12-1)*100</f>
        <v>13.46104640283199</v>
      </c>
      <c r="T358" s="352">
        <f t="array" ref="T358">(GEOMEAN(Index_Returns!L323:L358/100+1)^12-1)*100</f>
        <v>14.072797965906458</v>
      </c>
      <c r="U358" s="352">
        <f t="shared" si="30"/>
        <v>-0.61175156307446876</v>
      </c>
      <c r="V358" s="352"/>
      <c r="W358" s="352">
        <f t="array" ref="W358">(PRODUCT(Index_Returns!AC347:AC358/100+1)-1)*100</f>
        <v>24.356008859667021</v>
      </c>
      <c r="X358" s="352">
        <f t="array" ref="X358">(PRODUCT(Index_Returns!AB347:AB358/100+1)-1)*100</f>
        <v>13.930244777826406</v>
      </c>
      <c r="Y358" s="352">
        <f t="shared" si="29"/>
        <v>10.425764081840615</v>
      </c>
      <c r="Z358" s="352">
        <f t="array" ref="Z358">(GEOMEAN(Index_Returns!AC323:AC358/100+1)^12-1)*100</f>
        <v>18.737848774385135</v>
      </c>
      <c r="AA358" s="352">
        <f t="array" ref="AA358">(GEOMEAN(Index_Returns!AB323:AB358/100+1)^12-1)*100</f>
        <v>11.274492311098205</v>
      </c>
      <c r="AB358" s="352">
        <f t="shared" si="25"/>
        <v>7.4633564632869298</v>
      </c>
    </row>
    <row r="359" spans="1:28" x14ac:dyDescent="0.2">
      <c r="A359" s="19">
        <v>38442</v>
      </c>
      <c r="B359" s="352">
        <f t="array" ref="B359">(PRODUCT(Index_Returns!D348:D359/100+1)-1)*100</f>
        <v>9.2394015461086489</v>
      </c>
      <c r="C359" s="352">
        <f t="array" ref="C359">(PRODUCT(Index_Returns!C348:C359/100+1)-1)*100</f>
        <v>4.1349723417370754</v>
      </c>
      <c r="D359" s="352">
        <f t="shared" si="26"/>
        <v>5.1044292043715735</v>
      </c>
      <c r="E359" s="352">
        <f t="array" ref="E359">(GEOMEAN(Index_Returns!D324:D359/100+1)^12-1)*100</f>
        <v>5.1404087800886789</v>
      </c>
      <c r="F359" s="352">
        <f t="array" ref="F359">(GEOMEAN(Index_Returns!C324:C359/100+1)^12-1)*100</f>
        <v>0.27062948350067284</v>
      </c>
      <c r="G359" s="352">
        <f t="shared" si="27"/>
        <v>4.869779296588006</v>
      </c>
      <c r="H359" s="351"/>
      <c r="I359" s="350">
        <f t="array" ref="I359">(PRODUCT(Index_Returns!G348:G359/100+1)-1)*100</f>
        <v>11.903252086396133</v>
      </c>
      <c r="J359" s="350">
        <f t="array" ref="J359">(PRODUCT(Index_Returns!F348:F359/100+1)-1)*100</f>
        <v>8.9358948406023551</v>
      </c>
      <c r="K359" s="350">
        <f t="shared" si="31"/>
        <v>2.967357245793778</v>
      </c>
      <c r="L359" s="350">
        <f t="array" ref="L359">(GEOMEAN(Index_Returns!G324:G359/100+1)^12-1)*100</f>
        <v>10.631139640902788</v>
      </c>
      <c r="M359" s="350">
        <f t="array" ref="M359">(GEOMEAN(Index_Returns!F324:F359/100+1)^12-1)*100</f>
        <v>5.2339787870786969</v>
      </c>
      <c r="N359" s="350">
        <f t="shared" si="24"/>
        <v>5.3971608538240909</v>
      </c>
      <c r="O359" s="352"/>
      <c r="P359" s="352">
        <f t="array" ref="P359">(PRODUCT(Index_Returns!M348:M359/100+1)-1)*100</f>
        <v>11.91841512804379</v>
      </c>
      <c r="Q359" s="352">
        <f t="array" ref="Q359">(PRODUCT(Index_Returns!L348:L359/100+1)-1)*100</f>
        <v>14.585388596517923</v>
      </c>
      <c r="R359" s="352">
        <f t="shared" si="28"/>
        <v>-2.6669734684741329</v>
      </c>
      <c r="S359" s="352">
        <f t="array" ref="S359">(GEOMEAN(Index_Returns!M324:M359/100+1)^12-1)*100</f>
        <v>9.7513504759249017</v>
      </c>
      <c r="T359" s="352">
        <f t="array" ref="T359">(GEOMEAN(Index_Returns!L324:L359/100+1)^12-1)*100</f>
        <v>10.269805151496314</v>
      </c>
      <c r="U359" s="352">
        <f t="shared" si="30"/>
        <v>-0.51845467557141234</v>
      </c>
      <c r="V359" s="352"/>
      <c r="W359" s="352">
        <f t="array" ref="W359">(PRODUCT(Index_Returns!AC348:AC359/100+1)-1)*100</f>
        <v>19.900676454731258</v>
      </c>
      <c r="X359" s="352">
        <f t="array" ref="X359">(PRODUCT(Index_Returns!AB348:AB359/100+1)-1)*100</f>
        <v>11.063304955405794</v>
      </c>
      <c r="Y359" s="352">
        <f t="shared" si="29"/>
        <v>8.8373714993254637</v>
      </c>
      <c r="Z359" s="352">
        <f t="array" ref="Z359">(GEOMEAN(Index_Returns!AC324:AC359/100+1)^12-1)*100</f>
        <v>15.092487820518352</v>
      </c>
      <c r="AA359" s="352">
        <f t="array" ref="AA359">(GEOMEAN(Index_Returns!AB324:AB359/100+1)^12-1)*100</f>
        <v>8.9919891240987084</v>
      </c>
      <c r="AB359" s="352">
        <f t="shared" si="25"/>
        <v>6.1004986964196437</v>
      </c>
    </row>
    <row r="360" spans="1:28" x14ac:dyDescent="0.2">
      <c r="A360" s="19">
        <v>38472</v>
      </c>
      <c r="B360" s="352">
        <f t="array" ref="B360">(PRODUCT(Index_Returns!D349:D360/100+1)-1)*100</f>
        <v>9.7183389817808941</v>
      </c>
      <c r="C360" s="352">
        <f t="array" ref="C360">(PRODUCT(Index_Returns!C349:C360/100+1)-1)*100</f>
        <v>2.9573516364978181</v>
      </c>
      <c r="D360" s="352">
        <f t="shared" si="26"/>
        <v>6.760987345283076</v>
      </c>
      <c r="E360" s="352">
        <f t="array" ref="E360">(GEOMEAN(Index_Returns!D325:D360/100+1)^12-1)*100</f>
        <v>6.2241042123810653</v>
      </c>
      <c r="F360" s="352">
        <f t="array" ref="F360">(GEOMEAN(Index_Returns!C325:C360/100+1)^12-1)*100</f>
        <v>2.1805045828196867</v>
      </c>
      <c r="G360" s="352">
        <f t="shared" si="27"/>
        <v>4.0435996295613785</v>
      </c>
      <c r="H360" s="351"/>
      <c r="I360" s="350">
        <f t="array" ref="I360">(PRODUCT(Index_Returns!G349:G360/100+1)-1)*100</f>
        <v>12.039915373558685</v>
      </c>
      <c r="J360" s="350">
        <f t="array" ref="J360">(PRODUCT(Index_Returns!F349:F360/100+1)-1)*100</f>
        <v>7.4329524847954742</v>
      </c>
      <c r="K360" s="350">
        <f t="shared" si="31"/>
        <v>4.6069628887632108</v>
      </c>
      <c r="L360" s="350">
        <f t="array" ref="L360">(GEOMEAN(Index_Returns!G325:G360/100+1)^12-1)*100</f>
        <v>8.6888618299804765</v>
      </c>
      <c r="M360" s="350">
        <f t="array" ref="M360">(GEOMEAN(Index_Returns!F325:F360/100+1)^12-1)*100</f>
        <v>4.7113871803566187</v>
      </c>
      <c r="N360" s="350">
        <f t="shared" si="24"/>
        <v>3.9774746496238578</v>
      </c>
      <c r="O360" s="352"/>
      <c r="P360" s="352">
        <f t="array" ref="P360">(PRODUCT(Index_Returns!M349:M360/100+1)-1)*100</f>
        <v>9.4316007636586097</v>
      </c>
      <c r="Q360" s="352">
        <f t="array" ref="Q360">(PRODUCT(Index_Returns!L349:L360/100+1)-1)*100</f>
        <v>11.705738910061726</v>
      </c>
      <c r="R360" s="352">
        <f t="shared" si="28"/>
        <v>-2.2741381464031161</v>
      </c>
      <c r="S360" s="352">
        <f t="array" ref="S360">(GEOMEAN(Index_Returns!M325:M360/100+1)^12-1)*100</f>
        <v>6.0448165476497673</v>
      </c>
      <c r="T360" s="352">
        <f t="array" ref="T360">(GEOMEAN(Index_Returns!L325:L360/100+1)^12-1)*100</f>
        <v>7.8263717772365071</v>
      </c>
      <c r="U360" s="352">
        <f t="shared" si="30"/>
        <v>-1.7815552295867398</v>
      </c>
      <c r="V360" s="352"/>
      <c r="W360" s="352">
        <f t="array" ref="W360">(PRODUCT(Index_Returns!AC349:AC360/100+1)-1)*100</f>
        <v>19.085800036868971</v>
      </c>
      <c r="X360" s="352">
        <f t="array" ref="X360">(PRODUCT(Index_Returns!AB349:AB360/100+1)-1)*100</f>
        <v>11.705197933744337</v>
      </c>
      <c r="Y360" s="352">
        <f t="shared" si="29"/>
        <v>7.3806021031246338</v>
      </c>
      <c r="Z360" s="352">
        <f t="array" ref="Z360">(GEOMEAN(Index_Returns!AC325:AC360/100+1)^12-1)*100</f>
        <v>13.757136284985428</v>
      </c>
      <c r="AA360" s="352">
        <f t="array" ref="AA360">(GEOMEAN(Index_Returns!AB325:AB360/100+1)^12-1)*100</f>
        <v>8.105932409500971</v>
      </c>
      <c r="AB360" s="352">
        <f t="shared" si="25"/>
        <v>5.6512038754844571</v>
      </c>
    </row>
    <row r="361" spans="1:28" x14ac:dyDescent="0.2">
      <c r="A361" s="19">
        <v>38503</v>
      </c>
      <c r="B361" s="352">
        <f t="array" ref="B361">(PRODUCT(Index_Returns!D350:D361/100+1)-1)*100</f>
        <v>11.904461971240888</v>
      </c>
      <c r="C361" s="352">
        <f t="array" ref="C361">(PRODUCT(Index_Returns!C350:C361/100+1)-1)*100</f>
        <v>4.5778247987598331</v>
      </c>
      <c r="D361" s="352">
        <f t="shared" si="26"/>
        <v>7.3266371724810551</v>
      </c>
      <c r="E361" s="352">
        <f t="array" ref="E361">(GEOMEAN(Index_Returns!D326:D361/100+1)^12-1)*100</f>
        <v>7.1909131008716765</v>
      </c>
      <c r="F361" s="352">
        <f t="array" ref="F361">(GEOMEAN(Index_Returns!C326:C361/100+1)^12-1)*100</f>
        <v>3.9342711258470775</v>
      </c>
      <c r="G361" s="352">
        <f t="shared" si="27"/>
        <v>3.256641975024599</v>
      </c>
      <c r="H361" s="351"/>
      <c r="I361" s="350">
        <f t="array" ref="I361">(PRODUCT(Index_Returns!G350:G361/100+1)-1)*100</f>
        <v>16.277436396581457</v>
      </c>
      <c r="J361" s="350">
        <f t="array" ref="J361">(PRODUCT(Index_Returns!F350:F361/100+1)-1)*100</f>
        <v>11.670792205826519</v>
      </c>
      <c r="K361" s="350">
        <f t="shared" si="31"/>
        <v>4.6066441907549383</v>
      </c>
      <c r="L361" s="350">
        <f t="array" ref="L361">(GEOMEAN(Index_Returns!G326:G361/100+1)^12-1)*100</f>
        <v>11.452253632788857</v>
      </c>
      <c r="M361" s="350">
        <f t="array" ref="M361">(GEOMEAN(Index_Returns!F326:F361/100+1)^12-1)*100</f>
        <v>7.3838562459681567</v>
      </c>
      <c r="N361" s="350">
        <f t="shared" si="24"/>
        <v>4.0683973868207</v>
      </c>
      <c r="O361" s="352"/>
      <c r="P361" s="352">
        <f t="array" ref="P361">(PRODUCT(Index_Returns!M350:M361/100+1)-1)*100</f>
        <v>14.678094499566452</v>
      </c>
      <c r="Q361" s="352">
        <f t="array" ref="Q361">(PRODUCT(Index_Returns!L350:L361/100+1)-1)*100</f>
        <v>17.592658068729673</v>
      </c>
      <c r="R361" s="352">
        <f t="shared" si="28"/>
        <v>-2.9145635691632208</v>
      </c>
      <c r="S361" s="352">
        <f t="array" ref="S361">(GEOMEAN(Index_Returns!M326:M361/100+1)^12-1)*100</f>
        <v>9.8066151503077172</v>
      </c>
      <c r="T361" s="352">
        <f t="array" ref="T361">(GEOMEAN(Index_Returns!L326:L361/100+1)^12-1)*100</f>
        <v>11.791776236899043</v>
      </c>
      <c r="U361" s="352">
        <f t="shared" si="30"/>
        <v>-1.9851610865913258</v>
      </c>
      <c r="V361" s="352"/>
      <c r="W361" s="352">
        <f t="array" ref="W361">(PRODUCT(Index_Returns!AC350:AC361/100+1)-1)*100</f>
        <v>17.87225154581018</v>
      </c>
      <c r="X361" s="352">
        <f t="array" ref="X361">(PRODUCT(Index_Returns!AB350:AB361/100+1)-1)*100</f>
        <v>12.252399654809953</v>
      </c>
      <c r="Y361" s="352">
        <f t="shared" si="29"/>
        <v>5.6198518910002271</v>
      </c>
      <c r="Z361" s="352">
        <f t="array" ref="Z361">(GEOMEAN(Index_Returns!AC326:AC361/100+1)^12-1)*100</f>
        <v>12.852035918957384</v>
      </c>
      <c r="AA361" s="352">
        <f t="array" ref="AA361">(GEOMEAN(Index_Returns!AB326:AB361/100+1)^12-1)*100</f>
        <v>8.1361059693593862</v>
      </c>
      <c r="AB361" s="352">
        <f t="shared" si="25"/>
        <v>4.7159299495979976</v>
      </c>
    </row>
    <row r="362" spans="1:28" x14ac:dyDescent="0.2">
      <c r="A362" s="19">
        <v>38533</v>
      </c>
      <c r="B362" s="352">
        <f t="array" ref="B362">(PRODUCT(Index_Returns!D351:D362/100+1)-1)*100</f>
        <v>11.180921914686115</v>
      </c>
      <c r="C362" s="352">
        <f t="array" ref="C362">(PRODUCT(Index_Returns!C351:C362/100+1)-1)*100</f>
        <v>1.5410134856185698</v>
      </c>
      <c r="D362" s="352">
        <f t="shared" si="26"/>
        <v>9.6399084290675461</v>
      </c>
      <c r="E362" s="352">
        <f t="array" ref="E362">(GEOMEAN(Index_Returns!D327:D362/100+1)^12-1)*100</f>
        <v>10.090918584134378</v>
      </c>
      <c r="F362" s="352">
        <f t="array" ref="F362">(GEOMEAN(Index_Returns!C327:C362/100+1)^12-1)*100</f>
        <v>6.4280791058493936</v>
      </c>
      <c r="G362" s="352">
        <f t="shared" si="27"/>
        <v>3.6628394782849849</v>
      </c>
      <c r="H362" s="351"/>
      <c r="I362" s="350">
        <f t="array" ref="I362">(PRODUCT(Index_Returns!G351:G362/100+1)-1)*100</f>
        <v>15.963483935202238</v>
      </c>
      <c r="J362" s="350">
        <f t="array" ref="J362">(PRODUCT(Index_Returns!F351:F362/100+1)-1)*100</f>
        <v>12.07038388101067</v>
      </c>
      <c r="K362" s="350">
        <f t="shared" si="31"/>
        <v>3.8931000541915672</v>
      </c>
      <c r="L362" s="350">
        <f t="array" ref="L362">(GEOMEAN(Index_Returns!G327:G362/100+1)^12-1)*100</f>
        <v>14.685222743140947</v>
      </c>
      <c r="M362" s="350">
        <f t="array" ref="M362">(GEOMEAN(Index_Returns!F327:F362/100+1)^12-1)*100</f>
        <v>11.566559455855518</v>
      </c>
      <c r="N362" s="350">
        <f t="shared" si="24"/>
        <v>3.118663287285429</v>
      </c>
      <c r="O362" s="352"/>
      <c r="P362" s="352">
        <f t="array" ref="P362">(PRODUCT(Index_Returns!M351:M362/100+1)-1)*100</f>
        <v>11.96051849128612</v>
      </c>
      <c r="Q362" s="352">
        <f t="array" ref="Q362">(PRODUCT(Index_Returns!L351:L362/100+1)-1)*100</f>
        <v>15.358334514741667</v>
      </c>
      <c r="R362" s="352">
        <f t="shared" si="28"/>
        <v>-3.3978160234555475</v>
      </c>
      <c r="S362" s="352">
        <f t="array" ref="S362">(GEOMEAN(Index_Returns!M327:M362/100+1)^12-1)*100</f>
        <v>12.429624984209674</v>
      </c>
      <c r="T362" s="352">
        <f t="array" ref="T362">(GEOMEAN(Index_Returns!L327:L362/100+1)^12-1)*100</f>
        <v>15.621040533674613</v>
      </c>
      <c r="U362" s="352">
        <f t="shared" si="30"/>
        <v>-3.1914155494649386</v>
      </c>
      <c r="V362" s="352"/>
      <c r="W362" s="352">
        <f t="array" ref="W362">(PRODUCT(Index_Returns!AC351:AC362/100+1)-1)*100</f>
        <v>16.466019851622971</v>
      </c>
      <c r="X362" s="352">
        <f t="array" ref="X362">(PRODUCT(Index_Returns!AB351:AB362/100+1)-1)*100</f>
        <v>11.729720817674449</v>
      </c>
      <c r="Y362" s="352">
        <f t="shared" si="29"/>
        <v>4.7362990339485211</v>
      </c>
      <c r="Z362" s="352">
        <f t="array" ref="Z362">(GEOMEAN(Index_Returns!AC327:AC362/100+1)^12-1)*100</f>
        <v>15.632837156416501</v>
      </c>
      <c r="AA362" s="352">
        <f t="array" ref="AA362">(GEOMEAN(Index_Returns!AB327:AB362/100+1)^12-1)*100</f>
        <v>9.375139370690011</v>
      </c>
      <c r="AB362" s="352">
        <f t="shared" si="25"/>
        <v>6.2576977857264904</v>
      </c>
    </row>
    <row r="363" spans="1:28" x14ac:dyDescent="0.2">
      <c r="A363" s="19">
        <v>38564</v>
      </c>
      <c r="B363" s="352">
        <f t="array" ref="B363">(PRODUCT(Index_Returns!D352:D363/100+1)-1)*100</f>
        <v>16.90611605479042</v>
      </c>
      <c r="C363" s="352">
        <f t="array" ref="C363">(PRODUCT(Index_Returns!C352:C363/100+1)-1)*100</f>
        <v>11.168437244938257</v>
      </c>
      <c r="D363" s="352">
        <f t="shared" si="26"/>
        <v>5.7376788098521629</v>
      </c>
      <c r="E363" s="352">
        <f t="array" ref="E363">(GEOMEAN(Index_Returns!D328:D363/100+1)^12-1)*100</f>
        <v>15.55926308672344</v>
      </c>
      <c r="F363" s="352">
        <f t="array" ref="F363">(GEOMEAN(Index_Returns!C328:C363/100+1)^12-1)*100</f>
        <v>9.7194353485772886</v>
      </c>
      <c r="G363" s="352">
        <f t="shared" si="27"/>
        <v>5.8398277381461519</v>
      </c>
      <c r="H363" s="351"/>
      <c r="I363" s="350">
        <f t="array" ref="I363">(PRODUCT(Index_Returns!G352:G363/100+1)-1)*100</f>
        <v>28.040609223231172</v>
      </c>
      <c r="J363" s="350">
        <f t="array" ref="J363">(PRODUCT(Index_Returns!F352:F363/100+1)-1)*100</f>
        <v>23.722662643857319</v>
      </c>
      <c r="K363" s="350">
        <f t="shared" si="31"/>
        <v>4.317946579373853</v>
      </c>
      <c r="L363" s="350">
        <f t="array" ref="L363">(GEOMEAN(Index_Returns!G328:G363/100+1)^12-1)*100</f>
        <v>21.136572556998189</v>
      </c>
      <c r="M363" s="350">
        <f t="array" ref="M363">(GEOMEAN(Index_Returns!F328:F363/100+1)^12-1)*100</f>
        <v>16.971806468536489</v>
      </c>
      <c r="N363" s="350">
        <f t="shared" si="24"/>
        <v>4.1647660884617004</v>
      </c>
      <c r="O363" s="352"/>
      <c r="P363" s="352">
        <f t="array" ref="P363">(PRODUCT(Index_Returns!M352:M363/100+1)-1)*100</f>
        <v>25.980046518592381</v>
      </c>
      <c r="Q363" s="352">
        <f t="array" ref="Q363">(PRODUCT(Index_Returns!L352:L363/100+1)-1)*100</f>
        <v>28.982139841236211</v>
      </c>
      <c r="R363" s="352">
        <f t="shared" si="28"/>
        <v>-3.0020933226438302</v>
      </c>
      <c r="S363" s="352">
        <f t="array" ref="S363">(GEOMEAN(Index_Returns!M328:M363/100+1)^12-1)*100</f>
        <v>20.827450671845817</v>
      </c>
      <c r="T363" s="352">
        <f t="array" ref="T363">(GEOMEAN(Index_Returns!L328:L363/100+1)^12-1)*100</f>
        <v>23.818473194088408</v>
      </c>
      <c r="U363" s="352">
        <f t="shared" si="30"/>
        <v>-2.9910225222425915</v>
      </c>
      <c r="V363" s="352"/>
      <c r="W363" s="352">
        <f t="array" ref="W363">(PRODUCT(Index_Returns!AC352:AC363/100+1)-1)*100</f>
        <v>23.086846617430258</v>
      </c>
      <c r="X363" s="352">
        <f t="array" ref="X363">(PRODUCT(Index_Returns!AB352:AB363/100+1)-1)*100</f>
        <v>20.005073465318034</v>
      </c>
      <c r="Y363" s="352">
        <f t="shared" si="29"/>
        <v>3.0817731521122234</v>
      </c>
      <c r="Z363" s="352">
        <f t="array" ref="Z363">(GEOMEAN(Index_Returns!AC328:AC363/100+1)^12-1)*100</f>
        <v>20.581179059505693</v>
      </c>
      <c r="AA363" s="352">
        <f t="array" ref="AA363">(GEOMEAN(Index_Returns!AB328:AB363/100+1)^12-1)*100</f>
        <v>14.705970683237757</v>
      </c>
      <c r="AB363" s="352">
        <f t="shared" si="25"/>
        <v>5.8752083762679366</v>
      </c>
    </row>
    <row r="364" spans="1:28" x14ac:dyDescent="0.2">
      <c r="A364" s="19">
        <v>38595</v>
      </c>
      <c r="B364" s="352">
        <f t="array" ref="B364">(PRODUCT(Index_Returns!D353:D364/100+1)-1)*100</f>
        <v>14.789014299366055</v>
      </c>
      <c r="C364" s="352">
        <f t="array" ref="C364">(PRODUCT(Index_Returns!C353:C364/100+1)-1)*100</f>
        <v>10.288104461710335</v>
      </c>
      <c r="D364" s="352">
        <f t="shared" si="26"/>
        <v>4.5009098376557208</v>
      </c>
      <c r="E364" s="352">
        <f t="array" ref="E364">(GEOMEAN(Index_Returns!D329:D364/100+1)^12-1)*100</f>
        <v>15.006681605272497</v>
      </c>
      <c r="F364" s="352">
        <f t="array" ref="F364">(GEOMEAN(Index_Returns!C329:C364/100+1)^12-1)*100</f>
        <v>9.0957761238453116</v>
      </c>
      <c r="G364" s="352">
        <f t="shared" si="27"/>
        <v>5.9109054814271857</v>
      </c>
      <c r="H364" s="351"/>
      <c r="I364" s="350">
        <f t="array" ref="I364">(PRODUCT(Index_Returns!G353:G364/100+1)-1)*100</f>
        <v>25.711846802254534</v>
      </c>
      <c r="J364" s="350">
        <f t="array" ref="J364">(PRODUCT(Index_Returns!F353:F364/100+1)-1)*100</f>
        <v>23.902938947647499</v>
      </c>
      <c r="K364" s="350">
        <f t="shared" si="31"/>
        <v>1.8089078546070354</v>
      </c>
      <c r="L364" s="350">
        <f t="array" ref="L364">(GEOMEAN(Index_Returns!G329:G364/100+1)^12-1)*100</f>
        <v>20.327616003397651</v>
      </c>
      <c r="M364" s="350">
        <f t="array" ref="M364">(GEOMEAN(Index_Returns!F329:F364/100+1)^12-1)*100</f>
        <v>16.498441152785116</v>
      </c>
      <c r="N364" s="350">
        <f t="shared" si="24"/>
        <v>3.8291748506125352</v>
      </c>
      <c r="O364" s="352"/>
      <c r="P364" s="352">
        <f t="array" ref="P364">(PRODUCT(Index_Returns!M353:M364/100+1)-1)*100</f>
        <v>25.792563555553482</v>
      </c>
      <c r="Q364" s="352">
        <f t="array" ref="Q364">(PRODUCT(Index_Returns!L353:L364/100+1)-1)*100</f>
        <v>27.701817274001495</v>
      </c>
      <c r="R364" s="352">
        <f t="shared" si="28"/>
        <v>-1.9092537184480136</v>
      </c>
      <c r="S364" s="352">
        <f t="array" ref="S364">(GEOMEAN(Index_Returns!M329:M364/100+1)^12-1)*100</f>
        <v>20.475643006543187</v>
      </c>
      <c r="T364" s="352">
        <f t="array" ref="T364">(GEOMEAN(Index_Returns!L329:L364/100+1)^12-1)*100</f>
        <v>22.222233824784254</v>
      </c>
      <c r="U364" s="352">
        <f t="shared" si="30"/>
        <v>-1.7465908182410672</v>
      </c>
      <c r="V364" s="352"/>
      <c r="W364" s="352">
        <f t="array" ref="W364">(PRODUCT(Index_Returns!AC353:AC364/100+1)-1)*100</f>
        <v>24.866419898567948</v>
      </c>
      <c r="X364" s="352">
        <f t="array" ref="X364">(PRODUCT(Index_Returns!AB353:AB364/100+1)-1)*100</f>
        <v>23.314372889099033</v>
      </c>
      <c r="Y364" s="352">
        <f t="shared" si="29"/>
        <v>1.5520470094689145</v>
      </c>
      <c r="Z364" s="352">
        <f t="array" ref="Z364">(GEOMEAN(Index_Returns!AC329:AC364/100+1)^12-1)*100</f>
        <v>21.342600477329633</v>
      </c>
      <c r="AA364" s="352">
        <f t="array" ref="AA364">(GEOMEAN(Index_Returns!AB329:AB364/100+1)^12-1)*100</f>
        <v>16.089519268515051</v>
      </c>
      <c r="AB364" s="352">
        <f t="shared" si="25"/>
        <v>5.2530812088145815</v>
      </c>
    </row>
    <row r="365" spans="1:28" x14ac:dyDescent="0.2">
      <c r="A365" s="19">
        <v>38625</v>
      </c>
      <c r="B365" s="352">
        <f t="array" ref="B365">(PRODUCT(Index_Returns!D354:D365/100+1)-1)*100</f>
        <v>13.817757301044974</v>
      </c>
      <c r="C365" s="352">
        <f t="array" ref="C365">(PRODUCT(Index_Returns!C354:C365/100+1)-1)*100</f>
        <v>10.66196617256514</v>
      </c>
      <c r="D365" s="352">
        <f t="shared" si="26"/>
        <v>3.1557911284798337</v>
      </c>
      <c r="E365" s="352">
        <f t="array" ref="E365">(GEOMEAN(Index_Returns!D330:D365/100+1)^12-1)*100</f>
        <v>20.166186883447047</v>
      </c>
      <c r="F365" s="352">
        <f t="array" ref="F365">(GEOMEAN(Index_Returns!C330:C365/100+1)^12-1)*100</f>
        <v>13.362058972065993</v>
      </c>
      <c r="G365" s="352">
        <f t="shared" si="27"/>
        <v>6.8041279113810536</v>
      </c>
      <c r="H365" s="351"/>
      <c r="I365" s="350">
        <f t="array" ref="I365">(PRODUCT(Index_Returns!G354:G365/100+1)-1)*100</f>
        <v>23.199074470249826</v>
      </c>
      <c r="J365" s="350">
        <f t="array" ref="J365">(PRODUCT(Index_Returns!F354:F365/100+1)-1)*100</f>
        <v>21.124223682659739</v>
      </c>
      <c r="K365" s="350">
        <f t="shared" si="31"/>
        <v>2.074850787590087</v>
      </c>
      <c r="L365" s="350">
        <f t="array" ref="L365">(GEOMEAN(Index_Returns!G330:G365/100+1)^12-1)*100</f>
        <v>24.94210092678648</v>
      </c>
      <c r="M365" s="350">
        <f t="array" ref="M365">(GEOMEAN(Index_Returns!F330:F365/100+1)^12-1)*100</f>
        <v>19.266177596268385</v>
      </c>
      <c r="N365" s="350">
        <f t="shared" ref="N365:N385" si="32">L365-M365</f>
        <v>5.6759233305180956</v>
      </c>
      <c r="O365" s="352"/>
      <c r="P365" s="352">
        <f t="array" ref="P365">(PRODUCT(Index_Returns!M354:M365/100+1)-1)*100</f>
        <v>20.522688021135991</v>
      </c>
      <c r="Q365" s="352">
        <f t="array" ref="Q365">(PRODUCT(Index_Returns!L354:L365/100+1)-1)*100</f>
        <v>22.39010623740225</v>
      </c>
      <c r="R365" s="352">
        <f t="shared" si="28"/>
        <v>-1.8674182162662589</v>
      </c>
      <c r="S365" s="352">
        <f t="array" ref="S365">(GEOMEAN(Index_Returns!M330:M365/100+1)^12-1)*100</f>
        <v>23.33372813460781</v>
      </c>
      <c r="T365" s="352">
        <f t="array" ref="T365">(GEOMEAN(Index_Returns!L330:L365/100+1)^12-1)*100</f>
        <v>25.261021364985691</v>
      </c>
      <c r="U365" s="352">
        <f t="shared" si="30"/>
        <v>-1.9272932303778809</v>
      </c>
      <c r="V365" s="352"/>
      <c r="W365" s="352">
        <f t="array" ref="W365">(PRODUCT(Index_Returns!AC354:AC365/100+1)-1)*100</f>
        <v>27.234176011486877</v>
      </c>
      <c r="X365" s="352">
        <f t="array" ref="X365">(PRODUCT(Index_Returns!AB354:AB365/100+1)-1)*100</f>
        <v>25.41632721290177</v>
      </c>
      <c r="Y365" s="352">
        <f t="shared" si="29"/>
        <v>1.8178487985851071</v>
      </c>
      <c r="Z365" s="352">
        <f t="array" ref="Z365">(GEOMEAN(Index_Returns!AC330:AC365/100+1)^12-1)*100</f>
        <v>28.908284302773303</v>
      </c>
      <c r="AA365" s="352">
        <f t="array" ref="AA365">(GEOMEAN(Index_Returns!AB330:AB365/100+1)^12-1)*100</f>
        <v>21.320699718458513</v>
      </c>
      <c r="AB365" s="352">
        <f t="shared" si="25"/>
        <v>7.58758458431479</v>
      </c>
    </row>
    <row r="366" spans="1:28" x14ac:dyDescent="0.2">
      <c r="A366" s="19">
        <v>38656</v>
      </c>
      <c r="B366" s="352">
        <f t="array" ref="B366">(PRODUCT(Index_Returns!D355:D366/100+1)-1)*100</f>
        <v>10.167987014466128</v>
      </c>
      <c r="C366" s="352">
        <f t="array" ref="C366">(PRODUCT(Index_Returns!C355:C366/100+1)-1)*100</f>
        <v>7.2510793706275889</v>
      </c>
      <c r="D366" s="352">
        <f t="shared" si="26"/>
        <v>2.9169076438385391</v>
      </c>
      <c r="E366" s="352">
        <f t="array" ref="E366">(GEOMEAN(Index_Returns!D331:D366/100+1)^12-1)*100</f>
        <v>16.324757233563815</v>
      </c>
      <c r="F366" s="352">
        <f t="array" ref="F366">(GEOMEAN(Index_Returns!C331:C366/100+1)^12-1)*100</f>
        <v>9.4841466306924147</v>
      </c>
      <c r="G366" s="352">
        <f t="shared" si="27"/>
        <v>6.8406106028714007</v>
      </c>
      <c r="H366" s="351"/>
      <c r="I366" s="350">
        <f t="array" ref="I366">(PRODUCT(Index_Returns!G355:G366/100+1)-1)*100</f>
        <v>18.618273334893544</v>
      </c>
      <c r="J366" s="350">
        <f t="array" ref="J366">(PRODUCT(Index_Returns!F355:F366/100+1)-1)*100</f>
        <v>16.589178464912457</v>
      </c>
      <c r="K366" s="350">
        <f t="shared" si="31"/>
        <v>2.0290948699810869</v>
      </c>
      <c r="L366" s="350">
        <f t="array" ref="L366">(GEOMEAN(Index_Returns!G331:G366/100+1)^12-1)*100</f>
        <v>22.104634854986237</v>
      </c>
      <c r="M366" s="350">
        <f t="array" ref="M366">(GEOMEAN(Index_Returns!F331:F366/100+1)^12-1)*100</f>
        <v>16.916326906741187</v>
      </c>
      <c r="N366" s="350">
        <f t="shared" si="32"/>
        <v>5.1883079482450505</v>
      </c>
      <c r="O366" s="352"/>
      <c r="P366" s="352">
        <f t="array" ref="P366">(PRODUCT(Index_Returns!M355:M366/100+1)-1)*100</f>
        <v>16.305262823558998</v>
      </c>
      <c r="Q366" s="352">
        <f t="array" ref="Q366">(PRODUCT(Index_Returns!L355:L366/100+1)-1)*100</f>
        <v>14.673684499375717</v>
      </c>
      <c r="R366" s="352">
        <f t="shared" si="28"/>
        <v>1.6315783241832804</v>
      </c>
      <c r="S366" s="352">
        <f t="array" ref="S366">(GEOMEAN(Index_Returns!M331:M366/100+1)^12-1)*100</f>
        <v>21.468810405154869</v>
      </c>
      <c r="T366" s="352">
        <f t="array" ref="T366">(GEOMEAN(Index_Returns!L331:L366/100+1)^12-1)*100</f>
        <v>21.949426518191274</v>
      </c>
      <c r="U366" s="352">
        <f t="shared" si="30"/>
        <v>-0.48061611303640461</v>
      </c>
      <c r="V366" s="352"/>
      <c r="W366" s="352">
        <f t="array" ref="W366">(PRODUCT(Index_Returns!AC355:AC366/100+1)-1)*100</f>
        <v>19.160517375557397</v>
      </c>
      <c r="X366" s="352">
        <f t="array" ref="X366">(PRODUCT(Index_Returns!AB355:AB366/100+1)-1)*100</f>
        <v>18.034984454692914</v>
      </c>
      <c r="Y366" s="352">
        <f t="shared" si="29"/>
        <v>1.1255329208644831</v>
      </c>
      <c r="Z366" s="352">
        <f t="array" ref="Z366">(GEOMEAN(Index_Returns!AC331:AC366/100+1)^12-1)*100</f>
        <v>25.467960434219371</v>
      </c>
      <c r="AA366" s="352">
        <f t="array" ref="AA366">(GEOMEAN(Index_Returns!AB331:AB366/100+1)^12-1)*100</f>
        <v>18.0195047659079</v>
      </c>
      <c r="AB366" s="352">
        <f t="shared" si="25"/>
        <v>7.4484556683114711</v>
      </c>
    </row>
    <row r="367" spans="1:28" x14ac:dyDescent="0.2">
      <c r="A367" s="19">
        <v>38686</v>
      </c>
      <c r="B367" s="352">
        <f t="array" ref="B367">(PRODUCT(Index_Returns!D356:D367/100+1)-1)*100</f>
        <v>8.9720833835895029</v>
      </c>
      <c r="C367" s="352">
        <f t="array" ref="C367">(PRODUCT(Index_Returns!C356:C367/100+1)-1)*100</f>
        <v>7.938160447667264</v>
      </c>
      <c r="D367" s="352">
        <f t="shared" si="26"/>
        <v>1.0339229359222388</v>
      </c>
      <c r="E367" s="352">
        <f t="array" ref="E367">(GEOMEAN(Index_Returns!D332:D367/100+1)^12-1)*100</f>
        <v>15.122738224125619</v>
      </c>
      <c r="F367" s="352">
        <f t="array" ref="F367">(GEOMEAN(Index_Returns!C332:C367/100+1)^12-1)*100</f>
        <v>9.1247884184233463</v>
      </c>
      <c r="G367" s="352">
        <f t="shared" si="27"/>
        <v>5.9979498057022731</v>
      </c>
      <c r="H367" s="351"/>
      <c r="I367" s="350">
        <f t="array" ref="I367">(PRODUCT(Index_Returns!G356:G367/100+1)-1)*100</f>
        <v>15.323235164605343</v>
      </c>
      <c r="J367" s="350">
        <f t="array" ref="J367">(PRODUCT(Index_Returns!F356:F367/100+1)-1)*100</f>
        <v>17.527898633210761</v>
      </c>
      <c r="K367" s="350">
        <f t="shared" si="31"/>
        <v>-2.2046634686054176</v>
      </c>
      <c r="L367" s="350">
        <f t="array" ref="L367">(GEOMEAN(Index_Returns!G332:G367/100+1)^12-1)*100</f>
        <v>21.226364471868386</v>
      </c>
      <c r="M367" s="350">
        <f t="array" ref="M367">(GEOMEAN(Index_Returns!F332:F367/100+1)^12-1)*100</f>
        <v>17.062661907910858</v>
      </c>
      <c r="N367" s="350">
        <f t="shared" si="32"/>
        <v>4.1637025639575285</v>
      </c>
      <c r="O367" s="352"/>
      <c r="P367" s="352">
        <f t="array" ref="P367">(PRODUCT(Index_Returns!M356:M367/100+1)-1)*100</f>
        <v>11.36677571508371</v>
      </c>
      <c r="Q367" s="352">
        <f t="array" ref="Q367">(PRODUCT(Index_Returns!L356:L367/100+1)-1)*100</f>
        <v>11.191110508161239</v>
      </c>
      <c r="R367" s="352">
        <f t="shared" si="28"/>
        <v>0.17566520692247067</v>
      </c>
      <c r="S367" s="352">
        <f t="array" ref="S367">(GEOMEAN(Index_Returns!M332:M367/100+1)^12-1)*100</f>
        <v>21.636147534505735</v>
      </c>
      <c r="T367" s="352">
        <f t="array" ref="T367">(GEOMEAN(Index_Returns!L332:L367/100+1)^12-1)*100</f>
        <v>21.330977015091392</v>
      </c>
      <c r="U367" s="352">
        <f t="shared" si="30"/>
        <v>0.30517051941434303</v>
      </c>
      <c r="V367" s="352"/>
      <c r="W367" s="352">
        <f t="array" ref="W367">(PRODUCT(Index_Returns!AC356:AC367/100+1)-1)*100</f>
        <v>14.949270734349906</v>
      </c>
      <c r="X367" s="352">
        <f t="array" ref="X367">(PRODUCT(Index_Returns!AB356:AB367/100+1)-1)*100</f>
        <v>12.493832368889745</v>
      </c>
      <c r="Y367" s="352">
        <f t="shared" si="29"/>
        <v>2.4554383654601608</v>
      </c>
      <c r="Z367" s="352">
        <f t="array" ref="Z367">(GEOMEAN(Index_Returns!AC332:AC367/100+1)^12-1)*100</f>
        <v>24.222764708997623</v>
      </c>
      <c r="AA367" s="352">
        <f t="array" ref="AA367">(GEOMEAN(Index_Returns!AB332:AB367/100+1)^12-1)*100</f>
        <v>17.61706704522117</v>
      </c>
      <c r="AB367" s="352">
        <f t="shared" si="25"/>
        <v>6.6056976637764535</v>
      </c>
    </row>
    <row r="368" spans="1:28" x14ac:dyDescent="0.2">
      <c r="A368" s="19">
        <v>38717</v>
      </c>
      <c r="B368" s="352">
        <f t="array" ref="B368">(PRODUCT(Index_Returns!D357:D368/100+1)-1)*100</f>
        <v>5.8188361459270643</v>
      </c>
      <c r="C368" s="352">
        <f t="array" ref="C368">(PRODUCT(Index_Returns!C357:C368/100+1)-1)*100</f>
        <v>4.0013247305618727</v>
      </c>
      <c r="D368" s="352">
        <f t="shared" si="26"/>
        <v>1.8175114153651917</v>
      </c>
      <c r="E368" s="352">
        <f t="array" ref="E368">(GEOMEAN(Index_Returns!D333:D368/100+1)^12-1)*100</f>
        <v>17.295676231957955</v>
      </c>
      <c r="F368" s="352">
        <f t="array" ref="F368">(GEOMEAN(Index_Returns!C333:C368/100+1)^12-1)*100</f>
        <v>11.522843030171725</v>
      </c>
      <c r="G368" s="352">
        <f t="shared" si="27"/>
        <v>5.7728332017862307</v>
      </c>
      <c r="H368" s="351"/>
      <c r="I368" s="350">
        <f t="array" ref="I368">(PRODUCT(Index_Returns!G357:G368/100+1)-1)*100</f>
        <v>11.481409173896196</v>
      </c>
      <c r="J368" s="350">
        <f t="array" ref="J368">(PRODUCT(Index_Returns!F357:F368/100+1)-1)*100</f>
        <v>13.573314534190262</v>
      </c>
      <c r="K368" s="350">
        <f t="shared" si="31"/>
        <v>-2.0919053602940654</v>
      </c>
      <c r="L368" s="350">
        <f t="array" ref="L368">(GEOMEAN(Index_Returns!G333:G368/100+1)^12-1)*100</f>
        <v>22.95982251359321</v>
      </c>
      <c r="M368" s="350">
        <f t="array" ref="M368">(GEOMEAN(Index_Returns!F333:F368/100+1)^12-1)*100</f>
        <v>19.243828777479742</v>
      </c>
      <c r="N368" s="350">
        <f t="shared" si="32"/>
        <v>3.7159937361134681</v>
      </c>
      <c r="O368" s="352"/>
      <c r="P368" s="352">
        <f t="array" ref="P368">(PRODUCT(Index_Returns!M357:M368/100+1)-1)*100</f>
        <v>8.4734575711578053</v>
      </c>
      <c r="Q368" s="352">
        <f t="array" ref="Q368">(PRODUCT(Index_Returns!L357:L368/100+1)-1)*100</f>
        <v>7.2677513137384686</v>
      </c>
      <c r="R368" s="352">
        <f t="shared" si="28"/>
        <v>1.2057062574193367</v>
      </c>
      <c r="S368" s="352">
        <f t="array" ref="S368">(GEOMEAN(Index_Returns!M333:M368/100+1)^12-1)*100</f>
        <v>22.278126351843941</v>
      </c>
      <c r="T368" s="352">
        <f t="array" ref="T368">(GEOMEAN(Index_Returns!L333:L368/100+1)^12-1)*100</f>
        <v>22.693626503826046</v>
      </c>
      <c r="U368" s="352">
        <f t="shared" si="30"/>
        <v>-0.41550015198210488</v>
      </c>
      <c r="V368" s="352"/>
      <c r="W368" s="352">
        <f t="array" ref="W368">(PRODUCT(Index_Returns!AC357:AC368/100+1)-1)*100</f>
        <v>14.393232531752155</v>
      </c>
      <c r="X368" s="352">
        <f t="array" ref="X368">(PRODUCT(Index_Returns!AB357:AB368/100+1)-1)*100</f>
        <v>13.637256499020388</v>
      </c>
      <c r="Y368" s="352">
        <f t="shared" si="29"/>
        <v>0.75597603273176617</v>
      </c>
      <c r="Z368" s="352">
        <f t="array" ref="Z368">(GEOMEAN(Index_Returns!AC333:AC368/100+1)^12-1)*100</f>
        <v>27.755833186835122</v>
      </c>
      <c r="AA368" s="352">
        <f t="array" ref="AA368">(GEOMEAN(Index_Returns!AB333:AB368/100+1)^12-1)*100</f>
        <v>20.590456918403575</v>
      </c>
      <c r="AB368" s="352">
        <f t="shared" si="25"/>
        <v>7.1653762684315474</v>
      </c>
    </row>
    <row r="369" spans="1:28" x14ac:dyDescent="0.2">
      <c r="A369" s="19">
        <v>38748</v>
      </c>
      <c r="B369" s="352">
        <f t="array" ref="B369">(PRODUCT(Index_Returns!D358:D369/100+1)-1)*100</f>
        <v>11.690960339622158</v>
      </c>
      <c r="C369" s="352">
        <f t="array" ref="C369">(PRODUCT(Index_Returns!C358:C369/100+1)-1)*100</f>
        <v>9.0867498226356211</v>
      </c>
      <c r="D369" s="352">
        <f t="shared" si="26"/>
        <v>2.6042105169865373</v>
      </c>
      <c r="E369" s="352">
        <f t="array" ref="E369">(GEOMEAN(Index_Returns!D334:D369/100+1)^12-1)*100</f>
        <v>19.553315584817899</v>
      </c>
      <c r="F369" s="352">
        <f t="array" ref="F369">(GEOMEAN(Index_Returns!C334:C369/100+1)^12-1)*100</f>
        <v>13.334622693266219</v>
      </c>
      <c r="G369" s="352">
        <f t="shared" si="27"/>
        <v>6.2186928915516795</v>
      </c>
      <c r="H369" s="351"/>
      <c r="I369" s="350">
        <f t="array" ref="I369">(PRODUCT(Index_Returns!G358:G369/100+1)-1)*100</f>
        <v>21.811571223053793</v>
      </c>
      <c r="J369" s="350">
        <f t="array" ref="J369">(PRODUCT(Index_Returns!F358:F369/100+1)-1)*100</f>
        <v>22.733482506650816</v>
      </c>
      <c r="K369" s="350">
        <f t="shared" si="31"/>
        <v>-0.9219112835970229</v>
      </c>
      <c r="L369" s="350">
        <f t="array" ref="L369">(GEOMEAN(Index_Returns!G334:G369/100+1)^12-1)*100</f>
        <v>26.947662860853505</v>
      </c>
      <c r="M369" s="350">
        <f t="array" ref="M369">(GEOMEAN(Index_Returns!F334:F369/100+1)^12-1)*100</f>
        <v>22.378006547289296</v>
      </c>
      <c r="N369" s="350">
        <f t="shared" si="32"/>
        <v>4.5696563135642094</v>
      </c>
      <c r="O369" s="352"/>
      <c r="P369" s="352">
        <f t="array" ref="P369">(PRODUCT(Index_Returns!M358:M369/100+1)-1)*100</f>
        <v>22.22272398255005</v>
      </c>
      <c r="Q369" s="352">
        <f t="array" ref="Q369">(PRODUCT(Index_Returns!L358:L369/100+1)-1)*100</f>
        <v>16.998459654886865</v>
      </c>
      <c r="R369" s="352">
        <f t="shared" si="28"/>
        <v>5.2242643276631853</v>
      </c>
      <c r="S369" s="352">
        <f t="array" ref="S369">(GEOMEAN(Index_Returns!M334:M369/100+1)^12-1)*100</f>
        <v>27.557171137025314</v>
      </c>
      <c r="T369" s="352">
        <f t="array" ref="T369">(GEOMEAN(Index_Returns!L334:L369/100+1)^12-1)*100</f>
        <v>27.012524868058097</v>
      </c>
      <c r="U369" s="352">
        <f t="shared" si="30"/>
        <v>0.54464626896721668</v>
      </c>
      <c r="V369" s="352"/>
      <c r="W369" s="352">
        <f t="array" ref="W369">(PRODUCT(Index_Returns!AC358:AC369/100+1)-1)*100</f>
        <v>23.073736176634618</v>
      </c>
      <c r="X369" s="352">
        <f t="array" ref="X369">(PRODUCT(Index_Returns!AB358:AB369/100+1)-1)*100</f>
        <v>23.484748665415346</v>
      </c>
      <c r="Y369" s="352">
        <f t="shared" si="29"/>
        <v>-0.41101248878072738</v>
      </c>
      <c r="Z369" s="352">
        <f t="array" ref="Z369">(GEOMEAN(Index_Returns!AC334:AC369/100+1)^12-1)*100</f>
        <v>31.826038351817388</v>
      </c>
      <c r="AA369" s="352">
        <f t="array" ref="AA369">(GEOMEAN(Index_Returns!AB334:AB369/100+1)^12-1)*100</f>
        <v>25.116525338735784</v>
      </c>
      <c r="AB369" s="352">
        <f t="shared" si="25"/>
        <v>6.7095130130816045</v>
      </c>
    </row>
    <row r="370" spans="1:28" x14ac:dyDescent="0.2">
      <c r="A370" s="19">
        <v>38776</v>
      </c>
      <c r="B370" s="352">
        <f t="array" ref="B370">(PRODUCT(Index_Returns!D359:D370/100+1)-1)*100</f>
        <v>10.88978572154755</v>
      </c>
      <c r="C370" s="352">
        <f t="array" ref="C370">(PRODUCT(Index_Returns!C359:C370/100+1)-1)*100</f>
        <v>5.9883239255737575</v>
      </c>
      <c r="D370" s="352">
        <f t="shared" si="26"/>
        <v>4.9014617959737929</v>
      </c>
      <c r="E370" s="352">
        <f t="array" ref="E370">(GEOMEAN(Index_Returns!D335:D370/100+1)^12-1)*100</f>
        <v>21.090198729197684</v>
      </c>
      <c r="F370" s="352">
        <f t="array" ref="F370">(GEOMEAN(Index_Returns!C335:C370/100+1)^12-1)*100</f>
        <v>13.254692087317332</v>
      </c>
      <c r="G370" s="352">
        <f t="shared" si="27"/>
        <v>7.8355066418803521</v>
      </c>
      <c r="H370" s="351"/>
      <c r="I370" s="350">
        <f t="array" ref="I370">(PRODUCT(Index_Returns!G359:G370/100+1)-1)*100</f>
        <v>18.123482855791483</v>
      </c>
      <c r="J370" s="350">
        <f t="array" ref="J370">(PRODUCT(Index_Returns!F359:F370/100+1)-1)*100</f>
        <v>16.479235408011796</v>
      </c>
      <c r="K370" s="350">
        <f t="shared" si="31"/>
        <v>1.6442474477796871</v>
      </c>
      <c r="L370" s="350">
        <f t="array" ref="L370">(GEOMEAN(Index_Returns!G335:G370/100+1)^12-1)*100</f>
        <v>27.854235120550584</v>
      </c>
      <c r="M370" s="350">
        <f t="array" ref="M370">(GEOMEAN(Index_Returns!F335:F370/100+1)^12-1)*100</f>
        <v>22.783977310581971</v>
      </c>
      <c r="N370" s="350">
        <f t="shared" si="32"/>
        <v>5.0702578099686129</v>
      </c>
      <c r="O370" s="352"/>
      <c r="P370" s="352">
        <f t="array" ref="P370">(PRODUCT(Index_Returns!M359:M370/100+1)-1)*100</f>
        <v>18.288309117932133</v>
      </c>
      <c r="Q370" s="352">
        <f t="array" ref="Q370">(PRODUCT(Index_Returns!L359:L370/100+1)-1)*100</f>
        <v>12.490001633235014</v>
      </c>
      <c r="R370" s="352">
        <f t="shared" si="28"/>
        <v>5.7983074846971192</v>
      </c>
      <c r="S370" s="352">
        <f t="array" ref="S370">(GEOMEAN(Index_Returns!M335:M370/100+1)^12-1)*100</f>
        <v>28.816707648224373</v>
      </c>
      <c r="T370" s="352">
        <f t="array" ref="T370">(GEOMEAN(Index_Returns!L335:L370/100+1)^12-1)*100</f>
        <v>27.861368958522114</v>
      </c>
      <c r="U370" s="352">
        <f t="shared" si="30"/>
        <v>0.9553386897022591</v>
      </c>
      <c r="V370" s="352"/>
      <c r="W370" s="352">
        <f t="array" ref="W370">(PRODUCT(Index_Returns!AC359:AC370/100+1)-1)*100</f>
        <v>18.437421368141727</v>
      </c>
      <c r="X370" s="352">
        <f t="array" ref="X370">(PRODUCT(Index_Returns!AB359:AB370/100+1)-1)*100</f>
        <v>17.36850538351813</v>
      </c>
      <c r="Y370" s="352">
        <f t="shared" si="29"/>
        <v>1.0689159846235974</v>
      </c>
      <c r="Z370" s="352">
        <f t="array" ref="Z370">(GEOMEAN(Index_Returns!AC335:AC370/100+1)^12-1)*100</f>
        <v>33.218427392349128</v>
      </c>
      <c r="AA370" s="352">
        <f t="array" ref="AA370">(GEOMEAN(Index_Returns!AB335:AB370/100+1)^12-1)*100</f>
        <v>25.549754672998915</v>
      </c>
      <c r="AB370" s="352">
        <f t="shared" si="25"/>
        <v>7.6686727193502122</v>
      </c>
    </row>
    <row r="371" spans="1:28" x14ac:dyDescent="0.2">
      <c r="A371" s="19">
        <v>38807</v>
      </c>
      <c r="B371" s="352">
        <f t="array" ref="B371">(PRODUCT(Index_Returns!D360:D371/100+1)-1)*100</f>
        <v>14.821878681267119</v>
      </c>
      <c r="C371" s="352">
        <f t="array" ref="C371">(PRODUCT(Index_Returns!C360:C371/100+1)-1)*100</f>
        <v>8.744397519535795</v>
      </c>
      <c r="D371" s="352">
        <f t="shared" si="26"/>
        <v>6.077481161731324</v>
      </c>
      <c r="E371" s="352">
        <f t="array" ref="E371">(GEOMEAN(Index_Returns!D336:D371/100+1)^12-1)*100</f>
        <v>21.827294886945992</v>
      </c>
      <c r="F371" s="352">
        <f t="array" ref="F371">(GEOMEAN(Index_Returns!C336:C371/100+1)^12-1)*100</f>
        <v>12.797575441459962</v>
      </c>
      <c r="G371" s="352">
        <f t="shared" si="27"/>
        <v>9.0297194454860303</v>
      </c>
      <c r="H371" s="351"/>
      <c r="I371" s="350">
        <f t="array" ref="I371">(PRODUCT(Index_Returns!G360:G371/100+1)-1)*100</f>
        <v>22.45977458364279</v>
      </c>
      <c r="J371" s="350">
        <f t="array" ref="J371">(PRODUCT(Index_Returns!F360:F371/100+1)-1)*100</f>
        <v>20.687759439552611</v>
      </c>
      <c r="K371" s="350">
        <f t="shared" si="31"/>
        <v>1.7720151440901795</v>
      </c>
      <c r="L371" s="350">
        <f t="array" ref="L371">(GEOMEAN(Index_Returns!G336:G371/100+1)^12-1)*100</f>
        <v>29.117224535906928</v>
      </c>
      <c r="M371" s="350">
        <f t="array" ref="M371">(GEOMEAN(Index_Returns!F336:F371/100+1)^12-1)*100</f>
        <v>22.894891746882063</v>
      </c>
      <c r="N371" s="350">
        <f t="shared" si="32"/>
        <v>6.2223327890248648</v>
      </c>
      <c r="O371" s="352"/>
      <c r="P371" s="352">
        <f t="array" ref="P371">(PRODUCT(Index_Returns!M360:M371/100+1)-1)*100</f>
        <v>26.838407869356317</v>
      </c>
      <c r="Q371" s="352">
        <f t="array" ref="Q371">(PRODUCT(Index_Returns!L360:L371/100+1)-1)*100</f>
        <v>21.318453979184191</v>
      </c>
      <c r="R371" s="352">
        <f t="shared" si="28"/>
        <v>5.5199538901721255</v>
      </c>
      <c r="S371" s="352">
        <f t="array" ref="S371">(GEOMEAN(Index_Returns!M336:M371/100+1)^12-1)*100</f>
        <v>30.60904278373302</v>
      </c>
      <c r="T371" s="352">
        <f t="array" ref="T371">(GEOMEAN(Index_Returns!L336:L371/100+1)^12-1)*100</f>
        <v>29.526139123704208</v>
      </c>
      <c r="U371" s="352">
        <f t="shared" si="30"/>
        <v>1.082903660028812</v>
      </c>
      <c r="V371" s="352"/>
      <c r="W371" s="352">
        <f t="array" ref="W371">(PRODUCT(Index_Returns!AC360:AC371/100+1)-1)*100</f>
        <v>24.890850291971201</v>
      </c>
      <c r="X371" s="352">
        <f t="array" ref="X371">(PRODUCT(Index_Returns!AB360:AB371/100+1)-1)*100</f>
        <v>24.984726447961659</v>
      </c>
      <c r="Y371" s="352">
        <f t="shared" si="29"/>
        <v>-9.3876155990457733E-2</v>
      </c>
      <c r="Z371" s="352">
        <f t="array" ref="Z371">(GEOMEAN(Index_Returns!AC336:AC371/100+1)^12-1)*100</f>
        <v>35.699921159384388</v>
      </c>
      <c r="AA371" s="352">
        <f t="array" ref="AA371">(GEOMEAN(Index_Returns!AB336:AB371/100+1)^12-1)*100</f>
        <v>27.587644349981222</v>
      </c>
      <c r="AB371" s="352">
        <f t="shared" si="25"/>
        <v>8.1122768094031663</v>
      </c>
    </row>
    <row r="372" spans="1:28" x14ac:dyDescent="0.2">
      <c r="A372" s="19">
        <v>38837</v>
      </c>
      <c r="B372" s="352">
        <f t="array" ref="B372">(PRODUCT(Index_Returns!D361:D372/100+1)-1)*100</f>
        <v>20.484461408093189</v>
      </c>
      <c r="C372" s="352">
        <f t="array" ref="C372">(PRODUCT(Index_Returns!C361:C372/100+1)-1)*100</f>
        <v>10.590304888076085</v>
      </c>
      <c r="D372" s="352">
        <f t="shared" si="26"/>
        <v>9.8941565200171038</v>
      </c>
      <c r="E372" s="352">
        <f t="array" ref="E372">(GEOMEAN(Index_Returns!D337:D372/100+1)^12-1)*100</f>
        <v>19.144331825062565</v>
      </c>
      <c r="F372" s="352">
        <f t="array" ref="F372">(GEOMEAN(Index_Returns!C337:C372/100+1)^12-1)*100</f>
        <v>10.357670097877335</v>
      </c>
      <c r="G372" s="352">
        <f t="shared" si="27"/>
        <v>8.7866617271852299</v>
      </c>
      <c r="H372" s="351"/>
      <c r="I372" s="350">
        <f t="array" ref="I372">(PRODUCT(Index_Returns!G361:G372/100+1)-1)*100</f>
        <v>29.904512135450002</v>
      </c>
      <c r="J372" s="350">
        <f t="array" ref="J372">(PRODUCT(Index_Returns!F361:F372/100+1)-1)*100</f>
        <v>26.573669805107603</v>
      </c>
      <c r="K372" s="350">
        <f t="shared" si="31"/>
        <v>3.3308423303423993</v>
      </c>
      <c r="L372" s="350">
        <f t="array" ref="L372">(GEOMEAN(Index_Returns!G337:G372/100+1)^12-1)*100</f>
        <v>26.674373581740074</v>
      </c>
      <c r="M372" s="350">
        <f t="array" ref="M372">(GEOMEAN(Index_Returns!F337:F372/100+1)^12-1)*100</f>
        <v>20.649005789629072</v>
      </c>
      <c r="N372" s="350">
        <f t="shared" si="32"/>
        <v>6.0253677921110018</v>
      </c>
      <c r="O372" s="352"/>
      <c r="P372" s="352">
        <f t="array" ref="P372">(PRODUCT(Index_Returns!M361:M372/100+1)-1)*100</f>
        <v>35.246770756534353</v>
      </c>
      <c r="Q372" s="352">
        <f t="array" ref="Q372">(PRODUCT(Index_Returns!L361:L372/100+1)-1)*100</f>
        <v>27.605063754241034</v>
      </c>
      <c r="R372" s="352">
        <f t="shared" si="28"/>
        <v>7.6417070022933196</v>
      </c>
      <c r="S372" s="352">
        <f t="array" ref="S372">(GEOMEAN(Index_Returns!M337:M372/100+1)^12-1)*100</f>
        <v>27.222544100062439</v>
      </c>
      <c r="T372" s="352">
        <f t="array" ref="T372">(GEOMEAN(Index_Returns!L337:L372/100+1)^12-1)*100</f>
        <v>26.220424975566935</v>
      </c>
      <c r="U372" s="352">
        <f t="shared" si="30"/>
        <v>1.0021191244955041</v>
      </c>
      <c r="V372" s="352"/>
      <c r="W372" s="352">
        <f t="array" ref="W372">(PRODUCT(Index_Returns!AC361:AC372/100+1)-1)*100</f>
        <v>34.788502275577237</v>
      </c>
      <c r="X372" s="352">
        <f t="array" ref="X372">(PRODUCT(Index_Returns!AB361:AB372/100+1)-1)*100</f>
        <v>33.190558315652432</v>
      </c>
      <c r="Y372" s="352">
        <f t="shared" si="29"/>
        <v>1.5979439599248053</v>
      </c>
      <c r="Z372" s="352">
        <f t="array" ref="Z372">(GEOMEAN(Index_Returns!AC337:AC372/100+1)^12-1)*100</f>
        <v>33.245567377812037</v>
      </c>
      <c r="AA372" s="352">
        <f t="array" ref="AA372">(GEOMEAN(Index_Returns!AB337:AB372/100+1)^12-1)*100</f>
        <v>25.932579901389751</v>
      </c>
      <c r="AB372" s="352">
        <f t="shared" si="25"/>
        <v>7.3129874764222862</v>
      </c>
    </row>
    <row r="373" spans="1:28" x14ac:dyDescent="0.2">
      <c r="A373" s="19">
        <v>38868</v>
      </c>
      <c r="B373" s="352">
        <f t="array" ref="B373">(PRODUCT(Index_Returns!D362:D373/100+1)-1)*100</f>
        <v>13.931739118754628</v>
      </c>
      <c r="C373" s="352">
        <f t="array" ref="C373">(PRODUCT(Index_Returns!C362:C373/100+1)-1)*100</f>
        <v>3.6097262358579574</v>
      </c>
      <c r="D373" s="352">
        <f t="shared" si="26"/>
        <v>10.32201288289667</v>
      </c>
      <c r="E373" s="352">
        <f t="array" ref="E373">(GEOMEAN(Index_Returns!D338:D373/100+1)^12-1)*100</f>
        <v>15.400706934225617</v>
      </c>
      <c r="F373" s="352">
        <f t="array" ref="F373">(GEOMEAN(Index_Returns!C338:C373/100+1)^12-1)*100</f>
        <v>7.9652572487387996</v>
      </c>
      <c r="G373" s="352">
        <f t="shared" si="27"/>
        <v>7.4354496854868177</v>
      </c>
      <c r="H373" s="351"/>
      <c r="I373" s="350">
        <f t="array" ref="I373">(PRODUCT(Index_Returns!G362:G373/100+1)-1)*100</f>
        <v>17.701473200233409</v>
      </c>
      <c r="J373" s="350">
        <f t="array" ref="J373">(PRODUCT(Index_Returns!F362:F373/100+1)-1)*100</f>
        <v>13.244970450765381</v>
      </c>
      <c r="K373" s="350">
        <f t="shared" si="31"/>
        <v>4.4565027494680276</v>
      </c>
      <c r="L373" s="350">
        <f t="array" ref="L373">(GEOMEAN(Index_Returns!G338:G373/100+1)^12-1)*100</f>
        <v>21.138462719869967</v>
      </c>
      <c r="M373" s="350">
        <f t="array" ref="M373">(GEOMEAN(Index_Returns!F338:F373/100+1)^12-1)*100</f>
        <v>16.014025573171686</v>
      </c>
      <c r="N373" s="350">
        <f t="shared" si="32"/>
        <v>5.1244371466982805</v>
      </c>
      <c r="O373" s="352"/>
      <c r="P373" s="352">
        <f t="array" ref="P373">(PRODUCT(Index_Returns!M362:M373/100+1)-1)*100</f>
        <v>21.054441677770754</v>
      </c>
      <c r="Q373" s="352">
        <f t="array" ref="Q373">(PRODUCT(Index_Returns!L362:L373/100+1)-1)*100</f>
        <v>14.211295796959945</v>
      </c>
      <c r="R373" s="352">
        <f t="shared" si="28"/>
        <v>6.843145880810809</v>
      </c>
      <c r="S373" s="352">
        <f t="array" ref="S373">(GEOMEAN(Index_Returns!M338:M373/100+1)^12-1)*100</f>
        <v>22.175617434340133</v>
      </c>
      <c r="T373" s="352">
        <f t="array" ref="T373">(GEOMEAN(Index_Returns!L338:L373/100+1)^12-1)*100</f>
        <v>20.981027112188166</v>
      </c>
      <c r="U373" s="352">
        <f t="shared" si="30"/>
        <v>1.1945903221519671</v>
      </c>
      <c r="V373" s="352"/>
      <c r="W373" s="352">
        <f t="array" ref="W373">(PRODUCT(Index_Returns!AC362:AC373/100+1)-1)*100</f>
        <v>30.299791709819047</v>
      </c>
      <c r="X373" s="352">
        <f t="array" ref="X373">(PRODUCT(Index_Returns!AB362:AB373/100+1)-1)*100</f>
        <v>27.223193498878075</v>
      </c>
      <c r="Y373" s="352">
        <f t="shared" si="29"/>
        <v>3.076598210940972</v>
      </c>
      <c r="Z373" s="352">
        <f t="array" ref="Z373">(GEOMEAN(Index_Returns!AC338:AC373/100+1)^12-1)*100</f>
        <v>28.784600162071918</v>
      </c>
      <c r="AA373" s="352">
        <f t="array" ref="AA373">(GEOMEAN(Index_Returns!AB338:AB373/100+1)^12-1)*100</f>
        <v>22.075133653566013</v>
      </c>
      <c r="AB373" s="352">
        <f t="shared" si="25"/>
        <v>6.7094665085059049</v>
      </c>
    </row>
    <row r="374" spans="1:28" x14ac:dyDescent="0.2">
      <c r="A374" s="19">
        <v>38898</v>
      </c>
      <c r="B374" s="352">
        <f t="array" ref="B374">(PRODUCT(Index_Returns!D363:D374/100+1)-1)*100</f>
        <v>12.614855071483767</v>
      </c>
      <c r="C374" s="352">
        <f t="array" ref="C374">(PRODUCT(Index_Returns!C363:C374/100+1)-1)*100</f>
        <v>4.8393997747062434</v>
      </c>
      <c r="D374" s="352">
        <f>B374-C374</f>
        <v>7.7754552967775235</v>
      </c>
      <c r="E374" s="352">
        <f t="array" ref="E374">(GEOMEAN(Index_Returns!D339:D374/100+1)^12-1)*100</f>
        <v>15.250087393023026</v>
      </c>
      <c r="F374" s="352">
        <f t="array" ref="F374">(GEOMEAN(Index_Returns!C339:C374/100+1)^12-1)*100</f>
        <v>7.2930629851210016</v>
      </c>
      <c r="G374" s="352">
        <f t="shared" si="27"/>
        <v>7.9570244079020247</v>
      </c>
      <c r="H374" s="351"/>
      <c r="I374" s="350">
        <f t="array" ref="I374">(PRODUCT(Index_Returns!G363:G374/100+1)-1)*100</f>
        <v>14.421152247874879</v>
      </c>
      <c r="J374" s="350">
        <f t="array" ref="J374">(PRODUCT(Index_Returns!F363:F374/100+1)-1)*100</f>
        <v>11.336749795685087</v>
      </c>
      <c r="K374" s="350">
        <f>I374-J374</f>
        <v>3.0844024521897921</v>
      </c>
      <c r="L374" s="350">
        <f t="array" ref="L374">(GEOMEAN(Index_Returns!G339:G374/100+1)^12-1)*100</f>
        <v>20.955509779277605</v>
      </c>
      <c r="M374" s="350">
        <f t="array" ref="M374">(GEOMEAN(Index_Returns!F339:F374/100+1)^12-1)*100</f>
        <v>15.228502894143237</v>
      </c>
      <c r="N374" s="350">
        <f t="shared" si="32"/>
        <v>5.7270068851343687</v>
      </c>
      <c r="O374" s="352"/>
      <c r="P374" s="352">
        <f t="array" ref="P374">(PRODUCT(Index_Returns!M363:M374/100+1)-1)*100</f>
        <v>17.414362629994006</v>
      </c>
      <c r="Q374" s="352">
        <f t="array" ref="Q374">(PRODUCT(Index_Returns!L363:L374/100+1)-1)*100</f>
        <v>10.463763986910335</v>
      </c>
      <c r="R374" s="352">
        <f>P374-Q374</f>
        <v>6.950598643083671</v>
      </c>
      <c r="S374" s="352">
        <f t="array" ref="S374">(GEOMEAN(Index_Returns!M339:M374/100+1)^12-1)*100</f>
        <v>21.281911465918668</v>
      </c>
      <c r="T374" s="352">
        <f t="array" ref="T374">(GEOMEAN(Index_Returns!L339:L374/100+1)^12-1)*100</f>
        <v>19.811139924192634</v>
      </c>
      <c r="U374" s="352">
        <f t="shared" si="30"/>
        <v>1.4707715417260339</v>
      </c>
      <c r="V374" s="352"/>
      <c r="W374" s="352">
        <f t="array" ref="W374">(PRODUCT(Index_Returns!AC363:AC374/100+1)-1)*100</f>
        <v>27.782621821866815</v>
      </c>
      <c r="X374" s="352">
        <f t="array" ref="X374">(PRODUCT(Index_Returns!AB363:AB374/100+1)-1)*100</f>
        <v>26.356763129089011</v>
      </c>
      <c r="Y374" s="352">
        <f>W374-X374</f>
        <v>1.4258586927778047</v>
      </c>
      <c r="Z374" s="352">
        <f t="array" ref="Z374">(GEOMEAN(Index_Returns!AC339:AC374/100+1)^12-1)*100</f>
        <v>27.421750828333114</v>
      </c>
      <c r="AA374" s="352">
        <f t="array" ref="AA374">(GEOMEAN(Index_Returns!AB339:AB374/100+1)^12-1)*100</f>
        <v>21.420794858956938</v>
      </c>
      <c r="AB374" s="352">
        <f t="shared" si="25"/>
        <v>6.0009559693761751</v>
      </c>
    </row>
    <row r="375" spans="1:28" x14ac:dyDescent="0.2">
      <c r="A375" s="19">
        <v>38929</v>
      </c>
      <c r="B375" s="352">
        <f t="array" ref="B375">(PRODUCT(Index_Returns!D364:D375/100+1)-1)*100</f>
        <v>10.269249030267824</v>
      </c>
      <c r="C375" s="352">
        <f t="array" ref="C375">(PRODUCT(Index_Returns!C364:C375/100+1)-1)*100</f>
        <v>0.73384687015489725</v>
      </c>
      <c r="D375" s="352">
        <f t="shared" ref="D375:D380" si="33">B375-C375</f>
        <v>9.5354021601129269</v>
      </c>
      <c r="E375" s="352">
        <f t="array" ref="E375">(GEOMEAN(Index_Returns!D340:D375/100+1)^12-1)*100</f>
        <v>14.790920633619486</v>
      </c>
      <c r="F375" s="352">
        <f t="array" ref="F375">(GEOMEAN(Index_Returns!C340:C375/100+1)^12-1)*100</f>
        <v>6.9080179883697967</v>
      </c>
      <c r="G375" s="352">
        <f t="shared" si="27"/>
        <v>7.8829026452496889</v>
      </c>
      <c r="H375" s="351"/>
      <c r="I375" s="350">
        <f t="array" ref="I375">(PRODUCT(Index_Returns!G364:G375/100+1)-1)*100</f>
        <v>5.9104083502148796</v>
      </c>
      <c r="J375" s="350">
        <f t="array" ref="J375">(PRODUCT(Index_Returns!F364:F375/100+1)-1)*100</f>
        <v>2.3484048114503331</v>
      </c>
      <c r="K375" s="350">
        <f t="shared" ref="K375:K380" si="34">I375-J375</f>
        <v>3.5620035387645466</v>
      </c>
      <c r="L375" s="350">
        <f t="array" ref="L375">(GEOMEAN(Index_Returns!G340:G375/100+1)^12-1)*100</f>
        <v>18.867260459809152</v>
      </c>
      <c r="M375" s="350">
        <f t="array" ref="M375">(GEOMEAN(Index_Returns!F340:F375/100+1)^12-1)*100</f>
        <v>12.32992378593023</v>
      </c>
      <c r="N375" s="350">
        <f t="shared" si="32"/>
        <v>6.5373366738789223</v>
      </c>
      <c r="O375" s="352"/>
      <c r="P375" s="352">
        <f t="array" ref="P375">(PRODUCT(Index_Returns!M364:M375/100+1)-1)*100</f>
        <v>6.9193321455959689</v>
      </c>
      <c r="Q375" s="352">
        <f t="array" ref="Q375">(PRODUCT(Index_Returns!L364:L375/100+1)-1)*100</f>
        <v>0.62265236887262265</v>
      </c>
      <c r="R375" s="352">
        <f t="shared" ref="R375:R380" si="35">P375-Q375</f>
        <v>6.2966797767233462</v>
      </c>
      <c r="S375" s="352">
        <f t="array" ref="S375">(GEOMEAN(Index_Returns!M340:M375/100+1)^12-1)*100</f>
        <v>17.79613738959187</v>
      </c>
      <c r="T375" s="352">
        <f t="array" ref="T375">(GEOMEAN(Index_Returns!L340:L375/100+1)^12-1)*100</f>
        <v>16.507333891086475</v>
      </c>
      <c r="U375" s="352">
        <f t="shared" si="30"/>
        <v>1.2888034985053949</v>
      </c>
      <c r="V375" s="352"/>
      <c r="W375" s="352">
        <f t="array" ref="W375">(PRODUCT(Index_Returns!AC364:AC375/100+1)-1)*100</f>
        <v>25.842746779542946</v>
      </c>
      <c r="X375" s="352">
        <f t="array" ref="X375">(PRODUCT(Index_Returns!AB364:AB375/100+1)-1)*100</f>
        <v>23.189674974271934</v>
      </c>
      <c r="Y375" s="352">
        <f t="shared" ref="Y375:Y380" si="36">W375-X375</f>
        <v>2.6530718052710114</v>
      </c>
      <c r="Z375" s="352">
        <f t="array" ref="Z375">(GEOMEAN(Index_Returns!AC340:AC375/100+1)^12-1)*100</f>
        <v>26.595899625185627</v>
      </c>
      <c r="AA375" s="352">
        <f t="array" ref="AA375">(GEOMEAN(Index_Returns!AB340:AB375/100+1)^12-1)*100</f>
        <v>21.07818784401687</v>
      </c>
      <c r="AB375" s="352">
        <f t="shared" si="25"/>
        <v>5.5177117811687566</v>
      </c>
    </row>
    <row r="376" spans="1:28" x14ac:dyDescent="0.2">
      <c r="A376" s="19">
        <v>38960</v>
      </c>
      <c r="B376" s="352">
        <f t="array" ref="B376">(PRODUCT(Index_Returns!D365:D376/100+1)-1)*100</f>
        <v>12.798732798621471</v>
      </c>
      <c r="C376" s="352">
        <f t="array" ref="C376">(PRODUCT(Index_Returns!C365:C376/100+1)-1)*100</f>
        <v>5.1509341668386499</v>
      </c>
      <c r="D376" s="352">
        <f t="shared" si="33"/>
        <v>7.6477986317828206</v>
      </c>
      <c r="E376" s="352">
        <f t="array" ref="E376">(GEOMEAN(Index_Returns!D341:D376/100+1)^12-1)*100</f>
        <v>14.553040633789681</v>
      </c>
      <c r="F376" s="352">
        <f t="array" ref="F376">(GEOMEAN(Index_Returns!C341:C376/100+1)^12-1)*100</f>
        <v>7.4382914203405592</v>
      </c>
      <c r="G376" s="352">
        <f t="shared" si="27"/>
        <v>7.1147492134491221</v>
      </c>
      <c r="H376" s="351"/>
      <c r="I376" s="350">
        <f t="array" ref="I376">(PRODUCT(Index_Returns!G365:G376/100+1)-1)*100</f>
        <v>8.7127329353371863</v>
      </c>
      <c r="J376" s="350">
        <f t="array" ref="J376">(PRODUCT(Index_Returns!F365:F376/100+1)-1)*100</f>
        <v>4.246629806022173</v>
      </c>
      <c r="K376" s="350">
        <f t="shared" si="34"/>
        <v>4.4661031293150133</v>
      </c>
      <c r="L376" s="350">
        <f t="array" ref="L376">(GEOMEAN(Index_Returns!G341:G376/100+1)^12-1)*100</f>
        <v>17.48829113805812</v>
      </c>
      <c r="M376" s="350">
        <f t="array" ref="M376">(GEOMEAN(Index_Returns!F341:F376/100+1)^12-1)*100</f>
        <v>11.149071945991329</v>
      </c>
      <c r="N376" s="350">
        <f t="shared" si="32"/>
        <v>6.3392191920667909</v>
      </c>
      <c r="O376" s="352"/>
      <c r="P376" s="352">
        <f t="array" ref="P376">(PRODUCT(Index_Returns!M365:M376/100+1)-1)*100</f>
        <v>10.784611654625387</v>
      </c>
      <c r="Q376" s="352">
        <f t="array" ref="Q376">(PRODUCT(Index_Returns!L365:L376/100+1)-1)*100</f>
        <v>3.3779929605313619</v>
      </c>
      <c r="R376" s="352">
        <f t="shared" si="35"/>
        <v>7.4066186940940248</v>
      </c>
      <c r="S376" s="352">
        <f t="array" ref="S376">(GEOMEAN(Index_Returns!M341:M376/100+1)^12-1)*100</f>
        <v>17.045042330947567</v>
      </c>
      <c r="T376" s="352">
        <f t="array" ref="T376">(GEOMEAN(Index_Returns!L341:L376/100+1)^12-1)*100</f>
        <v>14.867453504339089</v>
      </c>
      <c r="U376" s="352">
        <f t="shared" si="30"/>
        <v>2.1775888266084777</v>
      </c>
      <c r="V376" s="352"/>
      <c r="W376" s="352">
        <f t="array" ref="W376">(PRODUCT(Index_Returns!AC365:AC376/100+1)-1)*100</f>
        <v>26.93513600804971</v>
      </c>
      <c r="X376" s="352">
        <f t="array" ref="X376">(PRODUCT(Index_Returns!AB365:AB376/100+1)-1)*100</f>
        <v>22.636367882965281</v>
      </c>
      <c r="Y376" s="352">
        <f t="shared" si="36"/>
        <v>4.298768125084429</v>
      </c>
      <c r="Z376" s="352">
        <f t="array" ref="Z376">(GEOMEAN(Index_Returns!AC341:AC376/100+1)^12-1)*100</f>
        <v>26.64352429420498</v>
      </c>
      <c r="AA376" s="352">
        <f t="array" ref="AA376">(GEOMEAN(Index_Returns!AB341:AB376/100+1)^12-1)*100</f>
        <v>21.310107286775136</v>
      </c>
      <c r="AB376" s="352">
        <f t="shared" si="25"/>
        <v>5.3334170074298441</v>
      </c>
    </row>
    <row r="377" spans="1:28" x14ac:dyDescent="0.2">
      <c r="A377" s="19">
        <v>38990</v>
      </c>
      <c r="B377" s="352">
        <f t="array" ref="B377">(PRODUCT(Index_Returns!D366:D377/100+1)-1)*100</f>
        <v>14.612326735062675</v>
      </c>
      <c r="C377" s="352">
        <f t="array" ref="C377">(PRODUCT(Index_Returns!C366:C377/100+1)-1)*100</f>
        <v>7.1477395319185399</v>
      </c>
      <c r="D377" s="352">
        <f t="shared" si="33"/>
        <v>7.4645872031441352</v>
      </c>
      <c r="E377" s="352">
        <f t="array" ref="E377">(GEOMEAN(Index_Returns!D342:D377/100+1)^12-1)*100</f>
        <v>16.266481871819806</v>
      </c>
      <c r="F377" s="352">
        <f t="array" ref="F377">(GEOMEAN(Index_Returns!C342:C377/100+1)^12-1)*100</f>
        <v>8.4342070055484228</v>
      </c>
      <c r="G377" s="352">
        <f t="shared" si="27"/>
        <v>7.8322748662713835</v>
      </c>
      <c r="H377" s="351"/>
      <c r="I377" s="350">
        <f t="array" ref="I377">(PRODUCT(Index_Returns!G366:G377/100+1)-1)*100</f>
        <v>7.9280375164528349</v>
      </c>
      <c r="J377" s="350">
        <f t="array" ref="J377">(PRODUCT(Index_Returns!F366:F377/100+1)-1)*100</f>
        <v>4.8891431833343546</v>
      </c>
      <c r="K377" s="350">
        <f t="shared" si="34"/>
        <v>3.0388943331184803</v>
      </c>
      <c r="L377" s="350">
        <f t="array" ref="L377">(GEOMEAN(Index_Returns!G342:G377/100+1)^12-1)*100</f>
        <v>17.958087634749621</v>
      </c>
      <c r="M377" s="350">
        <f t="array" ref="M377">(GEOMEAN(Index_Returns!F342:F377/100+1)^12-1)*100</f>
        <v>12.384245061804888</v>
      </c>
      <c r="N377" s="350">
        <f t="shared" si="32"/>
        <v>5.5738425729447325</v>
      </c>
      <c r="O377" s="352"/>
      <c r="P377" s="352">
        <f t="array" ref="P377">(PRODUCT(Index_Returns!M366:M377/100+1)-1)*100</f>
        <v>11.677501534206879</v>
      </c>
      <c r="Q377" s="352">
        <f t="array" ref="Q377">(PRODUCT(Index_Returns!L366:L377/100+1)-1)*100</f>
        <v>2.5666288543875648</v>
      </c>
      <c r="R377" s="352">
        <f t="shared" si="35"/>
        <v>9.1108726798193143</v>
      </c>
      <c r="S377" s="352">
        <f t="array" ref="S377">(GEOMEAN(Index_Returns!M342:M377/100+1)^12-1)*100</f>
        <v>18.977353577156329</v>
      </c>
      <c r="T377" s="352">
        <f t="array" ref="T377">(GEOMEAN(Index_Returns!L342:L377/100+1)^12-1)*100</f>
        <v>15.955717823311755</v>
      </c>
      <c r="U377" s="352">
        <f t="shared" si="30"/>
        <v>3.0216357538445742</v>
      </c>
      <c r="V377" s="352"/>
      <c r="W377" s="352">
        <f t="array" ref="W377">(PRODUCT(Index_Returns!AC366:AC377/100+1)-1)*100</f>
        <v>22.276575532471242</v>
      </c>
      <c r="X377" s="352">
        <f t="array" ref="X377">(PRODUCT(Index_Returns!AB366:AB377/100+1)-1)*100</f>
        <v>17.022949667084731</v>
      </c>
      <c r="Y377" s="352">
        <f t="shared" si="36"/>
        <v>5.2536258653865104</v>
      </c>
      <c r="Z377" s="352">
        <f t="array" ref="Z377">(GEOMEAN(Index_Returns!AC342:AC377/100+1)^12-1)*100</f>
        <v>25.839863543443077</v>
      </c>
      <c r="AA377" s="352">
        <f t="array" ref="AA377">(GEOMEAN(Index_Returns!AB342:AB377/100+1)^12-1)*100</f>
        <v>19.747013257581504</v>
      </c>
      <c r="AB377" s="352">
        <f t="shared" si="25"/>
        <v>6.092850285861573</v>
      </c>
    </row>
    <row r="378" spans="1:28" x14ac:dyDescent="0.2">
      <c r="A378" s="19">
        <v>39021</v>
      </c>
      <c r="B378" s="352">
        <f t="array" ref="B378">(PRODUCT(Index_Returns!D367:D378/100+1)-1)*100</f>
        <v>20.538042600776429</v>
      </c>
      <c r="C378" s="352">
        <f t="array" ref="C378">(PRODUCT(Index_Returns!C367:C378/100+1)-1)*100</f>
        <v>12.335078554451329</v>
      </c>
      <c r="D378" s="352">
        <f t="shared" si="33"/>
        <v>8.2029640463250999</v>
      </c>
      <c r="E378" s="352">
        <f t="array" ref="E378">(GEOMEAN(Index_Returns!D343:D378/100+1)^12-1)*100</f>
        <v>14.98086706898123</v>
      </c>
      <c r="F378" s="352">
        <f t="array" ref="F378">(GEOMEAN(Index_Returns!C343:C378/100+1)^12-1)*100</f>
        <v>7.9789109864742302</v>
      </c>
      <c r="G378" s="352">
        <f t="shared" si="27"/>
        <v>7.0019560825069993</v>
      </c>
      <c r="H378" s="351"/>
      <c r="I378" s="350">
        <f t="array" ref="I378">(PRODUCT(Index_Returns!G367:G378/100+1)-1)*100</f>
        <v>16.206597520697219</v>
      </c>
      <c r="J378" s="350">
        <f t="array" ref="J378">(PRODUCT(Index_Returns!F367:F378/100+1)-1)*100</f>
        <v>10.35417293502341</v>
      </c>
      <c r="K378" s="350">
        <f t="shared" si="34"/>
        <v>5.8524245856738091</v>
      </c>
      <c r="L378" s="350">
        <f t="array" ref="L378">(GEOMEAN(Index_Returns!G343:G378/100+1)^12-1)*100</f>
        <v>16.607853174856359</v>
      </c>
      <c r="M378" s="350">
        <f t="array" ref="M378">(GEOMEAN(Index_Returns!F343:F378/100+1)^12-1)*100</f>
        <v>11.252243367805747</v>
      </c>
      <c r="N378" s="350">
        <f t="shared" si="32"/>
        <v>5.3556098070506124</v>
      </c>
      <c r="O378" s="352"/>
      <c r="P378" s="352">
        <f t="array" ref="P378">(PRODUCT(Index_Returns!M367:M378/100+1)-1)*100</f>
        <v>20.826380747747386</v>
      </c>
      <c r="Q378" s="352">
        <f t="array" ref="Q378">(PRODUCT(Index_Returns!L367:L378/100+1)-1)*100</f>
        <v>11.224926853861806</v>
      </c>
      <c r="R378" s="352">
        <f t="shared" si="35"/>
        <v>9.60145389388558</v>
      </c>
      <c r="S378" s="352">
        <f t="array" ref="S378">(GEOMEAN(Index_Returns!M343:M378/100+1)^12-1)*100</f>
        <v>17.937570352812628</v>
      </c>
      <c r="T378" s="352">
        <f t="array" ref="T378">(GEOMEAN(Index_Returns!L343:L378/100+1)^12-1)*100</f>
        <v>14.277595948256504</v>
      </c>
      <c r="U378" s="352">
        <f t="shared" si="30"/>
        <v>3.6599744045561238</v>
      </c>
      <c r="V378" s="352"/>
      <c r="W378" s="352">
        <f t="array" ref="W378">(PRODUCT(Index_Returns!AC367:AC378/100+1)-1)*100</f>
        <v>31.678263355477519</v>
      </c>
      <c r="X378" s="352">
        <f t="array" ref="X378">(PRODUCT(Index_Returns!AB367:AB378/100+1)-1)*100</f>
        <v>24.423897736262813</v>
      </c>
      <c r="Y378" s="352">
        <f t="shared" si="36"/>
        <v>7.2543656192147061</v>
      </c>
      <c r="Z378" s="352">
        <f t="array" ref="Z378">(GEOMEAN(Index_Returns!AC343:AC378/100+1)^12-1)*100</f>
        <v>24.914322901981834</v>
      </c>
      <c r="AA378" s="352">
        <f t="array" ref="AA378">(GEOMEAN(Index_Returns!AB343:AB378/100+1)^12-1)*100</f>
        <v>18.85651246032818</v>
      </c>
      <c r="AB378" s="352">
        <f t="shared" si="25"/>
        <v>6.057810441653654</v>
      </c>
    </row>
    <row r="379" spans="1:28" x14ac:dyDescent="0.2">
      <c r="A379" s="19">
        <v>39051</v>
      </c>
      <c r="B379" s="352">
        <f t="array" ref="B379">(PRODUCT(Index_Returns!D368:D379/100+1)-1)*100</f>
        <v>18.276038604925283</v>
      </c>
      <c r="C379" s="352">
        <f t="array" ref="C379">(PRODUCT(Index_Returns!C368:C379/100+1)-1)*100</f>
        <v>10.37261312715556</v>
      </c>
      <c r="D379" s="352">
        <f t="shared" si="33"/>
        <v>7.9034254777697228</v>
      </c>
      <c r="E379" s="352">
        <f t="array" ref="E379">(GEOMEAN(Index_Returns!D344:D379/100+1)^12-1)*100</f>
        <v>15.319682312214788</v>
      </c>
      <c r="F379" s="352">
        <f t="array" ref="F379">(GEOMEAN(Index_Returns!C344:C379/100+1)^12-1)*100</f>
        <v>8.3881034071852092</v>
      </c>
      <c r="G379" s="352">
        <f t="shared" si="27"/>
        <v>6.9315789050295784</v>
      </c>
      <c r="H379" s="351"/>
      <c r="I379" s="350">
        <f t="array" ref="I379">(PRODUCT(Index_Returns!G368:G379/100+1)-1)*100</f>
        <v>15.009003211905391</v>
      </c>
      <c r="J379" s="350">
        <f t="array" ref="J379">(PRODUCT(Index_Returns!F368:F379/100+1)-1)*100</f>
        <v>8.0683697245746533</v>
      </c>
      <c r="K379" s="350">
        <f t="shared" si="34"/>
        <v>6.9406334873307376</v>
      </c>
      <c r="L379" s="350">
        <f t="array" ref="L379">(GEOMEAN(Index_Returns!G344:G379/100+1)^12-1)*100</f>
        <v>16.275235700725442</v>
      </c>
      <c r="M379" s="350">
        <f t="array" ref="M379">(GEOMEAN(Index_Returns!F344:F379/100+1)^12-1)*100</f>
        <v>11.395631410930097</v>
      </c>
      <c r="N379" s="350">
        <f t="shared" si="32"/>
        <v>4.8796042897953456</v>
      </c>
      <c r="O379" s="352"/>
      <c r="P379" s="352">
        <f t="array" ref="P379">(PRODUCT(Index_Returns!M368:M379/100+1)-1)*100</f>
        <v>18.195153779058892</v>
      </c>
      <c r="Q379" s="352">
        <f t="array" ref="Q379">(PRODUCT(Index_Returns!L368:L379/100+1)-1)*100</f>
        <v>9.8147961208879799</v>
      </c>
      <c r="R379" s="352">
        <f t="shared" si="35"/>
        <v>8.3803576581709116</v>
      </c>
      <c r="S379" s="352">
        <f t="array" ref="S379">(GEOMEAN(Index_Returns!M344:M379/100+1)^12-1)*100</f>
        <v>17.273270240116933</v>
      </c>
      <c r="T379" s="352">
        <f t="array" ref="T379">(GEOMEAN(Index_Returns!L344:L379/100+1)^12-1)*100</f>
        <v>14.139509560751208</v>
      </c>
      <c r="U379" s="352">
        <f t="shared" si="30"/>
        <v>3.1337606793657251</v>
      </c>
      <c r="V379" s="352"/>
      <c r="W379" s="352">
        <f t="array" ref="W379">(PRODUCT(Index_Returns!AC368:AC379/100+1)-1)*100</f>
        <v>31.76658124273095</v>
      </c>
      <c r="X379" s="352">
        <f t="array" ref="X379">(PRODUCT(Index_Returns!AB368:AB379/100+1)-1)*100</f>
        <v>25.678716655176803</v>
      </c>
      <c r="Y379" s="352">
        <f t="shared" si="36"/>
        <v>6.0878645875541473</v>
      </c>
      <c r="Z379" s="352">
        <f t="array" ref="Z379">(GEOMEAN(Index_Returns!AC344:AC379/100+1)^12-1)*100</f>
        <v>25.306397947554736</v>
      </c>
      <c r="AA379" s="352">
        <f t="array" ref="AA379">(GEOMEAN(Index_Returns!AB344:AB379/100+1)^12-1)*100</f>
        <v>19.080600272695627</v>
      </c>
      <c r="AB379" s="352">
        <f t="shared" si="25"/>
        <v>6.2257976748591091</v>
      </c>
    </row>
    <row r="380" spans="1:28" x14ac:dyDescent="0.2">
      <c r="A380" s="19">
        <v>39082</v>
      </c>
      <c r="B380" s="352">
        <f t="array" ref="B380">(PRODUCT(Index_Returns!D369:D380/100+1)-1)*100</f>
        <v>20.800448201199373</v>
      </c>
      <c r="C380" s="352">
        <f t="array" ref="C380">(PRODUCT(Index_Returns!C369:C380/100+1)-1)*100</f>
        <v>11.005652042526126</v>
      </c>
      <c r="D380" s="352">
        <f t="shared" si="33"/>
        <v>9.7947961586732468</v>
      </c>
      <c r="E380" s="352">
        <f t="array" ref="E380">(GEOMEAN(Index_Returns!D345:D380/100+1)^12-1)*100</f>
        <v>13.938402763450508</v>
      </c>
      <c r="F380" s="352">
        <f t="array" ref="F380">(GEOMEAN(Index_Returns!C345:C380/100+1)^12-1)*100</f>
        <v>7.0079216043883452</v>
      </c>
      <c r="G380" s="352">
        <f t="shared" si="27"/>
        <v>6.9304811590621629</v>
      </c>
      <c r="H380" s="351"/>
      <c r="I380" s="350">
        <f t="array" ref="I380">(PRODUCT(Index_Returns!G369:G380/100+1)-1)*100</f>
        <v>14.619153824027386</v>
      </c>
      <c r="J380" s="350">
        <f t="array" ref="J380">(PRODUCT(Index_Returns!F369:F380/100+1)-1)*100</f>
        <v>5.8074149501348815</v>
      </c>
      <c r="K380" s="350">
        <f t="shared" si="34"/>
        <v>8.8117388738925051</v>
      </c>
      <c r="L380" s="350">
        <f t="array" ref="L380">(GEOMEAN(Index_Returns!G345:G380/100+1)^12-1)*100</f>
        <v>14.969580265263982</v>
      </c>
      <c r="M380" s="350">
        <f t="array" ref="M380">(GEOMEAN(Index_Returns!F345:F380/100+1)^12-1)*100</f>
        <v>11.063130249547015</v>
      </c>
      <c r="N380" s="350">
        <f t="shared" si="32"/>
        <v>3.9064500157169668</v>
      </c>
      <c r="O380" s="352"/>
      <c r="P380" s="352">
        <f t="array" ref="P380">(PRODUCT(Index_Returns!M369:M380/100+1)-1)*100</f>
        <v>19.570145088118807</v>
      </c>
      <c r="Q380" s="352">
        <f t="array" ref="Q380">(PRODUCT(Index_Returns!L369:L380/100+1)-1)*100</f>
        <v>10.54153126619488</v>
      </c>
      <c r="R380" s="352">
        <f t="shared" si="35"/>
        <v>9.0286138219239263</v>
      </c>
      <c r="S380" s="352">
        <f t="array" ref="S380">(GEOMEAN(Index_Returns!M345:M380/100+1)^12-1)*100</f>
        <v>16.237466109050793</v>
      </c>
      <c r="T380" s="352">
        <f t="array" ref="T380">(GEOMEAN(Index_Returns!L345:L380/100+1)^12-1)*100</f>
        <v>13.809751067797936</v>
      </c>
      <c r="U380" s="352">
        <f t="shared" si="30"/>
        <v>2.4277150412528563</v>
      </c>
      <c r="V380" s="352"/>
      <c r="W380" s="352">
        <f t="array" ref="W380">(PRODUCT(Index_Returns!AC369:AC380/100+1)-1)*100</f>
        <v>31.028445618663181</v>
      </c>
      <c r="X380" s="352">
        <f t="array" ref="X380">(PRODUCT(Index_Returns!AB369:AB380/100+1)-1)*100</f>
        <v>22.708998592962626</v>
      </c>
      <c r="Y380" s="352">
        <f t="shared" si="36"/>
        <v>8.3194470257005548</v>
      </c>
      <c r="Z380" s="352">
        <f t="array" ref="Z380">(GEOMEAN(Index_Returns!AC345:AC380/100+1)^12-1)*100</f>
        <v>23.240485849587778</v>
      </c>
      <c r="AA380" s="352">
        <f t="array" ref="AA380">(GEOMEAN(Index_Returns!AB345:AB380/100+1)^12-1)*100</f>
        <v>17.547609228721139</v>
      </c>
      <c r="AB380" s="352">
        <f t="shared" si="25"/>
        <v>5.6928766208666381</v>
      </c>
    </row>
    <row r="381" spans="1:28" x14ac:dyDescent="0.2">
      <c r="A381" s="19">
        <v>39113</v>
      </c>
      <c r="B381" s="352">
        <f t="array" ref="B381">(PRODUCT(Index_Returns!D370:D381/100+1)-1)*100</f>
        <v>19.365760478400617</v>
      </c>
      <c r="C381" s="352">
        <f t="array" ref="C381">(PRODUCT(Index_Returns!C370:C381/100+1)-1)*100</f>
        <v>9.8394542163302354</v>
      </c>
      <c r="D381" s="352">
        <f t="shared" ref="D381:D386" si="37">B381-C381</f>
        <v>9.5263062620703813</v>
      </c>
      <c r="E381" s="352">
        <f t="array" ref="E381">(GEOMEAN(Index_Returns!D346:D381/100+1)^12-1)*100</f>
        <v>13.935305208660044</v>
      </c>
      <c r="F381" s="352">
        <f t="array" ref="F381">(GEOMEAN(Index_Returns!C346:C381/100+1)^12-1)*100</f>
        <v>6.7788256013853632</v>
      </c>
      <c r="G381" s="352">
        <f t="shared" si="27"/>
        <v>7.1564796072746804</v>
      </c>
      <c r="H381" s="351"/>
      <c r="I381" s="350">
        <f t="array" ref="I381">(PRODUCT(Index_Returns!G370:G381/100+1)-1)*100</f>
        <v>11.479452810023517</v>
      </c>
      <c r="J381" s="350">
        <f t="array" ref="J381">(PRODUCT(Index_Returns!F370:F381/100+1)-1)*100</f>
        <v>4.202612097735825</v>
      </c>
      <c r="K381" s="350">
        <f t="shared" ref="K381:K386" si="38">I381-J381</f>
        <v>7.2768407122876919</v>
      </c>
      <c r="L381" s="350">
        <f t="array" ref="L381">(GEOMEAN(Index_Returns!G346:G381/100+1)^12-1)*100</f>
        <v>15.234379124411435</v>
      </c>
      <c r="M381" s="350">
        <f t="array" ref="M381">(GEOMEAN(Index_Returns!F346:F381/100+1)^12-1)*100</f>
        <v>11.87671085994233</v>
      </c>
      <c r="N381" s="350">
        <f t="shared" si="32"/>
        <v>3.3576682644691047</v>
      </c>
      <c r="O381" s="352"/>
      <c r="P381" s="352">
        <f t="array" ref="P381">(PRODUCT(Index_Returns!M370:M381/100+1)-1)*100</f>
        <v>11.729504952861047</v>
      </c>
      <c r="Q381" s="352">
        <f t="array" ref="Q381">(PRODUCT(Index_Returns!L370:L381/100+1)-1)*100</f>
        <v>4.951701958387611</v>
      </c>
      <c r="R381" s="352">
        <f t="shared" ref="R381:R386" si="39">P381-Q381</f>
        <v>6.7778029944734364</v>
      </c>
      <c r="S381" s="352">
        <f t="array" ref="S381">(GEOMEAN(Index_Returns!M346:M381/100+1)^12-1)*100</f>
        <v>16.031557747031201</v>
      </c>
      <c r="T381" s="352">
        <f t="array" ref="T381">(GEOMEAN(Index_Returns!L346:L381/100+1)^12-1)*100</f>
        <v>13.393366020818442</v>
      </c>
      <c r="U381" s="352">
        <f t="shared" si="30"/>
        <v>2.6381917262127583</v>
      </c>
      <c r="V381" s="352"/>
      <c r="W381" s="352">
        <f t="array" ref="W381">(PRODUCT(Index_Returns!AC370:AC381/100+1)-1)*100</f>
        <v>24.162534324564721</v>
      </c>
      <c r="X381" s="352">
        <f t="array" ref="X381">(PRODUCT(Index_Returns!AB370:AB381/100+1)-1)*100</f>
        <v>16.519890385030834</v>
      </c>
      <c r="Y381" s="352">
        <f t="shared" ref="Y381:Y386" si="40">W381-X381</f>
        <v>7.6426439395338868</v>
      </c>
      <c r="Z381" s="352">
        <f t="array" ref="Z381">(GEOMEAN(Index_Returns!AC346:AC381/100+1)^12-1)*100</f>
        <v>23.102428489835948</v>
      </c>
      <c r="AA381" s="352">
        <f t="array" ref="AA381">(GEOMEAN(Index_Returns!AB346:AB381/100+1)^12-1)*100</f>
        <v>17.105619745815236</v>
      </c>
      <c r="AB381" s="352">
        <f t="shared" si="25"/>
        <v>5.9968087440207114</v>
      </c>
    </row>
    <row r="382" spans="1:28" x14ac:dyDescent="0.2">
      <c r="A382" s="19">
        <v>39141</v>
      </c>
      <c r="B382" s="352">
        <f t="array" ref="B382">(PRODUCT(Index_Returns!D371:D382/100+1)-1)*100</f>
        <v>16.090172638509404</v>
      </c>
      <c r="C382" s="352">
        <f t="array" ref="C382">(PRODUCT(Index_Returns!C371:C382/100+1)-1)*100</f>
        <v>7.9365852949925486</v>
      </c>
      <c r="D382" s="352">
        <f t="shared" si="37"/>
        <v>8.1535873435168558</v>
      </c>
      <c r="E382" s="352">
        <f t="array" ref="E382">(GEOMEAN(Index_Returns!D347:D382/100+1)^12-1)*100</f>
        <v>12.447595738398398</v>
      </c>
      <c r="F382" s="352">
        <f t="array" ref="F382">(GEOMEAN(Index_Returns!C347:C382/100+1)^12-1)*100</f>
        <v>5.7978344933216075</v>
      </c>
      <c r="G382" s="352">
        <f t="shared" si="27"/>
        <v>6.6497612450767907</v>
      </c>
      <c r="H382" s="351"/>
      <c r="I382" s="350">
        <f t="array" ref="I382">(PRODUCT(Index_Returns!G371:G382/100+1)-1)*100</f>
        <v>12.822750663831584</v>
      </c>
      <c r="J382" s="350">
        <f t="array" ref="J382">(PRODUCT(Index_Returns!F371:F382/100+1)-1)*100</f>
        <v>6.2695585032331858</v>
      </c>
      <c r="K382" s="350">
        <f t="shared" si="38"/>
        <v>6.5531921605983987</v>
      </c>
      <c r="L382" s="350">
        <f t="array" ref="L382">(GEOMEAN(Index_Returns!G347:G382/100+1)^12-1)*100</f>
        <v>14.691936323523702</v>
      </c>
      <c r="M382" s="350">
        <f t="array" ref="M382">(GEOMEAN(Index_Returns!F347:F382/100+1)^12-1)*100</f>
        <v>11.186138691289461</v>
      </c>
      <c r="N382" s="350">
        <f t="shared" si="32"/>
        <v>3.5057976322342412</v>
      </c>
      <c r="O382" s="352"/>
      <c r="P382" s="352">
        <f t="array" ref="P382">(PRODUCT(Index_Returns!M371:M382/100+1)-1)*100</f>
        <v>10.870821323296731</v>
      </c>
      <c r="Q382" s="352">
        <f t="array" ref="Q382">(PRODUCT(Index_Returns!L371:L382/100+1)-1)*100</f>
        <v>6.2827444023034307</v>
      </c>
      <c r="R382" s="352">
        <f t="shared" si="39"/>
        <v>4.5880769209933003</v>
      </c>
      <c r="S382" s="352">
        <f t="array" ref="S382">(GEOMEAN(Index_Returns!M347:M382/100+1)^12-1)*100</f>
        <v>15.017685541921665</v>
      </c>
      <c r="T382" s="352">
        <f t="array" ref="T382">(GEOMEAN(Index_Returns!L347:L382/100+1)^12-1)*100</f>
        <v>12.530207994234942</v>
      </c>
      <c r="U382" s="352">
        <f t="shared" si="30"/>
        <v>2.4874775476867228</v>
      </c>
      <c r="V382" s="352"/>
      <c r="W382" s="352">
        <f t="array" ref="W382">(PRODUCT(Index_Returns!AC371:AC382/100+1)-1)*100</f>
        <v>24.353139356583675</v>
      </c>
      <c r="X382" s="352">
        <f t="array" ref="X382">(PRODUCT(Index_Returns!AB371:AB382/100+1)-1)*100</f>
        <v>18.760777622530522</v>
      </c>
      <c r="Y382" s="352">
        <f t="shared" si="40"/>
        <v>5.5923617340531528</v>
      </c>
      <c r="Z382" s="352">
        <f t="array" ref="Z382">(GEOMEAN(Index_Returns!AC347:AC382/100+1)^12-1)*100</f>
        <v>22.350051753983301</v>
      </c>
      <c r="AA382" s="352">
        <f t="array" ref="AA382">(GEOMEAN(Index_Returns!AB347:AB382/100+1)^12-1)*100</f>
        <v>16.668750246143627</v>
      </c>
      <c r="AB382" s="352">
        <f t="shared" si="25"/>
        <v>5.6813015078396738</v>
      </c>
    </row>
    <row r="383" spans="1:28" x14ac:dyDescent="0.2">
      <c r="A383" s="19">
        <v>39172</v>
      </c>
      <c r="B383" s="352">
        <f t="array" ref="B383">(PRODUCT(Index_Returns!D372:D383/100+1)-1)*100</f>
        <v>15.627888914533461</v>
      </c>
      <c r="C383" s="352">
        <f t="array" ref="C383">(PRODUCT(Index_Returns!C372:C383/100+1)-1)*100</f>
        <v>8.0767598970572951</v>
      </c>
      <c r="D383" s="352">
        <f t="shared" si="37"/>
        <v>7.5511290174761658</v>
      </c>
      <c r="E383" s="352">
        <f t="array" ref="E383">(GEOMEAN(Index_Returns!D348:D383/100+1)^12-1)*100</f>
        <v>13.193681663439127</v>
      </c>
      <c r="F383" s="352">
        <f t="array" ref="F383">(GEOMEAN(Index_Returns!C348:C383/100+1)^12-1)*100</f>
        <v>6.9658806921669481</v>
      </c>
      <c r="G383" s="352">
        <f t="shared" si="27"/>
        <v>6.2278009712721794</v>
      </c>
      <c r="I383" s="350">
        <f t="array" ref="I383">(PRODUCT(Index_Returns!G372:G383/100+1)-1)*100</f>
        <v>11.047712194658876</v>
      </c>
      <c r="J383" s="350">
        <f t="array" ref="J383">(PRODUCT(Index_Returns!F372:F383/100+1)-1)*100</f>
        <v>5.5658388638696987</v>
      </c>
      <c r="K383" s="350">
        <f t="shared" si="38"/>
        <v>5.4818733307891776</v>
      </c>
      <c r="L383" s="350">
        <f t="array" ref="L383">(GEOMEAN(Index_Returns!G348:G383/100+1)^12-1)*100</f>
        <v>15.022267922914967</v>
      </c>
      <c r="M383" s="350">
        <f t="array" ref="M383">(GEOMEAN(Index_Returns!F348:F383/100+1)^12-1)*100</f>
        <v>11.545625803105608</v>
      </c>
      <c r="N383" s="350">
        <f t="shared" si="32"/>
        <v>3.4766421198093589</v>
      </c>
      <c r="P383" s="352">
        <f t="array" ref="P383">(PRODUCT(Index_Returns!M372:M383/100+1)-1)*100</f>
        <v>6.9036142133064748</v>
      </c>
      <c r="Q383" s="352">
        <f t="array" ref="Q383">(PRODUCT(Index_Returns!L372:L383/100+1)-1)*100</f>
        <v>3.5784343511345407</v>
      </c>
      <c r="R383" s="352">
        <f t="shared" si="39"/>
        <v>3.3251798621719342</v>
      </c>
      <c r="S383" s="352">
        <f t="array" ref="S383">(GEOMEAN(Index_Returns!M348:M383/100+1)^12-1)*100</f>
        <v>14.916283977600209</v>
      </c>
      <c r="T383" s="352">
        <f t="array" ref="T383">(GEOMEAN(Index_Returns!L348:L383/100+1)^12-1)*100</f>
        <v>12.921113086908464</v>
      </c>
      <c r="U383" s="352">
        <f t="shared" si="30"/>
        <v>1.9951708906917442</v>
      </c>
      <c r="W383" s="352">
        <f t="array" ref="W383">(PRODUCT(Index_Returns!AC372:AC383/100+1)-1)*100</f>
        <v>23.20887476181197</v>
      </c>
      <c r="X383" s="352">
        <f t="array" ref="X383">(PRODUCT(Index_Returns!AB372:AB383/100+1)-1)*100</f>
        <v>18.1297485014994</v>
      </c>
      <c r="Y383" s="352">
        <f t="shared" si="40"/>
        <v>5.0791262603125702</v>
      </c>
      <c r="Z383" s="352">
        <f t="array" ref="Z383">(GEOMEAN(Index_Returns!AC348:AC383/100+1)^12-1)*100</f>
        <v>22.649208248422713</v>
      </c>
      <c r="AA383" s="352">
        <f t="array" ref="AA383">(GEOMEAN(Index_Returns!AB348:AB383/100+1)^12-1)*100</f>
        <v>17.922208808346475</v>
      </c>
      <c r="AB383" s="352">
        <f t="shared" si="25"/>
        <v>4.7269994400762378</v>
      </c>
    </row>
    <row r="384" spans="1:28" x14ac:dyDescent="0.2">
      <c r="A384" s="19">
        <v>39202</v>
      </c>
      <c r="B384" s="352">
        <f t="array" ref="B384">(PRODUCT(Index_Returns!D373:D384/100+1)-1)*100</f>
        <v>17.211763254480683</v>
      </c>
      <c r="C384" s="352">
        <f t="array" ref="C384">(PRODUCT(Index_Returns!C373:C384/100+1)-1)*100</f>
        <v>13.226105129698285</v>
      </c>
      <c r="D384" s="352">
        <f t="shared" si="37"/>
        <v>3.9856581247823986</v>
      </c>
      <c r="E384" s="352">
        <f t="array" ref="E384">(GEOMEAN(Index_Returns!D349:D384/100+1)^12-1)*100</f>
        <v>15.71610885498005</v>
      </c>
      <c r="F384" s="352">
        <f t="array" ref="F384">(GEOMEAN(Index_Returns!C349:C384/100+1)^12-1)*100</f>
        <v>8.8362731946644235</v>
      </c>
      <c r="G384" s="352">
        <f t="shared" si="27"/>
        <v>6.8798356603156261</v>
      </c>
      <c r="I384" s="350">
        <f t="array" ref="I384">(PRODUCT(Index_Returns!G373:G384/100+1)-1)*100</f>
        <v>11.830603862494794</v>
      </c>
      <c r="J384" s="350">
        <f t="array" ref="J384">(PRODUCT(Index_Returns!F373:F384/100+1)-1)*100</f>
        <v>8.3080865739822549</v>
      </c>
      <c r="K384" s="350">
        <f t="shared" si="38"/>
        <v>3.5225172885125389</v>
      </c>
      <c r="L384" s="350">
        <f t="array" ref="L384">(GEOMEAN(Index_Returns!G349:G384/100+1)^12-1)*100</f>
        <v>17.630305819941718</v>
      </c>
      <c r="M384" s="350">
        <f t="array" ref="M384">(GEOMEAN(Index_Returns!F349:F384/100+1)^12-1)*100</f>
        <v>13.775107768214156</v>
      </c>
      <c r="N384" s="350">
        <f t="shared" si="32"/>
        <v>3.8551980517275624</v>
      </c>
      <c r="P384" s="352">
        <f t="array" ref="P384">(PRODUCT(Index_Returns!M373:M384/100+1)-1)*100</f>
        <v>8.8575219161147736</v>
      </c>
      <c r="Q384" s="352">
        <f t="array" ref="Q384">(PRODUCT(Index_Returns!L373:L384/100+1)-1)*100</f>
        <v>6.3544167401195395</v>
      </c>
      <c r="R384" s="352">
        <f t="shared" si="39"/>
        <v>2.5031051759952341</v>
      </c>
      <c r="S384" s="352">
        <f t="array" ref="S384">(GEOMEAN(Index_Returns!M349:M384/100+1)^12-1)*100</f>
        <v>17.231062202341761</v>
      </c>
      <c r="T384" s="352">
        <f t="array" ref="T384">(GEOMEAN(Index_Returns!L349:L384/100+1)^12-1)*100</f>
        <v>14.87697074916885</v>
      </c>
      <c r="U384" s="352">
        <f t="shared" si="30"/>
        <v>2.3540914531729111</v>
      </c>
      <c r="W384" s="352">
        <f t="array" ref="W384">(PRODUCT(Index_Returns!AC373:AC384/100+1)-1)*100</f>
        <v>22.755217869139166</v>
      </c>
      <c r="X384" s="352">
        <f t="array" ref="X384">(PRODUCT(Index_Returns!AB373:AB384/100+1)-1)*100</f>
        <v>17.847508101719644</v>
      </c>
      <c r="Y384" s="352">
        <f t="shared" si="40"/>
        <v>4.9077097674195223</v>
      </c>
      <c r="Z384" s="352">
        <f t="array" ref="Z384">(GEOMEAN(Index_Returns!AC349:AC384/100+1)^12-1)*100</f>
        <v>25.36729707943195</v>
      </c>
      <c r="AA384" s="352">
        <f t="array" ref="AA384">(GEOMEAN(Index_Returns!AB349:AB384/100+1)^12-1)*100</f>
        <v>20.583830371099122</v>
      </c>
      <c r="AB384" s="352">
        <f t="shared" si="25"/>
        <v>4.7834667083328277</v>
      </c>
    </row>
    <row r="385" spans="1:28" x14ac:dyDescent="0.2">
      <c r="A385" s="19">
        <v>39233</v>
      </c>
      <c r="B385" s="352">
        <f t="array" ref="B385">(PRODUCT(Index_Returns!D374:D385/100+1)-1)*100</f>
        <v>24.738073712443654</v>
      </c>
      <c r="C385" s="352">
        <f t="array" ref="C385">(PRODUCT(Index_Returns!C374:C385/100+1)-1)*100</f>
        <v>20.782670721493179</v>
      </c>
      <c r="D385" s="352">
        <f t="shared" si="37"/>
        <v>3.9554029909504749</v>
      </c>
      <c r="E385" s="352">
        <f t="array" ref="E385">(GEOMEAN(Index_Returns!D350:D385/100+1)^12-1)*100</f>
        <v>16.72495659914577</v>
      </c>
      <c r="F385" s="352">
        <f t="array" ref="F385">(GEOMEAN(Index_Returns!C350:C385/100+1)^12-1)*100</f>
        <v>9.3826027029072279</v>
      </c>
      <c r="G385" s="352">
        <f t="shared" si="27"/>
        <v>7.3423538962385422</v>
      </c>
      <c r="I385" s="350">
        <f t="array" ref="I385">(PRODUCT(Index_Returns!G374:G385/100+1)-1)*100</f>
        <v>21.577862008718739</v>
      </c>
      <c r="J385" s="350">
        <f t="array" ref="J385">(PRODUCT(Index_Returns!F374:F385/100+1)-1)*100</f>
        <v>20.554016469397297</v>
      </c>
      <c r="K385" s="350">
        <f t="shared" si="38"/>
        <v>1.0238455393214423</v>
      </c>
      <c r="L385" s="350">
        <f t="array" ref="L385">(GEOMEAN(Index_Returns!G350:G385/100+1)^12-1)*100</f>
        <v>18.497889722403606</v>
      </c>
      <c r="M385" s="350">
        <f t="array" ref="M385">(GEOMEAN(Index_Returns!F350:F385/100+1)^12-1)*100</f>
        <v>15.092423396992505</v>
      </c>
      <c r="N385" s="350">
        <f t="shared" si="32"/>
        <v>3.4054663254111013</v>
      </c>
      <c r="P385" s="352">
        <f t="array" ref="P385">(PRODUCT(Index_Returns!M374:M385/100+1)-1)*100</f>
        <v>19.247832705116874</v>
      </c>
      <c r="Q385" s="352">
        <f t="array" ref="Q385">(PRODUCT(Index_Returns!L374:L385/100+1)-1)*100</f>
        <v>16.649969187545864</v>
      </c>
      <c r="R385" s="352">
        <f t="shared" si="39"/>
        <v>2.5978635175710103</v>
      </c>
      <c r="S385" s="352">
        <f t="array" ref="S385">(GEOMEAN(Index_Returns!M350:M385/100+1)^12-1)*100</f>
        <v>18.296137290920033</v>
      </c>
      <c r="T385" s="352">
        <f t="array" ref="T385">(GEOMEAN(Index_Returns!L350:L385/100+1)^12-1)*100</f>
        <v>16.142534254966435</v>
      </c>
      <c r="U385" s="352">
        <f t="shared" si="30"/>
        <v>2.1536030359535978</v>
      </c>
      <c r="W385" s="352">
        <f t="array" ref="W385">(PRODUCT(Index_Returns!AC374:AC385/100+1)-1)*100</f>
        <v>29.153001905161659</v>
      </c>
      <c r="X385" s="352">
        <f t="array" ref="X385">(PRODUCT(Index_Returns!AB374:AB385/100+1)-1)*100</f>
        <v>25.525380669784536</v>
      </c>
      <c r="Y385" s="352">
        <f t="shared" si="40"/>
        <v>3.6276212353771236</v>
      </c>
      <c r="Z385" s="352">
        <f t="array" ref="Z385">(GEOMEAN(Index_Returns!AC350:AC385/100+1)^12-1)*100</f>
        <v>25.647331240843197</v>
      </c>
      <c r="AA385" s="352">
        <f t="array" ref="AA385">(GEOMEAN(Index_Returns!AB350:AB385/100+1)^12-1)*100</f>
        <v>21.478053552963573</v>
      </c>
      <c r="AB385" s="352">
        <f t="shared" ref="AB385:AB392" si="41">Z385-AA385</f>
        <v>4.1692776878796245</v>
      </c>
    </row>
    <row r="386" spans="1:28" x14ac:dyDescent="0.2">
      <c r="A386" s="19">
        <v>39263</v>
      </c>
      <c r="B386" s="352">
        <f t="array" ref="B386">(PRODUCT(Index_Returns!D375:D386/100+1)-1)*100</f>
        <v>21.765452611425907</v>
      </c>
      <c r="C386" s="352">
        <f t="array" ref="C386">(PRODUCT(Index_Returns!C375:C386/100+1)-1)*100</f>
        <v>19.369018357298586</v>
      </c>
      <c r="D386" s="352">
        <f t="shared" si="37"/>
        <v>2.3964342541273211</v>
      </c>
      <c r="E386" s="352">
        <f t="array" ref="E386">(GEOMEAN(Index_Returns!D351:D386/100+1)^12-1)*100</f>
        <v>15.093292319202556</v>
      </c>
      <c r="F386" s="352">
        <f t="array" ref="F386">(GEOMEAN(Index_Returns!C351:C386/100+1)^12-1)*100</f>
        <v>8.3143207850983725</v>
      </c>
      <c r="G386" s="352">
        <f t="shared" ref="G386:G392" si="42">E386-F386</f>
        <v>6.7789715341041834</v>
      </c>
      <c r="I386" s="350">
        <f t="array" ref="I386">(PRODUCT(Index_Returns!G375:G386/100+1)-1)*100</f>
        <v>18.386442674916424</v>
      </c>
      <c r="J386" s="350">
        <f t="array" ref="J386">(PRODUCT(Index_Returns!F375:F386/100+1)-1)*100</f>
        <v>18.373519154257203</v>
      </c>
      <c r="K386" s="350">
        <f t="shared" si="38"/>
        <v>1.292352065922131E-2</v>
      </c>
      <c r="L386" s="350">
        <f t="array" ref="L386">(GEOMEAN(Index_Returns!G351:G386/100+1)^12-1)*100</f>
        <v>16.245597504784204</v>
      </c>
      <c r="M386" s="350">
        <f t="array" ref="M386">(GEOMEAN(Index_Returns!F351:F386/100+1)^12-1)*100</f>
        <v>13.883634593831973</v>
      </c>
      <c r="N386" s="350">
        <f t="shared" ref="N386:N392" si="43">L386-M386</f>
        <v>2.3619629109522311</v>
      </c>
      <c r="P386" s="352">
        <f t="array" ref="P386">(PRODUCT(Index_Returns!M375:M386/100+1)-1)*100</f>
        <v>16.128934863157539</v>
      </c>
      <c r="Q386" s="352">
        <f t="array" ref="Q386">(PRODUCT(Index_Returns!L375:L386/100+1)-1)*100</f>
        <v>15.94358723791116</v>
      </c>
      <c r="R386" s="352">
        <f t="shared" si="39"/>
        <v>0.18534762524637927</v>
      </c>
      <c r="S386" s="352">
        <f t="array" ref="S386">(GEOMEAN(Index_Returns!M351:M386/100+1)^12-1)*100</f>
        <v>15.144232562511251</v>
      </c>
      <c r="T386" s="352">
        <f t="array" ref="T386">(GEOMEAN(Index_Returns!L351:L386/100+1)^12-1)*100</f>
        <v>13.89513733869201</v>
      </c>
      <c r="U386" s="352">
        <f t="shared" ref="U386:U392" si="44">S386-T386</f>
        <v>1.249095223819241</v>
      </c>
      <c r="W386" s="352">
        <f t="array" ref="W386">(PRODUCT(Index_Returns!AC375:AC386/100+1)-1)*100</f>
        <v>29.219688333696169</v>
      </c>
      <c r="X386" s="352">
        <f t="array" ref="X386">(PRODUCT(Index_Returns!AB375:AB386/100+1)-1)*100</f>
        <v>25.670778412248495</v>
      </c>
      <c r="Y386" s="352">
        <f t="shared" si="40"/>
        <v>3.5489099214476738</v>
      </c>
      <c r="Z386" s="352">
        <f t="array" ref="Z386">(GEOMEAN(Index_Returns!AC351:AC386/100+1)^12-1)*100</f>
        <v>24.355950872427591</v>
      </c>
      <c r="AA386" s="352">
        <f t="array" ref="AA386">(GEOMEAN(Index_Returns!AB351:AB386/100+1)^12-1)*100</f>
        <v>21.059953734564484</v>
      </c>
      <c r="AB386" s="352">
        <f t="shared" si="41"/>
        <v>3.2959971378631074</v>
      </c>
    </row>
    <row r="387" spans="1:28" x14ac:dyDescent="0.2">
      <c r="A387" s="19">
        <v>39294</v>
      </c>
      <c r="B387" s="352">
        <f t="array" ref="B387">(PRODUCT(Index_Returns!D376:D387/100+1)-1)*100</f>
        <v>15.818176430569221</v>
      </c>
      <c r="C387" s="352">
        <f t="array" ref="C387">(PRODUCT(Index_Returns!C376:C387/100+1)-1)*100</f>
        <v>16.455725504996899</v>
      </c>
      <c r="D387" s="352">
        <f t="shared" ref="D387:D392" si="45">B387-C387</f>
        <v>-0.63754907442767816</v>
      </c>
      <c r="E387" s="352">
        <f t="array" ref="E387">(GEOMEAN(Index_Returns!D352:D387/100+1)^12-1)*100</f>
        <v>14.293831154621795</v>
      </c>
      <c r="F387" s="352">
        <f t="array" ref="F387">(GEOMEAN(Index_Returns!C352:C387/100+1)^12-1)*100</f>
        <v>9.2544801868755791</v>
      </c>
      <c r="G387" s="352">
        <f t="shared" si="42"/>
        <v>5.0393509677462163</v>
      </c>
      <c r="I387" s="350">
        <f t="array" ref="I387">(PRODUCT(Index_Returns!G376:G387/100+1)-1)*100</f>
        <v>15.185879631883514</v>
      </c>
      <c r="J387" s="350">
        <f t="array" ref="J387">(PRODUCT(Index_Returns!F376:F387/100+1)-1)*100</f>
        <v>18.16237439952819</v>
      </c>
      <c r="K387" s="350">
        <f t="shared" ref="K387:K392" si="46">I387-J387</f>
        <v>-2.9764947676446756</v>
      </c>
      <c r="L387" s="350">
        <f t="array" ref="L387">(GEOMEAN(Index_Returns!G352:G387/100+1)^12-1)*100</f>
        <v>16.027750535553743</v>
      </c>
      <c r="M387" s="350">
        <f t="array" ref="M387">(GEOMEAN(Index_Returns!F352:F387/100+1)^12-1)*100</f>
        <v>14.376424263403864</v>
      </c>
      <c r="N387" s="350">
        <f t="shared" si="43"/>
        <v>1.6513262721498787</v>
      </c>
      <c r="P387" s="352">
        <f t="array" ref="P387">(PRODUCT(Index_Returns!M376:M387/100+1)-1)*100</f>
        <v>12.95700779806166</v>
      </c>
      <c r="Q387" s="352">
        <f t="array" ref="Q387">(PRODUCT(Index_Returns!L376:L387/100+1)-1)*100</f>
        <v>15.350992053203051</v>
      </c>
      <c r="R387" s="352">
        <f t="shared" ref="R387:R392" si="47">P387-Q387</f>
        <v>-2.3939842551413903</v>
      </c>
      <c r="S387" s="352">
        <f t="array" ref="S387">(GEOMEAN(Index_Returns!M352:M387/100+1)^12-1)*100</f>
        <v>15.015682379615281</v>
      </c>
      <c r="T387" s="352">
        <f t="array" ref="T387">(GEOMEAN(Index_Returns!L352:L387/100+1)^12-1)*100</f>
        <v>14.397242879757432</v>
      </c>
      <c r="U387" s="352">
        <f t="shared" si="44"/>
        <v>0.61843949985784974</v>
      </c>
      <c r="W387" s="352">
        <f t="array" ref="W387">(PRODUCT(Index_Returns!AC376:AC387/100+1)-1)*100</f>
        <v>24.575795131239797</v>
      </c>
      <c r="X387" s="352">
        <f t="array" ref="X387">(PRODUCT(Index_Returns!AB376:AB387/100+1)-1)*100</f>
        <v>24.074728693634274</v>
      </c>
      <c r="Y387" s="352">
        <f t="shared" ref="Y387:Y392" si="48">W387-X387</f>
        <v>0.50106643760552316</v>
      </c>
      <c r="Z387" s="352">
        <f t="array" ref="Z387">(GEOMEAN(Index_Returns!AC352:AC387/100+1)^12-1)*100</f>
        <v>24.49669836742714</v>
      </c>
      <c r="AA387" s="352">
        <f t="array" ref="AA387">(GEOMEAN(Index_Returns!AB352:AB387/100+1)^12-1)*100</f>
        <v>22.410616046327835</v>
      </c>
      <c r="AB387" s="352">
        <f t="shared" si="41"/>
        <v>2.0860823210993047</v>
      </c>
    </row>
    <row r="388" spans="1:28" x14ac:dyDescent="0.2">
      <c r="A388" s="19">
        <v>39325</v>
      </c>
      <c r="B388" s="352">
        <f t="array" ref="B388">(PRODUCT(Index_Returns!D377:D388/100+1)-1)*100</f>
        <v>15.613864288494405</v>
      </c>
      <c r="C388" s="352">
        <f t="array" ref="C388">(PRODUCT(Index_Returns!C377:C388/100+1)-1)*100</f>
        <v>14.647063891085764</v>
      </c>
      <c r="D388" s="352">
        <f t="shared" si="45"/>
        <v>0.96680039740864032</v>
      </c>
      <c r="E388" s="352">
        <f t="array" ref="E388">(GEOMEAN(Index_Returns!D353:D388/100+1)^12-1)*100</f>
        <v>14.394414956637203</v>
      </c>
      <c r="F388" s="352">
        <f t="array" ref="F388">(GEOMEAN(Index_Returns!C353:C388/100+1)^12-1)*100</f>
        <v>9.9600465248599779</v>
      </c>
      <c r="G388" s="352">
        <f t="shared" si="42"/>
        <v>4.4343684317772247</v>
      </c>
      <c r="I388" s="350">
        <f t="array" ref="I388">(PRODUCT(Index_Returns!G377:G388/100+1)-1)*100</f>
        <v>14.324407361333847</v>
      </c>
      <c r="J388" s="350">
        <f t="array" ref="J388">(PRODUCT(Index_Returns!F377:F388/100+1)-1)*100</f>
        <v>18.602832344920373</v>
      </c>
      <c r="K388" s="350">
        <f t="shared" si="46"/>
        <v>-4.2784249835865253</v>
      </c>
      <c r="L388" s="350">
        <f t="array" ref="L388">(GEOMEAN(Index_Returns!G353:G388/100+1)^12-1)*100</f>
        <v>16.037543511163911</v>
      </c>
      <c r="M388" s="350">
        <f t="array" ref="M388">(GEOMEAN(Index_Returns!F353:F388/100+1)^12-1)*100</f>
        <v>15.277946248481733</v>
      </c>
      <c r="N388" s="350">
        <f t="shared" si="43"/>
        <v>0.75959726268217764</v>
      </c>
      <c r="P388" s="352">
        <f t="array" ref="P388">(PRODUCT(Index_Returns!M377:M388/100+1)-1)*100</f>
        <v>11.143119075354724</v>
      </c>
      <c r="Q388" s="352">
        <f t="array" ref="Q388">(PRODUCT(Index_Returns!L377:L388/100+1)-1)*100</f>
        <v>17.749543371175601</v>
      </c>
      <c r="R388" s="352">
        <f t="shared" si="47"/>
        <v>-6.6064242958208776</v>
      </c>
      <c r="S388" s="352">
        <f t="array" ref="S388">(GEOMEAN(Index_Returns!M353:M388/100+1)^12-1)*100</f>
        <v>15.70150176539855</v>
      </c>
      <c r="T388" s="352">
        <f t="array" ref="T388">(GEOMEAN(Index_Returns!L353:L388/100+1)^12-1)*100</f>
        <v>15.840778762245611</v>
      </c>
      <c r="U388" s="352">
        <f t="shared" si="44"/>
        <v>-0.13927699684706063</v>
      </c>
      <c r="W388" s="352">
        <f t="array" ref="W388">(PRODUCT(Index_Returns!AC377:AC388/100+1)-1)*100</f>
        <v>18.243185266165597</v>
      </c>
      <c r="X388" s="352">
        <f t="array" ref="X388">(PRODUCT(Index_Returns!AB377:AB388/100+1)-1)*100</f>
        <v>19.966928559606668</v>
      </c>
      <c r="Y388" s="352">
        <f t="shared" si="48"/>
        <v>-1.7237432934410712</v>
      </c>
      <c r="Z388" s="352">
        <f t="array" ref="Z388">(GEOMEAN(Index_Returns!AC353:AC388/100+1)^12-1)*100</f>
        <v>23.291899714834742</v>
      </c>
      <c r="AA388" s="352">
        <f t="array" ref="AA388">(GEOMEAN(Index_Returns!AB353:AB388/100+1)^12-1)*100</f>
        <v>21.963956973426015</v>
      </c>
      <c r="AB388" s="352">
        <f t="shared" si="41"/>
        <v>1.3279427414087266</v>
      </c>
    </row>
    <row r="389" spans="1:28" x14ac:dyDescent="0.2">
      <c r="A389" s="19">
        <v>39355</v>
      </c>
      <c r="B389" s="352">
        <f t="array" ref="B389">(PRODUCT(Index_Returns!D378:D389/100+1)-1)*100</f>
        <v>16.112188745940426</v>
      </c>
      <c r="C389" s="352">
        <f t="array" ref="C389">(PRODUCT(Index_Returns!C378:C389/100+1)-1)*100</f>
        <v>16.780606399310628</v>
      </c>
      <c r="D389" s="352">
        <f t="shared" si="45"/>
        <v>-0.6684176533702022</v>
      </c>
      <c r="E389" s="352">
        <f t="array" ref="E389">(GEOMEAN(Index_Returns!D354:D389/100+1)^12-1)*100</f>
        <v>14.843491687771282</v>
      </c>
      <c r="F389" s="352">
        <f t="array" ref="F389">(GEOMEAN(Index_Returns!C354:C389/100+1)^12-1)*100</f>
        <v>11.459572718359979</v>
      </c>
      <c r="G389" s="352">
        <f t="shared" si="42"/>
        <v>3.3839189694113028</v>
      </c>
      <c r="I389" s="350">
        <f t="array" ref="I389">(PRODUCT(Index_Returns!G378:G389/100+1)-1)*100</f>
        <v>16.064384032006984</v>
      </c>
      <c r="J389" s="350">
        <f t="array" ref="J389">(PRODUCT(Index_Returns!F378:F389/100+1)-1)*100</f>
        <v>21.29274348587138</v>
      </c>
      <c r="K389" s="350">
        <f t="shared" si="46"/>
        <v>-5.228359453864396</v>
      </c>
      <c r="L389" s="350">
        <f t="array" ref="L389">(GEOMEAN(Index_Returns!G354:G389/100+1)^12-1)*100</f>
        <v>15.56160512002851</v>
      </c>
      <c r="M389" s="350">
        <f t="array" ref="M389">(GEOMEAN(Index_Returns!F354:F389/100+1)^12-1)*100</f>
        <v>15.504468996842746</v>
      </c>
      <c r="N389" s="350">
        <f t="shared" si="43"/>
        <v>5.7136123185763665E-2</v>
      </c>
      <c r="P389" s="352">
        <f t="array" ref="P389">(PRODUCT(Index_Returns!M378:M389/100+1)-1)*100</f>
        <v>10.021209486060357</v>
      </c>
      <c r="Q389" s="352">
        <f t="array" ref="Q389">(PRODUCT(Index_Returns!L378:L389/100+1)-1)*100</f>
        <v>20.434286387760171</v>
      </c>
      <c r="R389" s="352">
        <f t="shared" si="47"/>
        <v>-10.413076901699814</v>
      </c>
      <c r="S389" s="352">
        <f t="array" ref="S389">(GEOMEAN(Index_Returns!M354:M389/100+1)^12-1)*100</f>
        <v>13.98218319955693</v>
      </c>
      <c r="T389" s="352">
        <f t="array" ref="T389">(GEOMEAN(Index_Returns!L354:L389/100+1)^12-1)*100</f>
        <v>14.771532049580326</v>
      </c>
      <c r="U389" s="352">
        <f t="shared" si="44"/>
        <v>-0.78934885002339605</v>
      </c>
      <c r="W389" s="352">
        <f t="array" ref="W389">(PRODUCT(Index_Returns!AC378:AC389/100+1)-1)*100</f>
        <v>22.453270306126516</v>
      </c>
      <c r="X389" s="352">
        <f t="array" ref="X389">(PRODUCT(Index_Returns!AB378:AB389/100+1)-1)*100</f>
        <v>28.169158324480883</v>
      </c>
      <c r="Y389" s="352">
        <f t="shared" si="48"/>
        <v>-5.7158880183543666</v>
      </c>
      <c r="Z389" s="352">
        <f t="array" ref="Z389">(GEOMEAN(Index_Returns!AC354:AC389/100+1)^12-1)*100</f>
        <v>23.966920351595267</v>
      </c>
      <c r="AA389" s="352">
        <f t="array" ref="AA389">(GEOMEAN(Index_Returns!AB354:AB389/100+1)^12-1)*100</f>
        <v>23.443876242832285</v>
      </c>
      <c r="AB389" s="352">
        <f t="shared" si="41"/>
        <v>0.52304410876298135</v>
      </c>
    </row>
    <row r="390" spans="1:28" x14ac:dyDescent="0.2">
      <c r="A390" s="19">
        <v>39386</v>
      </c>
      <c r="B390" s="352">
        <f t="array" ref="B390">(PRODUCT(Index_Returns!D379:D390/100+1)-1)*100</f>
        <v>13.544987174855972</v>
      </c>
      <c r="C390" s="352">
        <f t="array" ref="C390">(PRODUCT(Index_Returns!C379:C390/100+1)-1)*100</f>
        <v>15.596959522845832</v>
      </c>
      <c r="D390" s="352">
        <f t="shared" si="45"/>
        <v>-2.0519723479898602</v>
      </c>
      <c r="E390" s="352">
        <f t="array" ref="E390">(GEOMEAN(Index_Returns!D355:D390/100+1)^12-1)*100</f>
        <v>14.669830743571222</v>
      </c>
      <c r="F390" s="352">
        <f t="array" ref="F390">(GEOMEAN(Index_Returns!C355:C390/100+1)^12-1)*100</f>
        <v>11.67462223941207</v>
      </c>
      <c r="G390" s="352">
        <f t="shared" si="42"/>
        <v>2.9952085041591516</v>
      </c>
      <c r="I390" s="350">
        <f t="array" ref="I390">(PRODUCT(Index_Returns!G379:G390/100+1)-1)*100</f>
        <v>12.967582190489612</v>
      </c>
      <c r="J390" s="350">
        <f t="array" ref="J390">(PRODUCT(Index_Returns!F379:F390/100+1)-1)*100</f>
        <v>21.053376762180687</v>
      </c>
      <c r="K390" s="350">
        <f t="shared" si="46"/>
        <v>-8.0857945716910749</v>
      </c>
      <c r="L390" s="350">
        <f t="array" ref="L390">(GEOMEAN(Index_Returns!G355:G390/100+1)^12-1)*100</f>
        <v>15.907642441842039</v>
      </c>
      <c r="M390" s="350">
        <f t="array" ref="M390">(GEOMEAN(Index_Returns!F355:F390/100+1)^12-1)*100</f>
        <v>15.915444145871893</v>
      </c>
      <c r="N390" s="350">
        <f t="shared" si="43"/>
        <v>-7.8017040298536955E-3</v>
      </c>
      <c r="P390" s="352">
        <f t="array" ref="P390">(PRODUCT(Index_Returns!M379:M390/100+1)-1)*100</f>
        <v>5.6190170213045176</v>
      </c>
      <c r="Q390" s="352">
        <f t="array" ref="Q390">(PRODUCT(Index_Returns!L379:L390/100+1)-1)*100</f>
        <v>18.27231353730323</v>
      </c>
      <c r="R390" s="352">
        <f t="shared" si="47"/>
        <v>-12.653296515998711</v>
      </c>
      <c r="S390" s="352">
        <f t="array" ref="S390">(GEOMEAN(Index_Returns!M355:M390/100+1)^12-1)*100</f>
        <v>14.069030840233211</v>
      </c>
      <c r="T390" s="352">
        <f t="array" ref="T390">(GEOMEAN(Index_Returns!L355:L390/100+1)^12-1)*100</f>
        <v>14.687564252799735</v>
      </c>
      <c r="U390" s="352">
        <f t="shared" si="44"/>
        <v>-0.61853341256652428</v>
      </c>
      <c r="W390" s="352">
        <f t="array" ref="W390">(PRODUCT(Index_Returns!AC379:AC390/100+1)-1)*100</f>
        <v>21.870346673483397</v>
      </c>
      <c r="X390" s="352">
        <f t="array" ref="X390">(PRODUCT(Index_Returns!AB379:AB390/100+1)-1)*100</f>
        <v>28.921169978622174</v>
      </c>
      <c r="Y390" s="352">
        <f t="shared" si="48"/>
        <v>-7.0508233051387776</v>
      </c>
      <c r="Z390" s="352">
        <f t="array" ref="Z390">(GEOMEAN(Index_Returns!AC355:AC390/100+1)^12-1)*100</f>
        <v>24.121830654068631</v>
      </c>
      <c r="AA390" s="352">
        <f t="array" ref="AA390">(GEOMEAN(Index_Returns!AB355:AB390/100+1)^12-1)*100</f>
        <v>23.712313658861063</v>
      </c>
      <c r="AB390" s="352">
        <f t="shared" si="41"/>
        <v>0.4095169952075679</v>
      </c>
    </row>
    <row r="391" spans="1:28" x14ac:dyDescent="0.2">
      <c r="A391" s="19">
        <v>39416</v>
      </c>
      <c r="B391" s="352">
        <f t="array" ref="B391">(PRODUCT(Index_Returns!D380:D391/100+1)-1)*100</f>
        <v>6.1249082739656346</v>
      </c>
      <c r="C391" s="352">
        <f t="array" ref="C391">(PRODUCT(Index_Returns!C380:C391/100+1)-1)*100</f>
        <v>9.346809148042535</v>
      </c>
      <c r="D391" s="352">
        <f t="shared" si="45"/>
        <v>-3.2219008740769004</v>
      </c>
      <c r="E391" s="352">
        <f t="array" ref="E391">(GEOMEAN(Index_Returns!D356:D391/100+1)^12-1)*100</f>
        <v>11.005147293050088</v>
      </c>
      <c r="F391" s="352">
        <f t="array" ref="F391">(GEOMEAN(Index_Returns!C356:C391/100+1)^12-1)*100</f>
        <v>9.2146295882318476</v>
      </c>
      <c r="G391" s="352">
        <f t="shared" si="42"/>
        <v>1.7905177048182406</v>
      </c>
      <c r="I391" s="350">
        <f t="array" ref="I391">(PRODUCT(Index_Returns!G380:G391/100+1)-1)*100</f>
        <v>3.3192520868291275</v>
      </c>
      <c r="J391" s="350">
        <f t="array" ref="J391">(PRODUCT(Index_Returns!F380:F391/100+1)-1)*100</f>
        <v>11.99977084917947</v>
      </c>
      <c r="K391" s="350">
        <f t="shared" si="46"/>
        <v>-8.6805187623503421</v>
      </c>
      <c r="L391" s="350">
        <f t="array" ref="L391">(GEOMEAN(Index_Returns!G356:G391/100+1)^12-1)*100</f>
        <v>11.073375473736991</v>
      </c>
      <c r="M391" s="350">
        <f t="array" ref="M391">(GEOMEAN(Index_Returns!F356:F391/100+1)^12-1)*100</f>
        <v>12.465392103606622</v>
      </c>
      <c r="N391" s="350">
        <f t="shared" si="43"/>
        <v>-1.3920166298696302</v>
      </c>
      <c r="P391" s="352">
        <f t="array" ref="P391">(PRODUCT(Index_Returns!M380:M391/100+1)-1)*100</f>
        <v>-4.1741224585550292</v>
      </c>
      <c r="Q391" s="352">
        <f t="array" ref="Q391">(PRODUCT(Index_Returns!L380:L391/100+1)-1)*100</f>
        <v>5.7226026672458907</v>
      </c>
      <c r="R391" s="352">
        <f t="shared" si="47"/>
        <v>-9.8967251258009199</v>
      </c>
      <c r="S391" s="352">
        <f t="array" ref="S391">(GEOMEAN(Index_Returns!M356:M391/100+1)^12-1)*100</f>
        <v>8.046998554903384</v>
      </c>
      <c r="T391" s="352">
        <f t="array" ref="T391">(GEOMEAN(Index_Returns!L356:L391/100+1)^12-1)*100</f>
        <v>8.8845492916778568</v>
      </c>
      <c r="U391" s="352">
        <f t="shared" si="44"/>
        <v>-0.83755073677447278</v>
      </c>
      <c r="W391" s="352">
        <f t="array" ref="W391">(PRODUCT(Index_Returns!AC380:AC391/100+1)-1)*100</f>
        <v>12.81101372523208</v>
      </c>
      <c r="X391" s="352">
        <f t="array" ref="X391">(PRODUCT(Index_Returns!AB380:AB391/100+1)-1)*100</f>
        <v>22.700260603721077</v>
      </c>
      <c r="Y391" s="352">
        <f t="shared" si="48"/>
        <v>-9.8892468784889971</v>
      </c>
      <c r="Z391" s="352">
        <f t="array" ref="Z391">(GEOMEAN(Index_Returns!AC356:AC391/100+1)^12-1)*100</f>
        <v>19.551308375120247</v>
      </c>
      <c r="AA391" s="352">
        <f t="array" ref="AA391">(GEOMEAN(Index_Returns!AB356:AB391/100+1)^12-1)*100</f>
        <v>20.155958326819025</v>
      </c>
      <c r="AB391" s="352">
        <f t="shared" si="41"/>
        <v>-0.60464995169877866</v>
      </c>
    </row>
    <row r="392" spans="1:28" x14ac:dyDescent="0.2">
      <c r="A392" s="19">
        <v>39447</v>
      </c>
      <c r="B392" s="352">
        <f t="array" ref="B392">(PRODUCT(Index_Returns!D381:D392/100+1)-1)*100</f>
        <v>1.993388074322433</v>
      </c>
      <c r="C392" s="352">
        <f t="array" ref="C392">(PRODUCT(Index_Returns!C381:C392/100+1)-1)*100</f>
        <v>9.1268570420154571</v>
      </c>
      <c r="D392" s="352">
        <f t="shared" si="45"/>
        <v>-7.1334689676930241</v>
      </c>
      <c r="E392" s="352">
        <f t="array" ref="E392">(GEOMEAN(Index_Returns!D357:D392/100+1)^12-1)*100</f>
        <v>9.2449025578962729</v>
      </c>
      <c r="F392" s="352">
        <f t="array" ref="F392">(GEOMEAN(Index_Returns!C357:C392/100+1)^12-1)*100</f>
        <v>8.0036758922926499</v>
      </c>
      <c r="G392" s="352">
        <f t="shared" si="42"/>
        <v>1.241226665603623</v>
      </c>
      <c r="I392" s="350">
        <f t="array" ref="I392">(PRODUCT(Index_Returns!G381:G392/100+1)-1)*100</f>
        <v>2.6453102071781753</v>
      </c>
      <c r="J392" s="350">
        <f t="array" ref="J392">(PRODUCT(Index_Returns!F381:F392/100+1)-1)*100</f>
        <v>13.498147479204858</v>
      </c>
      <c r="K392" s="350">
        <f t="shared" si="46"/>
        <v>-10.852837272026683</v>
      </c>
      <c r="L392" s="350">
        <f t="array" ref="L392">(GEOMEAN(Index_Returns!G357:G392/100+1)^12-1)*100</f>
        <v>9.4627244144687594</v>
      </c>
      <c r="M392" s="350">
        <f t="array" ref="M392">(GEOMEAN(Index_Returns!F357:F392/100+1)^12-1)*100</f>
        <v>10.898854221718768</v>
      </c>
      <c r="N392" s="350">
        <f t="shared" si="43"/>
        <v>-1.4361298072500084</v>
      </c>
      <c r="P392" s="352">
        <f t="array" ref="P392">(PRODUCT(Index_Returns!M381:M392/100+1)-1)*100</f>
        <v>-5.5405956390279449</v>
      </c>
      <c r="Q392" s="352">
        <f t="array" ref="Q392">(PRODUCT(Index_Returns!L381:L392/100+1)-1)*100</f>
        <v>5.5973677163024371</v>
      </c>
      <c r="R392" s="352">
        <f t="shared" si="47"/>
        <v>-11.137963355330381</v>
      </c>
      <c r="S392" s="352">
        <f t="array" ref="S392">(GEOMEAN(Index_Returns!M357:M392/100+1)^12-1)*100</f>
        <v>7.0032940476380201</v>
      </c>
      <c r="T392" s="352">
        <f t="array" ref="T392">(GEOMEAN(Index_Returns!L357:L392/100+1)^12-1)*100</f>
        <v>7.7827470939561216</v>
      </c>
      <c r="U392" s="352">
        <f t="shared" si="44"/>
        <v>-0.77945304631810153</v>
      </c>
      <c r="W392" s="352">
        <f t="array" ref="W392">(PRODUCT(Index_Returns!AC381:AC392/100+1)-1)*100</f>
        <v>6.4570087048856584</v>
      </c>
      <c r="X392" s="352">
        <f t="array" ref="X392">(PRODUCT(Index_Returns!AB381:AB392/100+1)-1)*100</f>
        <v>16.809225462269062</v>
      </c>
      <c r="Y392" s="352">
        <f t="shared" si="48"/>
        <v>-10.352216757383403</v>
      </c>
      <c r="Z392" s="352">
        <f t="array" ref="Z392">(GEOMEAN(Index_Returns!AC357:AC392/100+1)^12-1)*100</f>
        <v>16.854845843699806</v>
      </c>
      <c r="AA392" s="352">
        <f t="array" ref="AA392">(GEOMEAN(Index_Returns!AB357:AB392/100+1)^12-1)*100</f>
        <v>17.658895018571229</v>
      </c>
      <c r="AB392" s="352">
        <f t="shared" si="41"/>
        <v>-0.80404917487142313</v>
      </c>
    </row>
    <row r="393" spans="1:28" x14ac:dyDescent="0.2">
      <c r="A393" s="19">
        <v>39478</v>
      </c>
      <c r="B393" s="352">
        <f t="array" ref="B393">(PRODUCT(Index_Returns!D382:D393/100+1)-1)*100</f>
        <v>-3.2672620129470697</v>
      </c>
      <c r="C393" s="352">
        <f t="array" ref="C393">(PRODUCT(Index_Returns!C382:C393/100+1)-1)*100</f>
        <v>-1.2462941701355867</v>
      </c>
      <c r="D393" s="352">
        <f>B393-C393</f>
        <v>-2.020967842811483</v>
      </c>
      <c r="E393" s="352">
        <f t="array" ref="E393">(GEOMEAN(Index_Returns!D358:D393/100+1)^12-1)*100</f>
        <v>8.848828259941266</v>
      </c>
      <c r="F393" s="352">
        <f t="array" ref="F393">(GEOMEAN(Index_Returns!C358:C393/100+1)^12-1)*100</f>
        <v>5.7696961804635905</v>
      </c>
      <c r="G393" s="352">
        <f>E393-F393</f>
        <v>3.0791320794776755</v>
      </c>
      <c r="I393" s="350">
        <f t="array" ref="I393">(PRODUCT(Index_Returns!G382:G393/100+1)-1)*100</f>
        <v>-5.7328466311899025</v>
      </c>
      <c r="J393" s="350">
        <f t="array" ref="J393">(PRODUCT(Index_Returns!F382:F393/100+1)-1)*100</f>
        <v>1.2959394524231449</v>
      </c>
      <c r="K393" s="350">
        <f>I393-J393</f>
        <v>-7.0287860836130474</v>
      </c>
      <c r="L393" s="350">
        <f t="array" ref="L393">(GEOMEAN(Index_Returns!G358:G393/100+1)^12-1)*100</f>
        <v>8.5795211533785896</v>
      </c>
      <c r="M393" s="350">
        <f t="array" ref="M393">(GEOMEAN(Index_Returns!F358:F393/100+1)^12-1)*100</f>
        <v>9.0129017151098658</v>
      </c>
      <c r="N393" s="350">
        <f>L393-M393</f>
        <v>-0.43338056173127626</v>
      </c>
      <c r="P393" s="352">
        <f t="array" ref="P393">(PRODUCT(Index_Returns!M382:M393/100+1)-1)*100</f>
        <v>-10.93924602936398</v>
      </c>
      <c r="Q393" s="352">
        <f t="array" ref="Q393">(PRODUCT(Index_Returns!L382:L393/100+1)-1)*100</f>
        <v>-2.7624165628800879</v>
      </c>
      <c r="R393" s="352">
        <f>P393-Q393</f>
        <v>-8.176829466483893</v>
      </c>
      <c r="S393" s="352">
        <f t="array" ref="S393">(GEOMEAN(Index_Returns!M358:M393/100+1)^12-1)*100</f>
        <v>6.7420158242575301</v>
      </c>
      <c r="T393" s="352">
        <f t="array" ref="T393">(GEOMEAN(Index_Returns!L358:L393/100+1)^12-1)*100</f>
        <v>6.0884071960664921</v>
      </c>
      <c r="U393" s="352">
        <f>S393-T393</f>
        <v>0.65360862819103804</v>
      </c>
      <c r="W393" s="352">
        <f t="array" ref="W393">(PRODUCT(Index_Returns!AC382:AC393/100+1)-1)*100</f>
        <v>-3.9396508545931019</v>
      </c>
      <c r="X393" s="352">
        <f t="array" ref="X393">(PRODUCT(Index_Returns!AB382:AB393/100+1)-1)*100</f>
        <v>5.2038138112307397</v>
      </c>
      <c r="Y393" s="352">
        <f>W393-X393</f>
        <v>-9.1434646658238421</v>
      </c>
      <c r="Z393" s="352">
        <f t="array" ref="Z393">(GEOMEAN(Index_Returns!AC358:AC393/100+1)^12-1)*100</f>
        <v>13.649284191006593</v>
      </c>
      <c r="AA393" s="352">
        <f t="array" ref="AA393">(GEOMEAN(Index_Returns!AB358:AB393/100+1)^12-1)*100</f>
        <v>14.819316654332781</v>
      </c>
      <c r="AB393" s="352">
        <f>Z393-AA393</f>
        <v>-1.1700324633261872</v>
      </c>
    </row>
    <row r="394" spans="1:28" x14ac:dyDescent="0.2">
      <c r="A394" s="19">
        <v>39507</v>
      </c>
      <c r="B394" s="352">
        <f t="array" ref="B394">(PRODUCT(Index_Returns!D383:D394/100+1)-1)*100</f>
        <v>-6.7295407466726243</v>
      </c>
      <c r="C394" s="352">
        <f t="array" ref="C394">(PRODUCT(Index_Returns!C383:C394/100+1)-1)*100</f>
        <v>-0.30126039959922357</v>
      </c>
      <c r="D394" s="352">
        <f>B394-C394</f>
        <v>-6.4282803470734002</v>
      </c>
      <c r="E394" s="352">
        <f t="array" ref="E394">(GEOMEAN(Index_Returns!D359:D394/100+1)^12-1)*100</f>
        <v>6.2862388203216435</v>
      </c>
      <c r="F394" s="352">
        <f t="array" ref="F394">(GEOMEAN(Index_Returns!C359:C394/100+1)^12-1)*100</f>
        <v>4.4813532426804192</v>
      </c>
      <c r="G394" s="352">
        <f>E394-F394</f>
        <v>1.8048855776412243</v>
      </c>
      <c r="I394" s="350">
        <f t="array" ref="I394">(PRODUCT(Index_Returns!G383:G394/100+1)-1)*100</f>
        <v>-9.8499417718599052</v>
      </c>
      <c r="J394" s="350">
        <f t="array" ref="J394">(PRODUCT(Index_Returns!F383:F394/100+1)-1)*100</f>
        <v>0.59403974140472826</v>
      </c>
      <c r="K394" s="350">
        <f>I394-J394</f>
        <v>-10.443981513264633</v>
      </c>
      <c r="L394" s="350">
        <f t="array" ref="L394">(GEOMEAN(Index_Returns!G359:G394/100+1)^12-1)*100</f>
        <v>6.3080894082631733</v>
      </c>
      <c r="M394" s="350">
        <f t="array" ref="M394">(GEOMEAN(Index_Returns!F359:F394/100+1)^12-1)*100</f>
        <v>7.5828914107432199</v>
      </c>
      <c r="N394" s="350">
        <f>L394-M394</f>
        <v>-1.2748020024800466</v>
      </c>
      <c r="P394" s="352">
        <f t="array" ref="P394">(PRODUCT(Index_Returns!M383:M394/100+1)-1)*100</f>
        <v>-13.522342212457483</v>
      </c>
      <c r="Q394" s="352">
        <f t="array" ref="Q394">(PRODUCT(Index_Returns!L383:L394/100+1)-1)*100</f>
        <v>-4.9046736473747021</v>
      </c>
      <c r="R394" s="352">
        <f>P394-Q394</f>
        <v>-8.6176685650827807</v>
      </c>
      <c r="S394" s="352">
        <f t="array" ref="S394">(GEOMEAN(Index_Returns!M359:M394/100+1)^12-1)*100</f>
        <v>4.284797536919438</v>
      </c>
      <c r="T394" s="352">
        <f t="array" ref="T394">(GEOMEAN(Index_Returns!L359:L394/100+1)^12-1)*100</f>
        <v>4.370705423572141</v>
      </c>
      <c r="U394" s="352">
        <f>S394-T394</f>
        <v>-8.5907886652702992E-2</v>
      </c>
      <c r="W394" s="352">
        <f t="array" ref="W394">(PRODUCT(Index_Returns!AC383:AC394/100+1)-1)*100</f>
        <v>-4.6156533116230243</v>
      </c>
      <c r="X394" s="352">
        <f t="array" ref="X394">(PRODUCT(Index_Returns!AB383:AB394/100+1)-1)*100</f>
        <v>7.269489216128866</v>
      </c>
      <c r="Y394" s="352">
        <f>W394-X394</f>
        <v>-11.88514252775189</v>
      </c>
      <c r="Z394" s="352">
        <f t="array" ref="Z394">(GEOMEAN(Index_Returns!AC359:AC394/100+1)^12-1)*100</f>
        <v>11.997312693087503</v>
      </c>
      <c r="AA394" s="352">
        <f t="array" ref="AA394">(GEOMEAN(Index_Returns!AB359:AB394/100+1)^12-1)*100</f>
        <v>14.349325300807724</v>
      </c>
      <c r="AB394" s="352">
        <f>Z394-AA394</f>
        <v>-2.352012607720221</v>
      </c>
    </row>
    <row r="395" spans="1:28" x14ac:dyDescent="0.2">
      <c r="A395" s="19">
        <v>39538</v>
      </c>
      <c r="B395" s="352">
        <f t="array" ref="B395">(PRODUCT(Index_Returns!D384:D395/100+1)-1)*100</f>
        <v>-8.3562049424205966</v>
      </c>
      <c r="C395" s="352">
        <f t="array" ref="C395">(PRODUCT(Index_Returns!C384:C395/100+1)-1)*100</f>
        <v>-1.6049141361589303</v>
      </c>
      <c r="D395" s="352">
        <f t="shared" ref="D395:D400" si="49">B395-C395</f>
        <v>-6.7512908062616663</v>
      </c>
      <c r="E395" s="352">
        <f t="array" ref="E395">(GEOMEAN(Index_Returns!D360:D395/100+1)^12-1)*100</f>
        <v>6.7571005479519775</v>
      </c>
      <c r="F395" s="352">
        <f t="array" ref="F395">(GEOMEAN(Index_Returns!C360:C395/100+1)^12-1)*100</f>
        <v>4.9633151387864949</v>
      </c>
      <c r="G395" s="352">
        <f t="shared" ref="G395:G400" si="50">E395-F395</f>
        <v>1.7937854091654826</v>
      </c>
      <c r="I395" s="350">
        <f t="array" ref="I395">(PRODUCT(Index_Returns!G384:G395/100+1)-1)*100</f>
        <v>-11.256237751546971</v>
      </c>
      <c r="J395" s="350">
        <f t="array" ref="J395">(PRODUCT(Index_Returns!F384:F395/100+1)-1)*100</f>
        <v>-2.5488436263358727</v>
      </c>
      <c r="K395" s="350">
        <f t="shared" ref="K395:K400" si="51">I395-J395</f>
        <v>-8.7073941252110991</v>
      </c>
      <c r="L395" s="350">
        <f t="array" ref="L395">(GEOMEAN(Index_Returns!G360:G395/100+1)^12-1)*100</f>
        <v>6.4666614812215473</v>
      </c>
      <c r="M395" s="350">
        <f t="array" ref="M395">(GEOMEAN(Index_Returns!F360:F395/100+1)^12-1)*100</f>
        <v>7.4792288038510568</v>
      </c>
      <c r="N395" s="350">
        <f t="shared" ref="N395:N400" si="52">L395-M395</f>
        <v>-1.0125673226295095</v>
      </c>
      <c r="P395" s="352">
        <f t="array" ref="P395">(PRODUCT(Index_Returns!M384:M395/100+1)-1)*100</f>
        <v>-13.518405072280061</v>
      </c>
      <c r="Q395" s="352">
        <f t="array" ref="Q395">(PRODUCT(Index_Returns!L384:L395/100+1)-1)*100</f>
        <v>-7.3881501067365569</v>
      </c>
      <c r="R395" s="352">
        <f t="shared" ref="R395:R400" si="53">P395-Q395</f>
        <v>-6.1302549655435037</v>
      </c>
      <c r="S395" s="352">
        <f t="array" ref="S395">(GEOMEAN(Index_Returns!M360:M395/100+1)^12-1)*100</f>
        <v>5.4521940573049044</v>
      </c>
      <c r="T395" s="352">
        <f t="array" ref="T395">(GEOMEAN(Index_Returns!L360:L395/100+1)^12-1)*100</f>
        <v>5.1851077532643286</v>
      </c>
      <c r="U395" s="352">
        <f t="shared" ref="U395:U400" si="54">S395-T395</f>
        <v>0.26708630404057576</v>
      </c>
      <c r="W395" s="352">
        <f t="array" ref="W395">(PRODUCT(Index_Returns!AC384:AC395/100+1)-1)*100</f>
        <v>-6.8073826757440337</v>
      </c>
      <c r="X395" s="352">
        <f t="array" ref="X395">(PRODUCT(Index_Returns!AB384:AB395/100+1)-1)*100</f>
        <v>2.2323077278366465</v>
      </c>
      <c r="Y395" s="352">
        <f t="shared" ref="Y395:Y400" si="55">W395-X395</f>
        <v>-9.0396904035806802</v>
      </c>
      <c r="Z395" s="352">
        <f t="array" ref="Z395">(GEOMEAN(Index_Returns!AC360:AC395/100+1)^12-1)*100</f>
        <v>12.767696081710756</v>
      </c>
      <c r="AA395" s="352">
        <f t="array" ref="AA395">(GEOMEAN(Index_Returns!AB360:AB395/100+1)^12-1)*100</f>
        <v>14.710048288953459</v>
      </c>
      <c r="AB395" s="352">
        <f t="shared" ref="AB395:AB400" si="56">Z395-AA395</f>
        <v>-1.9423522072427026</v>
      </c>
    </row>
    <row r="396" spans="1:28" x14ac:dyDescent="0.2">
      <c r="A396" s="19">
        <v>39568</v>
      </c>
      <c r="B396" s="352">
        <f t="array" ref="B396">(PRODUCT(Index_Returns!D385:D396/100+1)-1)*100</f>
        <v>-8.7648339000511619</v>
      </c>
      <c r="C396" s="352">
        <f t="array" ref="C396">(PRODUCT(Index_Returns!C385:C396/100+1)-1)*100</f>
        <v>-0.41643237103152764</v>
      </c>
      <c r="D396" s="352">
        <f t="shared" si="49"/>
        <v>-8.3484015290196343</v>
      </c>
      <c r="E396" s="352">
        <f t="array" ref="E396">(GEOMEAN(Index_Returns!D361:D396/100+1)^12-1)*100</f>
        <v>8.8148503097957622</v>
      </c>
      <c r="F396" s="352">
        <f t="array" ref="F396">(GEOMEAN(Index_Returns!C361:C396/100+1)^12-1)*100</f>
        <v>7.634236593223287</v>
      </c>
      <c r="G396" s="352">
        <f t="shared" si="50"/>
        <v>1.1806137165724753</v>
      </c>
      <c r="I396" s="350">
        <f t="array" ref="I396">(PRODUCT(Index_Returns!G385:G396/100+1)-1)*100</f>
        <v>-7.3751697585963232</v>
      </c>
      <c r="J396" s="350">
        <f t="array" ref="J396">(PRODUCT(Index_Returns!F385:F396/100+1)-1)*100</f>
        <v>2.0184081602285575</v>
      </c>
      <c r="K396" s="350">
        <f t="shared" si="51"/>
        <v>-9.3935779188248816</v>
      </c>
      <c r="L396" s="350">
        <f t="array" ref="L396">(GEOMEAN(Index_Returns!G361:G396/100+1)^12-1)*100</f>
        <v>10.400433089466098</v>
      </c>
      <c r="M396" s="350">
        <f t="array" ref="M396">(GEOMEAN(Index_Returns!F361:F396/100+1)^12-1)*100</f>
        <v>11.830671510947056</v>
      </c>
      <c r="N396" s="350">
        <f t="shared" si="52"/>
        <v>-1.4302384214809578</v>
      </c>
      <c r="P396" s="352">
        <f t="array" ref="P396">(PRODUCT(Index_Returns!M385:M396/100+1)-1)*100</f>
        <v>-12.867403588853199</v>
      </c>
      <c r="Q396" s="352">
        <f t="array" ref="Q396">(PRODUCT(Index_Returns!L385:L396/100+1)-1)*100</f>
        <v>-4.8039010503547308</v>
      </c>
      <c r="R396" s="352">
        <f t="shared" si="53"/>
        <v>-8.0635025384984687</v>
      </c>
      <c r="S396" s="352">
        <f t="array" ref="S396">(GEOMEAN(Index_Returns!M361:M396/100+1)^12-1)*100</f>
        <v>8.6564056531713618</v>
      </c>
      <c r="T396" s="352">
        <f t="array" ref="T396">(GEOMEAN(Index_Returns!L361:L396/100+1)^12-1)*100</f>
        <v>8.9132865906559111</v>
      </c>
      <c r="U396" s="352">
        <f t="shared" si="54"/>
        <v>-0.25688093748454932</v>
      </c>
      <c r="W396" s="352">
        <f t="array" ref="W396">(PRODUCT(Index_Returns!AC385:AC396/100+1)-1)*100</f>
        <v>-5.5943128105846673</v>
      </c>
      <c r="X396" s="352">
        <f t="array" ref="X396">(PRODUCT(Index_Returns!AB385:AB396/100+1)-1)*100</f>
        <v>2.9118707946160338</v>
      </c>
      <c r="Y396" s="352">
        <f t="shared" si="55"/>
        <v>-8.5061836052007003</v>
      </c>
      <c r="Z396" s="352">
        <f t="array" ref="Z396">(GEOMEAN(Index_Returns!AC361:AC396/100+1)^12-1)*100</f>
        <v>16.028226917652709</v>
      </c>
      <c r="AA396" s="352">
        <f t="array" ref="AA396">(GEOMEAN(Index_Returns!AB361:AB396/100+1)^12-1)*100</f>
        <v>17.332891159877995</v>
      </c>
      <c r="AB396" s="352">
        <f t="shared" si="56"/>
        <v>-1.3046642422252859</v>
      </c>
    </row>
    <row r="397" spans="1:28" x14ac:dyDescent="0.2">
      <c r="A397" s="19">
        <v>39599</v>
      </c>
      <c r="B397" s="352">
        <f t="array" ref="B397">(PRODUCT(Index_Returns!D386:D397/100+1)-1)*100</f>
        <v>-12.018302031854301</v>
      </c>
      <c r="C397" s="352">
        <f t="array" ref="C397">(PRODUCT(Index_Returns!C386:C397/100+1)-1)*100</f>
        <v>-1.1417501858904222</v>
      </c>
      <c r="D397" s="352">
        <f t="shared" si="49"/>
        <v>-10.876551845963878</v>
      </c>
      <c r="E397" s="352">
        <f t="array" ref="E397">(GEOMEAN(Index_Returns!D362:D397/100+1)^12-1)*100</f>
        <v>7.7321597369282236</v>
      </c>
      <c r="F397" s="352">
        <f t="array" ref="F397">(GEOMEAN(Index_Returns!C362:C397/100+1)^12-1)*100</f>
        <v>7.3509826144346535</v>
      </c>
      <c r="G397" s="352">
        <f t="shared" si="50"/>
        <v>0.38117712249357005</v>
      </c>
      <c r="I397" s="350">
        <f t="array" ref="I397">(PRODUCT(Index_Returns!G386:G397/100+1)-1)*100</f>
        <v>-7.1447738625283979</v>
      </c>
      <c r="J397" s="350">
        <f t="array" ref="J397">(PRODUCT(Index_Returns!F386:F397/100+1)-1)*100</f>
        <v>2.3246926152566072</v>
      </c>
      <c r="K397" s="350">
        <f t="shared" si="51"/>
        <v>-9.4694664777850051</v>
      </c>
      <c r="L397" s="350">
        <f t="array" ref="L397">(GEOMEAN(Index_Returns!G362:G397/100+1)^12-1)*100</f>
        <v>9.9379372735196814</v>
      </c>
      <c r="M397" s="350">
        <f t="array" ref="M397">(GEOMEAN(Index_Returns!F362:F397/100+1)^12-1)*100</f>
        <v>11.787613637359563</v>
      </c>
      <c r="N397" s="350">
        <f t="shared" si="52"/>
        <v>-1.8496763638398814</v>
      </c>
      <c r="P397" s="352">
        <f t="array" ref="P397">(PRODUCT(Index_Returns!M386:M397/100+1)-1)*100</f>
        <v>-13.187551013729548</v>
      </c>
      <c r="Q397" s="352">
        <f t="array" ref="Q397">(PRODUCT(Index_Returns!L386:L397/100+1)-1)*100</f>
        <v>-4.7889818995987437</v>
      </c>
      <c r="R397" s="352">
        <f t="shared" si="53"/>
        <v>-8.3985691141308045</v>
      </c>
      <c r="S397" s="352">
        <f t="array" ref="S397">(GEOMEAN(Index_Returns!M362:M397/100+1)^12-1)*100</f>
        <v>7.812986668815336</v>
      </c>
      <c r="T397" s="352">
        <f t="array" ref="T397">(GEOMEAN(Index_Returns!L362:L397/100+1)^12-1)*100</f>
        <v>8.2497658144537134</v>
      </c>
      <c r="U397" s="352">
        <f t="shared" si="54"/>
        <v>-0.43677914563837739</v>
      </c>
      <c r="W397" s="352">
        <f t="array" ref="W397">(PRODUCT(Index_Returns!AC386:AC397/100+1)-1)*100</f>
        <v>-7.2390979234118191</v>
      </c>
      <c r="X397" s="352">
        <f t="array" ref="X397">(PRODUCT(Index_Returns!AB386:AB397/100+1)-1)*100</f>
        <v>3.2085423353811038</v>
      </c>
      <c r="Y397" s="352">
        <f t="shared" si="55"/>
        <v>-10.447640258792923</v>
      </c>
      <c r="Z397" s="352">
        <f t="array" ref="Z397">(GEOMEAN(Index_Returns!AC362:AC397/100+1)^12-1)*100</f>
        <v>16.003492127346377</v>
      </c>
      <c r="AA397" s="352">
        <f t="array" ref="AA397">(GEOMEAN(Index_Returns!AB362:AB397/100+1)^12-1)*100</f>
        <v>18.123913821882788</v>
      </c>
      <c r="AB397" s="352">
        <f t="shared" si="56"/>
        <v>-2.1204216945364109</v>
      </c>
    </row>
    <row r="398" spans="1:28" x14ac:dyDescent="0.2">
      <c r="A398" s="19">
        <v>39629</v>
      </c>
      <c r="B398" s="352">
        <f t="array" ref="B398">(PRODUCT(Index_Returns!D387:D398/100+1)-1)*100</f>
        <v>-20.245617072849186</v>
      </c>
      <c r="C398" s="352">
        <f t="array" ref="C398">(PRODUCT(Index_Returns!C387:C398/100+1)-1)*100</f>
        <v>-5.8268495797307089</v>
      </c>
      <c r="D398" s="352">
        <f t="shared" si="49"/>
        <v>-14.418767493118477</v>
      </c>
      <c r="E398" s="352">
        <f t="array" ref="E398">(GEOMEAN(Index_Returns!D363:D398/100+1)^12-1)*100</f>
        <v>3.0286738123721957</v>
      </c>
      <c r="F398" s="352">
        <f t="array" ref="F398">(GEOMEAN(Index_Returns!C363:C398/100+1)^12-1)*100</f>
        <v>5.6284927020112452</v>
      </c>
      <c r="G398" s="352">
        <f t="shared" si="50"/>
        <v>-2.5998188896390495</v>
      </c>
      <c r="I398" s="350">
        <f t="array" ref="I398">(PRODUCT(Index_Returns!G387:G398/100+1)-1)*100</f>
        <v>-13.083346993839463</v>
      </c>
      <c r="J398" s="350">
        <f t="array" ref="J398">(PRODUCT(Index_Returns!F387:F398/100+1)-1)*100</f>
        <v>-1.2005893460735884</v>
      </c>
      <c r="K398" s="350">
        <f t="shared" si="51"/>
        <v>-11.882757647765875</v>
      </c>
      <c r="L398" s="350">
        <f t="array" ref="L398">(GEOMEAN(Index_Returns!G363:G398/100+1)^12-1)*100</f>
        <v>5.5934778108519323</v>
      </c>
      <c r="M398" s="350">
        <f t="array" ref="M398">(GEOMEAN(Index_Returns!F363:F398/100+1)^12-1)*100</f>
        <v>9.1982849194046423</v>
      </c>
      <c r="N398" s="350">
        <f t="shared" si="52"/>
        <v>-3.60480710855271</v>
      </c>
      <c r="P398" s="352">
        <f t="array" ref="P398">(PRODUCT(Index_Returns!M387:M398/100+1)-1)*100</f>
        <v>-19.070478273327083</v>
      </c>
      <c r="Q398" s="352">
        <f t="array" ref="Q398">(PRODUCT(Index_Returns!L387:L398/100+1)-1)*100</f>
        <v>-9.7875026602078705</v>
      </c>
      <c r="R398" s="352">
        <f t="shared" si="53"/>
        <v>-9.2829756131192127</v>
      </c>
      <c r="S398" s="352">
        <f t="array" ref="S398">(GEOMEAN(Index_Returns!M363:M398/100+1)^12-1)*100</f>
        <v>3.3370867368215151</v>
      </c>
      <c r="T398" s="352">
        <f t="array" ref="T398">(GEOMEAN(Index_Returns!L363:L398/100+1)^12-1)*100</f>
        <v>4.9327590223057216</v>
      </c>
      <c r="U398" s="352">
        <f t="shared" si="54"/>
        <v>-1.5956722854842065</v>
      </c>
      <c r="W398" s="352">
        <f t="array" ref="W398">(PRODUCT(Index_Returns!AC387:AC398/100+1)-1)*100</f>
        <v>-16.036903529799218</v>
      </c>
      <c r="X398" s="352">
        <f t="array" ref="X398">(PRODUCT(Index_Returns!AB387:AB398/100+1)-1)*100</f>
        <v>-4.0585571869770192</v>
      </c>
      <c r="Y398" s="352">
        <f t="shared" si="55"/>
        <v>-11.978346342822199</v>
      </c>
      <c r="Z398" s="352">
        <f t="array" ref="Z398">(GEOMEAN(Index_Returns!AC363:AC398/100+1)^12-1)*100</f>
        <v>11.505505311253161</v>
      </c>
      <c r="AA398" s="352">
        <f t="array" ref="AA398">(GEOMEAN(Index_Returns!AB363:AB398/100+1)^12-1)*100</f>
        <v>15.065822850905231</v>
      </c>
      <c r="AB398" s="352">
        <f t="shared" si="56"/>
        <v>-3.5603175396520701</v>
      </c>
    </row>
    <row r="399" spans="1:28" x14ac:dyDescent="0.2">
      <c r="A399" s="19">
        <v>39660</v>
      </c>
      <c r="B399" s="352">
        <f t="array" ref="B399">(PRODUCT(Index_Returns!D388:D399/100+1)-1)*100</f>
        <v>-15.855510204877433</v>
      </c>
      <c r="C399" s="352">
        <f t="array" ref="C399">(PRODUCT(Index_Returns!C388:C399/100+1)-1)*100</f>
        <v>-6.2941699765544428</v>
      </c>
      <c r="D399" s="352">
        <f t="shared" si="49"/>
        <v>-9.5613402283229902</v>
      </c>
      <c r="E399" s="352">
        <f t="array" ref="E399">(GEOMEAN(Index_Returns!D364:D399/100+1)^12-1)*100</f>
        <v>2.428058378614617</v>
      </c>
      <c r="F399" s="352">
        <f t="array" ref="F399">(GEOMEAN(Index_Returns!C364:C399/100+1)^12-1)*100</f>
        <v>3.2050524378046452</v>
      </c>
      <c r="G399" s="352">
        <f t="shared" si="50"/>
        <v>-0.77699405919002817</v>
      </c>
      <c r="I399" s="350">
        <f t="array" ref="I399">(PRODUCT(Index_Returns!G388:G399/100+1)-1)*100</f>
        <v>-8.9321016831519611</v>
      </c>
      <c r="J399" s="350">
        <f t="array" ref="J399">(PRODUCT(Index_Returns!F388:F399/100+1)-1)*100</f>
        <v>-0.78191080682833425</v>
      </c>
      <c r="K399" s="350">
        <f t="shared" si="51"/>
        <v>-8.1501908763236273</v>
      </c>
      <c r="L399" s="350">
        <f t="array" ref="L399">(GEOMEAN(Index_Returns!G364:G399/100+1)^12-1)*100</f>
        <v>3.5701010303552216</v>
      </c>
      <c r="M399" s="350">
        <f t="array" ref="M399">(GEOMEAN(Index_Returns!F364:F399/100+1)^12-1)*100</f>
        <v>6.2634019507394889</v>
      </c>
      <c r="N399" s="350">
        <f t="shared" si="52"/>
        <v>-2.6933009203842673</v>
      </c>
      <c r="P399" s="352">
        <f t="array" ref="P399">(PRODUCT(Index_Returns!M388:M399/100+1)-1)*100</f>
        <v>-11.126553192361243</v>
      </c>
      <c r="Q399" s="352">
        <f t="array" ref="Q399">(PRODUCT(Index_Returns!L388:L399/100+1)-1)*100</f>
        <v>-5.2664367496915832</v>
      </c>
      <c r="R399" s="352">
        <f t="shared" si="53"/>
        <v>-5.8601164426696597</v>
      </c>
      <c r="S399" s="352">
        <f t="array" ref="S399">(GEOMEAN(Index_Returns!M364:M399/100+1)^12-1)*100</f>
        <v>2.387549030185121</v>
      </c>
      <c r="T399" s="352">
        <f t="array" ref="T399">(GEOMEAN(Index_Returns!L364:L399/100+1)^12-1)*100</f>
        <v>3.2144072016184966</v>
      </c>
      <c r="U399" s="352">
        <f t="shared" si="54"/>
        <v>-0.82685817143337559</v>
      </c>
      <c r="W399" s="352">
        <f t="array" ref="W399">(PRODUCT(Index_Returns!AC388:AC399/100+1)-1)*100</f>
        <v>-16.713194452996373</v>
      </c>
      <c r="X399" s="352">
        <f t="array" ref="X399">(PRODUCT(Index_Returns!AB388:AB399/100+1)-1)*100</f>
        <v>-6.6448640697378547</v>
      </c>
      <c r="Y399" s="352">
        <f t="shared" si="55"/>
        <v>-10.068330383258518</v>
      </c>
      <c r="Z399" s="352">
        <f t="array" ref="Z399">(GEOMEAN(Index_Returns!AC364:AC399/100+1)^12-1)*100</f>
        <v>9.2981188629927658</v>
      </c>
      <c r="AA399" s="352">
        <f t="array" ref="AA399">(GEOMEAN(Index_Returns!AB364:AB399/100+1)^12-1)*100</f>
        <v>12.581047815672797</v>
      </c>
      <c r="AB399" s="352">
        <f t="shared" si="56"/>
        <v>-3.2829289526800309</v>
      </c>
    </row>
    <row r="400" spans="1:28" x14ac:dyDescent="0.2">
      <c r="A400" s="19">
        <v>39691</v>
      </c>
      <c r="B400" s="352">
        <f t="array" ref="B400">(PRODUCT(Index_Returns!D389:D400/100+1)-1)*100</f>
        <v>-15.862235314597806</v>
      </c>
      <c r="C400" s="352">
        <f t="array" ref="C400">(PRODUCT(Index_Returns!C389:C400/100+1)-1)*100</f>
        <v>-6.3961213296663377</v>
      </c>
      <c r="D400" s="352">
        <f t="shared" si="49"/>
        <v>-9.4661139849314679</v>
      </c>
      <c r="E400" s="352">
        <f t="array" ref="E400">(GEOMEAN(Index_Returns!D365:D400/100+1)^12-1)*100</f>
        <v>3.1418782864084172</v>
      </c>
      <c r="F400" s="352">
        <f t="array" ref="F400">(GEOMEAN(Index_Returns!C365:C400/100+1)^12-1)*100</f>
        <v>4.1094069164471669</v>
      </c>
      <c r="G400" s="352">
        <f t="shared" si="50"/>
        <v>-0.96752863003874978</v>
      </c>
      <c r="I400" s="350">
        <f t="array" ref="I400">(PRODUCT(Index_Returns!G389:G400/100+1)-1)*100</f>
        <v>-7.6920112459598844</v>
      </c>
      <c r="J400" s="350">
        <f t="array" ref="J400">(PRODUCT(Index_Returns!F389:F400/100+1)-1)*100</f>
        <v>-0.57024999832518963</v>
      </c>
      <c r="K400" s="350">
        <f t="shared" si="51"/>
        <v>-7.1217612476346943</v>
      </c>
      <c r="L400" s="350">
        <f t="array" ref="L400">(GEOMEAN(Index_Returns!G365:G400/100+1)^12-1)*100</f>
        <v>4.6854249420767546</v>
      </c>
      <c r="M400" s="350">
        <f t="array" ref="M400">(GEOMEAN(Index_Returns!F365:F400/100+1)^12-1)*100</f>
        <v>7.1250761961441311</v>
      </c>
      <c r="N400" s="350">
        <f t="shared" si="52"/>
        <v>-2.4396512540673765</v>
      </c>
      <c r="P400" s="352">
        <f t="array" ref="P400">(PRODUCT(Index_Returns!M389:M400/100+1)-1)*100</f>
        <v>-7.9817464627058303</v>
      </c>
      <c r="Q400" s="352">
        <f t="array" ref="Q400">(PRODUCT(Index_Returns!L389:L400/100+1)-1)*100</f>
        <v>-4.4380325979733071</v>
      </c>
      <c r="R400" s="352">
        <f t="shared" si="53"/>
        <v>-3.5437138647325233</v>
      </c>
      <c r="S400" s="352">
        <f t="array" ref="S400">(GEOMEAN(Index_Returns!M365:M400/100+1)^12-1)*100</f>
        <v>4.2506253583554088</v>
      </c>
      <c r="T400" s="352">
        <f t="array" ref="T400">(GEOMEAN(Index_Returns!L365:L400/100+1)^12-1)*100</f>
        <v>5.1697407599505141</v>
      </c>
      <c r="U400" s="352">
        <f t="shared" si="54"/>
        <v>-0.9191154015951053</v>
      </c>
      <c r="W400" s="352">
        <f t="array" ref="W400">(PRODUCT(Index_Returns!AC389:AC400/100+1)-1)*100</f>
        <v>-17.70913259551461</v>
      </c>
      <c r="X400" s="352">
        <f t="array" ref="X400">(PRODUCT(Index_Returns!AB389:AB400/100+1)-1)*100</f>
        <v>-10.204761513176287</v>
      </c>
      <c r="Y400" s="352">
        <f t="shared" si="55"/>
        <v>-7.5043710823383236</v>
      </c>
      <c r="Z400" s="352">
        <f t="array" ref="Z400">(GEOMEAN(Index_Returns!AC365:AC400/100+1)^12-1)*100</f>
        <v>7.2926250665143799</v>
      </c>
      <c r="AA400" s="352">
        <f t="array" ref="AA400">(GEOMEAN(Index_Returns!AB365:AB400/100+1)^12-1)*100</f>
        <v>9.7264619544213957</v>
      </c>
      <c r="AB400" s="352">
        <f t="shared" si="56"/>
        <v>-2.4338368879070158</v>
      </c>
    </row>
    <row r="401" spans="1:25" x14ac:dyDescent="0.2">
      <c r="A401" s="19">
        <v>39721</v>
      </c>
      <c r="B401" s="352"/>
      <c r="C401" s="352"/>
      <c r="D401" s="352"/>
      <c r="E401" s="352"/>
      <c r="F401" s="352"/>
      <c r="G401" s="352"/>
      <c r="I401" s="350"/>
      <c r="J401" s="350"/>
      <c r="K401" s="350"/>
      <c r="L401" s="350"/>
      <c r="M401" s="350"/>
      <c r="N401" s="350"/>
      <c r="P401" s="352"/>
      <c r="Q401" s="352"/>
      <c r="R401" s="352"/>
      <c r="S401" s="352"/>
      <c r="T401" s="352"/>
      <c r="U401" s="352"/>
      <c r="W401" s="352"/>
      <c r="X401" s="352"/>
      <c r="Y401" s="352"/>
    </row>
    <row r="402" spans="1:25" x14ac:dyDescent="0.2">
      <c r="A402" s="19">
        <v>39752</v>
      </c>
      <c r="B402" s="352"/>
      <c r="C402" s="352"/>
      <c r="D402" s="352"/>
      <c r="E402" s="352"/>
      <c r="F402" s="352"/>
      <c r="G402" s="352"/>
      <c r="I402" s="350"/>
      <c r="J402" s="350"/>
      <c r="K402" s="350"/>
      <c r="L402" s="350"/>
      <c r="M402" s="350"/>
      <c r="N402" s="350"/>
      <c r="P402" s="352"/>
      <c r="Q402" s="352"/>
      <c r="R402" s="352"/>
      <c r="S402" s="352"/>
      <c r="T402" s="352"/>
      <c r="U402" s="352"/>
      <c r="W402" s="352"/>
      <c r="X402" s="352"/>
      <c r="Y402" s="352"/>
    </row>
    <row r="403" spans="1:25" x14ac:dyDescent="0.2">
      <c r="A403" s="19">
        <v>39782</v>
      </c>
      <c r="B403" s="352"/>
      <c r="C403" s="352"/>
      <c r="D403" s="352"/>
      <c r="E403" s="352"/>
      <c r="F403" s="352"/>
      <c r="G403" s="352"/>
      <c r="I403" s="350"/>
      <c r="J403" s="350"/>
      <c r="K403" s="350"/>
      <c r="L403" s="350"/>
      <c r="M403" s="350"/>
      <c r="N403" s="350"/>
      <c r="P403" s="352"/>
      <c r="Q403" s="352"/>
      <c r="R403" s="352"/>
      <c r="S403" s="352"/>
      <c r="T403" s="352"/>
      <c r="U403" s="352"/>
      <c r="W403" s="352"/>
      <c r="X403" s="352"/>
      <c r="Y403" s="352"/>
    </row>
    <row r="404" spans="1:25" x14ac:dyDescent="0.2">
      <c r="A404" s="19">
        <v>39813</v>
      </c>
      <c r="W404" s="239"/>
      <c r="X404" s="239"/>
      <c r="Y404" s="239"/>
    </row>
    <row r="405" spans="1:25" x14ac:dyDescent="0.2">
      <c r="A405" s="19">
        <v>39844</v>
      </c>
      <c r="W405" s="239"/>
      <c r="X405" s="239"/>
      <c r="Y405" s="239"/>
    </row>
    <row r="406" spans="1:25" x14ac:dyDescent="0.2">
      <c r="A406" s="19">
        <v>39872</v>
      </c>
      <c r="W406" s="239"/>
      <c r="X406" s="239"/>
      <c r="Y406" s="239"/>
    </row>
    <row r="407" spans="1:25" x14ac:dyDescent="0.2">
      <c r="A407" s="19">
        <v>39903</v>
      </c>
      <c r="W407" s="239"/>
      <c r="X407" s="239"/>
      <c r="Y407" s="239"/>
    </row>
    <row r="408" spans="1:25" x14ac:dyDescent="0.2">
      <c r="A408" s="19">
        <v>39933</v>
      </c>
      <c r="W408" s="239"/>
      <c r="X408" s="239"/>
      <c r="Y408" s="239"/>
    </row>
    <row r="409" spans="1:25" x14ac:dyDescent="0.2">
      <c r="A409" s="19">
        <v>39964</v>
      </c>
      <c r="W409" s="239"/>
      <c r="X409" s="239"/>
      <c r="Y409" s="239"/>
    </row>
    <row r="410" spans="1:25" x14ac:dyDescent="0.2">
      <c r="A410" s="19">
        <v>39994</v>
      </c>
      <c r="W410" s="239"/>
      <c r="X410" s="239"/>
      <c r="Y410" s="239"/>
    </row>
    <row r="411" spans="1:25" x14ac:dyDescent="0.2">
      <c r="A411" s="19">
        <v>40025</v>
      </c>
      <c r="W411" s="239"/>
      <c r="X411" s="239"/>
      <c r="Y411" s="239"/>
    </row>
    <row r="412" spans="1:25" x14ac:dyDescent="0.2">
      <c r="A412" s="19">
        <v>40056</v>
      </c>
      <c r="W412" s="239"/>
      <c r="X412" s="239"/>
      <c r="Y412" s="239"/>
    </row>
    <row r="413" spans="1:25" x14ac:dyDescent="0.2">
      <c r="A413" s="19">
        <v>40086</v>
      </c>
      <c r="W413" s="239"/>
      <c r="X413" s="239"/>
      <c r="Y413" s="239"/>
    </row>
    <row r="414" spans="1:25" x14ac:dyDescent="0.2">
      <c r="A414" s="19">
        <v>40117</v>
      </c>
      <c r="W414" s="239"/>
      <c r="X414" s="239"/>
      <c r="Y414" s="239"/>
    </row>
    <row r="415" spans="1:25" x14ac:dyDescent="0.2">
      <c r="A415" s="19">
        <v>40147</v>
      </c>
      <c r="W415" s="239"/>
      <c r="X415" s="239"/>
      <c r="Y415" s="239"/>
    </row>
    <row r="416" spans="1:25" x14ac:dyDescent="0.2">
      <c r="A416" s="19">
        <v>40178</v>
      </c>
      <c r="W416" s="239"/>
      <c r="X416" s="239"/>
      <c r="Y416" s="239"/>
    </row>
    <row r="417" spans="1:25" x14ac:dyDescent="0.2">
      <c r="A417" s="19">
        <v>40209</v>
      </c>
      <c r="W417" s="239"/>
      <c r="X417" s="239"/>
      <c r="Y417" s="239"/>
    </row>
    <row r="418" spans="1:25" x14ac:dyDescent="0.2">
      <c r="A418" s="19">
        <v>40237</v>
      </c>
      <c r="W418" s="239"/>
      <c r="X418" s="239"/>
      <c r="Y418" s="239"/>
    </row>
    <row r="419" spans="1:25" x14ac:dyDescent="0.2">
      <c r="A419" s="19">
        <v>40268</v>
      </c>
      <c r="W419" s="239"/>
      <c r="X419" s="239"/>
      <c r="Y419" s="239"/>
    </row>
    <row r="420" spans="1:25" x14ac:dyDescent="0.2">
      <c r="A420" s="19">
        <v>40298</v>
      </c>
      <c r="W420" s="239"/>
      <c r="X420" s="239"/>
      <c r="Y420" s="239"/>
    </row>
    <row r="421" spans="1:25" x14ac:dyDescent="0.2">
      <c r="A421" s="19">
        <v>40329</v>
      </c>
      <c r="W421" s="239"/>
      <c r="X421" s="239"/>
      <c r="Y421" s="239"/>
    </row>
    <row r="422" spans="1:25" x14ac:dyDescent="0.2">
      <c r="A422" s="19">
        <v>40359</v>
      </c>
      <c r="W422" s="239"/>
      <c r="X422" s="239"/>
      <c r="Y422" s="239"/>
    </row>
    <row r="423" spans="1:25" x14ac:dyDescent="0.2">
      <c r="A423" s="19">
        <v>40390</v>
      </c>
      <c r="W423" s="239"/>
      <c r="X423" s="239"/>
      <c r="Y423" s="239"/>
    </row>
    <row r="424" spans="1:25" x14ac:dyDescent="0.2">
      <c r="A424" s="19">
        <v>40421</v>
      </c>
      <c r="W424" s="239"/>
      <c r="X424" s="239"/>
      <c r="Y424" s="239"/>
    </row>
    <row r="425" spans="1:25" x14ac:dyDescent="0.2">
      <c r="A425" s="19">
        <v>40451</v>
      </c>
      <c r="W425" s="239"/>
      <c r="X425" s="239"/>
      <c r="Y425" s="239"/>
    </row>
    <row r="426" spans="1:25" x14ac:dyDescent="0.2">
      <c r="A426" s="19">
        <v>40482</v>
      </c>
      <c r="W426" s="239"/>
      <c r="X426" s="239"/>
      <c r="Y426" s="239"/>
    </row>
    <row r="427" spans="1:25" x14ac:dyDescent="0.2">
      <c r="A427" s="19">
        <v>40512</v>
      </c>
      <c r="W427" s="239"/>
      <c r="X427" s="239"/>
      <c r="Y427" s="239"/>
    </row>
    <row r="428" spans="1:25" x14ac:dyDescent="0.2">
      <c r="A428" s="19">
        <v>40543</v>
      </c>
      <c r="W428" s="239"/>
      <c r="X428" s="239"/>
      <c r="Y428" s="239"/>
    </row>
  </sheetData>
  <mergeCells count="4">
    <mergeCell ref="I1:K1"/>
    <mergeCell ref="P1:R1"/>
    <mergeCell ref="B1:D1"/>
    <mergeCell ref="W1:Y1"/>
  </mergeCells>
  <phoneticPr fontId="3" type="noConversion"/>
  <pageMargins left="0.75" right="0.75" top="1" bottom="1" header="0.5" footer="0.5"/>
  <pageSetup scale="61"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100</vt:i4>
      </vt:variant>
      <vt:variant>
        <vt:lpstr>Charts</vt:lpstr>
      </vt:variant>
      <vt:variant>
        <vt:i4>4</vt:i4>
      </vt:variant>
      <vt:variant>
        <vt:lpstr>Named Ranges</vt:lpstr>
      </vt:variant>
      <vt:variant>
        <vt:i4>21</vt:i4>
      </vt:variant>
    </vt:vector>
  </HeadingPairs>
  <TitlesOfParts>
    <vt:vector size="125" baseType="lpstr">
      <vt:lpstr>Home</vt:lpstr>
      <vt:lpstr>SS data PRELIM</vt:lpstr>
      <vt:lpstr>SS data FINAL recon</vt:lpstr>
      <vt:lpstr>Index_Returns</vt:lpstr>
      <vt:lpstr>Return Summary</vt:lpstr>
      <vt:lpstr>LTD Summary</vt:lpstr>
      <vt:lpstr>ASRS_E2</vt:lpstr>
      <vt:lpstr>ASRS_E7</vt:lpstr>
      <vt:lpstr>ASRS_E8</vt:lpstr>
      <vt:lpstr>Risk Factor</vt:lpstr>
      <vt:lpstr>AQR</vt:lpstr>
      <vt:lpstr>Intech</vt:lpstr>
      <vt:lpstr>LSV</vt:lpstr>
      <vt:lpstr>Well</vt:lpstr>
      <vt:lpstr>CRM</vt:lpstr>
      <vt:lpstr>ASRS_E3</vt:lpstr>
      <vt:lpstr>ASRS_E4</vt:lpstr>
      <vt:lpstr>TS</vt:lpstr>
      <vt:lpstr>DFA</vt:lpstr>
      <vt:lpstr>E6</vt:lpstr>
      <vt:lpstr>Champlain</vt:lpstr>
      <vt:lpstr>Brandes</vt:lpstr>
      <vt:lpstr>THOMPSON</vt:lpstr>
      <vt:lpstr>TRINITY</vt:lpstr>
      <vt:lpstr>American</vt:lpstr>
      <vt:lpstr>BR_EAFE</vt:lpstr>
      <vt:lpstr>BR_EAFE_SC</vt:lpstr>
      <vt:lpstr>Franklin_Templeton</vt:lpstr>
      <vt:lpstr>DFA_INTL</vt:lpstr>
      <vt:lpstr>BR_EM</vt:lpstr>
      <vt:lpstr>William_Blair</vt:lpstr>
      <vt:lpstr>LSV_EM</vt:lpstr>
      <vt:lpstr>Eaton_Vance</vt:lpstr>
      <vt:lpstr>ASRS_F2</vt:lpstr>
      <vt:lpstr>BGI US Debt</vt:lpstr>
      <vt:lpstr>BGI_GOV_CR</vt:lpstr>
      <vt:lpstr>Columbia</vt:lpstr>
      <vt:lpstr>JPM_HY</vt:lpstr>
      <vt:lpstr>PIMCO_EMD</vt:lpstr>
      <vt:lpstr>Ashmore_blend</vt:lpstr>
      <vt:lpstr>Gresham</vt:lpstr>
      <vt:lpstr>Bridge_GTAA</vt:lpstr>
      <vt:lpstr>Windham</vt:lpstr>
      <vt:lpstr>LTD_USDebt</vt:lpstr>
      <vt:lpstr>LTD_HY</vt:lpstr>
      <vt:lpstr>LTD_R1</vt:lpstr>
      <vt:lpstr>LTD_R2</vt:lpstr>
      <vt:lpstr>LTD_EAFE</vt:lpstr>
      <vt:lpstr>LTD_EAFE_SC</vt:lpstr>
      <vt:lpstr>LTD_EM</vt:lpstr>
      <vt:lpstr>LTD_RE</vt:lpstr>
      <vt:lpstr>LTD_DJUBS</vt:lpstr>
      <vt:lpstr>LTD_EMD</vt:lpstr>
      <vt:lpstr>NEPC data</vt:lpstr>
      <vt:lpstr>Shenkman</vt:lpstr>
      <vt:lpstr>PIMCO</vt:lpstr>
      <vt:lpstr>HGI</vt:lpstr>
      <vt:lpstr>Aberdeen</vt:lpstr>
      <vt:lpstr>Walter_Scott</vt:lpstr>
      <vt:lpstr>Ashmore_LC</vt:lpstr>
      <vt:lpstr>Cargill</vt:lpstr>
      <vt:lpstr>JLEM_LC</vt:lpstr>
      <vt:lpstr>ASRS_E1</vt:lpstr>
      <vt:lpstr>BR_LC_Equity</vt:lpstr>
      <vt:lpstr>SSGA_MC</vt:lpstr>
      <vt:lpstr>Copper</vt:lpstr>
      <vt:lpstr>Iron</vt:lpstr>
      <vt:lpstr>MFS</vt:lpstr>
      <vt:lpstr>AXA</vt:lpstr>
      <vt:lpstr>BR_ACWI</vt:lpstr>
      <vt:lpstr>Fidelity</vt:lpstr>
      <vt:lpstr>BR_Core_Plus</vt:lpstr>
      <vt:lpstr>JPM_Fixed</vt:lpstr>
      <vt:lpstr>BR_Enh</vt:lpstr>
      <vt:lpstr>JPM_INT_AGG</vt:lpstr>
      <vt:lpstr>Segall_Bryant</vt:lpstr>
      <vt:lpstr>BR_TIPS</vt:lpstr>
      <vt:lpstr>QSI</vt:lpstr>
      <vt:lpstr>Guggenheim</vt:lpstr>
      <vt:lpstr>Hyperion</vt:lpstr>
      <vt:lpstr>LTD_EQUITY</vt:lpstr>
      <vt:lpstr>LTD_INTL</vt:lpstr>
      <vt:lpstr>LTD_FX_INC</vt:lpstr>
      <vt:lpstr>LTD_COMP</vt:lpstr>
      <vt:lpstr>TF</vt:lpstr>
      <vt:lpstr>US Eq</vt:lpstr>
      <vt:lpstr>LCE</vt:lpstr>
      <vt:lpstr>MCE</vt:lpstr>
      <vt:lpstr>SCE</vt:lpstr>
      <vt:lpstr>NonUS Eq</vt:lpstr>
      <vt:lpstr>Fx Inc</vt:lpstr>
      <vt:lpstr>GTAA</vt:lpstr>
      <vt:lpstr>RE</vt:lpstr>
      <vt:lpstr>TF gross</vt:lpstr>
      <vt:lpstr>Fees</vt:lpstr>
      <vt:lpstr>5Y Value Added</vt:lpstr>
      <vt:lpstr>10Y Value Added</vt:lpstr>
      <vt:lpstr>Terminated Managers</vt:lpstr>
      <vt:lpstr>Invest Goals</vt:lpstr>
      <vt:lpstr>Returns Value_Growth</vt:lpstr>
      <vt:lpstr>Chart LC Val_Gr</vt:lpstr>
      <vt:lpstr>Chart MC Val_Gr</vt:lpstr>
      <vt:lpstr>Chart SC Val_Gr</vt:lpstr>
      <vt:lpstr>Chart EAFE  Val_Gr</vt:lpstr>
      <vt:lpstr>TS!Batterymarch</vt:lpstr>
      <vt:lpstr>BR_ACWI!BGI_Intl</vt:lpstr>
      <vt:lpstr>Bridge_GTAA!Blackrock</vt:lpstr>
      <vt:lpstr>CRM!Blackrock</vt:lpstr>
      <vt:lpstr>Fidelity!Blackrock</vt:lpstr>
      <vt:lpstr>AXA!Brandes</vt:lpstr>
      <vt:lpstr>BR_EAFE_SC!Brandes</vt:lpstr>
      <vt:lpstr>MFS!Brandes</vt:lpstr>
      <vt:lpstr>RE!GTAA</vt:lpstr>
      <vt:lpstr>Index</vt:lpstr>
      <vt:lpstr>'10Y Value Added'!Print_Area</vt:lpstr>
      <vt:lpstr>Cargill!Print_Area</vt:lpstr>
      <vt:lpstr>Index_Returns!Print_Area</vt:lpstr>
      <vt:lpstr>'Invest Goals'!Print_Area</vt:lpstr>
      <vt:lpstr>'NEPC data'!Print_Area</vt:lpstr>
      <vt:lpstr>'Return Summary'!Print_Area</vt:lpstr>
      <vt:lpstr>'Returns Value_Growth'!Print_Area</vt:lpstr>
      <vt:lpstr>'SS data PRELIM'!Print_Area</vt:lpstr>
      <vt:lpstr>Fees!Print_Titles</vt:lpstr>
      <vt:lpstr>'Return Summary'!Print_Titles</vt:lpstr>
      <vt:lpstr>'Returns Value_Growth'!Print_Titles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Glass</dc:creator>
  <cp:lastModifiedBy>MichealC</cp:lastModifiedBy>
  <cp:lastPrinted>2014-08-15T18:50:23Z</cp:lastPrinted>
  <dcterms:created xsi:type="dcterms:W3CDTF">2003-05-12T20:38:28Z</dcterms:created>
  <dcterms:modified xsi:type="dcterms:W3CDTF">2014-09-09T18:49:53Z</dcterms:modified>
</cp:coreProperties>
</file>